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E:\"/>
    </mc:Choice>
  </mc:AlternateContent>
  <xr:revisionPtr revIDLastSave="0" documentId="13_ncr:1_{DCCD7B1C-F0D3-4E01-947F-FD47A5039518}" xr6:coauthVersionLast="47" xr6:coauthVersionMax="47" xr10:uidLastSave="{00000000-0000-0000-0000-000000000000}"/>
  <bookViews>
    <workbookView minimized="1" xWindow="2304" yWindow="2304" windowWidth="17280" windowHeight="8880" xr2:uid="{00000000-000D-0000-FFFF-FFFF00000000}"/>
  </bookViews>
  <sheets>
    <sheet name="Sheet 1" sheetId="1" r:id="rId1"/>
  </sheets>
  <definedNames>
    <definedName name="_xlnm._FilterDatabase" localSheetId="0" hidden="1">'Sheet 1'!$A$1:$I$14282</definedName>
    <definedName name="solver_opt" localSheetId="0">'Sheet 1'!$C$14286</definedName>
  </definedNames>
  <calcPr calcId="191029"/>
</workbook>
</file>

<file path=xl/calcChain.xml><?xml version="1.0" encoding="utf-8"?>
<calcChain xmlns="http://schemas.openxmlformats.org/spreadsheetml/2006/main">
  <c r="I12" i="1" l="1"/>
  <c r="I7" i="1"/>
  <c r="I3" i="1"/>
  <c r="I2" i="1"/>
  <c r="I14282" i="1"/>
  <c r="I14281" i="1"/>
  <c r="I14280" i="1"/>
  <c r="I14279" i="1"/>
  <c r="I14278" i="1"/>
  <c r="I14277" i="1"/>
  <c r="I14276" i="1"/>
  <c r="I14275" i="1"/>
  <c r="I14274" i="1"/>
  <c r="I14273" i="1"/>
  <c r="I14272" i="1"/>
  <c r="I14271" i="1"/>
  <c r="I14270" i="1"/>
  <c r="I14269" i="1"/>
  <c r="I14268" i="1"/>
  <c r="I14267" i="1"/>
  <c r="I14266" i="1"/>
  <c r="I14265" i="1"/>
  <c r="I14264" i="1"/>
  <c r="I14263" i="1"/>
  <c r="I14262" i="1"/>
  <c r="I14261" i="1"/>
  <c r="I14260" i="1"/>
  <c r="I14259" i="1"/>
  <c r="I14258" i="1"/>
  <c r="I14257" i="1"/>
  <c r="I14256" i="1"/>
  <c r="I14255" i="1"/>
  <c r="I14254" i="1"/>
  <c r="I14253" i="1"/>
  <c r="I14252" i="1"/>
  <c r="I14251" i="1"/>
  <c r="I14250" i="1"/>
  <c r="I14249" i="1"/>
  <c r="I14248" i="1"/>
  <c r="I14247" i="1"/>
  <c r="I14246" i="1"/>
  <c r="I14245" i="1"/>
  <c r="I14244" i="1"/>
  <c r="I14243" i="1"/>
  <c r="I14242" i="1"/>
  <c r="I14241" i="1"/>
  <c r="I14240" i="1"/>
  <c r="I14239" i="1"/>
  <c r="I14238" i="1"/>
  <c r="I14237" i="1"/>
  <c r="I14236" i="1"/>
  <c r="I14235" i="1"/>
  <c r="I14234" i="1"/>
  <c r="I14233" i="1"/>
  <c r="I14232" i="1"/>
  <c r="I14231" i="1"/>
  <c r="I14230" i="1"/>
  <c r="I14229" i="1"/>
  <c r="I14228" i="1"/>
  <c r="I14227" i="1"/>
  <c r="I14226" i="1"/>
  <c r="I14225" i="1"/>
  <c r="I14224" i="1"/>
  <c r="I14223" i="1"/>
  <c r="I14222" i="1"/>
  <c r="I14221" i="1"/>
  <c r="I14220" i="1"/>
  <c r="I14219" i="1"/>
  <c r="I14218" i="1"/>
  <c r="I14217" i="1"/>
  <c r="I14216" i="1"/>
  <c r="I14215" i="1"/>
  <c r="I14214" i="1"/>
  <c r="I14213" i="1"/>
  <c r="I14212" i="1"/>
  <c r="I14211" i="1"/>
  <c r="I14210" i="1"/>
  <c r="I14209" i="1"/>
  <c r="I14208" i="1"/>
  <c r="I14207" i="1"/>
  <c r="I14206" i="1"/>
  <c r="I14205" i="1"/>
  <c r="I14204" i="1"/>
  <c r="I14203" i="1"/>
  <c r="I14202" i="1"/>
  <c r="I14201" i="1"/>
  <c r="I14200" i="1"/>
  <c r="I14199" i="1"/>
  <c r="I14198" i="1"/>
  <c r="I14197" i="1"/>
  <c r="I14196" i="1"/>
  <c r="I14195" i="1"/>
  <c r="I14194" i="1"/>
  <c r="I14193" i="1"/>
  <c r="I14192" i="1"/>
  <c r="I14191" i="1"/>
  <c r="I14190" i="1"/>
  <c r="I14189" i="1"/>
  <c r="I14188" i="1"/>
  <c r="I14187" i="1"/>
  <c r="I14186" i="1"/>
  <c r="I14185" i="1"/>
  <c r="I14184" i="1"/>
  <c r="I14183" i="1"/>
  <c r="I14182" i="1"/>
  <c r="I14181" i="1"/>
  <c r="I14180" i="1"/>
  <c r="I14179" i="1"/>
  <c r="I14178" i="1"/>
  <c r="I14177" i="1"/>
  <c r="I14176" i="1"/>
  <c r="I14175" i="1"/>
  <c r="I14174" i="1"/>
  <c r="I14173" i="1"/>
  <c r="I14172" i="1"/>
  <c r="I14171" i="1"/>
  <c r="I14170" i="1"/>
  <c r="I14169" i="1"/>
  <c r="I14168" i="1"/>
  <c r="I14167" i="1"/>
  <c r="I14166" i="1"/>
  <c r="I14165" i="1"/>
  <c r="I14164" i="1"/>
  <c r="I14163" i="1"/>
  <c r="I14162" i="1"/>
  <c r="I14161" i="1"/>
  <c r="I14160" i="1"/>
  <c r="I14159" i="1"/>
  <c r="I14158" i="1"/>
  <c r="I14157" i="1"/>
  <c r="I14156" i="1"/>
  <c r="I14155" i="1"/>
  <c r="I14154" i="1"/>
  <c r="I14153" i="1"/>
  <c r="I14152" i="1"/>
  <c r="I14151" i="1"/>
  <c r="I14150" i="1"/>
  <c r="I14149" i="1"/>
  <c r="I14148" i="1"/>
  <c r="I14147" i="1"/>
  <c r="I14146" i="1"/>
  <c r="I14145" i="1"/>
  <c r="I14144" i="1"/>
  <c r="I14143" i="1"/>
  <c r="I14142" i="1"/>
  <c r="I14141" i="1"/>
  <c r="I14140" i="1"/>
  <c r="I14139" i="1"/>
  <c r="I14138" i="1"/>
  <c r="I14137" i="1"/>
  <c r="I14136" i="1"/>
  <c r="I14135" i="1"/>
  <c r="I14134" i="1"/>
  <c r="I14133" i="1"/>
  <c r="I14132" i="1"/>
  <c r="I14131" i="1"/>
  <c r="I14130" i="1"/>
  <c r="I14129" i="1"/>
  <c r="I14128" i="1"/>
  <c r="I14127" i="1"/>
  <c r="I14126" i="1"/>
  <c r="I14125" i="1"/>
  <c r="I14124" i="1"/>
  <c r="I14123" i="1"/>
  <c r="I14122" i="1"/>
  <c r="I14121" i="1"/>
  <c r="I14120" i="1"/>
  <c r="I14119" i="1"/>
  <c r="I14118" i="1"/>
  <c r="I14117" i="1"/>
  <c r="I14116" i="1"/>
  <c r="I14115" i="1"/>
  <c r="I14114" i="1"/>
  <c r="I14113" i="1"/>
  <c r="I14112" i="1"/>
  <c r="I14111" i="1"/>
  <c r="I14110" i="1"/>
  <c r="I14109" i="1"/>
  <c r="I14108" i="1"/>
  <c r="I14107" i="1"/>
  <c r="I14106" i="1"/>
  <c r="I14105" i="1"/>
  <c r="I14104" i="1"/>
  <c r="I14103" i="1"/>
  <c r="I14102" i="1"/>
  <c r="I14101" i="1"/>
  <c r="I14100" i="1"/>
  <c r="I14099" i="1"/>
  <c r="I14098" i="1"/>
  <c r="I14097" i="1"/>
  <c r="I14096" i="1"/>
  <c r="I14095" i="1"/>
  <c r="I14094" i="1"/>
  <c r="I14093" i="1"/>
  <c r="I14092" i="1"/>
  <c r="I14091" i="1"/>
  <c r="I14090" i="1"/>
  <c r="I14089" i="1"/>
  <c r="I14088" i="1"/>
  <c r="I14087" i="1"/>
  <c r="I14086" i="1"/>
  <c r="I14085" i="1"/>
  <c r="I14084" i="1"/>
  <c r="I14083" i="1"/>
  <c r="I14082" i="1"/>
  <c r="I14081" i="1"/>
  <c r="I14080" i="1"/>
  <c r="I14079" i="1"/>
  <c r="I14078" i="1"/>
  <c r="I14077" i="1"/>
  <c r="I14076" i="1"/>
  <c r="I14075" i="1"/>
  <c r="I14074" i="1"/>
  <c r="I14073" i="1"/>
  <c r="I14072" i="1"/>
  <c r="I14071" i="1"/>
  <c r="I14070" i="1"/>
  <c r="I14069" i="1"/>
  <c r="I14068" i="1"/>
  <c r="I14067" i="1"/>
  <c r="I14066" i="1"/>
  <c r="I14065" i="1"/>
  <c r="I14064" i="1"/>
  <c r="I14063" i="1"/>
  <c r="I14062" i="1"/>
  <c r="I14061" i="1"/>
  <c r="I14060" i="1"/>
  <c r="I14059" i="1"/>
  <c r="I14058" i="1"/>
  <c r="I14057" i="1"/>
  <c r="I14056" i="1"/>
  <c r="I14055" i="1"/>
  <c r="I14054" i="1"/>
  <c r="I14053" i="1"/>
  <c r="I14052" i="1"/>
  <c r="I14051" i="1"/>
  <c r="I14050" i="1"/>
  <c r="I14049" i="1"/>
  <c r="I14048" i="1"/>
  <c r="I14047" i="1"/>
  <c r="I14046" i="1"/>
  <c r="I14045" i="1"/>
  <c r="I14044" i="1"/>
  <c r="I14043" i="1"/>
  <c r="I14042" i="1"/>
  <c r="I14041" i="1"/>
  <c r="I14040" i="1"/>
  <c r="I14039" i="1"/>
  <c r="I14038" i="1"/>
  <c r="I14037" i="1"/>
  <c r="I14036" i="1"/>
  <c r="I14035" i="1"/>
  <c r="I14034" i="1"/>
  <c r="I14033" i="1"/>
  <c r="I14032" i="1"/>
  <c r="I14031" i="1"/>
  <c r="I14030" i="1"/>
  <c r="I14029" i="1"/>
  <c r="I14028" i="1"/>
  <c r="I14027" i="1"/>
  <c r="I14026" i="1"/>
  <c r="I14025" i="1"/>
  <c r="I14024" i="1"/>
  <c r="I14023" i="1"/>
  <c r="I14022" i="1"/>
  <c r="I14021" i="1"/>
  <c r="I14020" i="1"/>
  <c r="I14019" i="1"/>
  <c r="I14018" i="1"/>
  <c r="I14017" i="1"/>
  <c r="I14016" i="1"/>
  <c r="I14015" i="1"/>
  <c r="I14014" i="1"/>
  <c r="I14013" i="1"/>
  <c r="I14012" i="1"/>
  <c r="I14011" i="1"/>
  <c r="I14010" i="1"/>
  <c r="I14009" i="1"/>
  <c r="I14008" i="1"/>
  <c r="I14007" i="1"/>
  <c r="I14006" i="1"/>
  <c r="I14005" i="1"/>
  <c r="I14004" i="1"/>
  <c r="I14003" i="1"/>
  <c r="I14002" i="1"/>
  <c r="I14001" i="1"/>
  <c r="I14000" i="1"/>
  <c r="I13999" i="1"/>
  <c r="I13998" i="1"/>
  <c r="I13997" i="1"/>
  <c r="I13996" i="1"/>
  <c r="I13995" i="1"/>
  <c r="I13994" i="1"/>
  <c r="I13993" i="1"/>
  <c r="I13992" i="1"/>
  <c r="I13991" i="1"/>
  <c r="I13990" i="1"/>
  <c r="I13989" i="1"/>
  <c r="I13988" i="1"/>
  <c r="I13987" i="1"/>
  <c r="I13986" i="1"/>
  <c r="I13985" i="1"/>
  <c r="I13984" i="1"/>
  <c r="I13983" i="1"/>
  <c r="I13982" i="1"/>
  <c r="I13981" i="1"/>
  <c r="I13980" i="1"/>
  <c r="I13979" i="1"/>
  <c r="I13978" i="1"/>
  <c r="I13977" i="1"/>
  <c r="I13976" i="1"/>
  <c r="I13975" i="1"/>
  <c r="I13974" i="1"/>
  <c r="I13973" i="1"/>
  <c r="I13972" i="1"/>
  <c r="I13971" i="1"/>
  <c r="I13970" i="1"/>
  <c r="I13969" i="1"/>
  <c r="I13968" i="1"/>
  <c r="I13967" i="1"/>
  <c r="I13966" i="1"/>
  <c r="I13965" i="1"/>
  <c r="I13964" i="1"/>
  <c r="I13963" i="1"/>
  <c r="I13962" i="1"/>
  <c r="I13961" i="1"/>
  <c r="I13960" i="1"/>
  <c r="I13959" i="1"/>
  <c r="I13958" i="1"/>
  <c r="I13957" i="1"/>
  <c r="I13956" i="1"/>
  <c r="I13955" i="1"/>
  <c r="I13954" i="1"/>
  <c r="I13953" i="1"/>
  <c r="I13952" i="1"/>
  <c r="I13951" i="1"/>
  <c r="I13950" i="1"/>
  <c r="I13949" i="1"/>
  <c r="I13948" i="1"/>
  <c r="I13947" i="1"/>
  <c r="I13946" i="1"/>
  <c r="I13945" i="1"/>
  <c r="I13944" i="1"/>
  <c r="I13943" i="1"/>
  <c r="I13942" i="1"/>
  <c r="I13941" i="1"/>
  <c r="I13940" i="1"/>
  <c r="I13939" i="1"/>
  <c r="I13938" i="1"/>
  <c r="I13937" i="1"/>
  <c r="I13936" i="1"/>
  <c r="I13935" i="1"/>
  <c r="I13934" i="1"/>
  <c r="I13933" i="1"/>
  <c r="I13932" i="1"/>
  <c r="I13931" i="1"/>
  <c r="I13930" i="1"/>
  <c r="I13929" i="1"/>
  <c r="I13928" i="1"/>
  <c r="I13927" i="1"/>
  <c r="I13926" i="1"/>
  <c r="I13925" i="1"/>
  <c r="I13924" i="1"/>
  <c r="I13923" i="1"/>
  <c r="I13922" i="1"/>
  <c r="I13921" i="1"/>
  <c r="I13920" i="1"/>
  <c r="I13919" i="1"/>
  <c r="I13918" i="1"/>
  <c r="I13917" i="1"/>
  <c r="I13916" i="1"/>
  <c r="I13915" i="1"/>
  <c r="I13914" i="1"/>
  <c r="I13913" i="1"/>
  <c r="I13912" i="1"/>
  <c r="I13911" i="1"/>
  <c r="I13910" i="1"/>
  <c r="I13909" i="1"/>
  <c r="I13908" i="1"/>
  <c r="I13907" i="1"/>
  <c r="I13906" i="1"/>
  <c r="I13905" i="1"/>
  <c r="I13904" i="1"/>
  <c r="I13903" i="1"/>
  <c r="I13902" i="1"/>
  <c r="I13901" i="1"/>
  <c r="I13900" i="1"/>
  <c r="I13899" i="1"/>
  <c r="I13898" i="1"/>
  <c r="I13897" i="1"/>
  <c r="I13896" i="1"/>
  <c r="I13895" i="1"/>
  <c r="I13894" i="1"/>
  <c r="I13893" i="1"/>
  <c r="I13892" i="1"/>
  <c r="I13891" i="1"/>
  <c r="I13890" i="1"/>
  <c r="I13889" i="1"/>
  <c r="I13888" i="1"/>
  <c r="I13887" i="1"/>
  <c r="I13886" i="1"/>
  <c r="I13885" i="1"/>
  <c r="I13884" i="1"/>
  <c r="I13883" i="1"/>
  <c r="I13882" i="1"/>
  <c r="I13881" i="1"/>
  <c r="I13880" i="1"/>
  <c r="I13879" i="1"/>
  <c r="I13878" i="1"/>
  <c r="I13877" i="1"/>
  <c r="I13876" i="1"/>
  <c r="I13875" i="1"/>
  <c r="I13874" i="1"/>
  <c r="I13873" i="1"/>
  <c r="I13872" i="1"/>
  <c r="I13871" i="1"/>
  <c r="I13870" i="1"/>
  <c r="I13869" i="1"/>
  <c r="I13868" i="1"/>
  <c r="I13867" i="1"/>
  <c r="I13866" i="1"/>
  <c r="I13865" i="1"/>
  <c r="I13864" i="1"/>
  <c r="I13863" i="1"/>
  <c r="I13862" i="1"/>
  <c r="I13861" i="1"/>
  <c r="I13860" i="1"/>
  <c r="I13859" i="1"/>
  <c r="I13858" i="1"/>
  <c r="I13857" i="1"/>
  <c r="I13856" i="1"/>
  <c r="I13855" i="1"/>
  <c r="I13854" i="1"/>
  <c r="I13853" i="1"/>
  <c r="I13852" i="1"/>
  <c r="I13851" i="1"/>
  <c r="I13850" i="1"/>
  <c r="I13849" i="1"/>
  <c r="I13848" i="1"/>
  <c r="I13847" i="1"/>
  <c r="I13846" i="1"/>
  <c r="I13845" i="1"/>
  <c r="I13844" i="1"/>
  <c r="I13843" i="1"/>
  <c r="I13842" i="1"/>
  <c r="I13841" i="1"/>
  <c r="I13840" i="1"/>
  <c r="I13839" i="1"/>
  <c r="I13838" i="1"/>
  <c r="I13837" i="1"/>
  <c r="I13836" i="1"/>
  <c r="I13835" i="1"/>
  <c r="I13834" i="1"/>
  <c r="I13833" i="1"/>
  <c r="I13832" i="1"/>
  <c r="I13831" i="1"/>
  <c r="I13830" i="1"/>
  <c r="I13829" i="1"/>
  <c r="I13828" i="1"/>
  <c r="I13827" i="1"/>
  <c r="I13826" i="1"/>
  <c r="I13825" i="1"/>
  <c r="I13824" i="1"/>
  <c r="I13823" i="1"/>
  <c r="I13822" i="1"/>
  <c r="I13821" i="1"/>
  <c r="I13820" i="1"/>
  <c r="I13819" i="1"/>
  <c r="I13818" i="1"/>
  <c r="I13817" i="1"/>
  <c r="I13816" i="1"/>
  <c r="I13815" i="1"/>
  <c r="I13814" i="1"/>
  <c r="I13813" i="1"/>
  <c r="I13812" i="1"/>
  <c r="I13811" i="1"/>
  <c r="I13810" i="1"/>
  <c r="I13809" i="1"/>
  <c r="I13808" i="1"/>
  <c r="I13807" i="1"/>
  <c r="I13806" i="1"/>
  <c r="I13805" i="1"/>
  <c r="I13804" i="1"/>
  <c r="I13803" i="1"/>
  <c r="I13802" i="1"/>
  <c r="I13801" i="1"/>
  <c r="I13800" i="1"/>
  <c r="I13799" i="1"/>
  <c r="I13798" i="1"/>
  <c r="I13797" i="1"/>
  <c r="I13796" i="1"/>
  <c r="I13795" i="1"/>
  <c r="I13794" i="1"/>
  <c r="I13793" i="1"/>
  <c r="I13792" i="1"/>
  <c r="I13791" i="1"/>
  <c r="I13790" i="1"/>
  <c r="I13789" i="1"/>
  <c r="I13788" i="1"/>
  <c r="I13787" i="1"/>
  <c r="I13786" i="1"/>
  <c r="I13785" i="1"/>
  <c r="I13784" i="1"/>
  <c r="I13783" i="1"/>
  <c r="I13782" i="1"/>
  <c r="I13781" i="1"/>
  <c r="I13780" i="1"/>
  <c r="I13779" i="1"/>
  <c r="I13778" i="1"/>
  <c r="I13777" i="1"/>
  <c r="I13776" i="1"/>
  <c r="I13775" i="1"/>
  <c r="I13774" i="1"/>
  <c r="I13773" i="1"/>
  <c r="I13772" i="1"/>
  <c r="I13771" i="1"/>
  <c r="I13770" i="1"/>
  <c r="I13769" i="1"/>
  <c r="I13768" i="1"/>
  <c r="I13767" i="1"/>
  <c r="I13766" i="1"/>
  <c r="I13765" i="1"/>
  <c r="I13764" i="1"/>
  <c r="I13763" i="1"/>
  <c r="I13762" i="1"/>
  <c r="I13761" i="1"/>
  <c r="I13760" i="1"/>
  <c r="I13759" i="1"/>
  <c r="I13758" i="1"/>
  <c r="I13757" i="1"/>
  <c r="I13756" i="1"/>
  <c r="I13755" i="1"/>
  <c r="I13754" i="1"/>
  <c r="I13753" i="1"/>
  <c r="I13752" i="1"/>
  <c r="I13751" i="1"/>
  <c r="I13750" i="1"/>
  <c r="I13749" i="1"/>
  <c r="I13748" i="1"/>
  <c r="I13747" i="1"/>
  <c r="I13746" i="1"/>
  <c r="I13745" i="1"/>
  <c r="I13744" i="1"/>
  <c r="I13743" i="1"/>
  <c r="I13742" i="1"/>
  <c r="I13741" i="1"/>
  <c r="I13740" i="1"/>
  <c r="I13739" i="1"/>
  <c r="I13738" i="1"/>
  <c r="I13737" i="1"/>
  <c r="I13736" i="1"/>
  <c r="I13735" i="1"/>
  <c r="I13734" i="1"/>
  <c r="I13733" i="1"/>
  <c r="I13732" i="1"/>
  <c r="I13731" i="1"/>
  <c r="I13730" i="1"/>
  <c r="I13729" i="1"/>
  <c r="I13728" i="1"/>
  <c r="I13727" i="1"/>
  <c r="I13726" i="1"/>
  <c r="I13725" i="1"/>
  <c r="I13724" i="1"/>
  <c r="I13723" i="1"/>
  <c r="I13722" i="1"/>
  <c r="I13721" i="1"/>
  <c r="I13720" i="1"/>
  <c r="I13719" i="1"/>
  <c r="I13718" i="1"/>
  <c r="I13717" i="1"/>
  <c r="I13716" i="1"/>
  <c r="I13715" i="1"/>
  <c r="I13714" i="1"/>
  <c r="I13713" i="1"/>
  <c r="I13712" i="1"/>
  <c r="I13711" i="1"/>
  <c r="I13710" i="1"/>
  <c r="I13709" i="1"/>
  <c r="I13708" i="1"/>
  <c r="I13707" i="1"/>
  <c r="I13706" i="1"/>
  <c r="I13705" i="1"/>
  <c r="I13704" i="1"/>
  <c r="I13703" i="1"/>
  <c r="I13702" i="1"/>
  <c r="I13701" i="1"/>
  <c r="I13700" i="1"/>
  <c r="I13699" i="1"/>
  <c r="I13698" i="1"/>
  <c r="I13697" i="1"/>
  <c r="I13696" i="1"/>
  <c r="I13695" i="1"/>
  <c r="I13694" i="1"/>
  <c r="I13693" i="1"/>
  <c r="I13692" i="1"/>
  <c r="I13691" i="1"/>
  <c r="I13690" i="1"/>
  <c r="I13689" i="1"/>
  <c r="I13688" i="1"/>
  <c r="I13687" i="1"/>
  <c r="I13686" i="1"/>
  <c r="I13685" i="1"/>
  <c r="I13684" i="1"/>
  <c r="I13683" i="1"/>
  <c r="I13682" i="1"/>
  <c r="I13681" i="1"/>
  <c r="I13680" i="1"/>
  <c r="I13679" i="1"/>
  <c r="I13678" i="1"/>
  <c r="I13677" i="1"/>
  <c r="I13676" i="1"/>
  <c r="I13675" i="1"/>
  <c r="I13674" i="1"/>
  <c r="I13673" i="1"/>
  <c r="I13672" i="1"/>
  <c r="I13671" i="1"/>
  <c r="I13670" i="1"/>
  <c r="I13669" i="1"/>
  <c r="I13668" i="1"/>
  <c r="I13667" i="1"/>
  <c r="I13666" i="1"/>
  <c r="I13665" i="1"/>
  <c r="I13664" i="1"/>
  <c r="I13663" i="1"/>
  <c r="I13662" i="1"/>
  <c r="I13661" i="1"/>
  <c r="I13660" i="1"/>
  <c r="I13659" i="1"/>
  <c r="I13658" i="1"/>
  <c r="I13657" i="1"/>
  <c r="I13656" i="1"/>
  <c r="I13655" i="1"/>
  <c r="I13654" i="1"/>
  <c r="I13653" i="1"/>
  <c r="I13652" i="1"/>
  <c r="I13651" i="1"/>
  <c r="I13650" i="1"/>
  <c r="I13649" i="1"/>
  <c r="I13648" i="1"/>
  <c r="I13647" i="1"/>
  <c r="I13646" i="1"/>
  <c r="I13645" i="1"/>
  <c r="I13644" i="1"/>
  <c r="I13643" i="1"/>
  <c r="I13642" i="1"/>
  <c r="I13641" i="1"/>
  <c r="I13640" i="1"/>
  <c r="I13639" i="1"/>
  <c r="I13638" i="1"/>
  <c r="I13637" i="1"/>
  <c r="I13636" i="1"/>
  <c r="I13635" i="1"/>
  <c r="I13634" i="1"/>
  <c r="I13633" i="1"/>
  <c r="I13632" i="1"/>
  <c r="I13631" i="1"/>
  <c r="I13630" i="1"/>
  <c r="I13629" i="1"/>
  <c r="I13628" i="1"/>
  <c r="I13627" i="1"/>
  <c r="I13626" i="1"/>
  <c r="I13625" i="1"/>
  <c r="I13624" i="1"/>
  <c r="I13623" i="1"/>
  <c r="I13622" i="1"/>
  <c r="I13621" i="1"/>
  <c r="I13620" i="1"/>
  <c r="I13619" i="1"/>
  <c r="I13618" i="1"/>
  <c r="I13617" i="1"/>
  <c r="I13616" i="1"/>
  <c r="I13615" i="1"/>
  <c r="I13614" i="1"/>
  <c r="I13613" i="1"/>
  <c r="I13612" i="1"/>
  <c r="I13611" i="1"/>
  <c r="I13610" i="1"/>
  <c r="I13609" i="1"/>
  <c r="I13608" i="1"/>
  <c r="I13607" i="1"/>
  <c r="I13606" i="1"/>
  <c r="I13605" i="1"/>
  <c r="I13604" i="1"/>
  <c r="I13603" i="1"/>
  <c r="I13602" i="1"/>
  <c r="I13601" i="1"/>
  <c r="I13600" i="1"/>
  <c r="I13599" i="1"/>
  <c r="I13598" i="1"/>
  <c r="I13597" i="1"/>
  <c r="I13596" i="1"/>
  <c r="I13595" i="1"/>
  <c r="I13594" i="1"/>
  <c r="I13593" i="1"/>
  <c r="I13592" i="1"/>
  <c r="I13591" i="1"/>
  <c r="I13590" i="1"/>
  <c r="I13589" i="1"/>
  <c r="I13588" i="1"/>
  <c r="I13587" i="1"/>
  <c r="I13586" i="1"/>
  <c r="I13585" i="1"/>
  <c r="I13584" i="1"/>
  <c r="I13583" i="1"/>
  <c r="I13582" i="1"/>
  <c r="I13581" i="1"/>
  <c r="I13580" i="1"/>
  <c r="I13579" i="1"/>
  <c r="I13578" i="1"/>
  <c r="I13577" i="1"/>
  <c r="I13576" i="1"/>
  <c r="I13575" i="1"/>
  <c r="I13574" i="1"/>
  <c r="I13573" i="1"/>
  <c r="I13572" i="1"/>
  <c r="I13571" i="1"/>
  <c r="I13570" i="1"/>
  <c r="I13569" i="1"/>
  <c r="I13568" i="1"/>
  <c r="I13567" i="1"/>
  <c r="I13566" i="1"/>
  <c r="I13565" i="1"/>
  <c r="I13564" i="1"/>
  <c r="I13563" i="1"/>
  <c r="I13562" i="1"/>
  <c r="I13561" i="1"/>
  <c r="I13560" i="1"/>
  <c r="I13559" i="1"/>
  <c r="I13558" i="1"/>
  <c r="I13557" i="1"/>
  <c r="I13556" i="1"/>
  <c r="I13555" i="1"/>
  <c r="I13554" i="1"/>
  <c r="I13553" i="1"/>
  <c r="I13552" i="1"/>
  <c r="I13551" i="1"/>
  <c r="I13550" i="1"/>
  <c r="I13549" i="1"/>
  <c r="I13548" i="1"/>
  <c r="I13547" i="1"/>
  <c r="I13546" i="1"/>
  <c r="I13545" i="1"/>
  <c r="I13544" i="1"/>
  <c r="I13543" i="1"/>
  <c r="I13542" i="1"/>
  <c r="I13541" i="1"/>
  <c r="I13540" i="1"/>
  <c r="I13539" i="1"/>
  <c r="I13538" i="1"/>
  <c r="I13537" i="1"/>
  <c r="I13536" i="1"/>
  <c r="I13535" i="1"/>
  <c r="I13534" i="1"/>
  <c r="I13533" i="1"/>
  <c r="I13532" i="1"/>
  <c r="I13531" i="1"/>
  <c r="I13530" i="1"/>
  <c r="I13529" i="1"/>
  <c r="I13528" i="1"/>
  <c r="I13527" i="1"/>
  <c r="I13526" i="1"/>
  <c r="I13525" i="1"/>
  <c r="I13524" i="1"/>
  <c r="I13523" i="1"/>
  <c r="I13522" i="1"/>
  <c r="I13521" i="1"/>
  <c r="I13520" i="1"/>
  <c r="I13519" i="1"/>
  <c r="I13518" i="1"/>
  <c r="I13517" i="1"/>
  <c r="I13516" i="1"/>
  <c r="I13515" i="1"/>
  <c r="I13514" i="1"/>
  <c r="I13513" i="1"/>
  <c r="I13512" i="1"/>
  <c r="I13511" i="1"/>
  <c r="I13510" i="1"/>
  <c r="I13509" i="1"/>
  <c r="I13508" i="1"/>
  <c r="I13507" i="1"/>
  <c r="I13506" i="1"/>
  <c r="I13505" i="1"/>
  <c r="I13504" i="1"/>
  <c r="I13503" i="1"/>
  <c r="I13502" i="1"/>
  <c r="I13501" i="1"/>
  <c r="I13500" i="1"/>
  <c r="I13499" i="1"/>
  <c r="I13498" i="1"/>
  <c r="I13497" i="1"/>
  <c r="I13496" i="1"/>
  <c r="I13495" i="1"/>
  <c r="I13494" i="1"/>
  <c r="I13493" i="1"/>
  <c r="I13492" i="1"/>
  <c r="I13491" i="1"/>
  <c r="I13490" i="1"/>
  <c r="I13489" i="1"/>
  <c r="I13488" i="1"/>
  <c r="I13487" i="1"/>
  <c r="I13486" i="1"/>
  <c r="I13485" i="1"/>
  <c r="I13484" i="1"/>
  <c r="I13483" i="1"/>
  <c r="I13482" i="1"/>
  <c r="I13481" i="1"/>
  <c r="I13480" i="1"/>
  <c r="I13479" i="1"/>
  <c r="I13478" i="1"/>
  <c r="I13477" i="1"/>
  <c r="I13476" i="1"/>
  <c r="I13475" i="1"/>
  <c r="I13474" i="1"/>
  <c r="I13473" i="1"/>
  <c r="I13472" i="1"/>
  <c r="I13471" i="1"/>
  <c r="I13470" i="1"/>
  <c r="I13469" i="1"/>
  <c r="I13468" i="1"/>
  <c r="I13467" i="1"/>
  <c r="I13466" i="1"/>
  <c r="I13465" i="1"/>
  <c r="I13464" i="1"/>
  <c r="I13463" i="1"/>
  <c r="I13462" i="1"/>
  <c r="I13461" i="1"/>
  <c r="I13460" i="1"/>
  <c r="I13459" i="1"/>
  <c r="I13458" i="1"/>
  <c r="I13457" i="1"/>
  <c r="I13456" i="1"/>
  <c r="I13455" i="1"/>
  <c r="I13454" i="1"/>
  <c r="I13453" i="1"/>
  <c r="I13452" i="1"/>
  <c r="I13451" i="1"/>
  <c r="I13450" i="1"/>
  <c r="I13449" i="1"/>
  <c r="I13448" i="1"/>
  <c r="I13447" i="1"/>
  <c r="I13446" i="1"/>
  <c r="I13445" i="1"/>
  <c r="I13444" i="1"/>
  <c r="I13443" i="1"/>
  <c r="I13442" i="1"/>
  <c r="I13441" i="1"/>
  <c r="I13440" i="1"/>
  <c r="I13439" i="1"/>
  <c r="I13438" i="1"/>
  <c r="I13437" i="1"/>
  <c r="I13436" i="1"/>
  <c r="I13435" i="1"/>
  <c r="I13434" i="1"/>
  <c r="I13433" i="1"/>
  <c r="I13432" i="1"/>
  <c r="I13431" i="1"/>
  <c r="I13430" i="1"/>
  <c r="I13429" i="1"/>
  <c r="I13428" i="1"/>
  <c r="I13427" i="1"/>
  <c r="I13426" i="1"/>
  <c r="I13425" i="1"/>
  <c r="I13424" i="1"/>
  <c r="I13423" i="1"/>
  <c r="I13422" i="1"/>
  <c r="I13421" i="1"/>
  <c r="I13420" i="1"/>
  <c r="I13419" i="1"/>
  <c r="I13418" i="1"/>
  <c r="I13417" i="1"/>
  <c r="I13416" i="1"/>
  <c r="I13415" i="1"/>
  <c r="I13414" i="1"/>
  <c r="I13413" i="1"/>
  <c r="I13412" i="1"/>
  <c r="I13411" i="1"/>
  <c r="I13410" i="1"/>
  <c r="I13409" i="1"/>
  <c r="I13408" i="1"/>
  <c r="I13407" i="1"/>
  <c r="I13406" i="1"/>
  <c r="I13405" i="1"/>
  <c r="I13404" i="1"/>
  <c r="I13403" i="1"/>
  <c r="I13402" i="1"/>
  <c r="I13401" i="1"/>
  <c r="I13400" i="1"/>
  <c r="I13399" i="1"/>
  <c r="I13398" i="1"/>
  <c r="I13397" i="1"/>
  <c r="I13396" i="1"/>
  <c r="I13395" i="1"/>
  <c r="I13394" i="1"/>
  <c r="I13393" i="1"/>
  <c r="I13392" i="1"/>
  <c r="I13391" i="1"/>
  <c r="I13390" i="1"/>
  <c r="I13389" i="1"/>
  <c r="I13388" i="1"/>
  <c r="I13387" i="1"/>
  <c r="I13386" i="1"/>
  <c r="I13385" i="1"/>
  <c r="I13384" i="1"/>
  <c r="I13383" i="1"/>
  <c r="I13382" i="1"/>
  <c r="I13381" i="1"/>
  <c r="I13380" i="1"/>
  <c r="I13379" i="1"/>
  <c r="I13378" i="1"/>
  <c r="I13377" i="1"/>
  <c r="I13376" i="1"/>
  <c r="I13375" i="1"/>
  <c r="I13374" i="1"/>
  <c r="I13373" i="1"/>
  <c r="I13372" i="1"/>
  <c r="I13371" i="1"/>
  <c r="I13370" i="1"/>
  <c r="I13369" i="1"/>
  <c r="I13368" i="1"/>
  <c r="I13367" i="1"/>
  <c r="I13366" i="1"/>
  <c r="I13365" i="1"/>
  <c r="I13364" i="1"/>
  <c r="I13363" i="1"/>
  <c r="I13362" i="1"/>
  <c r="I13361" i="1"/>
  <c r="I13360" i="1"/>
  <c r="I13359" i="1"/>
  <c r="I13358" i="1"/>
  <c r="I13357" i="1"/>
  <c r="I13356" i="1"/>
  <c r="I13355" i="1"/>
  <c r="I13354" i="1"/>
  <c r="I13353" i="1"/>
  <c r="I13352" i="1"/>
  <c r="I13351" i="1"/>
  <c r="I13350" i="1"/>
  <c r="I13349" i="1"/>
  <c r="I13348" i="1"/>
  <c r="I13347" i="1"/>
  <c r="I13346" i="1"/>
  <c r="I13345" i="1"/>
  <c r="I13344" i="1"/>
  <c r="I13343" i="1"/>
  <c r="I13342" i="1"/>
  <c r="I13341" i="1"/>
  <c r="I13340" i="1"/>
  <c r="I13339" i="1"/>
  <c r="I13338" i="1"/>
  <c r="I13337" i="1"/>
  <c r="I13336" i="1"/>
  <c r="I13335" i="1"/>
  <c r="I13334" i="1"/>
  <c r="I13333" i="1"/>
  <c r="I13332" i="1"/>
  <c r="I13331" i="1"/>
  <c r="I13330" i="1"/>
  <c r="I13329" i="1"/>
  <c r="I13328" i="1"/>
  <c r="I13327" i="1"/>
  <c r="I13326" i="1"/>
  <c r="I13325" i="1"/>
  <c r="I13324" i="1"/>
  <c r="I13323" i="1"/>
  <c r="I13322" i="1"/>
  <c r="I13321" i="1"/>
  <c r="I13320" i="1"/>
  <c r="I13319" i="1"/>
  <c r="I13318" i="1"/>
  <c r="I13317" i="1"/>
  <c r="I13316" i="1"/>
  <c r="I13315" i="1"/>
  <c r="I13314" i="1"/>
  <c r="I13313" i="1"/>
  <c r="I13312" i="1"/>
  <c r="I13311" i="1"/>
  <c r="I13310" i="1"/>
  <c r="I13309" i="1"/>
  <c r="I13308" i="1"/>
  <c r="I13307" i="1"/>
  <c r="I13306" i="1"/>
  <c r="I13305" i="1"/>
  <c r="I13304" i="1"/>
  <c r="I13303" i="1"/>
  <c r="I13302" i="1"/>
  <c r="I13301" i="1"/>
  <c r="I13300" i="1"/>
  <c r="I13299" i="1"/>
  <c r="I13298" i="1"/>
  <c r="I13297" i="1"/>
  <c r="I13296" i="1"/>
  <c r="I13295" i="1"/>
  <c r="I13294" i="1"/>
  <c r="I13293" i="1"/>
  <c r="I13292" i="1"/>
  <c r="I13291" i="1"/>
  <c r="I13290" i="1"/>
  <c r="I13289" i="1"/>
  <c r="I13288" i="1"/>
  <c r="I13287" i="1"/>
  <c r="I13286" i="1"/>
  <c r="I13285" i="1"/>
  <c r="I13284" i="1"/>
  <c r="I13283" i="1"/>
  <c r="I13282" i="1"/>
  <c r="I13281" i="1"/>
  <c r="I13280" i="1"/>
  <c r="I13279" i="1"/>
  <c r="I13278" i="1"/>
  <c r="I13277" i="1"/>
  <c r="I13276" i="1"/>
  <c r="I13275" i="1"/>
  <c r="I13274" i="1"/>
  <c r="I13273" i="1"/>
  <c r="I13272" i="1"/>
  <c r="I13271" i="1"/>
  <c r="I13270" i="1"/>
  <c r="I13269" i="1"/>
  <c r="I13268" i="1"/>
  <c r="I13267" i="1"/>
  <c r="I13266" i="1"/>
  <c r="I13265" i="1"/>
  <c r="I13264" i="1"/>
  <c r="I13263" i="1"/>
  <c r="I13262" i="1"/>
  <c r="I13261" i="1"/>
  <c r="I13260" i="1"/>
  <c r="I13259" i="1"/>
  <c r="I13258" i="1"/>
  <c r="I13257" i="1"/>
  <c r="I13256" i="1"/>
  <c r="I13255" i="1"/>
  <c r="I13254" i="1"/>
  <c r="I13253" i="1"/>
  <c r="I13252" i="1"/>
  <c r="I13251" i="1"/>
  <c r="I13250" i="1"/>
  <c r="I13249" i="1"/>
  <c r="I13248" i="1"/>
  <c r="I13247" i="1"/>
  <c r="I13246" i="1"/>
  <c r="I13245" i="1"/>
  <c r="I13244" i="1"/>
  <c r="I13243" i="1"/>
  <c r="I13242" i="1"/>
  <c r="I13241" i="1"/>
  <c r="I13240" i="1"/>
  <c r="I13239" i="1"/>
  <c r="I13238" i="1"/>
  <c r="I13237" i="1"/>
  <c r="I13236" i="1"/>
  <c r="I13235" i="1"/>
  <c r="I13234" i="1"/>
  <c r="I13233" i="1"/>
  <c r="I13232" i="1"/>
  <c r="I13231" i="1"/>
  <c r="I13230" i="1"/>
  <c r="I13229" i="1"/>
  <c r="I13228" i="1"/>
  <c r="I13227" i="1"/>
  <c r="I13226" i="1"/>
  <c r="I13225" i="1"/>
  <c r="I13224" i="1"/>
  <c r="I13223" i="1"/>
  <c r="I13222" i="1"/>
  <c r="I13221" i="1"/>
  <c r="I13220" i="1"/>
  <c r="I13219" i="1"/>
  <c r="I13218" i="1"/>
  <c r="I13217" i="1"/>
  <c r="I13216" i="1"/>
  <c r="I13215" i="1"/>
  <c r="I13214" i="1"/>
  <c r="I13213" i="1"/>
  <c r="I13212" i="1"/>
  <c r="I13211" i="1"/>
  <c r="I13210" i="1"/>
  <c r="I13209" i="1"/>
  <c r="I13208" i="1"/>
  <c r="I13207" i="1"/>
  <c r="I13206" i="1"/>
  <c r="I13205" i="1"/>
  <c r="I13204" i="1"/>
  <c r="I13203" i="1"/>
  <c r="I13202" i="1"/>
  <c r="I13201" i="1"/>
  <c r="I13200" i="1"/>
  <c r="I13199" i="1"/>
  <c r="I13198" i="1"/>
  <c r="I13197" i="1"/>
  <c r="I13196" i="1"/>
  <c r="I13195" i="1"/>
  <c r="I13194" i="1"/>
  <c r="I13193" i="1"/>
  <c r="I13192" i="1"/>
  <c r="I13191" i="1"/>
  <c r="I13190" i="1"/>
  <c r="I13189" i="1"/>
  <c r="I13188" i="1"/>
  <c r="I13187" i="1"/>
  <c r="I13186" i="1"/>
  <c r="I13185" i="1"/>
  <c r="I13184" i="1"/>
  <c r="I13183" i="1"/>
  <c r="I13182" i="1"/>
  <c r="I13181" i="1"/>
  <c r="I13180" i="1"/>
  <c r="I13179" i="1"/>
  <c r="I13178" i="1"/>
  <c r="I13177" i="1"/>
  <c r="I13176" i="1"/>
  <c r="I13175" i="1"/>
  <c r="I13174" i="1"/>
  <c r="I13173" i="1"/>
  <c r="I13172" i="1"/>
  <c r="I13171" i="1"/>
  <c r="I13170" i="1"/>
  <c r="I13169" i="1"/>
  <c r="I13168" i="1"/>
  <c r="I13167" i="1"/>
  <c r="I13166" i="1"/>
  <c r="I13165" i="1"/>
  <c r="I13164" i="1"/>
  <c r="I13163" i="1"/>
  <c r="I13162" i="1"/>
  <c r="I13161" i="1"/>
  <c r="I13160" i="1"/>
  <c r="I13159" i="1"/>
  <c r="I13158" i="1"/>
  <c r="I13157" i="1"/>
  <c r="I13156" i="1"/>
  <c r="I13155" i="1"/>
  <c r="I13154" i="1"/>
  <c r="I13153" i="1"/>
  <c r="I13152" i="1"/>
  <c r="I13151" i="1"/>
  <c r="I13150" i="1"/>
  <c r="I13149" i="1"/>
  <c r="I13148" i="1"/>
  <c r="I13147" i="1"/>
  <c r="I13146" i="1"/>
  <c r="I13145" i="1"/>
  <c r="I13144" i="1"/>
  <c r="I13143" i="1"/>
  <c r="I13142" i="1"/>
  <c r="I13141" i="1"/>
  <c r="I13140" i="1"/>
  <c r="I13139" i="1"/>
  <c r="I13138" i="1"/>
  <c r="I13137" i="1"/>
  <c r="I13136" i="1"/>
  <c r="I13135" i="1"/>
  <c r="I13134" i="1"/>
  <c r="I13133" i="1"/>
  <c r="I13132" i="1"/>
  <c r="I13131" i="1"/>
  <c r="I13130" i="1"/>
  <c r="I13129" i="1"/>
  <c r="I13128" i="1"/>
  <c r="I13127" i="1"/>
  <c r="I13126" i="1"/>
  <c r="I13125" i="1"/>
  <c r="I13124" i="1"/>
  <c r="I13123" i="1"/>
  <c r="I13122" i="1"/>
  <c r="I13121" i="1"/>
  <c r="I13120" i="1"/>
  <c r="I13119" i="1"/>
  <c r="I13118" i="1"/>
  <c r="I13117" i="1"/>
  <c r="I13116" i="1"/>
  <c r="I13115" i="1"/>
  <c r="I13114" i="1"/>
  <c r="I13113" i="1"/>
  <c r="I13112" i="1"/>
  <c r="I13111" i="1"/>
  <c r="I13110" i="1"/>
  <c r="I13109" i="1"/>
  <c r="I13108" i="1"/>
  <c r="I13107" i="1"/>
  <c r="I13106" i="1"/>
  <c r="I13105" i="1"/>
  <c r="I13104" i="1"/>
  <c r="I13103" i="1"/>
  <c r="I13102" i="1"/>
  <c r="I13101" i="1"/>
  <c r="I13100" i="1"/>
  <c r="I13099" i="1"/>
  <c r="I13098" i="1"/>
  <c r="I13097" i="1"/>
  <c r="I13096" i="1"/>
  <c r="I13095" i="1"/>
  <c r="I13094" i="1"/>
  <c r="I13093" i="1"/>
  <c r="I13092" i="1"/>
  <c r="I13091" i="1"/>
  <c r="I13090" i="1"/>
  <c r="I13089" i="1"/>
  <c r="I13088" i="1"/>
  <c r="I13087" i="1"/>
  <c r="I13086" i="1"/>
  <c r="I13085" i="1"/>
  <c r="I13084" i="1"/>
  <c r="I13083" i="1"/>
  <c r="I13082" i="1"/>
  <c r="I13081" i="1"/>
  <c r="I13080" i="1"/>
  <c r="I13079" i="1"/>
  <c r="I13078" i="1"/>
  <c r="I13077" i="1"/>
  <c r="I13076" i="1"/>
  <c r="I13075" i="1"/>
  <c r="I13074" i="1"/>
  <c r="I13073" i="1"/>
  <c r="I13072" i="1"/>
  <c r="I13071" i="1"/>
  <c r="I13070" i="1"/>
  <c r="I13069" i="1"/>
  <c r="I13068" i="1"/>
  <c r="I13067" i="1"/>
  <c r="I13066" i="1"/>
  <c r="I13065" i="1"/>
  <c r="I13064" i="1"/>
  <c r="I13063" i="1"/>
  <c r="I13062" i="1"/>
  <c r="I13061" i="1"/>
  <c r="I13060" i="1"/>
  <c r="I13059" i="1"/>
  <c r="I13058" i="1"/>
  <c r="I13057" i="1"/>
  <c r="I13056" i="1"/>
  <c r="I13055" i="1"/>
  <c r="I13054" i="1"/>
  <c r="I13053" i="1"/>
  <c r="I13052" i="1"/>
  <c r="I13051" i="1"/>
  <c r="I13050" i="1"/>
  <c r="I13049" i="1"/>
  <c r="I13048" i="1"/>
  <c r="I13047" i="1"/>
  <c r="I13046" i="1"/>
  <c r="I13045" i="1"/>
  <c r="I13044" i="1"/>
  <c r="I13043" i="1"/>
  <c r="I13042" i="1"/>
  <c r="I13041" i="1"/>
  <c r="I13040" i="1"/>
  <c r="I13039" i="1"/>
  <c r="I13038" i="1"/>
  <c r="I13037" i="1"/>
  <c r="I13036" i="1"/>
  <c r="I13035" i="1"/>
  <c r="I13034" i="1"/>
  <c r="I13033" i="1"/>
  <c r="I13032" i="1"/>
  <c r="I13031" i="1"/>
  <c r="I13030" i="1"/>
  <c r="I13029" i="1"/>
  <c r="I13028" i="1"/>
  <c r="I13027" i="1"/>
  <c r="I13026" i="1"/>
  <c r="I13025" i="1"/>
  <c r="I13024" i="1"/>
  <c r="I13023" i="1"/>
  <c r="I13022" i="1"/>
  <c r="I13021" i="1"/>
  <c r="I13020" i="1"/>
  <c r="I13019" i="1"/>
  <c r="I13018" i="1"/>
  <c r="I13017" i="1"/>
  <c r="I13016" i="1"/>
  <c r="I13015" i="1"/>
  <c r="I13014" i="1"/>
  <c r="I13013" i="1"/>
  <c r="I13012" i="1"/>
  <c r="I13011" i="1"/>
  <c r="I13010" i="1"/>
  <c r="I13009" i="1"/>
  <c r="I13008" i="1"/>
  <c r="I13007" i="1"/>
  <c r="I13006" i="1"/>
  <c r="I13005" i="1"/>
  <c r="I13004" i="1"/>
  <c r="I13003" i="1"/>
  <c r="I13002" i="1"/>
  <c r="I13001" i="1"/>
  <c r="I13000" i="1"/>
  <c r="I12999" i="1"/>
  <c r="I12998" i="1"/>
  <c r="I12997" i="1"/>
  <c r="I12996" i="1"/>
  <c r="I12995" i="1"/>
  <c r="I12994" i="1"/>
  <c r="I12993" i="1"/>
  <c r="I12992" i="1"/>
  <c r="I12991" i="1"/>
  <c r="I12990" i="1"/>
  <c r="I12989" i="1"/>
  <c r="I12988" i="1"/>
  <c r="I12987" i="1"/>
  <c r="I12986" i="1"/>
  <c r="I12985" i="1"/>
  <c r="I12984" i="1"/>
  <c r="I12983" i="1"/>
  <c r="I12982" i="1"/>
  <c r="I12981" i="1"/>
  <c r="I12980" i="1"/>
  <c r="I12979" i="1"/>
  <c r="I12978" i="1"/>
  <c r="I12977" i="1"/>
  <c r="I12976" i="1"/>
  <c r="I12975" i="1"/>
  <c r="I12974" i="1"/>
  <c r="I12973" i="1"/>
  <c r="I12972" i="1"/>
  <c r="I12971" i="1"/>
  <c r="I12970" i="1"/>
  <c r="I12969" i="1"/>
  <c r="I12968" i="1"/>
  <c r="I12967" i="1"/>
  <c r="I12966" i="1"/>
  <c r="I12965" i="1"/>
  <c r="I12964" i="1"/>
  <c r="I12963" i="1"/>
  <c r="I12962" i="1"/>
  <c r="I12961" i="1"/>
  <c r="I12960" i="1"/>
  <c r="I12959" i="1"/>
  <c r="I12958" i="1"/>
  <c r="I12957" i="1"/>
  <c r="I12956" i="1"/>
  <c r="I12955" i="1"/>
  <c r="I12954" i="1"/>
  <c r="I12953" i="1"/>
  <c r="I12952" i="1"/>
  <c r="I12951" i="1"/>
  <c r="I12950" i="1"/>
  <c r="I12949" i="1"/>
  <c r="I12948" i="1"/>
  <c r="I12947" i="1"/>
  <c r="I12946" i="1"/>
  <c r="I12945" i="1"/>
  <c r="I12944" i="1"/>
  <c r="I12943" i="1"/>
  <c r="I12942" i="1"/>
  <c r="I12941" i="1"/>
  <c r="I12940" i="1"/>
  <c r="I12939" i="1"/>
  <c r="I12938" i="1"/>
  <c r="I12937" i="1"/>
  <c r="I12936" i="1"/>
  <c r="I12935" i="1"/>
  <c r="I12934" i="1"/>
  <c r="I12933" i="1"/>
  <c r="I12932" i="1"/>
  <c r="I12931" i="1"/>
  <c r="I12930" i="1"/>
  <c r="I12929" i="1"/>
  <c r="I12928" i="1"/>
  <c r="I12927" i="1"/>
  <c r="I12926" i="1"/>
  <c r="I12925" i="1"/>
  <c r="I12924" i="1"/>
  <c r="I12923" i="1"/>
  <c r="I12922" i="1"/>
  <c r="I12921" i="1"/>
  <c r="I12920" i="1"/>
  <c r="I12919" i="1"/>
  <c r="I12918" i="1"/>
  <c r="I12917" i="1"/>
  <c r="I12916" i="1"/>
  <c r="I12915" i="1"/>
  <c r="I12914" i="1"/>
  <c r="I12913" i="1"/>
  <c r="I12912" i="1"/>
  <c r="I12911" i="1"/>
  <c r="I12910" i="1"/>
  <c r="I12909" i="1"/>
  <c r="I12908" i="1"/>
  <c r="I12907" i="1"/>
  <c r="I12906" i="1"/>
  <c r="I12905" i="1"/>
  <c r="I12904" i="1"/>
  <c r="I12903" i="1"/>
  <c r="I12902" i="1"/>
  <c r="I12901" i="1"/>
  <c r="I12900" i="1"/>
  <c r="I12899" i="1"/>
  <c r="I12898" i="1"/>
  <c r="I12897" i="1"/>
  <c r="I12896" i="1"/>
  <c r="I12895" i="1"/>
  <c r="I12894" i="1"/>
  <c r="I12893" i="1"/>
  <c r="I12892" i="1"/>
  <c r="I12891" i="1"/>
  <c r="I12890" i="1"/>
  <c r="I12889" i="1"/>
  <c r="I12888" i="1"/>
  <c r="I12887" i="1"/>
  <c r="I12886" i="1"/>
  <c r="I12885" i="1"/>
  <c r="I12884" i="1"/>
  <c r="I12883" i="1"/>
  <c r="I12882" i="1"/>
  <c r="I12881" i="1"/>
  <c r="I12880" i="1"/>
  <c r="I12879" i="1"/>
  <c r="I12878" i="1"/>
  <c r="I12877" i="1"/>
  <c r="I12876" i="1"/>
  <c r="I12875" i="1"/>
  <c r="I12874" i="1"/>
  <c r="I12873" i="1"/>
  <c r="I12872" i="1"/>
  <c r="I12871" i="1"/>
  <c r="I12870" i="1"/>
  <c r="I12869" i="1"/>
  <c r="I12868" i="1"/>
  <c r="I12867" i="1"/>
  <c r="I12866" i="1"/>
  <c r="I12865" i="1"/>
  <c r="I12864" i="1"/>
  <c r="I12863" i="1"/>
  <c r="I12862" i="1"/>
  <c r="I12861" i="1"/>
  <c r="I12860" i="1"/>
  <c r="I12859" i="1"/>
  <c r="I12858" i="1"/>
  <c r="I12857" i="1"/>
  <c r="I12856" i="1"/>
  <c r="I12855" i="1"/>
  <c r="I12854" i="1"/>
  <c r="I12853" i="1"/>
  <c r="I12852" i="1"/>
  <c r="I12851" i="1"/>
  <c r="I12850" i="1"/>
  <c r="I12849" i="1"/>
  <c r="I12848" i="1"/>
  <c r="I12847" i="1"/>
  <c r="I12846" i="1"/>
  <c r="I12845" i="1"/>
  <c r="I12844" i="1"/>
  <c r="I12843" i="1"/>
  <c r="I12842" i="1"/>
  <c r="I12841" i="1"/>
  <c r="I12840" i="1"/>
  <c r="I12839" i="1"/>
  <c r="I12838" i="1"/>
  <c r="I12837" i="1"/>
  <c r="I12836" i="1"/>
  <c r="I12835" i="1"/>
  <c r="I12834" i="1"/>
  <c r="I12833" i="1"/>
  <c r="I12832" i="1"/>
  <c r="I12831" i="1"/>
  <c r="I12830" i="1"/>
  <c r="I12829" i="1"/>
  <c r="I12828" i="1"/>
  <c r="I12827" i="1"/>
  <c r="I12826" i="1"/>
  <c r="I12825" i="1"/>
  <c r="I12824" i="1"/>
  <c r="I12823" i="1"/>
  <c r="I12822" i="1"/>
  <c r="I12821" i="1"/>
  <c r="I12820" i="1"/>
  <c r="I12819" i="1"/>
  <c r="I12818" i="1"/>
  <c r="I12817" i="1"/>
  <c r="I12816" i="1"/>
  <c r="I12815" i="1"/>
  <c r="I12814" i="1"/>
  <c r="I12813" i="1"/>
  <c r="I12812" i="1"/>
  <c r="I12811" i="1"/>
  <c r="I12810" i="1"/>
  <c r="I12809" i="1"/>
  <c r="I12808" i="1"/>
  <c r="I12807" i="1"/>
  <c r="I12806" i="1"/>
  <c r="I12805" i="1"/>
  <c r="I12804" i="1"/>
  <c r="I12803" i="1"/>
  <c r="I12802" i="1"/>
  <c r="I12801" i="1"/>
  <c r="I12800" i="1"/>
  <c r="I12799" i="1"/>
  <c r="I12798" i="1"/>
  <c r="I12797" i="1"/>
  <c r="I12796" i="1"/>
  <c r="I12795" i="1"/>
  <c r="I12794" i="1"/>
  <c r="I12793" i="1"/>
  <c r="I12792" i="1"/>
  <c r="I12791" i="1"/>
  <c r="I12790" i="1"/>
  <c r="I12789" i="1"/>
  <c r="I12788" i="1"/>
  <c r="I12787" i="1"/>
  <c r="I12786" i="1"/>
  <c r="I12785" i="1"/>
  <c r="I12784" i="1"/>
  <c r="I12783" i="1"/>
  <c r="I12782" i="1"/>
  <c r="I12781" i="1"/>
  <c r="I12780" i="1"/>
  <c r="I12779" i="1"/>
  <c r="I12778" i="1"/>
  <c r="I12777" i="1"/>
  <c r="I12776" i="1"/>
  <c r="I12775" i="1"/>
  <c r="I12774" i="1"/>
  <c r="I12773" i="1"/>
  <c r="I12772" i="1"/>
  <c r="I12771" i="1"/>
  <c r="I12770" i="1"/>
  <c r="I12769" i="1"/>
  <c r="I12768" i="1"/>
  <c r="I12767" i="1"/>
  <c r="I12766" i="1"/>
  <c r="I12765" i="1"/>
  <c r="I12764" i="1"/>
  <c r="I12763" i="1"/>
  <c r="I12762" i="1"/>
  <c r="I12761" i="1"/>
  <c r="I12760" i="1"/>
  <c r="I12759" i="1"/>
  <c r="I12758" i="1"/>
  <c r="I12757" i="1"/>
  <c r="I12756" i="1"/>
  <c r="I12755" i="1"/>
  <c r="I12754" i="1"/>
  <c r="I12753" i="1"/>
  <c r="I12752" i="1"/>
  <c r="I12751" i="1"/>
  <c r="I12750" i="1"/>
  <c r="I12749" i="1"/>
  <c r="I12748" i="1"/>
  <c r="I12747" i="1"/>
  <c r="I12746" i="1"/>
  <c r="I12745" i="1"/>
  <c r="I12744" i="1"/>
  <c r="I12743" i="1"/>
  <c r="I12742" i="1"/>
  <c r="I12741" i="1"/>
  <c r="I12740" i="1"/>
  <c r="I12739" i="1"/>
  <c r="I12738" i="1"/>
  <c r="I12737" i="1"/>
  <c r="I12736" i="1"/>
  <c r="I12735" i="1"/>
  <c r="I12734" i="1"/>
  <c r="I12733" i="1"/>
  <c r="I12732" i="1"/>
  <c r="I12731" i="1"/>
  <c r="I12730" i="1"/>
  <c r="I12729" i="1"/>
  <c r="I12728" i="1"/>
  <c r="I12727" i="1"/>
  <c r="I12726" i="1"/>
  <c r="I12725" i="1"/>
  <c r="I12724" i="1"/>
  <c r="I12723" i="1"/>
  <c r="I12722" i="1"/>
  <c r="I12721" i="1"/>
  <c r="I12720" i="1"/>
  <c r="I12719" i="1"/>
  <c r="I12718" i="1"/>
  <c r="I12717" i="1"/>
  <c r="I12716" i="1"/>
  <c r="I12715" i="1"/>
  <c r="I12714" i="1"/>
  <c r="I12713" i="1"/>
  <c r="I12712" i="1"/>
  <c r="I12711" i="1"/>
  <c r="I12710" i="1"/>
  <c r="I12709" i="1"/>
  <c r="I12708" i="1"/>
  <c r="I12707" i="1"/>
  <c r="I12706" i="1"/>
  <c r="I12705" i="1"/>
  <c r="I12704" i="1"/>
  <c r="I12703" i="1"/>
  <c r="I12702" i="1"/>
  <c r="I12701" i="1"/>
  <c r="I12700" i="1"/>
  <c r="I12699" i="1"/>
  <c r="I12698" i="1"/>
  <c r="I12697" i="1"/>
  <c r="I12696" i="1"/>
  <c r="I12695" i="1"/>
  <c r="I12694" i="1"/>
  <c r="I12693" i="1"/>
  <c r="I12692" i="1"/>
  <c r="I12691" i="1"/>
  <c r="I12690" i="1"/>
  <c r="I12689" i="1"/>
  <c r="I12688" i="1"/>
  <c r="I12687" i="1"/>
  <c r="I12686" i="1"/>
  <c r="I12685" i="1"/>
  <c r="I12684" i="1"/>
  <c r="I12683" i="1"/>
  <c r="I12682" i="1"/>
  <c r="I12681" i="1"/>
  <c r="I12680" i="1"/>
  <c r="I12679" i="1"/>
  <c r="I12678" i="1"/>
  <c r="I12677" i="1"/>
  <c r="I12676" i="1"/>
  <c r="I12675" i="1"/>
  <c r="I12674" i="1"/>
  <c r="I12673" i="1"/>
  <c r="I12672" i="1"/>
  <c r="I12671" i="1"/>
  <c r="I12670" i="1"/>
  <c r="I12669" i="1"/>
  <c r="I12668" i="1"/>
  <c r="I12667" i="1"/>
  <c r="I12666" i="1"/>
  <c r="I12665" i="1"/>
  <c r="I12664" i="1"/>
  <c r="I12663" i="1"/>
  <c r="I12662" i="1"/>
  <c r="I12661" i="1"/>
  <c r="I12660" i="1"/>
  <c r="I12659" i="1"/>
  <c r="I12658" i="1"/>
  <c r="I12657" i="1"/>
  <c r="I12656" i="1"/>
  <c r="I12655" i="1"/>
  <c r="I12654" i="1"/>
  <c r="I12653" i="1"/>
  <c r="I12652" i="1"/>
  <c r="I12651" i="1"/>
  <c r="I12650" i="1"/>
  <c r="I12649" i="1"/>
  <c r="I12648" i="1"/>
  <c r="I12647" i="1"/>
  <c r="I12646" i="1"/>
  <c r="I12645" i="1"/>
  <c r="I12644" i="1"/>
  <c r="I12643" i="1"/>
  <c r="I12642" i="1"/>
  <c r="I12641" i="1"/>
  <c r="I12640" i="1"/>
  <c r="I12639" i="1"/>
  <c r="I12638" i="1"/>
  <c r="I12637" i="1"/>
  <c r="I12636" i="1"/>
  <c r="I12635" i="1"/>
  <c r="I12634" i="1"/>
  <c r="I12633" i="1"/>
  <c r="I12632" i="1"/>
  <c r="I12631" i="1"/>
  <c r="I12630" i="1"/>
  <c r="I12629" i="1"/>
  <c r="I12628" i="1"/>
  <c r="I12627" i="1"/>
  <c r="I12626" i="1"/>
  <c r="I12625" i="1"/>
  <c r="I12624" i="1"/>
  <c r="I12623" i="1"/>
  <c r="I12622" i="1"/>
  <c r="I12621" i="1"/>
  <c r="I12620" i="1"/>
  <c r="I12619" i="1"/>
  <c r="I12618" i="1"/>
  <c r="I12617" i="1"/>
  <c r="I12616" i="1"/>
  <c r="I12615" i="1"/>
  <c r="I12614" i="1"/>
  <c r="I12613" i="1"/>
  <c r="I12612" i="1"/>
  <c r="I12611" i="1"/>
  <c r="I12610" i="1"/>
  <c r="I12609" i="1"/>
  <c r="I12608" i="1"/>
  <c r="I12607" i="1"/>
  <c r="I12606" i="1"/>
  <c r="I12605" i="1"/>
  <c r="I12604" i="1"/>
  <c r="I12603" i="1"/>
  <c r="I12602" i="1"/>
  <c r="I12601" i="1"/>
  <c r="I12600" i="1"/>
  <c r="I12599" i="1"/>
  <c r="I12598" i="1"/>
  <c r="I12597" i="1"/>
  <c r="I12596" i="1"/>
  <c r="I12595" i="1"/>
  <c r="I12594" i="1"/>
  <c r="I12593" i="1"/>
  <c r="I12592" i="1"/>
  <c r="I12591" i="1"/>
  <c r="I12590" i="1"/>
  <c r="I12589" i="1"/>
  <c r="I12588" i="1"/>
  <c r="I12587" i="1"/>
  <c r="I12586" i="1"/>
  <c r="I12585" i="1"/>
  <c r="I12584" i="1"/>
  <c r="I12583" i="1"/>
  <c r="I12582" i="1"/>
  <c r="I12581" i="1"/>
  <c r="I12580" i="1"/>
  <c r="I12579" i="1"/>
  <c r="I12578" i="1"/>
  <c r="I12577" i="1"/>
  <c r="I12576" i="1"/>
  <c r="I12575" i="1"/>
  <c r="I12574" i="1"/>
  <c r="I12573" i="1"/>
  <c r="I12572" i="1"/>
  <c r="I12571" i="1"/>
  <c r="I12570" i="1"/>
  <c r="I12569" i="1"/>
  <c r="I12568" i="1"/>
  <c r="I12567" i="1"/>
  <c r="I12566" i="1"/>
  <c r="I12565" i="1"/>
  <c r="I12564" i="1"/>
  <c r="I12563" i="1"/>
  <c r="I12562" i="1"/>
  <c r="I12561" i="1"/>
  <c r="I12560" i="1"/>
  <c r="I12559" i="1"/>
  <c r="I12558" i="1"/>
  <c r="I12557" i="1"/>
  <c r="I12556" i="1"/>
  <c r="I12555" i="1"/>
  <c r="I12554" i="1"/>
  <c r="I12553" i="1"/>
  <c r="I12552" i="1"/>
  <c r="I12551" i="1"/>
  <c r="I12550" i="1"/>
  <c r="I12549" i="1"/>
  <c r="I12548" i="1"/>
  <c r="I12547" i="1"/>
  <c r="I12546" i="1"/>
  <c r="I12545" i="1"/>
  <c r="I12544" i="1"/>
  <c r="I12543" i="1"/>
  <c r="I12542" i="1"/>
  <c r="I12541" i="1"/>
  <c r="I12540" i="1"/>
  <c r="I12539" i="1"/>
  <c r="I12538" i="1"/>
  <c r="I12537" i="1"/>
  <c r="I12536" i="1"/>
  <c r="I12535" i="1"/>
  <c r="I12534" i="1"/>
  <c r="I12533" i="1"/>
  <c r="I12532" i="1"/>
  <c r="I12531" i="1"/>
  <c r="I12530" i="1"/>
  <c r="I12529" i="1"/>
  <c r="I12528" i="1"/>
  <c r="I12527" i="1"/>
  <c r="I12526" i="1"/>
  <c r="I12525" i="1"/>
  <c r="I12524" i="1"/>
  <c r="I12523" i="1"/>
  <c r="I12522" i="1"/>
  <c r="I12521" i="1"/>
  <c r="I12520" i="1"/>
  <c r="I12519" i="1"/>
  <c r="I12518" i="1"/>
  <c r="I12517" i="1"/>
  <c r="I12516" i="1"/>
  <c r="I12515" i="1"/>
  <c r="I12514" i="1"/>
  <c r="I12513" i="1"/>
  <c r="I12512" i="1"/>
  <c r="I12511" i="1"/>
  <c r="I12510" i="1"/>
  <c r="I12509" i="1"/>
  <c r="I12508" i="1"/>
  <c r="I12507" i="1"/>
  <c r="I12506" i="1"/>
  <c r="I12505" i="1"/>
  <c r="I12504" i="1"/>
  <c r="I12503" i="1"/>
  <c r="I12502" i="1"/>
  <c r="I12501" i="1"/>
  <c r="I12500" i="1"/>
  <c r="I12499" i="1"/>
  <c r="I12498" i="1"/>
  <c r="I12497" i="1"/>
  <c r="I12496" i="1"/>
  <c r="I12495" i="1"/>
  <c r="I12494" i="1"/>
  <c r="I12493" i="1"/>
  <c r="I12492" i="1"/>
  <c r="I12491" i="1"/>
  <c r="I12490" i="1"/>
  <c r="I12489" i="1"/>
  <c r="I12488" i="1"/>
  <c r="I12487" i="1"/>
  <c r="I12486" i="1"/>
  <c r="I12485" i="1"/>
  <c r="I12484" i="1"/>
  <c r="I12483" i="1"/>
  <c r="I12482" i="1"/>
  <c r="I12481" i="1"/>
  <c r="I12480" i="1"/>
  <c r="I12479" i="1"/>
  <c r="I12478" i="1"/>
  <c r="I12477" i="1"/>
  <c r="I12476" i="1"/>
  <c r="I12475" i="1"/>
  <c r="I12474" i="1"/>
  <c r="I12473" i="1"/>
  <c r="I12472" i="1"/>
  <c r="I12471" i="1"/>
  <c r="I12470" i="1"/>
  <c r="I12469" i="1"/>
  <c r="I12468" i="1"/>
  <c r="I12467" i="1"/>
  <c r="I12466" i="1"/>
  <c r="I12465" i="1"/>
  <c r="I12464" i="1"/>
  <c r="I12463" i="1"/>
  <c r="I12462" i="1"/>
  <c r="I12461" i="1"/>
  <c r="I12460" i="1"/>
  <c r="I12459" i="1"/>
  <c r="I12458" i="1"/>
  <c r="I12457" i="1"/>
  <c r="I12456" i="1"/>
  <c r="I12455" i="1"/>
  <c r="I12454" i="1"/>
  <c r="I12453" i="1"/>
  <c r="I12452" i="1"/>
  <c r="I12451" i="1"/>
  <c r="I12450" i="1"/>
  <c r="I12449" i="1"/>
  <c r="I12448" i="1"/>
  <c r="I12447" i="1"/>
  <c r="I12446" i="1"/>
  <c r="I12445" i="1"/>
  <c r="I12444" i="1"/>
  <c r="I12443" i="1"/>
  <c r="I12442" i="1"/>
  <c r="I12441" i="1"/>
  <c r="I12440" i="1"/>
  <c r="I12439" i="1"/>
  <c r="I12438" i="1"/>
  <c r="I12437" i="1"/>
  <c r="I12436" i="1"/>
  <c r="I12435" i="1"/>
  <c r="I12434" i="1"/>
  <c r="I12433" i="1"/>
  <c r="I12432" i="1"/>
  <c r="I12431" i="1"/>
  <c r="I12430" i="1"/>
  <c r="I12429" i="1"/>
  <c r="I12428" i="1"/>
  <c r="I12427" i="1"/>
  <c r="I12426" i="1"/>
  <c r="I12425" i="1"/>
  <c r="I12424" i="1"/>
  <c r="I12423" i="1"/>
  <c r="I12422" i="1"/>
  <c r="I12421" i="1"/>
  <c r="I12420" i="1"/>
  <c r="I12419" i="1"/>
  <c r="I12418" i="1"/>
  <c r="I12417" i="1"/>
  <c r="I12416" i="1"/>
  <c r="I12415" i="1"/>
  <c r="I12414" i="1"/>
  <c r="I12413" i="1"/>
  <c r="I12412" i="1"/>
  <c r="I12411" i="1"/>
  <c r="I12410" i="1"/>
  <c r="I12409" i="1"/>
  <c r="I12408" i="1"/>
  <c r="I12407" i="1"/>
  <c r="I12406" i="1"/>
  <c r="I12405" i="1"/>
  <c r="I12404" i="1"/>
  <c r="I12403" i="1"/>
  <c r="I12402" i="1"/>
  <c r="I12401" i="1"/>
  <c r="I12400" i="1"/>
  <c r="I12399" i="1"/>
  <c r="I12398" i="1"/>
  <c r="I12397" i="1"/>
  <c r="I12396" i="1"/>
  <c r="I12395" i="1"/>
  <c r="I12394" i="1"/>
  <c r="I12393" i="1"/>
  <c r="I12392" i="1"/>
  <c r="I12391" i="1"/>
  <c r="I12390" i="1"/>
  <c r="I12389" i="1"/>
  <c r="I12388" i="1"/>
  <c r="I12387" i="1"/>
  <c r="I12386" i="1"/>
  <c r="I12385" i="1"/>
  <c r="I12384" i="1"/>
  <c r="I12383" i="1"/>
  <c r="I12382" i="1"/>
  <c r="I12381" i="1"/>
  <c r="I12380" i="1"/>
  <c r="I12379" i="1"/>
  <c r="I12378" i="1"/>
  <c r="I12377" i="1"/>
  <c r="I12376" i="1"/>
  <c r="I12375" i="1"/>
  <c r="I12374" i="1"/>
  <c r="I12373" i="1"/>
  <c r="I12372" i="1"/>
  <c r="I12371" i="1"/>
  <c r="I12370" i="1"/>
  <c r="I12369" i="1"/>
  <c r="I12368" i="1"/>
  <c r="I12367" i="1"/>
  <c r="I12366" i="1"/>
  <c r="I12365" i="1"/>
  <c r="I12364" i="1"/>
  <c r="I12363" i="1"/>
  <c r="I12362" i="1"/>
  <c r="I12361" i="1"/>
  <c r="I12360" i="1"/>
  <c r="I12359" i="1"/>
  <c r="I12358" i="1"/>
  <c r="I12357" i="1"/>
  <c r="I12356" i="1"/>
  <c r="I12355" i="1"/>
  <c r="I12354" i="1"/>
  <c r="I12353" i="1"/>
  <c r="I12352" i="1"/>
  <c r="I12351" i="1"/>
  <c r="I12350" i="1"/>
  <c r="I12349" i="1"/>
  <c r="I12348" i="1"/>
  <c r="I12347" i="1"/>
  <c r="I12346" i="1"/>
  <c r="I12345" i="1"/>
  <c r="I12344" i="1"/>
  <c r="I12343" i="1"/>
  <c r="I12342" i="1"/>
  <c r="I12341" i="1"/>
  <c r="I12340" i="1"/>
  <c r="I12339" i="1"/>
  <c r="I12338" i="1"/>
  <c r="I12337" i="1"/>
  <c r="I12336" i="1"/>
  <c r="I12335" i="1"/>
  <c r="I12334" i="1"/>
  <c r="I12333" i="1"/>
  <c r="I12332" i="1"/>
  <c r="I12331" i="1"/>
  <c r="I12330" i="1"/>
  <c r="I12329" i="1"/>
  <c r="I12328" i="1"/>
  <c r="I12327" i="1"/>
  <c r="I12326" i="1"/>
  <c r="I12325" i="1"/>
  <c r="I12324" i="1"/>
  <c r="I12323" i="1"/>
  <c r="I12322" i="1"/>
  <c r="I12321" i="1"/>
  <c r="I12320" i="1"/>
  <c r="I12319" i="1"/>
  <c r="I12318" i="1"/>
  <c r="I12317" i="1"/>
  <c r="I12316" i="1"/>
  <c r="I12315" i="1"/>
  <c r="I12314" i="1"/>
  <c r="I12313" i="1"/>
  <c r="I12312" i="1"/>
  <c r="I12311" i="1"/>
  <c r="I12310" i="1"/>
  <c r="I12309" i="1"/>
  <c r="I12308" i="1"/>
  <c r="I12307" i="1"/>
  <c r="I12306" i="1"/>
  <c r="I12305" i="1"/>
  <c r="I12304" i="1"/>
  <c r="I12303" i="1"/>
  <c r="I12302" i="1"/>
  <c r="I12301" i="1"/>
  <c r="I12300" i="1"/>
  <c r="I12299" i="1"/>
  <c r="I12298" i="1"/>
  <c r="I12297" i="1"/>
  <c r="I12296" i="1"/>
  <c r="I12295" i="1"/>
  <c r="I12294" i="1"/>
  <c r="I12293" i="1"/>
  <c r="I12292" i="1"/>
  <c r="I12291" i="1"/>
  <c r="I12290" i="1"/>
  <c r="I12289" i="1"/>
  <c r="I12288" i="1"/>
  <c r="I12287" i="1"/>
  <c r="I12286" i="1"/>
  <c r="I12285" i="1"/>
  <c r="I12284" i="1"/>
  <c r="I12283" i="1"/>
  <c r="I12282" i="1"/>
  <c r="I12281" i="1"/>
  <c r="I12280" i="1"/>
  <c r="I12279" i="1"/>
  <c r="I12278" i="1"/>
  <c r="I12277" i="1"/>
  <c r="I12276" i="1"/>
  <c r="I12275" i="1"/>
  <c r="I12274" i="1"/>
  <c r="I12273" i="1"/>
  <c r="I12272" i="1"/>
  <c r="I12271" i="1"/>
  <c r="I12270" i="1"/>
  <c r="I12269" i="1"/>
  <c r="I12268" i="1"/>
  <c r="I12267" i="1"/>
  <c r="I12266" i="1"/>
  <c r="I12265" i="1"/>
  <c r="I12264" i="1"/>
  <c r="I12263" i="1"/>
  <c r="I12262" i="1"/>
  <c r="I12261" i="1"/>
  <c r="I12260" i="1"/>
  <c r="I12259" i="1"/>
  <c r="I12258" i="1"/>
  <c r="I12257" i="1"/>
  <c r="I12256" i="1"/>
  <c r="I12255" i="1"/>
  <c r="I12254" i="1"/>
  <c r="I12253" i="1"/>
  <c r="I12252" i="1"/>
  <c r="I12251" i="1"/>
  <c r="I12250" i="1"/>
  <c r="I12249" i="1"/>
  <c r="I12248" i="1"/>
  <c r="I12247" i="1"/>
  <c r="I12246" i="1"/>
  <c r="I12245" i="1"/>
  <c r="I12244" i="1"/>
  <c r="I12243" i="1"/>
  <c r="I12242" i="1"/>
  <c r="I12241" i="1"/>
  <c r="I12240" i="1"/>
  <c r="I12239" i="1"/>
  <c r="I12238" i="1"/>
  <c r="I12237" i="1"/>
  <c r="I12236" i="1"/>
  <c r="I12235" i="1"/>
  <c r="I12234" i="1"/>
  <c r="I12233" i="1"/>
  <c r="I12232" i="1"/>
  <c r="I12231" i="1"/>
  <c r="I12230" i="1"/>
  <c r="I12229" i="1"/>
  <c r="I12228" i="1"/>
  <c r="I12227" i="1"/>
  <c r="I12226" i="1"/>
  <c r="I12225" i="1"/>
  <c r="I12224" i="1"/>
  <c r="I12223" i="1"/>
  <c r="I12222" i="1"/>
  <c r="I12221" i="1"/>
  <c r="I12220" i="1"/>
  <c r="I12219" i="1"/>
  <c r="I12218" i="1"/>
  <c r="I12217" i="1"/>
  <c r="I12216" i="1"/>
  <c r="I12215" i="1"/>
  <c r="I12214" i="1"/>
  <c r="I12213" i="1"/>
  <c r="I12212" i="1"/>
  <c r="I12211" i="1"/>
  <c r="I12210" i="1"/>
  <c r="I12209" i="1"/>
  <c r="I12208" i="1"/>
  <c r="I12207" i="1"/>
  <c r="I12206" i="1"/>
  <c r="I12205" i="1"/>
  <c r="I12204" i="1"/>
  <c r="I12203" i="1"/>
  <c r="I12202" i="1"/>
  <c r="I12201" i="1"/>
  <c r="I12200" i="1"/>
  <c r="I12199" i="1"/>
  <c r="I12198" i="1"/>
  <c r="I12197" i="1"/>
  <c r="I12196" i="1"/>
  <c r="I12195" i="1"/>
  <c r="I12194" i="1"/>
  <c r="I12193" i="1"/>
  <c r="I12192" i="1"/>
  <c r="I12191" i="1"/>
  <c r="I12190" i="1"/>
  <c r="I12189" i="1"/>
  <c r="I12188" i="1"/>
  <c r="I12187" i="1"/>
  <c r="I12186" i="1"/>
  <c r="I12185" i="1"/>
  <c r="I12184" i="1"/>
  <c r="I12183" i="1"/>
  <c r="I12182" i="1"/>
  <c r="I12181" i="1"/>
  <c r="I12180" i="1"/>
  <c r="I12179" i="1"/>
  <c r="I12178" i="1"/>
  <c r="I12177" i="1"/>
  <c r="I12176" i="1"/>
  <c r="I12175" i="1"/>
  <c r="I12174" i="1"/>
  <c r="I12173" i="1"/>
  <c r="I12172" i="1"/>
  <c r="I12171" i="1"/>
  <c r="I12170" i="1"/>
  <c r="I12169" i="1"/>
  <c r="I12168" i="1"/>
  <c r="I12167" i="1"/>
  <c r="I12166" i="1"/>
  <c r="I12165" i="1"/>
  <c r="I12164" i="1"/>
  <c r="I12163" i="1"/>
  <c r="I12162" i="1"/>
  <c r="I12161" i="1"/>
  <c r="I12160" i="1"/>
  <c r="I12159" i="1"/>
  <c r="I12158" i="1"/>
  <c r="I12157" i="1"/>
  <c r="I12156" i="1"/>
  <c r="I12155" i="1"/>
  <c r="I12154" i="1"/>
  <c r="I12153" i="1"/>
  <c r="I12152" i="1"/>
  <c r="I12151" i="1"/>
  <c r="I12150" i="1"/>
  <c r="I12149" i="1"/>
  <c r="I12148" i="1"/>
  <c r="I12147" i="1"/>
  <c r="I12146" i="1"/>
  <c r="I12145" i="1"/>
  <c r="I12144" i="1"/>
  <c r="I12143" i="1"/>
  <c r="I12142" i="1"/>
  <c r="I12141" i="1"/>
  <c r="I12140" i="1"/>
  <c r="I12139" i="1"/>
  <c r="I12138" i="1"/>
  <c r="I12137" i="1"/>
  <c r="I12136" i="1"/>
  <c r="I12135" i="1"/>
  <c r="I12134" i="1"/>
  <c r="I12133" i="1"/>
  <c r="I12132" i="1"/>
  <c r="I12131" i="1"/>
  <c r="I12130" i="1"/>
  <c r="I12129" i="1"/>
  <c r="I12128" i="1"/>
  <c r="I12127" i="1"/>
  <c r="I12126" i="1"/>
  <c r="I12125" i="1"/>
  <c r="I12124" i="1"/>
  <c r="I12123" i="1"/>
  <c r="I12122" i="1"/>
  <c r="I12121" i="1"/>
  <c r="I12120" i="1"/>
  <c r="I12119" i="1"/>
  <c r="I12118" i="1"/>
  <c r="I12117" i="1"/>
  <c r="I12116" i="1"/>
  <c r="I12115" i="1"/>
  <c r="I12114" i="1"/>
  <c r="I12113" i="1"/>
  <c r="I12112" i="1"/>
  <c r="I12111" i="1"/>
  <c r="I12110" i="1"/>
  <c r="I12109" i="1"/>
  <c r="I12108" i="1"/>
  <c r="I12107" i="1"/>
  <c r="I12106" i="1"/>
  <c r="I12105" i="1"/>
  <c r="I12104" i="1"/>
  <c r="I12103" i="1"/>
  <c r="I12102" i="1"/>
  <c r="I12101" i="1"/>
  <c r="I12100" i="1"/>
  <c r="I12099" i="1"/>
  <c r="I12098" i="1"/>
  <c r="I12097" i="1"/>
  <c r="I12096" i="1"/>
  <c r="I12095" i="1"/>
  <c r="I12094" i="1"/>
  <c r="I12093" i="1"/>
  <c r="I12092" i="1"/>
  <c r="I12091" i="1"/>
  <c r="I12090" i="1"/>
  <c r="I12089" i="1"/>
  <c r="I12088" i="1"/>
  <c r="I12087" i="1"/>
  <c r="I12086" i="1"/>
  <c r="I12085" i="1"/>
  <c r="I12084" i="1"/>
  <c r="I12083" i="1"/>
  <c r="I12082" i="1"/>
  <c r="I12081" i="1"/>
  <c r="I12080" i="1"/>
  <c r="I12079" i="1"/>
  <c r="I12078" i="1"/>
  <c r="I12077" i="1"/>
  <c r="I12076" i="1"/>
  <c r="I12075" i="1"/>
  <c r="I12074" i="1"/>
  <c r="I12073" i="1"/>
  <c r="I12072" i="1"/>
  <c r="I12071" i="1"/>
  <c r="I12070" i="1"/>
  <c r="I12069" i="1"/>
  <c r="I12068" i="1"/>
  <c r="I12067" i="1"/>
  <c r="I12066" i="1"/>
  <c r="I12065" i="1"/>
  <c r="I12064" i="1"/>
  <c r="I12063" i="1"/>
  <c r="I12062" i="1"/>
  <c r="I12061" i="1"/>
  <c r="I12060" i="1"/>
  <c r="I12059" i="1"/>
  <c r="I12058" i="1"/>
  <c r="I12057" i="1"/>
  <c r="I12056" i="1"/>
  <c r="I12055" i="1"/>
  <c r="I12054" i="1"/>
  <c r="I12053" i="1"/>
  <c r="I12052" i="1"/>
  <c r="I12051" i="1"/>
  <c r="I12050" i="1"/>
  <c r="I12049" i="1"/>
  <c r="I12048" i="1"/>
  <c r="I12047" i="1"/>
  <c r="I12046" i="1"/>
  <c r="I12045" i="1"/>
  <c r="I12044" i="1"/>
  <c r="I12043" i="1"/>
  <c r="I12042" i="1"/>
  <c r="I12041" i="1"/>
  <c r="I12040" i="1"/>
  <c r="I12039" i="1"/>
  <c r="I12038" i="1"/>
  <c r="I12037" i="1"/>
  <c r="I12036" i="1"/>
  <c r="I12035" i="1"/>
  <c r="I12034" i="1"/>
  <c r="I12033" i="1"/>
  <c r="I12032" i="1"/>
  <c r="I12031" i="1"/>
  <c r="I12030" i="1"/>
  <c r="I12029" i="1"/>
  <c r="I12028" i="1"/>
  <c r="I12027" i="1"/>
  <c r="I12026" i="1"/>
  <c r="I12025" i="1"/>
  <c r="I12024" i="1"/>
  <c r="I12023" i="1"/>
  <c r="I12022" i="1"/>
  <c r="I12021" i="1"/>
  <c r="I12020" i="1"/>
  <c r="I12019" i="1"/>
  <c r="I12018" i="1"/>
  <c r="I12017" i="1"/>
  <c r="I12016" i="1"/>
  <c r="I12015" i="1"/>
  <c r="I12014" i="1"/>
  <c r="I12013" i="1"/>
  <c r="I12012" i="1"/>
  <c r="I12011" i="1"/>
  <c r="I12010" i="1"/>
  <c r="I12009" i="1"/>
  <c r="I12008" i="1"/>
  <c r="I12007" i="1"/>
  <c r="I12006" i="1"/>
  <c r="I12005" i="1"/>
  <c r="I12004" i="1"/>
  <c r="I12003" i="1"/>
  <c r="I12002" i="1"/>
  <c r="I12001" i="1"/>
  <c r="I12000" i="1"/>
  <c r="I11999" i="1"/>
  <c r="I11998" i="1"/>
  <c r="I11997" i="1"/>
  <c r="I11996" i="1"/>
  <c r="I11995" i="1"/>
  <c r="I11994" i="1"/>
  <c r="I11993" i="1"/>
  <c r="I11992" i="1"/>
  <c r="I11991" i="1"/>
  <c r="I11990" i="1"/>
  <c r="I11989" i="1"/>
  <c r="I11988" i="1"/>
  <c r="I11987" i="1"/>
  <c r="I11986" i="1"/>
  <c r="I11985" i="1"/>
  <c r="I11984" i="1"/>
  <c r="I11983" i="1"/>
  <c r="I11982" i="1"/>
  <c r="I11981" i="1"/>
  <c r="I11980" i="1"/>
  <c r="I11979" i="1"/>
  <c r="I11978" i="1"/>
  <c r="I11977" i="1"/>
  <c r="I11976" i="1"/>
  <c r="I11975" i="1"/>
  <c r="I11974" i="1"/>
  <c r="I11973" i="1"/>
  <c r="I11972" i="1"/>
  <c r="I11971" i="1"/>
  <c r="I11970" i="1"/>
  <c r="I11969" i="1"/>
  <c r="I11968" i="1"/>
  <c r="I11967" i="1"/>
  <c r="I11966" i="1"/>
  <c r="I11965" i="1"/>
  <c r="I11964" i="1"/>
  <c r="I11963" i="1"/>
  <c r="I11962" i="1"/>
  <c r="I11961" i="1"/>
  <c r="I11960" i="1"/>
  <c r="I11959" i="1"/>
  <c r="I11958" i="1"/>
  <c r="I11957" i="1"/>
  <c r="I11956" i="1"/>
  <c r="I11955" i="1"/>
  <c r="I11954" i="1"/>
  <c r="I11953" i="1"/>
  <c r="I11952" i="1"/>
  <c r="I11951" i="1"/>
  <c r="I11950" i="1"/>
  <c r="I11949" i="1"/>
  <c r="I11948" i="1"/>
  <c r="I11947" i="1"/>
  <c r="I11946" i="1"/>
  <c r="I11945" i="1"/>
  <c r="I11944" i="1"/>
  <c r="I11943" i="1"/>
  <c r="I11942" i="1"/>
  <c r="I11941" i="1"/>
  <c r="I11940" i="1"/>
  <c r="I11939" i="1"/>
  <c r="I11938" i="1"/>
  <c r="I11937" i="1"/>
  <c r="I11936" i="1"/>
  <c r="I11935" i="1"/>
  <c r="I11934" i="1"/>
  <c r="I11933" i="1"/>
  <c r="I11932" i="1"/>
  <c r="I11931" i="1"/>
  <c r="I11930" i="1"/>
  <c r="I11929" i="1"/>
  <c r="I11928" i="1"/>
  <c r="I11927" i="1"/>
  <c r="I11926" i="1"/>
  <c r="I11925" i="1"/>
  <c r="I11924" i="1"/>
  <c r="I11923" i="1"/>
  <c r="I11922" i="1"/>
  <c r="I11921" i="1"/>
  <c r="I11920" i="1"/>
  <c r="I11919" i="1"/>
  <c r="I11918" i="1"/>
  <c r="I11917" i="1"/>
  <c r="I11916" i="1"/>
  <c r="I11915" i="1"/>
  <c r="I11914" i="1"/>
  <c r="I11913" i="1"/>
  <c r="I11912" i="1"/>
  <c r="I11911" i="1"/>
  <c r="I11910" i="1"/>
  <c r="I11909" i="1"/>
  <c r="I11908" i="1"/>
  <c r="I11907" i="1"/>
  <c r="I11906" i="1"/>
  <c r="I11905" i="1"/>
  <c r="I11904" i="1"/>
  <c r="I11903" i="1"/>
  <c r="I11902" i="1"/>
  <c r="I11901" i="1"/>
  <c r="I11900" i="1"/>
  <c r="I11899" i="1"/>
  <c r="I11898" i="1"/>
  <c r="I11897" i="1"/>
  <c r="I11896" i="1"/>
  <c r="I11895" i="1"/>
  <c r="I11894" i="1"/>
  <c r="I11893" i="1"/>
  <c r="I11892" i="1"/>
  <c r="I11891" i="1"/>
  <c r="I11890" i="1"/>
  <c r="I11889" i="1"/>
  <c r="I11888" i="1"/>
  <c r="I11887" i="1"/>
  <c r="I11886" i="1"/>
  <c r="I11885" i="1"/>
  <c r="I11884" i="1"/>
  <c r="I11883" i="1"/>
  <c r="I11882" i="1"/>
  <c r="I11881" i="1"/>
  <c r="I11880" i="1"/>
  <c r="I11879" i="1"/>
  <c r="I11878" i="1"/>
  <c r="I11877" i="1"/>
  <c r="I11876" i="1"/>
  <c r="I11875" i="1"/>
  <c r="I11874" i="1"/>
  <c r="I11873" i="1"/>
  <c r="I11872" i="1"/>
  <c r="I11871" i="1"/>
  <c r="I11870" i="1"/>
  <c r="I11869" i="1"/>
  <c r="I11868" i="1"/>
  <c r="I11867" i="1"/>
  <c r="I11866" i="1"/>
  <c r="I11865" i="1"/>
  <c r="I11864" i="1"/>
  <c r="I11863" i="1"/>
  <c r="I11862" i="1"/>
  <c r="I11861" i="1"/>
  <c r="I11860" i="1"/>
  <c r="I11859" i="1"/>
  <c r="I11858" i="1"/>
  <c r="I11857" i="1"/>
  <c r="I11856" i="1"/>
  <c r="I11855" i="1"/>
  <c r="I11854" i="1"/>
  <c r="I11853" i="1"/>
  <c r="I11852" i="1"/>
  <c r="I11851" i="1"/>
  <c r="I11850" i="1"/>
  <c r="I11849" i="1"/>
  <c r="I11848" i="1"/>
  <c r="I11847" i="1"/>
  <c r="I11846" i="1"/>
  <c r="I11845" i="1"/>
  <c r="I11844" i="1"/>
  <c r="I11843" i="1"/>
  <c r="I11842" i="1"/>
  <c r="I11841" i="1"/>
  <c r="I11840" i="1"/>
  <c r="I11839" i="1"/>
  <c r="I11838" i="1"/>
  <c r="I11837" i="1"/>
  <c r="I11836" i="1"/>
  <c r="I11835" i="1"/>
  <c r="I11834" i="1"/>
  <c r="I11833" i="1"/>
  <c r="I11832" i="1"/>
  <c r="I11831" i="1"/>
  <c r="I11830" i="1"/>
  <c r="I11829" i="1"/>
  <c r="I11828" i="1"/>
  <c r="I11827" i="1"/>
  <c r="I11826" i="1"/>
  <c r="I11825" i="1"/>
  <c r="I11824" i="1"/>
  <c r="I11823" i="1"/>
  <c r="I11822" i="1"/>
  <c r="I11821" i="1"/>
  <c r="I11820" i="1"/>
  <c r="I11819" i="1"/>
  <c r="I11818" i="1"/>
  <c r="I11817" i="1"/>
  <c r="I11816" i="1"/>
  <c r="I11815" i="1"/>
  <c r="I11814" i="1"/>
  <c r="I11813" i="1"/>
  <c r="I11812" i="1"/>
  <c r="I11811" i="1"/>
  <c r="I11810" i="1"/>
  <c r="I11809" i="1"/>
  <c r="I11808" i="1"/>
  <c r="I11807" i="1"/>
  <c r="I11806" i="1"/>
  <c r="I11805" i="1"/>
  <c r="I11804" i="1"/>
  <c r="I11803" i="1"/>
  <c r="I11802" i="1"/>
  <c r="I11801" i="1"/>
  <c r="I11800" i="1"/>
  <c r="I11799" i="1"/>
  <c r="I11798" i="1"/>
  <c r="I11797" i="1"/>
  <c r="I11796" i="1"/>
  <c r="I11795" i="1"/>
  <c r="I11794" i="1"/>
  <c r="I11793" i="1"/>
  <c r="I11792" i="1"/>
  <c r="I11791" i="1"/>
  <c r="I11790" i="1"/>
  <c r="I11789" i="1"/>
  <c r="I11788" i="1"/>
  <c r="I11787" i="1"/>
  <c r="I11786" i="1"/>
  <c r="I11785" i="1"/>
  <c r="I11784" i="1"/>
  <c r="I11783" i="1"/>
  <c r="I11782" i="1"/>
  <c r="I11781" i="1"/>
  <c r="I11780" i="1"/>
  <c r="I11779" i="1"/>
  <c r="I11778" i="1"/>
  <c r="I11777" i="1"/>
  <c r="I11776" i="1"/>
  <c r="I11775" i="1"/>
  <c r="I11774" i="1"/>
  <c r="I11773" i="1"/>
  <c r="I11772" i="1"/>
  <c r="I11771" i="1"/>
  <c r="I11770" i="1"/>
  <c r="I11769" i="1"/>
  <c r="I11768" i="1"/>
  <c r="I11767" i="1"/>
  <c r="I11766" i="1"/>
  <c r="I11765" i="1"/>
  <c r="I11764" i="1"/>
  <c r="I11763" i="1"/>
  <c r="I11762" i="1"/>
  <c r="I11761" i="1"/>
  <c r="I11760" i="1"/>
  <c r="I11759" i="1"/>
  <c r="I11758" i="1"/>
  <c r="I11757" i="1"/>
  <c r="I11756" i="1"/>
  <c r="I11755" i="1"/>
  <c r="I11754" i="1"/>
  <c r="I11753" i="1"/>
  <c r="I11752" i="1"/>
  <c r="I11751" i="1"/>
  <c r="I11750" i="1"/>
  <c r="I11749" i="1"/>
  <c r="I11748" i="1"/>
  <c r="I11747" i="1"/>
  <c r="I11746" i="1"/>
  <c r="I11745" i="1"/>
  <c r="I11744" i="1"/>
  <c r="I11743" i="1"/>
  <c r="I11742" i="1"/>
  <c r="I11741" i="1"/>
  <c r="I11740" i="1"/>
  <c r="I11739" i="1"/>
  <c r="I11738" i="1"/>
  <c r="I11737" i="1"/>
  <c r="I11736" i="1"/>
  <c r="I11735" i="1"/>
  <c r="I11734" i="1"/>
  <c r="I11733" i="1"/>
  <c r="I11732" i="1"/>
  <c r="I11731" i="1"/>
  <c r="I11730" i="1"/>
  <c r="I11729" i="1"/>
  <c r="I11728" i="1"/>
  <c r="I11727" i="1"/>
  <c r="I11726" i="1"/>
  <c r="I11725" i="1"/>
  <c r="I11724" i="1"/>
  <c r="I11723" i="1"/>
  <c r="I11722" i="1"/>
  <c r="I11721" i="1"/>
  <c r="I11720" i="1"/>
  <c r="I11719" i="1"/>
  <c r="I11718" i="1"/>
  <c r="I11717" i="1"/>
  <c r="I11716" i="1"/>
  <c r="I11715" i="1"/>
  <c r="I11714" i="1"/>
  <c r="I11713" i="1"/>
  <c r="I11712" i="1"/>
  <c r="I11711" i="1"/>
  <c r="I11710" i="1"/>
  <c r="I11709" i="1"/>
  <c r="I11708" i="1"/>
  <c r="I11707" i="1"/>
  <c r="I11706" i="1"/>
  <c r="I11705" i="1"/>
  <c r="I11704" i="1"/>
  <c r="I11703" i="1"/>
  <c r="I11702" i="1"/>
  <c r="I11701" i="1"/>
  <c r="I11700" i="1"/>
  <c r="I11699" i="1"/>
  <c r="I11698" i="1"/>
  <c r="I11697" i="1"/>
  <c r="I11696" i="1"/>
  <c r="I11695" i="1"/>
  <c r="I11694" i="1"/>
  <c r="I11693" i="1"/>
  <c r="I11692" i="1"/>
  <c r="I11691" i="1"/>
  <c r="I11690" i="1"/>
  <c r="I11689" i="1"/>
  <c r="I11688" i="1"/>
  <c r="I11687" i="1"/>
  <c r="I11686" i="1"/>
  <c r="I11685" i="1"/>
  <c r="I11684" i="1"/>
  <c r="I11683" i="1"/>
  <c r="I11682" i="1"/>
  <c r="I11681" i="1"/>
  <c r="I11680" i="1"/>
  <c r="I11679" i="1"/>
  <c r="I11678" i="1"/>
  <c r="I11677" i="1"/>
  <c r="I11676" i="1"/>
  <c r="I11675" i="1"/>
  <c r="I11674" i="1"/>
  <c r="I11673" i="1"/>
  <c r="I11672" i="1"/>
  <c r="I11671" i="1"/>
  <c r="I11670" i="1"/>
  <c r="I11669" i="1"/>
  <c r="I11668" i="1"/>
  <c r="I11667" i="1"/>
  <c r="I11666" i="1"/>
  <c r="I11665" i="1"/>
  <c r="I11664" i="1"/>
  <c r="I11663" i="1"/>
  <c r="I11662" i="1"/>
  <c r="I11661" i="1"/>
  <c r="I11660" i="1"/>
  <c r="I11659" i="1"/>
  <c r="I11658" i="1"/>
  <c r="I11657" i="1"/>
  <c r="I11656" i="1"/>
  <c r="I11655" i="1"/>
  <c r="I11654" i="1"/>
  <c r="I11653" i="1"/>
  <c r="I11652" i="1"/>
  <c r="I11651" i="1"/>
  <c r="I11650" i="1"/>
  <c r="I11649" i="1"/>
  <c r="I11648" i="1"/>
  <c r="I11647" i="1"/>
  <c r="I11646" i="1"/>
  <c r="I11645" i="1"/>
  <c r="I11644" i="1"/>
  <c r="I11643" i="1"/>
  <c r="I11642" i="1"/>
  <c r="I11641" i="1"/>
  <c r="I11640" i="1"/>
  <c r="I11639" i="1"/>
  <c r="I11638" i="1"/>
  <c r="I11637" i="1"/>
  <c r="I11636" i="1"/>
  <c r="I11635" i="1"/>
  <c r="I11634" i="1"/>
  <c r="I11633" i="1"/>
  <c r="I11632" i="1"/>
  <c r="I11631" i="1"/>
  <c r="I11630" i="1"/>
  <c r="I11629" i="1"/>
  <c r="I11628" i="1"/>
  <c r="I11627" i="1"/>
  <c r="I11626" i="1"/>
  <c r="I11625" i="1"/>
  <c r="I11624" i="1"/>
  <c r="I11623" i="1"/>
  <c r="I11622" i="1"/>
  <c r="I11621" i="1"/>
  <c r="I11620" i="1"/>
  <c r="I11619" i="1"/>
  <c r="I11618" i="1"/>
  <c r="I11617" i="1"/>
  <c r="I11616" i="1"/>
  <c r="I11615" i="1"/>
  <c r="I11614" i="1"/>
  <c r="I11613" i="1"/>
  <c r="I11612" i="1"/>
  <c r="I11611" i="1"/>
  <c r="I11610" i="1"/>
  <c r="I11609" i="1"/>
  <c r="I11608" i="1"/>
  <c r="I11607" i="1"/>
  <c r="I11606" i="1"/>
  <c r="I11605" i="1"/>
  <c r="I11604" i="1"/>
  <c r="I11603" i="1"/>
  <c r="I11602" i="1"/>
  <c r="I11601" i="1"/>
  <c r="I11600" i="1"/>
  <c r="I11599" i="1"/>
  <c r="I11598" i="1"/>
  <c r="I11597" i="1"/>
  <c r="I11596" i="1"/>
  <c r="I11595" i="1"/>
  <c r="I11594" i="1"/>
  <c r="I11593" i="1"/>
  <c r="I11592" i="1"/>
  <c r="I11591" i="1"/>
  <c r="I11590" i="1"/>
  <c r="I11589" i="1"/>
  <c r="I11588" i="1"/>
  <c r="I11587" i="1"/>
  <c r="I11586" i="1"/>
  <c r="I11585" i="1"/>
  <c r="I11584" i="1"/>
  <c r="I11583" i="1"/>
  <c r="I11582" i="1"/>
  <c r="I11581" i="1"/>
  <c r="I11580" i="1"/>
  <c r="I11579" i="1"/>
  <c r="I11578" i="1"/>
  <c r="I11577" i="1"/>
  <c r="I11576" i="1"/>
  <c r="I11575" i="1"/>
  <c r="I11574" i="1"/>
  <c r="I11573" i="1"/>
  <c r="I11572" i="1"/>
  <c r="I11571" i="1"/>
  <c r="I11570" i="1"/>
  <c r="I11569" i="1"/>
  <c r="I11568" i="1"/>
  <c r="I11567" i="1"/>
  <c r="I11566" i="1"/>
  <c r="I11565" i="1"/>
  <c r="I11564" i="1"/>
  <c r="I11563" i="1"/>
  <c r="I11562" i="1"/>
  <c r="I11561" i="1"/>
  <c r="I11560" i="1"/>
  <c r="I11559" i="1"/>
  <c r="I11558" i="1"/>
  <c r="I11557" i="1"/>
  <c r="I11556" i="1"/>
  <c r="I11555" i="1"/>
  <c r="I11554" i="1"/>
  <c r="I11553" i="1"/>
  <c r="I11552" i="1"/>
  <c r="I11551" i="1"/>
  <c r="I11550" i="1"/>
  <c r="I11549" i="1"/>
  <c r="I11548" i="1"/>
  <c r="I11547" i="1"/>
  <c r="I11546" i="1"/>
  <c r="I11545" i="1"/>
  <c r="I11544" i="1"/>
  <c r="I11543" i="1"/>
  <c r="I11542" i="1"/>
  <c r="I11541" i="1"/>
  <c r="I11540" i="1"/>
  <c r="I11539" i="1"/>
  <c r="I11538" i="1"/>
  <c r="I11537" i="1"/>
  <c r="I11536" i="1"/>
  <c r="I11535" i="1"/>
  <c r="I11534" i="1"/>
  <c r="I11533" i="1"/>
  <c r="I11532" i="1"/>
  <c r="I11531" i="1"/>
  <c r="I11530" i="1"/>
  <c r="I11529" i="1"/>
  <c r="I11528" i="1"/>
  <c r="I11527" i="1"/>
  <c r="I11526" i="1"/>
  <c r="I11525" i="1"/>
  <c r="I11524" i="1"/>
  <c r="I11523" i="1"/>
  <c r="I11522" i="1"/>
  <c r="I11521" i="1"/>
  <c r="I11520" i="1"/>
  <c r="I11519" i="1"/>
  <c r="I11518" i="1"/>
  <c r="I11517" i="1"/>
  <c r="I11516" i="1"/>
  <c r="I11515" i="1"/>
  <c r="I11514" i="1"/>
  <c r="I11513" i="1"/>
  <c r="I11512" i="1"/>
  <c r="I11511" i="1"/>
  <c r="I11510" i="1"/>
  <c r="I11509" i="1"/>
  <c r="I11508" i="1"/>
  <c r="I11507" i="1"/>
  <c r="I11506" i="1"/>
  <c r="I11505" i="1"/>
  <c r="I11504" i="1"/>
  <c r="I11503" i="1"/>
  <c r="I11502" i="1"/>
  <c r="I11501" i="1"/>
  <c r="I11500" i="1"/>
  <c r="I11499" i="1"/>
  <c r="I11498" i="1"/>
  <c r="I11497" i="1"/>
  <c r="I11496" i="1"/>
  <c r="I11495" i="1"/>
  <c r="I11494" i="1"/>
  <c r="I11493" i="1"/>
  <c r="I11492" i="1"/>
  <c r="I11491" i="1"/>
  <c r="I11490" i="1"/>
  <c r="I11489" i="1"/>
  <c r="I11488" i="1"/>
  <c r="I11487" i="1"/>
  <c r="I11486" i="1"/>
  <c r="I11485" i="1"/>
  <c r="I11484" i="1"/>
  <c r="I11483" i="1"/>
  <c r="I11482" i="1"/>
  <c r="I11481" i="1"/>
  <c r="I11480" i="1"/>
  <c r="I11479" i="1"/>
  <c r="I11478" i="1"/>
  <c r="I11477" i="1"/>
  <c r="I11476" i="1"/>
  <c r="I11475" i="1"/>
  <c r="I11474" i="1"/>
  <c r="I11473" i="1"/>
  <c r="I11472" i="1"/>
  <c r="I11471" i="1"/>
  <c r="I11470" i="1"/>
  <c r="I11469" i="1"/>
  <c r="I11468" i="1"/>
  <c r="I11467" i="1"/>
  <c r="I11466" i="1"/>
  <c r="I11465" i="1"/>
  <c r="I11464" i="1"/>
  <c r="I11463" i="1"/>
  <c r="I11462" i="1"/>
  <c r="I11461" i="1"/>
  <c r="I11460" i="1"/>
  <c r="I11459" i="1"/>
  <c r="I11458" i="1"/>
  <c r="I11457" i="1"/>
  <c r="I11456" i="1"/>
  <c r="I11455" i="1"/>
  <c r="I11454" i="1"/>
  <c r="I11453" i="1"/>
  <c r="I11452" i="1"/>
  <c r="I11451" i="1"/>
  <c r="I11450" i="1"/>
  <c r="I11449" i="1"/>
  <c r="I11448" i="1"/>
  <c r="I11447" i="1"/>
  <c r="I11446" i="1"/>
  <c r="I11445" i="1"/>
  <c r="I11444" i="1"/>
  <c r="I11443" i="1"/>
  <c r="I11442" i="1"/>
  <c r="I11441" i="1"/>
  <c r="I11440" i="1"/>
  <c r="I11439" i="1"/>
  <c r="I11438" i="1"/>
  <c r="I11437" i="1"/>
  <c r="I11436" i="1"/>
  <c r="I11435" i="1"/>
  <c r="I11434" i="1"/>
  <c r="I11433" i="1"/>
  <c r="I11432" i="1"/>
  <c r="I11431" i="1"/>
  <c r="I11430" i="1"/>
  <c r="I11429" i="1"/>
  <c r="I11428" i="1"/>
  <c r="I11427" i="1"/>
  <c r="I11426" i="1"/>
  <c r="I11425" i="1"/>
  <c r="I11424" i="1"/>
  <c r="I11423" i="1"/>
  <c r="I11422" i="1"/>
  <c r="I11421" i="1"/>
  <c r="I11420" i="1"/>
  <c r="I11419" i="1"/>
  <c r="I11418" i="1"/>
  <c r="I11417" i="1"/>
  <c r="I11416" i="1"/>
  <c r="I11415" i="1"/>
  <c r="I11414" i="1"/>
  <c r="I11413" i="1"/>
  <c r="I11412" i="1"/>
  <c r="I11411" i="1"/>
  <c r="I11410" i="1"/>
  <c r="I11409" i="1"/>
  <c r="I11408" i="1"/>
  <c r="I11407" i="1"/>
  <c r="I11406" i="1"/>
  <c r="I11405" i="1"/>
  <c r="I11404" i="1"/>
  <c r="I11403" i="1"/>
  <c r="I11402" i="1"/>
  <c r="I11401" i="1"/>
  <c r="I11400" i="1"/>
  <c r="I11399" i="1"/>
  <c r="I11398" i="1"/>
  <c r="I11397" i="1"/>
  <c r="I11396" i="1"/>
  <c r="I11395" i="1"/>
  <c r="I11394" i="1"/>
  <c r="I11393" i="1"/>
  <c r="I11392" i="1"/>
  <c r="I11391" i="1"/>
  <c r="I11390" i="1"/>
  <c r="I11389" i="1"/>
  <c r="I11388" i="1"/>
  <c r="I11387" i="1"/>
  <c r="I11386" i="1"/>
  <c r="I11385" i="1"/>
  <c r="I11384" i="1"/>
  <c r="I11383" i="1"/>
  <c r="I11382" i="1"/>
  <c r="I11381" i="1"/>
  <c r="I11380" i="1"/>
  <c r="I11379" i="1"/>
  <c r="I11378" i="1"/>
  <c r="I11377" i="1"/>
  <c r="I11376" i="1"/>
  <c r="I11375" i="1"/>
  <c r="I11374" i="1"/>
  <c r="I11373" i="1"/>
  <c r="I11372" i="1"/>
  <c r="I11371" i="1"/>
  <c r="I11370" i="1"/>
  <c r="I11369" i="1"/>
  <c r="I11368" i="1"/>
  <c r="I11367" i="1"/>
  <c r="I11366" i="1"/>
  <c r="I11365" i="1"/>
  <c r="I11364" i="1"/>
  <c r="I11363" i="1"/>
  <c r="I11362" i="1"/>
  <c r="I11361" i="1"/>
  <c r="I11360" i="1"/>
  <c r="I11359" i="1"/>
  <c r="I11358" i="1"/>
  <c r="I11357" i="1"/>
  <c r="I11356" i="1"/>
  <c r="I11355" i="1"/>
  <c r="I11354" i="1"/>
  <c r="I11353" i="1"/>
  <c r="I11352" i="1"/>
  <c r="I11351" i="1"/>
  <c r="I11350" i="1"/>
  <c r="I11349" i="1"/>
  <c r="I11348" i="1"/>
  <c r="I11347" i="1"/>
  <c r="I11346" i="1"/>
  <c r="I11345" i="1"/>
  <c r="I11344" i="1"/>
  <c r="I11343" i="1"/>
  <c r="I11342" i="1"/>
  <c r="I11341" i="1"/>
  <c r="I11340" i="1"/>
  <c r="I11339" i="1"/>
  <c r="I11338" i="1"/>
  <c r="I11337" i="1"/>
  <c r="I11336" i="1"/>
  <c r="I11335" i="1"/>
  <c r="I11334" i="1"/>
  <c r="I11333" i="1"/>
  <c r="I11332" i="1"/>
  <c r="I11331" i="1"/>
  <c r="I11330" i="1"/>
  <c r="I11329" i="1"/>
  <c r="I11328" i="1"/>
  <c r="I11327" i="1"/>
  <c r="I11326" i="1"/>
  <c r="I11325" i="1"/>
  <c r="I11324" i="1"/>
  <c r="I11323" i="1"/>
  <c r="I11322" i="1"/>
  <c r="I11321" i="1"/>
  <c r="I11320" i="1"/>
  <c r="I11319" i="1"/>
  <c r="I11318" i="1"/>
  <c r="I11317" i="1"/>
  <c r="I11316" i="1"/>
  <c r="I11315" i="1"/>
  <c r="I11314" i="1"/>
  <c r="I11313" i="1"/>
  <c r="I11312" i="1"/>
  <c r="I11311" i="1"/>
  <c r="I11310" i="1"/>
  <c r="I11309" i="1"/>
  <c r="I11308" i="1"/>
  <c r="I11307" i="1"/>
  <c r="I11306" i="1"/>
  <c r="I11305" i="1"/>
  <c r="I11304" i="1"/>
  <c r="I11303" i="1"/>
  <c r="I11302" i="1"/>
  <c r="I11301" i="1"/>
  <c r="I11300" i="1"/>
  <c r="I11299" i="1"/>
  <c r="I11298" i="1"/>
  <c r="I11297" i="1"/>
  <c r="I11296" i="1"/>
  <c r="I11295" i="1"/>
  <c r="I11294" i="1"/>
  <c r="I11293" i="1"/>
  <c r="I11292" i="1"/>
  <c r="I11291" i="1"/>
  <c r="I11290" i="1"/>
  <c r="I11289" i="1"/>
  <c r="I11288" i="1"/>
  <c r="I11287" i="1"/>
  <c r="I11286" i="1"/>
  <c r="I11285" i="1"/>
  <c r="I11284" i="1"/>
  <c r="I11283" i="1"/>
  <c r="I11282" i="1"/>
  <c r="I11281" i="1"/>
  <c r="I11280" i="1"/>
  <c r="I11279" i="1"/>
  <c r="I11278" i="1"/>
  <c r="I11277" i="1"/>
  <c r="I11276" i="1"/>
  <c r="I11275" i="1"/>
  <c r="I11274" i="1"/>
  <c r="I11273" i="1"/>
  <c r="I11272" i="1"/>
  <c r="I11271" i="1"/>
  <c r="I11270" i="1"/>
  <c r="I11269" i="1"/>
  <c r="I11268" i="1"/>
  <c r="I11267" i="1"/>
  <c r="I11266" i="1"/>
  <c r="I11265" i="1"/>
  <c r="I11264" i="1"/>
  <c r="I11263" i="1"/>
  <c r="I11262" i="1"/>
  <c r="I11261" i="1"/>
  <c r="I11260" i="1"/>
  <c r="I11259" i="1"/>
  <c r="I11258" i="1"/>
  <c r="I11257" i="1"/>
  <c r="I11256" i="1"/>
  <c r="I11255" i="1"/>
  <c r="I11254" i="1"/>
  <c r="I11253" i="1"/>
  <c r="I11252" i="1"/>
  <c r="I11251" i="1"/>
  <c r="I11250" i="1"/>
  <c r="I11249" i="1"/>
  <c r="I11248" i="1"/>
  <c r="I11247" i="1"/>
  <c r="I11246" i="1"/>
  <c r="I11245" i="1"/>
  <c r="I11244" i="1"/>
  <c r="I11243" i="1"/>
  <c r="I11242" i="1"/>
  <c r="I11241" i="1"/>
  <c r="I11240" i="1"/>
  <c r="I11239" i="1"/>
  <c r="I11238" i="1"/>
  <c r="I11237" i="1"/>
  <c r="I11236" i="1"/>
  <c r="I11235" i="1"/>
  <c r="I11234" i="1"/>
  <c r="I11233" i="1"/>
  <c r="I11232" i="1"/>
  <c r="I11231" i="1"/>
  <c r="I11230" i="1"/>
  <c r="I11229" i="1"/>
  <c r="I11228" i="1"/>
  <c r="I11227" i="1"/>
  <c r="I11226" i="1"/>
  <c r="I11225" i="1"/>
  <c r="I11224" i="1"/>
  <c r="I11223" i="1"/>
  <c r="I11222" i="1"/>
  <c r="I11221" i="1"/>
  <c r="I11220" i="1"/>
  <c r="I11219" i="1"/>
  <c r="I11218" i="1"/>
  <c r="I11217" i="1"/>
  <c r="I11216" i="1"/>
  <c r="I11215" i="1"/>
  <c r="I11214" i="1"/>
  <c r="I11213" i="1"/>
  <c r="I11212" i="1"/>
  <c r="I11211" i="1"/>
  <c r="I11210" i="1"/>
  <c r="I11209" i="1"/>
  <c r="I11208" i="1"/>
  <c r="I11207" i="1"/>
  <c r="I11206" i="1"/>
  <c r="I11205" i="1"/>
  <c r="I11204" i="1"/>
  <c r="I11203" i="1"/>
  <c r="I11202" i="1"/>
  <c r="I11201" i="1"/>
  <c r="I11200" i="1"/>
  <c r="I11199" i="1"/>
  <c r="I11198" i="1"/>
  <c r="I11197" i="1"/>
  <c r="I11196" i="1"/>
  <c r="I11195" i="1"/>
  <c r="I11194" i="1"/>
  <c r="I11193" i="1"/>
  <c r="I11192" i="1"/>
  <c r="I11191" i="1"/>
  <c r="I11190" i="1"/>
  <c r="I11189" i="1"/>
  <c r="I11188" i="1"/>
  <c r="I11187" i="1"/>
  <c r="I11186" i="1"/>
  <c r="I11185" i="1"/>
  <c r="I11184" i="1"/>
  <c r="I11183" i="1"/>
  <c r="I11182" i="1"/>
  <c r="I11181" i="1"/>
  <c r="I11180" i="1"/>
  <c r="I11179" i="1"/>
  <c r="I11178" i="1"/>
  <c r="I11177" i="1"/>
  <c r="I11176" i="1"/>
  <c r="I11175" i="1"/>
  <c r="I11174" i="1"/>
  <c r="I11173" i="1"/>
  <c r="I11172" i="1"/>
  <c r="I11171" i="1"/>
  <c r="I11170" i="1"/>
  <c r="I11169" i="1"/>
  <c r="I11168" i="1"/>
  <c r="I11167" i="1"/>
  <c r="I11166" i="1"/>
  <c r="I11165" i="1"/>
  <c r="I11164" i="1"/>
  <c r="I11163" i="1"/>
  <c r="I11162" i="1"/>
  <c r="I11161" i="1"/>
  <c r="I11160" i="1"/>
  <c r="I11159" i="1"/>
  <c r="I11158" i="1"/>
  <c r="I11157" i="1"/>
  <c r="I11156" i="1"/>
  <c r="I11155" i="1"/>
  <c r="I11154" i="1"/>
  <c r="I11153" i="1"/>
  <c r="I11152" i="1"/>
  <c r="I11151" i="1"/>
  <c r="I11150" i="1"/>
  <c r="I11149" i="1"/>
  <c r="I11148" i="1"/>
  <c r="I11147" i="1"/>
  <c r="I11146" i="1"/>
  <c r="I11145" i="1"/>
  <c r="I11144" i="1"/>
  <c r="I11143" i="1"/>
  <c r="I11142" i="1"/>
  <c r="I11141" i="1"/>
  <c r="I11140" i="1"/>
  <c r="I11139" i="1"/>
  <c r="I11138" i="1"/>
  <c r="I11137" i="1"/>
  <c r="I11136" i="1"/>
  <c r="I11135" i="1"/>
  <c r="I11134" i="1"/>
  <c r="I11133" i="1"/>
  <c r="I11132" i="1"/>
  <c r="I11131" i="1"/>
  <c r="I11130" i="1"/>
  <c r="I11129" i="1"/>
  <c r="I11128" i="1"/>
  <c r="I11127" i="1"/>
  <c r="I11126" i="1"/>
  <c r="I11125" i="1"/>
  <c r="I11124" i="1"/>
  <c r="I11123" i="1"/>
  <c r="I11122" i="1"/>
  <c r="I11121" i="1"/>
  <c r="I11120" i="1"/>
  <c r="I11119" i="1"/>
  <c r="I11118" i="1"/>
  <c r="I11117" i="1"/>
  <c r="I11116" i="1"/>
  <c r="I11115" i="1"/>
  <c r="I11114" i="1"/>
  <c r="I11113" i="1"/>
  <c r="I11112" i="1"/>
  <c r="I11111" i="1"/>
  <c r="I11110" i="1"/>
  <c r="I11109" i="1"/>
  <c r="I11108" i="1"/>
  <c r="I11107" i="1"/>
  <c r="I11106" i="1"/>
  <c r="I11105" i="1"/>
  <c r="I11104" i="1"/>
  <c r="I11103" i="1"/>
  <c r="I11102" i="1"/>
  <c r="I11101" i="1"/>
  <c r="I11100" i="1"/>
  <c r="I11099" i="1"/>
  <c r="I11098" i="1"/>
  <c r="I11097" i="1"/>
  <c r="I11096" i="1"/>
  <c r="I11095" i="1"/>
  <c r="I11094" i="1"/>
  <c r="I11093" i="1"/>
  <c r="I11092" i="1"/>
  <c r="I11091" i="1"/>
  <c r="I11090" i="1"/>
  <c r="I11089" i="1"/>
  <c r="I11088" i="1"/>
  <c r="I11087" i="1"/>
  <c r="I11086" i="1"/>
  <c r="I11085" i="1"/>
  <c r="I11084" i="1"/>
  <c r="I11083" i="1"/>
  <c r="I11082" i="1"/>
  <c r="I11081" i="1"/>
  <c r="I11080" i="1"/>
  <c r="I11079" i="1"/>
  <c r="I11078" i="1"/>
  <c r="I11077" i="1"/>
  <c r="I11076" i="1"/>
  <c r="I11075" i="1"/>
  <c r="I11074" i="1"/>
  <c r="I11073" i="1"/>
  <c r="I11072" i="1"/>
  <c r="I11071" i="1"/>
  <c r="I11070" i="1"/>
  <c r="I11069" i="1"/>
  <c r="I11068" i="1"/>
  <c r="I11067" i="1"/>
  <c r="I11066" i="1"/>
  <c r="I11065" i="1"/>
  <c r="I11064" i="1"/>
  <c r="I11063" i="1"/>
  <c r="I11062" i="1"/>
  <c r="I11061" i="1"/>
  <c r="I11060" i="1"/>
  <c r="I11059" i="1"/>
  <c r="I11058" i="1"/>
  <c r="I11057" i="1"/>
  <c r="I11056" i="1"/>
  <c r="I11055" i="1"/>
  <c r="I11054" i="1"/>
  <c r="I11053" i="1"/>
  <c r="I11052" i="1"/>
  <c r="I11051" i="1"/>
  <c r="I11050" i="1"/>
  <c r="I11049" i="1"/>
  <c r="I11048" i="1"/>
  <c r="I11047" i="1"/>
  <c r="I11046" i="1"/>
  <c r="I11045" i="1"/>
  <c r="I11044" i="1"/>
  <c r="I11043" i="1"/>
  <c r="I11042" i="1"/>
  <c r="I11041" i="1"/>
  <c r="I11040" i="1"/>
  <c r="I11039" i="1"/>
  <c r="I11038" i="1"/>
  <c r="I11037" i="1"/>
  <c r="I11036" i="1"/>
  <c r="I11035" i="1"/>
  <c r="I11034" i="1"/>
  <c r="I11033" i="1"/>
  <c r="I11032" i="1"/>
  <c r="I11031" i="1"/>
  <c r="I11030" i="1"/>
  <c r="I11029" i="1"/>
  <c r="I11028" i="1"/>
  <c r="I11027" i="1"/>
  <c r="I11026" i="1"/>
  <c r="I11025" i="1"/>
  <c r="I11024" i="1"/>
  <c r="I11023" i="1"/>
  <c r="I11022" i="1"/>
  <c r="I11021" i="1"/>
  <c r="I11020" i="1"/>
  <c r="I11019" i="1"/>
  <c r="I11018" i="1"/>
  <c r="I11017" i="1"/>
  <c r="I11016" i="1"/>
  <c r="I11015" i="1"/>
  <c r="I11014" i="1"/>
  <c r="I11013" i="1"/>
  <c r="I11012" i="1"/>
  <c r="I11011" i="1"/>
  <c r="I11010" i="1"/>
  <c r="I11009" i="1"/>
  <c r="I11008" i="1"/>
  <c r="I11007" i="1"/>
  <c r="I11006" i="1"/>
  <c r="I11005" i="1"/>
  <c r="I11004" i="1"/>
  <c r="I11003" i="1"/>
  <c r="I11002" i="1"/>
  <c r="I11001" i="1"/>
  <c r="I11000" i="1"/>
  <c r="I10999" i="1"/>
  <c r="I10998" i="1"/>
  <c r="I10997" i="1"/>
  <c r="I10996" i="1"/>
  <c r="I10995" i="1"/>
  <c r="I10994" i="1"/>
  <c r="I10993" i="1"/>
  <c r="I10992" i="1"/>
  <c r="I10991" i="1"/>
  <c r="I10990" i="1"/>
  <c r="I10989" i="1"/>
  <c r="I10988" i="1"/>
  <c r="I10987" i="1"/>
  <c r="I10986" i="1"/>
  <c r="I10985" i="1"/>
  <c r="I10984" i="1"/>
  <c r="I10983" i="1"/>
  <c r="I10982" i="1"/>
  <c r="I10981" i="1"/>
  <c r="I10980" i="1"/>
  <c r="I10979" i="1"/>
  <c r="I10978" i="1"/>
  <c r="I10977" i="1"/>
  <c r="I10976" i="1"/>
  <c r="I10975" i="1"/>
  <c r="I10974" i="1"/>
  <c r="I10973" i="1"/>
  <c r="I10972" i="1"/>
  <c r="I10971" i="1"/>
  <c r="I10970" i="1"/>
  <c r="I10969" i="1"/>
  <c r="I10968" i="1"/>
  <c r="I10967" i="1"/>
  <c r="I10966" i="1"/>
  <c r="I10965" i="1"/>
  <c r="I10964" i="1"/>
  <c r="I10963" i="1"/>
  <c r="I10962" i="1"/>
  <c r="I10961" i="1"/>
  <c r="I10960" i="1"/>
  <c r="I10959" i="1"/>
  <c r="I10958" i="1"/>
  <c r="I10957" i="1"/>
  <c r="I10956" i="1"/>
  <c r="I10955" i="1"/>
  <c r="I10954" i="1"/>
  <c r="I10953" i="1"/>
  <c r="I10952" i="1"/>
  <c r="I10951" i="1"/>
  <c r="I10950" i="1"/>
  <c r="I10949" i="1"/>
  <c r="I10948" i="1"/>
  <c r="I10947" i="1"/>
  <c r="I10946" i="1"/>
  <c r="I10945" i="1"/>
  <c r="I10944" i="1"/>
  <c r="I10943" i="1"/>
  <c r="I10942" i="1"/>
  <c r="I10941" i="1"/>
  <c r="I10940" i="1"/>
  <c r="I10939" i="1"/>
  <c r="I10938" i="1"/>
  <c r="I10937" i="1"/>
  <c r="I10936" i="1"/>
  <c r="I10935" i="1"/>
  <c r="I10934" i="1"/>
  <c r="I10933" i="1"/>
  <c r="I10932" i="1"/>
  <c r="I10931" i="1"/>
  <c r="I10930" i="1"/>
  <c r="I10929" i="1"/>
  <c r="I10928" i="1"/>
  <c r="I10927" i="1"/>
  <c r="I10926" i="1"/>
  <c r="I10925" i="1"/>
  <c r="I10924" i="1"/>
  <c r="I10923" i="1"/>
  <c r="I10922" i="1"/>
  <c r="I10921" i="1"/>
  <c r="I10920" i="1"/>
  <c r="I10919" i="1"/>
  <c r="I10918" i="1"/>
  <c r="I10917" i="1"/>
  <c r="I10916" i="1"/>
  <c r="I10915" i="1"/>
  <c r="I10914" i="1"/>
  <c r="I10913" i="1"/>
  <c r="I10912" i="1"/>
  <c r="I10911" i="1"/>
  <c r="I10910" i="1"/>
  <c r="I10909" i="1"/>
  <c r="I10908" i="1"/>
  <c r="I10907" i="1"/>
  <c r="I10906" i="1"/>
  <c r="I10905" i="1"/>
  <c r="I10904" i="1"/>
  <c r="I10903" i="1"/>
  <c r="I10902" i="1"/>
  <c r="I10901" i="1"/>
  <c r="I10900" i="1"/>
  <c r="I10899" i="1"/>
  <c r="I10898" i="1"/>
  <c r="I10897" i="1"/>
  <c r="I10896" i="1"/>
  <c r="I10895" i="1"/>
  <c r="I10894" i="1"/>
  <c r="I10893" i="1"/>
  <c r="I10892" i="1"/>
  <c r="I10891" i="1"/>
  <c r="I10890" i="1"/>
  <c r="I10889" i="1"/>
  <c r="I10888" i="1"/>
  <c r="I10887" i="1"/>
  <c r="I10886" i="1"/>
  <c r="I10885" i="1"/>
  <c r="I10884" i="1"/>
  <c r="I10883" i="1"/>
  <c r="I10882" i="1"/>
  <c r="I10881" i="1"/>
  <c r="I10880" i="1"/>
  <c r="I10879" i="1"/>
  <c r="I10878" i="1"/>
  <c r="I10877" i="1"/>
  <c r="I10876" i="1"/>
  <c r="I10875" i="1"/>
  <c r="I10874" i="1"/>
  <c r="I10873" i="1"/>
  <c r="I10872" i="1"/>
  <c r="I10871" i="1"/>
  <c r="I10870" i="1"/>
  <c r="I10869" i="1"/>
  <c r="I10868" i="1"/>
  <c r="I10867" i="1"/>
  <c r="I10866" i="1"/>
  <c r="I10865" i="1"/>
  <c r="I10864" i="1"/>
  <c r="I10863" i="1"/>
  <c r="I10862" i="1"/>
  <c r="I10861" i="1"/>
  <c r="I10860" i="1"/>
  <c r="I10859" i="1"/>
  <c r="I10858" i="1"/>
  <c r="I10857" i="1"/>
  <c r="I10856" i="1"/>
  <c r="I10855" i="1"/>
  <c r="I10854" i="1"/>
  <c r="I10853" i="1"/>
  <c r="I10852" i="1"/>
  <c r="I10851" i="1"/>
  <c r="I10850" i="1"/>
  <c r="I10849" i="1"/>
  <c r="I10848" i="1"/>
  <c r="I10847" i="1"/>
  <c r="I10846" i="1"/>
  <c r="I10845" i="1"/>
  <c r="I10844" i="1"/>
  <c r="I10843" i="1"/>
  <c r="I10842" i="1"/>
  <c r="I10841" i="1"/>
  <c r="I10840" i="1"/>
  <c r="I10839" i="1"/>
  <c r="I10838" i="1"/>
  <c r="I10837" i="1"/>
  <c r="I10836" i="1"/>
  <c r="I10835" i="1"/>
  <c r="I10834" i="1"/>
  <c r="I10833" i="1"/>
  <c r="I10832" i="1"/>
  <c r="I10831" i="1"/>
  <c r="I10830" i="1"/>
  <c r="I10829" i="1"/>
  <c r="I10828" i="1"/>
  <c r="I10827" i="1"/>
  <c r="I10826" i="1"/>
  <c r="I10825" i="1"/>
  <c r="I10824" i="1"/>
  <c r="I10823" i="1"/>
  <c r="I10822" i="1"/>
  <c r="I10821" i="1"/>
  <c r="I10820" i="1"/>
  <c r="I10819" i="1"/>
  <c r="I10818" i="1"/>
  <c r="I10817" i="1"/>
  <c r="I10816" i="1"/>
  <c r="I10815" i="1"/>
  <c r="I10814" i="1"/>
  <c r="I10813" i="1"/>
  <c r="I10812" i="1"/>
  <c r="I10811" i="1"/>
  <c r="I10810" i="1"/>
  <c r="I10809" i="1"/>
  <c r="I10808" i="1"/>
  <c r="I10807" i="1"/>
  <c r="I10806" i="1"/>
  <c r="I10805" i="1"/>
  <c r="I10804" i="1"/>
  <c r="I10803" i="1"/>
  <c r="I10802" i="1"/>
  <c r="I10801" i="1"/>
  <c r="I10800" i="1"/>
  <c r="I10799" i="1"/>
  <c r="I10798" i="1"/>
  <c r="I10797" i="1"/>
  <c r="I10796" i="1"/>
  <c r="I10795" i="1"/>
  <c r="I10794" i="1"/>
  <c r="I10793" i="1"/>
  <c r="I10792" i="1"/>
  <c r="I10791" i="1"/>
  <c r="I10790" i="1"/>
  <c r="I10789" i="1"/>
  <c r="I10788" i="1"/>
  <c r="I10787" i="1"/>
  <c r="I10786" i="1"/>
  <c r="I10785" i="1"/>
  <c r="I10784" i="1"/>
  <c r="I10783" i="1"/>
  <c r="I10782" i="1"/>
  <c r="I10781" i="1"/>
  <c r="I10780" i="1"/>
  <c r="I10779" i="1"/>
  <c r="I10778" i="1"/>
  <c r="I10777" i="1"/>
  <c r="I10776" i="1"/>
  <c r="I10775" i="1"/>
  <c r="I10774" i="1"/>
  <c r="I10773" i="1"/>
  <c r="I10772" i="1"/>
  <c r="I10771" i="1"/>
  <c r="I10770" i="1"/>
  <c r="I10769" i="1"/>
  <c r="I10768" i="1"/>
  <c r="I10767" i="1"/>
  <c r="I10766" i="1"/>
  <c r="I10765" i="1"/>
  <c r="I10764" i="1"/>
  <c r="I10763" i="1"/>
  <c r="I10762" i="1"/>
  <c r="I10761" i="1"/>
  <c r="I10760" i="1"/>
  <c r="I10759" i="1"/>
  <c r="I10758" i="1"/>
  <c r="I10757" i="1"/>
  <c r="I10756" i="1"/>
  <c r="I10755" i="1"/>
  <c r="I10754" i="1"/>
  <c r="I10753" i="1"/>
  <c r="I10752" i="1"/>
  <c r="I10751" i="1"/>
  <c r="I10750" i="1"/>
  <c r="I10749" i="1"/>
  <c r="I10748" i="1"/>
  <c r="I10747" i="1"/>
  <c r="I10746" i="1"/>
  <c r="I10745" i="1"/>
  <c r="I10744" i="1"/>
  <c r="I10743" i="1"/>
  <c r="I10742" i="1"/>
  <c r="I10741" i="1"/>
  <c r="I10740" i="1"/>
  <c r="I10739" i="1"/>
  <c r="I10738" i="1"/>
  <c r="I10737" i="1"/>
  <c r="I10736" i="1"/>
  <c r="I10735" i="1"/>
  <c r="I10734" i="1"/>
  <c r="I10733" i="1"/>
  <c r="I10732" i="1"/>
  <c r="I10731" i="1"/>
  <c r="I10730" i="1"/>
  <c r="I10729" i="1"/>
  <c r="I10728" i="1"/>
  <c r="I10727" i="1"/>
  <c r="I10726" i="1"/>
  <c r="I10725" i="1"/>
  <c r="I10724" i="1"/>
  <c r="I10723" i="1"/>
  <c r="I10722" i="1"/>
  <c r="I10721" i="1"/>
  <c r="I10720" i="1"/>
  <c r="I10719" i="1"/>
  <c r="I10718" i="1"/>
  <c r="I10717" i="1"/>
  <c r="I10716" i="1"/>
  <c r="I10715" i="1"/>
  <c r="I10714" i="1"/>
  <c r="I10713" i="1"/>
  <c r="I10712" i="1"/>
  <c r="I10711" i="1"/>
  <c r="I10710" i="1"/>
  <c r="I10709" i="1"/>
  <c r="I10708" i="1"/>
  <c r="I10707" i="1"/>
  <c r="I10706" i="1"/>
  <c r="I10705" i="1"/>
  <c r="I10704" i="1"/>
  <c r="I10703" i="1"/>
  <c r="I10702" i="1"/>
  <c r="I10701" i="1"/>
  <c r="I10700" i="1"/>
  <c r="I10699" i="1"/>
  <c r="I10698" i="1"/>
  <c r="I10697" i="1"/>
  <c r="I10696" i="1"/>
  <c r="I10695" i="1"/>
  <c r="I10694" i="1"/>
  <c r="I10693" i="1"/>
  <c r="I10692" i="1"/>
  <c r="I10691" i="1"/>
  <c r="I10690" i="1"/>
  <c r="I10689" i="1"/>
  <c r="I10688" i="1"/>
  <c r="I10687" i="1"/>
  <c r="I10686" i="1"/>
  <c r="I10685" i="1"/>
  <c r="I10684" i="1"/>
  <c r="I10683" i="1"/>
  <c r="I10682" i="1"/>
  <c r="I10681" i="1"/>
  <c r="I10680" i="1"/>
  <c r="I10679" i="1"/>
  <c r="I10678" i="1"/>
  <c r="I10677" i="1"/>
  <c r="I10676" i="1"/>
  <c r="I10675" i="1"/>
  <c r="I10674" i="1"/>
  <c r="I10673" i="1"/>
  <c r="I10672" i="1"/>
  <c r="I10671" i="1"/>
  <c r="I10670" i="1"/>
  <c r="I10669" i="1"/>
  <c r="I10668" i="1"/>
  <c r="I10667" i="1"/>
  <c r="I10666" i="1"/>
  <c r="I10665" i="1"/>
  <c r="I10664" i="1"/>
  <c r="I10663" i="1"/>
  <c r="I10662" i="1"/>
  <c r="I10661" i="1"/>
  <c r="I10660" i="1"/>
  <c r="I10659" i="1"/>
  <c r="I10658" i="1"/>
  <c r="I10657" i="1"/>
  <c r="I10656" i="1"/>
  <c r="I10655" i="1"/>
  <c r="I10654" i="1"/>
  <c r="I10653" i="1"/>
  <c r="I10652" i="1"/>
  <c r="I10651" i="1"/>
  <c r="I10650" i="1"/>
  <c r="I10649" i="1"/>
  <c r="I10648" i="1"/>
  <c r="I10647" i="1"/>
  <c r="I10646" i="1"/>
  <c r="I10645" i="1"/>
  <c r="I10644" i="1"/>
  <c r="I10643" i="1"/>
  <c r="I10642" i="1"/>
  <c r="I10641" i="1"/>
  <c r="I10640" i="1"/>
  <c r="I10639" i="1"/>
  <c r="I10638" i="1"/>
  <c r="I10637" i="1"/>
  <c r="I10636" i="1"/>
  <c r="I10635" i="1"/>
  <c r="I10634" i="1"/>
  <c r="I10633" i="1"/>
  <c r="I10632" i="1"/>
  <c r="I10631" i="1"/>
  <c r="I10630" i="1"/>
  <c r="I10629" i="1"/>
  <c r="I10628" i="1"/>
  <c r="I10627" i="1"/>
  <c r="I10626" i="1"/>
  <c r="I10625" i="1"/>
  <c r="I10624" i="1"/>
  <c r="I10623" i="1"/>
  <c r="I10622" i="1"/>
  <c r="I10621" i="1"/>
  <c r="I10620" i="1"/>
  <c r="I10619" i="1"/>
  <c r="I10618" i="1"/>
  <c r="I10617" i="1"/>
  <c r="I10616" i="1"/>
  <c r="I10615" i="1"/>
  <c r="I10614" i="1"/>
  <c r="I10613" i="1"/>
  <c r="I10612" i="1"/>
  <c r="I10611" i="1"/>
  <c r="I10610" i="1"/>
  <c r="I10609" i="1"/>
  <c r="I10608" i="1"/>
  <c r="I10607" i="1"/>
  <c r="I10606" i="1"/>
  <c r="I10605" i="1"/>
  <c r="I10604" i="1"/>
  <c r="I10603" i="1"/>
  <c r="I10602" i="1"/>
  <c r="I10601" i="1"/>
  <c r="I10600" i="1"/>
  <c r="I10599" i="1"/>
  <c r="I10598" i="1"/>
  <c r="I10597" i="1"/>
  <c r="I10596" i="1"/>
  <c r="I10595" i="1"/>
  <c r="I10594" i="1"/>
  <c r="I10593" i="1"/>
  <c r="I10592" i="1"/>
  <c r="I10591" i="1"/>
  <c r="I10590" i="1"/>
  <c r="I10589" i="1"/>
  <c r="I10588" i="1"/>
  <c r="I10587" i="1"/>
  <c r="I10586" i="1"/>
  <c r="I10585" i="1"/>
  <c r="I10584" i="1"/>
  <c r="I10583" i="1"/>
  <c r="I10582" i="1"/>
  <c r="I10581" i="1"/>
  <c r="I10580" i="1"/>
  <c r="I10579" i="1"/>
  <c r="I10578" i="1"/>
  <c r="I10577" i="1"/>
  <c r="I10576" i="1"/>
  <c r="I10575" i="1"/>
  <c r="I10574" i="1"/>
  <c r="I10573" i="1"/>
  <c r="I10572" i="1"/>
  <c r="I10571" i="1"/>
  <c r="I10570" i="1"/>
  <c r="I10569" i="1"/>
  <c r="I10568" i="1"/>
  <c r="I10567" i="1"/>
  <c r="I10566" i="1"/>
  <c r="I10565" i="1"/>
  <c r="I10564" i="1"/>
  <c r="I10563" i="1"/>
  <c r="I10562" i="1"/>
  <c r="I10561" i="1"/>
  <c r="I10560" i="1"/>
  <c r="I10559" i="1"/>
  <c r="I10558" i="1"/>
  <c r="I10557" i="1"/>
  <c r="I10556" i="1"/>
  <c r="I10555" i="1"/>
  <c r="I10554" i="1"/>
  <c r="I10553" i="1"/>
  <c r="I10552" i="1"/>
  <c r="I10551" i="1"/>
  <c r="I10550" i="1"/>
  <c r="I10549" i="1"/>
  <c r="I10548" i="1"/>
  <c r="I10547" i="1"/>
  <c r="I10546" i="1"/>
  <c r="I10545" i="1"/>
  <c r="I10544" i="1"/>
  <c r="I10543" i="1"/>
  <c r="I10542" i="1"/>
  <c r="I10541" i="1"/>
  <c r="I10540" i="1"/>
  <c r="I10539" i="1"/>
  <c r="I10538" i="1"/>
  <c r="I10537" i="1"/>
  <c r="I10536" i="1"/>
  <c r="I10535" i="1"/>
  <c r="I10534" i="1"/>
  <c r="I10533" i="1"/>
  <c r="I10532" i="1"/>
  <c r="I10531" i="1"/>
  <c r="I10530" i="1"/>
  <c r="I10529" i="1"/>
  <c r="I10528" i="1"/>
  <c r="I10527" i="1"/>
  <c r="I10526" i="1"/>
  <c r="I10525" i="1"/>
  <c r="I10524" i="1"/>
  <c r="I10523" i="1"/>
  <c r="I10522" i="1"/>
  <c r="I10521" i="1"/>
  <c r="I10520" i="1"/>
  <c r="I10519" i="1"/>
  <c r="I10518" i="1"/>
  <c r="I10517" i="1"/>
  <c r="I10516" i="1"/>
  <c r="I10515" i="1"/>
  <c r="I10514" i="1"/>
  <c r="I10513" i="1"/>
  <c r="I10512" i="1"/>
  <c r="I10511" i="1"/>
  <c r="I10510" i="1"/>
  <c r="I10509" i="1"/>
  <c r="I10508" i="1"/>
  <c r="I10507" i="1"/>
  <c r="I10506" i="1"/>
  <c r="I10505" i="1"/>
  <c r="I10504" i="1"/>
  <c r="I10503" i="1"/>
  <c r="I10502" i="1"/>
  <c r="I10501" i="1"/>
  <c r="I10500" i="1"/>
  <c r="I10499" i="1"/>
  <c r="I10498" i="1"/>
  <c r="I10497" i="1"/>
  <c r="I10496" i="1"/>
  <c r="I10495" i="1"/>
  <c r="I10494" i="1"/>
  <c r="I10493" i="1"/>
  <c r="I10492" i="1"/>
  <c r="I10491" i="1"/>
  <c r="I10490" i="1"/>
  <c r="I10489" i="1"/>
  <c r="I10488" i="1"/>
  <c r="I10487" i="1"/>
  <c r="I10486" i="1"/>
  <c r="I10485" i="1"/>
  <c r="I10484" i="1"/>
  <c r="I10483" i="1"/>
  <c r="I10482" i="1"/>
  <c r="I10481" i="1"/>
  <c r="I10480" i="1"/>
  <c r="I10479" i="1"/>
  <c r="I10478" i="1"/>
  <c r="I10477" i="1"/>
  <c r="I10476" i="1"/>
  <c r="I10475" i="1"/>
  <c r="I10474" i="1"/>
  <c r="I10473" i="1"/>
  <c r="I10472" i="1"/>
  <c r="I10471" i="1"/>
  <c r="I10470" i="1"/>
  <c r="I10469" i="1"/>
  <c r="I10468" i="1"/>
  <c r="I10467" i="1"/>
  <c r="I10466" i="1"/>
  <c r="I10465" i="1"/>
  <c r="I10464" i="1"/>
  <c r="I10463" i="1"/>
  <c r="I10462" i="1"/>
  <c r="I10461" i="1"/>
  <c r="I10460" i="1"/>
  <c r="I10459" i="1"/>
  <c r="I10458" i="1"/>
  <c r="I10457" i="1"/>
  <c r="I10456" i="1"/>
  <c r="I10455" i="1"/>
  <c r="I10454" i="1"/>
  <c r="I10453" i="1"/>
  <c r="I10452" i="1"/>
  <c r="I10451" i="1"/>
  <c r="I10450" i="1"/>
  <c r="I10449" i="1"/>
  <c r="I10448" i="1"/>
  <c r="I10447" i="1"/>
  <c r="I10446" i="1"/>
  <c r="I10445" i="1"/>
  <c r="I10444" i="1"/>
  <c r="I10443" i="1"/>
  <c r="I10442" i="1"/>
  <c r="I10441" i="1"/>
  <c r="I10440" i="1"/>
  <c r="I10439" i="1"/>
  <c r="I10438" i="1"/>
  <c r="I10437" i="1"/>
  <c r="I10436" i="1"/>
  <c r="I10435" i="1"/>
  <c r="I10434" i="1"/>
  <c r="I10433" i="1"/>
  <c r="I10432" i="1"/>
  <c r="I10431" i="1"/>
  <c r="I10430" i="1"/>
  <c r="I10429" i="1"/>
  <c r="I10428" i="1"/>
  <c r="I10427" i="1"/>
  <c r="I10426" i="1"/>
  <c r="I10425" i="1"/>
  <c r="I10424" i="1"/>
  <c r="I10423" i="1"/>
  <c r="I10422" i="1"/>
  <c r="I10421" i="1"/>
  <c r="I10420" i="1"/>
  <c r="I10419" i="1"/>
  <c r="I10418" i="1"/>
  <c r="I10417" i="1"/>
  <c r="I10416" i="1"/>
  <c r="I10415" i="1"/>
  <c r="I10414" i="1"/>
  <c r="I10413" i="1"/>
  <c r="I10412" i="1"/>
  <c r="I10411" i="1"/>
  <c r="I10410" i="1"/>
  <c r="I10409" i="1"/>
  <c r="I10408" i="1"/>
  <c r="I10407" i="1"/>
  <c r="I10406" i="1"/>
  <c r="I10405" i="1"/>
  <c r="I10404" i="1"/>
  <c r="I10403" i="1"/>
  <c r="I10402" i="1"/>
  <c r="I10401" i="1"/>
  <c r="I10400" i="1"/>
  <c r="I10399" i="1"/>
  <c r="I10398" i="1"/>
  <c r="I10397" i="1"/>
  <c r="I10396" i="1"/>
  <c r="I10395" i="1"/>
  <c r="I10394" i="1"/>
  <c r="I10393" i="1"/>
  <c r="I10392" i="1"/>
  <c r="I10391" i="1"/>
  <c r="I10390" i="1"/>
  <c r="I10389" i="1"/>
  <c r="I10388" i="1"/>
  <c r="I10387" i="1"/>
  <c r="I10386" i="1"/>
  <c r="I10385" i="1"/>
  <c r="I10384" i="1"/>
  <c r="I10383" i="1"/>
  <c r="I10382" i="1"/>
  <c r="I10381" i="1"/>
  <c r="I10380" i="1"/>
  <c r="I10379" i="1"/>
  <c r="I10378" i="1"/>
  <c r="I10377" i="1"/>
  <c r="I10376" i="1"/>
  <c r="I10375" i="1"/>
  <c r="I10374" i="1"/>
  <c r="I10373" i="1"/>
  <c r="I10372" i="1"/>
  <c r="I10371" i="1"/>
  <c r="I10370" i="1"/>
  <c r="I10369" i="1"/>
  <c r="I10368" i="1"/>
  <c r="I10367" i="1"/>
  <c r="I10366" i="1"/>
  <c r="I10365" i="1"/>
  <c r="I10364" i="1"/>
  <c r="I10363" i="1"/>
  <c r="I10362" i="1"/>
  <c r="I10361" i="1"/>
  <c r="I10360" i="1"/>
  <c r="I10359" i="1"/>
  <c r="I10358" i="1"/>
  <c r="I10357" i="1"/>
  <c r="I10356" i="1"/>
  <c r="I10355" i="1"/>
  <c r="I10354" i="1"/>
  <c r="I10353" i="1"/>
  <c r="I10352" i="1"/>
  <c r="I10351" i="1"/>
  <c r="I10350" i="1"/>
  <c r="I10349" i="1"/>
  <c r="I10348" i="1"/>
  <c r="I10347" i="1"/>
  <c r="I10346" i="1"/>
  <c r="I10345" i="1"/>
  <c r="I10344" i="1"/>
  <c r="I10343" i="1"/>
  <c r="I10342" i="1"/>
  <c r="I10341" i="1"/>
  <c r="I10340" i="1"/>
  <c r="I10339" i="1"/>
  <c r="I10338" i="1"/>
  <c r="I10337" i="1"/>
  <c r="I10336" i="1"/>
  <c r="I10335" i="1"/>
  <c r="I10334" i="1"/>
  <c r="I10333" i="1"/>
  <c r="I10332" i="1"/>
  <c r="I10331" i="1"/>
  <c r="I10330" i="1"/>
  <c r="I10329" i="1"/>
  <c r="I10328" i="1"/>
  <c r="I10327" i="1"/>
  <c r="I10326" i="1"/>
  <c r="I10325" i="1"/>
  <c r="I10324" i="1"/>
  <c r="I10323" i="1"/>
  <c r="I10322" i="1"/>
  <c r="I10321" i="1"/>
  <c r="I10320" i="1"/>
  <c r="I10319" i="1"/>
  <c r="I10318" i="1"/>
  <c r="I10317" i="1"/>
  <c r="I10316" i="1"/>
  <c r="I10315" i="1"/>
  <c r="I10314" i="1"/>
  <c r="I10313" i="1"/>
  <c r="I10312" i="1"/>
  <c r="I10311" i="1"/>
  <c r="I10310" i="1"/>
  <c r="I10309" i="1"/>
  <c r="I10308" i="1"/>
  <c r="I10307" i="1"/>
  <c r="I10306" i="1"/>
  <c r="I10305" i="1"/>
  <c r="I10304" i="1"/>
  <c r="I10303" i="1"/>
  <c r="I10302" i="1"/>
  <c r="I10301" i="1"/>
  <c r="I10300" i="1"/>
  <c r="I10299" i="1"/>
  <c r="I10298" i="1"/>
  <c r="I10297" i="1"/>
  <c r="I10296" i="1"/>
  <c r="I10295" i="1"/>
  <c r="I10294" i="1"/>
  <c r="I10293" i="1"/>
  <c r="I10292" i="1"/>
  <c r="I10291" i="1"/>
  <c r="I10290" i="1"/>
  <c r="I10289" i="1"/>
  <c r="I10288" i="1"/>
  <c r="I10287" i="1"/>
  <c r="I10286" i="1"/>
  <c r="I10285" i="1"/>
  <c r="I10284" i="1"/>
  <c r="I10283" i="1"/>
  <c r="I10282" i="1"/>
  <c r="I10281" i="1"/>
  <c r="I10280" i="1"/>
  <c r="I10279" i="1"/>
  <c r="I10278" i="1"/>
  <c r="I10277" i="1"/>
  <c r="I10276" i="1"/>
  <c r="I10275" i="1"/>
  <c r="I10274" i="1"/>
  <c r="I10273" i="1"/>
  <c r="I10272" i="1"/>
  <c r="I10271" i="1"/>
  <c r="I10270" i="1"/>
  <c r="I10269" i="1"/>
  <c r="I10268" i="1"/>
  <c r="I10267" i="1"/>
  <c r="I10266" i="1"/>
  <c r="I10265" i="1"/>
  <c r="I10264" i="1"/>
  <c r="I10263" i="1"/>
  <c r="I10262" i="1"/>
  <c r="I10261" i="1"/>
  <c r="I10260" i="1"/>
  <c r="I10259" i="1"/>
  <c r="I10258" i="1"/>
  <c r="I10257" i="1"/>
  <c r="I10256" i="1"/>
  <c r="I10255" i="1"/>
  <c r="I10254" i="1"/>
  <c r="I10253" i="1"/>
  <c r="I10252" i="1"/>
  <c r="I10251" i="1"/>
  <c r="I10250" i="1"/>
  <c r="I10249" i="1"/>
  <c r="I10248" i="1"/>
  <c r="I10247" i="1"/>
  <c r="I10246" i="1"/>
  <c r="I10245" i="1"/>
  <c r="I10244" i="1"/>
  <c r="I10243" i="1"/>
  <c r="I10242" i="1"/>
  <c r="I10241" i="1"/>
  <c r="I10240" i="1"/>
  <c r="I10239" i="1"/>
  <c r="I10238" i="1"/>
  <c r="I10237" i="1"/>
  <c r="I10236" i="1"/>
  <c r="I10235" i="1"/>
  <c r="I10234" i="1"/>
  <c r="I10233" i="1"/>
  <c r="I10232" i="1"/>
  <c r="I10231" i="1"/>
  <c r="I10230" i="1"/>
  <c r="I10229" i="1"/>
  <c r="I10228" i="1"/>
  <c r="I10227" i="1"/>
  <c r="I10226" i="1"/>
  <c r="I10225" i="1"/>
  <c r="I10224" i="1"/>
  <c r="I10223" i="1"/>
  <c r="I10222" i="1"/>
  <c r="I10221" i="1"/>
  <c r="I10220" i="1"/>
  <c r="I10219" i="1"/>
  <c r="I10218" i="1"/>
  <c r="I10217" i="1"/>
  <c r="I10216" i="1"/>
  <c r="I10215" i="1"/>
  <c r="I10214" i="1"/>
  <c r="I10213" i="1"/>
  <c r="I10212" i="1"/>
  <c r="I10211" i="1"/>
  <c r="I10210" i="1"/>
  <c r="I10209" i="1"/>
  <c r="I10208" i="1"/>
  <c r="I10207" i="1"/>
  <c r="I10206" i="1"/>
  <c r="I10205" i="1"/>
  <c r="I10204" i="1"/>
  <c r="I10203" i="1"/>
  <c r="I10202" i="1"/>
  <c r="I10201" i="1"/>
  <c r="I10200" i="1"/>
  <c r="I10199" i="1"/>
  <c r="I10198" i="1"/>
  <c r="I10197" i="1"/>
  <c r="I10196" i="1"/>
  <c r="I10195" i="1"/>
  <c r="I10194" i="1"/>
  <c r="I10193" i="1"/>
  <c r="I10192" i="1"/>
  <c r="I10191" i="1"/>
  <c r="I10190" i="1"/>
  <c r="I10189" i="1"/>
  <c r="I10188" i="1"/>
  <c r="I10187" i="1"/>
  <c r="I10186" i="1"/>
  <c r="I10185" i="1"/>
  <c r="I10184" i="1"/>
  <c r="I10183" i="1"/>
  <c r="I10182" i="1"/>
  <c r="I10181" i="1"/>
  <c r="I10180" i="1"/>
  <c r="I10179" i="1"/>
  <c r="I10178" i="1"/>
  <c r="I10177" i="1"/>
  <c r="I10176" i="1"/>
  <c r="I10175" i="1"/>
  <c r="I10174" i="1"/>
  <c r="I10173" i="1"/>
  <c r="I10172" i="1"/>
  <c r="I10171" i="1"/>
  <c r="I10170" i="1"/>
  <c r="I10169" i="1"/>
  <c r="I10168" i="1"/>
  <c r="I10167" i="1"/>
  <c r="I10166" i="1"/>
  <c r="I10165" i="1"/>
  <c r="I10164" i="1"/>
  <c r="I10163" i="1"/>
  <c r="I10162" i="1"/>
  <c r="I10161" i="1"/>
  <c r="I10160" i="1"/>
  <c r="I10159" i="1"/>
  <c r="I10158" i="1"/>
  <c r="I10157" i="1"/>
  <c r="I10156" i="1"/>
  <c r="I10155" i="1"/>
  <c r="I10154" i="1"/>
  <c r="I10153" i="1"/>
  <c r="I10152" i="1"/>
  <c r="I10151" i="1"/>
  <c r="I10150" i="1"/>
  <c r="I10149" i="1"/>
  <c r="I10148" i="1"/>
  <c r="I10147" i="1"/>
  <c r="I10146" i="1"/>
  <c r="I10145" i="1"/>
  <c r="I10144" i="1"/>
  <c r="I10143" i="1"/>
  <c r="I10142" i="1"/>
  <c r="I10141" i="1"/>
  <c r="I10140" i="1"/>
  <c r="I10139" i="1"/>
  <c r="I10138" i="1"/>
  <c r="I10137" i="1"/>
  <c r="I10136" i="1"/>
  <c r="I10135" i="1"/>
  <c r="I10134" i="1"/>
  <c r="I10133" i="1"/>
  <c r="I10132" i="1"/>
  <c r="I10131" i="1"/>
  <c r="I10130" i="1"/>
  <c r="I10129" i="1"/>
  <c r="I10128" i="1"/>
  <c r="I10127" i="1"/>
  <c r="I10126" i="1"/>
  <c r="I10125" i="1"/>
  <c r="I10124" i="1"/>
  <c r="I10123" i="1"/>
  <c r="I10122" i="1"/>
  <c r="I10121" i="1"/>
  <c r="I10120" i="1"/>
  <c r="I10119" i="1"/>
  <c r="I10118" i="1"/>
  <c r="I10117" i="1"/>
  <c r="I10116" i="1"/>
  <c r="I10115" i="1"/>
  <c r="I10114" i="1"/>
  <c r="I10113" i="1"/>
  <c r="I10112" i="1"/>
  <c r="I10111" i="1"/>
  <c r="I10110" i="1"/>
  <c r="I10109" i="1"/>
  <c r="I10108" i="1"/>
  <c r="I10107" i="1"/>
  <c r="I10106" i="1"/>
  <c r="I10105" i="1"/>
  <c r="I10104" i="1"/>
  <c r="I10103" i="1"/>
  <c r="I10102" i="1"/>
  <c r="I10101" i="1"/>
  <c r="I10100" i="1"/>
  <c r="I10099" i="1"/>
  <c r="I10098" i="1"/>
  <c r="I10097" i="1"/>
  <c r="I10096" i="1"/>
  <c r="I10095" i="1"/>
  <c r="I10094" i="1"/>
  <c r="I10093" i="1"/>
  <c r="I10092" i="1"/>
  <c r="I10091" i="1"/>
  <c r="I10090" i="1"/>
  <c r="I10089" i="1"/>
  <c r="I10088" i="1"/>
  <c r="I10087" i="1"/>
  <c r="I10086" i="1"/>
  <c r="I10085" i="1"/>
  <c r="I10084" i="1"/>
  <c r="I10083" i="1"/>
  <c r="I10082" i="1"/>
  <c r="I10081" i="1"/>
  <c r="I10080" i="1"/>
  <c r="I10079" i="1"/>
  <c r="I10078" i="1"/>
  <c r="I10077" i="1"/>
  <c r="I10076" i="1"/>
  <c r="I10075" i="1"/>
  <c r="I10074" i="1"/>
  <c r="I10073" i="1"/>
  <c r="I10072" i="1"/>
  <c r="I10071" i="1"/>
  <c r="I10070" i="1"/>
  <c r="I10069" i="1"/>
  <c r="I10068" i="1"/>
  <c r="I10067" i="1"/>
  <c r="I10066" i="1"/>
  <c r="I10065" i="1"/>
  <c r="I10064" i="1"/>
  <c r="I10063" i="1"/>
  <c r="I10062" i="1"/>
  <c r="I10061" i="1"/>
  <c r="I10060" i="1"/>
  <c r="I10059" i="1"/>
  <c r="I10058" i="1"/>
  <c r="I10057" i="1"/>
  <c r="I10056" i="1"/>
  <c r="I10055" i="1"/>
  <c r="I10054" i="1"/>
  <c r="I10053" i="1"/>
  <c r="I10052" i="1"/>
  <c r="I10051" i="1"/>
  <c r="I10050" i="1"/>
  <c r="I10049" i="1"/>
  <c r="I10048" i="1"/>
  <c r="I10047" i="1"/>
  <c r="I10046" i="1"/>
  <c r="I10045" i="1"/>
  <c r="I10044" i="1"/>
  <c r="I10043" i="1"/>
  <c r="I10042" i="1"/>
  <c r="I10041" i="1"/>
  <c r="I10040" i="1"/>
  <c r="I10039" i="1"/>
  <c r="I10038" i="1"/>
  <c r="I10037" i="1"/>
  <c r="I10036" i="1"/>
  <c r="I10035" i="1"/>
  <c r="I10034" i="1"/>
  <c r="I10033" i="1"/>
  <c r="I10032" i="1"/>
  <c r="I10031" i="1"/>
  <c r="I10030" i="1"/>
  <c r="I10029" i="1"/>
  <c r="I10028" i="1"/>
  <c r="I10027" i="1"/>
  <c r="I10026" i="1"/>
  <c r="I10025" i="1"/>
  <c r="I10024" i="1"/>
  <c r="I10023" i="1"/>
  <c r="I10022" i="1"/>
  <c r="I10021" i="1"/>
  <c r="I10020" i="1"/>
  <c r="I10019" i="1"/>
  <c r="I10018" i="1"/>
  <c r="I10017" i="1"/>
  <c r="I10016" i="1"/>
  <c r="I10015" i="1"/>
  <c r="I10014" i="1"/>
  <c r="I10013" i="1"/>
  <c r="I10012" i="1"/>
  <c r="I10011" i="1"/>
  <c r="I10010" i="1"/>
  <c r="I10009" i="1"/>
  <c r="I10008" i="1"/>
  <c r="I10007" i="1"/>
  <c r="I10006" i="1"/>
  <c r="I10005" i="1"/>
  <c r="I10004" i="1"/>
  <c r="I10003" i="1"/>
  <c r="I10002" i="1"/>
  <c r="I10001" i="1"/>
  <c r="I10000" i="1"/>
  <c r="I9999" i="1"/>
  <c r="I9998" i="1"/>
  <c r="I9997" i="1"/>
  <c r="I9996" i="1"/>
  <c r="I9995" i="1"/>
  <c r="I9994" i="1"/>
  <c r="I9993" i="1"/>
  <c r="I9992" i="1"/>
  <c r="I9991" i="1"/>
  <c r="I9990" i="1"/>
  <c r="I9989" i="1"/>
  <c r="I9988" i="1"/>
  <c r="I9987" i="1"/>
  <c r="I9986" i="1"/>
  <c r="I9985" i="1"/>
  <c r="I9984" i="1"/>
  <c r="I9983" i="1"/>
  <c r="I9982" i="1"/>
  <c r="I9981" i="1"/>
  <c r="I9980" i="1"/>
  <c r="I9979" i="1"/>
  <c r="I9978" i="1"/>
  <c r="I9977" i="1"/>
  <c r="I9976" i="1"/>
  <c r="I9975" i="1"/>
  <c r="I9974" i="1"/>
  <c r="I9973" i="1"/>
  <c r="I9972" i="1"/>
  <c r="I9971" i="1"/>
  <c r="I9970" i="1"/>
  <c r="I9969" i="1"/>
  <c r="I9968" i="1"/>
  <c r="I9967" i="1"/>
  <c r="I9966" i="1"/>
  <c r="I9965" i="1"/>
  <c r="I9964" i="1"/>
  <c r="I9963" i="1"/>
  <c r="I9962" i="1"/>
  <c r="I9961" i="1"/>
  <c r="I9960" i="1"/>
  <c r="I9959" i="1"/>
  <c r="I9958" i="1"/>
  <c r="I9957" i="1"/>
  <c r="I9956" i="1"/>
  <c r="I9955" i="1"/>
  <c r="I9954" i="1"/>
  <c r="I9953" i="1"/>
  <c r="I9952" i="1"/>
  <c r="I9951" i="1"/>
  <c r="I9950" i="1"/>
  <c r="I9949" i="1"/>
  <c r="I9948" i="1"/>
  <c r="I9947" i="1"/>
  <c r="I9946" i="1"/>
  <c r="I9945" i="1"/>
  <c r="I9944" i="1"/>
  <c r="I9943" i="1"/>
  <c r="I9942" i="1"/>
  <c r="I9941" i="1"/>
  <c r="I9940" i="1"/>
  <c r="I9939" i="1"/>
  <c r="I9938" i="1"/>
  <c r="I9937" i="1"/>
  <c r="I9936" i="1"/>
  <c r="I9935" i="1"/>
  <c r="I9934" i="1"/>
  <c r="I9933" i="1"/>
  <c r="I9932" i="1"/>
  <c r="I9931" i="1"/>
  <c r="I9930" i="1"/>
  <c r="I9929" i="1"/>
  <c r="I9928" i="1"/>
  <c r="I9927" i="1"/>
  <c r="I9926" i="1"/>
  <c r="I9925" i="1"/>
  <c r="I9924" i="1"/>
  <c r="I9923" i="1"/>
  <c r="I9922" i="1"/>
  <c r="I9921" i="1"/>
  <c r="I9920" i="1"/>
  <c r="I9919" i="1"/>
  <c r="I9918" i="1"/>
  <c r="I9917" i="1"/>
  <c r="I9916" i="1"/>
  <c r="I9915" i="1"/>
  <c r="I9914" i="1"/>
  <c r="I9913" i="1"/>
  <c r="I9912" i="1"/>
  <c r="I9911" i="1"/>
  <c r="I9910" i="1"/>
  <c r="I9909" i="1"/>
  <c r="I9908" i="1"/>
  <c r="I9907" i="1"/>
  <c r="I9906" i="1"/>
  <c r="I9905" i="1"/>
  <c r="I9904" i="1"/>
  <c r="I9903" i="1"/>
  <c r="I9902" i="1"/>
  <c r="I9901" i="1"/>
  <c r="I9900" i="1"/>
  <c r="I9899" i="1"/>
  <c r="I9898" i="1"/>
  <c r="I9897" i="1"/>
  <c r="I9896" i="1"/>
  <c r="I9895" i="1"/>
  <c r="I9894" i="1"/>
  <c r="I9893" i="1"/>
  <c r="I9892" i="1"/>
  <c r="I9891" i="1"/>
  <c r="I9890" i="1"/>
  <c r="I9889" i="1"/>
  <c r="I9888" i="1"/>
  <c r="I9887" i="1"/>
  <c r="I9886" i="1"/>
  <c r="I9885" i="1"/>
  <c r="I9884" i="1"/>
  <c r="I9883" i="1"/>
  <c r="I9882" i="1"/>
  <c r="I9881" i="1"/>
  <c r="I9880" i="1"/>
  <c r="I9879" i="1"/>
  <c r="I9878" i="1"/>
  <c r="I9877" i="1"/>
  <c r="I9876" i="1"/>
  <c r="I9875" i="1"/>
  <c r="I9874" i="1"/>
  <c r="I9873" i="1"/>
  <c r="I9872" i="1"/>
  <c r="I9871" i="1"/>
  <c r="I9870" i="1"/>
  <c r="I9869" i="1"/>
  <c r="I9868" i="1"/>
  <c r="I9867" i="1"/>
  <c r="I9866" i="1"/>
  <c r="I9865" i="1"/>
  <c r="I9864" i="1"/>
  <c r="I9863" i="1"/>
  <c r="I9862" i="1"/>
  <c r="I9861" i="1"/>
  <c r="I9860" i="1"/>
  <c r="I9859" i="1"/>
  <c r="I9858" i="1"/>
  <c r="I9857" i="1"/>
  <c r="I9856" i="1"/>
  <c r="I9855" i="1"/>
  <c r="I9854" i="1"/>
  <c r="I9853" i="1"/>
  <c r="I9852" i="1"/>
  <c r="I9851" i="1"/>
  <c r="I9850" i="1"/>
  <c r="I9849" i="1"/>
  <c r="I9848" i="1"/>
  <c r="I9847" i="1"/>
  <c r="I9846" i="1"/>
  <c r="I9845" i="1"/>
  <c r="I9844" i="1"/>
  <c r="I9843" i="1"/>
  <c r="I9842" i="1"/>
  <c r="I9841" i="1"/>
  <c r="I9840" i="1"/>
  <c r="I9839" i="1"/>
  <c r="I9838" i="1"/>
  <c r="I9837" i="1"/>
  <c r="I9836" i="1"/>
  <c r="I9835" i="1"/>
  <c r="I9834" i="1"/>
  <c r="I9833" i="1"/>
  <c r="I9832" i="1"/>
  <c r="I9831" i="1"/>
  <c r="I9830" i="1"/>
  <c r="I9829" i="1"/>
  <c r="I9828" i="1"/>
  <c r="I9827" i="1"/>
  <c r="I9826" i="1"/>
  <c r="I9825" i="1"/>
  <c r="I9824" i="1"/>
  <c r="I9823" i="1"/>
  <c r="I9822" i="1"/>
  <c r="I9821" i="1"/>
  <c r="I9820" i="1"/>
  <c r="I9819" i="1"/>
  <c r="I9818" i="1"/>
  <c r="I9817" i="1"/>
  <c r="I9816" i="1"/>
  <c r="I9815" i="1"/>
  <c r="I9814" i="1"/>
  <c r="I9813" i="1"/>
  <c r="I9812" i="1"/>
  <c r="I9811" i="1"/>
  <c r="I9810" i="1"/>
  <c r="I9809" i="1"/>
  <c r="I9808" i="1"/>
  <c r="I9807" i="1"/>
  <c r="I9806" i="1"/>
  <c r="I9805" i="1"/>
  <c r="I9804" i="1"/>
  <c r="I9803" i="1"/>
  <c r="I9802" i="1"/>
  <c r="I9801" i="1"/>
  <c r="I9800" i="1"/>
  <c r="I9799" i="1"/>
  <c r="I9798" i="1"/>
  <c r="I9797" i="1"/>
  <c r="I9796" i="1"/>
  <c r="I9795" i="1"/>
  <c r="I9794" i="1"/>
  <c r="I9793" i="1"/>
  <c r="I9792" i="1"/>
  <c r="I9791" i="1"/>
  <c r="I9790" i="1"/>
  <c r="I9789" i="1"/>
  <c r="I9788" i="1"/>
  <c r="I9787" i="1"/>
  <c r="I9786" i="1"/>
  <c r="I9785" i="1"/>
  <c r="I9784" i="1"/>
  <c r="I9783" i="1"/>
  <c r="I9782" i="1"/>
  <c r="I9781" i="1"/>
  <c r="I9780" i="1"/>
  <c r="I9779" i="1"/>
  <c r="I9778" i="1"/>
  <c r="I9777" i="1"/>
  <c r="I9776" i="1"/>
  <c r="I9775" i="1"/>
  <c r="I9774" i="1"/>
  <c r="I9773" i="1"/>
  <c r="I9772" i="1"/>
  <c r="I9771" i="1"/>
  <c r="I9770" i="1"/>
  <c r="I9769" i="1"/>
  <c r="I9768" i="1"/>
  <c r="I9767" i="1"/>
  <c r="I9766" i="1"/>
  <c r="I9765" i="1"/>
  <c r="I9764" i="1"/>
  <c r="I9763" i="1"/>
  <c r="I9762" i="1"/>
  <c r="I9761" i="1"/>
  <c r="I9760" i="1"/>
  <c r="I9759" i="1"/>
  <c r="I9758" i="1"/>
  <c r="I9757" i="1"/>
  <c r="I9756" i="1"/>
  <c r="I9755" i="1"/>
  <c r="I9754" i="1"/>
  <c r="I9753" i="1"/>
  <c r="I9752" i="1"/>
  <c r="I9751" i="1"/>
  <c r="I9750" i="1"/>
  <c r="I9749" i="1"/>
  <c r="I9748" i="1"/>
  <c r="I9747" i="1"/>
  <c r="I9746" i="1"/>
  <c r="I9745" i="1"/>
  <c r="I9744" i="1"/>
  <c r="I9743" i="1"/>
  <c r="I9742" i="1"/>
  <c r="I9741" i="1"/>
  <c r="I9740" i="1"/>
  <c r="I9739" i="1"/>
  <c r="I9738" i="1"/>
  <c r="I9737" i="1"/>
  <c r="I9736" i="1"/>
  <c r="I9735" i="1"/>
  <c r="I9734" i="1"/>
  <c r="I9733" i="1"/>
  <c r="I9732" i="1"/>
  <c r="I9731" i="1"/>
  <c r="I9730" i="1"/>
  <c r="I9729" i="1"/>
  <c r="I9728" i="1"/>
  <c r="I9727" i="1"/>
  <c r="I9726" i="1"/>
  <c r="I9725" i="1"/>
  <c r="I9724" i="1"/>
  <c r="I9723" i="1"/>
  <c r="I9722" i="1"/>
  <c r="I9721" i="1"/>
  <c r="I9720" i="1"/>
  <c r="I9719" i="1"/>
  <c r="I9718" i="1"/>
  <c r="I9717" i="1"/>
  <c r="I9716" i="1"/>
  <c r="I9715" i="1"/>
  <c r="I9714" i="1"/>
  <c r="I9713" i="1"/>
  <c r="I9712" i="1"/>
  <c r="I9711" i="1"/>
  <c r="I9710" i="1"/>
  <c r="I9709" i="1"/>
  <c r="I9708" i="1"/>
  <c r="I9707" i="1"/>
  <c r="I9706" i="1"/>
  <c r="I9705" i="1"/>
  <c r="I9704" i="1"/>
  <c r="I9703" i="1"/>
  <c r="I9702" i="1"/>
  <c r="I9701" i="1"/>
  <c r="I9700" i="1"/>
  <c r="I9699" i="1"/>
  <c r="I9698" i="1"/>
  <c r="I9697" i="1"/>
  <c r="I9696" i="1"/>
  <c r="I9695" i="1"/>
  <c r="I9694" i="1"/>
  <c r="I9693" i="1"/>
  <c r="I9692" i="1"/>
  <c r="I9691" i="1"/>
  <c r="I9690" i="1"/>
  <c r="I9689" i="1"/>
  <c r="I9688" i="1"/>
  <c r="I9687" i="1"/>
  <c r="I9686" i="1"/>
  <c r="I9685" i="1"/>
  <c r="I9684" i="1"/>
  <c r="I9683" i="1"/>
  <c r="I9682" i="1"/>
  <c r="I9681" i="1"/>
  <c r="I9680" i="1"/>
  <c r="I9679" i="1"/>
  <c r="I9678" i="1"/>
  <c r="I9677" i="1"/>
  <c r="I9676" i="1"/>
  <c r="I9675" i="1"/>
  <c r="I9674" i="1"/>
  <c r="I9673" i="1"/>
  <c r="I9672" i="1"/>
  <c r="I9671" i="1"/>
  <c r="I9670" i="1"/>
  <c r="I9669" i="1"/>
  <c r="I9668" i="1"/>
  <c r="I9667" i="1"/>
  <c r="I9666" i="1"/>
  <c r="I9665" i="1"/>
  <c r="I9664" i="1"/>
  <c r="I9663" i="1"/>
  <c r="I9662" i="1"/>
  <c r="I9661" i="1"/>
  <c r="I9660" i="1"/>
  <c r="I9659" i="1"/>
  <c r="I9658" i="1"/>
  <c r="I9657" i="1"/>
  <c r="I9656" i="1"/>
  <c r="I9655" i="1"/>
  <c r="I9654" i="1"/>
  <c r="I9653" i="1"/>
  <c r="I9652" i="1"/>
  <c r="I9651" i="1"/>
  <c r="I9650" i="1"/>
  <c r="I9649" i="1"/>
  <c r="I9648" i="1"/>
  <c r="I9647" i="1"/>
  <c r="I9646" i="1"/>
  <c r="I9645" i="1"/>
  <c r="I9644" i="1"/>
  <c r="I9643" i="1"/>
  <c r="I9642" i="1"/>
  <c r="I9641" i="1"/>
  <c r="I9640" i="1"/>
  <c r="I9639" i="1"/>
  <c r="I9638" i="1"/>
  <c r="I9637" i="1"/>
  <c r="I9636" i="1"/>
  <c r="I9635" i="1"/>
  <c r="I9634" i="1"/>
  <c r="I9633" i="1"/>
  <c r="I9632" i="1"/>
  <c r="I9631" i="1"/>
  <c r="I9630" i="1"/>
  <c r="I9629" i="1"/>
  <c r="I9628" i="1"/>
  <c r="I9627" i="1"/>
  <c r="I9626" i="1"/>
  <c r="I9625" i="1"/>
  <c r="I9624" i="1"/>
  <c r="I9623" i="1"/>
  <c r="I9622" i="1"/>
  <c r="I9621" i="1"/>
  <c r="I9620" i="1"/>
  <c r="I9619" i="1"/>
  <c r="I9618" i="1"/>
  <c r="I9617" i="1"/>
  <c r="I9616" i="1"/>
  <c r="I9615" i="1"/>
  <c r="I9614" i="1"/>
  <c r="I9613" i="1"/>
  <c r="I9612" i="1"/>
  <c r="I9611" i="1"/>
  <c r="I9610" i="1"/>
  <c r="I9609" i="1"/>
  <c r="I9608" i="1"/>
  <c r="I9607" i="1"/>
  <c r="I9606" i="1"/>
  <c r="I9605" i="1"/>
  <c r="I9604" i="1"/>
  <c r="I9603" i="1"/>
  <c r="I9602" i="1"/>
  <c r="I9601" i="1"/>
  <c r="I9600" i="1"/>
  <c r="I9599" i="1"/>
  <c r="I9598" i="1"/>
  <c r="I9597" i="1"/>
  <c r="I9596" i="1"/>
  <c r="I9595" i="1"/>
  <c r="I9594" i="1"/>
  <c r="I9593" i="1"/>
  <c r="I9592" i="1"/>
  <c r="I9591" i="1"/>
  <c r="I9590" i="1"/>
  <c r="I9589" i="1"/>
  <c r="I9588" i="1"/>
  <c r="I9587" i="1"/>
  <c r="I9586" i="1"/>
  <c r="I9585" i="1"/>
  <c r="I9584" i="1"/>
  <c r="I9583" i="1"/>
  <c r="I9582" i="1"/>
  <c r="I9581" i="1"/>
  <c r="I9580" i="1"/>
  <c r="I9579" i="1"/>
  <c r="I9578" i="1"/>
  <c r="I9577" i="1"/>
  <c r="I9576" i="1"/>
  <c r="I9575" i="1"/>
  <c r="I9574" i="1"/>
  <c r="I9573" i="1"/>
  <c r="I9572" i="1"/>
  <c r="I9571" i="1"/>
  <c r="I9570" i="1"/>
  <c r="I9569" i="1"/>
  <c r="I9568" i="1"/>
  <c r="I9567" i="1"/>
  <c r="I9566" i="1"/>
  <c r="I9565" i="1"/>
  <c r="I9564" i="1"/>
  <c r="I9563" i="1"/>
  <c r="I9562" i="1"/>
  <c r="I9561" i="1"/>
  <c r="I9560" i="1"/>
  <c r="I9559" i="1"/>
  <c r="I9558" i="1"/>
  <c r="I9557" i="1"/>
  <c r="I9556" i="1"/>
  <c r="I9555" i="1"/>
  <c r="I9554" i="1"/>
  <c r="I9553" i="1"/>
  <c r="I9552" i="1"/>
  <c r="I9551" i="1"/>
  <c r="I9550" i="1"/>
  <c r="I9549" i="1"/>
  <c r="I9548" i="1"/>
  <c r="I9547" i="1"/>
  <c r="I9546" i="1"/>
  <c r="I9545" i="1"/>
  <c r="I9544" i="1"/>
  <c r="I9543" i="1"/>
  <c r="I9542" i="1"/>
  <c r="I9541" i="1"/>
  <c r="I9540" i="1"/>
  <c r="I9539" i="1"/>
  <c r="I9538" i="1"/>
  <c r="I9537" i="1"/>
  <c r="I9536" i="1"/>
  <c r="I9535" i="1"/>
  <c r="I9534" i="1"/>
  <c r="I9533" i="1"/>
  <c r="I9532" i="1"/>
  <c r="I9531" i="1"/>
  <c r="I9530" i="1"/>
  <c r="I9529" i="1"/>
  <c r="I9528" i="1"/>
  <c r="I9527" i="1"/>
  <c r="I9526" i="1"/>
  <c r="I9525" i="1"/>
  <c r="I9524" i="1"/>
  <c r="I9523" i="1"/>
  <c r="I9522" i="1"/>
  <c r="I9521" i="1"/>
  <c r="I9520" i="1"/>
  <c r="I9519" i="1"/>
  <c r="I9518" i="1"/>
  <c r="I9517" i="1"/>
  <c r="I9516" i="1"/>
  <c r="I9515" i="1"/>
  <c r="I9514" i="1"/>
  <c r="I9513" i="1"/>
  <c r="I9512" i="1"/>
  <c r="I9511" i="1"/>
  <c r="I9510" i="1"/>
  <c r="I9509" i="1"/>
  <c r="I9508" i="1"/>
  <c r="I9507" i="1"/>
  <c r="I9506" i="1"/>
  <c r="I9505" i="1"/>
  <c r="I9504" i="1"/>
  <c r="I9503" i="1"/>
  <c r="I9502" i="1"/>
  <c r="I9501" i="1"/>
  <c r="I9500" i="1"/>
  <c r="I9499" i="1"/>
  <c r="I9498" i="1"/>
  <c r="I9497" i="1"/>
  <c r="I9496" i="1"/>
  <c r="I9495" i="1"/>
  <c r="I9494" i="1"/>
  <c r="I9493" i="1"/>
  <c r="I9492" i="1"/>
  <c r="I9491" i="1"/>
  <c r="I9490" i="1"/>
  <c r="I9489" i="1"/>
  <c r="I9488" i="1"/>
  <c r="I9487" i="1"/>
  <c r="I9486" i="1"/>
  <c r="I9485" i="1"/>
  <c r="I9484" i="1"/>
  <c r="I9483" i="1"/>
  <c r="I9482" i="1"/>
  <c r="I9481" i="1"/>
  <c r="I9480" i="1"/>
  <c r="I9479" i="1"/>
  <c r="I9478" i="1"/>
  <c r="I9477" i="1"/>
  <c r="I9476" i="1"/>
  <c r="I9475" i="1"/>
  <c r="I9474" i="1"/>
  <c r="I9473" i="1"/>
  <c r="I9472" i="1"/>
  <c r="I9471" i="1"/>
  <c r="I9470" i="1"/>
  <c r="I9469" i="1"/>
  <c r="I9468" i="1"/>
  <c r="I9467" i="1"/>
  <c r="I9466" i="1"/>
  <c r="I9465" i="1"/>
  <c r="I9464" i="1"/>
  <c r="I9463" i="1"/>
  <c r="I9462" i="1"/>
  <c r="I9461" i="1"/>
  <c r="I9460" i="1"/>
  <c r="I9459" i="1"/>
  <c r="I9458" i="1"/>
  <c r="I9457" i="1"/>
  <c r="I9456" i="1"/>
  <c r="I9455" i="1"/>
  <c r="I9454" i="1"/>
  <c r="I9453" i="1"/>
  <c r="I9452" i="1"/>
  <c r="I9451" i="1"/>
  <c r="I9450" i="1"/>
  <c r="I9449" i="1"/>
  <c r="I9448" i="1"/>
  <c r="I9447" i="1"/>
  <c r="I9446" i="1"/>
  <c r="I9445" i="1"/>
  <c r="I9444" i="1"/>
  <c r="I9443" i="1"/>
  <c r="I9442" i="1"/>
  <c r="I9441" i="1"/>
  <c r="I9440" i="1"/>
  <c r="I9439" i="1"/>
  <c r="I9438" i="1"/>
  <c r="I9437" i="1"/>
  <c r="I9436" i="1"/>
  <c r="I9435" i="1"/>
  <c r="I9434" i="1"/>
  <c r="I9433" i="1"/>
  <c r="I9432" i="1"/>
  <c r="I9431" i="1"/>
  <c r="I9430" i="1"/>
  <c r="I9429" i="1"/>
  <c r="I9428" i="1"/>
  <c r="I9427" i="1"/>
  <c r="I9426" i="1"/>
  <c r="I9425" i="1"/>
  <c r="I9424" i="1"/>
  <c r="I9423" i="1"/>
  <c r="I9422" i="1"/>
  <c r="I9421" i="1"/>
  <c r="I9420" i="1"/>
  <c r="I9419" i="1"/>
  <c r="I9418" i="1"/>
  <c r="I9417" i="1"/>
  <c r="I9416" i="1"/>
  <c r="I9415" i="1"/>
  <c r="I9414" i="1"/>
  <c r="I9413" i="1"/>
  <c r="I9412" i="1"/>
  <c r="I9411" i="1"/>
  <c r="I9410" i="1"/>
  <c r="I9409" i="1"/>
  <c r="I9408" i="1"/>
  <c r="I9407" i="1"/>
  <c r="I9406" i="1"/>
  <c r="I9405" i="1"/>
  <c r="I9404" i="1"/>
  <c r="I9403" i="1"/>
  <c r="I9402" i="1"/>
  <c r="I9401" i="1"/>
  <c r="I9400" i="1"/>
  <c r="I9399" i="1"/>
  <c r="I9398" i="1"/>
  <c r="I9397" i="1"/>
  <c r="I9396" i="1"/>
  <c r="I9395" i="1"/>
  <c r="I9394" i="1"/>
  <c r="I9393" i="1"/>
  <c r="I9392" i="1"/>
  <c r="I9391" i="1"/>
  <c r="I9390" i="1"/>
  <c r="I9389" i="1"/>
  <c r="I9388" i="1"/>
  <c r="I9387" i="1"/>
  <c r="I9386" i="1"/>
  <c r="I9385" i="1"/>
  <c r="I9384" i="1"/>
  <c r="I9383" i="1"/>
  <c r="I9382" i="1"/>
  <c r="I9381" i="1"/>
  <c r="I9380" i="1"/>
  <c r="I9379" i="1"/>
  <c r="I9378" i="1"/>
  <c r="I9377" i="1"/>
  <c r="I9376" i="1"/>
  <c r="I9375" i="1"/>
  <c r="I9374" i="1"/>
  <c r="I9373" i="1"/>
  <c r="I9372" i="1"/>
  <c r="I9371" i="1"/>
  <c r="I9370" i="1"/>
  <c r="I9369" i="1"/>
  <c r="I9368" i="1"/>
  <c r="I9367" i="1"/>
  <c r="I9366" i="1"/>
  <c r="I9365" i="1"/>
  <c r="I9364" i="1"/>
  <c r="I9363" i="1"/>
  <c r="I9362" i="1"/>
  <c r="I9361" i="1"/>
  <c r="I9360" i="1"/>
  <c r="I9359" i="1"/>
  <c r="I9358" i="1"/>
  <c r="I9357" i="1"/>
  <c r="I9356" i="1"/>
  <c r="I9355" i="1"/>
  <c r="I9354" i="1"/>
  <c r="I9353" i="1"/>
  <c r="I9352" i="1"/>
  <c r="I9351" i="1"/>
  <c r="I9350" i="1"/>
  <c r="I9349" i="1"/>
  <c r="I9348" i="1"/>
  <c r="I9347" i="1"/>
  <c r="I9346" i="1"/>
  <c r="I9345" i="1"/>
  <c r="I9344" i="1"/>
  <c r="I9343" i="1"/>
  <c r="I9342" i="1"/>
  <c r="I9341" i="1"/>
  <c r="I9340" i="1"/>
  <c r="I9339" i="1"/>
  <c r="I9338" i="1"/>
  <c r="I9337" i="1"/>
  <c r="I9336" i="1"/>
  <c r="I9335" i="1"/>
  <c r="I9334" i="1"/>
  <c r="I9333" i="1"/>
  <c r="I9332" i="1"/>
  <c r="I9331" i="1"/>
  <c r="I9330" i="1"/>
  <c r="I9329" i="1"/>
  <c r="I9328" i="1"/>
  <c r="I9327" i="1"/>
  <c r="I9326" i="1"/>
  <c r="I9325" i="1"/>
  <c r="I9324" i="1"/>
  <c r="I9323" i="1"/>
  <c r="I9322" i="1"/>
  <c r="I9321" i="1"/>
  <c r="I9320" i="1"/>
  <c r="I9319" i="1"/>
  <c r="I9318" i="1"/>
  <c r="I9317" i="1"/>
  <c r="I9316" i="1"/>
  <c r="I9315" i="1"/>
  <c r="I9314" i="1"/>
  <c r="I9313" i="1"/>
  <c r="I9312" i="1"/>
  <c r="I9311" i="1"/>
  <c r="I9310" i="1"/>
  <c r="I9309" i="1"/>
  <c r="I9308" i="1"/>
  <c r="I9307" i="1"/>
  <c r="I9306" i="1"/>
  <c r="I9305" i="1"/>
  <c r="I9304" i="1"/>
  <c r="I9303" i="1"/>
  <c r="I9302" i="1"/>
  <c r="I9301" i="1"/>
  <c r="I9300" i="1"/>
  <c r="I9299" i="1"/>
  <c r="I9298" i="1"/>
  <c r="I9297" i="1"/>
  <c r="I9296" i="1"/>
  <c r="I9295" i="1"/>
  <c r="I9294" i="1"/>
  <c r="I9293" i="1"/>
  <c r="I9292" i="1"/>
  <c r="I9291" i="1"/>
  <c r="I9290" i="1"/>
  <c r="I9289" i="1"/>
  <c r="I9288" i="1"/>
  <c r="I9287" i="1"/>
  <c r="I9286" i="1"/>
  <c r="I9285" i="1"/>
  <c r="I9284" i="1"/>
  <c r="I9283" i="1"/>
  <c r="I9282" i="1"/>
  <c r="I9281" i="1"/>
  <c r="I9280" i="1"/>
  <c r="I9279" i="1"/>
  <c r="I9278" i="1"/>
  <c r="I9277" i="1"/>
  <c r="I9276" i="1"/>
  <c r="I9275" i="1"/>
  <c r="I9274" i="1"/>
  <c r="I9273" i="1"/>
  <c r="I9272" i="1"/>
  <c r="I9271" i="1"/>
  <c r="I9270" i="1"/>
  <c r="I9269" i="1"/>
  <c r="I9268" i="1"/>
  <c r="I9267" i="1"/>
  <c r="I9266" i="1"/>
  <c r="I9265" i="1"/>
  <c r="I9264" i="1"/>
  <c r="I9263" i="1"/>
  <c r="I9262" i="1"/>
  <c r="I9261" i="1"/>
  <c r="I9260" i="1"/>
  <c r="I9259" i="1"/>
  <c r="I9258" i="1"/>
  <c r="I9257" i="1"/>
  <c r="I9256" i="1"/>
  <c r="I9255" i="1"/>
  <c r="I9254" i="1"/>
  <c r="I9253" i="1"/>
  <c r="I9252" i="1"/>
  <c r="I9251" i="1"/>
  <c r="I9250" i="1"/>
  <c r="I9249" i="1"/>
  <c r="I9248" i="1"/>
  <c r="I9247" i="1"/>
  <c r="I9246" i="1"/>
  <c r="I9245" i="1"/>
  <c r="I9244" i="1"/>
  <c r="I9243" i="1"/>
  <c r="I9242" i="1"/>
  <c r="I9241" i="1"/>
  <c r="I9240" i="1"/>
  <c r="I9239" i="1"/>
  <c r="I9238" i="1"/>
  <c r="I9237" i="1"/>
  <c r="I9236" i="1"/>
  <c r="I9235" i="1"/>
  <c r="I9234" i="1"/>
  <c r="I9233" i="1"/>
  <c r="I9232" i="1"/>
  <c r="I9231" i="1"/>
  <c r="I9230" i="1"/>
  <c r="I9229" i="1"/>
  <c r="I9228" i="1"/>
  <c r="I9227" i="1"/>
  <c r="I9226" i="1"/>
  <c r="I9225" i="1"/>
  <c r="I9224" i="1"/>
  <c r="I9223" i="1"/>
  <c r="I9222" i="1"/>
  <c r="I9221" i="1"/>
  <c r="I9220" i="1"/>
  <c r="I9219" i="1"/>
  <c r="I9218" i="1"/>
  <c r="I9217" i="1"/>
  <c r="I9216" i="1"/>
  <c r="I9215" i="1"/>
  <c r="I9214" i="1"/>
  <c r="I9213" i="1"/>
  <c r="I9212" i="1"/>
  <c r="I9211" i="1"/>
  <c r="I9210" i="1"/>
  <c r="I9209" i="1"/>
  <c r="I9208" i="1"/>
  <c r="I9207" i="1"/>
  <c r="I9206" i="1"/>
  <c r="I9205" i="1"/>
  <c r="I9204" i="1"/>
  <c r="I9203" i="1"/>
  <c r="I9202" i="1"/>
  <c r="I9201" i="1"/>
  <c r="I9200" i="1"/>
  <c r="I9199" i="1"/>
  <c r="I9198" i="1"/>
  <c r="I9197" i="1"/>
  <c r="I9196" i="1"/>
  <c r="I9195" i="1"/>
  <c r="I9194" i="1"/>
  <c r="I9193" i="1"/>
  <c r="I9192" i="1"/>
  <c r="I9191" i="1"/>
  <c r="I9190" i="1"/>
  <c r="I9189" i="1"/>
  <c r="I9188" i="1"/>
  <c r="I9187" i="1"/>
  <c r="I9186" i="1"/>
  <c r="I9185" i="1"/>
  <c r="I9184" i="1"/>
  <c r="I9183" i="1"/>
  <c r="I9182" i="1"/>
  <c r="I9181" i="1"/>
  <c r="I9180" i="1"/>
  <c r="I9179" i="1"/>
  <c r="I9178" i="1"/>
  <c r="I9177" i="1"/>
  <c r="I9176" i="1"/>
  <c r="I9175" i="1"/>
  <c r="I9174" i="1"/>
  <c r="I9173" i="1"/>
  <c r="I9172" i="1"/>
  <c r="I9171" i="1"/>
  <c r="I9170" i="1"/>
  <c r="I9169" i="1"/>
  <c r="I9168" i="1"/>
  <c r="I9167" i="1"/>
  <c r="I9166" i="1"/>
  <c r="I9165" i="1"/>
  <c r="I9164" i="1"/>
  <c r="I9163" i="1"/>
  <c r="I9162" i="1"/>
  <c r="I9161" i="1"/>
  <c r="I9160" i="1"/>
  <c r="I9159" i="1"/>
  <c r="I9158" i="1"/>
  <c r="I9157" i="1"/>
  <c r="I9156" i="1"/>
  <c r="I9155" i="1"/>
  <c r="I9154" i="1"/>
  <c r="I9153" i="1"/>
  <c r="I9152" i="1"/>
  <c r="I9151" i="1"/>
  <c r="I9150" i="1"/>
  <c r="I9149" i="1"/>
  <c r="I9148" i="1"/>
  <c r="I9147" i="1"/>
  <c r="I9146" i="1"/>
  <c r="I9145" i="1"/>
  <c r="I9144" i="1"/>
  <c r="I9143" i="1"/>
  <c r="I9142" i="1"/>
  <c r="I9141" i="1"/>
  <c r="I9140" i="1"/>
  <c r="I9139" i="1"/>
  <c r="I9138" i="1"/>
  <c r="I9137" i="1"/>
  <c r="I9136" i="1"/>
  <c r="I9135" i="1"/>
  <c r="I9134" i="1"/>
  <c r="I9133" i="1"/>
  <c r="I9132" i="1"/>
  <c r="I9131" i="1"/>
  <c r="I9130" i="1"/>
  <c r="I9129" i="1"/>
  <c r="I9128" i="1"/>
  <c r="I9127" i="1"/>
  <c r="I9126" i="1"/>
  <c r="I9125" i="1"/>
  <c r="I9124" i="1"/>
  <c r="I9123" i="1"/>
  <c r="I9122" i="1"/>
  <c r="I9121" i="1"/>
  <c r="I9120" i="1"/>
  <c r="I9119" i="1"/>
  <c r="I9118" i="1"/>
  <c r="I9117" i="1"/>
  <c r="I9116" i="1"/>
  <c r="I9115" i="1"/>
  <c r="I9114" i="1"/>
  <c r="I9113" i="1"/>
  <c r="I9112" i="1"/>
  <c r="I9111" i="1"/>
  <c r="I9110" i="1"/>
  <c r="I9109" i="1"/>
  <c r="I9108" i="1"/>
  <c r="I9107" i="1"/>
  <c r="I9106" i="1"/>
  <c r="I9105" i="1"/>
  <c r="I9104" i="1"/>
  <c r="I9103" i="1"/>
  <c r="I9102" i="1"/>
  <c r="I9101" i="1"/>
  <c r="I9100" i="1"/>
  <c r="I9099" i="1"/>
  <c r="I9098" i="1"/>
  <c r="I9097" i="1"/>
  <c r="I9096" i="1"/>
  <c r="I9095" i="1"/>
  <c r="I9094" i="1"/>
  <c r="I9093" i="1"/>
  <c r="I9092" i="1"/>
  <c r="I9091" i="1"/>
  <c r="I9090" i="1"/>
  <c r="I9089" i="1"/>
  <c r="I9088" i="1"/>
  <c r="I9087" i="1"/>
  <c r="I9086" i="1"/>
  <c r="I9085" i="1"/>
  <c r="I9084" i="1"/>
  <c r="I9083" i="1"/>
  <c r="I9082" i="1"/>
  <c r="I9081" i="1"/>
  <c r="I9080" i="1"/>
  <c r="I9079" i="1"/>
  <c r="I9078" i="1"/>
  <c r="I9077" i="1"/>
  <c r="I9076" i="1"/>
  <c r="I9075" i="1"/>
  <c r="I9074" i="1"/>
  <c r="I9073" i="1"/>
  <c r="I9072" i="1"/>
  <c r="I9071" i="1"/>
  <c r="I9070" i="1"/>
  <c r="I9069" i="1"/>
  <c r="I9068" i="1"/>
  <c r="I9067" i="1"/>
  <c r="I9066" i="1"/>
  <c r="I9065" i="1"/>
  <c r="I9064" i="1"/>
  <c r="I9063" i="1"/>
  <c r="I9062" i="1"/>
  <c r="I9061" i="1"/>
  <c r="I9060" i="1"/>
  <c r="I9059" i="1"/>
  <c r="I9058" i="1"/>
  <c r="I9057" i="1"/>
  <c r="I9056" i="1"/>
  <c r="I9055" i="1"/>
  <c r="I9054" i="1"/>
  <c r="I9053" i="1"/>
  <c r="I9052" i="1"/>
  <c r="I9051" i="1"/>
  <c r="I9050" i="1"/>
  <c r="I9049" i="1"/>
  <c r="I9048" i="1"/>
  <c r="I9047" i="1"/>
  <c r="I9046" i="1"/>
  <c r="I9045" i="1"/>
  <c r="I9044" i="1"/>
  <c r="I9043" i="1"/>
  <c r="I9042" i="1"/>
  <c r="I9041" i="1"/>
  <c r="I9040" i="1"/>
  <c r="I9039" i="1"/>
  <c r="I9038" i="1"/>
  <c r="I9037" i="1"/>
  <c r="I9036" i="1"/>
  <c r="I9035" i="1"/>
  <c r="I9034" i="1"/>
  <c r="I9033" i="1"/>
  <c r="I9032" i="1"/>
  <c r="I9031" i="1"/>
  <c r="I9030" i="1"/>
  <c r="I9029" i="1"/>
  <c r="I9028" i="1"/>
  <c r="I9027" i="1"/>
  <c r="I9026" i="1"/>
  <c r="I9025" i="1"/>
  <c r="I9024" i="1"/>
  <c r="I9023" i="1"/>
  <c r="I9022" i="1"/>
  <c r="I9021" i="1"/>
  <c r="I9020" i="1"/>
  <c r="I9019" i="1"/>
  <c r="I9018" i="1"/>
  <c r="I9017" i="1"/>
  <c r="I9016" i="1"/>
  <c r="I9015" i="1"/>
  <c r="I9014" i="1"/>
  <c r="I9013" i="1"/>
  <c r="I9012" i="1"/>
  <c r="I9011" i="1"/>
  <c r="I9010" i="1"/>
  <c r="I9009" i="1"/>
  <c r="I9008" i="1"/>
  <c r="I9007" i="1"/>
  <c r="I9006" i="1"/>
  <c r="I9005" i="1"/>
  <c r="I9004" i="1"/>
  <c r="I9003" i="1"/>
  <c r="I9002" i="1"/>
  <c r="I9001" i="1"/>
  <c r="I9000" i="1"/>
  <c r="I8999" i="1"/>
  <c r="I8998" i="1"/>
  <c r="I8997" i="1"/>
  <c r="I8996" i="1"/>
  <c r="I8995" i="1"/>
  <c r="I8994" i="1"/>
  <c r="I8993" i="1"/>
  <c r="I8992" i="1"/>
  <c r="I8991" i="1"/>
  <c r="I8990" i="1"/>
  <c r="I8989" i="1"/>
  <c r="I8988" i="1"/>
  <c r="I8987" i="1"/>
  <c r="I8986" i="1"/>
  <c r="I8985" i="1"/>
  <c r="I8984" i="1"/>
  <c r="I8983" i="1"/>
  <c r="I8982" i="1"/>
  <c r="I8981" i="1"/>
  <c r="I8980" i="1"/>
  <c r="I8979" i="1"/>
  <c r="I8978" i="1"/>
  <c r="I8977" i="1"/>
  <c r="I8976" i="1"/>
  <c r="I8975" i="1"/>
  <c r="I8974" i="1"/>
  <c r="I8973" i="1"/>
  <c r="I8972" i="1"/>
  <c r="I8971" i="1"/>
  <c r="I8970" i="1"/>
  <c r="I8969" i="1"/>
  <c r="I8968" i="1"/>
  <c r="I8967" i="1"/>
  <c r="I8966" i="1"/>
  <c r="I8965" i="1"/>
  <c r="I8964" i="1"/>
  <c r="I8963" i="1"/>
  <c r="I8962" i="1"/>
  <c r="I8961" i="1"/>
  <c r="I8960" i="1"/>
  <c r="I8959" i="1"/>
  <c r="I8958" i="1"/>
  <c r="I8957" i="1"/>
  <c r="I8956" i="1"/>
  <c r="I8955" i="1"/>
  <c r="I8954" i="1"/>
  <c r="I8953" i="1"/>
  <c r="I8952" i="1"/>
  <c r="I8951" i="1"/>
  <c r="I8950" i="1"/>
  <c r="I8949" i="1"/>
  <c r="I8948" i="1"/>
  <c r="I8947" i="1"/>
  <c r="I8946" i="1"/>
  <c r="I8945" i="1"/>
  <c r="I8944" i="1"/>
  <c r="I8943" i="1"/>
  <c r="I8942" i="1"/>
  <c r="I8941" i="1"/>
  <c r="I8940" i="1"/>
  <c r="I8939" i="1"/>
  <c r="I8938" i="1"/>
  <c r="I8937" i="1"/>
  <c r="I8936" i="1"/>
  <c r="I8935" i="1"/>
  <c r="I8934" i="1"/>
  <c r="I8933" i="1"/>
  <c r="I8932" i="1"/>
  <c r="I8931" i="1"/>
  <c r="I8930" i="1"/>
  <c r="I8929" i="1"/>
  <c r="I8928" i="1"/>
  <c r="I8927" i="1"/>
  <c r="I8926" i="1"/>
  <c r="I8925" i="1"/>
  <c r="I8924" i="1"/>
  <c r="I8923" i="1"/>
  <c r="I8922" i="1"/>
  <c r="I8921" i="1"/>
  <c r="I8920" i="1"/>
  <c r="I8919" i="1"/>
  <c r="I8918" i="1"/>
  <c r="I8917" i="1"/>
  <c r="I8916" i="1"/>
  <c r="I8915" i="1"/>
  <c r="I8914" i="1"/>
  <c r="I8913" i="1"/>
  <c r="I8912" i="1"/>
  <c r="I8911" i="1"/>
  <c r="I8910" i="1"/>
  <c r="I8909" i="1"/>
  <c r="I8908" i="1"/>
  <c r="I8907" i="1"/>
  <c r="I8906" i="1"/>
  <c r="I8905" i="1"/>
  <c r="I8904" i="1"/>
  <c r="I8903" i="1"/>
  <c r="I8902" i="1"/>
  <c r="I8901" i="1"/>
  <c r="I8900" i="1"/>
  <c r="I8899" i="1"/>
  <c r="I8898" i="1"/>
  <c r="I8897" i="1"/>
  <c r="I8896" i="1"/>
  <c r="I8895" i="1"/>
  <c r="I8894" i="1"/>
  <c r="I8893" i="1"/>
  <c r="I8892" i="1"/>
  <c r="I8891" i="1"/>
  <c r="I8890" i="1"/>
  <c r="I8889" i="1"/>
  <c r="I8888" i="1"/>
  <c r="I8887" i="1"/>
  <c r="I8886" i="1"/>
  <c r="I8885" i="1"/>
  <c r="I8884" i="1"/>
  <c r="I8883" i="1"/>
  <c r="I8882" i="1"/>
  <c r="I8881" i="1"/>
  <c r="I8880" i="1"/>
  <c r="I8879" i="1"/>
  <c r="I8878" i="1"/>
  <c r="I8877" i="1"/>
  <c r="I8876" i="1"/>
  <c r="I8875" i="1"/>
  <c r="I8874" i="1"/>
  <c r="I8873" i="1"/>
  <c r="I8872" i="1"/>
  <c r="I8871" i="1"/>
  <c r="I8870" i="1"/>
  <c r="I8869" i="1"/>
  <c r="I8868" i="1"/>
  <c r="I8867" i="1"/>
  <c r="I8866" i="1"/>
  <c r="I8865" i="1"/>
  <c r="I8864" i="1"/>
  <c r="I8863" i="1"/>
  <c r="I8862" i="1"/>
  <c r="I8861" i="1"/>
  <c r="I8860" i="1"/>
  <c r="I8859" i="1"/>
  <c r="I8858" i="1"/>
  <c r="I8857" i="1"/>
  <c r="I8856" i="1"/>
  <c r="I8855" i="1"/>
  <c r="I8854" i="1"/>
  <c r="I8853" i="1"/>
  <c r="I8852" i="1"/>
  <c r="I8851" i="1"/>
  <c r="I8850" i="1"/>
  <c r="I8849" i="1"/>
  <c r="I8848" i="1"/>
  <c r="I8847" i="1"/>
  <c r="I8846" i="1"/>
  <c r="I8845" i="1"/>
  <c r="I8844" i="1"/>
  <c r="I8843" i="1"/>
  <c r="I8842" i="1"/>
  <c r="I8841" i="1"/>
  <c r="I8840" i="1"/>
  <c r="I8839" i="1"/>
  <c r="I8838" i="1"/>
  <c r="I8837" i="1"/>
  <c r="I8836" i="1"/>
  <c r="I8835" i="1"/>
  <c r="I8834" i="1"/>
  <c r="I8833" i="1"/>
  <c r="I8832" i="1"/>
  <c r="I8831" i="1"/>
  <c r="I8830" i="1"/>
  <c r="I8829" i="1"/>
  <c r="I8828" i="1"/>
  <c r="I8827" i="1"/>
  <c r="I8826" i="1"/>
  <c r="I8825" i="1"/>
  <c r="I8824" i="1"/>
  <c r="I8823" i="1"/>
  <c r="I8822" i="1"/>
  <c r="I8821" i="1"/>
  <c r="I8820" i="1"/>
  <c r="I8819" i="1"/>
  <c r="I8818" i="1"/>
  <c r="I8817" i="1"/>
  <c r="I8816" i="1"/>
  <c r="I8815" i="1"/>
  <c r="I8814" i="1"/>
  <c r="I8813" i="1"/>
  <c r="I8812" i="1"/>
  <c r="I8811" i="1"/>
  <c r="I8810" i="1"/>
  <c r="I8809" i="1"/>
  <c r="I8808" i="1"/>
  <c r="I8807" i="1"/>
  <c r="I8806" i="1"/>
  <c r="I8805" i="1"/>
  <c r="I8804" i="1"/>
  <c r="I8803" i="1"/>
  <c r="I8802" i="1"/>
  <c r="I8801" i="1"/>
  <c r="I8800" i="1"/>
  <c r="I8799" i="1"/>
  <c r="I8798" i="1"/>
  <c r="I8797" i="1"/>
  <c r="I8796" i="1"/>
  <c r="I8795" i="1"/>
  <c r="I8794" i="1"/>
  <c r="I8793" i="1"/>
  <c r="I8792" i="1"/>
  <c r="I8791" i="1"/>
  <c r="I8790" i="1"/>
  <c r="I8789" i="1"/>
  <c r="I8788" i="1"/>
  <c r="I8787" i="1"/>
  <c r="I8786" i="1"/>
  <c r="I8785" i="1"/>
  <c r="I8784" i="1"/>
  <c r="I8783" i="1"/>
  <c r="I8782" i="1"/>
  <c r="I8781" i="1"/>
  <c r="I8780" i="1"/>
  <c r="I8779" i="1"/>
  <c r="I8778" i="1"/>
  <c r="I8777" i="1"/>
  <c r="I8776" i="1"/>
  <c r="I8775" i="1"/>
  <c r="I8774" i="1"/>
  <c r="I8773" i="1"/>
  <c r="I8772" i="1"/>
  <c r="I8771" i="1"/>
  <c r="I8770" i="1"/>
  <c r="I8769" i="1"/>
  <c r="I8768" i="1"/>
  <c r="I8767" i="1"/>
  <c r="I8766" i="1"/>
  <c r="I8765" i="1"/>
  <c r="I8764" i="1"/>
  <c r="I8763" i="1"/>
  <c r="I8762" i="1"/>
  <c r="I8761" i="1"/>
  <c r="I8760" i="1"/>
  <c r="I8759" i="1"/>
  <c r="I8758" i="1"/>
  <c r="I8757" i="1"/>
  <c r="I8756" i="1"/>
  <c r="I8755" i="1"/>
  <c r="I8754" i="1"/>
  <c r="I8753" i="1"/>
  <c r="I8752" i="1"/>
  <c r="I8751" i="1"/>
  <c r="I8750" i="1"/>
  <c r="I8749" i="1"/>
  <c r="I8748" i="1"/>
  <c r="I8747" i="1"/>
  <c r="I8746" i="1"/>
  <c r="I8745" i="1"/>
  <c r="I8744" i="1"/>
  <c r="I8743" i="1"/>
  <c r="I8742" i="1"/>
  <c r="I8741" i="1"/>
  <c r="I8740" i="1"/>
  <c r="I8739" i="1"/>
  <c r="I8738" i="1"/>
  <c r="I8737" i="1"/>
  <c r="I8736" i="1"/>
  <c r="I8735" i="1"/>
  <c r="I8734" i="1"/>
  <c r="I8733" i="1"/>
  <c r="I8732" i="1"/>
  <c r="I8731" i="1"/>
  <c r="I8730" i="1"/>
  <c r="I8729" i="1"/>
  <c r="I8728" i="1"/>
  <c r="I8727" i="1"/>
  <c r="I8726" i="1"/>
  <c r="I8725" i="1"/>
  <c r="I8724" i="1"/>
  <c r="I8723" i="1"/>
  <c r="I8722" i="1"/>
  <c r="I8721" i="1"/>
  <c r="I8720" i="1"/>
  <c r="I8719" i="1"/>
  <c r="I8718" i="1"/>
  <c r="I8717" i="1"/>
  <c r="I8716" i="1"/>
  <c r="I8715" i="1"/>
  <c r="I8714" i="1"/>
  <c r="I8713" i="1"/>
  <c r="I8712" i="1"/>
  <c r="I8711" i="1"/>
  <c r="I8710" i="1"/>
  <c r="I8709" i="1"/>
  <c r="I8708" i="1"/>
  <c r="I8707" i="1"/>
  <c r="I8706" i="1"/>
  <c r="I8705" i="1"/>
  <c r="I8704" i="1"/>
  <c r="I8703" i="1"/>
  <c r="I8702" i="1"/>
  <c r="I8701" i="1"/>
  <c r="I8700" i="1"/>
  <c r="I8699" i="1"/>
  <c r="I8698" i="1"/>
  <c r="I8697" i="1"/>
  <c r="I8696" i="1"/>
  <c r="I8695" i="1"/>
  <c r="I8694" i="1"/>
  <c r="I8693" i="1"/>
  <c r="I8692" i="1"/>
  <c r="I8691" i="1"/>
  <c r="I8690" i="1"/>
  <c r="I8689" i="1"/>
  <c r="I8688" i="1"/>
  <c r="I8687" i="1"/>
  <c r="I8686" i="1"/>
  <c r="I8685" i="1"/>
  <c r="I8684" i="1"/>
  <c r="I8683" i="1"/>
  <c r="I8682" i="1"/>
  <c r="I8681" i="1"/>
  <c r="I8680" i="1"/>
  <c r="I8679" i="1"/>
  <c r="I8678" i="1"/>
  <c r="I8677" i="1"/>
  <c r="I8676" i="1"/>
  <c r="I8675" i="1"/>
  <c r="I8674" i="1"/>
  <c r="I8673" i="1"/>
  <c r="I8672" i="1"/>
  <c r="I8671" i="1"/>
  <c r="I8670" i="1"/>
  <c r="I8669" i="1"/>
  <c r="I8668" i="1"/>
  <c r="I8667" i="1"/>
  <c r="I8666" i="1"/>
  <c r="I8665" i="1"/>
  <c r="I8664" i="1"/>
  <c r="I8663" i="1"/>
  <c r="I8662" i="1"/>
  <c r="I8661" i="1"/>
  <c r="I8660" i="1"/>
  <c r="I8659" i="1"/>
  <c r="I8658" i="1"/>
  <c r="I8657" i="1"/>
  <c r="I8656" i="1"/>
  <c r="I8655" i="1"/>
  <c r="I8654" i="1"/>
  <c r="I8653" i="1"/>
  <c r="I8652" i="1"/>
  <c r="I8651" i="1"/>
  <c r="I8650" i="1"/>
  <c r="I8649" i="1"/>
  <c r="I8648" i="1"/>
  <c r="I8647" i="1"/>
  <c r="I8646" i="1"/>
  <c r="I8645" i="1"/>
  <c r="I8644" i="1"/>
  <c r="I8643" i="1"/>
  <c r="I8642" i="1"/>
  <c r="I8641" i="1"/>
  <c r="I8640" i="1"/>
  <c r="I8639" i="1"/>
  <c r="I8638" i="1"/>
  <c r="I8637" i="1"/>
  <c r="I8636" i="1"/>
  <c r="I8635" i="1"/>
  <c r="I8634" i="1"/>
  <c r="I8633" i="1"/>
  <c r="I8632" i="1"/>
  <c r="I8631" i="1"/>
  <c r="I8630" i="1"/>
  <c r="I8629" i="1"/>
  <c r="I8628" i="1"/>
  <c r="I8627" i="1"/>
  <c r="I8626" i="1"/>
  <c r="I8625" i="1"/>
  <c r="I8624" i="1"/>
  <c r="I8623" i="1"/>
  <c r="I8622" i="1"/>
  <c r="I8621" i="1"/>
  <c r="I8620" i="1"/>
  <c r="I8619" i="1"/>
  <c r="I8618" i="1"/>
  <c r="I8617" i="1"/>
  <c r="I8616" i="1"/>
  <c r="I8615" i="1"/>
  <c r="I8614" i="1"/>
  <c r="I8613" i="1"/>
  <c r="I8612" i="1"/>
  <c r="I8611" i="1"/>
  <c r="I8610" i="1"/>
  <c r="I8609" i="1"/>
  <c r="I8608" i="1"/>
  <c r="I8607" i="1"/>
  <c r="I8606" i="1"/>
  <c r="I8605" i="1"/>
  <c r="I8604" i="1"/>
  <c r="I8603" i="1"/>
  <c r="I8602" i="1"/>
  <c r="I8601" i="1"/>
  <c r="I8600" i="1"/>
  <c r="I8599" i="1"/>
  <c r="I8598" i="1"/>
  <c r="I8597" i="1"/>
  <c r="I8596" i="1"/>
  <c r="I8595" i="1"/>
  <c r="I8594" i="1"/>
  <c r="I8593" i="1"/>
  <c r="I8592" i="1"/>
  <c r="I8591" i="1"/>
  <c r="I8590" i="1"/>
  <c r="I8589" i="1"/>
  <c r="I8588" i="1"/>
  <c r="I8587" i="1"/>
  <c r="I8586" i="1"/>
  <c r="I8585" i="1"/>
  <c r="I8584" i="1"/>
  <c r="I8583" i="1"/>
  <c r="I8582" i="1"/>
  <c r="I8581" i="1"/>
  <c r="I8580" i="1"/>
  <c r="I8579" i="1"/>
  <c r="I8578" i="1"/>
  <c r="I8577" i="1"/>
  <c r="I8576" i="1"/>
  <c r="I8575" i="1"/>
  <c r="I8574" i="1"/>
  <c r="I8573" i="1"/>
  <c r="I8572" i="1"/>
  <c r="I8571" i="1"/>
  <c r="I8570" i="1"/>
  <c r="I8569" i="1"/>
  <c r="I8568" i="1"/>
  <c r="I8567" i="1"/>
  <c r="I8566" i="1"/>
  <c r="I8565" i="1"/>
  <c r="I8564" i="1"/>
  <c r="I8563" i="1"/>
  <c r="I8562" i="1"/>
  <c r="I8561" i="1"/>
  <c r="I8560" i="1"/>
  <c r="I8559" i="1"/>
  <c r="I8558" i="1"/>
  <c r="I8557" i="1"/>
  <c r="I8556" i="1"/>
  <c r="I8555" i="1"/>
  <c r="I8554" i="1"/>
  <c r="I8553" i="1"/>
  <c r="I8552" i="1"/>
  <c r="I8551" i="1"/>
  <c r="I8550" i="1"/>
  <c r="I8549" i="1"/>
  <c r="I8548" i="1"/>
  <c r="I8547" i="1"/>
  <c r="I8546" i="1"/>
  <c r="I8545" i="1"/>
  <c r="I8544" i="1"/>
  <c r="I8543" i="1"/>
  <c r="I8542" i="1"/>
  <c r="I8541" i="1"/>
  <c r="I8540" i="1"/>
  <c r="I8539" i="1"/>
  <c r="I8538" i="1"/>
  <c r="I8537" i="1"/>
  <c r="I8536" i="1"/>
  <c r="I8535" i="1"/>
  <c r="I8534" i="1"/>
  <c r="I8533" i="1"/>
  <c r="I8532" i="1"/>
  <c r="I8531" i="1"/>
  <c r="I8530" i="1"/>
  <c r="I8529" i="1"/>
  <c r="I8528" i="1"/>
  <c r="I8527" i="1"/>
  <c r="I8526" i="1"/>
  <c r="I8525" i="1"/>
  <c r="I8524" i="1"/>
  <c r="I8523" i="1"/>
  <c r="I8522" i="1"/>
  <c r="I8521" i="1"/>
  <c r="I8520" i="1"/>
  <c r="I8519" i="1"/>
  <c r="I8518" i="1"/>
  <c r="I8517" i="1"/>
  <c r="I8516" i="1"/>
  <c r="I8515" i="1"/>
  <c r="I8514" i="1"/>
  <c r="I8513" i="1"/>
  <c r="I8512" i="1"/>
  <c r="I8511" i="1"/>
  <c r="I8510" i="1"/>
  <c r="I8509" i="1"/>
  <c r="I8508" i="1"/>
  <c r="I8507" i="1"/>
  <c r="I8506" i="1"/>
  <c r="I8505" i="1"/>
  <c r="I8504" i="1"/>
  <c r="I8503" i="1"/>
  <c r="I8502" i="1"/>
  <c r="I8501" i="1"/>
  <c r="I8500" i="1"/>
  <c r="I8499" i="1"/>
  <c r="I8498" i="1"/>
  <c r="I8497" i="1"/>
  <c r="I8496" i="1"/>
  <c r="I8495" i="1"/>
  <c r="I8494" i="1"/>
  <c r="I8493" i="1"/>
  <c r="I8492" i="1"/>
  <c r="I8491" i="1"/>
  <c r="I8490" i="1"/>
  <c r="I8489" i="1"/>
  <c r="I8488" i="1"/>
  <c r="I8487" i="1"/>
  <c r="I8486" i="1"/>
  <c r="I8485" i="1"/>
  <c r="I8484" i="1"/>
  <c r="I8483" i="1"/>
  <c r="I8482" i="1"/>
  <c r="I8481" i="1"/>
  <c r="I8480" i="1"/>
  <c r="I8479" i="1"/>
  <c r="I8478" i="1"/>
  <c r="I8477" i="1"/>
  <c r="I8476" i="1"/>
  <c r="I8475" i="1"/>
  <c r="I8474" i="1"/>
  <c r="I8473" i="1"/>
  <c r="I8472" i="1"/>
  <c r="I8471" i="1"/>
  <c r="I8470" i="1"/>
  <c r="I8469" i="1"/>
  <c r="I8468" i="1"/>
  <c r="I8467" i="1"/>
  <c r="I8466" i="1"/>
  <c r="I8465" i="1"/>
  <c r="I8464" i="1"/>
  <c r="I8463" i="1"/>
  <c r="I8462" i="1"/>
  <c r="I8461" i="1"/>
  <c r="I8460" i="1"/>
  <c r="I8459" i="1"/>
  <c r="I8458" i="1"/>
  <c r="I8457" i="1"/>
  <c r="I8456" i="1"/>
  <c r="I8455" i="1"/>
  <c r="I8454" i="1"/>
  <c r="I8453" i="1"/>
  <c r="I8452" i="1"/>
  <c r="I8451" i="1"/>
  <c r="I8450" i="1"/>
  <c r="I8449" i="1"/>
  <c r="I8448" i="1"/>
  <c r="I8447" i="1"/>
  <c r="I8446" i="1"/>
  <c r="I8445" i="1"/>
  <c r="I8444" i="1"/>
  <c r="I8443" i="1"/>
  <c r="I8442"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I8394" i="1"/>
  <c r="I8393" i="1"/>
  <c r="I8392" i="1"/>
  <c r="I8391" i="1"/>
  <c r="I8390" i="1"/>
  <c r="I8389" i="1"/>
  <c r="I8388" i="1"/>
  <c r="I8387" i="1"/>
  <c r="I8386" i="1"/>
  <c r="I8385" i="1"/>
  <c r="I8384" i="1"/>
  <c r="I8383" i="1"/>
  <c r="I8382" i="1"/>
  <c r="I8381" i="1"/>
  <c r="I8380" i="1"/>
  <c r="I8379" i="1"/>
  <c r="I8378" i="1"/>
  <c r="I8377" i="1"/>
  <c r="I8376" i="1"/>
  <c r="I8375" i="1"/>
  <c r="I8374" i="1"/>
  <c r="I8373" i="1"/>
  <c r="I8372" i="1"/>
  <c r="I8371" i="1"/>
  <c r="I8370" i="1"/>
  <c r="I8369" i="1"/>
  <c r="I8368" i="1"/>
  <c r="I8367" i="1"/>
  <c r="I8366" i="1"/>
  <c r="I8365" i="1"/>
  <c r="I8364" i="1"/>
  <c r="I8363" i="1"/>
  <c r="I8362" i="1"/>
  <c r="I8361" i="1"/>
  <c r="I8360" i="1"/>
  <c r="I8359" i="1"/>
  <c r="I8358" i="1"/>
  <c r="I8357" i="1"/>
  <c r="I8356" i="1"/>
  <c r="I8355" i="1"/>
  <c r="I8354" i="1"/>
  <c r="I8353" i="1"/>
  <c r="I8352" i="1"/>
  <c r="I8351" i="1"/>
  <c r="I8350" i="1"/>
  <c r="I8349" i="1"/>
  <c r="I8348" i="1"/>
  <c r="I8347" i="1"/>
  <c r="I8346" i="1"/>
  <c r="I8345" i="1"/>
  <c r="I8344" i="1"/>
  <c r="I8343" i="1"/>
  <c r="I8342" i="1"/>
  <c r="I8341" i="1"/>
  <c r="I8340" i="1"/>
  <c r="I8339" i="1"/>
  <c r="I8338" i="1"/>
  <c r="I8337" i="1"/>
  <c r="I8336" i="1"/>
  <c r="I8335" i="1"/>
  <c r="I8334" i="1"/>
  <c r="I8333" i="1"/>
  <c r="I8332" i="1"/>
  <c r="I8331" i="1"/>
  <c r="I8330" i="1"/>
  <c r="I8329" i="1"/>
  <c r="I8328" i="1"/>
  <c r="I8327" i="1"/>
  <c r="I8326" i="1"/>
  <c r="I8325" i="1"/>
  <c r="I8324" i="1"/>
  <c r="I8323" i="1"/>
  <c r="I8322" i="1"/>
  <c r="I8321" i="1"/>
  <c r="I8320" i="1"/>
  <c r="I8319" i="1"/>
  <c r="I8318" i="1"/>
  <c r="I8317" i="1"/>
  <c r="I8316" i="1"/>
  <c r="I8315" i="1"/>
  <c r="I8314" i="1"/>
  <c r="I8313" i="1"/>
  <c r="I8312" i="1"/>
  <c r="I8311" i="1"/>
  <c r="I8310" i="1"/>
  <c r="I8309" i="1"/>
  <c r="I8308" i="1"/>
  <c r="I8307" i="1"/>
  <c r="I8306" i="1"/>
  <c r="I8305" i="1"/>
  <c r="I8304" i="1"/>
  <c r="I8303" i="1"/>
  <c r="I8302" i="1"/>
  <c r="I8301" i="1"/>
  <c r="I8300" i="1"/>
  <c r="I8299" i="1"/>
  <c r="I8298" i="1"/>
  <c r="I8297" i="1"/>
  <c r="I8296" i="1"/>
  <c r="I8295" i="1"/>
  <c r="I8294" i="1"/>
  <c r="I8293" i="1"/>
  <c r="I8292" i="1"/>
  <c r="I8291" i="1"/>
  <c r="I8290" i="1"/>
  <c r="I8289" i="1"/>
  <c r="I8288" i="1"/>
  <c r="I8287" i="1"/>
  <c r="I8286" i="1"/>
  <c r="I8285" i="1"/>
  <c r="I8284" i="1"/>
  <c r="I8283" i="1"/>
  <c r="I8282" i="1"/>
  <c r="I8281" i="1"/>
  <c r="I8280" i="1"/>
  <c r="I8279" i="1"/>
  <c r="I8278" i="1"/>
  <c r="I8277" i="1"/>
  <c r="I8276" i="1"/>
  <c r="I8275" i="1"/>
  <c r="I8274" i="1"/>
  <c r="I8273" i="1"/>
  <c r="I8272" i="1"/>
  <c r="I8271" i="1"/>
  <c r="I8270" i="1"/>
  <c r="I8269" i="1"/>
  <c r="I8268" i="1"/>
  <c r="I8267" i="1"/>
  <c r="I8266" i="1"/>
  <c r="I8265" i="1"/>
  <c r="I8264" i="1"/>
  <c r="I8263" i="1"/>
  <c r="I8262" i="1"/>
  <c r="I8261" i="1"/>
  <c r="I8260" i="1"/>
  <c r="I8259" i="1"/>
  <c r="I8258" i="1"/>
  <c r="I8257" i="1"/>
  <c r="I8256" i="1"/>
  <c r="I8255" i="1"/>
  <c r="I8254" i="1"/>
  <c r="I8253" i="1"/>
  <c r="I8252" i="1"/>
  <c r="I8251" i="1"/>
  <c r="I8250" i="1"/>
  <c r="I8249" i="1"/>
  <c r="I8248" i="1"/>
  <c r="I8247" i="1"/>
  <c r="I8246" i="1"/>
  <c r="I8245" i="1"/>
  <c r="I8244" i="1"/>
  <c r="I8243" i="1"/>
  <c r="I8242" i="1"/>
  <c r="I8241" i="1"/>
  <c r="I8240" i="1"/>
  <c r="I8239" i="1"/>
  <c r="I8238" i="1"/>
  <c r="I8237" i="1"/>
  <c r="I8236" i="1"/>
  <c r="I8235" i="1"/>
  <c r="I8234" i="1"/>
  <c r="I8233" i="1"/>
  <c r="I8232" i="1"/>
  <c r="I8231" i="1"/>
  <c r="I8230" i="1"/>
  <c r="I8229" i="1"/>
  <c r="I8228" i="1"/>
  <c r="I8227" i="1"/>
  <c r="I8226" i="1"/>
  <c r="I8225" i="1"/>
  <c r="I8224" i="1"/>
  <c r="I8223" i="1"/>
  <c r="I8222" i="1"/>
  <c r="I8221" i="1"/>
  <c r="I8220" i="1"/>
  <c r="I8219" i="1"/>
  <c r="I8218" i="1"/>
  <c r="I8217" i="1"/>
  <c r="I8216" i="1"/>
  <c r="I8215" i="1"/>
  <c r="I8214" i="1"/>
  <c r="I8213" i="1"/>
  <c r="I8212" i="1"/>
  <c r="I8211" i="1"/>
  <c r="I8210" i="1"/>
  <c r="I8209" i="1"/>
  <c r="I8208" i="1"/>
  <c r="I8207" i="1"/>
  <c r="I8206" i="1"/>
  <c r="I8205" i="1"/>
  <c r="I8204" i="1"/>
  <c r="I8203" i="1"/>
  <c r="I8202" i="1"/>
  <c r="I8201" i="1"/>
  <c r="I8200" i="1"/>
  <c r="I8199" i="1"/>
  <c r="I8198" i="1"/>
  <c r="I8197" i="1"/>
  <c r="I8196" i="1"/>
  <c r="I8195" i="1"/>
  <c r="I8194" i="1"/>
  <c r="I8193" i="1"/>
  <c r="I8192" i="1"/>
  <c r="I8191" i="1"/>
  <c r="I8190" i="1"/>
  <c r="I8189" i="1"/>
  <c r="I8188" i="1"/>
  <c r="I8187" i="1"/>
  <c r="I8186" i="1"/>
  <c r="I8185" i="1"/>
  <c r="I8184" i="1"/>
  <c r="I8183" i="1"/>
  <c r="I8182" i="1"/>
  <c r="I8181" i="1"/>
  <c r="I8180" i="1"/>
  <c r="I8179" i="1"/>
  <c r="I8178" i="1"/>
  <c r="I8177" i="1"/>
  <c r="I8176" i="1"/>
  <c r="I8175" i="1"/>
  <c r="I8174" i="1"/>
  <c r="I8173" i="1"/>
  <c r="I8172" i="1"/>
  <c r="I8171" i="1"/>
  <c r="I8170" i="1"/>
  <c r="I8169" i="1"/>
  <c r="I8168" i="1"/>
  <c r="I8167" i="1"/>
  <c r="I8166" i="1"/>
  <c r="I8165" i="1"/>
  <c r="I8164" i="1"/>
  <c r="I8163" i="1"/>
  <c r="I8162" i="1"/>
  <c r="I8161" i="1"/>
  <c r="I8160" i="1"/>
  <c r="I8159" i="1"/>
  <c r="I8158" i="1"/>
  <c r="I8157" i="1"/>
  <c r="I8156" i="1"/>
  <c r="I8155" i="1"/>
  <c r="I8154" i="1"/>
  <c r="I8153" i="1"/>
  <c r="I8152" i="1"/>
  <c r="I8151" i="1"/>
  <c r="I8150" i="1"/>
  <c r="I8149" i="1"/>
  <c r="I8148" i="1"/>
  <c r="I8147" i="1"/>
  <c r="I8146" i="1"/>
  <c r="I8145" i="1"/>
  <c r="I8144" i="1"/>
  <c r="I8143" i="1"/>
  <c r="I8142" i="1"/>
  <c r="I8141" i="1"/>
  <c r="I8140" i="1"/>
  <c r="I8139" i="1"/>
  <c r="I8138" i="1"/>
  <c r="I8137" i="1"/>
  <c r="I8136" i="1"/>
  <c r="I8135" i="1"/>
  <c r="I8134" i="1"/>
  <c r="I8133" i="1"/>
  <c r="I8132" i="1"/>
  <c r="I8131" i="1"/>
  <c r="I8130" i="1"/>
  <c r="I8129" i="1"/>
  <c r="I8128" i="1"/>
  <c r="I8127" i="1"/>
  <c r="I8126" i="1"/>
  <c r="I8125" i="1"/>
  <c r="I8124" i="1"/>
  <c r="I8123" i="1"/>
  <c r="I8122" i="1"/>
  <c r="I8121" i="1"/>
  <c r="I8120" i="1"/>
  <c r="I8119" i="1"/>
  <c r="I8118" i="1"/>
  <c r="I8117" i="1"/>
  <c r="I8116" i="1"/>
  <c r="I8115" i="1"/>
  <c r="I8114" i="1"/>
  <c r="I8113" i="1"/>
  <c r="I8112" i="1"/>
  <c r="I8111" i="1"/>
  <c r="I8110" i="1"/>
  <c r="I8109" i="1"/>
  <c r="I8108" i="1"/>
  <c r="I8107" i="1"/>
  <c r="I8106" i="1"/>
  <c r="I8105" i="1"/>
  <c r="I8104" i="1"/>
  <c r="I8103" i="1"/>
  <c r="I8102" i="1"/>
  <c r="I8101" i="1"/>
  <c r="I8100" i="1"/>
  <c r="I8099" i="1"/>
  <c r="I8098" i="1"/>
  <c r="I8097" i="1"/>
  <c r="I8096" i="1"/>
  <c r="I8095" i="1"/>
  <c r="I8094" i="1"/>
  <c r="I8093" i="1"/>
  <c r="I8092" i="1"/>
  <c r="I8091" i="1"/>
  <c r="I8090" i="1"/>
  <c r="I8089" i="1"/>
  <c r="I8088" i="1"/>
  <c r="I8087" i="1"/>
  <c r="I8086" i="1"/>
  <c r="I8085" i="1"/>
  <c r="I8084" i="1"/>
  <c r="I8083" i="1"/>
  <c r="I8082" i="1"/>
  <c r="I8081" i="1"/>
  <c r="I8080" i="1"/>
  <c r="I8079" i="1"/>
  <c r="I8078" i="1"/>
  <c r="I8077" i="1"/>
  <c r="I8076" i="1"/>
  <c r="I8075" i="1"/>
  <c r="I8074" i="1"/>
  <c r="I8073" i="1"/>
  <c r="I8072" i="1"/>
  <c r="I8071" i="1"/>
  <c r="I8070" i="1"/>
  <c r="I8069" i="1"/>
  <c r="I8068" i="1"/>
  <c r="I8067" i="1"/>
  <c r="I8066" i="1"/>
  <c r="I8065" i="1"/>
  <c r="I8064" i="1"/>
  <c r="I8063" i="1"/>
  <c r="I8062" i="1"/>
  <c r="I8061" i="1"/>
  <c r="I8060" i="1"/>
  <c r="I8059" i="1"/>
  <c r="I8058" i="1"/>
  <c r="I8057" i="1"/>
  <c r="I8056" i="1"/>
  <c r="I8055" i="1"/>
  <c r="I8054" i="1"/>
  <c r="I8053" i="1"/>
  <c r="I8052" i="1"/>
  <c r="I8051" i="1"/>
  <c r="I8050" i="1"/>
  <c r="I8049" i="1"/>
  <c r="I8048" i="1"/>
  <c r="I8047" i="1"/>
  <c r="I8046" i="1"/>
  <c r="I8045" i="1"/>
  <c r="I8044" i="1"/>
  <c r="I8043" i="1"/>
  <c r="I8042" i="1"/>
  <c r="I8041" i="1"/>
  <c r="I8040" i="1"/>
  <c r="I8039" i="1"/>
  <c r="I8038" i="1"/>
  <c r="I8037" i="1"/>
  <c r="I8036" i="1"/>
  <c r="I8035" i="1"/>
  <c r="I8034" i="1"/>
  <c r="I8033" i="1"/>
  <c r="I8032" i="1"/>
  <c r="I8031" i="1"/>
  <c r="I8030" i="1"/>
  <c r="I8029" i="1"/>
  <c r="I8028" i="1"/>
  <c r="I8027" i="1"/>
  <c r="I8026" i="1"/>
  <c r="I8025" i="1"/>
  <c r="I8024" i="1"/>
  <c r="I8023" i="1"/>
  <c r="I8022" i="1"/>
  <c r="I8021" i="1"/>
  <c r="I8020" i="1"/>
  <c r="I8019" i="1"/>
  <c r="I8018" i="1"/>
  <c r="I8017" i="1"/>
  <c r="I8016" i="1"/>
  <c r="I8015" i="1"/>
  <c r="I8014" i="1"/>
  <c r="I8013" i="1"/>
  <c r="I8012" i="1"/>
  <c r="I8011" i="1"/>
  <c r="I8010" i="1"/>
  <c r="I8009" i="1"/>
  <c r="I8008" i="1"/>
  <c r="I8007" i="1"/>
  <c r="I8006" i="1"/>
  <c r="I8005" i="1"/>
  <c r="I8004" i="1"/>
  <c r="I8003" i="1"/>
  <c r="I8002" i="1"/>
  <c r="I8001" i="1"/>
  <c r="I8000" i="1"/>
  <c r="I7999" i="1"/>
  <c r="I7998" i="1"/>
  <c r="I7997" i="1"/>
  <c r="I7996" i="1"/>
  <c r="I7995" i="1"/>
  <c r="I7994" i="1"/>
  <c r="I7993" i="1"/>
  <c r="I7992" i="1"/>
  <c r="I7991" i="1"/>
  <c r="I7990" i="1"/>
  <c r="I7989" i="1"/>
  <c r="I7988" i="1"/>
  <c r="I7987" i="1"/>
  <c r="I7986" i="1"/>
  <c r="I7985" i="1"/>
  <c r="I7984" i="1"/>
  <c r="I7983" i="1"/>
  <c r="I7982" i="1"/>
  <c r="I7981" i="1"/>
  <c r="I7980" i="1"/>
  <c r="I7979" i="1"/>
  <c r="I7978" i="1"/>
  <c r="I7977" i="1"/>
  <c r="I7976" i="1"/>
  <c r="I7975" i="1"/>
  <c r="I7974" i="1"/>
  <c r="I7973" i="1"/>
  <c r="I7972" i="1"/>
  <c r="I7971" i="1"/>
  <c r="I7970" i="1"/>
  <c r="I7969" i="1"/>
  <c r="I7968" i="1"/>
  <c r="I7967" i="1"/>
  <c r="I7966" i="1"/>
  <c r="I7965" i="1"/>
  <c r="I7964" i="1"/>
  <c r="I7963" i="1"/>
  <c r="I7962" i="1"/>
  <c r="I7961" i="1"/>
  <c r="I7960" i="1"/>
  <c r="I7959" i="1"/>
  <c r="I7958" i="1"/>
  <c r="I7957" i="1"/>
  <c r="I7956" i="1"/>
  <c r="I7955" i="1"/>
  <c r="I7954" i="1"/>
  <c r="I7953" i="1"/>
  <c r="I7952" i="1"/>
  <c r="I7951" i="1"/>
  <c r="I7950" i="1"/>
  <c r="I7949" i="1"/>
  <c r="I7948" i="1"/>
  <c r="I7947" i="1"/>
  <c r="I7946" i="1"/>
  <c r="I7945" i="1"/>
  <c r="I7944" i="1"/>
  <c r="I7943" i="1"/>
  <c r="I7942" i="1"/>
  <c r="I7941" i="1"/>
  <c r="I7940" i="1"/>
  <c r="I7939" i="1"/>
  <c r="I7938" i="1"/>
  <c r="I7937" i="1"/>
  <c r="I7936" i="1"/>
  <c r="I7935" i="1"/>
  <c r="I7934" i="1"/>
  <c r="I7933" i="1"/>
  <c r="I7932" i="1"/>
  <c r="I7931" i="1"/>
  <c r="I7930" i="1"/>
  <c r="I7929" i="1"/>
  <c r="I7928" i="1"/>
  <c r="I7927" i="1"/>
  <c r="I7926" i="1"/>
  <c r="I7925" i="1"/>
  <c r="I7924" i="1"/>
  <c r="I7923" i="1"/>
  <c r="I7922" i="1"/>
  <c r="I7921" i="1"/>
  <c r="I7920" i="1"/>
  <c r="I7919" i="1"/>
  <c r="I7918" i="1"/>
  <c r="I7917" i="1"/>
  <c r="I7916" i="1"/>
  <c r="I7915" i="1"/>
  <c r="I7914" i="1"/>
  <c r="I7913" i="1"/>
  <c r="I7912" i="1"/>
  <c r="I7911" i="1"/>
  <c r="I7910" i="1"/>
  <c r="I7909" i="1"/>
  <c r="I7908" i="1"/>
  <c r="I7907" i="1"/>
  <c r="I7906" i="1"/>
  <c r="I7905" i="1"/>
  <c r="I7904" i="1"/>
  <c r="I7903" i="1"/>
  <c r="I7902" i="1"/>
  <c r="I7901" i="1"/>
  <c r="I7900" i="1"/>
  <c r="I7899" i="1"/>
  <c r="I7898" i="1"/>
  <c r="I7897" i="1"/>
  <c r="I7896" i="1"/>
  <c r="I7895" i="1"/>
  <c r="I7894" i="1"/>
  <c r="I7893" i="1"/>
  <c r="I7892" i="1"/>
  <c r="I7891" i="1"/>
  <c r="I7890" i="1"/>
  <c r="I7889" i="1"/>
  <c r="I7888" i="1"/>
  <c r="I7887" i="1"/>
  <c r="I7886" i="1"/>
  <c r="I7885" i="1"/>
  <c r="I7884" i="1"/>
  <c r="I7883" i="1"/>
  <c r="I7882" i="1"/>
  <c r="I7881" i="1"/>
  <c r="I7880" i="1"/>
  <c r="I7879" i="1"/>
  <c r="I7878" i="1"/>
  <c r="I7877" i="1"/>
  <c r="I7876" i="1"/>
  <c r="I7875" i="1"/>
  <c r="I7874" i="1"/>
  <c r="I7873" i="1"/>
  <c r="I7872" i="1"/>
  <c r="I7871" i="1"/>
  <c r="I7870" i="1"/>
  <c r="I7869" i="1"/>
  <c r="I7868" i="1"/>
  <c r="I7867" i="1"/>
  <c r="I7866" i="1"/>
  <c r="I7865" i="1"/>
  <c r="I7864" i="1"/>
  <c r="I7863" i="1"/>
  <c r="I7862" i="1"/>
  <c r="I7861" i="1"/>
  <c r="I7860" i="1"/>
  <c r="I7859" i="1"/>
  <c r="I7858" i="1"/>
  <c r="I7857" i="1"/>
  <c r="I7856" i="1"/>
  <c r="I7855" i="1"/>
  <c r="I7854" i="1"/>
  <c r="I7853" i="1"/>
  <c r="I7852" i="1"/>
  <c r="I7851" i="1"/>
  <c r="I7850" i="1"/>
  <c r="I7849" i="1"/>
  <c r="I7848" i="1"/>
  <c r="I7847" i="1"/>
  <c r="I7846" i="1"/>
  <c r="I7845" i="1"/>
  <c r="I7844" i="1"/>
  <c r="I7843" i="1"/>
  <c r="I7842" i="1"/>
  <c r="I7841" i="1"/>
  <c r="I7840" i="1"/>
  <c r="I7839" i="1"/>
  <c r="I7838" i="1"/>
  <c r="I7837" i="1"/>
  <c r="I7836" i="1"/>
  <c r="I7835" i="1"/>
  <c r="I7834" i="1"/>
  <c r="I7833" i="1"/>
  <c r="I7832" i="1"/>
  <c r="I7831" i="1"/>
  <c r="I7830" i="1"/>
  <c r="I7829" i="1"/>
  <c r="I7828" i="1"/>
  <c r="I7827" i="1"/>
  <c r="I7826" i="1"/>
  <c r="I7825" i="1"/>
  <c r="I7824" i="1"/>
  <c r="I7823" i="1"/>
  <c r="I7822" i="1"/>
  <c r="I7821" i="1"/>
  <c r="I7820" i="1"/>
  <c r="I7819" i="1"/>
  <c r="I7818" i="1"/>
  <c r="I7817" i="1"/>
  <c r="I7816" i="1"/>
  <c r="I7815" i="1"/>
  <c r="I7814" i="1"/>
  <c r="I7813" i="1"/>
  <c r="I7812" i="1"/>
  <c r="I7811" i="1"/>
  <c r="I7810" i="1"/>
  <c r="I7809" i="1"/>
  <c r="I7808" i="1"/>
  <c r="I7807" i="1"/>
  <c r="I7806" i="1"/>
  <c r="I7805" i="1"/>
  <c r="I7804" i="1"/>
  <c r="I7803" i="1"/>
  <c r="I7802" i="1"/>
  <c r="I7801" i="1"/>
  <c r="I7800" i="1"/>
  <c r="I7799" i="1"/>
  <c r="I7798" i="1"/>
  <c r="I7797" i="1"/>
  <c r="I7796" i="1"/>
  <c r="I7795" i="1"/>
  <c r="I7794" i="1"/>
  <c r="I7793" i="1"/>
  <c r="I7792" i="1"/>
  <c r="I7791" i="1"/>
  <c r="I7790" i="1"/>
  <c r="I7789" i="1"/>
  <c r="I7788" i="1"/>
  <c r="I7787" i="1"/>
  <c r="I7786" i="1"/>
  <c r="I7785" i="1"/>
  <c r="I7784" i="1"/>
  <c r="I7783" i="1"/>
  <c r="I7782" i="1"/>
  <c r="I7781" i="1"/>
  <c r="I7780" i="1"/>
  <c r="I7779" i="1"/>
  <c r="I7778" i="1"/>
  <c r="I7777" i="1"/>
  <c r="I7776" i="1"/>
  <c r="I7775" i="1"/>
  <c r="I7774" i="1"/>
  <c r="I7773" i="1"/>
  <c r="I7772" i="1"/>
  <c r="I7771" i="1"/>
  <c r="I7770" i="1"/>
  <c r="I7769" i="1"/>
  <c r="I7768" i="1"/>
  <c r="I7767" i="1"/>
  <c r="I7766" i="1"/>
  <c r="I7765" i="1"/>
  <c r="I7764" i="1"/>
  <c r="I7763" i="1"/>
  <c r="I7762" i="1"/>
  <c r="I7761" i="1"/>
  <c r="I7760" i="1"/>
  <c r="I7759" i="1"/>
  <c r="I7758" i="1"/>
  <c r="I7757" i="1"/>
  <c r="I7756" i="1"/>
  <c r="I7755" i="1"/>
  <c r="I7754" i="1"/>
  <c r="I7753" i="1"/>
  <c r="I7752" i="1"/>
  <c r="I7751" i="1"/>
  <c r="I7750" i="1"/>
  <c r="I7749" i="1"/>
  <c r="I7748" i="1"/>
  <c r="I7747" i="1"/>
  <c r="I7746" i="1"/>
  <c r="I7745" i="1"/>
  <c r="I7744" i="1"/>
  <c r="I7743" i="1"/>
  <c r="I7742" i="1"/>
  <c r="I7741" i="1"/>
  <c r="I7740" i="1"/>
  <c r="I7739" i="1"/>
  <c r="I7738" i="1"/>
  <c r="I7737" i="1"/>
  <c r="I7736" i="1"/>
  <c r="I7735" i="1"/>
  <c r="I7734" i="1"/>
  <c r="I7733" i="1"/>
  <c r="I7732" i="1"/>
  <c r="I7731" i="1"/>
  <c r="I7730" i="1"/>
  <c r="I7729" i="1"/>
  <c r="I7728" i="1"/>
  <c r="I7727" i="1"/>
  <c r="I7726" i="1"/>
  <c r="I7725" i="1"/>
  <c r="I7724" i="1"/>
  <c r="I7723" i="1"/>
  <c r="I7722" i="1"/>
  <c r="I7721" i="1"/>
  <c r="I7720" i="1"/>
  <c r="I7719" i="1"/>
  <c r="I7718" i="1"/>
  <c r="I7717" i="1"/>
  <c r="I7716" i="1"/>
  <c r="I7715" i="1"/>
  <c r="I7714" i="1"/>
  <c r="I7713" i="1"/>
  <c r="I7712" i="1"/>
  <c r="I7711" i="1"/>
  <c r="I7710" i="1"/>
  <c r="I7709" i="1"/>
  <c r="I7708" i="1"/>
  <c r="I7707" i="1"/>
  <c r="I7706" i="1"/>
  <c r="I7705" i="1"/>
  <c r="I7704" i="1"/>
  <c r="I7703" i="1"/>
  <c r="I7702" i="1"/>
  <c r="I7701" i="1"/>
  <c r="I7700" i="1"/>
  <c r="I7699" i="1"/>
  <c r="I7698" i="1"/>
  <c r="I7697" i="1"/>
  <c r="I7696" i="1"/>
  <c r="I7695" i="1"/>
  <c r="I7694" i="1"/>
  <c r="I7693" i="1"/>
  <c r="I7692" i="1"/>
  <c r="I7691" i="1"/>
  <c r="I7690" i="1"/>
  <c r="I7689" i="1"/>
  <c r="I7688" i="1"/>
  <c r="I7687" i="1"/>
  <c r="I7686" i="1"/>
  <c r="I7685" i="1"/>
  <c r="I7684" i="1"/>
  <c r="I7683" i="1"/>
  <c r="I7682" i="1"/>
  <c r="I7681" i="1"/>
  <c r="I7680" i="1"/>
  <c r="I7679" i="1"/>
  <c r="I7678" i="1"/>
  <c r="I7677" i="1"/>
  <c r="I7676" i="1"/>
  <c r="I7675" i="1"/>
  <c r="I7674" i="1"/>
  <c r="I7673" i="1"/>
  <c r="I7672" i="1"/>
  <c r="I7671" i="1"/>
  <c r="I7670" i="1"/>
  <c r="I7669" i="1"/>
  <c r="I7668" i="1"/>
  <c r="I7667" i="1"/>
  <c r="I7666" i="1"/>
  <c r="I7665" i="1"/>
  <c r="I7664" i="1"/>
  <c r="I7663" i="1"/>
  <c r="I7662" i="1"/>
  <c r="I7661" i="1"/>
  <c r="I7660" i="1"/>
  <c r="I7659" i="1"/>
  <c r="I7658" i="1"/>
  <c r="I7657" i="1"/>
  <c r="I7656" i="1"/>
  <c r="I7655" i="1"/>
  <c r="I7654" i="1"/>
  <c r="I7653" i="1"/>
  <c r="I7652" i="1"/>
  <c r="I7651" i="1"/>
  <c r="I7650" i="1"/>
  <c r="I7649" i="1"/>
  <c r="I7648" i="1"/>
  <c r="I7647" i="1"/>
  <c r="I7646" i="1"/>
  <c r="I7645" i="1"/>
  <c r="I7644" i="1"/>
  <c r="I7643" i="1"/>
  <c r="I7642" i="1"/>
  <c r="I7641" i="1"/>
  <c r="I7640" i="1"/>
  <c r="I7639" i="1"/>
  <c r="I7638" i="1"/>
  <c r="I7637" i="1"/>
  <c r="I7636" i="1"/>
  <c r="I7635" i="1"/>
  <c r="I7634" i="1"/>
  <c r="I7633" i="1"/>
  <c r="I7632" i="1"/>
  <c r="I7631" i="1"/>
  <c r="I7630" i="1"/>
  <c r="I7629" i="1"/>
  <c r="I7628" i="1"/>
  <c r="I7627" i="1"/>
  <c r="I7626" i="1"/>
  <c r="I7625" i="1"/>
  <c r="I7624" i="1"/>
  <c r="I7623" i="1"/>
  <c r="I7622" i="1"/>
  <c r="I7621" i="1"/>
  <c r="I7620" i="1"/>
  <c r="I7619" i="1"/>
  <c r="I7618" i="1"/>
  <c r="I7617" i="1"/>
  <c r="I7616" i="1"/>
  <c r="I7615" i="1"/>
  <c r="I7614" i="1"/>
  <c r="I7613" i="1"/>
  <c r="I7612" i="1"/>
  <c r="I7611" i="1"/>
  <c r="I7610" i="1"/>
  <c r="I7609" i="1"/>
  <c r="I7608" i="1"/>
  <c r="I7607" i="1"/>
  <c r="I7606" i="1"/>
  <c r="I7605" i="1"/>
  <c r="I7604" i="1"/>
  <c r="I7603" i="1"/>
  <c r="I7602" i="1"/>
  <c r="I7601" i="1"/>
  <c r="I7600" i="1"/>
  <c r="I7599" i="1"/>
  <c r="I7598" i="1"/>
  <c r="I7597" i="1"/>
  <c r="I7596" i="1"/>
  <c r="I7595" i="1"/>
  <c r="I7594" i="1"/>
  <c r="I7593" i="1"/>
  <c r="I7592" i="1"/>
  <c r="I7591" i="1"/>
  <c r="I7590" i="1"/>
  <c r="I7589" i="1"/>
  <c r="I7588" i="1"/>
  <c r="I7587" i="1"/>
  <c r="I7586" i="1"/>
  <c r="I7585" i="1"/>
  <c r="I7584" i="1"/>
  <c r="I7583" i="1"/>
  <c r="I7582" i="1"/>
  <c r="I7581" i="1"/>
  <c r="I7580" i="1"/>
  <c r="I7579" i="1"/>
  <c r="I7578" i="1"/>
  <c r="I7577" i="1"/>
  <c r="I7576" i="1"/>
  <c r="I7575" i="1"/>
  <c r="I7574" i="1"/>
  <c r="I7573" i="1"/>
  <c r="I7572" i="1"/>
  <c r="I7571" i="1"/>
  <c r="I7570" i="1"/>
  <c r="I7569" i="1"/>
  <c r="I7568" i="1"/>
  <c r="I7567" i="1"/>
  <c r="I7566" i="1"/>
  <c r="I7565" i="1"/>
  <c r="I7564" i="1"/>
  <c r="I7563" i="1"/>
  <c r="I7562" i="1"/>
  <c r="I7561" i="1"/>
  <c r="I7560" i="1"/>
  <c r="I7559" i="1"/>
  <c r="I7558" i="1"/>
  <c r="I7557" i="1"/>
  <c r="I7556" i="1"/>
  <c r="I7555" i="1"/>
  <c r="I7554" i="1"/>
  <c r="I7553" i="1"/>
  <c r="I7552" i="1"/>
  <c r="I7551" i="1"/>
  <c r="I7550" i="1"/>
  <c r="I7549" i="1"/>
  <c r="I7548" i="1"/>
  <c r="I7547" i="1"/>
  <c r="I7546" i="1"/>
  <c r="I7545" i="1"/>
  <c r="I7544" i="1"/>
  <c r="I7543" i="1"/>
  <c r="I7542" i="1"/>
  <c r="I7541" i="1"/>
  <c r="I7540" i="1"/>
  <c r="I7539" i="1"/>
  <c r="I7538" i="1"/>
  <c r="I7537" i="1"/>
  <c r="I7536" i="1"/>
  <c r="I7535" i="1"/>
  <c r="I7534" i="1"/>
  <c r="I7533" i="1"/>
  <c r="I7532" i="1"/>
  <c r="I7531" i="1"/>
  <c r="I7530" i="1"/>
  <c r="I7529" i="1"/>
  <c r="I7528" i="1"/>
  <c r="I7527" i="1"/>
  <c r="I7526" i="1"/>
  <c r="I7525" i="1"/>
  <c r="I7524" i="1"/>
  <c r="I7523" i="1"/>
  <c r="I7522" i="1"/>
  <c r="I7521" i="1"/>
  <c r="I7520" i="1"/>
  <c r="I7519" i="1"/>
  <c r="I7518" i="1"/>
  <c r="I7517" i="1"/>
  <c r="I7516" i="1"/>
  <c r="I7515" i="1"/>
  <c r="I7514" i="1"/>
  <c r="I7513" i="1"/>
  <c r="I7512" i="1"/>
  <c r="I7511" i="1"/>
  <c r="I7510" i="1"/>
  <c r="I7509" i="1"/>
  <c r="I7508" i="1"/>
  <c r="I7507" i="1"/>
  <c r="I7506" i="1"/>
  <c r="I7505" i="1"/>
  <c r="I7504" i="1"/>
  <c r="I7503" i="1"/>
  <c r="I7502" i="1"/>
  <c r="I7501" i="1"/>
  <c r="I7500" i="1"/>
  <c r="I7499" i="1"/>
  <c r="I7498" i="1"/>
  <c r="I7497" i="1"/>
  <c r="I7496" i="1"/>
  <c r="I7495" i="1"/>
  <c r="I7494" i="1"/>
  <c r="I7493" i="1"/>
  <c r="I7492" i="1"/>
  <c r="I7491" i="1"/>
  <c r="I7490" i="1"/>
  <c r="I7489" i="1"/>
  <c r="I7488" i="1"/>
  <c r="I7487" i="1"/>
  <c r="I7486" i="1"/>
  <c r="I7485" i="1"/>
  <c r="I7484" i="1"/>
  <c r="I7483" i="1"/>
  <c r="I7482" i="1"/>
  <c r="I7481" i="1"/>
  <c r="I7480" i="1"/>
  <c r="I7479" i="1"/>
  <c r="I7478" i="1"/>
  <c r="I7477" i="1"/>
  <c r="I7476" i="1"/>
  <c r="I7475" i="1"/>
  <c r="I7474" i="1"/>
  <c r="I7473" i="1"/>
  <c r="I7472" i="1"/>
  <c r="I7471" i="1"/>
  <c r="I7470" i="1"/>
  <c r="I7469" i="1"/>
  <c r="I7468" i="1"/>
  <c r="I7467" i="1"/>
  <c r="I7466" i="1"/>
  <c r="I7465" i="1"/>
  <c r="I7464" i="1"/>
  <c r="I7463" i="1"/>
  <c r="I7462" i="1"/>
  <c r="I7461" i="1"/>
  <c r="I7460" i="1"/>
  <c r="I7459" i="1"/>
  <c r="I7458" i="1"/>
  <c r="I7457" i="1"/>
  <c r="I7456" i="1"/>
  <c r="I7455" i="1"/>
  <c r="I7454" i="1"/>
  <c r="I7453" i="1"/>
  <c r="I7452" i="1"/>
  <c r="I7451" i="1"/>
  <c r="I7450" i="1"/>
  <c r="I7449" i="1"/>
  <c r="I7448" i="1"/>
  <c r="I7447" i="1"/>
  <c r="I7446" i="1"/>
  <c r="I7445" i="1"/>
  <c r="I7444" i="1"/>
  <c r="I7443" i="1"/>
  <c r="I7442" i="1"/>
  <c r="I7441" i="1"/>
  <c r="I7440" i="1"/>
  <c r="I7439" i="1"/>
  <c r="I7438" i="1"/>
  <c r="I7437" i="1"/>
  <c r="I7436" i="1"/>
  <c r="I7435" i="1"/>
  <c r="I7434" i="1"/>
  <c r="I7433" i="1"/>
  <c r="I7432" i="1"/>
  <c r="I7431" i="1"/>
  <c r="I7430" i="1"/>
  <c r="I7429" i="1"/>
  <c r="I7428" i="1"/>
  <c r="I7427" i="1"/>
  <c r="I7426" i="1"/>
  <c r="I7425" i="1"/>
  <c r="I7424" i="1"/>
  <c r="I7423" i="1"/>
  <c r="I7422" i="1"/>
  <c r="I7421" i="1"/>
  <c r="I7420" i="1"/>
  <c r="I7419" i="1"/>
  <c r="I7418" i="1"/>
  <c r="I7417" i="1"/>
  <c r="I7416" i="1"/>
  <c r="I7415" i="1"/>
  <c r="I7414" i="1"/>
  <c r="I7413" i="1"/>
  <c r="I7412" i="1"/>
  <c r="I7411" i="1"/>
  <c r="I7410" i="1"/>
  <c r="I7409" i="1"/>
  <c r="I7408" i="1"/>
  <c r="I7407" i="1"/>
  <c r="I7406" i="1"/>
  <c r="I7405" i="1"/>
  <c r="I7404" i="1"/>
  <c r="I7403" i="1"/>
  <c r="I7402" i="1"/>
  <c r="I7401" i="1"/>
  <c r="I7400" i="1"/>
  <c r="I7399" i="1"/>
  <c r="I7398" i="1"/>
  <c r="I7397" i="1"/>
  <c r="I7396" i="1"/>
  <c r="I7395" i="1"/>
  <c r="I7394" i="1"/>
  <c r="I7393" i="1"/>
  <c r="I7392" i="1"/>
  <c r="I7391" i="1"/>
  <c r="I7390" i="1"/>
  <c r="I7389" i="1"/>
  <c r="I7388" i="1"/>
  <c r="I7387" i="1"/>
  <c r="I7386" i="1"/>
  <c r="I7385" i="1"/>
  <c r="I7384" i="1"/>
  <c r="I7383" i="1"/>
  <c r="I7382" i="1"/>
  <c r="I7381" i="1"/>
  <c r="I7380" i="1"/>
  <c r="I7379" i="1"/>
  <c r="I7378" i="1"/>
  <c r="I7377" i="1"/>
  <c r="I7376" i="1"/>
  <c r="I7375" i="1"/>
  <c r="I7374" i="1"/>
  <c r="I7373" i="1"/>
  <c r="I7372" i="1"/>
  <c r="I7371" i="1"/>
  <c r="I7370" i="1"/>
  <c r="I7369" i="1"/>
  <c r="I7368" i="1"/>
  <c r="I7367" i="1"/>
  <c r="I7366" i="1"/>
  <c r="I7365" i="1"/>
  <c r="I7364" i="1"/>
  <c r="I7363" i="1"/>
  <c r="I7362" i="1"/>
  <c r="I7361" i="1"/>
  <c r="I7360" i="1"/>
  <c r="I7359" i="1"/>
  <c r="I7358" i="1"/>
  <c r="I7357" i="1"/>
  <c r="I7356" i="1"/>
  <c r="I7355" i="1"/>
  <c r="I7354" i="1"/>
  <c r="I7353" i="1"/>
  <c r="I7352" i="1"/>
  <c r="I7351" i="1"/>
  <c r="I7350" i="1"/>
  <c r="I7349" i="1"/>
  <c r="I7348" i="1"/>
  <c r="I7347" i="1"/>
  <c r="I7346" i="1"/>
  <c r="I7345" i="1"/>
  <c r="I7344" i="1"/>
  <c r="I7343" i="1"/>
  <c r="I7342" i="1"/>
  <c r="I7341" i="1"/>
  <c r="I7340" i="1"/>
  <c r="I7339" i="1"/>
  <c r="I7338" i="1"/>
  <c r="I7337" i="1"/>
  <c r="I7336" i="1"/>
  <c r="I7335" i="1"/>
  <c r="I7334" i="1"/>
  <c r="I7333" i="1"/>
  <c r="I7332" i="1"/>
  <c r="I7331" i="1"/>
  <c r="I7330" i="1"/>
  <c r="I7329" i="1"/>
  <c r="I7328" i="1"/>
  <c r="I7327" i="1"/>
  <c r="I7326" i="1"/>
  <c r="I7325" i="1"/>
  <c r="I7324" i="1"/>
  <c r="I7323" i="1"/>
  <c r="I7322" i="1"/>
  <c r="I7321" i="1"/>
  <c r="I7320" i="1"/>
  <c r="I7319" i="1"/>
  <c r="I7318" i="1"/>
  <c r="I7317" i="1"/>
  <c r="I7316" i="1"/>
  <c r="I7315" i="1"/>
  <c r="I7314" i="1"/>
  <c r="I7313" i="1"/>
  <c r="I7312" i="1"/>
  <c r="I7311" i="1"/>
  <c r="I7310" i="1"/>
  <c r="I7309" i="1"/>
  <c r="I7308" i="1"/>
  <c r="I7307" i="1"/>
  <c r="I7306" i="1"/>
  <c r="I7305" i="1"/>
  <c r="I7304" i="1"/>
  <c r="I7303" i="1"/>
  <c r="I7302" i="1"/>
  <c r="I7301" i="1"/>
  <c r="I7300" i="1"/>
  <c r="I7299" i="1"/>
  <c r="I7298" i="1"/>
  <c r="I7297" i="1"/>
  <c r="I7296" i="1"/>
  <c r="I7295" i="1"/>
  <c r="I7294" i="1"/>
  <c r="I7293" i="1"/>
  <c r="I7292" i="1"/>
  <c r="I7291" i="1"/>
  <c r="I7290" i="1"/>
  <c r="I7289" i="1"/>
  <c r="I7288" i="1"/>
  <c r="I7287" i="1"/>
  <c r="I7286" i="1"/>
  <c r="I7285" i="1"/>
  <c r="I7284" i="1"/>
  <c r="I7283" i="1"/>
  <c r="I7282" i="1"/>
  <c r="I7281" i="1"/>
  <c r="I7280" i="1"/>
  <c r="I7279" i="1"/>
  <c r="I7278" i="1"/>
  <c r="I7277" i="1"/>
  <c r="I7276" i="1"/>
  <c r="I7275" i="1"/>
  <c r="I7274" i="1"/>
  <c r="I7273" i="1"/>
  <c r="I7272" i="1"/>
  <c r="I7271" i="1"/>
  <c r="I7270" i="1"/>
  <c r="I7269" i="1"/>
  <c r="I7268" i="1"/>
  <c r="I7267" i="1"/>
  <c r="I7266" i="1"/>
  <c r="I7265" i="1"/>
  <c r="I7264" i="1"/>
  <c r="I7263" i="1"/>
  <c r="I7262" i="1"/>
  <c r="I7261" i="1"/>
  <c r="I7260" i="1"/>
  <c r="I7259" i="1"/>
  <c r="I7258" i="1"/>
  <c r="I7257" i="1"/>
  <c r="I7256" i="1"/>
  <c r="I7255" i="1"/>
  <c r="I7254" i="1"/>
  <c r="I7253" i="1"/>
  <c r="I7252" i="1"/>
  <c r="I7251" i="1"/>
  <c r="I7250" i="1"/>
  <c r="I7249" i="1"/>
  <c r="I7248" i="1"/>
  <c r="I7247" i="1"/>
  <c r="I7246" i="1"/>
  <c r="I7245" i="1"/>
  <c r="I7244" i="1"/>
  <c r="I7243" i="1"/>
  <c r="I7242" i="1"/>
  <c r="I7241" i="1"/>
  <c r="I7240" i="1"/>
  <c r="I7239" i="1"/>
  <c r="I7238" i="1"/>
  <c r="I7237" i="1"/>
  <c r="I7236" i="1"/>
  <c r="I7235" i="1"/>
  <c r="I7234" i="1"/>
  <c r="I7233" i="1"/>
  <c r="I7232" i="1"/>
  <c r="I7231" i="1"/>
  <c r="I7230" i="1"/>
  <c r="I7229" i="1"/>
  <c r="I7228" i="1"/>
  <c r="I7227" i="1"/>
  <c r="I7226" i="1"/>
  <c r="I7225" i="1"/>
  <c r="I7224" i="1"/>
  <c r="I7223" i="1"/>
  <c r="I7222" i="1"/>
  <c r="I7221" i="1"/>
  <c r="I7220" i="1"/>
  <c r="I7219" i="1"/>
  <c r="I7218" i="1"/>
  <c r="I7217" i="1"/>
  <c r="I7216" i="1"/>
  <c r="I7215" i="1"/>
  <c r="I7214" i="1"/>
  <c r="I7213" i="1"/>
  <c r="I7212" i="1"/>
  <c r="I7211" i="1"/>
  <c r="I7210" i="1"/>
  <c r="I7209" i="1"/>
  <c r="I7208" i="1"/>
  <c r="I7207" i="1"/>
  <c r="I7206" i="1"/>
  <c r="I7205" i="1"/>
  <c r="I7204" i="1"/>
  <c r="I7203" i="1"/>
  <c r="I7202" i="1"/>
  <c r="I7201" i="1"/>
  <c r="I7200" i="1"/>
  <c r="I7199" i="1"/>
  <c r="I7198" i="1"/>
  <c r="I7197" i="1"/>
  <c r="I7196" i="1"/>
  <c r="I7195" i="1"/>
  <c r="I7194" i="1"/>
  <c r="I7193" i="1"/>
  <c r="I7192" i="1"/>
  <c r="I7191" i="1"/>
  <c r="I7190" i="1"/>
  <c r="I7189" i="1"/>
  <c r="I7188" i="1"/>
  <c r="I7187" i="1"/>
  <c r="I7186" i="1"/>
  <c r="I7185" i="1"/>
  <c r="I7184" i="1"/>
  <c r="I7183" i="1"/>
  <c r="I7182" i="1"/>
  <c r="I7181" i="1"/>
  <c r="I7180" i="1"/>
  <c r="I7179" i="1"/>
  <c r="I7178" i="1"/>
  <c r="I7177" i="1"/>
  <c r="I7176" i="1"/>
  <c r="I7175" i="1"/>
  <c r="I7174" i="1"/>
  <c r="I7173" i="1"/>
  <c r="I7172" i="1"/>
  <c r="I7171" i="1"/>
  <c r="I7170" i="1"/>
  <c r="I7169" i="1"/>
  <c r="I7168" i="1"/>
  <c r="I7167" i="1"/>
  <c r="I7166" i="1"/>
  <c r="I7165" i="1"/>
  <c r="I7164" i="1"/>
  <c r="I7163" i="1"/>
  <c r="I7162" i="1"/>
  <c r="I7161" i="1"/>
  <c r="I7160" i="1"/>
  <c r="I7159" i="1"/>
  <c r="I7158" i="1"/>
  <c r="I7157" i="1"/>
  <c r="I7156" i="1"/>
  <c r="I7155" i="1"/>
  <c r="I7154" i="1"/>
  <c r="I7153" i="1"/>
  <c r="I7152" i="1"/>
  <c r="I7151" i="1"/>
  <c r="I7150" i="1"/>
  <c r="I7149" i="1"/>
  <c r="I7148" i="1"/>
  <c r="I7147" i="1"/>
  <c r="I7146" i="1"/>
  <c r="I7145" i="1"/>
  <c r="I7144" i="1"/>
  <c r="I7143" i="1"/>
  <c r="I7142" i="1"/>
  <c r="I7141" i="1"/>
  <c r="I7140" i="1"/>
  <c r="I7139" i="1"/>
  <c r="I7138" i="1"/>
  <c r="I7137" i="1"/>
  <c r="I7136" i="1"/>
  <c r="I7135" i="1"/>
  <c r="I7134" i="1"/>
  <c r="I7133" i="1"/>
  <c r="I7132" i="1"/>
  <c r="I7131" i="1"/>
  <c r="I7130" i="1"/>
  <c r="I7129" i="1"/>
  <c r="I7128" i="1"/>
  <c r="I7127" i="1"/>
  <c r="I7126" i="1"/>
  <c r="I7125" i="1"/>
  <c r="I7124" i="1"/>
  <c r="I7123" i="1"/>
  <c r="I7122" i="1"/>
  <c r="I7121" i="1"/>
  <c r="I7120" i="1"/>
  <c r="I7119" i="1"/>
  <c r="I7118" i="1"/>
  <c r="I7117" i="1"/>
  <c r="I7116" i="1"/>
  <c r="I7115" i="1"/>
  <c r="I7114" i="1"/>
  <c r="I7113" i="1"/>
  <c r="I7112" i="1"/>
  <c r="I7111" i="1"/>
  <c r="I7110" i="1"/>
  <c r="I7109" i="1"/>
  <c r="I7108" i="1"/>
  <c r="I7107" i="1"/>
  <c r="I7106" i="1"/>
  <c r="I7105" i="1"/>
  <c r="I7104" i="1"/>
  <c r="I7103" i="1"/>
  <c r="I7102" i="1"/>
  <c r="I7101" i="1"/>
  <c r="I7100" i="1"/>
  <c r="I7099" i="1"/>
  <c r="I7098" i="1"/>
  <c r="I7097" i="1"/>
  <c r="I7096" i="1"/>
  <c r="I7095" i="1"/>
  <c r="I7094" i="1"/>
  <c r="I7093" i="1"/>
  <c r="I7092" i="1"/>
  <c r="I7091" i="1"/>
  <c r="I7090" i="1"/>
  <c r="I7089" i="1"/>
  <c r="I7088" i="1"/>
  <c r="I7087" i="1"/>
  <c r="I7086" i="1"/>
  <c r="I7085" i="1"/>
  <c r="I7084" i="1"/>
  <c r="I7083" i="1"/>
  <c r="I7082" i="1"/>
  <c r="I7081" i="1"/>
  <c r="I7080" i="1"/>
  <c r="I7079" i="1"/>
  <c r="I7078" i="1"/>
  <c r="I7077" i="1"/>
  <c r="I7076" i="1"/>
  <c r="I7075" i="1"/>
  <c r="I7074" i="1"/>
  <c r="I7073" i="1"/>
  <c r="I7072" i="1"/>
  <c r="I7071" i="1"/>
  <c r="I7070" i="1"/>
  <c r="I7069" i="1"/>
  <c r="I7068" i="1"/>
  <c r="I7067" i="1"/>
  <c r="I7066" i="1"/>
  <c r="I7065" i="1"/>
  <c r="I7064" i="1"/>
  <c r="I7063" i="1"/>
  <c r="I7062" i="1"/>
  <c r="I7061" i="1"/>
  <c r="I7060" i="1"/>
  <c r="I7059" i="1"/>
  <c r="I7058" i="1"/>
  <c r="I7057" i="1"/>
  <c r="I7056" i="1"/>
  <c r="I7055" i="1"/>
  <c r="I7054" i="1"/>
  <c r="I7053" i="1"/>
  <c r="I7052" i="1"/>
  <c r="I7051" i="1"/>
  <c r="I7050" i="1"/>
  <c r="I7049" i="1"/>
  <c r="I7048" i="1"/>
  <c r="I7047" i="1"/>
  <c r="I7046" i="1"/>
  <c r="I7045" i="1"/>
  <c r="I7044" i="1"/>
  <c r="I7043" i="1"/>
  <c r="I7042" i="1"/>
  <c r="I7041" i="1"/>
  <c r="I7040" i="1"/>
  <c r="I7039" i="1"/>
  <c r="I7038" i="1"/>
  <c r="I7037" i="1"/>
  <c r="I7036" i="1"/>
  <c r="I7035" i="1"/>
  <c r="I7034" i="1"/>
  <c r="I7033" i="1"/>
  <c r="I7032" i="1"/>
  <c r="I7031" i="1"/>
  <c r="I7030" i="1"/>
  <c r="I7029" i="1"/>
  <c r="I7028" i="1"/>
  <c r="I7027" i="1"/>
  <c r="I7026" i="1"/>
  <c r="I7025" i="1"/>
  <c r="I7024" i="1"/>
  <c r="I7023" i="1"/>
  <c r="I7022" i="1"/>
  <c r="I7021" i="1"/>
  <c r="I7020" i="1"/>
  <c r="I7019" i="1"/>
  <c r="I7018" i="1"/>
  <c r="I7017" i="1"/>
  <c r="I7016" i="1"/>
  <c r="I7015" i="1"/>
  <c r="I7014" i="1"/>
  <c r="I7013" i="1"/>
  <c r="I7012" i="1"/>
  <c r="I7011" i="1"/>
  <c r="I7010" i="1"/>
  <c r="I7009" i="1"/>
  <c r="I7008" i="1"/>
  <c r="I7007" i="1"/>
  <c r="I7006" i="1"/>
  <c r="I7005" i="1"/>
  <c r="I7004" i="1"/>
  <c r="I7003" i="1"/>
  <c r="I7002" i="1"/>
  <c r="I7001" i="1"/>
  <c r="I7000" i="1"/>
  <c r="I6999" i="1"/>
  <c r="I6998" i="1"/>
  <c r="I6997" i="1"/>
  <c r="I6996" i="1"/>
  <c r="I6995" i="1"/>
  <c r="I6994" i="1"/>
  <c r="I6993" i="1"/>
  <c r="I6992" i="1"/>
  <c r="I6991" i="1"/>
  <c r="I6990" i="1"/>
  <c r="I6989" i="1"/>
  <c r="I6988" i="1"/>
  <c r="I6987" i="1"/>
  <c r="I6986" i="1"/>
  <c r="I6985" i="1"/>
  <c r="I6984" i="1"/>
  <c r="I6983" i="1"/>
  <c r="I6982" i="1"/>
  <c r="I6981" i="1"/>
  <c r="I6980" i="1"/>
  <c r="I6979" i="1"/>
  <c r="I6978" i="1"/>
  <c r="I6977" i="1"/>
  <c r="I6976" i="1"/>
  <c r="I6975" i="1"/>
  <c r="I6974" i="1"/>
  <c r="I6973" i="1"/>
  <c r="I6972" i="1"/>
  <c r="I6971" i="1"/>
  <c r="I6970" i="1"/>
  <c r="I6969" i="1"/>
  <c r="I6968" i="1"/>
  <c r="I6967" i="1"/>
  <c r="I6966" i="1"/>
  <c r="I6965" i="1"/>
  <c r="I6964" i="1"/>
  <c r="I6963" i="1"/>
  <c r="I6962" i="1"/>
  <c r="I6961" i="1"/>
  <c r="I6960" i="1"/>
  <c r="I6959" i="1"/>
  <c r="I6958" i="1"/>
  <c r="I6957" i="1"/>
  <c r="I6956" i="1"/>
  <c r="I6955" i="1"/>
  <c r="I6954" i="1"/>
  <c r="I6953" i="1"/>
  <c r="I6952" i="1"/>
  <c r="I6951" i="1"/>
  <c r="I6950" i="1"/>
  <c r="I6949" i="1"/>
  <c r="I6948" i="1"/>
  <c r="I6947" i="1"/>
  <c r="I6946" i="1"/>
  <c r="I6945" i="1"/>
  <c r="I6944" i="1"/>
  <c r="I6943" i="1"/>
  <c r="I6942" i="1"/>
  <c r="I6941" i="1"/>
  <c r="I6940" i="1"/>
  <c r="I6939" i="1"/>
  <c r="I6938" i="1"/>
  <c r="I6937" i="1"/>
  <c r="I6936" i="1"/>
  <c r="I6935" i="1"/>
  <c r="I6934" i="1"/>
  <c r="I6933" i="1"/>
  <c r="I6932" i="1"/>
  <c r="I6931" i="1"/>
  <c r="I6930" i="1"/>
  <c r="I6929" i="1"/>
  <c r="I6928" i="1"/>
  <c r="I6927" i="1"/>
  <c r="I6926" i="1"/>
  <c r="I6925" i="1"/>
  <c r="I6924" i="1"/>
  <c r="I6923" i="1"/>
  <c r="I6922" i="1"/>
  <c r="I6921" i="1"/>
  <c r="I6920" i="1"/>
  <c r="I6919" i="1"/>
  <c r="I6918" i="1"/>
  <c r="I6917" i="1"/>
  <c r="I6916" i="1"/>
  <c r="I6915" i="1"/>
  <c r="I6914" i="1"/>
  <c r="I6913" i="1"/>
  <c r="I6912" i="1"/>
  <c r="I6911" i="1"/>
  <c r="I6910" i="1"/>
  <c r="I6909" i="1"/>
  <c r="I6908" i="1"/>
  <c r="I6907" i="1"/>
  <c r="I6906" i="1"/>
  <c r="I6905" i="1"/>
  <c r="I6904" i="1"/>
  <c r="I6903" i="1"/>
  <c r="I6902" i="1"/>
  <c r="I6901" i="1"/>
  <c r="I6900" i="1"/>
  <c r="I6899" i="1"/>
  <c r="I6898" i="1"/>
  <c r="I6897" i="1"/>
  <c r="I6896" i="1"/>
  <c r="I6895" i="1"/>
  <c r="I6894" i="1"/>
  <c r="I6893" i="1"/>
  <c r="I6892" i="1"/>
  <c r="I6891" i="1"/>
  <c r="I6890" i="1"/>
  <c r="I6889" i="1"/>
  <c r="I6888" i="1"/>
  <c r="I6887" i="1"/>
  <c r="I6886" i="1"/>
  <c r="I6885" i="1"/>
  <c r="I6884" i="1"/>
  <c r="I6883" i="1"/>
  <c r="I6882" i="1"/>
  <c r="I6881" i="1"/>
  <c r="I6880" i="1"/>
  <c r="I6879" i="1"/>
  <c r="I6878" i="1"/>
  <c r="I6877" i="1"/>
  <c r="I6876" i="1"/>
  <c r="I6875" i="1"/>
  <c r="I6874" i="1"/>
  <c r="I6873" i="1"/>
  <c r="I6872" i="1"/>
  <c r="I6871" i="1"/>
  <c r="I6870" i="1"/>
  <c r="I6869" i="1"/>
  <c r="I6868" i="1"/>
  <c r="I6867" i="1"/>
  <c r="I6866" i="1"/>
  <c r="I6865" i="1"/>
  <c r="I6864" i="1"/>
  <c r="I6863" i="1"/>
  <c r="I6862" i="1"/>
  <c r="I6861" i="1"/>
  <c r="I6860" i="1"/>
  <c r="I6859" i="1"/>
  <c r="I6858" i="1"/>
  <c r="I6857" i="1"/>
  <c r="I6856" i="1"/>
  <c r="I6855" i="1"/>
  <c r="I6854" i="1"/>
  <c r="I6853" i="1"/>
  <c r="I6852" i="1"/>
  <c r="I6851" i="1"/>
  <c r="I6850" i="1"/>
  <c r="I6849" i="1"/>
  <c r="I6848" i="1"/>
  <c r="I6847" i="1"/>
  <c r="I6846" i="1"/>
  <c r="I6845" i="1"/>
  <c r="I6844" i="1"/>
  <c r="I6843" i="1"/>
  <c r="I6842" i="1"/>
  <c r="I6841" i="1"/>
  <c r="I6840" i="1"/>
  <c r="I6839" i="1"/>
  <c r="I6838" i="1"/>
  <c r="I6837" i="1"/>
  <c r="I6836" i="1"/>
  <c r="I6835" i="1"/>
  <c r="I6834" i="1"/>
  <c r="I6833" i="1"/>
  <c r="I6832" i="1"/>
  <c r="I6831" i="1"/>
  <c r="I6830" i="1"/>
  <c r="I6829" i="1"/>
  <c r="I6828" i="1"/>
  <c r="I6827" i="1"/>
  <c r="I6826" i="1"/>
  <c r="I6825" i="1"/>
  <c r="I6824" i="1"/>
  <c r="I6823" i="1"/>
  <c r="I6822" i="1"/>
  <c r="I6821" i="1"/>
  <c r="I6820" i="1"/>
  <c r="I6819" i="1"/>
  <c r="I6818" i="1"/>
  <c r="I6817" i="1"/>
  <c r="I6816" i="1"/>
  <c r="I6815" i="1"/>
  <c r="I6814" i="1"/>
  <c r="I6813" i="1"/>
  <c r="I6812" i="1"/>
  <c r="I6811" i="1"/>
  <c r="I6810" i="1"/>
  <c r="I6809" i="1"/>
  <c r="I6808" i="1"/>
  <c r="I6807" i="1"/>
  <c r="I6806" i="1"/>
  <c r="I6805" i="1"/>
  <c r="I6804" i="1"/>
  <c r="I6803" i="1"/>
  <c r="I6802" i="1"/>
  <c r="I6801" i="1"/>
  <c r="I6800" i="1"/>
  <c r="I6799" i="1"/>
  <c r="I6798" i="1"/>
  <c r="I6797" i="1"/>
  <c r="I6796" i="1"/>
  <c r="I6795" i="1"/>
  <c r="I6794" i="1"/>
  <c r="I6793" i="1"/>
  <c r="I6792" i="1"/>
  <c r="I6791" i="1"/>
  <c r="I6790" i="1"/>
  <c r="I6789" i="1"/>
  <c r="I6788" i="1"/>
  <c r="I6787" i="1"/>
  <c r="I6786" i="1"/>
  <c r="I6785" i="1"/>
  <c r="I6784" i="1"/>
  <c r="I6783" i="1"/>
  <c r="I6782" i="1"/>
  <c r="I6781" i="1"/>
  <c r="I6780" i="1"/>
  <c r="I6779" i="1"/>
  <c r="I6778" i="1"/>
  <c r="I6777" i="1"/>
  <c r="I6776" i="1"/>
  <c r="I6775" i="1"/>
  <c r="I6774" i="1"/>
  <c r="I6773" i="1"/>
  <c r="I6772" i="1"/>
  <c r="I6771" i="1"/>
  <c r="I6770" i="1"/>
  <c r="I6769" i="1"/>
  <c r="I6768" i="1"/>
  <c r="I6767" i="1"/>
  <c r="I6766" i="1"/>
  <c r="I6765" i="1"/>
  <c r="I6764" i="1"/>
  <c r="I6763" i="1"/>
  <c r="I6762" i="1"/>
  <c r="I6761" i="1"/>
  <c r="I6760" i="1"/>
  <c r="I6759" i="1"/>
  <c r="I6758" i="1"/>
  <c r="I6757" i="1"/>
  <c r="I6756" i="1"/>
  <c r="I6755" i="1"/>
  <c r="I6754" i="1"/>
  <c r="I6753" i="1"/>
  <c r="I6752" i="1"/>
  <c r="I6751" i="1"/>
  <c r="I6750" i="1"/>
  <c r="I6749" i="1"/>
  <c r="I6748" i="1"/>
  <c r="I6747" i="1"/>
  <c r="I6746" i="1"/>
  <c r="I6745" i="1"/>
  <c r="I6744" i="1"/>
  <c r="I6743" i="1"/>
  <c r="I6742" i="1"/>
  <c r="I6741" i="1"/>
  <c r="I6740" i="1"/>
  <c r="I6739" i="1"/>
  <c r="I6738" i="1"/>
  <c r="I6737" i="1"/>
  <c r="I6736" i="1"/>
  <c r="I6735" i="1"/>
  <c r="I6734" i="1"/>
  <c r="I6733" i="1"/>
  <c r="I6732" i="1"/>
  <c r="I6731" i="1"/>
  <c r="I6730" i="1"/>
  <c r="I6729" i="1"/>
  <c r="I6728" i="1"/>
  <c r="I6727" i="1"/>
  <c r="I6726" i="1"/>
  <c r="I6725" i="1"/>
  <c r="I6724" i="1"/>
  <c r="I6723" i="1"/>
  <c r="I6722" i="1"/>
  <c r="I6721" i="1"/>
  <c r="I6720" i="1"/>
  <c r="I6719" i="1"/>
  <c r="I6718" i="1"/>
  <c r="I6717" i="1"/>
  <c r="I6716" i="1"/>
  <c r="I6715" i="1"/>
  <c r="I6714" i="1"/>
  <c r="I6713" i="1"/>
  <c r="I6712" i="1"/>
  <c r="I6711" i="1"/>
  <c r="I6710" i="1"/>
  <c r="I6709" i="1"/>
  <c r="I6708" i="1"/>
  <c r="I6707" i="1"/>
  <c r="I6706" i="1"/>
  <c r="I6705" i="1"/>
  <c r="I6704" i="1"/>
  <c r="I6703" i="1"/>
  <c r="I6702" i="1"/>
  <c r="I6701" i="1"/>
  <c r="I6700" i="1"/>
  <c r="I6699" i="1"/>
  <c r="I6698" i="1"/>
  <c r="I6697" i="1"/>
  <c r="I6696" i="1"/>
  <c r="I6695" i="1"/>
  <c r="I6694" i="1"/>
  <c r="I6693" i="1"/>
  <c r="I6692" i="1"/>
  <c r="I6691" i="1"/>
  <c r="I6690" i="1"/>
  <c r="I6689" i="1"/>
  <c r="I6688" i="1"/>
  <c r="I6687" i="1"/>
  <c r="I6686" i="1"/>
  <c r="I6685" i="1"/>
  <c r="I6684" i="1"/>
  <c r="I6683" i="1"/>
  <c r="I6682" i="1"/>
  <c r="I6681" i="1"/>
  <c r="I6680" i="1"/>
  <c r="I6679" i="1"/>
  <c r="I6678" i="1"/>
  <c r="I6677" i="1"/>
  <c r="I6676" i="1"/>
  <c r="I6675" i="1"/>
  <c r="I6674" i="1"/>
  <c r="I6673" i="1"/>
  <c r="I6672" i="1"/>
  <c r="I6671" i="1"/>
  <c r="I6670" i="1"/>
  <c r="I6669" i="1"/>
  <c r="I6668" i="1"/>
  <c r="I6667" i="1"/>
  <c r="I6666" i="1"/>
  <c r="I6665" i="1"/>
  <c r="I6664" i="1"/>
  <c r="I6663" i="1"/>
  <c r="I6662" i="1"/>
  <c r="I6661" i="1"/>
  <c r="I6660" i="1"/>
  <c r="I6659" i="1"/>
  <c r="I6658" i="1"/>
  <c r="I6657" i="1"/>
  <c r="I6656" i="1"/>
  <c r="I6655" i="1"/>
  <c r="I6654" i="1"/>
  <c r="I6653" i="1"/>
  <c r="I6652" i="1"/>
  <c r="I6651" i="1"/>
  <c r="I6650" i="1"/>
  <c r="I6649" i="1"/>
  <c r="I6648" i="1"/>
  <c r="I6647" i="1"/>
  <c r="I6646" i="1"/>
  <c r="I6645" i="1"/>
  <c r="I6644" i="1"/>
  <c r="I6643" i="1"/>
  <c r="I6642" i="1"/>
  <c r="I6641" i="1"/>
  <c r="I6640" i="1"/>
  <c r="I6639" i="1"/>
  <c r="I6638" i="1"/>
  <c r="I6637" i="1"/>
  <c r="I6636" i="1"/>
  <c r="I6635" i="1"/>
  <c r="I6634" i="1"/>
  <c r="I6633" i="1"/>
  <c r="I6632" i="1"/>
  <c r="I6631" i="1"/>
  <c r="I6630" i="1"/>
  <c r="I6629" i="1"/>
  <c r="I6628" i="1"/>
  <c r="I6627" i="1"/>
  <c r="I6626" i="1"/>
  <c r="I6625" i="1"/>
  <c r="I6624" i="1"/>
  <c r="I6623" i="1"/>
  <c r="I6622" i="1"/>
  <c r="I6621" i="1"/>
  <c r="I6620" i="1"/>
  <c r="I6619" i="1"/>
  <c r="I6618" i="1"/>
  <c r="I6617" i="1"/>
  <c r="I6616" i="1"/>
  <c r="I6615" i="1"/>
  <c r="I6614" i="1"/>
  <c r="I6613" i="1"/>
  <c r="I6612" i="1"/>
  <c r="I6611" i="1"/>
  <c r="I6610" i="1"/>
  <c r="I6609" i="1"/>
  <c r="I6608" i="1"/>
  <c r="I6607" i="1"/>
  <c r="I6606" i="1"/>
  <c r="I6605" i="1"/>
  <c r="I6604" i="1"/>
  <c r="I6603" i="1"/>
  <c r="I6602" i="1"/>
  <c r="I6601" i="1"/>
  <c r="I6600" i="1"/>
  <c r="I6599" i="1"/>
  <c r="I6598" i="1"/>
  <c r="I6597" i="1"/>
  <c r="I6596" i="1"/>
  <c r="I6595" i="1"/>
  <c r="I6594" i="1"/>
  <c r="I6593" i="1"/>
  <c r="I6592" i="1"/>
  <c r="I6591" i="1"/>
  <c r="I6590" i="1"/>
  <c r="I6589" i="1"/>
  <c r="I6588" i="1"/>
  <c r="I6587" i="1"/>
  <c r="I6586" i="1"/>
  <c r="I6585" i="1"/>
  <c r="I6584" i="1"/>
  <c r="I6583" i="1"/>
  <c r="I6582" i="1"/>
  <c r="I6581" i="1"/>
  <c r="I6580" i="1"/>
  <c r="I6579" i="1"/>
  <c r="I6578" i="1"/>
  <c r="I6577" i="1"/>
  <c r="I6576" i="1"/>
  <c r="I6575" i="1"/>
  <c r="I6574" i="1"/>
  <c r="I6573" i="1"/>
  <c r="I6572" i="1"/>
  <c r="I6571" i="1"/>
  <c r="I6570" i="1"/>
  <c r="I6569" i="1"/>
  <c r="I6568" i="1"/>
  <c r="I6567" i="1"/>
  <c r="I6566" i="1"/>
  <c r="I6565" i="1"/>
  <c r="I6564" i="1"/>
  <c r="I6563" i="1"/>
  <c r="I6562" i="1"/>
  <c r="I6561" i="1"/>
  <c r="I6560" i="1"/>
  <c r="I6559" i="1"/>
  <c r="I6558" i="1"/>
  <c r="I6557" i="1"/>
  <c r="I6556" i="1"/>
  <c r="I6555" i="1"/>
  <c r="I6554" i="1"/>
  <c r="I6553" i="1"/>
  <c r="I6552" i="1"/>
  <c r="I6551" i="1"/>
  <c r="I6550" i="1"/>
  <c r="I6549" i="1"/>
  <c r="I6548" i="1"/>
  <c r="I6547" i="1"/>
  <c r="I6546" i="1"/>
  <c r="I6545" i="1"/>
  <c r="I6544" i="1"/>
  <c r="I6543" i="1"/>
  <c r="I6542" i="1"/>
  <c r="I6541" i="1"/>
  <c r="I6540" i="1"/>
  <c r="I6539" i="1"/>
  <c r="I6538" i="1"/>
  <c r="I6537" i="1"/>
  <c r="I6536" i="1"/>
  <c r="I6535" i="1"/>
  <c r="I6534" i="1"/>
  <c r="I6533" i="1"/>
  <c r="I6532" i="1"/>
  <c r="I6531" i="1"/>
  <c r="I6530" i="1"/>
  <c r="I6529" i="1"/>
  <c r="I6528" i="1"/>
  <c r="I6527" i="1"/>
  <c r="I6526" i="1"/>
  <c r="I6525" i="1"/>
  <c r="I6524" i="1"/>
  <c r="I6523" i="1"/>
  <c r="I6522" i="1"/>
  <c r="I6521" i="1"/>
  <c r="I6520" i="1"/>
  <c r="I6519" i="1"/>
  <c r="I6518" i="1"/>
  <c r="I6517" i="1"/>
  <c r="I6516" i="1"/>
  <c r="I6515" i="1"/>
  <c r="I6514" i="1"/>
  <c r="I6513" i="1"/>
  <c r="I6512" i="1"/>
  <c r="I6511" i="1"/>
  <c r="I6510" i="1"/>
  <c r="I6509" i="1"/>
  <c r="I6508" i="1"/>
  <c r="I6507" i="1"/>
  <c r="I6506" i="1"/>
  <c r="I6505" i="1"/>
  <c r="I6504" i="1"/>
  <c r="I6503" i="1"/>
  <c r="I6502" i="1"/>
  <c r="I6501" i="1"/>
  <c r="I6500" i="1"/>
  <c r="I6499" i="1"/>
  <c r="I6498" i="1"/>
  <c r="I6497" i="1"/>
  <c r="I6496" i="1"/>
  <c r="I6495" i="1"/>
  <c r="I6494" i="1"/>
  <c r="I6493" i="1"/>
  <c r="I6492" i="1"/>
  <c r="I6491" i="1"/>
  <c r="I6490" i="1"/>
  <c r="I6489" i="1"/>
  <c r="I6488" i="1"/>
  <c r="I6487" i="1"/>
  <c r="I6486" i="1"/>
  <c r="I6485" i="1"/>
  <c r="I6484" i="1"/>
  <c r="I6483" i="1"/>
  <c r="I6482" i="1"/>
  <c r="I6481" i="1"/>
  <c r="I6480" i="1"/>
  <c r="I6479" i="1"/>
  <c r="I6478" i="1"/>
  <c r="I6477" i="1"/>
  <c r="I6476" i="1"/>
  <c r="I6475" i="1"/>
  <c r="I6474" i="1"/>
  <c r="I6473" i="1"/>
  <c r="I6472" i="1"/>
  <c r="I6471" i="1"/>
  <c r="I6470" i="1"/>
  <c r="I6469" i="1"/>
  <c r="I6468" i="1"/>
  <c r="I6467" i="1"/>
  <c r="I6466" i="1"/>
  <c r="I6465" i="1"/>
  <c r="I6464" i="1"/>
  <c r="I6463" i="1"/>
  <c r="I6462" i="1"/>
  <c r="I6461" i="1"/>
  <c r="I6460" i="1"/>
  <c r="I6459" i="1"/>
  <c r="I6458" i="1"/>
  <c r="I6457" i="1"/>
  <c r="I6456" i="1"/>
  <c r="I6455" i="1"/>
  <c r="I6454" i="1"/>
  <c r="I6453" i="1"/>
  <c r="I6452" i="1"/>
  <c r="I6451" i="1"/>
  <c r="I6450" i="1"/>
  <c r="I6449" i="1"/>
  <c r="I6448" i="1"/>
  <c r="I6447" i="1"/>
  <c r="I6446" i="1"/>
  <c r="I6445" i="1"/>
  <c r="I6444" i="1"/>
  <c r="I6443" i="1"/>
  <c r="I6442" i="1"/>
  <c r="I6441" i="1"/>
  <c r="I6440" i="1"/>
  <c r="I6439" i="1"/>
  <c r="I6438" i="1"/>
  <c r="I6437" i="1"/>
  <c r="I6436" i="1"/>
  <c r="I6435" i="1"/>
  <c r="I6434" i="1"/>
  <c r="I6433" i="1"/>
  <c r="I6432" i="1"/>
  <c r="I6431" i="1"/>
  <c r="I6430" i="1"/>
  <c r="I6429" i="1"/>
  <c r="I6428" i="1"/>
  <c r="I6427" i="1"/>
  <c r="I6426" i="1"/>
  <c r="I6425" i="1"/>
  <c r="I6424" i="1"/>
  <c r="I6423" i="1"/>
  <c r="I6422" i="1"/>
  <c r="I6421" i="1"/>
  <c r="I6420" i="1"/>
  <c r="I6419" i="1"/>
  <c r="I6418" i="1"/>
  <c r="I6417" i="1"/>
  <c r="I6416" i="1"/>
  <c r="I6415" i="1"/>
  <c r="I6414" i="1"/>
  <c r="I6413" i="1"/>
  <c r="I6412" i="1"/>
  <c r="I6411" i="1"/>
  <c r="I6410" i="1"/>
  <c r="I6409" i="1"/>
  <c r="I6408" i="1"/>
  <c r="I6407" i="1"/>
  <c r="I6406" i="1"/>
  <c r="I6405" i="1"/>
  <c r="I6404" i="1"/>
  <c r="I6403" i="1"/>
  <c r="I6402" i="1"/>
  <c r="I6401" i="1"/>
  <c r="I6400" i="1"/>
  <c r="I6399" i="1"/>
  <c r="I6398" i="1"/>
  <c r="I6397" i="1"/>
  <c r="I6396" i="1"/>
  <c r="I6395" i="1"/>
  <c r="I6394" i="1"/>
  <c r="I6393" i="1"/>
  <c r="I6392" i="1"/>
  <c r="I6391" i="1"/>
  <c r="I6390" i="1"/>
  <c r="I6389" i="1"/>
  <c r="I6388" i="1"/>
  <c r="I6387" i="1"/>
  <c r="I6386" i="1"/>
  <c r="I6385" i="1"/>
  <c r="I6384" i="1"/>
  <c r="I6383" i="1"/>
  <c r="I6382" i="1"/>
  <c r="I6381" i="1"/>
  <c r="I6380" i="1"/>
  <c r="I6379" i="1"/>
  <c r="I6378" i="1"/>
  <c r="I6377" i="1"/>
  <c r="I6376" i="1"/>
  <c r="I6375" i="1"/>
  <c r="I6374" i="1"/>
  <c r="I6373" i="1"/>
  <c r="I6372" i="1"/>
  <c r="I6371" i="1"/>
  <c r="I6370" i="1"/>
  <c r="I6369" i="1"/>
  <c r="I6368" i="1"/>
  <c r="I6367" i="1"/>
  <c r="I6366" i="1"/>
  <c r="I6365" i="1"/>
  <c r="I6364" i="1"/>
  <c r="I6363" i="1"/>
  <c r="I6362" i="1"/>
  <c r="I6361" i="1"/>
  <c r="I6360" i="1"/>
  <c r="I6359" i="1"/>
  <c r="I6358" i="1"/>
  <c r="I6357" i="1"/>
  <c r="I6356" i="1"/>
  <c r="I6355" i="1"/>
  <c r="I6354" i="1"/>
  <c r="I6353" i="1"/>
  <c r="I6352" i="1"/>
  <c r="I6351" i="1"/>
  <c r="I6350" i="1"/>
  <c r="I6349" i="1"/>
  <c r="I6348" i="1"/>
  <c r="I6347" i="1"/>
  <c r="I6346" i="1"/>
  <c r="I6345" i="1"/>
  <c r="I6344" i="1"/>
  <c r="I6343" i="1"/>
  <c r="I6342" i="1"/>
  <c r="I6341" i="1"/>
  <c r="I6340" i="1"/>
  <c r="I6339" i="1"/>
  <c r="I6338" i="1"/>
  <c r="I6337" i="1"/>
  <c r="I6336" i="1"/>
  <c r="I6335" i="1"/>
  <c r="I6334" i="1"/>
  <c r="I6333" i="1"/>
  <c r="I6332" i="1"/>
  <c r="I6331" i="1"/>
  <c r="I6330" i="1"/>
  <c r="I6329" i="1"/>
  <c r="I6328" i="1"/>
  <c r="I6327" i="1"/>
  <c r="I6326" i="1"/>
  <c r="I6325" i="1"/>
  <c r="I6324" i="1"/>
  <c r="I6323" i="1"/>
  <c r="I6322" i="1"/>
  <c r="I6321" i="1"/>
  <c r="I6320" i="1"/>
  <c r="I6319" i="1"/>
  <c r="I6318" i="1"/>
  <c r="I6317" i="1"/>
  <c r="I6316" i="1"/>
  <c r="I6315" i="1"/>
  <c r="I6314" i="1"/>
  <c r="I6313" i="1"/>
  <c r="I6312" i="1"/>
  <c r="I6311" i="1"/>
  <c r="I6310" i="1"/>
  <c r="I6309" i="1"/>
  <c r="I6308" i="1"/>
  <c r="I6307" i="1"/>
  <c r="I6306" i="1"/>
  <c r="I6305" i="1"/>
  <c r="I6304" i="1"/>
  <c r="I6303" i="1"/>
  <c r="I6302" i="1"/>
  <c r="I6301" i="1"/>
  <c r="I6300" i="1"/>
  <c r="I6299" i="1"/>
  <c r="I6298" i="1"/>
  <c r="I6297" i="1"/>
  <c r="I6296" i="1"/>
  <c r="I6295" i="1"/>
  <c r="I6294" i="1"/>
  <c r="I6293" i="1"/>
  <c r="I6292" i="1"/>
  <c r="I6291" i="1"/>
  <c r="I6290" i="1"/>
  <c r="I6289" i="1"/>
  <c r="I6288" i="1"/>
  <c r="I6287" i="1"/>
  <c r="I6286" i="1"/>
  <c r="I6285" i="1"/>
  <c r="I6284" i="1"/>
  <c r="I6283" i="1"/>
  <c r="I6282" i="1"/>
  <c r="I6281" i="1"/>
  <c r="I6280" i="1"/>
  <c r="I6279" i="1"/>
  <c r="I6278" i="1"/>
  <c r="I6277" i="1"/>
  <c r="I6276" i="1"/>
  <c r="I6275" i="1"/>
  <c r="I6274" i="1"/>
  <c r="I6273" i="1"/>
  <c r="I6272" i="1"/>
  <c r="I6271" i="1"/>
  <c r="I6270" i="1"/>
  <c r="I6269" i="1"/>
  <c r="I6268" i="1"/>
  <c r="I6267" i="1"/>
  <c r="I6266" i="1"/>
  <c r="I6265" i="1"/>
  <c r="I6264" i="1"/>
  <c r="I6263" i="1"/>
  <c r="I6262" i="1"/>
  <c r="I6261" i="1"/>
  <c r="I6260" i="1"/>
  <c r="I62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6226" i="1"/>
  <c r="I6225" i="1"/>
  <c r="I6224" i="1"/>
  <c r="I6223" i="1"/>
  <c r="I6222" i="1"/>
  <c r="I6221" i="1"/>
  <c r="I6220" i="1"/>
  <c r="I6219" i="1"/>
  <c r="I6218" i="1"/>
  <c r="I6217" i="1"/>
  <c r="I6216" i="1"/>
  <c r="I6215" i="1"/>
  <c r="I6214" i="1"/>
  <c r="I6213" i="1"/>
  <c r="I6212" i="1"/>
  <c r="I6211" i="1"/>
  <c r="I6210" i="1"/>
  <c r="I6209" i="1"/>
  <c r="I6208" i="1"/>
  <c r="I6207" i="1"/>
  <c r="I6206" i="1"/>
  <c r="I6205" i="1"/>
  <c r="I6204" i="1"/>
  <c r="I6203" i="1"/>
  <c r="I6202" i="1"/>
  <c r="I6201" i="1"/>
  <c r="I6200" i="1"/>
  <c r="I6199" i="1"/>
  <c r="I6198" i="1"/>
  <c r="I6197" i="1"/>
  <c r="I6196" i="1"/>
  <c r="I6195" i="1"/>
  <c r="I6194" i="1"/>
  <c r="I6193" i="1"/>
  <c r="I6192" i="1"/>
  <c r="I6191" i="1"/>
  <c r="I6190" i="1"/>
  <c r="I6189" i="1"/>
  <c r="I6188" i="1"/>
  <c r="I6187" i="1"/>
  <c r="I6186" i="1"/>
  <c r="I6185" i="1"/>
  <c r="I6184" i="1"/>
  <c r="I6183" i="1"/>
  <c r="I6182" i="1"/>
  <c r="I6181" i="1"/>
  <c r="I6180" i="1"/>
  <c r="I6179" i="1"/>
  <c r="I6178" i="1"/>
  <c r="I6177" i="1"/>
  <c r="I6176" i="1"/>
  <c r="I6175" i="1"/>
  <c r="I6174" i="1"/>
  <c r="I6173" i="1"/>
  <c r="I6172" i="1"/>
  <c r="I6171" i="1"/>
  <c r="I6170" i="1"/>
  <c r="I6169" i="1"/>
  <c r="I6168" i="1"/>
  <c r="I6167" i="1"/>
  <c r="I6166" i="1"/>
  <c r="I6165" i="1"/>
  <c r="I6164" i="1"/>
  <c r="I6163" i="1"/>
  <c r="I6162" i="1"/>
  <c r="I6161" i="1"/>
  <c r="I6160" i="1"/>
  <c r="I6159" i="1"/>
  <c r="I6158" i="1"/>
  <c r="I6157" i="1"/>
  <c r="I6156" i="1"/>
  <c r="I6155" i="1"/>
  <c r="I6154" i="1"/>
  <c r="I6153" i="1"/>
  <c r="I6152" i="1"/>
  <c r="I6151" i="1"/>
  <c r="I6150" i="1"/>
  <c r="I6149" i="1"/>
  <c r="I6148" i="1"/>
  <c r="I6147" i="1"/>
  <c r="I6146" i="1"/>
  <c r="I6145" i="1"/>
  <c r="I6144" i="1"/>
  <c r="I6143" i="1"/>
  <c r="I6142" i="1"/>
  <c r="I6141" i="1"/>
  <c r="I6140" i="1"/>
  <c r="I6139" i="1"/>
  <c r="I6138" i="1"/>
  <c r="I6137" i="1"/>
  <c r="I6136" i="1"/>
  <c r="I6135" i="1"/>
  <c r="I6134" i="1"/>
  <c r="I6133" i="1"/>
  <c r="I6132" i="1"/>
  <c r="I6131" i="1"/>
  <c r="I6130" i="1"/>
  <c r="I6129" i="1"/>
  <c r="I6128" i="1"/>
  <c r="I6127" i="1"/>
  <c r="I6126" i="1"/>
  <c r="I6125" i="1"/>
  <c r="I6124" i="1"/>
  <c r="I6123" i="1"/>
  <c r="I6122" i="1"/>
  <c r="I6121" i="1"/>
  <c r="I6120" i="1"/>
  <c r="I6119" i="1"/>
  <c r="I6118" i="1"/>
  <c r="I6117" i="1"/>
  <c r="I6116" i="1"/>
  <c r="I6115" i="1"/>
  <c r="I6114" i="1"/>
  <c r="I6113" i="1"/>
  <c r="I6112" i="1"/>
  <c r="I6111" i="1"/>
  <c r="I6110" i="1"/>
  <c r="I6109" i="1"/>
  <c r="I6108" i="1"/>
  <c r="I6107" i="1"/>
  <c r="I6106" i="1"/>
  <c r="I6105" i="1"/>
  <c r="I6104" i="1"/>
  <c r="I6103" i="1"/>
  <c r="I6102" i="1"/>
  <c r="I6101" i="1"/>
  <c r="I6100" i="1"/>
  <c r="I6099" i="1"/>
  <c r="I6098" i="1"/>
  <c r="I6097" i="1"/>
  <c r="I6096" i="1"/>
  <c r="I6095" i="1"/>
  <c r="I6094" i="1"/>
  <c r="I6093" i="1"/>
  <c r="I6092" i="1"/>
  <c r="I6091" i="1"/>
  <c r="I6090" i="1"/>
  <c r="I6089" i="1"/>
  <c r="I6088" i="1"/>
  <c r="I6087" i="1"/>
  <c r="I6086" i="1"/>
  <c r="I6085" i="1"/>
  <c r="I6084" i="1"/>
  <c r="I6083" i="1"/>
  <c r="I6082" i="1"/>
  <c r="I6081" i="1"/>
  <c r="I6080" i="1"/>
  <c r="I6079" i="1"/>
  <c r="I6078" i="1"/>
  <c r="I6077" i="1"/>
  <c r="I6076" i="1"/>
  <c r="I6075" i="1"/>
  <c r="I6074" i="1"/>
  <c r="I6073" i="1"/>
  <c r="I6072" i="1"/>
  <c r="I6071" i="1"/>
  <c r="I6070" i="1"/>
  <c r="I6069" i="1"/>
  <c r="I6068" i="1"/>
  <c r="I6067" i="1"/>
  <c r="I6066" i="1"/>
  <c r="I6065" i="1"/>
  <c r="I6064" i="1"/>
  <c r="I6063" i="1"/>
  <c r="I6062" i="1"/>
  <c r="I6061" i="1"/>
  <c r="I6060" i="1"/>
  <c r="I6059" i="1"/>
  <c r="I6058" i="1"/>
  <c r="I6057" i="1"/>
  <c r="I6056" i="1"/>
  <c r="I6055" i="1"/>
  <c r="I6054" i="1"/>
  <c r="I6053" i="1"/>
  <c r="I6052" i="1"/>
  <c r="I6051" i="1"/>
  <c r="I6050" i="1"/>
  <c r="I6049" i="1"/>
  <c r="I6048" i="1"/>
  <c r="I6047" i="1"/>
  <c r="I6046" i="1"/>
  <c r="I6045" i="1"/>
  <c r="I6044" i="1"/>
  <c r="I6043" i="1"/>
  <c r="I6042" i="1"/>
  <c r="I6041" i="1"/>
  <c r="I6040" i="1"/>
  <c r="I6039" i="1"/>
  <c r="I6038" i="1"/>
  <c r="I6037" i="1"/>
  <c r="I6036" i="1"/>
  <c r="I6035" i="1"/>
  <c r="I6034" i="1"/>
  <c r="I6033" i="1"/>
  <c r="I6032" i="1"/>
  <c r="I6031" i="1"/>
  <c r="I6030" i="1"/>
  <c r="I6029" i="1"/>
  <c r="I6028" i="1"/>
  <c r="I6027" i="1"/>
  <c r="I6026" i="1"/>
  <c r="I6025" i="1"/>
  <c r="I6024" i="1"/>
  <c r="I6023" i="1"/>
  <c r="I6022" i="1"/>
  <c r="I6021" i="1"/>
  <c r="I6020" i="1"/>
  <c r="I6019" i="1"/>
  <c r="I6018" i="1"/>
  <c r="I6017" i="1"/>
  <c r="I6016" i="1"/>
  <c r="I6015" i="1"/>
  <c r="I6014" i="1"/>
  <c r="I6013" i="1"/>
  <c r="I6012" i="1"/>
  <c r="I6011" i="1"/>
  <c r="I6010" i="1"/>
  <c r="I6009" i="1"/>
  <c r="I6008" i="1"/>
  <c r="I6007" i="1"/>
  <c r="I6006" i="1"/>
  <c r="I6005" i="1"/>
  <c r="I6004" i="1"/>
  <c r="I6003" i="1"/>
  <c r="I6002" i="1"/>
  <c r="I6001" i="1"/>
  <c r="I6000" i="1"/>
  <c r="I5999" i="1"/>
  <c r="I5998" i="1"/>
  <c r="I5997" i="1"/>
  <c r="I5996" i="1"/>
  <c r="I5995" i="1"/>
  <c r="I5994" i="1"/>
  <c r="I5993" i="1"/>
  <c r="I5992" i="1"/>
  <c r="I5991" i="1"/>
  <c r="I5990" i="1"/>
  <c r="I5989" i="1"/>
  <c r="I5988" i="1"/>
  <c r="I5987" i="1"/>
  <c r="I5986" i="1"/>
  <c r="I5985" i="1"/>
  <c r="I5984" i="1"/>
  <c r="I5983" i="1"/>
  <c r="I5982" i="1"/>
  <c r="I5981" i="1"/>
  <c r="I5980" i="1"/>
  <c r="I5979" i="1"/>
  <c r="I5978" i="1"/>
  <c r="I5977" i="1"/>
  <c r="I5976" i="1"/>
  <c r="I5975" i="1"/>
  <c r="I5974" i="1"/>
  <c r="I5973" i="1"/>
  <c r="I5972" i="1"/>
  <c r="I5971" i="1"/>
  <c r="I5970" i="1"/>
  <c r="I5969" i="1"/>
  <c r="I5968" i="1"/>
  <c r="I5967" i="1"/>
  <c r="I5966" i="1"/>
  <c r="I5965" i="1"/>
  <c r="I5964" i="1"/>
  <c r="I5963" i="1"/>
  <c r="I5962" i="1"/>
  <c r="I5961" i="1"/>
  <c r="I5960" i="1"/>
  <c r="I5959" i="1"/>
  <c r="I5958" i="1"/>
  <c r="I5957" i="1"/>
  <c r="I5956" i="1"/>
  <c r="I5955" i="1"/>
  <c r="I5954" i="1"/>
  <c r="I5953" i="1"/>
  <c r="I5952" i="1"/>
  <c r="I5951" i="1"/>
  <c r="I5950" i="1"/>
  <c r="I5949" i="1"/>
  <c r="I5948" i="1"/>
  <c r="I5947" i="1"/>
  <c r="I5946" i="1"/>
  <c r="I5945" i="1"/>
  <c r="I5944" i="1"/>
  <c r="I5943" i="1"/>
  <c r="I5942" i="1"/>
  <c r="I5941" i="1"/>
  <c r="I5940" i="1"/>
  <c r="I5939" i="1"/>
  <c r="I5938" i="1"/>
  <c r="I5937" i="1"/>
  <c r="I5936" i="1"/>
  <c r="I5935" i="1"/>
  <c r="I5934" i="1"/>
  <c r="I5933" i="1"/>
  <c r="I5932" i="1"/>
  <c r="I5931" i="1"/>
  <c r="I5930" i="1"/>
  <c r="I5929" i="1"/>
  <c r="I5928" i="1"/>
  <c r="I5927" i="1"/>
  <c r="I5926" i="1"/>
  <c r="I5925" i="1"/>
  <c r="I5924" i="1"/>
  <c r="I5923" i="1"/>
  <c r="I5922" i="1"/>
  <c r="I5921" i="1"/>
  <c r="I5920" i="1"/>
  <c r="I5919" i="1"/>
  <c r="I5918" i="1"/>
  <c r="I5917" i="1"/>
  <c r="I5916" i="1"/>
  <c r="I5915" i="1"/>
  <c r="I5914" i="1"/>
  <c r="I5913" i="1"/>
  <c r="I5912" i="1"/>
  <c r="I5911" i="1"/>
  <c r="I5910" i="1"/>
  <c r="I5909" i="1"/>
  <c r="I5908" i="1"/>
  <c r="I5907" i="1"/>
  <c r="I5906" i="1"/>
  <c r="I5905" i="1"/>
  <c r="I5904" i="1"/>
  <c r="I5903" i="1"/>
  <c r="I5902" i="1"/>
  <c r="I5901" i="1"/>
  <c r="I5900" i="1"/>
  <c r="I5899" i="1"/>
  <c r="I5898" i="1"/>
  <c r="I5897" i="1"/>
  <c r="I5896" i="1"/>
  <c r="I5895" i="1"/>
  <c r="I5894" i="1"/>
  <c r="I5893" i="1"/>
  <c r="I5892" i="1"/>
  <c r="I5891" i="1"/>
  <c r="I5890" i="1"/>
  <c r="I5889" i="1"/>
  <c r="I5888" i="1"/>
  <c r="I5887" i="1"/>
  <c r="I5886" i="1"/>
  <c r="I5885" i="1"/>
  <c r="I5884" i="1"/>
  <c r="I5883" i="1"/>
  <c r="I5882" i="1"/>
  <c r="I5881" i="1"/>
  <c r="I5880" i="1"/>
  <c r="I5879" i="1"/>
  <c r="I5878" i="1"/>
  <c r="I5877" i="1"/>
  <c r="I5876" i="1"/>
  <c r="I5875" i="1"/>
  <c r="I5874" i="1"/>
  <c r="I5873" i="1"/>
  <c r="I5872" i="1"/>
  <c r="I5871" i="1"/>
  <c r="I5870" i="1"/>
  <c r="I5869" i="1"/>
  <c r="I5868" i="1"/>
  <c r="I5867" i="1"/>
  <c r="I5866" i="1"/>
  <c r="I5865" i="1"/>
  <c r="I5864" i="1"/>
  <c r="I5863" i="1"/>
  <c r="I5862" i="1"/>
  <c r="I5861" i="1"/>
  <c r="I5860" i="1"/>
  <c r="I5859" i="1"/>
  <c r="I5858" i="1"/>
  <c r="I5857" i="1"/>
  <c r="I5856" i="1"/>
  <c r="I5855" i="1"/>
  <c r="I5854" i="1"/>
  <c r="I5853" i="1"/>
  <c r="I5852" i="1"/>
  <c r="I5851" i="1"/>
  <c r="I5850" i="1"/>
  <c r="I5849" i="1"/>
  <c r="I5848" i="1"/>
  <c r="I5847" i="1"/>
  <c r="I5846" i="1"/>
  <c r="I5845" i="1"/>
  <c r="I5844" i="1"/>
  <c r="I5843" i="1"/>
  <c r="I5842" i="1"/>
  <c r="I5841" i="1"/>
  <c r="I5840" i="1"/>
  <c r="I5839" i="1"/>
  <c r="I5838" i="1"/>
  <c r="I5837" i="1"/>
  <c r="I5836" i="1"/>
  <c r="I5835" i="1"/>
  <c r="I5834" i="1"/>
  <c r="I5833" i="1"/>
  <c r="I5832" i="1"/>
  <c r="I5831" i="1"/>
  <c r="I5830" i="1"/>
  <c r="I5829" i="1"/>
  <c r="I5828" i="1"/>
  <c r="I5827" i="1"/>
  <c r="I5826" i="1"/>
  <c r="I5825" i="1"/>
  <c r="I5824" i="1"/>
  <c r="I5823" i="1"/>
  <c r="I5822" i="1"/>
  <c r="I5821" i="1"/>
  <c r="I5820" i="1"/>
  <c r="I5819" i="1"/>
  <c r="I5818" i="1"/>
  <c r="I5817" i="1"/>
  <c r="I5816" i="1"/>
  <c r="I5815" i="1"/>
  <c r="I5814" i="1"/>
  <c r="I5813" i="1"/>
  <c r="I5812" i="1"/>
  <c r="I5811" i="1"/>
  <c r="I5810" i="1"/>
  <c r="I5809" i="1"/>
  <c r="I5808" i="1"/>
  <c r="I5807" i="1"/>
  <c r="I5806" i="1"/>
  <c r="I5805" i="1"/>
  <c r="I5804" i="1"/>
  <c r="I5803" i="1"/>
  <c r="I5802" i="1"/>
  <c r="I5801" i="1"/>
  <c r="I5800" i="1"/>
  <c r="I5799" i="1"/>
  <c r="I5798" i="1"/>
  <c r="I5797" i="1"/>
  <c r="I5796" i="1"/>
  <c r="I5795" i="1"/>
  <c r="I5794" i="1"/>
  <c r="I5793" i="1"/>
  <c r="I5792" i="1"/>
  <c r="I5791" i="1"/>
  <c r="I5790" i="1"/>
  <c r="I5789" i="1"/>
  <c r="I5788" i="1"/>
  <c r="I5787" i="1"/>
  <c r="I5786" i="1"/>
  <c r="I5785" i="1"/>
  <c r="I5784" i="1"/>
  <c r="I5783" i="1"/>
  <c r="I5782" i="1"/>
  <c r="I5781" i="1"/>
  <c r="I5780" i="1"/>
  <c r="I5779" i="1"/>
  <c r="I5778" i="1"/>
  <c r="I5777" i="1"/>
  <c r="I5776" i="1"/>
  <c r="I5775" i="1"/>
  <c r="I5774" i="1"/>
  <c r="I5773" i="1"/>
  <c r="I5772" i="1"/>
  <c r="I5771" i="1"/>
  <c r="I5770" i="1"/>
  <c r="I5769" i="1"/>
  <c r="I5768" i="1"/>
  <c r="I5767" i="1"/>
  <c r="I5766" i="1"/>
  <c r="I5765" i="1"/>
  <c r="I5764" i="1"/>
  <c r="I5763" i="1"/>
  <c r="I5762" i="1"/>
  <c r="I5761" i="1"/>
  <c r="I5760" i="1"/>
  <c r="I5759" i="1"/>
  <c r="I5758" i="1"/>
  <c r="I5757" i="1"/>
  <c r="I5756" i="1"/>
  <c r="I5755" i="1"/>
  <c r="I5754" i="1"/>
  <c r="I5753" i="1"/>
  <c r="I5752" i="1"/>
  <c r="I5751" i="1"/>
  <c r="I5750" i="1"/>
  <c r="I5749" i="1"/>
  <c r="I5748" i="1"/>
  <c r="I5747" i="1"/>
  <c r="I5746" i="1"/>
  <c r="I5745" i="1"/>
  <c r="I5744" i="1"/>
  <c r="I5743" i="1"/>
  <c r="I5742" i="1"/>
  <c r="I5741" i="1"/>
  <c r="I5740" i="1"/>
  <c r="I5739" i="1"/>
  <c r="I5738" i="1"/>
  <c r="I5737" i="1"/>
  <c r="I5736" i="1"/>
  <c r="I5735" i="1"/>
  <c r="I5734" i="1"/>
  <c r="I5733" i="1"/>
  <c r="I5732" i="1"/>
  <c r="I5731" i="1"/>
  <c r="I5730" i="1"/>
  <c r="I5729" i="1"/>
  <c r="I5728" i="1"/>
  <c r="I5727" i="1"/>
  <c r="I5726" i="1"/>
  <c r="I5725" i="1"/>
  <c r="I5724" i="1"/>
  <c r="I5723" i="1"/>
  <c r="I5722" i="1"/>
  <c r="I5721" i="1"/>
  <c r="I5720" i="1"/>
  <c r="I5719" i="1"/>
  <c r="I5718" i="1"/>
  <c r="I5717" i="1"/>
  <c r="I5716" i="1"/>
  <c r="I5715" i="1"/>
  <c r="I5714" i="1"/>
  <c r="I5713" i="1"/>
  <c r="I5712" i="1"/>
  <c r="I5711" i="1"/>
  <c r="I5710" i="1"/>
  <c r="I5709" i="1"/>
  <c r="I5708" i="1"/>
  <c r="I5707" i="1"/>
  <c r="I5706" i="1"/>
  <c r="I5705" i="1"/>
  <c r="I5704" i="1"/>
  <c r="I5703" i="1"/>
  <c r="I5702" i="1"/>
  <c r="I5701" i="1"/>
  <c r="I5700" i="1"/>
  <c r="I5699" i="1"/>
  <c r="I5698" i="1"/>
  <c r="I5697" i="1"/>
  <c r="I5696" i="1"/>
  <c r="I5695" i="1"/>
  <c r="I5694" i="1"/>
  <c r="I5693" i="1"/>
  <c r="I5692" i="1"/>
  <c r="I5691" i="1"/>
  <c r="I5690" i="1"/>
  <c r="I5689" i="1"/>
  <c r="I5688" i="1"/>
  <c r="I5687" i="1"/>
  <c r="I5686" i="1"/>
  <c r="I5685" i="1"/>
  <c r="I5684" i="1"/>
  <c r="I5683" i="1"/>
  <c r="I5682" i="1"/>
  <c r="I5681" i="1"/>
  <c r="I5680" i="1"/>
  <c r="I5679" i="1"/>
  <c r="I5678" i="1"/>
  <c r="I5677" i="1"/>
  <c r="I5676" i="1"/>
  <c r="I5675" i="1"/>
  <c r="I5674" i="1"/>
  <c r="I5673" i="1"/>
  <c r="I5672" i="1"/>
  <c r="I5671" i="1"/>
  <c r="I5670" i="1"/>
  <c r="I5669" i="1"/>
  <c r="I5668" i="1"/>
  <c r="I5667" i="1"/>
  <c r="I5666" i="1"/>
  <c r="I5665" i="1"/>
  <c r="I5664" i="1"/>
  <c r="I5663" i="1"/>
  <c r="I5662" i="1"/>
  <c r="I5661" i="1"/>
  <c r="I5660" i="1"/>
  <c r="I5659" i="1"/>
  <c r="I5658" i="1"/>
  <c r="I5657" i="1"/>
  <c r="I5656" i="1"/>
  <c r="I5655" i="1"/>
  <c r="I5654" i="1"/>
  <c r="I5653" i="1"/>
  <c r="I5652" i="1"/>
  <c r="I5651" i="1"/>
  <c r="I5650" i="1"/>
  <c r="I5649" i="1"/>
  <c r="I5648" i="1"/>
  <c r="I5647" i="1"/>
  <c r="I5646" i="1"/>
  <c r="I5645" i="1"/>
  <c r="I5644" i="1"/>
  <c r="I5643" i="1"/>
  <c r="I5642" i="1"/>
  <c r="I5641" i="1"/>
  <c r="I5640" i="1"/>
  <c r="I5639" i="1"/>
  <c r="I5638" i="1"/>
  <c r="I5637" i="1"/>
  <c r="I5636" i="1"/>
  <c r="I5635" i="1"/>
  <c r="I5634" i="1"/>
  <c r="I5633" i="1"/>
  <c r="I5632" i="1"/>
  <c r="I5631" i="1"/>
  <c r="I5630" i="1"/>
  <c r="I5629" i="1"/>
  <c r="I5628" i="1"/>
  <c r="I5627" i="1"/>
  <c r="I5626" i="1"/>
  <c r="I5625" i="1"/>
  <c r="I5624" i="1"/>
  <c r="I5623" i="1"/>
  <c r="I5622" i="1"/>
  <c r="I5621" i="1"/>
  <c r="I5620" i="1"/>
  <c r="I5619" i="1"/>
  <c r="I5618" i="1"/>
  <c r="I5617" i="1"/>
  <c r="I5616" i="1"/>
  <c r="I5615" i="1"/>
  <c r="I5614" i="1"/>
  <c r="I5613" i="1"/>
  <c r="I5612" i="1"/>
  <c r="I5611" i="1"/>
  <c r="I5610" i="1"/>
  <c r="I5609" i="1"/>
  <c r="I5608" i="1"/>
  <c r="I5607" i="1"/>
  <c r="I5606" i="1"/>
  <c r="I5605" i="1"/>
  <c r="I5604" i="1"/>
  <c r="I5603" i="1"/>
  <c r="I5602" i="1"/>
  <c r="I5601" i="1"/>
  <c r="I5600" i="1"/>
  <c r="I5599" i="1"/>
  <c r="I5598" i="1"/>
  <c r="I5597" i="1"/>
  <c r="I5596" i="1"/>
  <c r="I5595" i="1"/>
  <c r="I5594" i="1"/>
  <c r="I5593" i="1"/>
  <c r="I5592" i="1"/>
  <c r="I5591" i="1"/>
  <c r="I5590" i="1"/>
  <c r="I5589" i="1"/>
  <c r="I5588" i="1"/>
  <c r="I5587" i="1"/>
  <c r="I5586" i="1"/>
  <c r="I5585" i="1"/>
  <c r="I5584" i="1"/>
  <c r="I5583" i="1"/>
  <c r="I5582" i="1"/>
  <c r="I5581" i="1"/>
  <c r="I5580" i="1"/>
  <c r="I5579" i="1"/>
  <c r="I5578" i="1"/>
  <c r="I5577" i="1"/>
  <c r="I5576" i="1"/>
  <c r="I5575" i="1"/>
  <c r="I5574" i="1"/>
  <c r="I5573" i="1"/>
  <c r="I5572" i="1"/>
  <c r="I5571" i="1"/>
  <c r="I5570" i="1"/>
  <c r="I5569" i="1"/>
  <c r="I5568" i="1"/>
  <c r="I5567" i="1"/>
  <c r="I5566" i="1"/>
  <c r="I5565" i="1"/>
  <c r="I5564" i="1"/>
  <c r="I5563" i="1"/>
  <c r="I5562" i="1"/>
  <c r="I5561" i="1"/>
  <c r="I5560" i="1"/>
  <c r="I5559" i="1"/>
  <c r="I5558" i="1"/>
  <c r="I5557" i="1"/>
  <c r="I5556" i="1"/>
  <c r="I5555" i="1"/>
  <c r="I5554" i="1"/>
  <c r="I5553" i="1"/>
  <c r="I5552" i="1"/>
  <c r="I5551" i="1"/>
  <c r="I5550" i="1"/>
  <c r="I5549" i="1"/>
  <c r="I5548" i="1"/>
  <c r="I5547" i="1"/>
  <c r="I5546" i="1"/>
  <c r="I5545" i="1"/>
  <c r="I5544" i="1"/>
  <c r="I5543" i="1"/>
  <c r="I5542" i="1"/>
  <c r="I5541" i="1"/>
  <c r="I5540" i="1"/>
  <c r="I5539" i="1"/>
  <c r="I5538" i="1"/>
  <c r="I5537" i="1"/>
  <c r="I5536" i="1"/>
  <c r="I5535" i="1"/>
  <c r="I5534" i="1"/>
  <c r="I5533" i="1"/>
  <c r="I5532" i="1"/>
  <c r="I5531" i="1"/>
  <c r="I5530" i="1"/>
  <c r="I5529" i="1"/>
  <c r="I5528" i="1"/>
  <c r="I5527" i="1"/>
  <c r="I5526" i="1"/>
  <c r="I5525" i="1"/>
  <c r="I5524" i="1"/>
  <c r="I5523" i="1"/>
  <c r="I5522" i="1"/>
  <c r="I5521" i="1"/>
  <c r="I5520" i="1"/>
  <c r="I5519" i="1"/>
  <c r="I5518" i="1"/>
  <c r="I5517" i="1"/>
  <c r="I5516" i="1"/>
  <c r="I5515" i="1"/>
  <c r="I5514" i="1"/>
  <c r="I5513" i="1"/>
  <c r="I5512" i="1"/>
  <c r="I5511" i="1"/>
  <c r="I5510" i="1"/>
  <c r="I5509" i="1"/>
  <c r="I5508" i="1"/>
  <c r="I5507" i="1"/>
  <c r="I5506" i="1"/>
  <c r="I5505" i="1"/>
  <c r="I5504" i="1"/>
  <c r="I5503" i="1"/>
  <c r="I5502" i="1"/>
  <c r="I5501" i="1"/>
  <c r="I5500" i="1"/>
  <c r="I5499" i="1"/>
  <c r="I5498" i="1"/>
  <c r="I5497" i="1"/>
  <c r="I5496" i="1"/>
  <c r="I5495" i="1"/>
  <c r="I5494" i="1"/>
  <c r="I5493" i="1"/>
  <c r="I5492" i="1"/>
  <c r="I5491" i="1"/>
  <c r="I5490" i="1"/>
  <c r="I5489" i="1"/>
  <c r="I5488" i="1"/>
  <c r="I5487" i="1"/>
  <c r="I5486" i="1"/>
  <c r="I5485" i="1"/>
  <c r="I5484" i="1"/>
  <c r="I5483" i="1"/>
  <c r="I5482" i="1"/>
  <c r="I5481" i="1"/>
  <c r="I5480" i="1"/>
  <c r="I5479" i="1"/>
  <c r="I5478" i="1"/>
  <c r="I5477" i="1"/>
  <c r="I5476" i="1"/>
  <c r="I5475" i="1"/>
  <c r="I5474" i="1"/>
  <c r="I5473" i="1"/>
  <c r="I5472" i="1"/>
  <c r="I5471" i="1"/>
  <c r="I5470" i="1"/>
  <c r="I5469" i="1"/>
  <c r="I5468" i="1"/>
  <c r="I5467" i="1"/>
  <c r="I5466" i="1"/>
  <c r="I5465" i="1"/>
  <c r="I5464" i="1"/>
  <c r="I5463" i="1"/>
  <c r="I5462" i="1"/>
  <c r="I5461" i="1"/>
  <c r="I5460" i="1"/>
  <c r="I5459" i="1"/>
  <c r="I5458" i="1"/>
  <c r="I5457" i="1"/>
  <c r="I5456" i="1"/>
  <c r="I5455" i="1"/>
  <c r="I5454" i="1"/>
  <c r="I5453" i="1"/>
  <c r="I5452" i="1"/>
  <c r="I5451" i="1"/>
  <c r="I5450" i="1"/>
  <c r="I5449" i="1"/>
  <c r="I5448" i="1"/>
  <c r="I5447" i="1"/>
  <c r="I5446" i="1"/>
  <c r="I5445" i="1"/>
  <c r="I5444" i="1"/>
  <c r="I5443" i="1"/>
  <c r="I5442" i="1"/>
  <c r="I5441" i="1"/>
  <c r="I5440" i="1"/>
  <c r="I5439" i="1"/>
  <c r="I5438" i="1"/>
  <c r="I5437" i="1"/>
  <c r="I5436" i="1"/>
  <c r="I5435" i="1"/>
  <c r="I5434" i="1"/>
  <c r="I5433" i="1"/>
  <c r="I5432" i="1"/>
  <c r="I5431" i="1"/>
  <c r="I5430" i="1"/>
  <c r="I5429" i="1"/>
  <c r="I5428" i="1"/>
  <c r="I5427" i="1"/>
  <c r="I5426" i="1"/>
  <c r="I5425" i="1"/>
  <c r="I5424" i="1"/>
  <c r="I5423" i="1"/>
  <c r="I5422" i="1"/>
  <c r="I5421" i="1"/>
  <c r="I5420" i="1"/>
  <c r="I5419" i="1"/>
  <c r="I5418" i="1"/>
  <c r="I5417" i="1"/>
  <c r="I5416" i="1"/>
  <c r="I5415" i="1"/>
  <c r="I5414" i="1"/>
  <c r="I5413" i="1"/>
  <c r="I5412" i="1"/>
  <c r="I5411" i="1"/>
  <c r="I5410" i="1"/>
  <c r="I5409" i="1"/>
  <c r="I5408" i="1"/>
  <c r="I5407" i="1"/>
  <c r="I5406" i="1"/>
  <c r="I5405" i="1"/>
  <c r="I5404" i="1"/>
  <c r="I5403" i="1"/>
  <c r="I5402" i="1"/>
  <c r="I5401" i="1"/>
  <c r="I5400" i="1"/>
  <c r="I5399" i="1"/>
  <c r="I5398" i="1"/>
  <c r="I5397" i="1"/>
  <c r="I5396" i="1"/>
  <c r="I5395" i="1"/>
  <c r="I5394" i="1"/>
  <c r="I5393" i="1"/>
  <c r="I5392" i="1"/>
  <c r="I5391" i="1"/>
  <c r="I5390" i="1"/>
  <c r="I5389" i="1"/>
  <c r="I5388" i="1"/>
  <c r="I5387" i="1"/>
  <c r="I5386" i="1"/>
  <c r="I5385" i="1"/>
  <c r="I5384" i="1"/>
  <c r="I5383" i="1"/>
  <c r="I5382" i="1"/>
  <c r="I5381" i="1"/>
  <c r="I5380" i="1"/>
  <c r="I5379" i="1"/>
  <c r="I5378" i="1"/>
  <c r="I5377" i="1"/>
  <c r="I5376" i="1"/>
  <c r="I5375" i="1"/>
  <c r="I5374" i="1"/>
  <c r="I5373" i="1"/>
  <c r="I5372" i="1"/>
  <c r="I5371" i="1"/>
  <c r="I5370" i="1"/>
  <c r="I5369" i="1"/>
  <c r="I5368" i="1"/>
  <c r="I5367" i="1"/>
  <c r="I5366" i="1"/>
  <c r="I5365" i="1"/>
  <c r="I5364" i="1"/>
  <c r="I5363" i="1"/>
  <c r="I5362" i="1"/>
  <c r="I5361" i="1"/>
  <c r="I5360" i="1"/>
  <c r="I5359" i="1"/>
  <c r="I5358" i="1"/>
  <c r="I5357" i="1"/>
  <c r="I5356" i="1"/>
  <c r="I5355" i="1"/>
  <c r="I5354" i="1"/>
  <c r="I5353" i="1"/>
  <c r="I5352" i="1"/>
  <c r="I5351" i="1"/>
  <c r="I5350" i="1"/>
  <c r="I5349" i="1"/>
  <c r="I5348" i="1"/>
  <c r="I5347" i="1"/>
  <c r="I5346" i="1"/>
  <c r="I5345" i="1"/>
  <c r="I5344" i="1"/>
  <c r="I5343" i="1"/>
  <c r="I5342" i="1"/>
  <c r="I5341" i="1"/>
  <c r="I5340" i="1"/>
  <c r="I5339" i="1"/>
  <c r="I5338" i="1"/>
  <c r="I5337" i="1"/>
  <c r="I5336" i="1"/>
  <c r="I5335" i="1"/>
  <c r="I5334" i="1"/>
  <c r="I5333" i="1"/>
  <c r="I5332" i="1"/>
  <c r="I5331" i="1"/>
  <c r="I5330" i="1"/>
  <c r="I5329" i="1"/>
  <c r="I5328" i="1"/>
  <c r="I5327" i="1"/>
  <c r="I5326" i="1"/>
  <c r="I5325" i="1"/>
  <c r="I5324" i="1"/>
  <c r="I5323" i="1"/>
  <c r="I5322" i="1"/>
  <c r="I5321" i="1"/>
  <c r="I5320" i="1"/>
  <c r="I5319" i="1"/>
  <c r="I5318" i="1"/>
  <c r="I5317" i="1"/>
  <c r="I5316" i="1"/>
  <c r="I5315" i="1"/>
  <c r="I5314" i="1"/>
  <c r="I5313" i="1"/>
  <c r="I5312" i="1"/>
  <c r="I5311" i="1"/>
  <c r="I5310" i="1"/>
  <c r="I5309" i="1"/>
  <c r="I5308" i="1"/>
  <c r="I5307" i="1"/>
  <c r="I5306" i="1"/>
  <c r="I5305" i="1"/>
  <c r="I5304" i="1"/>
  <c r="I5303" i="1"/>
  <c r="I5302" i="1"/>
  <c r="I5301" i="1"/>
  <c r="I5300" i="1"/>
  <c r="I5299" i="1"/>
  <c r="I5298" i="1"/>
  <c r="I5297" i="1"/>
  <c r="I5296" i="1"/>
  <c r="I5295" i="1"/>
  <c r="I5294" i="1"/>
  <c r="I5293" i="1"/>
  <c r="I5292" i="1"/>
  <c r="I5291" i="1"/>
  <c r="I5290" i="1"/>
  <c r="I5289" i="1"/>
  <c r="I5288" i="1"/>
  <c r="I5287" i="1"/>
  <c r="I5286" i="1"/>
  <c r="I5285" i="1"/>
  <c r="I5284" i="1"/>
  <c r="I5283" i="1"/>
  <c r="I5282" i="1"/>
  <c r="I5281" i="1"/>
  <c r="I5280" i="1"/>
  <c r="I5279" i="1"/>
  <c r="I5278" i="1"/>
  <c r="I5277" i="1"/>
  <c r="I5276" i="1"/>
  <c r="I5275" i="1"/>
  <c r="I5274" i="1"/>
  <c r="I5273" i="1"/>
  <c r="I5272" i="1"/>
  <c r="I5271" i="1"/>
  <c r="I5270" i="1"/>
  <c r="I5269" i="1"/>
  <c r="I5268" i="1"/>
  <c r="I5267" i="1"/>
  <c r="I5266" i="1"/>
  <c r="I5265" i="1"/>
  <c r="I5264" i="1"/>
  <c r="I5263" i="1"/>
  <c r="I5262" i="1"/>
  <c r="I5261" i="1"/>
  <c r="I5260" i="1"/>
  <c r="I5259" i="1"/>
  <c r="I5258" i="1"/>
  <c r="I5257" i="1"/>
  <c r="I5256" i="1"/>
  <c r="I5255" i="1"/>
  <c r="I5254" i="1"/>
  <c r="I5253" i="1"/>
  <c r="I5252" i="1"/>
  <c r="I5251" i="1"/>
  <c r="I5250" i="1"/>
  <c r="I5249" i="1"/>
  <c r="I5248" i="1"/>
  <c r="I5247" i="1"/>
  <c r="I5246" i="1"/>
  <c r="I5245" i="1"/>
  <c r="I5244" i="1"/>
  <c r="I5243" i="1"/>
  <c r="I5242" i="1"/>
  <c r="I5241" i="1"/>
  <c r="I5240" i="1"/>
  <c r="I5239" i="1"/>
  <c r="I5238" i="1"/>
  <c r="I5237" i="1"/>
  <c r="I5236" i="1"/>
  <c r="I5235" i="1"/>
  <c r="I5234" i="1"/>
  <c r="I5233" i="1"/>
  <c r="I5232" i="1"/>
  <c r="I5231" i="1"/>
  <c r="I5230" i="1"/>
  <c r="I5229" i="1"/>
  <c r="I5228" i="1"/>
  <c r="I5227" i="1"/>
  <c r="I5226" i="1"/>
  <c r="I5225" i="1"/>
  <c r="I5224" i="1"/>
  <c r="I5223" i="1"/>
  <c r="I5222" i="1"/>
  <c r="I5221" i="1"/>
  <c r="I5220" i="1"/>
  <c r="I5219" i="1"/>
  <c r="I5218" i="1"/>
  <c r="I5217" i="1"/>
  <c r="I5216" i="1"/>
  <c r="I5215" i="1"/>
  <c r="I5214" i="1"/>
  <c r="I5213" i="1"/>
  <c r="I5212" i="1"/>
  <c r="I5211" i="1"/>
  <c r="I5210" i="1"/>
  <c r="I5209" i="1"/>
  <c r="I5208" i="1"/>
  <c r="I5207" i="1"/>
  <c r="I5206" i="1"/>
  <c r="I5205" i="1"/>
  <c r="I5204" i="1"/>
  <c r="I5203" i="1"/>
  <c r="I5202" i="1"/>
  <c r="I5201" i="1"/>
  <c r="I5200" i="1"/>
  <c r="I5199" i="1"/>
  <c r="I5198" i="1"/>
  <c r="I5197" i="1"/>
  <c r="I5196" i="1"/>
  <c r="I5195" i="1"/>
  <c r="I5194" i="1"/>
  <c r="I5193" i="1"/>
  <c r="I5192" i="1"/>
  <c r="I5191" i="1"/>
  <c r="I5190" i="1"/>
  <c r="I5189" i="1"/>
  <c r="I5188" i="1"/>
  <c r="I5187" i="1"/>
  <c r="I5186" i="1"/>
  <c r="I5185" i="1"/>
  <c r="I5184" i="1"/>
  <c r="I5183" i="1"/>
  <c r="I5182" i="1"/>
  <c r="I5181" i="1"/>
  <c r="I5180" i="1"/>
  <c r="I5179" i="1"/>
  <c r="I5178" i="1"/>
  <c r="I5177" i="1"/>
  <c r="I5176" i="1"/>
  <c r="I5175" i="1"/>
  <c r="I5174" i="1"/>
  <c r="I5173" i="1"/>
  <c r="I5172" i="1"/>
  <c r="I5171" i="1"/>
  <c r="I5170" i="1"/>
  <c r="I5169" i="1"/>
  <c r="I5168" i="1"/>
  <c r="I5167" i="1"/>
  <c r="I5166" i="1"/>
  <c r="I5165" i="1"/>
  <c r="I5164" i="1"/>
  <c r="I5163" i="1"/>
  <c r="I5162" i="1"/>
  <c r="I5161" i="1"/>
  <c r="I5160" i="1"/>
  <c r="I5159" i="1"/>
  <c r="I5158" i="1"/>
  <c r="I5157" i="1"/>
  <c r="I5156" i="1"/>
  <c r="I5155" i="1"/>
  <c r="I5154" i="1"/>
  <c r="I5153" i="1"/>
  <c r="I5152" i="1"/>
  <c r="I5151" i="1"/>
  <c r="I5150" i="1"/>
  <c r="I5149" i="1"/>
  <c r="I5148" i="1"/>
  <c r="I5147" i="1"/>
  <c r="I5146" i="1"/>
  <c r="I5145" i="1"/>
  <c r="I5144" i="1"/>
  <c r="I5143" i="1"/>
  <c r="I5142" i="1"/>
  <c r="I5141" i="1"/>
  <c r="I5140" i="1"/>
  <c r="I5139" i="1"/>
  <c r="I5138" i="1"/>
  <c r="I5137" i="1"/>
  <c r="I5136" i="1"/>
  <c r="I5135" i="1"/>
  <c r="I5134" i="1"/>
  <c r="I5133" i="1"/>
  <c r="I5132" i="1"/>
  <c r="I5131" i="1"/>
  <c r="I5130" i="1"/>
  <c r="I5129" i="1"/>
  <c r="I5128" i="1"/>
  <c r="I5127" i="1"/>
  <c r="I5126" i="1"/>
  <c r="I5125" i="1"/>
  <c r="I5124" i="1"/>
  <c r="I5123" i="1"/>
  <c r="I5122" i="1"/>
  <c r="I5121" i="1"/>
  <c r="I5120" i="1"/>
  <c r="I5119" i="1"/>
  <c r="I5118" i="1"/>
  <c r="I5117" i="1"/>
  <c r="I5116" i="1"/>
  <c r="I5115" i="1"/>
  <c r="I5114" i="1"/>
  <c r="I5113" i="1"/>
  <c r="I5112" i="1"/>
  <c r="I5111" i="1"/>
  <c r="I5110" i="1"/>
  <c r="I5109" i="1"/>
  <c r="I5108" i="1"/>
  <c r="I5107" i="1"/>
  <c r="I5106" i="1"/>
  <c r="I5105" i="1"/>
  <c r="I5104" i="1"/>
  <c r="I5103" i="1"/>
  <c r="I5102" i="1"/>
  <c r="I5101" i="1"/>
  <c r="I5100" i="1"/>
  <c r="I5099" i="1"/>
  <c r="I5098" i="1"/>
  <c r="I5097" i="1"/>
  <c r="I5096" i="1"/>
  <c r="I5095" i="1"/>
  <c r="I5094" i="1"/>
  <c r="I5093" i="1"/>
  <c r="I5092" i="1"/>
  <c r="I5091" i="1"/>
  <c r="I5090" i="1"/>
  <c r="I5089" i="1"/>
  <c r="I5088" i="1"/>
  <c r="I5087" i="1"/>
  <c r="I5086" i="1"/>
  <c r="I5085" i="1"/>
  <c r="I5084" i="1"/>
  <c r="I5083" i="1"/>
  <c r="I5082" i="1"/>
  <c r="I5081" i="1"/>
  <c r="I5080" i="1"/>
  <c r="I5079" i="1"/>
  <c r="I5078" i="1"/>
  <c r="I5077" i="1"/>
  <c r="I5076" i="1"/>
  <c r="I5075" i="1"/>
  <c r="I5074" i="1"/>
  <c r="I5073" i="1"/>
  <c r="I5072" i="1"/>
  <c r="I5071" i="1"/>
  <c r="I5070" i="1"/>
  <c r="I5069" i="1"/>
  <c r="I5068" i="1"/>
  <c r="I5067" i="1"/>
  <c r="I5066" i="1"/>
  <c r="I5065" i="1"/>
  <c r="I5064" i="1"/>
  <c r="I5063" i="1"/>
  <c r="I5062" i="1"/>
  <c r="I5061" i="1"/>
  <c r="I5060" i="1"/>
  <c r="I5059" i="1"/>
  <c r="I5058" i="1"/>
  <c r="I5057" i="1"/>
  <c r="I5056" i="1"/>
  <c r="I5055" i="1"/>
  <c r="I5054" i="1"/>
  <c r="I5053" i="1"/>
  <c r="I5052" i="1"/>
  <c r="I5051" i="1"/>
  <c r="I5050" i="1"/>
  <c r="I5049" i="1"/>
  <c r="I5048" i="1"/>
  <c r="I5047" i="1"/>
  <c r="I5046" i="1"/>
  <c r="I5045" i="1"/>
  <c r="I5044" i="1"/>
  <c r="I5043" i="1"/>
  <c r="I5042" i="1"/>
  <c r="I5041" i="1"/>
  <c r="I5040" i="1"/>
  <c r="I5039" i="1"/>
  <c r="I5038" i="1"/>
  <c r="I5037" i="1"/>
  <c r="I5036" i="1"/>
  <c r="I5035" i="1"/>
  <c r="I5034" i="1"/>
  <c r="I5033" i="1"/>
  <c r="I5032" i="1"/>
  <c r="I5031" i="1"/>
  <c r="I5030" i="1"/>
  <c r="I5029" i="1"/>
  <c r="I5028" i="1"/>
  <c r="I5027" i="1"/>
  <c r="I5026" i="1"/>
  <c r="I5025" i="1"/>
  <c r="I5024" i="1"/>
  <c r="I5023" i="1"/>
  <c r="I5022" i="1"/>
  <c r="I5021" i="1"/>
  <c r="I5020" i="1"/>
  <c r="I5019" i="1"/>
  <c r="I5018" i="1"/>
  <c r="I5017" i="1"/>
  <c r="I5016" i="1"/>
  <c r="I5015" i="1"/>
  <c r="I5014" i="1"/>
  <c r="I5013" i="1"/>
  <c r="I5012" i="1"/>
  <c r="I5011" i="1"/>
  <c r="I5010" i="1"/>
  <c r="I5009" i="1"/>
  <c r="I5008" i="1"/>
  <c r="I5007" i="1"/>
  <c r="I5006" i="1"/>
  <c r="I5005" i="1"/>
  <c r="I5004" i="1"/>
  <c r="I5003" i="1"/>
  <c r="I5002" i="1"/>
  <c r="I5001" i="1"/>
  <c r="I5000" i="1"/>
  <c r="I4999" i="1"/>
  <c r="I4998" i="1"/>
  <c r="I4997" i="1"/>
  <c r="I4996" i="1"/>
  <c r="I4995" i="1"/>
  <c r="I4994" i="1"/>
  <c r="I4993" i="1"/>
  <c r="I4992" i="1"/>
  <c r="I4991" i="1"/>
  <c r="I4990" i="1"/>
  <c r="I4989" i="1"/>
  <c r="I4988" i="1"/>
  <c r="I4987" i="1"/>
  <c r="I4986" i="1"/>
  <c r="I4985" i="1"/>
  <c r="I4984" i="1"/>
  <c r="I4983" i="1"/>
  <c r="I4982" i="1"/>
  <c r="I4981" i="1"/>
  <c r="I4980" i="1"/>
  <c r="I4979" i="1"/>
  <c r="I4978" i="1"/>
  <c r="I4977" i="1"/>
  <c r="I4976" i="1"/>
  <c r="I4975" i="1"/>
  <c r="I4974" i="1"/>
  <c r="I4973" i="1"/>
  <c r="I4972" i="1"/>
  <c r="I4971" i="1"/>
  <c r="I4970" i="1"/>
  <c r="I4969" i="1"/>
  <c r="I4968" i="1"/>
  <c r="I4967" i="1"/>
  <c r="I4966" i="1"/>
  <c r="I4965" i="1"/>
  <c r="I4964" i="1"/>
  <c r="I4963" i="1"/>
  <c r="I4962" i="1"/>
  <c r="I4961" i="1"/>
  <c r="I4960" i="1"/>
  <c r="I4959" i="1"/>
  <c r="I4958" i="1"/>
  <c r="I4957" i="1"/>
  <c r="I4956" i="1"/>
  <c r="I4955" i="1"/>
  <c r="I4954" i="1"/>
  <c r="I4953" i="1"/>
  <c r="I4952" i="1"/>
  <c r="I4951" i="1"/>
  <c r="I4950" i="1"/>
  <c r="I4949" i="1"/>
  <c r="I4948" i="1"/>
  <c r="I4947" i="1"/>
  <c r="I4946" i="1"/>
  <c r="I4945" i="1"/>
  <c r="I4944" i="1"/>
  <c r="I4943" i="1"/>
  <c r="I4942" i="1"/>
  <c r="I4941" i="1"/>
  <c r="I4940" i="1"/>
  <c r="I4939" i="1"/>
  <c r="I4938" i="1"/>
  <c r="I4937" i="1"/>
  <c r="I4936" i="1"/>
  <c r="I4935" i="1"/>
  <c r="I4934" i="1"/>
  <c r="I4933" i="1"/>
  <c r="I4932" i="1"/>
  <c r="I4931" i="1"/>
  <c r="I4930" i="1"/>
  <c r="I4929" i="1"/>
  <c r="I4928" i="1"/>
  <c r="I4927" i="1"/>
  <c r="I4926" i="1"/>
  <c r="I4925" i="1"/>
  <c r="I4924" i="1"/>
  <c r="I4923" i="1"/>
  <c r="I4922" i="1"/>
  <c r="I4921" i="1"/>
  <c r="I4920" i="1"/>
  <c r="I4919" i="1"/>
  <c r="I4918" i="1"/>
  <c r="I4917" i="1"/>
  <c r="I4916" i="1"/>
  <c r="I4915" i="1"/>
  <c r="I4914" i="1"/>
  <c r="I4913" i="1"/>
  <c r="I4912" i="1"/>
  <c r="I4911" i="1"/>
  <c r="I4910" i="1"/>
  <c r="I4909" i="1"/>
  <c r="I4908" i="1"/>
  <c r="I4907" i="1"/>
  <c r="I4906" i="1"/>
  <c r="I4905" i="1"/>
  <c r="I4904" i="1"/>
  <c r="I4903" i="1"/>
  <c r="I4902" i="1"/>
  <c r="I4901" i="1"/>
  <c r="I4900" i="1"/>
  <c r="I4899" i="1"/>
  <c r="I4898" i="1"/>
  <c r="I4897" i="1"/>
  <c r="I4896" i="1"/>
  <c r="I4895" i="1"/>
  <c r="I4894" i="1"/>
  <c r="I4893" i="1"/>
  <c r="I4892" i="1"/>
  <c r="I4891" i="1"/>
  <c r="I4890" i="1"/>
  <c r="I4889" i="1"/>
  <c r="I4888" i="1"/>
  <c r="I4887" i="1"/>
  <c r="I4886" i="1"/>
  <c r="I4885" i="1"/>
  <c r="I4884" i="1"/>
  <c r="I4883" i="1"/>
  <c r="I4882" i="1"/>
  <c r="I4881" i="1"/>
  <c r="I4880" i="1"/>
  <c r="I4879" i="1"/>
  <c r="I4878" i="1"/>
  <c r="I4877" i="1"/>
  <c r="I4876" i="1"/>
  <c r="I4875" i="1"/>
  <c r="I4874" i="1"/>
  <c r="I4873" i="1"/>
  <c r="I4872" i="1"/>
  <c r="I4871" i="1"/>
  <c r="I4870" i="1"/>
  <c r="I4869" i="1"/>
  <c r="I4868" i="1"/>
  <c r="I4867" i="1"/>
  <c r="I4866" i="1"/>
  <c r="I4865" i="1"/>
  <c r="I4864" i="1"/>
  <c r="I4863" i="1"/>
  <c r="I4862" i="1"/>
  <c r="I4861" i="1"/>
  <c r="I4860" i="1"/>
  <c r="I4859" i="1"/>
  <c r="I4858" i="1"/>
  <c r="I4857" i="1"/>
  <c r="I4856" i="1"/>
  <c r="I4855" i="1"/>
  <c r="I4854" i="1"/>
  <c r="I4853" i="1"/>
  <c r="I4852" i="1"/>
  <c r="I4851" i="1"/>
  <c r="I4850" i="1"/>
  <c r="I4849" i="1"/>
  <c r="I4848" i="1"/>
  <c r="I4847" i="1"/>
  <c r="I4846" i="1"/>
  <c r="I4845" i="1"/>
  <c r="I4844" i="1"/>
  <c r="I4843" i="1"/>
  <c r="I4842" i="1"/>
  <c r="I4841" i="1"/>
  <c r="I4840" i="1"/>
  <c r="I4839" i="1"/>
  <c r="I4838" i="1"/>
  <c r="I4837" i="1"/>
  <c r="I4836" i="1"/>
  <c r="I4835" i="1"/>
  <c r="I4834" i="1"/>
  <c r="I4833" i="1"/>
  <c r="I4832" i="1"/>
  <c r="I4831" i="1"/>
  <c r="I4830" i="1"/>
  <c r="I4829" i="1"/>
  <c r="I4828" i="1"/>
  <c r="I4827" i="1"/>
  <c r="I4826" i="1"/>
  <c r="I4825" i="1"/>
  <c r="I4824" i="1"/>
  <c r="I4823" i="1"/>
  <c r="I4822" i="1"/>
  <c r="I4821" i="1"/>
  <c r="I4820" i="1"/>
  <c r="I4819" i="1"/>
  <c r="I4818" i="1"/>
  <c r="I4817" i="1"/>
  <c r="I4816" i="1"/>
  <c r="I4815" i="1"/>
  <c r="I4814" i="1"/>
  <c r="I4813" i="1"/>
  <c r="I4812" i="1"/>
  <c r="I4811" i="1"/>
  <c r="I4810" i="1"/>
  <c r="I4809" i="1"/>
  <c r="I4808" i="1"/>
  <c r="I4807" i="1"/>
  <c r="I4806" i="1"/>
  <c r="I4805" i="1"/>
  <c r="I4804" i="1"/>
  <c r="I4803" i="1"/>
  <c r="I4802" i="1"/>
  <c r="I4801" i="1"/>
  <c r="I4800" i="1"/>
  <c r="I4799" i="1"/>
  <c r="I4798" i="1"/>
  <c r="I4797" i="1"/>
  <c r="I4796" i="1"/>
  <c r="I4795" i="1"/>
  <c r="I4794" i="1"/>
  <c r="I4793" i="1"/>
  <c r="I4792" i="1"/>
  <c r="I4791" i="1"/>
  <c r="I4790" i="1"/>
  <c r="I4789" i="1"/>
  <c r="I4788" i="1"/>
  <c r="I4787" i="1"/>
  <c r="I4786" i="1"/>
  <c r="I4785" i="1"/>
  <c r="I4784" i="1"/>
  <c r="I4783" i="1"/>
  <c r="I4782" i="1"/>
  <c r="I4781" i="1"/>
  <c r="I4780" i="1"/>
  <c r="I4779" i="1"/>
  <c r="I4778" i="1"/>
  <c r="I4777" i="1"/>
  <c r="I4776" i="1"/>
  <c r="I4775" i="1"/>
  <c r="I4774" i="1"/>
  <c r="I4773" i="1"/>
  <c r="I4772" i="1"/>
  <c r="I4771" i="1"/>
  <c r="I4770" i="1"/>
  <c r="I4769" i="1"/>
  <c r="I4768" i="1"/>
  <c r="I4767" i="1"/>
  <c r="I4766" i="1"/>
  <c r="I4765" i="1"/>
  <c r="I4764" i="1"/>
  <c r="I4763" i="1"/>
  <c r="I4762" i="1"/>
  <c r="I4761" i="1"/>
  <c r="I4760" i="1"/>
  <c r="I4759" i="1"/>
  <c r="I4758" i="1"/>
  <c r="I4757" i="1"/>
  <c r="I4756" i="1"/>
  <c r="I4755" i="1"/>
  <c r="I4754" i="1"/>
  <c r="I4753" i="1"/>
  <c r="I4752" i="1"/>
  <c r="I4751" i="1"/>
  <c r="I4750" i="1"/>
  <c r="I4749" i="1"/>
  <c r="I4748" i="1"/>
  <c r="I4747" i="1"/>
  <c r="I4746" i="1"/>
  <c r="I4745" i="1"/>
  <c r="I4744" i="1"/>
  <c r="I4743" i="1"/>
  <c r="I4742" i="1"/>
  <c r="I4741" i="1"/>
  <c r="I4740" i="1"/>
  <c r="I4739" i="1"/>
  <c r="I4738" i="1"/>
  <c r="I4737" i="1"/>
  <c r="I4736" i="1"/>
  <c r="I4735" i="1"/>
  <c r="I4734" i="1"/>
  <c r="I4733" i="1"/>
  <c r="I4732" i="1"/>
  <c r="I4731" i="1"/>
  <c r="I4730" i="1"/>
  <c r="I4729" i="1"/>
  <c r="I4728" i="1"/>
  <c r="I4727" i="1"/>
  <c r="I4726" i="1"/>
  <c r="I4725" i="1"/>
  <c r="I4724" i="1"/>
  <c r="I4723" i="1"/>
  <c r="I4722" i="1"/>
  <c r="I4721" i="1"/>
  <c r="I4720" i="1"/>
  <c r="I4719" i="1"/>
  <c r="I4718" i="1"/>
  <c r="I4717" i="1"/>
  <c r="I4716" i="1"/>
  <c r="I4715" i="1"/>
  <c r="I4714" i="1"/>
  <c r="I4713" i="1"/>
  <c r="I4712" i="1"/>
  <c r="I4711" i="1"/>
  <c r="I4710" i="1"/>
  <c r="I4709" i="1"/>
  <c r="I4708" i="1"/>
  <c r="I4707" i="1"/>
  <c r="I4706" i="1"/>
  <c r="I4705"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66" i="1"/>
  <c r="I4665" i="1"/>
  <c r="I4664" i="1"/>
  <c r="I4663" i="1"/>
  <c r="I4662" i="1"/>
  <c r="I4661" i="1"/>
  <c r="I4660" i="1"/>
  <c r="I4659" i="1"/>
  <c r="I4658" i="1"/>
  <c r="I4657" i="1"/>
  <c r="I4656" i="1"/>
  <c r="I4655" i="1"/>
  <c r="I4654" i="1"/>
  <c r="I4653" i="1"/>
  <c r="I4652" i="1"/>
  <c r="I4651" i="1"/>
  <c r="I4650" i="1"/>
  <c r="I4649" i="1"/>
  <c r="I4648" i="1"/>
  <c r="I4647" i="1"/>
  <c r="I4646" i="1"/>
  <c r="I4645" i="1"/>
  <c r="I4644" i="1"/>
  <c r="I4643" i="1"/>
  <c r="I4642" i="1"/>
  <c r="I4641" i="1"/>
  <c r="I4640" i="1"/>
  <c r="I4639" i="1"/>
  <c r="I4638" i="1"/>
  <c r="I4637" i="1"/>
  <c r="I4636" i="1"/>
  <c r="I4635" i="1"/>
  <c r="I4634" i="1"/>
  <c r="I4633" i="1"/>
  <c r="I4632" i="1"/>
  <c r="I4631" i="1"/>
  <c r="I4630" i="1"/>
  <c r="I4629" i="1"/>
  <c r="I4628" i="1"/>
  <c r="I4627" i="1"/>
  <c r="I4626" i="1"/>
  <c r="I4625" i="1"/>
  <c r="I4624" i="1"/>
  <c r="I4623" i="1"/>
  <c r="I4622" i="1"/>
  <c r="I4621" i="1"/>
  <c r="I4620" i="1"/>
  <c r="I4619" i="1"/>
  <c r="I4618" i="1"/>
  <c r="I4617" i="1"/>
  <c r="I4616" i="1"/>
  <c r="I4615" i="1"/>
  <c r="I4614"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88" i="1"/>
  <c r="I4587" i="1"/>
  <c r="I4586" i="1"/>
  <c r="I4585" i="1"/>
  <c r="I4584" i="1"/>
  <c r="I4583" i="1"/>
  <c r="I4582" i="1"/>
  <c r="I4581" i="1"/>
  <c r="I4580" i="1"/>
  <c r="I4579" i="1"/>
  <c r="I4578" i="1"/>
  <c r="I4577" i="1"/>
  <c r="I4576" i="1"/>
  <c r="I4575" i="1"/>
  <c r="I4574" i="1"/>
  <c r="I4573" i="1"/>
  <c r="I4572" i="1"/>
  <c r="I4571" i="1"/>
  <c r="I4570" i="1"/>
  <c r="I4569" i="1"/>
  <c r="I4568" i="1"/>
  <c r="I4567" i="1"/>
  <c r="I4566" i="1"/>
  <c r="I4565" i="1"/>
  <c r="I4564" i="1"/>
  <c r="I4563" i="1"/>
  <c r="I4562" i="1"/>
  <c r="I4561" i="1"/>
  <c r="I4560" i="1"/>
  <c r="I4559" i="1"/>
  <c r="I4558" i="1"/>
  <c r="I4557" i="1"/>
  <c r="I4556" i="1"/>
  <c r="I4555" i="1"/>
  <c r="I4554" i="1"/>
  <c r="I4553" i="1"/>
  <c r="I4552" i="1"/>
  <c r="I4551" i="1"/>
  <c r="I4550" i="1"/>
  <c r="I4549" i="1"/>
  <c r="I4548" i="1"/>
  <c r="I4547" i="1"/>
  <c r="I4546" i="1"/>
  <c r="I4545" i="1"/>
  <c r="I4544" i="1"/>
  <c r="I4543" i="1"/>
  <c r="I4542" i="1"/>
  <c r="I4541" i="1"/>
  <c r="I4540" i="1"/>
  <c r="I4539" i="1"/>
  <c r="I4538" i="1"/>
  <c r="I4537" i="1"/>
  <c r="I4536" i="1"/>
  <c r="I4535" i="1"/>
  <c r="I4534" i="1"/>
  <c r="I4533" i="1"/>
  <c r="I4532" i="1"/>
  <c r="I4531" i="1"/>
  <c r="I4530" i="1"/>
  <c r="I4529" i="1"/>
  <c r="I4528" i="1"/>
  <c r="I4527" i="1"/>
  <c r="I4526" i="1"/>
  <c r="I4525" i="1"/>
  <c r="I4524" i="1"/>
  <c r="I4523" i="1"/>
  <c r="I4522" i="1"/>
  <c r="I4521" i="1"/>
  <c r="I4520" i="1"/>
  <c r="I4519" i="1"/>
  <c r="I4518" i="1"/>
  <c r="I4517" i="1"/>
  <c r="I4516" i="1"/>
  <c r="I4515" i="1"/>
  <c r="I4514" i="1"/>
  <c r="I4513" i="1"/>
  <c r="I4512" i="1"/>
  <c r="I4511" i="1"/>
  <c r="I4510" i="1"/>
  <c r="I4509" i="1"/>
  <c r="I4508" i="1"/>
  <c r="I4507" i="1"/>
  <c r="I4506" i="1"/>
  <c r="I4505" i="1"/>
  <c r="I4504" i="1"/>
  <c r="I4503" i="1"/>
  <c r="I4502" i="1"/>
  <c r="I4501" i="1"/>
  <c r="I4500" i="1"/>
  <c r="I4499" i="1"/>
  <c r="I4498" i="1"/>
  <c r="I4497" i="1"/>
  <c r="I4496" i="1"/>
  <c r="I4495" i="1"/>
  <c r="I4494" i="1"/>
  <c r="I4493" i="1"/>
  <c r="I4492" i="1"/>
  <c r="I4491" i="1"/>
  <c r="I4490" i="1"/>
  <c r="I4489" i="1"/>
  <c r="I4488" i="1"/>
  <c r="I4487" i="1"/>
  <c r="I4486" i="1"/>
  <c r="I4485" i="1"/>
  <c r="I4484" i="1"/>
  <c r="I4483" i="1"/>
  <c r="I4482" i="1"/>
  <c r="I4481" i="1"/>
  <c r="I4480" i="1"/>
  <c r="I4479" i="1"/>
  <c r="I4478" i="1"/>
  <c r="I4477" i="1"/>
  <c r="I4476" i="1"/>
  <c r="I4475" i="1"/>
  <c r="I4474" i="1"/>
  <c r="I4473" i="1"/>
  <c r="I4472" i="1"/>
  <c r="I4471" i="1"/>
  <c r="I4470" i="1"/>
  <c r="I4469" i="1"/>
  <c r="I4468" i="1"/>
  <c r="I4467" i="1"/>
  <c r="I4466" i="1"/>
  <c r="I4465" i="1"/>
  <c r="I4464" i="1"/>
  <c r="I4463" i="1"/>
  <c r="I4462" i="1"/>
  <c r="I4461" i="1"/>
  <c r="I4460" i="1"/>
  <c r="I4459" i="1"/>
  <c r="I4458" i="1"/>
  <c r="I4457" i="1"/>
  <c r="I4456" i="1"/>
  <c r="I4455" i="1"/>
  <c r="I4454" i="1"/>
  <c r="I4453" i="1"/>
  <c r="I4452" i="1"/>
  <c r="I4451" i="1"/>
  <c r="I4450" i="1"/>
  <c r="I4449" i="1"/>
  <c r="I4448" i="1"/>
  <c r="I4447" i="1"/>
  <c r="I4446" i="1"/>
  <c r="I4445" i="1"/>
  <c r="I4444" i="1"/>
  <c r="I4443" i="1"/>
  <c r="I4442" i="1"/>
  <c r="I4441" i="1"/>
  <c r="I4440" i="1"/>
  <c r="I4439" i="1"/>
  <c r="I4438" i="1"/>
  <c r="I4437" i="1"/>
  <c r="I4436" i="1"/>
  <c r="I4435" i="1"/>
  <c r="I4434" i="1"/>
  <c r="I4433" i="1"/>
  <c r="I4432" i="1"/>
  <c r="I4431" i="1"/>
  <c r="I4430" i="1"/>
  <c r="I4429" i="1"/>
  <c r="I4428" i="1"/>
  <c r="I4427" i="1"/>
  <c r="I4426" i="1"/>
  <c r="I4425" i="1"/>
  <c r="I4424" i="1"/>
  <c r="I4423" i="1"/>
  <c r="I4422" i="1"/>
  <c r="I4421" i="1"/>
  <c r="I4420" i="1"/>
  <c r="I4419" i="1"/>
  <c r="I4418" i="1"/>
  <c r="I4417" i="1"/>
  <c r="I4416" i="1"/>
  <c r="I4415" i="1"/>
  <c r="I4414" i="1"/>
  <c r="I4413" i="1"/>
  <c r="I4412" i="1"/>
  <c r="I4411" i="1"/>
  <c r="I4410" i="1"/>
  <c r="I4409" i="1"/>
  <c r="I4408" i="1"/>
  <c r="I4407" i="1"/>
  <c r="I4406" i="1"/>
  <c r="I4405" i="1"/>
  <c r="I4404" i="1"/>
  <c r="I4403" i="1"/>
  <c r="I4402" i="1"/>
  <c r="I4401" i="1"/>
  <c r="I4400" i="1"/>
  <c r="I4399" i="1"/>
  <c r="I4398" i="1"/>
  <c r="I4397" i="1"/>
  <c r="I4396" i="1"/>
  <c r="I4395" i="1"/>
  <c r="I4394" i="1"/>
  <c r="I4393" i="1"/>
  <c r="I4392" i="1"/>
  <c r="I4391" i="1"/>
  <c r="I4390" i="1"/>
  <c r="I4389" i="1"/>
  <c r="I4388" i="1"/>
  <c r="I4387" i="1"/>
  <c r="I4386" i="1"/>
  <c r="I4385" i="1"/>
  <c r="I4384" i="1"/>
  <c r="I4383" i="1"/>
  <c r="I4382" i="1"/>
  <c r="I4381" i="1"/>
  <c r="I4380" i="1"/>
  <c r="I4379" i="1"/>
  <c r="I4378" i="1"/>
  <c r="I4377" i="1"/>
  <c r="I4376" i="1"/>
  <c r="I4375" i="1"/>
  <c r="I4374" i="1"/>
  <c r="I4373" i="1"/>
  <c r="I4372" i="1"/>
  <c r="I4371" i="1"/>
  <c r="I4370" i="1"/>
  <c r="I4369" i="1"/>
  <c r="I4368" i="1"/>
  <c r="I4367" i="1"/>
  <c r="I4366" i="1"/>
  <c r="I4365" i="1"/>
  <c r="I4364" i="1"/>
  <c r="I4363" i="1"/>
  <c r="I4362" i="1"/>
  <c r="I4361" i="1"/>
  <c r="I4360" i="1"/>
  <c r="I4359" i="1"/>
  <c r="I4358" i="1"/>
  <c r="I4357" i="1"/>
  <c r="I4356" i="1"/>
  <c r="I4355" i="1"/>
  <c r="I4354" i="1"/>
  <c r="I4353" i="1"/>
  <c r="I4352" i="1"/>
  <c r="I4351" i="1"/>
  <c r="I4350" i="1"/>
  <c r="I4349" i="1"/>
  <c r="I4348" i="1"/>
  <c r="I4347" i="1"/>
  <c r="I4346" i="1"/>
  <c r="I4345" i="1"/>
  <c r="I4344" i="1"/>
  <c r="I4343" i="1"/>
  <c r="I4342" i="1"/>
  <c r="I4341" i="1"/>
  <c r="I4340" i="1"/>
  <c r="I4339" i="1"/>
  <c r="I4338" i="1"/>
  <c r="I4337" i="1"/>
  <c r="I4336" i="1"/>
  <c r="I4335" i="1"/>
  <c r="I4334" i="1"/>
  <c r="I4333" i="1"/>
  <c r="I4332" i="1"/>
  <c r="I4331" i="1"/>
  <c r="I4330" i="1"/>
  <c r="I4329" i="1"/>
  <c r="I4328" i="1"/>
  <c r="I4327" i="1"/>
  <c r="I4326" i="1"/>
  <c r="I4325" i="1"/>
  <c r="I4324" i="1"/>
  <c r="I4323" i="1"/>
  <c r="I4322" i="1"/>
  <c r="I4321" i="1"/>
  <c r="I4320" i="1"/>
  <c r="I4319" i="1"/>
  <c r="I4318" i="1"/>
  <c r="I4317" i="1"/>
  <c r="I4316" i="1"/>
  <c r="I4315" i="1"/>
  <c r="I4314" i="1"/>
  <c r="I4313" i="1"/>
  <c r="I4312" i="1"/>
  <c r="I4311" i="1"/>
  <c r="I4310" i="1"/>
  <c r="I4309" i="1"/>
  <c r="I4308" i="1"/>
  <c r="I4307" i="1"/>
  <c r="I4306" i="1"/>
  <c r="I4305" i="1"/>
  <c r="I4304" i="1"/>
  <c r="I4303" i="1"/>
  <c r="I4302" i="1"/>
  <c r="I4301" i="1"/>
  <c r="I4300" i="1"/>
  <c r="I4299" i="1"/>
  <c r="I4298" i="1"/>
  <c r="I4297" i="1"/>
  <c r="I4296" i="1"/>
  <c r="I4295" i="1"/>
  <c r="I4294" i="1"/>
  <c r="I4293" i="1"/>
  <c r="I4292" i="1"/>
  <c r="I4291" i="1"/>
  <c r="I4290" i="1"/>
  <c r="I4289" i="1"/>
  <c r="I4288" i="1"/>
  <c r="I4287" i="1"/>
  <c r="I4286" i="1"/>
  <c r="I4285" i="1"/>
  <c r="I4284" i="1"/>
  <c r="I4283" i="1"/>
  <c r="I4282" i="1"/>
  <c r="I4281" i="1"/>
  <c r="I4280" i="1"/>
  <c r="I4279" i="1"/>
  <c r="I4278" i="1"/>
  <c r="I4277" i="1"/>
  <c r="I4276" i="1"/>
  <c r="I4275" i="1"/>
  <c r="I4274" i="1"/>
  <c r="I4273" i="1"/>
  <c r="I4272" i="1"/>
  <c r="I4271" i="1"/>
  <c r="I4270" i="1"/>
  <c r="I4269" i="1"/>
  <c r="I4268" i="1"/>
  <c r="I4267" i="1"/>
  <c r="I4266" i="1"/>
  <c r="I4265" i="1"/>
  <c r="I4264" i="1"/>
  <c r="I4263" i="1"/>
  <c r="I4262" i="1"/>
  <c r="I4261" i="1"/>
  <c r="I4260" i="1"/>
  <c r="I4259" i="1"/>
  <c r="I4258" i="1"/>
  <c r="I4257" i="1"/>
  <c r="I4256" i="1"/>
  <c r="I4255" i="1"/>
  <c r="I4254" i="1"/>
  <c r="I4253" i="1"/>
  <c r="I4252" i="1"/>
  <c r="I4251" i="1"/>
  <c r="I4250" i="1"/>
  <c r="I4249" i="1"/>
  <c r="I4248" i="1"/>
  <c r="I4247" i="1"/>
  <c r="I4246" i="1"/>
  <c r="I4245" i="1"/>
  <c r="I4244" i="1"/>
  <c r="I4243" i="1"/>
  <c r="I4242" i="1"/>
  <c r="I4241" i="1"/>
  <c r="I4240" i="1"/>
  <c r="I4239" i="1"/>
  <c r="I4238" i="1"/>
  <c r="I4237" i="1"/>
  <c r="I4236" i="1"/>
  <c r="I4235" i="1"/>
  <c r="I4234" i="1"/>
  <c r="I4233" i="1"/>
  <c r="I4232" i="1"/>
  <c r="I4231" i="1"/>
  <c r="I4230" i="1"/>
  <c r="I4229" i="1"/>
  <c r="I4228" i="1"/>
  <c r="I4227" i="1"/>
  <c r="I4226" i="1"/>
  <c r="I4225" i="1"/>
  <c r="I4224" i="1"/>
  <c r="I4223" i="1"/>
  <c r="I4222" i="1"/>
  <c r="I4221" i="1"/>
  <c r="I4220" i="1"/>
  <c r="I4219" i="1"/>
  <c r="I4218" i="1"/>
  <c r="I4217" i="1"/>
  <c r="I4216" i="1"/>
  <c r="I4215" i="1"/>
  <c r="I4214" i="1"/>
  <c r="I4213" i="1"/>
  <c r="I4212" i="1"/>
  <c r="I4211" i="1"/>
  <c r="I4210" i="1"/>
  <c r="I4209" i="1"/>
  <c r="I4208" i="1"/>
  <c r="I4207" i="1"/>
  <c r="I4206" i="1"/>
  <c r="I4205" i="1"/>
  <c r="I4204" i="1"/>
  <c r="I4203" i="1"/>
  <c r="I4202" i="1"/>
  <c r="I4201" i="1"/>
  <c r="I4200" i="1"/>
  <c r="I4199" i="1"/>
  <c r="I4198" i="1"/>
  <c r="I4197" i="1"/>
  <c r="I4196" i="1"/>
  <c r="I4195" i="1"/>
  <c r="I4194" i="1"/>
  <c r="I4193" i="1"/>
  <c r="I4192" i="1"/>
  <c r="I4191" i="1"/>
  <c r="I4190" i="1"/>
  <c r="I4189" i="1"/>
  <c r="I4188" i="1"/>
  <c r="I4187" i="1"/>
  <c r="I4186" i="1"/>
  <c r="I4185" i="1"/>
  <c r="I4184" i="1"/>
  <c r="I4183" i="1"/>
  <c r="I4182" i="1"/>
  <c r="I4181" i="1"/>
  <c r="I4180" i="1"/>
  <c r="I4179" i="1"/>
  <c r="I4178" i="1"/>
  <c r="I4177" i="1"/>
  <c r="I4176" i="1"/>
  <c r="I4175" i="1"/>
  <c r="I4174" i="1"/>
  <c r="I4173" i="1"/>
  <c r="I4172" i="1"/>
  <c r="I4171" i="1"/>
  <c r="I4170" i="1"/>
  <c r="I4169" i="1"/>
  <c r="I4168" i="1"/>
  <c r="I4167" i="1"/>
  <c r="I4166" i="1"/>
  <c r="I4165" i="1"/>
  <c r="I4164" i="1"/>
  <c r="I4163" i="1"/>
  <c r="I4162" i="1"/>
  <c r="I4161" i="1"/>
  <c r="I4160" i="1"/>
  <c r="I4159" i="1"/>
  <c r="I4158" i="1"/>
  <c r="I4157" i="1"/>
  <c r="I4156" i="1"/>
  <c r="I4155" i="1"/>
  <c r="I4154" i="1"/>
  <c r="I4153" i="1"/>
  <c r="I4152" i="1"/>
  <c r="I4151" i="1"/>
  <c r="I4150" i="1"/>
  <c r="I4149" i="1"/>
  <c r="I4148" i="1"/>
  <c r="I4147" i="1"/>
  <c r="I4146" i="1"/>
  <c r="I4145" i="1"/>
  <c r="I4144" i="1"/>
  <c r="I4143" i="1"/>
  <c r="I4142" i="1"/>
  <c r="I4141" i="1"/>
  <c r="I4140" i="1"/>
  <c r="I4139" i="1"/>
  <c r="I4138" i="1"/>
  <c r="I4137" i="1"/>
  <c r="I4136" i="1"/>
  <c r="I4135" i="1"/>
  <c r="I4134" i="1"/>
  <c r="I4133" i="1"/>
  <c r="I4132" i="1"/>
  <c r="I4131" i="1"/>
  <c r="I4130" i="1"/>
  <c r="I4129" i="1"/>
  <c r="I4128" i="1"/>
  <c r="I4127" i="1"/>
  <c r="I4126" i="1"/>
  <c r="I4125" i="1"/>
  <c r="I4124" i="1"/>
  <c r="I4123" i="1"/>
  <c r="I4122" i="1"/>
  <c r="I4121" i="1"/>
  <c r="I4120" i="1"/>
  <c r="I4119" i="1"/>
  <c r="I4118" i="1"/>
  <c r="I4117" i="1"/>
  <c r="I4116" i="1"/>
  <c r="I4115" i="1"/>
  <c r="I4114" i="1"/>
  <c r="I4113" i="1"/>
  <c r="I4112" i="1"/>
  <c r="I4111" i="1"/>
  <c r="I4110" i="1"/>
  <c r="I4109" i="1"/>
  <c r="I4108" i="1"/>
  <c r="I4107" i="1"/>
  <c r="I4106" i="1"/>
  <c r="I4105" i="1"/>
  <c r="I4104" i="1"/>
  <c r="I4103" i="1"/>
  <c r="I4102" i="1"/>
  <c r="I4101" i="1"/>
  <c r="I4100" i="1"/>
  <c r="I4099" i="1"/>
  <c r="I4098" i="1"/>
  <c r="I4097" i="1"/>
  <c r="I4096" i="1"/>
  <c r="I4095" i="1"/>
  <c r="I4094" i="1"/>
  <c r="I4093" i="1"/>
  <c r="I4092" i="1"/>
  <c r="I4091" i="1"/>
  <c r="I4090" i="1"/>
  <c r="I4089" i="1"/>
  <c r="I4088" i="1"/>
  <c r="I4087" i="1"/>
  <c r="I4086" i="1"/>
  <c r="I4085" i="1"/>
  <c r="I4084" i="1"/>
  <c r="I4083" i="1"/>
  <c r="I4082" i="1"/>
  <c r="I4081" i="1"/>
  <c r="I4080" i="1"/>
  <c r="I4079" i="1"/>
  <c r="I4078" i="1"/>
  <c r="I4077" i="1"/>
  <c r="I4076" i="1"/>
  <c r="I4075" i="1"/>
  <c r="I4074" i="1"/>
  <c r="I4073" i="1"/>
  <c r="I4072" i="1"/>
  <c r="I4071" i="1"/>
  <c r="I4070" i="1"/>
  <c r="I4069" i="1"/>
  <c r="I4068" i="1"/>
  <c r="I4067" i="1"/>
  <c r="I4066" i="1"/>
  <c r="I4065" i="1"/>
  <c r="I4064" i="1"/>
  <c r="I4063" i="1"/>
  <c r="I4062" i="1"/>
  <c r="I4061" i="1"/>
  <c r="I4060" i="1"/>
  <c r="I4059" i="1"/>
  <c r="I4058" i="1"/>
  <c r="I4057" i="1"/>
  <c r="I4056" i="1"/>
  <c r="I4055" i="1"/>
  <c r="I4054" i="1"/>
  <c r="I4053" i="1"/>
  <c r="I4052" i="1"/>
  <c r="I4051" i="1"/>
  <c r="I4050" i="1"/>
  <c r="I4049" i="1"/>
  <c r="I4048" i="1"/>
  <c r="I4047" i="1"/>
  <c r="I4046" i="1"/>
  <c r="I4045" i="1"/>
  <c r="I4044" i="1"/>
  <c r="I4043" i="1"/>
  <c r="I4042" i="1"/>
  <c r="I4041" i="1"/>
  <c r="I4040" i="1"/>
  <c r="I4039" i="1"/>
  <c r="I4038" i="1"/>
  <c r="I4037" i="1"/>
  <c r="I4036" i="1"/>
  <c r="I4035" i="1"/>
  <c r="I4034" i="1"/>
  <c r="I4033" i="1"/>
  <c r="I4032" i="1"/>
  <c r="I4031" i="1"/>
  <c r="I4030" i="1"/>
  <c r="I4029" i="1"/>
  <c r="I4028" i="1"/>
  <c r="I4027" i="1"/>
  <c r="I4026" i="1"/>
  <c r="I4025" i="1"/>
  <c r="I4024" i="1"/>
  <c r="I4023" i="1"/>
  <c r="I4022" i="1"/>
  <c r="I4021" i="1"/>
  <c r="I4020" i="1"/>
  <c r="I4019" i="1"/>
  <c r="I4018" i="1"/>
  <c r="I4017" i="1"/>
  <c r="I4016" i="1"/>
  <c r="I4015" i="1"/>
  <c r="I4014" i="1"/>
  <c r="I4013" i="1"/>
  <c r="I4012" i="1"/>
  <c r="I4011" i="1"/>
  <c r="I4010" i="1"/>
  <c r="I4009" i="1"/>
  <c r="I4008" i="1"/>
  <c r="I4007" i="1"/>
  <c r="I4006" i="1"/>
  <c r="I4005" i="1"/>
  <c r="I4004" i="1"/>
  <c r="I4003" i="1"/>
  <c r="I4002" i="1"/>
  <c r="I4001" i="1"/>
  <c r="I4000" i="1"/>
  <c r="I3999" i="1"/>
  <c r="I3998" i="1"/>
  <c r="I3997" i="1"/>
  <c r="I3996" i="1"/>
  <c r="I3995" i="1"/>
  <c r="I3994" i="1"/>
  <c r="I3993" i="1"/>
  <c r="I3992" i="1"/>
  <c r="I3991" i="1"/>
  <c r="I3990" i="1"/>
  <c r="I3989" i="1"/>
  <c r="I3988" i="1"/>
  <c r="I3987" i="1"/>
  <c r="I3986" i="1"/>
  <c r="I3985" i="1"/>
  <c r="I3984" i="1"/>
  <c r="I3983" i="1"/>
  <c r="I3982" i="1"/>
  <c r="I3981" i="1"/>
  <c r="I3980" i="1"/>
  <c r="I3979" i="1"/>
  <c r="I3978" i="1"/>
  <c r="I3977" i="1"/>
  <c r="I3976" i="1"/>
  <c r="I3975" i="1"/>
  <c r="I3974" i="1"/>
  <c r="I3973" i="1"/>
  <c r="I3972" i="1"/>
  <c r="I3971" i="1"/>
  <c r="I3970" i="1"/>
  <c r="I3969" i="1"/>
  <c r="I3968" i="1"/>
  <c r="I3967" i="1"/>
  <c r="I3966" i="1"/>
  <c r="I3965" i="1"/>
  <c r="I3964" i="1"/>
  <c r="I3963" i="1"/>
  <c r="I3962" i="1"/>
  <c r="I3961" i="1"/>
  <c r="I3960" i="1"/>
  <c r="I3959" i="1"/>
  <c r="I3958" i="1"/>
  <c r="I3957" i="1"/>
  <c r="I3956" i="1"/>
  <c r="I3955" i="1"/>
  <c r="I3954" i="1"/>
  <c r="I3953" i="1"/>
  <c r="I3952" i="1"/>
  <c r="I3951" i="1"/>
  <c r="I3950" i="1"/>
  <c r="I3949" i="1"/>
  <c r="I3948" i="1"/>
  <c r="I3947" i="1"/>
  <c r="I3946" i="1"/>
  <c r="I3945" i="1"/>
  <c r="I3944" i="1"/>
  <c r="I3943" i="1"/>
  <c r="I3942" i="1"/>
  <c r="I3941" i="1"/>
  <c r="I3940" i="1"/>
  <c r="I3939" i="1"/>
  <c r="I3938" i="1"/>
  <c r="I3937" i="1"/>
  <c r="I3936" i="1"/>
  <c r="I3935" i="1"/>
  <c r="I3934" i="1"/>
  <c r="I3933" i="1"/>
  <c r="I3932" i="1"/>
  <c r="I3931" i="1"/>
  <c r="I3930" i="1"/>
  <c r="I3929" i="1"/>
  <c r="I3928" i="1"/>
  <c r="I3927" i="1"/>
  <c r="I3926" i="1"/>
  <c r="I3925" i="1"/>
  <c r="I3924" i="1"/>
  <c r="I3923" i="1"/>
  <c r="I3922" i="1"/>
  <c r="I3921" i="1"/>
  <c r="I3920" i="1"/>
  <c r="I3919" i="1"/>
  <c r="I3918" i="1"/>
  <c r="I3917" i="1"/>
  <c r="I3916" i="1"/>
  <c r="I3915" i="1"/>
  <c r="I3914" i="1"/>
  <c r="I3913" i="1"/>
  <c r="I3912" i="1"/>
  <c r="I3911" i="1"/>
  <c r="I3910" i="1"/>
  <c r="I3909" i="1"/>
  <c r="I3908" i="1"/>
  <c r="I3907" i="1"/>
  <c r="I3906" i="1"/>
  <c r="I3905" i="1"/>
  <c r="I3904" i="1"/>
  <c r="I3903" i="1"/>
  <c r="I3902" i="1"/>
  <c r="I3901" i="1"/>
  <c r="I3900" i="1"/>
  <c r="I3899" i="1"/>
  <c r="I3898" i="1"/>
  <c r="I3897" i="1"/>
  <c r="I3896" i="1"/>
  <c r="I3895" i="1"/>
  <c r="I3894" i="1"/>
  <c r="I3893" i="1"/>
  <c r="I3892" i="1"/>
  <c r="I3891" i="1"/>
  <c r="I3890" i="1"/>
  <c r="I3889" i="1"/>
  <c r="I3888" i="1"/>
  <c r="I3887" i="1"/>
  <c r="I3886" i="1"/>
  <c r="I3885" i="1"/>
  <c r="I3884" i="1"/>
  <c r="I3883" i="1"/>
  <c r="I3882" i="1"/>
  <c r="I3881" i="1"/>
  <c r="I3880" i="1"/>
  <c r="I3879" i="1"/>
  <c r="I3878" i="1"/>
  <c r="I3877" i="1"/>
  <c r="I3876" i="1"/>
  <c r="I3875" i="1"/>
  <c r="I3874" i="1"/>
  <c r="I3873" i="1"/>
  <c r="I3872" i="1"/>
  <c r="I3871" i="1"/>
  <c r="I3870" i="1"/>
  <c r="I3869" i="1"/>
  <c r="I3868" i="1"/>
  <c r="I3867" i="1"/>
  <c r="I3866" i="1"/>
  <c r="I3865" i="1"/>
  <c r="I3864" i="1"/>
  <c r="I3863" i="1"/>
  <c r="I3862" i="1"/>
  <c r="I3861" i="1"/>
  <c r="I3860" i="1"/>
  <c r="I3859" i="1"/>
  <c r="I3858" i="1"/>
  <c r="I3857" i="1"/>
  <c r="I3856" i="1"/>
  <c r="I3855" i="1"/>
  <c r="I3854" i="1"/>
  <c r="I3853" i="1"/>
  <c r="I3852" i="1"/>
  <c r="I3851" i="1"/>
  <c r="I3850" i="1"/>
  <c r="I3849" i="1"/>
  <c r="I3848" i="1"/>
  <c r="I3847" i="1"/>
  <c r="I3846" i="1"/>
  <c r="I3845" i="1"/>
  <c r="I3844" i="1"/>
  <c r="I3843" i="1"/>
  <c r="I3842" i="1"/>
  <c r="I3841" i="1"/>
  <c r="I3840" i="1"/>
  <c r="I3839" i="1"/>
  <c r="I3838" i="1"/>
  <c r="I3837" i="1"/>
  <c r="I3836" i="1"/>
  <c r="I3835" i="1"/>
  <c r="I3834" i="1"/>
  <c r="I3833" i="1"/>
  <c r="I3832" i="1"/>
  <c r="I3831" i="1"/>
  <c r="I3830" i="1"/>
  <c r="I3829" i="1"/>
  <c r="I3828" i="1"/>
  <c r="I3827" i="1"/>
  <c r="I3826" i="1"/>
  <c r="I3825" i="1"/>
  <c r="I3824" i="1"/>
  <c r="I3823" i="1"/>
  <c r="I3822" i="1"/>
  <c r="I3821" i="1"/>
  <c r="I3820" i="1"/>
  <c r="I3819" i="1"/>
  <c r="I3818" i="1"/>
  <c r="I3817" i="1"/>
  <c r="I3816" i="1"/>
  <c r="I3815" i="1"/>
  <c r="I3814" i="1"/>
  <c r="I3813" i="1"/>
  <c r="I3812" i="1"/>
  <c r="I3811" i="1"/>
  <c r="I3810" i="1"/>
  <c r="I3809" i="1"/>
  <c r="I3808" i="1"/>
  <c r="I3807" i="1"/>
  <c r="I3806" i="1"/>
  <c r="I3805" i="1"/>
  <c r="I3804" i="1"/>
  <c r="I3803" i="1"/>
  <c r="I3802" i="1"/>
  <c r="I3801" i="1"/>
  <c r="I3800" i="1"/>
  <c r="I3799" i="1"/>
  <c r="I3798" i="1"/>
  <c r="I3797" i="1"/>
  <c r="I3796" i="1"/>
  <c r="I3795" i="1"/>
  <c r="I3794" i="1"/>
  <c r="I3793" i="1"/>
  <c r="I3792" i="1"/>
  <c r="I3791" i="1"/>
  <c r="I3790" i="1"/>
  <c r="I3789" i="1"/>
  <c r="I3788" i="1"/>
  <c r="I3787" i="1"/>
  <c r="I3786" i="1"/>
  <c r="I3785" i="1"/>
  <c r="I3784" i="1"/>
  <c r="I3783" i="1"/>
  <c r="I3782" i="1"/>
  <c r="I3781" i="1"/>
  <c r="I3780" i="1"/>
  <c r="I3779" i="1"/>
  <c r="I3778" i="1"/>
  <c r="I3777" i="1"/>
  <c r="I3776" i="1"/>
  <c r="I3775" i="1"/>
  <c r="I3774" i="1"/>
  <c r="I3773" i="1"/>
  <c r="I3772" i="1"/>
  <c r="I3771" i="1"/>
  <c r="I3770" i="1"/>
  <c r="I3769" i="1"/>
  <c r="I3768" i="1"/>
  <c r="I3767" i="1"/>
  <c r="I3766" i="1"/>
  <c r="I3765" i="1"/>
  <c r="I3764" i="1"/>
  <c r="I3763" i="1"/>
  <c r="I3762" i="1"/>
  <c r="I3761" i="1"/>
  <c r="I3760" i="1"/>
  <c r="I3759" i="1"/>
  <c r="I3758" i="1"/>
  <c r="I3757" i="1"/>
  <c r="I3756" i="1"/>
  <c r="I3755" i="1"/>
  <c r="I3754" i="1"/>
  <c r="I3753" i="1"/>
  <c r="I3752" i="1"/>
  <c r="I3751" i="1"/>
  <c r="I3750" i="1"/>
  <c r="I3749" i="1"/>
  <c r="I3748" i="1"/>
  <c r="I3747" i="1"/>
  <c r="I3746" i="1"/>
  <c r="I3745" i="1"/>
  <c r="I3744" i="1"/>
  <c r="I3743" i="1"/>
  <c r="I3742" i="1"/>
  <c r="I3741" i="1"/>
  <c r="I3740" i="1"/>
  <c r="I3739" i="1"/>
  <c r="I3738" i="1"/>
  <c r="I3737" i="1"/>
  <c r="I3736" i="1"/>
  <c r="I3735" i="1"/>
  <c r="I3734" i="1"/>
  <c r="I3733" i="1"/>
  <c r="I3732" i="1"/>
  <c r="I3731" i="1"/>
  <c r="I3730" i="1"/>
  <c r="I3729" i="1"/>
  <c r="I3728" i="1"/>
  <c r="I3727" i="1"/>
  <c r="I3726" i="1"/>
  <c r="I3725" i="1"/>
  <c r="I3724" i="1"/>
  <c r="I3723" i="1"/>
  <c r="I3722" i="1"/>
  <c r="I3721" i="1"/>
  <c r="I3720" i="1"/>
  <c r="I3719" i="1"/>
  <c r="I3718" i="1"/>
  <c r="I3717" i="1"/>
  <c r="I3716" i="1"/>
  <c r="I3715" i="1"/>
  <c r="I3714" i="1"/>
  <c r="I3713" i="1"/>
  <c r="I3712" i="1"/>
  <c r="I3711" i="1"/>
  <c r="I3710" i="1"/>
  <c r="I3709" i="1"/>
  <c r="I3708" i="1"/>
  <c r="I3707" i="1"/>
  <c r="I3706" i="1"/>
  <c r="I3705" i="1"/>
  <c r="I3704" i="1"/>
  <c r="I3703" i="1"/>
  <c r="I3702" i="1"/>
  <c r="I3701" i="1"/>
  <c r="I3700" i="1"/>
  <c r="I3699" i="1"/>
  <c r="I3698" i="1"/>
  <c r="I3697" i="1"/>
  <c r="I3696" i="1"/>
  <c r="I3695" i="1"/>
  <c r="I3694" i="1"/>
  <c r="I3693" i="1"/>
  <c r="I3692" i="1"/>
  <c r="I3691" i="1"/>
  <c r="I3690" i="1"/>
  <c r="I3689" i="1"/>
  <c r="I3688" i="1"/>
  <c r="I3687" i="1"/>
  <c r="I3686" i="1"/>
  <c r="I3685" i="1"/>
  <c r="I3684" i="1"/>
  <c r="I3683" i="1"/>
  <c r="I3682" i="1"/>
  <c r="I3681" i="1"/>
  <c r="I3680" i="1"/>
  <c r="I3679" i="1"/>
  <c r="I3678" i="1"/>
  <c r="I3677" i="1"/>
  <c r="I3676" i="1"/>
  <c r="I3675" i="1"/>
  <c r="I3674" i="1"/>
  <c r="I3673" i="1"/>
  <c r="I3672" i="1"/>
  <c r="I3671" i="1"/>
  <c r="I3670" i="1"/>
  <c r="I3669" i="1"/>
  <c r="I3668" i="1"/>
  <c r="I3667" i="1"/>
  <c r="I3666" i="1"/>
  <c r="I3665" i="1"/>
  <c r="I3664" i="1"/>
  <c r="I3663" i="1"/>
  <c r="I3662" i="1"/>
  <c r="I3661" i="1"/>
  <c r="I3660" i="1"/>
  <c r="I3659" i="1"/>
  <c r="I3658" i="1"/>
  <c r="I3657" i="1"/>
  <c r="I3656" i="1"/>
  <c r="I3655" i="1"/>
  <c r="I3654" i="1"/>
  <c r="I3653" i="1"/>
  <c r="I3652" i="1"/>
  <c r="I3651" i="1"/>
  <c r="I3650" i="1"/>
  <c r="I3649" i="1"/>
  <c r="I3648" i="1"/>
  <c r="I3647" i="1"/>
  <c r="I3646" i="1"/>
  <c r="I3645" i="1"/>
  <c r="I3644" i="1"/>
  <c r="I3643" i="1"/>
  <c r="I3642" i="1"/>
  <c r="I3641" i="1"/>
  <c r="I3640" i="1"/>
  <c r="I3639" i="1"/>
  <c r="I3638" i="1"/>
  <c r="I3637" i="1"/>
  <c r="I3636" i="1"/>
  <c r="I3635" i="1"/>
  <c r="I3634" i="1"/>
  <c r="I3633" i="1"/>
  <c r="I3632" i="1"/>
  <c r="I3631" i="1"/>
  <c r="I3630" i="1"/>
  <c r="I3629" i="1"/>
  <c r="I3628" i="1"/>
  <c r="I3627" i="1"/>
  <c r="I3626" i="1"/>
  <c r="I3625" i="1"/>
  <c r="I3624" i="1"/>
  <c r="I3623" i="1"/>
  <c r="I3622" i="1"/>
  <c r="I3621" i="1"/>
  <c r="I3620" i="1"/>
  <c r="I3619" i="1"/>
  <c r="I3618" i="1"/>
  <c r="I3617" i="1"/>
  <c r="I3616" i="1"/>
  <c r="I3615" i="1"/>
  <c r="I3614" i="1"/>
  <c r="I3613" i="1"/>
  <c r="I3612" i="1"/>
  <c r="I3611" i="1"/>
  <c r="I3610" i="1"/>
  <c r="I3609" i="1"/>
  <c r="I3608" i="1"/>
  <c r="I3607" i="1"/>
  <c r="I3606" i="1"/>
  <c r="I3605" i="1"/>
  <c r="I3604" i="1"/>
  <c r="I3603" i="1"/>
  <c r="I3602" i="1"/>
  <c r="I3601" i="1"/>
  <c r="I3600" i="1"/>
  <c r="I3599" i="1"/>
  <c r="I3598" i="1"/>
  <c r="I3597" i="1"/>
  <c r="I3596" i="1"/>
  <c r="I3595" i="1"/>
  <c r="I3594" i="1"/>
  <c r="I3593" i="1"/>
  <c r="I3592" i="1"/>
  <c r="I3591" i="1"/>
  <c r="I3590" i="1"/>
  <c r="I3589" i="1"/>
  <c r="I3588" i="1"/>
  <c r="I3587" i="1"/>
  <c r="I3586" i="1"/>
  <c r="I3585" i="1"/>
  <c r="I3584" i="1"/>
  <c r="I3583" i="1"/>
  <c r="I3582" i="1"/>
  <c r="I3581" i="1"/>
  <c r="I3580" i="1"/>
  <c r="I3579" i="1"/>
  <c r="I3578" i="1"/>
  <c r="I3577" i="1"/>
  <c r="I3576" i="1"/>
  <c r="I3575" i="1"/>
  <c r="I3574" i="1"/>
  <c r="I3573" i="1"/>
  <c r="I3572" i="1"/>
  <c r="I3571" i="1"/>
  <c r="I3570" i="1"/>
  <c r="I3569" i="1"/>
  <c r="I3568" i="1"/>
  <c r="I3567" i="1"/>
  <c r="I3566" i="1"/>
  <c r="I3565" i="1"/>
  <c r="I3564" i="1"/>
  <c r="I3563" i="1"/>
  <c r="I3562" i="1"/>
  <c r="I3561" i="1"/>
  <c r="I3560" i="1"/>
  <c r="I3559" i="1"/>
  <c r="I3558" i="1"/>
  <c r="I3557" i="1"/>
  <c r="I3556" i="1"/>
  <c r="I3555" i="1"/>
  <c r="I3554" i="1"/>
  <c r="I3553" i="1"/>
  <c r="I3552" i="1"/>
  <c r="I3551" i="1"/>
  <c r="I3550" i="1"/>
  <c r="I3549" i="1"/>
  <c r="I3548" i="1"/>
  <c r="I3547" i="1"/>
  <c r="I3546" i="1"/>
  <c r="I3545" i="1"/>
  <c r="I3544" i="1"/>
  <c r="I3543" i="1"/>
  <c r="I3542" i="1"/>
  <c r="I3541" i="1"/>
  <c r="I3540" i="1"/>
  <c r="I3539" i="1"/>
  <c r="I3538" i="1"/>
  <c r="I3537" i="1"/>
  <c r="I3536" i="1"/>
  <c r="I3535" i="1"/>
  <c r="I3534" i="1"/>
  <c r="I3533" i="1"/>
  <c r="I3532" i="1"/>
  <c r="I3531" i="1"/>
  <c r="I3530" i="1"/>
  <c r="I3529" i="1"/>
  <c r="I3528" i="1"/>
  <c r="I3527" i="1"/>
  <c r="I3526" i="1"/>
  <c r="I3525" i="1"/>
  <c r="I3524" i="1"/>
  <c r="I3523" i="1"/>
  <c r="I3522" i="1"/>
  <c r="I3521" i="1"/>
  <c r="I3520" i="1"/>
  <c r="I3519" i="1"/>
  <c r="I3518" i="1"/>
  <c r="I3517" i="1"/>
  <c r="I3516" i="1"/>
  <c r="I3515" i="1"/>
  <c r="I3514" i="1"/>
  <c r="I3513" i="1"/>
  <c r="I3512" i="1"/>
  <c r="I3511" i="1"/>
  <c r="I3510" i="1"/>
  <c r="I3509" i="1"/>
  <c r="I3508" i="1"/>
  <c r="I3507" i="1"/>
  <c r="I3506" i="1"/>
  <c r="I3505" i="1"/>
  <c r="I3504" i="1"/>
  <c r="I3503" i="1"/>
  <c r="I3502" i="1"/>
  <c r="I3501" i="1"/>
  <c r="I3500" i="1"/>
  <c r="I3499" i="1"/>
  <c r="I3498" i="1"/>
  <c r="I3497" i="1"/>
  <c r="I3496" i="1"/>
  <c r="I3495" i="1"/>
  <c r="I3494" i="1"/>
  <c r="I3493" i="1"/>
  <c r="I3492" i="1"/>
  <c r="I3491" i="1"/>
  <c r="I3490" i="1"/>
  <c r="I3489" i="1"/>
  <c r="I3488" i="1"/>
  <c r="I3487" i="1"/>
  <c r="I3486" i="1"/>
  <c r="I3485" i="1"/>
  <c r="I3484" i="1"/>
  <c r="I3483" i="1"/>
  <c r="I3482" i="1"/>
  <c r="I3481" i="1"/>
  <c r="I3480" i="1"/>
  <c r="I3479" i="1"/>
  <c r="I3478" i="1"/>
  <c r="I3477" i="1"/>
  <c r="I3476" i="1"/>
  <c r="I3475" i="1"/>
  <c r="I3474" i="1"/>
  <c r="I3473" i="1"/>
  <c r="I3472" i="1"/>
  <c r="I3471" i="1"/>
  <c r="I3470" i="1"/>
  <c r="I3469" i="1"/>
  <c r="I3468" i="1"/>
  <c r="I3467" i="1"/>
  <c r="I3466" i="1"/>
  <c r="I3465" i="1"/>
  <c r="I3464" i="1"/>
  <c r="I3463" i="1"/>
  <c r="I3462" i="1"/>
  <c r="I3461" i="1"/>
  <c r="I3460" i="1"/>
  <c r="I3459" i="1"/>
  <c r="I3458" i="1"/>
  <c r="I3457" i="1"/>
  <c r="I3456" i="1"/>
  <c r="I3455" i="1"/>
  <c r="I3454" i="1"/>
  <c r="I3453" i="1"/>
  <c r="I3452" i="1"/>
  <c r="I3451" i="1"/>
  <c r="I3450" i="1"/>
  <c r="I3449" i="1"/>
  <c r="I3448" i="1"/>
  <c r="I3447" i="1"/>
  <c r="I3446" i="1"/>
  <c r="I3445" i="1"/>
  <c r="I3444" i="1"/>
  <c r="I3443" i="1"/>
  <c r="I3442" i="1"/>
  <c r="I3441" i="1"/>
  <c r="I3440" i="1"/>
  <c r="I3439" i="1"/>
  <c r="I3438" i="1"/>
  <c r="I3437" i="1"/>
  <c r="I3436" i="1"/>
  <c r="I3435" i="1"/>
  <c r="I3434" i="1"/>
  <c r="I3433" i="1"/>
  <c r="I3432" i="1"/>
  <c r="I3431" i="1"/>
  <c r="I3430" i="1"/>
  <c r="I3429" i="1"/>
  <c r="I3428" i="1"/>
  <c r="I3427" i="1"/>
  <c r="I3426" i="1"/>
  <c r="I3425" i="1"/>
  <c r="I3424" i="1"/>
  <c r="I3423" i="1"/>
  <c r="I3422" i="1"/>
  <c r="I3421" i="1"/>
  <c r="I3420" i="1"/>
  <c r="I3419" i="1"/>
  <c r="I3418" i="1"/>
  <c r="I3417" i="1"/>
  <c r="I3416" i="1"/>
  <c r="I3415" i="1"/>
  <c r="I3414" i="1"/>
  <c r="I3413" i="1"/>
  <c r="I3412" i="1"/>
  <c r="I3411" i="1"/>
  <c r="I3410" i="1"/>
  <c r="I3409" i="1"/>
  <c r="I3408" i="1"/>
  <c r="I3407" i="1"/>
  <c r="I3406" i="1"/>
  <c r="I3405" i="1"/>
  <c r="I3404" i="1"/>
  <c r="I3403" i="1"/>
  <c r="I3402" i="1"/>
  <c r="I3401" i="1"/>
  <c r="I3400" i="1"/>
  <c r="I3399" i="1"/>
  <c r="I3398" i="1"/>
  <c r="I3397" i="1"/>
  <c r="I3396" i="1"/>
  <c r="I3395" i="1"/>
  <c r="I3394" i="1"/>
  <c r="I3393" i="1"/>
  <c r="I3392" i="1"/>
  <c r="I3391" i="1"/>
  <c r="I3390" i="1"/>
  <c r="I3389" i="1"/>
  <c r="I3388" i="1"/>
  <c r="I3387" i="1"/>
  <c r="I3386" i="1"/>
  <c r="I3385" i="1"/>
  <c r="I3384" i="1"/>
  <c r="I3383" i="1"/>
  <c r="I3382" i="1"/>
  <c r="I3381" i="1"/>
  <c r="I3380" i="1"/>
  <c r="I3379" i="1"/>
  <c r="I3378" i="1"/>
  <c r="I3377" i="1"/>
  <c r="I3376" i="1"/>
  <c r="I3375" i="1"/>
  <c r="I3374" i="1"/>
  <c r="I3373" i="1"/>
  <c r="I3372" i="1"/>
  <c r="I3371" i="1"/>
  <c r="I3370" i="1"/>
  <c r="I3369" i="1"/>
  <c r="I3368" i="1"/>
  <c r="I3367" i="1"/>
  <c r="I3366" i="1"/>
  <c r="I3365" i="1"/>
  <c r="I3364" i="1"/>
  <c r="I3363" i="1"/>
  <c r="I3362" i="1"/>
  <c r="I3361" i="1"/>
  <c r="I3360" i="1"/>
  <c r="I3359" i="1"/>
  <c r="I3358" i="1"/>
  <c r="I3357" i="1"/>
  <c r="I3356" i="1"/>
  <c r="I3355" i="1"/>
  <c r="I3354" i="1"/>
  <c r="I3353" i="1"/>
  <c r="I3352" i="1"/>
  <c r="I3351" i="1"/>
  <c r="I3350" i="1"/>
  <c r="I3349" i="1"/>
  <c r="I3348" i="1"/>
  <c r="I3347" i="1"/>
  <c r="I3346" i="1"/>
  <c r="I3345" i="1"/>
  <c r="I3344" i="1"/>
  <c r="I3343" i="1"/>
  <c r="I3342" i="1"/>
  <c r="I3341" i="1"/>
  <c r="I3340" i="1"/>
  <c r="I3339" i="1"/>
  <c r="I3338" i="1"/>
  <c r="I3337" i="1"/>
  <c r="I3336" i="1"/>
  <c r="I3335" i="1"/>
  <c r="I3334" i="1"/>
  <c r="I3333" i="1"/>
  <c r="I3332" i="1"/>
  <c r="I3331" i="1"/>
  <c r="I3330" i="1"/>
  <c r="I3329" i="1"/>
  <c r="I3328" i="1"/>
  <c r="I3327" i="1"/>
  <c r="I3326" i="1"/>
  <c r="I3325" i="1"/>
  <c r="I3324" i="1"/>
  <c r="I3323" i="1"/>
  <c r="I3322" i="1"/>
  <c r="I3321" i="1"/>
  <c r="I3320" i="1"/>
  <c r="I3319" i="1"/>
  <c r="I3318" i="1"/>
  <c r="I3317" i="1"/>
  <c r="I3316" i="1"/>
  <c r="I3315" i="1"/>
  <c r="I3314" i="1"/>
  <c r="I3313" i="1"/>
  <c r="I3312" i="1"/>
  <c r="I3311" i="1"/>
  <c r="I3310" i="1"/>
  <c r="I3309" i="1"/>
  <c r="I3308" i="1"/>
  <c r="I3307" i="1"/>
  <c r="I3306" i="1"/>
  <c r="I3305" i="1"/>
  <c r="I3304" i="1"/>
  <c r="I3303" i="1"/>
  <c r="I3302" i="1"/>
  <c r="I3301" i="1"/>
  <c r="I3300" i="1"/>
  <c r="I3299" i="1"/>
  <c r="I3298" i="1"/>
  <c r="I3297" i="1"/>
  <c r="I3296" i="1"/>
  <c r="I3295" i="1"/>
  <c r="I3294" i="1"/>
  <c r="I3293" i="1"/>
  <c r="I3292" i="1"/>
  <c r="I3291" i="1"/>
  <c r="I3290" i="1"/>
  <c r="I3289" i="1"/>
  <c r="I3288" i="1"/>
  <c r="I3287" i="1"/>
  <c r="I3286" i="1"/>
  <c r="I3285" i="1"/>
  <c r="I3284" i="1"/>
  <c r="I3283" i="1"/>
  <c r="I3282" i="1"/>
  <c r="I3281" i="1"/>
  <c r="I3280" i="1"/>
  <c r="I3279" i="1"/>
  <c r="I3278" i="1"/>
  <c r="I3277" i="1"/>
  <c r="I3276" i="1"/>
  <c r="I3275" i="1"/>
  <c r="I3274" i="1"/>
  <c r="I3273" i="1"/>
  <c r="I3272" i="1"/>
  <c r="I3271" i="1"/>
  <c r="I3270" i="1"/>
  <c r="I3269" i="1"/>
  <c r="I3268" i="1"/>
  <c r="I3267" i="1"/>
  <c r="I3266" i="1"/>
  <c r="I3265" i="1"/>
  <c r="I3264" i="1"/>
  <c r="I3263" i="1"/>
  <c r="I3262" i="1"/>
  <c r="I3261" i="1"/>
  <c r="I3260" i="1"/>
  <c r="I3259" i="1"/>
  <c r="I3258" i="1"/>
  <c r="I3257" i="1"/>
  <c r="I3256"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3188" i="1"/>
  <c r="I3187" i="1"/>
  <c r="I3186" i="1"/>
  <c r="I3185" i="1"/>
  <c r="I3184" i="1"/>
  <c r="I3183" i="1"/>
  <c r="I3182" i="1"/>
  <c r="I3181" i="1"/>
  <c r="I3180" i="1"/>
  <c r="I3179" i="1"/>
  <c r="I3178" i="1"/>
  <c r="I3177" i="1"/>
  <c r="I3176" i="1"/>
  <c r="I3175" i="1"/>
  <c r="I3174" i="1"/>
  <c r="I3173" i="1"/>
  <c r="I3172" i="1"/>
  <c r="I3171" i="1"/>
  <c r="I3170" i="1"/>
  <c r="I3169" i="1"/>
  <c r="I3168" i="1"/>
  <c r="I3167" i="1"/>
  <c r="I3166" i="1"/>
  <c r="I3165" i="1"/>
  <c r="I3164" i="1"/>
  <c r="I3163" i="1"/>
  <c r="I3162" i="1"/>
  <c r="I3161" i="1"/>
  <c r="I3160" i="1"/>
  <c r="I3159" i="1"/>
  <c r="I3158" i="1"/>
  <c r="I3157" i="1"/>
  <c r="I3156" i="1"/>
  <c r="I3155" i="1"/>
  <c r="I3154" i="1"/>
  <c r="I3153" i="1"/>
  <c r="I3152" i="1"/>
  <c r="I3151" i="1"/>
  <c r="I3150" i="1"/>
  <c r="I3149" i="1"/>
  <c r="I3148" i="1"/>
  <c r="I3147" i="1"/>
  <c r="I3146" i="1"/>
  <c r="I3145" i="1"/>
  <c r="I3144" i="1"/>
  <c r="I3143" i="1"/>
  <c r="I3142" i="1"/>
  <c r="I3141" i="1"/>
  <c r="I3140" i="1"/>
  <c r="I3139" i="1"/>
  <c r="I3138" i="1"/>
  <c r="I3137" i="1"/>
  <c r="I3136" i="1"/>
  <c r="I3135" i="1"/>
  <c r="I3134" i="1"/>
  <c r="I3133" i="1"/>
  <c r="I3132" i="1"/>
  <c r="I3131" i="1"/>
  <c r="I3130" i="1"/>
  <c r="I3129" i="1"/>
  <c r="I3128" i="1"/>
  <c r="I3127" i="1"/>
  <c r="I3126" i="1"/>
  <c r="I3125" i="1"/>
  <c r="I3124" i="1"/>
  <c r="I3123" i="1"/>
  <c r="I3122" i="1"/>
  <c r="I3121" i="1"/>
  <c r="I3120" i="1"/>
  <c r="I3119" i="1"/>
  <c r="I3118" i="1"/>
  <c r="I3117" i="1"/>
  <c r="I3116" i="1"/>
  <c r="I3115" i="1"/>
  <c r="I3114" i="1"/>
  <c r="I3113" i="1"/>
  <c r="I3112" i="1"/>
  <c r="I3111" i="1"/>
  <c r="I3110" i="1"/>
  <c r="I3109" i="1"/>
  <c r="I3108" i="1"/>
  <c r="I3107" i="1"/>
  <c r="I3106" i="1"/>
  <c r="I3105" i="1"/>
  <c r="I3104" i="1"/>
  <c r="I3103" i="1"/>
  <c r="I3102" i="1"/>
  <c r="I3101" i="1"/>
  <c r="I3100" i="1"/>
  <c r="I3099" i="1"/>
  <c r="I3098" i="1"/>
  <c r="I3097" i="1"/>
  <c r="I3096" i="1"/>
  <c r="I3095" i="1"/>
  <c r="I3094" i="1"/>
  <c r="I3093" i="1"/>
  <c r="I3092" i="1"/>
  <c r="I3091" i="1"/>
  <c r="I3090" i="1"/>
  <c r="I3089" i="1"/>
  <c r="I3088" i="1"/>
  <c r="I3087" i="1"/>
  <c r="I3086" i="1"/>
  <c r="I3085" i="1"/>
  <c r="I3084" i="1"/>
  <c r="I3083" i="1"/>
  <c r="I3082" i="1"/>
  <c r="I3081" i="1"/>
  <c r="I3080" i="1"/>
  <c r="I3079" i="1"/>
  <c r="I3078" i="1"/>
  <c r="I3077" i="1"/>
  <c r="I3076" i="1"/>
  <c r="I3075" i="1"/>
  <c r="I3074" i="1"/>
  <c r="I3073" i="1"/>
  <c r="I3072" i="1"/>
  <c r="I3071" i="1"/>
  <c r="I3070" i="1"/>
  <c r="I3069" i="1"/>
  <c r="I3068" i="1"/>
  <c r="I3067" i="1"/>
  <c r="I3066" i="1"/>
  <c r="I3065" i="1"/>
  <c r="I3064" i="1"/>
  <c r="I3063" i="1"/>
  <c r="I3062" i="1"/>
  <c r="I3061" i="1"/>
  <c r="I3060" i="1"/>
  <c r="I3059" i="1"/>
  <c r="I3058" i="1"/>
  <c r="I3057" i="1"/>
  <c r="I3056" i="1"/>
  <c r="I3055" i="1"/>
  <c r="I3054" i="1"/>
  <c r="I3053" i="1"/>
  <c r="I3052" i="1"/>
  <c r="I3051" i="1"/>
  <c r="I3050" i="1"/>
  <c r="I3049" i="1"/>
  <c r="I3048" i="1"/>
  <c r="I3047" i="1"/>
  <c r="I3046" i="1"/>
  <c r="I3045" i="1"/>
  <c r="I3044" i="1"/>
  <c r="I3043" i="1"/>
  <c r="I3042" i="1"/>
  <c r="I3041" i="1"/>
  <c r="I3040" i="1"/>
  <c r="I3039" i="1"/>
  <c r="I3038" i="1"/>
  <c r="I3037" i="1"/>
  <c r="I3036" i="1"/>
  <c r="I3035" i="1"/>
  <c r="I3034" i="1"/>
  <c r="I3033" i="1"/>
  <c r="I3032" i="1"/>
  <c r="I3031" i="1"/>
  <c r="I3030" i="1"/>
  <c r="I3029" i="1"/>
  <c r="I3028" i="1"/>
  <c r="I3027" i="1"/>
  <c r="I3026" i="1"/>
  <c r="I3025" i="1"/>
  <c r="I3024" i="1"/>
  <c r="I3023" i="1"/>
  <c r="I3022" i="1"/>
  <c r="I3021" i="1"/>
  <c r="I3020" i="1"/>
  <c r="I3019" i="1"/>
  <c r="I3018" i="1"/>
  <c r="I3017" i="1"/>
  <c r="I3016" i="1"/>
  <c r="I3015" i="1"/>
  <c r="I3014" i="1"/>
  <c r="I3013" i="1"/>
  <c r="I3012" i="1"/>
  <c r="I3011" i="1"/>
  <c r="I3010" i="1"/>
  <c r="I3009" i="1"/>
  <c r="I3008" i="1"/>
  <c r="I3007" i="1"/>
  <c r="I3006" i="1"/>
  <c r="I3005" i="1"/>
  <c r="I3004" i="1"/>
  <c r="I3003" i="1"/>
  <c r="I3002" i="1"/>
  <c r="I3001" i="1"/>
  <c r="I3000" i="1"/>
  <c r="I2999" i="1"/>
  <c r="I2998" i="1"/>
  <c r="I2997" i="1"/>
  <c r="I2996" i="1"/>
  <c r="I2995" i="1"/>
  <c r="I2994" i="1"/>
  <c r="I2993" i="1"/>
  <c r="I2992" i="1"/>
  <c r="I2991" i="1"/>
  <c r="I2990" i="1"/>
  <c r="I2989" i="1"/>
  <c r="I2988" i="1"/>
  <c r="I2987" i="1"/>
  <c r="I2986" i="1"/>
  <c r="I2985" i="1"/>
  <c r="I2984" i="1"/>
  <c r="I2983" i="1"/>
  <c r="I2982" i="1"/>
  <c r="I2981" i="1"/>
  <c r="I2980" i="1"/>
  <c r="I2979" i="1"/>
  <c r="I2978" i="1"/>
  <c r="I2977" i="1"/>
  <c r="I2976" i="1"/>
  <c r="I2975" i="1"/>
  <c r="I2974" i="1"/>
  <c r="I2973" i="1"/>
  <c r="I2972" i="1"/>
  <c r="I2971" i="1"/>
  <c r="I2970" i="1"/>
  <c r="I2969" i="1"/>
  <c r="I2968" i="1"/>
  <c r="I2967" i="1"/>
  <c r="I2966" i="1"/>
  <c r="I2965" i="1"/>
  <c r="I2964" i="1"/>
  <c r="I2963" i="1"/>
  <c r="I2962" i="1"/>
  <c r="I2961" i="1"/>
  <c r="I2960" i="1"/>
  <c r="I2959" i="1"/>
  <c r="I2958" i="1"/>
  <c r="I2957" i="1"/>
  <c r="I2956" i="1"/>
  <c r="I2955" i="1"/>
  <c r="I2954" i="1"/>
  <c r="I2953" i="1"/>
  <c r="I2952" i="1"/>
  <c r="I2951" i="1"/>
  <c r="I2950" i="1"/>
  <c r="I2949" i="1"/>
  <c r="I2948" i="1"/>
  <c r="I2947" i="1"/>
  <c r="I2946" i="1"/>
  <c r="I2945" i="1"/>
  <c r="I2944" i="1"/>
  <c r="I2943" i="1"/>
  <c r="I2942" i="1"/>
  <c r="I2941" i="1"/>
  <c r="I2940" i="1"/>
  <c r="I2939" i="1"/>
  <c r="I2938" i="1"/>
  <c r="I2937" i="1"/>
  <c r="I2936" i="1"/>
  <c r="I2935" i="1"/>
  <c r="I2934" i="1"/>
  <c r="I2933" i="1"/>
  <c r="I2932" i="1"/>
  <c r="I2931" i="1"/>
  <c r="I2930" i="1"/>
  <c r="I2929" i="1"/>
  <c r="I2928" i="1"/>
  <c r="I2927" i="1"/>
  <c r="I2926" i="1"/>
  <c r="I2925" i="1"/>
  <c r="I2924" i="1"/>
  <c r="I2923" i="1"/>
  <c r="I2922" i="1"/>
  <c r="I2921" i="1"/>
  <c r="I2920" i="1"/>
  <c r="I2919" i="1"/>
  <c r="I2918" i="1"/>
  <c r="I2917" i="1"/>
  <c r="I2916" i="1"/>
  <c r="I2915" i="1"/>
  <c r="I2914" i="1"/>
  <c r="I2913" i="1"/>
  <c r="I2912" i="1"/>
  <c r="I2911" i="1"/>
  <c r="I2910" i="1"/>
  <c r="I2909" i="1"/>
  <c r="I2908" i="1"/>
  <c r="I2907" i="1"/>
  <c r="I2906" i="1"/>
  <c r="I2905" i="1"/>
  <c r="I2904" i="1"/>
  <c r="I2903" i="1"/>
  <c r="I2902" i="1"/>
  <c r="I2901" i="1"/>
  <c r="I2900" i="1"/>
  <c r="I2899" i="1"/>
  <c r="I2898" i="1"/>
  <c r="I2897" i="1"/>
  <c r="I2896" i="1"/>
  <c r="I2895" i="1"/>
  <c r="I2894" i="1"/>
  <c r="I2893" i="1"/>
  <c r="I2892" i="1"/>
  <c r="I2891" i="1"/>
  <c r="I2890" i="1"/>
  <c r="I2889" i="1"/>
  <c r="I2888" i="1"/>
  <c r="I2887" i="1"/>
  <c r="I2886" i="1"/>
  <c r="I2885" i="1"/>
  <c r="I2884" i="1"/>
  <c r="I2883" i="1"/>
  <c r="I2882" i="1"/>
  <c r="I2881" i="1"/>
  <c r="I2880"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40" i="1"/>
  <c r="I2839" i="1"/>
  <c r="I2838" i="1"/>
  <c r="I2837" i="1"/>
  <c r="I2836" i="1"/>
  <c r="I2835" i="1"/>
  <c r="I2834" i="1"/>
  <c r="I2833" i="1"/>
  <c r="I2832" i="1"/>
  <c r="I2831" i="1"/>
  <c r="I2830" i="1"/>
  <c r="I2829" i="1"/>
  <c r="I2828" i="1"/>
  <c r="I2827" i="1"/>
  <c r="I2826" i="1"/>
  <c r="I2825" i="1"/>
  <c r="I2824" i="1"/>
  <c r="I2823" i="1"/>
  <c r="I2822" i="1"/>
  <c r="I2821" i="1"/>
  <c r="I2820" i="1"/>
  <c r="I2819" i="1"/>
  <c r="I2818" i="1"/>
  <c r="I2817" i="1"/>
  <c r="I2816" i="1"/>
  <c r="I2815" i="1"/>
  <c r="I2814" i="1"/>
  <c r="I2813" i="1"/>
  <c r="I2812" i="1"/>
  <c r="I2811" i="1"/>
  <c r="I2810" i="1"/>
  <c r="I2809" i="1"/>
  <c r="I2808" i="1"/>
  <c r="I2807" i="1"/>
  <c r="I2806" i="1"/>
  <c r="I2805" i="1"/>
  <c r="I2804" i="1"/>
  <c r="I2803" i="1"/>
  <c r="I2802" i="1"/>
  <c r="I2801" i="1"/>
  <c r="I2800" i="1"/>
  <c r="I2799" i="1"/>
  <c r="I2798" i="1"/>
  <c r="I2797" i="1"/>
  <c r="I2796" i="1"/>
  <c r="I2795" i="1"/>
  <c r="I2794" i="1"/>
  <c r="I2793" i="1"/>
  <c r="I2792" i="1"/>
  <c r="I2791" i="1"/>
  <c r="I2790" i="1"/>
  <c r="I2789" i="1"/>
  <c r="I2788" i="1"/>
  <c r="I2787" i="1"/>
  <c r="I2786" i="1"/>
  <c r="I2785" i="1"/>
  <c r="I2784" i="1"/>
  <c r="I2783" i="1"/>
  <c r="I2782" i="1"/>
  <c r="I2781" i="1"/>
  <c r="I2780" i="1"/>
  <c r="I2779" i="1"/>
  <c r="I2778" i="1"/>
  <c r="I2777" i="1"/>
  <c r="I2776" i="1"/>
  <c r="I2775" i="1"/>
  <c r="I2774" i="1"/>
  <c r="I2773" i="1"/>
  <c r="I2772" i="1"/>
  <c r="I2771" i="1"/>
  <c r="I2770" i="1"/>
  <c r="I2769" i="1"/>
  <c r="I2768" i="1"/>
  <c r="I2767" i="1"/>
  <c r="I2766" i="1"/>
  <c r="I2765" i="1"/>
  <c r="I2764" i="1"/>
  <c r="I2763" i="1"/>
  <c r="I2762" i="1"/>
  <c r="I2761" i="1"/>
  <c r="I2760" i="1"/>
  <c r="I2759" i="1"/>
  <c r="I2758" i="1"/>
  <c r="I2757" i="1"/>
  <c r="I2756" i="1"/>
  <c r="I2755" i="1"/>
  <c r="I2754" i="1"/>
  <c r="I2753" i="1"/>
  <c r="I2752" i="1"/>
  <c r="I2751" i="1"/>
  <c r="I2750" i="1"/>
  <c r="I2749" i="1"/>
  <c r="I2748" i="1"/>
  <c r="I2747" i="1"/>
  <c r="I2746" i="1"/>
  <c r="I2745" i="1"/>
  <c r="I2744" i="1"/>
  <c r="I2743" i="1"/>
  <c r="I2742" i="1"/>
  <c r="I2741" i="1"/>
  <c r="I2740" i="1"/>
  <c r="I2739" i="1"/>
  <c r="I2738" i="1"/>
  <c r="I2737" i="1"/>
  <c r="I2736" i="1"/>
  <c r="I2735" i="1"/>
  <c r="I2734" i="1"/>
  <c r="I2733" i="1"/>
  <c r="I2732" i="1"/>
  <c r="I2731" i="1"/>
  <c r="I2730" i="1"/>
  <c r="I2729" i="1"/>
  <c r="I2728" i="1"/>
  <c r="I2727" i="1"/>
  <c r="I2726" i="1"/>
  <c r="I2725" i="1"/>
  <c r="I2724" i="1"/>
  <c r="I2723" i="1"/>
  <c r="I2722" i="1"/>
  <c r="I2721" i="1"/>
  <c r="I2720" i="1"/>
  <c r="I2719" i="1"/>
  <c r="I2718" i="1"/>
  <c r="I2717" i="1"/>
  <c r="I2716" i="1"/>
  <c r="I2715" i="1"/>
  <c r="I2714" i="1"/>
  <c r="I2713" i="1"/>
  <c r="I2712" i="1"/>
  <c r="I2711" i="1"/>
  <c r="I2710" i="1"/>
  <c r="I2709" i="1"/>
  <c r="I2708" i="1"/>
  <c r="I2707" i="1"/>
  <c r="I2706" i="1"/>
  <c r="I2705" i="1"/>
  <c r="I2704" i="1"/>
  <c r="I2703" i="1"/>
  <c r="I2702" i="1"/>
  <c r="I2701" i="1"/>
  <c r="I2700" i="1"/>
  <c r="I2699" i="1"/>
  <c r="I2698" i="1"/>
  <c r="I2697" i="1"/>
  <c r="I2696" i="1"/>
  <c r="I2695" i="1"/>
  <c r="I2694" i="1"/>
  <c r="I2693" i="1"/>
  <c r="I2692" i="1"/>
  <c r="I2691" i="1"/>
  <c r="I2690" i="1"/>
  <c r="I2689" i="1"/>
  <c r="I2688" i="1"/>
  <c r="I2687" i="1"/>
  <c r="I2686" i="1"/>
  <c r="I2685"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4" i="1"/>
  <c r="I2653" i="1"/>
  <c r="I2652" i="1"/>
  <c r="I2651" i="1"/>
  <c r="I2650" i="1"/>
  <c r="I2649" i="1"/>
  <c r="I2648" i="1"/>
  <c r="I2647" i="1"/>
  <c r="I2646" i="1"/>
  <c r="I2645" i="1"/>
  <c r="I2644" i="1"/>
  <c r="I2643" i="1"/>
  <c r="I2642" i="1"/>
  <c r="I2641" i="1"/>
  <c r="I2640" i="1"/>
  <c r="I2639" i="1"/>
  <c r="I2638" i="1"/>
  <c r="I2637" i="1"/>
  <c r="I2636" i="1"/>
  <c r="I2635" i="1"/>
  <c r="I2634" i="1"/>
  <c r="I2633" i="1"/>
  <c r="I2632" i="1"/>
  <c r="I2631" i="1"/>
  <c r="I2630" i="1"/>
  <c r="I2629" i="1"/>
  <c r="I2628" i="1"/>
  <c r="I2627" i="1"/>
  <c r="I2626" i="1"/>
  <c r="I2625" i="1"/>
  <c r="I2624" i="1"/>
  <c r="I2623" i="1"/>
  <c r="I2622" i="1"/>
  <c r="I2621" i="1"/>
  <c r="I2620" i="1"/>
  <c r="I2619" i="1"/>
  <c r="I2618" i="1"/>
  <c r="I2617" i="1"/>
  <c r="I2616" i="1"/>
  <c r="I2615" i="1"/>
  <c r="I2614" i="1"/>
  <c r="I2613" i="1"/>
  <c r="I2612" i="1"/>
  <c r="I2611" i="1"/>
  <c r="I2610" i="1"/>
  <c r="I2609" i="1"/>
  <c r="I2608" i="1"/>
  <c r="I2607" i="1"/>
  <c r="I2606" i="1"/>
  <c r="I2605" i="1"/>
  <c r="I2604" i="1"/>
  <c r="I2603" i="1"/>
  <c r="I2602" i="1"/>
  <c r="I2601" i="1"/>
  <c r="I2600" i="1"/>
  <c r="I2599" i="1"/>
  <c r="I2598" i="1"/>
  <c r="I2597" i="1"/>
  <c r="I2596" i="1"/>
  <c r="I2595" i="1"/>
  <c r="I2594" i="1"/>
  <c r="I2593" i="1"/>
  <c r="I2592" i="1"/>
  <c r="I2591" i="1"/>
  <c r="I2590" i="1"/>
  <c r="I2589" i="1"/>
  <c r="I2588" i="1"/>
  <c r="I2587" i="1"/>
  <c r="I2586" i="1"/>
  <c r="I2585" i="1"/>
  <c r="I2584" i="1"/>
  <c r="I2583" i="1"/>
  <c r="I2582" i="1"/>
  <c r="I2581" i="1"/>
  <c r="I2580" i="1"/>
  <c r="I2579" i="1"/>
  <c r="I2578" i="1"/>
  <c r="I2577" i="1"/>
  <c r="I2576" i="1"/>
  <c r="I2575" i="1"/>
  <c r="I2574" i="1"/>
  <c r="I2573" i="1"/>
  <c r="I2572" i="1"/>
  <c r="I2571" i="1"/>
  <c r="I2570" i="1"/>
  <c r="I2569" i="1"/>
  <c r="I2568" i="1"/>
  <c r="I2567" i="1"/>
  <c r="I2566" i="1"/>
  <c r="I2565" i="1"/>
  <c r="I2564" i="1"/>
  <c r="I2563" i="1"/>
  <c r="I2562" i="1"/>
  <c r="I2561" i="1"/>
  <c r="I2560" i="1"/>
  <c r="I2559" i="1"/>
  <c r="I2558" i="1"/>
  <c r="I2557" i="1"/>
  <c r="I2556" i="1"/>
  <c r="I2555" i="1"/>
  <c r="I2554" i="1"/>
  <c r="I2553" i="1"/>
  <c r="I2552" i="1"/>
  <c r="I2551" i="1"/>
  <c r="I2550" i="1"/>
  <c r="I2549" i="1"/>
  <c r="I2548" i="1"/>
  <c r="I2547" i="1"/>
  <c r="I2546" i="1"/>
  <c r="I2545" i="1"/>
  <c r="I2544" i="1"/>
  <c r="I2543" i="1"/>
  <c r="I2542" i="1"/>
  <c r="I2541" i="1"/>
  <c r="I2540" i="1"/>
  <c r="I2539" i="1"/>
  <c r="I2538" i="1"/>
  <c r="I2537" i="1"/>
  <c r="I2536" i="1"/>
  <c r="I2535" i="1"/>
  <c r="I2534" i="1"/>
  <c r="I2533" i="1"/>
  <c r="I2532" i="1"/>
  <c r="I2531" i="1"/>
  <c r="I2530" i="1"/>
  <c r="I2529" i="1"/>
  <c r="I2528" i="1"/>
  <c r="I2527" i="1"/>
  <c r="I2526" i="1"/>
  <c r="I2525" i="1"/>
  <c r="I2524" i="1"/>
  <c r="I2523" i="1"/>
  <c r="I2522" i="1"/>
  <c r="I2521" i="1"/>
  <c r="I2520" i="1"/>
  <c r="I2519" i="1"/>
  <c r="I2518" i="1"/>
  <c r="I2517" i="1"/>
  <c r="I2516" i="1"/>
  <c r="I2515" i="1"/>
  <c r="I2514" i="1"/>
  <c r="I2513" i="1"/>
  <c r="I2512" i="1"/>
  <c r="I2511" i="1"/>
  <c r="I2510" i="1"/>
  <c r="I2509" i="1"/>
  <c r="I2508" i="1"/>
  <c r="I2507" i="1"/>
  <c r="I2506" i="1"/>
  <c r="I2505" i="1"/>
  <c r="I2504" i="1"/>
  <c r="I2503" i="1"/>
  <c r="I2502" i="1"/>
  <c r="I2501" i="1"/>
  <c r="I2500" i="1"/>
  <c r="I2499" i="1"/>
  <c r="I2498" i="1"/>
  <c r="I2497" i="1"/>
  <c r="I2496" i="1"/>
  <c r="I2495" i="1"/>
  <c r="I2494" i="1"/>
  <c r="I2493" i="1"/>
  <c r="I2492" i="1"/>
  <c r="I2491" i="1"/>
  <c r="I2490" i="1"/>
  <c r="I2489" i="1"/>
  <c r="I2488" i="1"/>
  <c r="I2487" i="1"/>
  <c r="I2486" i="1"/>
  <c r="I2485" i="1"/>
  <c r="I2484" i="1"/>
  <c r="I2483" i="1"/>
  <c r="I2482" i="1"/>
  <c r="I2481" i="1"/>
  <c r="I2480" i="1"/>
  <c r="I2479" i="1"/>
  <c r="I2478" i="1"/>
  <c r="I2477" i="1"/>
  <c r="I2476" i="1"/>
  <c r="I2475" i="1"/>
  <c r="I2474" i="1"/>
  <c r="I2473" i="1"/>
  <c r="I2472" i="1"/>
  <c r="I2471" i="1"/>
  <c r="I2470" i="1"/>
  <c r="I2469" i="1"/>
  <c r="I2468" i="1"/>
  <c r="I2467" i="1"/>
  <c r="I2466" i="1"/>
  <c r="I2465" i="1"/>
  <c r="I2464" i="1"/>
  <c r="I2463" i="1"/>
  <c r="I2462" i="1"/>
  <c r="I2461" i="1"/>
  <c r="I2460" i="1"/>
  <c r="I2459" i="1"/>
  <c r="I2458" i="1"/>
  <c r="I2457" i="1"/>
  <c r="I2456" i="1"/>
  <c r="I2455" i="1"/>
  <c r="I2454" i="1"/>
  <c r="I2453" i="1"/>
  <c r="I2452" i="1"/>
  <c r="I2451" i="1"/>
  <c r="I2450" i="1"/>
  <c r="I2449" i="1"/>
  <c r="I2448" i="1"/>
  <c r="I2447" i="1"/>
  <c r="I2446" i="1"/>
  <c r="I2445" i="1"/>
  <c r="I2444" i="1"/>
  <c r="I2443" i="1"/>
  <c r="I2442" i="1"/>
  <c r="I2441" i="1"/>
  <c r="I2440" i="1"/>
  <c r="I2439" i="1"/>
  <c r="I2438" i="1"/>
  <c r="I2437" i="1"/>
  <c r="I2436" i="1"/>
  <c r="I2435" i="1"/>
  <c r="I2434" i="1"/>
  <c r="I2433" i="1"/>
  <c r="I2432" i="1"/>
  <c r="I2431" i="1"/>
  <c r="I2430" i="1"/>
  <c r="I2429" i="1"/>
  <c r="I2428" i="1"/>
  <c r="I2427" i="1"/>
  <c r="I2426" i="1"/>
  <c r="I2425" i="1"/>
  <c r="I2424" i="1"/>
  <c r="I2423" i="1"/>
  <c r="I2422" i="1"/>
  <c r="I2421" i="1"/>
  <c r="I2420" i="1"/>
  <c r="I2419" i="1"/>
  <c r="I2418" i="1"/>
  <c r="I2417" i="1"/>
  <c r="I2416" i="1"/>
  <c r="I2415" i="1"/>
  <c r="I2414" i="1"/>
  <c r="I2413" i="1"/>
  <c r="I2412" i="1"/>
  <c r="I2411" i="1"/>
  <c r="I2410" i="1"/>
  <c r="I2409" i="1"/>
  <c r="I2408" i="1"/>
  <c r="I2407" i="1"/>
  <c r="I2406" i="1"/>
  <c r="I2405" i="1"/>
  <c r="I2404" i="1"/>
  <c r="I2403" i="1"/>
  <c r="I2402" i="1"/>
  <c r="I2401" i="1"/>
  <c r="I2400" i="1"/>
  <c r="I2399" i="1"/>
  <c r="I2398" i="1"/>
  <c r="I2397" i="1"/>
  <c r="I2396" i="1"/>
  <c r="I2395" i="1"/>
  <c r="I2394" i="1"/>
  <c r="I2393" i="1"/>
  <c r="I2392" i="1"/>
  <c r="I2391" i="1"/>
  <c r="I2390" i="1"/>
  <c r="I2389" i="1"/>
  <c r="I2388" i="1"/>
  <c r="I2387" i="1"/>
  <c r="I2386" i="1"/>
  <c r="I2385" i="1"/>
  <c r="I2384" i="1"/>
  <c r="I2383" i="1"/>
  <c r="I2382" i="1"/>
  <c r="I2381" i="1"/>
  <c r="I2380" i="1"/>
  <c r="I2379" i="1"/>
  <c r="I2378" i="1"/>
  <c r="I2377" i="1"/>
  <c r="I2376" i="1"/>
  <c r="I2375" i="1"/>
  <c r="I2374" i="1"/>
  <c r="I2373" i="1"/>
  <c r="I2372" i="1"/>
  <c r="I2371" i="1"/>
  <c r="I2370" i="1"/>
  <c r="I2369" i="1"/>
  <c r="I2368" i="1"/>
  <c r="I2367" i="1"/>
  <c r="I2366" i="1"/>
  <c r="I2365" i="1"/>
  <c r="I2364" i="1"/>
  <c r="I2363" i="1"/>
  <c r="I2362" i="1"/>
  <c r="I2361" i="1"/>
  <c r="I2360" i="1"/>
  <c r="I2359" i="1"/>
  <c r="I2358" i="1"/>
  <c r="I2357" i="1"/>
  <c r="I2356" i="1"/>
  <c r="I2355" i="1"/>
  <c r="I2354" i="1"/>
  <c r="I2353" i="1"/>
  <c r="I2352" i="1"/>
  <c r="I2351" i="1"/>
  <c r="I2350" i="1"/>
  <c r="I2349" i="1"/>
  <c r="I2348" i="1"/>
  <c r="I2347" i="1"/>
  <c r="I2346" i="1"/>
  <c r="I2345" i="1"/>
  <c r="I2344" i="1"/>
  <c r="I2343" i="1"/>
  <c r="I2342" i="1"/>
  <c r="I2341" i="1"/>
  <c r="I2340" i="1"/>
  <c r="I2339" i="1"/>
  <c r="I2338" i="1"/>
  <c r="I2337" i="1"/>
  <c r="I2336" i="1"/>
  <c r="I2335" i="1"/>
  <c r="I2334" i="1"/>
  <c r="I2333" i="1"/>
  <c r="I2332" i="1"/>
  <c r="I2331" i="1"/>
  <c r="I2330" i="1"/>
  <c r="I2329" i="1"/>
  <c r="I2328" i="1"/>
  <c r="I2327" i="1"/>
  <c r="I2326"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3" i="1"/>
  <c r="I2292" i="1"/>
  <c r="I2291" i="1"/>
  <c r="I2290" i="1"/>
  <c r="I2289" i="1"/>
  <c r="I2288" i="1"/>
  <c r="I2287" i="1"/>
  <c r="I2286" i="1"/>
  <c r="I2285" i="1"/>
  <c r="I2284" i="1"/>
  <c r="I2283" i="1"/>
  <c r="I2282" i="1"/>
  <c r="I2281" i="1"/>
  <c r="I2280" i="1"/>
  <c r="I2279" i="1"/>
  <c r="I2278" i="1"/>
  <c r="I2277" i="1"/>
  <c r="I2276" i="1"/>
  <c r="I2275" i="1"/>
  <c r="I2274" i="1"/>
  <c r="I2273" i="1"/>
  <c r="I2272" i="1"/>
  <c r="I2271" i="1"/>
  <c r="I2270" i="1"/>
  <c r="I2269" i="1"/>
  <c r="I2268" i="1"/>
  <c r="I2267" i="1"/>
  <c r="I2266" i="1"/>
  <c r="I2265" i="1"/>
  <c r="I2264" i="1"/>
  <c r="I2263" i="1"/>
  <c r="I2262" i="1"/>
  <c r="I2261" i="1"/>
  <c r="I2260" i="1"/>
  <c r="I2259" i="1"/>
  <c r="I2258" i="1"/>
  <c r="I2257" i="1"/>
  <c r="I2256" i="1"/>
  <c r="I2255" i="1"/>
  <c r="I2254" i="1"/>
  <c r="I2253" i="1"/>
  <c r="I2252" i="1"/>
  <c r="I2251" i="1"/>
  <c r="I2250" i="1"/>
  <c r="I2249" i="1"/>
  <c r="I2248" i="1"/>
  <c r="I2247" i="1"/>
  <c r="I2246" i="1"/>
  <c r="I2245" i="1"/>
  <c r="I2244" i="1"/>
  <c r="I2243" i="1"/>
  <c r="I2242" i="1"/>
  <c r="I2241" i="1"/>
  <c r="I2240" i="1"/>
  <c r="I2239" i="1"/>
  <c r="I2238" i="1"/>
  <c r="I2237" i="1"/>
  <c r="I2236" i="1"/>
  <c r="I2235" i="1"/>
  <c r="I2234" i="1"/>
  <c r="I2233" i="1"/>
  <c r="I2232" i="1"/>
  <c r="I2231" i="1"/>
  <c r="I2230" i="1"/>
  <c r="I2229" i="1"/>
  <c r="I2228" i="1"/>
  <c r="I2227" i="1"/>
  <c r="I2226" i="1"/>
  <c r="I2225" i="1"/>
  <c r="I2224" i="1"/>
  <c r="I2223" i="1"/>
  <c r="I2222" i="1"/>
  <c r="I2221" i="1"/>
  <c r="I2220" i="1"/>
  <c r="I2219" i="1"/>
  <c r="I2218" i="1"/>
  <c r="I2217" i="1"/>
  <c r="I2216" i="1"/>
  <c r="I2215" i="1"/>
  <c r="I2214" i="1"/>
  <c r="I2213" i="1"/>
  <c r="I2212" i="1"/>
  <c r="I2211" i="1"/>
  <c r="I2210" i="1"/>
  <c r="I2209" i="1"/>
  <c r="I2208" i="1"/>
  <c r="I2207" i="1"/>
  <c r="I2206" i="1"/>
  <c r="I2205" i="1"/>
  <c r="I2204" i="1"/>
  <c r="I2203" i="1"/>
  <c r="I2202" i="1"/>
  <c r="I2201" i="1"/>
  <c r="I2200" i="1"/>
  <c r="I2199" i="1"/>
  <c r="I2198" i="1"/>
  <c r="I2197" i="1"/>
  <c r="I2196" i="1"/>
  <c r="I2195" i="1"/>
  <c r="I2194" i="1"/>
  <c r="I2193" i="1"/>
  <c r="I2192" i="1"/>
  <c r="I2191" i="1"/>
  <c r="I2190" i="1"/>
  <c r="I2189" i="1"/>
  <c r="I2188" i="1"/>
  <c r="I2187" i="1"/>
  <c r="I2186" i="1"/>
  <c r="I2185" i="1"/>
  <c r="I2184" i="1"/>
  <c r="I2183" i="1"/>
  <c r="I2182" i="1"/>
  <c r="I2181" i="1"/>
  <c r="I2180" i="1"/>
  <c r="I2179" i="1"/>
  <c r="I2178" i="1"/>
  <c r="I2177" i="1"/>
  <c r="I2176" i="1"/>
  <c r="I2175" i="1"/>
  <c r="I2174" i="1"/>
  <c r="I2173" i="1"/>
  <c r="I2172" i="1"/>
  <c r="I2171" i="1"/>
  <c r="I2170" i="1"/>
  <c r="I2169" i="1"/>
  <c r="I2168" i="1"/>
  <c r="I2167" i="1"/>
  <c r="I2166" i="1"/>
  <c r="I2165" i="1"/>
  <c r="I2164" i="1"/>
  <c r="I2163" i="1"/>
  <c r="I2162" i="1"/>
  <c r="I2161" i="1"/>
  <c r="I2160" i="1"/>
  <c r="I2159" i="1"/>
  <c r="I2158" i="1"/>
  <c r="I2157" i="1"/>
  <c r="I2156" i="1"/>
  <c r="I2155" i="1"/>
  <c r="I2154" i="1"/>
  <c r="I2153" i="1"/>
  <c r="I2152" i="1"/>
  <c r="I2151" i="1"/>
  <c r="I2150" i="1"/>
  <c r="I2149" i="1"/>
  <c r="I2148" i="1"/>
  <c r="I2147" i="1"/>
  <c r="I2146" i="1"/>
  <c r="I2145" i="1"/>
  <c r="I2144" i="1"/>
  <c r="I2143" i="1"/>
  <c r="I2142" i="1"/>
  <c r="I2141" i="1"/>
  <c r="I2140" i="1"/>
  <c r="I2139" i="1"/>
  <c r="I2138" i="1"/>
  <c r="I2137" i="1"/>
  <c r="I2136" i="1"/>
  <c r="I2135" i="1"/>
  <c r="I2134" i="1"/>
  <c r="I2133" i="1"/>
  <c r="I2132" i="1"/>
  <c r="I2131" i="1"/>
  <c r="I2130" i="1"/>
  <c r="I2129" i="1"/>
  <c r="I2128" i="1"/>
  <c r="I2127" i="1"/>
  <c r="I2126" i="1"/>
  <c r="I2125" i="1"/>
  <c r="I2124" i="1"/>
  <c r="I2123" i="1"/>
  <c r="I2122" i="1"/>
  <c r="I2121" i="1"/>
  <c r="I2120" i="1"/>
  <c r="I2119" i="1"/>
  <c r="I2118" i="1"/>
  <c r="I2117" i="1"/>
  <c r="I2116" i="1"/>
  <c r="I2115" i="1"/>
  <c r="I2114" i="1"/>
  <c r="I2113" i="1"/>
  <c r="I2112" i="1"/>
  <c r="I2111" i="1"/>
  <c r="I2110" i="1"/>
  <c r="I2109" i="1"/>
  <c r="I2108" i="1"/>
  <c r="I2107" i="1"/>
  <c r="I2106" i="1"/>
  <c r="I2105" i="1"/>
  <c r="I2104" i="1"/>
  <c r="I2103" i="1"/>
  <c r="I2102" i="1"/>
  <c r="I2101" i="1"/>
  <c r="I2100" i="1"/>
  <c r="I2099" i="1"/>
  <c r="I2098" i="1"/>
  <c r="I2097" i="1"/>
  <c r="I2096" i="1"/>
  <c r="I2095" i="1"/>
  <c r="I2094" i="1"/>
  <c r="I2093" i="1"/>
  <c r="I2092" i="1"/>
  <c r="I2091" i="1"/>
  <c r="I2090" i="1"/>
  <c r="I2089" i="1"/>
  <c r="I2088" i="1"/>
  <c r="I2087" i="1"/>
  <c r="I2086" i="1"/>
  <c r="I2085" i="1"/>
  <c r="I2084" i="1"/>
  <c r="I2083" i="1"/>
  <c r="I2082" i="1"/>
  <c r="I2081" i="1"/>
  <c r="I2080" i="1"/>
  <c r="I2079" i="1"/>
  <c r="I2078" i="1"/>
  <c r="I2077" i="1"/>
  <c r="I2076" i="1"/>
  <c r="I2075" i="1"/>
  <c r="I2074" i="1"/>
  <c r="I2073" i="1"/>
  <c r="I2072" i="1"/>
  <c r="I2071" i="1"/>
  <c r="I2070" i="1"/>
  <c r="I2069" i="1"/>
  <c r="I2068" i="1"/>
  <c r="I2067" i="1"/>
  <c r="I2066" i="1"/>
  <c r="I2065" i="1"/>
  <c r="I2064" i="1"/>
  <c r="I2063" i="1"/>
  <c r="I2062" i="1"/>
  <c r="I2061" i="1"/>
  <c r="I2060" i="1"/>
  <c r="I2059" i="1"/>
  <c r="I2058" i="1"/>
  <c r="I2057" i="1"/>
  <c r="I2056" i="1"/>
  <c r="I2055" i="1"/>
  <c r="I2054" i="1"/>
  <c r="I2053" i="1"/>
  <c r="I2052" i="1"/>
  <c r="I2051" i="1"/>
  <c r="I2050" i="1"/>
  <c r="I2049" i="1"/>
  <c r="I2048" i="1"/>
  <c r="I2047" i="1"/>
  <c r="I2046" i="1"/>
  <c r="I2045" i="1"/>
  <c r="I2044" i="1"/>
  <c r="I2043" i="1"/>
  <c r="I2042" i="1"/>
  <c r="I2041" i="1"/>
  <c r="I2040" i="1"/>
  <c r="I2039" i="1"/>
  <c r="I2038" i="1"/>
  <c r="I2037" i="1"/>
  <c r="I2036" i="1"/>
  <c r="I2035" i="1"/>
  <c r="I2034" i="1"/>
  <c r="I2033" i="1"/>
  <c r="I2032" i="1"/>
  <c r="I2031" i="1"/>
  <c r="I2030" i="1"/>
  <c r="I2029" i="1"/>
  <c r="I2028" i="1"/>
  <c r="I2027" i="1"/>
  <c r="I2026" i="1"/>
  <c r="I2025" i="1"/>
  <c r="I2024" i="1"/>
  <c r="I2023" i="1"/>
  <c r="I2022" i="1"/>
  <c r="I2021" i="1"/>
  <c r="I2020" i="1"/>
  <c r="I2019" i="1"/>
  <c r="I2018" i="1"/>
  <c r="I2017" i="1"/>
  <c r="I2016" i="1"/>
  <c r="I2015" i="1"/>
  <c r="I2014" i="1"/>
  <c r="I2013" i="1"/>
  <c r="I2012" i="1"/>
  <c r="I2011" i="1"/>
  <c r="I2010" i="1"/>
  <c r="I2009" i="1"/>
  <c r="I2008" i="1"/>
  <c r="I2007" i="1"/>
  <c r="I2006" i="1"/>
  <c r="I2005" i="1"/>
  <c r="I2004" i="1"/>
  <c r="I2003" i="1"/>
  <c r="I2002" i="1"/>
  <c r="I2001" i="1"/>
  <c r="I2000" i="1"/>
  <c r="I1999" i="1"/>
  <c r="I1998" i="1"/>
  <c r="I1997" i="1"/>
  <c r="I1996" i="1"/>
  <c r="I1995" i="1"/>
  <c r="I1994" i="1"/>
  <c r="I1993" i="1"/>
  <c r="I1992" i="1"/>
  <c r="I1991" i="1"/>
  <c r="I1990" i="1"/>
  <c r="I1989" i="1"/>
  <c r="I1988" i="1"/>
  <c r="I1987" i="1"/>
  <c r="I1986" i="1"/>
  <c r="I1985" i="1"/>
  <c r="I1984" i="1"/>
  <c r="I1983" i="1"/>
  <c r="I1982" i="1"/>
  <c r="I1981" i="1"/>
  <c r="I1980" i="1"/>
  <c r="I1979" i="1"/>
  <c r="I1978" i="1"/>
  <c r="I1977" i="1"/>
  <c r="I1976" i="1"/>
  <c r="I1975" i="1"/>
  <c r="I1974" i="1"/>
  <c r="I1973" i="1"/>
  <c r="I1972" i="1"/>
  <c r="I1971" i="1"/>
  <c r="I1970" i="1"/>
  <c r="I1969" i="1"/>
  <c r="I1968" i="1"/>
  <c r="I1967" i="1"/>
  <c r="I1966" i="1"/>
  <c r="I1965" i="1"/>
  <c r="I1964" i="1"/>
  <c r="I1963" i="1"/>
  <c r="I1962" i="1"/>
  <c r="I1961" i="1"/>
  <c r="I1960" i="1"/>
  <c r="I1959" i="1"/>
  <c r="I1958" i="1"/>
  <c r="I1957" i="1"/>
  <c r="I1956" i="1"/>
  <c r="I1955" i="1"/>
  <c r="I1954" i="1"/>
  <c r="I1953" i="1"/>
  <c r="I1952" i="1"/>
  <c r="I1951" i="1"/>
  <c r="I1950" i="1"/>
  <c r="I1949" i="1"/>
  <c r="I1948" i="1"/>
  <c r="I1947" i="1"/>
  <c r="I1946" i="1"/>
  <c r="I1945" i="1"/>
  <c r="I1944" i="1"/>
  <c r="I1943" i="1"/>
  <c r="I1942" i="1"/>
  <c r="I1941" i="1"/>
  <c r="I1940" i="1"/>
  <c r="I1939" i="1"/>
  <c r="I1938" i="1"/>
  <c r="I1937" i="1"/>
  <c r="I1936" i="1"/>
  <c r="I1935" i="1"/>
  <c r="I1934" i="1"/>
  <c r="I1933" i="1"/>
  <c r="I1932" i="1"/>
  <c r="I1931" i="1"/>
  <c r="I1930" i="1"/>
  <c r="I1929" i="1"/>
  <c r="I1928" i="1"/>
  <c r="I1927" i="1"/>
  <c r="I1926" i="1"/>
  <c r="I1925" i="1"/>
  <c r="I1924" i="1"/>
  <c r="I1923" i="1"/>
  <c r="I1922" i="1"/>
  <c r="I1921" i="1"/>
  <c r="I1920" i="1"/>
  <c r="I1919" i="1"/>
  <c r="I1918" i="1"/>
  <c r="I1917" i="1"/>
  <c r="I1916" i="1"/>
  <c r="I1915" i="1"/>
  <c r="I1914" i="1"/>
  <c r="I1913" i="1"/>
  <c r="I1912" i="1"/>
  <c r="I1911" i="1"/>
  <c r="I1910" i="1"/>
  <c r="I1909" i="1"/>
  <c r="I1908" i="1"/>
  <c r="I1907" i="1"/>
  <c r="I1906" i="1"/>
  <c r="I1905" i="1"/>
  <c r="I1904" i="1"/>
  <c r="I1903" i="1"/>
  <c r="I1902" i="1"/>
  <c r="I1901" i="1"/>
  <c r="I1900" i="1"/>
  <c r="I1899" i="1"/>
  <c r="I1898" i="1"/>
  <c r="I1897" i="1"/>
  <c r="I1896" i="1"/>
  <c r="I1895" i="1"/>
  <c r="I1894" i="1"/>
  <c r="I1893" i="1"/>
  <c r="I1892" i="1"/>
  <c r="I1891" i="1"/>
  <c r="I1890" i="1"/>
  <c r="I1889" i="1"/>
  <c r="I1888" i="1"/>
  <c r="I1887" i="1"/>
  <c r="I1886" i="1"/>
  <c r="I1885" i="1"/>
  <c r="I1884" i="1"/>
  <c r="I1883" i="1"/>
  <c r="I1882" i="1"/>
  <c r="I1881" i="1"/>
  <c r="I1880" i="1"/>
  <c r="I1879" i="1"/>
  <c r="I1878" i="1"/>
  <c r="I1877" i="1"/>
  <c r="I1876" i="1"/>
  <c r="I1875" i="1"/>
  <c r="I1874" i="1"/>
  <c r="I1873" i="1"/>
  <c r="I1872" i="1"/>
  <c r="I1871" i="1"/>
  <c r="I1870" i="1"/>
  <c r="I1869" i="1"/>
  <c r="I1868" i="1"/>
  <c r="I1867" i="1"/>
  <c r="I1866" i="1"/>
  <c r="I1865" i="1"/>
  <c r="I1864" i="1"/>
  <c r="I1863" i="1"/>
  <c r="I1862" i="1"/>
  <c r="I1861" i="1"/>
  <c r="I1860" i="1"/>
  <c r="I1859" i="1"/>
  <c r="I1858" i="1"/>
  <c r="I1857" i="1"/>
  <c r="I1856" i="1"/>
  <c r="I1855" i="1"/>
  <c r="I1854" i="1"/>
  <c r="I1853" i="1"/>
  <c r="I1852" i="1"/>
  <c r="I1851" i="1"/>
  <c r="I1850" i="1"/>
  <c r="I1849" i="1"/>
  <c r="I1848" i="1"/>
  <c r="I1847" i="1"/>
  <c r="I1846" i="1"/>
  <c r="I1845" i="1"/>
  <c r="I1844" i="1"/>
  <c r="I1843" i="1"/>
  <c r="I1842" i="1"/>
  <c r="I1841" i="1"/>
  <c r="I1840" i="1"/>
  <c r="I1839" i="1"/>
  <c r="I1838" i="1"/>
  <c r="I1837" i="1"/>
  <c r="I1836"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7" i="1"/>
  <c r="I1756" i="1"/>
  <c r="I1755" i="1"/>
  <c r="I1754" i="1"/>
  <c r="I1753" i="1"/>
  <c r="I1752" i="1"/>
  <c r="I1751" i="1"/>
  <c r="I1750" i="1"/>
  <c r="I1749" i="1"/>
  <c r="I1748" i="1"/>
  <c r="I1747" i="1"/>
  <c r="I1746" i="1"/>
  <c r="I1745" i="1"/>
  <c r="I1744" i="1"/>
  <c r="I1743" i="1"/>
  <c r="I1742" i="1"/>
  <c r="I1741" i="1"/>
  <c r="I1740" i="1"/>
  <c r="I1739" i="1"/>
  <c r="I1738" i="1"/>
  <c r="I1737" i="1"/>
  <c r="I1736" i="1"/>
  <c r="I1735" i="1"/>
  <c r="I1734" i="1"/>
  <c r="I1733" i="1"/>
  <c r="I1732" i="1"/>
  <c r="I1731" i="1"/>
  <c r="I1730" i="1"/>
  <c r="I1729" i="1"/>
  <c r="I1728" i="1"/>
  <c r="I1727" i="1"/>
  <c r="I1726" i="1"/>
  <c r="I1725" i="1"/>
  <c r="I1724" i="1"/>
  <c r="I1723" i="1"/>
  <c r="I1722" i="1"/>
  <c r="I1721" i="1"/>
  <c r="I1720" i="1"/>
  <c r="I1719" i="1"/>
  <c r="I1718" i="1"/>
  <c r="I1717" i="1"/>
  <c r="I1716" i="1"/>
  <c r="I1715" i="1"/>
  <c r="I1714" i="1"/>
  <c r="I1713" i="1"/>
  <c r="I1712" i="1"/>
  <c r="I1711" i="1"/>
  <c r="I1710" i="1"/>
  <c r="I1709" i="1"/>
  <c r="I1708" i="1"/>
  <c r="I1707" i="1"/>
  <c r="I1706" i="1"/>
  <c r="I1705" i="1"/>
  <c r="I1704" i="1"/>
  <c r="I1703" i="1"/>
  <c r="I1702" i="1"/>
  <c r="I1701" i="1"/>
  <c r="I1700" i="1"/>
  <c r="I1699" i="1"/>
  <c r="I1698" i="1"/>
  <c r="I1697" i="1"/>
  <c r="I1696" i="1"/>
  <c r="I1695" i="1"/>
  <c r="I1694" i="1"/>
  <c r="I1693" i="1"/>
  <c r="I1692" i="1"/>
  <c r="I1691" i="1"/>
  <c r="I1690" i="1"/>
  <c r="I1689" i="1"/>
  <c r="I1688" i="1"/>
  <c r="I1687" i="1"/>
  <c r="I1686" i="1"/>
  <c r="I1685" i="1"/>
  <c r="I1684" i="1"/>
  <c r="I1683" i="1"/>
  <c r="I1682" i="1"/>
  <c r="I1681" i="1"/>
  <c r="I1680" i="1"/>
  <c r="I1679" i="1"/>
  <c r="I1678" i="1"/>
  <c r="I1677" i="1"/>
  <c r="I1676" i="1"/>
  <c r="I1675" i="1"/>
  <c r="I1674" i="1"/>
  <c r="I1673" i="1"/>
  <c r="I1672" i="1"/>
  <c r="I1671" i="1"/>
  <c r="I1670" i="1"/>
  <c r="I1669" i="1"/>
  <c r="I1668" i="1"/>
  <c r="I1667" i="1"/>
  <c r="I1666" i="1"/>
  <c r="I1665" i="1"/>
  <c r="I1664" i="1"/>
  <c r="I1663" i="1"/>
  <c r="I1662" i="1"/>
  <c r="I1661" i="1"/>
  <c r="I1660" i="1"/>
  <c r="I1659" i="1"/>
  <c r="I1658" i="1"/>
  <c r="I1657" i="1"/>
  <c r="I1656" i="1"/>
  <c r="I1655" i="1"/>
  <c r="I1654" i="1"/>
  <c r="I1653" i="1"/>
  <c r="I1652" i="1"/>
  <c r="I1651" i="1"/>
  <c r="I1650" i="1"/>
  <c r="I1649" i="1"/>
  <c r="I1648" i="1"/>
  <c r="I1647" i="1"/>
  <c r="I1646" i="1"/>
  <c r="I1645" i="1"/>
  <c r="I1644" i="1"/>
  <c r="I1643" i="1"/>
  <c r="I1642" i="1"/>
  <c r="I1641" i="1"/>
  <c r="I1640" i="1"/>
  <c r="I1639" i="1"/>
  <c r="I1638" i="1"/>
  <c r="I1637" i="1"/>
  <c r="I1636" i="1"/>
  <c r="I1635" i="1"/>
  <c r="I1634" i="1"/>
  <c r="I1633" i="1"/>
  <c r="I1632" i="1"/>
  <c r="I1631" i="1"/>
  <c r="I1630" i="1"/>
  <c r="I1629" i="1"/>
  <c r="I1628" i="1"/>
  <c r="I1627" i="1"/>
  <c r="I1626" i="1"/>
  <c r="I1625" i="1"/>
  <c r="I1624" i="1"/>
  <c r="I1623" i="1"/>
  <c r="I1622" i="1"/>
  <c r="I1621" i="1"/>
  <c r="I1620" i="1"/>
  <c r="I1619" i="1"/>
  <c r="I1618" i="1"/>
  <c r="I1617" i="1"/>
  <c r="I1616" i="1"/>
  <c r="I1615" i="1"/>
  <c r="I1614" i="1"/>
  <c r="I1613" i="1"/>
  <c r="I1612" i="1"/>
  <c r="I1611" i="1"/>
  <c r="I1610" i="1"/>
  <c r="I1609" i="1"/>
  <c r="I1608" i="1"/>
  <c r="I1607" i="1"/>
  <c r="I1606" i="1"/>
  <c r="I1605" i="1"/>
  <c r="I1604" i="1"/>
  <c r="I1603" i="1"/>
  <c r="I1602" i="1"/>
  <c r="I1601" i="1"/>
  <c r="I1600" i="1"/>
  <c r="I1599" i="1"/>
  <c r="I1598" i="1"/>
  <c r="I1597" i="1"/>
  <c r="I1596" i="1"/>
  <c r="I1595" i="1"/>
  <c r="I1594" i="1"/>
  <c r="I1593" i="1"/>
  <c r="I1592" i="1"/>
  <c r="I1591" i="1"/>
  <c r="I1590" i="1"/>
  <c r="I1589" i="1"/>
  <c r="I1588" i="1"/>
  <c r="I1587" i="1"/>
  <c r="I1586" i="1"/>
  <c r="I1585" i="1"/>
  <c r="I1584" i="1"/>
  <c r="I1583" i="1"/>
  <c r="I1582" i="1"/>
  <c r="I1581" i="1"/>
  <c r="I1580" i="1"/>
  <c r="I1579" i="1"/>
  <c r="I1578" i="1"/>
  <c r="I1577" i="1"/>
  <c r="I1576" i="1"/>
  <c r="I1575" i="1"/>
  <c r="I1574" i="1"/>
  <c r="I1573" i="1"/>
  <c r="I1572" i="1"/>
  <c r="I1571" i="1"/>
  <c r="I1570" i="1"/>
  <c r="I1569" i="1"/>
  <c r="I1568" i="1"/>
  <c r="I1567" i="1"/>
  <c r="I1566" i="1"/>
  <c r="I1565" i="1"/>
  <c r="I1564" i="1"/>
  <c r="I1563" i="1"/>
  <c r="I1562" i="1"/>
  <c r="I1561" i="1"/>
  <c r="I1560" i="1"/>
  <c r="I1559" i="1"/>
  <c r="I1558" i="1"/>
  <c r="I1557" i="1"/>
  <c r="I1556" i="1"/>
  <c r="I1555" i="1"/>
  <c r="I1554" i="1"/>
  <c r="I1553" i="1"/>
  <c r="I1552" i="1"/>
  <c r="I1551" i="1"/>
  <c r="I1550" i="1"/>
  <c r="I1549" i="1"/>
  <c r="I1548" i="1"/>
  <c r="I1547" i="1"/>
  <c r="I1546" i="1"/>
  <c r="I1545" i="1"/>
  <c r="I1544" i="1"/>
  <c r="I1543" i="1"/>
  <c r="I1542" i="1"/>
  <c r="I1541" i="1"/>
  <c r="I1540" i="1"/>
  <c r="I1539" i="1"/>
  <c r="I1538" i="1"/>
  <c r="I1537" i="1"/>
  <c r="I1536" i="1"/>
  <c r="I1535" i="1"/>
  <c r="I1534"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43" i="1"/>
  <c r="I1442" i="1"/>
  <c r="I1441" i="1"/>
  <c r="I1440" i="1"/>
  <c r="I1439" i="1"/>
  <c r="I1438"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2" i="1"/>
  <c r="I1401" i="1"/>
  <c r="I1400" i="1"/>
  <c r="I1399" i="1"/>
  <c r="I1398" i="1"/>
  <c r="I1397" i="1"/>
  <c r="I1396" i="1"/>
  <c r="I1395" i="1"/>
  <c r="I1394" i="1"/>
  <c r="I1393" i="1"/>
  <c r="I1392" i="1"/>
  <c r="I1391" i="1"/>
  <c r="I1390" i="1"/>
  <c r="I1389" i="1"/>
  <c r="I1388" i="1"/>
  <c r="I1387" i="1"/>
  <c r="I1386" i="1"/>
  <c r="I1385"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60"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1" i="1"/>
  <c r="I10" i="1"/>
  <c r="I9" i="1"/>
  <c r="I8" i="1"/>
  <c r="I6" i="1"/>
  <c r="I5" i="1"/>
  <c r="I4" i="1"/>
</calcChain>
</file>

<file path=xl/sharedStrings.xml><?xml version="1.0" encoding="utf-8"?>
<sst xmlns="http://schemas.openxmlformats.org/spreadsheetml/2006/main" count="114257" uniqueCount="19727">
  <si>
    <t>item_category</t>
  </si>
  <si>
    <t>item_id</t>
  </si>
  <si>
    <t>brand</t>
  </si>
  <si>
    <t>user_id</t>
  </si>
  <si>
    <t>date</t>
  </si>
  <si>
    <t>comment</t>
  </si>
  <si>
    <t>rating</t>
  </si>
  <si>
    <t>tonality</t>
  </si>
  <si>
    <t>english translations</t>
  </si>
  <si>
    <t>401</t>
  </si>
  <si>
    <t>4010201</t>
  </si>
  <si>
    <t>826</t>
  </si>
  <si>
    <t>2217</t>
  </si>
  <si>
    <t>2013-06-28</t>
  </si>
  <si>
    <t>2,5 года работала и все...устала! Лампочка горит и больше ничего!</t>
  </si>
  <si>
    <t>2.0</t>
  </si>
  <si>
    <t>negative</t>
  </si>
  <si>
    <t>403</t>
  </si>
  <si>
    <t>4030101</t>
  </si>
  <si>
    <t>1425</t>
  </si>
  <si>
    <t>1026</t>
  </si>
  <si>
    <t>2010-07-04</t>
  </si>
  <si>
    <t>Через 2 месяца после истечении гарантийного срока машинка навернулась. Насчитали ремонту на 5500р! Причем брал её итальянской сборки!  Сама машинка была нормальная, правда после стирки снова прополаскивал, но это пожалуй про любую так скажешь - плохо выполаскивается порошок, хотя и сыплю/лью по инструкции и не фигню какую...  А мастер авторизованного сервис-центра поведал мне много интересного... Нет смысла переплачивать сегодня за европейскую страну изготовителя, нет смысла приобретать машинки дороже 12-15 тыс., и что сейчас все производители заведомо делают машинки, чтобы те ломались побыстрее ( в среднем раз в 3-4 года!!!) тем самым стимулируя спрос на новые... Единственное, что еще живо в отношении реального КАЧЕСТВА, так это пожалуй немецкое "Миеле" (Бош кстати давно в пролете уже, скатился), но и они конечно тоже ломаются даже при стоимости в 100000... Вывод: Берем стиралку недорогую, тыщ за 8-10, и НЕ СИЛЬНО ОГОРЧАЕМСЯ, когда по истечению 3х-летней самсунговской гарантии вдруг придется ее выбрасывать и снова покупать :)</t>
  </si>
  <si>
    <t>4010401</t>
  </si>
  <si>
    <t>124</t>
  </si>
  <si>
    <t>2769</t>
  </si>
  <si>
    <t>2010-05-27</t>
  </si>
  <si>
    <t>пользуюсь уже три недели. нареканий ни каких не было, только положительные эмоции. но вчера загрузил машинку посудой, засыпал средство и стал закрывать крышечку, а она не закрывается. я её и так и эдак, а она не закрывается. присмотрелся, а крышка деформировалась по не понятным причинам. я её немного подправил, закрылась. после того как помылась посуда, я сразу открыл и обратил внимание на эту крышечку, она была мягкая как пластилин. пользуясь моментом я её сразу выправил. вроде все сейчас нормально, но мне это всё жутко не понравилось. если ещё учесть то, что я ставлю всегда режим 50 градусов, а что если я поставлю режим 70 градусов? всё внутри расплавится и утечёт в канализацию?  а моет, конечно замечательно :-)</t>
  </si>
  <si>
    <t>4.0</t>
  </si>
  <si>
    <t>positive</t>
  </si>
  <si>
    <t>203</t>
  </si>
  <si>
    <t>2030301</t>
  </si>
  <si>
    <t>93</t>
  </si>
  <si>
    <t>508</t>
  </si>
  <si>
    <t>2016-10-11</t>
  </si>
  <si>
    <t>Ребят этот системный блок подойдёт для игры кс го на средних гастройках</t>
  </si>
  <si>
    <t>5.0</t>
  </si>
  <si>
    <t>205</t>
  </si>
  <si>
    <t>2050201</t>
  </si>
  <si>
    <t>656</t>
  </si>
  <si>
    <t>1049</t>
  </si>
  <si>
    <t>2010-02-26</t>
  </si>
  <si>
    <t>я считаю, что яри замечательный телефон! Приятно держать в руке, удобные кнопки! Конечно, он больше подходит для молодежи, наверное он и был рассчитан на эту публику! В телефоне лично я, не вижу никаких недостатков! Советую брать такой и не задумываться!!!!!!!!</t>
  </si>
  <si>
    <t>405</t>
  </si>
  <si>
    <t>4050102</t>
  </si>
  <si>
    <t>829</t>
  </si>
  <si>
    <t>576</t>
  </si>
  <si>
    <t>2014-05-21</t>
  </si>
  <si>
    <t>Сегодня купила 2 таких вентилятора! Ужасный. Скорости не хватает вообще, включается еле-еле, и то только на 3 скорости, на остальных быстро останавливается, если конечно запускается!!!</t>
  </si>
  <si>
    <t>1.0</t>
  </si>
  <si>
    <t>2030201</t>
  </si>
  <si>
    <t>995</t>
  </si>
  <si>
    <t>2656</t>
  </si>
  <si>
    <t>2010-02-27</t>
  </si>
  <si>
    <t>привезли ноут, по качеству корпуса и дизайну 5+. Особо не гонял пока, да модулей памяти заняты оба слота, так что если наращивать, то 1гиг придется в тумбочку положить:)</t>
  </si>
  <si>
    <t>404</t>
  </si>
  <si>
    <t>4040203</t>
  </si>
  <si>
    <t>759</t>
  </si>
  <si>
    <t>1405</t>
  </si>
  <si>
    <t>2015-01-16</t>
  </si>
  <si>
    <t>Купила этот увлажнитель, шумный, подсветка мешает ночью спать. Через 4 месяца поток пара стал заметно меньше, ионизации не чувствуется,  накрылся вентилятор, стал гудеть. Итог - сдала по истечении 8 месяцев.</t>
  </si>
  <si>
    <t>406</t>
  </si>
  <si>
    <t>4060101</t>
  </si>
  <si>
    <t>48</t>
  </si>
  <si>
    <t>1538</t>
  </si>
  <si>
    <t>2010-08-06</t>
  </si>
  <si>
    <t>Комбайн отличный. Пользуюсь 2 года. Пользуюсь в основном мясорубкой, миксером и овощерезкой. За 2 года поломка произошла только по моей вине. Устранили быстро. Один не достаток в наших магазинах не продаются дополнительные насадки... Удалось достать их только через знакомых из германии...</t>
  </si>
  <si>
    <t>412</t>
  </si>
  <si>
    <t>4120101</t>
  </si>
  <si>
    <t>11</t>
  </si>
  <si>
    <t>7</t>
  </si>
  <si>
    <t>2012-07-23</t>
  </si>
  <si>
    <t>Отличный аппарат. авто выключение вообще прелесть. Для старушек и детей важно. Единственно что подошва немного загрязнилась, но не потеряла своих свойств. Решил не чистить.</t>
  </si>
  <si>
    <t>4060301</t>
  </si>
  <si>
    <t>62</t>
  </si>
  <si>
    <t>2170</t>
  </si>
  <si>
    <t>2013-02-18</t>
  </si>
  <si>
    <t>Смотрели сегодня эту модель в магазине, сначала соблазнились ценой и количеством насадок. Но при ближайшем рассмотрении оказалось, что сама мясорубка крепится к моторному блоку какой-то полудохлой пластиковой резьбой, т.е. просто вкручивается в корпус на пол оборота легким движением одной руки и даже в новом виде слегка болтается. Что же будет через годик? Подозреваю, что эта пластиковая часть еще и не попадает под гарантию, а поменять ее обойдется не меньше, чем стоит новая мясорубка. В результате, в процессе помола, железная мясорубка будет просто периодически вылетать из пластикового корпуса. Обратите внимание и делайте выводы, так ли уж нужна эта куча функций.</t>
  </si>
  <si>
    <t>407</t>
  </si>
  <si>
    <t>4070101</t>
  </si>
  <si>
    <t>80</t>
  </si>
  <si>
    <t>1058</t>
  </si>
  <si>
    <t>2012-12-15</t>
  </si>
  <si>
    <t>Пользуюсь больше года, печь с самого начала плохо грела, а сейчас вообще приходится время выставлять в три -четыре раза больше. Греет посуду, а не то что в ней. Продукцию LG ненавижу!</t>
  </si>
  <si>
    <t>4040204</t>
  </si>
  <si>
    <t>879</t>
  </si>
  <si>
    <t>1217</t>
  </si>
  <si>
    <t>2012-05-28</t>
  </si>
  <si>
    <t>Пользуемся с женой вот уже несколько месяцев и очень довольны, так как в доме идет ремонт и пыли очень много, мойка не только удаляет всю пыль но и увлажняет помещение. Всем советую. Никто не пожалеет. Денег она своих стоит.</t>
  </si>
  <si>
    <t>410</t>
  </si>
  <si>
    <t>4100301</t>
  </si>
  <si>
    <t>161</t>
  </si>
  <si>
    <t>2017-01-19</t>
  </si>
  <si>
    <t>высокая скорость, мало шума, приемлемая цена, высокое качество сборки, удобно в пользовании</t>
  </si>
  <si>
    <t>4.7</t>
  </si>
  <si>
    <t>304</t>
  </si>
  <si>
    <t>3040304</t>
  </si>
  <si>
    <t>1</t>
  </si>
  <si>
    <t>282</t>
  </si>
  <si>
    <t>2012-06-04</t>
  </si>
  <si>
    <t>Мне купили ПСП на день рождения,когда мне исполнялось 14 лет,и должен сказать,что это был самый лучший подарок!Я начал всё делать для неё:прошил у друга,купил камеру,чехол,скачал побольше игр.В настоящее время это спасение,когда сидишь в больнице или куда-то уезжаешь,она мне заменяет компьютер,я смотрю на ней фильмы и даже ТВ,или например  в парке и сидишь в интернете.Есть только два минуса:малая комплектация и нежная панель.Приходилось ходить по городу и искать разные аксессуары,так как по интернету не привык,а нежная панель-да и фиг с ней,ну поцарапалась,я всё-таки практически везде с ней хожу.</t>
  </si>
  <si>
    <t>617</t>
  </si>
  <si>
    <t>1565</t>
  </si>
  <si>
    <t>2016-04-26</t>
  </si>
  <si>
    <t>Пользуюсь неделю, нареканий ни каких нет. Собрал быстро, без инструкции все понятно. Из плююсов: работает бесшумно даже на максимальной третей скорости, телескопическая трубка, цветовая гамма и давольно большой винт.   Из минусов: хоть и стоит на месте нормально, но не плохо было бы ножки сделать более уверенные.</t>
  </si>
  <si>
    <t>207</t>
  </si>
  <si>
    <t>2070202</t>
  </si>
  <si>
    <t>1008</t>
  </si>
  <si>
    <t>278</t>
  </si>
  <si>
    <t>2009-10-05</t>
  </si>
  <si>
    <t>если те впарили шляпу то не надо наговаривать!!!офигенный дисплей и сенсор чувствительный!!я думаю вещь на 2590 тянет легко!!!</t>
  </si>
  <si>
    <t>516</t>
  </si>
  <si>
    <t>5160401</t>
  </si>
  <si>
    <t>109</t>
  </si>
  <si>
    <t>2151</t>
  </si>
  <si>
    <t>2009-10-27</t>
  </si>
  <si>
    <t>Ужасная некачественная сборка, мне попался с не припаянной массой, со своими обязанностями толком не справляется, может зависнуть отключая питание в розетках... В итоге сгорел...</t>
  </si>
  <si>
    <t>783</t>
  </si>
  <si>
    <t>2009-08-31</t>
  </si>
  <si>
    <t>Огромный минус - отсутствие радио. А так был бы замечательный плеер</t>
  </si>
  <si>
    <t>107</t>
  </si>
  <si>
    <t>1070902</t>
  </si>
  <si>
    <t>10</t>
  </si>
  <si>
    <t>1254</t>
  </si>
  <si>
    <t>2010-12-25</t>
  </si>
  <si>
    <t>Прекрасный телевизор!!!Качество изображения на высоте,не уступает плазме!Звук басистый,объёмный. Меню понятное,настройки продвинутые.А главное Малазийской сборки. Советую ВСЕМ!!!</t>
  </si>
  <si>
    <t>1070908</t>
  </si>
  <si>
    <t>2957</t>
  </si>
  <si>
    <t>2011-06-02</t>
  </si>
  <si>
    <t>Плазма супер за такую цену, качество класс, фильмы на 1080 через HDMI просто супер. usb проигрывает avi, не проигрывает mkv, можно обновлять ПО плазмы, использую как домашний кинотеатр, Единственное что не получилось подключить колонки 5.1 на прямую к плазме.</t>
  </si>
  <si>
    <t>28</t>
  </si>
  <si>
    <t>2010-03-07</t>
  </si>
  <si>
    <t>расскажу историю, сами решайте, покупать или нет...  Есть у меня телефон К850. люблю драм, в частноcти Grinda+ZigZag. так вот, меня очень смущало, когда их просто обалденный трек Fort Boyard мой телефон на вакуумных наушниках, которые я взял со старого волкмана W610... все треки норм, а этот воспроизводил просто без басов((   эта проблема забылась и вот мне попалась возможность купить мп3 плеер, в том магазине было мало выбора, а по определенным причинам надо было купить именно там. самый лучший был этот. купил, вышел, вставил наушники и включил....***ня!!!, потом достал телефон и нашел его в инете, 80-18000...   думал придется продавать... достаю наушники с телефона (вспоминаем, вакуумные, у них как раз конструкция такая, что маленький кусочек с самими динамиками можно отсоединять, был миниджек) и эти маленькие проводки вставляю в мп3....хм...нормально)))   приезжаю домой, заливаю fort boyard, на тех же вакуумных начинаю слушать, выкрутил на эквалайзере басы в макс, громкость в макс и жду...думаю опять не будет басов...и тут начался вынос мозга О.О. настолько отличных басов я не ожидал, я буквально, отвечаю на "нестандартного ориентацией" сидел с открытым ртом...   в интернете пишут 80-18000 Гц, но это наушники стандартные, покупайте вакуумные или какие другие, дабы по мощности сигнала подходили и вперед с музыкой! оценка 5-, т.к. кнопка болтается и можно в две стороны нажать одновременно ((( единственный минус)</t>
  </si>
  <si>
    <t>4010301</t>
  </si>
  <si>
    <t>53</t>
  </si>
  <si>
    <t>2012-02-15</t>
  </si>
  <si>
    <t>Приобрела 2 месяца назад. До покупки имела опыт обращения с духовым шкафом этой марки, только с выдвижной тележкой. Модель H23АВ540 очень компактная и стильная. Ничего лишнего. Печет очень хорошо и равномерно. Особенно хорошо к ней подходят формы для выпечки нового поколения-тонкостенные. Если выпекать в чугунной форме, то следует ставить ближе ко дну печки.По окончании работы слышен небольшой гул- так она остывает. Но это совсем не напрягает слух.Требует аккратного обращения по вопросу попадания масляных капель на дно.В инструкции написано, что очищать мыльной водой с уксусом, но для таких пятен этого недостаточно или мыть салфеткой нужно очень длительно.</t>
  </si>
  <si>
    <t>4010101</t>
  </si>
  <si>
    <t>863</t>
  </si>
  <si>
    <t>1983</t>
  </si>
  <si>
    <t>2010-12-23</t>
  </si>
  <si>
    <t>В целом неплохая газовая панель. Поверхность в меру маркая. Если купить специальное чистящее средство, то легко чистить. Есть один недостаток - не совсем ровная штамповка самой панели. Но когда зафиксируешь ее к столешнице это незаметно.</t>
  </si>
  <si>
    <t>3172</t>
  </si>
  <si>
    <t>2011-08-16</t>
  </si>
  <si>
    <t>Мы приобрели ее более 2-х лет назад, в подарок маме. Мясорубка оказалась качественной. Справляется очень хорошо.Если пленку намотает на нож и мясо застрянет, то есть кнопочка "реверс", ее нажать и можно крутить дальше. Позже купили и себе. Согласна с Региной, единственный минус, когда крутишь овощи, они разлетаются по округе - приходится с боков придерживать рукой. Но все равно, мне она нравится, и я ставлю 5.</t>
  </si>
  <si>
    <t>4061101</t>
  </si>
  <si>
    <t>86</t>
  </si>
  <si>
    <t>2011-12-22</t>
  </si>
  <si>
    <t>Сегодня с мужем приобрели в М.видео электрооткрывалку, банки консервные открывает супер, бутылки супер, минус данной модели - плохо точит ножи.В принципе данная функция нам не нужна, мы довольны покупкой.Советую приобрести.</t>
  </si>
  <si>
    <t>411</t>
  </si>
  <si>
    <t>4110101</t>
  </si>
  <si>
    <t>13</t>
  </si>
  <si>
    <t>767</t>
  </si>
  <si>
    <t>2012-11-02</t>
  </si>
  <si>
    <t>Отвратительный пылесос, лучше бы мы не покупали его. Начитался отзывов как же всё хорошо и круто. Зря не послушал в магазине продавцов. Во первых минус в том что пахнет ужастно , пыль когда сырая у неё отвратительный запах , приходится постоянно его мыть, фильтр губчатый промывать . После 5 уборок , губка превратилась не пойми во что. Теперь придётся где то в сервисе её искать, плюс и hepa фильтр нужно искать, в магазине их нет в продаже. Мощность вообще маленькая , половино пыли на полу так и остаётся. Понял одно, что лучше мешкового пылесоса нет ничего.</t>
  </si>
  <si>
    <t>4110102</t>
  </si>
  <si>
    <t>443</t>
  </si>
  <si>
    <t>2011-07-04</t>
  </si>
  <si>
    <t>Пользуюсь данным пылесосом больше восьми месяцев. Купил из спортивного интереса что это пылесос без мешка- оставляет двоякое впечатление с одной стороны нет проблем с мешками с другой возня с мытьём неро фильтра.  достоинства- легкий. с чистым фильтром пылесосит очень сильно. маленькие размеры.  недостатки- громкий.маленькая труба- пока всю квартиру уберешь начинает спину ломить.если давно не убирались то есть много пыли и грязи быстро забиваеться неро фильтр то есть надо мыть после каждой крупной уборки.Рекамендую к покупке в маленькую квартиру и любителям убираться часто и понемногу</t>
  </si>
  <si>
    <t>81</t>
  </si>
  <si>
    <t>974</t>
  </si>
  <si>
    <t>2011-12-25</t>
  </si>
  <si>
    <t>Купила 3 дня назад ,сегодня устроила испытыние , с которым она справилась , 2 блюдо получилось просто супер , десерт тоже очень вкусный .Пропеклось все равномерно ,я очень довольна покупкой . Много функций , три протвиня , конвенция конечно не заменимая деталь любой духовки .  Отдельное спасибо менеджеру магазина М.Видео Европа Сити Мол ,не запомнила как его зовут,очень хороший менеджер грамотно все объясняет, отдельное спасибо доставочной группе работают четко ,не опаздывают.  Большое спасибо.</t>
  </si>
  <si>
    <t>318</t>
  </si>
  <si>
    <t>2009-08-17</t>
  </si>
  <si>
    <t>Просто супер! относительно тонкий, с большими клавишами, с немаленьким экраном и как всегда с удобным интерфейсом, да еще и фотки боль-мень ничо делает!    Отличная модель для людей у которых телефон не для игр и всяких мелодий, а для дела!</t>
  </si>
  <si>
    <t>1367</t>
  </si>
  <si>
    <t>2016-12-20</t>
  </si>
  <si>
    <t>Утюг очень небольшой, чуть больше ладони. Легкий, но прочный. Использую его не только в поездках, но и дома для каких-то небольших вещей. Удобно такую кроху держать под рукой постоянно.</t>
  </si>
  <si>
    <t>515</t>
  </si>
  <si>
    <t>5150101</t>
  </si>
  <si>
    <t>1453</t>
  </si>
  <si>
    <t>2947</t>
  </si>
  <si>
    <t>2010-06-05</t>
  </si>
  <si>
    <t>Наушники не понравились совершенно. Слушал в них панк-рок - это просто какое-то издевательство над собой (транс еще более-менее можно): такое ощущение, что половина частот просто не проигрывается. Конструкция не эргономична: наушники неудобно вставляются в уши, вываливаются. Амбюшуры в комплекте слишком грубые и сделаны из какой-то самой дешевой, по-видимому, резины, поэтому пришлось юзать резинки от Panasonic. Через 4 месяца накрылся штекер, из-за чего одно ухо перестало играть. Короче, 768-е таких денег не стоят.</t>
  </si>
  <si>
    <t>601</t>
  </si>
  <si>
    <t>2009-11-23</t>
  </si>
  <si>
    <t>взял данный ноутбук и вовсе не жалею. оч удобный и модный. есть все что надо для меня. единственный минус - виндовз виста.....ну не нравится он мне.   "5" оценивается</t>
  </si>
  <si>
    <t>2010-04-28</t>
  </si>
  <si>
    <t>Вчера купил этот системник. Ваще отличная модель! недорого и такие высокие характеристики. Игры все идут без тормозов, интернет просто летает, корпус у системника классный тоже) В общем всем советую - классный комп =)))</t>
  </si>
  <si>
    <t>4060601</t>
  </si>
  <si>
    <t>2370</t>
  </si>
  <si>
    <t>2013-02-19</t>
  </si>
  <si>
    <t>Тостер суперский!!! Покупала родителям в подарок на Новый Год. Родители счастливы, особенно папа. Хлеб получается равномерной обжарки. Тостер очень прост и удобен в применении. Покупкой осталась очень довольна! Отличное качество по приемлемой цене! Покупайте, не пожалеете!!!</t>
  </si>
  <si>
    <t>4040106</t>
  </si>
  <si>
    <t>64</t>
  </si>
  <si>
    <t>263</t>
  </si>
  <si>
    <t>2010-12-16</t>
  </si>
  <si>
    <t>Хороший керамический тепловентилятор, но:  1. кислород не сжигает - да, но при работе имеется небольшой запах пластмассы (не страшно, но все таки)  2. никакого шума нет - нет, на ночь оставить нельзя - тяжеловато будет уснуть    А в остальном все супер.</t>
  </si>
  <si>
    <t>455</t>
  </si>
  <si>
    <t>884</t>
  </si>
  <si>
    <t>2010-02-22</t>
  </si>
  <si>
    <t>Ноут отличный по производительности и функционалу. Один большой минус - это дисплей.. цвета не те. и угол обзора маленький... если это не смущает, брать не раздумывая. Игры тянет все. Не сильно греется, при большой нагрузке шум повышается от охлаждения, не сильно критично</t>
  </si>
  <si>
    <t>258</t>
  </si>
  <si>
    <t>2010-09-09</t>
  </si>
  <si>
    <t>Пользуюсь такими уже более 2 лет, большой запас по перегрузке, прочные, музыку играют на 5. Сейчас думаю прикупить какие-нибудь другие, более крутые Sennheiser.</t>
  </si>
  <si>
    <t>1070903</t>
  </si>
  <si>
    <t>136</t>
  </si>
  <si>
    <t>2011-04-01</t>
  </si>
  <si>
    <t>Всё понравилось кроме аналогова  сигнала по сравнению  с кинескопом, показывает на 3 бала из пяти. И ещё, когда нажимаешь кнопку "ОК" сверху появляется надпись в левом углу звук лев-прав, а справа тип подключения "av1", а дальше "50HZ", а ГДЕ ЖЕ 100HZ...</t>
  </si>
  <si>
    <t>2981</t>
  </si>
  <si>
    <t>2010-06-23</t>
  </si>
  <si>
    <t>купили этот телевизор примерно месяц назад.По началу все было нормально,картинка и звук вполне устраивали...Но сейчас появилась такая проблема-пропадает картинка,т.е он порказывает,потом раздается щелчок и изображение пропадает,при этом звук есть.Думал проблема а антене,но при ее отключении показывает синий экран в течении 15 секунд,а потом картинка снова пропадает.Приходится его выключать и включать заново,и так процедура может повториться до 30 раз подряд,пока это не надоест и не выключишь его окончательно!!!В общем на выходных придется его сдать обратно...</t>
  </si>
  <si>
    <t>2649</t>
  </si>
  <si>
    <t>2012-03-23</t>
  </si>
  <si>
    <t>Аппарат себя полностью оправдал, работает уже четвертый год. Один раз паял контакт модулятора, но это мелочь. Берите смело.</t>
  </si>
  <si>
    <t>103</t>
  </si>
  <si>
    <t>1030105</t>
  </si>
  <si>
    <t>3061</t>
  </si>
  <si>
    <t>2010-05-09</t>
  </si>
  <si>
    <t>Саб понравился очень. Стоит Mystery MBP-303+усилитель Mystery MR2.75+ конденсатор Mystery на 1Ф. Все подключено к магнитоле Pioneer DEH-3110UB. Все думают, что стоит саб на 1кВТ. А я говорю, что всего раскачивается на 225 ват мостом, никто не верит. Автомобиль ваз 2105.</t>
  </si>
  <si>
    <t>413</t>
  </si>
  <si>
    <t>4130401</t>
  </si>
  <si>
    <t>66</t>
  </si>
  <si>
    <t>2010-09-06</t>
  </si>
  <si>
    <t>Купила около 2,5 лет назад. до этого пользовалась самыми разными выпрямителями. От этого брауна вообще волосы не портятся. Использую регулярно, разв неделю. И всем советую. Есть спец. средства для волос при применении электроутюжка. Не жалейте свои волосы, пожалейте свой имидж )))</t>
  </si>
  <si>
    <t>200</t>
  </si>
  <si>
    <t>2012-12-20</t>
  </si>
  <si>
    <t>У нас в Сибири -35, в офисах очень холодно, купили данный тепловентилятор и почувствовали тепло буквально в течении часа, с задачей справляется, никаких посторонних запахов нет! Рекомендую Вам Сибирики!</t>
  </si>
  <si>
    <t>4050205</t>
  </si>
  <si>
    <t>980</t>
  </si>
  <si>
    <t>3179</t>
  </si>
  <si>
    <t>2017-05-15</t>
  </si>
  <si>
    <t>размер</t>
  </si>
  <si>
    <t>4060501</t>
  </si>
  <si>
    <t>2010-08-13</t>
  </si>
  <si>
    <t>Купил с женой год назад.Долго убеждал,что соковыжималка отдельно практичней,чем в составе кухонного комбайна.Что было доказано в деле.Больше всего нравится выжимать морковный сок.Жмых практически сухой.Что касается яблочного,то вместе с соком попадает ещё и мякоть.И быстрее забивается.Так в целом доволен.Хорошее соотношение цены и качества.А цена значительно ниже чем у соседей.Ну а самое главное-это здоровье от этого сока.Живые витаминчики :)</t>
  </si>
  <si>
    <t>3040104</t>
  </si>
  <si>
    <t>2094</t>
  </si>
  <si>
    <t>2010-11-15</t>
  </si>
  <si>
    <t>Вчера взял PS3 160 GB slim CECH-2500A PAL (отличия: новый тех процесс – не сильно греется и поддержка звука HD без кодировки в PCM)она там с прошивкой 3.40!!!  На мой взгляд эта версия наиболее совершенна.</t>
  </si>
  <si>
    <t>4100201</t>
  </si>
  <si>
    <t>2815</t>
  </si>
  <si>
    <t>2011-01-12</t>
  </si>
  <si>
    <t>Купил машину в новогодние праздники, попробовал на всех режимах сначала было разочарование, но после небольшой подстройки под себя разочарование сменилось на удовлетворение. Машина хорошая, кофе делает разный, все зависит от вкуса. Я ставлю уровень  1/2 чашки и почти максимальное кол-во используемого кофе (правая ручка) и все ОК!.</t>
  </si>
  <si>
    <t>4040105</t>
  </si>
  <si>
    <t>2010-09-23</t>
  </si>
  <si>
    <t>Был у меня такой тепловентилятор, проработав неделю начал искрить и дуть то холодным, то горячим воздухом. В итоге сдал его обратно в магазин.</t>
  </si>
  <si>
    <t>402</t>
  </si>
  <si>
    <t>4020401</t>
  </si>
  <si>
    <t>313</t>
  </si>
  <si>
    <t>2013-09-15</t>
  </si>
  <si>
    <t>Замечательное качество, одним словом кто купил технику от фирмы Liebherr может забыть что такое ремонт холодильника =)) советую!!!</t>
  </si>
  <si>
    <t>57</t>
  </si>
  <si>
    <t>2014-12-08</t>
  </si>
  <si>
    <t>Проработала 4 года и сломалась. Бак запаян и поэтому отремонтировать нельзя. Можно поменять его , но цена примерно 70% от новой.</t>
  </si>
  <si>
    <t>76</t>
  </si>
  <si>
    <t>1851</t>
  </si>
  <si>
    <t>2013-01-15</t>
  </si>
  <si>
    <t>Хорошая модель. Простая как валенок.. Со своей задачей справляется отлично! С мытьем проблем не вижу, следую инструкции - сито мою под краном, а саму емкость для жарки протираю бумажными полотенцами (они хорошо впитывают жир), а затем салфеткой.. Пользуюсь недавно, поэтому про долговечность ничего не скажу.</t>
  </si>
  <si>
    <t>1374</t>
  </si>
  <si>
    <t>2010-02-16</t>
  </si>
  <si>
    <t>Сломался после 4-х месяцев использования. Попробую поменять по гарантии.</t>
  </si>
  <si>
    <t>1796</t>
  </si>
  <si>
    <t>2011-03-21</t>
  </si>
  <si>
    <t>Духовка просто супер. Качество замечательное. И количество протвиней радует.</t>
  </si>
  <si>
    <t>1070907</t>
  </si>
  <si>
    <t>973</t>
  </si>
  <si>
    <t>1027</t>
  </si>
  <si>
    <t>2010-07-23</t>
  </si>
  <si>
    <t>Настроить можно разрешение 1600х1024.Панель управления &gt; Панель управления NVIDIA &gt; Пользовательский вид &gt; Задать пользовательский вид... &gt; Ставим галочку на "Управление пользовательским разрешением" &gt; "ОК" &gt; в панели "Выберите задачу" выбираем "Управление пользовательским разрешением" &gt; в главной панели справа ищем кнопку "создать" &gt; По горизонтали 1600 По вертикали 1024 &gt; "Тест" &gt; "ОК" &gt; "Да" &gt; в панели "Выберите задачу" выбираем "Изменение разрешения" и выбираем новое нами созданное разрешение. Вообще такие настройки приходится делать ко многим большим мониторам, этот не исключение. Можно сделать и другое разрешение, кому нравится покрупнее, только его надо подобрать, так что проблема не в телевизоре.</t>
  </si>
  <si>
    <t>1030901</t>
  </si>
  <si>
    <t>592</t>
  </si>
  <si>
    <t>2013-05-13</t>
  </si>
  <si>
    <t>Купил антену, хотел установить, но не нашёл стандартного телевизионного штекера и какого-то тумблера переключения режимов (кстати для каких режимов он). Думаю, предётся отдать обратно.</t>
  </si>
  <si>
    <t>4130301</t>
  </si>
  <si>
    <t>1036</t>
  </si>
  <si>
    <t>2013-02-13</t>
  </si>
  <si>
    <t>Если не надеяться на идеальный результат с первого прохода, то аппарат довольно сносный. :) Да иногда дерёт. Но, уважаемые, флакончик с маслом видели в комплекте? Ну дык он не просто так там. Смазывать надо хоть иногда. :)</t>
  </si>
  <si>
    <t>2010-03-25</t>
  </si>
  <si>
    <t>Кто покупал, скажите на нем PhotoShop более менее сносно будет работать?</t>
  </si>
  <si>
    <t>2009-10-06</t>
  </si>
  <si>
    <t>Главным недостатком, имхо, является наличие Висты.</t>
  </si>
  <si>
    <t>2503</t>
  </si>
  <si>
    <t>2015-08-07</t>
  </si>
  <si>
    <t>Машинка поломалась через два месяца после покупки, т.е. выдержала ТРИ!!! стрижки. После ремонта стричь отказалась совсем - забивается моментально.</t>
  </si>
  <si>
    <t>4020501</t>
  </si>
  <si>
    <t>1596</t>
  </si>
  <si>
    <t>2014-12-22</t>
  </si>
  <si>
    <t>Простой и недорогой холодильник. Качество работы интернет магазина Мвидео - 11 баллов из 10! Спасибо  Сам холодильник с лихвой оправдывает свои деньги. Очень тихий, морозилка отлично морозит. Компакткный размер и ослепительно белый цвет - преимущества!</t>
  </si>
  <si>
    <t>2923</t>
  </si>
  <si>
    <t>Купил телек,всем отличен!!!!!Но месяца через 4-е появилась черная тонкая полоса на верху экрана,сдал в сервисный центр.....ожидаю....</t>
  </si>
  <si>
    <t>302</t>
  </si>
  <si>
    <t>3020201</t>
  </si>
  <si>
    <t>153</t>
  </si>
  <si>
    <t>2013-09-08</t>
  </si>
  <si>
    <t>Хороший мистический триллер. Аль Пачино как всегда на высоте!</t>
  </si>
  <si>
    <t>2276</t>
  </si>
  <si>
    <t>2010-04-05</t>
  </si>
  <si>
    <t>Телефон хороший как раз для прослушивания музыки.   очень хорошие идут в комплекте стерео наушники с возможностью ответить на звонок.  Камера слабовата конечно.  Игры есть в телефоне 8 штук.  Есть функция фонарик экран ярче делается.  Хорошо ловит FM-Радио поймал 8 станций.</t>
  </si>
  <si>
    <t>309</t>
  </si>
  <si>
    <t>2610</t>
  </si>
  <si>
    <t>2010-04-03</t>
  </si>
  <si>
    <t>Что понравилось   - интуитивное управление   - Made in Slovenia   - Малый расход воды   - Гарантия 1+1   - Наличие в магазине - при мне оформили ...   - Очень большой люк и барабан   - ))</t>
  </si>
  <si>
    <t>1466</t>
  </si>
  <si>
    <t>690</t>
  </si>
  <si>
    <t>2011-05-22</t>
  </si>
  <si>
    <t>Покупкой очень довольна. Волосы шелковистые, не электризуются, можно сделать завивку. Приятным сюрпризом стал диск, на котором показаны варианты причесок. Рекомендую! Отличная вещь!</t>
  </si>
  <si>
    <t>5160301</t>
  </si>
  <si>
    <t>1549</t>
  </si>
  <si>
    <t>1422</t>
  </si>
  <si>
    <t>2014-01-06</t>
  </si>
  <si>
    <t>Сушили ботинки 5 часов- как были сырыми, так и остались</t>
  </si>
  <si>
    <t>4050204</t>
  </si>
  <si>
    <t>979</t>
  </si>
  <si>
    <t>1225</t>
  </si>
  <si>
    <t>2017-05-11</t>
  </si>
  <si>
    <t>Недорогой бак,от известного бренда и гарантией 3 года.</t>
  </si>
  <si>
    <t>1440</t>
  </si>
  <si>
    <t>2015-12-21</t>
  </si>
  <si>
    <t>Плохая мясорубка сломалась быстро 2 раза успели попользоваться и все. Мясо на ней нельзя крутить и что это самая плохая фирма из всех. Вот так бывает не берите эту фирму или осторожно</t>
  </si>
  <si>
    <t>1727</t>
  </si>
  <si>
    <t>2010-10-08</t>
  </si>
  <si>
    <t>Да, дороговата, но окупает себя на все 200%. Сковородки с пятилетним нагаром засияли как новые. Даже чашки от чая так руками не отмоешь. Работает тихо и надежно. В общем - вещь!</t>
  </si>
  <si>
    <t>1050</t>
  </si>
  <si>
    <t>1465</t>
  </si>
  <si>
    <t>2013-03-25</t>
  </si>
  <si>
    <t>Отличный пылесос пользовался год пока не сломался (сын помог), причем без проблем поменяли, жаль на другую модель, тянул мама негорюй, минус: отсутствие расходников. После него жена сказала только с аквафильтром и этой фирмы.</t>
  </si>
  <si>
    <t>4061001</t>
  </si>
  <si>
    <t>1775</t>
  </si>
  <si>
    <t>2011-08-11</t>
  </si>
  <si>
    <t>Всем привет. Аналогичной моделью активно пользуемся на работе на троих, раз по 5 на дню наливаем и кипятим воду, и в таком режиме уже около 4-х лет.  Чайник сделан во Франции и французами, что особенно радует.</t>
  </si>
  <si>
    <t>1742</t>
  </si>
  <si>
    <t>2017-06-28</t>
  </si>
  <si>
    <t>Стирает отлично.  Просто сказка</t>
  </si>
  <si>
    <t>4030201</t>
  </si>
  <si>
    <t>2159</t>
  </si>
  <si>
    <t>2549</t>
  </si>
  <si>
    <t>2013-10-21</t>
  </si>
  <si>
    <t>Так или иначе, она только стирает. Потом нужно руками полоскать. Потом нужно руками отжимать. Может сэкономит немного времени. Но, трудные пятна не отстирывает, если нет пятен, то самому на много быстрее замочить. Отсюда вопрос: какой в ней прок, даже если бы она 100 рублей стоила? По мне - так нужно брать с центрифугой, чтобы: закинуть бельё, через два часа повесить сушиться.</t>
  </si>
  <si>
    <t>2014-01-21</t>
  </si>
  <si>
    <t>Открывает консервные банки на раз. Наточил все ножи в доме за 10 минут. Точить этой штукой и точить вручную - это две разные вещи. Недостатков нет.</t>
  </si>
  <si>
    <t>2015-06-23</t>
  </si>
  <si>
    <t>Приобрел эту модель в 2006 году. До сих пор отлично функционирует. Часто в жару работает даже по ночам.  Единственный недостаток - пластиковые заглушки на ножках, которые выскакивают при передвижении по паласу. Проблему решил, замотав скотчем.</t>
  </si>
  <si>
    <t>4050104</t>
  </si>
  <si>
    <t>1869</t>
  </si>
  <si>
    <t>2016-07-30</t>
  </si>
  <si>
    <t>Большой плюс - возможность как установить вентилятор на стол (на подставке), так и прицепить к краю прищепкой. Работает очень тихо и не нагревается даже после целого дня интенсивной работы на более высокой скорости. Не очень удобно, что выключатель сзади, но это можно пережить. Главное - работает!</t>
  </si>
  <si>
    <t>2015-10-01</t>
  </si>
  <si>
    <t>Мясорубка работает хорошо, но есть большой недостаток: жидкость от перемалываемого мяса и рыбы затекает внутрь корпуса, откуда её вымыть невозможно, и там заванивается. И овощерезка сломалась после 5 применений.</t>
  </si>
  <si>
    <t>4120201</t>
  </si>
  <si>
    <t>882</t>
  </si>
  <si>
    <t>1799</t>
  </si>
  <si>
    <t>2017-03-11</t>
  </si>
  <si>
    <t xml:space="preserve">Качество шитья </t>
  </si>
  <si>
    <t>2986</t>
  </si>
  <si>
    <t>2010-04-29</t>
  </si>
  <si>
    <t>Неплохой аппарат в принципе. Но очень тормозной. Пришлось поменять.  Хотя может дело было в прошиве...</t>
  </si>
  <si>
    <t>3107</t>
  </si>
  <si>
    <t>2012-11-23</t>
  </si>
  <si>
    <t>Стиралка неплохая: узкая, компактная, рассчитана для тех, у кого проблемы с площадью установки. Стирает отлично, отжимает и на 800 оборотах замечательно, вещи практически сухие, пробовала и на 400 оборотах - тоже выжаты хорошо, вода не капает, полощет отлично, порошком и не пахнет. Жаль, конечно, что нет таймера времени, не знаешь сколько времени уходит на стирку, но могу сказать (то, что я уже опробовала), что в программе Одеяла стирает 1 ч.40 м., Хлопок (в режиме быстрая стирка) 1ч.40 м., Синтетика в режиме быстрая стирка 1 ч. 20м., Шерсть - 0.50 мин., Спорт - 0.30 мин. Нет индикаторов этапов стирки, хотя по звуку можно определить, что она в данный момент делает. По окончании стирки машина подаёт звуковой сигнал, он просто по умолчанию отключен, его нужно только включить. Никаких особых запахов порошка из щелей крышки я не заметила. Понравилось сенсорное управление, вместо кнопок. За отсутствие таймера времени и индикаторов этапов стирки ставлю данной стиральной машине оценку 4.</t>
  </si>
  <si>
    <t>18</t>
  </si>
  <si>
    <t>1913</t>
  </si>
  <si>
    <t>2010-09-29</t>
  </si>
  <si>
    <t>Купили летом. Когда используешь функцию гриль - воняет пластиком (но со временем запах почти исчезает). Сам гриль закрыт металлической решеткой, через которую брызгает жир, сгорает на гриле и воняет. Совсем недавно стало сбиваться время само по-себе и уменьшилась мощность микроволн (предупреждая совет - мощность я умею регулировать) - 100гр воды с 22 до 100 градусов нагревает за 9 минут!!!    Вопрос к специалистам - могу ли я вернуть деньги за СВЧ-печь или обменять на другой товар? Программа дополнительного обслуживания есть.</t>
  </si>
  <si>
    <t>2050102</t>
  </si>
  <si>
    <t>685</t>
  </si>
  <si>
    <t>2010-03-05</t>
  </si>
  <si>
    <t>наконец-то он вышел!!!!!!!!!!!!!!!</t>
  </si>
  <si>
    <t>2016-11-06</t>
  </si>
  <si>
    <t>*****</t>
  </si>
  <si>
    <t>517</t>
  </si>
  <si>
    <t>5170101</t>
  </si>
  <si>
    <t>2010-03-20</t>
  </si>
  <si>
    <t>не советую никому. срезает толстым слоем, тяжелое скольжение.</t>
  </si>
  <si>
    <t>692</t>
  </si>
  <si>
    <t>90</t>
  </si>
  <si>
    <t>2010-06-13</t>
  </si>
  <si>
    <t>мне понравился</t>
  </si>
  <si>
    <t>408</t>
  </si>
  <si>
    <t>4080301</t>
  </si>
  <si>
    <t>2016-03-25</t>
  </si>
  <si>
    <t>пользуемся второй год, из функций духовки использую только обычный режим и иногда конвекцию, с кнопочками-таймерами даже не разбиралась, как-то обхожусь и без них, варочная поверхность оттирается нормально, конечно если не давать нагорать на ней, на дверце духовки на нашей плите установлен доводчик, что мне очень нравится, в духовке мне единственное очень не нравится всего три варианта куда противень устанавливать, до этой тоже бала горенье старенькая и в той плите были навесные направляющие, как решетка, то есть ставь противень куда хочешь, а здесь только три варианта, по началу оооочень это не нравилось, теперь свыклась )) в общем нормальная плита) )</t>
  </si>
  <si>
    <t>409</t>
  </si>
  <si>
    <t>4090101</t>
  </si>
  <si>
    <t>2012-04-16</t>
  </si>
  <si>
    <t>Работает 2.5 года.  Тарелки (любых размеров), ложки, моет идеально.  Иногда бывает проблемы с большими кастрюлями (под струей воды легко домывается без усилий).    Чтобы хорошо мыла, нужно правильно установить жесткость воды (делал это в самом начале империалистическим путем). В итоге посуда отмывается отлично.    В общем довольны. Теперь хотим покупать полно размерный вариант, т.к. в узкую не всегда вся посуда помещается (со сковородками и кастрюлями). Приходится мыть 2 раза.</t>
  </si>
  <si>
    <t>341</t>
  </si>
  <si>
    <t>1458</t>
  </si>
  <si>
    <t>2010-02-06</t>
  </si>
  <si>
    <t>купила 1 месяц назад Системный блок Compaq 500B MT E5300 отзывы только положительные...работает тихо.</t>
  </si>
  <si>
    <t>63</t>
  </si>
  <si>
    <t>2011-12-24</t>
  </si>
  <si>
    <t>Купила неделю назад,очень довольна!</t>
  </si>
  <si>
    <t>4130101</t>
  </si>
  <si>
    <t>2787</t>
  </si>
  <si>
    <t>2011-06-03</t>
  </si>
  <si>
    <t>Ужасные весы! Сломались уже на второй день!  Выводят ошибку 114. В течении первых дней можно было взвеситься с 3-4 раза, но уже через неделю взвеситься просто невозможно!!!  Не советую никому покупать!!!</t>
  </si>
  <si>
    <t>2017-05-09</t>
  </si>
  <si>
    <t>удобство в использовании, тихая работа, качественная сборка</t>
  </si>
  <si>
    <t>2012</t>
  </si>
  <si>
    <t>2010-04-27</t>
  </si>
  <si>
    <t>Хороший аппарат, но разъема для наушников очень не хватает</t>
  </si>
  <si>
    <t>2010-06-18</t>
  </si>
  <si>
    <t>Комп отличный. Василий, и каких же он игр не тянет?</t>
  </si>
  <si>
    <t>2011-06-15</t>
  </si>
  <si>
    <t>Думаю оптимальный вариант "цена-качество-функции". Ничего лишнего. Готовим все: мясо, птицу, овощи. Очень доволен. Особенно радует отсутствие пригара в отличии от жарки, отсутствие необходимости использовать масло. Мясо, например по вкусу ничуть не уступает жаренному, только полезнее. Если кто сомневается покупать или нет пароварку вообще, советую брать и готовить, а не портить здоровье.</t>
  </si>
  <si>
    <t>2009-11-05</t>
  </si>
  <si>
    <t>Windows 7 на этом ноуте летает, все супер. Единственно, не игровой размер экрана, 15 дюймов уж очень мало. До этого пользовался Acer aspire 6935, там 16*, немного покомфортнее, но лучше всего 17*. Очень хороший мультимедийный комбайн, если установить правильные(совместимые с семеркой) кодеки. видеокарта недостаточно мощная, чтобы играть в сталкер на высоких настройках качества.</t>
  </si>
  <si>
    <t>1303</t>
  </si>
  <si>
    <t>2010-10-12</t>
  </si>
  <si>
    <t>Цитата: При начале отжима звук напоминает звук самолета собирающегося на взлёт, при завершении - звук приземлившегося самолета, останавливающего двигатели.    Прям аэропорт дома, взлето-посдочной полосы не хватает :b))))</t>
  </si>
  <si>
    <t>3040101</t>
  </si>
  <si>
    <t>674</t>
  </si>
  <si>
    <t>3096</t>
  </si>
  <si>
    <t>2011-07-21</t>
  </si>
  <si>
    <t>мне очень понравилось приставка 3D эфекты хорошие  и глаза не боят жалко что игр пока что не много &amp;#9733;Nintendo 3DS Aqua Blue&amp;#9733; рекомендую</t>
  </si>
  <si>
    <t>1020</t>
  </si>
  <si>
    <t>2015-05-19</t>
  </si>
  <si>
    <t>По поводу отзыва, чтобы потолки не менее 3-х метров!!!! чепуха! не поленился только что замерить от нижнего края до конца первого колена (их два в комплекте, как раз для разных потолков, они вставляются друг в друга, и можно хоть по миллиметру прибавлять высоту) - 85 см, это то, что будет минимум, т.е. меньше нельзя. так что с потолками 2,8 у меня оба колена используются и висит не низко. По мощности просто бомба, невероятно мощная и при этой тихая. Ничего не дребезжит. Очень красивая. Единственное два момента, которые меня немного напрягли - пленка защитная на всех элементах, кроме стекла. Она лично у меня очень муторно отколупливалась. именно по сантиметру, я час наверное убил, держа в руке фен и грея ее, так хоть как то процесс двигался. И второй момент привычки к сенсорным кнопка. Их реально не видно. Видно дисплей и когда ты уже знаешь, что кнопки расположены по бокам этого дисплея то пользоваться можно. Если попросить гостей включить ее, то они точно не смогут этого сделать, т.к. просто не знают где надо прикасаться. Когда она включена, то кнопки подсвечиваются, а когда выключена, то их просто как будто нет. От этого она еще стильнее выглядит. Надо привыкнуть.</t>
  </si>
  <si>
    <t>4130701</t>
  </si>
  <si>
    <t>682</t>
  </si>
  <si>
    <t>2016-11-01</t>
  </si>
  <si>
    <t>Нет</t>
  </si>
  <si>
    <t>2828</t>
  </si>
  <si>
    <t>2010-05-15</t>
  </si>
  <si>
    <t>Пару дней назад купил эту модель LG PQ матрица и функционал почти такие же как у Samsung 42 b 430, который у меня был до этого, DVD, Blu-ray показывает как и полагается хорошо через HDMI. USB шьется на раз.   ИК диод 1 штуку припаял к проводам от акустики, один ус к плюсу другой к минусу, подключил комп. к усилителю и запустил циклично svrc.wav файл где найти писали.   Громкость сильно прибавлять на усилитиле не потребовалось. LG запросил пароль на пульте набрал 0000 (советую сразу после предложения пароля убрать диод от ИК приемника на телике), потом зашел в сервисном меню в Tool option выбрал USB и поменял 0 на 2, вышел из меню.   Теперь играет фото, музыку и avi. Mkv пока не пробовал. У avi качество так себе, но смотреть можно, если сжато с хорошего источника. Люди не переплачиваете за другие модели, так как на многих отличие фактически только в USB активном с завода для проигрывания файлов, ведь все можно сделать и самому.                                              доска объявлений бесплатно Ижевск</t>
  </si>
  <si>
    <t>978</t>
  </si>
  <si>
    <t>2010-05-03</t>
  </si>
  <si>
    <t>Вот и первый дефект -  (напомню, купил ноут в декабре) это зеленая полоса поперек экрана! Если пальцем в неё тыкнуть, то она пропадает. В магазин пока нести не буду (могут сказать, что "негарантийный" случай (дефект легко исправляется), а понесу, наверное, когда кончится сертификат (брал вместе с ноутом на 3 года). На разных форумах начитался, что это дефект матрицы. В остальном всё устраивает, мвидео - отличный магазин техники!</t>
  </si>
  <si>
    <t>655</t>
  </si>
  <si>
    <t>2011-05-06</t>
  </si>
  <si>
    <t>Барабан с ячейками в виде «бриллиантов» - это последнее, на что Вы должны обращать внимание при обзоре данной стиральной машины. Сомнительная в плане практической пользы, а скорее – абсолютно бесполезная особенность данной серии стиральных машин от SAMSUNG.   Что не мешает данной стиральной машине обладать другими, уже реальными, и, действительно, весьма полезными качествами.  Внешне машина выглядит очень хорошо. Пластик корпуса не такой тонкий, как у некоторых брендов.   1. По глубине машина – 55см. Золотая середина, по моему мнению. Не слишком глубока, чтобы загромождать собою, к примеру, ванную, и не слишком узкая, чтобы быть неустойчивой при отжиме. Машина действительно устойчива во всех режимах. Установил в ванную, пол кафельный, твердый, с некоторой неровностью. Отрегулировал ножки стиралки по высоте, выставил машину по уровню, затянул контрогайки и все… Машина работает как вкопанная, без всяких дополнительных амортизаторов. На максимальных оборотах отжима – лишь мелкая вибрация. Ни намека на сдвиг.  2. В руководстве нет ни слова про взвешивание белья. Но по факту, в режиме «хлопок» стиралка сначала крутит туда-сюда барабан с сухим бельем, делает это с разной скоростью, потом корректирует время стирки (чем меньше вес белья, тем быстрее проходит стирка) и лишь потом приступает к заливке воды. Большой плюс.  3. Электронное управление. Нечего его бояться. Очень наглядно (в каждом режиме видно, сколько времени займет стирка, при какой температуре, сколько будет полосканий, с какой скоростью будет проходить отжим), удобно и есть возможность скорректировать каждый режим (уменьшить скорость отжима, температуру, добавить цикл полоскания).  4. Устойчивость к перепадам напряжения. Никогда не лишне в наших условиях.  К качеству стирки – никаких претензий.  Недостатки:  1. Специфический негромкий шум двигателя при стирке. Не критично, но абсолютно тихой машину не назовешь.    Я не заметил никаких проблем с «задумчивостью» или подвисанием при  отжиме.   Вердикт: весьма достойная машина. Рекомендую к приобретению.</t>
  </si>
  <si>
    <t>4110103</t>
  </si>
  <si>
    <t>85</t>
  </si>
  <si>
    <t>2012-06-01</t>
  </si>
  <si>
    <t>Отличный пылесос. Перед покупкой читал много отзывов про различные пылесосы. Про VAX все отзывались очень хорошо, в отличии о LG, Thomas и пр. Ну еще очень хорошие отзывы были про Bissell 7700-J, но сравнивая цены предпочтение отдал VAX'у.  Из плюсов:  + Мощный;  + Большие емкости для воды;  + Отлично моет, пылесосит, собирает воду и сушит;  + Удачная вертикальная конструкция, не занимает много места;  + Хорошая комплектация;    Из минусов:  - Шнур не сматывается;  - Шумный;  - Аквафильтр покупается отдельно, стоит порядка 2.5 тысяч;  ну в общем-то все :)    Немного негатива про магазин... Покупал пылесос с витрины. На выдачу принесли запакованную коробку, сказали что весь комплект там. Был очень удивлен, когда приехал домой и не увидел самого пылесоса в коробке (еще в магазине подумал что коробка слишком легкая). Пришлось возвращаться в магазин. Пылесос принесли, проблем не возникло. Вернулся домой, хотели испытать новенький пылесос в деле, да у шланга подачи жидкости не оказалось коннектора подсоединения к насадкам. Пришлось еще  раз ехать в магазин... В магазине выдали новый шланг в замен старому. До этого много всего там покупал, проблем с комплектацией не было, поэтому поверил на слово, что в "коробке полный комплект".</t>
  </si>
  <si>
    <t>2010-03-04</t>
  </si>
  <si>
    <t>Месяц использования - ЛУЧШИЙ из лучших.  Все последние игры на максимальных настройках летают! :)    Минус один - базовая винда7, под которую не все проги идут, приходится ковыряться и в инете искать начиная от драйверов заканчивая самой программой. Например, обычный skype вылетает, пришлось устанавливать самую последнюю версию скайпа.    Бук СУПЕР!</t>
  </si>
  <si>
    <t>Консоль великолепна. Стоит учитывать тот факт, что не требуется докупать кабели подзарядки для геймпада и прочее (привет Лего Xbox360). Главный козырь PS3 это Blu-Ray и игровые эксклюзивы. Увы, но минусы так же есть, в большинстве случаях мультиплатформа не так хорошо выглядит как на Xbox360. Но в случаях с эксклюзивами PS3 уходит очень далеко от своего конкурента. PS3 намного тише xbox360 да и в качестве мультимедийного девайса в квартире будет не заменим. И очень неприятный минус консоль ест весьма много электроэнергии.</t>
  </si>
  <si>
    <t>2010-03-12</t>
  </si>
  <si>
    <t>Куплены достаточно давно (прошел месяц), и тут начали выплывать недостатки:    иногда включается все табло целиком. То есть на индикаторе горят одновременно все сегменты, и ничего нельзя сделать. Иногда это проходит в течение нескольких секунд, иногда не проходит вообще: приходится извлекать и заново вставлять батарейки.    Иногда не включаются. Думали, проблема с батарейками, но это не так - напряжение на них 2.95 вольта, что практически идеально соответствует норме. Лечится извлечением и обратной установкой батареек.    Иногда показывают абсолютную ерунду: горят произвольные сегменты на индикаторе. Но это быстро проходит: достаточно сойти с весов и вернуться на них - они обычно начинают работать.    Ну и некорректный вес, как было написано в предыдущем отзыве. Сошел с них, походил по комнате минут 10, встал обратно - разница бывает больше 500 грамм, что недопустимо при заявленной производителем точности.    И что интересно, большинство недостатков всплыли не сразу, а через некоторое время. Понесем менять.    Резюме: плохая модель, не рекомендую.</t>
  </si>
  <si>
    <t>2013-02-28</t>
  </si>
  <si>
    <t>Очень понравился Сэндвич-тостер, ручки не нагреваются, пробовали печь слойки, вафли, оладушки, омлеты, всё пропекается равномерно, покрытие панелей очень хорошее, ничего не пригорает, даже варенье которое вытекло из оладушек и прикипело, легко смылось. Покупкой очень довольны.</t>
  </si>
  <si>
    <t>4061102</t>
  </si>
  <si>
    <t>1002</t>
  </si>
  <si>
    <t>2009-10-02</t>
  </si>
  <si>
    <t>Печь при работе выделяет сильный запах перегретых китайских проводов.</t>
  </si>
  <si>
    <t>2589</t>
  </si>
  <si>
    <t>Феном Braun AS1000 PRO пользовалась почти 3 года раза 3-4 в неделю.Вчера в месте крепления насадок он сломался,щетка вылетает со стержня и уложить волосы просто невозможно!Теперь ищу новый фен.  Покупать такой же зная его недостатки (ломаются зубчики, холодный воздух не идет, а насадку с контейнером для воды вообще непонятно для чего придумали,эффекта никакого)не хочу.Но где гарантия что другая модель прослужит дольше?  P.S На мой взгляд, лучше поискать другую модель.</t>
  </si>
  <si>
    <t>2016-09-01</t>
  </si>
  <si>
    <t>Купили два, домой и родителям. Месяц работали практически постоянно. Работают относительно тихо. Нет вибраций. Может повезло, но мы довольны.</t>
  </si>
  <si>
    <t>619</t>
  </si>
  <si>
    <t>2010-09-16</t>
  </si>
  <si>
    <t>Кто любит хороший саунд, не советую покупать такие. Они совершенно не отвечают своим характеристикам. Играют очень громко, завышенные средние частоты. Все остальные в минусе. Вообщем мне как меломану они не подходят. На дорогие денег нету, так бы другие выбрал.</t>
  </si>
  <si>
    <t>527</t>
  </si>
  <si>
    <t>2014-03-18</t>
  </si>
  <si>
    <t>Пылесос отвратительный, не покупайте, оценка 0, что есть пылесос, что его нет</t>
  </si>
  <si>
    <t>2495</t>
  </si>
  <si>
    <t>2010-06-03</t>
  </si>
  <si>
    <t>Очень довольна покупкой. Прост в обращении, и красив. Ничего лишнего. Радио очень хорошо ловит волны, качество изображения - отличное. Своей цены, стоит. Рекомендую!</t>
  </si>
  <si>
    <t>504</t>
  </si>
  <si>
    <t>5040101</t>
  </si>
  <si>
    <t>1535</t>
  </si>
  <si>
    <t>2017-05-23</t>
  </si>
  <si>
    <t>Хорошо убирает катышки</t>
  </si>
  <si>
    <t>1247</t>
  </si>
  <si>
    <t>Эта мельничка просто супер. Очень маленька, легко моется и собирается. Рубит все от лука до мяса. Даже иногда использую как кофемолку, ножи при этом не тупятся. У меня такой агрегат работает уже более 5 лет, очень довольна покупкой, правда тогда он стоил 600 руб. Недавно купила подруге в подарок, тоже очень довольна осталась. Всем рекомендую. Работает тише любого комбайна.</t>
  </si>
  <si>
    <t>4050302</t>
  </si>
  <si>
    <t>120</t>
  </si>
  <si>
    <t>2010-06-29</t>
  </si>
  <si>
    <t>Я пользуюсь уже больше года, за этот период не было ни одной поломки, работает на 5+, претензий никаких, считаю, что данная модель - лучшая среди своего класса!!!</t>
  </si>
  <si>
    <t>5170105</t>
  </si>
  <si>
    <t>360</t>
  </si>
  <si>
    <t>2017-05-19</t>
  </si>
  <si>
    <t>Большой объем. Стильный дизайн. Индикатор замены картриджа на крышке.</t>
  </si>
  <si>
    <t>709</t>
  </si>
  <si>
    <t>1676</t>
  </si>
  <si>
    <t>купили в ноябре,установили в первых числах января, на Рождество уже не работала, двигатель не вытягивает, какие то звуки посторонние, после выключения еще тарахтит несколько секунд.</t>
  </si>
  <si>
    <t>2009-08-04</t>
  </si>
  <si>
    <t>Electrolux ZTI 7650 отличный пылесос сборки КНР с максимальной комплектацией данной серии. Огромным достоинством такого типа пылесоса является возможность легко опорожнять контейнер, не храня мусор, пыль и другую заразу в пылесосе. Начальная фильтрация выполнена в виде пластиковой колбы. Воздух, входящий в колбу, закручиваясь циклоническим потоком, частично очищается от пыли и дочищается цилиндрическим НЕРА фильтром стоимостью 590 рублей. Чем больше скорость циклонического потока, тем лучше фильтрация воздуха. При забивании пылью цилиндрического фильтра, пропускная способность его падает, следовательно, скорость циклонического потока с каждым мгновеньем падает, ухудшая фильтрацию, еще сильнее загрязняя цилиндрический фильтр. Его можно обмыть несколько раз, но восстановить изначальную пропускную способность уже нельзя. Отсюда следует уменьшение мощности всасывания, ухудшение эффективности уборки, перегрев двигателя. Чтоб этого избежать требуется покупка нового фильтра.</t>
  </si>
  <si>
    <t>940</t>
  </si>
  <si>
    <t>2013-10-29</t>
  </si>
  <si>
    <t>Приобрела эту пароварку пару месяцев назад и пользуемся практически ежедневно, очень удобный долив воды во время приготовления, пригодилась и функция отложенного старта, в се съемные детали (чаши, поддон для капель и т.д.) мою в посудомойке! Отличная вещь для дома!!</t>
  </si>
  <si>
    <t>763</t>
  </si>
  <si>
    <t>2017-01-21</t>
  </si>
  <si>
    <t>Отличная вытяжка!круто смотрится в дизайне квартиры,особенно черная.</t>
  </si>
  <si>
    <t>219</t>
  </si>
  <si>
    <t>3050101</t>
  </si>
  <si>
    <t>1542</t>
  </si>
  <si>
    <t>1611</t>
  </si>
  <si>
    <t>2011-06-16</t>
  </si>
  <si>
    <t>игра просто класс вот недавно играл в кампанию,  а потом начал сетевую игру-просто бомба!!! короче всем советую!!! и на винду 7 идет не парьтесь можно покупать!</t>
  </si>
  <si>
    <t>2655</t>
  </si>
  <si>
    <t>2010-04-24</t>
  </si>
  <si>
    <t>вообще часто серия ноут буков и компьютером Acer очень плохая, не знаю в чем тут дело но греется и лагает большинство компов этого производителя, если увидите на компьютере надпись Acer просто проходите мимо не делайте такой ошибки как сделал я!!!</t>
  </si>
  <si>
    <t>3040106</t>
  </si>
  <si>
    <t>769</t>
  </si>
  <si>
    <t>1119</t>
  </si>
  <si>
    <t>Давно заметил, что владельцы PS3, так называемые "сонибои" столь агрессивны сколь и ограниченны.    Давно доказано, что PS3 гораздо слабее Бокса, сколько еще игр надо выпустить, чтобы вы наконец заткнули свой некомпетентный фонтан. Ред Деда вам мало? И дальше будет больше. Играйте в апксейл с мутными текстурами.    Я владею PS3 уже полгода, прошел много игр и все больше убеждался, что ступил - не купив Бокс, а эту хлебницу.    PS3 я брал в М.Видео Слим 120 гб. И взял ее потому, что показалось что на нее больше эксклюзивов. Ну да, больше. Но и на Боксе они есть и все игры что и на компе, при этом графа комповская, а не сонимуть.  Меня уже на соньке эта подгрузка текстур бесит. Да и глючит она как оказалось. Было что висла, а раз было вообще сама выключилась во время игры.    Да у Сони сеть бесплтаная, но я не сетевик так что мне пофиг. Игры лицушные одинаково стоют и там и там. А блюрей у меня есть кинотеатр - а смотреть его на Сони это как ездить 60 км час на спортивном боллиде.    Короче я продаю хлебницу и беру Бокс Слим.</t>
  </si>
  <si>
    <t>3030</t>
  </si>
  <si>
    <t>2010-08-02</t>
  </si>
  <si>
    <t>Zelmer 619.5S Wodnic подойдет только тем, кто готов каждые полгода менять пылесос. Прошло чуть больше года после покупки, и у нашего пылесоса сломался фильтр. До этого сломалась щетка для влажной уборки. Периодически глючила подача воды (практически с самого начала) С водой тяжелый, неудобный. Покупали за 9000, реально он этих денег не стоит. Больше никогда не куплю себе технику ZELMER.</t>
  </si>
  <si>
    <t>4070201</t>
  </si>
  <si>
    <t>2013-07-02</t>
  </si>
  <si>
    <t>Печь - супер! Покупал в конце 2001 года. На днях, не выдержал - сгорел магнетрон. Считаю, что срок в 12.5 лет более чем достаточный при многократном ежедневном использовании различных режимов. Решил не экспериментировать и взять такую же, проверенную временем. Как говорится лучшее - враг хорошего. Всем советую.</t>
  </si>
  <si>
    <t>218</t>
  </si>
  <si>
    <t>3050301</t>
  </si>
  <si>
    <t>2010-03-27</t>
  </si>
  <si>
    <t>Недавно поставил этот выпуск. Могу сказать, что в Windows 7 все хорошо, только "кушает" оперативную память и ЦП. Если у вас 2 и больше ГБ ОП, хороший проц - ставьте Windows 7. Конечно, XP самая стабильная и под ней все идет. Good windows for work. Для игр советую XP.</t>
  </si>
  <si>
    <t>2010-04-17</t>
  </si>
  <si>
    <t>Народ, может разобрался уже кто? Есть возможность активировать флешку в этом телевизоре? и встроенный плеер в нем есть?  На лыжах все сделал, на этом пока не могу найти(((</t>
  </si>
  <si>
    <t>4050303</t>
  </si>
  <si>
    <t>2761</t>
  </si>
  <si>
    <t>2011-06-22</t>
  </si>
  <si>
    <t>Взял 2 таких и очень рад что не купился на рекламные фишки более дорогих собратьев. Со своей основной функцией справляется отлично, больше он ничего не умеет. Работает относительно тихо, на первой скорости внутренний блок почти не слышно, внешний тоже не отличается шумностью, но при работе компрессора из внутреннего блока доносится не громкий гул, видимо звук передается по магистрали.</t>
  </si>
  <si>
    <t>2017-03-08</t>
  </si>
  <si>
    <t>Стильный,не шумный,автоматический</t>
  </si>
  <si>
    <t>2011-01-29</t>
  </si>
  <si>
    <t>Хочу сказать, что наушники Fischer Audio SIGMA-отличная вещь. Присоединяюсь к выше перечисленным высказываниям! Действительно полностью изолируют посторонние шумы, звук отличный, очень удобные и качественные. Провод толстый и не запутывается в многочисленные "морские" узлы) резиновые подушечки на наушниках тоже отличные. Не рвутся, не мнутся, не превращаются в тряпочку. Вообщем рекомендую.</t>
  </si>
  <si>
    <t>1483</t>
  </si>
  <si>
    <t>2010-08-29</t>
  </si>
  <si>
    <t>Mafia 2 - это прежде всего игра, которую ждали 8 лет. И в общем она не плоха по сюжету, механики и стилистики  40х- 50х годов. Разработчики так затянули с ней что, в ней вырезали и убрали все, что так затягивало в первой части. Но в эту игру безусловно стоит поиграть, но не больше 1 раза.</t>
  </si>
  <si>
    <t>2011-07-29</t>
  </si>
  <si>
    <t>ОТличный аппарат за свои деньги. Придумывать там в принципе нечего. Печет лучше некуда, всегда стабильный результат. Пользуемся ею почти 2 года 1-2 раза в неделю. Никаких проблем. Советую!!!!</t>
  </si>
  <si>
    <t>4130801</t>
  </si>
  <si>
    <t>3124</t>
  </si>
  <si>
    <t>2017-01-13</t>
  </si>
  <si>
    <t>Быстро, безболезненно, нет вросших волосков, долговечность самого эпилятора</t>
  </si>
  <si>
    <t>524</t>
  </si>
  <si>
    <t>5240103</t>
  </si>
  <si>
    <t>642</t>
  </si>
  <si>
    <t>Купила этот набор кастрюль и теперь очень довольна! К набору приобрела тефалевский же сотейник, который внешне идеально подходит к этому набору! Теперь на кухне я царица, удовольствие от готовки повысилось на порядок!!!</t>
  </si>
  <si>
    <t>2015-07-04</t>
  </si>
  <si>
    <t>Перед покупкой соковыжималки внимательно изучила отзывы в интернете, пришла к выводу, что брать можно. И правда! Соковыжималка отличная! Купили со свекровью яблок, моркови и пошли готовить сок. Сказать, что мы упились этим соком, значит ничего не сказать.)))Продуктов требуется мало, сока выжимает много! Жмых получается сухой, я считаю это большим преимуществом. Весь жмых у нас улетал в пакетик, потом мы просто его отсоединили и выбросили - удобно! После этого начали ставить эксперименты и отжимали в буквальном смысле все)) И огуречные фреши, и свекольный сок. У кого маленькие детки - вообще незаменимая вещь, витаминов то сколько сразу! Про очистку не сказала - чистить вообще легко, все детали съемные, промываю все под струей воды, а сеточку чищу специальной щеточкой - она идет в комплекте. Совет: не жалейте денег на хорошую вещь! Нас она только радует!</t>
  </si>
  <si>
    <t>3188</t>
  </si>
  <si>
    <t>2014-02-01</t>
  </si>
  <si>
    <t>В общем то прибором мы довольны,с утра сухих соплей практически нет, ребенок отказывается засыпать когда увлажнитель отключен,единственный минус пыль проходит через фильтр с боку и накапливается на внутренних приборах,хотя фильтр каждый день пылесосим,что делать с этим пока не знаю...</t>
  </si>
  <si>
    <t>545</t>
  </si>
  <si>
    <t>2011-07-15</t>
  </si>
  <si>
    <t>мне оооочень нравится этот фен, им пользуюсь лет 6-7, каждый раз его только и покупаю,ндавно подарила свой свекрови, думала куплю, но сейчас нигде найти не могу(((((((помагите люди найти этот фен. Мне он оочень нравится, волосы у меня густые очень, а там такая насадка удобная, выпремлять потом даже не нужно.</t>
  </si>
  <si>
    <t>546</t>
  </si>
  <si>
    <t>2010-07-03</t>
  </si>
  <si>
    <t>Пылесос-супер!!! Советую всем. Об отзывах описанных ранее хочу сказать, что мытьё его после уборки действительно занимает какое-то время, но это нормально.Это же надо так загрязниться, что пылесос после 5 мин. работы забивается и перестаёт всасывать.Собирает воду отлично.При влажной чистке ковров-не надо на них много лить воды.</t>
  </si>
  <si>
    <t>2016-07-12</t>
  </si>
  <si>
    <t>Отличная микроволновка,я довольна всем полностью!Проста в управлении и вместительная.Отлично подошла нашей семье))</t>
  </si>
  <si>
    <t>2050101</t>
  </si>
  <si>
    <t>1045</t>
  </si>
  <si>
    <t>2010-12-22</t>
  </si>
  <si>
    <t>Аппарат отличный!!!!!! Просто супер!!!!! Пользуюсь уже полгода, ЛЕТАЕТ!!! Единственный недостаток слабенькая батарейка, но при полной загрузке (целый день фильмы, музыка, навител) держит ровно 12 часов, сам лично проверял, если только использовать как телефон, то хватит на дня 3-4. Стоит карточка на 16 Gb все отлично работает, ничего не тормозит!!! Притормаживает когда много программ запущенно, около 6 штук.....Но для этого есть диспетчер задач. Хороший смарт, всем советую!!!!</t>
  </si>
  <si>
    <t>2009-12-07</t>
  </si>
  <si>
    <t>Качество стирки так, на троечку с минусом и это при использовании разных порошков, дорогих и не очень. На режимах "шерсть" и "шелк" не выполаскивала порошок и приходилось включать доп. полоскание.  В итоге сбои в работе начались после 2 лет эксплуатации. Из которых 1,5 года она работала 2-3 раза в неделю, а остальные пол года каждый день (родился ребенок). Проблемы начались с того, что на одном из режимов программа зависала на первом цикле стирки, а на полоскание приходилось переключать вручную. Дальше через раз стала включаться кнопка запуска. А сейчас, после 2,5 лет работы и вовсе не стала отстирывать белье и не переключает циклы стирки на всех режимах.  Ремонтировать не буду, она того не стоит. У родителей Бош, купили в одно время, впечатления несравнимые. Буду покупать такую же.</t>
  </si>
  <si>
    <t>Увлажнение происходит за счет естественного испарения, использованы новейшие технологии, но при этом все предельно просто и понятно</t>
  </si>
  <si>
    <t>2011-06-20</t>
  </si>
  <si>
    <t>Купил данную духовочку ровно год назад, при выборе долго ломал голову что же взять, наконец остановился на ней, за свою стоимость отличный агрегат,конвекция, охлаждение панели управления, правда немного шумновата, за счет работы вентиляторов но это совсем не портит впечатление, единственное что меня в ней смутила ток это то что после буквально первой готовки сгорела лампочка подсветки, которая без проблем заменилась и больше никаких проблем не было.</t>
  </si>
  <si>
    <t>2562</t>
  </si>
  <si>
    <t>2015-11-11</t>
  </si>
  <si>
    <t>коммент оставляю по истечению месяца использования данным агрегатом...странно читать  плохие отзывы , ведь все параметры настраиваются индивидуально, под себя...и сделать это совсем несложно, если элементарно прочитать инструкцию..  у меня пока все работает нормально, и кофе получается вкусный...конечно, если покупать кофе хороших сортов и свежее...и капучинатор работает отлично... Четверку ставлю потому, что никак не привыкну к технике из пластика))</t>
  </si>
  <si>
    <t>1557</t>
  </si>
  <si>
    <t>2015-12-23</t>
  </si>
  <si>
    <t>Пылесос работал ровно пять раз и стал шуметь как  трактор решили сдать в магазин ни знаю что получится  ведь коробку выбросили!</t>
  </si>
  <si>
    <t>736</t>
  </si>
  <si>
    <t>2010-07-10</t>
  </si>
  <si>
    <t>Купил этот ноут два месяца назад.. Работает отлично, но часто зависает и отключается дисплей.. Не знаю, с чем это связано, может заводской брак, у кого-нибудь таких проблем не было ребята..?</t>
  </si>
  <si>
    <t>1518</t>
  </si>
  <si>
    <t>2013-06-17</t>
  </si>
  <si>
    <t>Покупал в конце мая, ставили по акции, комнату 15 квадратов остужает хорошо, внешний и внутренний блоки достаточно тихо работают. В целом хороший кондер за такие деньги.</t>
  </si>
  <si>
    <t>209</t>
  </si>
  <si>
    <t>2090401</t>
  </si>
  <si>
    <t>2011-06-30</t>
  </si>
  <si>
    <t>Взял неделю назад. Отличная машинка, жаль только что дополнительных трубок этой модели нет. Включил, настроил 15 мин и всё работает.</t>
  </si>
  <si>
    <t>787</t>
  </si>
  <si>
    <t>2831</t>
  </si>
  <si>
    <t>2013-03-29</t>
  </si>
  <si>
    <t>Пользуемся уже лет 5, отличная вещица, у нас в комплекте было 3 разных насадки. Удобно, компактно. Рекомендуем!</t>
  </si>
  <si>
    <t>257</t>
  </si>
  <si>
    <t>2014-06-04</t>
  </si>
  <si>
    <t>Остальные насадки использую реже. Ничего не расплавилось и не развалилось. Несмотря на размер и металл в насадках, в собранном состоянии довольно легкий и рука не быстро устает.</t>
  </si>
  <si>
    <t>2937</t>
  </si>
  <si>
    <t>2011-11-28</t>
  </si>
  <si>
    <t>Работал тихо, закипал быстро, на 6-й год работы начал протекать индикатор уровня воды. За свои деньги отличная модель и срок работы.</t>
  </si>
  <si>
    <t>2010-04-15</t>
  </si>
  <si>
    <t>Раньше я кривился, думая о дороговизне PS 3, и решил купить X-Box, который сгорел через пол года, потом я купил PS 3 и ни о чем не жалею, эксклюзивы выходящие на PS 3 не только отличнейшие игры вообще, а ещё и одна из основных причин купить PS 3! Если вы любите игры или хотите сделать отличный подарок тому, кто любит игры, покупайте PlayStation 3 не задумываясь!</t>
  </si>
  <si>
    <t>3040103</t>
  </si>
  <si>
    <t>1267</t>
  </si>
  <si>
    <t>Супер приставка  Плохо одно диски дорогие</t>
  </si>
  <si>
    <t>4110104</t>
  </si>
  <si>
    <t>2014-02-27</t>
  </si>
  <si>
    <t>Пылик подарили  в 2011 году. Для небольшой площади - 36 м2 - его нам хватает. Пылесборник забивается за месяц - полтора. Пользуемся сменными мешками Topperr EX2 (если найти недорогие, то выходит примерно 40р. за мешок),а до этого использовали тканевый многоразовый, который шел в комплекте (кстати, прилагается и один бумажный мешок Menalux 1002). Пылесосим на половинной мощности, бывает и еще меньше, и этого вполне хватает для паласа с небольшим ворсом! Ламинат, линолеум - без проблем. Правда, в доме нет животных, поэтому пылесос работает в более мягких условиях :) Для однушки - длины шнура хватает вполне. Щетка разбирается, чистится. До и после мотора - легко моющиеся фильтры (из вспененных синтетических материалов). Корпус сделан добротно, регуляторы практичные. За 2 с лишним года - без поломок. Вовремя меняйте/вытряхивайте пылесборник, обращайтесь с пылесосом аккуратно, и он Вас отблагодарит большим сроком службы!</t>
  </si>
  <si>
    <t>859</t>
  </si>
  <si>
    <t>2011-09-14</t>
  </si>
  <si>
    <t>Купил недавно, вещь просто не заменимая в поезде, также пригодится дома, приставка очень хорошая можно даже книги читать.</t>
  </si>
  <si>
    <t>367</t>
  </si>
  <si>
    <t>Люди не советую брать такого рода приборы с цилиндрическим фильтром и контейнером, у меня после уборки 2х комнат пылесос практически не тянет, забивается мгновенно, как уже говорили всегда нужно промывать фильтр, это напрягает.Когда начинаю уборку с помощью этого прибора, всегда вспоминаю конструкторов "добрым" словом. Владельцам домашних животных на этот пылесос не рекомендую даже смотреть.</t>
  </si>
  <si>
    <t>1077</t>
  </si>
  <si>
    <t>2010-07-19</t>
  </si>
  <si>
    <t>Имел "Браун"-1000. Хорошая бритва, теперь приобрёл "Браун" серия 3 340. Аппарат отличный!</t>
  </si>
  <si>
    <t>4080101</t>
  </si>
  <si>
    <t>939</t>
  </si>
  <si>
    <t>1417</t>
  </si>
  <si>
    <t>2012-04-15</t>
  </si>
  <si>
    <t>Очень долго выбирала плиту с хорошей духовкой. Случайно зашла на сайт магазина и решила ее приобрести, тем более эта плита шла по акции. Пользуюсь плитой с 7 марта. Плита отличная, работает хорошо, электроподжиг работает с первого раза. Духовка вообще сказка, печет просто замечательно! Единственный минус-очень маркая.   Хорошее качество за разумные деньги.</t>
  </si>
  <si>
    <t>2799</t>
  </si>
  <si>
    <t>Работает быстро и почти бесшумно. 3 кг моркови за 3 мин.  В горловину входит 2 крупные моркови целиком.  Яблоки просто насыпаются - как горох.    Bosch всегда  лучший.</t>
  </si>
  <si>
    <t>2010-08-16</t>
  </si>
  <si>
    <t>Телек просто супер!!!</t>
  </si>
  <si>
    <t>1952</t>
  </si>
  <si>
    <t>2009-08-24</t>
  </si>
  <si>
    <t>1. Звук - 5!  2. Габариты, жалко, что меньше не сделали...  3. Форматы. Понял не заявленный OGG, очень приятно. APE тоже хорошо, даже мотает, правда на один APE он выдал ошибку, ну да фиг с ним... Видео - обычные авишки и WMV даже пережимать не надо - крутит на ура.  4. металлический, приятный  5. управление - хорошее, а видео можно мотать тыкнув в любую точку ползунка прогресса.  6. эквалайзер - нормальный, можно свой выставить  7. уши так себе, но за такую цену... :)  8. шустрый  9. радио - всё сам мне поймал, я даже не мучался  10. перематывает треки встряиванием в соотв. сторону :) удобно чтобы экран не будить!!!  11. безгеморный, а это важно!    Вердикт: я не ожидал такого счастья!!! за день до него я мучался с Ай-ривером Е50 (тот что 52 часа играет) - так и не смог ничего на него записать, просто на столько сырая модель... Ритмикс превзошёл его во всём, кроме аккумулятора.    Твёрдая пятёрка!</t>
  </si>
  <si>
    <t>1432</t>
  </si>
  <si>
    <t>Отличный ноут,довольно мощный,из-за одного отсутствия блютуза Гамлет Ашотович 2балла ставить глупо(!),гта 4 и в правда идет без лагов!Я думаю этот ноутбук хороший вклад денег.</t>
  </si>
  <si>
    <t>4130903</t>
  </si>
  <si>
    <t>1876</t>
  </si>
  <si>
    <t>2016-01-09</t>
  </si>
  <si>
    <t>Хорошо подходит для чувствительных десен.</t>
  </si>
  <si>
    <t>754</t>
  </si>
  <si>
    <t>2010-09-21</t>
  </si>
  <si>
    <t>Дома у меня Samsung SC-6570, который меня всем устраивает, хотел на работу такой же взять, но продавец отговорил в пользу Electrolux ZCX6460. В сравнении с самсунгом этот пылесос проигрывает по нескольким пунктам. 1 - у SC-6570 регулятор мощности на ручке и это ооочень удобно, после него крутить ручку на корпусе просто лень; 2 - контейнер SC-6570 чистится и моется гораздо проще, нет никаких тугих защелок, пластмассовых завитков, в которые попадает мусор, а потом выпадает, если чуть не так повернуть контейнер; 3 - Насадки на самсунге более функциональные, особенно маленькая с длинным ворсом (я ею клавиши пианино чищу от пыли). Правда на самсуге идет Hepa 11 и кажется он не моется, но я с этим не разбирался. За год работы он практически не испачкался, да и заменить его не проблемно. Короче, если сравнивать, то SC-6570 выигрывает. Этот пылесос тоже неплохой, но в следующий раз я его уже не куплю ))</t>
  </si>
  <si>
    <t>2013-11-05</t>
  </si>
  <si>
    <t>Упустил один очень важный фактор, оказывается для этой плиты нужна хорошая медная проводка (сечением провода не менее 4 квадрата). Деваться некуда, пришлось штробить стену и проводить отдельный кабель для плиты. Мне очень понравилась выпечка, приготовленная в духовке, а вот в мясных блюдах я большой разницы не заметил. У некоторых людей возникли проблемы с настройками времени(если часы не установлены, духовка не работает). Так вот, нажимаете и отпускаете (не надо удерживать) одновременно 2 кнопки (стрелки вправо), а потом кнопки плюс или минус.</t>
  </si>
  <si>
    <t>2012-11-26</t>
  </si>
  <si>
    <t>Прекрасная соковыжималка, работает тихо, выжимает до последней капли и цена прекрасная. За такой ценой, качество приятно удивляет.</t>
  </si>
  <si>
    <t>2016-02-16</t>
  </si>
  <si>
    <t>Чайник за такую цену вполне приличный. Покупкой полностью доволен. Единственный минус - нет кнопки вкл./выкл., приходится постоянно пользоваться розеткой с ним. Для путешествий самое то. Место занимает мало. Закипает быстро. Не понимаю, почему люди пишут, что по 10-12 минут ждать приходится.</t>
  </si>
  <si>
    <t>2016-05-12</t>
  </si>
  <si>
    <t>плюсы: да в общем то тут одни плюсы! кипятит замечательно,не ломался ни разу хотя эксплуатировался практчески без передышек)) (чая я пью очень много,плюс гости чаехлебы,да и так воды закипятить),не терял внешний вид 5 лет. после 5ти лет на крышке хром потрескался,позже облез,но от этого хуже чайник работать или выглядеть не стал. Радовал он меня долгих семь с лишним лет,пока форточку не вынесло ветром и она не сбила с окна чайник,к сожалению падения он не пережил,что меня ОЧЕНЬ расстроило. завтра уже иду за точно таким же чайником!</t>
  </si>
  <si>
    <t>2240</t>
  </si>
  <si>
    <t>2010-09-22</t>
  </si>
  <si>
    <t>мне очень нравится этот выпрямитель,пользуюсь уже год! ставлю твердую пятерку!</t>
  </si>
  <si>
    <t>2783</t>
  </si>
  <si>
    <t>установил машинку пару дней назад.по функционалу,качеству и цене все устраевает на 5.                    !НО!    во время второй стирки,программа остановилась и на дисплее высветилось сообщение о ошибке f3,что значит,что в машинку не поступает вода.проверил все: шланг (длинны стандартного не хватило,купил 3х метровый),сеточку,фильтр,кран-  все ок.вода есть!..причем эта ошибка выскакивает периодически и толком не могу понять ее закономерность...то вначале выскочит,то за несколько минут до конца стирки.вот и не пойму,что это-брак,или может я что нибудь не правильно делаю) в общем,есть расстроенное чувство.может кто сталкивался с подобным явлением и знает,что делать?)подскажите,что же это?!!!  спасибо.</t>
  </si>
  <si>
    <t>293</t>
  </si>
  <si>
    <t>2011-01-24</t>
  </si>
  <si>
    <t>пользуюсь больше 2 лет, автоотключение - мечта рассеяных девушек :), функция самоочистки, много отверстий в носовой части (удобно для мелких складочек)</t>
  </si>
  <si>
    <t>303</t>
  </si>
  <si>
    <t>3030501</t>
  </si>
  <si>
    <t>2010-09-26</t>
  </si>
  <si>
    <t>Внимание, прежде чем покупать полную версию игры SPORT CHAMPIONS, надо купить второй контроллер PLAYSTATION MOVE, без второго контроллера, можно играть только в диско гольф и пинг понг.    А так, игрушка хорошая, берите не жалейте. :)</t>
  </si>
  <si>
    <t>2010-08-30</t>
  </si>
  <si>
    <t>Итак, мое отношение к этому аппарату:  До этого у меня был смартфон типа "кирпич" от Nokia, правда не последней модели. Но все же есть с чем сравнивать, ну конечно учитывая, что w980 это все же телефон, а не смартфон. Причина смены - пришло время, а навороченный смартфон был уже не нужен и душа просила стиля и оригинальности, поэтому мой выбор и пал на этой модели. Так как в данный момент моим критерием была не функциональность, а стиль, раскладушка, и обязательно клавиши, поэтому я морально был полностью готов ко всем косякам о которых говорится на форумах по этой модели, можно сказать даже более чем был готов.  Сейчас эта модель находится у меня в пользовании около 5 месяцев. Ну конечно большинство косяков о которых говорится в инете, преобладают и здесь, никуда они не делись. При покупке телефона сразу же установил новую версию ПО, сразу же пришлось купить и новый аккумулятор, так как родной больше суток при средней нагрузке не держал, хоть и свежий судя по дате производства, замена увеличена режим работы до двух суток, не особо стало легче, для меня это пожалуй тот самый важный косяк с которым я смириться не смогу никогда, кстати судя по отзывам мало кому попадались нормальные аккумуляторы с этим аппаратом. Что касается корпуса, то вполне нормальный, лично у меня пока нет ни одной царапины, но все зависит от пользователя, так что это не показатель. Что касается стандартных программ типа аськи, оперы, и т.д. то они ставятся без проблем, во время работы спокойно можно сворачивать и открывать несколько приложений, все прекрасно работает, никогда не виснет, и не перезагружается, ну может быть в редких случаях, когда совсем загрузишь, но это у меня было два раза за все время. Что касается ОС, то она стандартная как и у всех старых SE, мне она никогда особа не нравилась, да оно и понятно то ли Nokia, толи SE, так что привыкать пришлось хоть и недолго но тяжело, тупости много, много лишнего, много не систематизированного, много повторяется в общем я бы сказал полный бардак, плеер тоже так себе, впрочем как и камера, пульта на наушниках тоже нет, в общем сплошные недодумки, но об этом читайте в других местах.  В общем, если хотите стиль и индивидуальность, то возможно то, что надо, если нужно удобство и функциональность то это точно не то, что надо!  Лично я что хотел, то и получил, и меня почти все устраивает.</t>
  </si>
  <si>
    <t>3056</t>
  </si>
  <si>
    <t>2010-01-27</t>
  </si>
  <si>
    <t>отличная машинка!!!!!!!стирает!!!!</t>
  </si>
  <si>
    <t>1229</t>
  </si>
  <si>
    <t>2010-06-06</t>
  </si>
  <si>
    <t>ноут хороший и для работы и для игр пойдет, в соотношении цена качество на мой взгляд лучшая машинка.</t>
  </si>
  <si>
    <t>5160305</t>
  </si>
  <si>
    <t>985</t>
  </si>
  <si>
    <t>2016-09-10</t>
  </si>
  <si>
    <t>Плюсы метеостанции в точности данных (пользуюсь подобными устройствами уже давно), по сравнению с аналогичными производителями. Покупал в М.видео на Садовом, два года назад. И за это время успел переехать в частный дом, где использую устройство с двумя дополнительными датчиками - в гараже и на улице.  Плюсы:  - Точность, осадки всегда вовремя  - Удобно расположены информационные блоки  - Батареек хватает на долго если покупать свежие  - Можно переместить в любую комнату - связь с датчиками по радиосигналу    Минусы:  - Нет в комплекте блока питания, купил отдельно  - Стоимость, но, хотя, и телефон хороший дорогого стоит    Доволен полностью, если и буду менять устройство то только на аналогичный бренд</t>
  </si>
  <si>
    <t>673</t>
  </si>
  <si>
    <t>Купили, 3 раза ездили не было, потом цуко продавец сказал что нету, благо спас телефон 88002007775, там сказали что есть в наличии, пришлось требовать!!!!!!!!!!!  Продали))) Привезли домой, засунули курицу,целую кило на 2, включили и наблюдали процесс, первые минут 15 ноль эмоций, реакции ни какой, курица мертва подумали мы, но нет 40 мин ожидания и чудо, прекрасный вид, замечательная корочка и прекрасный вкус, никаких запахов пластика  замечено не было, всем рекомендуем))), плюс цена нам обошлось в 1990)))Браво М-видео бонус))</t>
  </si>
  <si>
    <t>1567</t>
  </si>
  <si>
    <t>2010-08-21</t>
  </si>
  <si>
    <t>Мы с мужем 3года назад купили эту мясорубку с насадками.Я так довольна ее работой,что 2 года назад мы подарили маме, такую же.А сейчас хочу порекомендовать приобрести ее,сыну и невестке.Каждое использование мясорубки приносит только одно удовольствие.Рекомендую!</t>
  </si>
  <si>
    <t>3088</t>
  </si>
  <si>
    <t>2009-09-22</t>
  </si>
  <si>
    <t>Тип компьютера: ACPI компьютер на базе x86    Операционная система: Microsoft Windows Vista Home Basic   Пакет обновления ОС   Service Pack 1    Тип ЦП: QuadCore Intel Core 2 Quad Q8200, 2333 MHz (7 x 333)  Системная плата   Acer EG43M    Чипсет системной платы   Intel Eaglelake G43    Системная память (СТОИТ 6GB ВИДЕТ ТОЛЬКО 3GB) 3072 Мб (DDR3-1333 DDR3 SDRAM)    Samsung 2 Гб DDR3-1333 DDR3 SDRAM (7-7-7-20 @ 533 МГц)  Samsung 1 Гб DDR3-1333 DDR3 SDRAM (7-7-7-20 @ 533 МГц)  Samsung 2 Гб DDR3-1333 DDR3 SDRAM (7-7-7-20 @ 533 МГц)  Samsung 1 Гб DDR3-1333 DDR3 SDRAM (7-7-7-20 @ 533 МГц)  Тип BIOS: AMI (03/19/09)    Видеоадаптер: NVIDIA GeForce GT 230 (1536 Мб)    Звуковой адаптер: Realtek ALC888/1200 @ Intel 82801JB ICH10 - High Definition Audio Controller    Контроллер хранения данных: Intel(R) ICH8R/ICH9R/ICH10R/DO SATA RAID Controller    Дисковый накопитель: Hitachi(640 Гб, 7200 RPM, SATA-II)    Сетевой адаптер: Intel(R) 82567V-2 Gigabit Network</t>
  </si>
  <si>
    <t>3040105</t>
  </si>
  <si>
    <t>2010-07-11</t>
  </si>
  <si>
    <t>не удобная, пока не ломается, экран меньше и т.д.  а игры я и на 3008 могу качать притом бесплатно)</t>
  </si>
  <si>
    <t>2014-06-10</t>
  </si>
  <si>
    <t>Купила машинку 25 мая 2014, вместе с услугой установки. Не прыгает по кафельному полу. Стирает не шумно, много программ на любой вкус. Компактная, но при этом вместительная. Особо не шумит, мне нравится.</t>
  </si>
  <si>
    <t>2165</t>
  </si>
  <si>
    <t>2014-07-01</t>
  </si>
  <si>
    <t>Нагревается быстро, действенные плавающие пластины, с ними очень удобно! У меня густые, жесткие, волнистые некрашеные волосы, пользуюсь бальзамом, утюжок их выпрямляет на ура и быстро. Мне ничего не сушит, не жжет, может за счет бальзама. Все выпрямители всегда стояли на максимальной температуре, поэтому отсутствием регулятора температуры в этой модели не расстроена. Хороший выпрямитель, который справляется со своей задачей - выпрямлять</t>
  </si>
  <si>
    <t>2015-11-26</t>
  </si>
  <si>
    <t>Сегодня приобрел данную модель. Только положительные эмоции. Абсолютно стоит своих денег. Расходники в наличии, не надо искать в инете. Турбощетка работает отлично. Тянет здорово. Рекомендую.</t>
  </si>
  <si>
    <t>19</t>
  </si>
  <si>
    <t>2009-12-01</t>
  </si>
  <si>
    <t>телевизор брал по акции в Ростове за 12990 р. за эти деньги даю 10 балов из десяти.  долго не мог подобрать картинку к Телеканалам выбрал режим SuperLive 1 стало намного приятнее, нету широких лиц.)))  из минусов  1 это нету на пульте кнопки возврат на последний канал.  2 когда включаешь номер канала (0-9) идет пауза, выжидает нажатия второй цифры. Не сильно напрягает, но приятно когда включаешь двухзначный канал ))  3. Не всегда переключает канал иногда (редко даже сказал бы) игнорирует :). может брак не разбирался в этом.  Плюсы  1 Хорошая картинка  2. Приятный дизайн  3. Большое количество входов разнообразных  4. Простые настройки    В общем советую.</t>
  </si>
  <si>
    <t>2011-06-17</t>
  </si>
  <si>
    <t>Купили недавно. Отличный чайник. По сравнению с другой фр. маркой - легкий, хоть и металлический. Шумит как обычный чайник. Что то я не встречала бесшумных чайников. Кстати, закипает довольно быстро. Включается плавно и легко. Не жмите на выключатель со всей дури и загибаться ничего не будет. То что уровень воды неудобно смотреть - так в магазине смотрите что берете и будет ли вам удобно. В общем, нам с чайником повезло, советую.</t>
  </si>
  <si>
    <t>2011-10-25</t>
  </si>
  <si>
    <t>Почему-то у меня индикатор включения щипцов периодически мигает, потом перестает, через несколько минут снова начинает мигать.</t>
  </si>
  <si>
    <t>1687</t>
  </si>
  <si>
    <t>2015-07-16</t>
  </si>
  <si>
    <t>покупал два года назад, работает, указатель температуры изначально не работал, но это никак не влияет на его эксплуатационные характеристики, за те деньги которые он тогда стоил, пожалел что не купил 2, сейчас цена в 3 раза больше</t>
  </si>
  <si>
    <t>2015-05-29</t>
  </si>
  <si>
    <t>Приобрела сегодня данную модель. Очень довольна! На работе прикрепила с помощью прищепки на кронштейн настольной лампы. Дует очень хорошо! А как работает совсем не слышно, только негромкий звук работающего его маленького моторчика и дующего воздуха. Сама не ожидала, что такой маленький решит такую большую проблему! За такую небольшую стоимость. Посмотрим, скольео проработает. Осень обрадовал тот факт, что на коробке указано "победитель брэнд  2012 года". Так что у кого такие же проблемы, можете смело покупать, надеюсь, не разочарует!</t>
  </si>
  <si>
    <t>2016-09-21</t>
  </si>
  <si>
    <t>Купил 9 месяцев назад.    Очень быстро износилась головка,а купить -по цене как пол новой бритвы.   Считаю,что всё же лучше материалы должны бы использоваться в фирменных товарах.  Очень недоволен.</t>
  </si>
  <si>
    <t>2011-12-23</t>
  </si>
  <si>
    <t>Отличная бритва, очень нравится и триммер, и сами лезвия. Кожа у меня чувствительная очень, но никакого раздражения от нее нет. Единственное что на исходе второго года использования сломался триммер. По гарантии починили, но при выдвижении держаться перестал, приходится придерживать самому. В остальном очень хорошая</t>
  </si>
  <si>
    <t>2277</t>
  </si>
  <si>
    <t>2010-04-11</t>
  </si>
  <si>
    <t>Купил пару дней назад  mkv не читает, при просмотре фильма с usb после 15 минут картинка стала тормозить  раздражает чёрная полоска на 1/4 экрана с информацией при переключений канала  а так картинка и звук вполне хороша</t>
  </si>
  <si>
    <t>1408</t>
  </si>
  <si>
    <t>полная ерунда! не прожил и года- прблемы с двигателем. даже не успел забиться воздушный фильтр. неудобно :после использования обязательно мыть грязесборник -его исполнение неудачно. в нашем регионе пылесос сравнительно дорогой (накрутки торговые).</t>
  </si>
  <si>
    <t>2349</t>
  </si>
  <si>
    <t>2010-02-18</t>
  </si>
  <si>
    <t>Вся проблема в самой Windows7, она идет 64 битная, переставьте ее на 32 битную и все будет хорошо!!!</t>
  </si>
  <si>
    <t>3023</t>
  </si>
  <si>
    <t>2016-02-02</t>
  </si>
  <si>
    <t>Недавно затеяли ремонт, теперь не дождемся, когда он закончится). Обновить решили по-возможности все!) Кухня у нас старенькая, ремонт на ней мы делали лет 15 назад последний раз, а технику не обновляли еще больше. Так что, наконец, решились, что называется. Раньше у нас была обычная газовая плита, но сейчас мы решили попробовать что-то посовременнее и пофункциональнее. Поэтому выбрали эту модель от сименс. Я до последнего сомневалась в возможностях встраиваемой техники такого рода да еще и электрической. Но поработав с ней, я поняла, что ошибалась. Ведь, на самом деле – одни плюсы! Места занимает меньше, глаз радует красивым видом, в отличие от старого варианта, да и функций заметно больше! Конфорки разных размеров и позволяют готовить в большой посуде. К тому же нагреваются они крайне быстро. Управлять просто, ухаживать легко – что еще надо?) Я рада.</t>
  </si>
  <si>
    <t>2686</t>
  </si>
  <si>
    <t>2012-09-12</t>
  </si>
  <si>
    <t>Купили 1 чайник 2 года назад , через год сломалась крышка , купили новый такой же , через 8 месяцев сломалась крышка. Дизайн симпатичный , но очень громко шумит.</t>
  </si>
  <si>
    <t>2009-10-19</t>
  </si>
  <si>
    <t>Заказала для себя чайник, этой модели. Почитала, все вроде бы устроила. Но когда мне его купили, я просто ужаснулась.:  1. Крышка очень слабенькая. Бывает такое, что она не выдеживает пара и сама открывается  2. Чайник когда нагреится, об его можно обжечься    Мне казалось что у фирмы BORK если и есть, то мелкие недостатки (незначительные), но теперь я разочаровалась.</t>
  </si>
  <si>
    <t>2006</t>
  </si>
  <si>
    <t>Использую плеер несколько месяцев и в целом очень доволен покупкой. Если бы я снова стоял перед выбором, взял бы этот же.  Плюсы:   - отличный звук (наушники сразу лучше взять другие)  - радио с настройкой на 30 станций и возможностью записи   - шустрая навигация  - удобная программа для конвертации видео, достаточно подключить плеер к компу и перетащить нужный файл в окно программы и всё  - встроенные динамики и слип таймер удобно использовать для прослушивания аудиокниг перед сном  - долго работает от аккумулятора  - приятная цена  Минусы:  - наушники которые идут в комплекте придется менять  - нет возможности постоянного отображения времени на экране  - нет различных цветовых профилей меню и нельзя выбрать фоновую заставку.</t>
  </si>
  <si>
    <t>2016-06-26</t>
  </si>
  <si>
    <t>Для своего формата отличная штучка, гладит, отпаривает, для рубашек очень удобно + паровой удар, пусть не очень мощный, как у "взрослых" братьев, но для такого малыша приемлемо. В качестве походного варианта, при  мобильной жизни СУПЕР !!!  Из недостатков пожалуй только цена, по сравнению с собратьями...</t>
  </si>
  <si>
    <t>1006</t>
  </si>
  <si>
    <t>2052</t>
  </si>
  <si>
    <t>2009-10-18</t>
  </si>
  <si>
    <t>Отсутствует заявленный CardReader. А так машина очень даже не плохая.</t>
  </si>
  <si>
    <t>279</t>
  </si>
  <si>
    <t>2016-10-26</t>
  </si>
  <si>
    <t>Мне нравиться!</t>
  </si>
  <si>
    <t>2010-10-11</t>
  </si>
  <si>
    <t>две потрясающие игры на одном диске, давно мечтал об этом сборнике. Теперь главное лишь бы в наличии было.</t>
  </si>
  <si>
    <t>1406</t>
  </si>
  <si>
    <t>2013-09-20</t>
  </si>
  <si>
    <t>Машинка звуки открывания громкие,пластик дешёвый...не нравится, что не вымывается полностью средняя ячейка для кондиционера, кондиционер постоянно остаётся....и последнее,(как я думала) остаётся вода, где резина у барабана приходится вытирать воду после каждой стирки.</t>
  </si>
  <si>
    <t>пользуемся машинкой всего месяц, стирает отлично.   Когда отжимает вообще не слышно... 04.08.2010 отжим зверский - вы болты транспортировчные убрали, а то у нас тоже изначально прыгала по ванной.   Пока все устраивает, дальше будет видно...</t>
  </si>
  <si>
    <t>1088</t>
  </si>
  <si>
    <t>2011-06-21</t>
  </si>
  <si>
    <t>Я долго искала именно такой комплект! И мне очень нравится продукция компании Bosch - надежный производитель.</t>
  </si>
  <si>
    <t>1598</t>
  </si>
  <si>
    <t>2014-12-25</t>
  </si>
  <si>
    <t>Предохранитель на то и предохранитель, что в случае превышения нагрузки ломается именно он, а не механизмы вашей мясорубки.</t>
  </si>
  <si>
    <t>2017-01-28</t>
  </si>
  <si>
    <t>Получил что хотел!</t>
  </si>
  <si>
    <t>2013-08-19</t>
  </si>
  <si>
    <t>Купили витринный образец в Самаре. Не было даже инструкции, но так хотелось эту фритюрницу, что не остановило ничего. Правда пожалели уже на следующий день. Ребенок попросил нагетсы. Купили и стали жарить. Фритюрница набрала нужную температуру...и все. Умерла наша покупка. Больше не включалась. Теперь вот надо найти время, чтоб съездить поменять. Ближайший магазин в 60ти км. Обидно жутко.</t>
  </si>
  <si>
    <t>2010-01-14</t>
  </si>
  <si>
    <t>Пылесосом не доволен!  Проработал с пол года,потом одни мучения.  Задняя крышка (где НЕРА фильтр)не держится, воздухом ее сносит.  Чистит плохо, практически не всасывает, забивается постоянно паролоновый фильтр.  Больше тратиться время на мытье фильтров, чем на уборку.  Не советую брать</t>
  </si>
  <si>
    <t>262</t>
  </si>
  <si>
    <t>2030401</t>
  </si>
  <si>
    <t>2505</t>
  </si>
  <si>
    <t>2016-07-31</t>
  </si>
  <si>
    <t>Пользуюсь в отместку телефону , пока минусов не замечано</t>
  </si>
  <si>
    <t>37</t>
  </si>
  <si>
    <t>Хлипкое исполнение, мокрый жмых вместе с кусками овощей и фруктов, через полгода нерегулярного использования сломалась (в сок посыпалась металлическая стружка, затем двигатель полностью остановился).</t>
  </si>
  <si>
    <t>4060801</t>
  </si>
  <si>
    <t>2011-07-01</t>
  </si>
  <si>
    <t>Мне муж подарил на 8 марта хлебопечку.Вот уже второй год пеку почти  через день разный хлеб и пропеченый и вкусный. Я очень довольна.</t>
  </si>
  <si>
    <t>2097</t>
  </si>
  <si>
    <t>2010-10-23</t>
  </si>
  <si>
    <t>Принципиальная разница в том, что у этой модели Blu-ray привод читающий, а у Aspire  8943G-728G1.28TWi - Blu-ray пишущий. Ну и по мелочам: у 8943G нет слота Express Card и разъёма Display Port.</t>
  </si>
  <si>
    <t>208</t>
  </si>
  <si>
    <t>2080101</t>
  </si>
  <si>
    <t>2010-03-06</t>
  </si>
  <si>
    <t>Плюсы:  1. Превосходный дизайн.  2. Разрешение фулл шд.  2. DVI за эти деньги.  3. Довольно неплохая картинка на бюджетной матрице.  4. Автоматическая регулировка яркости.  5. Отличное соотношение цена - качество, конкуренты только моники от Эйсер.    Минусы:  1. Есть неоднородность подсветки. Засветка белым светом краёв экрана. Особенно заметна ночью на чёрном фоне, например при загрузке виндоуз или просмотре кино. Характерная черта бюджетного монитора.  2. Сенсорые кнопки "тупят", срабатывают с задержкой и не всегда. Нужно привыкнуть. Однако необходимость в настройках редка.  3. Автоматическая регулировка редко но срабатавет неадекватно, раздражает. Сама по себе вдруг добавит яркости и тут же убавит. К   счастью это отключается.  4. Очень важно! Матрица имеет размер 21,5 дюймов. Поэтому имеем маленький размер шрифта в родном разрешении 1920 на 1080.     Если у вас плохое зрение будет очень напрягать. Выход: использовать масштабирование системных шрифтов виндоуз. Однако тут вас подстерегает засада от майкрософт. ХП делает его очень плохо. Виста и семёрка лучше, однако некоторые иконки в системном трее будут всё равно искажаться и интерфейс винды в сторонних программах иногда всё равно будет использовать родной мелкий шрифт.    Выводы:  НЕ ЖАЛЕЙТЕ ДЕНЕГ на фулл шд 23 дюйма с DVI. Это наилучший выбор сейчас. Если деньги критичны для вас возможно имеет смысл взять 22 дюйма с разрешением 1680x1050 - размер шрифта нормален, масштабировать интерфейс не прийдётся.     А в целом по сабжу:  если вам непременно нужен фулл шд и dvi и у вас установлена Виста/Семёрка, вы смиритесь с не всегда корректным масштабированием и ограничены в деньгах - моник очень неплох. Я доволен.</t>
  </si>
  <si>
    <t>2010-01-31</t>
  </si>
  <si>
    <t>Сегодня купил Утюг Braun SI 6290. Качество у фирмы хорошее. Но как и у всех фирм попадается брак. Обязательно проверяйте любой товар при покупке, чтобы не было проблем потом. Вчера купил модель  Braun SI 6591 не проверил, открыл дома, оказался с разбитой ручкой. Заменили без проблем. Удачи.</t>
  </si>
  <si>
    <t>2015-03-01</t>
  </si>
  <si>
    <t>Этой бритвой лучше получается влажное бритьё с применением геля или пены, нежели бритьё на сухую. Кожа как после ручного станка, только без порезов. Бриться одно удовольствие!</t>
  </si>
  <si>
    <t>2012-01-09</t>
  </si>
  <si>
    <t>Приобрели вытяжку 3 недели назад. Стильный дизайн, очень внешне понравилась.Сенсорное управление, включается одним прикосновением, яркий свет. Плохо, что они только черного цвета, а не стального.Вытягивает запахи хорошо, но шумная.Мы довольны покупкой.</t>
  </si>
  <si>
    <t>1988</t>
  </si>
  <si>
    <t>2011-02-01</t>
  </si>
  <si>
    <t>Замечательная мясорубка! Немного шумная, но мощная. Говядину перемолола на ура.</t>
  </si>
  <si>
    <t>31</t>
  </si>
  <si>
    <t>2017-03-23</t>
  </si>
  <si>
    <t xml:space="preserve">быстро перемалывает </t>
  </si>
  <si>
    <t>Телевизор отличный только не могу понять как разблокировать USB для просмотра видео(светодиодами или еще какимнибудь методом), подскажите пожалуйста.</t>
  </si>
  <si>
    <t>732</t>
  </si>
  <si>
    <t>2010-01-25</t>
  </si>
  <si>
    <t>замечательная мощная машина!консультантам магазина отдельное огромное спасибо!!!покупкой очень доволен!!!</t>
  </si>
  <si>
    <t>4040104</t>
  </si>
  <si>
    <t>2012-10-25</t>
  </si>
  <si>
    <t>Купили в этом сентябре, использовали 1 неделю пока не начали топить, для комнаты 20 кв.м. Пока довольны - нагревает достаточно быстро, запаха не было. Но включали всегда на максимум. Дизайн и нам понравился. Колесики складные.</t>
  </si>
  <si>
    <t>2016-08-31</t>
  </si>
  <si>
    <t>Пользуюсь данной моделью 8 лет. Ломалась неоднократно. Действительно хорошо встает в маленью ванную, но это и единственный плюс. Минусы: нет функции без отжима ( даже если включаешь кнопкой отжим, бельё отжимает на "будь здоров" и разницы нет никакой); бельё ужасно мятое после стирки, паоовой станцией не разглаживается до конца; вещи растягиваются (видимо из-за узкого барабана); функция "Бережная стирка" - просто обман; функция "отложенный старт" начинается только с 3 часов; шумная очень. Вообщем, никогда больше не куплю .</t>
  </si>
  <si>
    <t>102</t>
  </si>
  <si>
    <t>1020206</t>
  </si>
  <si>
    <t>182</t>
  </si>
  <si>
    <t>2016-01-21</t>
  </si>
  <si>
    <t>Миниатюрный сабвуфер, который исправляет недостатки басов на твердую пятерку! Басовая отдача завораживающая! До его покупки думала, что никогда на своей акустике не смогу послушать что-то с богатыми низкими частотами, но оказалось, что все это не так. Теперь наслаждаюсь записями концертов Депеш Мод в отличном качестве. полное ощущение, что стою в первом ряду перед Дейвом и Мартином! Трехсотваттный цифровой усилок - вот это по-настоящему мощная вещь! С такими данными саб должен был бы быть огромным, но корпус совсем небольшой! в белом цвете смотрится шикарно!</t>
  </si>
  <si>
    <t>3206</t>
  </si>
  <si>
    <t>2015-03-13</t>
  </si>
  <si>
    <t>Проблем нет, хорошо вытягивает))) Шумит, конечно, на 3 и 4 скоростях, но терпимо) И очень красивая - закрывать не надо)))</t>
  </si>
  <si>
    <t>913</t>
  </si>
  <si>
    <t>2016-02-01</t>
  </si>
  <si>
    <t>Давно пользуюсь  , наверное год 3 , хороший утюг, но сейчас хочу купить что то другое , но из этой фирмы!</t>
  </si>
  <si>
    <t>2278</t>
  </si>
  <si>
    <t>2015-04-24</t>
  </si>
  <si>
    <t>Даже представить не могла, что такой замечательный бренд (мы очень довольны соковыжималкой) выпускает такие низкокачественные товары. На момент покупки это была одна из самых дорогих электромясорубок в М-Видео. В итоге, моему разочарованию не было предела. Работает очень медленно, мясо на кольце со средними отверстиями выходит консистенции паштета из 3-5 отверстий, всё остальное забивается. Разбирала, очищала намотанные на нож жилки. Много мяса осталось на валу. 1,5 кг вырезки я крутила 15!!!!!! мин. Жаль, не было обычной ручной мясорубки, процесс закончился бы гораздо быстрее. Потом изучила отзывы на разных сайтах, описывается всё тоже самое. Преимущество только одно - бесшумная.  По пятибалльной шкале уверенная ЕДИНИЦА.</t>
  </si>
  <si>
    <t>386</t>
  </si>
  <si>
    <t>2012-07-24</t>
  </si>
  <si>
    <t>Машина супер! Пользуюсь месяц. Превзошла все мои надежды. Тихая и компактная. Но вот только я не поняла-контейнер для ополаскивателя запаян-не работает. Написано только про функцию отбеливание-не работает, а тут и кондиционер нельзя наливать. Вот это меня очень огорчило. Что мне теперь делать-сидеть сторожить, когда отстирает, останавливать стирку,вскрывать барабан и прям на белье лить кондер, а потом запускать полоскание?</t>
  </si>
  <si>
    <t>2141</t>
  </si>
  <si>
    <t>2011-02-21</t>
  </si>
  <si>
    <t>Плеер просто класс. Для тех кто любит слушать музыку, самое оно. Удобный в использовании и стильно выглядит. Что касается наушников входящих в комплект, могу сказать, что нормальные. Торопится с покупкой других не надо. Советую приобрести, не пожалеете.</t>
  </si>
  <si>
    <t>2011-02-25</t>
  </si>
  <si>
    <t>Купила его месяц назад,очень довольна!   По волосам скользит очень легко,не нужно прилагать усилий,чтобы зижимать волосы,процесс выпрямления по времени сокращается примерно на 30%.</t>
  </si>
  <si>
    <t>2009-11-17</t>
  </si>
  <si>
    <t>Сказать честно, мне вообще нравятся телефоны самсунг, для меня их меню просто сказка. Эту модель телефона я первый раз приобрела в марте 2009 года, почему первый да потому что у меня его украли ( и кому он понадобился) сейчас заказала точно такой же SILVER, жду доставку 18 ноября. Говорят, что эту модель сняли с производства, во всяком случае это твердят компании по продаже телефонов, но я нашла и очень довольно. Соотношение цена и качество. Супер!</t>
  </si>
  <si>
    <t>2012-10-05</t>
  </si>
  <si>
    <t>Очень неплохие наушники. За свою цену, вполне достойный вариант! Выбирал их в основном для прослушивания музыки и просмотра фильмов на компе (для плеера есть Creative-вкладыши). Существенных минусов не заметил. И не стоит забывать, что это не Hi-End, как писал Юрий. P.s. сборка, кстати, тоже Таиланд, но пока никаких дефектов не обнаружил.</t>
  </si>
  <si>
    <t>1248</t>
  </si>
  <si>
    <t>2010-09-14</t>
  </si>
  <si>
    <t>Сильно захотелось купить xbox 360. Объездил все магазины, нигде нет. Блин, когда уже в Мвидео привезут. А так у друга есть приставка эта. Очень ему нравится. Тож хочу купить.</t>
  </si>
  <si>
    <t>1486</t>
  </si>
  <si>
    <t>2010-10-02</t>
  </si>
  <si>
    <t>недостаток: громко работает,когда по мобильному говоришь,спрашивают,что за танк там у тебя?..)) Но служит и до сих пор! Два года пробыл,после временно отдали в школу,там год пробыл,вернули,точней,доконали -не нагревает воду. отдала в ремонт -гарантия ему год- своим знакомым в ремонт,теперь на даче,зиму прозимовал и работает.</t>
  </si>
  <si>
    <t>4130501</t>
  </si>
  <si>
    <t>Абсолютно бессмысленная и неудобная вещь. Очень плохо нагревает, надо было долго экспериментировать с объемом воды и выставляемым объемом детского питания, чтобы добиться нужного результата. Ибо типовая расчётная таблица воды для подогрева, прилагаемая к прибору, абсурдальна - все получается холодное. Разочарованы страшно.</t>
  </si>
  <si>
    <t>1241</t>
  </si>
  <si>
    <t>2010-11-02</t>
  </si>
  <si>
    <t>Чайник очень красивый и удобный!</t>
  </si>
  <si>
    <t>2010-03-17</t>
  </si>
  <si>
    <t>Качество сборки 4+  Производительность за эти деньги 5+  Батарея 3 часа держит точно  NFS SHIFT пошёл на минималке без единого глюка  Экран очень хорошо передаёт цвета и зерно очень мелкое, даёт ощущение фотографии на экране,  работаю на широком спекторе приложений всё работает 5+  Была единственная проблема: на второй день отказался работать тач пад и пришлось заменить ноутбук.</t>
  </si>
  <si>
    <t>2015-03-03</t>
  </si>
  <si>
    <t>Практически незаметен, а воду греет быстро и нужной температуры, кроме того как термос  ее поддерживает.Электроэнергию расходует экономно,т к имеется автоматический переключатель! Рекомендую всем!</t>
  </si>
  <si>
    <t>2011-03-25</t>
  </si>
  <si>
    <t>Купила наушники супругу на "23 февраля", он очень хорошо разбирается в аккустике и любит качественное звучание! Выбирала долго, не хотелось разочаровать.   И я смогла его порадовать! Супруг в восторге!!! Звук превосходный, "ушки" сидят достаточно удобно, шнур вполне длинный, для домашнего использования замечательная вещь. Именно эту модель советую!  Качество на высоте!</t>
  </si>
  <si>
    <t>2010-02-11</t>
  </si>
  <si>
    <t>Здоровский комп! Подойдет для всего и даже больше! С такой то мощностью!</t>
  </si>
  <si>
    <t>2016-02-23</t>
  </si>
  <si>
    <t>У новой стиральной машинки, которой только 2 года поломался подшипник! НО барабан неразборный!!!Одноразовая стиралка!!!! Деньги на ветер!!!</t>
  </si>
  <si>
    <t>2012-07-14</t>
  </si>
  <si>
    <t>Через 4 месяца крышка рассыпалась на куски. Крышка - больное место многих чайников, но чтобы вот так.. впервые сталкиваюсь с таким плохим качеством, а были разные - и тефаль, и скарлет, и филипок и нонейм.</t>
  </si>
  <si>
    <t>3020101</t>
  </si>
  <si>
    <t>1023</t>
  </si>
  <si>
    <t>2011-01-16</t>
  </si>
  <si>
    <t>Фильм действительно сильный.Посмотреть стоит однозначно.</t>
  </si>
  <si>
    <t>А меня этот мультистайлер устраивает полностью, греется достаточно быстро, кудряшки держатся отлично, выпрямляет хорошо. Попробовала все насадки, всем ОЧЕНЬ ДОВОЛЬНА!!! Не пожалела ни на минуту!</t>
  </si>
  <si>
    <t>118</t>
  </si>
  <si>
    <t>1180102</t>
  </si>
  <si>
    <t>396</t>
  </si>
  <si>
    <t>2010-09-17</t>
  </si>
  <si>
    <t>Брал данный штатив в августе для съемок в путешествие. В целом штатив неплохой, удобный. Но при разборке в очередной n-дцатый раз, нижняя нога начала заедать, а вскоре треснула пластиковая втулка и выпала. Без втулки штатив использовать можно, если нижнюю ногу не выдвигать до максимума.  Сдам по гарантии, посмотрю что скажут.</t>
  </si>
  <si>
    <t>47</t>
  </si>
  <si>
    <t>2010-01-22</t>
  </si>
  <si>
    <t>Вот уже 3 месяца как куплен ноутбук. Все устраивает, дизайн впечатляет, мощная видеокарта, в играх не греется сильно? т.к.процессор AMD нового поколения. Хорошая комплектация + брала сразу с Windows7HP. Корпус не маркий, приятный на ощупь, отпечатков пальцев не остается. Если музыку слушать, нужна акустика - просто громкости не хватает. Рекомендую,+5.</t>
  </si>
  <si>
    <t>1934</t>
  </si>
  <si>
    <t>2010-09-02</t>
  </si>
  <si>
    <t>Купила 5 лет назад. плюсы - ни разу не ломался, очень удобен, блендер - супер. минусы - 1. иногда запах, как при коротком замыкании, 2. мясо либо рубит на разного размера куски, либо делает кашицеобразным, 3. для овощей терка двусторонняя не очень устраивает, т.к. одна сторона очень мелко трет, а другая Очень крупно, хотелось бы чтоб терла мелко и средне, 4. некуда девать насадки, 5. при покупке выбирала между этой и с большим кол-вом насадок, но продавец убедил меня, что если понравится модель, то дополнительные насадки я смогу докупить, а потом выяснилось, что их отдельно не бывает. очень расстроилась.</t>
  </si>
  <si>
    <t>2010-05-23</t>
  </si>
  <si>
    <t>Хорошое чистое звучание, для себя немного завысил в эквалайзире басс. На мой взгляд, идеально подходят для прослушивания прогрессив рока, классики и транса. Оставили очень хорошее впечатление.</t>
  </si>
  <si>
    <t>2009-12-21</t>
  </si>
  <si>
    <t>Отличная машинка: большой люк для загрузки, не шумит, имеются все функции, которые необходимы. Я довольна, оценка 5+.  Рекомендую!!!</t>
  </si>
  <si>
    <t>1497</t>
  </si>
  <si>
    <t>Хорошая штука. Главное грамотно повесить наружный датчик - чтоб не на солнце и не на ветру. В первом случае будет врать температура, во втором влажность (а соответственно и прогноз). Я с наружной стороны окна под верхним козырьком повесил. Окна на юг. В нашей местности такого низкого солнца не бывает и от ветра защита неплохая. Да и снег не налипает.  Минусы. А где их нет. Контраст экрана мог быть и получше, крепеж на стену не помешал бы. Будильник повеселее. Радиоконтроль работающий (а не раз в три месяца, когда погода позволяет). А то знакомые понапокупали - потом звонили и спрашивали, почему вдруг у них часы сами собой переводятся?  Да и автоматическое переключение лето/зима. И время по радиоконтролю GMT, а не GMT+1. И в инструкции написать, как радиоконтроль совсем выключить. И кто мне скажет - нафига там еще и язык устанавливается? Разве, от этих установок хоть что-нить зависит? Бесит необходимость при замене батареек в датчике станцию с ним дружить (путем сброса и перенастройки). Про давление в "ненаших" единицах тут все писали.  Да и про ветер от погодный станции хоть чего-то ожидается. Но... Датчик не той системы.  Но, несмотря на все, я штуковиной вполне доволен. Своих денег она точно стоит. Задачи, на нее возложенные, решает весьма успешно. На полке смотрится изумительно, к давлению в паскалях привыкаешь быстро (ведь по сути надо высокое-нормальное-низкое, а конкретная цифра так...). Одним словом рекомендовал и рекомендую.</t>
  </si>
  <si>
    <t>2188</t>
  </si>
  <si>
    <t>2016-05-22</t>
  </si>
  <si>
    <t>Купил,установил,проверил все отлично  нигде не капает.У нас общежитие ждем отключения воды;-)  Отпишусь в июне.</t>
  </si>
  <si>
    <t>2015</t>
  </si>
  <si>
    <t>2010-03-19</t>
  </si>
  <si>
    <t>Это невероятная игра. Сравниться с ней может разве что Фаренгейт. В данном тайтле ранние игровые идеи получили логическое развитие. Великолепнейшая графика и увлекательный геймплей. Это game-cinema - новый шаг к полной реалистичности и непередаваемым ощущениям от игры.</t>
  </si>
  <si>
    <t>1070904</t>
  </si>
  <si>
    <t>Пользуюсь ТВ около 3-х месяцев. Все отлично кроме одного НО, сначала выбесила мелодия при вкл/откл, которую убрать невозможно. Точнее она убирается, но при включении снова есть. Затем обратил внимание, что так же происходит и с настройками ТВ, они тоже сбрасываются после выключения. Задумываюсь над обновлением прошивки. Судя по инету ее делают на данную модель только в сервис центрах. Если кто знает как решить данную проблему, помогите. Заранее благодарен. А так ТВ очень хорош, особенно соотношением цена/качество.</t>
  </si>
  <si>
    <t>2013-06-24</t>
  </si>
  <si>
    <t>В целом машинкой довольна, кроме одного: для меня важным критерием было наличие оверлочной строчки, однако я ее так и не нашла. Может я не туда смотрю ))</t>
  </si>
  <si>
    <t>2016-10-09</t>
  </si>
  <si>
    <t>Пылесос работал год, умер двигатель. Поменяли по гарантии бесплатно ( гарантия 3 года от Samsung). Через год ситуация повторилась, опять умер двигатель. Эксплуатировали согласно инструкции. НЕ РЕКОМЕНДУЮ.</t>
  </si>
  <si>
    <t>1843</t>
  </si>
  <si>
    <t>2010-08-31</t>
  </si>
  <si>
    <t>Отличный бук.  Пользую 2 месяца.   Появились подвисания на 1 сек примерно в играх (при подгрузке меню скажем или при использовании магии, или при выстреле, думаю это происходит при обращении к диску) но это скорее от засоренности системы, так как поставил на него все чего только могло прийти в голову )))  Диоды синие ядовито горят - раздражает, заклеил черным скотчем ^_^, выключать лень )  Есть маленькие царапины... но не критично.  Появился 1 битый пиксель, то же не критично (видно его только на черном фоне, да и то надо присматриваться.)  Клавиатура удобная. (немного гуляет но то же не критично)  Блютуха есть, просто надо найти где она включается =)  Попарился что бы найти КАК скроллить на таче ( двумя пальцами, пришел к выводу - удобнее чем слева выделенная полоса)  Звук обычный для буков.  ВЫВОД: Отличный бук за эту цену, действительных недостатков нет, только плюсы =)</t>
  </si>
  <si>
    <t>317</t>
  </si>
  <si>
    <t>Соотношение цена - качество  просто идеальное.  Не дорогой, мощный, хорошо дует и не жжот волосы.   Пользовалась 2 года, сгорел по моей вине, купила такой же.     Отличная модель!</t>
  </si>
  <si>
    <t>1385</t>
  </si>
  <si>
    <t>2016-07-26</t>
  </si>
  <si>
    <t>Подключение  Минимальное давление воды 0.05 атм   Максимальное давление воды 0.7 атм       МВИДОС,     - абщета ,    МПа ...   это очень важно , аж в 10 раз!</t>
  </si>
  <si>
    <t>3142</t>
  </si>
  <si>
    <t>2009-12-17</t>
  </si>
  <si>
    <t>после месяца использования телевизора понял, что я ошибался( предыдущий отзыв) телевизор в качестве монитора для просмотра фильмов в HD качестве 5+, кабельное 4 (каналы переключает быстро), sps 3 5+.  Но..... Звук отстойный, на некоторых каналах динамики сильно хрипят...    Помогите!!! Как обновить прошивку?? скачал с оф сайта, залил на флэшку, вставил в тв и.... дальше что????  заранее благодарен.</t>
  </si>
  <si>
    <t>Купили больше года назад, полет нормальный, всем довольны. Собирались покупать Бош или Сименс, но продавец предложил именно Электролюкс, так как у немцев производство Испании и дороже, а тут Германии и дешевле. Выбором остались довольны :-)</t>
  </si>
  <si>
    <t>204</t>
  </si>
  <si>
    <t>2040202</t>
  </si>
  <si>
    <t>2009-10-12</t>
  </si>
  <si>
    <t>Первоначально выбор стоял между MacBookAir и MacBookPro. Эир чрезвычайно привлек габаритами, но 2 неприятности: во-первых, пришлось бы еще внешний привод таскать, во-вторых, Lan-соединения так я в нем и не нашел. Да и на Про системка поновее. Также порадовал вес.  В общем - доволен!</t>
  </si>
  <si>
    <t>4130201</t>
  </si>
  <si>
    <t>Набор очень нравится. У меня он супер работает. Никаких нареканий нет. Зарядку долго держит, по 2 недели не заряжаю</t>
  </si>
  <si>
    <t>Для начала об игре как о гонках. Все мы любим НФС и уже почти не видим конкурентов. В этой же игре нет ничего общего с НФС, так что если кто ищет чего нового, так вот оно! В игре машины нельзя преображать, как есть так и ездишь. Машины выигрываются постепенно. всего 75 авто и 4 мотоцикла. Во время гонки можно свернуть куда угодно и поехать вглубь города, не как в НФС, где на каждом повороте ограждения и ты хоть и в городе, но всё равно с трассы никуда не денешься. Много интересных режим гонок, особо радуют те, где надо разбить много машин для победы, или та где тебе надо доехать до цели и не разбиться, а по дороге тебя будут разбивать соперники. В игре нет знаменитых марок машин, все машины похожи на знаменитые, но называются по своему, как обычно делают в ГТА. И да аварии там просто шикарны!    Ну и об отличии полной версии от обычной. Конечно радостно что всё полностью на русском языке. Теперь день сменяет ночь и так далее, в обычной был постоянно день. Появились мотоциклы. И вопрос который меня лично больше всего волновал, можно ли играть на двоих? НЕТ! можно соревноваться хоть восьмером, но всё это на одном геймпаде по очереди ((</t>
  </si>
  <si>
    <t>2011-05-07</t>
  </si>
  <si>
    <t>Этим феном пользуюсь 3 года, подарили на День Рождения. Никаких нареканий нет, очень сильно дует, что в свою очередь быстро сушит волосы. Ничего лишнего нет, например насадок и щеток разных. Ионизатором не пользуюсь, поэтому ничего сказать не могу. Для тех кому нужен обычный фен, который сильно дует, эта модель для вас!</t>
  </si>
  <si>
    <t>373</t>
  </si>
  <si>
    <t>2016-05-23</t>
  </si>
  <si>
    <t>не покупайте данный пылесос...  1. не съёмный второй контейнер...   2,дубовые насадки..настолько дешевы ,что просто клацают по полу... а не убирают.  душный пластик -похоже на китайскую игрушку....  3.бош уже не бош...</t>
  </si>
  <si>
    <t>2010-05-14</t>
  </si>
  <si>
    <t>только вчера купил и уже опробовал, чудная вещица, очень удобная и простая в применении, рекомендую очень</t>
  </si>
  <si>
    <t>2207</t>
  </si>
  <si>
    <t>Симба удобна, потому и нравится эт факт - все знакомо. Все круто, но ничего оказывается нового в мире не придумали. Стало лишь мощнее, лучше, крупнее.</t>
  </si>
  <si>
    <t>2016-02-13</t>
  </si>
  <si>
    <t>Купили недавно такую вытяжку на кухню, муж установил её в два счёта. Очень проста и удобна в использовании, ничего лишнего. Красивая! Смотрится интересно, места не занимает лишнего. Управление простое, есть три основных скорости. Чаще пользуюсь первой, реже второй, третьей однажды пользовался муж и сказал, что она очень мощная. Поэтому оставили её для особых случаев, когда приходят курящие гости, и нужно постоянно вытягивать воздух. Кстати, со своей основной работой, а именно вытягиванием лишних запахов она справляется прекрасно, тут вообще придраться не к чему! Нет никакого ощущения духоты, на кухне стало легче  находиться во время готовки. Мощная и при этом не шумит, что меня удивило. Фильтры моются легко и просто, особенно если есть посудомоечная машина, как у нас.</t>
  </si>
  <si>
    <t>55</t>
  </si>
  <si>
    <t>416</t>
  </si>
  <si>
    <t>2010-12-06</t>
  </si>
  <si>
    <t>купили, подключили сами.  Пользуемся 3ий месяц, нареканий нет</t>
  </si>
  <si>
    <t>4010701</t>
  </si>
  <si>
    <t>936</t>
  </si>
  <si>
    <t>2016-03-11</t>
  </si>
  <si>
    <t>Для новой квартиры была приобретена новая техника, в т.ч. и комплект встраиваемой техники Hansa BCCI66136077 (варочная поверхность+духовой шкаф) и вытяжка, тоже Hansa. При выборе она подкупила своим дизайном и страной-производителем (Польша).Элементы под шлифованную сталь, утапливаемые ручки стали дополнительными аргументами в ее пользу. Дождались доставки из магазина, через несколько дней установили всю эту конструкцию в новый кухонный гарнитур. Прокалили ее, как написано в инструкции и стали использовать в обычном порядке. Радовались ее внешнему виду и качеством приготовленной на ней пищи. Но, к огромному сожалению, радость была недолгой. Не прошло недели, как при приготовлении выпечки раздался очень громкий хлопок, похожий на "взрыв". Хорошо, что жена в это время находилась в ванной комнате. Примчавшись из ванны на кухню, она обнаружила разбитую вдребезги наружную стеклянную дверь и осколки по всей кухне (на площади в 11 квадратных метров). А что могло бы произойти, находись жена у плиты??? Как минимум порезы и ссадины, а максимум...и думать нет никакого желания. Каким образом эта продукция продается в наших магазинах? Нашему возмущению нет предела. Звонки в сервисный центр оставили очень неприятные ощущения. На собственном примере заявляю - комплект встраиваемой техники Hansa BCCI66136077 несет потенциальную угрозу жизни и здоровью пользователей. Ни в коем случае не приобретайте эту технику. Судя по всему, мы не единственные. Покопавшись в просторах интернета, я нашел несколько подобных случаев с техникой Hansa.</t>
  </si>
  <si>
    <t>Хороший компьютер, хорошая цена. Особенно удивляет процессор с его быстродействием...супер!</t>
  </si>
  <si>
    <t>1970</t>
  </si>
  <si>
    <t>Плеер супер)))  ниразу не пожалела что его приобрела...  достойная замена Ipod'у...  всем советую,..наушники в комплекте супер,великолепные,на морозе не скукоживаются..))  все советую!!!</t>
  </si>
  <si>
    <t>3030601</t>
  </si>
  <si>
    <t>2870</t>
  </si>
  <si>
    <t>2011-06-29</t>
  </si>
  <si>
    <t>Игра супер,большой выбор автомобилей,графика отличная,в общем игра супер!!!</t>
  </si>
  <si>
    <t>49</t>
  </si>
  <si>
    <t>2011-07-11</t>
  </si>
  <si>
    <t>Купили машинку в декабре и очень довольны. Работает тихо, даже забываешь, что идет стирка! Большой плюс - большая загрузка (т.о. экономия воды, все белье в одну стирку можно поместить).   Единственный минус-это электронное управление, механика конечно надежнее. У нас 5-ти этажный дом и напряжение скачет, в связи с чем, при включение в сеть еще каких-либо электронных приборов, машинка начинает отключаться.</t>
  </si>
  <si>
    <t>2902</t>
  </si>
  <si>
    <t>2010-07-15</t>
  </si>
  <si>
    <t>Купил в М-Видео за 8000р. Пользуюсь пару недель. В целом - доволен. Свою функцию выполняет в меру своей мощности, нешумный. Однако нет в нем ночного режима (заявленного на сайте) и окошко в центре не является дисплеем - это всего лишь приемник сигналов ДУ. И еще: при установке мастера обратили внимание на некоторую "бюджетность" исполнения внешнего блока, хотя и не критичную</t>
  </si>
  <si>
    <t>2879</t>
  </si>
  <si>
    <t>Забавный случай. Купил дочке, взглянув на рейтинг 12+. Результат: жалоба в духе "слишком сложно!".  Результат 2: засел играть сам так, что за уши не оттащишь. Слишком затягивающая, но для ребёнка не подойдёт: он будет просто не в состоянии прокачивать персонажей до 9999 уровня, затем сбрасывать весь опыт и качаться по-новой ради повышенных характеристик. А вот для более-менее взрослых лиц - самое оно. Да и игра наполнена юмором, понять который сможет только заядлый поклонник аниме и видеоигр, но никак не ребёнок.</t>
  </si>
  <si>
    <t>686</t>
  </si>
  <si>
    <t>2016-03-22</t>
  </si>
  <si>
    <t>Данный аппарат нам подарили. Сначала отнеслись скептически, но после первой открытой банки мнение поменялось. Жене показал как пользоваться ножеточкой - потеряла в лице меня помощника на кухне))!</t>
  </si>
  <si>
    <t>2866</t>
  </si>
  <si>
    <t>2011-05-27</t>
  </si>
  <si>
    <t>Купили утюг, утюг отличный, паровой удар позволяет быстренько разглаживать сложные ткани, с таким утюгом гладить стало гораздо проще и приятнее!</t>
  </si>
  <si>
    <t>4130601</t>
  </si>
  <si>
    <t>2015-04-27</t>
  </si>
  <si>
    <t>Взяла ее года 4 назад и ни разу не пожалела о такой трате. Очень удобно - зарядки для одного человека при 2 разовом использовании хватает дней на 5, можно брать с собой в короткие поездки без зарядного устройства. Менять насадки элементарно просто. Чистит хорошо, у меня были проблемы с деснами и уже на протяжении 4 лет этих проблем у меня благо нет, спасибо щеточке за это. Можно брать с собой в отпуск как семейную щетку - просто для каждого отдельную насадку приобретаете и все ok. Щетка очень эргономичная - в руке сидит хорошо. Управление элементарное. Индикатор показывает когда батарея начинает разряжаться, мощность чистки при этом несколько снижается (со временем сами начнете замечать. Зарядное устройство лаконичное и простое-бесконтактная зарядка и можете не беспокоиться, что куда-то попадет водичка и что-то замкнет. И сама щетка настолько удобна что ей можно пользоваться хоть под водой - никакая жидкость в нее не попадет и ничего не замкнет.   Отличная покупка и очень удачное вложение денег в свое здоровье.   Я бы попросила производителей придумать для щетки какой-нибудь кейс, сумку для транспортировки - было бы идеально если бы он шел в комплекте.</t>
  </si>
  <si>
    <t>525</t>
  </si>
  <si>
    <t>2010-03-15</t>
  </si>
  <si>
    <t>Доволен.очень удобен.нареканий нет.</t>
  </si>
  <si>
    <t>2010-01-15</t>
  </si>
  <si>
    <t>Хочу сказать вам откровенно, качество звука низковатое, что для сони не приемлемо, эквалайзер кошмарный, нормального звучания не добиться никак, как ни крути, в прямом смысле этого слова. Функция "Bass", создает качество звука на подобии кассетного магнитофона. Без комментариев. Вобщем ребята, я не знаю по каким критериям вы оцениваете (как описано выше) или чем слушаете, но данный плеер при его цене не рекомендую никому, кто ценит музыку. А кому нужно месиво из баса и высоких частот, то пожалуйста...Кратко. Удачи вам.</t>
  </si>
  <si>
    <t>1522</t>
  </si>
  <si>
    <t>ОЧЕНЬ ГРОМКАЯ во время любого цикла стирки,  электронное управление - большой минус, если дома есть ребенок и в спешке загружаете машинку, можете забыть добавить отжим или выбрать температуру. за эти деньги можно приобрести индезит и не знать забот, купили в большой спешке , никому не советую!</t>
  </si>
  <si>
    <t>3073</t>
  </si>
  <si>
    <t>По началу вроде понравился!Кипятит быстро,подсветка синяя при выключенном состоянии и красная при работе.Но спустя недели две стал появляться запах пластмассы,и чем дальше тем больше.Чай из него стало не возможно пить.В итоге пришлось купить новый.Непонятно,что за пластмасса используется при его изготовлении!</t>
  </si>
  <si>
    <t>251</t>
  </si>
  <si>
    <t>2014-11-24</t>
  </si>
  <si>
    <t>Для меня лично штука бесполезная, ничего не завивает даже немножко.</t>
  </si>
  <si>
    <t>2014-10-28</t>
  </si>
  <si>
    <t>Очень понравилась, и до этого пользовался этой фирмой , хорошее скольжение, триммер для выравнивания!!! просто качественное бритье !!! без выдёргивания волос, долго не разряжается, просто чудо технологии ))) спасибо за возможность комфортного бритья!!))</t>
  </si>
  <si>
    <t>843</t>
  </si>
  <si>
    <t>2009-09-07</t>
  </si>
  <si>
    <t>так та нормальная игра, но плохо ,что обновляется бесперерывно</t>
  </si>
  <si>
    <t>1226</t>
  </si>
  <si>
    <t>2009-09-25</t>
  </si>
  <si>
    <t>Привезли мне эту вытяжку 14 сентября. Поначалу всё было в порядке... Индикация скорости всегда появлялась на дисплейчике в виде цифры от 1 до 3, в зависимости от выбранного режима... Но вот, спустя 9 дней, вместо номера скорости стал появляться знак в виде буквы "С", вне зависимости от того какая в данный момент стоит скорость. Когда устанавливаешь 15-минутный таймер, то вместо мигающей цифры всё та же мигающая "С". Вроде бы ничего страшного, но всё равно очень неприятно, что не всё как положено. Так что сейчас вместо индикации, определяю по звуку, какая в данный момент включена скорость - чем громче, тем соответственно больше)))  Даже и не знаю, что сейчас делать, вытяжка намертво прикреплена к стене, снимать и везти в ремонт нет желания...  Техническими характеристиками и производительностью пока доволен, внешним видом тоже... Время покажет, насколько она надёжна.</t>
  </si>
  <si>
    <t>2704</t>
  </si>
  <si>
    <t>Пользуюсь этим феном уже несколько месяцев. Фен замечательный, можно даже сказать почти профессиональный. Очень мощный, сушит быстро. Для такой совсем недорогой цены-качество просто супер! Единственный,малозначительный минус-это то, что фен может показаться немного тяжеловатым, но в любом случае на 2й и 3й сразу привыкаешь. Вообщем пользуюсь и наслаждаюсь!</t>
  </si>
  <si>
    <t>2011-08-17</t>
  </si>
  <si>
    <t>Доброго времени суток! Вот некоторые важные моменты, которые нужно учесть при работе с данной моделью пылесоса:  1. Не используйте порошок, заменитель шампуня, который находится в комплекте. В воде он не растворяется и забивает форсунку на распыляющей насадке. Многие покупатели несут пылесос обратно именно по этой причине, считая, что пылесос не функционирует.   2. При заполнении водой емкостей следите, чтобы её уровень не превышал отметок, нанесённых на контейнерах.  3. Если при работе в аквафильтре образуется много пены, значит на обрабатываемой поверхности присутствует какие-то моющие средства, либо это следствие использования шампуня не для моющих пылесосов. Шампунь для моющего пылесоса имеет низкий коэффициент пенообразования.</t>
  </si>
  <si>
    <t>2014-08-27</t>
  </si>
  <si>
    <t>В целом мясорубка очень даже не плохая, по мотору нареканий не имею , но как всегда есть одно , но шестерня на шнеке слабовата спустя 2 года использования с точилась и при загрузки мяса , шнек просто не крутился , пришлось купить новый . Мелочь , а не приятно!!! Поэтому 4!</t>
  </si>
  <si>
    <t>Данный прибор оказался намного удобней привычного мне утюга. Вначале показалось,что провода эти будут мешаться, оказалось нет! Гладить намного удобней и легче, не нужно по два раза одно место проходить. Почему пишу как знаток? Потому, как, свои вещи предпочитаю приводить в порядок сам, еще с армии. В общем понял,что парогенератор это вещь!</t>
  </si>
  <si>
    <t>1932</t>
  </si>
  <si>
    <t>2014-10-04</t>
  </si>
  <si>
    <t>Использую около трех лет и никаких нареканий, только положительные эмоции!  Специально искала панель с четырьмя отдельно стоящими решетками- очень удобно мыть. Всем советую!</t>
  </si>
  <si>
    <t>2013-01-20</t>
  </si>
  <si>
    <t>Также как и Елена из Рязани долго выбирала утюг по отзывам. Купила только недавно, поэтому сильные эмоции высказать не могу, но первое впечатление приятное, правда громко шипит.</t>
  </si>
  <si>
    <t>2459</t>
  </si>
  <si>
    <t>Он удобный, легкий, со своей задачей справляется. Действие ионизации заметно, волосы совершенно не электризуются, как было со старым выпрямителем.  Но, соглашусь с Анастасией, кнопка вкл/выкл очень неудобно расположена. И керамические пластины близко к краям находятся, пару раз обжигалась</t>
  </si>
  <si>
    <t>Пылесос оценили! отличная вещь, собрал в нашей квартире за два раза столько пыли сколько старый пылесос не собирал за год! мы приятно удивлены.</t>
  </si>
  <si>
    <t>2010-04-01</t>
  </si>
  <si>
    <t>Ребята, вот Вы здесь все ставите этому ноуту высшие оценки.. А объясните за что такие деньги?? За эти же деньги можно взять Sony Vaio, который не уступает по стильному дизайну, а технические параметры даже лучше(оперативная память, жесткий диск, диагональ, частота и тд). Так за что платить такие деньги? Чем он лучше других? Расскажите, пожалуйста. Просто сейчас стою перед выбором ноутбука..Хотелось бы услышать совет знающего в этих делах толк</t>
  </si>
  <si>
    <t>Звук воздействует на ушную раковину, а не на слуховой канал - это и есть их преимущество за смешные деньги. Стабильное из года  в год качество звука и культура производства и не высокая цена. Чаши не на шарнире - будут потери в басах на голове взрослого, школьникам самое оно.</t>
  </si>
  <si>
    <t>1640</t>
  </si>
  <si>
    <t>очень плохая бритва, аккумулятор сдох на 5 мин работы</t>
  </si>
  <si>
    <t>Хорошая плита. Особенно полезна функция  быстрого разогрева конфорок - теперь она у меня полноправный соперник с свч-печкой.  Несколько неприятно отсутствие в комплекте кабеля питания - но с другой стороны, вариант бюджетный (это здесь такая цена, обычно стоит 17-18 тыс.) а кабель от старой плиты использовать можно.</t>
  </si>
  <si>
    <t>2130</t>
  </si>
  <si>
    <t>2016-12-24</t>
  </si>
  <si>
    <t>Всё</t>
  </si>
  <si>
    <t>2245</t>
  </si>
  <si>
    <t>2010-03-02</t>
  </si>
  <si>
    <t>ЖКашка достойная внимания.Картинка при сравнении с соньками той же ценовой категории, как мне показалось, более впечатляемой кажется. Белый оттенок правдоподобнее что-ли. Но в общем покупкой доволен. Телевизионные телепередачи с плохим сигналом так себе показывает, но при должном сигнале отображение всего происходящего  на матрице 42" ЗАМЕЧАТЕЛЬНОЕ. С блю-рея дисков и матрешек обьемом за 10 Гб изображение шикарное, и с AVI в 1,5 Гб тоже смотрится не плохо. Подстройка разных форматов более менее адекватная, но все же не до ума доведенная, не может обрезать боковые стороны(наверное самый ощутимый недостаток в этой модели) и меню немного перемудрено... Всю фильмотеку второй месяц пересматриваю. Одно но есть - диагональ маловата будет. После недели глаза адаптируются к диагонали и хочется побольше. НО цена вот только в полтора раза выше за 47" по сравнению с 42". А LG приобретать - рука не поднимается...Удачной покупки:)</t>
  </si>
  <si>
    <t>1460</t>
  </si>
  <si>
    <t>2011-07-22</t>
  </si>
  <si>
    <t>Трипод понравился. Легкий, в то же время достаточно прочный и устойчивый в рабочем положении. Быстро раскладывается/складывается (30-40 секунд при неспешных телодвижениях - засекал). Голова из металла и достаточно мобильна, легко настраивается. Съемная площадка - само собой есть. Можно со временем докупить шаровую головку для компактности (что я и сделал, но с родной головой работать больше понравилось - наверное, шарик слабенький-маленький взял :) ).  Центральная колонна - разборная, можно перевернуть её и фоткать "вверх-тормашками" (не пробовал). А если открутить нижнюю часть центральной колонны и ноги раскорячить в стороны, то фоткать можно почти вплотную к земле. Так что с трансформационными возможностями - без проблем.  Трипод можно носить как в прилагаемом чехле, так и без него (у меня - фоторюкзак), длина в сложенном состоянии около 40 см - самое то.  Оценку снизил бы за цену (в некоторых магазинах в Москве после поиска можно почти в полтора раза дешевле взять), но я брал по подарочной карте и не в Москве, так что в данном конкретном случае - без претензий.  Покупкой доволен. Использую в паре с Nikon D3000 + разные объективы (55-200 - самый длинный).</t>
  </si>
  <si>
    <t>Телевизор после покупки и подключения дома радовал ровно 7 минут, затем стал сам выключаться и включаться, перестал раегировать на пульт и нажатия не сенсорной панели. Перепрошивка ПО с сайта Самсунг не исправила ситуацию - пойду завтра возвращать обратно.</t>
  </si>
  <si>
    <t>Приобрел его давно. Отличная модель, разогревает полный бак минут за 40, что незаменимо для домов, где по полгода нет горячей воды. Удобный почти сенсорный)дисплей, стильный металлический корпус. Рекомендую.</t>
  </si>
  <si>
    <t>2012-04-28</t>
  </si>
  <si>
    <t>Замечательная игра не только как для компании, но и для семьи в целом! Племянник играет вместе с нами, да ещё и обыгрывая всех! (ему 4 года) Интересно, невозможно оторваться!</t>
  </si>
  <si>
    <t>2010-07-05</t>
  </si>
  <si>
    <t>отличный монитор)) качество лучше цены)) работает пол года нареканий нет) удачное приобретение)</t>
  </si>
  <si>
    <t>3040102</t>
  </si>
  <si>
    <t>2304</t>
  </si>
  <si>
    <t>2010-07-20</t>
  </si>
  <si>
    <t>Классная вещь, играла в неё в Германии, там каждая семья имеет Нинтендо! У кого есть возможность приобретайте, не пожалеете. Подходит весело проводить свободное время с друзьями и семьёй(качество игр намного лучше чем через компьютер)!</t>
  </si>
  <si>
    <t>972</t>
  </si>
  <si>
    <t>Psp go очень хорошее устройство-psp go компактный компьютер!!) Который можно носить куда угодно. У меня были (psp 2008 slim&amp;lite psp 3008 psp go) Но мне больше всех понравилась psp go</t>
  </si>
  <si>
    <t>Купили пылесос неделю назад!  Огромное спасибо продавцам - консультантам в \"М-Видео\"!  Теперь о пылесосе - отличная вещь! Пыль собирает на УРА!В доме маленький ребенок и животное, обожающее линять - то есть кошка, с предыдущим пылесосом такой чистоты не было, всю кошачью шерсть с ковров убрал. А турбо щетка это отдельная песня - ковры с длинным ворсом - ворс приподнимает и всю грязюку собирает. Таких чистых и если можно так сказать расчесанных ковров я не припомню. Про чистку турбо щетки - это не трудно - даже волосы длинные, вы же расческу простите за собой чистите! Про удары статического электричества - в инструкции об этом написано! И товарищи курс физики в школе вспомните и все вопросы отпадут - при такой мощности. Да конечно можно было бы и изоляцию где-то сделать или пылесосить только за пластиковую часть, но на полной мощности таки накапливает это электричество - я думаю у производителей все впереди. Попробовали пройтись на полной мощности по линолеуму - во время остановились - приподнимает!Конечно на вкус и цвет сойтись с кем либо сложно, а вот от меня пылесосу - спасибо!</t>
  </si>
  <si>
    <t>503</t>
  </si>
  <si>
    <t>5030401</t>
  </si>
  <si>
    <t>954</t>
  </si>
  <si>
    <t>2334</t>
  </si>
  <si>
    <t>2011-08-01</t>
  </si>
  <si>
    <t>Подключены к LED-телевизору, звук нормальный. Но на компе звук оказался вообще обалденный, чувствуется вся глубина басов, видимо звуковуха сильно влияет.   еще ни разу не слушал на полную мощность - на 70% очень громко.  басы лучше всего в среднем положении установить.  из минусов - разъем входного сигнала слабоват, трещит.</t>
  </si>
  <si>
    <t>2010-05-17</t>
  </si>
  <si>
    <t>Полгода назад мы купили хлебопечку, за это время магазинный покупали только два раза. все довольны,  всем советуем.</t>
  </si>
  <si>
    <t>У меня предыдущая модель этой щетки, лучшего фена не найти...спокойный горячий воздух...стой и укладывай на здоровье. Стало страшно, что может сломаться и т.к. модель больше не продается, купила эту...Я в недоумении?!!!!?? Дует слегка теплый воздух (как таким уладывать?) но самое интересное...Хочу я допустим уложить кончики волос внутрь....ну или наружу..(фен же щетка? для укладки?) а поток воздуха просто СУМАШЕДШИЙ, даже на минимальном режиме. Волосы просто вылетают из щетки! Как так??? Производители вообще пробовали им укладывать? Вообщем отличная альтернатива ОБЫЧНОМУ фену для сушки....но никак не для укладки.</t>
  </si>
  <si>
    <t>1588</t>
  </si>
  <si>
    <t>2013-10-23</t>
  </si>
  <si>
    <t>Очень удобный, качественный, хороший штатив. На природе незаменимая вещь. Рекомендую всем!!!</t>
  </si>
  <si>
    <t>4060201</t>
  </si>
  <si>
    <t>2012-06-27</t>
  </si>
  <si>
    <t>Потек кувшин на 3-й день, конструкция крепления ножа в принципе не подразумевает его долговечную работу, тоненькие пластиковые зажимы которые держат тяжелый стеклянный кувшин. Полное разочарование. Поменял.</t>
  </si>
  <si>
    <t>2010-10-26</t>
  </si>
  <si>
    <t>Великолепный комп.  Приобрёл для своих постоянных клиентов, сегодня, удалось "поиграться" часа три в процессе подготовки к использованию. Сам являюсь обладателем Acer X3810 с четырёхъядерником и 4 гигами оперативки - моделью предыдущего поколения. Замечу сразу, большинство мелких недочётов, немного раздражающих в сериях X3300-X3810,-12, здесь устанено - Acer неплохо поработал над ошибками. Удобная кнопка включения, не слишком яркая при работе в темноте, тихо закрывающийся лоток DVD-привода, более строгий "квадратиш" дизайн без выступающих элементов (легче протирать от пыли), улучшенная вентиляция видеокарты - теперь ей намного легче поддерживать приемлему температуру за счёт дополнительных отверстий в верхней стенке корпуса, а значит, под нагрузкой вроде игр или видеозахвата комп будет работать тише. Меньше стало глянцевых поверхностей - и это опять-таки запишу в плюс данной модели. Наконец-то Acer сменил поставщика жёстких дисков - теперь эти модели комплектуются винтами WD, весьма тихими, холодными и надёжными. К сожалению, Hitachi в предыдущих моделях гораздо сильнее греются - 60 градусов (у себя заменил на Seagate ST3500418AS, 50 градусов).  Данный комп комплектуется неплохим набором софта - 64-битной "семеркой" Домашняя Базовая, также несёт на борту облегчённую версию Nero, пакет Microsoft Works, хотя приятнее было бы видеть вместо него MS Office Starter, утилиту для удобного управления горячими клавишами и экранным меню, утилиту шифрования WinLocker, дополненную функцией надёжного удаления данных, и фирменную мультимедийную оболочку для удобного просмотра медиафайлов Acer, дополняющую функционал ОС.  Также, был замечен пакет безопасности McAfee Internet Security, но лишь на 15 дней использования. Его можно заменить 90-дневной пробной версией Northon Internet Security, как я и сделал. Имеется огромный набор мини-игр, но их срок действия ограничен - примерно час на каждую игру.  Комп укомплектован фирменной системой восстановления Acer eRecovery, которая пригодится в особо тяжёлых случаях. Диски восстановления не входят в комплект - производитель прикладывает 2 чистые болванки DVD для их самостоятельного созлания с помощью этой утилиты. Небольшой казус случился при создании этих дисков - программа в процессе создания запросила 3-й - не хватило места, а его как на грех не оказалось под рукой. Рекомендую Обязательно приобрести пару болванок в дополнение к комплектным и выполнить процедуру создания дисков восстановления - это сохранит ваше время, нервы и деньги, уж поверьте. Хотя бы их часть.  По конфигурации - комп собран из комплектующих с выдающимся соотношением цены и качества, особенно это касается видеокарты и процессора. Девиз компа - максимум производительности за минимум денег, и он этот девиз честно отрабатывает. Комплектные клавиатуру и мышь требовательным пользователям стоит заменить на что-то более комфортное. Да, в комплекте есть переходник для подключения мониторов DVI-VGA.  Закончу тем же, чем и начал - великолепный комп!)</t>
  </si>
  <si>
    <t>346</t>
  </si>
  <si>
    <t>2012-07-04</t>
  </si>
  <si>
    <t>Немцы знают свое дело! Купил данную мойку сегодня. Приехал, за пять минут собрал и сражу же начал мыть машину! Залил в емкость моющую жидкость. Ополоснул машину(давление просто замечательное), поменял насадку(простой и удобный фиксатор вам поможет в этом), обрызгал машину пеной, подождал и смыл! Все, машина блестит, даже не вытирал тряпочкой! На задней стороне мойки есть сеточка, в нее можно положить провод питания и всякую мелочевку, например фильтр воды(купите его сразу, на дольше хватит автомойку!)Посмотрим, что будет дальше, всем советую!</t>
  </si>
  <si>
    <t>2014-04-19</t>
  </si>
  <si>
    <t>Пользуюсь им уже больше года.Сильно жужжит! причем и основной, и который для деликатных зон. Пинцет - просто классная штука. Со временем эпилятор стал волоски не вырывать с корнем, а обрывать, из-за чего приходилось делать эпиляцию гораздо чаще. Эпиляция занимает около часа,а в целом покупкой довольна!</t>
  </si>
  <si>
    <t>268</t>
  </si>
  <si>
    <t>2011-02-02</t>
  </si>
  <si>
    <t>Совсем недавно купили этот телевизор. Уже в первый день появилась неполадка. Когда подключаю игровую приставку через HDMI нет звука, только изображение. Приходится несколько раз выдернуть и по-новой вставить кабель. Тогда всё нормально. А когда во время игры включена настройка HD Natural Motion бывает такое, что телевизор просто щёлкает и выключается. Спустя несколько секунд опять сам включается. И всего у телевизора 4 входа HDMI, но кабель до конца входит только в один! А в остальные три входа кабель просто не влезает до конца.</t>
  </si>
  <si>
    <t>Купили машинку, т.к.  мало место в ванной и начитались хороших отзывов на сайте М-Видео. Машинкой не довольна. Помещается очень мало белья, т.к. очень узкий барабан. Если загружать полностью, вообще ничего не отстирывает, даже легкие, не въедающиеся пятна. Приходится класть белья понемногу и стирать по много раз. Большие вещи, такие как одеяло постирать нереально.  Машина прыгает по всей ванной. Собираюсь покупать другую, с большим объемом барабана, правда придется перевешивать дверь в ванной. Если у вас большая семья и много стирки не берите слишком узкие машины.</t>
  </si>
  <si>
    <t>Кондиционер неплохой, но на внутреннем блоке отсутствует какая-либо индикация кроме лампочки включения, да и та после нескольких минут гаснет... Для семерки крупный, как внутренний блок,так и внешний. Довольно долго выходит на полную мощность. Сильно дует, легко простудиться, причем регулировка сильно ограничена. Пластик внутреннего блока посредственный, тонкий, гнется, после крепления на стену так и не удалось его полностью прижать - остался зазор. Пластик отчетливо покороблен. Внутренний блок работает достаточно бесшумно, внешний блок шумит довольно сильно. Устанавливал через сервис М-видео. Сделали все качественно, претензий пока нет. Посмотрим как покажет себя при эксплуатации в экстремальных условиях...</t>
  </si>
  <si>
    <t>2016-01-02</t>
  </si>
  <si>
    <t>Проработала 13 месяцев (гарантийный срок 12 мес). При работе стал клинить вентилятор. Оказывается в эл/двигателе вентилятора нет подшипников, а взамен их установлены втулки.   Не советую!!!</t>
  </si>
  <si>
    <t>2010-07-16</t>
  </si>
  <si>
    <t>Хочу купить, но некоторые говорят что на русском игры ещё нет! Кто знает есть ли игра на русском, а то уж очень хочется!</t>
  </si>
  <si>
    <t>561</t>
  </si>
  <si>
    <t>пылесос отличный! Наши научились делать хорошую бытовую технику...в отличии от автомобилей</t>
  </si>
  <si>
    <t>2010-05-07</t>
  </si>
  <si>
    <t>почитала что тут понаписали...Я не соглашусь...этот плеер купила год назад...отлично работает...зарядку держит долго...файлы можно удалять как с компа, так же и с плеера...Звук отличный если наушники купить хорошего качества...ни разу не глючил...песни переключаются с 1 нажатия кнопки...радио ловит отлично...много памяти...слот для флешки...Индикатор батареи ни когда не пропадает...вот на счет конвертера я согласна, он не очень!!!</t>
  </si>
  <si>
    <t>2009-11-25</t>
  </si>
  <si>
    <t>Очень доволен, настраивал пока понял, что не ошибся, руки к такому ноутбуку сами тянутся. Про систему - гонят - нормальная система, если не нравится или не умеет человек настраивать, то брал бы с Вистой или Линуксом, при чем тут ноутбук. Тем более можно официально сделать даунгрейд. Ведь операционка то лицензия.   Из минусов показались низы через динамики слабоваты. Завидую своим ребятишкам, подкоплю денег и себе буду брать из этой же серии. Всем советую, а вот с АМД процессором версии брать не советую - приносили мне настраивал (318 ER) - какие-то затыки и торможения наблюдаются, а ведь делал все одно и то же :(</t>
  </si>
  <si>
    <t>Глупая, некрасивая, отбивающая желание играть в принципе в игры двухмерная "головоломка" (в версии для PSP), место которой в "бюджетной" категории дисков- для "мертворожденных"!</t>
  </si>
  <si>
    <t>534</t>
  </si>
  <si>
    <t>150</t>
  </si>
  <si>
    <t>2010-08-22</t>
  </si>
  <si>
    <t>отличный ноутбук, хотя я и чайник, но как то быстро все настройки освоила без посторонней помощи, всё таки скорость и возможности его меня весьма порадовали. Дизайн весьма симпатичный, минус в быстром нагревании.</t>
  </si>
  <si>
    <t>купила недавно,  в использовании удобна - легко разбирается и моется, в емкости для сока пена отделяется  рекомендую</t>
  </si>
  <si>
    <t>816</t>
  </si>
  <si>
    <t>2014-06-15</t>
  </si>
  <si>
    <t>Отличная сборка,симпатичный. Установил не спеша часа за два, правда чтобы повесить на верхние крюки,пришлось попросить помощи, очень тяжелый.Через час после включения уже купались,регулятор мощности стоит на середине,температуру не замерял, но по ощущениям вода довольно горячая,в холостом режиме никогда не видел горящей лампы, повидимому температуру он держит как термос.Однозначно советую приобрести данную модель особенно семье из 3-х и более человек.</t>
  </si>
  <si>
    <t>2755</t>
  </si>
  <si>
    <t>2010-07-13</t>
  </si>
  <si>
    <t>Нормальный телефон, предназначенный только для звонков. Заряжается быстро, примерно минут 30-40, заряда хватает примерно на неделю.</t>
  </si>
  <si>
    <t>2017-02-02</t>
  </si>
  <si>
    <t>Достаточно мощный, удобный в использовании.</t>
  </si>
  <si>
    <t>2016-11-08</t>
  </si>
  <si>
    <t>чайник как чайник</t>
  </si>
  <si>
    <t>купили недавно в магазине М ВИДЕО,по акции.Машинка-автомат, первая,потому многих вещей не знаем про неё и с настороженностью относимся к любым звукам и моментам.  хоть и написано, что загрузка 5 кг,но это не во всех режимах работы,а только на нескольких.при попытке уложить 5 кг,и поставить на стирку в режиме быстрой стирки,попытка потерпела фиаско.машина просто отказывалась вращать это количество белья.приходится убирать лишнее белье,или ставить другой режим работы,рассчитанный на такой вес.  Но это по большому счету и правильно, если сказано такой вес,то зачем перегружать,но опять же зачем тогда писать,что загрузка 5 кг.  в целом так вот</t>
  </si>
  <si>
    <t>2015-10-27</t>
  </si>
  <si>
    <t>Бигуди просто шикарные!Очень экономят время,особенно утром, когда спешишь на работу и нужно сделать сто дел одновременно! Локоны держаться весь день, особенно это удивительно для моих непослушных волос!Правда, для пользования шпильками нужна тренировка, но можно и купить специальные крабики, так что это не критично. Твердая пятерка!</t>
  </si>
  <si>
    <t>2747</t>
  </si>
  <si>
    <t>Пользовалась им почти 2 года, без нареканий. Но есть у него огромный минус - при падении или ударе, откалывается насадка, вот так несколько раз он у меня упал, и всё, от насадки толка нету - она вся пооткалывалась. И я бы с радостью вообще убрала её, но никак. Потому что она прикреплена к самому фену. И волосы теперь с ним не вытянешь, если только просто сушить. Придется теперь новый фен покупать. Хотя сам работает хорошо. Хотя есть такое ощущение, что сначала он делал волосы более блестящими. Не знаю, может в ионизаторе дело.</t>
  </si>
  <si>
    <t>892</t>
  </si>
  <si>
    <t>2017-03-07</t>
  </si>
  <si>
    <t>Пользуюсь пылесосом уже больше года, за все время лишь единожды пришлось менять НЕРА... Качество уборки на высоте! Единственным минусом является только вес... Правда благодаря его подвижности и простоте в управлении это практически не заметно! Мою пылесосом ковры, после уборки воздух чище прежнего! То есть уборка идёт не только с коврами или полами но и с воздухом! Советую!</t>
  </si>
  <si>
    <t>5240105</t>
  </si>
  <si>
    <t>16.06.2016 купил крышку Тефаль для сковороды, купленной ранее. Крышка отлично подошла к сковороде и кастрюле. Покупка себя полностью оправдала.</t>
  </si>
  <si>
    <t>2258</t>
  </si>
  <si>
    <t>2016-09-20</t>
  </si>
  <si>
    <t>Все познается в сравнении.   В отличии от моей предыдущей мясорубки, эта не требует АБСОЛЮТНО НИКАКИХ УСИЛИЙ с моей стороны. Просто закидываешь мясо, и даже толкушку не успеваешь взять, а мясо уже выходит в виде фарша. Это очень мощная мясорубка, мясорубки других известных фирм не стоят с ней даже в одном ряду.   В наборе с мясорубкой идут разные решеточки, для рубки фарша  мяса различного диаметра- помельче, кусочками и пр. Кроме того, производители додумались сделать для мясорубки крышку. Если вы отойдете на некоторое время, можете быть уверены в том, что ничто внутрь не попадёт.  По поводу запчастей: мне  ничего докупать-точить не приходилось, тьфу-тьфу-тьфу.   Пользуюсь четвёртый год и не нарадуюсь! Всем советую! Однозначно покупайте! Не экономьте на себе и своём здоровье! Безусловно, эта мясорубка стоит своей цены.</t>
  </si>
  <si>
    <t>526</t>
  </si>
  <si>
    <t>5020106</t>
  </si>
  <si>
    <t>1543</t>
  </si>
  <si>
    <t>2016-09-30</t>
  </si>
  <si>
    <t>Универсальная жидкость, это ее главное преимущество. Ею можно чистить и ложки и вилки разные насадки для моего миксера, даже поверхность моего холодильника, в общем все что на кухне сделано из стали. Это очень удобно, что не нужно покупать много разных жидкостей и со всем справляется только одно вещество. Сильно радует цена это средство, думаю будет доступно каждому.</t>
  </si>
  <si>
    <t>777</t>
  </si>
  <si>
    <t>2010-06-11</t>
  </si>
  <si>
    <t>Антон  установи аську черед JAD и проблем не будет</t>
  </si>
  <si>
    <t>2010-11-11</t>
  </si>
  <si>
    <t>Артём, сейчас еду покупать, как приеду отпишусь :)</t>
  </si>
  <si>
    <t>1,5 года телефон - проблем нет, за все время только однажды с Flash - картой 4 Gb телефон стал тормозить, форматировал флэшку - все нормально стало.  Как что закинули на телефон из видео , аудио - обновляйте фонотеку в проигрывателе и не будет потом проблем.  Баттарею держит хорошо дня на 2-3, музыку если слушать весь день (не перещелкивая много треков) на 2 дня хватает.  Звонок достаточно громкий, устраивает, музыку через динамик мало слушал - да не считаю, что это надо делать, купите нормальные наушники.  Интернет легко настраивается, стоит удобный браузер NokiaMini. есть GPRS - для почты, аськи хватит.  И к прошивке у меня претензий никаких, мало глюков у нокиивской S40, в отличии от Sony Ericcson.  Да приложения не сворачиваются-это пожалй минус, а так всем доволен.  А то что телефоны сломался, это скорее ваша вина, то руки кривые, то еще что. У двоих еще такие же телефоны (меньше года им) - проблем также нет.</t>
  </si>
  <si>
    <t>1554</t>
  </si>
  <si>
    <t>Купила этот пылесос,на \"скорую руку\".Пылесос понадобился срочно,а денег было немного.Пожалела после первого же использования.Про короткую ручку,я уж молчу,а вот фильтр надо чистить постоянно.Мощность очень маленькая,особенно когда не почистишь этот фильтр.Щетка плохая, ковер чистит плохо и дырочка в ней маленькая.К нему надо сразу турбо-щетку покупать,которая стоит больше половины самого пылесоса.И как уже писали пахнет паленой пластмассой.</t>
  </si>
  <si>
    <t>2012-07-15</t>
  </si>
  <si>
    <t>Купили себе такой месяц назад. Впечатления только положительные! Мощность всасывания очень порадовала, на максимальной мощности тяжело щетку от ковра оторвать. Система компрессии пыли - не маркетинговый ход а реально действующая и полезная штука. Не шумный, очень легко очищается контейнер для пыли. В общем всем советую взять такой. Не пожалеете!</t>
  </si>
  <si>
    <t>2012-09-18</t>
  </si>
  <si>
    <t>Хочу оправдать этот эпилятор, он конечно не идеален но все таки. Отличный бюджетный вариант, эпилирует хорошо, волоски удаляет практически все за исключением микроскопических(кстати в инструкции написано с какой длиной он справляется). Очень громкий. Пользуюсь им уже второй год, замечаний нет. Работает исправно, удобен в поездке т.к много места не занимает. Имеет две скорости. Результат держится долго. Покупкой довольна, берите не пожалеете.</t>
  </si>
  <si>
    <t>2016-09-03</t>
  </si>
  <si>
    <t>Термопот - это удобно. Можно "разогреть" сразу 3 литра воды и пить чай большой компанией, не подливая постоянно воду в чайник. И вода остается горячей - это своего рода большой термос. Небольшой минус в том, что нужно ждать, пока вода закипит, но ради таких объемов можно и подождать.</t>
  </si>
  <si>
    <t>Начну с простого:  -дизайн выполнен на 10 из 10 баллов  -очень удобный пуль  -понятное меню  -расположение кнопок на телевизоре не совсем удачное, но очень легко нажимаются и не залипают  -панель на подставке стоит устойчиво  -качество картинки при просмотре аналогового TV приемлемое  -шумопонижение работает, но при сильном шумопонижении движущиеся объекты оставляют ужасный расплывчатый след, так что я смотрю без шумопонижения.  -при просмотре DVD картинка - прелесть(при просмотре через аналоговый вход)  -очень яркий и насыщенный цветами экран  -акустика телевизора замечательная  -входы HDMI испытать пока не удалось, покупка кинотеатра предстоит только))  Вывод: в целом аппарат отличный, радует кол-во входов, качество картинки отличное, но не великолепное=) Ну и для справки. У меня эта ЖК панель стоит в комнате 20 квадратных метров и этих 40" вполне достаточно, если бы он был меньше, то и смотреть было бы не удобно, а если больше то "глазки в кучку" Вам обеспеченны.  приятных покупок))</t>
  </si>
  <si>
    <t>2012-03-20</t>
  </si>
  <si>
    <t>Машинка отличная. С управлением разрбрались на раз-два.Наличие дисплея - большой плюс. Советую.До нее купили С5, но пришлось обменять из-за тугого переключателя программ (готовила тот кофе, на котором срабатывала при повороте ручки)</t>
  </si>
  <si>
    <t>2014-04-24</t>
  </si>
  <si>
    <t>Купили неделю назад. Очень пожалели - от внешнего блока идет очень сильная вибрация и гул как от трактора ДТ-75.  Установщики сказали, что это болезнь всех Самсунгов и ничего сделать нельзя.  Не берите - это выкинутые деньги. Лучше бы взяли подороже, но нормальный кондиционер.</t>
  </si>
  <si>
    <t>970</t>
  </si>
  <si>
    <t>2010-04-12</t>
  </si>
  <si>
    <t>Купила машинку случайно. Пошла в магазин прицениться, а там стоит новая машинка, у нее сбоку вмятина,и хорошая скидка. Я её тут же купила. Работает без проблем. У меня она уже 3,5 года. Теперь у меня нет проблем с руками(сухая кожа). Всем советую, покупайте.</t>
  </si>
  <si>
    <t>2016-12-29</t>
  </si>
  <si>
    <t xml:space="preserve">Приятно был удивлен качеством товара за эти деньги. Этот штатив занимает среднюю ступень </t>
  </si>
  <si>
    <t>2014-12-18</t>
  </si>
  <si>
    <t>Хочу встать на защиту воздухоувлажнителя, дать отпор "негативу":  1) "Крышка туго открывается, если плохо завинтить - протекает". Итак, завинчивать надо ровно! внимательно за этим следите. Откручивать: да, согласен "туго", но, обратите внимания на центр фильтра!!! в пазы замечательно ложится, например, отвертка, которую можно использовать в качестве рычага (крест на крест). Опробовано  хрупкой девушкой, все замечательно открывается. Кстати, таким же образом можно и закручивать.  2) "Белый налет" - да, появляется, (особенно на корпусе ТВ) зависит от воды. Но дискомфорта не доставляет. После "процедуры", возьмите да протрите...  3) "Пар стал менее интенсивным". После "опустошения" бачка, разберите увлажнитель! почистите!! особенно "распылитель"!!! и все просушите!!!! после этого заливайте заново и пользуйтесь)  4) "Тухнет вода" - без комментариев, читайте пункт №3. Если куда-то уезжаете, слейте воду.  5) "Протекает" - ставить нужно на ровную поверхность. Плюс читаем пункт №1 - крышку надо закручивать ровно и туго) Конечно, это не касается трещин на корпусе и брака.  Со своими функциями справляется: увлажняет, дышать и правда легче. Ну и пыли стало значительно меньше. Кому не нужны лишние навороты в виде таймеров, дисплеев, wi-fi)) и т.д. - этот "Витёк" для вас!!!)</t>
  </si>
  <si>
    <t>2328</t>
  </si>
  <si>
    <t>2010-02-05</t>
  </si>
  <si>
    <t>Виталий из курска чтобы слушать настоящий живой звук не надо чтобы он взрывал уши громкостью!! !</t>
  </si>
  <si>
    <t>2010-02-25</t>
  </si>
  <si>
    <t>Купили 3 дня назад.  Нет звука в наушниках.</t>
  </si>
  <si>
    <t>На Али экспресс 4 такие насадки стоят 115 р.</t>
  </si>
  <si>
    <t>694</t>
  </si>
  <si>
    <t>Оперативки слишком мало, приложения вылетать будут постоянно, зарядки хватает максимум на день, дисплей на солнце не видно вообще. единственный плюс - это хард клава и навител</t>
  </si>
  <si>
    <t>2013-01-30</t>
  </si>
  <si>
    <t>Купил данную модель с дополнительной трубкой для использования на работе. Покупкой доволен. К отзыву выше не присоединяюсь, так как все перечисленные недостатки в телефоне не обнаружил (звонок на базе отключал, АОН работает; при входящем звонке трубка звонит очень громко и чётко, пришлось убавить на 1-ку громкость звонка :), а то жалуются работники с соседних кабинетов :); часы сбиваются только при отключении базы от сети питания, как и у многих других радиотелефонов). Недочеты в работе телефона, обнаруженные мною в процессе эксплуатации: 1. Не всегда синхронное (в тон) проигрывание мелодии на двух трубках при входящем вызове. 2. АОН срабатывает минимум после 3 гудка (коллеги порой не дозваниваются из-за нехватки терпения, но на работе это даже + :)). 3. Дальность действия в (нашем) офисе около 20 метров. К достоинствам можно отнести - удобные кнопки; понятное меню; цветной дисплей; телефонная книга на 100 номеров. За такую цену - хороший выбор!!</t>
  </si>
  <si>
    <t>327</t>
  </si>
  <si>
    <t>2014-10-09</t>
  </si>
  <si>
    <t>Хорошая модель по соотношению цена/качество. Простая в управлении, с большими возможностями. Можно легко регулировать крепость кофе, количество кофе и молока на чашку, температуру и проч. Готовит капучино одним нажатием. Простота ухода за машиной.</t>
  </si>
  <si>
    <t>2013-04-04</t>
  </si>
  <si>
    <t>Купили с мужем на двоих, самое то. Картошка получилась вкусная, мы довольны. В плюсы можно записать маленький размер, потребление масла всего 0,5 литра, удобный терморегулятор, а также возможность готовить фондю. Мыть правда не очень удобно, но это дело вкуса наверно. Еще мы не сообразили, как прикрепить корзинку в положение, чтобы масло стекало после приготовления.</t>
  </si>
  <si>
    <t>5170103</t>
  </si>
  <si>
    <t>1345</t>
  </si>
  <si>
    <t>2011-01-14</t>
  </si>
  <si>
    <t>Сегодня купил даный чайник; при наливании воды в чашечку, вода льётся с носика двумя струями-с центрального отверствия и из под свистка. Неужели брак...</t>
  </si>
  <si>
    <t>купил для комнаты 12 метров, ,но такой обогреватель хорош только чтобы под ноги поставить, чтобы непосредственно дул и сразу согреться.для любой комнаты мощности не хватит,а если честно сколько заплатил,то и получил.за полторы тысячи чудес не бывает.в другой раз буду умнее возьму или раза в три мощнее или накоплю на кондей).не делайти моей ошибки.</t>
  </si>
  <si>
    <t>745</t>
  </si>
  <si>
    <t>ООООЧЕНЬ КРУТОЙ ТЕЛЕФОН!!! Я как подросток, оцениваю его на 5!!! Хороший экран, камера тоже класс, игры идут не все((( а те которые идут, просто летают!! качество звучания отличное!!!  Раньше хотел смартфон... но не хватило денег, решил купить этот!!!НЕ жалею ни чуть! Я его покупал за 3999!!!! Это лучшее, что есть в этом диапазоне! И поверьте. Он ЛУЧШЕ чем nokia5130XM!!!!</t>
  </si>
  <si>
    <t>2011-01-31</t>
  </si>
  <si>
    <t>Блендер отличный. Хорошо размельчает, взбивает, делает пюре. Единственный небольшой минус - при использовании создает небольшой вакуум, приходится с усилием приподнимать его в растираемой массе.  В целом - довольна.</t>
  </si>
  <si>
    <t>2009-11-02</t>
  </si>
  <si>
    <t>Купил месяц назад В Мвидео. Ни глюков, ни тормозов за это время... Дизайн, скорее, мужеский, но видел несколько раз такие трубки и у женщин с навесными панелями другой раскраски:-) Все необходимые функции телефона присутствуют с избытком. При чем выполнять звонки и посылки СМС вполне удобно, даже очень. Дублирование функций через пункты меню скорее радуют, чем огорчают, - всё под рукой! А теперь... WALKMAN!!! Все балалайки, типа SAMSUNG, LG и NOKIA тихонечко курят в сторонке... При чем долго и печально... Далеко всем этим товарищам до звука в SONY-продуктах. Окромя телефона и плеера, можете попробовать здесь много всяких мультимедийных фишек (мне, например, очень Интернет-браузер понравился) и развлечься:-)</t>
  </si>
  <si>
    <t>2012-03-01</t>
  </si>
  <si>
    <t>Фен проработал 6 лет! Использовала раз в неделю, но все равно не думала, что он ТАК долго проработает) За такую сумму твердая "5"!!!</t>
  </si>
  <si>
    <t>5160307</t>
  </si>
  <si>
    <t>1731</t>
  </si>
  <si>
    <t>3079</t>
  </si>
  <si>
    <t>2015-12-19</t>
  </si>
  <si>
    <t>Точно такой же светильник, вот прям 1 в 1 мне подарили 14 лет назад. И он до сих пор работает.  Ни разу не заменял лампочку даже. Регулировка правда расслабилась и немного болтается.</t>
  </si>
  <si>
    <t>2017-06-02</t>
  </si>
  <si>
    <t>Легкий выпрямитель</t>
  </si>
  <si>
    <t>Брал я ноутбук с LED монитором, через 3 часа слезы, глаза красные, в общем ужас!!!    Пришлось продать за полцены и купить с обычной подсветкой, не LED!!!    LED мониторы - это отстой!!!</t>
  </si>
  <si>
    <t>Мясорубка просто супер, купили с женой вместе, она очень понравилась не так сильно шумит.Прокрутили 10 кг мясо за 30 минут просто супер.</t>
  </si>
  <si>
    <t>2012-01-18</t>
  </si>
  <si>
    <t>Отлетел шланчик для подачи воды на насадке после первого же применения. Пластмасса действительно "очень жидкая" для пылесоса, плюс, шланчик коротковат, так что если щетка в процессе уборки повернется на максимально возможный угол, соответственно, шланг натянется, и сломает крепления, так как к ним приклеен клеем, который видимо значительно крепче, чем сама пластмасса. Без дополнительного обслуживания брать точно не стоит, так как щетку мне пришлось бы покупать за свой счет. Хотя, я боюсь даже предположить сколько раз эти два года щетка может еще сломаться. Поэтому, для собственного спокойствия, лучше вообще не покупать это чудо (сколько нервов уйдет у меня, я еще не знаю, так как мне только предстоит обращение в м-видео)</t>
  </si>
  <si>
    <t>1306</t>
  </si>
  <si>
    <t>2012-09-23</t>
  </si>
  <si>
    <t>Отзывы пишу редко.Тут не смог удержаться. По поводу данного прибора только плюсы. Покупался на работу, использовался нещадно. Согревает комнату 30 кв.м. очень быстро. Пашет второй сезон без сбоев. Удобное управление, информативный дисплей, есть пульт.</t>
  </si>
  <si>
    <t>2016-04-21</t>
  </si>
  <si>
    <t>Внимательно читайте отзывы покупателей. Я проигнорировала достаточно большое количество негативных отзывов по этому товару, и купила. Теперь жду заключение из СЦ. Вытяжка не работает: переходит из любого режима работы на 4 скорость и уже не выключается. Обидно, она была неисправна изначально, но мы смогли ее проверить только спустя 2 месяца после покупки. Данный брак обраружился при монтаже.   Делаем выводы: обязательно проверять технику в теч. 2-х недель. А мне осталось ждать заключения СЦ еще 30 дней (из 45 по закону). Интересно, чем все закончится.</t>
  </si>
  <si>
    <t>4100101</t>
  </si>
  <si>
    <t>2014-07-13</t>
  </si>
  <si>
    <t>Приобрел вчера. Впечатления только положительные. Варит кофе быстро и льет его туда, куда нужно. Кофе получается крепкий и насыщенный (при условии, что вы не экономите, а соблюдаете пропорцию, как написано в инструкции). Варит не шумно, отключается автоматически. Теперь о недостатках. Их два, но для меня они не особо существенные: 1. После отключения бывает шум, поскольку несколько капель холодной воды, оставшиеся в резервуаре, стекают на ещё горячий элемент нагрева. Звук похож на отпариватель утюга. Меня не напрягает. 2. Нет стационарного фильтра. Нужно покупать бумажные. Но кому-то это наоборот покажется плюсом. Фильтр всегда новый без грязи и отложений. 100 шт стоит примерно от 130 до 170 рублей. В общем я покупкой доволен!</t>
  </si>
  <si>
    <t>2012-08-13</t>
  </si>
  <si>
    <t>Долго думала, прежде чем купить фритюрницу. Ребенок очень любит картошку фри, а в Макдональдсе она не очень полезная. Дождалась наконец скидок и купила! Если картошку порезать тонкими ломтиками и класть не мокрую, то получается нормальный картофель фри! Даже делала сладкий картофель с соусом терияки и получилось как в Якитории. Обязательно попробую приготовить какие-нибудь мясные рецепты. Из минусов - довольно громоздкая, во время готовки шумит. А так - отличная вещь!</t>
  </si>
  <si>
    <t>2132</t>
  </si>
  <si>
    <t>2017-05-20</t>
  </si>
  <si>
    <t xml:space="preserve">Компактный </t>
  </si>
  <si>
    <t>Пользуемся мясорубкой более 3-х лет. Проблем нет. Была проблема как у "Толку с мощности, если приходиться все развинчивать после 15 сек. кручения вырезки!", но она возникла из-за неплотной сборки "начинки" мясорубки,  которая успешно была решена.</t>
  </si>
  <si>
    <t>2011-07-06</t>
  </si>
  <si>
    <t>Купили как временную, т.к. сломалась машина автомат.Стирает отлично. За ее цену очень неплохая машинка. Очень выручает нас.</t>
  </si>
  <si>
    <t>696</t>
  </si>
  <si>
    <t>Отличный телевизор в линейке HD-ready, "32 и ценовой категории до 20 тысяч. Долго выбирал между LG 32 LH2000 и этим телевизором. LG - дешевле и популярнее, судя по отзывам в сети. Но решающим фактором была всё-таки не цена, а возможность воспроизводить файлы с цифровых носителей, проще говоря, меня интересовало смогу ли я посредством USB-флэшки смотреть видеофайлы. Судя по отзывам в сети, LG эту функцию поддерживает, но только после несложной перепрошивки. В характеристике Sony воспроизведение видеофайлов было заявлено, но  продавец-консультант M-Видео настойчиво убеждала меня, что фильмы с флэшки у меня не получится.  В общем, я рискнул и купил Sony. Потому что Sony - это Sony. Потому что выглядит он лучше. Уже дома обнаружил, что видео через порт USB работает. Просто-напросто, файл нужно отконвертировать в MPEG-формат (1,2)и всё!!!  Я очень рад. Берите этот телек, не сомневайтесь. Картинка - отменная, меню - удобное, FM-тюнер в качестве бонуса.</t>
  </si>
  <si>
    <t>108</t>
  </si>
  <si>
    <t>1080501</t>
  </si>
  <si>
    <t>3094</t>
  </si>
  <si>
    <t>2010-08-11</t>
  </si>
  <si>
    <t>Отличная видео камера очень простая и лёгкая,на камеру не жалуюсь. Отличная покупка!</t>
  </si>
  <si>
    <t>1319</t>
  </si>
  <si>
    <t>Пользуюсь год (брал перед новым 2009 годом)- доволен, проблем не было соотношение цена-качество - гуд.</t>
  </si>
  <si>
    <t>4060401</t>
  </si>
  <si>
    <t>Пользуюсь уже года 3-4. Взвешивают точно. Несущественные недостатки: Маленькая платформа. Сами выключаются. Было бы лучше, если можно было бы контролировать этот процесс самим.</t>
  </si>
  <si>
    <t>Блендер взбывает хорошо жидкие продукты, с твердыми справляется хуже. Твердые продукты после перемалывания поднимаются в стакане вверх, не попадают на ножи и блендер работае в пустую.</t>
  </si>
  <si>
    <t>2011-06-07</t>
  </si>
  <si>
    <t>отстирывает - не очень, когда выжимает - очень громко. на второй стирке - полетела ( стучала так, что к ней подойти страшно было, при сливе вода потекла прямо на пол). Пришел мастер м-видео, сказал "ничего не знаю, завтра заберем в сервис". Как итог - ни ответа, ни привета... Машинке 2 недели с момента установки.</t>
  </si>
  <si>
    <t>2012-12-17</t>
  </si>
  <si>
    <t>Купили в мае 2012 года в подарок на День Рождения маме. Очень рады, что купили именно этот вентилятор! Дует мощно! 3 режима имеется - выбирайте на любой вкус! Мне и на первой скорости обдувает классно. Поворот есть и по вертикали, и по горизонтали. Любую позицию можно зафиксировать. На зиму разобрали, всё очень просто и удобно. Ни разу не подвёл. В жару спасал на ура! И цена довольно приемлемая.</t>
  </si>
  <si>
    <t>2014-09-19</t>
  </si>
  <si>
    <t>Нужен был недорогой холодильник.  Отлично морозит, все влазит ( молодая семья - 3 чел), работает бесшумно.  После отзывов сомневался, но теперь просто рад. Спасибо м-видео!  Все, что покупаю - работает,  это - главное!</t>
  </si>
  <si>
    <t>1664</t>
  </si>
  <si>
    <t>2016-11-03</t>
  </si>
  <si>
    <t>Устойчиво ловит сигнал, в комплекте идет монтажный набор и длинный кабель, его хватает, чтобы прилепить антенну на заднее стекло.</t>
  </si>
  <si>
    <t>1000</t>
  </si>
  <si>
    <t>2010-07-12</t>
  </si>
  <si>
    <t>Уважаемые покупатели, не слушайте никого. Вентилятор отличный и свои деньги отрабатывает на все 100. Я согласен, что конструкция у него не идеальна, но ничего не ломается. Все работает как надо. Пользуюсь 2 месяца и благодарен Биматеку за это чудо.</t>
  </si>
  <si>
    <t>2014-10-16</t>
  </si>
  <si>
    <t>Отличный светильник, год прожил и больше проживет</t>
  </si>
  <si>
    <t>331</t>
  </si>
  <si>
    <t>2014-10-08</t>
  </si>
  <si>
    <t>Езжу с ним уже больше 2-х лет, нареканий нет. Отличный буфер по сравнительно нормальной цене, он того стоит, поверьте. Плюсом к нему поставил усилок киксовский и конденсатор на 1,5 фарата(ему больше и не надо), работают как родные.Советую...</t>
  </si>
  <si>
    <t>В каждом из нас, природой, заложена жестокость, со временем человеку навязывают мораль, некий этикет поведения и нормы общения в социуме. Кому не нравилось в счастливую пору детства закапывать живьем \"жуков пожарников\" в спичечном коробке, давить тараканов, муравьев и остальных представителей насекомых? ManHunt позволяет реализовать самые смелые фантазии, жестокость которой трудно представить.</t>
  </si>
  <si>
    <t>2603</t>
  </si>
  <si>
    <t>2011-10-14</t>
  </si>
  <si>
    <t>У нас эта модель проработала 6 лет безо всяких проблем, и терморегулятор в том числе.Очень удачный чайник! И только последние пару месяцев начал подтекать после закипания. И вот перегорел тен. На данный момент я рассматриваю опять эту же модель. Так как соотношение цены, качества и удобства ручки очень хорошее! Ну а то, что люди пишут про протекание и плохой регулятор, я думаю, что это единичные недостатки! Надо поменять и все. А без брака, к сожалению, практически ничего не бывает!</t>
  </si>
  <si>
    <t>2011-10-05</t>
  </si>
  <si>
    <t>Нужен был и блендер и миксер. Долго выбирали. Очень не хотелось покупать "две коробки". В итоге остановили выбор на этой модели. И не пожалели! Миксер бесшумный (ребенок не просыпается), блендер отличный (пюрешечки для ребенка готовятся вмиг), измельчитель вытеснил терку из кухни навсегда. 5+++</t>
  </si>
  <si>
    <t>8</t>
  </si>
  <si>
    <t>В эксплуатации больше года. Особых нареканий не вызывает, со своими задачами справляется на ура. Выпечка в ней шикарна.  Шнур в комплекте, но без вилки. Это нормальная практика для всех духовых шкафов.</t>
  </si>
  <si>
    <t>1720</t>
  </si>
  <si>
    <t>2016-01-27</t>
  </si>
  <si>
    <t>Посмотрел на эту вытяжку в работе, случайно заглянул в их отдел, когда пришел в Мвидео за планшетом. Думаю - ну ничего себе, вокруг все вытяжки орут и дребезжат, а эта почему выключена? Оказалось, что она включена! Впрос с покупкой решился, как только я взглянул на ценник! такая красивая, мощная, и при этом бесшумная вытяжка, да за такую стоимость - просто товар "хватай и беги". Собственно, это я и сделал. Стоит она дешевле планшета, а пользы приносит кучу. Покурить люблю зимой на кухне, и постоянно должен выслушивать тирады родителей о том, что загублю не только себе, но и им здоровьичко, пассивное курение - тоже курение же, ну и все в таком духе. Притащил вытяжку, установить ее не составило какого-то архисложного труда. К приходу родителей успел выкурить три сигаретки, а они зайдя и, принюхавшись, похвалили меня, что перестал дымить в квартире! Ну, потом мама довольна стала и тем, как вытяжка убирает все запахи готовящейся еды, естественно. Ну а мягкая подсветка, которая в вытяжке у заднего конца установлена, вообще у нас не выключается по вечерам, уютный рассеивающийся мягкий свет всем нравится. Произведена в Китае, но по ней вовек не скажешь этого! Короче товар - вещь!</t>
  </si>
  <si>
    <t>Очень хороший смартик за свои деньги, пользуюсь уже 5-й день- пока не наигрался. Софта полно, год беспатно качать лицензионную музыку без ограничений в подарок. Спутниковая навигация. Аккумулятор 1320. Короче супер. Я доволен.</t>
  </si>
  <si>
    <t>3161</t>
  </si>
  <si>
    <t>очень хороший миксер.отлично взбивает белки.и делает бисквит.</t>
  </si>
  <si>
    <t>1293</t>
  </si>
  <si>
    <t>2013-11-13</t>
  </si>
  <si>
    <t>У меня 5 лет отработала без проблем, сейчас сгорел тэн, куплю такую же, один минус шумная! За такую цену это лучшее, минимум электроники, надёжная.</t>
  </si>
  <si>
    <t>4070301</t>
  </si>
  <si>
    <t>2012-02-29</t>
  </si>
  <si>
    <t>Эта микроволновка хорошо подходит для студентов. Быстро разогревает, удобна в эксплуатации и не дорогая.</t>
  </si>
  <si>
    <t>351</t>
  </si>
  <si>
    <t>2010-01-20</t>
  </si>
  <si>
    <t>печь прекрасная, пробовал много рецептов - все очень понравились, а чтоб корочка была очень тёмная вкусная и хрустящая надо на 3 цвет ставить и после готовки выложить на решётку и накрыть полотенцем, но и без него отлично получается! доп времени не надо! только если не ту программу выбрали и он не готов, тогда ставьте!</t>
  </si>
  <si>
    <t>2014-06-16</t>
  </si>
  <si>
    <t>Очень выгодная покупка, по соотношению цена-качество. Работает у меня уже 2 недели, почти без перерыва. Шумит умеренно, вибрация не большая, стирает приемлемо. Если хотите хорошую не капризную машинку - это она. Шум и вибрации есть у каждой машинки. В общем доволен. Для машинки по такой цене ставлю 5!</t>
  </si>
  <si>
    <t>660</t>
  </si>
  <si>
    <t>2010-04-06</t>
  </si>
  <si>
    <t>Довольна покупкой, долго обзванивала магазина и искала отзывы и решила, что эта самая производительна, плюс соотношение цены и качества. Очень хорошо перемалывает. Не капризничает с жилками. Достаточно широкое отверстие, куда кладем куски - нет необходимости мелко нарезать мясо. Удобное хранение насадок и шнура. Для мясорубки такого класса и такого размера уровень шума во время помола приятно поражает своей деликатностью,ожидала, что будет вообще реветь как зверь. Раньше пользовалась бРАУНОМ, обычной бытовой мясорубкой, так она ревела гораздо громче, и страдала от каждого жилистого кусочка.</t>
  </si>
  <si>
    <t>528</t>
  </si>
  <si>
    <t>5230101</t>
  </si>
  <si>
    <t>928</t>
  </si>
  <si>
    <t>2010-12-24</t>
  </si>
  <si>
    <t>Чехол отличный! Сидит плотно, как влитой!!! Берите - не пожалеете!!!</t>
  </si>
  <si>
    <t>2016-03-27</t>
  </si>
  <si>
    <t>Купили вчера, все функции сразу попробовали! Ламинат чистит отлично, но линолиум не совсем! Общей картины не портит, довольны покупкой!</t>
  </si>
  <si>
    <t>2010-04-23</t>
  </si>
  <si>
    <t>Купил телевизор в качестве новогоднего подарка. Доволен всем на 100%, только блики немного напрягают, когда в комнате светло. Отличное качество как кабельного телевидения (аналоговое), так и DVD и др. Мягкие цвета. Неплохой для встроенных динамиков звук. Сборка в Чехии!!! Гарантия 3 года!!! Всем рекомендую.</t>
  </si>
  <si>
    <t>1246</t>
  </si>
  <si>
    <t>Недавно приобрёл  данные наушники.  Порадовал неплохой дизайн, а также очень мягкий силиконовый провод. Низы до 35Гц воспроизводят весьма неплохо, но занижено. Начиная с 60Гц , вплоть до 17-18 кГц звук хороший, кристально чистый, почти линейный. Звукоизоляция нормальная, думаю, для метро самое то (при среднем уровне громкости). Из недостатков – любая вибрация передаётся по проводу в наушник. Место, где провод разветвляется, а также входит в наушник  - не вызывает доверия. Общая оценка 4 из 5. Для данной ценовой категории - они себя окупают полностью.</t>
  </si>
  <si>
    <t>2012-01-25</t>
  </si>
  <si>
    <t>Мы тоже приобрели этот духовой шкаф, отчасти выбирали по отзывам на сайте, в принципе довольны духовкой. Единственное не со всеми функциями пока разобрались.</t>
  </si>
  <si>
    <t>937</t>
  </si>
  <si>
    <t>1056</t>
  </si>
  <si>
    <t>Купила вчера и сразу же взялась за уборку!!великолепный пылесос!!мощность превосходная,убирает качественно!  Ковры,мебель,ламинат,плитка!все просто отлично!! У меня длинные волосы,постоянно лезут,поэтому на коврах они постоянно копятся! После уборки ни одного волосочка!!!! Сначала хотела купить моющий(цена такая же),но консультант отговорила,предложила этот(хотя я уже давно на него смотрела,хотела даже купить,но почему-то продолжала пользоваться старым!).  Цена соответствует качеству! Очень довольна!!!!</t>
  </si>
  <si>
    <t>2010-03-13</t>
  </si>
  <si>
    <t>Классный сайт!...спасибо вам всем!..недавно купили себе такой телек...все супер, но напрягало то, что сам включался и выключался!...но благодаря совету Алексея все исправили!..спасибо!....телеком очень довольны!</t>
  </si>
  <si>
    <t>Поддержа ноутбуков Acer тут http://www.acer.ru Заходим в сервис и поддержку,далее драйверы и утилиты,д-е выбираем Notebook,д-е Aspire,д-е Acer Aspire 8942G (Aspire 8942G &lt; Aspire &lt; Notebook)естественно тут только поддерка Windows 7 32-64 бит все версии.Там вы найдете утилиты,драйверы,новые версии Bios,пачи,документацию.Все интуитивно,понятно,проще и быть не может в этом плане у производителя все четко.Если этого не достаточно в интернете присутствует множество сторонних сайтов с драйверами для ноутбуков на разнообразные ОСи.</t>
  </si>
  <si>
    <t>1502</t>
  </si>
  <si>
    <t>отличные наушники за свою цену и для музыки и для фильмов</t>
  </si>
  <si>
    <t>2016-07-28</t>
  </si>
  <si>
    <t>Купили пылесос LG на замену старенькому, хоть он ещё т работал, но душа хотела чего-то нового, красивого)) Какое же было моё удивление, когда начала пылесосить, такое ощущение что старым вообще не пылесосила, а просто водила по ковру. Сосёт пыль на столько сильно, что ковёр приподнимает от пола, мне такая мощь просто необходима, т.к. в доме домашние животные, а так же аллергик. Еще мне понравилась чистота воздуха и отсутствие запаха горелой пыли, всех этих минусов тут нет.  Пылесос полностью оправдал мои ожидания, минусов не обнаружила, я очень довольна, LG yне подвёл!</t>
  </si>
  <si>
    <t>2012-04-03</t>
  </si>
  <si>
    <t>Пользуюсь 4 месяца. Отличный блендер.   Есть два незначительных недостатка:  - отсутствует настенный держатель;  - нет венчика.</t>
  </si>
  <si>
    <t>2810</t>
  </si>
  <si>
    <t>Аппарат хороший и надежный, у меня он уже полгода работает без глюков. Дети играют мои в игры любые, тянет он их без проблем, музыку и видео кодирует быстро, без потерь в качестве. Он стоит дешево, но снабжен внушительно. acer-у спасибо за отличный ноутбук.</t>
  </si>
  <si>
    <t>2010-10-31</t>
  </si>
  <si>
    <t>Звук очень порадовал! Слушаю тяжелую музыку в стиле дет, грайнд и т.д. Все частоты прекрасно поддерживаются, как уже упоминали, слышно каждую мелочь.   Качество сборки аналогично на 5, падали и падают постоянно, особо их не берегу, но несмотря на это - лишь пара царапин.</t>
  </si>
  <si>
    <t>2013-02-26</t>
  </si>
  <si>
    <t>За последние 13 лет, покупаю уже третий утюг Теfal. Ни на какой другой его не променяю. Глажу все с паром и на лицо от блузки, до джинсов. Шикарно гладит, легко чиститься. А если у кого-то ржавые капли, так надо заливать воду кипяченую в резервуар, а еще лучше дистиллированную, чтоб накипи не было. Я наливаю горячую из чайника !!! Рекомендую!!!</t>
  </si>
  <si>
    <t>1071201</t>
  </si>
  <si>
    <t>1459</t>
  </si>
  <si>
    <t>2010-05-12</t>
  </si>
  <si>
    <t>Триколор очень хорошее решение, для тех, у кого простые антенны плохо показывают. Поставить не сложно самому (на даче) настройка занимает пару минут (с помощью SatFinder - 500руб).</t>
  </si>
  <si>
    <t>877</t>
  </si>
  <si>
    <t>2010-11-26</t>
  </si>
  <si>
    <t>музыка 5   видео 5  радио 5  игры 4- (хотелось больше)  телевизор 4+(бывают помехи))  диктофон 3 или 5 слишком чювствительный (средне 4)  цена 5  итог 5</t>
  </si>
  <si>
    <t>2013-04-17</t>
  </si>
  <si>
    <t>Перед тем как купить читал отзывы, часто попадались о шуме внешнего блока, я проигнорировал, купился на мощность и быстроту охлаждения, но после установки, сразу после включения, чуть в обморок не упал - сильнейшая вибрация и гул как в самолете кукурузнике. Отзывам надо верить, многие думают, что они заказаны... но какой смысл обсирать одну конкретную модель, вот если бы всю технику самсунг, то понятно - антиреклама. А вообще мне самсунги нравятся.</t>
  </si>
  <si>
    <t>Ксения Инструкцию читать не пробовали?? Смешно читать такие отзывы как ваш.  Звук в наушниках отменный, как радио, так и плеер, плеер после разговора, сам включается.</t>
  </si>
  <si>
    <t>1171</t>
  </si>
  <si>
    <t>2009-09-09</t>
  </si>
  <si>
    <t>Сначала папе такой купили - в носу и в ушах убирать волосы. А потом и я себе приобрела - классная штука, если Вам иногда приходится подстригать или выдергивать волоски в труднодоступных местах :-)</t>
  </si>
  <si>
    <t>2533</t>
  </si>
  <si>
    <t>2010-06-30</t>
  </si>
  <si>
    <t>Сегодня установили. Комната 18 кв/м. До температуры 20 кондиционер охладил за 2 часа. А было 30. Шум вполне приемлемый. Порадовало то, что ребята, которые его ставили, сказали что по Самсунгам у них  отказов практически нет. Ну в общем очень доволен.</t>
  </si>
  <si>
    <t>2011-02-27</t>
  </si>
  <si>
    <t>Искал бюджетный миксер для приготовления коктейлей и пюре, решил остановиться на этой модели. Вот уже полгода как пользуюсь. Со своей основной функцией - взбивания он справляется, а большего от него и не требуется. Пока доволен!</t>
  </si>
  <si>
    <t>Примерно месяц назад купил более младшую модель Филипс HR 1371/90 (без маленькой чашки и венчика). Через неделю делал джем из клюквы с апельсинами и, по всей видимости, перегрел его. Из места стыка с насадкой пошёл небольшой дымок. То ли система защиты от перегрева не сработала, то ли её там попросту нет. После того, как остудил, снова включил - двигатель работает. На следующий день, при измельчении сыра, блендер поработал секунд 10 и умер. Поехал менять. В сервисной зоне М-Видео его подключили и убедились в поломке. Без лишних вопросов предложили либо вернуть деньги, либо обменять. На обмен я выбрал данную модель HR 1372/90. В спецификации сказано, что она оснащена системой защиты от перегрева (чего не сказано в более младшей модели, хотя с виду они одинаковы). Попробовал его во всех режимах работы, очень доволен, нареканий нет. В отличие от большинства других аппаратов здесь имеется большой выбор скоростей. Это очень важно при измельчении разных продуктов. Хотя и есть система защиты, работаю с ним аккуратно, не допуская перегрева. Следую указаниям в техническом паспорте касаемо времени работы, чего и всем желаю во избежание неправильной эксплуатации и возможных поломок. Очень доволен товаром и особенно, качеством обслуживания и сервиса компании М-Видео. Спасибо Вам!</t>
  </si>
  <si>
    <t>1062</t>
  </si>
  <si>
    <t>2010-06-02</t>
  </si>
  <si>
    <t>Отличная техника!!! Компактная, мощная, привлекающий глаз дизайн. Только меню слегка сложновато. Чтобы начать пользоваться микроволновкой, надо точно прочитать инструкцию.</t>
  </si>
  <si>
    <t>2272</t>
  </si>
  <si>
    <t>2009-11-30</t>
  </si>
  <si>
    <t>Я занимаюсь написанием музыки и Dj ингом притензий к наушникам нет, это то что надо, звук чистый, слышно все до мельчайших подробностей. Не пожалеете!</t>
  </si>
  <si>
    <t>735</t>
  </si>
  <si>
    <t>2016-02-11</t>
  </si>
  <si>
    <t>6 лет работает все "ок,"кнопка вкл выкл у них слабая, если не трогать то будет работать долго</t>
  </si>
  <si>
    <t>40</t>
  </si>
  <si>
    <t>Хороший тостер! Я тоже согласна с высказываниями! Все поджаривает и удобно то,что можно даже остановить во время приготовления,если видишь,что хлеб уже такой-как надо!:) Я тостером довольна! Особо долго его не выбирала,потому,что понравилось все,от цены,до качества! И даже есть 2 года гарантии,не как у всех:) Вывод-хороший тостер,за приемлемую цену:)я тоже рекомендую!!!</t>
  </si>
  <si>
    <t>3171</t>
  </si>
  <si>
    <t>2010-11-21</t>
  </si>
  <si>
    <t>6 месяцев пользуюсь, очень довольна. Качественный пластик.Подсветка отличная даже днем.</t>
  </si>
  <si>
    <t>Для своей цены отличные наушники! Прослужили больше 2х лет!</t>
  </si>
  <si>
    <t>2012-12-13</t>
  </si>
  <si>
    <t>Пользуюсь им уже 2,5 года, довольна полностью! Каждый раз радуюсь, что у него такая гениальная система сматывания шнура! Очень быстро, просто и ничего не мешает! Нужно на всей бытовой технике такое отделение сделать=) Работает хорошо и нешумно! Лёгкий, компактный, удобно держать в руке, красивая обтекаемая форма.</t>
  </si>
  <si>
    <t>3196</t>
  </si>
  <si>
    <t>Великолепно готовит)))))))</t>
  </si>
  <si>
    <t>Всё тоже, что и в более дорогих моделях, за исключением второй скорости и солидной разницы в цене.</t>
  </si>
  <si>
    <t>1372</t>
  </si>
  <si>
    <t>2010-05-11</t>
  </si>
  <si>
    <t>Ужасный монитор! Работать за ним невозможно- матовое покрытие с очень заметным глазом зерном. Не берите если работаете долго и глаза дороги.</t>
  </si>
  <si>
    <t>2624</t>
  </si>
  <si>
    <t>2010-03-30</t>
  </si>
  <si>
    <t>Я себе поставил этот комплект и не о чем не пожелел. Очень классный комплект Mystery, покупайте не пожелеете.</t>
  </si>
  <si>
    <t>Спасибо за отзывы!!!Честное слово супер соковыжималка! Выжимает за секунды-оглянутся не успеваешь! Сок чистейший, без примесей от фруктов!А какое удовольствие от того,что разбирается и моется очень быстро и леко!Класс!Ненарадуюсь!!!</t>
  </si>
  <si>
    <t>1090211</t>
  </si>
  <si>
    <t>Хорошая недорогая модель. Взял довольно быстро, порадовало, что подошли старые флешки, их снял вообще с телефона старого, и в переходник, в общем итоге получилась флешка на гиг бесплатно. Сами фотки вполне сносные, на комп заливаются быстро, так что на качество не жалуюсь.</t>
  </si>
  <si>
    <t>1030804</t>
  </si>
  <si>
    <t>1339</t>
  </si>
  <si>
    <t>544</t>
  </si>
  <si>
    <t>Нормальная рация. Но заявленными 10км не пахнет. По городу дальше 2-х домов не слышно. Но на открытом пространстве расстояние приличное.</t>
  </si>
  <si>
    <t>2017-02-04</t>
  </si>
  <si>
    <t>плюсы в регулировке температуры</t>
  </si>
  <si>
    <t>1997</t>
  </si>
  <si>
    <t>Я разочаровалась. Согласна маленький, компактный. Но шумный и ковер плохо чистит, шерсть собачья остается, ожидала лучшего. С удовольствием бы поменяла на другой.</t>
  </si>
  <si>
    <t>217</t>
  </si>
  <si>
    <t>"Разложите пожалуйста по полочкам" как же все-таки активировать USB с помощью телефона с ик? По сайтам разным смотрел ничего внятного так и не нашёл... (((</t>
  </si>
  <si>
    <t>2010-07-17</t>
  </si>
  <si>
    <t>Купил себе такой недавно, пока не жалуюсь. Греется, но не так сильно, смотря как обильно работать на нём. Расстраивает единственное то, что с самого начала пользования в нём запихан целый список программ, которые нафиг никому не нужны. из-за этих программ бывают незначительные тормозилки. потому что реестр забит всякой фигнёй. советую сразу записать восстановительный диск и снести ОС. поставить новую. А так всё окей. большой удобный, тяжеловат немного. Хороший ноут, который можно приобрести на такие деньги, так сказать на минимум берём максимум!!</t>
  </si>
  <si>
    <t>2012-10-18</t>
  </si>
  <si>
    <t>Отличная машинка, берет хорошо, лезвия пока не тупятся. Удобно использовать для бороды и волос на голове, как бритва она не очень, тока чтобы вокруг бороды подровнять, брить ей весь подбородок не очень, да и в инструкции написано чтоб этим не злоупотребляли. Я отлично стригу бороду, виски и затылок, в общем то это все что мне нужно. Отдельно триммер для бороды и машинка - дороговато, а так все в одном и не валяется где попало, удобная подставка. В общем доволен.</t>
  </si>
  <si>
    <t>2010-11-05</t>
  </si>
  <si>
    <t>Не ожидал, что в этой модели нет такой базовой функции, которая есть в более дешевых моделях увлажнителей.</t>
  </si>
  <si>
    <t>272</t>
  </si>
  <si>
    <t>2011-06-28</t>
  </si>
  <si>
    <t>Приставка мне очень нравится,3D эффекты хорошие,глаза не болят. Немного расстроила стартовая линия игр,но к счастью выпустили Зельду,скоро будет Кид Икарус,Марио,Резидент Ивил,а главное - новый Super Smash Bros.! Приставку покупать советую. А другая марка,как мне кажется,со своим андроидом и играми 3ДС не прейвзойдёт.</t>
  </si>
  <si>
    <t>2887</t>
  </si>
  <si>
    <t>2010-02-03</t>
  </si>
  <si>
    <t>Отличный телефончик! Обожаю его. Звук превосходный, вот только глючит немного (</t>
  </si>
  <si>
    <t>2010-03-01</t>
  </si>
  <si>
    <t>В магазине взгляд упал на этот панасоник,понравилось что вид строгий и стильный.По сравнению с моим старым экран тут здоровый. Изображение нравится,цветопередача хорошая. Вообще подключаю иногда приставку или двд,но в основном конечно эфир. Удобный пульт и меню. Да и вообще разобраться в нем мне было легко. В общем за те деньги, что отдал за него, получил хороший тв.</t>
  </si>
  <si>
    <t>2013-06-13</t>
  </si>
  <si>
    <t>Работает уже 3 года, вот неделю как начал гудеть, купим поедем такой же, и все 3 года всасывал даже линолеум приподнимает! А что бы не чистить после каждой уборки, не нужно так квартиру запускать, чтобы он был полный после одной уборки! Я убираюсь 3 раза в неделю, вот раз в неделю и чищу его!</t>
  </si>
  <si>
    <t>1612</t>
  </si>
  <si>
    <t>2011-01-27</t>
  </si>
  <si>
    <t>Отличная соковыжималка, все нравится!!!  собирается разбирается легко,также легко моется.  вибрация еле заметная, шума тоже не много.    если включать 2 скорость то сильный рывок получается так что не ставьте на скользящие поверхности.    с большого яблока диаметром 8см получилось 200мл вкуснейшего сока(наверно от яблок зависит:))  а с одного апельсина идентичного яблоку по размерам получилось 180мл.     советую,классная!</t>
  </si>
  <si>
    <t>2016-12-15</t>
  </si>
  <si>
    <t>Дизайн, удачный пиар китайско дешёвки</t>
  </si>
  <si>
    <t>С виду чайник просто шикарен:металл, красивая подсветка.  Но прошло около месяца использования, и чайник перестал выключаться при кипении. Слава богу, успевали его отключить, пока досуха не выкипел.  Придется брать новый. Обидно.</t>
  </si>
  <si>
    <t>2017-04-12</t>
  </si>
  <si>
    <t>Красивая, бежевая, немаркая, ничего лишнего!</t>
  </si>
  <si>
    <t>2010-07-30</t>
  </si>
  <si>
    <t>Покупали эту красавицу 3,5 года назад, такие модели только начали появляться. У меня дисплей немного другой и загрузка на 6 кг. За эти годы не капли не разочаровалась в этой машинище, Очень устраивает размер люка, в машину помещается даже двуспальное синтетическое одеяло,стираю и подушки, причем по две сразу при этом все хорошо простирыватся и прополаскивается.  Удобный и простой дисплей, качество стирки отменное,  даже спустя столько лет. Главный совет не сыпьте, много порошка, берегите природу.</t>
  </si>
  <si>
    <t>793</t>
  </si>
  <si>
    <t>2009-08-03</t>
  </si>
  <si>
    <t>отличный телефон)недавно купила,претензий нету.громкий,удобный,легкий и красивый)очень нравится)</t>
  </si>
  <si>
    <t>2017-06-06</t>
  </si>
  <si>
    <t>Купили данную модель в 2007 году. В доме три мужчины. Использовали как для стрижки волос, так и для стрижки усов и бороды. Проблема возникла только сейчас спустя 10 лет. Аккумулятор! Зарядка на помогает, т.е. без включенного питания вообще не работает.  Хотя и от сети работа уже далеко не та. Но все равно рекомендую. За такую цену - такой срок службы и качество.</t>
  </si>
  <si>
    <t>1180107</t>
  </si>
  <si>
    <t>943</t>
  </si>
  <si>
    <t>2016-05-13</t>
  </si>
  <si>
    <t>Аксессуар реальный. Оптику очистил прекрасно.  Рекомендую. Легок в обращении .</t>
  </si>
  <si>
    <t>2015-07-05</t>
  </si>
  <si>
    <t>Приобрела данный фен месяца два назад, основываясь на отзывах с сайта. И ни разу не пожалела! Очень мощный, компактный, удобно в руке держать, не перегревается. Два уровня горячего потока и  холодный поток. Никаких нареканий в работе!</t>
  </si>
  <si>
    <t>2013-03-18</t>
  </si>
  <si>
    <t>Сделали ремонт в ванной, угрохали много денег, машинку решили взять самую дешёвую Indesit MISK 605 (CIS). Недавно закончился ремонт, подключили машинку, началась стирка. С довольными лицами сели на кухне пить чай. Через какое- то время- грохот ужасный, забегаем в ванную, а машинка уже прыгает возле двери, ещё бы немного и выдрались шланги, с мужем вдвоем не смогли её удержать, пришлось выключить. На углу машинки появилась вмятина-чётко на уровне ванной, следовательно пока прыгала- ударилась.Собираюсь купить антивибрационный коврик, может поможем. Купите другую машинку, не экономьте! Я такого ещё не видела...Хотя если хотите посмотреть зрелище, которое видели мы- для забавы покупайте)</t>
  </si>
  <si>
    <t>2015-11-22</t>
  </si>
  <si>
    <t>эта модель проработала около 8-9(!!!) лет. крышка облупилась спустя года 2-3. функция ситечка осталась неясной, тк она просто болтается. крышка отпала спустя 3 года. в остальном нареканий нет.думаю при такой безукоризненной работе, это все мелочи. сейчас рассматриваем покупку точно такого же чайника. при условии,что эксплуатировался он постоянно, думаю это великолепная модель за небольшие деньги! и срок службы думаю говорит в его пользу.</t>
  </si>
  <si>
    <t>477</t>
  </si>
  <si>
    <t>2013-05-28</t>
  </si>
  <si>
    <t>У меня установлены усилитель, саб от дом. кинотеатра на 6ом, два блина в дверях, два сзади, и пищалки в торпеде. Когда прибавлял громкость звука, от баса мигала вся подсветка салона+фары, чтобы убрать такую просадку купил этот конденсатор, установил и просадки устранились, да и звук стал чище.</t>
  </si>
  <si>
    <t>420</t>
  </si>
  <si>
    <t>У меня этот телефон 2 года- и вот сломался, (глючит экран, и не работает фотик, механизм слайдера сломался) Я очень расстроилась, т.к. телефон супер и я больше ничего не хочу. Экран яркий, фотки супер, стильный, аккум. держит долго. Минус только  один, и то не для всех. На самсунги тяжело что -либо установить.. Но если подумать то можно. А так, буду сдавать в ремонт- может починят..</t>
  </si>
  <si>
    <t>Хорошая игра. По сети играть очень интересно. Только немного надоела после месяца игры. Один минус - однообразие.</t>
  </si>
  <si>
    <t>2010-01-11</t>
  </si>
  <si>
    <t>Хороший саб....Чистый и чёткий звук без всякого гудения!Единственное по мощности ожидал от него большего!</t>
  </si>
  <si>
    <t>2012-10-28</t>
  </si>
  <si>
    <t>После покупки уже была сгоревшая лампочка, причем плиту вытащили из заводской упаковки. Люфт на верхней крышке, где-то на пол сантиматра отходит с одной стороны, затянуть можно при полной разборке как сказал газовщик. Пока около двух недель пользования.</t>
  </si>
  <si>
    <t>Доволен телефоном. Покупал год назад и всё работает идеально. Вообще телефон кул!!!</t>
  </si>
  <si>
    <t>2010-09-25</t>
  </si>
  <si>
    <t>Мясорубка работает отлично,  и как овощерезка тоже. Но как у овощерезки есть один минус - насадка для овощей имеет большое выходное отверстие, при работе готовые нарезанные овощи разлетаются вокруг по кухне, приходится придумывать что-то, чтобы закрывать насадку с боков, чтобы нарезанные овощи попадали в тару. Пролистала еще раз инструкцию,  думала, что может что-то пропустила в сборке, но нет.</t>
  </si>
  <si>
    <t>1834</t>
  </si>
  <si>
    <t>ЗАБАНИЛИ ЗА ЧИТЫ, НО НИЧЕГО, ИГРА СТОИТ ВСЕГО 10$, а на ЗАПАДЕ 49$, ТАК ЧТО КУПЛЮ еще 4 ДИСКА ЛИЦУХИ И БУДУ ПРОДОЛЖАТЬ ЧИТЕРИТЬ НА ГОД ХВАТИТ, ПРОШЛЫЙ ВАЛЛХАК СМОГ 3 МЕСЦА ПРОРАБОТАТЬ А ПОТОМ БАН!</t>
  </si>
  <si>
    <t>2010-02-19</t>
  </si>
  <si>
    <t>Хороший пылесос.По крайней мере моим домашним понравился...Неплохая мощность всасывания 410 Вт Сколько раз сам пылесосил регулировку мощности не разу не задевал,не знаю как люди умудряются :-) Контейнер для пыли более менее удобен, я не испытывал сложностей с высыпанием мусора...Контейнер правда мыть не очень удобно, если напор воды маленький...ну это мелочи по сравнению с достоинствами.Короче нормальный пылесос.</t>
  </si>
  <si>
    <t>2010-04-13</t>
  </si>
  <si>
    <t>Просто замечательная машина, исключительно удобная за счет большого монитора и подсветки клавиатуры. К тому же можно увеличить объем памяти - добавить диск, есть доп. слот.</t>
  </si>
  <si>
    <t>Купил данный ноут в декабре прошлого года. Первое время был просто в восторге. Все работало просто отлично, с играми, фильмами никаких проблем не было.   Но через пол года начал сильно греться с левой стороны, да греться так, что страшно стало. Прикоснуться теперь даже нельзя, как раскаленное железо. Стали безумно тормозить все игры, приложения и фильмы. Думаю отдать в сервис, возможно все из-за пыли. Надеюсь гарантия М-видео поможет.  Других нареканий нет.</t>
  </si>
  <si>
    <t>2013-07-08</t>
  </si>
  <si>
    <t>В первый день покупки сломалась ручка люка.</t>
  </si>
  <si>
    <t>250</t>
  </si>
  <si>
    <t>2011-01-11</t>
  </si>
  <si>
    <t>Отличный плеер. Все его плюсы уже сказали, и я с мнением людей полностью согласен. Насчет наушников - не видел плеера, где бы в комплекте шли качественные наушники.</t>
  </si>
  <si>
    <t>2936</t>
  </si>
  <si>
    <t>2010-07-25</t>
  </si>
  <si>
    <t>Приобрели пылесос около 3 месяцев назад, не успели по-настоящему оценить. Поняли только одно - греется как утюг, можно даже готовить на нем наверное. Хозяйке не понравилось однозначно, а вчера вообще отключился сам. Потом остыл и заработал снова. попробуем обратиться в магазин, где приобретали</t>
  </si>
  <si>
    <t>2010-08-01</t>
  </si>
  <si>
    <t>Приличная машинка. Работает тихо, можно сказать деликатно. Есть режим быстрой стирки: удобно, когда нет времени.  До этого лет 12 пользовалась настоящей итальянской Ardo. Габариты, судя по техническому паспорту одинаковые, однако новая Electrolux почему-то не "вписалась" в предназначенное для нее место. Оказалась шире буквально на 1 см. Теперь выпирает в ванной больше, чем ей было положено.  Из неудобств: никак не отражается время оставшейся стирки. У старой машинки в процессе стирки постепенно двигался рычаг, и было понятно, сколько времени еще осталось.</t>
  </si>
  <si>
    <t>3040206</t>
  </si>
  <si>
    <t>1082</t>
  </si>
  <si>
    <t>2012-12-11</t>
  </si>
  <si>
    <t>Отличный контролёр, регулируемая крестовина,качественный материал, приятен на ощупь, кнопки работают безукоризненно-легко и чётко,беспроводной, немного тяжелее чем аналоговый- качество отдачи вибрации от этого ещё реалистичнее и ощутимее. Пользуюся им уже почти год доволен! Рекомендую! Приятных ощущений на Xbox 360.</t>
  </si>
  <si>
    <t>817</t>
  </si>
  <si>
    <t>2011-01-09</t>
  </si>
  <si>
    <t>наушники отличные, высокие средние частоты великолепны, низкие не особо глубоки но зато весьма точные, можно легко разобрать звучание отдельных струн басгитары.  очень порадовали и оправдали ожидания. 3й день пользования. шнур на вид хлиповат, но если на морозе не пользовать, то порядок будет, думаю.</t>
  </si>
  <si>
    <t>1019</t>
  </si>
  <si>
    <t>2010-10-15</t>
  </si>
  <si>
    <t>отличная вещь! Лёгкий, маленький и на удивление мощный, моментально выдаёт горячий воздух, очень доволен покупкой</t>
  </si>
  <si>
    <t>Согласна с Сашей и Наташей. Самая лучшая,самая удобная! Пользуюсь несколько лет и 2-ю на дачу купила такую же. Очень легко разбирается-собирается и моется!</t>
  </si>
  <si>
    <t>2010-07-27</t>
  </si>
  <si>
    <t>Между прочим, не так давно наткнулся на статью, где сравнивали Sennheiser HD-215 и Sennheiser HD-485, в итоге рейтинг у 215 был немного выше, считаю это обстоятельство не столь важным, наушники практически одного класса но если учесть то, что наушники проверялись по многим параметрам экспертами, то...конечно судите сами.))) Но по моему личному мнению 215 практичнее, витой отцепной провод, обод уха "под кожу" + шарнир на правом ;-)</t>
  </si>
  <si>
    <t>2013-08-21</t>
  </si>
  <si>
    <t>Комплект отличный, купил себе в дуплет, мне всё оооочень нравится, отыгрывает на все 100%,басс просто шикарный,дребезжит всё что может дребезжать, мне говорили что усилок у них гавно, ниче подобного, всё отлично берите не пожалеете!)))</t>
  </si>
  <si>
    <t>1030304</t>
  </si>
  <si>
    <t>2010-12-14</t>
  </si>
  <si>
    <t>Магнитолка радует, всё работает хорошо, только не могу завести GPS новигатор...</t>
  </si>
  <si>
    <t>2010-12-20</t>
  </si>
  <si>
    <t>Мне нравится и я довольна этим телефоном!</t>
  </si>
  <si>
    <t>Компьютер очень качественный не считая того, что на нём стоит 32-битная система, но переустановить думаю не проблема))поэтому очень рад покупке...самый лучший комп!!!</t>
  </si>
  <si>
    <t>2014-10-05</t>
  </si>
  <si>
    <t>Батарейка в комплекте от старости не держит или тел. жрет много энергии.Меньше чем черех минуту на громкой связи телефон прерывает вызов, гаснет экран, телефон перезагружается. Бесит страшно!!!</t>
  </si>
  <si>
    <t>Афигительный холодильник...пока никаких минусов не нашли)))</t>
  </si>
  <si>
    <t>Пользуюсь печью уже 4 года очень доволен.Купил для нее круглое ведро в интернет магазине. Варенье в ней варить не саветую, только испортите уплотнитель. Ржаной хлеб получается прекрасный на 5 программе (французский хлеб)без закваски , а на тех же дрожжах. Пику булочки редко но готовлю тесто для пици. Печкой очень доволен. Молоко не разбовляю. Вот рецепт ржаного хлеба который делаю: Теплая вода 600 мл соль 2 ч.л. пшеничная мука 200г. ржаная мука 500г. быстродействующие сухие дрожжи1,5 ч.л.</t>
  </si>
  <si>
    <t>2010-10-06</t>
  </si>
  <si>
    <t>Бош я уважаю, не перестал уважать даже после ЭТОГО...  Однако ЭТА модель - это что-то! Льет кипяток мимо чашки при любом объеме воды в чайнике!  Был удивлен, увидев, что до сих пор его клепают и пытаются продавать. Много я видел плохих чайников, но так аккуратно лить мимо умеет лишь это "чудо" немецкого дизайна!..</t>
  </si>
  <si>
    <t>2355</t>
  </si>
  <si>
    <t>2009-09-02</t>
  </si>
  <si>
    <t>приобрела ,понравилось,не жалею.Доставка на дом через интернет магазин очень удобно.</t>
  </si>
  <si>
    <t>Два дня назад приобрел этот ноут, всё в нём устраивает, за исключением антивирусника. Решил поставить NOD32 64bit на 7-ку,все установилось,но после последующих перезагрузок машина подвисла. Вот думаю на привычную XP переходить,а так ноут стоит этих денег.</t>
  </si>
  <si>
    <t>2013-10-11</t>
  </si>
  <si>
    <t>Очень хорошая печь. Мощная, а самое главное работает у нас уже лет 6.</t>
  </si>
  <si>
    <t>1888</t>
  </si>
  <si>
    <t>Пользуюсь ТВ уже неделю. К положительным моментам могу отнести: хорошее изображение (по сравнению с моим предыдущим  ТВ), доступную цену, неплохой дизайн и поворотную подставку. Единственное, что разочаровало, так это неудачное расположение динамиков, что искажает звук!</t>
  </si>
  <si>
    <t>Купил, ни о чём не жалею, отвечаю Лилии неа, он ваще не вибрирует(по причине нагрузки)и вообще не шумит  не по поводу, не знаю как вам, а я вин7 на хп менять не собираюсь, производительность больше, чем на компе, т.е 5.9 оп/сек шина процессора куль, дизайн оч радует, экран 15.6, но мне хватает, цвета на камере супер, но если вы нуб или нуждаетесь менее чем в половине функций этого ноута, то вам лучше выбрать что-то попроще)(смотреть Emachines)</t>
  </si>
  <si>
    <t>4050206</t>
  </si>
  <si>
    <t>2011-07-20</t>
  </si>
  <si>
    <t>Живу на Уралмаше в "хрущевке", перебои с горячей водой бывают часто. Купил себе Etalon 5, поставил и никаких проблем. Работает вот уже 4 года! Рекомендую всем!</t>
  </si>
  <si>
    <t>725</t>
  </si>
  <si>
    <t>2015-05-30</t>
  </si>
  <si>
    <t>Воздухоувлажнитель Boneco 7135. Прекрасно увлажняет воздух. Не гудит. Ночью его не слышно. Большой резервуар для воды - более 6 литров, не требует часто добавлять воду . Очень мощный. У ребёнка семилетнего в комнате не пересушен воздух и, как следствие прошла заложенность носа, на следующее утро, которую лечили до этого месяц промыванием лек. средствами с морской водой, и чем только ни лечили. Спасибо швейцарцам за идею и ростовчанам за изделие.</t>
  </si>
  <si>
    <t>2010-01-28</t>
  </si>
  <si>
    <t>Чудо бук с чудо ценой))))</t>
  </si>
  <si>
    <t>1992</t>
  </si>
  <si>
    <t>пользуюсь уже год, ни разу не ремонтировал.  звук супер!  зарядки в полне хватает  советую купить, класс 5+</t>
  </si>
  <si>
    <t>2012-11-06</t>
  </si>
  <si>
    <t>Купила этот пылесос в 2009 году. Поначалу очень нравился. Но потом мощность упала.Оказалось забился фильтр. Вымывается пыль из него только под мощной струей воды. Недавно заходила в магазин и хотела купить новый фильтр, но продавец ответила что их нет и не бывает. Соответственно возникает вопрос, почему не продаются расходники в том магазине, где продается данная модель пылесоса. Если фильтр совсем умрет, что пылесос тоже выкинуть? В следующий раз я при покупке я подумаю нужен пылесос с НЕРА фильтром или проще купить мешковой.</t>
  </si>
  <si>
    <t>4050101</t>
  </si>
  <si>
    <t>2675</t>
  </si>
  <si>
    <t>2010-04-26</t>
  </si>
  <si>
    <t>Супер мощный!))))))  ДОВОЛЕН!</t>
  </si>
  <si>
    <t>440</t>
  </si>
  <si>
    <t>2010-04-20</t>
  </si>
  <si>
    <t>Купил этот бук месяц назад за 24990 р. Очень доволен! Игрушки идут все. Экран - сказка, звук громкий. Не знаю как других, а Windows 7 меня вполне устраивает.</t>
  </si>
  <si>
    <t>2017-02-15</t>
  </si>
  <si>
    <t>Легки, компактный, удобное расположение кнопок, хорошая мощность, не перегревается, нет посторонних запахов, наличие разных режимов работы, очень выгодная цена!</t>
  </si>
  <si>
    <t>1673</t>
  </si>
  <si>
    <t>Два месяца назад купил. Жена радуется. Овощи получаются очень. Еще можно делать арбузный мед и сушить чюрчхелу.</t>
  </si>
  <si>
    <t>Отличное соотношение цена-качество. За 24.000 р. это наиболее приемлимый вариант. Он сгодится как для большинства игр, так и для работы. Хорошие характеристики, довольно большой объем памяти. В общем я выбором доволен, еще хочу сказать о действительно отл внешнем дизайне, очень удобные кнопки, нестандартные, ничего лишнего.</t>
  </si>
  <si>
    <t>Сломался через пару недель. Нажимаешь на кнопку включения розетки-что-то трещит; подсветка кнопки то загорается, то гаснет. Пришлось выкинуть.</t>
  </si>
  <si>
    <t>2012-09-24</t>
  </si>
  <si>
    <t>Очень довольна покупкой! Включается одним прикосновением, выключается тоже, есть таймер, работает тихо, стеклянный козырек закрывает фильтр, удобная подсветка, стильный дизайн. Тянет, отлично, поглощает все кухонные запахи. Супер!</t>
  </si>
  <si>
    <t>1018</t>
  </si>
  <si>
    <t>2010-10-30</t>
  </si>
  <si>
    <t>как настроить wifi ,точки ловит ,но почему то не заходит.Поскажите плз</t>
  </si>
  <si>
    <t>1257</t>
  </si>
  <si>
    <t>2010-01-19</t>
  </si>
  <si>
    <t>Нормальная печка,особых недостатков не заметил,пользоватся удобно и легко.</t>
  </si>
  <si>
    <t>2011-03-30</t>
  </si>
  <si>
    <t>Купила эту модель. Осталась ОЧЕНЬ довольна. Даже если взвеситься несколько раз подряд, вес все время показывается один и тот же. К тому же весы показывают один и тот же вес, если я взвешиваюсь в комнате на линолеуме или на плитке на кухне.</t>
  </si>
  <si>
    <t>Отличный ноутбук, игры просто летают!!!</t>
  </si>
  <si>
    <t>2009-09-23</t>
  </si>
  <si>
    <t>Очень хорошая зубная щетка, десны при чистке не кровоточат, мягкая щетина, насадка легко снимается, тихо работает. Сразу видно - качество отличное!</t>
  </si>
  <si>
    <t>2017-07-10</t>
  </si>
  <si>
    <t>Все ))</t>
  </si>
  <si>
    <t>2017-02-10</t>
  </si>
  <si>
    <t>ХОРОШИЙ ЗВУК</t>
  </si>
  <si>
    <t>Телефон у меня полгода, я всегда покупаю телефоны только Nokia, качественные и хорошие телефоны. Nokia 6303 - соотношение цена-качество мне нравится, для своей функциональности очень низкая цена, рекомендую всем.</t>
  </si>
  <si>
    <t>Отличная кофе машина! пользовались одной из предыдущих моделей 8 лет, до сих пор работает, решили обновить, купили такую же, только нового поколения. Работает как часы! очень довольны.</t>
  </si>
  <si>
    <t>2010-12-29</t>
  </si>
  <si>
    <t>Купив коллекционное издание, я понял это не просто игра! Она поражает с первых минут! В игре всегда есть чем заняться. Можно сдать на права, поучавствовать в особых заездах против чемпиона наскара или чемпиона WRC, проехаться по одной из самых сложных трасс в мире.  Пройти карьеру в A-spec или B-spec, можно покупать машины и коллекционировать их. Также есть множество деталей для тюнинга авто. Всем советую!</t>
  </si>
  <si>
    <t>131</t>
  </si>
  <si>
    <t>2015-08-15</t>
  </si>
  <si>
    <t>Чайником пользуюсь более 3-х лет - воду кипятит, что еще надо?.. Все "хромированное" покрытие облезло. Сверху крышка отвалилась - теперь просто лежит на чайнике и снимается совсем если надо налить или вылить воду в чашку. Рассматриваю покупку такого же чайника как только этот совсем сломается, но работает и не ломается :)</t>
  </si>
  <si>
    <t>498</t>
  </si>
  <si>
    <t>Купил 13 марта, с бонусами обошелся 8390. Звук из динамиков хороший. Не сразу разобрался с GPS. У кого ну ловит спутники положите его к окну минут на 30, а еще лучше посидите с ним на улице. Камера, если честно...ну вообщем вы поняли. Когда ставлю яркость подсветки на минимум иногда моргает экран. Но для меня это не минусы. Исправляются они прогами. В рунете много хороших сайтов про коммуникаторы. Да, самое главное: Windows Mobile 6.5. После моего SE K550i - это просто рай. Вообщем, если вам нужен "конструктор" или хороший помощник, то берите S8, а если вам просто нужен телефон и аська в нем, то в сторону ровера даже не смотрите.</t>
  </si>
  <si>
    <t>Купила вчера данную модель, пробовали сок из апельсинов, отжимает хорошо, вращается в обе стороны, удобно, что два фильтра (с мякотью и без). Красивый дизайн, удобная в обслуживании. Единственное мне кажется мощность маловата, но посмотрела аналогичные модели, мощность колеблется от 20 до 40, наверно для цитрусовых этого достаточно. Еще хотелось бы не рукой давит на фрукт, а чтобы в комплектации был пресс. В целом покупкой довольна, рекомендую!</t>
  </si>
  <si>
    <t>Мало добродушная игрушка! Но весело особенно при выключенном свете!</t>
  </si>
  <si>
    <t>2016-11-18</t>
  </si>
  <si>
    <t xml:space="preserve">затрудняю назвать. </t>
  </si>
  <si>
    <t>Очень довольна))  Только сегодня купила и еще наверно не во всем разобралась, но пока претензий серьезных не имею)  Просто все, сразу приступила к использованию. Звук отличный!  Наушники конечно в комплекте не айс, и сразу взяла новые.  И еще крышка от входа USB немного волнует....фиксируется не очень, не потерять бы. Но проявив чудеса изобретательности и подложив бумажку мизерную - теперь спокойна, не оторвешь))))</t>
  </si>
  <si>
    <t>2013-09-30</t>
  </si>
  <si>
    <t>Буквально 2-3 минуты и готов горячий бутерброд с колбасой и сыром. Корочка хлеба получается хрустящая, то что надо.Так что кто любит по утрам горячие бутерброды с кофе, покупайте не пожалеете.</t>
  </si>
  <si>
    <t>2015-08-12</t>
  </si>
  <si>
    <t>Я думаю, покупка этого автопылесоса окупается уже в первый месяц-два после приобретения. Как у меня двое маленьких детей, которые активно ездят со мной в машине, так у меня наверно за месяц окупился, а от из автомойки не вылезал или через день на заправке пылесосил. Пылесос отличный по всем параметрам – мощности, качеству уборки, удобству, длине шнура, набору нужных щеток, качеству фильтрации. Недостатков не обнаружил и думаю, что после трех месяцев активного использования уже и не обнаружу.</t>
  </si>
  <si>
    <t>167</t>
  </si>
  <si>
    <t>2963</t>
  </si>
  <si>
    <t>2010-11-13</t>
  </si>
  <si>
    <t>купил месяц назад. полная установка заняла около 1 -1,5 часа. спутник нашел сразу и сразу со 100% уровнем сигнала, так что самому поставить очень просто. При установке антены ориентировался по тарелкам установленым на нашем доме.  качество картинки отличное.  Рекомендую!</t>
  </si>
  <si>
    <t>2016-10-21</t>
  </si>
  <si>
    <t>Стильный, функциональный, гриль, защита от детей, легок в управлении</t>
  </si>
  <si>
    <t>2016-05-10</t>
  </si>
  <si>
    <t>Приобрела неделю назад    Из плюсов только дизайн и подсветка    Запах пластика  перебивает  даже самый ароматный чай    Если чек найду - верну обратно в магазин!</t>
  </si>
  <si>
    <t>нормальный плеер, цветной экран хороший, воспроизводит все форматы, что ещё нужно ? чего вы ещё хотите, у меня лично работает хорошо</t>
  </si>
  <si>
    <t>225</t>
  </si>
  <si>
    <t>Голимый бред,худшего водонагревателя не видел, никому не советую брать!</t>
  </si>
  <si>
    <t>2016-09-06</t>
  </si>
  <si>
    <t>Вначале всё устраивало,проработала два месяца,появился запах гари,использую часто для тортов(перемалываю сахарную пудру).Сегодня включила,перемолола один стаканчик и ,опа,сюрприз- НЕ РАБОТАЕТ! Поеду менять,брали с дополнительной гарантией,уверяли,если что,заменят на такую же модель или по сумме подходящую.Очень надеюсь на добросовестность данного магазина.</t>
  </si>
  <si>
    <t>505</t>
  </si>
  <si>
    <t>5050101</t>
  </si>
  <si>
    <t>704</t>
  </si>
  <si>
    <t>2012-01-11</t>
  </si>
  <si>
    <t>Ничего, но скорости для записи в реальном режиме с кабельного или спутникового ресивера не всегда хватает, нужно как минимум 12 Мбит/сек, проблемы возникают на некоторых каналах, хотя другая (дешевая) модель Transcend со скоростью 12 Мбит/сек тянет прекрасно.</t>
  </si>
  <si>
    <t>2010-12-11</t>
  </si>
  <si>
    <t>Хороший пылесос. Вроде качественный. Да, шумноват, но лично для меня это некритично.</t>
  </si>
  <si>
    <t>2010-08-18</t>
  </si>
  <si>
    <t>Тоже самое что и у других....стал сам вырубаться..сей девайсу 5-6 месяцев..придется везти в мастерскую...Самсунг вряд ли еще раз приобрету, хотя до этого ТВ технике под этим брендом доверял</t>
  </si>
  <si>
    <t>2010-06-17</t>
  </si>
  <si>
    <t>Игра по- началу очень даже ничего, дикий запад, во всей его красе! Много чего можно и по мимо миссий, но после 3 игрового для, а это около 40 процентов игры, она мне надоела, скакать на другой конец света из-за не интересной миссии- это скучно!   Вообще GTA 4 куда интереснее!</t>
  </si>
  <si>
    <t>2010-09-13</t>
  </si>
  <si>
    <t>Пластик не "воняет" вообще, что для такой цены очень порадовало. Кипятит 1.5 литра за 3.5 минуты - стандартный показатель...  А если что и случится, то всегда есть гарантия, а её -два года.  За эти деньги думаю лучше не придумать.</t>
  </si>
  <si>
    <t>471</t>
  </si>
  <si>
    <t>2010-03-03</t>
  </si>
  <si>
    <t>Форматируйте винчестер и удаляйте висту у вас будет 160 гб,  и ставте ХP SP3, не потому что я противник висты компьютер в ней работает не так шустро как хотелось бы.</t>
  </si>
  <si>
    <t>3069</t>
  </si>
  <si>
    <t>Саб супер,я доволен на все 1000%</t>
  </si>
  <si>
    <t>512</t>
  </si>
  <si>
    <t>Купил чайник неделю назад. Искал такой, где корпус внутри чисто металлический, без пластиковых вставок и даже без прокладок между дном и стенками, т.е. цельнометаллический (для меня это очень важно, т.к. пластик и резина могут давать запах воде, а это сильно портит чай). И этот чайник один из редчайших образцов такого рода. Однако при этом очень важно, чтобы сталь была качественной, т.к. я слышал, что низкокачественная сталь может выделять в воду вредные вещества при кипячении, а это уже урон не только для чая, но и для здоровья.   В паспорте чайника увидел информацию о соответствии нескольким ГОСТам и решил, что всё в порядке, поскольку чайник проверялся РОСТЕСТом. Но дома обнаружил, что в кипяченой воде ощущается легкий металлический привкус. Решил посмотреть в Интернете, что за ГОСТы, которым чайник соответствует. Оказалось, что все они относятся к электрической и электромагнитной безопасности. На сайте Verloni тоже нет никакой дополнительной информации.   Тогда там же на сайте я задал вопрос о безопасности стали для здоровья. На следующий рабочий день, с утра, мне пришло e-mail сообщение с уверением, что всё проверено РОСТЕСТом и беспокоиться не о чем. Когда же я попросил указать конкретные сертификаты (как фирма это сделала для электробезопасности) по пищевой (химической) безопасности, то в ответ - тишина.   Так что, похоже, этот чайник сделан не из пищевой стали, по крайней мере, он не проверен, а потому может быть опасен для здоровья (а учитывая явный привкус воды после кипячения, видимо, и впрямь опасен).  И отсутствие проверки стали на химическую безопасность фирма Verloni пытается скрыть, ссылаясь на перечень ГОСТов, не указывая, что они по электробезопасности. То есть фирма пытается ввести покупателей в заблуждение.</t>
  </si>
  <si>
    <t>2011-01-18</t>
  </si>
  <si>
    <t>Heavy Rain вполне можно назвать флагманом эксклюзивов для PS3, это совершенно новый этап в игровой индустрии. Интерактивная драма заставит Вас и радоваться и переживать, да что уж там, частенько вы будете испытывать панику, учащенный пульс и повышенное давление гарантировано. Тем, кто ещё не прошел игру предстоит получить бурю эмоций, я даже вам немного завидую. А тем, кто подумывал о приобретении PlayStation 3, теперь у вас есть замечательный повод не откладывать больше это событие</t>
  </si>
  <si>
    <t>2011-11-26</t>
  </si>
  <si>
    <t>Для меня в нем  2 функции просто необходимы -  это то, что можно время запуска поставить и  крепость заварки под свой вкус настраивать.  Со всем этим чайник справляется великолепно. Короче, я довольна)  Люблю похвалиться этим девайсом перед гостями. P.S. а еще он у меня идеально вписывается в интерьер кухни. Дизайн у всех Борков, кончено, классный!</t>
  </si>
  <si>
    <t>2012-03-05</t>
  </si>
  <si>
    <t>Отличный тостер, верой и правдой служит мне уже больше года. Использую не реже раза в день, прекрасно обжаривает с двух сторон хлеб. Простой и надёжный, как АК, ни единой осечки за всё время не было.</t>
  </si>
  <si>
    <t>Очень довольна. Мои сильно-вьющиеся волосы выпрямить не каждому под силу, а этот агрегат справился.</t>
  </si>
  <si>
    <t>2011-02-13</t>
  </si>
  <si>
    <t>Всегда хотел установить в автомобиль хорошую музыку!!! очень долго сомневался в выборе акустики, не говоря уж о усилителе!!! перерыв весь интернет и опросив всех знакомых, решился и купил!!! Долго все готовил и подключал!!! После первой же настройки(кстати неправильной) понял что купил не зря!!! Играет очень не плохо!!! Мне понравилось!!! P.S. не верьте что сажает аккумулятор за 15мин.!!! Я летом на речке устраивал дискотеку с открытым багажником в радиусе 300-350 метров по 4-5 часов и никаких признаков севшего аккумулятора (в машине 8мь колонок: 4-13ых, 2-16ых и 2овала)</t>
  </si>
  <si>
    <t>707</t>
  </si>
  <si>
    <t>Ужасная модель. Мученье с розжигом, после года эксплуатации во время приготовления пищи лопнуло стекло. Дешевле купить новую, чем заменить стекло.</t>
  </si>
  <si>
    <t>2015-10-10</t>
  </si>
  <si>
    <t>Отличная кофемолка за смешные деньги, полностью удовлетворяет. Нравится что корпус металл. Простая и удобная.</t>
  </si>
  <si>
    <t>578</t>
  </si>
  <si>
    <t>в прямом смысле горд за свой плеер)     учитывая цену данного продукта, можно смело сказать, что я НЕ ДОПЛАТИЛ)     на счёт проблем описанных выше, Сергеем (Нижнекамск):   1. с наушниками из комплекта проблем не возникает, никогда не висло, не тормозило и т.п.    2. плеер, с его батарейкой на 10 часов, не рассчитан на прослушивание аудиокниг.     один минус) но скорее не минус, а недочёт: жаль что в комплекте не идёт зарядник к розетке покупать отдельно было вообще лень)</t>
  </si>
  <si>
    <t>Интересная игра)) Правда, это уже не тот Midnight Club, что был раньше)) Хотя Rockstar марку держит))) Кто любит тюнинг, дорогие машины и бешеную скорость - must have)))</t>
  </si>
  <si>
    <t>550</t>
  </si>
  <si>
    <t>Недавно обзавелись этой чудо-техники на нашей кухни. Стильный дизайн,  горячая вода в любое время суток, это оказывается так удобно!!! Никакого запаха не было, как пишут некоторые . Моя семья оценили аппарат на 5+.  Покупайте и не пожалейте.</t>
  </si>
  <si>
    <t>2010-03-09</t>
  </si>
  <si>
    <t>Отличный пылесос, слов нет, током бьет, если использовать турбощетку, за счет статического электричества. Но не страшно... Тихий и мощный пылесос, пылесборника одноразового хватило в первый раз на 2 недели, пользуюсь им столько же и доволен.</t>
  </si>
  <si>
    <t>468</t>
  </si>
  <si>
    <t>2013-05-23</t>
  </si>
  <si>
    <t>Купили эту мясорубку! И о чем пожалели уже через день. Изначально, когда ее смотрела, спросила у консультанта, почему такое слабое крепление? На что мне ответили, это витринный образец, поэтому уже типа расшатали его! Ну ладно! Начали крутить мясо, кошмар, как она его зажевывает, забивается моментально, причем крутила я вырезку без всяких жил и костей! Покрутила 1 кг мяса, собрала ее в охапку и побежала сдавать, НО тут у меня ее не приняли, товар нормальный, рабочий! В общем, не берите эту ерунду!&amp;nbsp;</t>
  </si>
  <si>
    <t>Вчера купила мини печь Scarlett sc-099 black!Попути из м.Видео купила семгу.Дома сначала прогрела пустую печку(вся квартира была в дыму)!Затем запекла в ней свою любимую семгу!Рыба получилась изумительно вкусная!!!!Я такого даже не ожидала.Ведь фирма вроде как не очень популярная!!Я всем советую у кого проблемы с духовкой или на дачу самый лучший вариант!!!!</t>
  </si>
  <si>
    <t>2016-08-01</t>
  </si>
  <si>
    <t>В покупке ни разу не расстроился, мелет мелко,индикация есть. А самое главное это съемная чаша, можно без проблем высыпать кофе или ее помыть!</t>
  </si>
  <si>
    <t>1031</t>
  </si>
  <si>
    <t>2017-04-18</t>
  </si>
  <si>
    <t>Цена и скорость работы</t>
  </si>
  <si>
    <t>2013-05-29</t>
  </si>
  <si>
    <t>Посоветовали в магазине, сказали один из лучших радиаторов в своем сегменте, убедился, что это так! Очень хорошо обогревает, не шумит, дополнительный тепло обдув, термостат есть. В общем на пятерку, кто хочет обогреть большую площадь!!!</t>
  </si>
  <si>
    <t>2010-08-10</t>
  </si>
  <si>
    <t>Приобрела на прошлой неделе.Замечательная мясорубка,никаких проблем при рубке говядины, куриного филе.Сок выжимает без проблем.</t>
  </si>
  <si>
    <t>2320</t>
  </si>
  <si>
    <t>2010-05-20</t>
  </si>
  <si>
    <t>купил 3 месяца назад, покупкой доволен только пришлось установить 64х битную операционку, чтоб быстрей работал. Есть один минус, который заметил - иногда дребезжат шторки на приводе и нижнем отсеке,а так практически бесшумен.</t>
  </si>
  <si>
    <t>3106</t>
  </si>
  <si>
    <t>2017-03-10</t>
  </si>
  <si>
    <t>удобная ручка, длинный сетевой кабель, оптимальный набор насадок, легко использовать и мыть после уборки</t>
  </si>
  <si>
    <t>804</t>
  </si>
  <si>
    <t>316</t>
  </si>
  <si>
    <t>2012-02-22</t>
  </si>
  <si>
    <t>Купили. Пользуемся.  Согласна с предыдущим отзывом - на комнату 18м его не хватает, но мы ставим на ночь возле кровати. Через час работы показывает влажность около 50%. Больше влажности  при такой эксплуатации он выдать не может.   Если по метражу подходит, то очень даже приятный прибор. Тихий и нет налета белого на мебели от воды.  Совет: При покупке в магазине проверяйте на исправность, т.к. у нас что-то там отошло и мы на свой страх и риск сами починили(прикрутили), рискуя лишиться гарантии, но уж очень лень было везти его обратно и менять:)</t>
  </si>
  <si>
    <t>2951</t>
  </si>
  <si>
    <t>2013-06-18</t>
  </si>
  <si>
    <t>Купила по акции с установкой 10 дней назад. Вчера приехали установщики. Ковырялись до 23-00. Установили. Не работает вообще. В аппарате нет ни капли фреона. Мастера говорят, что либо сознательно не заправили, либо забыли заправить, либо фреон весь вытек. Супер техника. Сегодня поеду в магазин, менять на другую марку.</t>
  </si>
  <si>
    <t>2116</t>
  </si>
  <si>
    <t>2010-04-09</t>
  </si>
  <si>
    <t>у меня не черный !но серый металлик,   НО дело не в этом ! подскажите пожалуйста как пользоваться второй камерой и как она включается . у меня не получается!</t>
  </si>
  <si>
    <t>У меня больше трех лет два подобных чайника (такой+ Сименс-близнец). Никак не сломаются. Один действительно стал лить мимо после того, как был залит выше отметки Мах, верх колбы похоже слегка деформировался от нагрева. Был отправлен на дачу.</t>
  </si>
  <si>
    <t>2013-03-21</t>
  </si>
  <si>
    <t>Купила открывалку неделю назад, полностью устраивает, начали с мужем открывать все банки, ножи точить. Очень удобная-места на кухне занимает очень мало. В общем рекомендую всем!</t>
  </si>
  <si>
    <t>2017-03-26</t>
  </si>
  <si>
    <t xml:space="preserve">Можно готовить небольшими порциями, несколько блюд, компактна, хорошо мыть, надёжна </t>
  </si>
  <si>
    <t>2010-01-26</t>
  </si>
  <si>
    <t>Отлично стирает, отжимает , а если поставить "легкую глажку", то практически можно не гладить)))</t>
  </si>
  <si>
    <t>Хороший ноутбук, процессор подходит для работы с включенным антивирусником, Целероны тормозят заметно сильнее. Экономичный, видюха шустрая.</t>
  </si>
  <si>
    <t>1632</t>
  </si>
  <si>
    <t>1154</t>
  </si>
  <si>
    <t>Всё это ерунда, постом выше девушка разрекламировала неудачно. Не орёт как потерпевший, это прошлый век. Пользуюсь 2 или уже 3 год, антивирус отличный.</t>
  </si>
  <si>
    <t>Вчера привезли плиту, симпатишшшшная! В описании не указано, что у плиты есть крышка и на фото она тоже не присутствует- это был приятный сюрприз, также в спецификации нет ничего о наличии сетевого провода(для поджига и подсветки)- это был неприятный сюрприз, т.к. тянуть проводку к плите на моей кухне- неудобно. Хороший ящик для посуды, конфорки пошумливают, но это не напрягает, т.к. еда тоже шкворчит. И по поводу долгого нажатия на ручку поджига духовки: это защита от детей, и, достаточно секунд 5 подержать. Хорошая вещчь-покупайте!</t>
  </si>
  <si>
    <t>2010-11-16</t>
  </si>
  <si>
    <t>На голове сидят хорошо,звук супер.Лучшие уши за эти деньги.</t>
  </si>
  <si>
    <t>668</t>
  </si>
  <si>
    <t>2010-02-08</t>
  </si>
  <si>
    <t>Прикольный плеер. Качево звука хорошее! Видео еще лучше, если правильно кодировать!Конвертируйте видео в размер 320*240 через XvID в avi!  За эти деньги хорошая вещь! Все предельно просто!</t>
  </si>
  <si>
    <t>2013-04-30</t>
  </si>
  <si>
    <t>Пользуемся уже 2 года. Никаких претензий. Трещинки на пластике появились после падения крышки. Но это как то не смущает Честно говоря сомневалась что вообще буду на ней готовить . Но настолько все удобно сделано (просто и понятно) что готовлю на ней постоянно. Запахи не смешивает. Вначале немного пах пластик. Но сейчас уже нет. Не всегда удобна функция одновременного приготовления блюд.Например если я варю рис 40 мин и затем решила в другое отделение положить овощи на 20 мин. То пароварка будет автоматически делать так, что бы овощи приготовились одновременно с рисом. через 40 минут! А это не всегда нужно. Может эта функция где то отключается? А в остальном - просто спасение от подгорелых каш)) Овощи,крупы, рыба, мясо, омлет- все всегда очень вкусно!</t>
  </si>
  <si>
    <t>Приятная на вид микроволновка. Покупал 4 месяца назад, мощность 900 Вт, есть гриль. Разогревает всё очень хорошо, советую.</t>
  </si>
  <si>
    <t>344</t>
  </si>
  <si>
    <t>2017-07-05</t>
  </si>
  <si>
    <t>Малошумная , компактная , нержавейка корпус.</t>
  </si>
  <si>
    <t>1845</t>
  </si>
  <si>
    <t>2013-09-07</t>
  </si>
  <si>
    <t>Пользуюсь 3 года. Устраивает. Кожа у меня проблемная, сушится, бывают прыщи. С электрической бритвой стало лучше. Я сперва брился на влажную было раздражение, т.к. очень сильно убирало, теперь бреюсь на сухую. У меня щетина средней жесткости: на сухую оставляет слегка на шее волоски, но если пройтись все чисто. На влажную с первого раза чисто. Плюсы: тихая, долго держит батарею (литиевая ) в любой момент заряжать.&amp;nbsp; Нет вибраций как у сетчатой. Недорогие ножи запасные в сети Мвидео!&amp;nbsp; Минусы: На третьем году использования кнопка вкл/выкл провалилась слегка и пластик, покрывающий сверху ее, треснул. Не совсем дорожный вариант, больше как домашняя. Оценка 5 из 4. Цена слегка завышена. Меня устраивает, менять не собираюсь. P.S. Не забывайте менять ножи, от этого качество бритья зависит.</t>
  </si>
  <si>
    <t>1739</t>
  </si>
  <si>
    <t>Купили эту соковыжималку на этой неделе,уже делала томатный сок!!! Пока этой техникой я очень довольна!</t>
  </si>
  <si>
    <t>2010-10-09</t>
  </si>
  <si>
    <t>Отличная печь. Поользуемся около года, не подводит)  Хорошо всё прогревает, разогревает и картошка в мундире просто отменная получается))  Берите, не пожалеете</t>
  </si>
  <si>
    <t>1630</t>
  </si>
  <si>
    <t>А будут продавать 4 и 5 сезоны?</t>
  </si>
  <si>
    <t>1974</t>
  </si>
  <si>
    <t>2010-07-24</t>
  </si>
  <si>
    <t>Купили 22.07.10г,стирала пока в режиме хлопок,синтетика,быстрая стирка,пока всё устраивает.Машинка очень нравится(особенно,по дизайну и функциям),не смотря на то,что при отжиме 800-1000 оборотов присутствует сильная вибрация.Но это потому,что у нас деревянные полы.А так всё супер!</t>
  </si>
  <si>
    <t>Вчера приобрел и не пожалел о деньгах! Нет ничего лишнего, одна функциональность! С USB  читает все, лишь бы файлы в формате AVI были закодированы в DiVX.</t>
  </si>
  <si>
    <t>2011-08-29</t>
  </si>
  <si>
    <t>Купили чуть меньше года назад. Пользуемся часто, в основном для разогрева, гриль использовали всего пару раз. Всё устраивает, хороший аппарат!</t>
  </si>
  <si>
    <t>купил 3 года назад этот утюг. не ломался воабще.отличный утюг за такие деньги. советую всем!</t>
  </si>
  <si>
    <t>Ужасный компьютер..... за те же деньги можно купить гораздо производительнее, данная модель рассчитана на богатых, но не разбирающихся в железе людей.</t>
  </si>
  <si>
    <t>1327</t>
  </si>
  <si>
    <t>2011-07-07</t>
  </si>
  <si>
    <t>Отличный утюг. Только во время первой глажки пах горелой пластмассой, но в инструкции есть предупреждение, что это нормально для первого раза. Теперь все хорошо. Подошва кстати не оставляет разводов на трикотаже, так, что гладить одно удовольствие</t>
  </si>
  <si>
    <t>1313</t>
  </si>
  <si>
    <t>Купил чайник в мае, выбором доволен, хорошая вещь.</t>
  </si>
  <si>
    <t>2393</t>
  </si>
  <si>
    <t>отличный товар за очень хорошую цену!  вот завтра пойду покупать.. главное чтоб в магазине была))</t>
  </si>
  <si>
    <t>2629</t>
  </si>
  <si>
    <t>В принципе неплохая модель, но возникло много сложностей. Одна из них - это то, что не знаю как установить фоновый рисунок. Второй постоянно запрашивает ключ активации в microsoft offce qutlook. Я его ввожу мне отвечает, что код неверный. Возможно я что-то недопонимаю, но все же, как мне решить эти проблемы. Буду рада помощи.</t>
  </si>
  <si>
    <t>1467</t>
  </si>
  <si>
    <t>2012-05-03</t>
  </si>
  <si>
    <t>Геймпад очень красивый, стильный и удобный. Вобщем хороший геймпад, но отсек для батареек ужасно неудобен лично для меня. Я привык ещё со времён Playstation 1 держать геймпад так, чтобы два средних пальца придерживали его снизу, тоесть они немного направлены к центру геймпада. Так вот этот отсек для батареек ужасно неудобен для меня, сковывает пальцы (это относится ко всем беспроводным геймпадам для Xbox 360. К проводным нет претензий, как раз там всё удобно) и не даёт спокойно раслабиться. Перед покупкой советую всем придти в магазин и попробовать как лежит геймпад в руке, в мвидео есть такая возможность у стенда с Xbox 360.</t>
  </si>
  <si>
    <t>подарили плеер этой модели весной прошлого года. До сих пор отлично работает. Конечно, в последнее время заедает кнопка вправо, но в целом претензий нет.  Недавно уронила его так, что стекло выпало и теперь чистый экран (лишь с пару осколков, которые не смогла отклеить), но даже после этого плеер работает отлично!</t>
  </si>
  <si>
    <t>2010-09-30</t>
  </si>
  <si>
    <t>Купила эту стиральную машинку 2 года назад в Мвидео, никаких проблем за время использования не возникло. Стираю я много, циклов 10 в неделю. Стираю в ней все: от блузок до половиков и кросовок.  Машина проста в управлении, никаких наворотов, только все необходимое.</t>
  </si>
  <si>
    <t>46</t>
  </si>
  <si>
    <t>Покупкой остался очень доволен, хотя сильно сомневался в качестве данной модели. Все работает на ура.  После переустановки ОС с родной на win7 максимальную столкнулся с некоторой проблемой отсутствия работы радиомодулей. Перепробовал все что можно, драйвера, переключатель, настройки устройства... и т.п. Проблема решилась очень просто :) установкой Lenovo Energy Menegament.</t>
  </si>
  <si>
    <t>2017-07-24</t>
  </si>
  <si>
    <t>отработал 3 года</t>
  </si>
  <si>
    <t>2010-12-19</t>
  </si>
  <si>
    <t>Хлебопечка хорошая, один минус - не поджаривается верхняя корочка. В целом довольны.</t>
  </si>
  <si>
    <t>2016-03-18</t>
  </si>
  <si>
    <t>Крутая бритва. Система очистки супер!</t>
  </si>
  <si>
    <t>2875</t>
  </si>
  <si>
    <t>2010-05-21</t>
  </si>
  <si>
    <t>Отличный комплект, вот только усилок лучше заменить моноблоком того же класса от мистери и добавить в комплект конденсатор без него никак.</t>
  </si>
  <si>
    <t>2017-04-13</t>
  </si>
  <si>
    <t>За 7 лет использования ни разу не сломалась, через 7 лет полетел подшипник.</t>
  </si>
  <si>
    <t>4.3</t>
  </si>
  <si>
    <t>1694</t>
  </si>
  <si>
    <t>Вобщем телевизор хороший,пока радует глаз.Особенно просмотр фильмов с флешки.Но однажды моя жена что-то нажала и во время просмотра любых каналов слева начала появляться на экране картинка рекламного типа про этот телевизор, с переодичностью 10сек.Кто-нибудь знает как убрать ее.Заранее спасибо.</t>
  </si>
  <si>
    <t>Очень хорошая игра. Играю на одном дыхании. Очень захватывает. Игр такого класса очень мало. Всем советую.</t>
  </si>
  <si>
    <t>154</t>
  </si>
  <si>
    <t>Дует на минимальных оборотах вентилятора сильно (в режиме осушения -- еле заметно), но это только радует. Изредка сносит крышу блоку управления и кондиционер перестаёт поддерживать заданную  температуру. Лечится простым перезапуском (Off-On) с пульта. Стоит уже три года, летом работает без выключения, прошлым летом молотил пару месяцев вообще без остановки компрессора, серьёзных претензий нет.</t>
  </si>
  <si>
    <t>2011-06-10</t>
  </si>
  <si>
    <t>Машинка отличная, купили на замену LG 7 кг.т.к. семья уменьшилась. Стирает отлично, тихо,не прыгает,экономично. Из недостатков только один - имеет привычку аккуратно складывать все в пододеяльник, приходится иногда последний отжим делать после вытаскивания белья отдельно.</t>
  </si>
  <si>
    <t>Ноут хороший, вот только в играх при максимальном разрешении 1366 на 768, все они идут с разрешение 1024 на 768. Из-за этого, слева и справа черные полосы.</t>
  </si>
  <si>
    <t>2012-05-14</t>
  </si>
  <si>
    <t>Как и первая часть - гениальнейшая игра, еще ни одна игра со времен Fallout 1-2 меня так не цепляла. И графика приятная, и управление, и сюжет, и развилки и ВСЁ ВСЁ ВСЁ в ней есть. Не понимаю почему многие вторую часть ругают. Немного отличается от первой, но под конец игры понимаешь что это все-таки шедевр!)</t>
  </si>
  <si>
    <t>678</t>
  </si>
  <si>
    <t>Хочу оставить свой отзыв. Очень хотела эту вещь, спала и видела. &amp;nbsp;Купила, что могу сказать. В действии лично мне нужна только одна насадка которая крутится. Остальные вобще ни к чему, переплата денег. Пока пользовалась только раз, ожидала лучшего, расстроилась даже немного. Да выпрямляет, волосы мягкие, блестят. Но обьёма никакого не наблюдаю, скорее они прилизаны. Думаю обменять на другого производителя, более дешевую. Долго выбирала, искала иформацию, но решила взять по дороже, зря, жалею. Смысл у них у всех один. Немного дерёт волосы. Плюс - быстрая укладка, блеск волос. Подойдет тем у кого волосы густые и вьющиеся.</t>
  </si>
  <si>
    <t>1564</t>
  </si>
  <si>
    <t>Для меня этот штатив идеален! очень устойчивый, может подниматься как на большую высоту, так и на низкую, поворачиваться может во все стороны (вверх-вниз в том числе), так же возможна съёмка в вертикальном расположении. Не слишком тяжёлый. Даже чехольчик есть ;) Вообщем для меня он - лучший. Очень довольна, что купила</t>
  </si>
  <si>
    <t>294</t>
  </si>
  <si>
    <t>Год служит без нареканий. Шнур коротковат, а в проеме перед контейнером скапливается кофейный порошок, но качество помола эти мелочи более чем компенсирует.</t>
  </si>
  <si>
    <t>2017-01-27</t>
  </si>
  <si>
    <t>ЗВУК, Чувствительность, Максимальная мощность</t>
  </si>
  <si>
    <t>1180101</t>
  </si>
  <si>
    <t>820</t>
  </si>
  <si>
    <t>2016-12-19</t>
  </si>
  <si>
    <t>плотный пластиковый корпус ,крепление на брючном ремне, для ношения через плечо и в руке, три внутренних отсека</t>
  </si>
  <si>
    <t>2011-03-28</t>
  </si>
  <si>
    <t>Мне телевизор очень нравится. Купили год назад, ни разу не разочаровалась. Звук и видео супер, к нему очень легко подключать любые устройства, очень много разъемов. Прост в пользовании.</t>
  </si>
  <si>
    <t>968</t>
  </si>
  <si>
    <t>2016-04-12</t>
  </si>
  <si>
    <t>Долго выбирали водонагреватель, остановились на этой модели и не пожалели. За свои деньги оптимальное решение. Вода греется быстро, но из-за большой мощности при включении другой бытовой техники у нас стал часто выбивать автомат. Сначала терпели, но потом муж решил поставить оптимизатор нагрузки на электросеть, вроде oel-820, и проблема решилась.</t>
  </si>
  <si>
    <t>2009-12-04</t>
  </si>
  <si>
    <t>Телевизор супер! Цветопередача намного отличается от других - LG, Samsung и т.д. ...</t>
  </si>
  <si>
    <t>3183</t>
  </si>
  <si>
    <t>2010-12-28</t>
  </si>
  <si>
    <t>просто супер вещь!</t>
  </si>
  <si>
    <t>2313</t>
  </si>
  <si>
    <t>2011-03-23</t>
  </si>
  <si>
    <t>Мощный, очень легкий, компактный, брала для путешествий. Быстро справляется с сушкой, очень удобная насадка для укладки, удобное расположение кнопок, не заденешь их случайно во время использования.   Отличная вещь!</t>
  </si>
  <si>
    <t>4050301</t>
  </si>
  <si>
    <t>2017-05-16</t>
  </si>
  <si>
    <t>Отличный кондиционер. Мне есть с чем сравнить, этот отлично работает при своих небольших габаритах.</t>
  </si>
  <si>
    <t>1256</t>
  </si>
  <si>
    <t>Купил утюг два месяца назад. Потратив небольшую сумму денег получил надежный и удобный товар. Вода при отпаривании не вытекает, быстро нагревается. В общем доволен!</t>
  </si>
  <si>
    <t>Фен отличный,но - для профессионалов, для бытового использования тяжеловат.Это уже вторая "Ровента",купленная мной в салон,предыдущий работал как пчёлка 7 лет!Каждый день по несколько часов.Этим пользуюсь две недели и надеюсь также выдержит марку. Нравится еще больше:на холодном режиме идет действительно холодный воздух(а не теплый,как у всех обычно; горячим быстро сушатся даже плотные тяжелые волосы(мощный мотор); очень удобен сенсор прикосновения,не надо постоянно включать-выключать,когда сушишь волосы; длинный шнур- то,что надо для салона,не надо перекидывать его через клиента; волосы действительно не электризуются благодаря ионизатору. Вообще выглядит добротно и стильно. Отличное качество. Рекомендую однозначно.</t>
  </si>
  <si>
    <t>Здравствуйте! Мы с супругом владеем машинкой только пару дней..Но впечатлений много, все положительные...Все нравится. И дизайн и производительность...Мы довольны.</t>
  </si>
  <si>
    <t>2011-03-17</t>
  </si>
  <si>
    <t>+ : лёгкий,всасывает хорошо.  - : ручка телескопическая-короткая,можно было бы добавить ещё секцию. Фильтр тонкой очистки вытаскивать и назад ставить - неудобно!</t>
  </si>
  <si>
    <t>1806</t>
  </si>
  <si>
    <t>Напишу об удобном, вместительном электрическом чайнике от Scarlett. Искал мощный и объёмный, на дачу, он конечно слишком красив для дачи, но да ладно. Всегда быстро кипятит, шума от него совсем не много, а вот щелчок  слышно из другой комнаты, а вот шнур короткий, для кого то будет минусом. В целом чайник не плохой, можно смело покупать.</t>
  </si>
  <si>
    <t>638</t>
  </si>
  <si>
    <t>2013-07-09</t>
  </si>
  <si>
    <t>Сплит-система хорошая. Поток воздуха сухой, ничем не воняет, имеются съемные фильтры (удобно чистить) и два фильтра бактериальной очистки. Все легко снимается, достаточно открыть верхнюю крышку внутреннего блока. Внешний блок очень тихий, почти не шумит. Имеется защитная крышка к местам подключения проводов и трассы от дождя. Из недостатков: питание на сплит-систему идет с наружного блока, в комплект НЕ входят: кабель питания и сигнальный кабель между наружным и внутренним блоком. Мне пришлось докупать 2х8м кабеля дополнительно. Взял обычный ПВС, цена вопроса 300р.</t>
  </si>
  <si>
    <t>Фен не каждому подойдет. Лично мне абсолютно не понравилось то, что функция ионизации постоянна, то есть выключить нельзя, а это означает, что об объеме при укладке можно забыть, волосы прилизанные (ни расчески ни укладочные средства не помогают). Сушить с концентратором пытке подобно, так как скорость потока резко уменьшается, кнопочка турбо тоже особо не спасает. В итоге много затраченного времени, а результат бесформенная "прическа". Обмен.</t>
  </si>
  <si>
    <t>1349</t>
  </si>
  <si>
    <t>2009-10-28</t>
  </si>
  <si>
    <t>Согласен с Михаилом!За такой типичный набор функций и мелковатый дисплей цена явно уж высока! напоминает Самсунг C-100)))только на самсунге не было камеры,но полифония глушила)))</t>
  </si>
  <si>
    <t>798</t>
  </si>
  <si>
    <t>Всем начинающим шить рекомендую, конечно если вы имеете желание шить, а в целом за эти деньги просто-чудо машинка. Подарили маме, даже она в 65 лет очень быстро ее освоила.</t>
  </si>
  <si>
    <t>2016-06-14</t>
  </si>
  <si>
    <t>не что не разглаживает, пар то что он выдает ооооочень мало ,</t>
  </si>
  <si>
    <t>Купили машину 2 года назад. С самого первого дня начались проблемы. Сначала с барабаном, при стирке она трясется как бешеная,потом со схемой, пришлось менять, с болтами, начала протекать. Это ужас. НЕ ПОКУПАЙТЕ!!!!!</t>
  </si>
  <si>
    <t>2010-10-03</t>
  </si>
  <si>
    <t>Греет действительно быстро, дизайн отличный, на колесиках легко передвигается и надежно стоит.    Одна проблема: потек на втором часе использования. Буду менять на такой же или Scarlett SC-1155</t>
  </si>
  <si>
    <t>2927</t>
  </si>
  <si>
    <t>К мнению Светланы присоединяюсь. Пользуюсь комбайном год, кроме всего названного быстро готовлю свой майонез (рецепт в инструкции). К сожалению не могу купить дополнительные насадки для мясорубки. Модель отличная, пользуется вся семья.</t>
  </si>
  <si>
    <t>2011-06-01</t>
  </si>
  <si>
    <t>Купил этот телек родителям несколько дней назад. Перед покупкой стоял и выбирал его в магазине М-Видео добрых полчаса из десятка других подобных моделей разных марок, вглядываясь в один и тот же демо-ряд на их экране. Если хорошо присмотреться, то четкость, контраст и сохранение динамичности картинки без мазни у 32" Sony KLV-32 BX301 оказался ненамного, но все же лучше конкурентов. Встроенный звук достаточно громкий и четкий для такого тонкого корпуса. Эфирное ТВ, пожалуй, показывает не лучше своих конкурентов, но там и смотреть особо нечего. Но стоит подключить его к цифровому ТВ по HDMI или DVD, или Blu-Ray, и картинка просто поёт!  Из минусов - не предусмотрен вход для наушников, фото читает только в формате .jpeg.  Менеджер при продаже сказал, что эта модель собрана в России, но на деле оказалась Малайзия. К качеству сборки серьезных вопросов не возникло.</t>
  </si>
  <si>
    <t>70</t>
  </si>
  <si>
    <t>2009-09-14</t>
  </si>
  <si>
    <t>Хорошее соотношение цены и качества, особенно если учесть то, что мы его купили не за 17 а за 11000.Спасибо М видео, что есть накопительно-дисконтная система.</t>
  </si>
  <si>
    <t>1032</t>
  </si>
  <si>
    <t>2010-03-11</t>
  </si>
  <si>
    <t>Плеер отвратительный. Сначала провалились кнопки перемотки, теперь вход для наушников полетел (полностью, один наушник отключился со второго дня работы плеера). И это учитывая то, что к плееру отношусь весьма нежно. Меню отвратительное, режимы воспроизведения тоже.</t>
  </si>
  <si>
    <t>2009-12-10</t>
  </si>
  <si>
    <t>Ужасная модель. Очень громадный, не удобный. Не смотря на то, что дисплей не утоплен, пользоваться пальцем невозможно!Единственное достоинство относительно мощный процессор и приличное количество оперативной памяти. За те же деньги есть более достойные гаджеты.</t>
  </si>
  <si>
    <t>1582</t>
  </si>
  <si>
    <t>2010-07-08</t>
  </si>
  <si>
    <t>Телек нормальный. Разлочил usb перепрошивкой. А у всех низкий уровень громкости через наушники или где-то нужно что-то поднастроить?</t>
  </si>
  <si>
    <t>1789</t>
  </si>
  <si>
    <t>2010-06-26</t>
  </si>
  <si>
    <t>у меня было много разных телефонов (как у всех), но! даже среди nokia, этот телефон хороший. удобное меню, хороший звук, большой экран)))  недостатки: к кнопкам нужно привыкнуть, они плоские. слепым методом неудобно печатать</t>
  </si>
  <si>
    <t>1662</t>
  </si>
  <si>
    <t>2010-10-25</t>
  </si>
  <si>
    <t>Чайник покупать не рекомендую, он через раз не отключается сам, когда закипает, а потом не включается.</t>
  </si>
  <si>
    <t>885</t>
  </si>
  <si>
    <t>отработала магинка около 6-7 лет. Впринципе очень хорошая машинка. минусов нет. Шумит только если установлена неправильно.. в целом я довольна!</t>
  </si>
  <si>
    <t>2013-08-09</t>
  </si>
  <si>
    <t>Купил - понравился. Хотел сразу купить саб, но подумал потом куплю. А сейчас вообще не хочу, колонки задние долбят не хуже саба, аж бошка болит.</t>
  </si>
  <si>
    <t>2015-01-07</t>
  </si>
  <si>
    <t>Меня плита радует. Комфорок достаточно разных диаметров. Духовка выпекает на отлично. Телескопические направляющие  очень помогают. Режимов в духовке более, чем достаточно. Верхний и нижний жар, выпечка с вентиляцией отдельно и с нижним жаром,гриль и другие режимы. Моется хорошо не только со специальными средствами,но и средством для мытья посуды. Есть скребок,если пригорелоа пища. Только посуда не должна быть алюминевой и чугунной. Если аккуратно пользоваться,плита прослужит долго.</t>
  </si>
  <si>
    <t>Телевизор очень хорош! Но в магазине продавцы умолчали, что нет цифрового тюнера. Плазма покупается на 10-15лет работы, а переход на цифровое вещание грозит дополнительными расходами! Грустно.</t>
  </si>
  <si>
    <t>2012-05-22</t>
  </si>
  <si>
    <t>Наушники супер,(BASS на высоте),берите не пожалеете</t>
  </si>
  <si>
    <t>2013-07-03</t>
  </si>
  <si>
    <t>Отличная соковыжималка. Планировали купить соковыжималку другого производителя, но консультант нас переубедила. Там, действительно много пластика, точнее вся соковыж. пластиковая. Взяли Bork и радуемся! Зеленые яблоки, твердые груши, морковь, все изумительно, жмых сухой!!! Не удалось даже капли отжать. Была удивлена! Сок получается вкусный, а главное быстро и полезно. Что бы мякоть не попадала в стакан, пользуйтесь кувшином, который идет в комплектации. Там специальная крышечка, вся пена ложится на нее, а чистый сок в вам в стаканчик. (бокал сока - 200 мл, на поверхности всего 3 мл пенки. Это чепуха.) Цитрусовые - тоже жмет хорошо, жмых конечно не такой сухой, как от яблок, но меня вполне устраивает. Второй раз прогонять не нужно. Опять же, можно сделать с мякотью, а можно и без. Мытье тоже хлопот не доставляет. Сполоснула водичкой, щеткой протерла и все чисто. Мощная, стильная, надежная. Рекомендую. :)</t>
  </si>
  <si>
    <t>2012-06-29</t>
  </si>
  <si>
    <t>Отличный пылесос. С мойкой полов справляется на 5 баллов. Легко собирается/разбирается, легко моется. Полы после уборки сразу сухие, можно ходить. Собачью шерсть собирает великолепно. Во время ремонта меня просто выручал, ни одна тряпка не соберет грязь так чисто. Моет и линолеум и ламинат (справится и с паркетом). Прилагаются в комплекте моющие средства для полов и ковров, упаковки по  1 и 0,5 л. Можно заливать и любое другое средство (что есть в доме, то и заливаю).   Выскочила трубочка подачи воды из щетки для пола. Приклеила скотчем, держится. В инструкции плохо объясняется, как правильно включать/выключать подачу воды. На собственном опыте поняла: выключать сначала насос, потом  переключатель на щетке, потом собирать воду с пола, а включать наоборот – сначала щетку, потом насос, потом смачивать пол.</t>
  </si>
  <si>
    <t>2016-04-02</t>
  </si>
  <si>
    <t>Были очень довольны пылесосом, но он сгорел( сначала шнур поменяли, а потом и сам сгорел. Хотя ковров и мягкой мебели у нас нет. Диван кожаный и маленький коврик у детей безворсовый, т. е. работы у него было не много. Такой же брать не буду, т. к. не уверена теперь в его долговечности. Проработал 3 года. В сравнении пылесос марки Самсунг у нас проработал 10 лет) видимо куплю такой же.</t>
  </si>
  <si>
    <t>15</t>
  </si>
  <si>
    <t>2015-06-08</t>
  </si>
  <si>
    <t>Понравился этот холодос. Вместительный, подходит по цвету и т.д. и т.п. Но очень сильно шумит! Днём конечно этот шум не заметен, но ночью это просто ужас, крехтит гудит и всё прочее. Крайне недоволен покупкой. Старый  работал тише....</t>
  </si>
  <si>
    <t>173</t>
  </si>
  <si>
    <t>2469</t>
  </si>
  <si>
    <t>2010-07-29</t>
  </si>
  <si>
    <t>Долго выбирал между http://www.mvideo.ru/product_review/30011296.html   Все таки правильно сделал выбор)) очень порадовала неоновая подсветка, если ее можно так назвать, если что ее можно выключить, монитор легко крепится на стену,конечно я немного сомневался в марке ViewSonic, но то что взял, не пожалел, монитор супер)  Качество картинки на высоте</t>
  </si>
  <si>
    <t>В четверг приобрел, поставил в свой PASSAT b3 (седан). Два минуса: нет провода от усилка к сабу, глубина баса не очень. Нет конечно бабахает неплохо но глубина звучания не очень. Хотя в принципе за такие деньги да и еще комплект... Твердая четверка!</t>
  </si>
  <si>
    <t>99</t>
  </si>
  <si>
    <t>2014-11-09</t>
  </si>
  <si>
    <t>Взбивает и замешивает хорошо, пользуюсь практически каждодневно. Стоит постоянно на столе. Очень полезно, что есть много мощностей, хотя нижняя скорость все равно не низкая, то есть просто слегка перемешать им все равно нельзя, все скорости мощные. Чаша большая, можно  сразу замешивать большое количество теста и т.д.</t>
  </si>
  <si>
    <t>2015-07-12</t>
  </si>
  <si>
    <t>Сначала наушники очень понравились, удобные, звук хороший.  Но спустя полгода выпал провод из уха, и теперь они работают только на одно ухо.  Вообще провод мне изначально понравился, он был мягкий, прорезиненный, но спустя полгода начали появляться в разных местах трещины, а потом и все разваливаться.</t>
  </si>
  <si>
    <t>2011-07-18</t>
  </si>
  <si>
    <t>Может нам так повезло, но она сломалась спустя 3 месяца. Хотя еще до этого были не в восторге-моет плохо, первое время приходилось вообще все перемывать, потом опытным путем выяснили что фильтр у нее до конца не установлен и все остатки обратно на посуде оседают мелкодисперсно. Потом фильтр закрутили, но все равно остатки еды на посуде остаются. А теперь вообще сломалась. Хотим вернуть и взять другую марку. Пусть классы мойки и сушки ниже, но Германия есть Германия.</t>
  </si>
  <si>
    <t>2017-04-15</t>
  </si>
  <si>
    <t>Цена</t>
  </si>
  <si>
    <t>447</t>
  </si>
  <si>
    <t>2010-04-16</t>
  </si>
  <si>
    <t>Монитор красивый, дешевый (за 5600 брал по акции), но покупал в 2009 году, попался экземпляр, который жутко свистел иногда, ремонтировал по гарантии.</t>
  </si>
  <si>
    <t>1915</t>
  </si>
  <si>
    <t>Лично мне этих наушников хватило на 4 года. Сломались они недавно, поэтому пойду покупать точно такие же.  Качество звука у них очень приемлемое, басы слышатся достаточно хорошо. И, кстати, ещё одно их достоинство в том, что провод потолще, чем у прочих наушников Sony, да и других марок, видимо поэтому MDR-E818 более долговечные.</t>
  </si>
  <si>
    <t>753</t>
  </si>
  <si>
    <t>2011-01-30</t>
  </si>
  <si>
    <t>очень довольны</t>
  </si>
  <si>
    <t>2017-05-30</t>
  </si>
  <si>
    <t>Очень быстро греет воду</t>
  </si>
  <si>
    <t>Только что моя девушка подарила мне эту чудо-вещь!Скажу сразу, немцы понимают в музыке.Звук просто ВАУУУ!!!В пределах 2000 деревянных это просто шикарный выбор)))Все меломанам советую!</t>
  </si>
  <si>
    <t>2012-12-16</t>
  </si>
  <si>
    <t>Ужасно дерет волосы! Ощущение жутко неприятное!! Купила пол года назад, и практически не пользуюсь. Делала кудри, держаться хорошо, и получаются ровные но это нужно вытерпеть так как волосы действительно дерет ужасно, а происходит это потому что пластины не равномерно прижаты друг к другу. С одной стороны щель получается. В общем ужас. И кстати кнопка действительно постоянно переключается((</t>
  </si>
  <si>
    <t>2009-09-29</t>
  </si>
  <si>
    <t>Ноут свою цену оправдывает на 110%  После покупки сразу добавил 2Гб памяти. Появились проблемы, которые быстро решились прошивкой BIOS (прошивка есть на сайте Леновы). Батарея у ноута слабая, но к этой модели подходят аккумуляторы от Lenovo S9 и при желании можно купить 6 или даже 9-ячеечную батарею (4 и 6 часов работы соответственно).</t>
  </si>
  <si>
    <t>2015-01-17</t>
  </si>
  <si>
    <t>Покупала из-за ножеточки. Ножи точит так себе, но сойдет, а открывалка - это что-то! очень удобно и быстро! больше нет порезаных пальцев, края банки загибаются хорошо да даже проткнуть банку прежде чем открыть иногда удается с трудом, а тут-ни забот, ни хлопот! очень довольна. Советую</t>
  </si>
  <si>
    <t>Не прошло и месяца после покупки чайника, как у него отвалилась крышка и появилась ржавчина на дне. Ржавчина - оказалось хорошо, т.к. по гарантии развалившаяся крышка - это механические повреждения, не подлежащие гарантии. Поэтому вернули по ржавчине. Ура, ура ура, он мне сразу не нравился, муж настоял.</t>
  </si>
  <si>
    <t>1180108</t>
  </si>
  <si>
    <t>1487</t>
  </si>
  <si>
    <t>Меню русифицировано! Приобрёл для себя-чтобы "распотрошить" её. За небольшие деньги-дисплей и плата с картридером и USB. Перепрошьём этот гаджет. :)</t>
  </si>
  <si>
    <t>Наушники очень хорошие, звук идеален.</t>
  </si>
  <si>
    <t>Кондиционер хороший - мне понравился мощность небольшая зато ребёнок не простудится.И шум терпимый - ребёнок спит под него.</t>
  </si>
  <si>
    <t>Быстрый помол, простой уход, долговечность</t>
  </si>
  <si>
    <t>2014-01-15</t>
  </si>
  <si>
    <t>Купили машинку в марте 2012г., спустя менее чем 2 года накрылся двигатель!!! диагностика показала заводской брак! двигатель ремонту не подлежит, а новые такие двигатели пока не выпускают, тк машинка новая и пока мало у кого ломалась видимо! в общем придется брать другую машинку, а с этой что делать?! Деньги на ветер! и не маленькие деньги!!!</t>
  </si>
  <si>
    <t>Легкий, компактный, недорогой. Пользовалась им 7 лет, практически каждый день. Только на днях он сгорел. Я думаю, что 7 лет безотказной службы о чем-то говорит. Сейчас пойду в магазин и куплю именно его, на другие фены не буду даже смотреть)))</t>
  </si>
  <si>
    <t>56</t>
  </si>
  <si>
    <t>Замечательный девайс. Из разряда "включил-и-забыл" )) При покупке в комплекте не было крепления, но оно и не нужно, т.к. эту водогрейку можно повесить буквально на два гвоздя.</t>
  </si>
  <si>
    <t>2010-01-18</t>
  </si>
  <si>
    <t>Ноут отличный, подходит для игр и для работы, согласен. Но вот тоже не получается апгрейдить, а функции Aero очень нужны(</t>
  </si>
  <si>
    <t>2270</t>
  </si>
  <si>
    <t>Очень шумный! Во время использования появляется запах паленого пластика.</t>
  </si>
  <si>
    <t>4061201</t>
  </si>
  <si>
    <t>2012-04-04</t>
  </si>
  <si>
    <t>отличная вещь,когда купила неделю стояла, боялась начать готовить, сейчас подумываю о покупке второй-в одной суп, во второй десерт или второе, экономит все-время,нервы, продукты тоже-все приготовленное съедается на ура!</t>
  </si>
  <si>
    <t>2013-03-26</t>
  </si>
  <si>
    <t>Покупали духовой шкаф вместе с варочной панелью Hansa BHCI63306 за смешную цену, покупкой довольны. Духовой шкаф простой: 4 режима приготовления (верх, низ, верх+низ и гриль) и естественная конвекция; 2 ручки регуляции (температуры и режима приготовления). Он достаточно вместительный, хотя сначала он мне показался маленьким, быстро нагревается. В комплекте 2 противня разной глубины и решетка. Один недостаток - металлические направляющие не очень удобные, они стоят не по всей глубине духового шкафа, в связи с чем задняя часть противня и решетки заваливается, но к этому можно привыкнуть. Перед эксплуатацией производитель рекомендует помыть духовку и в течение получаса прогревать ее при 250 градусах при хорошей вентиляции помещения...это испытание, потому что запах кошмарный и глаза разъедает. Нужно открывать окна и уходить из комнаты. После такой процедуры нужно еще раз помыть духовку и можно использовать по назначению, но еще некоторое время запах будет сохраняться, но доносится он не изнутри, что несомненно радует. Грилем еще пользоваться не приходилось, поэтому про него ничего не могу сказать.</t>
  </si>
  <si>
    <t>2010-07-28</t>
  </si>
  <si>
    <t>Подарили.  Температуру показывает достаточно точно (есть 2й быстрый цифровой термометр фирмы RST - есть с чем сравнить), но с задержкой - в 1 час. Термочувствительные элементы запрятаны глубоко в корпусах и медленно нагреваются и остывают. Долгие дожди (и вообще "длинные" погодные состояния) предсказывает достаточно хорошо, но локальные скоротечные ливни вообще не предсказывает. Время синхронизирует только если внутренний блок стоит на подоконнике, что не удобно. Да и давление не показывает. Потому и 4ка.</t>
  </si>
  <si>
    <t>Всем привет, ну чтож пришло время подвести итоги, телефон почти не разочаровал, минусом не большим все же считаю качество разговора ( не всегда разборчиво слышно собеседника, несмотря на громкость динамика ) в остальном всем я им доволен, корпус крепкий, уже успел уронить пару раз, акум держит так же как и в первый день..  Если будет такая же модель телефона, но с большей памятью (или с возможностью подключения карт памяти) и нормальным качеством связи, то возьму еще с радостью) наличие камеры для любителя, считаю что особо она не нужна, хотя бывали случаи что камеры не хватало:) телефон ждет следущая ступень проверки качества ( 1 год армии) проверю, отпишу) всем счасливо, до встречи через год)</t>
  </si>
  <si>
    <t>Отвратительно стрижет (т.е. вообще не стрижет)</t>
  </si>
  <si>
    <t>2013-01-24</t>
  </si>
  <si>
    <t>Видимо у этой модели проблема с пластиком, а именно с замками на ногах. Приобрел в одном магазине, оказались с браком, приехал менять в другой магазин, но там все штативы этой модели были со сломанными застежками. Пришлось забрать деньги, но вопрос со штативом остался открытым.</t>
  </si>
  <si>
    <t>2010-01-21</t>
  </si>
  <si>
    <t>Телевизор не плохой, но есть одна недоработка. Для просмотра текущего  времени, надо нажать кнопку "ОК" на пульте дистанционного управления.  Хотелось бы наблюдать текущее время, не нажимая на кнопку "ОК"</t>
  </si>
  <si>
    <t>2014-10-18</t>
  </si>
  <si>
    <t>Долгая загрузка диска, посторонний шум, заедает. Во время видео тормозит.</t>
  </si>
  <si>
    <t>2010-02-15</t>
  </si>
  <si>
    <t>Дмитрий, в принципе, для установки второго HDD  салазки не требуются, достаточно штатного крепления.Я точно также установил второй винт, благо в ноутбуке есть второй SATA разъем для HDD.</t>
  </si>
  <si>
    <t>1065</t>
  </si>
  <si>
    <t>2013-12-27</t>
  </si>
  <si>
    <t>Покупала этот фен в 2008 г. для работы (я парикмахер), уже больше пяти лет прошло, а он до сих пор работает и даже ни разу не перегрелся. Мне фен очень нравится.</t>
  </si>
  <si>
    <t>794</t>
  </si>
  <si>
    <t>Ксюша, ионизации там на самом деле и нету. Корпус нагревается чтобы можно было делать локоны наконечник по идеи не должен нагреваться, чтобы стайлер быстрее остывал в комплекте есть специальный чехол.</t>
  </si>
  <si>
    <t>2014-02-23</t>
  </si>
  <si>
    <t>Мегабасищеее!!! С моноканальным Pioneer GM-D8601 - с ушей вот-вот кровяка потечет :)</t>
  </si>
  <si>
    <t>2012-04-09</t>
  </si>
  <si>
    <t>Пользуюсь комбайном год. Отличная штука! Но есть один минус - это отвратительные терки (остается много отходов и нарезка очень крупная), поэтому этой функцией не пользуюсь.</t>
  </si>
  <si>
    <t>Отличный ноутбук. Стильный , Современный , Лёгкий и Надёжный. Но для геймеров этот ноутбук не подойдёт. Хотя выйдя он 2 года назад он был бы мощнейшим из Asusов. Но тогда бы и стоил как Sony</t>
  </si>
  <si>
    <t>2406</t>
  </si>
  <si>
    <t>Эта видеокамера очень проста в управлении.Отличная камера!!!</t>
  </si>
  <si>
    <t>2010-06-16</t>
  </si>
  <si>
    <t>душа поёт-класс  это как с запорожца на мерседес пересесть!!!</t>
  </si>
  <si>
    <t>2788</t>
  </si>
  <si>
    <t>2014-02-03</t>
  </si>
  <si>
    <t>Только положительные эмоции. Стирает чисто, выглядит красиво. Правда при первом запуске не сработал клапан отключения воды. Машинка набирала воду сразу после включения, пока не загорелась ошибка. Но правда все слила сама и после уже такого не было. Работает как часы. Тихая.</t>
  </si>
  <si>
    <t>1. Ионизатор 2. Надежность 3. Мощность 4. Легкий 5. Удобный</t>
  </si>
  <si>
    <t>2009-10-22</t>
  </si>
  <si>
    <t>Удобны в использовании. Волосы становятся гладкие и блестящие. Можно регулировать температуру, что не мало важно. И цена приемлемая. Рекомендую.</t>
  </si>
  <si>
    <t>2241</t>
  </si>
  <si>
    <t>2010-05-29</t>
  </si>
  <si>
    <t>ну если честно я ещё не играл, но много читал и я считаю, что XBOX360 (не только этот) хорош.   Но сразу возникает вопрос, чем же лучше он, чем PS3?  1-е - это графика   2-е - гораздо меньше ломается  ну остальное перечислять не буду.  короче, если ты не можешь выбрать, что тебе надо, то определись во что тебе хочется играть.   ну а так XBOX360 лучше и на него игры раньше выходят.   короче бери XBOX360, надеюсь вам поможет мой коммент.</t>
  </si>
  <si>
    <t>2016-08-23</t>
  </si>
  <si>
    <t>1) Мне Бритва очень нравиться. Читаю недовольные отзывы, но почему у себя этих минусов не нахожу.  2) Один минус и то не очень важный, то что когда снимаешь триммер, чтобы побриться наголо, иногда тянет неприятно волосы, возможно проблема в том, что я сильно открашиваю бороду, а потом уже бреюсь наголо и волосы сильно втягивает в механизм бритвы.   3) Она моющуюся и это здорово, всем советую.</t>
  </si>
  <si>
    <t>Работате уже 4 года и без проблем, всегда почти на максимуме, конечно1,5 киловатный саб не раскачивает, но в целом и на сабе достойно звучит.</t>
  </si>
  <si>
    <t>Купил  неделю  назад  всё  норм  работает  без  тормозов,  игры  тоже  норм  идут,  процессор  отличный, думал  на  14 играть  трудно,  оказалось  очень  даже  удобный!!  Советую  приобрести  этот  ноут!</t>
  </si>
  <si>
    <t>12</t>
  </si>
  <si>
    <t>1533</t>
  </si>
  <si>
    <t>2010-09-11</t>
  </si>
  <si>
    <t>+ качественный звук  + качественное видео  + гармоничный дизайн с вариантами подстветки впишется в любой интерьер  - управление громкостью (хорошо хоть кнопка приглушения звука есть)  - управление радио  - отсутствие пульта ДУ в комплекте  +/- снятие панели вообще бред, для не планшет или папку носить что ли?</t>
  </si>
  <si>
    <t>Вы что??? может, вы неправильно пользуетесь картофелечисткой???? лучшей картофелечистки я за 20 лет не видела!!! чистит без усилий!!!!!</t>
  </si>
  <si>
    <t>992</t>
  </si>
  <si>
    <t>Нареканий на работу абсолютно никаких. Самая проста и удобная в ношении. Известная фирма, сколько раз имел отношение с товарами Kingston, они меня ни разу не подводили.</t>
  </si>
  <si>
    <t>1089</t>
  </si>
  <si>
    <t>очень хорошие наушники. Плюсов очень много:  1. не слышно метро  2. звук очень хороший  3. сами по себе очень удобные</t>
  </si>
  <si>
    <t>2015-09-28</t>
  </si>
  <si>
    <t>Используем год. Довольны. Большой бак. Понятное программирование.  Сам напоминает о необходимости очистки.</t>
  </si>
  <si>
    <t>785</t>
  </si>
  <si>
    <t>ps3 конечно хорош,но я его пока не приобрёл,собираюсь.Люди кто подскажет,читает он фильмы 3D или нет???игры вроде уже какие-то есть.Или выйдет ещё какая нибудь обновлённая версия?!Неужели ещё прийдётся покупать отдельно 3D плеер?!(( Всётаки ближайщее будущее за 3D!!!</t>
  </si>
  <si>
    <t>2012-03-02</t>
  </si>
  <si>
    <t>Отличная машинка. Предыдущая прослужила 3 года и до сих пор стрижет (правда уже туговато, поэтому я и купил новую). Стрижет любые типы волос , а стоит сущие копейки. Я очень доволен .</t>
  </si>
  <si>
    <t>2013-12-29</t>
  </si>
  <si>
    <t>Все отлично работает и прекрасно выглядит: нет ни царапин, ни трещин. Очень даже рекомендуем.</t>
  </si>
  <si>
    <t>2010-07-26</t>
  </si>
  <si>
    <t>Инструкцию читать надо. буква с у них. гремит винты у ней все подтяните.</t>
  </si>
  <si>
    <t>Купила я её на обмен старой.Пока притираюсь.но скажу одно.+ это то что тесто отдельно,тесто для вареников отдельно.Не очень шумная.  - это то что рецепты ужасные.пользуюсь от своей старой Мулинекс рецептами и беру на форумах.Когда пищит на добавки лучше лопаточкой подмешать с углов остатки.Вот качество ведёрка мне кажется можно было и как у Мулинекса сделать.Может поэтому и вкус отличается.</t>
  </si>
  <si>
    <t>Эти классные наушники купил пару дней назад.Перед тем как идти в магазин начитался отзывов о наушниках разных фирм и разных моделей. Sennheiser выпускает профессиональное аудио оборудование. Наушники великолепные, уши не давят, на голове держатся крепко, звук отличный (снимать даже неохото)!!!!!</t>
  </si>
  <si>
    <t>2012-03-13</t>
  </si>
  <si>
    <t>Кофеварка отличная, нравится мне и мужу.Пользуемся уже второй год.Посоветовала приобрести такую-же подруге, и она очень довольна. Уровень воды определяю налив сначала в колбу.</t>
  </si>
  <si>
    <t>2016-11-13</t>
  </si>
  <si>
    <t>Нету</t>
  </si>
  <si>
    <t>1520</t>
  </si>
  <si>
    <t>Сегодня друг купил эту приставку, отзывы только отличные, только сказал, что в килзон 2 тяжко играть из-за управления, так как в жизни кроме компа и плойки 1 ни во что не играл)  Но со временем привыкнет. Графа красивая, геймплей класс, то есть плойка 3 полностью оправдывает свою цену. В магазине поиграл в анчартед 2 - это следующая его цель в плане игр.  В общем-то он ехал за иксбоксом 360, но продавец посоветовал плойку в плане графы и производительности она уж точно круче, а еще и качественнее, не ломается как бокс 360 за год (аркадная версия со старыми чипами быстро концы откидывает). Короче всем советую - не пожалеете, а сам после лета куплю, надо денег подзаработать)</t>
  </si>
  <si>
    <t>918</t>
  </si>
  <si>
    <t>2012-06-06</t>
  </si>
  <si>
    <t>Очень понравился!	  Легко разбирается собирается, легко моется, достаточно компактен.Ножки на присосках.  Соотношение цены и качества.</t>
  </si>
  <si>
    <t>2014-09-28</t>
  </si>
  <si>
    <t>Добавлю к своему отзыву за 26 сентября. Следы от клея были удалены народным средством - растительным маслом, быстро и на ура. После чего я сделала первый запуск, как описано в инструкции. Да, запах был, но не едкий, как и обычно бывает с техникой. После чего промыла внутри духовку и еще раз прокалила. Вчера уже готовила в ней, отлично все в ней получилось и никакого запаха. Не жалею что приобрела такую вещь)</t>
  </si>
  <si>
    <t>купили весы два года назад,работают на ура,без погрешностей!всем советую!</t>
  </si>
  <si>
    <t>2016-12-13</t>
  </si>
  <si>
    <t>удобный в использовании, легко готовить и мыть</t>
  </si>
  <si>
    <t>Купила ноутбук около месяца назад, заказала на сайте М.видео, всем хорош, и графика в играх великолепная, всё работает на высоких настройках без тормозов, но действительно иногда присутствует  мерцание местами. А, в общем, идеальное сочетание цены и качества.</t>
  </si>
  <si>
    <t>2011-12-21</t>
  </si>
  <si>
    <t>Хотел бы поделиться впечатлениями начиная от покупки и до начала использования тостера Борк. Во первых очень привлек дизайн (Bork это может). Продавец очень нахваливал плавное погружение ломтиков хлеба и так же их выход! Это действительно правда! Что нет того знакомого лязга и щелчков как у предыдущего-тоже считаю плюсом! Пользуюсь почти пол года, не разу не подвёл. На Новый год планируем приобрести в магазине соковыжималку Борк.</t>
  </si>
  <si>
    <t>Игра - улет!  Знакомый купил вчера. 1 день игры - он просто в шоке завтра еду покупать!</t>
  </si>
  <si>
    <t>214</t>
  </si>
  <si>
    <t>2010-07-18</t>
  </si>
  <si>
    <t>я купил этот товар и не пойму мне нужен предохранитель для него или нет!!???если да, то какой точно нужен?обычные туда просто не помещаются...пружинка большая и без предохранителя обеспечивает плотный контакт! такое впечатление, что он там и не предусматривался...хотя в инструкции показано, как его менять...в комплекте нет...без него будет работать? и на сколько это будет надёжно?</t>
  </si>
  <si>
    <t>Доброе всем время суток. Решил тут взять флеш камеру, продавец посоветовал эту модель, решил приобрести. С начало было море негатива, хотел уже возвращать камеру ( 14 дней ещё не прошло), но потом, разобравшись в настройках, решил оставить. Просто там нужно правильно её настроить. На улице снимает просто замечательно, в помещении, при плохом освещении, конечно похуже...но смотреть можно. За эти деньги себя оправдывает, дизайн супер, лёгкий - вот это плюсы. Оцениваю её на 4. Ах да, зум просто супер!!!</t>
  </si>
  <si>
    <t>2013-09-11</t>
  </si>
  <si>
    <t>&amp;nbsp;Bosch разочаровал. Всё хлипенькое, шум вибрация, а защёлки-крепления это просто издевательство над пользователем! Жаль оч.жаль :( Буду возвращать деньги и покупать другой фирмы.Пользовался 2 дня два раза.</t>
  </si>
  <si>
    <t>2012-02-27</t>
  </si>
  <si>
    <t>Пользуюсь данным прибором уже более 3 лет, пока разочарований не было. Чаще всего пользуюсь блендером (большим и маленьким), мясорубкой, тестомешалкой, миксером претензий нет. Также пробовала терки, нареканий нет, особенно если нужно большой объем перетереть. Соковыжималька работает. Блендер делает чудные коктели. Еще много чего делает эта штуковина, еще половиной насадок не пользовалась. Не разу не пожалела о данной покупке, одна машина, а столько возможностей.</t>
  </si>
  <si>
    <t>4130904</t>
  </si>
  <si>
    <t>Подарили эту расческу на 8 марта. Просто супер, волосы не электрализуются, становятся гладкими, ровными я очень давольно!</t>
  </si>
  <si>
    <t>пользуюсь им уже полтора года.работает отлично.и это с тем учетом что я еще не разу не меняла фильтр.а в магазине сказали менять его раз в полгода.  я его промываю по необходимости ,сушу и снова вставляю.  пользуюсь им каждый день,так как маленький ребенок!жалоб нет!!!</t>
  </si>
  <si>
    <t>2017-03-03</t>
  </si>
  <si>
    <t>Не подходит для зелмер 986.87, хотя заявлено на упаковке((( деньги потрачены зря...</t>
  </si>
  <si>
    <t>510</t>
  </si>
  <si>
    <t>5100104</t>
  </si>
  <si>
    <t>710</t>
  </si>
  <si>
    <t>2011-05-04</t>
  </si>
  <si>
    <t>Пять дней назад купила доску Gimi Mitico Silver. Доска понравилась: ступенчатая регулировка высоты, в комплекте удлинитель с розеткой, кронштейн для провода, выдвижная полочка для белья не внизу,а справа. Складывается легко. Тяжеловатая, более 9кг. Единственное, что не нравится, так это сопровождающая информация о товаре как на Мвидео, так и производителя. Производитель информирует о товаре на плакате, которым обернута доска. Как складывать, как раскладывать не показано. На обороте плакате тестовая информация на 4 языках, но только не на русском. Информация, помеченная букой Е- значит на английском языке, почему-то заканчивается предложением на немецком языке. Странно. Такие ляпы обычно бывают с поддельным товаром. Попыталась перевести на автомате итальянский текст, получилось- иногда мыть с мылом с абразивной щеткой. Что там на самом деле написано- не знаю. Нет информации, как ухаживать за чехлом и подложкой.</t>
  </si>
  <si>
    <t>Работает второй год без нареканий. Не шумит, не пахнет, довольно мощный. Разве что антибактериальные фильтры маловаты по размеру, вряд ли они много улавливают, закрывая где-то четверть той поверхности, которая закрывается обычными противопылевыми фильтрами.</t>
  </si>
  <si>
    <t>2050104</t>
  </si>
  <si>
    <t>896</t>
  </si>
  <si>
    <t>2013-05-05</t>
  </si>
  <si>
    <t>Отличный аппаратик! Брал в период с 26.03.2013 по 27.03.2013. В Др. Магазине, цена выше была... Сам аппаратик скоростной! Шустрый, тянет пока все, что только не пробывал. Ф-ционал - на высоте. Очень доволен данным товаром. Советую!</t>
  </si>
  <si>
    <t>2016-09-18</t>
  </si>
  <si>
    <t>пользуемся данным пылесосом почти 7 лет. мощность всасывания не ухудшилась.  единственный минус - мешки стали очень дорогие. в доме обака и кошка ,справляется отлично</t>
  </si>
  <si>
    <t>308</t>
  </si>
  <si>
    <t>3025</t>
  </si>
  <si>
    <t>Вторая милька радует ещё больше, видимо доработали. Старый на даче радует, модель удачная. Михаил прав про наработку на отказ. Обо всё бьётся мягко, спасибо мягкому пластику и прорезиненным бортам. Движется легко, жена в восторге от него. Готов купить 3-й, но некуда ;)</t>
  </si>
  <si>
    <t>2012-11-13</t>
  </si>
  <si>
    <t>Долго выбирала моющий пылесос, т.к. в доме ковровое покрытие и белая мягкая мебель, а у нас маленький ребенок. Доверие вызвал почему-то именно Вакс. Думала, что сборка будет сложной, но нет, справилась сама и тут же сделала уборку. Не думала, что ковровое покрытие собирает столько грязи. :( Покупкой довольна, понравились мощность всасывания и качество уборки. Единственный минус - везде указана емкость для чистой воды 4 л, а по факту она 3. Пришлось несколько раз менять воду, хватает ненадолго. Еще вызывает неудобство расположение фильтра, он находится прямо под двигателем, вычищать оттуда грязь проблематично. Мыть пылесос, в принципе, несложно, но занимает время. И делать это надо после каждой уборки. Думаю, обычные полы я все же буду мыть руками. :)</t>
  </si>
  <si>
    <t>72</t>
  </si>
  <si>
    <t>2010-12-31</t>
  </si>
  <si>
    <t>Очень понравился. Комнату нагревает очень быстро и ни чем не пахнет! Очень довольна что купили именно его!</t>
  </si>
  <si>
    <t>2016-05-02</t>
  </si>
  <si>
    <t>Телефон полнотью оправдал желания, приобретаем уже второй для пенсионеров, они довольны.Цена соответственно устроила.</t>
  </si>
  <si>
    <t>2016-03-23</t>
  </si>
  <si>
    <t>Хорошая машинка, компактная, нешумная, легкая, нет проблем с установкой. Работает. Доволен как слон. СПАСИБО.</t>
  </si>
  <si>
    <t>2014-01-12</t>
  </si>
  <si>
    <t>Я полностью не согласен со всем что тут написали, бритва ужасна, я бы высказал все в другом тоне, но боюсь это слишком грубо. Бритва Ничто, не бреет как подобает, на то чтобы сбрить щетину с одной щеки, убил 20 мин. Возвращаю бритву обратно, не доволен.</t>
  </si>
  <si>
    <t>2016-09-04</t>
  </si>
  <si>
    <t>Пользуюсь с 2012 года. Никаких проблем с ним никогда не было! Одни положительные эмоции, куча сэкономленного времени и масса вкусных блюд. Единственный мой просчет, что купила модель без кубикорезки :(  А сейчас этой модели и на сайте нет</t>
  </si>
  <si>
    <t>551</t>
  </si>
  <si>
    <t>2010-07-06</t>
  </si>
  <si>
    <t>бюджетная версия, но выглядит как телефон высшей ценовой категории. Хороший, громкий звук, неубиваемый корпус... Из минусов могу отметить то, что задумчивый и приложения не сворачиваются.</t>
  </si>
  <si>
    <t>552</t>
  </si>
  <si>
    <t>Мне очень понравилась PSP GO.В ней есть 16 г память блютуз очень лёгкая и компактная.</t>
  </si>
  <si>
    <t>2013-02-24</t>
  </si>
  <si>
    <t>Хорошая вешь, качество и внешне выглядит неплохо, удобный, но есть одно но, после 2 месяцев работы начал заедать рычажок и вскоре перестал зажимать хлеб совсем, пришлось менять.</t>
  </si>
  <si>
    <t>2011-03-14</t>
  </si>
  <si>
    <t>Да, угораздило купить... Жаль, что раньше отзывы не прочитала. Год машинка пролежала без дела, т.к. при первом же использовании поняли, что не стрижет, а рвет волосы. Сейчас вот думаю, как её хоть можно использовать? Наверное, никак...</t>
  </si>
  <si>
    <t>Пользуюсь ими 1 год. Удобные, звучание хорошее, нравится. Уши не устают. Футляр удобен в поездках, дома не требуется.</t>
  </si>
  <si>
    <t>2017-02-21</t>
  </si>
  <si>
    <t>красивый дизайн</t>
  </si>
  <si>
    <t>2835</t>
  </si>
  <si>
    <t>2011-06-23</t>
  </si>
  <si>
    <t>звук тихий(хоть и чёткий), очень не удобно сидят, провод наушников короткий(как и для ПК, так и для телефона)!  Единственный + басы</t>
  </si>
  <si>
    <t>2011-06-14</t>
  </si>
  <si>
    <t>В целом тв отличный.  Единственный минус - воспроизводит видео с флешки формата *.mp4. Формат *.avi не видит. В остальном всё очень даже хорошо.</t>
  </si>
  <si>
    <t>2011-02-03</t>
  </si>
  <si>
    <t>Чудесный аэрогриль, прост в управлении. Блюда готовятся даже быстрее чем в духовке, моется легко, всё вкусно и быстро, теперь без особого труда балую домочадцев вкусностями.</t>
  </si>
  <si>
    <t>шумный. воздушный поток слабый. лучше уж взять напольный.</t>
  </si>
  <si>
    <t>2010-08-17</t>
  </si>
  <si>
    <t>Андрей   (Челябинск) а зачем вы оптику портите протирая ее бензином, в том и смысл графитовой части, что бы убирать отпечатки пальцев со стекла.</t>
  </si>
  <si>
    <t>По мне так вполне нормальная вещь, не знаю что там в Воронеже за гречка, но готовится она за 50 мин. по таймеру.</t>
  </si>
  <si>
    <t>1192</t>
  </si>
  <si>
    <t>2010-08-03</t>
  </si>
  <si>
    <t>Отличный аппарат! Доволен всем, кроме температуры. Проц греется до 88 градусов! И при этом нормально работает, как ни странно.  Оценка производительности в Win 7 на 3.3</t>
  </si>
  <si>
    <t>1302</t>
  </si>
  <si>
    <t>Достаточно тихая, стирает отлично, управление удобное. Единственное что не нравится - отсутствие защиты от детей, при покупке менеджер сказал, что если программа запущена, но нажатием кнопок ее сбить нельзя, только если выдернуть из сети - так вот это не так, нажатием кнопок программа запросто сбивается, причем безвозвратно.</t>
  </si>
  <si>
    <t>2014-12-20</t>
  </si>
  <si>
    <t>Не дорогой и удобный моющийся триммер с заявленным ресурсом 3 года от одной батарейки. Покупкой доволен!</t>
  </si>
  <si>
    <t>2015-08-26</t>
  </si>
  <si>
    <t>Достаточно мощная ( легко справляется с зернами кофе, сушеной цедрой и крупами. Помол ровный). Простая, компактная, легко чистить. Прозрачная крышка очень удобна. Шнур убирается в саму кофемолку. Отличная кофемолка. Небольшой минус- маленькая загрузка.</t>
  </si>
  <si>
    <t>2017-01-18</t>
  </si>
  <si>
    <t>Сборка, страна производства, бренд</t>
  </si>
  <si>
    <t>Отличный модулятор, с необходимым набором функций, в том числе с пультом (встроенный эквалайзер, регулировка громкости, перелистывание трэков и т.п.). У меня данный экземпляр решил проблему покупки новой магнитолы, ибо диски читать перестала, а так и радио есть и куча любимой музыки под рукой, ну и цена не заставила разочароваться. Оценка "5".</t>
  </si>
  <si>
    <t>2010-03-22</t>
  </si>
  <si>
    <t>игра конечно крутая, но камера слабоватая, идет сразу с игрой</t>
  </si>
  <si>
    <t>2010-09-10</t>
  </si>
  <si>
    <t>Купила 2 года назад, очень довольна, для домашнего использования самое то. Проста в использовании, ничего лишнего.</t>
  </si>
  <si>
    <t>1360</t>
  </si>
  <si>
    <t>2013-03-01</t>
  </si>
  <si>
    <t>Давно искала фритюрницу, скажем так: соотношение цены и качества. Перечитала много отзывов как о дорогих так и не очень фр-ах. Остановила свой выбор на этой, приехала в магазин и очумела какая маленькая сеточка ( рассчитано на 400 г) но решила рискнуть так как брала для детей. Пришла домой и чуть не с порога приступила к пробе... К моему удивлению фритюрница справилась со своей задачей на ура, готовилась минут 8, получилась конечно не как в макдаке, но тоже очень вкусная, дети покушали за милую душу. Вообщем я и разу не пожалела, что выбрала её. Рекомендую</t>
  </si>
  <si>
    <t>Купили 4 года назад.Стирала, но вот сломалась. Обычные фирмы по ремонту машин браться не хотели, там электроника. Говорят надо обращаться в сервисный центр Бош. Вызов мастера 1500руб. Даже не вскрывал машину.Сказал надо менять электронный блок и замок. И это будет стоить 8500руб. Я отказалась. Я теперь ищу новую машину без электроники...</t>
  </si>
  <si>
    <t>2191</t>
  </si>
  <si>
    <t>2014-01-02</t>
  </si>
  <si>
    <t>Хороший штатив за такую стоимость. Намеренно пробовал небрежно обращаться, все там четко. Штатив заслуживает твердую четверку и то потому, что к моей камере сони не подходит фиксирующий язычок возле резьбы. Он у меня в другом месте. Если нужен недорогой штатив для непостоянной съемки, это то что нужно, но и плюс есть сумочка для переноски.</t>
  </si>
  <si>
    <t>Реально была проблема с шумностью двд-рома (тоже подумал на крышку), еще был треск в динамиках, ща вроде все нормально. А в остальном отличный ноут!</t>
  </si>
  <si>
    <t>2515</t>
  </si>
  <si>
    <t>2010-10-27</t>
  </si>
  <si>
    <t>Я думаю лучше иметь обе консоли,так как на обоих консолях выходят класные игры,а так мне больше нравится PS3/</t>
  </si>
  <si>
    <t>2014-02-04</t>
  </si>
  <si>
    <t>Пользуемся этой панелью второй год,никаких нареканий нет,моется легко,никаких пятен не остается,газ контроль,в общем панель отличная!</t>
  </si>
  <si>
    <t>Отличный холодильник. Работает уже 2 года,минусов не заметил.</t>
  </si>
  <si>
    <t>подарили эти весы, пока что очень доволен, показывают довольно таки правдоподобный вес, нариканий нет, что будет дальше посмотрим!</t>
  </si>
  <si>
    <t>2011-07-25</t>
  </si>
  <si>
    <t>Долго выбирала модель утюга, т.к. сравнивать было не с чем, до этого был утюг еще с советских времен, а потом отпариватель!  Быстро нагревается, не сильно шумит, хорошая мощность, длинный шнур, мягкая удобная ручка. Очень приятно гладить. Скользит шикарно. Колесико крутится без усилий. Очень порадовало большое отверстие для воды и в комплекте есть мерный стаканчик, хотя нигде этого указано не было - несомненный плюс. Дизайн и цвет утюга - тоже на Ура!  Надеюсь, будет служить долго!  Спасибо Мвидео за предоставленную скидку!</t>
  </si>
  <si>
    <t>2013-11-28</t>
  </si>
  <si>
    <t>Потек чеез 2 года, похоже через винты...</t>
  </si>
  <si>
    <t>2010-10-28</t>
  </si>
  <si>
    <t>Отличный телевизор...купил за 19200...долго мучался с разблокировкой Usb свето и ик-диодами...может быть прошивка новая, может- руки кривые...помог один форум, где говорилось о разблокировке с помощью универсального пульта...купил one for all 7931.... и о чудо! появился заветные квадратики, ввел пароль и все....наслаждаюсь просмотром видео</t>
  </si>
  <si>
    <t>2297</t>
  </si>
  <si>
    <t>2016-01-30</t>
  </si>
  <si>
    <t>У нас очень специфичный дизайн на кухне, поэтому когда искали вытяжку, то в первую очередь обращали внимание на дизайн, и именно так и решили покупать именно эту модель от Шиндо, хотя от этой марки мало чего были наслышаны, но ваши консультаны помогли нам все же точно решить, что эта модель все же украсит нашу кухню. Установили легко и просто, проблем не возникло, как и в управлении - все предельно ясно, даже разбираться было не в чем. Режимов работы тут четыре, хотя я никогда на максимум не ставлю - во-первых шумновато, во-вторых просто незачем, потому что даже на второй скорости она довольно прилично втягивает в себя все неприятные запахи на кухне. Определенно довольны остались таким выбором!</t>
  </si>
  <si>
    <t>2013-11-30</t>
  </si>
  <si>
    <t>Очень классная гладильная доска!!! Очень удобно гладить на ней рубашки! Устойчивая! И для утюгов с парогенератором подходит! Качество самой доски и материалов очень высокое!</t>
  </si>
  <si>
    <t>Домашние подарили на 23 февраля. Всю жизнь бреюсь хорошими станками, опыт первого применения электробритвы приобрел в 16 лет ("Харьков"), опыт оказался печальным. Вот мне уже 46 и снова эксперимент. В этот раз - 7730. Результат "налицо". Выбривает в труднодоступных местах, нет раздражения. Пробовал и насухо, и с пеной. Пользуюсь уже четыре дня, про станок наверно теперь буду вспоминать только в период ностальгии, или когда 7730 выйдет из строя. Рекомендую всем, кто бреется ежедневно.</t>
  </si>
  <si>
    <t>485</t>
  </si>
  <si>
    <t>Довольно хороший чайник. Закипает примерно за 2-2,5 минуты. Приятный дизайн.Качество сборки хорошее. Посторонних запахов при кипячении нет, вода после кипячения не изменила своих вкусовых качеств.</t>
  </si>
  <si>
    <t>Немного неудобное управление, но все дело привычки.  Нагревается очень быстро, хорошо чистится!</t>
  </si>
  <si>
    <t>счастливый обладатель этой машины уже 10 мес, не буду говорить о плюсах так как их множество!!! перейдём к минусам, итак :  1: ноут весь глянцевый а-ля под карбон,пару минут на руках и весь в пальчиках которые сложно оттереть, царапины на нём появляются как на заводном корпус выполнен из пластика который скалывается даже если не ронять его а чуть задеть чем нибудь, есть грешок ставил пару раз на крышку пепельницу так теперь сразу видно стало теперь куда её ставить всегда из за царапин!  2:рамка вокруг экрана вообще самая хлюпенькая и не плотно прелегает к нему, что очень не хорошо!под монитором где находятся его крепления кладбище пыли которую тоже не легко убрать!  3:вёб камера просто ужаснейшая по моему мнению что она хуже чем 0,30мп при комнатном освещении мой собеседник видит меня в чёрно белых цветах, мало того неоднократно отваливаются драйверы на оную!!!  4:микрофон очень грамотно расположен в нижней части экранной рамки рядом с тем местом где находятся отверстия выдува охлаждения и клавиатура (так что разговаривать по этому микрофону с девушкой и паралельно переписываться по аське с другими девочками грозит выносом мозга)ваш собеседник будет постоянно слышать вас в фоне и как дятла!  5:за все 10 мес приходилось делать 2 раза восстановление к нулевому состоянию (состоянию с прилавка) причины это появление тормозов, медленная загрузка операционки и иногда невозможность вывода ноута из спящего режима!   и почти 6:звук очень не понравился на этой машине каойто он уж совсем чего то нехватает!буду менять!</t>
  </si>
  <si>
    <t>925</t>
  </si>
  <si>
    <t>2010-10-17</t>
  </si>
  <si>
    <t>Купил 4 дня назад, всем доволен, отличный плеер, то что включается\выключается не так, как все, не напрягает.     Недостатков нет, за исключением одного пустяка, когда играешь в тетрис и нажимаешь "влево", фигура иногда двигается "вправо" =)</t>
  </si>
  <si>
    <t>539</t>
  </si>
  <si>
    <t>Купили в М.Видео и пользуемся холодильником два года. Выбирали между другим и Liebherr, в итоге остановились на последнем и ни разу не пожалели. Достоинств очень много: Поистине, он безразмерный! На любые семейные и дружеские мероприятия, дни рождения, первомай, Новый год и любые праздники, когда продуктов особенно много - всё умещается с запасом! Не нужно ничего выносить на холод, искать второй холодильник и т.д. В остальные дни, продукты на семью из 6 человек, умещаются тем более. И холодильник всё равно не выглядит полупустым или наоборот, перегруженным, всё лежит на своём месте. Морозильник тоже огромный, целый шкаф с 8 ящиками, что очень удобно. Морозит и охлаждает отлично, работает бесшумно. Несколько режимов температуры для холодильника и морозильника. Холодильник капельного типа, внутренняя задняя стенка мокрая, так и должно быть. Полки стеклянные, но прочные, выдерживают вес полной кастрюли или трёхлитровой банки. В морозильнике ящики из пластмассы. Поверхность холодильника не маркая, моется легко, как снаружи, так и внутри. Предусматривается раздельная установка, по желанию. Весь крепёж и необходимые заглушки идут в комплекте. Можно расставить холодильник в один угол, а морозильник в другой. Можно установить вместе, так выглядит солиднее и внушительнее. Но не громоздко. В кухне размером 3х4 он пришёлся впору к месту. Недостатков за всё время пользования не было выявлено. Рекомендую всем.</t>
  </si>
  <si>
    <t>Прочитала отзывы и купила эти электрощипцы своей свекрови, она очень довольна, быстро нагреваются и не портят волосы, локоны долго держатся, советую всем, недорогие и отличного качества, плюс порадовал термочехол - очень удобно брать с собой.</t>
  </si>
  <si>
    <t>Как-то зашёл на сайт производителя, и нашёл ответ к устранению проблемы в виде буквы "С" на дисплее. Спешу (хоть и с опозданием) поделиться данной новостью. Всё очень просто!  Вот ответ:  Индикация «С» на дисплее Вашей вытяжки означает загрязнение жироулавливающих фильтров.   Для устранения индикации необходимо выполнить следующие действия:  1) выключить вытяжку из сети;  2) промыть и тщательно просушить фильтры;  3) установить фильтры, включить вытяжку в сеть;  4) нажать и чуть более 3-х секунд удерживать кнопку включения (левая крайняя кнопка), когда на дисплее  появится мигающая «Е» необходимо выбрать любую другую скорость;  5) после выключения вытяжки индикация «С» с дисплея вытяжки исчезнет.    P.S: я ничего не выключал и не мыл, просто подержал кнопку и всё стало ОК! Сейчас фильтры хоть и грязные, но с индикацией всё в норме! Рад, если мой отзыв кому-то поможет.</t>
  </si>
  <si>
    <t>Купили эту машинку, очень довольны. Взяли потому,что залезают большие веши. И вообще хорошая штука. Время экономит и силы. Советую.</t>
  </si>
  <si>
    <t>2011-07-13</t>
  </si>
  <si>
    <t>Отличные элекрощипцы! Прибор удобен в использовании,быстро нагревается, формирует упругие и красивые пряди. Деликатная завивка обеспечена. Рекомендую!</t>
  </si>
  <si>
    <t>2010-07-07</t>
  </si>
  <si>
    <t>Дорого,но не жаль потраченных денег.Пользуюсь три года!!!Дома и на даче,есть собака.Это просто супер-чудо-шедевр пылесос.Очень мощный,совершенно нет запахов при уборке.Ковры и паласы после уборки выглядят,как новые.Очень завораживает смотреть,как пыль попадает в плен прозрачного корпуса и крутится по кругу с бешеной скоростью.Не нужны никакие мешки-легко снял контейнер,высыпал в пакет мусор(обалдел чем мы дышим!!!) и поставил на место.После уборки ощущение настоящей свежести и обновления.</t>
  </si>
  <si>
    <t>2853</t>
  </si>
  <si>
    <t>Отличные лампочки.Взял на бонусы в начале лета. Светит хорошим холодным светом. Экономичность и практично. Всем советую однозначно брать их.</t>
  </si>
  <si>
    <t>2015-04-18</t>
  </si>
  <si>
    <t>Стояла в usb порте магнитолы. Мой полуторогодовалый сын схватился за флешку и со всей силы надавил на нее, как на рычаг. Выдвижной разъем сильно согнулся, при этом флешка продолжала в таком состоянии исправно работать. Я с силой согнул ее обратно. Выдвигаться и задвигаться в корпусе стала с некоторым трудом, но функционирует при этом отлично. Качество конструкции выше всяких похвал.</t>
  </si>
  <si>
    <t>2011-01-17</t>
  </si>
  <si>
    <t>Я вчера приобрела себе электрощипцы Rowenta CF 3150FO и мне они сразу очень понравились.Причем то что я смотрела в магазине,немного отличается от содержимого коробки.Они выглядят намного лучше,и пользоваться легче. Недостатков пока не заметила.</t>
  </si>
  <si>
    <t>Отличный телевизор. А кого ещё интересует подробное описание отключения звука при включении и выключении. то вот меню-Plug&amp;Play-Общие-Мелодия-выкл.</t>
  </si>
  <si>
    <t>178</t>
  </si>
  <si>
    <t>С удовольствием пользуюсь 3 года, покупала в м видео.  не разочаруетесь, покупайте.</t>
  </si>
  <si>
    <t>392</t>
  </si>
  <si>
    <t>2016-11-29</t>
  </si>
  <si>
    <t>За приемлемую цену отличная машинка. Стирает качественно на любом режиме, но в экспресс режиме 15 минут не вижу смысла. Не шумит, не трясется. Покупкой довольна!!!</t>
  </si>
  <si>
    <t>1691</t>
  </si>
  <si>
    <t>2013-11-24</t>
  </si>
  <si>
    <t>Купила в подарок отцу на прошлый новый год, но чаще пользуюсь сама. Очень удобно, загрузила все ингредиенты для блинного теста, включила и пошла играть в комп, через полчаса готово хорошее тесто без комков.</t>
  </si>
  <si>
    <t>2009-10-15</t>
  </si>
  <si>
    <t>За акционную цену 19990р- лучшее, что можно найти. ДВД вообще отлично показывают- очень ярко, движения плавны, цветов много, звук хорошего качества.  Спасибо М.Видео за предоставленный товар.  Осталось приобрести BR-привод. Как-нибудь на днях...</t>
  </si>
  <si>
    <t>2012-01-14</t>
  </si>
  <si>
    <t>Плита просто замечательная: красивый дизайн, духовка печёт очень хорошо, продуманная варочная часть с чугунными решётками. Не знаю, как относительно срока службы.</t>
  </si>
  <si>
    <t>3102</t>
  </si>
  <si>
    <t>телефон 3 года - супер !!!! не каких нареканий.</t>
  </si>
  <si>
    <t>Дизайн. Индикатор уровня воды на корпусе с 2х сторон. Подсветка.</t>
  </si>
  <si>
    <t>2010-10-20</t>
  </si>
  <si>
    <t>Из тех кто купил, кто может подсказать какая прошивка стоит в данной модели?</t>
  </si>
  <si>
    <t>Чистит хорошо, в комплекте 2 штуки с разными цветными колечками, можно пользоваться двоим.</t>
  </si>
  <si>
    <t>2857</t>
  </si>
  <si>
    <t>2012-12-12</t>
  </si>
  <si>
    <t>Приобрела товар года 2 назад, выпрямляет отлично, завивает тоже отличная вещь)). А сегодня он у меня сгорел((. очень жаль, пойду теперь за новым!</t>
  </si>
  <si>
    <t>Не слушайте негативные отзывы  , всем у кого есть PS3 - покупать. Но советую перед этим тщательно ознакомиться со всеми аспектами игры, на различных сайтах, все самые приличные игровые сайты(Игромания, ГеймЛенд и ещё пара) дали Ей минимум 9, Игромания дала 10, как и множество других сайтов, Игра метит на звание Игры года по многим сайтам, и говорят негативно об этой игре 3 типа людей, кому не нравится жанр, точнее кому не понравился именно жанр игры - *Интерактивное Кино Триллер* , кто Её просто не смог понять, много видел до 16 лет категории, или кто просто не играл в неё. Покупать смело. Единственный маленький минус игры, она не очень длинная. 10 часов примерно если первый раз проходить всё ощупывая в игре. а так - Шедевр.</t>
  </si>
  <si>
    <t>2011-09-28</t>
  </si>
  <si>
    <t>Когда я покупал эту приставку я был очень счастлив!!! А сейчас я от нее в восторге. Некоторые пишут, что она шумит, но у меня она уже месяц с лишним и пока я ничего не слышал, надеюсь,что и не услышу. А самый прикол в ps move.  Короче всем советую!!</t>
  </si>
  <si>
    <t>2016-06-08</t>
  </si>
  <si>
    <t>От холодильника в восторге! Внешне смотрится очень компактно, хотя вместимость неимоверная. Очень тихая работа двигателей (несмотря на то, что их 2!). Очень прост в эксплуатации. Советую всем!</t>
  </si>
  <si>
    <t>2905</t>
  </si>
  <si>
    <t>2014-04-25</t>
  </si>
  <si>
    <t>Купила не пожалела 2 мес назад.Проста в использовании,можно установить режим какой нужен именно вам.Не путает нитки,ровный аккуратный шов.Иголка не рвет ткань. Советую и вам купить такую машинку.</t>
  </si>
  <si>
    <t>2015-06-24</t>
  </si>
  <si>
    <t>Купила этот пылесос полгода назад, В общем пылесос хороший, шерсть кота убирает отлично, просасывает насквозь коврик у входной двери, на котором спит кот. Хорошо убирает шерсть и др. с мягкой мебели, пледов. Щетка для пола хорошо убирает углы, весь мусор с щелей собирает сразу. Отличный пылесос всем советую...</t>
  </si>
  <si>
    <t>2016-01-13</t>
  </si>
  <si>
    <t>Покупал панель в июне 2015 г.  Масса удобств - нет металлической окантовки панели, под которую обычно забивается грязь, надежность Горенье, быстрый нагрев, функциональность - выставил время готовки, она пропищала и отключилась. Уж точно ничего не выкипит и сильно не пригорит.   Как всякая стеклокерамика легко чистится.</t>
  </si>
  <si>
    <t>Первый раз готовила ужин!Газовый духовой шкаф ОТВРАТИТЕЛЬНЫЙ!панель и ручки управления ГОРЯЧИИ,а если ребенок?Буду возвращать</t>
  </si>
  <si>
    <t>2200</t>
  </si>
  <si>
    <t>2009-08-28</t>
  </si>
  <si>
    <t>Ноут очень понравился, единственное, что, придя домой, потратил 1,5 часа времени на удаление ненужного, и не понятно зачем предустановленного софта от ASUS, а также антивирус от Symantec, и MS Office 2007, которые весьма навязчиво предлагал себя купить.  Устанавливали бы лучше бесплатный антивирус от Microsoft (естественно когда выйдет релиз, хотя пользовать можно уже сейчас) и Open Office.</t>
  </si>
  <si>
    <t>2090301</t>
  </si>
  <si>
    <t>2012-10-01</t>
  </si>
  <si>
    <t>Вчера купила телефон. Выбирала на сайте МВидео,понравился, пошла и купила. Только дома, прочитав инструкцию, поняла, что в тел. книге невозможно вписать человека, которому принадлежит тел.номер, меня это очень озадачило, т.е. телефон вписать можно, а вот кому он принадлежит? нужно держать либо на отдельно написанном листочке, либо в голове.</t>
  </si>
  <si>
    <t>Согласен с Дмитрием,звук не ах,пульт не эргономичный.В целом всё зависит от настроек; в доп функциях к экрану убрал подсветку со 100% на 50% и лица стали "живые".Основа качества изображения зависит только от сигнала,в идеале спутниковая тарелка.А на счет Blu-ray есть вещь поинтереснее:Медиаплеер с терабитным винчестером,например IOMEGA SCREENPLAY DIRECTOR HD 1TB и не надо никаких дисков покупать.</t>
  </si>
  <si>
    <t>715</t>
  </si>
  <si>
    <t>2013-04-24</t>
  </si>
  <si>
    <t>Друзья подарили такую на день рождение. Очень доволен!!! Отличная система термоконтроля, зеленая лампочка загорелась, открывай, готово. Антипригарное покрытие супер. Один раз перед приготовлением смазал подсолнечным маслом, и не одного блина комом. Спасибо друзьям, спасибо Saverin, спасибо МВидео.</t>
  </si>
  <si>
    <t>2014-05-28</t>
  </si>
  <si>
    <t>Очень хороший утюг за небольшие деньги. Гладит великолепно, отпаривает на ура! Единственный минус: почему-то не предусмотрели мерный стаканчик для добавления воды. А так-очень довольна, рекомендую.</t>
  </si>
  <si>
    <t>2013-01-23</t>
  </si>
  <si>
    <t>Сразу скажу плита плохая! Греет она не плохо в этом спора нет , но качество оставляет желать лучшего!!! Купили ее в конце июля пользоваться начали в начале октября так как не готова была еще кухня на заказ ! Когда мне ее установили все было хорошо работала исправно , пользовались только плитками которые ближе как говорится к телу , все бы не чего но случился казус после нового года числа 5 или 6 января этого года утром встали а плита лопнула пополам ( сломалось стекло) . Полоса пробежала ровно по двум дальним плиткам которыми вообще не пользовались!</t>
  </si>
  <si>
    <t>2010-03-14</t>
  </si>
  <si>
    <t>Перепробовал массу наушников ввиду того, что это изделие достаточно недолговечное больше чем на 3-4 месяца их не хватает. Поверьте, что мне есть с чем сравнивать.  Наушники выходят из строя, как правило, вследствие износа провода в местах соединений.   В этих наушниках подкупил неплохой диапазон воспроизводимых частот, заявленный производителем и неплохая оплетка провода (см. фотографию на сайте, эта оплетка отлично просматривается и на упаковке изделия в магазине. Скажу сразу, что эта оплетка заканчивается так и не начавшись - длина ее около 4 см., а провод очень и очень хлипкий (видимо, самый дешевый из тех, что были в распоряжении у производителя). Контакт в месте подсоединения штекера начал барахлить уже в первый день использования (звук в правом наушнике периодически выпадает). Звук - полная каша, я не встречал, чтобы наушник так плохо звучал.  Оценку этому изделию ставлю 1 это не наушник, а мусор. Очень жаль потраченных денег. Покупать не советую.</t>
  </si>
  <si>
    <t>2033</t>
  </si>
  <si>
    <t>Только купила увлажнитель electrolux ehaw 6515. Мне кажется, не крутятся диски в поддоне(или не должны крутиться?Неисправность?). Вентилятор работает, но шумит как гудящий провод. Инструкция не подробна. Не удобен в переноске. Короткий провод. Качество еще не оценила. Но собирать и мыть неудобно</t>
  </si>
  <si>
    <t>2010-03-10</t>
  </si>
  <si>
    <t>проблемы с 15-ти минутной стиркой такие же как указано выше.  В дополнение к этому нестабильно работает насос на слив воды.Точнее стирка закончится, а воды половина бака.</t>
  </si>
  <si>
    <t>2012-04-13</t>
  </si>
  <si>
    <t>Отмечу сразу, что я любитель баса, и эти наушники справились с этим на отлично, хорошая чувствительность, поэтому на верхах они тоже не разочаруют.    + Мягкий прорезиненный провод, чистый звук, басы    - Мини джек, сделан буквой "Г", предпочитаю прямое подключение</t>
  </si>
  <si>
    <t>2664</t>
  </si>
  <si>
    <t>2011-04-18</t>
  </si>
  <si>
    <t>Отзывы были невеселые о данном товаре. Может у кого то и есть проблемы с данным товаром, но у меня все хорошо, все нравится. В общем пока не жалуюсь, качество хорошее. Спасибо.</t>
  </si>
  <si>
    <t>У нас была такая-же микроволновка, нам её подарили на день рождения! 3 года стояла, вроде бы нормально работала! Потом когда я ставил еду подогревать, включил микроволновку и вдруг яркая вспышка за искрилась!Я сразу выключил, потом опять включил и опять за искрилось! Я открыл дверцу и увидел в правом углу микроволновки прогоревшую не большую дырку на пластине! Микроволновка ещё не была сломана, но рисковать не стал и решил купить другую, ремонт обошёлся бы дороже! А ту микроволновку решил разобрать на запчасти!</t>
  </si>
  <si>
    <t>2012-08-03</t>
  </si>
  <si>
    <t>Пользуюсь этим феном уже 4 года. Всегда мучилась со своими непослушными волосами - сухие, блеклые, на ощупь как солома.... Одним словом - белкин хвост. Но с этим феном все изменилось! Он не делает волосы тупо прямыми,а вытягивает их и мягко укладывает в красивые локоны (у меня длинные волосы)Волосы приобретают вид  ухоженный и блестящий! Жалко, что не компактный, но все равно без него никуда!!!  Советую всем. А тем,кто жалуется на то что насадка отваливается советую правильно ее закреплять, у этой новой модели не так все просто с этим. У предыдущей модели было попроще - щелчок было слышно.</t>
  </si>
  <si>
    <t>1743</t>
  </si>
  <si>
    <t>Бешеные гонки, визг шин.....................</t>
  </si>
  <si>
    <t>2013-05-25</t>
  </si>
  <si>
    <t>В очередной раз поплатился за свою скупость. Трёхдневное отравление, температура и скорая. Врачи рассказали подноготную дешёвого пластика. Буду впредь кипятить на плите, может когда-нибудь и куплю какой-нибудь стеклянный, но моё везение меня пугает.</t>
  </si>
  <si>
    <t>2010-09-28</t>
  </si>
  <si>
    <t>Воспроизведение МР3 качество вполне удовлетворительное, чувствительность приёмника средняя. При записи с радио появляется сильный треск, из-за которого можно было с трудом понять, о чем речь. При записи голоса присутствовал сильный шум. Поменял на Sony NWZ-Е443.</t>
  </si>
  <si>
    <t>2009-11-13</t>
  </si>
  <si>
    <t>Приобрел этот аппарат (только черного цвета) неделю назад. Впечатлен функциями, опциями, меню, комплектацией.  Шикарный дисплей, нет тормозов, глюков. Сенсорный дисплей превосходно слушается, стилус нужен только при работе в браузере, в остальном - в нем практически нет надобности. Камеру особо не тестил - при хорошем освещении снимки еще ничего, ожидал большего. Поэтому не стоит ждать от этой модели профессионального фото. Аккумулятор - маловатая емкость. Немного коротких звонков и смс - 2 суток точно держит, до 3 немного не дотягивает. Если музычку слушать и т.д. и т.п. - каждые сутки нужно заряжать.   В общем доволен. Минусы - фото не очень, слабый аккумулятор, нет предустановленных кодеков видео (если кому интересно), не конвертированное видео он не воспроизводит, стороннего софта, который может решить этот ньюанс тоже нет. Зато переконвертированное видео идет на ура. Ради теста проверил воспроизведение 2 Gb фильма - без тормозов, качество картинки прекрасное, в перемотке даже не тупит. Зато заряда аккумулятора хватит только на просмотр 1.5 -2 фильмов.</t>
  </si>
  <si>
    <t>1912</t>
  </si>
  <si>
    <t>2010-02-07</t>
  </si>
  <si>
    <t>Купил его! Очень хороший но вида ..! Не могу не чего настроить темы не меняются, нужно менять!</t>
  </si>
  <si>
    <t>Я не знаю почему никто не может подключить его к компьютеру? Там ведь нормальными буквами написано нужен Windovs XP и Windovs media plaer.    Что касается качества звука готов поспорить с Вячеславом (не рекомендующим) могло случиться что вы просто не заметили кнопки вверху плеера с названием "BASS" (потому что если убрать бассы звук становится грубо говоря плоским)    Мне плеер понравился и всё тут.</t>
  </si>
  <si>
    <t>2541</t>
  </si>
  <si>
    <t>Хороший телефон,все работает (все что мне нужно-звонит,смс отправляет,интернет есть).пользуюсь 2 года,проблема была одна,внешний динамик сдох,но поменяли в нокиа центре без проблем по гарантии.</t>
  </si>
  <si>
    <t>137</t>
  </si>
  <si>
    <t>Мощный, удобный, стильный. НАМ НРАВИТСЯ!!! МЫ ДОВОЛЬНЫ!!!</t>
  </si>
  <si>
    <t>На ps3 самая лучшая версия игры, графика на плазме супер, намного лучше чем на xbox360, всем советую покупать именно на ps3!</t>
  </si>
  <si>
    <t>1348</t>
  </si>
  <si>
    <t>Какая версия прошивки? Скажите, пожалуйста)))</t>
  </si>
  <si>
    <t>ПОльзуюсь наушниками уже год. Отличное качество звука. Лёгкие, удобные и сравнительно недорогие. Не пропускают внешний шум. Рекомендую.</t>
  </si>
  <si>
    <t>2016-08-07</t>
  </si>
  <si>
    <t>В принципе самый нормальный и обычный пылесос, с хорошим фильтром, нормальной ценой и материалом прочным и стойким. Уборка устраивает, после нее везде все чисто и убрано на хорошем уровне.</t>
  </si>
  <si>
    <t>676</t>
  </si>
  <si>
    <t>Купил тв Philips 32 PFL 5604H/12 модель неплохая, радует 1080! и чтение файлов с "флешки". Слабое место звук!!! подключил кинотеатр, посмотрел фильм перешел в режим просмотра каналов звука нету. Обменял на другой, та же проблема,но на новом звук позже появился. кинотеатр подключен через HDMI звук не выходит на тв только на колонки кинотеатра.... решил вывести звук еще и на тв. проблема решена после просмотра фильмов звук перестал пропадать.</t>
  </si>
  <si>
    <t>1030302</t>
  </si>
  <si>
    <t>взял пол года назад у брата, брат пользовался 4 месяца... есть косяк с дисками-не вылазит с первого раза, флэшку временами не видит.. но все же за эти деньги это лучший вариант.</t>
  </si>
  <si>
    <t>2013-06-10</t>
  </si>
  <si>
    <t>Сегодня приобрели, собрали на первый взгляд очень даже хорошо. Вал металический и крепится очень хорошо. Завтра будем крутить обязательно отпишусь о результате.</t>
  </si>
  <si>
    <t>2010-06-10</t>
  </si>
  <si>
    <t>Плюсы:  Цена-качество на высоте, долго выбирал для родителей (простой, но в тоже время ооооочень функциональный-тут есть всё что нужно(можно посмотреть в соседней вкладке)). Аккумулятор действительно "монстр", телефон легкий...  Минусы:  сборка ужасает, до это был Panasonic KX-A141-никаких зазоров, материал выше всяких похвал, а здесь китайский пластик (не очень на ощупь)-дешевизна так и прёт, взял черный-так вот он отчасти черный-не верьте этой картинке, он в разы светлее. Про подсветку: тоже "не айс" подсвечивается не клавиши, а только контур и в темноте видно "всё"-зазоры ужасно большие видно внутренности телефона. Шрифт и размер текста тоже не оптимальны-вроде большой и читаемый, но увы перестарались и сделали его некрасивым.Громкость лично меня не очень порадовала, как и качество звучания.    При всех минусах плюсов гораздо больше: это отличный бюджетный аппарат, за такие деньги такой функционал я больше ни где не видел.</t>
  </si>
  <si>
    <t>После покупки iPod'а на следующий же день пошел и купил себе новые наушники. Стандартные наушники: тихие, вываливаются из ушей, а в метро их вообще не слышно. За такую цену можно купить наушники в разы лучше.</t>
  </si>
  <si>
    <t>2013-02-11</t>
  </si>
  <si>
    <t>Совсем неплохая духовка. Большая, теплом в кухню не фонит, корпус охлаждается отдельно! И главное ПИРОГИ! Равномерно прожареные, сами довольны, друзьям тоже понравилось)))</t>
  </si>
  <si>
    <t>2011-02-07</t>
  </si>
  <si>
    <t>Выдают 114, проработали месяц, в течение которого взвеситься можно было с трудом, показывали вес через раз, а потом и вовсе перестали работать. Ужасно не довольна этими весами!</t>
  </si>
  <si>
    <t>1644</t>
  </si>
  <si>
    <t>2011-01-26</t>
  </si>
  <si>
    <t>Купил этот пылесос себе домой, как пропылесосил, увидел сколько пыли оказывается дома. Работает отлично, не сильно шумный. ставлю твёрдую пятерку. Это хороший выбор.</t>
  </si>
  <si>
    <t>579</t>
  </si>
  <si>
    <t>никому не рекомендую,несчастную гречку варили целый час,в итоге осталась сырой        и поменять не можем((((</t>
  </si>
  <si>
    <t>Целых 3 дня использования, полет нормальный, да еще с такой скидкой, в других магазинах стоимость намного выше 28 с чем-то тыр. Единственно, что не понравилось, это углы обзора экрана верх-низ, сильно цвета меняются + зарядка сильно греется. В остальном супер ноут Ассасин 2 прет на ура, правда только от сети, т.к. похоже производительность видюхи в этом случае максимальна. Всем советую этот ноут, т.к. он имеет на борту современное железо, такое как проц i3, ddr3 целых 3 гига, мощное видео, и прочее и прочее, конечно хотелось бы еще разъем под платы расширения, но за эти деньги все супер. Всем советую этот ноут!!!</t>
  </si>
  <si>
    <t>2011-01-19</t>
  </si>
  <si>
    <t>Кофеварка скажу я вам отличная.Купили по совету родителей(у них такая работает уже как два года).Минусов у неё нет.Очень хорошая,работает на пятёрки с ++++++++)Покупайте её-не пожалеете!</t>
  </si>
  <si>
    <t>172</t>
  </si>
  <si>
    <t>2015-04-03</t>
  </si>
  <si>
    <t>Выбирала в интернете бюджетный вариант телефона, остановилась на этом. Понравился дизайн, цена, наличие АОНа. Дома выяснилось, что не выставляется дата и время, также не работал АОН. Ранее в отзывах читала о проблемах с датой и временем у этой модели, но понадеялась, что это был брак одной определённой партии. Оказалось, проблема модели в целом.</t>
  </si>
  <si>
    <t>2015-02-05</t>
  </si>
  <si>
    <t>Использую эту кофеварку третий месяц (с 9 декабря), причем, достаточно интенсивно - 3-4 раза в день варю себе кофе. Впечатления только положительные.  В отличие от предыдущего комментатора, считаю сменный фильтр огромным плюсом. Стоят эти фильтры, действительно, копейки - 149 р. за 100 штук у нас (г. Томск) в М-Видео. Сразу купил 2 упаковки, когда забирал кофеварку из магазина. До сих пор еще не кончились. Очень удобно - сварил, выбросил, не нужно ничего промывать. Пару раз в старой кофеварке забывал вовремя очистить постоянный фильтр и уезжал на неск. дней. После этого приходилось мыть весь агрегат целиком с чистящим средством. Одноразовый фильтр в разы удобнее и практичнее.  Хочу особенно отметить продуманную крышку термопота.   Во-первых, кофе из него льется четкой струей, не разбрызгиваясь в стороны.  Во-вторых, клапан противокапельной системы очень солидный и прочный. На прошлой кофеварке он у меня вдруг просто сломался в тонком месте. Здесь, я уверен, такого случиться не может по определению. Просто потому, что такой тонкой ножки здесь нет.  Тепло, кстати, держит очень хорошо. Можно сварить полную кофеварку вечером и на утро кофе будет не чуть теплый, а горячий. Ну, это, конечно, если оставить на ночь полный термопот.  Итого, в сухом остатке - это отличная капельная кофеварка</t>
  </si>
  <si>
    <t>2010-06-28</t>
  </si>
  <si>
    <t>Сам по себе плеер неплохой, но мне не нравится то, что быстро теряется крышечка (справа) и маловато памяти... 4Гига вот это круто, 2 мало)</t>
  </si>
  <si>
    <t>2464</t>
  </si>
  <si>
    <t>2015-09-30</t>
  </si>
  <si>
    <t>очень хороший утюг,ничего не пригорает,насадок никаких использовать не надо!!!</t>
  </si>
  <si>
    <t>1655</t>
  </si>
  <si>
    <t>Купил плеер 2 недели назад, еще ни разу не заправлял. Слушаю около часу в день. Пока все нравится, простой в управлении, крепкий, надежный, неплохой звук даже с родными наушниками. Покупкой доволен !</t>
  </si>
  <si>
    <t>2010-07-21</t>
  </si>
  <si>
    <t>В целом телефончик Супер!! Советую брать...)))</t>
  </si>
  <si>
    <t>2010-11-23</t>
  </si>
  <si>
    <t>Нормальный плеер, с включением, конечно, забавно, но привыкаешь сразу. Первое, что поразило, так это отсутствие блокировки клавиш, но она ему и не нужна, потом некоторое время провозился с тем, чтобы быстро включать на том же треке, что и выключил. Нельзя регулировать звук, во время того же тетриса, да и не сохраняется игра, что не слишком радует. А как плеер - он очень даже хорош: звук отличный, наушники терпимые, приемник работает на 5. Перешел на него с iriver и, принципе, не жалею (пользуюсь около месяца в день часа по 2-4 хватает дней на 7-9)</t>
  </si>
  <si>
    <t>2014-05-24</t>
  </si>
  <si>
    <t>Компактная и легкая для переноски упаковка. Простая сборка, конструкция типичная для всех аналогов. Первую пару часов работы заметен запах смазки. Надпись на корпусе сзади обещает срок службы 5 лет. Нормально выглядит, работает тихо и безо всяких щелчков/стуков (как у моделей за 200-300 руб). Режимы подобраны хорошо. Первая скорость достаточно спокойная, с трёх метров еле заметная. Вторая уже прилично, третья вообще мощно. За свои деньги - лучшей альтернативы нет.</t>
  </si>
  <si>
    <t>2013-12-18</t>
  </si>
  <si>
    <t>Не правда, что бесшумно работает. Конечно, если дом возле трассы, то может за гулом машин и не слышно.... А так ведь похоже на звук вертолета. По степени увлажняемости нужно брать на меньшую площадь, чем указано в инструкции, иначе не будет догонять желаемого уровня влажности 50-55%. Мы брали в связи с рождением ребенка. А приходится на ночь отключать из-за шума. Если ставить на минимальный уровень, то ничего не увлажняется, выше 35% влажность не поднимается. Думаем обменять на другую модель</t>
  </si>
  <si>
    <t>Ужаснее техники чем техника этой фирмы я не видела. за что берут такие деньги не понятно. Заявлена производительность 2.5 кг мяса в минуту, так эти 2.5 кг будешь крутить полдня и фарша ты не увидишь, а увидишь непонятное месиво.</t>
  </si>
  <si>
    <t>2014-05-13</t>
  </si>
  <si>
    <t>Если честно,не ожидал от этой фирмы такого!!!!все супер:дизайн,качество,подсветка!!!От моей кровати до него - 50см и прекрасно сплю!!!</t>
  </si>
  <si>
    <t>2044</t>
  </si>
  <si>
    <t>Купил перед новым годом-до сих пор ни каких проблем и зависаний!  Очень доволен, хочу купить еще и кинект!</t>
  </si>
  <si>
    <t>2013-09-18</t>
  </si>
  <si>
    <t>Гениальное изобретение :-) Не надо ни за чем следить Налил воды сколько указано, установил яйца, нажал кнопку и ушел. Сигнал. Забрал яйца. Идеально сварены!</t>
  </si>
  <si>
    <t>Купил месяц назад за 19990руб. Очень доволен. Не греется, не пахнет, не шумит! Формат изображения 4:3 имеется!! Но не установлен по умолчанию. Просто надо включить в Настройках (Автофотмата): "АВТОМАШТАБИРОВАНИЕ" вместо "Автозаполнение"! И всё - пожалуйста! Изображение без обрезания и без искажения пропорций. Причём, если транслируется широкоэкранный фильм изображение автоматически во весь экран - здорово! С флэшки(4Гб, 8Гб) видео читает только определённого размера. Возможно в будущем исправиться прошивкой. Эфирное телевидение пока желает лучшего (во всяком случае не хуже ЭЛТ-телевизоров) . Будем ждать цифрового вещания, благо тюнер в "венгерской" сборке (32PFL5604H/12)есть! Удобное расположение разъёмов. Есть выход на наушники с раздельной (от встроенных динамиков)регулировкой громкости. Классный телек!! Очень доволен покупкой! Поддержка и всё о Philips 32PFL5604H/12 на странице http://www.p4c.philips.com/cgi-bin/dcbint/cpindex.pl?ctn=32PFL5604H/12&amp;scy=ru&amp;slg=ru</t>
  </si>
  <si>
    <t>355</t>
  </si>
  <si>
    <t>Чисто мое мнение. Колонки хорошие, звучат отлично., уже больше года ими пользуюсь. Единственный минус, все управление на сабуфере, по сколько он у меня на полу стоит, нагибаться не много напрягает. так же мне не много не хватает длины кабеля левого сателлита. В общем кому нужна хорошая и не дорогая деревянная акустика 2.1 стоит обратить внимание на эту модель.</t>
  </si>
  <si>
    <t>2015-10-22</t>
  </si>
  <si>
    <t>Купила газовую поверхность в апреле 2015. Эксплуатирую не каждый день.При включении передник конфорок очень сильно нагреваются "ручки".Очень маркая поверхность, после каждой готовки нужно мыть. а после мытья(даже деликатного) остается "паутинка" царапин.</t>
  </si>
  <si>
    <t>Мясорубка BORK MG RNP 1215 WT это просто УЖАС.Денег,за которые продает магазин она не стоит.У этой мясорубки только дизайн красивый,функций мясорубки в данной модели-нет.</t>
  </si>
  <si>
    <t>3170</t>
  </si>
  <si>
    <t>В общем отличный системник!!! Переустановил на семерку максимальную х64 и теперь у меня все 4 гига и все отлично пашет и летает!!!! На всех играх ставлю максимальные настройки и ни на одной игре не тормозит,как писали ранее!!! Так что покупайте не пожалеете!</t>
  </si>
  <si>
    <t>Телевизор прекрасный, когда привезли и распаковали, пришли в восторг от того, как смотрится в комнате. При жутком аналоговом сигнале,эфир показывает сносно. Подключили к медиапроигрывателю WD, изображение изумительное, четкость, цвет прекрасные даже у файлов 2-5гб mkv. Музыку при включении и выключении очень просто можно сделать тише или совсем отключить в меню. Инструкцию читать надо. Соотношение цена-качество этого телевизора оцениваю на 5+.</t>
  </si>
  <si>
    <t>1482</t>
  </si>
  <si>
    <t>09.2010г.купил магнитолу, сразу заводской брак, экран светится, радио поет, но ничего не кажет, поменял на такую же, все нормально.Подключал в штатный ISO разъем на VW Passat b5 98 г.в., пришлось в фишке желтый провод питания переставить на др. место(где "+" у фишки авто), синий провод у магнитолы подключил  на управление САба(со встроенным усилком), все нормально, качает.Розовый "стояночный" провод сразу на массу, чтобы видео казало. Единственное непонятно, почему светится красным подсветка,когда панель снимаешь???</t>
  </si>
  <si>
    <t>Хорошая машинка,пол года пользуюсь. Нареканий нет.</t>
  </si>
  <si>
    <t>1935</t>
  </si>
  <si>
    <t>2014-04-06</t>
  </si>
  <si>
    <t>Машинка просто отличная за эти деньги :-) пользуюсь два года, ни разу не подвела. А про поднятую лапку тоже история была, часа три мучалась, не могла понять в чем дело, потом обнаружила, что штырь для наматывания нитки на шпульку сдвинут, вернула его на место, и все работает как часики))) а дек. строчками подшиваю джинсы, смотрится просто супер</t>
  </si>
  <si>
    <t>101</t>
  </si>
  <si>
    <t>1010102</t>
  </si>
  <si>
    <t>2011-01-23</t>
  </si>
  <si>
    <t>Плеер очень порадовал, читает все Blu-Ray диск грузит очень быстро, MKV читает без проблем, вообщем оправдал все мои ожидание, чистая пятерка</t>
  </si>
  <si>
    <t>645</t>
  </si>
  <si>
    <t>Отличный телефон, красивый дизайн, определитель в этом телефоне есть и сотовые даже определяет</t>
  </si>
  <si>
    <t>2513</t>
  </si>
  <si>
    <t>2010-06-01</t>
  </si>
  <si>
    <t>недавно купил пока всем доволен, тока нет видеокамеры   видеокарта-норм  процессор-слабоват  всё остальное-супер!</t>
  </si>
  <si>
    <t>2911</t>
  </si>
  <si>
    <t>2013-01-18</t>
  </si>
  <si>
    <t>Данным блендером я пользуюсь уже больше года, очень довольна его работой, всем рекомендую.Красивая, качественная, мощная модель. Отлично и быстро измельчает любые продукты. Незаменимый помощник на кухне.</t>
  </si>
  <si>
    <t>Служил мне 2,5 года - пока муж не спалил ((, очень удобный и компактный. Пойду завтра такой же куплю )</t>
  </si>
  <si>
    <t>Телефон супер, камера хорошая, звук отличный. Берите не пожалеете!!!</t>
  </si>
  <si>
    <t>5100103</t>
  </si>
  <si>
    <t>1563</t>
  </si>
  <si>
    <t>2016-11-02</t>
  </si>
  <si>
    <t>Ну эти чехлы конечно со странными рисунками..)) Но лично у меня бамбук, не жалуюсь, нравится и еще не устала от него, хотя польуюсь уже год. За это время что он у меня только не прошел - и облив водой из утюга, и высокие его температуры, но нигде нет следов от воды или самого утюга. Ну и на худой конец всегда можно кинуть чехол в стиралку и все. НО советую его кидать ТОЛЬКО с одеждой одинаковой по цветам, а то мало ли, и при 30 градусах, иначе может деформироваться, а это явно не надо.</t>
  </si>
  <si>
    <t>2013-04-16</t>
  </si>
  <si>
    <t>Пользуюсь 7 месяцев. Очень доволен. Брал в основном для коктейлей. Блендер очень мощный. Творог,варёные яйца с молоком взбивает на 1-й скорости до напитка. Мясо рубит в фарш,только нужно закладывать небольшими порциями(для лучшего перемешивания). Овощи,фрукты (любые),орехи,шоколад-в крошку. Делаю майонез венчиком-супер. Очень удобен в управлении,легко мыть. Рекомендую!</t>
  </si>
  <si>
    <t>3030701</t>
  </si>
  <si>
    <t>1866</t>
  </si>
  <si>
    <t>Стоит поиграть ...и оружие приемлемое...и сюжет, графики как всегда ..высоко! Советую всем...</t>
  </si>
  <si>
    <t>2012-06-25</t>
  </si>
  <si>
    <t>1). &amp;quot;Ошибка&amp;quot; 2Н-это не ошибка, это &amp;quot;2часа&amp;quot;. По-английски слово &amp;quot;час&amp;quot; с буквы &amp;quot;Н&amp;quot; начинается. Машинка вам показывает, что стирать будет больше, чем 99 минут, которые способен отобразить дисплей. На дисплее 2 окошка цифр, и 100 минут не показать. Она постирает-постирает и вовремя с 99 обратно отсчет начнет. 2). Долго &amp;quot;закручивает&amp;quot; отжим, это значит белье свернулось комом или одна большая вещь. Барабан &amp;quot;ходит&amp;quot; от неправильного распределения веса и умная машинка бережет себя-не набирает обороты. Поставьте паузу, откройте барабан, распределите белье равномерно, закройте и продолжите стирку. ВСЕ ДЕЛА! 3). У кого там что &amp;quot;гремит&amp;quot; и &amp;quot;прыгает&amp;quot;? Вытащите транспортировочные винты и машинку выставьте по уровню. Отличные машинки у Самсунга-мы в семью уже третью купили. Бабушке-1, тетушке-2, мне-3.</t>
  </si>
  <si>
    <t>662</t>
  </si>
  <si>
    <t>2011-10-10</t>
  </si>
  <si>
    <t>Изначально выбирала фен-щётку для создания объёмной укладки. Объём получается хороший,единственный минус-отсутствие ионизации,так что в начале сушу профессиональным феном ,потом укладываю этим. За такую цену прибор себя полностью оправдывает.</t>
  </si>
  <si>
    <t>284</t>
  </si>
  <si>
    <t>Отличный фот. Для тех, кто не хочет заморачиваться. Ничего лишнего и отличная цена.</t>
  </si>
  <si>
    <t>Играет с Alpine SBG-1244BP, не греется, не звенит, бас четкий. Главное правильно подключить.</t>
  </si>
  <si>
    <t>2014-01-25</t>
  </si>
  <si>
    <t>Купили эту плиту на новогодние праздники, эта модель уже снята с производства-кто ищет поторопись, последователь на 2 тыс. дороже, расположение комфорок оказалось под нашу кухню на 150%, духовка очень хорошая с термостатом, гриль работает хорошо, поверхность моется отлично, единственное что пока доставляет неудобство (не привыкли) это открывание комфорок ручкой против часовой стрелки</t>
  </si>
  <si>
    <t>2010-08-09</t>
  </si>
  <si>
    <t>Купила телевизор в м видео в москве, соотношение цена-качество очень даже отличное.  Только вот почему-то плохо показывают 2 канала стс и тнт,все рябит на них,причем на старом телевизоре изображение было отличное. может быть кто то знает что надо сделать?</t>
  </si>
  <si>
    <t>2472</t>
  </si>
  <si>
    <t>2016-07-21</t>
  </si>
  <si>
    <t>1) На самом деле, машинка проработала прекрасно, но только первые 4 года. Есть прекрасная программа - стирка за мин 15, которая и электроэнергию экономит, и время, и воду. Но в один момент при отжиме стала сильно греметь и скакать. Как оказалось, что-то там полетело, точно не скажу (муж смотрел и сказал, что ремонт выйдет в половину цены стиральной машины, поэтому смысла ремонта нет).</t>
  </si>
  <si>
    <t>1210</t>
  </si>
  <si>
    <t>2010-05-16</t>
  </si>
  <si>
    <t>Насчёт мощности бука. Смотря какой бук. Если этот... ну в общем по характеристикам это хороший бук по цене. Лаги в игре это не брак. В ютом буке не очень сильная видюха. Процессор норм, но гта очень требовательная. попробую другие игры попроще. Дмитрий, не думаю, что это неисправность. Перечитай инструкцию. Может ты не так понял? Мне кажется, что к лампочке нечего придираться.</t>
  </si>
  <si>
    <t>3098</t>
  </si>
  <si>
    <t>Отличный блендер, качественный пластик, страна производства внушает доверие, что прослужит долго. Но мощности маловато, за эту цену можно купить в 2 раза мощнее от других брендов! Расстроило то, что на витрине присутствовал ещё и венчик, но в комплекте его не оказалось.</t>
  </si>
  <si>
    <t>2683</t>
  </si>
  <si>
    <t>2010-06-15</t>
  </si>
  <si>
    <t>аппарат плохой, отработал неделю вырубило радио, отдал в ремонт, после ремонта работал 30 минут,после вырубило всё.</t>
  </si>
  <si>
    <t>Сделал подарок жене на Новый год- ей понравился.  Единственный минус- замок сначала не работал- невозможно было нажать эту кнопку. Через 3 недели. вроде, стал закрываться. Видно разработался) Мелочь, конечно, но было немного неприятно.</t>
  </si>
  <si>
    <t>Купил примерно в то же время что и Александр и в целом точно так же доволен как сытый слон.  Что огорчило:   - неприятные пугающие звуки, издаваемые жестким диском, при этом ни подвисаний, ни ошибок при проверке. Давно такое. SMART в норме. На всякий случай бэкаплюсь еженедельно   - несмотря на изначальный оптимизм, поставить ХР на эту машину нормально не вышло: поставится, но будут проблемы с драйверами видеокарты (!), звука и пары системных устройств. Причем особенно плохо с видео (даже "подходящие" драйверы дают грустный результат. Вывод: 7-ка и только она.   - греется довольно заметно, но проблем не возникает. Просто сильно теплый.   - "агрессивно" переключаются режимы работы экрана (экономичный-обычный) - смаргивает. Dell и HP n610c этим не грешили, непривычно   - довольно маркий все-таки. Особенно клавиши и тачпад - если не протирать хоть три раза в неделю,то выглядит неряшливо.  А в целом именно эстетика подкупает. И клавиатура, почти как у маков - ровная, аккуратная, не прыгает под пальцами.</t>
  </si>
  <si>
    <t>2012-10-03</t>
  </si>
  <si>
    <t>Купил эту соковыжималку потому что понадеялся на брэнд. На деле оказался полная ерунда. Не знаю почему многие пишут про сухой жмых. Со жмыха сок просто течет. Пробовал прогонять жмых несколько раз и все равно жмых сырой, также в жмыхе большие куски овощей или фруктов. До этого пользовался нашей (сделано в СССР) соковыжималкой, так она в сто раз лучше выжимает. В общем никому не советую!</t>
  </si>
  <si>
    <t>695</t>
  </si>
  <si>
    <t>1940</t>
  </si>
  <si>
    <t>2014-07-16</t>
  </si>
  <si>
    <t>Купил вчера, подключил - не работает. Вскрыл корпус, с тена был снят нулевой провод, надел, собрал - не работает. Взял тестер, начал прозванивать выключатель. Итог...провода были надеты не на замыкающие контакты, поменял местами - все заработало. Полчаса возни...но на удивление греет неплохо</t>
  </si>
  <si>
    <t>2013-09-27</t>
  </si>
  <si>
    <t>Купили данный вентилятор года три назад. Обогревает комнату площадью 20 кв.м. отлично. К сожалению время берет свое, перестала работать кнопка отключения при опрокидывании и термостат. Приходится включать и отключать вручную. Советую! Хороший аппарат за свои деньги.</t>
  </si>
  <si>
    <t>916</t>
  </si>
  <si>
    <t>Изящный набор с узким аккуратным основанием приятно держать в руке.  Один минус матовое основанием со временем царапается.</t>
  </si>
  <si>
    <t>689</t>
  </si>
  <si>
    <t>2010-08-23</t>
  </si>
  <si>
    <t>Игрушка просто супер! Но детям до 21, совершенно не подойдет!</t>
  </si>
  <si>
    <t>Извините, что же у Вас за волосы такие на голове? У меня предыдущая модель проработала успешно 4 года. Так и не сломалась, провод порвался. Купил эту. Стрижет так же, хорошо. Ну да, конечно это машинка, видимо не профессиональная, но для дома, это как раз то что надо.</t>
  </si>
  <si>
    <t>770</t>
  </si>
  <si>
    <t>2010-10-16</t>
  </si>
  <si>
    <t>Ребят купил такие колоночки 16.10.10 точнее обменял брал 3 дня назад "Комплект акустических систем BBK MA-970S" это такая лажа звук глухой приглухой саб гудимт а не долбит как на логитек.  Когда привёз с магазина включил всё на среднее на кухне мама мыла посуду комната у меня находится за стенкой но мойка далековато, даг вот включил на мойке эта посуда вся заребизжала мама сразу прибежала)))  Ребят берите не пожалеете.  Нашёл конечно 1 минус это пищялок не хватает ладно у меня пищялки стоят так включаеш их и звук отменный но с пионером не сравнится)))</t>
  </si>
  <si>
    <t>3040</t>
  </si>
  <si>
    <t>2010-12-26</t>
  </si>
  <si>
    <t>Печка ОТЛИЧНАЯ, не жалею...  всё с 1-го раза получается  главное пропорции соблюдать  есть только один минус...плоховато корочка пропекается...</t>
  </si>
  <si>
    <t>Отличная машинка! Когда искала, кучу перечитала всего, теперь в выборе ас, сейчас выбрала бы эту же модель! Пользуюсь уже около 5-ти лет - никаких нареканий, главное, сразу ровно выставить, тогда работать будет тихо. Безумно нравится качество стирки, отжима, даже на 30 градусах отлично отстирывает, маме буду брать такую же.</t>
  </si>
  <si>
    <t>2012-09-09</t>
  </si>
  <si>
    <t>Я купила пылесос 3 года назад, через полгода сломалась кнопка- был на гарантии - отремонтировали бесплатно.Не так давно задымел - сначала загудел, а потом задымел. И честно говоря, постоянно мыть его - занимает столько же времени, как и сама уборка. Скорее подходит для людей, которые убираются один раз в неделю, каждый день его мыть, поскольку у нас маленькие дети - убираемся каждый день - лучше руками пол помыть! Плохо помоешь - воняет конкретно. Не покупайте! Мало того что сломается, производитель не надежный, так и еще и намучаетесь.</t>
  </si>
  <si>
    <t>2016-08-10</t>
  </si>
  <si>
    <t>Отзывчивый и читает все основные аудио и видео форматы и фото.  Самое главное качество картинки видео и фото и звука очень достойные. Пульт очень удобен, эргономика порадовала. Эксплуатируется данный плеер более года. Поддерживает внешние HDD  диски, формата NTFS  через USB пробовал внешний объём 640 ГБ.</t>
  </si>
  <si>
    <t>2013-09-03</t>
  </si>
  <si>
    <t>Отличная бритва за свои деньги, пользуюсь 3 года нареканий нет.</t>
  </si>
  <si>
    <t>2012-04-01</t>
  </si>
  <si>
    <t>Год эксплуатации,нареканий нет почти...    Плюсы:  Не громкая,не вибрирует,стирает норма,впрочем как и все стирает...  Минусы:  1)Если в режиме быстрая стирка (29мин, 30град.С) исправить на 40град.С, то время стирки увеличивается вдвое.   2)Потребление 40 литров вне зависимости от режима.</t>
  </si>
  <si>
    <t>Купил 2 месяца назад, радуюсь не нарадуюсь, за такие деньги это супер машина...идут все игры на максимуме без тормозов...ГТА 4 с последним патчем вообще не тормозит оценка 5+++</t>
  </si>
  <si>
    <t>2015-10-25</t>
  </si>
  <si>
    <t>Кофемолка классная. Очень тихая. Помол мелкий.(Как пыль)</t>
  </si>
  <si>
    <t>2070</t>
  </si>
  <si>
    <t>2014-06-02</t>
  </si>
  <si>
    <t>Первый вентилятор у меня проработал около 10 секунд - вентилятор в целом включался, но почти не мог крутить лопасти. В МВидео без проблем поменяли на аналогичную модель, минут за 10, и второй сразу проверили в отделе выдачи товара. Второй работает уже несколько дней, проблем не наблюдается. Что касается сборки обоих вентиляторов - конструкция на вид хлипкая, но если хорошо все шурупы закрутить, то получается очень даже устойчивая. Не скрипит, сильно не шумит, дует замечательно. Очень нравится подсветка - позволяет в темноте сразу его идентифицировать. В целом, если хотите вентилятор по отличному сочетанию цена/качество - выбирайте эту модель (цена на 2 июня 2014 лучшая в МСК). Если попался бракованный - не бойтесь и не ленитесь обратиться в магазин для обмена.</t>
  </si>
  <si>
    <t>Есть опыт использования данного продукта.к достоинствам следует отнести приличное качество звучания ну и цену.а недостаток один и весьма существенный-очень слабый провод.просто до нельзя.и это при бережной эксплуатации.хватило мне этого девайса на три с небольшим месяца.слабое место всех Sennheiser_ов-провода.</t>
  </si>
  <si>
    <t>2013-04-02</t>
  </si>
  <si>
    <t>Раньше я жарила тосты на сковородке. Очень не удобно и часто пригорал хлеб, да и запах перегоревших крошек долго гулял по дому. Выбрала себе недорогую модель Philips. Сначала пришлось потренироваться, на разных режимах запечь хлеб. Наконец нашла подходящий для себя. Мне не важен румяный цвет хлеба, важно что он горячий и хрустящий снаружи, но мягкий внутри. Что еще нужно для тоста? Мощность этой модели позволяет очень быстро получить готовый тост. Есть поддон для крошек-удобно, вынул его, крошки высыпал и пользуйся снова. Если кусочки хлеба небольшие, их правда неудобно доставать. А в инструкции есть пометка, что в этом случае надо поднять вверх рычаг. Есть кнопка стоп, разморозка. Я ими почти не пользуюсь. В целом за такие деньги я очень довольна. Кофе и тост с творожным сыром-мой любимый завтрак. Последний совет: хлеб тоньше 1 см не нарезайте, получится не тост, а сухарик.</t>
  </si>
  <si>
    <t>2016-01-29</t>
  </si>
  <si>
    <t>от пузырьков практически нет толка.покупкой не доволен.верну обратно</t>
  </si>
  <si>
    <t>2402</t>
  </si>
  <si>
    <t>2010-08-27</t>
  </si>
  <si>
    <t>В общем плеер норм, вот только производитель шлейф отсен сара зря припаял, можно было просто заим поставить, просто мне его пришлось отпаять и обратно припаять.</t>
  </si>
  <si>
    <t>2599</t>
  </si>
  <si>
    <t>Ноут хороший, но двд-ром шумит</t>
  </si>
  <si>
    <t>мне лично не понравился тем, что особой гладкости не добиться, даже после пятого раза проведения по одному и тому же месту. Ожидала конечно большего, но видно за такую цену большего не дождешься(((( а по поводу боли, то могу сказать так, что скорее это можно назвать щекотно, чем больно )))))</t>
  </si>
  <si>
    <t>2262</t>
  </si>
  <si>
    <t>Приобрел неделю назад вместе с синтетическими мешками, за счёт них работает на все свои 500 Вт. После чистки мебели, особенно тёмных поверхностей, приобрела свой первозданный оттенок. Супер манёвренный, под любой столик залезет. Единственное, не стоит убирать там где очень много песка, иногда может срабатывать датчик заполнения мешка для сбора пыли! За всю уборку, а это 3 полноценных ковра, 2 - раза ударило током (статика, опять же, не смертельно) не стоит прислоняться к металлической трубке. Рекомендую: во время длительной уборки, время от времени соприкасаться трубой с металлическими ножками столов и др. предметами, так можно снять стат.электричество.</t>
  </si>
  <si>
    <t>3022</t>
  </si>
  <si>
    <t>Просто зверь,он у нас уже более полутора лет молит всё.пока не разу не ломался.очень им довольны.коктейли просто изумительные!Загружаем фрукты плюс лед и перемалываем получается райское охлаждающее витаминное чудо. очень всем советую.</t>
  </si>
  <si>
    <t>1216</t>
  </si>
  <si>
    <t>2012-05-16</t>
  </si>
  <si>
    <t>Подарили на день рождения года 2 назад. До сих пор работает и в полном восторге, особенно нравится что в резиновом корпусе</t>
  </si>
  <si>
    <t>2014-08-08</t>
  </si>
  <si>
    <t>Купили в 2013 перед Новым годом, ни разу не пожалели. В квартире проживает пушистая-препушистая кошка, так после приобретения пылесоса ее пушистость больше не напрягает (ранее через день бегала с щеткой и водой чистила на карачиках ковровые покрытия :( ). Уборок через 3 промываем контейнер, фильтры и словно пылесос только из магазина-мощность не теряет! На квартиру 70 кв.м просто изумительно!!!</t>
  </si>
  <si>
    <t>2013-05-21</t>
  </si>
  <si>
    <t>В магазине пересмотрели все возможные варианты пылесосов. Удобнее LG найти не смогли. Первое и важнейшее - опустошение контейнера происходит одним движением. Нажав на кнопку, чаша-контейнер вынимается и вытряхивается в ведро или унитаз. После чего просто промывается под краном. Количество пыли и шерсти от кота при первом использовании поразило! Это при том, что старым пылесосом убирали квартиру два раза в неделю! Две комнаты дали два полных спрессованных контейнера грязи! Из минусов - нужно приноровиться к использованию. Универсальная щетка, идущая в комплекте, отлично работает на ковре, а на линолеуме намертво присасывается к полу :). Решается это просто - нужно слегка убавить мощность на ручке. Что касается дорогого фильтра (тот, что сзади). Есть прекрасный выход из положения - когда он засорится, нужно аккуратно лезвием или ножом подрезать сеточки, и вставить вовнутрь вырезанный по размеру кусочек фильтровальной ткани для вытяжек (большая упаковка ее стоит около 200 рублей, продается как в МВидео, так и в Ашанах). Ткань эта содержит активированный уголь, и будет надежно удерживать как остатки пыли, так и запахи. Одной упаковки ткани хватит на 100 лет.</t>
  </si>
  <si>
    <t>Я купил перед новым годом, и не разочаровался в приобретении!</t>
  </si>
  <si>
    <t>2014-05-30</t>
  </si>
  <si>
    <t>Купила сегодня,цена и качество устроили.Дома сразу прошел тест драйв,ни запаха,ни шума.Гладит отлично))).</t>
  </si>
  <si>
    <t>Купил себе такой недавно, полностью доволен! Куча ПОЛЕЗОГО софта от НР, почти ни чего не удалял. Приятное управление: Тачпад удобный, большая клавиатура с нампадом. Большой потенциал для разгона (до 8 Гб ОЗУ). По такой цене лучший выбор. Смотрится строго, ни чего лишнего.</t>
  </si>
  <si>
    <t>3040303</t>
  </si>
  <si>
    <t>2015-06-01</t>
  </si>
  <si>
    <t>С этим рулём можно играть как и на пк, так и на пс!!!</t>
  </si>
  <si>
    <t>598</t>
  </si>
  <si>
    <t>Купила в подарок пылесос "Пеликан" - красивый, мощность устроила, насадки, моющиеся фильтры; также очень хорошо, что имеется функция сбора жидкости. Одно расстраивает - приложенную инструкцию пользователя использовать в качестве инструкции сложно - нет ответов на такие (для меня лично насущные)вопросы -   1)можно-ли работать пылесосом только от аккумулятора пылесоса или его обязательно надо подключать к аккумулятору автомобиля? (написано непонятно)  2) как долго надо проводить зарядку акккумулятора во второй и последующие разы? (в инструкции сказано только про первый раз).</t>
  </si>
  <si>
    <t>761</t>
  </si>
  <si>
    <t>2011-11-21</t>
  </si>
  <si>
    <t>Плюсы:  Отличный в меру мягкий бас!  Хорошо отыгрывают высокие частоты!  Отлично держатся в ушах присоски!  В комплект входят дополнительные присоски.  Есть прищепка!  Минусы:  Есть небольшие искажения на низких частотах.  Немного не хватает средних частот.  P.S: Хорошие наушники за те деньги, которые они стоят! На счет качества не знаю. Пользуюсь всего лишь один день. Пока вызывают только положительные эмоции.</t>
  </si>
  <si>
    <t>1709</t>
  </si>
  <si>
    <t>1) Плюсы: Дизайн - красивый , сборка - качественная, мощность - всасывает сильно , даже при средней мощности. Есть ароматизатор, что дает дополнительную свежесть в помещении (при покупке мне в подарок дали 1 шт попробовать) . Щетка отличная - покупала для ламината ( не царапает ). Вращается у основания трубка ( отличный плюс, не будет скручиваться и ломаться).  2) Минусы: Пылесборник в комплекте 1 (многоразовый). На максимальной мощности очень шумный.   3) Очень довольна покупкой. Цвет и дизайн порадовал. Качественный и шустрый. Мощность шикарная, правда, кот от шума на максимальной - в шоке)))</t>
  </si>
  <si>
    <t>2010-04-07</t>
  </si>
  <si>
    <t>Плюсы:  -динамик-громкий  -наличие всех необходимых функций  -одновременная работа двух симок  Минусы:  -при переключении с одной симки на другую,перезагрузка телефона, просто бесит (хотя в характеристиках пишут обратное)  - нет шнура и дика с ПО  - настройки неудобные (хотя самсунгом пользовалась и ранее).</t>
  </si>
  <si>
    <t>Телевизор устраивает вполне.Очень хорошие углы обзора(можно смотреть из любого угла комнаты и картинка не светлеет).Сначала купил Toshiba 42AV-635,но у него угол обзора никакой,отвёз обратно в магазин.Купил эту модель-супер.Картинка,звук,цвета очень достойные.Из минусов...качество ТВ эфира желать лучшего...Подключаешь DVD или HD Media Player-СУПЕР !!!  К компьютеру пока не подключал...</t>
  </si>
  <si>
    <t>2437</t>
  </si>
  <si>
    <t>Всё в этом эпиляторе меня устраивает. Начиная с того, что удаление волос почти безболезненно (до этого я 5 лет пользовалась другим эпилятором)и заканчивая тем, что раздражения и красноты на коже почти не остается. Очень понравился триммер для бикини, который можно взять с собой куда угодно, и пинцет с подсветкой!</t>
  </si>
  <si>
    <t>Пользуюсь этим телефоном 6 месяцев, предпочитаю самсунги, поэтому всегда слежу за новинками и по возможности покупаю. Ну, что можно сказать.... я не совсем довольна, уже два раза пришлось обращаться в гарантийную мастерскую с одной и той же проблемой, заедает шторка фотокамеры, да и виснет частенько. Сейчас я бы уже НЕ купила эту модель!</t>
  </si>
  <si>
    <t>2016-11-17</t>
  </si>
  <si>
    <t>Отличное качество, многофункциональность, стильный внешний вид, цена</t>
  </si>
  <si>
    <t>пользуюсь наушниками год. никаких проблем. звук чистый. никаких претензий нет. боялся, что пожалею из-за цены. не пожалел. единственное не знаю, можно амбюшуры поменять или нет.</t>
  </si>
  <si>
    <t>2009-12-14</t>
  </si>
  <si>
    <t>Очень хорошая вещь, я не пожалел не минуты, что купил. Sony на высоте как всегда. Звук офигенный, громкости хоть отбавляй, во общем советую всем его брать, правда есть один недостаток, по моему мнению, наушники в комплектации не очень, мне по крайней мере они не очень понравились, а так в целом отличная вещь!!!</t>
  </si>
  <si>
    <t>825</t>
  </si>
  <si>
    <t>подскажите пожалуйста, это только у меня мелодии звонка очень тихие или у всех...понять ничего не могу на плеере более менее играет, ставлю на звонок очень тихо...заранее благодарен</t>
  </si>
  <si>
    <t>телефон неубиваемый, камера отличная батарея мощная хватает на долго минусы- тихий и через год после покупки начал при включении долго думать (минут 15-20 ничего не доступно кроме входа в меню) и очень часто стал выключаться когда сам захочет в день по 7-8 раз даже обновление ПО не помогло</t>
  </si>
  <si>
    <t>287</t>
  </si>
  <si>
    <t>1,5 года использую колонки, достаточно часто. Нет никаких видимых мной недостатков до сих пор. Звук не сел, басы ощущаются также как и при покупке. Бас, даже на низкой громкости ощущается в другой стороне квартиры. Один минус, но к колонкам не относится - стёкла дребезжат ;). По выходным соседей пугаю House'ом. Очень хорошо сбалансированы сателлиты, не перекрикивают сабвуфер и не затихают. Для 30W выход очень даже приличный. Рекомендую для домашнего использования, не сомневайтесь.</t>
  </si>
  <si>
    <t>2010-05-08</t>
  </si>
  <si>
    <t>Эта соковыжималка просто супер!!!!!! Её можно использовать как для стакана сока на каждый день, так и для заготовок на зиму(10 литров сока за раз)</t>
  </si>
  <si>
    <t>Соковыжималкой не довольны, просто кошмар, шумит, трещит, грохочет. Морковь целиком не берёт, вся захлебывается. Чтобы сделать сок надо всё мелко нарезать, хотя горлышко для загрузки фруктов и овощей большое. Слабый движок. Вообщем супер-пупер мега бюджетный вариант, для тех кто богатый и любит покупать дешёвые вещи. Нам её подарили... И отслужила она всего полгода!</t>
  </si>
  <si>
    <t>2487</t>
  </si>
  <si>
    <t>2016-04-22</t>
  </si>
  <si>
    <t>До этого у меня был триммер всего с одной насадкой для бороды и усов. В принципе, мне хватало его с головой пока не стали меня посылать в командировки на две – три недели. Поэтому и решился на покупку более продвинутой модели, со всякими насадками для волос и для носа, расческа с ножницами тоже в комплекте. В поездках этот набор выручает меня сильно, не нужно бегать по незнакомому городу в поисках хорошей парикмахерской.</t>
  </si>
  <si>
    <t>2015-01-15</t>
  </si>
  <si>
    <t>Есть быстрые программы для стирки, эко-программы для борцов за права воды, а также в нее можно загрузить много белья – 7 килограмм.   Я пользуюсь машинкой около полугода. Как оказалось, в машинке хорошо почти все – она шумит, но терпимо, она красивая, легкая в управлении. Обычно я пользуюсь часовой программой – качественно стирает, и стирка не занимает много времени. НО. Новая машинка оказалась до неприличия высокой, конечно, точно выше моей старой машинки и под столешницу,  на место старой место не встала. Уточняйте размеры!</t>
  </si>
  <si>
    <t>Привлекательный дизайн,качество сборки соковыжималки.Ножки на присосках,вибрация не сильная,работает на 5 баллов.</t>
  </si>
  <si>
    <t>2010-05-05</t>
  </si>
  <si>
    <t>Пользуюсь монитором три месяца,изображение отличное,приятно смотреть фильмы и играть в игры,удобны предустановленные режимы!!!Один минус у меня с самого начала пользования-застывший пиксель синего цвета.</t>
  </si>
  <si>
    <t>3114</t>
  </si>
  <si>
    <t>2014-03-02</t>
  </si>
  <si>
    <t>Подкручивает только концы. Отдала маме, у нее короткая стрижка, ей понравилось, делает объем.</t>
  </si>
  <si>
    <t>2011-09-29</t>
  </si>
  <si>
    <t>Выбирая утюг, я в первую очередь обращала внимание на мощность утюга и цену. Купила Philips GC 3632/02. Была очень довольна, пока не обнаружила что в этой модели нет функции автоотключения,которую я считаю неотъемлемой составляющей утюга. У меня был предыдущий Braun, с автоотключением, пользуюясь им я быстро привыкла к тому что можно не волноваться из-за того, выключила ли я уходя утюг?! С Philips-ом пришлось заново привыкать. А в целом утюг отличный.</t>
  </si>
  <si>
    <t>За такие деньги ноут просто улет, но ложка дегтя Win7 HB 64, поставлю Максимальную 64 наверное. Ну и всякого дерьма напихали в предустановленную систему, время потерял пока вычистил.</t>
  </si>
  <si>
    <t>2293</t>
  </si>
  <si>
    <t>2012-03-19</t>
  </si>
  <si>
    <t>Пользуюсь третий год, ни разу не ломался! Объем дает хороший. Только холодный воздух дует теплым, поэтому тонкие волосы стараюсь только в этом режиме укладывать.</t>
  </si>
  <si>
    <t>2015-05-17</t>
  </si>
  <si>
    <t>Хорошо работал весь сезон, но постоял зиму и  перестал работать. Супер техника.....</t>
  </si>
  <si>
    <t>2015-04-28</t>
  </si>
  <si>
    <t>Пользовался до этого сетчатой бритвой, после двух использований бросил в ящик и брился простым станком, т.к. не пробривала шею. А эту чудо бритву Philips жена подарила на ДР, бритье стало удовольствием, бреет быстро и эффективно, не надо по 100 раз проводить и шею пробривает.</t>
  </si>
  <si>
    <t>2286</t>
  </si>
  <si>
    <t>Очень понравилась эта модель, пользуюсь 2 недели, недостатков не выявил, изображение, звук все на отлично!</t>
  </si>
  <si>
    <t>2015-06-10</t>
  </si>
  <si>
    <t>Машинка служит с 2011 года. За этот период пережила два переезда и регулярные отключения электричества (и воды одновременно) и работает исправно. Единственный нюанс, на семью из 5 человек уже не хватает. + Буду покупать машинку с сушкой =)</t>
  </si>
  <si>
    <t>1982</t>
  </si>
  <si>
    <t>2011-06-24</t>
  </si>
  <si>
    <t>Вчера в первый раз в ней готовила. Специально купила красную рыбку, посолила, поперчила, сбрызнула лимоном. Крупно порезала картошку, чуток посолила и сверху укропом посыпала. На нижний ярус положила картошку, а над ней рыбу, и на 30 минут включила. Рыбка получилась отменная! Я даже не ожидала. А вот картошку пришлось еще 20 минут "допаривать", но это, я думаю, потому что сорт был не разваривающийся и в следующий раз порежу ее помельче. В итоге картошкой я тоже довольна! Так что первый опыт удался.   Это моя первая пароварка. Выбирала между немецкой(из-за Германии и отсутствия электроники). Но Филипс победил своей функциональностью. Из недостатков отмечу необходимость после готовки мыть много посуды (чаши, крышка, поддон) и необходимость выливать из основания воду. Буду готовить в ней еще. Надеюсь, мой отзыв будет кому-то полезен.</t>
  </si>
  <si>
    <t>Пылесос хороший, соответствует цене, мощность всасывания зависит от мешков: с многоразовым просто зверь, оно и понятно он для крупного мусора, с бумажными пакетами всасывает заметно хуже, с мешками из синтетического материала очень хорошо!</t>
  </si>
  <si>
    <t>2011-03-02</t>
  </si>
  <si>
    <t>Пользуюсь не так давно, но уже в восторге от покупки. Посуда идеально чистая и сухая!!! По поводу моющих средств, на короткой программе наилучший результат достигается использованием традиционных средств для мытья посуды в сочетании с дабовляемыми отдельно специальной солью и ополаскивателем. Главный + остаётся много свободного времени!</t>
  </si>
  <si>
    <t>2014-02-07</t>
  </si>
  <si>
    <t>Единственный плюс - кипятит. Ну вроде как чайник и должен, по этому даже и не знаю стоит ли это ему в достоинства писать. Шум дикий! При чем в течении всего процесса кипячения. Греет долговато, Экспресс мог бы и побыстрее! Дизайн - ничего особенного. В общем вряд ли стоит платить за марку.</t>
  </si>
  <si>
    <t>2013-01-27</t>
  </si>
  <si>
    <t>Давно уже покупал, очень забавная игра, стоит своих денег. Сначала выполняем перед камерой несложные действия, а затем смотрим уморительный трейлер к кинофильму с Вами в главной роли. Камера уже в комплекте. Кроме того, эта камера совместима с обычным компьютером, и является неплохой веб-камерой. Также с помощью этой камеры на Xbox доступна функция видеочата,во многих старых играх есть поддержка камеры для видеочата в игре или создания аватара с Вашим лицом. В общем очень хорошая штука за копейки, рекомендую.</t>
  </si>
  <si>
    <t>2012-04-08</t>
  </si>
  <si>
    <t>Пользуюсь около двух лет постоянно. Хорошо сидят. Отличный для беспроводных наушников звук. Аккумуляторы легко заменить. Хорошая помехозащищенность (есть дома еще беспроводные Филипсы этой же ценовой категории, у них помехозащищенность хуже намного).</t>
  </si>
  <si>
    <t>2009-11-12</t>
  </si>
  <si>
    <t>Недавно приобрел сей девайс, отзывы пока только положительные. Конфигурация сбалансированная, игры идут на хорошем для ноутбуков уровне. Клавиатура удобная, немного маркая (верхняя крышка тоже неплохо собирает отпечатки пальцев). Яркость и контрастность дисплея на неплохом уровне. Звук для ноутбука просто отличный. По качеству сборки и используемым материалам (по сравнению с моим предыдущим ноутбуком этой же фирмы) отмечу большой шаг вперед.</t>
  </si>
  <si>
    <t>2388</t>
  </si>
  <si>
    <t>2010-02-04</t>
  </si>
  <si>
    <t>тв в пользовании с ноября, критика по качеству и матрице не обоснована. Матрицы у всех тв из этого ценового диапазона одинаковые. Выбирал между шарп тошиба и сони. Победила цена... В сони Очень много настроек,и есть режим пониженного эл. потребления, который включен по умолчанию, из за чего картинка кажется не яркой. Кто любит яркие цвета - этот режим достаточно просто выключить. При грамотном  подключении по RGB прекрасно передает цвета также HDMI присутствует, если мало тюльпанов. Звук качественный, есть радио, но зачем оно нужно - не ясно, хотя радио звучит хорошо</t>
  </si>
  <si>
    <t>Отличный чайник, довольно большой, 2 литровый объём. Прозрачный и всегда видно сколько в нем воды. Крутится на 360. Удобный. Есть фильтр на носике, накипь не пройдет. Если воды меньше нормы, он не включится. Хороший, удобный и очень круто выглядит. Неоновая подсветка вообще класс.</t>
  </si>
  <si>
    <t>нет</t>
  </si>
  <si>
    <t>2013-05-20</t>
  </si>
  <si>
    <t>Купила два месяца назад в подарок маме. Мои надежды и хотелки оправдались, мама очень довольна этим миксером, пользуется им очень часто, так как часто печет, соответственно, с помощью миксера замешивает тесто и ей нравится, как данная модель справляется с такой задачей. И теперь мама настоятельно рекомендует мне этот миксер! А в работе он действительно не шумный.</t>
  </si>
  <si>
    <t>2010-02-17</t>
  </si>
  <si>
    <t>Отличная электробритва!</t>
  </si>
  <si>
    <t>Есть громкая связь</t>
  </si>
  <si>
    <t>Думаю, всегда нужно идти в ногу со временем и покупать новую, современную технику. Кухонную обновлять например раз в лет пять-шесть минимум.  Так я ,следуя этому своему принципу, купила около трех месяцев назад эту газовую панель, избавилась от своей старой плиты , и установила вот это вот чудо)) С установкой муж сам справился , ничего очень сложного там не оказалось для вызова мастеров. Вообще ,эта панель понравилась в основном по нескольким причинам: во- первых, это интересный дизайн. Цвет очень нравился, такой серебристый, красиво смотрится)) Сначала думала, что будет сложно его чистить и быстро цвет померкнет , но на деле оказалось не так совсем! До сих пор смотрится просто суперски))  Во-вторых, из того, что мне очень удобно - это панель управления , которая установлена справа, а не спереди , как у других моделей! Во-первых, дети теперь никак не могут дотянутся до регуляторов, а во-вторых, так даже на много удобнее, чем когда спереди. Еще из плюсов хочу отметить конфорку с двойным пламенем, очень удобная вещь , когда нужно что-то быстро приготовить. Сковородка нагревается намного быстрее теперь и равномернее. Модель оставила самые хорошие впечатления , советую!</t>
  </si>
  <si>
    <t>2013-06-26</t>
  </si>
  <si>
    <t>Купил перед дорогой на море. Хорошо, что проверил накануне. Воткнул в него регистратор, навигатор, третий слот остался пустым под телефоны. Через пару минут появился запах дыма. Выбирайте альтернативный разветвитель.</t>
  </si>
  <si>
    <t>1830</t>
  </si>
  <si>
    <t>2010-02-21</t>
  </si>
  <si>
    <t>Купил вчера, попользовался несколько часов. Вроде плеер как плеер, играет что написано. Но звук очень тихий. Тише, чем в старом моем плеере. Для прослушивания музыки хватит, а вот аудио книги (некоторые не очень высокого качества) в маршрутке и трамвае слышно не будет. Даже хорошие наушники не спасут.</t>
  </si>
  <si>
    <t>2010-07-02</t>
  </si>
  <si>
    <t>Через полгода хваленое "двойное дно" раздвоилось так, что меньше литра стало помещаться в него</t>
  </si>
  <si>
    <t>117</t>
  </si>
  <si>
    <t>Сегодня купил наушники, отзывы еще не видел до этого момента, качество понравилось очень, вот и взял, не жалею) советую</t>
  </si>
  <si>
    <t>Нет кнопки выключения. Шнур слишком жесткий и толстый.</t>
  </si>
  <si>
    <t>2333</t>
  </si>
  <si>
    <t>На собственном опыте убедилась, что готовить в этой мультиварке не удовольствие, как можно подумать, взглянув только на эту голубенькую малышку, а одно разочарование и нервотрепка. А все дело в небывало маленькой мощности, у меня микроволновка и то в разы мощнее, чем эта голубенькая кастрюлька. Все блюда без исключения готовятся очень долго. А если надо на стол накрыть и приготовить и первое и второе блюдо и десертик к чаю, так тут и дня не хватит, наверное</t>
  </si>
  <si>
    <t>Почему такой дешевый ?  Вроде комплектация очень хорошая и стоить столько не может !</t>
  </si>
  <si>
    <t>2013-09-19</t>
  </si>
  <si>
    <t>Я покупала этот тепловентилятор 2 года назад. Комната 12 кв.м. при закрытой двери нагревается за 20 минут с температуры 19 до 22 градусов. Проблемы присущие всем тепловентиляторам - сушит воздух и шумно работает. На ночь его выключаю. Работает безотказно, запах был, но прошел после нескольких включений.</t>
  </si>
  <si>
    <t>1987</t>
  </si>
  <si>
    <t>Пользуюсь 3 месяца. Экран отличный, разрешение себя выдает только в приложениях с крупной примитивной графикой (в калькуляторе например).Удобство использования пальцем на высоте (для наглядности сравните с witu). Несколько слабоват динамик, не предусмотрена защита от вызова преложений с экрана при разговоре. Время автономной работы 2 дня (моего предыдущего glofisch X800 хватало при гораздо меньшей нагрузке на сутки).Качество сборки, пластика можно воспринимать как эталон.Аппарату не помешалабы вспышка, но при дневном естественном или достаточном искусственном освещении качество снимков хорошее.Скорость работы в различных положениях не огорчит.Если не смущают размеры,но важен комфорт при просмотре текста, фото и видео, качественное радио,сборка,если извлекать каждый раз стилус считаете неудобно это ваш выбор</t>
  </si>
  <si>
    <t>1388</t>
  </si>
  <si>
    <t>325</t>
  </si>
  <si>
    <t>2013-10-16</t>
  </si>
  <si>
    <t>Отличный водонагреватель, термоизоляция действительно хорошая (около недели держит). А что крепежа нет, я минусом не считаю (копейки стоит).</t>
  </si>
  <si>
    <t>1925</t>
  </si>
  <si>
    <t>Достойно показывает эфирные каналы, воспроизводит с флешки  практически любые форматы видео (проблемы бывают с HD фильмами - либо кодек видео кривой либо аудио - примерно 1 из 15), фотографии супер,  цвета естественные, мне корректировка не потребовалась (черный цвет похож на черный), 200 гц эффект странный, как будто театральный, но на изображении сказывается положительно, размытия контура практически нет (игрушки не пробовал, а как монитор по RGB выше всяких похвал), если включить сенсор, практически не греется.</t>
  </si>
  <si>
    <t>2010-06-25</t>
  </si>
  <si>
    <t>Лучше водонагревателя не найти. У меня уже 10 лет и без проблем. Уже свой срок отработал, буду менять. Основное его свойство это Тэн, они редко сгорают и потом их можно менять без слива воды. Сухой Тэн помещен в трубке, которая вварена в бак.</t>
  </si>
  <si>
    <t>2012-04-23</t>
  </si>
  <si>
    <t>Отчим купил такую, я попробовал, понравилась, пошёл покупать себе такую-же, Gillette Mach3 Turbo теперь лежит на полке. Видимо мне удачная модель попалась, у меня средняя щетина, бреюсь каждое утро примерно 2 минуты, аккумулятора хватает настолько что я забываю когда заряжал, решил проверить, написал число зарядки на бумажке и положил под подставку для бритвы, зарядка потребовалась на пятой неделе использования, больше месяца. Я в шоке! На четвёртый год использования потребовалась замена ножей. .</t>
  </si>
  <si>
    <t>Вчера муж подарил выпрямитель д/волос. Сейчас попробовала, очень понравился. Нагревается мгновенно, оч.удобно-запоминает нужную температуру, очень легкий. Мои волнистые волосы выпрямил идеально и быстро. В комплекте сумочка, расческа, заколки-это мелочь, но приятно!Довольна на 100%!!!</t>
  </si>
  <si>
    <t>1) Плюсы:   * качественное крепление, полностью металлическое!;  * все мясорубки, примерно, до 15 т.р. с пластиком, и быстро расшатывается крепление;  * автоотключение при перегреве - отличная функция!;  * отлично перемалывает одновременно разные фрукты и овощи, не смотря на то, что многие из них имеют шкурки скользкие и много сока выделяют (аджику 20 литров варила).    2) Минусы: не выявила!    3) Комментарии:   * данная мясорубка отлично сочетает стоимость и качество, ни чего лишнего и вполне надежно!  * хочу заметить, про пластиковые "шестеренки", как заметили вышеподписавшиеся (кстати, комментарий про шестеренки повторяется неоднократно, возможно, его просто кто-то копирует и спамит), то они во всех мясорубках сейчас, чтобы снизить шум и удешевить! Дороже 15 т.р. не рассматривала, возможно и в них похожая история.   * Ножи можно всегда наточить))) это вообще не показатель в мясорубке!!!  * В М.Видео, в отличие от других магазинов, смогли дать нормальную консультацию и абсолютно не навязчиво!!!  * Мясорубкой довольна, и, вполне, могу посоветовать для домашнего использования!     Ломается любая техника, если не уметь пользоваться, и гарантию ни кто не отменял)) Тем более, сейчас можно оформить дополнительную страховку, за смешные деньги!    P.S.: Отдельное спасибо продавцам магазина в г.Пермь, ул.Куйбышева, д.16 ТРК "Колизей".</t>
  </si>
  <si>
    <t>Пользуюсь 3й месяц, очень довольна. Рубит быстро любое мясо, субпродукты, рыбу, овощи, шумит не очень сильно.</t>
  </si>
  <si>
    <t>2009-08-26</t>
  </si>
  <si>
    <t>Купил вчера данный монитор через интернет-магазин. В целом доволен, достаточно большой размер экрана, нормальная цветопередача. Естественно чуть похуже моего старого самсунга, но по такой цене с такой диагональю ничего лучше не найдешь. Единственное что разочаровало, это отсутствие HDMI разъема...    В общем, соотношение цена-качество хорошее. Посмотрим сколько прослужит.</t>
  </si>
  <si>
    <t>Проработали стабильно всего три месяца. Сейчас показывает неправильный вес, расхождение с реальным от 10 до 20 кг, при весе 50кг выдают на табло 39 кг, при весе 94 кг показывают 75. Ни смена батареек, ни другие манипуляции не помогают. Бесполезно выброшенные деньги. НЕ советую покупать данную модель.</t>
  </si>
  <si>
    <t>2013-03-03</t>
  </si>
  <si>
    <t>Отличный комбайн, очень прост и удобен в использовании, капусту теперь готовлю гораздо чаще, раньше ленилась резать, а теперь 5 минут и готово. Рагу овощное тоже без проблем. Все устраивает. Пользуюсь больше полгода.</t>
  </si>
  <si>
    <t>2010-02-09</t>
  </si>
  <si>
    <t>купил бук 2недели назад,не не радуюсь!!!!!все супер!!!кроме,как уже сказали,щелкания при прослушивании мр3 думаю с этой проблемой можно разобраться))) !!!ну а так все отлично!!!</t>
  </si>
  <si>
    <t>Телефон очень хороший, особенно по дизайну и эргономичности. Но наблюдается видимо программная ошибка, при переходе в меню контактов и использования поиска всегда приходиться выбирать русский язык, который и включается только со второго раза.</t>
  </si>
  <si>
    <t>2011-07-05</t>
  </si>
  <si>
    <t>Пылесос действительно плохой. Пыль с ковра засасывает плохо. Движок сдох сразу после окончания гарантии. Покупать не советую. Если кто-то всё-же решиться купить, рекомендую после каждой (!) уборки не только вытряхивать пыль, но и промывать фильтры, НЕРА-фильтры тоже закупите впрок. Единственное достоинство пылесоса - управление на ручке.</t>
  </si>
  <si>
    <t>2015-03-19</t>
  </si>
  <si>
    <t>Первый раз такой фен получила в подарок  около 5 лет назад. Пользовалась насадками щетками и насадкой для выпрямления (ею чаще всего)! Укладка получается как в салоне, объем, выпрямление, и держится долго и т.д.!!! ! Минусов здесь быть не может. Но ничто не вечно, даже если вещь хорошая! Повторно получив в подарок фен, наслаждаюсь процедурами укладки! ))) Так что берите, не пожалеете!</t>
  </si>
  <si>
    <t>Купили 12.06.10. Площадь 30 кв.м.  работает как зверь! Супер! Нижняя температура 16 градусов. Рекомендую!</t>
  </si>
  <si>
    <t>2013-11-09</t>
  </si>
  <si>
    <t>Не дешевый, но отличный сетевой фильтр, пользуюсь уже 3 года. Всем советую.</t>
  </si>
  <si>
    <t>1875</t>
  </si>
  <si>
    <t>2010-04-08</t>
  </si>
  <si>
    <t>ТЕЛЕФОН СУПЕР!!! Пользуюсь 3 месяца...все отлично!!! Просто к ним надо нормальные наушники подобрать!  Плюсы - качество фото на 5+!!!, звук нормальный...автофокус...флешка стоит на 4 Gb...вроде не тупит  Минусы - стандартный наушник плохой...</t>
  </si>
  <si>
    <t>2010-03-21</t>
  </si>
  <si>
    <t>Отличный, мощный, многофункциональный комбайн. За 3 недели попробовали все функции. В течение первых двух недель старались использовать по максимуму. На четвертой неделе с момента покупки, во время приготовления в блендере коктейля, лопнул пластиковый корпус комбайна, появился посторонний звук, вал под нагрузкой не вращается. При этом в инструкции написано, что в блендере можно колоть лед.  В сервисном центре провели технический осмотр и сказали, что причиной является механическое повреждение, необходимо заменить пластиковый корпус. Видимых сколов, следов от удара на корпусе нет, не думаю, что замена корпуса приведет вал в движение.  Вероятно, комбайн не справился с нагрузкой, вал выдавил корпус и нанес внутри какие-то повреждения.</t>
  </si>
  <si>
    <t>2010-12-12</t>
  </si>
  <si>
    <t>Хорошая стирка даже без подогрева воды.Один минус - отжим слабоват. Пользуюсь почти год.</t>
  </si>
  <si>
    <t>842</t>
  </si>
  <si>
    <t>2016-08-24</t>
  </si>
  <si>
    <t>Электрической щеткой Oral-B пользуюсь уже два года. До этого я пользовалась обычной щеткой, на зубах оставался налет, десна кровоточили . Но Oral-B решил эти проблемы. Сейчас я не представляю жизнь без этой щетки, рекомендую ее всем друзьям. Оригинальные насадки прослужат достаточно долго, щетина у них не грубая, чистить зубы ей приятно. Аккумулятор держит заряд отлично, есть световой индикатор заряда. Ни капли не жалею о покупке!</t>
  </si>
  <si>
    <t>удобная,тихая,не прыгает,вместительная,приобрели 17.10.2016.я в полном восторге!</t>
  </si>
  <si>
    <t>2017-02-22</t>
  </si>
  <si>
    <t>Удобная, качественная</t>
  </si>
  <si>
    <t>2010-06-24</t>
  </si>
  <si>
    <t>Продолжу свою мысль которая ниже (19.06.2010 Ноутбук Acer AS5740G-333G25Mi ) кто думает что на ноутбуке даже за цену свыше 20000р  будут летать игры тот ошибается ! Для игр думаю вам геймерам подойдет вот эта модель ( http://chelyabinsk.mvideo.ru/products/30011868.html ) - это соотношение : ЦЕНА-ИГРЫ-КАЧЕСТВО-ПРОИЗВОДИТЕЛЬНОСТЬ. А для всего но не для ИГР !!!</t>
  </si>
  <si>
    <t>Телефон отличный, все что нужно было в телефоне, в нем есть. Хороший экран, звук, Java, 3g.. только один очень существенный минус - перестал читать сим-карты ни с того, ни с сего. нужно менять теперь, пока на гарантии.</t>
  </si>
  <si>
    <t>255</t>
  </si>
  <si>
    <t>Очень хорошая плита (купила 23 июня), мне понравилась на ней готовить, но пока не готовила в духовке, понравился электроподжиг (до этого была плита попроще), но когда работает на большом огне - громко газ выходит (мама даже подумала, что газ выходит из соединения плиты и трубы). И еще главное, чтобы установить плиту лучше пригласить сразу мосгаз, так как заплатив 990 рублей за установку еще не значит, что ее установят (там должна быть защита на трубу).</t>
  </si>
  <si>
    <t>2013-01-21</t>
  </si>
  <si>
    <t>Шикарный вентилятор махом нагревает комнаты, не сильно шумный!</t>
  </si>
  <si>
    <t>1763</t>
  </si>
  <si>
    <t>2009-11-16</t>
  </si>
  <si>
    <t>Самый лучший телефон!!!!у меня пока нет,ну я сплю и вижу его!мечта :(((</t>
  </si>
  <si>
    <t>947</t>
  </si>
  <si>
    <t>2017-04-14</t>
  </si>
  <si>
    <t>скачет , шумит очень сильно</t>
  </si>
  <si>
    <t>игра просто супер</t>
  </si>
  <si>
    <t>2917</t>
  </si>
  <si>
    <t>2010-04-25</t>
  </si>
  <si>
    <t>Я не буду описывать какая это игра, на коробке можно прочесть, игра является лидером продаж, она является культом и суб культурой.</t>
  </si>
  <si>
    <t>2011-11-23</t>
  </si>
  <si>
    <t>Купил 3 месяца назад. К качеству стирки претензий нет. Не прыгает. Стирает тихо, при отжиме и сливе воды иногда гудит, возможно, из-за удлиненного шланга (5 метров). Очень громко щелкает блокировка дверцы.</t>
  </si>
  <si>
    <t>2011-02-15</t>
  </si>
  <si>
    <t>они действительно точны до грамма,я гирьками (100,50,20,10 гр.) проверял.на кухне пригодятся по-любому!</t>
  </si>
  <si>
    <t>2012-09-13</t>
  </si>
  <si>
    <t>Пользуемся три года, не ломалась, но мытьем посуды не очень довольны, не промывает. И очень шумная</t>
  </si>
  <si>
    <t>2095</t>
  </si>
  <si>
    <t>Нареканий пока никаких. Все работает как надо. Управление удобно (раньше была машина с крутилками, кнопочки удобнее)    Доволен.</t>
  </si>
  <si>
    <t>2010-09-20</t>
  </si>
  <si>
    <t>Очень громким щелчком включается компрессор, работает громко и долго больше часа.   После выключения компрессора, издается странный звук бульканья или вибраций чего-то , понять сложно.  Подал заявку в начале той недели, сказали в пятницу будет мастер. Мастер не пришел, хотя имеется гарантия доп обслуживания.Какой её смысл пока непонятно.  Собираюсь менять на холодилиьник другой марки, если поменяют конечно. Во всяком случае отпишусь тут.</t>
  </si>
  <si>
    <t>2010-10-22</t>
  </si>
  <si>
    <t>PS3 уже взломал,Но она всёравно остаётся самой лучшей консолью нового поколения. Игры просто отпад, много эксклюзивов среди игр для PS3 .Xbox 360 даже близко не стоял!</t>
  </si>
  <si>
    <t>2013-08-12</t>
  </si>
  <si>
    <t>Для использования надо включать в розетку (с заземлением, ужасно). Влага не испаряется, поэтому не очень хрустит и не поджаривается, чуть подсушивается хлеб. Если делать с начинкой, то неудобно, сыр вытекает и прижаривается, начинка не прогревается.</t>
  </si>
  <si>
    <t>3208</t>
  </si>
  <si>
    <t>2010-11-03</t>
  </si>
  <si>
    <t>Телевизор не понравился.</t>
  </si>
  <si>
    <t>2015-02-20</t>
  </si>
  <si>
    <t>Покупал её 09.03.2012 до сих пор работает как часики, отличное соотношение цены и качества!!!</t>
  </si>
  <si>
    <t>286</t>
  </si>
  <si>
    <t>Наушники чудо!!! Проработали 4 года, начал барахлить провод, перепоял и всё опять норм. Работают дальше.</t>
  </si>
  <si>
    <t>2012-09-03</t>
  </si>
  <si>
    <t>Слабые аккумуляторы, проработали 1 год и сдохли. Плохое качество звука.Собеседника очень плохо слышно даже при максимальной громкости.Тихие звуки либо "обрезаются",либо становятся неразборчивыми.И всё это - при заявленном для этой модели "чистом звуке". От Панасоника такого не ожидал.</t>
  </si>
  <si>
    <t>Впервые обзавелся компьютером и выбор пал как раз на эту модель, пока все устраивает, игрушки действительно летают, но я только начинающий пользователь и настоящие рабочие качества пока не оценил, но покупкой ужасно доволен!!!</t>
  </si>
  <si>
    <t>2016-10-30</t>
  </si>
  <si>
    <t>За адекватную стоимость хорошая вещь. Делаем теперь как сендвичи, так и просто тосты, при том, что сначала планировалось покупать два разных аппарата для этих целей на кухню. Здесь они в одном, и это куда более удобно.</t>
  </si>
  <si>
    <t>1185</t>
  </si>
  <si>
    <t>Эфирные  каналы по коллективной антенне показывает отлично, цветопередача вообще самая реалистичная в своем классе. взял,не жалею)))</t>
  </si>
  <si>
    <t>Приобрели его примерно 2 года назад, никаких проблем за это время не возникало. Прошлой зимой даже двигатель отогрел им минут за 20 на авто. А этой весной уже на протяжении 2 месяцев практически круглые сутки работает, т.к. маленький ребенок дома. Единственный минус это шум при работе.</t>
  </si>
  <si>
    <t>2168</t>
  </si>
  <si>
    <t>2010-05-18</t>
  </si>
  <si>
    <t>купили. Пытался включить- не получается. заряжал в течении 3 часов, опять пытаюсь включить - оживает кнопка "меню", экран - молчит. Выводы делайте сами</t>
  </si>
  <si>
    <t>1022</t>
  </si>
  <si>
    <t>2010-06-08</t>
  </si>
  <si>
    <t>Хорошая флешка, которая хорошо зарекомендовала в себя. Никаких ошибок и сбоев не выдавала. Удобно носить в кармане и на ключах, в машине часто через фм-модулятор слушаю музыку. Скорость меня устраивает</t>
  </si>
  <si>
    <t>Купил утюг в подарок, но решил прежде чем дарить испробывать так сказать на деле) И если честно был удивлен с лучшей стороны, гладит очень хорошо, минусов вроде нет, может быть только что тяжелый, но мне кажется для утюга это даже плюс) вообщем думаю подарок понравится...</t>
  </si>
  <si>
    <t>2958</t>
  </si>
  <si>
    <t>Пользуюсь таким чайником уже 4 год,все супер, 5+++</t>
  </si>
  <si>
    <t>2014-03-13</t>
  </si>
  <si>
    <t>Из претензий только не очень удобное крепление шланга к самому пылесосу - он не отсоединяется и при этом выходит из корпуса поперёк продольной оси, как верхняя часть буквы б - тянешь за шланг, а пылесос едет куда-то в сторону. А так с прилагаемой щёткой твёрдые покрытия чистит хорошо, контейнер снимается/очищается без проблем, фильтры также несложно достать и промыть. Шумит конечно, но с бесшумными пылесосами не сталкивался. Общее впечатление приятное - качественная вещь.</t>
  </si>
  <si>
    <t>Взял телевизор, никаких нареканий нет, работает отлично! Обновил прошивку до последней версии с сайта производителя, изменений вроде не заметил, но и хуже не стало...Что касается самовольного включения... есть такая фишка, пытается обновить прошивку... исправляется отключение автоматического обновления.  Свою цену оправдывает на все 100%</t>
  </si>
  <si>
    <t>Здравсвуйте! Плиту приобрел в марте, всем родным понравилсяя дизайн, что отметили сразу, плита нагревается быстро, нареканий нет, две зоны, одну б хотелось побольше диаметром, но не страшно, плита готовит на ура, множество режимов, от гриля с конвекцией до классики, пока не подвела.   Единственное к чему могу придраться, то что маркая очень и сенсор не всегда реагирует, но им я прктически и не пользуюсь, готовит очень хорошо по сравнению с прошлой плитой Бош.</t>
  </si>
  <si>
    <t>Супер !!!!! купил сразу 20 июня как только привезли такая же история как и с GTA 4 может и портируют на PC в лучшем случае к новому году такие хиты стоит покупать сразу  если их нет на PC тем более от Rockstar а не ждать 8-10 месяцев и нет гарантий что она вообще выйдет на PC.</t>
  </si>
  <si>
    <t>2017-04-24</t>
  </si>
  <si>
    <t>Отличная цена, функциональность</t>
  </si>
  <si>
    <t>у нас съемная квартира и выбирали не дорого. нам очень и очень понравился, нагревает комнату в два счета, и в ванну берем чтоб подогреть ребенку, запах был в начале, потом ушел.всем советую.</t>
  </si>
  <si>
    <t>2017-05-07</t>
  </si>
  <si>
    <t>Технологичность, четыре независимых таймера, расширение зоны нагрева</t>
  </si>
  <si>
    <t>2015-05-02</t>
  </si>
  <si>
    <t>Мне муж подарил на новый год. Очень довольна, пользуясь хотя только 4 месяца.  Очень советую иметь такую вещь у кого маленькие детки, очень быстро у меня проходит глажка. Стоит пеленку сложить в 4 раза и пройти пару раз и все готово. А постельное гладить, так одно удовольствие.</t>
  </si>
  <si>
    <t>2166</t>
  </si>
  <si>
    <t>2010-09-18</t>
  </si>
  <si>
    <t>Телефон-супер! Цена-качество...АОН работает)!</t>
  </si>
  <si>
    <t>быстрота нагрева компактный размер</t>
  </si>
  <si>
    <t>Купил этот телевизор полгода назад и не жалею. Разблочил USB, подключил цифровые каналы, все работает без сбоев. Купил по отзывам на этом сайте :)</t>
  </si>
  <si>
    <t>2016-11-10</t>
  </si>
  <si>
    <t>Проработал 6 лет без особых замечаний. Теперь потёк... Помутнели местами окошки уровня воды. Появились микротрещины. Проводишь пальцем по этим окошкам и видно, как вода сочится. За час собирается приличная лужица.</t>
  </si>
  <si>
    <t>2014-12-02</t>
  </si>
  <si>
    <t>Купила такую машинку в 2008 году, стирает отлично до сих пор, для маленькой семьи самое оно!!!</t>
  </si>
  <si>
    <t>Великолепная игра, интересный сюжет, запоминающиеся персонажи. Всем поклонникам японских ролевых игр настоятельно рекомендую, тем же кто не успел приобщиться к этому жанру советую по-внимательней присмотреться к этой игре. Это настоящий блокбастер, который оставит после себя массу положительных эмоций.</t>
  </si>
  <si>
    <t>2010-10-07</t>
  </si>
  <si>
    <t>пользуюсь месяц всё радует вот только не могу заболванить диски с заводскими настройками.</t>
  </si>
  <si>
    <t>3215</t>
  </si>
  <si>
    <t>купила здесь ее в помощь для домашнего пользования, т.к. мужчин дома у меня аж четверо (брат, муж, сын, отец) !) Всех по очереди уже перестригла, все остались довольны, говорят, что круче чем в парикмахерской. Машинка очень удобна в пользовании, без шнура можно и имеет самозатачивающиеся лезвия. Мужчины уже друг с другом договариваются и сами друг друга подстригают :D</t>
  </si>
  <si>
    <t>2016-02-18</t>
  </si>
  <si>
    <t>Ну просто замечательная панелька! Первый раз покупаем плиту с индукцией и я не устаю поражаться как же это удобно, по сравнению даже с той же газовой плитой. Все блюда готовятся в два раза быстрее, а то и в три! Простое управление и целых 17 уровней мощности - просто волшебство! Вода закипает, не успеешь глазом моргнуть. Кстати, если она прольется на панель, или суп выкипит, то панель сама выключится! Еще для каждой конфорки есть таймер, так что готовка перестала быть проблемой - яйца, макароны - все варю на таймере, можно не беспокоиться что что-то подгорит или переварится! Очень просто очищается, я так просто протираю влажной тряпочкой и все готово. Все домашние уже разобрались в управлении, готовят себе завтраки сами. Спасибо за такое высокое качество!</t>
  </si>
  <si>
    <t>Хороший выпрямитель.  Немного дерет волосы (может пока не привыкла, вчера купила) и кнопка действительно неудачно расположена, случайно можно переключить температуру нагрева!</t>
  </si>
  <si>
    <t>2017-04-22</t>
  </si>
  <si>
    <t>обьем,простота управления, цена</t>
  </si>
  <si>
    <t>Купили сей агрегат.  Массажные ролики наверху имеют 2 скорости вращения. Если ногу поставить на них силы вращения уже не хватает, поэтому можно часть стопы только массажировать.  Хотелось бы на дне ванны еще ролики чтобы были, можно было по ним стопы массировать.  В целом впечатления пока приятные.</t>
  </si>
  <si>
    <t>Хороший диск с хорошей игрой!Если вы решили купить , то не пожалейте денег , потому что на всех серверах в игре по сети можно играть только с лицензией!</t>
  </si>
  <si>
    <t>2488</t>
  </si>
  <si>
    <t>купил 29 марта .. вчера вечером - 15 апреля, сломалась кнопка включения ..</t>
  </si>
  <si>
    <t>2014-06-23</t>
  </si>
  <si>
    <t>Это моя первая хлебопечь, мне сравнивать не с чем, но у меня с первого раза не получилось. Потом выяснила почему, у меня было открыто окошко для добавления ингредиентов, поэтому хлеб не поднимался, был сырой и тяжелый. Теперь я научилась и все супер.ю хлеб очень вкусный, только вот хрустящую корочку никак не могу сделать, но я думаю это с опытом, надо приноровиться.</t>
  </si>
  <si>
    <t>1042</t>
  </si>
  <si>
    <t>2179</t>
  </si>
  <si>
    <t>Автомагнитола не очень.  Купил год назад. Очень долго загружается диск, дисплей не пишет название песен, нельзя переключить с папки на другую папку без телека.</t>
  </si>
  <si>
    <t>3209</t>
  </si>
  <si>
    <t>Да, телефон хороший, удобен как плеер, у меня у самой такой, 2-й год уже. Стойкий очень корпус(сколько раз роняла). Не заряжаю 3 дня (полная зарядка), а потом уже на 4-5 начинает разряжаться.   Сейчас стал частенько выключаться на улице. Выйду на 5 минут, а потом приходится греть его, когда включается пишет, что батарейка разряжена. Бывает, что греешь, греешь на улице, потом заходишь домой, а он горит весь. Приходилось порой в снеге охлаждать. Но ведь это всё зимою.  Правда, очень звонкие колонки. Когда я включаю музыку, другие телефоны как тихие мышки подпевают втихаря. А про вибрацию - зря. Наоборот, сильная. В общем про звук и остальные дела по музыке - всё просто отлично.   Большая флэш-карта. Но вот мне она не попалась. До 4 МГ. Не знаю с чего приспичило выбирать синий, но когда вернулись, красный уже покупали. Что ещё сказать. Всё в полном порядке. Ах да, раньше стоил он 10000, сейчас упало до 6800. Да, он уже не в моде, но всё же такой крутой телефон не может так мало стоить.</t>
  </si>
  <si>
    <t>2011-03-05</t>
  </si>
  <si>
    <t>Отличный монитор. Порадовало наличие всех входов (включая 3,5мм под акустику-наушники) + встроенные динамики (правда простенькие).  Качество картинки на высоте. Игры стали смотреться совсем по новому (которые поддерживают 1080)! После просмотра одного фильма, появилось дикое желание пересмотреть все фильмы в Full HD.  Из минусов только небольшая засветка по нижнему краю (из-за диода кнопки включения расположенного посередине), но видно ее очень редко.</t>
  </si>
  <si>
    <t>2010-05-06</t>
  </si>
  <si>
    <t>Игра просто клас! Жалко что у нас в Нефтеюганске её не продают я бы купил обязательно. А теперь немножко об игре =) Мега скорость, Новый перс - Сильвер. Интересная и очень серьёзная сюжетная линия. Но есть и минус. Кошмарно много глюков. Но всё равно играть СОВЕТУЮ!!!!!!!</t>
  </si>
  <si>
    <t>2017-03-05</t>
  </si>
  <si>
    <t>готовит вкусно и быстро и полезно.</t>
  </si>
  <si>
    <t>1863</t>
  </si>
  <si>
    <t>Игра на пять балов, берите не пожалеете! А тем кому нраветься вестерны и всё что связано с ковбоями (кроме "Горбатой горы") сам Rockstar велел!!! Это хит каких мало, редкая игра, редкого жанра. Ништяк короче!!! Всем брать объязательно, а те кто уже взял жду вас в мультиплеере!     P.S.  ТЫ   ВСЁ   ПОЙМЁШЬ  КОГДА  ЗАПУСТИШЬ RED DEAD REDEMPTION НА СВОЕЙ КОНСОЛИ!</t>
  </si>
  <si>
    <t>Чтобы удалить не нужный канал:  1. Нажать CH LIST  2. Джойстиком выбрать удаляемый канал и подтвердить нажатием желтой кнопки  3. Нажать TOOLS и выбрать пункт "Удалить"</t>
  </si>
  <si>
    <t>1519</t>
  </si>
  <si>
    <t>2016-01-10</t>
  </si>
  <si>
    <t>Многим невдомек, зачем покупать такие большие и мощные вытяжки, но у нас помимо того, что газовая плита, то есть мы травимся постоянно фактически, так как газ-то не абсолютно безвредный, так еще и курят поголовно все пять человек в квартире. Хорошо, что такая помощница у меня появилась, всю вонь из кухни убирает как по мановению волшебной палочки. Выглядит она изумительно просто, если весь интерьер неплох, то зачем его уродовать? Надо и технику достойную подбирать. Не только мощную, но и красивую и желательно, тихую, как эта вытяжка. Работает она практически бесшумно. Есть автотаймер, это особенно удобно, когда уже идешь ложиться, а воздух необходимо прочистить перед сном. Не сидишь на кухне, не ждешь. Очень нравятся лампочки, а ососбенно то, что яркость можно регулировать. Одно неприятно - на стекле остаются следы от пальцев, бью по рукам всех, кто к ней лезет, сама все переключаю. Но я остальных могу понять - сенсорное управление неудобно тем, что кнопки тяжело нащупать. Я постоянно ею пользуюсь и по памяти просто тыкаю.</t>
  </si>
  <si>
    <t>2013-02-04</t>
  </si>
  <si>
    <t>Не очень шумный, прекрасно моется. Легко справляется с клубникой и другими мягкими фруктами и овощами, хорош для коктейлей и пюре!</t>
  </si>
  <si>
    <t>короче скажу так-не катит. единственное из за чего дал оценку 2 из5 это то что экран хоть есть))) а так кнопки стрёмные вообще.выглядит как мыло.он сгорел у меня через неделю после покупки.так что если хотите деньги потратить правильно не покупайте!</t>
  </si>
  <si>
    <t>2014-07-25</t>
  </si>
  <si>
    <t>Хорошая машинка за небольшие деньги, неделю гоняю ее по разным стиркам, особенно понравился режим рубашки 55 минут стирает в большом количестве воды, простирывает отлично ,выполаскивает тоже хорошо.Другие проги тоже понравились. По поводу громкости, она не тихая, ожимает достаточно громко конечно, во время стирки шум умеренный,однако  после старой чудом кажется,поставила ее на резиновые ножки подставочки вообще не прыгает.</t>
  </si>
  <si>
    <t>Некоторые пишут что не хватает зарядки так вот- Windows7 забирает много энергии в общем я поставил Windows vista home premium, а в ней отображала, что зарядки осталось на 2ч 56м - практически на 3 ч, а на Windows 7 отображала 1ч 50м. но может быть у кого как, по разному отображается с интервалами 10-30мин.но всё-таки 7-ая больше берёт расход энергии.  Поэтому кому надо больше зарядки, ставьте либо Vista или XP !  Поскольку процессор 64-ёх разрядный, не ошибитесь когда будете ставить другую операционную,а то комп не будет работать!</t>
  </si>
  <si>
    <t>2280</t>
  </si>
  <si>
    <t>Не проработала и трех месяцев. Судя по звуку после включения произошло замыкание. В сервисе посчитали случай не гарантийным, хотя судя по отзывам проблема общая для данной модели.</t>
  </si>
  <si>
    <t>Телефон действительно отличный! Удобный и простой в управлении. Но единственный и существенный минус - кнопки потрескались очень быстро.</t>
  </si>
  <si>
    <t>Купил и не жалею!   ножки хорошие + добавочная высота только плюс!</t>
  </si>
  <si>
    <t>126</t>
  </si>
  <si>
    <t>2017-04-26</t>
  </si>
  <si>
    <t>Красивый дизайн, удобное меню.</t>
  </si>
  <si>
    <t>2016-04-15</t>
  </si>
  <si>
    <t>Не соответствует скорость заявленной-своих денег не стоит..если ищите большую скорость то эта флешка не для вас</t>
  </si>
  <si>
    <t>Вроде нарисован на упаковке венчик, а внутри нету</t>
  </si>
  <si>
    <t>2563</t>
  </si>
  <si>
    <t>2016-10-28</t>
  </si>
  <si>
    <t>Гарантия на два года. Вытяжка реально подходит для большой кухни. Подсвечивает варочную поверхность двумя лампочками на 50 ватт. Обхожусь вечерами без верхнего света чаще всего. Убирает сигаретный дым даже.</t>
  </si>
  <si>
    <t>Искал отцу хорошие наушники, пожелания были такие: не вкладыши, ну понятно удобные, звук не резал уши и цена не дороже 2000 рублей. Погонял инет, походили по магазинам в итоге купили ему вот эти наушники! Очень удобные, нигде не давят, ну и самое главное звук, у меня были вкладыши Sony mdr e71, вообщем звук у синхов приятнее. Ну чо, вечером поехал и себе купил)))), сейчас слушаю их. Берите эти ушки не пожалеете!!!</t>
  </si>
  <si>
    <t>2340</t>
  </si>
  <si>
    <t>Пользуюсь 9 месяцев и никаких проблем. Слушаю каждый день и наслаждаюсь, звук просто супер, просто надо хорошие наушники!!! советую всем, за эти деньги лучше не найти!!!</t>
  </si>
  <si>
    <t>719</t>
  </si>
  <si>
    <t>пользовался таким плеером около трех лет.  могу сказать только, то что свою цену он оправдал полностью.  для прослушивания песенок, просмотра некоторых фоток и просмотра клипов памяти в нем вполне достаточно.  первый 1-1,5 года использования работал без каких либо нареканий на пять с плюсом.    минусы.  позже потухла одна сенсорная клавиша, работает, но не горит..  неудобно сделан блокиратор клавиш для него, верхняя перемычка на нем зачастую ломается.  с разъемом для наушников у данного плеера тоже могут возникнуть проблемы.  за все время использования лишь один раз отдавал в ремонт, сейчас стал немного глючить.  но с плеером уже что только не происходило, деньги свои он отработал полностью.    если буду брать то только плееры этой же фирмы, но уже более объемные и с возможностью установки дополнительных microCD  данный плеер за такую цену всем советую, вполне оправдает ваши ожидания.</t>
  </si>
  <si>
    <t>2013-08-11</t>
  </si>
  <si>
    <t>Вещь просто супер, сначала хотели купить тостер, а потом остановились на этой модели, теперь по утрам чай с бутербродиками самое то, корочка просто супер.</t>
  </si>
  <si>
    <t>2010-10-05</t>
  </si>
  <si>
    <t>В отличии от других наушников, у них чувствительность 100 дб. Звук отпадный. Песня звучит так, как и должна  - ни какие частоты не пропадают. Возможно, Сергей, это и есть твои "посторонние шумы" или плеер плохой :) Использую с samsung yp-u5.  Минусы: тонкий кабель, боюсь порвать.</t>
  </si>
  <si>
    <t>Господа пользователи Acer X3812, NVIDIA выложила новый драйвер для нашего компа. Рекомендую установить, я установил, боюсь сглазить, но вроде стало получше. Я имею ввиду глючки с видеокартой. Перед установкой только не забудьте выключить антивирус.</t>
  </si>
  <si>
    <t>2014-10-07</t>
  </si>
  <si>
    <t>Не увлажняет нормально, я бы сказала вообще не увлажняет. Собирает немного пыли на углевом фильтре и все. Через два года сломался гигрометр, теперь работает как хочет... хотя смысла в его работе нет совсем.</t>
  </si>
  <si>
    <t>Окупил затраты, но прогнил изнутри через 2 года.  А так хорош был.</t>
  </si>
  <si>
    <t>2014-09-12</t>
  </si>
  <si>
    <t>Отличный фен, очень хорошо справляется со своей задачей, пользуюсь уже два года, умирать вроде не собирается!))) Советую!!!)))</t>
  </si>
  <si>
    <t>2040201</t>
  </si>
  <si>
    <t>1712</t>
  </si>
  <si>
    <t>Долго думал перед покупкой, поскольку НИКОГДА до этого не пробовал продукцию Макинтош. Но поскольку нужен был ПК с большим экраном и перемен тоже захотелось (ОС Винда надоела...) рискнул и взял IMAC 21,5 . На первый день после покупки  еще сомневался, жаба душила, но уже на второй третий день потихоньку начал осознавать что это реально очень качественный домашний компьютер с отличным дизайном и шикарными возможностями и удобством ОС. Стоит он своих денег с таким экраном и дизайном, и качеством. Работа с документами, браузером, фотографиями, видео и музыкой - все быстро и удобно, нужно попробовать чтобы понять. Да и просто приятно за ним сидеть.. что тоже важно. Игр на него хватает тоже, а если разговор идет о супер новых емких играх то проще купить приставку. Итог: рискнул и доволен очень что купил.</t>
  </si>
  <si>
    <t>Купила и очень довольна)))Недостатков вроде не нашла, звук отличный, изображение тоже, цена вообще радует. А то, что сборка Российская - ничего плохого в этом не вижу. В нём есть всё необходимое.</t>
  </si>
  <si>
    <t>4080201</t>
  </si>
  <si>
    <t>Компактная, удобная плитка. Действительно, быстро нагревается и остывает сразу после отключения - экономит электроэнергию. Стильно выглядит и ухаживать за ней проще простого.</t>
  </si>
  <si>
    <t>2016-01-14</t>
  </si>
  <si>
    <t>ни кому не посоветую эту модель. совершенно не отстирывает вещи. уже более месяца пользуюсь и вообще не в восторге. с пятнами вещи совершенно не отстирывает...</t>
  </si>
  <si>
    <t>2011-08-09</t>
  </si>
  <si>
    <t>Через месяц весы стали показывать 114 кг..))) я столько не вешу... ничего с этой ошибкой сделать не удается... обидно..</t>
  </si>
  <si>
    <t>2012-10-09</t>
  </si>
  <si>
    <t>Отличная машинка! Очень качественные ножи, больше года пользуюсь и радуюсь. Удобная.</t>
  </si>
  <si>
    <t>2014-08-01</t>
  </si>
  <si>
    <t>Покупал в ноябре 2013 г. Свои функции выполняет на отлично, работает ежедневно.</t>
  </si>
  <si>
    <t>1) Эпилятором Braun Silk-épil 1170 пользуюсь более 2 лет. Очень им довольна, он отлично справляется со своей задачей, почти без болезненно, нет раздражения и вросшихся волосков. Эпилятор легко чистить, в комплекте идёт удобная щетка. Работает от сети. Отличный бюджетный вариант.  2) недостатков не выявлено  3) приятный бонус: после использования Эпилятор Braun Silk-épil 1170 волоски становятся тонкие, светлые и мягкие. Рекомендую к покупке! Отличный!</t>
  </si>
  <si>
    <t>226</t>
  </si>
  <si>
    <t>2014-08-23</t>
  </si>
  <si>
    <t>Купил - 2 недели уже работает. Греет быстро - за 10-15 минут кипяток,всё как в характеристиках написано.Места занимает мало. Ванну принять не хватит, но на одного с небольшим напором воды вполне.</t>
  </si>
  <si>
    <t>Утюг стоит своих денег. Без наворотов, гладит и отпаривает хорошо. Советую.</t>
  </si>
  <si>
    <t>2016-05-28</t>
  </si>
  <si>
    <t>Вытяжка по своим техническим характеристикам хорошая,но спустя 7лет рухнуло стекло полностью!Рассыпалось на очень мелкие осколки стекла☹️☹️☹️</t>
  </si>
  <si>
    <t>513</t>
  </si>
  <si>
    <t>Обычные наушники. Ничего особенного. Звучание хорошее, качество тоже. Так что если вам нужно просто послушать музыку или посмотреть фильм в наушниках - Panasonic RP-HT6 то, что вам нужно)</t>
  </si>
  <si>
    <t>2691</t>
  </si>
  <si>
    <t>2017-05-04</t>
  </si>
  <si>
    <t>Цена. Качество.</t>
  </si>
  <si>
    <t>2010-07-31</t>
  </si>
  <si>
    <t>не знаю, может надо инструкцию читать, а потом уже пользоваться. удалять тут можно! и из записи выходить тоже легко надо зажать букву "M" . и при выключении звук какой был такой и остается. мне этот плеер всем нравится</t>
  </si>
  <si>
    <t>1616</t>
  </si>
  <si>
    <t>Сегодня взял. Все устраивает. Хороший саб.</t>
  </si>
  <si>
    <t>2012-06-03</t>
  </si>
  <si>
    <t>Всем советую поиграть! Есть отличный кооператив на 2 человека! Никита прав, нужно знать английский т.к все задания на английском! Всем советую отличная игра: много крови,убийств,веселья!</t>
  </si>
  <si>
    <t>Купила год назад.   Плюсы:  - выпрямляет отлично,  - быстро нагревается,  - наличие замка.  Минусы:  В процессе использования выявился один существенный минус - контакты, соединяющие шнур с корпусом, отходят...как следствие, выпрямитель не работает. Пришлось перемотать скотчем. Шнур никогда не сгибала и не скручивала. У подруги такая же проблема именно с этим выпрямителем.</t>
  </si>
  <si>
    <t>Сама печка очень понравилась, но.... я в ней нажала на что-то, сама она работает, по крайней мере программы переключаются, но не запускаются, может, кто знает, как бороться.</t>
  </si>
  <si>
    <t>Использую неделю. Выбирали из мощных ну и не дорогих. И чтобы стальной корпус. Аналоги стоили намного дороже.   Плюсы: возможность сделать сразу много сока, стальной корпус.   Минусы: Очень большая (занимает прилично места на кухне)  В целом оценка 5, мне очень нравится.</t>
  </si>
  <si>
    <t>586</t>
  </si>
  <si>
    <t>2010-03-31</t>
  </si>
  <si>
    <t>Радуйтесь! Программа переназначения клавиш найдена. Ловите ссылку - teutonick.ru/download/sharpkeys3.zip  Ноут супер только отклеилась буковка на кружке lEnovo</t>
  </si>
  <si>
    <t>2010-07-09</t>
  </si>
  <si>
    <t>Весы супер, не врут 5+.</t>
  </si>
  <si>
    <t>359</t>
  </si>
  <si>
    <t>Круто:)</t>
  </si>
  <si>
    <t>2010-03-16</t>
  </si>
  <si>
    <t>Ребята аппарат хороший, но я столкнулся с проблемой. При просмотре Blu-ray дисков в некоторых фрагментах пробегают пиксели, подскажите, в чем проблема.</t>
  </si>
  <si>
    <t>Долго с мужем смотрели на фритюрницу, решили купить. Очень удобная вещь, самое главное масло минимум нужен для картофеля, сделала мясо по рецепту из книги рецептов. Просто объеденье. Семья довольна.</t>
  </si>
  <si>
    <t>981</t>
  </si>
  <si>
    <t>Пользуюсь 2,5 года. Никаких проблем. Греет быстро, отключается сразу. Наливать из него удобно, ничего мимо не льется.</t>
  </si>
  <si>
    <t>Помогло справится с усталостью как в ступнях,так и в коленях  Очень понравилось соотношение цены к качеству,но увы,есть малюсенький минус-шумит массажная насадка на поверхности ванны.</t>
  </si>
  <si>
    <t>Недавно купил,всё нравится,правда камера у меня не очень и наушники один тише другого играет.</t>
  </si>
  <si>
    <t>2010-10-24</t>
  </si>
  <si>
    <t>конечно сони проигрывают иксбоксам золотая пора это плэйстейшн 2 самая по моему мнению лучшая из сонь, но иксбокс по всем параметрам обходит всю их контору.</t>
  </si>
  <si>
    <t>1484</t>
  </si>
  <si>
    <t>Я уже забыла точно когда покупала его)) но точно больше 8 лет назад.  Только сейчас потёк. Никаких минусов за столь долгие годы не увилела, и очень кпасивый дизайн.  Жаль сейчас бюджет не позволяет его(((</t>
  </si>
  <si>
    <t>2010-05-04</t>
  </si>
  <si>
    <t>Забавно читать коментарии пользователей WM или Symbian будь то HTC или Samsung с Nokia. Все ваши великие смартфоны из-за не юзабильного тач скрина превращаются в набитые функциями куски г...а. Про удобство пользования я вообще молчу. А все те минусы или якобы отсутствующие функции говорят только о том, что вы ничего об iphone OS не знаете. Юзал HTC Diamond 2, Nokia N900, Samsung WiTu, не дешевые кстати телефончики, и все они рядом не валялись именно из-за удобства пользования. А убогие игрушки и программки на WM вообще смешны и нелепы. Можете и дальше защищать тут ваши убогие кирпичики опуская то, что по дурости не купили, или не разобравшись продали.</t>
  </si>
  <si>
    <t>2010-11-10</t>
  </si>
  <si>
    <t>Сегодня же поеду и куплю)))))</t>
  </si>
  <si>
    <t>2010-09-03</t>
  </si>
  <si>
    <t>Ужасно. Столько ожиданий - и такое разочарование.  Утешает одно - ждал для Xbox 360, но релиз задержали и поиграл в пиратку, денег не платил (а был ведь готов и больше 3 штук отдать за версию для бокса, если понадобилось бы)    Настолько узколобой и урезанной игры я не ожидал конечно. Лучше RDR куплю за те же деньги. Вообще, одни разочарования в последнее время: мафия 2, сплинтер селл, ад данте - все какое-то халтурно короткое и недоделанное.    Надеюсь, Фэйбл 3 не подведёт.</t>
  </si>
  <si>
    <t>2010-11-18</t>
  </si>
  <si>
    <t>уже два года пользуемся,отличная пароварка.готовим часто,просто супер!</t>
  </si>
  <si>
    <t>Оценка 5+!!</t>
  </si>
  <si>
    <t>Плеер прекрасный.  Звук замечательный.</t>
  </si>
  <si>
    <t>Ужаснейшая машинка, сама выбирает скорость стрижки, долго заряжает, дерет волосы, если одеть насадку, то вообще еле фурычит!!!</t>
  </si>
  <si>
    <t>2013-07-07</t>
  </si>
  <si>
    <t>Посмотрел на другие штативы...и этот приглянулся больше. Высокий, легкий, удобно носить с собой. Никаких проблем с ним нет) Всё в порядке. Советую всем начинающим))</t>
  </si>
  <si>
    <t>Купили,всё здорово, мелет всё, просто восторг.....Радость кончилась через месяц после окончания гарантийного срока....отказался работать более 1 секунды...отвезли в сервис Борк - вердикт "сдохли мозги на плате управления - новая плата целиком с работой ~6000".....  Хороший аппарат, но он не стоит этих денег, за гораздо большие деньги ..надёжность как у Скарлета или Трони....никакая !!!  Никому не советую !!  Но если кому-то очень хочется, то надо брать сразу с доп обслуживанием...</t>
  </si>
  <si>
    <t>2010-10-14</t>
  </si>
  <si>
    <t>Купили панель год назад, очень довольны качеством работы и функциональным наполнением.</t>
  </si>
  <si>
    <t>122</t>
  </si>
  <si>
    <t>1663</t>
  </si>
  <si>
    <t>Это не наушники..Это какие то макушники..  Пустая трата денег...</t>
  </si>
  <si>
    <t>2017-05-24</t>
  </si>
  <si>
    <t>Красивый</t>
  </si>
  <si>
    <t>1001</t>
  </si>
  <si>
    <t>758</t>
  </si>
  <si>
    <t>Ноут в своей категории ценовой просто супер, а если хотите мощный то придётся выложить 50 тысяч!!!!!Я покупала для инета и для курортов так как имею дома хороший компьютер.  Компьютер очень тонкий стильный, батарейка мощная       , динамик не тихий,не шумный.Всё устроило!!!</t>
  </si>
  <si>
    <t>1328</t>
  </si>
  <si>
    <t>Наушники меня изначально обрадовали. Звук более менее хороший, но не очень крепкая конструкция, как штекера, так и проводов и крышки на ушах, проработали 2 месяца и сломался один из наушников( Слетела крышка и все вывалилось)</t>
  </si>
  <si>
    <t>5170102</t>
  </si>
  <si>
    <t>Купила и решила проверить в действии, конечно на улицу на мороз не вывешивала, но результат приятный-залила кипяток в 18 час вечера и в 22 час следующего дня был горячим, вообщем довольна-красивый и удобный дизайн, ручка из нескользящего материала. Смело рекомендую, правда,несколько высоковата крышка, если сумка дорожная невысокая-будет торчать, хотя проверен в лежачем положении-проблем нет, не подтекает, все отлично, тем более сейчас идет по акции, не упускайте такую возможность.</t>
  </si>
  <si>
    <t>2012-02-05</t>
  </si>
  <si>
    <t>Приятный дизайн,лёгкий,мощная малютка.Брала за наличие диффузора и малого веса.Холодный воздух скорее тёплый и эту кнопку надо постоянно давить пальцем.На обычном режиме воздух слишком горячий,особенно на второй скорости,просто обжигающе-шквальный.</t>
  </si>
  <si>
    <t>Долго выбирал бритву (до этого было 2 филипса) последняя не очень понравилась с системой влажного бритья. Купил браун 7 серии выбором доволен, волосы не выдергивает, бреет хорошо, раздражений нет. рекомендую</t>
  </si>
  <si>
    <t>2517</t>
  </si>
  <si>
    <t>2015-03-29</t>
  </si>
  <si>
    <t>Хорошая хлебопечка. С хорошей корочкой, запах по всей квартире очень вкусный бывает.  Покупаю хлебные смеси с разными добавками и получается отличный хлеб)))). Запах пластика отсутствует.</t>
  </si>
  <si>
    <t>2012-11-08</t>
  </si>
  <si>
    <t>Купил матушке в помощь))Внешне очень понравился - металлический корпус, стеклянный блендер, мельничка для кофе, ну и терки, шинковки - стандартно!! Шумноват немного, но мама довольна. Теперь вот мясорубку просит этой же фирмы!)</t>
  </si>
  <si>
    <t>2010-06-07</t>
  </si>
  <si>
    <t>Нашей семье подарили соковыжималку этой модели. В тот же день опробовали и остались очень довольны! До этого пользовались другой за похожую цену, хорошей марки, но эта лучше. На 2-ой скорости жмых очень сухой. Сок получается чистым. Если вы хотите приобрести соковыжималку не для промышленных масштабов и ваша кухня имеет скромные размеры, то эта соковыжималка стоит того, чтобы на нее обратить внимание.</t>
  </si>
  <si>
    <t>2588</t>
  </si>
  <si>
    <t>Игра действительно хорошая,но для тех, кто любит симуляторы(в т. управление жизнью людей).  Лицензионная версия дает много преимуществ.</t>
  </si>
  <si>
    <t>2017-02-11</t>
  </si>
  <si>
    <t>цена,</t>
  </si>
  <si>
    <t>2010-08-05</t>
  </si>
  <si>
    <t>Разочаровался батарея держит не более 10 часов при выключенном  экране и полной громкости.</t>
  </si>
  <si>
    <t>910</t>
  </si>
  <si>
    <t>Мне очень понравился  1:он быстро нагревается  2:у него тефлоновая ткань:волосы не прилипают к утюжку,Очень быстро разглаживает волосы, даже большую прядь..  3:волосы блестящие,и не электрилизуются..(а у меня длинные и я блондинка)Всем рекомендую!!!Намного лучше утюжков за 4000тыс,и.т.д там всяких roventa...</t>
  </si>
  <si>
    <t>2013-07-25</t>
  </si>
  <si>
    <t>Получила тоже в подарок. Отличная вещь. Печь очень быстро на ней. Получаются ровные, красивые блинчики. Сынуля обожает их и всегда помогает их мне печь). Свекровь тоже хочет теперь такую. Надо будет подарить.)</t>
  </si>
  <si>
    <t>2012-04-02</t>
  </si>
  <si>
    <t>Замечательная соковыжималка! Покупайте, не пожалеете. Купили ее года четыре назад, сок выжимала каждое утро. Работает до сих пор. Сравнения были, эта соковыжималка не скрипит, не ломается.</t>
  </si>
  <si>
    <t>Мне он не понравился,порт для зарядки слабенький,ПО тоже вызывает раздражение,особенно эти глюки с плеером</t>
  </si>
  <si>
    <t>2623</t>
  </si>
  <si>
    <t>Суперская копия соковыжималки Braun ! я в полном восторге, за 1,5 минуты отжала 1,5кг моркови и яблок и намного дешевле. Даже не ожидала, что за такую цену можно купить такое качество! спасибо.</t>
  </si>
  <si>
    <t>2012-03-16</t>
  </si>
  <si>
    <t>Плюсы:  -хорошие глубокие басы;  -удобность при использовании(не жмут, сидят прекрасно и уши не потеют);  -чистый звук,высокие частоты хорошо слышно;  Минусы:  -тихий звук(в коментах выше тоже написано об этом,я читал на других форумах,говорят это возможно из-за того что шнур длинный)-думаю это главное разочарование.      А про шнур сказать нечего, пусть и длинный,но это это уже каждому решать нужен ли такой.</t>
  </si>
  <si>
    <t>2016-12-11</t>
  </si>
  <si>
    <t xml:space="preserve">Легкая (по массе), лёгкая в управлении даже в процессе непосредственного использования. Действительно помогает! не только ногам, но и прекрасна для подготовки ко сну - сон становится крепче. </t>
  </si>
  <si>
    <t>2015-08-23</t>
  </si>
  <si>
    <t>Мне все нравится в ней, лучше не бывает!</t>
  </si>
  <si>
    <t>2014-10-17</t>
  </si>
  <si>
    <t>Купили не так давно, нравится. Попросили включить в магазине,  сразу жарить начал. Плюсы данной модели: наличие пылевого фильтра, дисплей с приятной подсветкой и пульт ДУ, поворотно-вращательный механизм... Для такой цены, очень и очень неплохо!!! Особенно дистанционное управление с пульта, механической переключение все же не так удобно. Греет на максимальной мощности очень хорошо. Пищалка обычная, громкость средняя. Из минусов: нет датчика температуры. Хотелось бы, но за такую цену нельзя его требовать. Шумит конечно да, есть такое, но  не слишком сильно,  привыкаешь.  Даже слабее чем прошлый тепловентилятор.  В общем - рекомендую.</t>
  </si>
  <si>
    <t>шустрый, быстрый, мне очень понравился купил перед новым годом. До сих пор работает без глюков, к тому же в комплекте есть мышка и клава. Есть лишь один недочёт, из 4 гб ОЗУ отдает в пользования только 3 гб!!!!</t>
  </si>
  <si>
    <t>А мне не понравилась данная камера. Стабилизация отсутствует напрочь. Изображение трясется даже если стараться не трясти камеру. Если объект движется, изображение смазывается. Может кому эти обстоятельства и не мешают, но по мне, лучше снимает любой фотоаппарат и хуже камеры я не встречал, правда перед этой были только пленочные.</t>
  </si>
  <si>
    <t>106</t>
  </si>
  <si>
    <t>2011-06-06</t>
  </si>
  <si>
    <t>Мне подарили такой тостер на день рождения. Очень удобно им пользоваться, тосты по утрам - просто восторг. Теперь хочу приобрести такую модель в подарок сестре. На нем же еще и разогревать можно пищу.</t>
  </si>
  <si>
    <t>460</t>
  </si>
  <si>
    <t>2012-05-05</t>
  </si>
  <si>
    <t>Получила в подарок около года назад.Очень довольна,замечательные щипцы.Быстро нагреваются и быстро остывают,бережно относятся к волосам, очень удобный шнур!</t>
  </si>
  <si>
    <t>Рекомендую к покупке только после тщательного отслушивания нескольких экземпляров, правда консультанты неохотно это делают, поскольку упаковка блистер, а не коробка, т.е. вскрывается лишь один раз. А вообше, лучше присмотреть другую модель.  Плюсы - высокая детализация.  Минусы - первая, как и вторая пара, взятая на обмен, оказалась с дефектом. Видимо сказывается таиландская сборка. Первую пару поменяли сказу, в вот вторую уже не хотят, ссылаясь на то, что это не наушники HI-End, и ждать от них чего-то большего не стоит, так что думайте сами. Дефект заключается в дребезге мембраны на уровнях выше среднего в басовой области. Причем, на первой паре дребезжало левое ухо, на второй - правое.  P.S. Хочу обратить внимание, что наушники имеют сопротивление 70 Ом, а это означает, что не каждый плеер раскачивает их до достаточной громкости.</t>
  </si>
  <si>
    <t>2015-10-29</t>
  </si>
  <si>
    <t>Куплен в декабре 2013 года. Очень слабая мощность всасывания для такой Цены.Сломался пластик на основной щётке в месте крепления к трубе!В три раза дешевле можно купить отличный LG без мешка для пыли,со стальной трубой и мощностью всасывания в 4 раза больше.</t>
  </si>
  <si>
    <t>Увидел в инете про акцию, и стал выбирать между Zanussi ZDTS 102 за 11990р, Zanussi ZDTS 300 за 15830р.  Electrolux ESL 45010 за 15700р. и Bosch SRV 33 A13 за 15830р. Машинки других фирм я сразу отсеял, т.к. про них не очень хорошие отзывы в инете (я не имею в виду именитые-дорогущие марки).   Естественно Zanussi 102 привлекла своей ценой, смущало только одно, что у неё только одна кнопка выбора программ. Немного подумав, решил всё-таки её купить. Установив и попробовав её в деле, я понял, что это не недостаток, а преимущество! Теперь не понимаю зачем нужно много кнопок. Просмотрев все режимы, остановился на одном оптимальном и пользуюсь только им, причём последний использовавшийся режим сохраняется в памяти. При каждом включении сразу загорается "мой режим", мне остаётся только разложить посуду, засыпать средство и закрыть дверцу, ВСЁ -КРАСОТА!  Достоинства: +не дорогая               +хорошо моет посуду               +хорошо сушит               +простая в управлении  Недостатки: -немного шумновата              -нет отсрочки запуска (кому нужно).  Во многих отзывах пишут, что "отделение для таблеток после мойки всегда открыт". Так и должно быть! Это всё нормально!  На счёт надёжности про эту машинку пока сказать ничего не могу, т.к. купил её несколько дней назад. Но пока очень доволен!!!</t>
  </si>
  <si>
    <t>Очень хороший телефон, Удобное меню,связь хорошая - не прерывается, ловит везде без помех,зарядки хватает на долго, есть синхронизация со стационарным телефоном (базой), и даже время сам выставляет при наличии аон, звонки громкие - не навязчивые.Очень удобно что есть база и радио трубка (при отключении питания база работает как обычный телефон).Работает полгода-нареканий нет. В общем достойный аппарат- удобен, практичен, надежен.</t>
  </si>
  <si>
    <t>2016-08-22</t>
  </si>
  <si>
    <t>Чудо-вентилятор - стоит на столе, обдувает. Скорости две, но вторая лично мне даже не требуется - хватает и минимальной. Звук от работы не раздражает - не громкий. И места на столе практически не занимает.</t>
  </si>
  <si>
    <t>Купил вчера по акции!до этого был Томносон(диагональ как у самсунга)И покупкой доволен!Из маленьких недостатков:не очень понравился звук-для прослушивания и просмотра новостей нормально, но для прослушивания музыки и просмотра фильмов -придётся покупать акустику,в телевизоре преобладают высокие частоты - и при регулировке средних частот-качество звука становится как из ведра!Что касается изображения -то оно тоже на 4ку!на большинстве каналов какая-то рябь!она в принципе не очень мешает -но человеку свойственно хотеть самого лучшего!(думаю если подключить цифровое тв, то рябь исчезнет)!   В итоге - за 12 000 думаю в магазинах найти практически невозможно!если кто-то хочет что-то лучшего с такой диагональю, то возьмите с собой 25-30 тысяч и вперёд в магазин!за такие деньги с такой диагональю уже можно ждать чего-то отличного!</t>
  </si>
  <si>
    <t>2014-09-04</t>
  </si>
  <si>
    <t>Купила кофемашину домой, готовим по 6-8 чашек кофе в день, все нравится, теперь дома можно насладиться вкусным капучино. Спасибо консультанту!</t>
  </si>
  <si>
    <t>2012-05-04</t>
  </si>
  <si>
    <t>Пользуемся уже около года. Все устраивает, никаких сбоев в работе не была за весь срок использования. Выглядит прекрасно и цена приемлемая.</t>
  </si>
  <si>
    <t>1492</t>
  </si>
  <si>
    <t>2011-03-26</t>
  </si>
  <si>
    <t>Отличный будильник.не ненавижу его, как свои предыдущие=) музыка на нем нормальная и светит не сильно ярко, что тоже важно. температуру показывает - тож удобно, я довольна.</t>
  </si>
  <si>
    <t>Это просто чудо! Как в парикмахерской, только намного больше преимуществ:  - вы знаете, что этой машинкой не перестригли полгорода - очень гигиенично;  - вы можете воспользоваться машинкой в любое время дня и ночи;  - машинка очень быстро себя окупает    И, конечно же, стричь ей одно удовольствие, она очень проста в эксплуатации и очень хорошо справляется с поставленной задачей.</t>
  </si>
  <si>
    <t>2017-05-01</t>
  </si>
  <si>
    <t>Быстрый нагрев, длинный шнур, который вращается, очень хорошо выпрямляет и завивает волосы</t>
  </si>
  <si>
    <t>2012-05-02</t>
  </si>
  <si>
    <t>Отличная вещь! Пользуюсь пол года. Проблем нет. Кухня маленькая поэтому пришлось брать две комфорки, но и их хватает с головой, семья из трёх человек. Качество супер! Электрозажигание комфорок, защита от случайного поджига тоже радует т.к. в доме маленький ребёнок, один раз не усмотрел и закипели макароны и залили огонь, газ перекрылся автоматически! Рекомендую!</t>
  </si>
  <si>
    <t>1102</t>
  </si>
  <si>
    <t>2014-06-19</t>
  </si>
  <si>
    <t>Игра улёт, можно двоими людьми играть!</t>
  </si>
  <si>
    <t>1696</t>
  </si>
  <si>
    <t>2010-10-13</t>
  </si>
  <si>
    <t>Майкрософт молодцы !!! брака больше уже не делают начиная с джасперов, а это новая валхала вообще гореть не будет.. новый дизайн супер, жосткий диск 250гб вай-фай, отличные игры..  Скоро открытия сервиса хбох лайв в России.. продал свою сони буду брать хбох игр реально больше чем у сони и как мультиплатформа намного лучше (игры выпущение на хбох и сони всегда на боксе круче смотрелись)..  Короче сони проигрывает и это факт.. а новые джойстики вообще супер у них креставина вперёт выдвигается для большего удобства (джои у бокса и так круче чем у сони, а тут ещё улучшение это отрыв, что тут скажешь)..</t>
  </si>
  <si>
    <t>2017-04-11</t>
  </si>
  <si>
    <t>Про розетки позабавило, учитывая что даже здесь на сайте в характеристиках рабочий ток идет просто первой строкой:) Ну ладно, по делу, брали аппарат в офис, отличная вещь за свои деньги, работает круглый год, ведь есть режимы и охлаждения, и обогрева, есть еще режим "осушение", но его мы практически и не использовали, так для интереса и ознакомления включали. В аппарате есть возможность заливки воды, что увеличивает охлаждающий эффект, уменьшает расход электроенергии и делает работу аппарата менее шумной, хотя в офисе нареканий на шум от аппарата я не слышал, обычные разговоры, гудение компьютеров и прочие звуки с легкостью его заглушают, так что получается довольно низкий уровень шума при большой мощности. Имеет воздушные фильтры, поэтому не просто "гоняет" воздух, но и очищает его. Зимой в режиме обогрева он с одной стороны нагревает помещение, а с другой стороны не пересушивает воздух в нем - дышать легко и приятно. В очистке, как и в эксплуатации он довольно прост, очисткой занимаюсь не я, но видел со стороны как разбирали и мыли - все предельно просто. Хороший аппарат за свои деньги.</t>
  </si>
  <si>
    <t>Недавно стал обладателем этой машины, до этого была узкая Самсунг которая отработала 10 лет без всяких проблем, но увы у всякой техники есть предел. Вот и пал мой выбор на полноразмерную Сименс.Выбирал по многим параметрам: качество,цена,дизайн всё это оказалось в этой машине, качество-чистый немец, цена адекватная, дизайн супер. При первой стирке(плед 2Х2) машина справилась с поставленной задачей на 5+ стояла как вкопанная, при стирке не слышно как работает двигатель, очень малошумная при отжиме, соблюдение времени программы стирки (не добавляет время). В общем минусов вообще не заметил. Рекомендую данную машину все кому нужна очень хорошая техника. Отдельно спасибо службе доставки М.видео, привезли оперативно.</t>
  </si>
  <si>
    <t>2010-12-21</t>
  </si>
  <si>
    <t>Подарили родные на юбилей. Давно мечтала о таком санитаре воздуха, т.к. мучаюсь аллергией. Сначала не могла вытащить диски, чтобы помыть, потом приноровилась. Оказалось, что чистить мой аппарат совсем и нетрудно. А воздух действительно несравним с тем, когда увлажнитель не включен. Мне еще что нравится, что не надо что-то менять, покупать новые фильтры. Шумит немного, ну так у меня за окнами такая автомагистраль, что это даже не шум.Я бы всем астматикам и аллергикам советовала купить, на здоровье не экономить.</t>
  </si>
  <si>
    <t>Аппарат хорош всем, только от камеры ждал большего. Не вызывают нареканий только снимки, сделанные в условиях хорошей освещенности в солнечную погоду. В помещении качество снимков посредственное даже со вспышкой, фотографии получаются тусклые. Снимки, сделанные на архаичном Samsung Wave2 в сравнении выглядят значительно лучше (светлее). Аппарат долго фокусируется, мгновенных снимков не ждите. Если фотографируемый объект двигался во время съемки - изображение получится смазанным.</t>
  </si>
  <si>
    <t>Работает превосходно, жаль, что стекло греется и внутренней подсветки нет, а так все Ок.</t>
  </si>
  <si>
    <t>2007</t>
  </si>
  <si>
    <t>Пашет пол года как проклятый по 15 ч. в сутки. Поставил GPS модуль вообще убойная вещь стала. Просто обращаться с магнитолой нормально надо!</t>
  </si>
  <si>
    <t>2090</t>
  </si>
  <si>
    <t>2012-03-11</t>
  </si>
  <si>
    <t>Мясо рубит хорошо, если на половину чашу заполнять. Рубленные котлеты достойными получаются.  Вообще, если чашу не заполнять до упора, то всё гуд.</t>
  </si>
  <si>
    <t>2012-11-28</t>
  </si>
  <si>
    <t>При выборе тостера не сомневался ни на минуту, у меня уже есть не большая коллекция из техники борк. Работает уже несколько месяцев, но я не могу им наиграться, особенно функцией плавного лифта, прям завораживает - нажал на кнопку и тост плавно пояился и изчез. Вобще работает хорошо, пока не подводил, всем советую.</t>
  </si>
  <si>
    <t>1061</t>
  </si>
  <si>
    <t>Классная вещь...работает на ура...единственный косяк пока только нашел с блютузом он вроде как включается а толку от него нет...а так если по мелочам придираться то могу добавить что клавиатура прям игрушечная давишь на кнопки аж вся клавиатура прогибается=)...и еще одна мелочь то что сидиром и правда какой-то не такой,бурчит постоянно на меня издавая непонятные звуки=)...а вообще клевый бук...да и дизайн классный у него, из своей ценовой категории только HP Pavilion DV6 уступает...</t>
  </si>
  <si>
    <t>2009-11-03</t>
  </si>
  <si>
    <t>Меня ноутбук устраивает во всем, кроме операционной системы. Висте явно не хватает ресурсов. Правда у Майкрософт программа по замене Виндоуз Висты на ИксПи. Подробнее здесь:    &gt;&gt;&gt; http://www.microsoft.com/rus/windows/vistatoxp/default.html    Буду отправлять заявку на замену, тем более, Майкрософт уже признала Висту "неудачной" операционной системой.  Из неточностей в описании(спецификации) можно выделить две вещи:  - в ноутбуке стоит Виста Бэйсик, а не Премиум  - блютуз оборудования в нем нет.</t>
  </si>
  <si>
    <t>Чайник отличной. Слабым звеном является пластиковый индикатор, который со временем трескается и протекает. Но хватает его на 4-5 лет) После поломки первого, купили точно такой же.</t>
  </si>
  <si>
    <t>1968</t>
  </si>
  <si>
    <t>2016-02-24</t>
  </si>
  <si>
    <t>У меня довольно быстро сломалась. И пластмасса и сеточка. Хотя цена машинки средняя. Теперь куплю только более дорогую Maxwell</t>
  </si>
  <si>
    <t>2013-06-06</t>
  </si>
  <si>
    <t>Отличный кондиционер, все блоки работаю тихо (наружный вообще не слышно, внутренний только слышен, как воздух выходит и все, легкое шептание при самом сильном обдуве). Дом кирпичный и монтировали без резиновых подставок под внешний блок, монтажник сказал, что они не нужны, т.к. после зимы они утратят свою функцию и будет греметь. Все зависит от качества монтажа, а также от самого кондиционера конечно, если нет брака. Что пишут плохие отзывы, это следствия монтажа и качества самого кондиционера. Это мое мнение. Я очень доволен приобретением данной маркой и его работой.</t>
  </si>
  <si>
    <t>Уже ранее писала, что образовывается конденсат. Плиту мы поменяли. Решили взять такую же , проблема осталась. В этот раз сказали отдать в ремонт, отдали, мастера разводят руками. При открывании вода сразу же попадает на кухонную мебель.</t>
  </si>
  <si>
    <t>2016-08-29</t>
  </si>
  <si>
    <t>Плюсы: компактная, удобна в обращении, не коксует кофе под ножом  Минусы: разве что чуть шумновата  Общие впечатления- работает около 6 лет. Ежедневно по 2-3 раза с месячным помолом около килограмма зерна. На сегодня, с учётом отпусков и прочих отсутствий по моим подсчетам намолото около 70 кг) читайте инструкцию, обращайтесь аккуратно и да будет вам кофейное счастье.</t>
  </si>
  <si>
    <t>2013-09-22</t>
  </si>
  <si>
    <t>Через год пластик крышки начал терять вид, через 1,5 года потёк.</t>
  </si>
  <si>
    <t>518</t>
  </si>
  <si>
    <t>2015-09-12</t>
  </si>
  <si>
    <t>супер штучка)  я сама не могла открыть банку ,теперь мне не нужна чья та помощь) и ножи точит на ура.. советую</t>
  </si>
  <si>
    <t>2013-03-24</t>
  </si>
  <si>
    <t>Отличный обогреватель, очень довольны, быстро нагревает и служит уже второй сезон!</t>
  </si>
  <si>
    <t>W902 это хороший телефон,его особенности это громкая музыка и камера 5.0, он даже лучше чем n82 и n95, но жалко нет вай файф</t>
  </si>
  <si>
    <t>1979</t>
  </si>
  <si>
    <t>Купила сегодня,в восторге!!!отличная вещь!Подмышечные впадины и глубокое бикини-наголо! Почти без боли и не оставляет волосков!</t>
  </si>
  <si>
    <t>Отличная духовка! Пользуюсь 3 года с удовольствием! Пеку часто и много, всегда радует результат, за небольшие деньги очень много функций и стильный внешний вид!</t>
  </si>
  <si>
    <t>1079</t>
  </si>
  <si>
    <t>2012-11-14</t>
  </si>
  <si>
    <t>Купил 2 дня назад, звук хороший, подушечки мягкие, вообщем доволен, хотя перед этим долго выбирал и наткнулся на эти, берите не пожалеете, могут быть браком, но цена успокаивает) Звук тоже хороший, не сильно громкие, но и не сильно тихие.</t>
  </si>
  <si>
    <t>1672</t>
  </si>
  <si>
    <t>2017-06-17</t>
  </si>
  <si>
    <t>Быстро греет</t>
  </si>
  <si>
    <t>326</t>
  </si>
  <si>
    <t>2011-09-13</t>
  </si>
  <si>
    <t>Сегодня купили эту соковыжималку. Сразу заехали, купили моркови, апельсинов, сливок. Уже выдули по два стакана наивкуснейшего сока, мужу, детям понравилось. А уж мне то как понравилось: вкусно и полезно, не так дорого, как в магазине, а еще все детали отмыла посудомойка - со всех сторон красота.  Да, и жмых был сухой.</t>
  </si>
  <si>
    <t>Удобное управление, отличный дизайн, легко понять инструкцию на русском языке, известная японская фирма, я люблю все готовить в микроволновке и у нее большой внутренний объем и блюдо побольше чем у др микроволновок с такими же габаритами. Еще только недавно купили, попользуемся подольше и напишем о результатах позже. Пока что можно сказать, что кнопки послушные, только звуковой сигнал напоминает сигнал отключения бесперебойника и немного пугает каждый раз. вентилятор не шумный. Готовит по мощности и времени установленном вручную - отлично. Запрограммированными программами еще не пользовались.</t>
  </si>
  <si>
    <t>Немного шумная</t>
  </si>
  <si>
    <t>Я считаю его удачной покупкой. Пользуюсь им месяц и очень довольна, не думала, что можно так просто и быстро выпрямить мои кудрявые волосы. Всем удачных покупок.</t>
  </si>
  <si>
    <t>Чайником Bork K800 пользуемся больше года, и за все это время еще ри разу не пожалели о потраченных на покупку деньгах. Во-первых, благодаря большой мощности, вода закипает довольно быстро, и к тому же есть возможность еще в течение 20 минут поддерживать воду горячей. Температуру также можно поддерживать на разном уровне, например, для заваривания зеленого чая ставим не самый кипяток - так вкус получается самый правильный. Интересно сделана также технология снижения шума во время закипания. По крайней мере, в утренней спешке шум не раздражает и не мешает остальным домочадцам.  Плюсы: быстрое кипение, выбор температуры, низкий уровень шума</t>
  </si>
  <si>
    <t>2012-12-03</t>
  </si>
  <si>
    <t>По поводу освещения полностью согласна. Но для меня еще минус в том, что зеркало не на ножке и получается, что всегда приходится наклоняться, чтобы посмотреть. А так все устраивает.</t>
  </si>
  <si>
    <t>2009-12-02</t>
  </si>
  <si>
    <t>Покупал с целью использовать его для просмотра кабельного и фильмов с компа через HDMI. C HDMI была пара засад, первая на дешевом кабеле при разрешении 1920х1080 двоила картинка вертикальными полосами. Пришлось брать кабель philips ревизии 1.3, обошелся в 1800р за 3м. На нём всё нормально. Далее в родном разрешении мелкий текст был не читаем и смотрелся довольно мерзко из-за резкой окантовки вокруг граней контрастных объектов. Лечится как выяснилось танцем с бубнами в меню настроек изображения в телевизоре. Точно не помню, что отключил и что крутил, кажется там есть пункт что-то типа "контрастные грани" или типа того. Ну а так, фильмы 1080р, сжатые до 8-10 гигов выглядят просто фантастически. Подтащите к телеку активный саб и будет почти кинотеатр )</t>
  </si>
  <si>
    <t>1382</t>
  </si>
  <si>
    <t>2010-07-14</t>
  </si>
  <si>
    <t>Неделю уже работает, очень довольны. Охлаждает быстро, работает тихо. Фильтр есть, съёмный который надо мыть  примерно 1 раз в месяц.</t>
  </si>
  <si>
    <t>2387</t>
  </si>
  <si>
    <t>Проработала 1,5 года и всё накрылась! Срок службы написан: 3 года в книжке. Печаль!</t>
  </si>
  <si>
    <t>2010-10-01</t>
  </si>
  <si>
    <t>Весы отличные, и цена хорошая. Показывают точно. В магазине взвешивалась на разных весах. Стеклянные весы показывают не точно.(разница на 1 кг) А эти показывают точно, и легкие по сравнению со стеклянными.Батарея входит в комплект. Покупала в М. Видео.</t>
  </si>
  <si>
    <t>2010-05-22</t>
  </si>
  <si>
    <t>Соотношение цены и характеристик комплектующих очень порадовало,а 64х битную операционку сам поставлю.</t>
  </si>
  <si>
    <t>2012-12-28</t>
  </si>
  <si>
    <t>Вчера сгорели ТЭНы, НО !!! мы им уже пользуемся, боюсь ошибиться более 4 или 5 лет. За все время использования только положительные воспоминания, единственное - последнее время он стал шумновато работать, но с другой стороны надо пологать за такой -то срок службы :) Так что очень рекомендую!</t>
  </si>
  <si>
    <t>я таким чайником пользуюсь уже полтора года и претензий к данному товару у меня нет, после нас знакомые купили такой же чайники</t>
  </si>
  <si>
    <t>2015-04-04</t>
  </si>
  <si>
    <t>Жене очень понравился набор, брали в 2014, сейчас о стоит дороже. Единственный косяк был в том, что потрескался пластик на ручках</t>
  </si>
  <si>
    <t>2011-04-26</t>
  </si>
  <si>
    <t>Игры, входящие в комплект РУСИФИЦИРОВАННЫ????</t>
  </si>
  <si>
    <t>2014-03-22</t>
  </si>
  <si>
    <t>Пылесос супер!!!! Дизайн и мощность отличная! Ребенок спит, даже тогда когда я пылесошу.Все довольны.Советую всем!!!</t>
  </si>
  <si>
    <t>3</t>
  </si>
  <si>
    <t>Игра шикарная! Купил её ещё 19 декабря прошлого года в день релиза. Тем кто ещё не играл, НАСТОЯТЕЛЬНО РЕКОМЕНДУЮ купить! Идеальна практически во всём!</t>
  </si>
  <si>
    <t>Давно с женой хотели купить хлебопечку, купили сегодня.Дома испекли простой белый хлеб, рецепт из руководства по эксплуатации взяли. Хлеб получился очень вкусный, хорошо пропечённый с золотистой корочкой. Печка очень понравилась.</t>
  </si>
  <si>
    <t>1213</t>
  </si>
  <si>
    <t>Порадовали наушники. Быть может, многовато баса, но и средние, и высокие достойно слышно, звук сбалансированный, без сильных перекосов ("цыканий" и "буханий"). Довольно большие, поэтому не знаю, как подойдут людям с маленькими ушами, в моих больших сидят отлично)  Звукоизоляция хорошая, в автобусе и на оживлённой улице слышно исключительно музыку, в метро не тестил за неимением оного в городе))    Выглядят эффектно, похожи на пули с выходящим из них плетёным кабелем в силиконовой обёртке. Этакий аксессуар в стиле милитари явно на мужскую аудиторию. Кабель внушает доверие, но небольшое опасение внушает соединение с джеком. Так как провод жесткий, а джек маленький, но с большим отверстием под кабель, есть риск перегиба, поэтому рекомендую поаккуратнее. А в другом месте вряд ли оборвутся.    Комплект оригинальный, инструкция по размерам вообще постер напоминает, в неё завернут джинсовый мешочек с наушниками, который можно потом использовать как чехол для плеера, в комплекте 3 вида насадок, но "ёлок" нет, к сожалению, хотя и в средних звук вполне удобоваримый. В общем, для данной ценовой категории рекомендую.   Эффектно как по звуку, так и по дизайну.</t>
  </si>
  <si>
    <t>2010-02-12</t>
  </si>
  <si>
    <t>Нет в комплекте сопл для сжиженного газа, а в остальном всё отлично.</t>
  </si>
  <si>
    <t>2014-02-18</t>
  </si>
  <si>
    <t>Купила сегодня этот фен, уже опробовала, и очень довольна покупкой! Сушит быстро, волосы гладкие, очень удобный дизайн!</t>
  </si>
  <si>
    <t>2013-05-14</t>
  </si>
  <si>
    <t>Сначала очень рада была своей покупке. Но когда через несколько использований увидела на дне круглые пятнышки ржавчины - была удивлена и поражена. Вода исключительно минеральная из природных скважин. Так в чем же дело?? Купила средство в магазине Bork. Его хватило на 2 раза. Друзья посоветовали кипятить лимонную кислоту - это действительно помогает. И теперь регулярно, раз в неделю, проделываю эту процедуру. Спасибо Bork, заботитесь о ваших клиентах!</t>
  </si>
  <si>
    <t>2015-02-12</t>
  </si>
  <si>
    <t>4 насадки казалось  многовато, но в итоге пользуюсь всеми. Насадка большого диаметра делает красивую укладку, а маленький диаметр великолепно подошел для челки. Минус, лично для меня, то что на холодном воздухе круглая расческа не вращается, важно для закрепления прически. Но все равно спасибо большое Babyliss за столь чудесный прибор для укладки</t>
  </si>
  <si>
    <t>отличная пароварка!!!подарили маме на день рождения!!ее счастью нет предела!!и нас удивляет кулинарными шедеврами!!!</t>
  </si>
  <si>
    <t>Крутая игра!!!!!!!!!!!!!!</t>
  </si>
  <si>
    <t>1911</t>
  </si>
  <si>
    <t>Такое ощущение, что его на клей карандаш клеили  и 500Вт там не пахнет</t>
  </si>
  <si>
    <t>3064</t>
  </si>
  <si>
    <t>Мойка работает у меня уже третий год. Качество мытья удовлетворительное. Но не надо в нее ставить посуду с засохшими кусками еды, либо ,если долго копите мытьё, делайте предварительное ополаскивание. Правильно выбирайте настройку ополаскивателя. И самое главное правильно располагать посуду в машинке - и будет Вам счастье!</t>
  </si>
  <si>
    <t>Вот я и купила, причем основной причиной покупки стал "невероятный" срок службы батареи. Батареи хватило на 1,5 дня, при условии, что разговаривала за это время 2 раза минут по 10 не более. Может неудача меня постигла и телефон не хороший попался, а может и не выполняются заявленные характеристики, отдала телефон на экспертизу и жду.</t>
  </si>
  <si>
    <t>Фен отличный! Всем советую! Пользуюсь феном больше 7-ми лет. Если, вдруг, уезжаю куда без него, то остаюсь, как без рук...)))</t>
  </si>
  <si>
    <t>После двух мертвых боксов все таки взял PS3. Господи, почему я не купил ее раньше..</t>
  </si>
  <si>
    <t>Дизайн, качество удаления волос</t>
  </si>
  <si>
    <t>2894</t>
  </si>
  <si>
    <t>2010-11-04</t>
  </si>
  <si>
    <t>купил вчера очень доволен хорошая приставка и качество тоже!!!!!!)</t>
  </si>
  <si>
    <t>Купил за 3990.  С первых же минут порадовал качеством, все детали сделаны хорошо не каких претензий.  Собирается и разбирается отлично.  Все детали подогнаны, так что негде не пропускает воздух.  Длинная, удобная ручка. Порадовала турбо-щетка, которая в комплекте. Она не просто вычищает она выбивает ковер так что не оставляет пыли, волос и мелкого мусора.   Мощность всасывания шикарная (от линолеума еле оторвать) Но это я считаю большой плюс. Пользуюсь 1 день, время покажет, что с фильтрами и эксплуатацией.   Соотношение цены и качества отличные. За такую цену, скорее всего нельзя найти, что-то лучшее.   Рекомендую всем. Очень доволен!</t>
  </si>
  <si>
    <t>2014-10-26</t>
  </si>
  <si>
    <t>Бреюсь вторую неделю. Бреет мягко очень нравится. До этого была philips не с круглыми головками, а с плоской. Эта мне нравится больше.</t>
  </si>
  <si>
    <t>2016-06-21</t>
  </si>
  <si>
    <t>Кофемолкой пользуюсь уже больше года.   К плюсам можно отнести, то что она компактная, много места в шкафу не занимает.   Зерновой кофе мелет просто великолепно, благодаря наклонному донышку и острым лезвиям крупных кусочек зерен не остается. Одну закладку зерен мелет меньше чем за 30 секунд.    Минусов пока не обнаружила.   Такую же кофемолку взяла маме в подарок, всем советую.</t>
  </si>
  <si>
    <t>3121</t>
  </si>
  <si>
    <t>Греет быстро,вода долго остаётся горячей.</t>
  </si>
  <si>
    <t>Динамики играют классно.Всем рекомендую,однако при установке в штатные места могут возникнуть проблемы ввиду большого магнита.</t>
  </si>
  <si>
    <t>Чайник купили около 2-х месяцев назад. Чайник в принципе хороший,только вот из минусов-пару раз автоматически не отключался! В остальном одни плюсы!</t>
  </si>
  <si>
    <t>1393</t>
  </si>
  <si>
    <t>2009-11-09</t>
  </si>
  <si>
    <t>отличный аппарат на просмотр стандартного сигнала спутника, кабельного, антенны .</t>
  </si>
  <si>
    <t>2009-10-09</t>
  </si>
  <si>
    <t>Пока лучшая игра, в которую я играл!</t>
  </si>
  <si>
    <t>Кому нравится мучиться с руководством пользователя, которое идет на диске и просто на распечатке, это для вас. Руководство пользователя просто ужасное!  Пытался вручную настроить каналы - ужас просто. Нет возможности сохранить каналы в нужном мне порядке вручную.  Пришлось воспользоваться функцией автоматической настройки, а потом вручную сортировать. Заняло целый час.  На самом телевизоре наклейка - LED Backlit - это что-то диодной подсветки сзади телевизора. Подсветку я не нашел.  Угол обзора не очень-то и большой.  Картинка в целом нормальная, яркая. Есть функция автоматического приглушения яркости в зависимости от освещения в комнате</t>
  </si>
  <si>
    <t>пользуемся пока месяц. Все отлично,горелки супер,все нагревается в разы быстрее,чем на газовой обычной.Очень стильно смотрится!  изначально хотели именно стеклянную поверхность плюс качество и чугунные решетки  единственный недостаток-видны пятна и подтеки воды...но это же черный цвет и стекло,надо просто чаще мыть и все будет красиво!!!  Рекомендую.</t>
  </si>
  <si>
    <t>2011-08-18</t>
  </si>
  <si>
    <t>Решил остановиться на Самсунге и как всегда не прогадал.Реально полезная вещь.У нас дома водомеры стоят,так расход воды после покупки машины уменьшился, по э/энергии расход практически не увеличился.Подключал сам,никаких особых навыков это не требует.Стирает хорошо,жена довольна.После извлечения из коробки без всякой подкрутки ножек машинка встала монолитом, при 1000 оборотов едва заметные вибрации,я очень доволен-рекомендую!</t>
  </si>
  <si>
    <t>тв включил, настроились все каналы, потом телек выключился. Диод на тв погас. Не реагировал ни на что. Минут через 10 диод загорелся. Тв включился с пульта. МИнут через 5 выключился. всё. больше диод не горит, тв не работает. Отключал питание, включал питание, результата нет. Тв не включается.   Везти в магазин обратнО?!</t>
  </si>
  <si>
    <t>2016-01-17</t>
  </si>
  <si>
    <t>Отвратительные весы. Врут на любой поверхности ...</t>
  </si>
  <si>
    <t>Данную панель приобрели пару месяцев назад и остались очень довольны...Шикарный дизайн,  легко моется, не остается пятен на поверхности, очень умная, проста в и понятна в использовании, нагревается моментально примерно секунд за 6-9 до полного разогрева, есть таймер и прочие прибамбасы, страна изготовитель Словения,  советую всем, берите даже не смотря на цену не пожалеете ни разу.</t>
  </si>
  <si>
    <t>У моего друга, кажется, такая стоит уже несколько лет. Единственное, что можно сказать,  - это просто микроволновка. Она просто выполняет то, что от неё требуется, то есть разогревает.  Они активнее всего используют функцию "Быстрый старт" (кажется так?). Теперь в свою квартиру, думаю, стоит взять такую же. без выкрутасов, только чтобы разогревать и размораживать. А что ещё нужно от микроволновки?</t>
  </si>
  <si>
    <t>2011-02-05</t>
  </si>
  <si>
    <t>Сегодня купил в Мвидео, все устраивает, не глючит.а в будущем посмотрим...поставил флеш на 2гига и все нормально...только жаль не все видио читает.....а так все супер советую брать именно этот плеер!!!</t>
  </si>
  <si>
    <t>он мне очень понравился</t>
  </si>
  <si>
    <t>2221</t>
  </si>
  <si>
    <t>Отличная вещь!  Удобная в эксплуатации, работает идеально!  Уже год как приобрели, не нарадуюсь!</t>
  </si>
  <si>
    <t>Нуууу, раз еще и такие положительные отзывы о ноуте, то беру стопроцентно, бук и на вид и по параметрам оочень понравился, только вот в марке сначала сомневался, но сейчас вижу что все окей. Спасибо за отзывы.  И еще одно, хотелось бы поподробнее узнать насчет драйверов для XP, если я буду переустанавливать. Дайте кто то ссылочку пожалуйста..)</t>
  </si>
  <si>
    <t>2017-06-04</t>
  </si>
  <si>
    <t xml:space="preserve">Цена. Дизайн. </t>
  </si>
  <si>
    <t>2014-03-01</t>
  </si>
  <si>
    <t>Холодильник очень понравился. Работает бесшумно практически.</t>
  </si>
  <si>
    <t>Пользуюсь больше года. Отличная модель. Подача пара великолепная, не только из носика, как сообщала девушки из пред. комментариев. А как может сыпаться подошва-вообще не представляю.....)))</t>
  </si>
  <si>
    <t>Прекрасная вещь! Очень довольна. Измельчает и мешает моментально! Хорошая экономия времени на кухне! Пользуюсь полгода. Супер!</t>
  </si>
  <si>
    <t>Игорь, несите в гарантию, она на асусы 2 года, если брали сертификат М. Видео, то в магазин. У меня ноут работает с декабря 2009, жалоб нет. Это был самый лучший подарок на новый год)Сейчас тоже работает как часы, ток привык я к нему уже, столько радости, как зимой, когда садишься, уже нет)</t>
  </si>
  <si>
    <t>2017-07-03</t>
  </si>
  <si>
    <t>надежная,сделана добротно на вид,мощно.</t>
  </si>
  <si>
    <t>1272</t>
  </si>
  <si>
    <t>Супер телек!!!всем советую!!!!</t>
  </si>
  <si>
    <t>Нормальный усилитель, покупал больше года назад. Все работает до сих пор, в связке с Sony XS-GTX150 LE. Значение на усилителе стоит 6 ДБ, есть еще 12, но чересчур. Долбит очень сильно, если бы знал - собрал бы комплект послабее :-), в авто звуке не участвую.</t>
  </si>
  <si>
    <t>283</t>
  </si>
  <si>
    <t>Многофункциональна, компактна, ничего лишнего, кнопочки не мешают, т.к. утапливаются в корпус. Микроволновка в духовке!!! теперь освободилось место на столешнице для другой техники. Прям не нарадуюсь.</t>
  </si>
  <si>
    <t>2015-08-28</t>
  </si>
  <si>
    <t>Купила сестре в подарок. остались очень довольными.</t>
  </si>
  <si>
    <t>1404</t>
  </si>
  <si>
    <t>2011-01-08</t>
  </si>
  <si>
    <t>вчера купили телек, качество прекрасное,минус в том что над экраном виснет полоса во время переключения.</t>
  </si>
  <si>
    <t>2047</t>
  </si>
  <si>
    <t>2012-11-11</t>
  </si>
  <si>
    <t>Приобрела мини-печь в интернет-магазине, нисколько не жалею! Обжаривает равномерно со всех сторон, не требует переворачивания продуктов, корочка румяная. Причем печь очень проста в использовании-выбираешь температуру, режим, ставишь таймер на определенное количество времени и занимаешься другими делами. Но есть один небольшой нюанс-при включении печи в первый раз она немного задымила, но потом все прошло и сейчас таких нюансов больше не возникает, это обычно такое бывает у новых духовок и печек.</t>
  </si>
  <si>
    <t>Телик супер, с флешки фильмы можно смотреть, только фото не показывает.Я скинула с компа, фотки делала на тел нокия N73, но телик пишет формат не поддерживает, в остальном просто классссс</t>
  </si>
  <si>
    <t>Отличные уши... на средней громкости перестаешь абсолютно слышать посторонние звуки...</t>
  </si>
  <si>
    <t>НАРУШЕНА ЦВЕТОПЕРЕДАЧА в сторону синего цвета.  Калибровка цвета средствами контрольной панели не дает желаемого результата. Изображение становится блеклым.  Что это? Дефект матрицы или видеокарты.  Это нарушение наблюдается у всей линейки HP PAVILION DV6? У меня HP PAVILION DV6 2112ER видеокарта Radeon 4650.</t>
  </si>
  <si>
    <t>Купил ребенку на день рождения- 10 лет. Прошивка 6.20 легко ставится виртуальная прошивка на 07.02.2011 уже рабочая HEN. ISO игры идут без проблем. Игрушка просто супер.</t>
  </si>
  <si>
    <t>2011-09-06</t>
  </si>
  <si>
    <t>Выбрала эту станцию, потому что у нее предусмотрена возможность повесить на стенку (что редко встречается у других), а из-за небольшой толщины ее трудно будет случайно зацепить, проходя мимо. Да и цвет хотелось какой-нибудь позитивный - не черный и не серый, белый оказался в самый раз.   Висит у двери в прихожей. Плотно прилегает к стене, практически от нее не выступает. Перед выходом из дома всегда знаю, что с температурой на улице, что будет с погодой к вечеру. Очень довольна покупкой.</t>
  </si>
  <si>
    <t>2010-05-30</t>
  </si>
  <si>
    <t>Самый простой способ - это через диоды,т.к откатывать прошивку на старую не вижу смысла.Да и в случае неудачи гарантия снимается.  Я разобрал старый пульт и припаял два проводка к ИК-диоду.Можно и прикрутить.С платы пульта выпаивать диод не стал.Зачем портить пульт?.)))  Далее отключил один провод от колонок.Тот который идет на вторую колонку, от основной.Подключил + и - к припаянным проводкам от колонки.Далее запустил на проигрывателе муз файл сервисного меню,на средней громкости и направил ик-диод на телевизор.Появился запрос пароля.Вводим 0000 и вуаля...мы в меню.  Переходим к Option tools 3.  И переключаем пункт EMF(JPEG,MP3) в 1. Теперь и картинки и музыка через USB порт будут доступны.  Пункт Divx переключаем в HD, теперь можно наслаждаться фильмами.  Файлы для включения меню..   http://slil.ru/29233615  Надо проигрывать верхние два. То есть где ОК - ОК.  А вот прошивка 3.15....но это на свой страх и риск.    Всем удачи.Моя оценка 5.</t>
  </si>
  <si>
    <t>2016-05-14</t>
  </si>
  <si>
    <t>Очень не понравился чайник, отломилось стекло в районе крепления ручки через два месяца использования не советую покупать!</t>
  </si>
  <si>
    <t>Очень не плохие наушники,  достойное качество за такую цену! Звук чистый и приятный! Единственно что не понравилось это угловой штекер, но это мелочи!</t>
  </si>
  <si>
    <t>Определённо лучший боевик из серии CoD, красивая графика, трогательный сюжет, невероятная жестокость для игры, играя на ветеране, что в кампанию, что в SpecOps, просто переносишь всё что происходит как на яву...определённо стоит купить этот шедевральный боевик, такого вы даже на экранах кинотеатров не увидите.</t>
  </si>
  <si>
    <t>3157</t>
  </si>
  <si>
    <t>2013-09-16</t>
  </si>
  <si>
    <t>Она совсем не большая по габаритам, а для моей кухни &amp;ndash; это просто идеально! Духовка мне очень нравится, как работает.</t>
  </si>
  <si>
    <t>2013-03-27</t>
  </si>
  <si>
    <t>Отличный динамик, короб нужен под 70 литров из нормальной (18мм) фанеры типа ЗЯ (закрытый ящик). ФИ пробовал, не понравилось. Данный короб, что на рисунке - сжечь от греха подальше. Тем, кто умеет считать в BassBox или в чем-то подобном, удастся из него выжать приемлемый низ, говорю как аудиофил))</t>
  </si>
  <si>
    <t>Пользуюсь радиатором 3-й день.        Выбирал бюджетную модель с минимальными требованиями к функционалу и более-менее симпатичную. Мне он нужен даже не для отопления комнаты целиком, а как малогабаритная теплая батарея рядом, чтобы от окна не дуло. При беглом ознакомлении с этикеткой мне даже показалось что он сделан в Гон-Конге. По факту это просто оказалась компания экспортер. Производитель китайский. Это не указано на этикетках радиатора и коробки, но в инструкции производитель указан. Но это так, к сведению, чтобы не было лишнего обольщения.        Про достоинства. Модель бюджетная и чудес от нее я не ожидал. Свою функцию, которая мне в нем нужна и указана выше, он выполняет.         Про недостатки. Если вы хотите чтобы он натопил комнату под 15 кв. м - это навряд ли. Мою 11 м он практически не нагревал. Но в ней и щели в окнах, т.е. небольшой сквозняк имеется. Но напомню, что это и модель бюджетная с не лучшей поверхностью теплоотдачи. У более дорогих моделей в т.ч. этого производителя этот вопрос лучше проработан. И не ждите корректной работы термостата. Он скорее работает как вкл/выкл обогрева в принципе, а не его какую то мало-мальскую регулировку. Я допускаю, что в дешевых моделях это обычно так и в более дорогих термостат работает корректнее. Ну и колесики у радиатора сделаны более чем бюджетно! Это конечно уже немного удивило. Не удивляйтесь, что вращаться у вас они не будут. А еще по крайней мере в 1-е дни эксплуатации при прогреве с нуля на максимальную мощность радиатор внутри издает звук капели. Как будто бы масло падает по капле на дно.         Не смотря на не критические оговорки в целом рекомендую, т.к. свои функции нужные мне радиатор выполняет. Хотя если учесть оговорки, то стоить он должен дешевле.</t>
  </si>
  <si>
    <t>2639</t>
  </si>
  <si>
    <t>2009-07-31</t>
  </si>
  <si>
    <t>пользуемся этим блоком уже две недели, порадовал очень тихий ход, совсем не слышно трещания жёсткого диска!  единственное мы в системе не нашли Встроен. модуль Wi-Fi, который состоит в описании блока, или это опечатка или сборка с недостатками.</t>
  </si>
  <si>
    <t>Пользуемся чайником уже 3 года. Уровень шума ниже чем у чайников Тефаль и Кенвуд,  запаха нет. Думаю, что будет служить нам еще долго.</t>
  </si>
  <si>
    <t>2013-10-10</t>
  </si>
  <si>
    <t>Пользуюсь мясорубкой 4 месяца. асадке. Не брызгает, фарш аккуратно выползает в чашу. Если кто не знает, с говядины надо пленки срезать! А еще (сама первый раз накосячила по недосмотру), нож надо ставить лезвием к насадке, а не внутрь (см. инструкцию). Терка для овощей очень удобна: морковь, свекла не разлетаются мимо тарелки. Еще терла картофель на тонкие дольки, вот правда перец не особо хорошо пошел. Рекомендую.</t>
  </si>
  <si>
    <t>Купил телевизор 3 месяца назад. Долго выбирал между ЖК и плазмой. По качеству изображения остановился именно на этой модели, так как много смотрю эфирных каналов. Существенным плюсом является то, что он видит любые флешки с любым форматом.Подключил его к ПК, использую его как монитор для игр.</t>
  </si>
  <si>
    <t>483</t>
  </si>
  <si>
    <t>Колонки для своей цены конечно хорошие,но сабвуфер со своим усилителем более мощные, чем настольные колоночки в комплекте(фронт), полное несовпадение, в следствии у меня при постоянном громком прослушивании -фронтальные колонки начали издавать лишние звуки,которые замечательно слышны при маленькой громкости,при большей громкости они пропадают...</t>
  </si>
  <si>
    <t>Отличный обогревательный прибор!!! В радиаторе есть встроенный тепловентилятор, поэтому он быстро нагревает помещение, рекомендую всем!</t>
  </si>
  <si>
    <t>2015-10-13</t>
  </si>
  <si>
    <t>Покупали маме на день рождения два года назад. Работает отлично,без перебоев и поломок, проста в управлении, компактная! Мама довольна! Всем рекомендую!</t>
  </si>
  <si>
    <t>2012-01-24</t>
  </si>
  <si>
    <t>Только купила, первую уборку прошел на 5+. Хорошо всасывает, удобный, компактный. Еще понравилась турбощётка, прозрачный контейнер  и металлическая труба, на которую одеваются доп. насадки, ну и конечно цена!</t>
  </si>
  <si>
    <t>2013-05-30</t>
  </si>
  <si>
    <t>Пользуюсь 3 года этим чайником, нареканий к нему не было, отличный чайник. Сейчас, от старости видать, начало трескаться и осыпаться пластмасса, где показывает уровень.</t>
  </si>
  <si>
    <t>Холодильник сломался, прослужив чуть больше года, хуже то, что обещанное сервисное обслуживание в течение 3 лет будто не существует-обзвонив по всем указанным номерам, услышав везде отказ, я поняла что фирма не отрегулировала ни качество продукции, ни сервисное обслуживание.  Сам холодильник-обычный, купили сэкономив на капельной разморозке.Если вы не экономите, берите no-frost, а если вообще не экономите, не берите Indesit.</t>
  </si>
  <si>
    <t>809</t>
  </si>
  <si>
    <t>2016-01-22</t>
  </si>
  <si>
    <t>Шикарная большая плита на пять электрических конфорок. Понятное дело, что такая панель требуется не всем, но для моей семьи и особенно с учетом того, что к нам часто приходят гости, такая роскошная плита - самое то. Я вообще фанатическая кулинарка и то, что тут имеются три конфорки с расширением контура для меня просто очень кстати. Так как для абсолютно любой сквородки или кастрюлькт можно подстроить или найти конфорку по формату. Даже для утятницы, теперь я ее точно куплю и приступлю к кулинарным экспериментам с птицей.</t>
  </si>
  <si>
    <t>2011-09-27</t>
  </si>
  <si>
    <t>Купили В интернет-магазине М-видео по акции -Меняем старое на новое (старая машинка сломалась).Доставка была через день, все вовремя.А вот подключение- только через неделю.Правда, мастер приехал даже раньше времени, вся работа была сделана за 30минут. Про машинку могу сказать, что у меня все прекрасно отстирывается даже на 29мин. когда отжимает,то звук как у идущего на взлет/посадку самолета.Время,которое показывает машинка у меня совпадает с реальным.Опрбована на всех режимах, все работает.За такие деньги советую!</t>
  </si>
  <si>
    <t>3050</t>
  </si>
  <si>
    <t>2010-03-29</t>
  </si>
  <si>
    <t>лазил по форумам, искал отзывы. купил себе этот телефон после двухнедельных "изнасилований" интернета. как я и думал телефон оказался на редкость качественным. правда камера достойна своих 3.2 Мpix только при хороших условиях съёмки. видеосъёмка вообще поразила - 30 кадров секунду и без единого тупняка!!! к кнопкам привык оч быстро. батарея "резиновая". звук на высоте. в руке как влитой. жаль в оригинальной прошивке ф-ций поубавилось: например нельзя поставить время затухания дисплея и т.д. в общем телефон СУГЁ!!!</t>
  </si>
  <si>
    <t>У кого проблема с зависаниями, попробуйте вскрыть корпус и просто выдернуть жёсткий диск и привод из одних сата гнёзд и воткнуть в другие, пол года мучался, купил жёсткий на терабайт, открыл корпус, и потыкал кабелями и 1,5 месяца не вис вообще, потом я его вообще на запчасти разобрал. По гарантии само вскрытие гарантии не лишает, главное механических дефектов внутри не наделать и всё!!! Может кому поможет.</t>
  </si>
  <si>
    <t>4130901</t>
  </si>
  <si>
    <t>2014-03-08</t>
  </si>
  <si>
    <t>Отличная жидкость! Бритва всегда как новая! Еще бы запахи какие-нибудь новые придумали, лимонный поднадоел.</t>
  </si>
  <si>
    <t>Классный утюг,вернее парогенератор. Воды на долго хватает, пар очень мощный. Советую всем ,разумный выбор.</t>
  </si>
  <si>
    <t>Выбирал новый тел.и наткнулся на этот  коммуникатор,и понравился формой,тонкостью,дизайном,тем,что всё сенсорное.Вроде нет кнопок спереди.Почитал характеристики и очень привлекло.И цена не космическая,по сравнению с Apple3G и Apple3GS. У этого аппарата я заметил много сходства с Apple3G.Советую купить Acer Liquid S100,чем Apple3G.Дешевле,и очень много общего.Одно и то же короче.Вот решил копить деньги на него.И пока буду мучиться со старым глюченым телефоном.Ожидаю и очень надеюсь на понижения стоимости этого коммуникатора к тому времени,когда я накоплю на него.Фирма Acer  делает превосходные ноутбуки и компы,думаю что телефон они сделают так же качественно и превосходно.</t>
  </si>
  <si>
    <t>Отличное соотношение цены и качества!!!</t>
  </si>
  <si>
    <t>2013-04-15</t>
  </si>
  <si>
    <t>Нам понравился,что он только не перетерпел во время ремонта. Мой муж все им пылесосил и камни и пыль и гвозди попадались. Очень мощный,тянет все... Уже ему 3 года, работает супер. Там кто-то пишет,что чистить надо часто,ничего подобного,мы чистили по мере засоренности, помыл, высушил и все ок.</t>
  </si>
  <si>
    <t>1681</t>
  </si>
  <si>
    <t>2015-01-08</t>
  </si>
  <si>
    <t>Главный плюс – это ручка, пользоваться очень удобно. Еще понравился контейнер. В маленькой машинке часть состриженных волокон остается в корпусе, а часть в контейнере, а в этой модели основная масса попадает в контейнер, что облегчает её чистку. Машинка работает на батарейках и их хватает на 2-3 использования, но так как я использую литиевые аккумуляторы, которые можно подзаряжать, не считаю это недостатком.</t>
  </si>
  <si>
    <t>2010-05-13</t>
  </si>
  <si>
    <t>Магнитола супер. ТОлько вопрос есть.. Как папки переключать?</t>
  </si>
  <si>
    <t>Купила радионяню, всё отменно работает, малыша слышно, ничего не ломается, одним словом, я довольна.  Спасибо</t>
  </si>
  <si>
    <t>Купил недавно,очень доволен,звук чистый,басы на месте. Слушаю на iphone. Рекомендую всем, кому нужны недорогие и качественные наушники.</t>
  </si>
  <si>
    <t>899</t>
  </si>
  <si>
    <t>хороший плеер за свои деньги. отличная батарейка, классный звук, недостатки не существенны.</t>
  </si>
  <si>
    <t>2012-01-12</t>
  </si>
  <si>
    <t>Тосты прожариваются не равномерно.  Не удачный размер лотка. Если ломтик стандартной буханки поставить вертикально - он не весь прожарится, если горизонтально - его сложно от туда достать, приходится вилкой ковырять.</t>
  </si>
  <si>
    <t>2676</t>
  </si>
  <si>
    <t>2016-02-22</t>
  </si>
  <si>
    <t>Купили такую электрическую плиту бабушке. У нее стояла плитка еще со времен ее молодости, ни как она не хотела расстаться с ней. И вот! Настал наконец этот момент, когда мы плитку установили и бабушка приготовила на ней блюдо. От одного только  вида ее улыбки, мы поняли, что плитка наша ей понравилась)) Бабушка была в восторге от плиты и мы от того, что ей все понравилось. А как не понравиться-то?) Плита очень эргономичная, удобная и совсем не громоздкая. Отлично смотрится на кухне) Управление механическое, выбирали специально, чтобы бабуле было легко и просто настраивать. Внутренняя поверхность из эмали, легко очищается. Плитка наша с четырьмя конфорками, а варочная поверхность из  качественной стеклокерамики, вообще просто очищать ее от загрязнений. Конфорки расположены весьма удобно, на ней можно отлично разместить несколько кастрюль со сковородками. Нагревается очень быстро и приготовление еды не приносит ни каких неудобств. Работает вообще идеально!))  А встроенный функции гриля, конвекции и т.д. еще не пробовали на деле, но запеканка получилось, что надо!)))  Бабуля рада и мы уверены, что служить эта плитка будет долго!</t>
  </si>
  <si>
    <t>1622</t>
  </si>
  <si>
    <t>2016-04-03</t>
  </si>
  <si>
    <t>Прослужил три месяца без нареканий.  Говорят, что неудобная кнопка, а я привыкла очень быстро, мне было удобно.  Да, выключается не сразу, я часто выключала сама. Зато стекло, подсветка, всё стильно и красиво. Очень радовалась.    НО! Распахнулось окно от ветра - чайник в мелкие дребезги, полдня мелкое стекло по всей кухне собирала. Стекло и есть стекло. Увы. Ко всем плюсам это - огромный минус.   СЕйчас сижу и думаю, что купить вместо этой модели.</t>
  </si>
  <si>
    <t>Удобный, красивый, громкий в динамике</t>
  </si>
  <si>
    <t>Купили вчера эту соковыжималку. Сейчас сожалею что не прочитала предварительно всю иноромацию о всех моделях. Жмых очень влажный, можно додавливать еще руками. При отжимании винограда, косточки пулями летели из загрузочного отверстия.</t>
  </si>
  <si>
    <t>2014-12-13</t>
  </si>
  <si>
    <t>7 лет пользуюсь этим чайником  и очень доволен. Не протекает, как писали здесь. У меня в красном цвете. Мощность 2,2 КВ кипятит быстро. После пяти лет службы начал шумнее работать. А так отличный чайник!</t>
  </si>
  <si>
    <t>Два года, как купила это чудо техники, теперь подыскиваю что-то другое. Гул от работы вытяжки стоит неимоверный и это на первой скорости, если включать более мощные скорости то и шум значительно возрастает. Запахи все остаются на кухне, такое ощущение, что она вообще ничего в себя не втягивает. В общем - совершенно никчемный товар.</t>
  </si>
  <si>
    <t>Данная модель работает уже 4 года, каких - либо нареканий нет. Немного шумит на максимальной скорости.</t>
  </si>
  <si>
    <t>Насколько я знаю этой игры с русскими субтитрами просто не существует. Впрочем игра супер, купил, поиграл, и очень доволен, эта игра даже чем то круче чем GTA4.</t>
  </si>
  <si>
    <t>Советую все уши просто класс за такие деньги.</t>
  </si>
  <si>
    <t>отвратительная вещь,вообще не стрижет.выкинула.</t>
  </si>
  <si>
    <t>Недавно купил себе эту вещь, и могу ставить уверенно пятерку. Советую всем!!</t>
  </si>
  <si>
    <t>2010-07-01</t>
  </si>
  <si>
    <t>Пылесос хороший, только один минус-это пылесборники. При покупке пылесоса меня убеждали, что одного мешка хватает на несколько месяцев, даже если квартира очень грязная. У меня, при маленькой площади, которую убирает пылесос, мешка хватает на 2 уборки, потом загорается красная лампочка и пылесос перестает нормально работать до тех пор, пока не поменяешь мешок. Лампочка загорается, когда мешок заполнен ровно на половину.</t>
  </si>
  <si>
    <t>2017-04-10</t>
  </si>
  <si>
    <t>Дешевая, компактная, надежная.</t>
  </si>
  <si>
    <t>Аппаратом доволен. Единственное, что раздражает - очень сильно к нему прилипает пыль - 30 минут, и все полированные поверхности покрывается тонким слоем.</t>
  </si>
  <si>
    <t>Качество, долгие годы работы</t>
  </si>
  <si>
    <t>900</t>
  </si>
  <si>
    <t>все мелит подряд в замароженом виде, ане прям с рыбалки!</t>
  </si>
  <si>
    <t>2014-12-19</t>
  </si>
  <si>
    <t>Комплект автотехники (Сабв.+Усил.+Пров.) Prology 1250 был куплен мной около года назад. Поставил его сам в багажник ВАЗ 2110 (благо провода  идут в комплекте). Первое время, конечно, дал ему разыграться, на полную не гонял, потом потихоньку прибавлял. Что сказать по ощущениям: сабвуфер сам по себе способен на многое, но усилитель, который идёт в комплекте, не даёт полностью ему раскрыться. Но тем, кому не нужно «раскачивать» всю улицу, а лишь дополнить картину низами этот комплект полностью подойдёт. Остальным посоветую докупить усилитель посильнее, а этот пустить, допустим, на колонки. Я отношусь к категории первых, поэтому ничего не докупал.  В общем, я добился звучания музыки, которое меня полностью устроило и сабвуфер сыграл здесь не последнюю роль. Для начинающих советую этот комплект, только багажник нужно проклеить ШВИ, а то дребезжит и звук бочкообразный. Всем удачных покупок!</t>
  </si>
  <si>
    <t>577</t>
  </si>
  <si>
    <t>Всё работает отлично, но есть одна проблема - vista home basic. Ужасная операционная система. Вместо неё надо поставить нормальную 64-х битную версию.</t>
  </si>
  <si>
    <t>29</t>
  </si>
  <si>
    <t>2009-08-12</t>
  </si>
  <si>
    <t>Хороший кондиционер, удивила очень тихая работа как наружного блока так и внутреннего.Удобный пульт управления.Качество изготовления хорошее.На наружном блоке в месте забора воздуха установлена дополнительно пластмассовая решетка на весь испаритель чтобы не попадал тополиный пух.На других кондиционерах такой решетки не видел.Насчет надежности ничего сказать не могу так как приобрел недавно.</t>
  </si>
  <si>
    <t>202</t>
  </si>
  <si>
    <t>Очень довольны этой вытяжкой,она у нас уже 3 год.Никаких притензий при работе нет,вытягивает моментально.У нас испанской сборки,может поэтому и никаких нареканий.Всем советую.</t>
  </si>
  <si>
    <t>2017-01-24</t>
  </si>
  <si>
    <t>Дешево и сердито</t>
  </si>
  <si>
    <t>Очень хорошее качество! И вообще Philips моя любимая марка! хорош в употреблении, не тяжелый, отлично лежит в руке! не шумный, что для меня очень важно (сушила волосы, когда спал ребенок)! Не пересушивает и что нравится имеет ионизацию благодаря которой волосы имеют красивый и здоровый блеск!</t>
  </si>
  <si>
    <t>3227</t>
  </si>
  <si>
    <t>2010-11-07</t>
  </si>
  <si>
    <t>А игра на русском?</t>
  </si>
  <si>
    <t>2015-10-04</t>
  </si>
  <si>
    <t>даже и не покупайте все волосы остаются в ней</t>
  </si>
  <si>
    <t>823</t>
  </si>
  <si>
    <t>Сам ноут апупенный ну и заморочки иногда бывают и не без этого.Подскажите кто знает почему сам видеоадаптор в реадм файле не опознаётся? Заранее спасибо.</t>
  </si>
  <si>
    <t>2016-04-08</t>
  </si>
  <si>
    <t>Долго выбирал, пользуемся неделю, пока полностью довольны.</t>
  </si>
  <si>
    <t>2011-03-27</t>
  </si>
  <si>
    <t>Мясорубка - это необходимая техника на кухне, хороший помощник для женщин и мужчин. Я очнь долго выбирал какую именно мясорубку приобрести,так как если покупать то покупать стоющию технику.купил маме 2 месяца назад мясорубку мулинекс,ей всё нравится. Вещь очень хорошая. Мясорубка просто супер, и спасибо продавцам консультантам за консультацию.</t>
  </si>
  <si>
    <t>Долгое время выбирал машину и читал отзывы...  машинка устраивает на все 100%.   Кофе супер. Все работает. Капучино получается на ура.   Сравнивал со Смег, которая стоит в 10 раз дороже...вкусовых отличий не заметил. (варил одни и те же зерна)</t>
  </si>
  <si>
    <t>Хорошая,быстрая,легкая,почти бесшумная,легко моется. Не отключается самостоятельно это единственный минус, но не страшно. Ничего сложного что бы после приготовление нажать на выключатель нет.</t>
  </si>
  <si>
    <t>2362</t>
  </si>
  <si>
    <t>2010-10-04</t>
  </si>
  <si>
    <t>В принципе данная модель EM250 справляеться со своей задачей(кино интернет и музыка. сам в принципе не играю в игры. Но думаю за такие деньги в принципе  нормальная машинка. сам пользуюсь. Единственно что смущает  что машинка сама меняет множитель на процессоре(он не двухядерный !!! просто с гипертрейдингом)да и слот под память один а не два как указано в характеристике. в целом кому нада мини комп то эта модель то что надо. особенно удобно на природе... батареи хватает гдето часа на 3-4.</t>
  </si>
  <si>
    <t>Семерка та она по сути и не седьмая винда, которую выпустила корпорация майкрософт. Если начинать считать с 3 версии, в которой еще не было реализовано графического интерфейса. Конечно Седьмая версия гораздо лучше висты. Ресурсов она жрет поменьше, но все же жрет. Красиво сделали интерфейс. Работает гораздо стабильнее висты. Очень хорошо сделана работа с сетевым оборудованием, сама вам все найдет и настроит лучше некуда.   А на счет программистов я бы все равно советовал родненькую XP или 2003 никаких заморочек и очень высокая стабильность!!!</t>
  </si>
  <si>
    <t>2081</t>
  </si>
  <si>
    <t>2014-01-10</t>
  </si>
  <si>
    <t>Мощный сабик,полгода двинарик раскачивает,бас не грубый,если короб переделать под чв вообще тема будет,берите не пожалеете,для всех кто любит четкий бас!</t>
  </si>
  <si>
    <t>3173</t>
  </si>
  <si>
    <t>купил этот чудный аппарат летом 9го года, и вся семья уже успела его возненавидеть. Причина в следующем: когда нам звонят он, пикнет, отключится и начинает поиск базы. Вот какой чудесный телефон.</t>
  </si>
  <si>
    <t>Качество изготовления хорошее,есть встроенный конденсатор(так что кроссовер не нужен), минус в том,что провода короткие надо наращивать. звук вполне достойный,ушам приятно-шелк все-таки.играют с 16см Hertz dv165(от них пищалки уже давно умерли), поставил в уголки обшивки дверей-там где зеркала регулируются, надо что-то типа подиума сделать,чтоб звук направить правильно-правую на меня,а левую на пассажира, пищалка конечно поворачивается,но этого недостаточно,по крайней мере для моего авто, распологать их,чтоб играли на отражение не надо-звук искажается.</t>
  </si>
  <si>
    <t>2010-05-28</t>
  </si>
  <si>
    <t>Сегодня купил данный телевизор.Пока все устраивает.Все что нужно - есть.  Моя оценка 5.  А теперь обращаюсь к людям кто активировал USB.Подскажите, как это сделать. Спасибо.</t>
  </si>
  <si>
    <t>Когда я выбирал плиту, то это был наш общий выбор с девушкой. Ведь не только мне, но и ей на ней готовить. В итоге выбрали эту плиту. Поскольку покупка капитальная и надолго, то решили купить максимально навороченную модель. А почти все такие плиты - широкие. Узких - единицы (а мне нужна была именно узкая, так как у меня маленькая по площади кухня с маленькой дверью). В итоге выбрали эту. Плита очень качественно сделана, удобна в использовании. Автоподжиг очень удобен. Горелки хорошие. Но учтите два факта: 1. Гриль-горелка в плите есть, но вертела с мотором нет. 2. Таймер действительно с очень тихим сигналом. Сигналов там три на выбор, но все очень тихие. Это не недостатки, а особенности этой модели плит. А в остальном всё очень здорово, удобно и практично. Денег своих плита однозначно стоит! Если Вы, как и я, обладатель малолитражной кухни - можете смело покупать. В противном случае рекомендую взять плиту пошире - как ни странно, они... дешевле! Да и по ценам там есть значительно более интересные предложения!</t>
  </si>
  <si>
    <t>2444</t>
  </si>
  <si>
    <t>2014-02-02</t>
  </si>
  <si>
    <t>Купил сегодня. Установил. Вроде все работает нормально. Минус. Очень тонкая нержавейка..</t>
  </si>
  <si>
    <t>Пользуюсь такой мясорубкой третий год, очень довольна, хотя сравнить не с чем - до этого пользовалась ручной, и мысли о приготовлении фарша вызывали суицидальное настроение. Никаких проблем с этим агрегатом за это время не возникало. Регулярно делаю мясной и рыбный фарш, крутит все, вырезать из мяса жилки не обязательно, достаточно просто порезать на удобоваримые кусочки, по диаметру отверстия. Легко разбирается и моется, все съемные детали, кроме толкателя, из металла, ломаться нечему. Нож не точила за это время ни разу, но хуже работать она от этого не стала. Отходов после прокрутки мяса остается минимум. Короче, рекомендую!</t>
  </si>
  <si>
    <t>1818</t>
  </si>
  <si>
    <t>2017-04-07</t>
  </si>
  <si>
    <t>Стрижёт ровно, заряд держит долго, лёгкая, остальное в описании.</t>
  </si>
  <si>
    <t>2017-06-05</t>
  </si>
  <si>
    <t>Удобно собирать, разбирать, совсем не много частей ,не конструктор как некоторые другие пылесосы, мощный, моет отлично</t>
  </si>
  <si>
    <t>2 недели назад купил этот аппарат. Машина очень устраивает. Работает на ура. Дизайн супер. Всем советую - то что надо для дома для семьи: и для работы и в игры поиграть.</t>
  </si>
  <si>
    <t>2452</t>
  </si>
  <si>
    <t>2017-07-07</t>
  </si>
  <si>
    <t>была самая дешевая в 2010 г.</t>
  </si>
  <si>
    <t>Всегда хотела стир машинку только Бош. Очень довольна. Тихая, программы удобные, есть возможность прерывания программ и выполнения доп.действий после этого.  Например, часть программы выполнилась, потом я ее остановила, доложила менее загрязненных вещей и выставила другой режим. В общем, удобство в разнообразии.  И красивенькая! И дизайн, и огоньки очень симпатично горят ))     А еще очень довольна установкой - отличный мастер, все вовремя и качественно! Установка первая, волновалась, но все прошло на высоте.  В общем, стираю, стираю, стираю... ))</t>
  </si>
  <si>
    <t>2901</t>
  </si>
  <si>
    <t>Самая крутая консоль! Берите не пожалеете!</t>
  </si>
  <si>
    <t>962</t>
  </si>
  <si>
    <t>2011-04-28</t>
  </si>
  <si>
    <t>Две недели назад купил уже второй такой же ТВ. Телевизор отличный, картинка отличная (каб. ТВ - 40 каналов, аналоговый сигнал), теперь еще и цифровое запустили 25 каналов по кабелю, картинка - вообще прелесть! Удобная опция медиаплеер, читает почти все, даже MKV, но! размером не более 2 Гб. Читает с флэшки размером 16 Гб. Подсоединил так же внешний жесткий диск 1 Тб, но с внешним питанием, иначе не видит, читает без тормозов, очень удобно, музыку слушаю, фильмы AVI, фото, звук нормальный. Амбилайт конечно приятная вещь. Вообщем   рекомендую к покупке!</t>
  </si>
  <si>
    <t>864</t>
  </si>
  <si>
    <t>2017-02-18</t>
  </si>
  <si>
    <t>Маленькая,удобная,хорошо стрижет,за такую цену лучше непредставляю</t>
  </si>
  <si>
    <t>2013-12-04</t>
  </si>
  <si>
    <t>Моющую щетку у вакса не нужно держать вертикально, как  у других производителей, весь процесс мойки происходит внутри щетки и дополнительно ничего собирать не надо! Можно быть под кроватью. Не нужно соблюдать какую-то технологию мойки. Просто водишь щеткой, как при обычной уборке обычным пылесосом. Мой следующий пылесос однозначно Вакс!</t>
  </si>
  <si>
    <t>2738</t>
  </si>
  <si>
    <t>2014-03-17</t>
  </si>
  <si>
    <t>Люди цены на нтв+ упали до минимума. Самый дешевое спутник тв. Цена на комплект оборудования порадовала! Тарифы на каналы ниже чем у конкурента, необходимо самостоятельно перейти на новые дешевые тарифы! Базовый пакет 600 рублей и на всегда (22 канала). Хотите больше - 29 рублей в месяц и будет 89 каналов! А это 348 рублей в год! Я в шоке!!!</t>
  </si>
  <si>
    <t>2011-05-24</t>
  </si>
  <si>
    <t>действительно почти не убиваемый аппарат, но сегодня спустя 7 лет потек индикатор уровня, теперь мучаюсь с выбором, скорее всего возьму тот же.</t>
  </si>
  <si>
    <t>2014-12-07</t>
  </si>
  <si>
    <t>Колонки отвратительные, хотя за эти деньги ожидать другого не пришлось, первая в первый же день стала хрипеть вторая через пол года</t>
  </si>
  <si>
    <t>По отношению цена/качество, лучше не найти. Подключил к сабу иволга и к передним колонкам Kicx. Играет отлично, правда пришлось придумывать выключатель на плюсовой провод, т.к. усилитель не отключается от провода управления магнитолы. А в основном все устраивает.</t>
  </si>
  <si>
    <t>Не могу настроить цифровые каналы.Телек запрашивает только частоту,а где выставлять QAM-64 и S/R 6875 непонятно.</t>
  </si>
  <si>
    <t>вчера зашла только посмотреть пылесос-и не удержалась-купила....пришла домой и устроила генеральную уборку...мощный, чистится хорошо.для меня еще не маловажна длина шнура. ходила по всем 4 комнатам не переключая из розетки в розетку. очень довольна.</t>
  </si>
  <si>
    <t>Купил вчера, всю ночь сидел смотрел фильмы, полёт нормальный, ноут мощный, можно поиграть в современные игры и в тоже время для меня достаточно мультимедийный, можно поработать с графикой, слегка не понравилось, что установка офиса антивируса, идёт отдельно за дополнительную плату, но пошариться в интернете и всё можно найти. в общем ноут хороший, советую.</t>
  </si>
  <si>
    <t>648</t>
  </si>
  <si>
    <t>2013-11-18</t>
  </si>
  <si>
    <t>Отличное приобретение! Очень удобный, быстрый, красивый, безопасный и вообще просто прикольный чайник. Ручка чайника никогда не нагревается, всегда холодная, крышка очень удобно сделана: ее совсем не надо держать, достаточно покрутить и она не выпадет! Покупали с сестрой 2 шт. Ни у нее, ни у меня за это время никаких минусов по отношению к работе чайника не нашлось! Единственное, обратите внимание на объем в 1л. Если у вас большая семья - на всех сразу не хватит. Хотя и это не проблема - он довольно быстро кипятит воду)</t>
  </si>
  <si>
    <t>3143</t>
  </si>
  <si>
    <t>2014-11-08</t>
  </si>
  <si>
    <t>Купил по акции со скидкой 16.07.2014. Поставил, подключил, опробовал. Стирает хорошо, различные программы, при отжиме не "убегает"- за 3,5 месяца достаточно интенсивной эксплуатации не сдвинулась ни на сантиметр. Электричество и воду расходует экономно. За такие деньги вполне оптимальный вариант.</t>
  </si>
  <si>
    <t>Отличный чайник. Очень удобный в пользовании, особое достоинство - правильный носик, такого типа, как был у чайников в те времена, когда кипяток не лился кроме стаканов еще и на стол. Первый раз купил три года назад, проработал ровно три года, как обещано фирмой. Только в последние месяцы начал подтекать. Вчера купил новый, такой же. Жаль,что в магазине таких оставалось всего два, принесли со склада. Если диск нагревателя держать чистым, действуя по рекомендациям, шума мало. Основной недостаток на мой взгляд - отсутствие в указателе уровня воды какого-нибудь заметного поплавка, а то уровень прозрачной воды не всегда хорошо виден.</t>
  </si>
  <si>
    <t>Купил месяц назад приставку 3 DS. Это на самом деле новый прорыв корпорации нинтендо. Приставка супер, игры впечатляют, а расширенная реальность AR, входящая в комплект, просто удивила. Вообщем развлечение для детей и взрослых обеспеченно надолго! Рекомендую всем любителям виртуальных развлечений.</t>
  </si>
  <si>
    <t>2010-11-27</t>
  </si>
  <si>
    <t>Отличный чайник, пользуюсь с 2001 года.</t>
  </si>
  <si>
    <t>1891</t>
  </si>
  <si>
    <t>Посмотрела видео обзор этой модели в интернете, очень понравилось. Несколько насадок здесь в комплекте идёт, можно укладки на все случаи жизни сделать. Сами насадки с керамическим покрытием, есть функция холодного обдува и ионизации. Единственное, мне казалось, что всё равно волосы будут путаться в этой щётке, хотя не одного негативного отзыва на этот счёт я так не нашла. В итоге на покупку решилась и очень довольна! В эксплуатации данная моделька меня не разочаровала, а напротив, очень даже обрадовала. Пользоваться удобно, волосы не путает, уже проверено)</t>
  </si>
  <si>
    <t>2009-12-24</t>
  </si>
  <si>
    <t>На вид - очень дешевый пластик, на ощупь тоже.   Экран хоть и цветной, но качество его не очень. Углы обзора неплохие, но при просмотре снизу-вверх - контрастность сильно падает.  Совсем не понятно как он показывает давление и анимированную погоду - то дождь все время, то солнце, играть с высотой над уровнем моря можно долго, толку бы.  В целом - бесполезная вещь с огромными погрешностями в температуре и давлении.</t>
  </si>
  <si>
    <t>2014-01-14</t>
  </si>
  <si>
    <t>Пользуемся несколько мес. Старая крутила и пульсировала и эта делает тоже самое. Датчик давления на зубы реагирует, если так сильно давить, что вращение щетки практически парализовано... У экрана помимо отображения режимов и стадий чистки есть оч. полезная функция - это часы, когда встаешь ночью в сортир)) Из явных плюсов удобный контейнер для хранения 4 насадок, если для семьи (как не странно, но именно он подтолкнул меня к выбору этой модели). В комплекте есть спец. футляр, можно спокойно брать ее в дорогу. Работает тихо, несколько режимов, в т.ч. чувствительный, аккумулятора хватает на 5-6 дней в семье из 3 чел. Минусов у щетки не нашел, кроме как боязнь ее разбить случайно. В общем все дорого-богато, но для здоровья зубов по-моему лучше щетку за те же 2,5 т.р., а остаток денег тратить на хорошую зубную пасту. Если деньги есть и желание кайфовать от ее топовости - берите, не пожалеете.</t>
  </si>
  <si>
    <t>3182</t>
  </si>
  <si>
    <t>ОДНИ  ПЛЮСЫ</t>
  </si>
  <si>
    <t>Супер соковыжималка, пользуюсь почти каждый день, на протяжении 6 месяцев. была до этого модель другого бренда, VITEK гораздо лучше. всем рекомендую.</t>
  </si>
  <si>
    <t>2883</t>
  </si>
  <si>
    <t>Пользуюсь такой кофемолкой больше двух лет раньше была модель дорогая, но разницы совершенно никакой нет! одинаково молет, шумит тоже точно так же. нормальная кофемолка!</t>
  </si>
  <si>
    <t>2011-02-08</t>
  </si>
  <si>
    <t>Это что то..это по моему единственная модель с телфоновой тканью...бережное выпрямление эффект остается несколько дней..хотя мои волосы ужасно не послушные!Советую!Берите не пожалеете! Купила себе любимой в подарок )))</t>
  </si>
  <si>
    <t>Главный недостаток - это ненадежность.</t>
  </si>
  <si>
    <t>230</t>
  </si>
  <si>
    <t>Я купил приставку в 2009 году, в августе. Пытался сам прошить, прошил, но доделать не смог, в итоге установил версию прошивки 6.00, теперь жалею, конечно желательно придти на горбушку отдать 1000 рублей, а не пытаться прошить самому.  А так приставка отличная, в отличие от предыдущей версии (на 3000-3008 и т.д. цветов больше), имеется микрофон.  Очень советую.</t>
  </si>
  <si>
    <t>1765</t>
  </si>
  <si>
    <t>Эта модель - лучшая в своей ценовой группе по совокупности технических характеристик. Лучше за эти деньги просто не найти. Аналоги других производителей дороже на 4-8 тыс. руб.</t>
  </si>
  <si>
    <t>Пароварка с пользой для всех отработала полтора года и сгорела... Выгорел до дыры силовой контакт на плате. Явно конструктивно слабое место. Для такой цены и такое качество? Обидно за тебя, Tefal..</t>
  </si>
  <si>
    <t>3041</t>
  </si>
  <si>
    <t>2011-12-12</t>
  </si>
  <si>
    <t>Пользуемся около месяца. Вибрации практически нет (отрегулирована по уровню). При стирке слышно только как заливается и сливается вода (но это, наверное, у всех машинок), и как белье переваливается. Конечно, можно было сливной насос потише поставить.</t>
  </si>
  <si>
    <t>1034</t>
  </si>
  <si>
    <t>крутой телефон qwerty клава просто супер ос-супер 1 динамик но охо хо большой экран а это круто</t>
  </si>
  <si>
    <t>Купил 4515s позавчера,а уже вчера отнес в сервис - заедает клавиша АF.  Очень жаль: ноут отличный - (4G,500G!!! -жесткий)фирма, стиль, навороты безопасности,соотношение цена/параметры - отлично!!!   И дрова нашел на W7!  Маркий корпус только, зато шикарно выглядит- тряпочка поможет))  И сумка в комплекте порадовала!!!</t>
  </si>
  <si>
    <t>2062</t>
  </si>
  <si>
    <t>Компьютер супер   При очень больших загрузках чёвствуется как будто ничем и не загружен   + ещё он и компактный и тихий.</t>
  </si>
  <si>
    <t>Можно ли шить кожу на данной машинке?</t>
  </si>
  <si>
    <t>1151</t>
  </si>
  <si>
    <t>купил, всё хорошо, расстраивает отсутствие поддержки игр ps2</t>
  </si>
  <si>
    <t>Купил эту приставку 2 с половиной месяца назад.Графика отличная,плюс ко всему поддержка BluRay.Я взял эту консоль в основном из-за поддержки BluRay,а зачем брать проигрыватель,если PS 3 проигрывает BluRay. Приставкой очень доволен.</t>
  </si>
  <si>
    <t>1227</t>
  </si>
  <si>
    <t>2011-10-21</t>
  </si>
  <si>
    <t>2 раз брак привезли, мастера вызвал.Битая, удар снизу на упаковке обнаружил, барабан перекошен был. Повышенная вибрация. Судя по деформации упаковки туда удар и пришелся.</t>
  </si>
  <si>
    <t>Батарея держит терпимо, на киношки правда не всегда хватает, памяти полно,к кнопкам правда привыкать надо и играть неудобно, но для 2600р супер, во всяком случае за такую цену я лучше не нашла. Советую, берите, я не пожалела.</t>
  </si>
  <si>
    <t>Пользуюсь почти год! До сих пор нарадоваться не могу. Классный дизайн, тихий (вообще бесшумный). Воздух стал заметно чище, я теперь не представляю жизни без этого устройства! Увлажняет замечательно. Первую неделю правда влажность долго набирал, ну это и понятно, всё увлажнение впитывала мебель, диваны, стены и т.д Но потом влажность стала набираться заметно быстрее! Покупкой очень доволен! Кстати, в отличие от других моделей, этот еще и удаляет запахи!</t>
  </si>
  <si>
    <t>Флешка отличная покупали на Широтной, осталась довольна=) Всем советую=)</t>
  </si>
  <si>
    <t>2017-04-30</t>
  </si>
  <si>
    <t>Книга рецептов</t>
  </si>
  <si>
    <t>консоль просто изумительна, отличное соотношение комплектация-цена, берите её и не раздумывайте она стоит своих денег</t>
  </si>
  <si>
    <t>2013-02-05</t>
  </si>
  <si>
    <t>Купил вчера (03.02.13) М.Видео в Третьем променаде. Опробовали всей семьёй. Впечатления только положительные. До этого был Samsung с мешком для сбора пыли, отслужил верой и правдой более 10 лет, им очень довольны. Поэтому вариантов с другой маркой даже и не рассматривалось. Что первое бросилось в глаза, вернее почувствовалось на себе, это наличие огромного количества статического электричества (тестовые испытания проводились на шерстяном паласе и ламинате). Но это, в принципе, не такая уж и большая проблема! Мощности хватает с лихвой, на не полной довольно тяжелый палас сдвигает и поднимает. Отличный пылесос: и мощность, и шумность (не шумнее прошлого), и дизайн и эргономика. Немного тяжеловат, более 10 кг, но не на себе же его таскать, есть колеса;) Рекомендую всем! Единственное, что напрягает: ни где не могу найти фильтр HEPA 13, в магазине сказали в сервисном центре заказывать.</t>
  </si>
  <si>
    <t>В некоторых моментах фильма при просмотре DVD пропадает или сильно приглушается звук. Скорее всего - это брак диска.</t>
  </si>
  <si>
    <t>Мы папе купили такой ноутбук и он очень доволен. Самое главное, что он не глючит и с доблестью выполняет все поставленные папой задачи, такие как работа в интернете, просмотр фильмов и тому подобное. Прекрасная альтернатива нетбуку, оснащенная двд-приводом!</t>
  </si>
  <si>
    <t>Особо нечего добавить - все написано. Перестал включаться через неделю, при аккуратном обращении и правильном выключении.</t>
  </si>
  <si>
    <t>727</t>
  </si>
  <si>
    <t>2010-03-28</t>
  </si>
  <si>
    <t>Плеер по моему мнению просто отлично мне подходит! все просто и со вкусом! удобно самое главное, и тем боле это sony, а все знают, что это качественный звук и надежность..но у меня всегда возникает вопрос перед покупкой. к примеру у знакомой такой же плеерок только на 2 гб. Я слушал его с родными наушниками...мне показалось, что он для меня тиховат..стоит ли его покупать с тем условием, что я прикуплю наушники не вкладыши, а с внешними динамками большие...?  p.s. качество звука отличное..да же с родными наушниками очень не плохо звучит и батарею держит достаточно долго, короче твердую ему 5!</t>
  </si>
  <si>
    <t>129</t>
  </si>
  <si>
    <t>Пользуюсь делонги VVX 340, уже около года. И только хорошие впечатления, отлично справляется со своей работой. Проглаживает все моментально! А главное можно заливать воду из под крана и ему хоть бы что, никакой накипи. Да и цена как у среднего утюга, а преимуществ больше. Всем рекомендую!!!!!</t>
  </si>
  <si>
    <t>2011-06-09</t>
  </si>
  <si>
    <t>Телек отличный, только USB медиа плеер подкачал, чёрная полоса при переключении напрягает, когда аналоговые каналы, подключил себе цифровые, и он в этой полосе показывает текущее время, какой канал включен, какая передача идёт, во сколько она началась и когда закончится, очень удобно! Так что по поводу чёрной полосы особо не переживайте.</t>
  </si>
  <si>
    <t>Сама по себе плойка хорошая, всё зависит от типа ваших волос, если они очень прямые, то их никакая, даже самая СУПЕР-плойка не завьёт. А даже и если завьёт, то это ненадолго. Лично мне очень нравится причёска после завивки именно этой плойкой. Советую.   Голливудская причёска отлично получается(плавные кудри)</t>
  </si>
  <si>
    <t>Очень хороший телефон. Подключился сразу, без проблем. Одна трубка стоит у нас в комнате, вторая у сына. Теперь не орем во все горло, чтобы обедать шел - общаемся исключительно по внутренней связи! )))</t>
  </si>
  <si>
    <t>2014-06-06</t>
  </si>
  <si>
    <t>Мне на самом деле понравилась игра. Много замораживающих миссий, интересный конец, продуманный сюжет, но ещё не обошлось без драмы : Жаль всех тех, кого убили Ковенанты. Про мульти-плэйер и говорить нечего : просто шикарно.</t>
  </si>
  <si>
    <t>jasus, дело не в динамиках, попробуйте в трее нажать на значок SRS Premium Sound и "Прекратить обработку" звук нормальный.    У кого нибудь при подсоединении сетевого шнурка тачпад ведет себя некорректно? У меня например прыгает курсор, но может из-за радио-вышки которая под окном.     НО мне кажется за эту цену можно было поставить процессор i5</t>
  </si>
  <si>
    <t>1768</t>
  </si>
  <si>
    <t>2010-04-02</t>
  </si>
  <si>
    <t>Используем уже месяц. Плюсы: хватает зарядки на два полноценный вечера на диване; а главное - 3-х секундная готовность для работы в интернете (время прохождения BIOS = 3 секунды, загрузка ОС Андроид = 3 секунды). Итак: незаменимая вешь для оперативной работы в Инете! Недостаток пока только один: если Windows XP не загрузится, то (в соответствии с инструкцией пользователя) восстановиться можно только с внешнего CD, который нужно предварительно сделать тоже на внешнем CD. Для работающих в Андроиде это непринципиально.</t>
  </si>
  <si>
    <t>2016-09-05</t>
  </si>
  <si>
    <t>Подарили этот пылесос бабушке год назад,несмотря на то,что с техникой она " не дружит",разобралась  с его управлением и использованием очень быстро, он очень компактный,легко помещается за дверь и не мешается,контейнер для пыли вместительный, длины провода хватает для уборки однокомнатной квартиры,мощности тоже достаточно,хороший пылесос</t>
  </si>
  <si>
    <t>2015-01-30</t>
  </si>
  <si>
    <t>Сильно пахнет пластик под крышкой! Ничем не вывести этот запах, через неделю сдал назад.</t>
  </si>
  <si>
    <t>Я сторонник электробритв-решил обновить свой гардероб..)))Купил обновленную Braun..бреет лучше прежней ...Со станком не сравнить..Удобно,красиво и быстро-что еще надо...))</t>
  </si>
  <si>
    <t>2015-02-07</t>
  </si>
  <si>
    <t>Первая стирка прошла лучше некуда, сантехник поставил ее ровно,  при отжиме  стояла на месте не двигаясь, шума практически не слышно при закрытой двери ванной комнаты, ночью можно смело закинуть стирать вещи, сон не потревожит. В целом довольна, устраивает соотношение цены и качества, рекомендую!!!</t>
  </si>
  <si>
    <t>459</t>
  </si>
  <si>
    <t>давно мечтала именно об этой модели. Вот, купила, пользуюсь, очень довольна! включается одним прикосновением, выключается тоже, есть таймер, работает тихо, удобная подсветка, стильный дизайн. Хорошо тянет, поглощает все кухонные запахи, несмотря на то, что кухня совмещена с гостиной. Нравится, что стеклянный козырек закрывает фильтр. ну всё нравится!</t>
  </si>
  <si>
    <t>2015-04-26</t>
  </si>
  <si>
    <t>Давно знаю эту фирму. Могу с большой уверенностью сказать что на рынке мало такой качественной и хорошей техники, прекрасно, что данная фирма  с родной сборкой в Словении очень давно присутствует на российском рынке. Ещё в далёкие 80-е у моих родителей была плита Gorenje с простыми конфорками, проработала она у них больше двадцати лет, и по сей день у знакомых стоит на даче и работает. Вот это я понимаю качество и долговечность продукта, как говорится купил и забыл. Компания Gorenje использует очень качественные материалы в своих плитах, во-первых это стекло Еврокера один из мировых производителей по стеклокерамике, очень удобное по уходу и очень устойчиво ко внешним воздействиям. Внутренне покрытие духовке легко моется, у данной компании есть удобный режим, называется он очистка паром, это классический вариант по чистке духовке за счёт пара, наливается в противень вода включается этот режим и все,  не надо тратить кучу времени и своих сил по уходу за духовкой,  останется только протереть внутреннюю камеру духовки и радоваться чистоте. Много всяких режимов по приготовлению как для выпечки, так и для жарки и запекания. За счёт равномерного распределения тепла никогда не случится  неприятных казусов, ваша задача  просто положить продукт, выбрать нужный режим, для вашего удобства есть таймер, можно запрограммировать время приготовления, таймер отключается в назначенное время. Порадовала богатая комплектация: два противня, один мелкий другой глубокий, причем такого глубокого противня я не видел ни одного производителя, телескопы в духовом шкафу супер  удобно,  противень легко достаётся за счёт направляющих, также порадовало плавное закрывание дверцы духовки, что даёт большое преимущество при частом использовании, ничего не хлопает и все плотно закрывается. Есть замок механический в верхней части дверцы для защиты от детей. При желании его можно легко снять. Рабочая поверхность имеет четыре конфорки HiLight две из которых имеют зону расширения, что считаю очень удобным и функциональным. По нагреву и времени приготовлению претензий нет, все очень быстро и вкусно. Использую хорошую посуду с ровным дном для стеклокерамики, но есть казан чугунный, боялся что больше не смогу им пользоваться и готовить свой фирменный плов, был уверен, что на стеклокерамике такой посудой нельзя пользоваться, но, оказалось, все прекрасно работает, за счёт того что конфорки HiLight быстрого нагрева, все готовится очень быстро. Моется и очищается стекло отлично, у меня для этого два средства: скребок для стеклокерамики и средство для поверхности. Скребок нужен, если у вас что-то пригорело во время приготовления, а средство для чистки варочной поверхности, и  ваша помощница на кухне всегда будет выглядеть как новая. Покупкой очень доволен. Желаю всем хороших приобретений!</t>
  </si>
  <si>
    <t>2451</t>
  </si>
  <si>
    <t>2015-11-08</t>
  </si>
  <si>
    <t>Наушники приобрела в конце мая (то есть им уже полгода) за 690 рублей. Удобно носить. Более двух часов спокойно с ними хожу, хотя первое время было непривычно. Звук хороший, хотя конечно бывает и лучше, но совсем за другую цену.  5 из 5. Надеюсь прослужат еще лет дцать.</t>
  </si>
  <si>
    <t>2014-02-13</t>
  </si>
  <si>
    <t>Купили воздухоувлажнитель BORK H500 в зимний период, очень разочаровались, т.к аппарат рассчитан на площадь 60 кв.м, мы его использовали на 18 квадратах, на самом мощном режиме (75% увлажнения), работал 6 дней по 14 часов. Влажность за это время поднялась до 32%. Почитали по отзывам, что все вокруг должно пропитаться влажностью, каждый день ждали когда уже, но так и не дождались.</t>
  </si>
  <si>
    <t>2013-08-30</t>
  </si>
  <si>
    <t>Покупали пару месяцев назад, для ребенка (3 мес. искуственник), чтобы всегда была горячая вода для приготовления смеси. Очень хороший аппарат. Пока никаких нариканий.</t>
  </si>
  <si>
    <t>я вот недавно купил этот бук! ну примерно 2 недельки назад! за такие деньги вообще классно! только вот батарея подкачала! мало держит! и еще бы видюху получше !</t>
  </si>
  <si>
    <t>Хороший телевизор, и стоимость радует)</t>
  </si>
  <si>
    <t>Брали в подарок родителям, им понравилось, мне - тоже.Отличная  фоторамка, устраивает всё: удобный интерфейс, интуитивно понятное меню. Кстати есть функция похожая на "AmbiLight" - если соотношение сторон фото не подходит, пустое место экрана заполняется в подходящий цвет. В первый раз подключение к компьютеру или ноутбуку может "зависнуть", но это только в первый раз. (Проверено на 11 разных системах из них только 3 раза подвисало на секунд 20-30)</t>
  </si>
  <si>
    <t>97</t>
  </si>
  <si>
    <t>2015-08-02</t>
  </si>
  <si>
    <t>Неделю назад на работе поставили эту кофемашину - хороша. Достаточно удобна и легка в обращении - говорю как человек, работавший бариста. Правда не понимаю для чего нужны 15 бар, ведь для приготовления аутентичного эспрессо, основы кофейных напитков, достаточно 9.  Но!!! Эти "грамотеи", составлявшие инструкцию, пишут везде "эКспрессо" - посмешили.</t>
  </si>
  <si>
    <t>При выборе микроволновки было несколько требований: простое меню, мощность и многофункциональность.  Остановились на данной модели и пользуемся ей уже третий год.  Микроволновка разогревает и размораживает быстро и равномерно. При помощи режима конвекция выпечка получается превосходная.  Есть очень полезная функция таймер, благодаря которой можно не беспокоится , в нужное время микроволновка сама отключиться. За время пользования микроволновкой я ни раз не пожелала о выборе.</t>
  </si>
  <si>
    <t>Уже 4 года пользуюсь этой хлебопечкой, очень довольна. Пропекается хлеб всегда, тесто получается супер. Единственный минус- это отсутствие режима "Ржаной хлеб"</t>
  </si>
  <si>
    <t>2758</t>
  </si>
  <si>
    <t>нормальный тел за свою тему!!!!!!!!!!</t>
  </si>
  <si>
    <t>Аппарат стоящий. НО, ожидал большего от камеры (слишком велико время опроса камеры-дисплея, своей работой чем то напоминает когда то бывший у меня Nokia 3660, даже на предыдущем SE P990i камера "летает" быстрее.</t>
  </si>
  <si>
    <t>2396</t>
  </si>
  <si>
    <t>Ехал за филом, но в магазине продавец предложил посмотреть эту модель.  Долго сравнивал - качество картинки не хуже, по дизайну больше понравился, ну и цена соответственно.  Итог: через неделю поменял на филипс, потому как sony отбил все желание смотреть эфирные каналы, разница, как говорится, видна невооруженным глазом.  Из плюсов удобное меню, дизайн, неплохой звук.</t>
  </si>
  <si>
    <t>1370</t>
  </si>
  <si>
    <t>надеюсь,что тот кто собрался покупать сей агрегат сначала прочитают мой отзыв. Я года три пользовался самой дешевой машинкой филипс и был доволен. Было только одно неудобство-работа от сети. Недавно сломал случайно насадку и решил,что настало время купить новую машинку. Жена решила мне сделать сюрприз и купила это г...но. За внимание я ей конечно благодарен,но аппарат ужасный. Тяжелый,неудобный,быстро греется и сильно вибрирует в руке. Стрижет тоже неважно.</t>
  </si>
  <si>
    <t>Пользуюсь уже больше года. Посудомойка работает каждый день, никаких проблем и нареканий, иногда правда, если плохо разложить посуду, то бывают непромытые участки, но очень редко. И эта машинка действительно не приемлет таблеток типа 3 в 1, 5 в 1. Я пользуюсь отдельно порошком, солью и ополаскивателем и все просто отлично)</t>
  </si>
  <si>
    <t>2010-12-15</t>
  </si>
  <si>
    <t>Чудо!кудри очень красивые!эти электрощипцы мне очень понравились!</t>
  </si>
  <si>
    <t>Отвратительная сборка - очень быстро греется и соответственно выключается... помучился неделю - пошел и поменял на нормальный...</t>
  </si>
  <si>
    <t>1654</t>
  </si>
  <si>
    <t>Всем советую этот телефон!!я читал отзывы, все почти на что-то ругаются: то камера плохая,то гарнитура плохая,то тормозит,то ещё что-нибудь,я купил его,и мне очень сильно понравился,нигде не глючит,звук чистый,камера хорошая,корпус не разваливается,телефон просто супер!!!</t>
  </si>
  <si>
    <t>4020601</t>
  </si>
  <si>
    <t>2011-12-02</t>
  </si>
  <si>
    <t>Был шум, вибрация, после обследования компрессора, выяснилось, что обмотанный жгут проводов от компрессора, касается дна ниши, в результате вибрация этого жгута передается от дна холодильника на весь холодильник, итог - сильный гул при работе. Подложил под данный жгут кусочек поролона высотой около 3 см. И все, красота, достаточно тихо, уши не режет. Возможно позже, еще раз обследую нишу, дабы свести уровень шума к нулю (наклею виброизоляцию, шумоизоляцию от авто), но и сейчас уже в разы лучше, чем сразу после первого включения. Напряжение питания для компрессора в идеале 230-240 Вольт. У меня питается от стабилизатора с напряжением на выходе не выходящим за пределы 225-235 Вольт. Субъективно гул компрессора при этом чуть ниже, сравнивал с помощью регулировки напряжения ЛАТРом. Идеальные температурные условия при регуляторе холодильной камеры на максимум, а морозильной на минимум. При температуре в комнате от +20 до +26 градусов Цельсия.</t>
  </si>
  <si>
    <t>Купила месяца 4 назад эту гладильную доску и очень довольна покупкой! Она высокая, широкая, устойчивая - не качается в разные стороны во время глажки. Плечиками для глажки рубашек я не пользуюсь, но их можно убрать.</t>
  </si>
  <si>
    <t>2011-11-24</t>
  </si>
  <si>
    <t>Хороший плеер.Он у меня чуть больше года, работает нормально.Маленький, что несомненно очень удобно.Не глючит,кнопки не стёрлись.Памяти довольно много.Звук отличный,мне нравится.  Теперь о минусах.На морозе работает плохо, зарядку держит максимум часа 4,наушники почти сразу купила новые,родные быстро сломались,заряжается только от USB,что не очень удобно.Собственно всё.  Подводим итог: кому нужен нормальный и недорогой mp3 милости просим,покупайте.</t>
  </si>
  <si>
    <t>1977</t>
  </si>
  <si>
    <t>Из плюсов этой мясорубки могу выделить только дизайн и её компактность. Остальное, это минусы. Нож моментально затупился и вместо фарша я получаю на выходе кашу. Электронное табло которое показывает температуру и вовсе не нужно. Если Вы конечно не планируете целый день на ней что то крутить. Функция реверс, тоже не к чему. То что накрутилось на нож, обратно не размотается как не крути. Приходится отключать и снимать своими ручками.   Тот кто пишет что это хорошая мясорубка, видимо только хлеб на ней перекручивает. Извините уж, другого предположить не могу. Больше никогда не куплю технику этого производителя.</t>
  </si>
  <si>
    <t>706</t>
  </si>
  <si>
    <t>138</t>
  </si>
  <si>
    <t>2014-11-20</t>
  </si>
  <si>
    <t>Достоинства: Оптимальный размер, хорошее качество.  Купила сумку в дополнение к рюкзаку. Очень вместительная сумка при небольшом размере. Влезло: CANON 60D c установленным EF 24-105, EF 17-40, 430EX, 2 бленды, зарядное устройство + аккумулятор, пару светофильтров.   Для непродолжительных поездок без забегов по пересеченной местности, самое то. Особенно при выездах в Европу, где в некоторые музеи и места, не пускают с рюкзаком))  Недостатки: Нет чехла от дождя</t>
  </si>
  <si>
    <t>433</t>
  </si>
  <si>
    <t>Заказал и оплатил через интернет. На следующий день уже привезли!  Из основного:  Отлично упакован, удобный маленький слимовый пульт с мембранными кнопками (странно почему нигде нет его фоток), отличная сборка и приятный глянцевый белый пластик с серебристыми, добротно покрашенными передними вставками.  + Съемный воздушный фильтр с отдельно вставляемой в него сеткой (тоже не понятно почему нигде не указана эта полезная особенность). В работе шумноват как и положено ротору (но сама конструкция не трещит и не гуляет). Стена обдува куда лучше чем у обычного куллера, а малая занимая им площадь при работе поможет разместить его даже в очень маленькой комнате.  Из минусов.  Кнопки на самом устройстве использовать не удобно - мешает их чрезмерная жёсткость (Особенно если он в режиме движения). Но благо есть пульт, который исправляет это упущение.</t>
  </si>
  <si>
    <t>Игра конечно хороша,но до преведущей она не до тянола по качеству.движения рваные какие то.одиночка не плохая, а вот мультиплеер не дотягивает.берите на свой страх и риск.Игра на любителя.</t>
  </si>
  <si>
    <t>5170104</t>
  </si>
  <si>
    <t>2012-06-15</t>
  </si>
  <si>
    <t>Купили набор ножей в 2006 году, до сих пор ни разу не пожалели, лучшего качества пока не встречали, ножи очень удобные, переодически подтачиваем и только.</t>
  </si>
  <si>
    <t>2011-07-26</t>
  </si>
  <si>
    <t>Чайник в принципе не плохой, отработал 2 года, на данный момент сгорела помпа, замены нет. Собираюсь купить новый.</t>
  </si>
  <si>
    <t>2015-06-27</t>
  </si>
  <si>
    <t>ничем не хуже электронных! Не дорогие, но зато надежные! Механическим всегда доверял больше. Платформа – прочный пластик, мои 85 выдерживает без проблем. Максимальный вес – до 130 кг. Небольшие по размеру, но тяжелее чем любые электронные. И это понятно, но вам же их не носить. Мои стоят в ванной, там самый ровный пол и погрешности нет. Кстати и по цвету они в ванную вписались – такие же зеленые.</t>
  </si>
  <si>
    <t>Друзья мои,вытяжка просто супер,работает тихо, хорошо тянет, чувствительное сенсорное управление, хорошо вписывается в интерьер.  Качество сборки отличное, гораздо выше многих проверенных мною вытяжек.Своих денег она стоит.  Один совет из личного опыта: Если подключать в домовой вент. короб (не циркуляция), необходимо использовуать трубу диаметром 150мм, не меньше! в противном случае тяга будет значительно снижена.</t>
  </si>
  <si>
    <t>Все показывает правильно, видно издалека хорошо, очень симпатичный. Есть сайт производителя, где отвечают на любые вопросы. Жалко, что нет подсветки, но не критично.</t>
  </si>
  <si>
    <t>3181</t>
  </si>
  <si>
    <t>При включении парового удара пар выбивает только из отверстий носика, а не из всех отверстий подошвы, как показано в инструкции.Температура нагрева - максимальная,резервуар заполнен.</t>
  </si>
  <si>
    <t>штука классная, но чезер год перестал работать проектор (((( очень обидно.. именно из-за него и покупала...</t>
  </si>
  <si>
    <t>не прошло и недели, как весы стали глючить: выдают 114. приходится вставать несколько раз, чтобы заработали нормально.   но красивые и вес показывают точный.</t>
  </si>
  <si>
    <t>2192</t>
  </si>
  <si>
    <t>Ужасный пылесос! Пылесосит хорошо, но когда вытряхиваешь контейнер сам остаешься весь в пыли. Очень не удобные насадки, под кроватью не реально убраться. ОЧЕНЬ ЖАЛЬ ПО ТРАЧЕНЫХ ДЕНЕГ!</t>
  </si>
  <si>
    <t>2009-10-29</t>
  </si>
  <si>
    <t>Будь вы программист или обычный пользователь...Подойдет всем!!!  Супер скорость,графика,масса развлечений.  Покупайте и будет вам счастье.</t>
  </si>
  <si>
    <t>Вид и эргономика на 5. Вытяжка идет собранная. По поводу шумности да действительно шумит достаточно сильно на 2 и 3 скорости, но используются они кратковременно, в основном работает на 1 шум приемлемый. Клапан обратный был убран сразу, так как никакой необходимости в нем нет, соответственно стука тоже нет. Установка вытяжки заставила немного повозиться, повесить саму вытяжку на планку никаких проблем нет, но тогда не возможно поставить короб, приходится вешать прямо с коробом, но тогда очень не удобно устанавливать гофру.</t>
  </si>
  <si>
    <t>2016-01-31</t>
  </si>
  <si>
    <t>Как никак это PS3 от sony! А вот HDMI  нужен без него не так круто</t>
  </si>
  <si>
    <t>2017-05-29</t>
  </si>
  <si>
    <t>К минусам могу отнести лишь плохо различимую индикацию в табло с пиктограммами.</t>
  </si>
  <si>
    <t>2010-10-19</t>
  </si>
  <si>
    <t>Пользуюсь блендером 6 лет- еще не разу не подвел. Особенно пригодился когда ребенок появися-все еду для ребенка перетираю блендером</t>
  </si>
  <si>
    <t>2 дня назад купила данный выпрямитель для волос. Сначала хотела купить подороже и покруче, но купила этот и совсем не жалею.  На картинке можно увидеть кнопку управления, 4 светодиода слева (140, 160,180 и 200 градусов) и 1 светодиод справа (индикация нагрева).  Так вот, даже я если и включила выпрямитель в розетку, он не будет греться, пока я не выставлю температуру кнопкой.   Допустим если я выставила 160, у меня загорится подсветка температуры справа (160) и слева светодиод нагрева, который потухнет, если температура достигнута. В этом плане очень удобно.   Нагревается очень быстро (в принципе у всех так). Действительно, достаточно температуры 160, чтобы выпрямить (мои) волосы.  Провод вращается, есть петелька, а это плюс.  Минусы данной модели: отсутствие замка, чтобы щипцы были в сложенном состоянии; кнопка управления находится как раз в том месте, где моя рука держит выпрямитель - можно случайно установить другую температуру, тут конечно можно приноровиться.  Моя общая оценка: жирная пятёрка этому выпрямителю :-) и его стоимости. Аналогичные модели других фирм стоят на порядок выше, и скорее мало чем отличаются.</t>
  </si>
  <si>
    <t>Купили в декабре. Страшно довольны, минусов за пол года эксплуатации не выявили, кроме трудностей в уходе за керамической поверхностью. Дизайн радует. Очень рекомендую!</t>
  </si>
  <si>
    <t>2011-01-04</t>
  </si>
  <si>
    <t>Купил вчера эту модель телевизора ожидания оправдались и даже больше. Всем советую</t>
  </si>
  <si>
    <t>Вчера купил данный девайс.  Опыт №1:хлеб тяжелый,корка жесткая и толстая. Вывод:неправильно выбран рецепт.  Опыт№2:Хлеб воздушный,вкусный,ароматный.Вывод:необходимо экспериментировать и все получиться!</t>
  </si>
  <si>
    <t>Купил 26.02.2010.   Купонами оплатил 20% стоимости и получилось наличными-27990!Отличная цена,за которую желать чего-либо большего невозможно.Штатная программа отлично делает backup,только в сравнении c Akronis-очень долго.Видео карта очень неплохая,но к ней хотелось бы процессор,хотя бы P-серии.  До этого бука был HP HDX-16 1040er-умер смертью храбрых в гарантийный период и мне вернули деньги.  PB обошелся ровно в два раза дешевле и в сравнении с HP проигрывает совсем немного:1)чуть хуже проц.,2)немного хуже материалы корпуса(качество сборки-идентичное)),3)меньше жесткий диск,4)нет eSATA,5)нет PCMCI слота.Если проработает без нареканий больше 6 месяцев-буду рекомендовать.Всем удачных покупок!</t>
  </si>
  <si>
    <t>5240107</t>
  </si>
  <si>
    <t>2011-09-26</t>
  </si>
  <si>
    <t>Моей сковороде почти 2 года, можно выкидывать. Антипригарный слой разрушился, хотя пользовалась исключительно пластиковой лопаточкой Tefal и неабразивными моющими средствами. Разочарована, куплю самую дешевую, будет не жалко выбросить.</t>
  </si>
  <si>
    <t>1583</t>
  </si>
  <si>
    <t>Вытяжка просто прекрасная, не зря я все-таки сидела долго в интернете и все отзывы про нее читала)) Все оказалось правдой!! Она вообще по-моему к тому же и стильно выглядит, гармонирует с моей кухней))) У меня никаких плохих инцидентов с ней не происходило, все равботает просто на ура!! Вытягивает все лишние запахи из моей кухни моментально и предельно мало шумит!!!</t>
  </si>
  <si>
    <t>Отличный ноут)))) Никаких нареканий. Работает отлично))) Тянет такие игры, как: S.T.A.L.K.E.R. , METRO2033 и многие другие, требующие отличных характеристик)))</t>
  </si>
  <si>
    <t>Данная машинка по началу работала более-менее, пару-тройку раз. Потом стала вырывать волосы, стричь отвратительно... Сейчас вообще не заряжается, т.е. от аккумулятора подстричь не возможно. Пойдем возвращать, и менять на другую! Очень не советую приобретать данную технику, тоже жалею, что не прочитали отзывы о ней..</t>
  </si>
  <si>
    <t>2010-11-06</t>
  </si>
  <si>
    <t>Хорошие уши! Я уже использую вторую пару! Очень нравиться! Хорошие звучание, хорошо сидят в ухе! Правда провод жалкий =(</t>
  </si>
  <si>
    <t>2921</t>
  </si>
  <si>
    <t>+ цена. в конце 2011 взяла, стирала хорошо, почти бесшумно, режим детские вещи, легкая глажка(пользовалась пару раз всего) и доп полоскание  - слышно как наливается вода, очень громко при отжиме, порошок не весь вымывается из отсека для порошка когда наливается вода, после почти 5 лет службы стала глючить электронику, слив стал работать через раз отчего порой приходилось перезапускать ее по 100500 раз и могли стирать вплоть всю ночь... мастер по ремонту обьявил ремонт! почти что ее полная стоимость. если б не поломка то пользовались бы и дальше, так как устраивала  в общем неплохо для бюджетной</t>
  </si>
  <si>
    <t>Отвратительная машинка. Воду забирает со звуком ниагарского водопада, очень вибрирует, постельное белье выстирать невозможно - надо стирать по одной вещи и при этом караулить, чтобы не упрыгала, за полгода уже дважды вызывала мастера - скачет по кухне и глючит электроника.</t>
  </si>
  <si>
    <t>3033</t>
  </si>
  <si>
    <t>Пароварка уже два года используется всей семьей! Никаких нареканий! Работает слажено и исправно!!! Советую!!!</t>
  </si>
  <si>
    <t>2016-06-22</t>
  </si>
  <si>
    <t>Присматривала мясорубку компании Vitek, но консультант посоветовал машину Bork, цена её правда кусалась, но муж решил купить. Испробовала практически  всё, и мясо прокрутить на домашние котлетки, нашинковать капусту, терка тоже не разочаровала, и морковь, и свёклу одним махом на борщ:) Словом, хорошая помощница теперь у меня на кухне! Руки отдыхают, готовлю ещё с большим удовольствием! :)</t>
  </si>
  <si>
    <t>2016-01-25</t>
  </si>
  <si>
    <t>У меня этот чайник прослужил 4 года. Появилась течь небольшая. Снова выбираю именно этот чайник. Долго держит горячую воду, легко моется, хорошо выглядит.</t>
  </si>
  <si>
    <t>188</t>
  </si>
  <si>
    <t>Купила не так давно, недели так 2 назад. Слушаю каждый день по часов 8. Плеер ШИКАРНЫЙ!!    Если Вы ищите в плеере :  1 - !Отличное! качество музыки (Даже при родных ушах!!!)    2 - Довольно простое управление     3 - Держится оч долго (как и обещали)          У него металлический корпус, это тоже очень большой плюс           Минусы есть, но они незначительны! Сам посуди - самый "большой" при включении плеер обновляется секунд 20.     Вывод - Бери не пожалеешь!</t>
  </si>
  <si>
    <t>1053</t>
  </si>
  <si>
    <t>Купив этот телевизор я подключил к нему PS3, и консоль мне предложила разрешение 1080P. Чему я был приятно удивлен.</t>
  </si>
  <si>
    <t>1638</t>
  </si>
  <si>
    <t>2015-04-20</t>
  </si>
  <si>
    <t>Хорошо играет! Поставил вместо заводского !</t>
  </si>
  <si>
    <t>прошло более двух недель с момента покупки, минусов добавилось два, первый, телефон при недостатке оперативной памяти "перезагружается" ( у кого был 3250 поймет меня), второй минус, поставив телефон на зарядку думал он хоть как то будет показывать что заряжается, так вот, поставил на зарядку а телефон никак не сигналит что он заряжается)) это нормально, для того что бы увидеть что он заряжается нажмите просто на любую кнопочку дисплей загорится покажет что телефон заряжается...по поводу заряда, мучал акум в один день, 3 часа аськи, 1 час радио, и немного потестировал телефончик с java приложениями, и заряда хватило от утра и до ночи( как раз чтобы на зарядку поставить), что еще, немного не хватает памяти метров 40 бы думаю хватило) музыку играет так себе, слишком громко слушать через динамик невозможно слишком шумит)) через наушники нормально, проверял и в разговоре телефон, громкости динамика хватает что бы идти вдоль дорого с проезжающими машинами и слышать своего собеседника, у кого пропадает связь во время разговора советую телефончик держать в верхней части так как у него внизу антенна располагается..</t>
  </si>
  <si>
    <t>2015-01-05</t>
  </si>
  <si>
    <t>Замечательный водонагреватель. Работает уже больше 1,5 года.</t>
  </si>
  <si>
    <t>768</t>
  </si>
  <si>
    <t>Пользуюсь уже год и счастлив. Предварительно начитался негативных отзывов но все таки рискнул. В итоге за год эксплуатации ни одного зависания и прочей чуши из отзывов. Возможно криво людям установили или просто бывает категория людей - вечно недовольных. В общем пользуюсь, доволен безумно.</t>
  </si>
  <si>
    <t>Выбирал телик долго и муторно. Сначала хотел модель LH4000. Придя в магазин и сравнив особой разницы не увидел. Может 100 гц технология и улучшает как то картинку, но доплачивать 10к не захотелось.   Впечатления от просмотра HD фильмов - замечательно! Телик подключен к компу кабелем DVI-HDMI. Вход выбрал HD-DVD по причине того что при выборе в меню входа PC, слишком ограничены параметры настройки картинки. USB активировал с помощью ноута + аудио шлейфа и ИК диода. Быстро и без проблем. Теперь в меню есть вкладка USB. Все читает и проигрывает!</t>
  </si>
  <si>
    <t>Басс даёт вообще отлично.По началу было даже слишком мощно,потом привыкаешь и басов становится маловато. На полной тащит хорошо,слышно во всей квартире, каждый раз звонят соседи, ибо нужно сделать потише..Я ДОВОЛЕН ЭТОЙ ПОКУПКОЙ!!!БЕРИТЕ НЕ ПОЖАЛЕЕТЕ!!</t>
  </si>
  <si>
    <t>2014-11-01</t>
  </si>
  <si>
    <t>Купили по акции - работает отлично. Пятна отлично отстирывает - что засохшую грязь, что свежую, что вино, что шоколад, что ребенок на себя прольет. Режим "за 15 минут" - вообще то, что надо! Чуть- чуть шумит, но у нас  специальная комнатка - мини прачечная. Так что ни днем, ни ребенку не мешает абсолютно.</t>
  </si>
  <si>
    <t>Решили с теплом не затягивать и поспешили приобрести  сейчас. Отлично заменил батарею в квартире. Кто знает, какая зима настанет. Не хотелось бы попасть в такую же ситуацию, как это случилось летом с ветиляторами))).</t>
  </si>
  <si>
    <t>2011-05-08</t>
  </si>
  <si>
    <t>Я долго выбирала себе миксер и в итоге приобрела Bosch MFQ 3580. Миксер обалденный! Очень тихий, легкий, удобный в использовании и, достаточно мощный. Очень приятно, что в комплекте еще и блендер и универсальная чаша! Всем пользуюсь с удовольствием! Работает прекрасно! Купила и безумно рада моей покупке!</t>
  </si>
  <si>
    <t>2016-01-15</t>
  </si>
  <si>
    <t>Покупал в подарок. Отличная цена, качество, компактный.</t>
  </si>
  <si>
    <t>Прекрасный радиатор, за счёт каминного зффекта быстро нагревает большую площадь и поддерживает нужную температуру в комнате!! Не зря я послушала консультанта и приобрела именно этот радиатор!</t>
  </si>
  <si>
    <t>2011-05-05</t>
  </si>
  <si>
    <t>Отличная вещь. Ребенок 8 месяцев, любую еду измельчаем в считанные секунды.</t>
  </si>
  <si>
    <t>2727</t>
  </si>
  <si>
    <t>2013-03-14</t>
  </si>
  <si>
    <t>Купил год назад, поставил через усилок кикс кап 27, качает отлично, качество баса отличное. Не вижу смысла менять на более мощное, больше нет смысла(провода купил отдельно, более толстые чем они идут в комплектах)</t>
  </si>
  <si>
    <t>944</t>
  </si>
  <si>
    <t>отличная модель: хотите сделать изнего 3д телевизор  купите или закажите преобразователь 2д в 3д AB3DBOX</t>
  </si>
  <si>
    <t>1096</t>
  </si>
  <si>
    <t>Телефон отличный.Берите-не пожалеете.Слышимость в трубе как-будто я с человеком рядом стою,дисплей яркими цветами можно на выбор украсить, в темноте клавиши все видно благодаря яркой,красивой неоново-синей подсветке, крупными буквами пишет в телефонной книге,что немаловажно людям с плохим зрением.В общем все ,что заявлено в описании работает на ура.</t>
  </si>
  <si>
    <t>51</t>
  </si>
  <si>
    <t>2014-01-22</t>
  </si>
  <si>
    <t>Всем, кто размышляет - покупать или нет - очень и очень советуем приобрести! Настолько безукоризненные и в работе, и дизайн, и ничего с ним не случается, даже, откровенно говоря, поднадоело видеть один и тот же чайник не один год, но как выбросить (сменить), если он работает отменно? Вообще - это редкость из всех известных чайников такого типа.</t>
  </si>
  <si>
    <t>2014-07-31</t>
  </si>
  <si>
    <t>Пользуемся этим тостером уже года 2!!! Я в восторге от него!! Все равномерно прожаривает, 6 режимов+разморозка+подогрев булочек! Простой хлеб теперь есть неинтересно! А вот когда он горячий и хрустящий..ммм! И даже в подарок такой подарила друзьям!Моя оценка 5 из  10!:)</t>
  </si>
  <si>
    <t>2009-08-08</t>
  </si>
  <si>
    <t>Первое впечатление от колонок довольно-таки не плохое., качество звучания на любой громкости не плохое, хрипоты по крайней мере пока не слышно., Сабвуфер для его небольшого размера выдает очень не плохие низкие частоты...проверял на соседях., На мой взгляд есть и пару минусов этих колонок...это то что управления громкостью сабвуфера находиться на самом корпусе сабвуфера а не на пульте ДУ что могло быть очень удобным., А второй минус на мой взгляд это немного коротковатый провод который идет от колонок к сабвуферу. С уверенностью могу сказать что эти колонки стоят этих денег.</t>
  </si>
  <si>
    <t>1481</t>
  </si>
  <si>
    <t>2017-05-08</t>
  </si>
  <si>
    <t>В рюкзак можно кинуть</t>
  </si>
  <si>
    <t>2010-06-09</t>
  </si>
  <si>
    <t>Пользуюсь уже несколько месяцев - очень довольна. И лук быстренько измельчит и орехи. Даже фарш делаю им. Про миксер забыла - взбиваю венчиком. Очень довольна, прост в применении, легко мыть!</t>
  </si>
  <si>
    <t>Подарили данную шв.машинку на день рождения. Безумно ею довольна. Думала будет тяжело шить с кнопки, что не буду успевать отслеживать и придется пользоваться педалью. В итоге педаль лежит в мешочке, а запуск с кнопки оказалось - это такое удобство! Очень нравится регулировка скорости, освещение рабочей зоны. Множество строчек, оверлок, вышивка - это все просто чудо.   Были поначалу проблемы от неумения. Главная фишка - это заправлять и верхнюю и нижнюю нить против часовой стрелки. Теперь разобралась и все тип-топ.  Машинкой пользуюсь 1 месяц ежедневно, ставлю оценку 5!</t>
  </si>
  <si>
    <t>1143</t>
  </si>
  <si>
    <t>2014-01-19</t>
  </si>
  <si>
    <t>Сняли на 70Hz 148Db. Инфру не играет, вот это его минус. i cook не хлестает, флекса нет. А так 148дб норм. качаем скаром 4500 в 0.175ома. Провода кг 150</t>
  </si>
  <si>
    <t>Всё правильно, но через месяц активного пользования, сломалась сменная головка, где её брать даже не представляю</t>
  </si>
  <si>
    <t>Через 5 мес. после перезагрузки ПК лицензионная версия перестала работать и предлагает купить более дорогую версию оффиса.</t>
  </si>
  <si>
    <t>Отличная пароварка!!!Всем довольны!!!</t>
  </si>
  <si>
    <t>Купили 5 дней назад! Пока что нравится. Все доступно и понятно. Не хватает только 2 существенных вещей. 1. Когда ставишь на программу тушение, например варить суп, вылезает Время 1 час, далее выбором приготовление можно прибавлять но только стабильно по 30 мин, например нельзя сделать 1.час 15 мин, это уже сам если необходимо такое время должен следить и выключать. Немного неудобно но не так страшно 2. А вот то, что дисплей не имеет подсветки это огромное упущение!!!, стрелочка малюсенькая , пожилому человеку(мы купили маме в подарок) очень трудно разглядеть ее. А в Остальном просто отлично!</t>
  </si>
  <si>
    <t>телефон хороший мне нравится,заметил,что при нажатии правых верхних кнопок в углу экрана появляется как будто я пальцем жму в дисплей,хотя нажимаю на кнопку..</t>
  </si>
  <si>
    <t>1005</t>
  </si>
  <si>
    <t>2015-08-05</t>
  </si>
  <si>
    <t>Абсолютно не как CD! Как радио -да! Да и то, если низкие на 0, а высокие на 5 (max)! Но ухо быстро привыкает. Пульт чертовски не удобен!!! Надо тыкать в сам аппарат! Ща рулем не удобно! Supra за 230₽ по свойствам хуже не на много.</t>
  </si>
  <si>
    <t>1224</t>
  </si>
  <si>
    <t>Звук хорош, но изоляция провода около самих раковин быстро треснула и оголился сам кабель.</t>
  </si>
  <si>
    <t>Отличная машинка! Стрижет очень хорошо. У меня волосы довольно густые и растут достаточно хаотично, этот агрегат срезает равномерно и легко, не дерет, не цепляет. Рекомендую!</t>
  </si>
  <si>
    <t>толь ко купил.жена обкатает напишу отзыв.внешне и по функциям устраивает.</t>
  </si>
  <si>
    <t>Купила машину маме, стираем уже больше месяца. Очень довольны. Стирает тихо, качественно, не вибрирует абсолютно. Купили по акции за 8 450 руб. Купила бы и себе, но акция закончилась и теперь они на 5 000 руб. дороже. Была небольшая заминка при включении, кнопка видимо западала, надо было несколько раз на нее давить, чтобы включить, но пришел мастер и минут за 20 все отрегулировал и теперь проблем вообще нет.  Моя аналогичной марки вышла из строя, но мы ее эксплуатировали 8 лет на всю катушку. Она себя оправдала. Кто желает недорогую машину- советую.</t>
  </si>
  <si>
    <t>2010-07-22</t>
  </si>
  <si>
    <t>Прекрасный ноутбук, игры тянет просто на ура, и действительно исключением является Метро. Но эта мелочь не может испортить впечатления от данной машины. Единственное - при покупке ОЧЕНЬ тщательно проверяйте матрицу на предмет битых пикселей, тк свой получил в надлежащем виде только с 3го раза, первые 2 были с точками на экране.</t>
  </si>
  <si>
    <t>1688</t>
  </si>
  <si>
    <t>2010-11-14</t>
  </si>
  <si>
    <t>Удобно то что есть 16 гб памяти игрухи видео и музыку туда можно качать без остановки, с вай-фаем тоже очень удобно у нас в челябинске он есть повсюду.</t>
  </si>
  <si>
    <t>Провод наушников коротковат!А еще вместо обещанных 8-ми часов без подзарядки сдох через 6 и заряжается только от USB. А так плеер неплохой,стильный и очень удобно подошел к маленькому карману моих джинс,только так провода вроде дотягиваются!</t>
  </si>
  <si>
    <t>Все тут пишут типа плохой плеер, не берите. Просто у них рукие кривые или плохой плеер достался. Вот у меня хороший! Работает долго, без косяков. Уже больше года! Брал за 1600, сейчас 1300. Так что советую всем!</t>
  </si>
  <si>
    <t>2014-07-28</t>
  </si>
  <si>
    <t>Плюсы: 1) скорость + 10-20% от обычного утюга. 2) при глажке правая рука отдыхает. Нет вообще усталости 3) шнур питания сматывается как в пылесосе, это не выпендреж, а реально удобно 4) резервуар не 1.4, а 1.8 литра, в описании неточность. 5) 20 рубашек за 2 часа, теперь мой личный рекорд, при условии, что усталость только в ногах. 6) обычная доска вполне подойдет. 7) пара и жары от устройства почти нет. 8) рубашки перед глажкой все равно надо брызнуть водичкой, но зато потом вообще никаких напрягов. 9) постельное белье в 2 слоя спокойно можно гладить, в 4 не прогладит! 10) всем советую, этих денег  не жалко!</t>
  </si>
  <si>
    <t>Приобрели мне на 23 февраля. Хочу поделиться своим отзывом. Бриться очень приятно, также множество режимов мне понравилось. Ну и проммывать под водой тоже неплохо. Советую всем</t>
  </si>
  <si>
    <t>Отлично! Дует шикарно на всех скоростях, а шума от работы нет вообще, даже если на максимум ставить. Никаких нареканий, лучшая покупка этого лета.</t>
  </si>
  <si>
    <t>Весы были куплены 3 дня тому назад.  С виду вроде бы не плохие,да ещё и вроде бы проверенного бренда,который всегда думает о нас.На следующий день начались"глюки":стали зависать,показывать некорректный вес,загорались все индикаторы.Делали перезагрузку,меняли батарейки-результат тот же.  Принесли на обьен в магазин:при разговоре с консультантами выяснили,что все модели в "стекле"обладают такими недостатками.Взяли на обмен другие в пластмассовом корпуе,тоже Теfal,нареканий вроде пока нет.</t>
  </si>
  <si>
    <t>2016-09-19</t>
  </si>
  <si>
    <t>После 2-х недель пользования в некоторых местах начало отслаиваться антипригарное покрытие.</t>
  </si>
  <si>
    <t>2976</t>
  </si>
  <si>
    <t>Телефон отличный. Стоимость хорошая. За эти деньги...в телефоне есть всё самое необходимое. У меня его тоже украли....были после него другие...но я вновь покупаю его. Очень хороший телефон.</t>
  </si>
  <si>
    <t>Купил ноутбук позавчера.Ноутбук супер!!!Лёгкий удобный.Игры летают!  Карта поддерживает до 2.5Гб видеопамяти!!!Вообще ноутбук класс, всем советую!</t>
  </si>
  <si>
    <t>1701</t>
  </si>
  <si>
    <t>2010-02-10</t>
  </si>
  <si>
    <t>Звучание сильно зависит от плеера.  У меня iRiver T-60. Хорошее звучание, работают уже 1,5 года. Пока вот наконец сломались)  У меня модель VC - с регулятором громкости. Очень полезная штука.</t>
  </si>
  <si>
    <t>2017-02-26</t>
  </si>
  <si>
    <t>хороший звук</t>
  </si>
  <si>
    <t>582</t>
  </si>
  <si>
    <t>2014-06-24</t>
  </si>
  <si>
    <t>Купил данную модель в МВидео полгода назад. Жена до сих пор радуется удобству использования! Из плюсов - при своей мощности очень тихо работает! фарш получается зернистый и ничего не наматывается на нож! рекомендую всем кто хочет приобрести хорошую мясорубку! =)</t>
  </si>
  <si>
    <t>Хорошая бритва, чисто и качественно бреет!!! Но аппарат нежный и нужно четко соблюдать инструкцию производителя, если написано: менять сетку 1 раз в год, а лезвия через каждые 2 года, то надо менять не задумываясь!!! Сетку и лезвия свободно можно заказать на официальном сайте Panasonic. Также необходимо чистить бритву после каждого использования, от этого зависит долговечность работы, как движка, так и других деталей.</t>
  </si>
  <si>
    <t>А у нас она прослужила 1 год и 1 мес и тоже полетел модуль, замена которого не целесообразна из-за цены....так что огорчила покупка-то</t>
  </si>
  <si>
    <t>Хороший телевизор в своей ценовой категории, картинку как на ТВ за 50-60 тыс. руб. ждать глупо. Перепрошивать и активировать USB не собираюсь, соединил с компьютером, поставил как второй монитор и смотрю фильмы весящие за 10 гигов с винта в HD-качестве, кстати использовать его как монитор небуду, для этого есть нормальное решение проблемы и кстати тоже LG. Что касается TV-сигнала, картинка Триколора - есть качество Триколора, бесплатные каналы и видео соответствующее, но метров с 2,5-3 смотреть можно. Аналоговое TV - честно говоря думал будет хуже и этим фактом был приятно удивлён.   Короче, если денег немного - берите, вряд ли пожалеете, все равно на более дорогой их нет, ну а когда получите более оплачиваемую работу или наследство, то это будет уже совсем другая история.  P.S. Кстати - функции PiP (картинка в картинке) в данной марке НЕТ.</t>
  </si>
  <si>
    <t>Не плохие наушники начального уровня за такие деньги, но средние и высокие частоты порой просто размыты на фоне грубых низких.</t>
  </si>
  <si>
    <t>Ни разу об этом не жалею, работает на ночном режиме практически бесшумно, днем в нормальном режиме я его тоже почти не слышу, общие шумы заглушают его работу. Желаю всем удачи в выборе своего комфорта.</t>
  </si>
  <si>
    <t>Говоря по существу - телевизор просто супер! Очень доволен. Целенаправленно брал Венгрию. Нисколько не греется и не шумит. Сразу же обновил ПО, причем делал не по инструкции, описанной в pdf, а как-то само собой. Вставил флэшку, включил ТВ и он сам начал перепрошиваться. В общем умный агрегат. Из минусов пока был замечен только один - долго включается, а после включения долго "догружается" до рабочего состояния. В общем берите, не пожалеете. Думаю, что дешевле просто не найти (если конечно не рассматривать вариант LG).</t>
  </si>
  <si>
    <t>Купил Бабуле в подарок делать сок (много сока) для вина на дачу, долго сомневался. У тестя Bork S400 жмёт супер - но стружку неудобно убирать. Про эту модель писали много плохого, но после тестевской не верилось. Купил. Пробовал сразу на мельбе свежей (с дерева)- по ощущению: сколько продукта бросил в неё - столько и вышло сока. Жмых сухой (но чуть влажнее чем в S400 - там оборотов поболее, хотя надо их рядом ставить и трогать. Лежало на столе пол помидора и огурец, скорость пониже и отжал - первый и приятный опыт пития настоящего томатного сока, правда с огурцовым. Ну очень вкусно.&amp;nbsp;</t>
  </si>
  <si>
    <t>Я уже его купил.СУПЕР.</t>
  </si>
  <si>
    <t>Быстрый нагрев, стайлер выпрямляет волосы хорошо! Единственный недостаток - нет кнопки для закрытия, щипцы остаются в открытом состоянии. И вообще какие-либо кнопки отсутствуют, включение только через вилку, Футляра для хранения нет, поставляются в обычной коробке.</t>
  </si>
  <si>
    <t>2117</t>
  </si>
  <si>
    <t>Хорошая плита. Купили вместе с варочной панелью. 4 года эксплуатации - печет отлично - хорошо, что есть возможность комбинорования верха и низа для нагрева. Соглашусь, что открывать при выпекании /запекании чего-либо надо осторожно - вылетает клуб пара. Но это не недочет данной духовки - все так работают (тем более, что есть принудительная конвекция).</t>
  </si>
  <si>
    <t>Изначально собирались купить 5355, но почитав отзывы решили, что и эта модель неплохая, да и разница в цене стала ощутимой,на него сейчас скидка.Вчера решились и приобрели данный пылесос.Сразу пропылесосила с турбощеткой. Все отлично: мощный,приподнимает палас,работает от всех розеток,турбощетка прекрасно собирает шерсть(кошка).Открыв контейнер была в шоке,от количества мусора.</t>
  </si>
  <si>
    <t>2010-01-30</t>
  </si>
  <si>
    <t>А я делаю проще за неимением противогаза - вынимаю контейнер с пылью и несу все это хозяйство под кран, а потом, уже влажную пыль вместе с водой выливаю в унитаз. Попробуйте, так намного лучше :) !</t>
  </si>
  <si>
    <t>384</t>
  </si>
  <si>
    <t>2014-05-03</t>
  </si>
  <si>
    <t>От провода с магнитолы усилитель действительно работать не хочет (пришлось ставить обычную провод перемычку, до выключателя пока руки не дошли). Играет усилитель сверх моих ожиданий. Главное - правильно выставить настройки и на усилке, и на магнитоле. К проводам чувствителен. Аппаратом доволен. Чистая четверка.</t>
  </si>
  <si>
    <t>Отличная машина. Прекрасная оверлочная строчка, тихий ход. Чехол, кстати есть, мягкий!!!Рекомендую всем.</t>
  </si>
  <si>
    <t>может гладит он и хорошо, НО товарищи!! как же он ВОНЯЕТ!!! не берите этот утюг никогда в жизни!! второй день воняет. если завтра не задохнусь пойду менять!!</t>
  </si>
  <si>
    <t>2212</t>
  </si>
  <si>
    <t>Игра очень затягивает. Купили сразу 2 контролера Мув, чтобы с женой играть. Разделили все виды спорта по 3 каждому и завоевывали высшие награды. Так как у меня сидячая работа - движения в этой игре очень помогли размяться. Реиграбельность великолепная, спустя месяц после получения платины играется на ура. Для игры в компании просто супер.  Все виды спорта где просят второй контроллер лучше играются именно с двумя контроллерами.</t>
  </si>
  <si>
    <t>5240104</t>
  </si>
  <si>
    <t>Вся посуда фирмы Tefal  отличного качества!</t>
  </si>
  <si>
    <t>1617</t>
  </si>
  <si>
    <t>Купила месяца три назад и очень довольна. Пользуюсь почти каждый день, хотя думала, что буду не чаще пары раз в месяц. Единственное, что не очень нравится - мощности многовато, хватило бы, мне кажется, и 450 W, а так - чем мощнее, тем шумнее.  Очень удобен большой измельчитель.   Все моется и собирается-разбирается очень легко, то есть не лень доставать блендер, даже если обработать нужно очень небольшое количество продуктов.   Время экономит - фарш на целую кастрюлю котлет делает за несколько секунд, суп-пюре делает мгновенно.</t>
  </si>
  <si>
    <t>802</t>
  </si>
  <si>
    <t>Сочетание стоимость-качество-железо соблюдено.  Хороший выбор для игр за эти деньги.  Небольшой минус в сторону дисплея - слишком маленький угол обзора</t>
  </si>
  <si>
    <t>Нормальная терка - я доволен.  А Дмитрию из Москвы хочу сказать - что техника в руках "мавра" превращается в орудие убийства.</t>
  </si>
  <si>
    <t>2010-11-19</t>
  </si>
  <si>
    <t>Очень мощный,хороший пылесос.</t>
  </si>
  <si>
    <t>2125</t>
  </si>
  <si>
    <t>Муж подарил, выпрямитель очень хороший, пользуюсь год, берите не пожалеете=)</t>
  </si>
  <si>
    <t>Перед покупкой сомневался долго. Дело в том, что несколько лет назад семья смотрела НТВ+. Потом отказались, во-первых, довольно дорого, во-вторых как-то и телевизор смотреть некогда было.   Но весной задумались снова о спутниковом ТВ. Откровенно говоря, начитался отзывов в интернете, прочел о каждом из существующих сейчас операторе. В итоге остановились с домашними на Триколоре. Подкупил размер абонентки. Просто пакеты каналов везде примерно одинаковы, качество приема также, так что возник вопрос - зачем переплачивать. Тем более, что огромное количество каналов никто никогда не смотрит. Просто есть предпочтения из нескольких наиболее интересных. Кроме того, нравится, что Триколор постоянно что-то добавляет, развивается. Уже только за несколько месяцев, насколько знаю, и Кинозал появился, и радио, и еще это Геокодирование, теперь прочитал, что до конца этого года много новых каналов будет. Так что для меня и моей семьи вопрос о спутниковом телевидении закрыт - теперь только Триколор.</t>
  </si>
  <si>
    <t>Долго искал недорогой комплект в рабочую машину Ваз 2110 (шумки нет совсем;)), присматривал, слушал и сравнивал. Купил данный комплект и вместе с другом установили его в гараже за 3 часа и из инструментов понадобились лишь крестовая отвёртка и пассатижи;) (в комплекте есть всё кроме акустического провода для подключения усилителя к сабвуферу, конденсатор он же накопитель покупать не стал т.к. при мощности данного комплекта не вижу в нём ни какого смысла), всё что хотелось получить от данной покупки я получил сполна т.е. низов достаточно и достаточно с лихвой (если Вы конечно и не преисполняетесь желание озвучивать весь своё двор).</t>
  </si>
  <si>
    <t>2011-12-13</t>
  </si>
  <si>
    <t>Из вышеперечисленного, только шум.  Крышка на месте, уровень воды виден, надписи все на месте.   Единственное, чего не сказано - легко царапается краска, из-под которой виден металл. Не совсем эстетично.</t>
  </si>
  <si>
    <t>2210</t>
  </si>
  <si>
    <t>Этот пк просто супер, очень доволен им))</t>
  </si>
  <si>
    <t>2710</t>
  </si>
  <si>
    <t>Вроде ничего!!!</t>
  </si>
  <si>
    <t>2012-10-12</t>
  </si>
  <si>
    <t>Купила плиту месяц назад. Качество Максвелл не радовало никогда, а тут выбора особо не было. Приобрела с ПДО - так надежнее, ведь товар до 5000 рублей. Если сломается - поменяю на новую. Но пока менять не потребовалось, работает неплохо. Единственный минус - очень долго нагревается.</t>
  </si>
  <si>
    <t>2009-08-10</t>
  </si>
  <si>
    <t>Очень хорошая вещь, мне понравилась</t>
  </si>
  <si>
    <t>В продолжении к своему отзыву напишу про работу духовки - на самом деле это ужасно - обожгла себе палец, когда зажигала ее первый раз!!! Духовка не загорается с первого раза и даже со второго не загорается - ЗАГОРАЕТСЯ С ДЕСЯТОГО РАЗА!!! Я прочла в инструкции, что там стоит термостат, типа защита от утечки газа, пока он не нагреется - духовка не будет гореть. Нужны длинные спички или деревянная шпажка, поджигаешь и держишь ручку включенной, как только ручку опускаешь газ прекращает гореть и так 10 раз, пока не нагреется этот термостат. В первый раз извела 10 спичек и сегодня столько же, а сколько нервов уходит на поджиг духовки - хорошо я пеку не часто.</t>
  </si>
  <si>
    <t>2712</t>
  </si>
  <si>
    <t>после длительного использования у мя стали выпадать волосы,так что я жалею о том что приобрела данный выпрямитель...тоже купилась на кнопочки и ионизацию...а зря...лучше бы купила простой выпрямитель!!!</t>
  </si>
  <si>
    <t>1653</t>
  </si>
  <si>
    <t>очень хорошие,простые,комфортные ушки!!! очень и очень удобные!!! звук качественный,сбалансированный. бас есть,но не как в вакуумных.</t>
  </si>
  <si>
    <t>2108</t>
  </si>
  <si>
    <t>2010-08-28</t>
  </si>
  <si>
    <t>плеер хороший. но случилось как-то он сам поменял язык на китайский. не знаете, что делать??(((((((((</t>
  </si>
  <si>
    <t>Телефон хороший, пока не глючит, перегружается правда когда в нэте сижу и в это время  плеер работает с гарнитурой+переходник. Очень удобный, тонкий, бывает забываю в каком кармане лежит:)</t>
  </si>
  <si>
    <t>2014-05-31</t>
  </si>
  <si>
    <t>Купили весной. Работает месяц. Источает резкий химический запах. Пользуемся только, тогда, когда нас нет в комнате, чтобы охладить стены. При охлаждении внутренний блок трещит, на жалюзи образуется конденсат. Наружный блок шумный. Не купили бы никогда. Но охлаждает быстро. Однако кому захочется дышать химическими концентратами.</t>
  </si>
  <si>
    <t>2442</t>
  </si>
  <si>
    <t>2015-01-29</t>
  </si>
  <si>
    <t>Набор не понравился - очень слабо работает - мощности не хватает даже на заусенцы и кутикулу, про педикюр даже речи не идет.   Сушка лака - просто струя холодного воздуха, особо толка нет.  Из достоинств - только компактность и наличие большого кол-ва насадок - но они в итоге бесполезны.</t>
  </si>
  <si>
    <t>Никита, и насколько удобна крестовина? В сравнении с wireless (или обычным проводным) геймпадом? А как обстоят дела со стиками, кнопками, триггерами?</t>
  </si>
  <si>
    <t>один минус который реально бесит: глянец. ноут очень легко покрывается отпечатками пальцев. в остальном действительно хорошая машинка.блютуз работает без проблем.  P.s. ток вот не понял как он может работать 3.5 часа. при просмотре видео, лично у меня он работает около 2-2.5 часа(профиль экономии энергии)</t>
  </si>
  <si>
    <t>2012-09-05</t>
  </si>
  <si>
    <t>Этот выпрямитель мне подарил муж на 8 марта! Просто супер! Поначалу переживала, что он повредит моим светлым волосам на высоких температурах, а на низких просто не выпрямит, но он не только не повредил, а, наоборот, волосы выглядят восхитительно! Отлично выпрямляет при 170 градусах, волосы гладкие, сияющие, мягкие, как шелк! Перестали сечься кончики и волосы за эти полгода использования заметно отросли, хотя регулярно посещаю парикмахера. Всего 10 минут и волосы как после салона! Рекомендую всем, не пожалеете!</t>
  </si>
  <si>
    <t>2551</t>
  </si>
  <si>
    <t>2013-01-10</t>
  </si>
  <si>
    <t>Печка просто замечательная. Пользуемся уже 4 года. Использовали как полноценную замену духовке. Пироги в ней просто волшебные! Ни разу не подвела!</t>
  </si>
  <si>
    <t>не греет. Скупой платит дважды.</t>
  </si>
  <si>
    <t>2013-08-14</t>
  </si>
  <si>
    <t>Мы долго думали и еще дольше выбирали и модель и фирму... Облазили весь Интернет! Когда увидела эту, S700 то поняла, что хочу только её! :)) плавно регулируемая скорость, возможность отжимать мягкие ягоды и жесткие овощи, типа морковки - это то, что надо! К тому же в этом году на даче много яблок - а значит, предстоит битва с урожаем!:))) И очень хорошо, что загрузочное отверстие 84 - не надо резать, чистить... Купили! привезли и сразу же опробовали! 5 штук апельсин - половину решили со шкуркой пропустить (сразу скажу - тот сок что со шкуркой, понятное дело - горчит), половину - очистила, штук 10 средних яблочек и 1 морковка:)) В результате - свежий сок на 3х человек, каждому по вкусу (я добавляла в яблочно-морковный часть апельсинового, чтоб и полезно, и не горчил):)) Сидим, довольные, как 101 китаец!:)) В выходные повезем на дачу, будем тестировать выжималку в боевых полевых условиях!;))) но уже сейчас могу сказать, что деньги свои она оправдывает - собирается -разбирается - моется легко, сок жмёт качественно, скорость регулирует, по столу не скачет - что еще надо?... P.S. Ой, забыла про жмых сказать:)) Жмых не скажу, что сухие опилки, но выжать из него хоть каплю - я не смогла:)) Вот теперь - всё!</t>
  </si>
  <si>
    <t>2009-08-06</t>
  </si>
  <si>
    <t>В версии ОS 2.0 и даже в 2.2.1 нереализована функция видеосьемки. А вот в версии OS 3.0 эта функция уже присутствует</t>
  </si>
  <si>
    <t>Купил вчера, конечно немного сомневался по поводу фирмы. Приятная подсветка, удобная ручка, да и выглядит стильно. Сначала был сильный запах пластика, но после 5 закипаний исчез. Работает тихо, и самое главное: двойные стенки, были приятно удивлены, что спустя  1.5 часа вода кипяток! Советую к приобретению:)</t>
  </si>
  <si>
    <t>2016-02-12</t>
  </si>
  <si>
    <t>Считаю отличный фен за свои деньги!Пользуюсь с удовольствием!Волосы не сжигает,в руке удобно держать,симпатичный дизайн,а также есть ионизация воздуха и регулировка температуры и подачи воздуха.Советую!</t>
  </si>
  <si>
    <t>Долго не решались на покупку водонагревателя, все думала, что две недели в году погреть воду кастрюлями несложно. Но в последнее время воду стали отключать слишком часто и терпение лопнуло - купили водогрей. Haier выбрали, основываясь на отзывах в интернете, да и сами кое-что почитали) Данная модель привлекла ценой и характеристиками, защита внушает доверие, качество сборки радует, мощности достаточно, вода нагревается достаточно быстро и в течение долгого времени остается теплой. Очень удобно им пользоваться и энергии расходует не много, а то я именно по этой причине отказывалась от водогрея</t>
  </si>
  <si>
    <t>1719</t>
  </si>
  <si>
    <t>2009-09-01</t>
  </si>
  <si>
    <t>Телевизор действительно хорош. За эту сумму вообще шик)</t>
  </si>
  <si>
    <t>Телефоном очень доволен. Телефон Очень хорошо лежит в руке, клавиатура удобна, меню мне также очень нравится . Но есть и минус это датчик освещённости - он на мой взгляд ненужен. До этого я пользовался MOTOROLA L7 там тоже есть датчик освещённости, но он не регулирует яркость экрана, а только включает подсветку клавиатуры, что удобно. Насчёт того, что говорят, что он не очень громкий, то это опять же это смотря с чем  сравнивать, по сравнению с моим старым телефоном, то одинаково. Одним словом, я остался доволен.</t>
  </si>
  <si>
    <t>2012-12-23</t>
  </si>
  <si>
    <t>Недавно приобрела такую фен-щетку, теперь укладывать волосы стала гораздо быстрее, очень экономит время т.к. не нужно щетку крутить самой и еще совсем отказалась от щипцов для выпрямления. От специальной насадки (для выпрямления)получается тот же эффект, но только не при таких высоких температурах! Я очень довольна!</t>
  </si>
  <si>
    <t>витек есть витек</t>
  </si>
  <si>
    <t>Купили газовую плиту Greta 1470-0012, от плиты пока в восторге,духовка печет идеально, выпечка получается румяная и пышная!</t>
  </si>
  <si>
    <t>1368</t>
  </si>
  <si>
    <t>Эпилятор замечательный!!!Практически не пропускает волоски и никакой боли!!!Очень довольна!Спасибо производителям!Рекомендую особенно начинающим!</t>
  </si>
  <si>
    <t>1839</t>
  </si>
  <si>
    <t>Я в полном восторге!!! Всем советую - очень удобный, громко воспроизводит музыку как в наушниках, так и без, меня устраивает</t>
  </si>
  <si>
    <t>У отца Ай фон 3г. (у меня Нокиа Н95) В принципе звонить можно, видео посмотреть, да в инете полазать. Но, раздражают некоторые глупости, например, почему телефон не может через блютуз отправлять фотографии, мелодии и т.д.? Так сложно поставить камеру хотя бы на 5мп? Почему нельзя сменить акб? Рычажек отключения звука живт своей жизнью - переключается в кармане как хочет. И когда появится айфон с поддержкой сетей 4г?</t>
  </si>
  <si>
    <t>2015-10-24</t>
  </si>
  <si>
    <t>Покупая 4 года назад этот термочайник, никак не рассчитывал на то, что его хватит так надолго. При покупке предлагали специальный купон, который даст возможность обменять чайник на новый при поломке в течение первого года (если не изменяет память), но необходимости в таком купоне я не увидел - и правильно сделал. Абсолютно исправно термопот работал приблизительно первые два года использования. В дальнейшем стало барахлить температурное реле - кипячение не отключалось, хотя вода активно бурлила (но эта проблема решалась очисткой бачка от накипи - как известно, накипь нарушает теплопроводность и поэтому датчик температуры не желал срабатывать). Еще примерно через год сломалась кнопка повторного кипячения (единственной возможностью запустить воду на кипячение стало долить холодной воды). Ну, а к началу 5-го года эксплуатации отвалилась верхняя часть крышки... И даже после этого чайник исправно выполняет свой функционал - кипятит воду и поддерживает температуру горячей воды. И сама собой снова стала работать кнопка повторного кипячения:)</t>
  </si>
  <si>
    <t>2011-02-20</t>
  </si>
  <si>
    <t>Купили себе, очень понравился, потом купили родителям, они сначала отнеслись к нему скептически, сейчас купили бабушке и на дачу. Вообщем вся семья в восторге, жалоб на него нет никаких.</t>
  </si>
  <si>
    <t>Стирает отлично!!! Автоматом в лево и право, можно просто с хозяйственным мылом, выполаскивает на отлично, стирает тихо и качественно. Стирка зависит от подбора мыла. Единственное нет отжима, но для малых вещей он и не нужен...можно отжать руками..))</t>
  </si>
  <si>
    <t>Купил коммуникатор в М.Видео. Доволен, телефон прикольный. Из неточностей хочу отметить:  1. Цена все таки не 9990, а 8490. Приятная разница.  2. Страна производитель не КНР, а Китай. :-)</t>
  </si>
  <si>
    <t>2010-11-09</t>
  </si>
  <si>
    <t>Купили с мужем машинку 2 ноября!Претендентку на роль помощницы выбирали тщательно!Увидев эту машинку,почитав характеристи и отзывы,я в нее просто влюбилась!Дизайн красивый, стирает великолепно!Очень тихая!Уже опробовала все режимы стирки, нареканий нет!!!Умная и оличная помощница для хозяек!!!!Всем советую!</t>
  </si>
  <si>
    <t>454</t>
  </si>
  <si>
    <t>Отличный ноутбук! Всё устраивает, быстрый, мощный (для своей ценовой категории), игрушки вполне достойные тянет на ура! Единственно, заметил что уж на самых мощных играх греется за 100 градусов, что не есть хорошо...) Ну что поделать, не настольный же)</t>
  </si>
  <si>
    <t>2642</t>
  </si>
  <si>
    <t>Фен очень понравился, работает хорошо. Так же можно делать разные укладки, но нужно научиться. Поток воздуха хороший, так же радует функция "холодный воздух". так что этот фен советую покупать)</t>
  </si>
  <si>
    <t>Наушники отличные, с хорошим мягким басом, достаточно громкие. Про то что провод хлипкий или уплотнители отклеиваются сказать не могу... Ежедневно езжу в колледж и кладу плеер с проводом в карман, скрутив провод, и все нормально. Сидят довольно удобно, уши не устают. Сначала слушал с большими насадками, постоянно вываливались из ушей. Затем заменил на те что по меньше (идущие в комплекте) и все стало на свои места) Как заядлый меломан уважающий качество звучания ставлю изделию твердую 5 и рекомендую для покупки!</t>
  </si>
  <si>
    <t>5240101</t>
  </si>
  <si>
    <t>Ручка на крышке припаяна ооочень слабо. Отвалилась при мытье посуды руками. Удара не было. Вот такое качество(((</t>
  </si>
  <si>
    <t>667</t>
  </si>
  <si>
    <t>Машинка в целом хороша, легкий, дизайн притягивает, дисплей очень приятный, гарантия 2 года и тачпад очень удобный, клава полноразмерная, ну и начинка хорошая за такие деньги, минусы тоже есть: главный- это материнка, связующее звено всех компонентов системы, потом видео впаяно в материнку, т.е. замена и ремонт исключены (разогнать тоже ничего не смог), неудобно расположение популярных портов usb, одна находится непосредственно в углу корпуса, другие 2 в задней части ноута,так что если ближний порт занят мышью, флещку вставить будет не просто, кнопка Fn и Ctrl их бы местами поменять-постоянно путаюсь пока не привык, нет bluetooth, hdmi.</t>
  </si>
  <si>
    <t>1584</t>
  </si>
  <si>
    <t>Это первый тостер, поэтому сравнивать не с чем, вообщето я уверен, что конечный результат зависит в основном от качества и типа используемого хлеба, работает каждый день уже почти полгода, пока без поломок, но вот подпрыгивают тосты действительно слабовато.</t>
  </si>
  <si>
    <t>сначала обрадовался, поигрался неделю и отложил: аккумулятора не хватает, в ушах жмет, с головы слетают, звук средний...</t>
  </si>
  <si>
    <t>Плеер отличный! В комплекте 3 диска Blu-Ray, кабель HDMI тоже в комплекте. Внешний HDD NTFS на 1 ТБ видит без проблем, *mkv читает отменно. Проигрывает диски DVD без нареканий даже самозаписанные, единственное не видит с внешнего винта файлы *.vob. По сравнению с DVD плеером грузится гораздо быстрее, не важно Blu-Ray или DVD диск. В общем всем рекомендую!</t>
  </si>
  <si>
    <t>Телефон неплохой, мне сразу понравился))</t>
  </si>
  <si>
    <t>2013-12-24</t>
  </si>
  <si>
    <t>Купили недавно по акции, очень доволен. Приятно пользоваться. Один только минус - сначала нужно на панели выбрать комфорку, а уже потом включать её или изменять мощность. Если одновременно готовить несколько блюд, то приходится много кнопок тыкать.</t>
  </si>
  <si>
    <t>очень хорошая сплит система за смешные деньги ! с ионизатором воздуха, воздух горный прям, идеальная атмосфера дома!</t>
  </si>
  <si>
    <t>2013-04-21</t>
  </si>
  <si>
    <t>В принципе наверное золотая середина цена/качество. Для начального уровня его с головой хватает. По поводу регулировки высоких и низких частот - не распаяно. Кроссовер на нем ну просто минимальный. Поэтому без нормальный головы он играть не будет. Греется в пределах нормы. Не знаю у кого там проблемы могут быть... Линейность тоже хорошая.</t>
  </si>
  <si>
    <t>Пользовалась им около 10 лет, и не только я, но и все члены семьи по 7 раз в день. Сломался. Печально...купила бы снова такой же, но нигде нет в наличии.</t>
  </si>
  <si>
    <t>2014-08-12</t>
  </si>
  <si>
    <t>Чайник как чайник, кипятит быстро, почти бесшумно, легко моется. Первые разы при наливании в кружку вода из носика проливалась, но потом видимо приноровились и проливаться перестало. Из миленьких чашечек, входящих в комплект, хорошо швыркать китайский белый и зеленый чаи!</t>
  </si>
  <si>
    <t>Ноут действительно хорош, давно к нему примерялся, всё выше всяких похвал, за исключением наверно через чур дохлой батареи и отсутствия драйверов под операционную систему Windows XP</t>
  </si>
  <si>
    <t>Просто отличный компьютер все игры без тормозов и на полной графике. А что по поводу xlive.dll просто надо  установить его как приложение и все пойдет. (Приложение games live. - Это Николе из Запорожья.</t>
  </si>
  <si>
    <t>2010-06-12</t>
  </si>
  <si>
    <t>Долго выбирали,читали отзывы и наконец выбрали!Не прогадали.Отличный чайник! Приятный цвет и дизайн. По всему видно что вещь надежная!Советую всем.Берите не пожалеете.</t>
  </si>
  <si>
    <t>Машинка очень понравилась. Купила месяц назад. Так как я не швея, машинка нужна была для домашнего пользования. Шьёт мягко, тихо. Переживала, что не сможет прошить джинсы, но зря, справилась без проблем. Я довольна покупкой.</t>
  </si>
  <si>
    <t>2011-01-05</t>
  </si>
  <si>
    <t>плееру 5 дней,перестал включаться и не отображается на компьютере</t>
  </si>
  <si>
    <t>2011-08-03</t>
  </si>
  <si>
    <t>Замечательная машинка, компактная, стирает хорошо. Очень рада что её выбрала.   А недостатки типа: "оставляет немного порошка в лотке", это не смертельно на мой взгляд)</t>
  </si>
  <si>
    <t>Подарила маме на Новый год, мама очень довольна. Гладит хорошо, длинный шнур, паровой удар. В общем покупка оказалась удачной, всем рекомендую!!</t>
  </si>
  <si>
    <t>1955</t>
  </si>
  <si>
    <t>Плюсы: Всеядный мультиплеер хорошо работает и флешками и с переносными HDD, возможность подключения к интернет и подключения к компьютеру (на ПК видит папки и читает файлы), возможность подключения точки доступа WiFi, много нужных и ненужных настроек. Красивый дизайн. Масса технологических новинок и все работает.    Минусы: Предустановленные настройки звука и изображения очень некорректны, нужно перенастраивать в ручную.   Низкокачественный звук как в очень дешевых телевизорах, голоса сливаются со звуковым фоном, звук глухой как будто параллон перед динамиками вставили, ручная настройка звуковых эффектов и эквалайзера улучшила качество звука совсем немного.   Изображение в режиме "кино" или "обычное" темное и тусклое, в режиме "динамический" все яркое и "сочное" но отсутствует(сливается) детализация на светлом и темном фоне (завышена контрастность), ручные настройки параметров не намного увеличили качество, нет "золотой середины" (либо тускло либо засвечено).   Среднее качество приема телеканалов, нет усилителя, нет полноценных функций повышающих качество приема и улучшения просмотра телеканалов.    Вывод: Изображение и звук низкого качества. Если размер телевизора не очень принципиален, то за эти деньги рекомендую выбрать Samsung более престижной серии но меньшего размера, или присмотреться к другим производителям TV.     Сейчас сожалею о покупке, так как три года назад покупал родственникам Samsung le32m87bd 32'' довольно престижной серии и  очень доволен его звуком и картинкой.</t>
  </si>
  <si>
    <t>2009-08-13</t>
  </si>
  <si>
    <t>Отличный телевизор особенно если успели взять по акции за 24990,+5000 картами вам в карман. Матрица SPVA Samsung, а если рискнете залезть в сервисное меню и включить три заветные опции то получите возможность воспроизводить AVI,VOB и о чудо MKV FullHD+DD с USB входа (flash диски и даже USB HDD который также куплен по акции скидка 50 % на 320Gb)</t>
  </si>
  <si>
    <t>2426</t>
  </si>
  <si>
    <t>2014-02-10</t>
  </si>
  <si>
    <t>Все хорошо. Вот только шланг оставляет желать лучшего, пластмассовый периодически перегибается. минус нет щеток нормальных. В целом доволен, соотношение цены и качества.</t>
  </si>
  <si>
    <t>Печка отличная, хлеб из нее суперический. управление удобное, подает 3 сигнала (засыпать ингредиенты, вынимать лопатку (!) и готовность:) вобщем, гуд</t>
  </si>
  <si>
    <t>672</t>
  </si>
  <si>
    <t>2009-12-18</t>
  </si>
  <si>
    <t>Камера и вспышка плохие, кнопки не удобные. Нравится датчик ориентации и экран, в остальном нормально.</t>
  </si>
  <si>
    <t>Игра очень хорошая,играл у друга мне очень понравилось особенно гладиаторские бои и валейбол круто покупайте</t>
  </si>
  <si>
    <t>2011-01-06</t>
  </si>
  <si>
    <t>Чайник может выглядит и ненадежно, но вот уже 2-ой год работает без особых проблем.</t>
  </si>
  <si>
    <t>808</t>
  </si>
  <si>
    <t>2010-03-08</t>
  </si>
  <si>
    <t>К сожалению Вокстел очень разочаровал. Телефон сломался практически сразу после покупки. Купил единственную альтернативу - Just5 CP09 и очень доволен! Телефон удобен, функционален и практичен. Работает без нареканий! Осмелюсь рекомендовать и другим! И подача товара также порадовала - красивая упаковка, хорошая инструкция, и т.п.</t>
  </si>
  <si>
    <t>2012-07-30</t>
  </si>
  <si>
    <t>Это стандартная китайская модель, которая в неизменном виде под разными брендами и по разным ценам продается по всему миру. Если у вас легкая мыльница, то свой функционал он выполняет. Для чуть более тяжелой техники конструкция уже не годится: шарик маленький, поэтому при любом усилии затяжки винта любая зеркалка не удержится. Крепление ножек: проушины, через которые вставлены оси и снизу они просто прижаты пластиной. Поэтому ножки болтаются, как хотят, стоит нижней пластине чуть ослабнуть. Основной плюс - места занимает не больше толстого маркера.</t>
  </si>
  <si>
    <t>2012-12-18</t>
  </si>
  <si>
    <t>Для своей цены очень даже достойный усилок, из разряда денег нет, а хочется. Чувствителен к силовым кабелям, если кабель слишком тонкий сразу в защиту уходит. А так если грамотно поставить, то разница до\после ощутима. Может работать с колонками 6 ом. Четвёрка потому что мизерное количество настроек</t>
  </si>
  <si>
    <t>Не согласна с последним отзывом, возможно вам попался бракованный, и скорость там разная, + ночной режим,удобен тем что не требует залива воды, и вот насколько уж я чутко сплю, он мне вообще не помешал в ночном режиме, так что этому кондиционеру большой плюс)</t>
  </si>
  <si>
    <t>5240102</t>
  </si>
  <si>
    <t>Ковш-просто сказка.Всё что хочешь можно сварить,и кастрюля не нужна.Покрытие внутри устойчиво к повреждениям.</t>
  </si>
  <si>
    <t>Кто-то на данный ноутбук Windows 7 ставил? Я вот по этой инструкции Установка Windows 7 с флешки делаю и ничего не получается :( Никто не знает в чем дело? А как дела с драйверами? А так ноутбук отличный</t>
  </si>
  <si>
    <t>2014-10-20</t>
  </si>
  <si>
    <t>Плюсы:  + Подсветка достаточна,  + Полупрозрачная полка с местом для мелочевки или цветочков,   + При правильном монтаже (достаточно лишь поставить две силиконовые мебельных кнопки в точке контакта стеклянной полки и стены) стекло не лопнет от вибрации никогда. Не надо бояться.  + Если мыть жиропоглощающую сетку вовремя, лампочки не перегорят. Но даже если. Лампочка - 20 р., замена с двумя часовыми отвертками - 1 минута.  + Правда не шумит.  Минусы:  Короткий короб. Тем, кто собирает верхнюю базу 92 см, придется  раздобыть что-то повыше.</t>
  </si>
  <si>
    <t>Спустя несколько раз использования сломалась ручка. Следовательно закрыть уже невозможно, приходится постоянно держать руками. Затем лопнула верхняя пластиковая крышка почти до конца. По бокам не закрыты металлист нагревательные части! Очень легко обжечься! В общем, модель крайне не удачная.  А сам прибор - вещь необходимая, особенно если в доме есть дети. От горячих бутербродов никогда не откажутся.</t>
  </si>
  <si>
    <t>1499</t>
  </si>
  <si>
    <t>2015-07-20</t>
  </si>
  <si>
    <t>Подобные вещи как этот аппарат, каждая компания выпускает раз в 10-15 лет. Это очень удачная модель. Мощная, надежная, неприхотливая. Есть моделька немного мощнее 500 ватная по мощности всасывания, это вообще шедевр.  Если этот пылесос можно сравнить с Мерседесом, то следующая модель...это Майбах.  Рекомендую всем. Не пожалеете</t>
  </si>
  <si>
    <t>58</t>
  </si>
  <si>
    <t>За полгода уже два раза ремонтировали электроподжиг. Запасной блок электроподжига приходится ждать три месяца. Сделан в Турции.</t>
  </si>
  <si>
    <t>Когда купил комп всё было просто отлично, но где-то через неделю появились проблемы с видеокартой. Постоянные глюки, какие-то сообщения от виндовс о том, что драйвер перестал отвечать и в итоге всё это дошло до того, что пока драйвер не отключишь через безопасный режим, винда просто не загрузится. Попробовал даже дополнительный вентилятор поставить со старого компа, как ранее посоветовал Евгений. Пробовал ставить его и на вдув и на выдув=), но этого всё-равно мало. Моя оценка 4. Компьютер в общем просто супер, но видеокарта всё портит.</t>
  </si>
  <si>
    <t>Сегодня приобрёл. Отличный телефон. Распаковал, подключил и всё работает. Единственное что настроил, так это время, дату и записную книжку. Жаль только две трубки, мне нужна ещё одна, но нигде не могу найти.</t>
  </si>
  <si>
    <t>Устала от чайника на газовой плитке и решила приобрести альтернативу ему - электрочайник. Выбрала данный аппарат, потому как он идеально подошел моим требованиям к характеристикам. Понравилось, что он объемный - 1,7л., сделан из нержавеющей стали, имеет фильтр от накипи и в целях безопасности есть функция отключения при нагревании. Купила, пользуюсь и очень довольна, нареканий нет.</t>
  </si>
  <si>
    <t>1184</t>
  </si>
  <si>
    <t>Техникой для стрижки Panasonic пользуюсь давно (бритва). Вот недавно такой триммер купил (правда брал в Казахстане - он там по акции был вдвое дешевле чем здесь). Триммером бритвы было не совсем удобно срезать лишние волоски, а этим всё удобно, и даже больше того - можно над ушами виски подравнять...</t>
  </si>
  <si>
    <t>2014-11-28</t>
  </si>
  <si>
    <t>Вытяжка подкупила дизайном, год нарадоваться не могли, после перестало работать сенсорное управление, синяя подсветка сенсорных кнопок горит, а кнопочки не работают, не смогла найти в нашем городе мастерскую где бы могли помочь.  Запахи вытягивала отлично, а чтобы не оставалось сверху гофры, можно просто перенести вентиляционное отверстие ниже. Лампочки за год меняла раз 5 сама, без проблем: сверху отвинчиваем шурупчики которые крепят стекло ( их 4 штуки), осторожненько вытягиваем стекло на себя, и вуаля, нашему взору открываются две лампочки, которые заменить уже не составит труда) да, не очень удобно, но по крайней мере возможно;)</t>
  </si>
  <si>
    <t>Про переключение между видюхами при переходе на батарею полностью согласен(это позволяет сэкономить массу энергии), но и две видюхи в нём так же могут работать вместе по технологии ATI Hybrid CrossFireX. Например в режиме высокой производительности в игре CoD 4 есть пункт в настройке графики совместного использования дискретного и интегрированного графического решения(как и в CoD 2!). Там такой пунктик есть: "две видеокарты". Если им немного поманипулировать, то разницу сразу почувствуешь, особенно если графа на максимуме выставлена. А некоторые игры типа Assassin's Creed не работают с встроенной в маму графой(но она и без этого хорошо пашет).</t>
  </si>
  <si>
    <t>2010-05-19</t>
  </si>
  <si>
    <t>Термопара была сломана надвое. Хорошо, что сервисмены все сделали быстро реально.   В остальном - очень удобная модель, с хорошим качеством.</t>
  </si>
  <si>
    <t>2016-09-22</t>
  </si>
  <si>
    <t>Да, удобно -открыла, протерла,выкинула.   Но разводы остаются. Т.е. после использования этих салфеток приходится натирать поверхность сухим чистым полотенчиком.</t>
  </si>
  <si>
    <t>2015-09-14</t>
  </si>
  <si>
    <t>Пользуюсь этим увлажнителем уже больше 2 лет (до этого были увлажнители других брендов, которые быстро выходили из строя).   Увлажнитель прекрасно справляется со своими функциями. Налета нет (воду заливаю фильтрованную из под крана).  Готовлюсь к рождению второго ребенка и задумался о покупке второго увлажнителя в другую комнату. Без раздумий буду брать эту модель, не смотря на то, что цена не из самых низких.  Рекомендую.</t>
  </si>
  <si>
    <t>сдохла через 1,5года, запчастей нет, вежливо послали с ремонтом, теперь эту фирму не беру</t>
  </si>
  <si>
    <t>737</t>
  </si>
  <si>
    <t>2010-05-02</t>
  </si>
  <si>
    <t>Купил телевизор 2 месяца назад,очень доволен!!!очень хорошо показывает кабельное телевидение,хорошая яркость,множество входов,звук отличный,с dvd плеера показывает очень хорошо! смотреть на нем одно удовольствие! так что берите этот телик не пожалеете!!!</t>
  </si>
  <si>
    <t>Купил. Не работает. Плохо!</t>
  </si>
  <si>
    <t>Был точно такой же (правда made in France), проработал 5 лет и вышел из строя выключатель. 2 недели назад купил этот (китайский) - пока претензий нет. Насчет устранения запаха пластмассы - читайте инструкцию (прокипятить чайник с двумя чайными ложками питьевой соды).</t>
  </si>
  <si>
    <t>Тоже самое: как не пыталась закрутить - все без толку. И держала долго, и греются сильно, но держать долго тоже опасно, все сжечь можно!! Получаются волны, но они не похожи на что-то специально уложенное, а скорее просто будто встала и пошла без укладки. Вообщем не советую эту модель.</t>
  </si>
  <si>
    <t>374</t>
  </si>
  <si>
    <t>Прекрасная печь - соотношение цены и качества. Инструкция подробная, понятная. Пропекает идеально, подрумянивает тоже хорошо. Мы очень довольны!</t>
  </si>
  <si>
    <t>Телевизор, кроме стандартных функций имеет еще и кучу дополнительных, если покопаетесь в интернете, то может и найдете.  В нем можно просматривать через USB видео, музыку, фото. Также есть функция TНХ video, и SRS TruSurround XT audio!!! Так что если вам не нужно FullHD, тогда этот телевизор будет самым лучшим бюджетным вариантом для вас и это экономия около 8 тыс рублей от ТВ с такими же функциями.</t>
  </si>
  <si>
    <t>700</t>
  </si>
  <si>
    <t>Пользуюсь уже пять лет, утюг отличный!!! Довольна им очень сильно!</t>
  </si>
  <si>
    <t>Хороший плеер, советую. Из минусов: кнопки-тугодумы (но потом можно привыкнуть), наушники сразу покупайте новые, бумажная инструкция вообще ни о чем - на диске более информативно, для просмотра видео качайте конвертер - Movavi видео Конвертер 9 или выше (там сразу есть опция конвертирования фильмов для этого плеера).</t>
  </si>
  <si>
    <t>Взяла себе такой на Новый год. Юзаю его уже около полугода, отличная модель)) Не глючит, с компьютером дружит, батарею держит прекрасно, воспроизводит чисто, удобное управление))К работе претензий ноль, со своими прямыми обязанностями справляется даже лучше, чем ожидала)) Из недостатков скажу, что диодной подсветки не хватает и экран быстро царапается, но если пленку будете держать, то все норм)) Уши в комплекте идут на 3, но это легко решить)) А по такой цене плеер вообще конфетка, жалею, что нельзя в него флешку вставлять или о том, что на 4 не взяла)) Покупайте смело)</t>
  </si>
  <si>
    <t>2017-02-06</t>
  </si>
  <si>
    <t>Blu-ray</t>
  </si>
  <si>
    <t>3058</t>
  </si>
  <si>
    <t>2015-12-28</t>
  </si>
  <si>
    <t>Почитала отзывы про эту вытяжку и решила заказать ее вместе с установкой - оказалась права. Она у меня практически не шумит, ну слышно конечно начиная со второй скорости, но некритично. Лампы правда немного слабоваты, неплохо бы помощнее поставить. Кнопки пока все отлично работают, вытягивает тоже отлично (плюс жировой фильтр). Запах кухни и готовки практически исчез. Хорошая, недорогая вытяжка.</t>
  </si>
  <si>
    <t>супер! мне очень понравился. сильный. есть несколько режимов, в том числе и для сна. есть таймер отключения. и к тому же не очень шумный (если сравнивать с другими вентиляторами)  моя оценка 5 баллов!</t>
  </si>
  <si>
    <t>Машинка отличная очень довольна. Шьет как тонкую, так и толстую ткань хорошо, шила органзу - прекрасно шьет, пробовала все швы и лапки(кроме для молнии и пуговиц) советую всем, в эксплуатации легкая и не шумная...</t>
  </si>
  <si>
    <t>139</t>
  </si>
  <si>
    <t>Пользуюсь уже год, когда покупал за те деньги лучше наверно не было. Отлично сидят и не выпадают, сначало не привычно, но потом вообще не замечаешь. Хорошие провода, штекер здох где-то через пол-года, перепаял и все нормально. Звук на уровне, отличная шумоизоляция ( аккуратней на улице .</t>
  </si>
  <si>
    <t>Купил машинку классная,речи нет. Сок каждый день без проблем и экономия времени тоже в ней имеется!</t>
  </si>
  <si>
    <t>около полугода все было ОК – напрягало лишь поскрипывание корпуса при взвешивании. через полгода что-то в весах при взвешивании “треснуло” и результаты взвешиваний стали искажаться. т.е. они не только выглядят хлипкими, они такими и является.</t>
  </si>
  <si>
    <t>2011-01-10</t>
  </si>
  <si>
    <t>Купили данную модель для чистки вещей. Использовали 2 раза, так как после 1-го использования уже поломалась сеточка,которая не даёт машинке порезать ткань лезвием. И теперь её испольовать нельзя,так как ткань попадает под лезвие и рвётся.</t>
  </si>
  <si>
    <t>Купил компьютер неделю назад. В основном использую его как печатную машинку+Консультант+поиграть в Quake 3 = работает все на ура + дизайн симпатичный + комп. оч. тихий. Докупил к нему и моник из этой же серии Acer и доволен.  А то, что тут пишут злопыхатели на счет его слабых сторон, то они действительно правы, ведь их, т.е. возможных проблем с данным компом, можно и избежать, например приобретя девайс не за 16990, а в пределах ценовой категории от 30 т.р., что уже будет фактически в 2 раза дороже и скорее всего не в компактном корпусе, дизайн и форм-фактор которого для меня например стал определяющим при выборе, ну и естественно начинка отличная, и это моё субъективное мнение, т.к. за прогрессом не угонишься.</t>
  </si>
  <si>
    <t>Пользуюсь аппаратом уже почти год. Отличная модель! Если использовать его только для звонков и смс, то мне батареи хватало на 7-9 дней. Удобный аудио плеер и радио, звук очень хороший... только, чтоб это оценить надо нормальные наушники, а не гарнитуру, у меня KOSS sporta-pro. Фотокамера работает весьма хорошо для телефона, сравнивали его фото с фото iPhone 3Gs (снимали одновременно) - nokia 6303с снимает лучше :) ...  Съемка видео в разрешении 640х480 весьма сносная... Ребенка в парке поснимать вполне можно... Также на нем можно нормально смотреть видео кодированное xVid или h264 в разрешении 320x240 в контейнере 3gp или mp4. Собран аппарат отлично, пару раз случайно уронил его на асфальт в итоге только пара еле заметных царапинок на корпусе. У телефона отличный экран, на открытом солнце прекрасно читаются контакты, смс.  Рекомендую всем!</t>
  </si>
  <si>
    <t>Буквально через пару недель после покупки крышка стала заедать (выпадала пружина), а потом от постоянных отчаянных попыток ее открыть сломалась окончательно - по кусочкам!  И хотя все остальное в чайнике нравится - приходится менять! и это точно будет не Tefal</t>
  </si>
  <si>
    <t>2016-07-11</t>
  </si>
  <si>
    <t>Из плюсов только название производителя.  Помол очень крупный и неравномерный. Для получения мелкого помола приходится перемалывать кофе 3-4 раза, но все равно не то. И это после того, что разбирал кофемолку и настраивал жернова. До этого вообще не молол, а просто дробил кофейные зерна, получались какие то крупные опилки.  Если покупаете для приготовления кофе в турке, то никому не советую, зря потраченные деньги.</t>
  </si>
  <si>
    <t>2011-03-24</t>
  </si>
  <si>
    <t>Купила эпилятор Braun SE1170. Очень довольна. Очень хорошее качество. Ожидала, что будет больно, но ощутила легкое пощипывание, раздражение было небольшое - быстро прошло</t>
  </si>
  <si>
    <t>2014-10-03</t>
  </si>
  <si>
    <t>Купил в ноябре 2012, печкой доволен: печёт неплохо, никаких глюков, сбоев, поломок. Но цена!!! Два года назад отдал за неё вдвое меньше, сколько стоит сейчас - столько бы за хлебопечку отдать рука не поднялась, честно говоря.</t>
  </si>
  <si>
    <t>Стоящая вещь, не сложно ухаживать и удобно использовать. Что не очень нравится:  - массажные ролики не очень удобны (слишком маленькие и не практичные);  - при использовании пузырьков вода остывает слишком быстро (режим подогрева не спасает).  А в остальном... провести 10-15 минут в расслабленном состоянии, пока принимаешь "водные процедуры" для ног,  уже весомый плюс. А по большому счету от нее большего и не требуется.</t>
  </si>
  <si>
    <t>2014-06-27</t>
  </si>
  <si>
    <t>Очень больно, волоски вырывает кучей и + ломает их, корень остается, и раздражение тоже есть,очень жалею денег.</t>
  </si>
  <si>
    <t>2011-09-02</t>
  </si>
  <si>
    <t>Чайник прослужил добрых 3 года с небольшим, потом внезапно сломался, просто не стал греть. Отзывы только хорошие, шум- это единственное нарекание за все время эксплуатации. Всем советую</t>
  </si>
  <si>
    <t>Волонагреватель хороший, быстро греет, долго держит температуру. При поставке был бракованный сливной клапан. Поменяли сами на итальянский, все ок. Немного поскрипывает, когда нагревает на самой верхней температуре.</t>
  </si>
  <si>
    <t>2971</t>
  </si>
  <si>
    <t>проста в управлении. для ребенка то, что надо. все серии этих игр просто замечательны! это правда</t>
  </si>
  <si>
    <t>1620</t>
  </si>
  <si>
    <t>Использую уже год плеер. Очень доволен. Звук и видео хорошие. Если не кидать фильмы по 2-4 Гб(это надо быть слабоумным кидать такое, лучше конвертнуть), то все остальное хорошо. Аудио сутки воспроизводить, видео 3-5 часов в зависимости от качества и кодека. К управлению претензий нет, надо вначале только привыкнуть чуть. Минус чуть только с радио - антенна слабовата, шумить. Советую всем купить по соотношению цена, качество, возможности.</t>
  </si>
  <si>
    <t>2013-04-20</t>
  </si>
  <si>
    <t>Купили машинку год назад, аналогичная модель Hotpoint-Ariston (немного проще). Хоть отзывы были и не супер, все же взяли и не пожалели. Хорошая машинка, шумит как и все остальные стиралки, они по умолчанию не могут не шуметь. Со своими обязанностями стирки справляется на все 100!</t>
  </si>
  <si>
    <t>2015-03-20</t>
  </si>
  <si>
    <t>Пользуюсь почти три года, за это время не подвела ни разу. Советую всем!</t>
  </si>
  <si>
    <t>Это моя первая машинка, сравнить конечно не с чем. но я довольна этой моделью.Всегда ставлю доп. полоскание и вещи очень чистые. Не очень нравится деликатная стирка лучше руками постирать всякие блузочки и кофточки!</t>
  </si>
  <si>
    <t>2016-03-15</t>
  </si>
  <si>
    <t>Чайник ничем не отличается от тех, которые стоят 2-3 тысячи рублей. Такой же шумный, такой же долгий. Разве что с кнопками для выбора температуры. Крайне неудачная покупка.</t>
  </si>
  <si>
    <t>Пользуюсь этим монтором уже 8 месяцов. Единственное, что бесит - это засветы по бокам на черном цвете :( В остальном за свои "филки" классная модель!!!</t>
  </si>
  <si>
    <t>1678</t>
  </si>
  <si>
    <t>Аппарат понравился, правда слегка подтормаживает при открытии меню после запуска и приглушенный звук динамика.Заряд батареи можно сохранить подольше отключив 3G.</t>
  </si>
  <si>
    <t>323</t>
  </si>
  <si>
    <t>2017-01-22</t>
  </si>
  <si>
    <t>(+)Маленький размер,легкая (+)Несколько насадок, (+)Наклейки в комплекте, (+)Не выдирает волосы, не царапает кожу (+)Без проводов</t>
  </si>
  <si>
    <t>2014-06-13</t>
  </si>
  <si>
    <t>Atmor - отличные проточные водонагреватели. Хорошее качество, удобны в эксплуатации, просты.Купил на период планового отключения горячей воды,замечательная замена разогрева воды на электроплите.</t>
  </si>
  <si>
    <t>2014-05-25</t>
  </si>
  <si>
    <t>Купила сегодня - это обычный вентилятор)))только без лопастей...шумный!!! как обычный))) Цена=дизайн, вот и всё</t>
  </si>
  <si>
    <t>1342</t>
  </si>
  <si>
    <t>Apple просто отличный,минус только один блютус.  2009 года купил себе первый apple.Проходил полгода патом брату отдал,в школу стаким не хотел ходить.  Сейчас опять буду покупать 3GS или айфон4.</t>
  </si>
  <si>
    <t>...Наушники на удивление просто супер по звуку, с учетом того, что я понимаю что такое хороший звук....а не бум-бум.С Iphone играет просто замечательно, и громкости и всего сверх достаточно) Своих денег данная модель однозначно стоит. Из минусов отметил тонковатый провод и одинаковую длину каждого из проводов ( левого и правого), что   не очень удобно.....но это все мелочи, т.к. звук повторюсь ЗАМЕЧАТЕЛЬНЫЙ!!!!</t>
  </si>
  <si>
    <t>2017-06-25</t>
  </si>
  <si>
    <t>Хорошая бритва</t>
  </si>
  <si>
    <t>2017-02-25</t>
  </si>
  <si>
    <t>Раньше у меня была машинка Бразер не самая дорогая но все же как-нибудь она шила. Вчера купила эту машинку швейную. ОООООО это небо и земля. Я не профессионал, но иногда люблю шить. Такая классная, инструкция такая понятная. Работает тихо и шьет толстые вещи. Честно просто супер машинка.</t>
  </si>
  <si>
    <t>2014-01-08</t>
  </si>
  <si>
    <t>Купил перед рождеством пылесос. Как только приехал домой, сразу опробовал. Скажу честно, ожидал большего. Руку подносишь к щетке, вроде засасывает, но не достаточно хорошо. Понимаю, что маленький и ожидать большего не стоит, но думал что будет лучше. Пыль и мусор сосет, но нужно очень много раз водить по одному и тому же месту. Складная щетка пригодна только для сидений, где меньше всего загрязнения. Потому что ею нужно водить только в одном направлении - к себе. Так как она складывается, когда ею ведешь от себя. Когда чистил пол несколько раз она складывалась, раздражает. Теперь о плюсах. Провод реально длинный. Чуть ли не всю машину обошел с пылесосом, не выключая шнур. Можно поставить пылесос на сиденье, а шлангом чистить пол и под сиденьями. Шланг очень мягкий и гибкий. Насадками пролезешь где угодно. Вывод: если не запускать салон авто до состояния помойки, данный пылесос справится с мелким мусором. Но идеально чисто он конечно не вычистит.</t>
  </si>
  <si>
    <t>Я хочу себя порадавать консолью но сильно калебаюсь между боксом и сонькой подскажите что больше оправдает ожидание)больше склонен к соньке но всеже)</t>
  </si>
  <si>
    <t>873</t>
  </si>
  <si>
    <t>2014-06-29</t>
  </si>
  <si>
    <t>Все нормально, хорошо работает, никаких проблем, всем устраивает, за год!</t>
  </si>
  <si>
    <t>превосходная замена нетбуку, купил почти месяц назад для работы, очень доволен.</t>
  </si>
  <si>
    <t>Подключил к компу через S-Video,показывает черно-белым,как быть?Подскажите,может кто с этим сталкивался.</t>
  </si>
  <si>
    <t>Отличная стиральная машина. Пользуемся больше года, нареканий нет. Стирает хорошо, экономит воду) защита от детей (дверку просто так не открыть), нравится мелодия, после завершения стирки, устойчивая, что бы ни говорили, но для меня теперь haier бренд, к которому буду обращаться в дальнейшем.</t>
  </si>
  <si>
    <t>2012-05-23</t>
  </si>
  <si>
    <t>Из плюсов, бреет не плохо без раздражения, есть возможность работы как от сети, так и от аккумулятора, 3 режима бриться от слабого до интенсивного. Из минусов, слабый не надёжный механизм блокировки, в скором времени сломался, так же слаб механизм триммера.</t>
  </si>
  <si>
    <t>Блендер хороший  Основная насадка из пластика, но в целом не плохо. В Braun она металлическая и без отверстий, поэтому меньше брызгается. Венчик меня порадовал, теперь крема для торта не проблема совсем. В главном отделении коктейльчики можно вкусные готовить. Выходят по лучше чем в кафешках, главное по рецепту.  Брала именно его чисто из-за венчика в комплекте, выбирала между Braun и Tefal. Для тех, кому венчик не нужен, советую Braun.</t>
  </si>
  <si>
    <t>2269</t>
  </si>
  <si>
    <t>2010-09-19</t>
  </si>
  <si>
    <t>отличный телефон ЗА ЭТУ ЦЕНУ...качество сборке как у всех нокий, то есть отличное..но главное -это аккумулятор..очень живучий!</t>
  </si>
  <si>
    <t>Купили вчера, внешний вид и функции понравились, пока что нареканий нет, флешку воспроизводит отлично!Звук хороший и много опций.</t>
  </si>
  <si>
    <t>Выбирали стиральную машинку через интернет путем сравнения характеристик, выбрали данную модель. Основной пункт - прямой привод. Машинка очень нравится. Много режимов. Программа - интеллект. Очень часто стираем. На днях загружали огромный плед двухспальный - думала не справится - режим Пуховое одеяло, постирала замечательно, отжала почти до суха. Использую отжим только на 800 оборотов - во первых - вещь не портится, во вторых - и этого вполне хватает. Очень хорошо стирает в любом режиме и сама машинка относительно тихая.</t>
  </si>
  <si>
    <t>Мне понравился. Очень тихий, Иногда правда щелкает жесткий диск, но это не напрягает, лишь бы не умер досрочно. На нем я работаю после настольного ПК и клавиатура после настольной немного непривычная, а именно расположение клавиш Del в правой области, и вообще правый блок клавиш, промахиваешься часто по первой. Ну это мелочи, а так все отлично.  Правда непонятно зачем воткнули DD3 оперативку, если системная шина 800.</t>
  </si>
  <si>
    <t>Покупкой довольна.компактная, все функции работают,отжимает тоже хорошо.советаю.</t>
  </si>
  <si>
    <t>2010-04-22</t>
  </si>
  <si>
    <t>По-моему весы очень хорошие, для меня то, что нужно! Ничего лишнего, и что нет памяти на несколько человек и прочих наворотов, только радует - не нужно заморачиваться! Весы выполняют свою главную функцию, показывают точный вес, а что ещё нужно!? К тому же соотношение цены и качества радует. Надеюсь, они меня не разочаруют))</t>
  </si>
  <si>
    <t>2692</t>
  </si>
  <si>
    <t>Просто некоторые мамочки технически безграмотны и не понимают, что в радионяне направленный микрофон, который должен быть направлен, простите за тавтологию, на потенциальный источник звука, то бишь ребенка. И тогда вы услышите и как он возится и уж тем более - кричит!  Сам купил это устройство и им пользуюсь. И, вообще, всегда полезно читать инструкции по эксплуатации.</t>
  </si>
  <si>
    <t>2017-05-06</t>
  </si>
  <si>
    <t>По прошествии года пользования данным тостером могу сказать - Bork T700 удивит даже очень требовательного любителя тостов. Прибор имеет 9 различных степеней поджаривания, функцию одностороннего поджаривания, с помощью функции Reheat можно неоднократно дожарить или подогреть уже готовые тосты. За все время использования ни разу не было такого, чтобы хлеб подгорел, он всегда выглядит золотистым, аппетитным и равномерно готовым. Да и сам тостер до сих пор как новый, на корпусе никаких следов, материал качественный, работает без проблем, в сервис не обращались и надеюсь еще долго не придется!</t>
  </si>
  <si>
    <t>Очень быстро умерла, за год с небольшим, в общем перемолол на ней не более 7 кг, хоть и помол быстрый и качественный (однородный). Неремонтнопригодна (заложено производителями...). Очень не рекомендую.</t>
  </si>
  <si>
    <t>2013-06-09</t>
  </si>
  <si>
    <t>Вчера купила чайник. Поставила кипятить воду первый раз и сразу треснула крышка в двух местах. Сегодня поеду менять на какой-нибудь другой, на такой же нет смысла. Покупаешь вещь, чтобы пользоваться, а не мотаться туда-суда в надежде, что попадется не бракованный.</t>
  </si>
  <si>
    <t>1070</t>
  </si>
  <si>
    <t>Тв хорош, далее идут модели типа 3Д, кому 3Д не надобно, то по функционалу эта самое то, что надо!!! Все те же функции что и у 530, и у 550 моделек, + доработаны некоторые полезные функции, по изображению супер, есть конечно поконтрастнее, и цвета более "летние", но и самсунг по своему хорош, по надёжности лучше многих.</t>
  </si>
  <si>
    <t>2009-10-14</t>
  </si>
  <si>
    <t>Считаю, что консоль удалась.   Очень удобно покупать игры сразу не выходя из дома: оплатил, скачал, играешь. Не надо ждать пока игру привезут, нет наценок торговых сетей - очень удобно.    Также теперь габариты консоли уменьшены до предела, что позволяет носить ее в кармане. Предыдущая псп влезала только в сумку.</t>
  </si>
  <si>
    <t>Приобрёл сегодня. Очень порадовал плотный,насыщенный звук с четкой детализацией.Да, немного жмёт,но будем надеяться,что это временный эффект...  Sennheiser HD-205 5+</t>
  </si>
  <si>
    <t>2263</t>
  </si>
  <si>
    <t>2010-02-28</t>
  </si>
  <si>
    <t>Сегодня купил себе эту чудную систему. Приехал домой,распаковал,подключил и офигел !   Всё просто супер: Звучание музыки классное ! Играет громко и качественно! Звук обалденный !!! Дизайн хороший. В общем и целом я доволен всем. Кто ищет себе хорошую акуст.систему- покупайте ! Надеюсь не пожалеете !!!! =)))ТОВАР - 5 БАЛЛОВ !!!</t>
  </si>
  <si>
    <t>Купили в октябре 2009 года эту машину. Так как загрузка у нее только 3,5 кг , то стирали много и часто на разных режимах.   Выводы : у режимов "быстрая стирка" есть недостаток - плохо прополаскивает порошок, остаются белые разводы на цветном белье и необходимо обязательно добавлять режим "дополнительное полоскание". Все остальные режимы работают хорошо. Но я бы все равно  добавляла режим "дополнительное полоскание".</t>
  </si>
  <si>
    <t>2010-06-04</t>
  </si>
  <si>
    <t>купил этот чайник всей семье, в итоге получилось 5, если обращаться как с чайником, а не с молотком, то ничего не отваливается, всё работает у всех уже 3 год, супер, и кстати то, что написано в описании чистая правда, на них написано made in Чехия или made in germany. 5 балов</t>
  </si>
  <si>
    <t>Купил.Поставил.Радуюсь.Единственный минус автопоиск станций работает слабо и флехи долго открывает зато открывает....очень качественная железка несмотря на китай.</t>
  </si>
  <si>
    <t>2014-10-13</t>
  </si>
  <si>
    <t>На днях приобрел данную кофе машину !!!! Очень ей доволен)! Кофе варит великолепно! Управление самое простое, все понятно и не нужно каждый раз лазить в инструкцию!! А самый главный плюс машинка работает очень тихо!!! Так что всем ее рекомендую , покупайте не пожалеете!!!</t>
  </si>
  <si>
    <t>2012-03-30</t>
  </si>
  <si>
    <t>Была ТЕФАЛЬ пароварка - фирма что надо и не было проблем! Купили БОРК, готовили три раза и одни проблемы. Вода постоянно переливается из чаши и заливает стол. Буду менять такое ужасное приобретение! Производитель должен задуматься!</t>
  </si>
  <si>
    <t>2385</t>
  </si>
  <si>
    <t>Вот неделю уже пользуюсь меня все устраивает! отличной ноутбук себя оправдывает!</t>
  </si>
  <si>
    <t>Мы приобрели блендер полгода назад. Пользуюсь им очень часто! Нравится вместимость чаши и присоски к столу. Делали им пюре для ребенка, ягоды протирали, очень мне нравится измельчать лук и чеснок, очень удобно быстро и без проблем. Венчиком и тесто замешивали жидкое и взбивали крем. Вешь хорошая, денег не пожалели потраченых.</t>
  </si>
  <si>
    <t>Да хорошая многофункциональная консоль от SONY! Плеер Blu-ray, игровая приставка, хорошее качество звука и изображения! Она для всей семьи кто бы, чем не увлекался!</t>
  </si>
  <si>
    <t>1186</t>
  </si>
  <si>
    <t>Скажите плиз у кого есть такой аппарат как он в работе и всё такое и читает ли он видео с жесткого диска формата ntfs</t>
  </si>
  <si>
    <t>Взяли эту модель взамен старого водогрея, в котором оказался заводской брак и в итоге сгорел через два года эксплуатации и многочисленных ремонтов. Этот же выглядит очень круто (у меня теперь в доме не только водонагреватель марки Haier))), имеет компактные габариты, воду нагревает быстро, напор выдает очень хороший, остывает вода долго, даже на утро можно спокойно умыться и не нагревать заново. Удобное управление намного упрощает пользование, также у водогрея качественная защита и по деньгам такой вполне может себе позволить каждая семья.</t>
  </si>
  <si>
    <t>1343</t>
  </si>
  <si>
    <t>Не обнаружено</t>
  </si>
  <si>
    <t>5020101</t>
  </si>
  <si>
    <t>2015-07-15</t>
  </si>
  <si>
    <t>Когда покупали холодильник в магазине, при открытии чувствовался запах пластмассы и чего то заводского. Не очень бы хотелось проветривать его пару суток, да и потом не факт, что выветрилось бы. А продукты с запахом пластмассы как то не очень. Продавец нам показал разные ароматизаторы. Купили этот. Я бы даже назвала его поглотителем запахов, а не ароматизатором. Так как внутри находится 100% активированный уголь. То есть и пользу несет, так и для продуктов абсолютно безвреден! Купили уже 2 раз, запахи не смешиваются. Полезная вещь 100%</t>
  </si>
  <si>
    <t>2016-05-05</t>
  </si>
  <si>
    <t>Снимаю с экшн камерой Сони, вес совсем небольшой, одна ножка сразу отвалилась, а как приклеил стала заедать. Знал бы, что такой слабенький штатив - не купил бы, лучше найти что то понадежнее.</t>
  </si>
  <si>
    <t>Купил эту печь месяц назад в подарок маме. При первом же включении полетела. Привез-поменяли. Подарил 2 раз )) Поработала недели 2. Не сказал бы, что печет хорошо. Опять сломалась. Пойду еще раз с гарантией. Надеюсь вернут деньги. Может мне просто так везет )</t>
  </si>
  <si>
    <t>2011-06-08</t>
  </si>
  <si>
    <t>Пользовалась феном 2 года, сушит хорошо и укладывает волосы,насадки хорошие,но потом начал перегреваться и выключался сам,пока не остынет не включится.Это не очень удобно.</t>
  </si>
  <si>
    <t>отличный аппарат, не имеющий даже близкого конкурента. отличная вещь для тех кто знаком с качеством и технологиями Apple. )   хотя мне лично и iPod Touch бы хватило, телефоном редко пользуюсь.</t>
  </si>
  <si>
    <t>хорошо гладит, не течет при низких температурах, можно очистить при помощи кнопки, ничего не пригарает</t>
  </si>
  <si>
    <t>Используем на профессиональной кухне. Выпекаем при температуре 300 градусов в подовой печи! Уже более ста выпечек для каждой формы. Ничего не облазит. Отлично моется. Разумеется не надо использовать при мытье металлические щетки и губки!</t>
  </si>
  <si>
    <t>2015-09-18</t>
  </si>
  <si>
    <t>Т.к. у нас отопительный сезон 8 месяцев в году - вещь незаменимая. это наш третий увлажнитель после 2х электролюксов. Выбирали не за красоту, а по параметрам испарения/распыления - за 2 часа до сна включаем, в средней комнате доводит влажность с 20 до 50% и на половинной мощности всю ночь работает. Дисперсия мельчайшая - капель на полу не оставляет. Шумность средняя, лампочки яркие, приходится его к стене отворачивать. Носик-распылитель удобно что вертится во все стороны. Бак большой нам хватает на 2 ночи. Моется удобно через отверстие для залива воды (даже мужская рука пролезет). Единственный минус каждые полгода/год надо менять смесь в фильтре-картридже, а ее у нас нигде не продают :(</t>
  </si>
  <si>
    <t>606</t>
  </si>
  <si>
    <t>Это просто очень классная вещь!:)</t>
  </si>
  <si>
    <t>Пользуюсь давно, нравится то, что она универсальная - для всех видов фруктов. Да, согласна, сито быстро забивается, иногда нужно делать перерыв на чистку. В мякоти остается много сока, можно отжать даже голыми руками. В целом неплохо, но сока можно получить больше % на 20.</t>
  </si>
  <si>
    <t>2016-10-24</t>
  </si>
  <si>
    <t>Работал ровно 1 год, затем перестала работать индикация, ручка утюга стола нагреваться  так, что утюг не возможно взять в руку, перестал нагревать, стал течь.  И это за такие деньги. Не рекомендую этот утюг!    До этого был недорогой  Тефаль работал 6 лет.</t>
  </si>
  <si>
    <t>1956</t>
  </si>
  <si>
    <t>Нормальная лампочка. Загорается сразу, разгорается до полной яркости в течение минуты (при первом включении). Светит ярко - 100 ватт, думаю, будет. На счет срока службы - пока сказать ничего не могу... пользуюсь не очень давно... Надеюсь хотя бы год отработает.</t>
  </si>
  <si>
    <t>2771</t>
  </si>
  <si>
    <t>2009-10-23</t>
  </si>
  <si>
    <t>Помню, в далеком 2005 меня трясло от счастья, я надрываясь тащил PS2... этот нг запомнится благодаря psp, треха уже есть и я не жалею о том, что не слабо за нее выложил, большое спасибо sony за праздники души.  P.S. покупайте, не пожалеете, она стоит дороже этих денег, что за нее просят.</t>
  </si>
  <si>
    <t>Вытяжка справляется со своей работой на ура. За месяцы работы  на кухне больше никаких запахов нет. Включаешь вытяжку и все сразу проходит. включаю не на полную мощность , средней скорости всегда хватает. Сама вытяжка практически не видна , удалось ее очень четко встроить в шкаф. С установкой помогли сотрудники Мвидео , тоже спасибо им за профессионализм . Вытяжка прям сто из ста, полностью оправдала потраченные деньги.</t>
  </si>
  <si>
    <t>2010-04-30</t>
  </si>
  <si>
    <t>Решил сэкономить на покупки телевизора для мамы, купил LGLH2000, не понравилось помехи на главных каналах. Ребята с Чонгарского бульвара, поменяли без проблем на Samsung... и о чудо, при такой же плохой антенне в той же квартире телевизор ловит намного лучше. Вывод: бюджетный телевизор LGLH2000 предназначен для работы с идеальной антенной.</t>
  </si>
  <si>
    <t>Жду этого зверька уже месяц, наконец-то!!!!  Достойная альтернатива HTC HD2, но HTC стоит около 30000...</t>
  </si>
  <si>
    <t>Для приготовления пюре маленькому ребенку - самое то. Компактная, легко мыть, за секунды любые продукты превращает в пюре.</t>
  </si>
  <si>
    <t>2014-03-14</t>
  </si>
  <si>
    <t>Из плюсов: 1. хорошо выжимает (как и заявлено - до последней капли), от цитрусовых остается только корочка без мякоти 2. бесшумная 3. легко разбирается и моется. Из минусов: 1. Цена 2. Довольно громоздкая и тяжелая</t>
  </si>
  <si>
    <t>Под Новый Год подарила себе эти наушники, не жалею. Отличное качество звука, очень удобные. Провод, правда, действительно длинноват, но прилагающийся держатель помогает удобно регулировать.</t>
  </si>
  <si>
    <t>Гораздо приятнее и продуманнее дизайн. Покрытие глянцевое приходится часто протирать, но красота требует жертв. WI-FI есть, но он вообще не нужен. Стандартный браузер убог до безобразия, поэтому про юзанье в интернете можно забыть. . Без прошивки PSP любой модели автоматически начнет высасывать из вас деньги. О гарантии на консоль тоже можно забыть. Новые игры практически не выпускаются, разве что FIFA. И то меняются чисто составы команд, а по графике и в остальном fifa 13 от fifa 09 не отличается. Консоль устарела!!! Проигрывает отлично фильмы, но приходится конвертировать что не удобно. Радует, что скачав программу можно читать книги! При долгом и частом использовании аккумулятор через пол годика начнет умирать, новый, а лучше повышенной емкостью можно найти без проблем.</t>
  </si>
  <si>
    <t>3198</t>
  </si>
  <si>
    <t>2013-10-12</t>
  </si>
  <si>
    <t>Смарт просто супер! Каждый день вижу и получаю удовольствие. Зарядка при грамотном использовании держит 48 часов. Хотя все время сижу в почте. Просто нужно установить приложения. А так все просто супер!</t>
  </si>
  <si>
    <t>2016-05-06</t>
  </si>
  <si>
    <t>Быстро нагревает воду,долго держит тепло,очень нравится.А главное теперь не зависим от центрального горячего водоснабжения.</t>
  </si>
  <si>
    <t>2762</t>
  </si>
  <si>
    <t>Ноутбук у меня всего 4 дня.Но мнение о нем уже сформироваалось.И пока мнение о нем только положительное.  Вообще выбирал между Compaq CQ60 и Самсом.Теперь вижу,что выбор сделал правильный.   Итак,по порядку-внешний вид:выглядит Самс очень презентабельно и солидно,сочетание хромированного и темного пластика очень красивое.Если говорить об эргономике,то она здесь безупречная-клавиши хоть и тонкие,но при этом очень удобные,при наборе текста не ошибешься.Операционка работает блестяще,несмотря на то,что это Виста,а она немного несовершенна.Шум почти не производит,не раздражает.2 встроенных динамика,причем очень громких позволяют сделать вывод,что колонки просто не нужны.  Диски с обеспечением читает за несколько секунд.Тачпад работает хорошо,но я предпочитаю мышку.Веб-камера с разрешением 1,3 мегапикселя оставила после себя приятное впечатление-качество изображения высокое,никаких рывков или торможения, можно ставить различные эффекты.Аккумулятор держится 4 часа,если эксплуатировать ноут не слишком активно.  Очень понравилась комплектация-уже встроены видеоплеер и Майкрософт Оффис и еще антивирусник в придачу.Включается очень быстро-сравнения с моим компом,на котором была та же Виста,нету.  В общем и целом,достойный продукт,а с учетом цены просто замечательный.Можно смело рекомендовать студентам и учащимся,которым ноутбук нужен для работы и учебы.</t>
  </si>
  <si>
    <t>2010-12-18</t>
  </si>
  <si>
    <t>Эти наушники у меня уже пять(!) лет. Эксплуатировались в разных экстремальных условиях (например катание на доске). Фиксатор левого уха сломался на морозе только сейчас, теперь использую только дома, звук по прежнему отличный. Скоро пойду куплю такие же.</t>
  </si>
  <si>
    <t>2015-01-27</t>
  </si>
  <si>
    <t>Очень довольна этой панелью. Все пятна отмываются, остаются разводы, которые легко убираются сухой тряпкой. Боковые ручки очень удобны, не нагреваются и не плавятся. Некоторые пользователи пишут, что тонкая панель, но лично для меня это вообще никак не сказывается,  главное - решетки хорошие и прочные.  Большим плюсом является то, что можно поставить до четырёх больших кастрюль или сковородок (диаметром до 28см) и они мешать друг другу не будут.</t>
  </si>
  <si>
    <t>Плеером пользуюсь уже полгода. Зарядки хватает на неделю если слушать каждый день по 2-4 часа - вполне устраивает. Внешними динамиками стараюсь не пользоваться, просто подключаю к аудиосистеме компа и спокойно слушаю на любой громкости. Стандартные наушники хорошие, но басов не особо много (и не странно, ибо наушники эти не "вакуумные", басы наверное просто не доходят до уха), поэтому купил новые наушники, тоже Sony, "вакуумные", за 1200 рублей отличные по качеству, как раз то что нужно для этого плеера. Звук потрясающий. Сразу меняйте наушники, тогда поймете что это за аппарат. Чисто музыкальный - видео и фото просматривать не особо удобно, да и не интересно на таком экране, диагональ не слишком большая, приходится присматриваться. Многие говорят о быстро царапающемся экране. Да, экран царапается от малейших прикосновений даже нежной тряпочкой, уж очень мягкий акрил поставили изготовители для защиты экрана, кстати очень качественного. Если хотите защитить экран советую его не лапать и купить "кармашек". В целом плеер очень хорош если нужен для прослушивания музыки. Не воспроизводит .flac зато воспроизводит .wav - это даже лучше, 1411 кб/сек делают своё дело, качество потрясающее, чистейший, сбалансированный звук, слышно абсолютно всё. В таком формате хранится музыка на CD дисках, пока что лучшего формата для сохранения аудиоданных не придумали. Абсолютно не жалею, главное аккуратно с ним обращаться и ценить его качество воспроизведения.</t>
  </si>
  <si>
    <t>Использую данный Саб около двух лет и за все это время ниразу не подвел, долбит так как и долбил новый. При хорошей настройки мафона выдает грамотные высокие и низкие частоты, играет мягко, свои деньги оправдывает, в общем всем доволен и всем советую брать.</t>
  </si>
  <si>
    <t>Отличный обогреватель, нам с ребёнком тепло!!!!!</t>
  </si>
  <si>
    <t>2860</t>
  </si>
  <si>
    <t>установил этот усилок, счастью нет границ, всем рекомендую!!!</t>
  </si>
  <si>
    <t>весы мне пришлось купить после приобретения хлебопечки. Подъехал на Московский, благо работает 24 часа. В магазине представлено моделей 5ть, 3 из которых Тефаль. На проверке товара, измерить было не чего, кроме ключей консультанта, вот их и взвешивали. Весы врали, вес измеряемого менялся после каждого взвешивания на 5-6г. Взяли другую коробку, вроде всё в норме. Приехал домой, отсек для батареек болтается в весах, как в дешевых китайский будильниках того и гляди вывалится. И это Тефаль=( не советую</t>
  </si>
  <si>
    <t>2010-05-24</t>
  </si>
  <si>
    <t>Немного шумновата.</t>
  </si>
  <si>
    <t>2013-03-02</t>
  </si>
  <si>
    <t>Совсем недавно купили йогуртницу данной модели.Товар приобретали в магазине М-Видио,впрочем как и всю остальную бытовую технику.Отдельное спасибо всем продавцам - консультантам магазина в ТЦ Юго-Запад. Вещь нужная,особенно если в доме маленькие детки.Рецептов по приготовлению йогурта очень много в интернете,все получается с первого раза.Модель проста в эксплуатации,у меня не перегревает.Йогурт получается просто супер, с магазинным не сравнить.Мое мнение-не стоит загоняться на более дорогих и навороченных моделях, чем проще,тем лучше,ведь принцип работы у всех одинаковый.А мулинекс хорошо зарекомендовал себя в производстве бытовой техники.Семья довольна, а это самое главное!!!</t>
  </si>
  <si>
    <t>Единственное нарекание в том, что к машине не прилагается чехол для хранения и масленка. Соответственно хранить неудобно. Что касается эксплуатационных качеств, то претензий пока никаких.</t>
  </si>
  <si>
    <t>2009-09-21</t>
  </si>
  <si>
    <t>Нормалек! Тока страшненький!</t>
  </si>
  <si>
    <t>Флэш диск очень понравился, но возникли малые проблемы с подключением к компьютеру. Но скорость порадовала.</t>
  </si>
  <si>
    <t>2017-06-27</t>
  </si>
  <si>
    <t>Быстро греет воду, занимает мало места, аккуратный, ничего лишнего в управлении, подключение простое.</t>
  </si>
  <si>
    <t>2012-01-05</t>
  </si>
  <si>
    <t>купила этот выпрямитель и ни разу не пожалела. выпрямляет хорошо и достаточно быстро. кнопка действительно находится в том месте где и рука, но к этому быстро привыкаешь и нажатия не допускаешь. удобно что есть петелька, можно повесить щипцы пока они нагреваются или остывают после работы. внешняя поверхность нагревается не сильно, поэтому обжечь пальцы почти невозможно.</t>
  </si>
  <si>
    <t>4040202</t>
  </si>
  <si>
    <t>2010-04-04</t>
  </si>
  <si>
    <t>Привезли с доставкой этот приборчик. Не включается. Вообще. Завтра поеду менять.</t>
  </si>
  <si>
    <t>2016-05-18</t>
  </si>
  <si>
    <t>Купил опираясь на конкурентные характеристики соседей по полке. Ожидал аппарат, который поможет именно пропылесосить машину. На выходе получил возможность поднять пыль с махровых ковриков и собственно убрать только пыль. ДАЖЕ МЕЛЬЧАЙШИЕ крошки приходилось несколько раз проходить, чтобы сдвинуть с места, при чем всосались не все.  К слову обивка сидений очистилась хорошо, хоть их загрязнение и можно было охарактеризовать как просто пыль с дорог утрамбованная человеческим телом.   Также в плюс этого пылесоса не идет его одностороннее скольжение, щеточка постоянно сворачивается, при движении от себя.   Дизайн сего чуда шикарен, но вот с практичностью... лучше купить удлинитель, взять домашний пылесос и хорошенько пройтись. Эффективнее и быстрее.  Буду стараться вернуть. Товар ни о чем, просто брелок с функцией всасывания мельчайшей пыли.</t>
  </si>
  <si>
    <t>Фирма чайника хорошая. Проработал года 2 и до сих пор работает хоть прогнил. Наверху возле крышки дырка.</t>
  </si>
  <si>
    <t>офигенский телефон...единственное что клавиатура qwerty менее удобна...а так и в цене и в качестве шикарен</t>
  </si>
  <si>
    <t>Вот уже 3 года верой и правдой служит мне этот малыш, за это время накопилось не малое количество удачных рецептов. Чего мы в нем только ни делали: и диетические вафли, и классические, и брюссельские, и хрусятящие.  Бутерброды со всем, что только найдется в холодильнике.  Очень рада,что мой выбор пал именно на мулинекс, год назад желтому другу компанию составил новый чайник мулинекс-тоже желтый.  Пять звезд данному прибору и моя безграничная любовь)</t>
  </si>
  <si>
    <t>911</t>
  </si>
  <si>
    <t>Прогноз погоды с точностью процентов 80. Зимой при температуре от -8 С начинает глючить внешний датчик - показывает неверную температуру на улице. Лечится путем сброса самой станции, но через день все повторяется. Короче, на морозе глючит, в остальном устраивает.</t>
  </si>
  <si>
    <t>2848</t>
  </si>
  <si>
    <t>2012-06-19</t>
  </si>
  <si>
    <t>Очень удачная модель. Продержались больше года, несмотря на тоненькие провода и мое достаточно небрежное отношение к ним. Хорошо сидят в ушах. Музыку слушала спокойно на трети громкости даже в общественном транспорте. И цена хорошая. Жалко, что одно "ухо" перестало работать, но на замену куплю эти же.</t>
  </si>
  <si>
    <t>2626</t>
  </si>
  <si>
    <t>2017-05-10</t>
  </si>
  <si>
    <t>удобно, вкусный сок, можно делать гранатовый сок</t>
  </si>
  <si>
    <t>702</t>
  </si>
  <si>
    <t>Купила телефон год назад, отлично работает, все в норме, бывает подвисает экран на морозе, ну это естественно, любой сенсорный экран будет так себя вести. Огромный плюс в том, что корпус металлический, поэтому и выглядит на 5+, в отличии от нокиа и др. моделей.. В общем я довольна всем!</t>
  </si>
  <si>
    <t>2011-01-02</t>
  </si>
  <si>
    <t>Просто и коротко,телек просто класс 5+++.Рекомендую.</t>
  </si>
  <si>
    <t>Наушники очень порадовали был им доволен звук качественный, мой совет берите их и не пожалеете!!!</t>
  </si>
  <si>
    <t>Я доволен. В купе с ТВ использую PS3 - думал будет хуже, но радует всё (может быть за исключением отсутствие 3D и ambilight 3). WiFi работает на 100%, DLNA тоже не отстаёт. Звук - отдельное спасибо за сабвуфер, об`ёмный и ёмкий, радует слух. О картинке сказано выше - класс. Не сомневайтесь. Цена/качество, того стоит.</t>
  </si>
  <si>
    <t>1051</t>
  </si>
  <si>
    <t>2490</t>
  </si>
  <si>
    <t>2016-08-16</t>
  </si>
  <si>
    <t>У ковша очень приятная форма как у горшочка, просто на вид приятно. Покрытие антипригарное, прочное, не царапаеться, я уже пару раз с грешка, помешала вилкой еду в нем. Ничего не осталось из следов. Сделан из экологичных и безоапсных материалов (в том числе и покрытие безопасное). Ручка не греется. С посудомойкой он у меня подружился без проблем, руками ничего уже давно не мою.</t>
  </si>
  <si>
    <t>Повелись на цену, зря. Настояли чтоб его включили при нас и он загорелся прямо на проверочном столе, по секрету продавцы сказали, что каждый второй такой. Купили подороже. Не хотите пожара дома не скупитесь!</t>
  </si>
  <si>
    <t>2636</t>
  </si>
  <si>
    <t>2013-03-22</t>
  </si>
  <si>
    <t>По качеству сборки флэшка очень достойная. Из минусов очень маленькая скорость чтения и записи. В общем если вы собираетесь копировать фильмы большого объема то запаситесь терпением.</t>
  </si>
  <si>
    <t>2016-11-12</t>
  </si>
  <si>
    <t>Симпатичный дизайн, хорошо вписалась в ванную. Очень надеюсь, что будет нас долго радовать горячей водой в дни ее отключения (у нас часто бывают перебои). Данного объема с лихвой хватает на нашу семью из трех человек. Максимальная температура воды 75 градусов, но если греешь ее вечером, даже утром еще можно умыться спокойно. Вода быстро нагревается, остывает долго, счета за электричество не увеличились, потому как водонагреватель может работать в режиме таймера и нагревать воду в строго определенное время. Надежная защита и удобное управление.</t>
  </si>
  <si>
    <t>Не знаю, чего все так мучаются? Ведь просто всё! Молочко пожирнее для густоты, добавочка какая-нибудь для вкуса и йогурт из магазина. Всё смешать, ничего не греть и разлить по банкам. Включить йогуртницу и забыть :) Через 8-10 часов всё будет замечательно. Правда, ягоды и фрукты лучше использовать из компотов, а если хочется свежие положить, то без варки их не обойтись.  Йогуртница отличная - компактная, не занимает "лишнего" места, как круглые модели. Легко моется и делает замечательные йогурты. И ничего не перегревает.</t>
  </si>
  <si>
    <t>Плита просто супер!!! И в работе и в обслуживании легко чистится.</t>
  </si>
  <si>
    <t>270</t>
  </si>
  <si>
    <t>Купил 25.06.2013, очень доволен, шум не так страшен, шумит мало, комп громче). Шуметь будет в любом случае т.к. у него мощный двигатель вентилятора. Это не брак и не поломка, это просто классный мини-кандей) Пульт удобен, управление понятное! На 3й и 2й скорости, все бумаги со стола летают по комнате)</t>
  </si>
  <si>
    <t>телефон хорош для тех, кому важны не навороты типа wi-fi и так далее, а важен внешний вид, выглядит очень прилично. Телефончик очень милый, никаких нареканий не вызывает. Так что берите.</t>
  </si>
  <si>
    <t>ОТЛИЧНАЯ соковыжималка!  Бесшумная, малогабаритная, моется на ура!  10 балов! Цена-качество</t>
  </si>
  <si>
    <t>2015-12-07</t>
  </si>
  <si>
    <t>нормальные наушники.цена-качество!  крепление не очень,а так нормально.</t>
  </si>
  <si>
    <t>3059</t>
  </si>
  <si>
    <t>да ну нормальный комп, а блок питания за пару тысяч можно поставить(как я и сделал), и ничего, все хорошо пашет)</t>
  </si>
  <si>
    <t>2015-12-20</t>
  </si>
  <si>
    <t>Купил пол года назад ,очень нравится, реально качественный пылесос , пылью не пахнет ,главное без расходных материалов , а то надоело уже каждый год пылесос покупать и выкидывать ,фильтра забиваются и двигатель дохнет.Bosch купил пол года назад - до сих пор как новый , только один раз почистил фильтр циклонный ,после того как он меня предупредил о необходимой очистке , шланг намного качественнее чем у моих прошлых пылесосов , гнется и не ломается . Работает тихо ,а главное мощный , линолиум поднимает даже не на полной мощности . вообщем нравится, всем советую</t>
  </si>
  <si>
    <t>2715</t>
  </si>
  <si>
    <t>2009-10-07</t>
  </si>
  <si>
    <t>к посту 03.10.2009 две ложки дегтя в бочке мёда LG 32LH5000      Телевизор оборудован полноценным FullHD мультимедийным плеером. При воспроизведении с внешнего носителя (флешка, хард) подключенного по USB можно управлять настройками оптического аудиовыхода.    В инструкции сказано, что оптический выход можно настраивать в меню "звук".    Обратите внимание, что при установке страны "Россия" этот пункт настройки из меню пропадает и звук идет из телевизора на ресивер по оптическому выходу только стерео.    Если при выборе страны выбрать знак "--", то пункт управления оптическим выходом в меню "звук" появится и Вы сможете выбрать "Авто".  "Авто" позволит воспроизводить звук 5.1 через ресивер (если этот звук содержится в воспроизводимом файле)     P.S. за прошедшую неделю внимательно посмотрел самсунг и филипс оба 32".  Меняю свою оценку LG 32LH5000 c 4 на 5!    Компания LG, спасибо за отличный телевизор.  Так держать!</t>
  </si>
  <si>
    <t>2804</t>
  </si>
  <si>
    <t>Покупали эти весы в основном из-за дизайна, прошло чуть больше года, точно так же, как и у многих, пропали цифры на дисплее. Сначало частично,а  потом и полностью. Замена батарейки так же не помогла. Муж их разобрал и искренне удивился, как они вобще год проработали. Там что-то с контактами, он сказал, что они одноразовые. Вот тебе и Бош. Китай одним словом. НИКОМУ не рекомендую эти весы.</t>
  </si>
  <si>
    <t>1233</t>
  </si>
  <si>
    <t>А чего тут добавишь то) ЛЕД  экран весьма клевая штука... но не в дешёвых устройствах... преимуществ перед лампами не видно, кроме энергосбережения, т.к. матрицы используют те же недорогие... Внешне весьма неплох... Удобен.</t>
  </si>
  <si>
    <t>2011-08-10</t>
  </si>
  <si>
    <t>купила печку 6 мес. назад. Ничего не отвалилось, правда готовлю мало, поэтому и выбор пал на маленькую духовку, чтобы место не занимала огромная. Очень удобное управление, сама отключается, готовит нормально.   Покупкой довольны полностью</t>
  </si>
  <si>
    <t>После покупки впечатления были хорошими, играют на 5+ , через месяц одна колонка стала играть громче другой, я её разобрал, оказалось, что в маленькой коробочке(где звук регулируется) отходит один контакт, ну вобщем моя оценка -4.</t>
  </si>
  <si>
    <t>Ура взял сегодня. Доволен на все 100. Выбирал между W2242S и W2243S. Взял W2243S. Устраивает всё, от дизайна до внутренних характеристик.  У самого стоит видяха GeForce 7100 256 Mb, думал что будет тормозить с разрешением 1920/1080, но всё просто летает. Вывод: Покупкой доволен.</t>
  </si>
  <si>
    <t>2732</t>
  </si>
  <si>
    <t>Покупкой доволен на все 100%. Практически не слышно (даже без резиновых прокладок)! Морозит на ура! Экономичный. Из минусов то, что внешний блок имеет пластиковый корпус, как сказали монтажники со временем станет хлипким.</t>
  </si>
  <si>
    <t>Очень доволен,установил в спальне напротив двери в зал, хватает на две комнаты за глаза (комнаты 16,6 и 13 м)  Уровень шума не высокий, шланг просто выбросил в окно, в общем  5 баллов.</t>
  </si>
  <si>
    <t>2015-09-10</t>
  </si>
  <si>
    <t>Включила сегодня утром и Вуаля, лампочка горит, бигуди не греются, вообще. (коробку выкинула не больше месяца назад, когда закончилась гарантия) Про зажимы все правы очень неудобные, локонов нет но в основном даже парикмахеры используют электробигуди в большей степени для объема а не кудрей. Обжигаешься даже в перчатках.</t>
  </si>
  <si>
    <t>Телефон не идеал. 1.греется очень быстро. 2.иногда глючит, когда начинаешь фотографировать. 3.батарея очень слабая (максимум 1 день). 3.задняя панель дизайном не блещет. А так всё остальное хорошо.</t>
  </si>
  <si>
    <t>А мы этот чайник использовали один раз, прокипятили и все. У него крышка пахнет не пищевой пластмассой, из чего там китайцы все это делают... непонятно.</t>
  </si>
  <si>
    <t>2015-07-21</t>
  </si>
  <si>
    <t>Игра очень понравилась, берите, не пожалеете</t>
  </si>
  <si>
    <t>2752</t>
  </si>
  <si>
    <t>Нужна замена сальника и подшипников, а бак оказался не разборный. Вот и получается, что за ремонт требуют 5000 руб. Проще новую купить. Очень жаль, что Indesit не заботятся о своих клиентах.</t>
  </si>
  <si>
    <t>Сама машинка не плоха, но как я не пытался оккуратно снимать и одевать насадки, все равно они развалились на несколько частей, найти насадки практически не реально, придеться выкидывать данный девайс, жалко. Категорически не рекомендую</t>
  </si>
  <si>
    <t>2012-02-14</t>
  </si>
  <si>
    <t>Отличный аппарат, также использую по упрощенной схеме. с приподнятым баком. А что бы шампунь на машине не засыхал - на солнце вообще то машину не моют. И еще - не забывайте шланг подачи шампуня после окончании работ водой прокачать.</t>
  </si>
  <si>
    <t>Я очень рада что приобрела этот эпилятор и не только из-за его качества, но и то что в наборе шел эпилятор для чувствительных зон и пинцет, и все по приемлемой цене хорошего качества.</t>
  </si>
  <si>
    <t>колба кофеварки тка 1410 V изготовлена из незакаленного стекла и легко бьется. Запчасти в сервисе BOSH отсутствуют, на заказ через 2 недели. Стоимость стеклянной колбы равна стоимости всей кофеварки.</t>
  </si>
  <si>
    <t>2343</t>
  </si>
  <si>
    <t>2016-12-30</t>
  </si>
  <si>
    <t>Все было хорошо, пока она работала.</t>
  </si>
  <si>
    <t>Насадка сломалась очень быстро. Нигде не возможно найти замену. Гарантия на нее не распространяется. В результате пришлось покупать новую. Позор! Давно бы сняли с производства или продумали как исправить.</t>
  </si>
  <si>
    <t>2777</t>
  </si>
  <si>
    <t>Отличный пылесос. Хорошо втягивает пыль, а с щеткой хорошо чистит ковры. Благодаря дополнительной узкой насадке можно и уголки и в узких местах пылесосить(такой насадкой я компьютер от пыли чищу, очень удобно). Правда сам фильтр чистить нужно по мере его загрязнения, в противном случае пылесос будет плохо втягивать пыль, также может появится посторонний звук. Пылесосом я довольна, рекомендую.</t>
  </si>
  <si>
    <t>2009-10-20</t>
  </si>
  <si>
    <t>Худший коммуникатор который я видел. Корпус сделан из отходов, при аккуратном отношении корпус сам начнет трескаться в следствии начнут отходить контакты антенны. КПК постоянно пропускает вызовы, вам звонят, а он молчит. Камера ужасная, все фото всегда размазаны.</t>
  </si>
  <si>
    <t>1920</t>
  </si>
  <si>
    <t>2405</t>
  </si>
  <si>
    <t>2016-01-18</t>
  </si>
  <si>
    <t>Пользуемся уже больше 4х месяцев, и в ванной и в комнате, измеряет точно, и быстро.</t>
  </si>
  <si>
    <t>Приобрели её месяц назад за 9 990 руб. по акции.  Дизайн - СУПЕР, стирает отлично, отжим - почти сухое бельё, никакой вибрации.  Из минусов - при отжиме слышен свист,наверное, барабан при вращении трётся об резиновый уплотнитель дверцы, или ремень издаёт такой звук. Может это не недостаток, напрягает не сильно - дверь в ванной плотно закрывается :). Ещё не мешало бы добавить звуковой сигнал после окончания стирки.  А вообще, за 10 т. руб. у неё нет конкурентов !</t>
  </si>
  <si>
    <t>Машинкой очень довольна, очень нравится двойная стирка, вещи становятся белоснежные, есть дополнительное полоскание. Минусов не обнаружила.</t>
  </si>
  <si>
    <t>2013-03-11</t>
  </si>
  <si>
    <t>Офигенная вещь, использую для заварки чая. Получил случайно, никогда раньше не пользовался френч прессами. Коллеги подарили на день рождения. Пользуюсь больше полутора лет. Очень удобно мыть, необходимо только немножко приловчится и моется за 15 секунд, в традиционных заварочниках есть проблема с застреванием листьев чая в хоботке, тут такой проблемы быть не может. Берите не пожалеете! Приятного чаепития :)</t>
  </si>
  <si>
    <t>3202</t>
  </si>
  <si>
    <t>2009-08-27</t>
  </si>
  <si>
    <t>Блютуза и нет на нем,да и не нужен он там в принципе...</t>
  </si>
  <si>
    <t>116</t>
  </si>
  <si>
    <t>У меня есть вопрос . Я вчера купил себе PS3 , и сразу же занялся мыслью - если в неё вставить обычный DVD-Диск с обычным фильмом - приставка будет читать его или скажет не поддерживаемый формат ?</t>
  </si>
  <si>
    <t>Хорошо показывает, достоин своей цены.  Встроенная антенна не очень, но если вставить свою - показывает замечательно. Флешки читает без вопросов, видео и телевизионные передачки показывает хорошо.</t>
  </si>
  <si>
    <t>2013-05-18</t>
  </si>
  <si>
    <t>7 месяцев пользуемся. Всё в порядке. Писал отзыв 29.01.2013 Иван Омск. С этого момента ничего не изменилось в работе. Всем советую. Есть ещё такая же вытяжка только с сенсорным управлением, но мне кажется это дорогая и не надёжная функция. Данная вытяжка сочетает в себе цена/качество!!! Советую.</t>
  </si>
  <si>
    <t>Отличная вещь дома. Постоянно есть горячая вода нужной температуры. Решили, что кулер домой брать слишком громоздко и расточительно, а вот термопот в самый раз. Три литра горячей воды есть под рукой в любое время дня и ночи.</t>
  </si>
  <si>
    <t>1.Очень сильно греется при работе, даже недолгое время использования  2.Очень тупые ножи в самом блендере, плохо измельчают, до пюреобразного состояния не получится, всё мелкими, я бы даже сказала, кусочками.</t>
  </si>
  <si>
    <t>2020</t>
  </si>
  <si>
    <t>Шикарный аппарат! хотел приобрести еще вчера, но девушка консультант подсказала что сегодня будут скидки. В итоге сэкономил 2500р! Спасибо ей:*  К работе пылесоса нареканий нет. Сосет отлично. Да и дизайн необычный, приближен к моделям от Dyson. еще очень рад что есть турбощетка.  В общем советую брать, тем кто сомневается!</t>
  </si>
  <si>
    <t>2014-12-15</t>
  </si>
  <si>
    <t>Перемолол около 50 кг кофе ))) А ресурс у неё  800 кг. Ничего она не жжёт, даже если молоть 200 граммов, помол холодный, равномерный. Я доволен этой кофемолкой, менять не хочу.</t>
  </si>
  <si>
    <t>телевизор просто отличный) спасибо за помощь в выборе консультанту Марселю в МЕГА на Пр Победы г.Казани    ОТ ТЕЛЕВИЗОРА В ВОСТОРГЕ!</t>
  </si>
  <si>
    <t>755</t>
  </si>
  <si>
    <t>2009-09-28</t>
  </si>
  <si>
    <t>Вы зашли в "Русклимат" не так давно, то есть появились сменные фильтры там недавно. Я то с начала 2009 года бомбил сообщениями на официальную почту сайта  Бонеко, и в Русклимате и вообще нигде сменных фильтров не было.  Теперь в Русклимате действительно есть, и это очень хорошо.  Я сразу куплю там несколько фильтров, и теперь кстати куплю еще один такой же увлажнитель, чтобы поставить в офисе.  Потому что проще, надежнее и эффективнее, чем этот увлажнитель, вы не найдете.  Удивительно простой в обслуживании, никаких тебе налетов на мебели. Еще один совет, может кому-то пригодится. Я, прежде чем заливать воду в увлажнитель, профильтровываю воду через кувшинный фильтр, но у нас вода просто очень жесткая. Если у вас вода мягкая, этого делать не надо. Зато фильтр ощутимо дольше служит при этом.  У нас в прошедшую осень-зиму-весну дома никто не болел никакими ОРВИ, так что всем советую этот увлажнитель.</t>
  </si>
  <si>
    <t>Хотел купить, да был последний на витрине (с витрины не беру принципиально) но даже уж было решил пренебрегнуть принципами, да обнаружился битый пиксель... Словом отпало. Оказалось не моё, а жаль... Если бы появился в продаже снова, в нераспечатанной ) коробке приобрёл-бы сразу же...  По ощущениям: достаточно приличная матрица, что редкость на современных ноутах, по соотношению цена-качество, по крайней мере по заявленным характеристикам и общего ощущения от виденного образца - близко к 100 процентам. Словом, хочу эту модель...</t>
  </si>
  <si>
    <t>Разве у этой модели имеется гриль? Покупал такую же модель только в цвете металик. Чудо плита! Имеется конвекция. Ничего лишнего, никакой электроники(которая обычно выходит из строя)  Правда вопрос по поводу гриля. Модель такая же, а гриля нет у меня.   ▶▶▶ОТВЕТ ЭКСПЕРТА «М.ВИДЕО»◀◀◀ Гриль есть, продукты выкладываются на специальную решетку, вертел не используется.</t>
  </si>
  <si>
    <t>Пользуюсь машинкой 2 месяца. Очень доволен:  - тихая, самый сильный шум только при заливе и сливе воды  - вместительная при таких габаритах  - хорошо отстирывает и при этом экономная.  Не прыгает и не трясется при отжиме. Попробовал все программы и в итоге пользуюсь в основном одной - MIX&amp;WASH.  Покупкой доволен.</t>
  </si>
  <si>
    <t>таких функций в нем нет:  Встроенные часы	  Таймер включения	  USB-неработает.</t>
  </si>
  <si>
    <t>2689</t>
  </si>
  <si>
    <t>Достоинства: Русские названия файлов читаются без проблем, звук хороший, стильный дизайн, хорошее соотношение цена-качество. Удобная книга контактов - можно на один контакт записывать несколько номеров.  Недостатки:  1.Если музык. файлов много (более 100) и у них нет мета-данных (жанр, альбом, исполнитель), то очень трудно составлять собственные списки воспроизведения - только вручную каждый файл (даже если все они находятся в одной папке на SIM). В этом плеер очень неудобный!!  2.Врут, кто утверждает, что объём памяти для игр ограничен только общим объёмом памяти. У меня на SIM свободно 3Gb, а игр установить можно только на 4Mb!!! :( Это всего около 10 игр.  3.Разъём для наушников нестандартный, не джек, что наверняка скажется на надёжности.  4. Глючное программное обеспечение PC Studio. Говорят, что оно работает только под Win2000, у меня в WinXp не работает.  В целом телефон неплохой, для ребёнка или девушки - самый раз! :)</t>
  </si>
  <si>
    <t>3230</t>
  </si>
  <si>
    <t>Купил в подарок маме эту вытяжку. У этой вытяжки хорошая мощность под небольшую кухню. Запах приготавливаемой пищи в квартире не слышен. Приятно , что угольный фильтр уже входит в цену. Сочетание цена-качество на отлично! Мама осталась очень довольна . Рекомендую!!!</t>
  </si>
  <si>
    <t>Плюсы:  Хороший нескользящий корпус, грубоват конечно, но в целом удобный.  Толстый, устойчивый к морозу провод, немного цепляет за одежду, но это мелочи.  Хороший Г-образный штекер, с относительно гибкой основой.  Наличие вентиляционных отверстий в корпусе наушника - отсутствует конденсат.  Защитная сетка тканевая, хорошо вклеена.  Звук достойный, и на ipod  и на nokia - мягкий бас, на высоких не трещит.  Минус - нет прищепки.</t>
  </si>
  <si>
    <t>Стиралка за эти деньги на 4 с +.</t>
  </si>
  <si>
    <t>2009-10-26</t>
  </si>
  <si>
    <t>Супер аппарат. Подарил маме, очень довольна.</t>
  </si>
  <si>
    <t>Аппарат отличный - замечаний нет.  для ROMAN (Omsk): зайди на сайт Парагон скачай Домашний Эксперт 2010, и пили диск, как хочешь.</t>
  </si>
  <si>
    <t>Отличная вытяжка, работает год, никаких нареканий, металлический мотор и пропеллер, что очень редко для вытяжки за такую цену, все отлично моется, единственный минус-это еле видные кнопочки управления !!!</t>
  </si>
  <si>
    <t>2508</t>
  </si>
  <si>
    <t>пользуюсь машинкой очень долго около 5 лет стрежет очень хорошо, падала много раз, но последний она не выдержала, и на нижнем ноже, который снимается, оторвалась пластмаска внутри, которая обрамляет железный стержень. Простите за каламбур, не знаю как написать, ну вот она мне очень нужна, помогите, кто может где купить эту нижнюю часть, которая снимается.</t>
  </si>
  <si>
    <t>1325</t>
  </si>
  <si>
    <t>У меня утюг тефаль уже 7 лет в работе, и у меня к нему нет никаких претензий, я вообще довольна этой продукцией. Еще у меня чайник, йогуртница и сковороды TEFAL. А еще я купила на Новый год свекрови утюг такой марки и она очень довольна, подошва скользит и идеально отпаривает, отглаживает. Супер!!!</t>
  </si>
  <si>
    <t>Вот приобрёл эту систему. Впринципе читает всё, но при отключении и включение не запоминает последний трек с карты или флехи. Воспроизводит заново сначала. При воспроизведении с диска, запоминает. Подсоединять конечно лучше напрямую, а не через замок. Так как при поворачивание ключа песни например с карты или флешки воспроизводятся заново. Радио тюнер отлично, тв тюнер тоже. При отключении горит панель и показывает время. Но это не сажает аккумулятор. При желании панелька с кнопками снимается. Слушать при езде советую при сложенной панели (мало ли) А при стоянке выдвигать если надо. Хотя если по ровным дорогам, можно и выдвигать, только ночью отвлекает. Динамический диапазон супер. Желательно использовать динамики от 3-х полос и выше.</t>
  </si>
  <si>
    <t>2011-07-14</t>
  </si>
  <si>
    <t>Наушниками рад!  сидят хорошо громкость приличная!  И совет тем у кого разряжаются быстро: Первая зарядка батареек должна быть (точно не помню) но более 12 часов и все будет класс!!</t>
  </si>
  <si>
    <t>1442</t>
  </si>
  <si>
    <t>2010-08-20</t>
  </si>
  <si>
    <t>Ездил этим летом на море - было время полностью протестировать сей сабж. Результатом очень доволен - корейцы молодцы, сделали недорогой качественный чехол для подводной съемки. Всем рекомендую!</t>
  </si>
  <si>
    <t>2473</t>
  </si>
  <si>
    <t>Не понимаю претензий к моющему (!) пылесосу, что он тяжелый с водой, так ведь и должно быть. Если хотите легкий - покупайте обычный и мойте все руками. Но этот пылесос чистит ковры так, что тряпкой придется мыть долго и упорно,это его основное достоинство, и за это ему можно простить большой вес. Сухая уборка тоже хорошая, мощности хватает. По виду пылесос довольно прочный, да и сейчас, после нескольких месяцев эксплуатации, у меня не сломалось еще ничего, хотя бился о всякие углы он не один и не два раза. Мой вердикт - хороший выбор за такие деньги.</t>
  </si>
  <si>
    <t>1009</t>
  </si>
  <si>
    <t>сенсором пользоваться не так и удобно-переключать песни в кармане гораздо удобнее когда чувствуешь клавишу да и нервы побережешь, сложно попасть на нужную кнопку на ходу, батарея ужасная, по ходу на ней жестоко съэкономили. Звучание на тройку, лучше сразу сменить наушники да и универсальный зарядник не помешает, комп оставлять включенным лишь чтобы зарядить плеер не удобно. К преимуществам можно отнести отличный дисплей, богатый внешний вид, пожалуй и все.</t>
  </si>
  <si>
    <t>Это лучшая плита, которую я когда-либо видела!! Я вообще не из тех людей , кто часто покупает новую технику , люблю я все старое  держать. НО когда у всех моих подруг и соседок уже были такие вот электрические варочные панели , я тоже решила поменять свою старую электрическую плиту и купить то же что то в этом роде... Советовалась долго , читала отзывы в интернете и тд , и в конце концов купила это вот модель от Занусси. Занусси мне всегда нравились , всегда качественно делают , да и качество немецкое!  Сначала конечно меня можно сказать напугал вид этой панели , ну не подходила она моим представлениям о плите, но потом все таки решила брать , уж больно много чего хорошо я о ней прочитала..) После установки я уже сама поняла на сколько она хороша , и на сколько с ей удобно пользоваться.  Все конфорки очень быстро нагреваются с этим никаких проблем , особенно нравится конфорки с расширенной зоной нагрева , это нереально удобно . К тому же на этой плите целых пять конфорок , я того никогда еще не видела. Управление у плиты тоже очень удобное , Сенсорная , как в  шпионских фильмах. В целом я сейчас понимаю что это плита даже лучше чем панели моих соседок , очень все нравится , советую!!</t>
  </si>
  <si>
    <t>тел норм!    Минус со временем динамик становится очень тихим...И один раз я ремонт делал в сервисном центре, короче через три месяца после покупки у меня прошивка полетела..вроде сделали нормально</t>
  </si>
  <si>
    <t>купили не давно, покупкой довольны!!!</t>
  </si>
  <si>
    <t>39</t>
  </si>
  <si>
    <t>Я рада, что выбрала именно эту фирму, она всегда отличается строгостью дизайна, классическим видом и, надеюсь, прекрасным качеством. Дизайн отличный, качество изображения "радует глаз", надеюсь будет работать и так дальше. Но, хочу сказать, кто приобретает этот телевизор, обязательно учтите с какого места вы будете смотреть. Если телевизор ниже уровня глаз, то изображение будет темнее. Правильно устанавливаете или вешайте!</t>
  </si>
  <si>
    <t>Ну как выпрямитель он хороший, а как на счет завивки волос?</t>
  </si>
  <si>
    <t>1147</t>
  </si>
  <si>
    <t>Свернуть приложение на телефонах SE можно,нажав и удерживая кнопку "Назад". Появится меню с пунктами-Закрыть и Свернуть.  Удачи!;)</t>
  </si>
  <si>
    <t>2012-03-22</t>
  </si>
  <si>
    <t>Не завивает. Вообще. Разогревается ооочень долго.  Хлипкое крепление насадок, вываливаются в процессе использования.Нижайшее качество пластика корпуса и сборки. Не выкидывайте деньги на ветер - не покупайте этот ужас.</t>
  </si>
  <si>
    <t>2017-05-18</t>
  </si>
  <si>
    <t>Легкий, компактный, не дорогой.</t>
  </si>
  <si>
    <t>2013-01-09</t>
  </si>
  <si>
    <t>Хорошая кофемолка, пришла на смену моей старой с обычным измельчителем. Как объяснил консультант жерновой тип кофемолки не создает из зерен пыли, засоряющей фильтр моей кофемолки. Очень понравилось, что можно регулировать помол.</t>
  </si>
  <si>
    <t>Хрупкий пластик.  Сползает регулировка- дома 3 разных головы - уже через 2 недели регулировка не работала.Практически сразу лопнуло пластиковое крепление возле правого уха. А вскоре после поклейки аналогичное случилось и с левым.  Теперь пользоваться уже не могу, хотя уши еще новые. От Филипа не ожидал!!!  Хорошее звучание, диапозон частот довольно широкий. Цена вполне приличная,  только толку...</t>
  </si>
  <si>
    <t>Дизайн отличный, сразу приглянулась, но меню сложновато.</t>
  </si>
  <si>
    <t>Пришел в магазин, выбор был среди простых,но в тоже время надежных плееров. остановился на "сони" и собсвенно на "самсе". Самс просто по всему лучше. И по звуку он тоже мне больше понравился, выыбирал в своих наушниках фирмы "фишер". минусов у "соньки" навалом (глянцевый корпус,неудобный болтающийся переключатель песен, в виде колесика, легко снимающийся колпачек, по толщине он превосходит своих собратьев ,пузатый он какой-то).  Короче кто еще сомневается, БЕРИТЕ САМСУНГ!!!!!!!!!</t>
  </si>
  <si>
    <t>Покупал 29.06.2010 могу сказать, что за 20000= ничего лучшего купить нельзя, даже из тех же Асеров. Что бы и 2-х ядерный процессор, может и не самый шустрый, но лучше чем Гелерон. 3 гб памяти, диск 250, видеокарта 512+из оперативки 1791. Я в игры не играю и мне может хватило бы, что и попроще, но этот ноутбук меня устраивает на все 100%.      Многие хают Виндос 7, а мне она да же больше нравиться чем ХР, открываешь новую вкладку и она как стояла на русском языке так и стоит. Редактор графический Поинт - можно уменьшить размер фотографии, единственное не очень удобно исходное размещение фото, когда его сохраняешь, что бы потом найти нужно сразу перекинуть в рисунки. Включается и выключается Виндос 7 гораздо быстрее чем ХР.    ДВД диск вставил и смотри сразу - как на портативном ДВД-проигрывателе, без каких либо доп/программ, а в той же Виндос ХР нужна дополнительная программа, а она за деньги.    Антивирус McAfee установленный на два месяца, откровенно слабоват, плохо реагировал на вирусы, бесплатный от Майкрасофт лучше и совсем бесплатнее. Мало того этот McAffe на Гугле показывает безопасность сайтов и на сайт на котором 100% вирусняк показывает, что всё окей. Кому не страшно за ноутбук и доверяет этому антивирусу, но охота проверить - псинка.ру через Гугл, Яндекс покажет угрозу. Я этот веселый антивирус убрал через 2 месяца. Ноутбуку стало без него легче.    Своим ноутбуком доволен, гораздо удобнее чем стационарный комп, ни проводов, не пыли, сложил и убрал. Подключил вместе со стационарным компьютером через роутер (у меня Д-линк 300N), ноутбук почти сам настроился, без проблем, отличная вещица. У меня он особо сильно не греется, правда пользуюсь ноутбуком на столике трансформере с охлаждением.</t>
  </si>
  <si>
    <t>Плита-отстой! во первых треснуло и рассыпалось наружное стекло духовки - с сентября 2013г. не могут поменять даже за деньги!! Без духовки ничего не испечь!! ручки 3 и 4 конфорок (слева)поворачиваются с большим трудом - даже боюсь сломать!! придется опять возвращать</t>
  </si>
  <si>
    <t>Приобрела эту модель машинки и осталась довольна, полностью подходит по всем параметрам, мы с мужем пьем в основном черный кофе, иногда балуемся капучино, кофе очень хорош, пенка плотная,   молочная пенка как шапка, даже сахар не тонет.   До сих пор радует покупка.</t>
  </si>
  <si>
    <t>938</t>
  </si>
  <si>
    <t>месяц работала отлично, потом начались проблемы с куллером (вентилятор охлаждения), а через 3 месяца стал отключаться гриль, поменяли с доп. гарантией на такую же - месяц работает отлично, не жалуюсь.</t>
  </si>
  <si>
    <t>Более года пользуюсь, нареканий нет. Считаю идеальная вытяжка за такие деньги. Единственный момент - шумновата на полной мощности, но менее шумные стоят в разы дороже. Так что, это идеальное сочетание цены и качества!</t>
  </si>
  <si>
    <t>Компьютером пользуюсь 4 месяц и в принципе всё нормально, насчет хлипкости DVD привода...ну даже не знаю у меня с этим проблем не возникало, запись осуществляется очень даже хорошо, маленькие диски - вот это реально проблема, у меня мышь X-7, а к ней мини CD с драйверами, пришлось переворачивать, чтобы установить все драйвера.    Теперь насчет видео карты: неплохая производительность при таких габаритах!  Да есть проблема с высокими текстурами и разрешениями в играх, но после установки последнего драйвера от ATI Radeon все стало нормально, я всегда в играх играю на разрешении 1400x1200 вроде так не помню точно :)    А вот самая главная проблема с которой я столкнулся при использовании этого блока:    Порой для того чтобы его включить приходится сидеть минут 15!!!  Очень Очень Очень плохо включается.  Не знаю, с чем это связано, но процессор с первого раза очень редко запускается.</t>
  </si>
  <si>
    <t>Мясорубка не плохая, мясо крутит отлично, удобная в использовании, шумит не сильно, но заметил один минус, при нагрузке происходит какой-то свист, очень неприятный звук.</t>
  </si>
  <si>
    <t>Вчера скачал демку мультиплеера, впечатлило то, что для данной игры разработчик позаботился выделить игровые сервера, в отличии от CallOfDuty Black Ops и MW2. Очень порадовало отсутствие лагов, графика на 4 но на экшен в сетевых баталиях влияния никакого не оказывает. Очень пноравилось вообщем, решил купить и поиграть пока не выйдет BF3.</t>
  </si>
  <si>
    <t>Пылесосом очень доволен. Брал взамен обычному дешевому эленбергу с пылевым мешком (надоел, не пылесосил толком). Этот тянет на несколько порядков лучше.   Вообще, я его лучше сравню с  пылесосом Rainbow 90х годов за 2000$ с электрической турбощеткой и водной фильтрацией, используемому родителями.  На рэйнбоу кроме водянной фильтрации на выходе стоит маленький поролоновый фильтр, который после чистки квартиры, несмотря на рекламируемую супер чистоту выходного воздуха, становится слегка грязным.И вот что меня поразило - на пылесосе стоящем почти в 30 раз меньше выходной HEPA фильтр остался чистым после пары уборок!!! Электрическая турбощетка рэйнбоу конечно чуть удобнее - мощность больше, нет проблем с высоким ворсом ковра или тканевой обивкой дивана, которая засасываясь блокирует работу обчной воздушной, но это решается тренировкой ;) Зато щеточка на ролсене компактная и легкая, а главное, результат уборки мне показался даже лучше.   Еще позитивный момент - прилагается дополнительный комплект фильтров, и хотя на сайте мвидео это не указанно, судя по инструкции они моющиеся.  Приятный, мягкий пластик телескопической трубы,шланга и ручки пылесоса. Про долговечность конструкции ничего не скажу - использую месяц.</t>
  </si>
  <si>
    <t>Куплена 02.05.2010 за 3650 рублей (что много, увы). Брился сегодня), качество "пробрития" оценено 2-й половиной на отлично. Время бритья 4 минуты. У меня борода растет быстро и к сожалению жесткая, тем не менее эта бритва отлично справилась с этой проблемой! - рекомендую к покупке.</t>
  </si>
  <si>
    <t>Недавно приобрел эту машину. Выбирали очень долго (я вообще приверженец того, что хорошая техника не нуждается в рекламе, перерыли весь интернет и остановились на этой машине). Очень умный аппарат. Стирает просто великолепно. Все, что написано про бесшумный двигатель и безвибрационный отжим - абсолютная правда. Работа машины ночью абсолютно не мешает спать, ее просто не слышно (машинка стоит на кухне). Очень понравилось, что в процессе стирки машина ополаскивает кювету полностью и остатков моющего средства не остается. Если хотите получить удовольствие от покупки, тогда это машина для вас. Покупайте, не пожалеете.</t>
  </si>
  <si>
    <t>Купили вчера,так же как и все искали чтоб было соотношение цены и качества,пользовалась 2 раза, пока очень довольна,два стакана сока на завтрак в считанные секунды.Больше тратится времени чтобы ее после вымыть, но ничего не поделаешь, здоровье прежде всего!</t>
  </si>
  <si>
    <t>2016-07-23</t>
  </si>
  <si>
    <t>Чайник мягко говоря не удачный. Из плюсов только внешний вид.  На стенках чайника сразу же видна накипь хоть вода из фильтра. Чайник не кипятит воду два раза подряд это раздражает больше всего. Ему надо остыть. Причём занимает это остывание минут 20. Даже если налить в него снова холодную воду. Разлил чай и жди сиди пока он остынет. Можно до бесконечно щёлкать кнопкой он просто не включается! Это отвратительно причём за такие деньги.</t>
  </si>
  <si>
    <t>2016-03-09</t>
  </si>
  <si>
    <t>Привлек внешний вид панели тонкая металлическая рамка. Управление удобнее не встречал. Выбрал конфорку затем одним нажатием выбирал  нагрев, нет возни с + и -. Керамика немецкая. Панель идёт с кабелем для удобного подключения.</t>
  </si>
  <si>
    <t>Прекрасное соотношение цены и качества! Хорошая малазийская сборка - без люфтов и скрипов. Отличная матрица экрана. Вывожу сигнал со своего Macbook Pro, как на второй монитор, и вместо ухудшения картинки, вижу практически то же самое, а где-то и лучше!!!  Эфир принимает очень достойно. Бывают иногда заметны маленькие артефакты, но в основном при плохом сигнале антенны, или некачественном видео, особенно в новостях.   Зато как он подружился с моим медиаплеером! В HD картинка сочная, без сдвигов и залипаний.   Все интерфейсы, которые необходимы имеются.   В общем телевизор очень хорош! Для тех, кто не гонится за дюймами - наверное лучший выбор.</t>
  </si>
  <si>
    <t>Купил отцу подобную бритву. Ему понравилась. Отработала 5 лет, сгорел мотор.  Думаю, повторить и купить эту. Есть триммер для усов)) Долгая автономная работа, но тут нужно быть осторожным с зарядкой, т.к. скорей всего, аккумулятор Никель-Кадмиевый, а у него выраженный эффект памяти. Для сохранения ёмкости аккумулятора нужно бритву разряжать и заряжать полностью. А тут приходится кстати индикатор зарядки.  2500р / 5 лет = 500р в год, за такие деньги можно ежегодно менять Бердск, но тут уж на любителя)))))))</t>
  </si>
  <si>
    <t>2013-06-29</t>
  </si>
  <si>
    <t>Перед покупкой этой модели много прочитал всякого в интернете: и то что это старая допотопная модель, и шум от него как от старого холодильника и много много всего. Сомневаясь в выборе все таки отдал предпочтение этой модели и не пожалел. Все просто отлично работает и без всяких светящихся табло и лампочек разного цвета. Шума никакого не слышу ни дома ни на улице. Ни чего не трещит и не скрепит и не булькает.</t>
  </si>
  <si>
    <t>2015-07-10</t>
  </si>
  <si>
    <t>стильная, компактная и многофункциональная панель. то что она маленькая ничуть не ухудшает ее работы. в кухне вписалась так, как-будто продавалась вместе с гарнитуром. Очень  порадовало то, что панель индукционная. есть таймер отключения конфорок(для забывчивых), режим быстрый нагрев (если нужно что-то быстро разогреть или вскипятить воду). очень удобная сенсорная панель управления, подсветка не режет глаз. если вас не останавливает цена, то рекомендую покупать именно эту панель.</t>
  </si>
  <si>
    <t>2011-12-11</t>
  </si>
  <si>
    <t>Весы включаются не с первого раза, пластмасса дешевая, разочарована.</t>
  </si>
  <si>
    <t>2015-02-26</t>
  </si>
  <si>
    <t>Ольга, хочу ответить на ваше высказывание, что "Чайник доводит до 80 градусов без предварительного кипячения, что актуально для зеленых чаев". Какой бы вы чай ни заваривали, воду все равно нужно доводить до кипячения, а потом  ждать когда она охладится. Так что данные режимы имеют смысл только если нужно подогреть, ранее вскипяченную, воду и при этом не перегреть. Чайник хороший, но на самом деле режимы практически не использую, очень редко.</t>
  </si>
  <si>
    <t>2016-03-28</t>
  </si>
  <si>
    <t>Вариант для тех, кому нужен обычный сок, кому не лень чуть нарубить овощи или фрукты перед отжимом и кто в состоянии оценить главное преимущество этой соковыжималки – нам дали возможность за совершенно смешные деньги пользоваться благами обычного отжима сока. Полностью качественная соковыжималка – это очень дорого! И мне такая была не нужна, я не так часто ей пользуюсь. И здесь я готова смириться с более дешевыми материалами, с более натужной работой и требованием бережного отношения к аппарату. А как еще вы хотели получить полностью рабочую соковыжималку за такие деньги? Сок делает (причем неплохой чистоты) и ладно</t>
  </si>
  <si>
    <t>Купил этот аппарат по акции.  Кофемашина дома была моей давней мечтой.  Аппарат очень достойный, кофе готовит замечательно. Запах в кухне и пенка замечательны.  Рекомендую.  Свою цену (по акции) оправдывает на все 100.</t>
  </si>
  <si>
    <t>Первый не прожил и года, сгорел мотор. Поменяли на другой такой же. Он прожил чуть больше года и перестал влючаться. Хорошо, что был серификат. Забрали без вопросов.</t>
  </si>
  <si>
    <t>2010-05-10</t>
  </si>
  <si>
    <t>Пользуюсь этим телефоном уже пол года, замечаний пока нет. Кстати, если сравнивать с телефонами других моделей и за такую же цену, то SE самый мощный процессор и камера.</t>
  </si>
  <si>
    <t>Вытяжку  Shindo Pallada 60 см доставили 10 мая, надо отметить ,что очень оперативно ребята работают. Заказал 9 мая, а в 9.00 10-го привезли. Вытяжку устанавливал сам, сложностей по установке особых нет, главное читать инструкцию.И самим аппаратом доволен; хороший дизайн, шума при работе немного, удобная подсветка, козырек под удобным наклоном по голове не бьет.  Настораживает только сам крепежь к стене. Вытяжка довольно тажелая, а болты коротковаты (4см длиной), из-за настенной панели (толщина 1.5 см) в стене крепежа осталось 2,5 см. Но надеюсь что вытяжка не упадет.</t>
  </si>
  <si>
    <t>2017-07-14</t>
  </si>
  <si>
    <t>Дёшево</t>
  </si>
  <si>
    <t>2016-04-09</t>
  </si>
  <si>
    <t>Пользуюсь уже 2 года, ничего не скрипит, по полу не скользит. Самая оптимальная ширина для глажения любых вещей (постельное белье, брюки, а для рубашек - это вообще сказка!!!) Купив 2 года назад, мне вообще повезло: у доски есть выдвижной кармашек для телефона или пульта (всё у тебя под рукой - гладь и наслаждайся!!!). Всем советую!</t>
  </si>
  <si>
    <t>2012-12-04</t>
  </si>
  <si>
    <t>Не знаю, не знаю! Мне и жене понравилась данная вещь.Режим 4 и кнопочка &amp;nbsp;- класс, и не горелый, и с корочкой.</t>
  </si>
  <si>
    <t>2013-12-12</t>
  </si>
  <si>
    <t>Пользуемся мясорубкой уже год. Всё устраивает, вполне бюджетный вариант.В нашем случае с креплением все ОК. Мясо крутит замечательно, овощи трёт и шинкует (драники за 3 мин!), а то что шумит, ну, да, по сравнению с ручной, то да, но это пережить можно, ведь шумит от силы 5-10 мин))). В общем, хорошая мясорубка</t>
  </si>
  <si>
    <t>Отличная модель хлебопечки!Мне ее посоветовала коллега по работе,очень радует дизайн,простота в управлении,а главное,нет замудренных программ и все они на русском языке.Но если нужно можно и любую программу добавить самостоятельно.Вообщем я ей доволен</t>
  </si>
  <si>
    <t>У меня точна такой жи комп игры идит проста идиально только видео карта другая  ATI Radeon HD 4870 1GB и игры идут такие как Call of Juarez - Узы крови и Crysis Warhead и Fallout 3 и Far Cry 2 и ArmA 2 и Operation Flashpoint: Dragon Rising и так далие причём нармально эти игры работают без лагов а вапще сетим кампом проблем не будит!!!</t>
  </si>
  <si>
    <t>У меня эта машинка около месяца. В целом неплохой аппарат. Есть все нужные функции. При небольших габаритах она имеет внушительный объем загрузки. Из недостатков замечено то, что она не полностью вымывает стиральный порошок из загрузочного лотка, хотя напор воды хороший. В моей предыдущей стиральной машине даже приходилось уменьшать напор воды, т.к. вода брызгала из лотка.</t>
  </si>
  <si>
    <t>короче самая тема игра, красавчики мвидео</t>
  </si>
  <si>
    <t>Хорошие наушники, советую всем, не пожалеете, басы чумовые))</t>
  </si>
  <si>
    <t>Вчера приобрели данную модель, очень понравилась картинка, несмотря на то, что телевидение аналоговое цвета яркие, сочные красивые. звук после настройки тоже удивил, мне и театра не надо звук хороший. жаль что с флэшки avi не читает только mpeg, это единственный недостаток, который заметили... телевизор супер!!!</t>
  </si>
  <si>
    <t>2016-09-26</t>
  </si>
  <si>
    <t>Хорошая флешка. Быстро скидываешь информацию на нее. Не тормозит. Советую.</t>
  </si>
  <si>
    <t>Столкнулся недавно с такой проблемой для игр к Xbox 360: некоторые из них запускаются ТОЛЬКО на частоте 60 Гц, а у нас в России не все телевизоры поддерживают данную частоту (там, по-моему, система PAL для 50 гц, а HTSC - для 60 Гц). Спросил у продавца - он сказал, что некоторые телевизоры в России уже способны принимать 60-герцовые сигналы. Так вот, этот телевизор может работать с данной частотой? Мой PHILIPS 32PW9520 категорически отказывается работать под вышеописанным стандартом, выдаёт серый экран и жуткие чёрные полосы.</t>
  </si>
  <si>
    <t>2015-05-08</t>
  </si>
  <si>
    <t>Достоинства.  1.	Точность. Специально сравнивал с несколькими термометрами и гигрометрами и не разочаровался.  2.	Простота эксплуатации. Всего пять кнопок на такой большой дисплей и абсолютное понимание того, как управлять этим чудом.  3.	Внешний датчик температуры воздуха. Теперь не надо бегать к уличному термометру, чтобы узнать температуру.  Недостатки.  1.	Прогноз погоды. Показывает он, конечно, иногда правильно… Но только иногда. У нас облажной дождь льёт, а станция нам показывает солнце и чаек) Только что позитивно, настроение приподнимает.   2.	Индикатор приближающихся заморозков. Вот кто его придумал и почему не сделали выключатель? У нас станция стоит в спальне, и мы с супругой очень удивились, когда обнаружили в ночи проблесковый маячок на всю комнату… Пришлось на время «приближающихся заморозков» заклеить светодиод изолентой… Хотя, благодаря этому же индикатору, удалось спасти от замерзания лежащие на балконе лук и картошку (тогда еще внешний датчик температуры воздуха не был прикреплен на улице, а мирно лежал на балконе).  Резюме.  	В целом покупкой довольны и счастливы, что выбрали именно эту фирму. Немного пожалели только, что не взяли более старшую модель с уличным гигрометром и барометром. Всем рекомендую.</t>
  </si>
  <si>
    <t>2012-02-03</t>
  </si>
  <si>
    <t>Я думаю свой процент брака есть в любой продукции будь то Томас или Вакс. Лично я своей покупкой очень довольна. Купила его около месяца назад. Не думала, что от уборки можно получать удовольствие. С учетом того, что с маленькими детьми делаю уборку через день, не ожидала, что в моих коврах столько грязи. Вакс справился легко и быстро. Вся уборка заняла минут 20 и теперь я уверена в чистоте в своем доме!</t>
  </si>
  <si>
    <t>3132</t>
  </si>
  <si>
    <t>2010-10-10</t>
  </si>
  <si>
    <t>В принципе БУК нормальный!3 недели назад взяли!!!!!!!!!!!!!!!!!!!!!!!!!!!!  Очень обидно, и камеру мы так и не нашли!Экран отсвечивает работать не удобно.</t>
  </si>
  <si>
    <t>2012-11-07</t>
  </si>
  <si>
    <t>На мой взгляд это лучшее решение для дома в сравнении с более дорогими моделями от компании philips. Можно регулировать температуру и мощность пара, а также чистить от накипи с помощью специального коллектора в котором она скапливается. Покрытие подошвы металлокерамическое, хорошо скользит и не пригорает. Да и сборка качественная, Франция.&amp;nbsp;</t>
  </si>
  <si>
    <t>пользуюсь данной моделью уже более года. хороший, надежный аппарат!!! простота в обращении! отстирывает великолепно! автоматов уже несколько штук перепробовал, есть с чем сравнить.</t>
  </si>
  <si>
    <t>2012-03-21</t>
  </si>
  <si>
    <t>Я пользуюсь этим товаром 4 года.Я выбрал её, потому что она очень проста в использовании. Достоинства: Все пятна выводит, перемещать удобно.Недостатков я не обнаружил.Я рекомендую этот товар всем бабушкам.</t>
  </si>
  <si>
    <t>2016-04-13</t>
  </si>
  <si>
    <t>За эти деньги отличный аппарат. Мне нужен был 2-х симочный, с LTE и большим экраном. И здесь как раз все это есть. При редком использовании заряда хватает на 1,5 дня. Конечно, это больше планшет, чем телефон. Сразу рекомендую брать беспроводную гарнитуру для разговоров. Либо две симки, либо 1 симка и карта памяти. 3-4G  только на одной симке. В городе не найти чехлов и стекла. Нужно заказывать.</t>
  </si>
  <si>
    <t>2016-04-24</t>
  </si>
  <si>
    <t>А у меня ловит, нормально 40- 90 на восток от златоглавой берёт, да ещё и показывает много чего( каналов разных), рябит иногда .</t>
  </si>
  <si>
    <t>Вы знаете ноутбук очень классный, особенно за такие деньги это супер!</t>
  </si>
  <si>
    <t>Я знаете, вообще не любтель портативок, как таковой. Для меня обе прежние портативки выглядели надувательством (я про обычную DS и ПСП), одна 3д модели не тянула даже, графон конечно не главное, но на ней были ограничения слишком велики, а на другой игр толковых (кроме переделок с больших приставок) не было.    А тут гляжу 3D, фич интересных много, мощности достаточно, чтоб была графика ПС2 (и ладно! Для более мощных показателей я жду новые стационарки). Хотя игры пока не очень в продаже, Стрит Файтер 4 уже бог знает какое переиздание. Вот Зельда и Кид Икарус, это да (лишь бы завезли).    И последний критерий-цена. Я подумал, вроде многовато как-то 12,500, но потом я вспомнил, что новая ПСП должна по прикидкам стоить в 2 раза дороже (офф цена 3DS-250$, NGP-уже сейчас предполагаемо 500$). А поскольку за графикой гоняться я решил лишь на стационарках, то выбор пал на 3DS.   Ни капли не жалею, глаза не болят, хотя многие этого страшатся. Но все-таки есть минус, небольшая популярность приставки(но это только в России, хм), из-за этого половина этих самых интересных фич пропадает.</t>
  </si>
  <si>
    <t>Сегодня муж подарил на ДР. Ерунда полная. Прошлая модель служила верой и правдой 4 года и сейчас начал отключаться от перегрева, поэтому попросила в замен такой же. Так вот современный вариант в 100 раз хуже фена 4летней давности! Насадка выскакивает, всё такое пластиковое-дешевое, даже подумала, что подделка, но сертификация ростестовская есть. Холодного воздуха нет, а из за ионизации волосы сильно электризуются - вообще как одуванчик. Не фен - а одно расстройство.</t>
  </si>
  <si>
    <t>2010-08-08</t>
  </si>
  <si>
    <t>У меня в течении нескольких месяцев после покупки менялась яркость при смене картинки. Т.е. если переключаешь на другой канал-яркость автоматически становилась на максимум. Помогло отключение от сети(вынул шнур из розетки) на несколько часов. В остальном- модель без замечаний.</t>
  </si>
  <si>
    <t>2010-09-12</t>
  </si>
  <si>
    <t>В целом, очень даже не полохой вариант за такие деньги. Радиатор покупался для обогрева комнаты, пока не начался отопительный сезон, т.к. как раз родился малыш с первыми холодами. В принципе остались довольны.</t>
  </si>
  <si>
    <t>2012-06-07</t>
  </si>
  <si>
    <t>Я купила такие весы года два назад, и весьма ими довольна, не врут, работают нормально, цена и качество реально. Лично я ими довольна.</t>
  </si>
  <si>
    <t>2011-01-07</t>
  </si>
  <si>
    <t>Плеер хороший, удобный, красивый (что немаловажно), памяти 8Гб, зарядку держит хорошо! Необходимо помнить его применение (музыка, видео), всему своё применение! Советую!</t>
  </si>
  <si>
    <t>Качество, удобство, мощьный пар.</t>
  </si>
  <si>
    <t>2014-04-15</t>
  </si>
  <si>
    <t>Конструкция не продуманная - длинные боковые отверстия затягивают выпавшие волосы внутрь и наматываются на вал вентилятора, вследствие чего он клинит и фен сгорает от перегрева.</t>
  </si>
  <si>
    <t>Микроволновка понравилась! Красивый цвет - чёрный в сочетании с цветом "кофе с молоком" (с перламутром). Нигде не остаётся следов от пальцев! Смотрится стильно и хорошо вписывается в кухню цветом венге. Быстрое приготовление устанавливается одной клавишей и на 1 минуту. Внутри полностью всё из нержавейки, что очень порадовало - легко очищается спец.средствами или водой.Тарелка супа разогревается за 2-2,5 минуты. Да и цена приятная!</t>
  </si>
  <si>
    <t>2476</t>
  </si>
  <si>
    <t>2010-06-14</t>
  </si>
  <si>
    <t>Никак не пойму ситуации. На днях приобрёл его в М-Видео. Есть вопрос: при работе базового блока метеостанции, наблюдается ли на экране периодически повторяющийся всплеск и постепенное снижение показателя на двух круглых шкалах (температура и влажность на этих шкалах при этом остаются постоянными)?</t>
  </si>
  <si>
    <t>Добрый день, купил в вашем магазине данную модель, через месяц столкнулся с такой проблемой - машина при включении в режиме 50 или 65 градусов останавливает программу после предварительной мойки и начинает пищать об окончании программы. Что бы это могло быть? В cервис обращаться?</t>
  </si>
  <si>
    <t>Приобрел этот аппарат только с 37-й диагональю. Очень доволен покупкой, картинка выше всяких похвал, на мой взгляд не хуже плазмы, особенно радует фирменный пионеровский черный цвет. Исключительный телевизор даже в аналоговом режиме.</t>
  </si>
  <si>
    <t>2615</t>
  </si>
  <si>
    <t>2014-10-02</t>
  </si>
  <si>
    <t>Нина, мы не рекомендуем разбирать вентилятор. Обратитесь в Сервисный центр.</t>
  </si>
  <si>
    <t>1561</t>
  </si>
  <si>
    <t>2016-04-16</t>
  </si>
  <si>
    <t>Ношу бороду ван дайк, тут много насадок, поэтому вообще получилось ее быстро в порядок привести, а то совсем зарос. Важно, что никакой боли, абсолютно, а то предыдущий триммер так дергал, что вспомнить страшно. Короче, брать можно, к тому же стоит подходяще. Аккумулятор, как и написано, 30 минут продержится,25 так стопроцентно.</t>
  </si>
  <si>
    <t>2016-07-01</t>
  </si>
  <si>
    <t>Пользовалась кофемолкой данной фирмы около 6 лет.  использовала её не часто и все меня устраивало. Но  вот в последние полгода стала использовать каждый день - молола крупу  в течение 10-15 сек. И вот результат: такую ежедневную  нагрузку моя любимая кофемолка не выдержала - внезапно сгорела.  В мастерской сказали, что ремонт обойдется в сумму, почти равную покупке новой кофемолки, т.к. внутренность не разбирается, а меняется полностью. После этой кофемолки аналогичную  по мощности и вместимости подобрать очень трудно, наверное, буду приобретать такую же.</t>
  </si>
  <si>
    <t>2009-12-11</t>
  </si>
  <si>
    <t>Отличные наушники! Жаль, сломались через 4 месяца после покупки - сам виноват. Теперь вот мучаюсь с Fischer'ом.</t>
  </si>
  <si>
    <t>2010-09-04</t>
  </si>
  <si>
    <t>После 6 месяцев эксплуатации могу констатировать следующее:  - если есть возможность, то покупайте более широкую плиту, не менее 60 см, так как кастрюли не помещаются и огонь обжигает рядом стоящую посуду и саму газовую плиту. У нас один край стал черным от огня, ничем не очищается, очень неприятно, купив плиту за 18к;  - в месте прикрепления стекла сошло покрытие, выглядит как ржавчина;  - духовка хорошая, пироги печет отлично, замечаний нет;  - электрический поджиг работает как повезет.</t>
  </si>
  <si>
    <t>Хлебопечь приобрели уже месяца четыре назад, вся семья очень довольна. Печём хлеб каждый день, пропекается отлично, получается всегда высокий, цвет корки регулируется на любой вкус, тесто промешивает идеально. Остальными функциями тоже пользуемся, нареканий по работе хлебопечки никаких. От магазинной хлебобулочной продукции отказались совсем.</t>
  </si>
  <si>
    <t>2886</t>
  </si>
  <si>
    <t>2013-12-09</t>
  </si>
  <si>
    <t>Брала данный блендер для определенных целей. Мои ожидания полностью оправдал!!!! Очень удобно для мамочек, деткам все в пюре перемаловать, а не с ситечком стоять мучаться!</t>
  </si>
  <si>
    <t>Удобный и низкая цена</t>
  </si>
  <si>
    <t>пользуюсь мп3шником год,не жалуюсь,отлично,если считать что за такие деньги,и память 8гб,вот тока иногда зависает,и из за сенсора инога когда ходишь,песни сам переключает,вот это вот раздражает!но фильмы смотреть вообще отлично!</t>
  </si>
  <si>
    <t>3126</t>
  </si>
  <si>
    <t>2010-06-27</t>
  </si>
  <si>
    <t>Acer S200 - отличный выбор для любителей поковыряться в WM с хорошим железом за небольшую сумму(для такого то мощного железа и возможностями)!!!   Достаточно один раз настроить его под себя и вы никогда его не променяете на обычный мобильник или смартфон с Symbian!     Для всех, кто писал отрицательные комментарии ниже:  Народ, не чудите, честное слово! И не надо писать такое - "Все остальное просто ужас, особенно ОС WINDOWS MOBILE." Вы сами то поняли, что написали? Все нормальные люди всегда читают обзоры и спрашивают на форумах про выбираемый ВАМИ аппарат! Зачем писать, что WM это ужас, вы же прекрасно знали, что приобретаете?! Тогда вам дорога к покупке мобильника за 1000руб.(не более, судя по вашим отзывам). Если не знаете, что такое WINDOWS MOBILE, почитайте про него и тогда уже думайте о покупке зверя с этой ОС... Вы даже не догадываетесь о всех возможностях ОС Windows Mobile!    Могу долго и много писать про плюсы WM и кучу полезного софта для него, но увы, кривые руки пользователям исправить ни кто не в силах!     В общем, я в шоке от ваших комментариев...    Приобрёл этого зверька в М.Видео. Доволен им на 9 из 10. Достойный выбор за такие деньги!    С уважением, SHUM</t>
  </si>
  <si>
    <t>У меня эта печь уже года 4. Мне очень нравится. В металлическом листе пропекается низ торта прекрасно. Если соблюдать пропорции, никаких проблем не будет (таких как сырая серединка). Только вот случилась у меня беда на днях: включаешь режим конвекция-микроволны, начинает дымить((( У кого-нибудь была такая проблема? Подскажите, спасать надо печь, она мне очень нравится, и другую я не хочу!!!</t>
  </si>
  <si>
    <t>2628</t>
  </si>
  <si>
    <t>2016-12-02</t>
  </si>
  <si>
    <t>Милый, красивый</t>
  </si>
  <si>
    <t>2012-11-05</t>
  </si>
  <si>
    <t>Купили уже почти пол года назад, моет отлично, даже если порошка засыпать меньше минимума , очень тихая, не совсем отмывает налет от чая, но сковородки, кастрюли стали блестящие, посуда сухая. Вобщем рекомендую.</t>
  </si>
  <si>
    <t>2012-09-15</t>
  </si>
  <si>
    <t>До этой соковыжималки было, в моем пользовании, много других, и отечественные и импортные. S800 купил к этому сезону, продавцы посоветовали. Купил не зря, она и с яблоками и с томатами справляется на ура, жмых совершенно сухой, и с виноградом отлично, зря пишут что плохо,это не правда. Советую!</t>
  </si>
  <si>
    <t>Тихо работает , пожалуй это все плюсы.</t>
  </si>
  <si>
    <t>Приобрел сей плеер по обмену. Сначала купил IRIVER У50, был доволен огромнейшей емкости батареек, реально часов 48 играл без подзарядки, но увы выключился и не включился более.    Остановился на этой модели. В целом модель вполне стоит своих денег. Зарядке для USB кабеля от 220 вольт в комплекте имеется. Работает сносно, что порадовало, что во время подключения к компьютеру не заряжается, а просто дает перекидывать файлы. Порадовало время работы, МР3 слушал около 15 часов, учитывая что холод, и т.д. а видео порядка 5 часов показывало нонстопом. Стоит присмотреться одним словом. Единственный недостаток, расположение кнопок и собственно размер кнопок, не всегда удобно переключать треки (особенно, когда в перчатках). Я доволен</t>
  </si>
  <si>
    <t>1159</t>
  </si>
  <si>
    <t>За такие деньги лучше собрать самому, а этот компьютер для людей, которые ведутся на циферки - 4 ядра, 6 гигабайт оперативки (из которых видно только 3) и 2 гигабайта видеопамяти - которые целиком использовать нельзя потому как разрядность шины не позволяет. GT240 пусть и с 2мя гигабайтами памяти на борту - это далеко не оптимальный вариант.</t>
  </si>
  <si>
    <t>Купили плиту месяц назад. Плита отличная.Все работает без проблем. Печет просто супер! Я очень довольна. Всем советую.</t>
  </si>
  <si>
    <t>830</t>
  </si>
  <si>
    <t>Отсутствует отжим при 600 об/мин. Сразу 400-800.на LG у меня было. Работает приемлемо. Но цена, не оправдывает качества.Белье после стирки ни чем не лучше более дешевых моделей.</t>
  </si>
  <si>
    <t>не прошло и недели, а микроволновка стала громко гудеть и перестала разогревать</t>
  </si>
  <si>
    <t>Купили чайник сегодня, запаха пластмассы не было даже при первом кипячении. Нравится -компактный, удобный, при кипячении- подсветка красного цвета, очень необычно. При покупке советую проверять чайник - сначала попался с пятнами на дне, принесли другой - щель в месте индикатора подсветки,только третий оказался нормальный.</t>
  </si>
  <si>
    <t>750</t>
  </si>
  <si>
    <t>Плеер  достоин того, чтоб купить. Я купил. Корпус на славу сделан весьма. Звук качественный весьма. Вообще все качественно. Интерфейс удобный. Жаль, что текст не поддерживает, но качество покрывает всё.</t>
  </si>
  <si>
    <t>Пароварка просто супер..... Купили месяц назад за 1990р и не пожалели ни разу......</t>
  </si>
  <si>
    <t>А мне очень понравилась машинка, осталась довольна .Не жалею что купила именно эту машину!!!</t>
  </si>
  <si>
    <t>Телефон хороший, но все таки чего-то в нём не хватает. Например: АОН, всего 3 номера в памяти, громкой связи, одно мелодия вызова. Но зато отличная слышимость и большие удобные кнопки.  Кому нужен простой в использовании телефон - это для вас.</t>
  </si>
  <si>
    <t>2010-03-23</t>
  </si>
  <si>
    <t>Машинка работает у меня уже 4 месяца, стирает отлично, если машинку установить по уровню, то никаких лишних вибраций не наблюдается. В общем я ничуть не покаялся, что выбрал эту модель.</t>
  </si>
  <si>
    <t>Считал, что приобрёл достойную вещь,но при первой же стрижке убедился, что машинка при работе на аккумуляторе не тянет по мощности.От блока питания также толка нет - волосы не стрегутся,а рвутся,очень больно.Насадки результата не дали - стрижка не получилась.Завтра пойду менять на другую модель.Брать такую машинку не советую.Очень жалею.</t>
  </si>
  <si>
    <t>Очень прост в использовании: контейнер легко вынимается, достаточно потянуть его вверх, даже никаких кнопочек нажимать не надо. Комплектация стандартная: набор необходимых щеток и сменный фильтр. Один минус - бьет статическим электричеством, но и он легко снимается струей воды при промывке фильтра. Мы с мужем за! Тем более он розовенький.</t>
  </si>
  <si>
    <t>Вчера вечером купили Бошика. За такую сказочную цену( по акции) да с таким набором функций, я была в полном восторге.Вчера же и установили, так нетерпелось что-нибудь приготовить! Первым испробовали гриль-пожарила рыбу на решетке.На таймере установила время, после истечении которого раздался мелодичный дзынь))))радости не было предела! Гриль самая удачная функция, расположен на всей верхней стенке, поджаривает как нужно , до хрустящей корочки. Еще есть, разморозка, функция сушки для фруктов, можно приготовить варенье, овощные консервы!Ура, мечта сбылась! Сегодня на ужин будут пироги ! ПОтрясающая духовка!</t>
  </si>
  <si>
    <t>1) Возможность выбора режима чистки  несколько насадок в комплекте  долгое время недели (около 1-2 недель)  экран, показывающий сколько времени уже прошло (чистки )  2)из недостатков только дорогие сменные насадки  3)пользуюсь щеткой около 3 лет, довольна покупкой</t>
  </si>
  <si>
    <t>2016-03-04</t>
  </si>
  <si>
    <t>По мне так это должен быть хит продаж к 8 марта. Недорого. Да что там, скажем прямо, дешево! Но это реально полезная штука. У меня есть набор покурче, а этот оставила для отпуска. Можно аккуратно обработать даже ногти в шилаке. Так что то, что он маломощный во многих случаях только преимущество – нет страха сколоть покрытие. Особо рекомендую мамочкам для своих маленьких дочек, которым тоже нужно следить за ногтями, но с крутыми наборами они просто не справятся. Этот будет в самый раз</t>
  </si>
  <si>
    <t>Компактность</t>
  </si>
  <si>
    <t>Единственное что забыл, так это к нему мышь прикупить с кейсом.  Тачпад конечно вещь прикольная, но глючит порой...  В целом я доволен.</t>
  </si>
  <si>
    <t>1746</t>
  </si>
  <si>
    <t>Привет.   Машинка просто супер, Bosch одним словом, купили 1 год назад никаких нареканий, очень нравится, особенно, режим "хлопок", у нас маленький ребенок, соки, пюре, творог, отстирывает хорошо., Молодым семьям рекомендую, цена-качество.</t>
  </si>
  <si>
    <t>Купила эти ушки и осталась очень довольна. До этого были другие, эти понравились больше, хоть и дешевле в 2 раза. Звук очень четкий и объемный. Единственный минус - небольшие помехи при прослушивании радио, в \"соньках\" такого не было.</t>
  </si>
  <si>
    <t>2015-09-17</t>
  </si>
  <si>
    <t>Вытяжке уже скоро год. В меру шумная, вытягивает хорошо. Я курю на кухне, с табачным дымом нет проблем. Очень удобно, что есть таймер выключения - покурив , можно спокойно оставить поработать еще чуток. Рекомендую. Соотношение цена-качество оптимальное.</t>
  </si>
  <si>
    <t>Монитор супер большой удобный!!!  Только одно пока что неудобно, раньше был 16 дюймов, а стал 22!!!  Буду привыкать!</t>
  </si>
  <si>
    <t>Чайнику 2 года, сломалась крышка,ржавчина вокруг фильтра,треснули пластмаски (индикатор воды) с обеих сторон.  За такую цену- это ужас  Но очень симпатичный дизайн.</t>
  </si>
  <si>
    <t>Через месяц после покупки стал дребизжать динамик, еще 5 месяцев и они развалились.</t>
  </si>
  <si>
    <t>Действительно, отличная машинка. Но при условии, если в семье как минимум 3 человека. Поскольку машинка очень вместительная, и требует заправки в идеале хотя бы на половину. Меньше - она будет стирать очень долго, поскольку не может понять, есть в ней бельё или нет. Качество стирки - отличное. Отжимает отлично. Бесшумная. И ещё плюс - очень удобная, все кнопки на местах, при этом ничего лишнего. Разберётся даже ребёнок.</t>
  </si>
  <si>
    <t>2013-04-12</t>
  </si>
  <si>
    <t>Мы с мужем кофеманы. Купили кофеварку Tefal CM 410530, мы остались довольны этой кофеваркой.Кофе получается вкусным ,насыщенным, приготавливается быстро. Но чтобы кофе был превосходным ,его нужно правильно варить и соблюдать пропорции. И тогда как некоторые говорят , такого не будет что там получается бурда непонятного цвета. Если вы уж кофеманы то варите кофе правильно(рецепты для приготовления кофе есть в интернете).)))</t>
  </si>
  <si>
    <t>Купил сегодня, бритва отлично справилась с недельной щетиной, все просто в обслуживании, промывка струей воды очень понравилась. Рекомендую, не разочаруетесь.</t>
  </si>
  <si>
    <t>Отличный штатив. Купила недавно, не могу наглядеться. Плавное вращение. Супер!</t>
  </si>
  <si>
    <t>2531</t>
  </si>
  <si>
    <t>всё отлично только видеокарта подкачала...при первой возможности поменяю.</t>
  </si>
  <si>
    <t>2015-11-17</t>
  </si>
  <si>
    <t>Покупал для увлажнения и чистки, увлажнение есть но комфорта ноль. Душно только и все, плюсов не нашел вообще, бестолковая вещь не советую, зря потраченные деньги</t>
  </si>
  <si>
    <t>1025</t>
  </si>
  <si>
    <t>Машинку купили месяц назад, всем хорош и удобный, в добавок не очень много места занимает, хороша, слов нет, мы очень рады.</t>
  </si>
  <si>
    <t>3031</t>
  </si>
  <si>
    <t>Поставил второй винт - WD black edition 7200 на 250 гигов. Перенес на него систему. Быстродействие дисковой подсистемы теперь 5.9 и самое слабое звено теперь проц! При этом новый WD на 7200 оборотов греется меньше чем старый хитачи на 5400 и работает тише! Семерка теперь вообще летает :)В общем машинка продолжает радовать...</t>
  </si>
  <si>
    <t>2808</t>
  </si>
  <si>
    <t>2016-03-21</t>
  </si>
  <si>
    <t>Три года назад,купила себе данный радиатор,которым очень довольна!У меня однокомнатная квартира,обогревает очень хорошо,причем ставлю на минимум.Потом по моему совету ,точно такой же радиатор купила подруга,и тоже очень довольна.А вот совсем недавно,я купила такой же радиатор для дочери,знаю не подведет!Уж очень рано отключают отопление,а с ним тепло и надежно.</t>
  </si>
  <si>
    <t>Качество звука изображения на Blu-Ray отличное.  покупкой доволен.  Грузится быстро   минусы-DVD с низким битрейдом читать отказывается  USB на чтение не работает</t>
  </si>
  <si>
    <t>2014-08-21</t>
  </si>
  <si>
    <t>Покупали этим летом в отпуск и остались очень довольны: быстро нагревается, отлично проглаживает одежду, легкий и компактный! Отличное приобретение, т.к. давно хотели дорожный утюг.</t>
  </si>
  <si>
    <t>Отличная модель. Пользуюсь часто, уже 4 года, ни разу не подвел. Мощность в 1700 ощутима, волосы высыхают быстро. В руке приятен, не тяжелый, удобно что поток воздуха и температуру можно изменять.</t>
  </si>
  <si>
    <t>2009-08-07</t>
  </si>
  <si>
    <t>Великолепный дизайн, качество сборки, оптимальное соотношение цена/качество, качественное распознавание рукописного текста, возможность смотреть документы в различных расширениях, отличный экран, хорошая громкость, поддержка 8 Гб и БАТАРЕЯ!  Правильно говорят, что у этого аппарата нет конкурентов! Очень доволен..</t>
  </si>
  <si>
    <t>Нормальный прибор (купил по акции), работает на отлично, уровень шума средний, но при длительной работе привыкаешь и не ощущается. Единственный минус - крупноват.</t>
  </si>
  <si>
    <t>Пользуюсь коммуникатором 2 месяца,выбирал можно сказать целый год остановился на Diamond2, купил с операционкой 6.5, работает все супер, навигатор на 5, всем советую!!!</t>
  </si>
  <si>
    <t>1861</t>
  </si>
  <si>
    <t>2010-03-24</t>
  </si>
  <si>
    <t>Купили аппарат в январе, это реально мини-духовой шкаф!!!!! Есть все - конвекция, гриль, также часто пользуемся разморозкой, мясо и рыба, получается сочными! Очень  пригодился таймер и функция подогрева... Единственный минус - это все же - размер, занимает не мало места, хотя если сравнить сколько места занимает обычная плита (в т.ч. духовой шкаф) - это цветочки.....</t>
  </si>
  <si>
    <t>338</t>
  </si>
  <si>
    <t>2014-02-14</t>
  </si>
  <si>
    <t>Ну что установил этот саб дома вместе с акустикой Topdevice TDE 420/5.1, сначала очень расстроился, но после  настройки моему счастью нет предела,что касательно звука, первые звуки что услышал это было стук, хрип и простое бумканье, теперь же я слышу глубокий и достаточно четкий бас, но есть одна беда, если громкость переваливать за 85%, то это все пропадает и фазик начинает просто гонять воздух.</t>
  </si>
  <si>
    <t>2015-06-04</t>
  </si>
  <si>
    <t>Купили в прошлом году родителям в подарок вытяжку Metida 60 на дачу, порадовало что за эту цену в комплекте к вытяжке идет угольный фильтр.  Родителям очень нравятся кнопки, так как у предыдущей вытяжки с ползунковым переключателем были проблемы.</t>
  </si>
  <si>
    <t>929</t>
  </si>
  <si>
    <t>пользуюсь уже более года, я просто счастлив, что есть такой плеер, устраивает все, что касается музыки, то по результатам тестирования журнала CHIP этот плеер набрал 100 из 100(единственный из всех протестированных), так что делайте вывод. Покупайте не пожалеете, ставьте последнюю прошивку и смотрите видео без конвертации. Наушники в комплекте очень качественные и замены в будущем не потребуется. Покупайте не пожалеете - всем советую!!!!</t>
  </si>
  <si>
    <t>Отличное, детское кино, мамы и папы - берите!</t>
  </si>
  <si>
    <t>Фритюрница хорошая, все заявленное верно, кроме того что все-таки нагревается корпус во время приготовления. Легко моется, нет никакого запаха и чада, гари, дыма. Сегодня пользовали первый раз. Все быстро и вкусно.</t>
  </si>
  <si>
    <t>1107</t>
  </si>
  <si>
    <t>В данной ценовой категории это пожалуй одни из самых достойных ушей:качество звука и сборки, удобство, немного устопают моим серии HD 515 от другого производителя, которые покупал почти в 3 раза дороже. Рекомендую.</t>
  </si>
  <si>
    <t>цифра показывает идеально, в аналоговым сигналом похуже конечно. за эти деньги отличный выбор. жаль нет usb. xbox'ом теперь наслаждаюсь :)вообще, то чего я ожидал, я получил</t>
  </si>
  <si>
    <t>Игра отличная. Чуть ли не единственная качественно сделанная игра об отечественном автопроме.</t>
  </si>
  <si>
    <t>113</t>
  </si>
  <si>
    <t>Достоинства: Компактный, легко вписывающийся своим дизайном в любой стиль убранства квартиры. Ничем не больше обычного пылесоса, занимает столько же места. В комплекте сразу находятся 2 средства - средний флакон для мытья ковровых покрытий и мягкой мебели, а также большой флакон для мытья пола. Мытье заявленного высшего класса себя показывает сразу. Моет пол более чем качественно, сила всасывания огромная, пол остается МЕГАчистым. Сам пылесос без воды очень легкий, а с водой - ездит на своих колесиках очень резво, не ковер, не провод для него не проблема. Вся грязь внутри пылесоса попадает в воду. Просто слил - и все!      Недостатки: Шнур действительно не сматывается автоматически, и это, пожалуй все недостатки.      Комментарий: Пылесосом смогла пользоваться даже моя бабушка - все так просто и легко. Поставил опыт: перед первым мытьем этим пылесосом вымыл с известным моющим средством для полов всю квартиру при помощи обычной швабры. Потом пропылесосил этим пылесосом. Вода, которую я сливал после этого - была очень грязная, хотя я провожу уборку шваброй 2 раза в неделю! Вообщем всем советую не переплачивать, а покупать именно этот аппарат.</t>
  </si>
  <si>
    <t>Соглашусь с Дмитрием.   Рис на пару - вкусная вещь, и отсутствие лотка для него это минус. потому ставлю четверку  В остальном доволен - долив во время приготовления пищи за два месяца нам не понадобился. Для семьи из двух-трех человек - размер оптимальный. Для большего кол-ва ртов, советую присмотреть модель по-объемней</t>
  </si>
  <si>
    <t>2010-11-17</t>
  </si>
  <si>
    <t>Отличная Вещь! Я доволен! А если у кого появляется запах горелого пластика, то стоит почитать инструкцию!  Ну, по поводу шума могу сказать, что комбайн "шумит" очень тихо!</t>
  </si>
  <si>
    <t>288</t>
  </si>
  <si>
    <t>Наушники не понравились совсем, занижают звук, качество звука отвратительное, басов практически нет, не чистое воспроизведение. Думаю таких денег они не стоят!!!</t>
  </si>
  <si>
    <t>2014-03-29</t>
  </si>
  <si>
    <t>Кондей не шумит! отлично охлаждает и нагревает. Работает не слышно что внутренний, что наружный</t>
  </si>
  <si>
    <t>3184</t>
  </si>
  <si>
    <t>продолжим  5. подружить ни с одной прогой для редактирования контактов не получилось  может передавать контакты по 1 по блютусу  контакты можно разбить по группам (не более 10 в группе - смешно)  6. поддержка со стороны SE никакая  за год нормальных дров не написано  порталом http://www.sonyericsson.com/wportal/uss/promotion?cc=ru&amp;lc=ru  телефон поддерживается только на входе  при настройке (подтвержении) модель отсутствует  7. Update Service телефон не знает  прошивается только платной SETools с бубном  8. существующая уже 3 прошивка хоть и прошита уже но глючит  возможно из-за блютус гарнитуры тело теряет ни с того ни с сего сеть напрочь до перезагрузки (не работает даже запрос остатка на счету не говоря о звонках)при етом палки у сети все  возможно из-за нее же отвалился микрофон самого тела при отключении гарнитуры до перезагрузки</t>
  </si>
  <si>
    <t>Купил водонагреватель в мае 2010г. установил в предбаннике, сразу стал работать с перебоями, видимо срабатывала защита. вызвал из сервиса мастера, тот видимо вась вась с магазином, стал мне рассказывать о конденсате на баке, образующимся на корпусе бака, так как внутри где находится эл. начинка была вода. Поверил, выкинул электронику и поставил простой терморегулятор, работал все жаркое лето 2010, чтобы не топить баню. Выручил.На зиму снял. Разобрал, оказалось,заводской брак при сборке,резиновая прокладка не плотно состыковалась с узлом тэна, там то и была оказывается течь. Вывод завод не проверяет качество сборки должным образом.Так что следующий раз буду покупать что нибудь другое.</t>
  </si>
  <si>
    <t>Сегодня купили эту мясорубку и сразу испытали её.Прокрутили в ней 1,7кг. грудинки и 2кг. окорока, все прошло замечательно, мясо даже не надо особо проталкивать, уходит само, фарш получился хороший (не пластилин), я осталась довольна. Когда читала про нее отзывы после покупки, то была в шоке и хотела бежать менять, но муж предложил ее опробовать и я успокоилась. Шумность средняя (не раздражает), не вибрирует и не прыгает, в общем я довольна покупкой!</t>
  </si>
  <si>
    <t>Купили 4 года назад в МВИДЕО и очень довольны. Монтажники воткнули его в форточку и так он и весит. Дома бегает маленький ребенок, но это не мешает его включать. Направляете створки вверх и прикрываете тюль, комната охлаждается и при этом не дует по полу.  Совет: для защиты от тополиного пуха, ос и т.п. оклейте входные боковые отверстия противомоскитной сеткой. Не придется чистить его весной и осенью.</t>
  </si>
  <si>
    <t>наушники хорошие, но когда покупаете проверяйте как оплатили сразу, у них большенство правое ухо дребезжит (с браком)</t>
  </si>
  <si>
    <t>Отвратительный и неудобный штатив. Головка ходит рывками.</t>
  </si>
  <si>
    <t>2013-06-11</t>
  </si>
  <si>
    <t>Купили 8,06,13 года. Накопилось очень много вещей из-за того, что дважды поподался брак других производителей (Вернули в магазин) Спасибо indesit!!! Недорогая машина, а стирает очень хорошо и быстро!!!</t>
  </si>
  <si>
    <t>Чувак из Ставрополя, ты посоветовал посмотреть видео ПЕСа и я посмотрел, ещё больше убедившись, что ФИФА в этом году обошла ПЕС во всём. Если хочешь узнать в чем именно, обращайся.</t>
  </si>
  <si>
    <t>2011-03-20</t>
  </si>
  <si>
    <t>Классная, мне очень понравилась все функции есть.</t>
  </si>
  <si>
    <t>Компьютер мне понравился, потраченных денег не жалею.</t>
  </si>
  <si>
    <t>2016-04-11</t>
  </si>
  <si>
    <t>В эксплуатации второй год. Быстро прогревается, хорошо пропекает, очень удобные телескопические направляющие.  Чистится легко. У меня таймер "пищит" пока не отключишь. Можно включить подсветку, когда не активен рабочий режим - удобно при чистке. Очень довольна. Кабеля тоже не было, купили в обычном магазине - единственный минус, для Samsung как то не солидно.</t>
  </si>
  <si>
    <t>Купил машину 2 недели назад и очень рад : работает почти бесшумно , стирает идеально. Машину устанавливал профессиональный мастер - что всем и рекомендую.</t>
  </si>
  <si>
    <t>2878</t>
  </si>
  <si>
    <t>очень редко встретишь телефон в котором не к чему придраться. Такое впечатление , что конструкторы самсунга в этот раз сидели на форумах и собирали пожелания владельцев s5230.    + дизайн: свежий и современный   + форма: стал уже на 2 мм,скруглили, в руке лежит гораздо лучше, пропорции идеальные.  + корпус: задняя крышка не маркая,поверхность типа "софт", благодаря форме не карябается, все подогнано идеально, крышка сделана в виде крышки :-)не сдвижная. Не люфтит не проминается. тело хорошо сбито, внутри собрано на винтиках а не на защелках.   + самодостаточная камера с автофокусом и вспышкой.  + заряжается от зарядки и от компьютера, т е фактически решена проблема зарядки дома и на работе. Все разьемчики сверху.  + полноценный, стандартный шнур с USB через который даже можно самостоятельно заливать новые прошивки.   + стандартный разьем под наушники  + кнопка вызова и отбоя сделана единой качелькой, не нужно целиться пальцами в кнопки, удобно.  + вафля - мечта владельцев "стар".  + те кто хотел купить подобный телефон, купили s5230, т е нас будет мало :-) хотя фиг его знает.  + пленку покупать не нужно, все надписи нормально стираются жидкостью для снятия лака без ацетона. Только делать нужно это аккуратно, не залейте динамик.  + на сайте М-Видео ошибка! телефон в   этой торговой сети Корейский а не китайский, даже аккумулятор корейский ... а это очень и очень хорошо.  + очень квалифицированный персонал М-Видео "Европа" Волгоград, был приятно удивлен. Тему по телефонам знают глубоко ...</t>
  </si>
  <si>
    <t>2016-10-12</t>
  </si>
  <si>
    <t>Потек спустя 8 лет... не знаю,радоваться или плакать-агрегат хороший. Попробуем починить. Не выйдет-купим такой же.</t>
  </si>
  <si>
    <t>Мощность просто потрясающая, длинный шнур, позволяет убирать всю квартиру (82м2) не переключая из розетки в розетку. Мешка хватает месяца на 3 при уборке дважды в неделю. Работает достаточно тихо (если не включать Turbo), в целом - отличный выбор!</t>
  </si>
  <si>
    <t>2249</t>
  </si>
  <si>
    <t>2013-01-22</t>
  </si>
  <si>
    <t>6 лет отработал))) уже и хочу сменить, а он еще пашет как то не логично новый покупать)))</t>
  </si>
  <si>
    <t>2694</t>
  </si>
  <si>
    <t>классный комп!!!   там столько игр в интернете и просто!!!</t>
  </si>
  <si>
    <t>Купил себе такой,долго не выбирал,звук дает неплохой правда надо сразу покупать вакуумные наушники,а старые оставить на полочке до лучших времен,крышка от USB хрупкая думаю долго она не протянет,а в целом неплохой плеер я доволен,хожу слушаю и прёт как козу в космосе )))</t>
  </si>
  <si>
    <t>2001</t>
  </si>
  <si>
    <t>Приобрели машинку в июле этого года-порадовала...Работает тихо, все зависит от правильности установки, насос слышно немного, ну а как его вообще будет не слышно это же механизм, тем более вода набирается...Вполне рентабельная машинка для своего класса)</t>
  </si>
  <si>
    <t>чайник добротный, но очень шумный. Закипает в принципе быстро. Эксплуатируем 1,5 года. Не подтекает.</t>
  </si>
  <si>
    <t xml:space="preserve">встраиваемость! </t>
  </si>
  <si>
    <t>1.3</t>
  </si>
  <si>
    <t>2012-06-20</t>
  </si>
  <si>
    <t>Пользуюсь уже месяц, очень довольна -- рекомендую.Интуитивно понятное управление,не "прыгает" даже без резиновых подложек (стоит на кафельном полу),стирает отлично, отжим более 800 не нужен, т.к. отожмет почти досуха.Никаких посторонних звуков при стирке не издает.Белье не "закручивает", хорошо прополакивает.Не шумная. К минусу могу отнести только , то что после окончания стирки издает очень тихий "дзинь", хотелось бы чего-нибудь по-громче ;-).ПЕРЕД ПОКУПКОЙ ЧИТАЛА ОТЗЫВЫ -- всем спасибо, очень помогли с выбором.</t>
  </si>
  <si>
    <t>народ, а он у меня почему-то сам перезагружается, только что куплен, скажите, пожалуйста, так и должно быть, или это глюк в нём какой-нибудь????</t>
  </si>
  <si>
    <t>Очень жаль, что нет громкой связи. Мелодии сигнала отвратительные, по ушам бьют. А в остальном, по функциональности аппарат вполне достойный.</t>
  </si>
  <si>
    <t>2679</t>
  </si>
  <si>
    <t>2016-01-06</t>
  </si>
  <si>
    <t>Понравился мне ее дизайн - как раз для моей кухни) Работает тоже очень хорошо она - на третей скорости так вообще моща) Шумит немного, но это не сильно мешает, и вообще я через некоторое время перестаю обращать внимание на этот шум) Лампочки две есть и освещают они прилично и большую площадь охватывают. Форма кнопочек только немного неудобная, но это мелочи)</t>
  </si>
  <si>
    <t>Купили в прошлом году, долго думали и не прогадали с выбором. Довольны, особенно пригодилась в переработке урожая (яблоки, томаты). По сравнению с предыдущей нашей соковыжималкой сока получается в разы больше, в работе не прихотлива, удобна весьма. Выжимал яблоки,груши,морковь,томат,виноград.ни с чем проблем не возникло. Для такой производительности компактная соковыжималка, по словам продавца самая оборотистая на российском рынке.</t>
  </si>
  <si>
    <t>Чудесный завтрак. Всмятку яйца получаются превосходно.Поставила и занимаюсь своими делами.О готовности будет сигнал.</t>
  </si>
  <si>
    <t>1473</t>
  </si>
  <si>
    <t>Пароварка очень хорошая в своей ценовой категории. Хорошо то, что все основания имеют отверстия, а это есть далеко не у всех пароварок. Спасибо консультанту, что обратил на это внимание, так как хотела взять другую пароварку, а там два дна просто сплошные, что мне совсем не нужно было. Есть лоток для риса и других сыпучих. Пользуюсь им часто и не только для риса. Запахи, действительно, не смешиваются. Все корзины разбираются и прекрасно моются в посудомойке. Подогревом практически не пользуюсь. Из недостатков: узкое горлышко для долива воды. Все равно приходится снимать все отсеки или заливать воду в час по чайной ложечке. Поддон для сбора капель хоть и большой, но если вы готовите, к примеру, манты, он заполняется практически полностью... Иногда приходится сливать в процессе. Но редко. Кнопки за два года пользования практически стерлись. Плохо то, что чаша для воды не съемная. Ее толком и не помоешь, а тряпочкой как-то.. не сильно она отмывается, особенно если сбор капель переполнился и жир попал в резервуар для воды.</t>
  </si>
  <si>
    <t>Достоинства: первое что бросается в глаза, так это отличный дизайн, на фотках, которые в интернете и яндекс маркете это совсем не то,телевизор надо видеть в живую, чтоб заценить его дизайн,(я специально ездил в магазин перед покупкой)  Настройки меню очень удобные и понятные без лишних заморочек, множество входов и выходов, включая 3 штуки HDMI, качество эфирного аналогового ТВ не особо радует, советую сразу брать систему спутникового телевидения или что-нибудь типа этого.   А вот HDTV фильмы на Bly-Ray дисках в Full HD картинке - это просто сказка, никакое DVD даже рядом не стояло!   Вообщем, прежде чем покупать данный телевизор, я 2 дня лазил по просторам интернета и искал 32" диагонали, что лучше, panasonic,sony,lg, или philips. В итоге по таким параметрам как этот самсунг нечего лучше не нашел, рекомендую всем данную модель, уверяю останетесь довольны!!!    Недостатки: сборка в россии, аналоговое эфирное ТВ    Комментарий: за эти деньги 32"-диагональ на мой взгляд это лучший вариант телевизора! + подключил акустику 5.1 получился полноценый домашний кинотеатр в Full Hd картинке... [Внимание!]чтобы вывести изображение с PC на Телевизор и показывало точка в точку идеально, точно, и чётко нужно только не забыть переименовать вход в меню телевизора HDMI1/DVI в ПК. Тогда пропадают ореолы вокруг букв, и выводятся все 1920*1080 без искажений и обрезаний!!! ( одна загвоздка есть,чтоб все это работало надо делать телевизор основным монитором в настройках драйверов видео карты)...</t>
  </si>
  <si>
    <t>хорошая, проблем не замечали. один минус - быстро заполняется ёмкость для отходов.</t>
  </si>
  <si>
    <t>2016-12-31</t>
  </si>
  <si>
    <t>Кисточка для очистки пыли</t>
  </si>
  <si>
    <t>Замечательная модель. Отличный звук и весьма удобны. Одна моя знакомая уже 4ю пару приобретает (предыдущие ломались либо под действием ее каблуков, либо провод нечаянно выдирала с корнем). В общем претензий к самой модели как таковых нет :)    ps При возможности, конечно, лучше поменять. Клипсы хоть и регулируются, но все же встречаются уши, на которых наушники не очень удобно сидят.</t>
  </si>
  <si>
    <t>Купили 4 ноября...хлеб делаем каждый день. С каждым разом хлеб получается лучше и вкуснее. Правда пока пробовали только основную программу.</t>
  </si>
  <si>
    <t>2014-03-10</t>
  </si>
  <si>
    <t>Не совсем бюджетный вариант, но для кофеманов - отличный выбор наряду с машинами за 30-60 т.р. Проста в управлении, но все же прочитайте инструкцию. Приготовив пару кружек кофе - отрегулировала степень помола и крепость кофе, который подходит именно для нас. Автоматический капучинатор - изобретение богов! Капучино, лате-макьято получаются великолепными. Еще порадовала возможность программирования своего личного эспрессо. В общем машина огонь, всем советую как домой, так и в офис</t>
  </si>
  <si>
    <t>взял месяц назад! просто тема)) отличная приставка!</t>
  </si>
  <si>
    <t>2855</t>
  </si>
  <si>
    <t>Очень красивенький, стильный, новый телевизор отлично вписался в окружающую обстановку. Изображение отличное, вообще люблю новые модели, потому что они более усовершенствованные, а цена такая же почти. Звук тоже в норме. Часто смотрим DVD фильмы,  это совсем не то, что смотреть на компьютере, удовольствия в разы больше.</t>
  </si>
  <si>
    <t>На широкоформатном телевизоре нужно воспроизводить соответсвующий контент, но! Данный диск имеет формат файла еще шире! То есть на широкоформатном телевизоре я смотрю блюрей с темными полосами!!! Как на кинескопном 4:3!!!! И как покупать диски????</t>
  </si>
  <si>
    <t>Всегда пользовался SE. До этого был С905, но там слайдер и связанные со шлейфом проблемы, потом nokia 6303. счастлив, что нокию украли и пришлось покупать новый аппарат, т.к. просто кошмарный был. тел. Так вот, поверьте мне: телефон - просто фантастика! очень хороший, просто замечательный. Покупайте, не пожалеете!</t>
  </si>
  <si>
    <t>Отличная фритюрница небольшая емкость для масла, быстрая жарка картофеля, удобство мойки.</t>
  </si>
  <si>
    <t>С 26.06.2010 пользуемся Samsung AQ12CANSER, больше всего понравилась функция Good’sleep. Лучшее соотношение цена/качество. Рекомендую!</t>
  </si>
  <si>
    <t>2010-05-31</t>
  </si>
  <si>
    <t>Отлично!!! Цена и качество</t>
  </si>
  <si>
    <t>3127</t>
  </si>
  <si>
    <t>Купил этот бук пару недель назад.  Железо производительное, за исключением видеокарты - новые игры не тянет, но старенькие идут неплохо:в  cs sourse и half-life 2 выдает 50-70 fps, l4d тянет плохо.   Очень доволен временем автономной работы: около 5 часов работы в интернете при выключенном wifi.  главные достоинства этого ноута-матовая крышка(почти не пачкается) и экран с антибликовым покрытием, правда углы обзора и контрастность экрана оставляют желать лучшего...  Идеальный ноут для офисной работы, но для игр совершенно не подходит, для просмотра фильмов также не могу его порекомендовать - плохие углы обзора и блеклые цвета.Если вы ищете ноутбук, который будет использоваться в основном для работы с текстом и серфинга в интернете, то это ваш выбор, берите не пожалеете)</t>
  </si>
  <si>
    <t>Купил данную модель телефона и сразу обнаружился "косяк" - блок питания для подзарядного устройства трубки свистит и довольного громко, далее обнаружился  второй его недостаток - не нажимается клавиша "9". А в целом телефон не плохой, особенно в своей ценовой категории</t>
  </si>
  <si>
    <t>Кофемолкой почти довольны. Кофе размалывает быстро и так, как вам нужно - чем дольше держите кнопку, тем мельче получится. Трещит не особо сильно, на дрель по звуку не похожа))) Небольшой минус - округлая форма крышки. Если руки мокрые - это провал ((</t>
  </si>
  <si>
    <t>2016-04-27</t>
  </si>
  <si>
    <t>Кофемашину покупала супругу на юбилей по акции, выбирала между Philips с какими-то супер жерновами и этой. Выбор пал на DE longhi. Во-первых,более стильный дизайн и, на мой взгляд, более солидно смотрится. Объем резервуара для воды достаточный (учитывая, что выпиваем 2-3 чашки кофе в день), меньший объем "напрягал" бы частыми доливами. Общий язык с машиной нашли сразу, правда изучив предварительно инструкцию, все интуитивно понятно. Вкус жженного кофе не ощущается ( в некоторых отзывах была такая информация) и напрямую зависит от качества используемых зерен. По поводу шума скажу, далеко не аромат кофе будет по утрам, ..... а процесс его приготовления ))), но не думаю, что в других кофеаппаратах уровень шума был бы ниже</t>
  </si>
  <si>
    <t>2039</t>
  </si>
  <si>
    <t>купил сей ноут в начале декабря 2009г..   соблазнила цена.. подумал типа такой бук да за такие деньги!! когда пришел домой сразу же протестил бук.. 3dmarkom // оказалось, что бук из заявленных 1024мб. работает всего на 256 и то слабовато...  так как проц атлоновский, начались сильные перегревы от графики, по началу, например, запускаешь биошок то т же.. играешь минут 20, потом комп вырубается. сам)) решил эту проблему охлаждением для бука.. отдал дополнительно за модинг бука под соньку вавио. и воткнул таки в него антенну блютуз....   теперь бук меня вполне устраивает.. стильный, мощный, коммуникабельный... кстати поменял батарею... просто не привык использовать бук как стационарный комп...   теперь держит 12-8 часов... запросто.!!!! советую всем этот 5536 и отмодить его.!!1</t>
  </si>
  <si>
    <t>Вот, честно говоря, купил ее почитав в Интернете отзывы. Все были положительными, за исключением одного (можно найти на Яндекс.Маркете), причем отзыв так хорошо и правильно был написан, что не смотря на то, что он был единственным, он все же заставил меня усомнится в покупке.    Но дизайн мясорубки, мощность и положительные отзывы домохозяек сыграли свою роль, и я-таки ее купил :)    Первое, что не понравилось, это материал корпуса и деталей - дешевый силумин.  Совершенно согласен с предыдущим отзывом, что при хорошей нагрузке сказывается плохая подгонка деталей и все начинает гулять туда-сюда.    Вот хоть убейте, но мясо она плохо рубит.  Сравнил свой новый нож с ножом другой мясорубки, порубившей ни один килограмм мяса, так там даже на глаз видно плохое качество заточки. Может его точить надо перед применением, а?    Вот этот верхний лоток, который вставляется в трубу подачи мяса, вставляется абы как, то есть пока мясорубка новая, он там кое-как держится за счет насечек. Но еще пару использований и он начнет болтаться в противовес болтающемуся шнеку :)    Вывод такой, своих денег она не стоит, красная цена ей 2000 рублей. И если вы свой выбор остановите на какой-нибудь другой мясорубке, пусть она будет хоть в сто раз невзрачнее, знайте, ничего вы не потеряли.</t>
  </si>
  <si>
    <t>2961</t>
  </si>
  <si>
    <t>Еще раз хочу поделиться своей неудачной покупкой! До этого был Браун,поэтому работу блендера я знаю. Но Бош это игрушка какая то!!! Результат есть, но времени занимает в 2 раза больше!!! Сделала вывод,что лучше Блендера Брауна просто нет! К компании Бош отношение не измнилось, так как крупно бытовая техника у меня вся Бош! Но видно им не посильно быть первыми во всех категориях. Почитав на форуме,поняла,что Браун сейчас специализируется только на кухонной технике,может быть поэтому и такой результат!</t>
  </si>
  <si>
    <t>2014-12-14</t>
  </si>
  <si>
    <t>Советую купить, интерфейс самый лучший, геймплей вообще молчу! Покупайте =D</t>
  </si>
  <si>
    <t>Пользуюсь Hansa BCCI66136077 уже третий год.  Я искала комплект с точки зрения безопасности для детей.  "Плюсы":  - "утапливаемые" регуляторы,  - есть индикаторы нагрева,  - в комплекте есть противени и решетка-гриль,  - варочная поверхность оснащена четырьмя очагами разных диаметров,  - варочная поверхность не боится выкипания еды и легко чистится,  - духовка выпекает равномерно,  - управление простое, нет лишних кнопок.  Рекомендую!!!</t>
  </si>
  <si>
    <t>Я приобрел эту магнитолу полтора года назад, за это время испробовал на ней все функции, могу сказать магнитола просто классная. Читает абсолютно все что могут читать современные магнитолы, кстати флешку на восемь ГБ читает свободно, только требует несколько секунд для загрузки. Вывод - магнитола отличная.</t>
  </si>
  <si>
    <t>1639</t>
  </si>
  <si>
    <t>2016-01-23</t>
  </si>
  <si>
    <t>Некоторое время назад я похоронила старую плиту. Умерла она от старости, ремонт стоил бы столько же, сколько эта панель, и скорее всего реанимация не сильно бы продлила ее жизнь. Как бы я не смотрела на покупку новой большой плиты, она мне явно была не по карману (хорошая, естественно), да и нужда в ней после того, как стала жить одна, отпала. Панель решила кучу проблем одним махом. Она более демократична по цене. Компактные размеры и то, что она встраиваемая, означало наличие свободного места на кухне, на которое я наконец-то смогла втиснуть стиралку. Наличие только двух конфорок - не проблема, они мгновенно стартуют, быстро набирают температуру, а, следовательно, я на ней успеваю приготовить даже кучу разносолов за короткое время. Мало что подгорает, но если такое и происходит, то на ней не остается следов нагара. Выкипевшее молоко смогла полностью извести, просто промокнув сухой тряпкой, нержавейка – это все-таки очень хороший материал.</t>
  </si>
  <si>
    <t>2031</t>
  </si>
  <si>
    <t>2016-03-06</t>
  </si>
  <si>
    <t>Выбирала больше ориентируясь на дизайн, потому что к нашей новой кухне не все подойдет. Искала долго пока чисто случайно не наткнулась на эту красавицу. У нас вся техника стекло или стеклокерамика. Рабочая поверхность этой модели подходит как нельзя кстати. не стоит бояться ее запачкать. все отлично протирается обычной тряпочкой. на первой мощности вообще не слышно, пользуюсь им когда надо что то быстро разогреть. дальше по необходимости.турбо включаю когда на кухне курят.тянет так сильно что дым не успевает пройти в комнаты.от покупки остались положительные эмоции.</t>
  </si>
  <si>
    <t>1894</t>
  </si>
  <si>
    <t>Купи себе другой телефон, что ты хочешь от телефона за эти деньги!!! На мой взгляд телефон класный, собираемся купить сестренке,а она много говорит по телефону, батарейка её болтовню выдержит,так что кому как. А усли хотите телефон с "блокнотом", то накопите денег и не жалуйтесь!</t>
  </si>
  <si>
    <t>2013-07-04</t>
  </si>
  <si>
    <t>Приобрела себе такую отличную штуку. Сразу мама отобрала, пришлось ехать за второй. Я в восторге. Режет отлично, сотейник использую как салатник+крышка.</t>
  </si>
  <si>
    <t>2016-07-14</t>
  </si>
  <si>
    <t>Сначала понравился дизайн - изящная, красивая, благодаря стеклянному козырьку не выглядит огромной бандурой. Затем понравились характеристики - мощность нескольких  степеней - это очень удобно, подсветка опять таки нужная вещь. А потом почитали отзывы и решили , что берем ! Пользуемся уже 4 года . Практически бесшумная, удобная, легко моется. Единственно, что тяжко - так это мытье фильтра -рекомендации раз в месяц - выполнять надо! А сейчас ищем уже новый фильтр, а вытяжка как новая!</t>
  </si>
  <si>
    <t>2017-06-24</t>
  </si>
  <si>
    <t>Симпатичный, радующая глаз подсветка, быстро закипает.</t>
  </si>
  <si>
    <t>Просто удивительно, насколько неудачная конструкция пылесборника. Он засоряется за 2 минуты, приходится доставать горшок и выковыриваить пыль из центрального отверстия, иначе аппарат просто гудит и не тянет. Также очень быстро засоряется внутренний фильтр, который чистится только водой, то есть нужно сутки чтобы его после этого просушить. Кроме того, очень неудобно расположены кнопки управления на ручке, постоянно при работе случайно их нажимаешь. В остальном - супер.</t>
  </si>
  <si>
    <t>Очень плохие наушники, слушал всего пару раз, сильно раздражают слух, басов нет вообще, сегодня иду брать другие.</t>
  </si>
  <si>
    <t>2017-04-09</t>
  </si>
  <si>
    <t>Качество, эффективность, простота управления</t>
  </si>
  <si>
    <t>32</t>
  </si>
  <si>
    <t>Купила щипцы две недели тому назад ,очень понравились .Мои волосы тяжелые ,густые они обычно с трудом завивались ,а потом час-другой и от кудрей не оставалось и следа ...А с этими щипцами кудри у меня были даже на след. день ...так вот !!!! моя оценка 5+</t>
  </si>
  <si>
    <t>Николай, вкручивать саморезы в корпус не следует - это может повредить радиатор. Рекомендуем установить над кондиционером наклонный козырек.</t>
  </si>
  <si>
    <t>Был приятно удивлен качеством звучания, после юзанья дешевых девайсов. Куча функций, которых раньше не было ни в одном трансмиттере. Инструкция наполовину не совпадает с реальным положением дел. Были обнаружены регулировки басов и верхов, а вот скролл настроек в RDS отсутствует и нет отключения питания. Приходится постоянно выдергивать его из прикуривателя. Называть папки, как написано в инструкции уже не обязательно, папки листаются без проблем с любыми именами. Есть перемотка внутри трека. С родной VW магнитолой по RDS никаких проблем, отображаются Artist и Title Track, если теги прописаны в файлах. С пульта доступны дополнительные функции, которые нельзя включать с самого девайса. Не теряйте пульт ! Бывают проблемы с помехами на конкретных частотах, но для решения можно юзать 7 заранее настроенных частот, которые удобно переключаются с пульта. Мне показалось, что с USB помех меньше, чем с карты памяти. Хотя иногда для снижения помех можно понизить громкость выходного сигнала на самом девайсе.  В целом аппарат, если не принимать во внимание цену, очень и очень классный. Рекомендую !</t>
  </si>
  <si>
    <t>2371</t>
  </si>
  <si>
    <t>класный комп</t>
  </si>
  <si>
    <t>Радиатор хороший, обогревает замечательно комнату в 16 кв.м. Советую всем!</t>
  </si>
  <si>
    <t>3223</t>
  </si>
  <si>
    <t>На выходных купил себе, да ещё и с Forza Motorsport 3.  Классная приставка, у меня на моем старом телеке и то работает, одно плохо, что геймпад на батарейках, но это не беда, можно ведь купить и аккумулятор для него.  250 gb хватает с головой, так что покупайте не думая!</t>
  </si>
  <si>
    <t>127</t>
  </si>
  <si>
    <t>2010-04-18</t>
  </si>
  <si>
    <t>Телефон супер! Радио ловит ДАЖЕ БЕЗ НАУШНИКОВ!!!! Жаль что в избранных можно сохранить только 10 станций. В памяти входящих-исходящих хранятся все звонки и о каждом есть информация о времени звонка и длительности каждого разговора, т.е. звонок не затирается последним звонком этого же абонента. За эти деньги просто находка!</t>
  </si>
  <si>
    <t>не работает духовка.пользовалась только 3 раза не срабатывает клапан.нагревала до200градусов и всёравно ни чего не получилось.</t>
  </si>
  <si>
    <t>1794</t>
  </si>
  <si>
    <t>неплохие такие наушники, но хрупкие , больше приспособлены для дома))</t>
  </si>
  <si>
    <t>1421</t>
  </si>
  <si>
    <t>Пароварка супер!!! Нам очень нравится. Купила год назад себе,и сестре в подарок.</t>
  </si>
  <si>
    <t>Машинкой недовольна совсем.Согласна с Оксаной. Очень шумная и скачет если отжим ставить больше 600 об\мин.Помимо этого мне она попалась с заводским браком и уже через 10 месяцев она попала в сервис. Прошло 2года, она опять сломалась. У всех машинок фирмы Самсунг стоят некачественные подшипники(об этом я узнала у мастеров сервиса),а ещё не во всех моделях предусмотрены шланг для экстренного слива.Думайте, решайте,но не торопитесь.</t>
  </si>
  <si>
    <t>2300</t>
  </si>
  <si>
    <t>2016-07-19</t>
  </si>
  <si>
    <t>Через 2 недели (в самую жару) перестал работать. Вентилятор и шумит, и греется, и в самый нужный момент подведет!</t>
  </si>
  <si>
    <t>2015-07-09</t>
  </si>
  <si>
    <t>пользуюсь уже полтора года. очень довольна. со своей задачей справляется на отлично. вещи после ухода выглядят как новенькие и становятся очень мягкими. катышки убирает без затруднений. очень маленькая и легкая, в руке лежит очень удобно. о батареек работает достаточно длительное время (за все время батарейки меняла 3 раза). если вы следите за своими вещами, то советую купить эту машинку. стоит не дорого, но проблем с шерстяными вещами знать не будете.</t>
  </si>
  <si>
    <t>2010-05-25</t>
  </si>
  <si>
    <t>Замечательный тостер.Совершенно невысокая цена и отличное качество.Пользуемся больше полугода, почти каждый день,никаких жалоб.Прост в управлении, быстро поджаривает хлеб - что еще нужно?Всем рекомендую, не пожалеете!</t>
  </si>
  <si>
    <t>Очень довольны этой покупкой, перерыли весь интернет перед тем как купить, загрузка 7кг просто радует, работает нешумно,всё устраивает)))</t>
  </si>
  <si>
    <t>1873</t>
  </si>
  <si>
    <t>2013-10-26</t>
  </si>
  <si>
    <t>Мне нравится комплекс Ханса данной модели. Уже пользуюсь не первый месяц и выбором доволен, никаких проблем. Работает хорошо. Панель не только оригинальна по дизайну, но и готовит быстро, нагревается сразу, ничего не пригорает и главное, чистится легко, усилий не требуется. Есть индикатор тепла. Духовка - тоже хорошая, несколько режимов, подсветка, весь внутренний комплекс противней в полном порядке. Плюсом - стекло толстое, аш тройное - что позволяет минимально нагреваться. Советую.</t>
  </si>
  <si>
    <t>957</t>
  </si>
  <si>
    <t>А у меня этому чайнику уже года 4, не меньше. Работает и работает ( очень часто греем воду), не воняет пластиком.  В общем, я очень довольна. Тефаль не подкачала! Побольше бы такой качественной техники!  А Михаилу просто, наверное не повезло. Такое тоже бывает, дело случая или везения.</t>
  </si>
  <si>
    <t>2035</t>
  </si>
  <si>
    <t>его максимальное разрешение 1680 на 1050 это не full hd.</t>
  </si>
  <si>
    <t>Не оставляю отзывы обычно, но тут меня возмутили отзывы тех, кто говорит, что у них не закипает, не жарит, не горит!  Так вот, пользуюсь варочной панелью уже 4 года! Я ее просто обожаю: ТУШИТ, ЖАРИТ, ЗАКИПАЕТ МГНОВЕННО, так же ОСТЫВАЕТ.  У меня хорошая посуда и я соблюдаю диаметр дна и диаметр комфорки.   Блокировку ставлю, что бы детки маленькие не включали!   Ставлю варить мясо-ставлю таймер и ухожу гулять спокойно с детками и она самостоятельно отключается!  Итог: грамотное подключение, хорошая посуда и все будет здорово!  Я очень ей довольна!</t>
  </si>
  <si>
    <t>114</t>
  </si>
  <si>
    <t>2017-03-09</t>
  </si>
  <si>
    <t xml:space="preserve">качество шитья </t>
  </si>
  <si>
    <t>Отличные наушники! На ушах сидят идеально (ухо сразу попадает внутрь). Лёгкие по весу - не давят, уши потом не болят.. Надёжный кабель. Чистый, красивый звук, весьма глубокий и объёмный, если сделать погромче. Хорошие басы - там где надо и сколько надо - а лишнего никогда не нужно. Если кому-то покажется резковатым звук - лучше не прибавляйте бас, а немного убавьте высокие частоты. Использую с ресивером Pioneer. Очень доволен, при том, что я не профессионал, но люблю в кино и в музыке хороший звук, а музыку пробовал на них самую разную.</t>
  </si>
  <si>
    <t>2013-01-28</t>
  </si>
  <si>
    <t>Купил со скидкой 50% (были купоны от покупки крупной бытовой техники). Все работает как заявлено. Боялся что звуковой сигнал будет будить детей но он оказался вполне приличным. Из недостатков - нет возможности отключения звукового сигнала и светящееся табло сильно притягивает детей и они начинают играть кнопками (функции защиты от детей они не придумали). Очень понравилось что все съемное. Но не очень удобно выковыривать чай из корзины особенно если он мелкий. Достоинств больше, всем рекомендую.</t>
  </si>
  <si>
    <t>2015-11-18</t>
  </si>
  <si>
    <t>Ничего в ней не ломается и не отваливается, кофе делает отличный - есть с чем сравнить, ничуть не хуже, чем в гораздо более дорогих. Используется больше года - как швейцарские часы, хоть и сборка румынская.</t>
  </si>
  <si>
    <t>2774</t>
  </si>
  <si>
    <t>Не слишком шумная. Для хрущевской шестиметровой кухни мощности  хватает даже с запасом, вытягивает запахи просто мгновенно даже на средней скорости.</t>
  </si>
  <si>
    <t>Покупал в июне 2014 года. Выбирал с прицелом исключить места, где может произойти поломка.    Для меня был важен материал корпуса - это должен быть металл (в данном случае это нержавейка).  Включатель должен находиться не на ручке, а снизу.  У предыдущего была мерная шкала - окошко из прозрачного пластика, которое буквально все растрескалось и начало протекать, здесь этого нет.  Чайник крутится - у него центральный контакт - очень удобно ставить, гарантия 3 года - больше чем у всех предыдущих, написано, что в его производстве были использованы английские контроллеры, которые должны выдержать 15000 циклов кипячения (3 года это 1095 дней и примерно 6600 циклов кипячения при условии, что кипятить воду я буду 6 раз в день), также что для многих немаловажно - невысокая цена, в моем случае очень низкая т.к. была акция.  Покупкой доволен. Рекомендую всем вне зависимости от достатка.</t>
  </si>
  <si>
    <t>2016-06-27</t>
  </si>
  <si>
    <t>Надежный как автомат калашникова, на родных аккумуляторах пашет уже 4 года. Звук хороший, мелодию можно выбрать из 5 возможных, громкость тоже регулируется, кнопка поиска трубки с базы помогает, когда в доме дети. По функциональности - как на заре мобильной связи, разьве что смски не отправляет. Во время разговора можно заблокировать микрофон, можно громкость динамика в трубке менять. Для дома - самое то, надежная связь без лишних понтов в виде цветного экрана и подсветки. Да, вот подсветка кнопок не помешала бы!</t>
  </si>
  <si>
    <t>1905</t>
  </si>
  <si>
    <t>Очень увлекательная игра, жаль что не руссифицирована. И ещё один факт огорчил - финального босса легко победить. В остальном всё понравилось.</t>
  </si>
  <si>
    <t>2016-09-27</t>
  </si>
  <si>
    <t>Дешево значит плохо? Или по дороже, чтобы наверняка. Выбирали кофемолку, чтобы молоть крупу и делать кашу для маленького ребенка. В секунду  делает свою работу, чем дольше жмешь, тем мельче крупа. За свои деньги отработала на 100%. Так же при выпечке сахарную пудру хорошо перемалывает, что очень важно. Ребенок подрос, пользуемся не так часто, но пока не подвела ни разу</t>
  </si>
  <si>
    <t>Уже на 3 машине один и тот же дефект,  отказывает программа работы машины.  Мне не понравилась машина.</t>
  </si>
  <si>
    <t>Игра хорошая, графика отменная, звук вообще отличный, если система стоит. С таким звуком просто погружаешься в игру.</t>
  </si>
  <si>
    <t>Классная комедия,всем советую.</t>
  </si>
  <si>
    <t>2017-03-22</t>
  </si>
  <si>
    <t>Цена-качество</t>
  </si>
  <si>
    <t>Вообще плеер не плохой. Пару ответов на сообщения:    Рабочий стол выставить - надо фотку открыть и выбрать соответствующий пункт в меню    Работает одно ухо - скорее всего  наушник один работает (у меня с базовыми так и было, вставил свои купленные звук стал чище)    Потрескивание при проигрывание действительно бывает, но только с определенными треками (почему пока не разобрался) однако если экран погаснет на таком треке то плеер не отвечает на кнопки (виснет, но проигрывает) только когда доиграет трек ... вернется в нормальное состояние. Может трек у меня битрейтом выше или формат не тот (хотя мп3) буду разбираться.    Динамик один - очень слабый, практически ненужный. Микрофон у диктофона так себе, схватывает не все.    Экран приятный. К управлению кнопками довольно быстро привыкаешь но оно офигительно тупое и неудобное (наверно уже отвык от кнопок)    Открывая изображения и увеличивая их...немного притормаживает, будто мощностей не хватает.    Сам он легкий..пластиковый... и если честно - вызывает ощущения хрупкости и ненадежности. Но тем не менее работает.</t>
  </si>
  <si>
    <t>2154</t>
  </si>
  <si>
    <t>По характеристике пылесос должен работать до 25мин - это полный бред. Мой работает max 5 и сдыхает</t>
  </si>
  <si>
    <t>Остывает выпрямитель не очень долго, а то что кнопки нажимаются при работе с ним, этого можно избежать, прочитав инструкцию, там написано как ставить на блокировку эти кнопки. Мне очень нравится, он не только выпрямляет, но и делает милые завитушки))) Советую.</t>
  </si>
  <si>
    <t>2009-09-24</t>
  </si>
  <si>
    <t>Blu-ray проигрыватель Pioneer BDP-51FD выдаёт картинку при проигрывании Blu-ray дисков просто на ура, во всяком случае через HDMI (Кабель HDMI Nordost Silver Screen 1 m), даже DVD-диски проигрываются просто великолепно. Очень удивило то, что фильмы в формате avi проигрываются в таком же качестве, как и формат mpeg (на компьюторе фильмы в формате avi показывает хуже, чем на Blu-ray проигрыватель Pioneer BDP-51FD). При замене стандартного сетевого провода на Furutech G-314Ag 1.8m явных улучшений на телевизоре не заметил, зато звук значительно улучшился в басовой части. При подключении к усилителю межблочника Red Dawn звук стал чётче, плотнее бас, верха более приятные, но звук всё же немного простоват по сравнению с ПКД за 50000 руб. (оно и понятно). При проигрывании Blu-ray дисков звук и картинка великолепны, но полное время загрузки тоже велико(.  Минусы данного аппарата:   - мелкие кнопки на передней панели аппарата;   - мелкие кнопки на пульте;   - при проигрывании Blu-ray-дисков, если нажимать на кнопку "stop", то фильм при нажатии "play" начинается с начала.  P.S. Купил Blu-ray проигрыватель Pioneer BDP-51FD в Audiomania (то, что купил в Audiomania используется около года - не ломается).</t>
  </si>
  <si>
    <t>2014-06-03</t>
  </si>
  <si>
    <t>Нормальный чайник, используется постоянно уже 2 месяца, свои функции выполняет! Ну, шумит конечно, но предыдущий ещё сильнее шумел. Пластиком не пахнет. Закипает, как все, особой длительности не заметила. Смущает конструкция крышки в данной модели - при закипании полного (до максимума) чайника, пар выходит из-под закрытой крышки! Решила не обращать внимание.</t>
  </si>
  <si>
    <t>Пользовался данным блендером почти 2 года. Не дожил 4 месяца до конца гарантии, износился пластиковый паз, в который вставляются насадки, который передает вращение. Отдал в ремонт по гарантии, ждали 45 дней запчасти, завтра еду забирать. Удивляет, что за такую цену не входит в комплект веничек и дополнительные насадки, терок тоже маловато, в комплекте только мелкая. Не ясно можно ли прикупить дополнительные опции. Пользовался довольно часто, в основном для взбивания картошки пюре и молочных коктейлей, натирания больших объемов сыра и моркови. Надежный.</t>
  </si>
  <si>
    <t>2011-03-09</t>
  </si>
  <si>
    <t>Отличная вещь! Сэндвичи хрустящие классные и быстро. Очень люблю с джемом сэндвичи. Нам подарили и я благодарна. Утро с кофе с горячим бутербродом это что-то.</t>
  </si>
  <si>
    <t>2823</t>
  </si>
  <si>
    <t>Отличный чайник! На работе такому лет 5, причем вода с большим содержанием железа, а ему хоть бы хны - весь в ржавчине и работает, как ни в чем не бывало! У родителей такому чайнику года 3-4, и ни разу никаких поломок! Купила домой такой (два года работает) и тоже очень довольна!</t>
  </si>
  <si>
    <t>2014-09-16</t>
  </si>
  <si>
    <t>Дешево и сердито. Прибор не дорогой, позволяет сделать только кудри, зато очень хорошо и просто, ни тренироваться не надо, ни учиться, ни какие либо способности иметь. удобный вращающийся шнур, так что можно и волосы на прибор накручивать и прибор вокруг пряди вращать, что бывает нужно и удобно в редких случаях. Зажим прочный, если с количеством волос не перестараться, то отлично держит, хотя в общем долго держать и не надо.</t>
  </si>
  <si>
    <t>Машинкой пользуемся почти год. Работает очень тихо! Музычка приятная! Собрана ровненько. Барабан большой. Только зря потратили деньги на резиновые подставки для ножек! Машинку колбасит так, что пришлось ловить! Без них работает прекрасно! Советую всем!</t>
  </si>
  <si>
    <t>1398</t>
  </si>
  <si>
    <t>2017-04-19</t>
  </si>
  <si>
    <t xml:space="preserve">Мощный. Работает относительно тихо. Удобное управление на ручке. Проблем с чисткой фильтра и контейнера нет. </t>
  </si>
  <si>
    <t>Очень хорошие весы!!! Всем рекомендую! Цена и качество 5 баллов!!!</t>
  </si>
  <si>
    <t>570</t>
  </si>
  <si>
    <t>Добрый вечер! у меня такой вопрос, скачал я другой проигрыватель...Но сенсорные кнопки, которые справа для управления проигрывателем не работают..а работают только с window media player возможно ли их перенастроить под другой проигрыватель..?</t>
  </si>
  <si>
    <t>Удобный,прикольный дизайн, но есть большой минус-плохо держит сеть и видимо поэтому быстро садится батарея</t>
  </si>
  <si>
    <t>Печь не работала сразу, точнее микроволны, зато постоянно грел гриль, даже когда не нужно было, в итоге в первый разогрев проплавил пластиковую крышку для свч!</t>
  </si>
  <si>
    <t>2017-07-16</t>
  </si>
  <si>
    <t>Мощный, довольно дешев, множество насадок+место для их хранения.</t>
  </si>
  <si>
    <t>2012-09-06</t>
  </si>
  <si>
    <t>Отличный аппарат - отжимает сок до капли, даже гранатовый делает! И поразила простота пользования - помыл фрукт, разрезал его на две части, положил на конус, надавил рычаг и всё готово! В общем вещь супер, минусов пока не увидел, покупайте, не пожалеете!</t>
  </si>
  <si>
    <t>Претензий к машине по качеству стирки и отжима нет. Пробовала стирать  синтетику, пуховики, шерсть, хлопок, белье. Из куртки забыла вынуть монеты. Они тоже хорошо отстирались. :) О сроке службы говорить пока рано. Всего и месяца еще не прошло. При отжиме не шумит. На перепады напряжения в частном доме не реагирует. Мы приобретением довольны. И подключал муж  самостоятельно.</t>
  </si>
  <si>
    <t>2662</t>
  </si>
  <si>
    <t>2014-08-28</t>
  </si>
  <si>
    <t>Четыре(4) года пользуемся, ему ничего не делается, не бежит, не пахнет пластмассой, ничего не ломалось и не горело. Надо аккуратно обращаться и не переливать выше уровня,даже от накипи не чистим, тк у нас отличная вода</t>
  </si>
  <si>
    <t>долго выбирал, где купить. В итоге одно из самых выгодных предложений у М-Видео. Сам ноут отличный. Из минусов, в магазине продали антивирус Касперского, тормозит работу нереально, в итоге снес и оставил предустановленный.</t>
  </si>
  <si>
    <t>обошелся сей девайс в 16.   Качество изображения отличное. Ловит каналы хорошо. Качество звука довольно не плохое. Есть usb через него можно смотреть картинки и слушать музыку. Через него же обновил ПО. Вообще ТВ не плохой. Сборка Калининград.    Из недостатков. Меню это один большой недостаток. Самсунг намного в этом плане лучше. Одно радует... хоть и потратил пол вечера чтоб подстроить все параметры под себя и больше туда можно не лазить.  Доставила хлопоты перестановка каналов, для личного удобства, потратил минут 30 на настройку 16 каналов в нужной мне последовательности. Еще один не достаток был самсунг "32" дак там 5 таймеров практически на каждый день недели, удобная вещь. Тут же всего один и такой конский !!! нужно перелопатить все меню что включить отключение! много лишних телодвижений!!! идиотизм, меня прям бесит это процесс особенно когда уже засыпаешь и нужно включить автоматическое отключение. Хотя для не которых это и не критично!  А вот видео с usb почему то не читает. Может кто знает как это сделать? Вроде ПО обновил. Включается довольно быстро, при переключении каналов так же как и у всех имеется небольшая пауза. Еще один момент при подключение к ПК через HDMI не могу найти функцию "продолжение рабочего стола" возможно только "клонирование рабочих столов". Может кто знает как переключить???    Вцелом очень доволен если бы не таймер!!! Берите телек стоящий!</t>
  </si>
  <si>
    <t>Отличная плита, соответствует своей цене, качеству приготовления и дизайн современный, большое количество режимов приготовления, хорошая и качественная сборка, немаловажно энергопотребления очень низкое. Покупайте не пожалеете!)</t>
  </si>
  <si>
    <t>2012-03-12</t>
  </si>
  <si>
    <t>Пользуюсь этой моделью с февраля 2008года по 3-4раза в месяц.Никаких нареканий,стрижет изумительно любой тип волос.Главное чтобы волосы были чистые и сухие!!!!!!!!Купила ещё такую же модель себе и родителям.Четыре года активной эксплуатации за такие копейки!!!!!!!</t>
  </si>
  <si>
    <t>2013-11-03</t>
  </si>
  <si>
    <t>Кроме внешнего вида оценить ее не удалось. Начиная с инструкции, где пруд пруди неточностей и ошибок и заканчивая качеством сборки, которая явно была сделана наспех. Я ничего не имею против этой мультиварки, но почему бы не довести начатое дело до конца по-нормальному. Ну взять эти же рецепты, как по ним можно готовить, там не соблюдено ни время, ни соотношение продуктов. А клапан? Почему он то и дело вываливается, а во время готовки мультиварка то и дело щелкает.</t>
  </si>
  <si>
    <t>2016-02-25</t>
  </si>
  <si>
    <t>Утюгом пользуюсь почти 3 года, гладит отлично, очень хорошо разглаживает, паровой удар очень сильный, красивый дизайн, удобно держать в руке. В плане разглаживания одежды - нареканий нет. Но есть и небольшие минусы, которые для меня незначительны по сравнению с его основной функцией: крышка для резервуара с водой плохо закрывается и часто сама открывается, кнопка ионизации пара неудобно располагается и постоянно нажимается, и если долго гладить (более часа), то начинает слегка подтекать. Ну а в целом очень довольна этим утюгом!</t>
  </si>
  <si>
    <t>2016-04-01</t>
  </si>
  <si>
    <t>Давит отлично даже без усилка. Но есть неприятный момент-когда подключил к усилку на 350 ват и хорошо накатил бас-он завонял немного.   Но за эти деньги это лучший выбор, кто сомневается-не думайте, берите.</t>
  </si>
  <si>
    <t>полностью устраивает компактный легкий ,отличный спутник в дороге!  через 2 месяца использования перестал заряжаться до 100%,доходит до 80% и все..надеюсь решат в сервисе ,понравился очень менять не хочу эту модель!</t>
  </si>
  <si>
    <t>2016-05-24</t>
  </si>
  <si>
    <t>Чайником пользуемся пол года. Очень стильный и гармонично смотрится на современной кухне. Единственный минус, возможно только нашего экземпляра - это долгое время автоматического выключения - кипит почти 30секунд, кухня вся в пару и только потом отключается. Носили в магазин, сказали что это не брак, раз он отключается, так и оставили этот трактор себе))) В целом чайником довольны.</t>
  </si>
  <si>
    <t>Купил по распродаже за 950р  Полностью доволен!  Греет хорошо благодаря мощности 5Квт но позаботьтесь, чтоб питание шло по нормальной проводке...  Сам включается, сам выключается...  Из минусов разве что отсутствие шнура для подключения к розетке, но ведь это очень мощный прибор и ему по идее нужен отдельный подвод питания...</t>
  </si>
  <si>
    <t>419</t>
  </si>
  <si>
    <t>Пользуюсь бритвой 1,5 года, была подарена мне взамен недешевых станков от Gilette и Шик. К моему некоторому разочарованию полностью отказаться от станков не получилось - качественно сбрить шетину на шее не получается - остаются волоски. Из достоинств отмечу: простоту ухода - легко промывать лезвия водой или очищать и смазывать при помощи входящей в комплект жидкости и станции; на ровных участках лица сбривает щетину идеально, не повреждая кожу; богатая комплектация, включающая футляр для бритвы; продолжительность работы от одной зарядки - реально до 75 минут; приятно чувствовать себя обладателем этого красивого, качественно собранного изделия.  поскольку это моя первая электробритва, сложно дать рекомендации - сравнить с сеточной бритвой не было возможности.</t>
  </si>
  <si>
    <t>Хорошие наушники. По звуку без претензий. Особенно порадовали басы. Симпатично выглядят. Удобно сидят в ушах, даже без подушечек. Несмотря на то, что белые практически не пачкались. Все хорошо короче. Только басы пропали через 3 месяца. Не знаю в чем дело, точно не в плеере, сегодня пойду менять.</t>
  </si>
  <si>
    <t>Купил этот коммуникатор в сентябре 2009. Хочу выделить минусы: слабый прием сигнала сотовой сети. Отвратительная камера (мне она в принципе ненужна). Не гаснет подсветка, если слушать музыку (вот это для меня серьезный минус). Экран не всегда реагирует на нажатие пальцами. Если есть активное соединение с интернетом, и вдруг пропадает сеть, то заново подключиться к GPRS не получается - спасает только перезагрузка.</t>
  </si>
  <si>
    <t>Пользуюсь уже пятый год, очень переживаю,чтоб не сломался, потому что фен оочень удобный в использовании.Мощный,сушит быстро. Легкий! единственное только кнопочка с холодным воздухом у меня не включается, а ее нужно держать,чтобы пошел поток холодного воздуха. А в целом, чудо, а не фен!</t>
  </si>
  <si>
    <t>385</t>
  </si>
  <si>
    <t>На мой взгляд отличный телевизор без лишних наворотов и приличного размера. Покупал именно из-за размера очень хотелось побольше. Правда, когда я его брал он стоил почти 30 тыс, сейчас он гораздо дешевле. Смотрю на нем НТВ+ картинка хорошая, на каналах премьера, кинохит и других с соотношением сторон 16:9 вообще отлично. Недавно купил WDTV II и теперь наслаждаюсь FullHD картинкой, НD контент он отображает замечательно. За свои деньги замечательный аппарат. Меня пока полностью устраивает.</t>
  </si>
  <si>
    <t>Купил данный плеер 2 недели назад. Пока хожу, устраивает.  + Хороший большой экран,длительное время работы(около 10 часов на высокой громкости),дополнительный слот под флешку,радует и картинка при подключении к ТV,хорошее качество звука,тянет почти все форматы, даже без форматирования.  - При прослушивании музыки,когда листаешь картинки иногда виснит,приходиться перезагружать. И немного неудобная кнопка паузы.  Проблем с выходом пока не обнаружил, хотя использую плеер активно.  Вообщем моя оценка на 4. В дальнеешем отпишусь о том, как себя чувствует плеер.</t>
  </si>
  <si>
    <t>1999</t>
  </si>
  <si>
    <t>2014-10-06</t>
  </si>
  <si>
    <t>Купила кофемашину Saeco Intelia Evo HD8881/09 месяц назад. Очень рада, что выбрала именно эту модель. Кофе получается отличный. Еще для меня очень важен такой аспект: съемные части и капучинатор можно мыть в посудомоечной машине.Очень понравился автоматический капучинатор: пенка густая, вкусно и красиво.В использовании все быстро и просто.</t>
  </si>
  <si>
    <t>229</t>
  </si>
  <si>
    <t>Телевизор не плохой. Из недостатков: Если выбрать страну использования, то телетекст на английском языке, если выбираем русский, то пропадает настройки DVB-T (цифровое телевидение). Не настройки времени, хотя по функция предусмотрено.   Куча разъемов подключил компьютер и DVD. Отличное изображение хороший звук для ТВ. Отлично ловит цифровое ТВ.  9dzb</t>
  </si>
  <si>
    <t>2347</t>
  </si>
  <si>
    <t>Купил этот бук, всё нравится)) Игрушки типа ГТА4 ещё не юзал, но WarCraft работает норм XD. Но вот одну проблему нашёл, синий зуб(блю тус) не работает(( не могу понять его нету или это брак?? Хотя кнопка блю туса есть (кто юзал эту машину тот знает). Подскажите стоит ли ехать в сервис центр или что то можно сделать? Синий зуб мне нужен, а вечно его тыкать в усб не удобно.</t>
  </si>
  <si>
    <t>2013-04-18</t>
  </si>
  <si>
    <t>Добрый день! Первая стирка очень расстроила. При отжиме машинка так сильно вибрировала, Шум самолета (у нас хрущевка и мне очень не удобно перед соседями). Стены и пол дрожали. После стирки машинка оказалась не на своем месте, куда мы ее ставили. От вибрации она выползла со своего места и стояла по диагонали. УЖАС!!! С мужем поставили машинку на специальные резинки, может в этом все дело. Но она и на них шумит сильно, прыгает и двигается. Приклеили резинки к полу, машинка в процессе стирки с них спрыгивает. До этого у нас были такого типа машинки других фирм, но с такой проблемой столкнулись первый раз. Позвонили в магазин, так нам назначили экспертизу на 27 апреля. Мой муж автомеханик, с техникой на ТЫ. Покрутив барабан он сказал, что нет на барабане нижнего утяжелителя в отбойнике. И как не крути барабан, он останавливается дном вверх. Не отбалансирован барабан, от этого быстро разобьются подшипники. Позвонили в мастерскую по ремонту ст. машин, но нам объяснили, что теперь Вирпул перестали в барабаны вставлять утяжеленные отбойники, и мастера хватаются за голову. А вы делайте вывод, нужна ли вам такая головная боль!!!</t>
  </si>
  <si>
    <t>2506</t>
  </si>
  <si>
    <t>2011-06-27</t>
  </si>
  <si>
    <t>купил три дня назад порадовало качество звука , ёмкость аккумулятора и цена . минус - это наушники , поэтому сразу купил Sennheiser CX-300-ll Black .</t>
  </si>
  <si>
    <t>Блендер подарила подруга на день рождения года 2-3 назад, до сих пор пользуюсь и очень довольна. Соотношение цена-качество вполне нормальные. Много раз миндаль измельчала, размягчала сливочное масло, делала тапенаду, соусы, гаспаччо, супы-пюре - прекрасно, белки взбивает очень хорошо и быстро, ну и т.д. Только приготовление домашнего майонеза он не выдержал, перегрелся и заглох, мощности не хватило. Но это процесс очень длительный, блендер работал минут 30 почти без пауз. Но потом остыл и опять завёлся, я очень была рада; правда, кнопка включения ослабла, но работает, кажется, вполне нормально. Надо почаще перерывы в работе делать, и всё будет хорошо. Только тёрки до сих пор не освоила, ничего про них сказать не могу.   Наверное, есть техника мощнее, но эта тоже неплоха. Ещё мне нравится, что насадка для пюре из нержавейки, а не из пластика, - это тоже большой плюс.</t>
  </si>
  <si>
    <t>Купила телевизор только сегодня. Всё очень нравится, показывает просто отлично, цвета яркие звук хороший. Пока со многими функциями не разобралась, но вобщем очень довольна. Телевизор просто суперский. Всем советую.</t>
  </si>
  <si>
    <t>Купили вытяжку 2 месяца назад. Для этой цены отлично работает. Мне нравиться, что включается при выдвижении панели. А при закрытой панели находиться в одном уровне с остальной кухонной мебелью. В выключенном состоянии вообще незаметна.</t>
  </si>
  <si>
    <t>Это моя первая машинка, поэтому сравнить не с чем. Но, то, что она быстро нагревается - это ужасно. Невозможно держать в руках. Горячо. Да и через некоторое время ножи останавливаются. Мне даже показалось, что пошёл дымок.</t>
  </si>
  <si>
    <t>Стиральную машину заказывали через интернет, доставили на следующий день. Подключал стиральную машину мастер по установке (М.видео) Кусков Сергей Валентинович, за что ему отдельное спасибо. Сделал всё аккуратно и быстро, вежливый и внимательный, дал краткую инструкцию по пользованию стиральной машинкой и, собственно, под его руководством был произведен первый запуск. Машинка работает тихо, вибраций нет даже при отжиме в 1200 оборотов. Дизайн приятный, понятный интерфейс. Есть защита от детей. В целом машинкой очень довольна.</t>
  </si>
  <si>
    <t>Отличный телевизор, купил за 10390 по акции + на 200 бонусных рублей взял салфетки для чистки экрана. Изображение очень радует, а плеер на нем активирую после гарантии(если понадобится)</t>
  </si>
  <si>
    <t>Иногда на морозе встаёт. Перезагружать приходится. Но это очень редко. В основном, не подводит.</t>
  </si>
  <si>
    <t>Наушники супер.....  уши не устают....  Басы в полне отличные.... если слушать на мр3 плеере  всем советую..</t>
  </si>
  <si>
    <t>Пользуюсь печкой несколько месяцев - очень доволен, быстро и равномерно разогревает, стильный дизайн. Грилем ещё не пользовался. Слабая подсветка - ну и не надо туда смотреть! В общем, всем рекомендую!</t>
  </si>
  <si>
    <t>Батарейка не очень. Наушники в комплекте, на помойку соответсвенно. С ушами  Sennheiser CX-300-2 на ура.   Управление удобное, нормальный дизайн. Качество музыки на 4- (опять же наушники Sennheiser делают свое дело).   Ipod+Sennheiser CX-300-2  = лучшее решение!!!!</t>
  </si>
  <si>
    <t>2017-01-04</t>
  </si>
  <si>
    <t xml:space="preserve">Для кофемашины подходит как молотый так и зерновой кофе, регулируется как помол так и крепость напитка, капучинатор взбивает весьма приличную пенку. </t>
  </si>
  <si>
    <t>2014-07-03</t>
  </si>
  <si>
    <t>Купили первые весы, они проработали меньше года. Грешили на то, что на них взвесился очень тяжелый человек)) Купили такие же вторые. На них свыше 80 кг никто не взвешивался, проработали меньше месяца... Советую не брать!</t>
  </si>
  <si>
    <t>Покупала уже давно, сначала понравился потом появились мелкие раздражающие детальки. Конвертировать видео очень проблемно для меня, так как очень плохо в этом разбираюсь. Раздражают клавиши и почему то вообще не ловит радио... Сейчас подбираю другой mp3 ... Надеюсь больше такой промажки не случится. Оценка такова:Плеер вообщем-то неплохой, но мне не очень понравился.</t>
  </si>
  <si>
    <t>Игру прошел еще в началае ноября на боксе..игра неплохая, но многие миссии напоминают cod 6. карта для мультиплеера плохие, хотя есть и плюс что Treyarch вернули в игру карта для снайперов!!!! теперь на каждой карте есть место для снайпера (с прикрытием).  Вообщем советую</t>
  </si>
  <si>
    <t>1606</t>
  </si>
  <si>
    <t>2012-01-01</t>
  </si>
  <si>
    <t>Усилок чумовой,долбит только-так. У меня тыловые колонки JBL круглые25см,фронтальные Infiniti 17см,вроде бы не ахти,а играют-супер!</t>
  </si>
  <si>
    <t>3040107</t>
  </si>
  <si>
    <t>2400</t>
  </si>
  <si>
    <t>2014-01-01</t>
  </si>
  <si>
    <t>Самый лучший набор. Игру, кстати, надо качать. Советую сразу купить защитную пленку Hori и кейс. Сейчас подписчикам PS Plus (подписка на 14 дней бесплатно, потом с оплатой) предоставляется Uncharted и Gravity Rush бесплатно (и еще какие-то игры рангом пониже), которые окупают годовую подписку ps plus + до 21 января очень много новогодних скидок (до 60% на хиты прошлых лет). Так что смело берите сейчас - не пожалеете. Так же советую в будущем взять карту на 32 Gb и больше не париться по поводу свободного места.</t>
  </si>
  <si>
    <t>Оценка в W7 у него 3.3 - отличный результат для такого малыша.  Сама компания Acer делает упор на ноутбуки, нетбуки и вот теперь неттопы. ИМХО, данному производителю пока доверяю, т.к. один из их агрегатов у меня уже 2 года и пока тьфу-тьфу.    Почему собственно неттоп? Каждый решает сам. Мне захотелось иметь комп исходя из принципа "разумная достаточность" или цена-качество. Собственно это все я и нашел в 3610.  Минимизация своего рабочего пространства, быстрота и бесшумность работы компа, функциональность и приятный дизайн, неподдельный интерес со стороны моих друзей и специалистов к этой модели. ))  Не буду подробно описывать массу хороших впечатлений от покупки, скажу только одно - товар не залеживается "на полках" в магазинах, а это верный признак его потребительских качеств.    PS Я не рекламный агент:-))</t>
  </si>
  <si>
    <t>792</t>
  </si>
  <si>
    <t>пользуюсь телефоном 3 месяца. очень довольна - отличный телефон для тех, кто пользуется им именно как телефоном ( а не фотокамерой или устройством для прослушивания музыки),  долго искала телефон с очень крупным шрифтом для написания sms. наконец нашла - шрифт просто очень крупный, очень удобное меню, совсем не смотрела в инструкцию - всё под рукой. фотографии тоже получаются неплохие.   самая оптимальная модель  для взрослых людей, кто часто  пишет sms и кто не очень  "продвинут" в современных технологиях. приятно держать его в руке, хороший дизайн.</t>
  </si>
  <si>
    <t>Подскажите цифру с буквой под батарейкой называется Data cod вроде там должно быть что то типа 6B. Очень надо! Заранее спасибо"!!</t>
  </si>
  <si>
    <t>Сериал интересный. Хотелось бы чтобы продавались все сезоны.</t>
  </si>
  <si>
    <t>Бритва удачной сборки, качество бритья хорошее, отмечу отличную работу триммера, плюс индикаторы батареи и зарядки, пока доволен!</t>
  </si>
  <si>
    <t>2015-10-20</t>
  </si>
  <si>
    <t>Мясорубкой пользуюсь 4 года, хуже еще не встречала, забивается при прокручивании более или менее жирного мяса через минуту, приходится доставать и прочищать, и так постоянно!!!</t>
  </si>
  <si>
    <t>2017-07-19</t>
  </si>
  <si>
    <t>Отличный помощник,можно мыть полы,стены,потолок,окна в общем все</t>
  </si>
  <si>
    <t>Купила год назад, очень довольна!!! Такие хрустящие тосты получаются и так все быстро, здорово! а за счет того, что поджаривает с одной стороны получаются изумительные сэндвичи, просто класс!!! Вообщем,выражаю огромную благодарность продавцам за то что соорентировали меня на тостер BORK T700, спасибо!!!!!!</t>
  </si>
  <si>
    <t>2011-01-13</t>
  </si>
  <si>
    <t>очень хорошие наушники, компактные, звук очень нравится. Если нужны маленькие, удобные, качественные наушники, эти (мое мнение) будут в самый раз.</t>
  </si>
  <si>
    <t>1048</t>
  </si>
  <si>
    <t>Доска мгновенное нагревается от утюга, причем утюг был включен даже не на максимальный нагрев. Поверхность доски идет волнами, изгибается, гладить сложнее, чем без нее. Конструкция довольно хлипкая, раскладывается-складывается с трудом. Доска абсолютно не выполняет своих функций.</t>
  </si>
  <si>
    <t>Мне очень нравится ванночка. Снимает напряжение с ног и так же обеспечивает прекрасный уход за ногами. Пользуюсь уже два года, пока довольна.</t>
  </si>
  <si>
    <t>Эм... Вы пользовались 5 с половиной лет??   У меня перегорел только что... Я посмотрела по гарантии. Вышло, что у меня он работал ровно полтора года.  Правда, я сушила им голову каждый божий день, да плюс к тому же каждый божий день им сушила голову и моя сестра )))  Могу сказать, что для объема это очень сильная вещь.  В общем, фен перегорел - да здравствует новый фен! Сегодня и иду за таким же.</t>
  </si>
  <si>
    <t>2013-02-17</t>
  </si>
  <si>
    <t>Я за 5 минут напекла блинчиков на семью! Мыть удобно, время на готовку отнимает мало, я очень довольна, а сынишка от этих маленьких блинчиков вообще в восторге, лучше ест чем большие:)</t>
  </si>
  <si>
    <t>Мне его подарили. Не ожидала, что буду пользоваться всеми функциями, мечтала о измельчителе, + чтоб были терки и шинковки. Но он такой компактный, что со стола мы его не убираем и пользуемся всеми насадками ежедневно уже пол года. Отличная модель.</t>
  </si>
  <si>
    <t>Наушники супер, звук чистый, присутствует даже дизайн:) В общем покупайте смело!</t>
  </si>
  <si>
    <t>Качество звука ужасное, собеседника очень плохо слышно. Аккумулятор держит нормально, но звук убивает просто.</t>
  </si>
  <si>
    <t>2014-02-12</t>
  </si>
  <si>
    <t>Очень хорошая машинка, белье вытаскиваю сухое, не шумная и все режимы есть. Очень довольна приобретением.</t>
  </si>
  <si>
    <t>2381</t>
  </si>
  <si>
    <t>Скажу так, на каждого покупателя свой товар..  Сама игра для стилистической системы серии довольно удачная, хоть про нее что не говорили,что она плоха все это чушь.  Графика для консоли отличная.  Управление приемлемое) и привычное для тех кто уже играл в прошлый части NFS такими же остались.  Хорошие видео заставки, так же приличный тюнинг, множеством гонок и автомобилей разнообразие, так же новые вид гонок добавлены..  Для отдыха и развлечение и для поклонника серии Need For Speed ,а так же для простой игры.  Игра Отличная.  Приятной вам игры)</t>
  </si>
  <si>
    <t>2195</t>
  </si>
  <si>
    <t>seganvlad223, то, что ты написал - это неправда.  Я с таким же успехом могу сказать, что GTA4 на консолях с русскими субтитрами. Red Dead Redemtion никогда не выходила с русскими субтитрами. Не вводи в заблуждение людей!</t>
  </si>
  <si>
    <t>467</t>
  </si>
  <si>
    <t>Игра мне понравилась! Играли с другом по сетке в спецоперации со скайпом) Все прошли на ветеране)))) По сети прикольно играть (он-лайн примерно 30-50 тысяч геймеров), короче, поиграть будет с кем.  Соглашусь с пользователем "123" - по поводу читеров, что есть то есть! Не нравится??? Создавайте заявки - будут забанены))  А в общем не пожалел. ПОКУПАЙТЕ!!! СОВЕТУЮ!!!</t>
  </si>
  <si>
    <t>Телефоном пользуюсь 2 года. Использую только как телефон. Очень удобное переключение симкарт. Слегка крупноват для женской руки при условии, что из руки его лично я не выпускаю. При таком использовании он у меня частенько падает на пол, бетон, землю. Один раз улетел даже на два лестничных пролета вниз. И ничего. Работает.</t>
  </si>
  <si>
    <t>2015-12-11</t>
  </si>
  <si>
    <t>Пылесос просто супер. Моет на отлично, на своём светлом диване вывела пятна за 3 мин! Палас после мойки стал на три тона светлее и ярче. Мыть детали очень легко и быстро, место конечно для него надо выделить отдельное и не оч маленькое. Тяга отличная, но зависит от количества воды налитой в контейнер. Рекомендую всем кто хочет быстро и удобно мыть и пылесосить полы. Конечно тяжеловат и не очень поворотлив но это все решается длинной шланга.</t>
  </si>
  <si>
    <t>856</t>
  </si>
  <si>
    <t>Очень понравилась йогуртница. Делали различные йогурты, но особенно понравился с топленого молока 4% а заквоска три столовых сожки 4% ряженки, получается просто прелесть.И еще, температуру прибора не мерил никогда, а если йогурт не получился, меняйте или молоко или закваску.</t>
  </si>
  <si>
    <t>Игра очень понравилась.</t>
  </si>
  <si>
    <t>2017-05-05</t>
  </si>
  <si>
    <t>Дизайн,быстрота закипания,бесшумность.</t>
  </si>
  <si>
    <t>Купил этот телек 05.07.2010г.в М.Видео. Сразу взял стабилизатор, настенный кронштейн и внешний жесткий диск со своим питанием на 1Тб. Аналоговую антенну воспринимает хорошо (тарелки пока нет) по сравнению с LG32LH2010. Картинка хорошая, настроек много, короче я доволен.... С жесткого смотрел фильмы, пока тока в формате AVI, супер!!! Сегодня буду тестить в MKV формате. Музыка, фото все идет на ура, только штатных динамиков для прослушивания музыки конечно не хватает, включал на полную громкость MP3 - звук чистый... Меню проще некуда, все понятно интуитивно. Подключал к компьютеру через HDMI-кабель просто АТАС!!!! Вообще  семейный и не дорогой телевизор очень хорошего качества!</t>
  </si>
  <si>
    <t>2010-05-01</t>
  </si>
  <si>
    <t>Пользуюсь 3-мя телевизорами данной модели и марки уже 2 года. За время эксплуатации меняю уже второй аппарат. Первый пролежал 2 месяца в ремонте (замена подсветки дисплея), пока не выдали заключение о невозможности ремонта. Поменяли бесплатно в магазине. Второй уже купил новый, так как гарантия закончилась, но не прошло еще и недели, как пропал цвет и перестали работать кнопки. Понесу менять. Ни за что бы еще не купил такую технику, но так как все уже подготовлено под данную модель - приходится мучиться, по крайней мере до следующей глобальной переделки в помещении.)))</t>
  </si>
  <si>
    <t>2010-08-12</t>
  </si>
  <si>
    <t>Пользуюсь телефоном чуть меньше года.   Достоинства:   1. Прочный не маркий и не царапающийся корпус.  2. Хороший экран, не выцветает на солнце.  3. Вполне приличная для телефона фотокамера.  4. Хорошее устойчивое качество приема сигнала, уверенно ловит даже за городом.  Недостатки:  1. Слабый аккумулятор. Сначала хватало на 4-5 дней, но через полгода где-то стало хватать на 2-3 дня, при умеренном использовании (до 10-15 мин. звонков в день, без игр, смс и прочего). В жару аккумулятор сильно нагревается, телефон становится горячим, даже в режиме ожидания.  2. Клавиши с самого начала похрустывают, будто под ними рассыпан песок. Нижняя часть джойстика периодически залипает.  3. Сама клавиатура маловата, часто бывают ошибочные нажатия.  4. Тихий звук - в людных местах или в машине звонки не слышно.</t>
  </si>
  <si>
    <t>60</t>
  </si>
  <si>
    <t>Я уже пользуюсь эпилятором 1,5 года и знаете мне он очень нравится,т.к во-первых имеется несколько насадок(насадка для зоны подмышек,насадка для зоны бикини,головка бикини триммер,отшелушивающий валик),достаточно длинный шнур и самое главное достоинство он очень хорошо выдергивает волос с корнем и эпиляции хватает на 1-2 недели. Так что девушки советую приобрести именно этот эпилятор!!!!Желаю удачи!!!!))))</t>
  </si>
  <si>
    <t>2014-06-28</t>
  </si>
  <si>
    <t>Водонагреватель вполне подойдет для того чтобы сполоснуться на время отключения воды. Температура на выходе вполне приемлемая, но вот напор довольно слабый. Подключается устройство довольно просто. Ничего дополнительно покупать не пришлось. Водонагреватель обязательно должен стоять вертикально, так что если не хочется сверлить стену, небоходимо задуматься как его можно закрепить вертикально другим способом. При покупке следует обязательно учесть, что водонагреватель должен быть заземлен. Для этого необходимо иметь розетку с заземлением. Еще можно заземлить водонагреватель от щитка.</t>
  </si>
  <si>
    <t>2015-12-31</t>
  </si>
  <si>
    <t>Пылесос хороший, только спустя месяц после покупки цена на него увеличилась ., интересно по какой причине?)))</t>
  </si>
  <si>
    <t>2009-09-03</t>
  </si>
  <si>
    <t>Очень понравился.  Прекрасное качество изображения. Потрясающая функциональность.    Отличные черные цвета. Вставил флешку или внешний диск - смотри картинки, кино, слушай музыку!    Порадовала возможность воспроизведения с внешнего USB диска фильмов в форматах DivX и MKV.</t>
  </si>
  <si>
    <t>Надежный</t>
  </si>
  <si>
    <t>2010-09-27</t>
  </si>
  <si>
    <t>Приобрел 2 года назад и до сих пор радует. Советую всем!!!</t>
  </si>
  <si>
    <t>Я очень довольна телефоном, он меня устраивает во всем и пока недостатков незаметила.</t>
  </si>
  <si>
    <t>У меня плеер больше полугода,и никаких проблем с ним не возникало!  Даже поражает количество претензий!   1. глючит на морозе? Народ, купите чехол нормальный, и не перемерзнет и не поцарапаете ничего!  2. долго заряжается? заряжайте не от компа, а от розетки с переходником на юсб, стоит копейки, а заряжает быстро.  3. Разряжается? читайте инструкцию, для полноценной работы плеера и выхода батареи на полную мощность 3 раза полностью разрядите и зарядите телефон.    Да и учитывайте тот факт, что брак в любой продукции бывает. И бежать жаловаться по отзывам как-то не совсем разумно.</t>
  </si>
  <si>
    <t>2056</t>
  </si>
  <si>
    <t>Наушники отличные, звук качественный для своей цены. Единственный минус плохо держит регулятор объема головы.Баса нет , да и какой бас может быть для такой цены. Соотношение цена качество - 5+. Брал за 310 р в DNS. За такие деньги аналогов нет!</t>
  </si>
  <si>
    <t>Приятный золотисный внешний вид, 23 строчки, легкая в управлении, 5 лапок.</t>
  </si>
  <si>
    <t>2013-05-01</t>
  </si>
  <si>
    <t>Сегменты проектора перестали работать буквально через пол года. Брал исключительно ради проектора. Обидно за такой хлам и за такую цену.</t>
  </si>
  <si>
    <t>2015-03-18</t>
  </si>
  <si>
    <t>Хороший прибор. Дизайн с улыбкой - просто класс.:) Вчера купила на работу, чтобы обогревать кабинет в 20 кв. м. Греет хорошо. Не сушит воздух, не сжигает кислород. Через час работы кабинет наполнился мягким не душным теплом. Завтра поеду покупать второй такой же для дома, чтобы греться когда отопления нет. Ставлю оценку 4, т.к. использую пока недолго. Единственный недостаток - короткий провод (проблему решили удлинителем). Однозначно рекомендую.</t>
  </si>
  <si>
    <t>2015-10-12</t>
  </si>
  <si>
    <t>Пылесосом очень, очень  довольна! Это что то! легкий, тихий , мощный ! цена приемлемая! Очень нравится угловая щетка которая в комплекте!</t>
  </si>
  <si>
    <t>Супер аппарат, наконец, то я нашла, то, что мне подходит во всём. Пользуюсь им уже 1 год и счастлива. Всем советую приобрести Айфон  и не пугаться его, а открыть для себя его безграничные возможности.</t>
  </si>
  <si>
    <t>591</t>
  </si>
  <si>
    <t>Приобрёл на днях Samsung BD-P4600 взамен Dvd Sony(после 2х ремонтов) остался очень доволен.Читает с флешек и жесткого(500 Gb NTFS)диска практически все форматы(матроску в том числе),фотки также формат JPG читает без проблем.Цена конечно великовата за новую модель,но со временем упадёт я думаю.Оценка на 5+.</t>
  </si>
  <si>
    <t>2010-09-24</t>
  </si>
  <si>
    <t>Холодильник данной модели просто супер. Пользуюсь 6,5 лет</t>
  </si>
  <si>
    <t>Не советую брать данный товар, т.к. машинка работает не очень- дерет волосы, аккумулятор не стал заряжаться через пол года работы- спасибо магазину М-видео, вернули ее назад, взяли машинку другой марки.</t>
  </si>
  <si>
    <t>2017-03-16</t>
  </si>
  <si>
    <t xml:space="preserve">Качество полностью оправдало все затраты на этот пылесос, все режимы уборки, не сильно шумит, не занимает много места при хранении </t>
  </si>
  <si>
    <t>Не советую. Этот утюг не гладит ни с паром, ни без пара. Только перевод денег и электроэнергии. Пойду менять на другой.</t>
  </si>
  <si>
    <t>Простой и удобный телефон. А самое главное - не вредный для человека, который им пользуется, так как от него не идет никаких излучений как от беспроводной трубки, которые сейчас все так любят. Я дома никогда не использую беспроводные телефоны, так как очень много читала про их вред для головного мозга. Конкретно эта модель очень хорошо предает звук голоса. Я очень хорошо слышу собеседника и меня тоже хорошо слышно, причем звук в трубке можно регулировать по громкости как и звук поступающего звонка. Если нужно дозвониться, то есть возможность повторного набора. В общем очень удобный телефон и в нем нет ничего лишнего. Из недостатков могу называть только белый цвет. Он хоть и красивый, но требует постоянного ухода, так как быстро пачкается.</t>
  </si>
  <si>
    <t>Недавно купила сестре в подарок такой же эпилятор Philips 6540. В этом деле я не новичок. Раньше пользовалась Эпилятором фирмы Roventa, простой, недорогой, и честно говоря, была не в восторге. Удалял плохо, долго, про короткие волосы вообще молчу. Часто возвращалась к бритью: времени тратилось много, а качество отставало желать лучшего! Сейчас я удовлетворена полностью! И быстро, и качественно и не так больно и сестре очень нонравилось.</t>
  </si>
  <si>
    <t>1602</t>
  </si>
  <si>
    <t>Пользуюсь где то 1,8 года. Было всё просто замечательно, но через 1.5 года стал громко реветь. Т.к. гарантия закончилась - разобрал (разбирается легко это +). Мотор - вентилятор (это один целый неразборный блок - это -) оказался весь в пыли из-за чего собственно и пошёл такой гул, что хочется выбежать из комнаты, хотя мощность всасывания по прежнему на высоте. Лучше бы фильтр на выходе они поставили перед двигателем, а не за. Прочистить движок нет возможности - он неразборной. Выкидываем пылесос, покупаем новый - другой фирмы.</t>
  </si>
  <si>
    <t>Качество ужасное, очень жалею что их купил =((( сломалось крепление, звук плохой =((</t>
  </si>
  <si>
    <t>2868</t>
  </si>
  <si>
    <t>2012-03-27</t>
  </si>
  <si>
    <t>Стильный, не совсем обычный дизайн. Интуитивно понятное меню. Компактная и красивая глянцевая база.  Со звуком в трубке - проблем нет!  Стоит своих денег!  Рекомендую.</t>
  </si>
  <si>
    <t>2250</t>
  </si>
  <si>
    <t>плеер был куплен в декабре 2009г  наушники сразу купил другие Сони за 2900,качеством звучания доволен ..но только в этих наушниках.  почему-то из заявленного времени работы аккумулятора в 44 часа с первых дней заряда хватает на 4-5 часов ...несколько раз были глюки ,то зависал,то вообще не включался ...часы неудобные мигают каждые 10 секунд на мгновение ...за 4 месяца стерлись все надписи на лицевой панели ,ладно хоть внутри кнопочек остались.В целом оценка на 4 с минусом ,от СОНИ  ожидал лучшего.</t>
  </si>
  <si>
    <t>795</t>
  </si>
  <si>
    <t>2012-10-23</t>
  </si>
  <si>
    <t>Заявлено 32 гига, вставил флешку на 8Г(с музыкой МР3) а она не загрузилась, вставил друю на 2 гига - пошла. ДВД диски - только звук, СД диск с музыкой без проблем, насчет крепления панели - с хрустом закрывается. Купил и поставил вчера, а сегодня хочу ехать возвращать или менять, так то внешне и звук нравиться, радио хорошо фурычит хотя слабоват приемник.</t>
  </si>
  <si>
    <t>1206</t>
  </si>
  <si>
    <t>телефон очень хороший, много преимуществ.  громкий звук, отличная графика, и даже при камере 0,5 мпикселя фото получаюся очень приличными.</t>
  </si>
  <si>
    <t>2015-11-12</t>
  </si>
  <si>
    <t>Очень хороший фен. Пользуюсь им более 7 лет,ни разу не подвел.Рекомендую всем.</t>
  </si>
  <si>
    <t>1180103</t>
  </si>
  <si>
    <t>2420</t>
  </si>
  <si>
    <t>Пользуюсь мясорубкой от Борк, и если честно, меня совсем не устраивал внутренне встроенный нож. Последнее время он на самом деле начал работать хуже, посмотрела на его форму, поискала другие модели ножей в интернете, поняла, что проблема именно в этом, да и попросту ступился он за это время. Пришла к вам, сказала модель мясорубки, мне сказали, что эта модель от Зумман подойдет. Цена оказалась очень выгодной, я решила попробовать, к тому же чисто по форме этот нож выглядел реально рубящим. Установился на мою мясорубку без труда вообще, как будто этот нож не от Зумман, а от Борк прямо. Результатом довольна - реально работает этот нож намного лучше, чем мой предыдущий. Получается без труда получить нужный фарш.</t>
  </si>
  <si>
    <t>Хороший комп для офиса с уже установленной OC.</t>
  </si>
  <si>
    <t>Телефон хороший, играет очень даже громко, слышно  даже в слишком шумном помещении. Легко управляется радио, да и вообще телефон прост в обращении. Изящная форма, как раз для молодых девушек.  Конечно есть и минус, долго включается и порой сильно притармаживает. А в остальном полностью устраивает.  Моя оценка 4 из 5.</t>
  </si>
  <si>
    <t>2015-08-04</t>
  </si>
  <si>
    <t>пользуюсь этим тостером уже 10 лет причем пользуюсь ею каждый день мои дети обожают бутерброды с колбаской с сыром. Я ею иногда делаю сухари. Так же использую как гриль когда делаю бурито из лаваша. могу подогреть сосиски и даже зажарить сыр или яйцо.</t>
  </si>
  <si>
    <t>Плите полгода.  Электронный таймер может управлять только духовкой, но не комфорками - в инструкции это четко не описано.  Режимов два:   1. отключение "через хх часов уу минут" и  2. отключение "в хх часов уу мин"  (последний режим не используем)  Задать время начала приготовления по таймеру нельзя.  + по сравнению с более дешевыми плитами: быстрый разогрев конфорок, большой выбор нагревательных элементов в духовке (4), вентилятор, духовка печет равномерно. Управление духовкой справа от индикатора, конфорками - слева, что уменьшает путаницу по сравнению с плитами, у которых все ручки в сплошной ряд.  - по сравнению с более дорогими (Горения 278): не предусмотрено "отпаривание" духовки, у Горения 278 еще удобнее разделены ручки по зонам.</t>
  </si>
  <si>
    <t>Из тех ушек, что были в магазине, самое качественное звучание. Звук детализированный, бас мягкий и глубокий.  Цена :( , а то точно бы купил.</t>
  </si>
  <si>
    <t>2016-08-08</t>
  </si>
  <si>
    <t>Данный телефон пользую уже около 2 лет. Зарекомендовал себя как с отличной стороны . Не ломается, почти окунул в бассейн - потух экран , посушил  феном . через день все появилось но моргало , еще через день и уже месяц все работает отлично. Расстояние до базы держит отлично . хожу по всему участку около 20 метров. Громкая связь тоже Громкая и чистая. И микрофоны и динамики настроены Отлично.  В целом рекомендую . Только один минус - сейчас подорожал.</t>
  </si>
  <si>
    <t>Купили утюг в прошлом году, чтобы в отпуск поехать. Утюг просто суперрр! Нареканий по глажке нет. Самое интересное, что сейчас им пользуемся вместо обычного и очень довольны. Рекомендую.</t>
  </si>
  <si>
    <t>Помоему эта машинка слишком экономит воду. После стирки приходится вновь полоскать белье,но может я просто не умею с ней обращаться, т.к. купил недавною.  Нравится большой барабан.</t>
  </si>
  <si>
    <t>2780</t>
  </si>
  <si>
    <t>2016-11-07</t>
  </si>
  <si>
    <t>Стильный дизайн. Хорошее покрытие. Легкий вес. Удобная ручка. Для варки каш подходит как нельзя более хорошо.</t>
  </si>
  <si>
    <t>4010601</t>
  </si>
  <si>
    <t>Вообще-то данная модель устанавливается не в кухонную секцию, а между ними, в нишу 60см на собственные ножки. Необходимо заказывать только кухонный фасад.</t>
  </si>
  <si>
    <t>946</t>
  </si>
  <si>
    <t>2010-11-08</t>
  </si>
  <si>
    <t>Плеер отличный, звук супер, пишет с радио в хорошем качестве. вообще положительные впечатления. Только один момент есть. Может кто подскажет? Как загружать текстовые файлы, в каком формате, .txt даже записывать отказывается, пробывала и другие, такая же фигня. Заранее спасибо за совет)</t>
  </si>
  <si>
    <t>Очень классный пылесос.  С турбощеткой, большой мощностью...  В общем покупкой очень довольна.</t>
  </si>
  <si>
    <t>2013-04-08</t>
  </si>
  <si>
    <t>Плохая! Купили панель в июле прошлого года,а начали пользоваться осенью,тк закончили ремонт и переехали, да и сейчас не так часто готовим. На конфорках сразу после первого же использования стали появляться пятна, на сегодняшний день вся варочная панель как жираф. В сервисном центре разводят руками,т.к. по чеку времени со дня покупки много прошло,для них это чисто косметический дефект! и в СЦ сказали,что Samsung славится своим качеством варочных панелей.</t>
  </si>
  <si>
    <t>купил аппарат....просто блеск за такие деньги и конфигурация зашибись...берите пока есть</t>
  </si>
  <si>
    <t>2014-01-16</t>
  </si>
  <si>
    <t>Очень довольна таким подарком! Много бигудишек,разной формы! Быстро нагреваются,не так долго ждать для хорошего эффекта. Из минусов это заколки,для среднего размера эти шпильки очень неудобны. Плохо держат,если вообще удается закрепить.Решила проблему купив дешевые бигуди с такими заколками-зажимами(бигуди выкинула заколки оставила). Маленькие бигуди и с родными шпильками держатся. В общем очень удобно!Быстро сделать красивые локоны стало теперь не так проблематично)</t>
  </si>
  <si>
    <t>Нормальные наушники, звук хороший и басы неплохие.В отзывах писали, что провод не запутывается, у меня он запутывается, но это не страшно:)  Кто хочет купить, покупайте не пожалеете.</t>
  </si>
  <si>
    <t>Хороший триммер, пользуюсь уже года 3.</t>
  </si>
  <si>
    <t>Шью давно и давно хотела хорошую машинку. На новый год муж сделал подарок, сначала нарадоваться не могла, а потом понеслось... провалился штырёк у штекера,потом во время намотки нитки на шпульку перестала стопориться игла и в итоге верхняя нитка перестала хватать нижнюю. Осталась я с тремя детьми и без машинки,а сервисного центра у нас в городе нет,вот такая грустная история.</t>
  </si>
  <si>
    <t>Саб обалденый берите, не пожалеете, поставил с усилком DLS x-D11 просто бомба, седан бизнес класса прокачивает изумительно, работает процентов на 60 , на усилке только не жалейте!!!</t>
  </si>
  <si>
    <t>Купил бук ASUS K52J, 2 недели работал отлично, потом появился противный писк, в сервиснике сказали это нормально. В тишине высоко частотный писк сильно раздражает. Впечатления от дорогой покупки испортились напрочь.</t>
  </si>
  <si>
    <t>Дизайн, качество, удобство.</t>
  </si>
  <si>
    <t>2017-01-20</t>
  </si>
  <si>
    <t>компактный, интересное предназначение</t>
  </si>
  <si>
    <t>2012-10-02</t>
  </si>
  <si>
    <t>Насадка быстро сломалась (слабый пластик), мощности маловато. Меня стрижет нормально, у сына густой волос застревает и рвет волос.</t>
  </si>
  <si>
    <t>отличная пораварка брал в подарок, готовит очень хорошо главное правильно для некоторых продуктов подбирать время, все гораздо вкусней чем жаренное!!!</t>
  </si>
  <si>
    <t>Наушники действительно оказались очень даже ничего.Звук очень классный.А шнур и вправду длинноват:)</t>
  </si>
  <si>
    <t>448</t>
  </si>
  <si>
    <t>купил колонки звук оболденный и чоткие пол года прошло сабвуфер тока на 20 % без хрипа работал нормально и взади вход глючит постоянно а так впринципе ничего но вход убогийй</t>
  </si>
  <si>
    <t>Купила миксер в сентябре. Всё меня устраивало и тесто взбивал хорошо и как миксер отличный. Но вот на неделе хотела взбить,а переключатель на скорости вправо не идёт заклинил,только влево (это значит,что надо держать его обязательно отвлечься нельзя). Написала в тех.поддержку . Посоветовали отнести в магазин, т.к. гарантия ещё действует. Надеюсь что поменяют или отремонтируют.</t>
  </si>
  <si>
    <t>Сегодня купил этот пылесос. Первая уборка порадовала. Будем пользоваться. Мне понравился.</t>
  </si>
  <si>
    <t>1310</t>
  </si>
  <si>
    <t>Тихий, быстрый и маленький девайс. Брал в качестве HTPC .   Всем доволен.</t>
  </si>
  <si>
    <t>2016-04-29</t>
  </si>
  <si>
    <t>Перед покупкой прочитала много отзывов и долго не могла выбрать какую купить, выбор пал на данную модель так как бюджет не позволял выбрать более дорогую. Вот и началось: первое включение прошло отлично по инструкции нужно было прокалить 30 минут при максимальной температуре, но муж решил сделать по другому, включил на 1.30 и в дальнейшем запаха мы не наблюдали. А на счет выпечки нареканий нет, муж каждый день просит спечь что нибудь вкусное. Так что кто еще думает какую купить, не гонитесь за дорогой маркой.</t>
  </si>
  <si>
    <t>Пользуюсь миксером уже 2 года. Муж на годовщину свадьбы подарил. Очень довольна моделькой. Плюсы - очень большая чаша, взбивает быстро и очень качественно, не надо держать руку на кнопке, как в погружных миксерах, венчики для смешивания просто шикарные для вымешивания теста (дрожжевого, песочного). За 2 года юзанья минусов не обнаружила, разве что хочется запасную чашу))),чтоб в 2 раза больше тортиков делать зараз)))</t>
  </si>
  <si>
    <t>Замечательный фен!!! Покупала в качестве дорожного фена - за весь отпуск показал себя очень хорошо, работает не сильно шумно, не перегревается, сушит отлично!!! Очень рекомендую!!!</t>
  </si>
  <si>
    <t>Не семейный это фильм. Просто документальные съемки с озвучкой. Покупал думая что семейное кино подобное Наполеону или ещё какому-нибудь про путешествие зверей. Очень разочарован приобретением этого фильма. Нужно было назвать Из жизни бобров. Это документальное кино!!!</t>
  </si>
  <si>
    <t>824</t>
  </si>
  <si>
    <t>Плюсы:  1. Достаточно легкая  2. Вибрирует не сильно  3. Волосы не дерет даже при падении мощи.  4. Работает от батареи. Оценил это только дома, когда понял, что шнура до розетки не хватает, а тянуть пенероску западло.    Минусы:  1. При разрядке батареи падает моща даже если машинка включена в сеть. Т.е., при разряженной батареи приходится немного ждать, пока слегка подзарядится, чтобы начать стричь. Но это только поначалу. Если это будет повторяться, то это мегакосяк. В дальшейшем будет видно.  2. Хлипкие насадки. Приходится контролировать силу нажатия машинки на голову. Одна насадка на крайних двух положениях крепится неустойчиво, на самом крайнем - слетает.  3. Быстро засирается. Постриг себя не сильно обросшего - пришлось снимать ножи (по инструкции) чистить. Чистится хреново, ибо ножи в масле.   4. Нельзя подстричься под 2 мм, но это не недостаток - в описании оговорено.    За свои деньги аппарат на твердую четверку. Пока доволен.</t>
  </si>
  <si>
    <t>1069</t>
  </si>
  <si>
    <t>кайф телефон</t>
  </si>
  <si>
    <t>Какие бассы вы что... их нет совсем! Бери ценовую категорию выше и все!</t>
  </si>
  <si>
    <t>2806</t>
  </si>
  <si>
    <t>Отличный телефон!Можно выбрать мелодию звонка по душе. Отрегулировать под себя громкость. Автоответчик, часы, АОН все есть! Берите! Я осталась покупкой довольна!</t>
  </si>
  <si>
    <t>1323</t>
  </si>
  <si>
    <t>2010-08-04</t>
  </si>
  <si>
    <t>Отличная бритва, чисто бреет как с пеной, так и без нее. Бритье с пеной стало вообще откровением-намного чище, чем каким-либо станком. Одно плохо-найти сменный режущий блок в Петербурге не представляется возможным (только под заказ по цене сравнимой с ценой битвы). Я свой потерял в процессе эксплуатации почти год назад, так и бреюсь станком до сих пор.</t>
  </si>
  <si>
    <t>1580</t>
  </si>
  <si>
    <t>Ох и намучилась я с "мешковыми" пылесосами. Надоело дышать пылью и постояно выбивать пыль из всех щелей пылесоса и мешка. Неудобно и непрактично. Зародилась мечта о простом контейнере, который нужно просто ополоснуть и все. Долго выбирала, и дело не только в цене. Хотела найти небольшой и удобный пылесос с достаточной мощностью.</t>
  </si>
  <si>
    <t>Ножи неплохие, НО... ломаются. очень хрупкая сталь. Не советую резать замороженные продукты. Очень удобен хлебный нож (сыр тоже классно режет)</t>
  </si>
  <si>
    <t>Купил себе вчера эту модельку думал приду порадуюсь послушаю музыку вечерком, а вот не смог, так как нормального звука в этих наушниках нет, очень тихий, ощущение что они работают всего на 50%, а остальные 50 куда-то испарились, так что зря выброшенные 1150 рублей, лучше бы девушку в ресторан сводил</t>
  </si>
  <si>
    <t>2940</t>
  </si>
  <si>
    <t>Покупать лучше модель 919.0ST  У ST в комплекте идет турбощетка - для ковров незаменимая вещь.   За месяц эксплуатации пришлось один раз смазать защелку телескопической трубки -пара пшиков вэдэшки и зергуд.</t>
  </si>
  <si>
    <t>Хорошая флэшка. Стильная и недорогая (это только мое мнение).</t>
  </si>
  <si>
    <t>отличная машинка, у кого мало места в ванной, практичная, удобная</t>
  </si>
  <si>
    <t>Все делали по инструкции. Кудри получились очень плохо. Не придал значения плохим отзывам по шпилькам- а зря. Действительно изобретение непонятное. Не мог Филипс до комплектовать бабочками все бигуди как это сделал Витёк и Валера !? В комплекте только 4 зажима на большие керамические бигуди. Шпильки можете сразу выбросить чтобы не мешали. Над качеством кудрей будем работать. Докупим бабочек. Посмотрим. Подарок расстроил больше не моих жену и дочь сколько самого меня.</t>
  </si>
  <si>
    <t>2017-01-26</t>
  </si>
  <si>
    <t>Компактная, хорошо выпекает</t>
  </si>
  <si>
    <t>Этот аппарат просто зверюга.  Хоть и стоит 7990, но даст еще фору любому кпк за 15000</t>
  </si>
  <si>
    <t>Вытяжка провисела всего 1 день.Взорвалось стекло!Варочная панель и столешница в выбоинах!Потеряно время,деньги! Остался неприятный осадок на душе от произошедшего!</t>
  </si>
  <si>
    <t>Пользуюсь бритвой около 6 месяцев, до этого была тоже филипс. Сказать супер немогу но- эта бритва действительно хороша по технологиям. Как говорится, каждому свое ;) ставлю 4 балла</t>
  </si>
  <si>
    <t>Консоль норм.,но не для новичков - Ящик только для более привыкшим к лайву и его сложностям!Кинект тоже самое что и мув!Просто кинект совем без ничег,а муф ты чувствуеш!Советую!!!</t>
  </si>
  <si>
    <t>2012-11-22</t>
  </si>
  <si>
    <t>Очень хороший радиатор. Быстро разогревается и поддерживает нужную температуру в помещении, три режима мощности, отсюда и экономия электроэнергии, и оптимальный по времени прогрев. Не сушит и не съедает кислород,очень тихий, надежный помощник в холодных комнатах.</t>
  </si>
  <si>
    <t>2013-05-09</t>
  </si>
  <si>
    <t>Этот фен у меня был 10 лет, не каких нарицанный. Вот только вчера сгорел(( Как только увидела, что они до сих пор есть в продаже, других вариантов даже не рассматривала, сегодня поеду и куплю!</t>
  </si>
  <si>
    <t>Как не удивительно, за такие деньги - она хлеб печет.  Корочка есть, пропекает нормально.  Эта хлебопечка хороша на даче, кончился хлеб - 3 часа и готово.   Гурманам и большим семьям, просьба не беспокоится, у нее всего 5 программ и хлеб 0,5 кг.  Тем кто покупает, проверяйте - нож мешалки должен ходить в корпусе свободно не задевая стенок. Китайцы на фабрике иногда вкладывают мешалку от старшей модели. Итальянцы ее также продают под брендом - Ariete 125.  Удачи.</t>
  </si>
  <si>
    <t>2013-09-21</t>
  </si>
  <si>
    <t>Была куплена 3 года назад. Часы спешат, экран стал тусклым, т.е. не ярким, разглядеть там что то стало трудно. А так работает.</t>
  </si>
  <si>
    <t>Телефон достаточно громкий, мелодий много, можно выбрать подходящую. Собеседника слышно отлично, есть поиск трубки с базы. АОН работает без каких-либо дополнительных настроек, опознает городские номера, при звонке с мобильного идут прочерки. Трубка долго держит заряд. Покупался для мамы, она вполне довольна</t>
  </si>
  <si>
    <t>Пользуюсь этим чайником уже почти 7 лет и то что немного проливается мимо чашки это совершенно мизерный недостаток, а в целом чайник хорош.</t>
  </si>
  <si>
    <t>Не очень удобное переключение между ТВ и др.(дом. кинотеатр и пр.).</t>
  </si>
  <si>
    <t>2011-05-18</t>
  </si>
  <si>
    <t>Приобрели данную модель, остались очень довольны. Перестирали все в доме за 2 дня. Удобные короткие программы, система аква +. Всем рекомендуем!</t>
  </si>
  <si>
    <t>Очень порадовала доставка 5+! Установил, работает очень тихо, как внешний, так и внутренний блоки. Я рад!!! Спасибо.</t>
  </si>
  <si>
    <t>1697</t>
  </si>
  <si>
    <t>2012-01-10</t>
  </si>
  <si>
    <t>Звук у наушников отличный и басы и частоты в порядке!Предназначены для прослушивания звука на системах начального уровня HiFi тому следствие хорошие динамики с большим частотным диапазоном т.е. нужен ресивер или усилитель.Хорошо подходит для компьютеров с хорошей звуковой картой.Хорошее сочетание цена качество.Минус единственный корпус плохо скомпонован и дешёвый материал корпуса.Советую тем кто хочет уложиться в штуку и послушать нормально ночью музыку.</t>
  </si>
  <si>
    <t>Был куплен  в 2010 гору в апреле. Установлен самостоятельно за пару часов. Греет полный бак до 75С за полтора часа. Чудо аппарат, нареканий нет. Если не гнаться га брендами это Ваш выбор.</t>
  </si>
  <si>
    <t>Подарок маме , не пожалела , хорошая ванночка мои довольны !</t>
  </si>
  <si>
    <t>2012-07-26</t>
  </si>
  <si>
    <t>А мне данное устройство очень нравится. Купила больше года назад. Большие книги не слушаю, а музыку - всякую разную. У  меня трое детей, и для них специально записываю то, что им нравится. Была ситуация, когда мы ехали по трассе на двух машинах, дети - в машине мужа. Они звонили мне, музыку заказывали, я ставила, а они через радио в машине мужа слушали. Примечательно то, что расстояние между нашими машинами не всегда было 10 метров (в спецификации указана именно такая дальность трансляции), а доходило до 100 м (преимущественно 30-50 м). Муж сказал, что помехи трансляции появлялись, когда расстояние превышало 60 м, и сигнал совсем пропал, когда я оторвалась от них больше, чем на 150 м. И на даче слушаю через радио, когда оставляю трансмиттер в машине: от дома до машины - тоже больше заявленных в спецификации 10 м. Предотвращая вопросы многих: аккумулятор, кстати, не сажает - оставляла до двух суток в прикуривателе: работает, удобно слушать любимую музыку будто по радио:).</t>
  </si>
  <si>
    <t>******Недостатки:****** якобы  1.Нет в комплекте карты памяти    =1. Это смотреть надо, у меня на 8 сразу было и я доволен    2.Разъем для карты памяти под аккумулятором(!)    =2. Это не важно, не так часто ее и вытаскиваешь    3.Кнопка перезагрузки под крышкой задней(!)    =3. Многие вообще ей не пользуются (есть же в самом телефоне *визуальная* кнопка выключения    4.Фотокамера плохая    =4. Коммуникатор это тебе не камера!    5.Нет в комплекте з/у для автомобиля    =5. ахахах=) прикуриватель 100 рублей стоит=)      а вообще, штуа очень неплохая, доволен!</t>
  </si>
  <si>
    <t>2251</t>
  </si>
  <si>
    <t>Машинка проста ужасна, не отстирывает гремит при отжиме, установлена правильно, отжимает плохо, так и ещё программы глючит.</t>
  </si>
  <si>
    <t>Купил через инет магаз мвидео, все замечательно. Шкаф отличный, часы оранжевого цвета(не раздражает глаз)) работает замечательно.</t>
  </si>
  <si>
    <t>1592</t>
  </si>
  <si>
    <t>Телефон хороший, и дешевый, хорошая камера, удобный, за такую сумму оценка телефону 5!!!</t>
  </si>
  <si>
    <t>2009-10-16</t>
  </si>
  <si>
    <t>отличная духовка, все в ней получается очень вкусно. купили в июне, очень довольны.</t>
  </si>
  <si>
    <t>2817</t>
  </si>
  <si>
    <t>2017-06-21</t>
  </si>
  <si>
    <t>Не нашла.</t>
  </si>
  <si>
    <t>А надо ли переплачивать деньги за 1 лишний Гб оперативной памяти? Ведь при установленной 32-разрядной ОС это просто выбрасывание денег... И тем более странно, что меня удивило, эта память ограничивает возможности ноутбука, сводя общую производительность по оценке Windows Vista к 4,8. Что-то маловато для такой комплектации. И, кстати, на acer.ru нет никакой информации о ДАННОЙ комплектации. И более субъективный минус - не понравился материал корпуса - дешёвый пластик, и, как следствие, ужасный по ощущениям тачпад. Особенно после долгого опыта работы с НР серии Pavilion.   Экран 16" - "слегка" нестандартный, вроде и уже не 15.4", и ещё не 17". Так что придётся помучаться с поиском хорошего кейса (сумки). Заявленное отсутствие Синезуба сильно огорчает... Так что лишь твёрдая 4.  P.S. За такие деньги можно приобрести модели получше.</t>
  </si>
  <si>
    <t>1608</t>
  </si>
  <si>
    <t>Спасибо менеджеру Салавату рекомендовавшему этот пылесос (ТЦ МИР). Учень прост, удобен в эксплуатации, мощный.</t>
  </si>
  <si>
    <t>2011-01-28</t>
  </si>
  <si>
    <t>Хорошая машина. Идеальная скорость отжима - 600 оборотов (1000 запускал всё нормально, просто страшновато она вибрирует), но если есть где подсушить, к утру высохнет - не пересыхая: это я про 600. У меня стоит на резиновых подставках на деревяном полу. Рекомендую ещё к кафелю подставки.Используйте хороший порошок, расход 125 грамм при 30 минутах стирка. Ещё мне доставка понравилась, нельзя было въехать во двор: ребята экспедиторы на руках ( я из окна видел) метров 60 её пронесли как невесту: и очень аккуратны были в доме.</t>
  </si>
  <si>
    <t>С общей антенны чуть размыто. С других источников картинка супер -класс.При переключении каналов инф.строку можно удалить или настроить в секундах.надо внимательно изучить инструкцию.usb показывает фотки и качественное видео.Видео только проверял с карты. По моему мнению это качественный и надёжный телевизор.</t>
  </si>
  <si>
    <t>Это наша первая соковыжималка, качеством отжима довольна, жмых если приложить усилия, то пару капель выжать можно. Мыть хоть и быстро, но муторно (особенно сеточку)я думаю , что они все так моются. Пластмасса действительно красится от морковки, думаю от свеклы тоже будет (еще не пробовала).</t>
  </si>
  <si>
    <t>3125</t>
  </si>
  <si>
    <t>По мне очень хороший комп, ничего лишнего нет.Подскажите лишь одно, как на нём игры?Все ли пашут?Купить хочу.</t>
  </si>
  <si>
    <t>Пылесосом довольна! Аква фильтр просто супер так как есть собака в доме запаха при уборке нет. Делали химчистку в машине - здорово. По мне не очень удобно что когда тебе нужно собрать воду необходимо надевать насадку вместе со шлангом для распыления жидкости. За свои деньги пылесос просто обалденный )))))) по мне просто класс!</t>
  </si>
  <si>
    <t>2015-01-18</t>
  </si>
  <si>
    <t>Использовали на даче. Был скачок напряжения до 380v. Сгорел.</t>
  </si>
  <si>
    <t>Бритва отличная. Купил сегодня. Тримммер хороший. Сама бреет быстро и чисто. Особо не шумит. Покупкой очень доволен. 2 летняя гарантия тоже хороший бонус. Берите не пожалеете.</t>
  </si>
  <si>
    <t>2016-05-04</t>
  </si>
  <si>
    <t>1) ничего положительного не заметила  2) маломощный, останавливается при нажатии, некачественные сверла, неэффективные совсем  3) выбросила деньги зря :-(</t>
  </si>
  <si>
    <t>1095</t>
  </si>
  <si>
    <t>Хлебопечкой пользуюсь более месяца почти ежедневно. Пробовала много рецептов. Довольна большинством, но горбушка не зарумянивается. Допекание помогает. Но не всегда. На сладкий хлеб делаю смазку из желтка, а на пшеничный - подсолнечное масло. Продолжаю надеяться, что прибор может разогреться и будет все доводить до стандарта сам. И еще: все рецепты в книге надо корректировать - это минус.</t>
  </si>
  <si>
    <t>Сегодня купил и очень доволен этой бритвой во всём, спасибо м-видео и консультанту. Очень хорошо работает и чисто бреет на 5+.</t>
  </si>
  <si>
    <t>2129</t>
  </si>
  <si>
    <t>Отличный ноутбук разве что фоновый рисунок нельзя установить сумки не было но дали в подарок жесткий диск</t>
  </si>
  <si>
    <t>Для своей цены очень достойный чайник. Шум средний, есть подсветка красного цвета. У нас уже 3 года. Рекомендую!</t>
  </si>
  <si>
    <t>Чайник хороший, прослужил 2,5 года,проблем никаких не было.Запах пластмассы исчез очень быстро. Отключался всегда.Воду нагревал быстро.Нечего не сломалось, хотя эксплуатировался очень много!Считаю, что достаточно надежный чайник. У родителей такой же, тоже никаких проблем!На днях мой чайник потек. Хотела купить такой же.Но купила другой, но только чтобы попробовать новый!А так считаю что чайник хороший!</t>
  </si>
  <si>
    <t>1384</t>
  </si>
  <si>
    <t>Вещь!!!! Покупал в основном аккумулятор и он не подвёл.  Нареканий немного. Будильник (уже описано) первый звонок пропустил. Есть проблемы с подгрузкой видео... но это уже не проблемы телефона.</t>
  </si>
  <si>
    <t>Взяли телевизор сегодня, в магазине выглядел казалось на порядок меньше))) когда дома поставили в стенку и офигели!!! во-первых, он не вместился в неё ))) во-вторых - удивительно большой экран! рекомендую! качаем ныне фильм на флешку, чтобы посмотреть на телике :) настроек - море, я такого не ожидал.</t>
  </si>
  <si>
    <t>Нам очень понравилась она и дизайном и функциональностью. Особый восторг вызывает конфорка с двойным пламенем, чайник закипает в считанные минуты. Высокая решетка не дает перегреваться стеклу и не плавит резиновые ножки.</t>
  </si>
  <si>
    <t>Хочу купить, но нет денег, надо ждать премии:-) Ой классная!</t>
  </si>
  <si>
    <t>Внешний вид и цена</t>
  </si>
  <si>
    <t>1802</t>
  </si>
  <si>
    <t>2012-10-19</t>
  </si>
  <si>
    <t>Купила блендер по акции, приготовила фрукты, сок. После того,как включаешь, машина долго думает, затем со страшным шумом и неприятным запахом она начинает делать смузи. В итого продержалась пару раз, а потом сломалась.</t>
  </si>
  <si>
    <t>2011-01-25</t>
  </si>
  <si>
    <t>Купил на прошлой неделе данную стиральную машинку для матушки, работает достаточно тихо,стирает отлично.Для пожилого человека очень проста и удобна в управлении. Матушка очень довольна. Машинка работает на 5+   Рекомендую всем!</t>
  </si>
  <si>
    <t>Телевизор оснащен мощной электронной начинкой. Я смотрю кабельные каналы и кино по HDMI c компьютера- показывает великолепно. Единственный минус это неудобный пульт управления. Кнопки переключения каналов и звука находятся снизу.</t>
  </si>
  <si>
    <t>2011-02-16</t>
  </si>
  <si>
    <t>Забыла выключить утюг оставила его на 4 часа !!!! даже нигде не перегорел РАБОТАЕТ ОТЛИЧНО СОВЕТУЮ КУПИТЬ!!!</t>
  </si>
  <si>
    <t>Маленький корпус, желтый свет, тихая работа</t>
  </si>
  <si>
    <t>2014-01-23</t>
  </si>
  <si>
    <t>Пользуемся вытяжкой 6 мес., работает в режиме рециркуляции, на кухне окна нет, только дверь на лоджию, варочная поверхность электрическая, висит над плитой на расстоянии 76 см. На 2 и 3 режиме сильно шумит, 3 и 2 реж. пользуюсь только при жарке мяса и котлет, полностью справляется с ликвидацией запаха. На 1-м режиме не очень шумная, спокойно готовлю. Лопасти при выключении вытяжки опускаются с хлопком. Так как работает в режиме рециркуляции, мастер который устанавливал сказал, что их снимать не нужно, если вывести в вентиляцию, то лопасти можно снять. Один минус - часы спешат. Вытяжкой довольна, оценка 4 из-за часов.</t>
  </si>
  <si>
    <t>1491</t>
  </si>
  <si>
    <t>Доступная цена, вполне хорошее качество, компактный Braun Silk-épil 1 1370 помещается даже в небольшой сумочке и его удобно брать с собой, легко чистить.</t>
  </si>
  <si>
    <t>3216</t>
  </si>
  <si>
    <t>Купила в марте прошлого года..в мае меняла прошивку, до октября работал нормально, потом стал виснуть, выключаться при звонке..тут даже бережное отношение не помагает..вот думаю в сервис нести, пока на гарантийке..обидно. так-то телефон неплохой, звук отличный, меню удобное.   Не советую брать. Еще не могу в нем найти в настройках: как сделать так, чтобы при передаче через блютуз файлы сохранялись в папке сразу, а не ввиде смсок приходили...</t>
  </si>
  <si>
    <t>2015-05-26</t>
  </si>
  <si>
    <t>Очень классная штука оказалась, для меня теперь просто незаменимая (уже не устраивает качество чистки обычной щеткой). Много лет мучилась с камнем на зубах и кровоточивостью десен, а после пользования больше года этой щеткой стоматолог спросил - А ты куда камни дела? ))) В общем всем советую не пожалеть на свое здоровье денег!</t>
  </si>
  <si>
    <t>Фильм получился ОЧЕНЬ захватывающим и интересным. Пусть в нем и нет джунглей и такой загадки, как в первой части, НО фильм занял почетнейшее место в моей домашней коллекции!</t>
  </si>
  <si>
    <t>Был приятно удивлен качеством приема аналогового сигнала(уличная антенна).Показывает лучше, чем TV с лучевой трубкой.Не ожидал.Комната стандартная 18 кв.метр.,расстояние до экрана 3 метра.Артефактов нет,шумов мало.Короче классная картинка!    А встроенный медиаплеер? Отдельно он стоит 4500 руб.Получается DVD-плеер не нужен! Доволен на все 100.</t>
  </si>
  <si>
    <t>Плита хорошая, дороговато после черного вторника, есть защита от детей, которая не указана в инструкции (долгое нажатие +)</t>
  </si>
  <si>
    <t>1118</t>
  </si>
  <si>
    <t>Уже неделю пользуемся всей семьёй этим ноутбуком и с каждым разом он нам нравится всё больше и больше!Отличная машина, бесшумная - вентилятор включается редко и при необходимости, при этом совсем не греется.Установил сразу на него NFS-Shift,FarCry2,Xenus2 и всё работает,не виснет!!!Широкоформатный экран дает свои плюсы при просмотре фильмов и в играх.Двум видеокартам - отдельное спасибо.А Bluetooth в нем все-таки есть.Берите - не пожалеете точно.</t>
  </si>
  <si>
    <t>Кто придумал ставить в барабан пластиковые активаторы???  Место посадки активаторов не обработано,край острый.  Как только создается нагрузка на активатор,металл режет пластмассу. За три года эксплуатации поменял 5 активаторов(каждый покупал в сервисных мастерских по цене  от 500-900рулей)... ведь это пол цены машины!  Очень хочется посмотреть на этого гения-конструктора, или  с технологом пообщаться!</t>
  </si>
  <si>
    <t>2016-12-25</t>
  </si>
  <si>
    <t>Таким выпрямителем пользуюсь около 3 лет, удобен в пользовании тем, что пластины длиннее по сравнению с другими фирмами и такой же стоимостью, что позволяет захватывать прядь побольше.</t>
  </si>
  <si>
    <t>Буду брать,тут материнка Jasper это очень хорошо.</t>
  </si>
  <si>
    <t>2017-07-18</t>
  </si>
  <si>
    <t>цена, эффект</t>
  </si>
  <si>
    <t>купил уже 2 таких телефона. как и в первом, купленном мной c510, во втором ни глюков, ни мёртвой батарейки, ни левой камеры, ничего, о чём отрицательного пишут в отзывах не было! к сожалению пришлось продать телефон другу (он очень хотел)... надеюсь оправиться после кредита и купить Sony Ericsson C510 в третий раз ))</t>
  </si>
  <si>
    <t>Легкий и удобный корпус, удобно снимать и одевать контейнер. Чистит хорошо.</t>
  </si>
  <si>
    <t>я в восторге от своего приобретения,утюг-просто супер!!!!безо всяких усилий отглаживает даже пересушенное белье.глажка становится приятным занятием.берите не пожалеете!все что надо хозяйке -есть в этой моделе!</t>
  </si>
  <si>
    <t>Перед поездкой в Египет искал варианты для подводной съемки на небольшой глубине. Пластиковые боксы имеют довольно высокую цену, и при нечастом использовании покупать их невыгодно. Сравнительно небольшая стоимость чехла и соответствие характеристик требуемым запросам, позволили сделать выбор. При эксплуатации очень удобен, качество снимков довольно неплохое, пластиковое окно объектива позволяет сделать снимки без искажения. Единственное неудобство - переключение режимов съемки. В целом данный вариант вполне устроил. Рекомендую, как бюджетный вариант для нечастого использования.</t>
  </si>
  <si>
    <t>пользуюсь таким блендером уже полгода и очень довольна.он мелет все от детского яблочного пюре до мяса!  тихий, мощный,стильный и компактный.  рекомендую всем, не пожалеете.</t>
  </si>
  <si>
    <t>купил жене, не нарадуется!!!! до этого был тефаль, сгорел через 1 мес, гарантию 6 мес. ждали((((в общем рубит,мельчит, взбивает на ура особенно радует турбо режим! удобно, что можно повесить на стенку, имеется крепление,выбирал между брауном  цена была повыше, но это не смущало, но консультант убедил взять эту модель, тем более что на нее гарантия 2 года)))всем советую!!!</t>
  </si>
  <si>
    <t>2013-08-15</t>
  </si>
  <si>
    <t>Приобрели совсем недавно, сразу решили проверить в действии. Пропылесосив ковер в комнате, удивились сколько на нем всякой дряни! Очень удобная выдвигающаяся ручка, и регулировка мощности. Берите не пожалеете!</t>
  </si>
  <si>
    <t>Достаточно компактная и стильная за разумные деньги. Несколько шумит, но более тихие варианты почти в 3 раза дороже, да и шумят не сильно тише...  Что хорошо, - боковые алюминиевые полозья-короба полые внутри и их можно подпилить (или подрезать) при монтаже, а это очень важно, если учитывать то, как подведены газовые трубы в квартирах</t>
  </si>
  <si>
    <t>Модель Супер! Легкий, красивый, шустрый. С инетом никаких проблем. Единственное разочарование, нет блютуза, но это решаемо на рынке сейчас можно купить мини блютуз через usb. Я пользуюсь уже 4 месяца и очень довольна</t>
  </si>
  <si>
    <t>2010-04-10</t>
  </si>
  <si>
    <t>Выпрямитель очень понравился,действительно очень хороший!  Нагревается где-то в течение 1 минуты  17 секунд(сама засекала)это при закрытом состоянии в 170С  Рекомендую всем не пожалеете-  1.ступенчатый нагрев температуры(что хорошо,ведь волосы у всех разные)  2.скорость,выше описанная  3.качество  4.для такой модели цена просто сказка  +  5.дизайн  НЕ ГАДАЙТЕ БЕГИТЕ И ПОКУПАЙТЕ!!!</t>
  </si>
  <si>
    <t>нужно немного привыкнуть. времени уходит раза в 3 дольше, чем обычным станком.</t>
  </si>
  <si>
    <t>2778</t>
  </si>
  <si>
    <t>купил ноут в феврале,вполне хороший никаких претензий нету.кроме конечно некоторых,  тоже тот же самый вопрос почему показывает что 450 гб?   и у меня в одной программе показало что у меня 2 гб оперативки (вместо написанных трёх)  да и чуть игры ен идут,глючат (но это не главное главное что в работе он хороший)   и один такой вопрос,почему на него есет нод 32 не идёт?три раза пытался ставить,и три раза комп не включался,с разных носителей ставил,и  вообще не включался после него приходилось через безопасный режим заходить удалять есет нод 32 и потом комп включался ?</t>
  </si>
  <si>
    <t>Купили чайник по акции месяц назад, пока радует. Пользуем 3-4 раза в день, воду наливаем фильтрованную и никаких проблем. Ручки в отделке пластиком вполне достаточно чтобы не обжечься. Как бонус был обнаружен безопасный контакт на подставке, приятно удивил. Кому нужен простой бюджетный вариант без изысков, отлично подойдет.</t>
  </si>
  <si>
    <t>764</t>
  </si>
  <si>
    <t>2017-04-17</t>
  </si>
  <si>
    <t>Тихий, цена, качественный пластик</t>
  </si>
  <si>
    <t>Усилитель брал в Орехово-Зуево вместе с ним же взял голову алпайн cde9882ri. При подключении срабатывала защита ремоут, приехал поменял без проблем, взял этот же. Подключил вроде работает, навалил немного мощности и тут снова защита.</t>
  </si>
  <si>
    <t>Меня разочаровали эти наушники - звук просто ужасный, хватит их хвалить - давайте писать то что на самом деле - а на самом деле звук никакой. моя оценка 1.</t>
  </si>
  <si>
    <t>2011-01-20</t>
  </si>
  <si>
    <t>Уже как несколько месяцев приглядывалась к этой пароварке, но меня пугали некоторые отзывы... На Новый год мне это чудо подарили... Спустя 3 недели нет никаких замечаний.</t>
  </si>
  <si>
    <t>Удобная форма, легкий, красивый дизайн</t>
  </si>
  <si>
    <t>841</t>
  </si>
  <si>
    <t>Бук радует во всех отношениях,вин7 встал без проблем,игры тянет любые,нравится заводить его с пульта,  камера супер.рекомендую всем</t>
  </si>
  <si>
    <t>Купил эту модель, так как считаю что за эту цену это максимально большой экран, с хорошим качеством изображения. Цвета передает изумительно, большой угол обзора, на свету бликует, но решается просто: поставить в затемненное место, к тому же и глаза так меньше устают.</t>
  </si>
  <si>
    <t>301</t>
  </si>
  <si>
    <t>3010401</t>
  </si>
  <si>
    <t>1194</t>
  </si>
  <si>
    <t>Спасибо за диск. Все песни ,как история нашей песни с 80-х годов. Стили разные,а язык один (романтичный, тонкий и искренний)! Не думали,что столько музыки для нас было знакомой,хотя имя композитора по каким то причинам до нас доходило нечасто...  Рекомендуем всем тем, кто способен воспринимать ещё поэзию,мелодию и откровения человеческой души.  Берегите друг друга!                                                         Елена,Вячеслав.</t>
  </si>
  <si>
    <t>652</t>
  </si>
  <si>
    <t>Отказался от них из-за того, что силиконовые подушки отлетают и теряются.</t>
  </si>
  <si>
    <t>2011-03-19</t>
  </si>
  <si>
    <t>Товар не предназначен для приготовления жидкости в чаше. У измельчителя и блендера замыкает разъем,которые насаживаются на сам комбайн в итоге не получилось приготовить коктейль и измельчить лук. Мясорубку так вообще нельзя мыть в посудомойке.</t>
  </si>
  <si>
    <t>к сожалению присутствие лампочки мало обрадовало, стоит очень высоко и не выполняет своего прямого назначения, освещает свои внутренности ,быстро греется и очень воняет пластмассой</t>
  </si>
  <si>
    <t>2011-07-27</t>
  </si>
  <si>
    <t>Прекрасная модель!Одни положительные эмоции. Работает уже 1год никаких сбоев в работе нет, моеться легко, нагревает любое блюдо до оптимальной температуры буквально за минуту, много очень полезных функций. Всем рекомендую!</t>
  </si>
  <si>
    <t>Мне очень понравился этот фен. У меня волнистые, непослушные волосы, обычно приходилось тратить много времени, чтобы привести волосы в порядок, а теперь 10 минут и все готово.</t>
  </si>
  <si>
    <t>2734</t>
  </si>
  <si>
    <t>2011-12-26</t>
  </si>
  <si>
    <t>Качество уборки:  сухая уборка – отменная, можно поставить 5, пусть пишут на форумах обратное, я не знаю, может быть пытаются строительный мусор убирать или не следят за состоянием фильтра. Влажная уборка – тоже можно поставить 5 балов, тут вопрос в другом некоторые думают, что пылесос полностью заменяет тряпку и про нее можно забыть, если он моющий. Если нужно пропылесосить совсем немного, собрать мусор с маленького пяточка, я использую старый маленький пылесос, т.е.  Tomas незаменим для генеральной уборки.  Уход за пылесосом совсем не сложный, заключается в промывке фильтра после использования. У меня данный процесс занимает 5 мин. Поверьте – это гораздо лучше, чем выбивать пыль, если у Вас тканевый мешок, покупать бумажные мешки или просто утилизировать пыль из циклона.  Весит пылесос в снаряженном состоянии около 10 кг. Это в принципе немного, тем более носить его постоянно не  нужно, он отлично катается по полу, ну если конечно у Вас не пересеченная местность.  Если нужно перенести  - уж ведро с водой можно поднять?  Лично я говорю отлично. В доме стало гораздо чище. Made in Germany – это говорит о многом. Выбирать Вам, я свой выбор сделал. Спасибо</t>
  </si>
  <si>
    <t>4010501</t>
  </si>
  <si>
    <t>2014-12-30</t>
  </si>
  <si>
    <t>Машинкой пользуемся уже лет 5 или 6, никаких проблем.  Для Евгении из Омска: если Вы при загрузке машины люком защемили бельё, то режимы стирки и т.п. тут ни при чём. Нужно быть внимательнее. И сигналит она не бесконечно долго, а три раза по три сигнала. Не вводите людей в заблуждение))).</t>
  </si>
  <si>
    <t>1885</t>
  </si>
  <si>
    <t>2017-05-27</t>
  </si>
  <si>
    <t>Современно, тихо, красиво, цена</t>
  </si>
  <si>
    <t>2071</t>
  </si>
  <si>
    <t>2013-01-19</t>
  </si>
  <si>
    <t>Первое время мыла нормально, при том, что пользовалась не часто, через пол года появилась ошибка Е3, покупала все средства, потом полетел водозаборный насос. В общем ужасная машинка. Обидно, потратили столько денег, а результат нулевой.</t>
  </si>
  <si>
    <t>2015-08-25</t>
  </si>
  <si>
    <t>Купили эту модель для дачи, очень понравилась. Раньше мало готовила, а с ней хочется постоянно что то сварить или пожарить.  Быстро разогревается, медленно остывает, можно экономно использовать остаточное тепло.  Прочитала в отзывах, что стираются цифры на ручках. Решила проблему просто, покрыла бесцветным лаком для ногтей.  Покупкой очень довольна))</t>
  </si>
  <si>
    <t>Сендвичница служит более 4 лет, нареканий нет,со своей задачей справляется на ура!!! Запихивали такие огромные будерброды ,всё жарит!!! Отличный выбор за такие деньги!!!</t>
  </si>
  <si>
    <t>Соковыжималка превзошла все мои ожидания. Действительно отличная вещь, все положительные отзывы ПРАВДА!!! Перед покупкой прочитала много отзывов. Спасибо всем кто здесь написал, благодаря вам сделала правильный выбор. Берите не пожалеете!!!</t>
  </si>
  <si>
    <t>2013-06-01</t>
  </si>
  <si>
    <t>Повезло меньше, чем Ивану. Сломалась через полтора года. Сборка Польша или Словения. Цена не является качеством.</t>
  </si>
  <si>
    <t>2010-12-17</t>
  </si>
  <si>
    <t>Оставляю свой отзыв именно для тех кто выбирает, т.к. сам был в поиске и мнения других людей помогли сделать выбор. Искал модулятор именно с поддержкой функции RDS. Пользуюсь этим девайсом уже вторую неделю. Отрицательных эмоций ноль. Коннект со штатной магнитолой происходит моментально. Алгоритм активации очень прост - включил магнитолу, выбрал волну, вставил модулятор с флэшкой в прикуриватель...все, трансляция пошла. Качество звучания конечно отличается от CD или трансляций радио-станций. Очень завышены басы, приходится их практически убирать на магнитоле. Хотя, возможно, это только свойства совместной работы устройств в моем отдельном случае. Пару раз, видимо в местах где существуют радионаводки, было слышно не большое шипение. При выключении FMT-A900 запоминает проигрываемый на этот момент трек и начинает с него же трансляцию при включении. Пульт удобный, кнопки расположены интуитивно. Запомнив один раз их расположение, уже не путаешься. Два небольших минуса: модулятор активируется автоматически и начинает трансляцию если при запуске двигателя он вставлен в прикуриватель(немного не удобно; радиус работы пульта крайне мал, практически нужно прицеливаться им в девайс, чтоб была принята команда. Вроде все, надеюсь кому-нибудь помог).</t>
  </si>
  <si>
    <t>Купили с женой данную соковыжималку.Пока нареканий нет! Посмотрим,что будет дальше. А вообще,если честно,то вещь стоящая,всё сделано добротно придраться не к чему.Главный минус у всей продукции фирмы BORK,это цена (слишком дорого)</t>
  </si>
  <si>
    <t>Купил в начале июля. Ставили Самсунговские официалы дабы не терять гарантию. На комнату 20кв.м морозит отлично.В турбо режиме начинаешь мерзнуть минут через 10. Внешний блок не шумит не вибрирует. Не совсем разобрался с ночным режимом. Засыпаешь прохладно, просыпаешься душновато. Но лучше чем с открытым окном. До кухни добивает но это не совсем то. В общем хороший кондей за свои деньги.</t>
  </si>
  <si>
    <t>2016-11-16</t>
  </si>
  <si>
    <t>Никаких плюсов нет,одни минусы</t>
  </si>
  <si>
    <t>2677</t>
  </si>
  <si>
    <t>2011-03-15</t>
  </si>
  <si>
    <t>Практически во всём этот смартфон отличный , но не обошлось без неприятных вещей, конкретно: качество сборки не очень хорошее - с одного угла есть небольшая щель (так что смотрите внимательно при покупке) , люфт задней крышки , кнопка блокировки болтается и бренчит , и все это Венгерское качество сборки ! Хотя на Венгрию понадеялся !  Ну а в остальном всё супер: очень качественный экран с отличным разрешением с современным соотношением 16:9 и стереодинамики по краям дисплея - отлично подходит для просмотра современных 16:9 широкоформатных фильмов ! Вобщем это типа мини ЖК широкоформатный TV в кармане !  Звук отличный, чистый, отменный стерео звук !  Интернет хорошо просматривать на таком дисплее - достаточно удобно для Инет сайтов !  В комплекте с телефоном идёт карта MicroSD на 4 Gb и стереонаушники !  Сенсор работает хорошо ( стилус нужен разве что для Инет просмотра - нажимать мелкие ссылки )! А так и пальцем нормально.  Еще насчет видео: форматов понимает немного, но это небольшая проблема, есть бесплатная программа Format Factory (в Инете) , конвертирует под смартфон без проблем.</t>
  </si>
  <si>
    <t>Очень мощный пылесос. Насадок множество. Работает очень тихо. Берите не пожалеете!!!</t>
  </si>
  <si>
    <t>2013-05-19</t>
  </si>
  <si>
    <t>Через пол года сломался аквастоп, поменяли шланг. Потом стала плохо мыть посуду (используем все рекомендованные средства). Периодически выдаёт ошибку Е3, работает очень долго и шумно, а вот теперь перегорел светодиод. Барахло.</t>
  </si>
  <si>
    <t>Большой загрузочный желоб, проста в использовании, особое покрытие ножей, что предотвращает появлении ржавчины и коррозии.</t>
  </si>
  <si>
    <t>2013-12-03</t>
  </si>
  <si>
    <t>Купил жене вместе с парогенератором очень довольна. Говорит, что просто супер, удобная, легко гладить рубашки. Устойчива и легко собирается и разбирается.</t>
  </si>
  <si>
    <t>569</t>
  </si>
  <si>
    <t>Ребята игра не просто класс, а best! крутые тачки, крутой тюнинг, графа на 5 баллов, особенно на хорошем телеке. Мне даже показалось или нет главного героя озвучил эминем,один недостаток - игра вся на английском.</t>
  </si>
  <si>
    <t>Искал именно такую, т.к. предыдущая отработала практически ежедневно почти шесть лет! Устраивает скорость работы, объем, а, главное, возможность регулирования концентрацию мякоти в соке...</t>
  </si>
  <si>
    <t>Пользуюсь несколько месяцев этим ноутбуком. Довольна всем, но одно вызывает недоумение - почему вместо заявленных 500 гигов видно только 450?</t>
  </si>
  <si>
    <t>1390</t>
  </si>
  <si>
    <t>1550</t>
  </si>
  <si>
    <t>2014-11-17</t>
  </si>
  <si>
    <t>Хороший комплект. Использую на прогулках (лесные дороги, озёра). 2 км уверенно тянет.  Напарник находится в кирпичном доме. Заряда хватает на сутки (в экономном режиме). Куплен в М-видео. Недостатки: есть небольшие отверстия в районе клипсы (возможно попадание влаги внутрь); нет ограничения заряда (следить приходится по времени). Достоинства: громкий, легкий, хороший (громкий) наушник, невысокая цена, возможность замены аккумуляторов ААА. Хорошая замена мобильника, там где отсутствует сотовая связь.</t>
  </si>
  <si>
    <t>79</t>
  </si>
  <si>
    <t>"Отличие в цене минимально"    Ага. Почтив два раз между fs200 и fs20.    А так,  FS200 - вполне пристойная камера за свои деньги.</t>
  </si>
  <si>
    <t>806</t>
  </si>
  <si>
    <t>Классная пароварка</t>
  </si>
  <si>
    <t>2013-10-28</t>
  </si>
  <si>
    <t>Доволен приставкой, игрой. Однозначно советую брать!</t>
  </si>
  <si>
    <t>2012-04-11</t>
  </si>
  <si>
    <t>Хорошая соковыжималка!Нравится все:тихая, хорошо жмет. Пользуемся почти год, радует всю нашу семью! Всем советуем!</t>
  </si>
  <si>
    <t>Приобрёл этот комп за 15990 и не капли не жалею. Во первых видео на мой взгляд что надо (гта4 почти на максимуме летает))) корпус очень маленький, а сам комп тихий. всё очень здорово, тем более доставка в домодедово бесплатная)</t>
  </si>
  <si>
    <t>Плеер норм! Ловит везде, только если отрегулировать! С антенной 6удьте аккуратны, т.к её кончик очень тонкий и хрупкий! Музыку удо6но слушать! Там есть эквалайзер и самодельная настройка под музыку (Сам регулируешь настройки эквалайзера). Еще в тексте ( в прошивке) про6лема - когда заходишь в tv, там написано  - что сразу кидается в гла3а ! надеюсь скоро появится прошивка на t3otv ! Видео оссо6енно avi очень качественно смотрится. Только по моему калькулятор в этом плеере лишний)))  В о6щем плеер отличный, мне нравится, оценка 5 !</t>
  </si>
  <si>
    <t>Друзья! рекомендую, за эти деньги такое качество съемки, даже очень останетесь довольны, фото конечно же лучше не делать, но это понятно из параметров камеры что они будут около 0,5 Мп. И самое главное это то, что сделана она в Японии думаю в наше время китайской посредственности только ради этого можно ее купить и спать спокойно. Так что свои деньги она честно отрабатывает!!!</t>
  </si>
  <si>
    <t>1044</t>
  </si>
  <si>
    <t>это самый лучший утюг. Просмотрела много вариантов, лучше не нашла. Те, кто ищет утюг, берите этот!</t>
  </si>
  <si>
    <t>3195</t>
  </si>
  <si>
    <t>Более 4 ГБ единовременно записать не возможно. Использовать программу для сжимания информации не возможно,т.к. потеряете много времени.</t>
  </si>
  <si>
    <t>2013-03-15</t>
  </si>
  <si>
    <t>Бесподобная игра, незабываемое приключение в красочном сеттинге!</t>
  </si>
  <si>
    <t>для тех, у кого пиратка ломается:надо покупать лецензионые диски,а если пиратку купил то сделай прошивку,а то через 2 месяца XBOX включаться вообще перестанет</t>
  </si>
  <si>
    <t>2010-04-19</t>
  </si>
  <si>
    <t>Телефон глючный динамик хрипит, тормозное меню, быстро разряжается батарея.</t>
  </si>
  <si>
    <t>Пользуюсь чуть больше месяца. Работает отлично, практически бесшумно, охлаждает комнату за 3-4 минуты, прогревает за 10 минут. Пока только положительные эмоции.</t>
  </si>
  <si>
    <t>Внешний вид</t>
  </si>
  <si>
    <t>2016-01-12</t>
  </si>
  <si>
    <t>Прислали неисправную панель - газ выходил через регуляторы подачи газа. Панель в ремонте. Спасибо за товар!!!</t>
  </si>
  <si>
    <t>Все хорошо в этой машинке, но есть один большой минус - нагревательный элемент быстро выходит из строя . Так произошло у меня и многих других. В сервисе говорят -это болезнь у данной и похожих моделей .</t>
  </si>
  <si>
    <t>2812</t>
  </si>
  <si>
    <t>Купила лет 6 назад. Очень-очень довольна! Пользовалась всеми насадками. Особенно нравится насадка для овощей , режет соломкой. Как раз для морковки по корейски. Хорошо и быстро нарезает капусту. Делает фарш. Взбивает коктейли. Использовали беспощадно, пока год назад не сгорел моторчик((((( Хочу теперь купить такой же. Берите, не пожалеете.</t>
  </si>
  <si>
    <t>Шикарный утюжок!! Успейте купить..У меня волосы до лопаток, вьющиеся, не сказать чтобы в идеальном состоянии. Утюжок отлично справился с выпрямлением буквально за пару минут) И не пережигает. Оочень довольна!</t>
  </si>
  <si>
    <t>1847</t>
  </si>
  <si>
    <t>Старенькое оборудование, но качественное. Хотя, конечно, если кто соберется брать ТК, - лучше выбрать комплект поновее. Этим летом триколоровцы и проги и железо обновили значительно</t>
  </si>
  <si>
    <t>не соглашусь с выше сказанным, модель приобрел на днях, всем доволен, звук отличный, только наушники надо прикупить, что и сделал специально для него нашел наушники тоже от марки SONY, пол города облазил но нашел, теперь басы качественные, настроек тоже к музыке хватает, это чисто МП3-плеер для прослушивание любимой музыки, а кому надо другие форматы, так это и нужно покупать мультимедийку (у меня была, надоела, решил перейти на обычный с высоким уровнем заряда батареи.  Вывод, советую, отличный вариант для прослушивания музыки и кто не заморачивается цветными экранами... я доволен, отличная вещь.</t>
  </si>
  <si>
    <t>Очень мощная игра с немалой продолжительностью и классным игровым процессом.</t>
  </si>
  <si>
    <t>2009-08-09</t>
  </si>
  <si>
    <t>Рекомендую покупать этот ноутбук, хороший удобный видеокарта на 1gb - это плюс , оперативная память 4gb - тоже плюс ну а процессор нормальный вообщем рекомендую покупайте. Для игр и для работы хороший , и GTA4 идёт без глюков))))). ПОКУПАЙТЕ!!!!!!!!!!</t>
  </si>
  <si>
    <t>2010-12-27</t>
  </si>
  <si>
    <t>Пользовалась электромясорубкой вообще в первый раз. Вполне нормальная мясорубка, весь механизм металлический, есть функция реверса. За 4 минуты перекрутили 3 килограмма мяса.</t>
  </si>
  <si>
    <t>2010-10-29</t>
  </si>
  <si>
    <t>Купил.Классная штуковина.Берите,не пожалеете!!=)</t>
  </si>
  <si>
    <t>При одинаковой цене с краном и без - взял с краном, однако конструкция такова, что кран прикрутить совершенно нереально - он торчит в другую сторону, чем нужно. Поэтому повесил без крана.  Сетевой кабель в комплект не входит - это и ладно, но также в комплект не входит крепёж - шурупы с дюбелами пришлось покупать отдельно.  На 3квт (средняя мощность) греет воду более чем достаточно, на полную мощность включать даже не приходилось.  Душевой рассеиватель отвратительный :-( Половина "пимпочек" (ну не знаю как их назвать) оказалась смята, брызгает во все стороны.</t>
  </si>
  <si>
    <t>1589</t>
  </si>
  <si>
    <t>2016-12-26</t>
  </si>
  <si>
    <t xml:space="preserve"> Легкий, компактный, удобно лежит в руке, отлично бреет, лезвия долго остаются острыми, легко очищается, работает от батарейки(хватает надолго).</t>
  </si>
  <si>
    <t>Проста в использовании. Есть таймер и термометр, также газ-контроль. Цена приемлема. Всем довольна</t>
  </si>
  <si>
    <t>1.Дизайн 2.Конвекция.</t>
  </si>
  <si>
    <t>2017-07-21</t>
  </si>
  <si>
    <t>Вентилятором очень довольна!компактный,хочешь ставь,хочешь на прищепку к столу крепи. На шумит, не трещит,работает тихо.</t>
  </si>
  <si>
    <t>Неплохой аппарат, но через год треснули две кнопки, на морозе треснул экран, просто взял и треснул, прямо на моих глазах! По началу работал нормально, но потом виснуть начал! Очень раздражает! Брал за семь с лихой, продал за три. Может мне не повезло с выбором, может сборка и детали оказались не качественными, но мое мнение - телефон плохой!</t>
  </si>
  <si>
    <t>Мультистайлер Rowenta CF4032 вполне соответствует своей цене. В комплекте есть все необходимое- насадки, сумка удобная. Если им правильно пользоваться, то никаких обожжений пальцев не будет (это для предыдущих отзывов). А так пользуюся уже почти три года и очень довольна!!!</t>
  </si>
  <si>
    <t>Купила мужу в подарок. Готовлю ему на пару. На удивление, даже сыну очень нравится пища на пару.А на счет гречки... Вы воду в неё наливали? Если нет, то у Вас ни рис, ни гречка не получатся.Будет крупа очень жесткая,её хоть 2 часа готовь. Я очень довольна.Рекомендую.</t>
  </si>
  <si>
    <t>отличная подошва, функция парового удара, вертикальное отпаривание</t>
  </si>
  <si>
    <t>Андрей. Вы не про ту дырочку говорите.  Слот для сим карты есть.. он находится за батареей. Вот только этот нетбук не укомплектован 3G модемом.</t>
  </si>
  <si>
    <t>Пользуюсь коммуникатором уже полгода. В целом довольна, оценила бы на 5 с минусом. Радует большой экран, вполне приличная камера, хорошая слышимость во время разговора. Интересное решение выбор интерфейса-установленная там программка SPB-Shell- управление "под палец",либо стандартные темы под стилус. Из маленьких недостатков хочу отметить немного тихое звучание мелодии во время звонка и отсутствие колесика-джойстика. Последнее делает невозможным управление в некоторых игрушках и затрудняет пролистывание в списке файлов, но к этому быстро привыкаешь. Тем, кто часто вытаскивает из девайса карту памяти может не понравиться, что карточка вставляется только при съёме задней крышки, а она туго снимается. Но sim-карту при этом вытаскивать не надо)))За время пользования "глючил" только 1 раз - завис и не реагировал ни на что. Вытащила аккумулятор, вставила заново и всё прекрасно работает.Зарядку держит дня два при условии активного пользования - частое чтение книг с экрана, разговоры, написание смс. Очень радует, что у этой модели Rover стандартная мини-usb зарядка, а то с более старой моделью была проблема нестандартного разъёма...Так что советую эту модель.</t>
  </si>
  <si>
    <t>Не прошло и пол года. Готовились овощи гриль, доготовились, пропищала. Когда стали открывать дверцу, выбило пробки. Больше печь не включилась. Поедем возвращать, или менять, это уже как получится.</t>
  </si>
  <si>
    <t>это просто очумительная плойка, греется моментально и сразу горячая, за 5 минут себе укладку каре сделала)) безумно рада, не ожидала за такую цену такоооой товар! для прямых но не гладких и непослушных волос самое оно, да мне в парикмахерской не все уложить могли!</t>
  </si>
  <si>
    <t>2011-10-24</t>
  </si>
  <si>
    <t>много раз играл у друзей , и сам собираюсь купить на новый год !!! вот только стоимость дисков смущает...</t>
  </si>
  <si>
    <t>Да, пылесос собран качественно и мощность на высоте, и пылесосит качественно, вообщем все было бы в нем супер. Но есть в нем, большой недостаток - он cзади себя из-за выходящего потока воздуха, всю пыль с пола, поднимает верх воздух и после уборки вся эта пыль оседает на шкафы, телевизор, вообщем на все и устранить эту проблему не возможно.   Если вам будет все равно на эту пыль, то пылесос в остальном просто СУПЕР.</t>
  </si>
  <si>
    <t>2977</t>
  </si>
  <si>
    <t>Подарили этот телефон. С первого взгляда не очень понравился. Но при детальном рассмотрении просто влюбилась. Привыкаешь к нему буквально за 5 минут (хотя до этого у меня были только Нокиа). Функция шумоподавления работает на 5+ (часто не могу поверить, что муж едет в машине :)).Плюсы: отличная камера, фонарик, удобно лежит в руке. Но есть и минусы: экран подстраивается под освещение и не всегда очень удачно, для любителей громко слушать музыку-динамики слабоваты. А в целом, телефон стоит этих денег. И ещё одно дополнение - ребенок частенько кидает, обсасывает, но все отлично работает :)</t>
  </si>
  <si>
    <t>А кто подскажет. Русские только субтитры или озвучка тоже русская?</t>
  </si>
  <si>
    <t>2014-01-09</t>
  </si>
  <si>
    <t>На все 100 оправдывает себя, берите не пожалеете.</t>
  </si>
  <si>
    <t>2013-12-28</t>
  </si>
  <si>
    <t>Пользуемся полгода. Курю часто на кухне, никакого запаха на 1й скорости. Первое время пришлось привыкать к непонятному стуку - оказалось, когда на улице сильный ветер - возвратный клапан гуляет с ветром и стучит.</t>
  </si>
  <si>
    <t>у меня зарядка держит при минимальной работе (только звонки) пару дней точно,если юзать по полной, на день хватает,если за ночь разряжается - явный брак на лицо,не может быть такого</t>
  </si>
  <si>
    <t>Купил 17.06.2010 для получения фарша из мяса купленного на рынке.  Переживал на счет мощности, но приготовил фарш и машинка идеально справилась с приготовлением, радует что возможно менять насадки и получать именно тот фарш к которому привыкли меля ручной мясорубкой.  Мясорубка легкая удобная деталей не так много, их очень легко собрать.  Мясорубка хороша если Вам необходимо молоть только мясо не тратьте лишних денег это идеальный вариант.  Нюанс лишь в том что провод не длинный и надо заранее продумать размещение мясорубки.</t>
  </si>
  <si>
    <t>Купил данный аппарат,в целом доволен звуком ,изображением ,вот только с TV минус прием очень слабый.</t>
  </si>
  <si>
    <t>3193</t>
  </si>
  <si>
    <t>Сам телефон мне понравился, простой и функциональный, прослужив почти год, заглючила зарядка, подсоединяю к сети и через какое-то время выдаёт ошибку, просит обратиться в поддержку.</t>
  </si>
  <si>
    <t>Доброго времени суток всем!Месяц назад приобрел такой телевизор венгерской сборки и тьфу тьфу тьфу очень доволен! шел он с прошивкой 066, а вчера выложили 069, подскажите, кто прошился и что в ней нового?  Заранее благодарю за ответы...    Странно, что на сайте филипс не описывают обновления в прошиве!</t>
  </si>
  <si>
    <t>Купил sony KDL-32W5710 в декабре 2009.   Картинка в картинке есть, но не тюнера (одна картинка тюнер другая вход видео).  Качество картинки отличное.</t>
  </si>
  <si>
    <t>Отличный миксер, пользуюсь уже 7 лет, причем постоянно пеку, взбиваю пюре! Всем рекомендую и если буду покупать, то только такой!</t>
  </si>
  <si>
    <t>2010-05-26</t>
  </si>
  <si>
    <t>Установил систему в августе 2009. Доволен всем почти. Маленький размер внутреннего блока, низкий шум, разные опции. Комнату в 23 метра охлаждает мгновенно летом, хоть и окно на солнечную сторону. А вот что нет фильтра, кроме пары защитных сеточек - большой недочёт. По инструкции должны быть ещё!!!</t>
  </si>
  <si>
    <t>2016-08-12</t>
  </si>
  <si>
    <t>Теперь у всей семьи появилось любимое блюдо - горячие бутерброды)) Готовить в этой сэндвичнице очень легко, и чистить её тоже элементарно - протёрла влажной тряпочкой, и всё. Главное - браться за ручку, а не за рабочую поверхность, иначе можно сильно обжечься.</t>
  </si>
  <si>
    <t>Пол года пользуюсь. Все супер.</t>
  </si>
  <si>
    <t>775</t>
  </si>
  <si>
    <t>364</t>
  </si>
  <si>
    <t>отлично работает!</t>
  </si>
  <si>
    <t>Телевизором доволен, каналы переключаются быстро,к ПК подключил по HDMI - длина шнура 7м. Картинка супер думал что будет хуже, жаль нет цифрового тюнера</t>
  </si>
  <si>
    <t>2014-07-11</t>
  </si>
  <si>
    <t>В эксплуатации год. Постоянно пользуюсь сушкой - отличная вещь. Машинка работает на 5+, никаких проблем</t>
  </si>
  <si>
    <t>1446</t>
  </si>
  <si>
    <t>2013-01-14</t>
  </si>
  <si>
    <t>Пользуюсь два года. Соковыжималка нормальная. Как то пропало питание (тумблер не реагировал на нажатия), повёз в ремонт и при проверке она заработала. После этого прошёл год. Работает без нареканий. Вот такие чудеса!</t>
  </si>
  <si>
    <t>Игра - шедевр, она понравится всем, она гениально проработана, она фильм который хочется смотреть снова и снова, но для этого фильма сценарий придумываешь сам, это отлично, quantidreem не зря потратила столько сил для нее.    Моя оценка 100/10</t>
  </si>
  <si>
    <t>2014-05-04</t>
  </si>
  <si>
    <t>Купили эту плиту 8 марта. В принципе, все устраивает. Ящик для посуды и правда специфический, но вроде не соскальзывает, хотя пользуемся мы им редко. Греется и остывает быстро, духовка печет нормально, грилем пока не пользовалась. Запах был только при первых нагревах. Варочная поверхность ровная, поэтому готовить удобно (в отличие от старой плиты). Мыть не трудно, но не успеешь помыть, а она снова грязная. Но это, наверное, беда всех керамических плит: на темных зеркальных поверхностях видно все.</t>
  </si>
  <si>
    <t>Купила себе этот телевизор, вроде бы все устраивает, но почему то подцветка внизу не работает, если я не ошибаюсь она должна гореть красным цветом и еще показывает обширно, не знаю как отрегулировать или нужно чтобы посмотрел специалист... Подскажите пожалуйста!</t>
  </si>
  <si>
    <t>2016-08-15</t>
  </si>
  <si>
    <t>Когда покупала новый пылесос, обращала внимание на фильтр, контейнер, количество сменных насадок и мощность конечно же. Выбор пал на эту модель, к тому же под скидкой была. Смотрится кстати тоже нормально. Пылесос достаточно мощный, на 380 вт всасывает весь мусор в доме. Фильтр HEPA H12 стоит , сменный, если что. Контейнер оказался вместительным, подходит для пары уборок, но я очищаю каждый раз после чистки дома его, сначала выбрасываю все, потом уже чищу его изнутри водой, моется легко. Насадок тут дают пять на все случаи жизни, даже турбощетка входит в комплект. Управлять пылесосом нетрудно, как и по квартире его катать, весит он пять кило. Шумит понятное дело, но не оглушительно. Я довольна пылесосом.</t>
  </si>
  <si>
    <t>Берите-не пожалеете. Качественный и цена приемлимая.</t>
  </si>
  <si>
    <t>Крутая штука, уже давно её использую и ни разу она меня не подвела</t>
  </si>
  <si>
    <t>Покупал ориентируясь на цену. Легкая, компактная камера. Поразили зум и макросъемка. Достойная для разрешения стандартного ТВ видеосъемка при дневном свете; на "троечку" запись при слабом освещении - уж многовато шума. Оптический стабилизатор хорошо справляется со своей работой, только если уж не сильно трясти камерой. Своих денег эта камера достойна, но я бы не стал переплачивать за HDD-комплектацию, за эти деньги можно купить и камеру с записью в формате HD.</t>
  </si>
  <si>
    <t>2016-07-04</t>
  </si>
  <si>
    <t>Взял подобный керамический чайник 4 года назад. Он только появился в продаже. Выбрал по причине экологичности . Бренд Австралийский , но производят в Китае. Увы что делать. Чайник исправно работает по сей день, единственное Кнопка выключателя стала барахлить, не с первого раза ловит электричество, о чем свидетельствует фиолетовый огонёк на ней. Решил присмотреть новый, но что удивительно появились негативные отзывы по качеству сборки. Видимо заводской брак. Китайцы стали халтурить. А так считаю лучший электрочайник во всех смыслах. Думаю взять новый такой жена старый подарить.</t>
  </si>
  <si>
    <t>Классный уселок есть с чем сравнить, берите не пожалеете своих денег стоит у друга такой же, играет супер, голова sony, рекомендую под них колонуи kicx из серии пайю Kap серия все же круче</t>
  </si>
  <si>
    <t>Сегодня купили блендер, в магазине не стали проверять. Когда дома раскрыл упаковку, включил в сеть и нажал кнопку пуска после нескольких оборотов сгорел. Завтра пойду менять на новый.</t>
  </si>
  <si>
    <t>1700</t>
  </si>
  <si>
    <t>Флешка на самом деле суперская. Корпус крепкий и не затирается, если носить в кармане. По тестам кристал-марк скорость даже больше заявленной. Да и памяти достаточно.</t>
  </si>
  <si>
    <t>Главное что хорошо охлаждает помещение , это для меня основной показатель качества. С этой задачей справляется на ура.  Работает довольно -таки тихо , сильно не вибрирует. нравится что можно регулировать угол наклона, для большего удобства. Ну еще нужно отметить цену , всего лишь тысяча рублей.   В целом никаких претензий не имею.</t>
  </si>
  <si>
    <t>Компактный, быстро нагревается.</t>
  </si>
  <si>
    <t>неплохой плеер, работает исправно.  из плюсов - легкость, удобство в обращении, металлический корпус.  из минусов - экран, который очень легко царапается (даже в защитной пленке) и батарейки на 10 часов конечно не хватает((</t>
  </si>
  <si>
    <t>Данную модель у официальных дилеров не найдёшь , устарела если есть отдают за 4-5 т.р. не дороже. Комплектуется цифровым спутниковым ресивером GS 8300 M стоит 8000 с установкой. Причём у него есть гнездо для карты памяти чтобы записывать телепередачи , ну и доп. каналы в формате МР4.</t>
  </si>
  <si>
    <t>2015-09-05</t>
  </si>
  <si>
    <t>Купил неделю назад в Солнечногорском М видео побрился через 3 дня после покупки ждал когда щетина отрастет все отлично бреет чисто ровно раздражения нет одним слов немецкое качество но минус расходники дорогие.</t>
  </si>
  <si>
    <t>2013-05-10</t>
  </si>
  <si>
    <t>Ржавеет. На четвертом году эксплуатации стала ржаветь. Так что-смотрите.</t>
  </si>
  <si>
    <t>511</t>
  </si>
  <si>
    <t>2009-11-24</t>
  </si>
  <si>
    <t>Пользуюсь 3 недели, не сильно разбираюсь в возможностях нотиков, однако могу сказать, что доволен.   (+) А именно тащит Resident Evil 5, Assassin's Creed, FarCry 2, Stalker  причём на не слабых настройках. Отсутствие бютуз и камеры не считаю недостатком, всё это барахло у меня уже давно имеется, приобрёл сразу сумочку всё там аккуратненько лежит в случае необходимости подключается. ОС Win7x64Home(много предустановленного пробного ПО, сразу всё снёс) боялся проблем совместимости х86 программ, автоматом создалась папка Program files(х86), и не надо искать проги заточенные под х64. Интернет по WIFI(точка дост.своя) 3мб/с больше не тянет это удовлетворительно.   (-) Угол обзора экрана маловат и зеркалит, но есть HDMI и вых. на монитор, если есть ЖК телек (а у меня имеется), то вообще красота. Вообщем заменил домашний настольный комп(который обошёлся в своё время на 10 тыс. дороже!) на 110%, его оставил на растерзание детям :-)</t>
  </si>
  <si>
    <t>очень хороший телефон по качеству. вообще радиотелефоны фирмы панасоник хвалю. звук, мелодии, всё на уровне. считаю, недостатков нет. сама выбирала по отзывам.</t>
  </si>
  <si>
    <t>2014-08-05</t>
  </si>
  <si>
    <t>Пылесосит (точнее сосет) на ура, не надо мешками заморачиваться, пропылесосил, высыпал, фильтр помыл и дальше, экономно же... Пользуюсь давно, рекомендую всем.</t>
  </si>
  <si>
    <t>Обдув прекрасный. Единственный минус - шумно. Но, насколько я поняла, тихих вентиляторов не бывает.</t>
  </si>
  <si>
    <t>Каждый может говорить всё, что хочет, но я считаю что Икс-Бокс во-первых более долговечен, во-вторых дешевле, и наконец в-третьих на Иксе выходит больше эксклюзивов и качественных портов.</t>
  </si>
  <si>
    <t>2999</t>
  </si>
  <si>
    <t>В компании - в миссии не слова по-русски нужно убивать москвичей! По сети совсем другая история. Нельзя сменить команду, фан-серверы, нельзя выбрать карту, если отключится, можно подсоединиться тужа же раз 5 и больше, бесконечные лаги, хост выбирают хрен знает как, повсюду читеры! Отсутствие выделенных серверов, наличе Стима и VACa "радует". Так что моя оценка - 1.</t>
  </si>
  <si>
    <t>купил себе такой, и обнаружил два больших косяка! первый это когда вскипает чайник, пар у него идет не только через носик, но и из под самой крышки, то есть вся крышка мокрая! и второй косяк, самый ужасный, терморегулятор живет своей жизнью, то доводит воду до кипения, не взирая на то в какое положение я его поставлю, то наоборот, не дает закипеть воде и отключает чайник, то есть вода сырая остается! в общем пошел и обменял, благо в мвидео, это делают без проблем, если приходишь в течении 2х недель.</t>
  </si>
  <si>
    <t>Теркой пользуюсь уже 2 года.  Эта модель удобна по габаритам и предполагаемым функциям.   Недостаток ножи не такие острые как рекламируется, в процессе работы сильно забиваются не зависимо от операции кроме мягких продуктов.  Рекомендую как вещь которая будет стоять на полке "типа а у меня есть".</t>
  </si>
  <si>
    <t>Хоть у меня и не цвета Metal, а Black, но суть остается одной (оговорка: смартфон, именно черного цвета, изготавливался на заводе позднее, нежели металик, т.е. это уже его поздние партии, более проработанные в плане качества корпуса, с прошивкой "первой свежести", а может и еще в чем). В общем-то, мне он всем понравился, с одним лишь НО: единственный, а оттого и тихий динамик, с которым даже в режиме "Стерео" перемен почти никаких, хотя, например, в Nokia 6267 (динамик тоже один, правда справа, а не сзади, как у E-шки) разница сразу заметна. Сразу говорю, в настройках профилей ставьте на 1-2 деления громкости выше, чем вы привыкли, а если он у вас чаще лежит на чем-нибудь, то еще громче, иначе звонок можно не услышать (он приглушится об поверхность своего "прибывания"). Хоть и в обзорах писалось, что в нем стоит чип от 5800 на звук, вышеописанный недостаток сводит на нет сию инновацию. Кстати, как и упомянутая оперативная память в 256 МБ, которой на самом деле 128 МБ, причем из которых доступно лишь около 42. Отформатируйте его и, о радость - в нем уже около 47-48 МБ)  Насчет камеры - я ожидал худшего, но видимо последняя прошивка "черненького" улучшила этот параметр.  Клавиатура очень удобная, но, как и писал кто-то ниже, "игроманы" могут задевать клавишу почты, вместо нужной правой софт.  Аккумулятор - класс! Очень долго держится, даже в режиме "Экономия энергии", когда остается 1 деление зарядки.  Корпус - хороший, никаких особых люфтов, скрипов не наблюдал. Акселерометр удивил - наконец-то нормальная реакция на перевороты устройства! Цвета на экране тоже приличного качества.  В конце концов перечисления "-" и "+", я не жалею о покупке.</t>
  </si>
  <si>
    <t>3076</t>
  </si>
  <si>
    <t>Оч хорошый телевизор купил вчера всё нравится</t>
  </si>
  <si>
    <t>2010-11-24</t>
  </si>
  <si>
    <t>Отличный телефон, много полезных приложений.  батарея держит 6 дней.   комплектация отличная.</t>
  </si>
  <si>
    <t>Красивая, хорошее качество фарша, не прихотлива к сырью.</t>
  </si>
  <si>
    <t>1278</t>
  </si>
  <si>
    <t>Звук в общем-то не плохой, но! Низкие частоты крайне слабо выраженные, бас совершенно не мягок.</t>
  </si>
  <si>
    <t>Микроволновка работала отлично месяца 3-4, потом начала отслаиваться краска внутри сразу в нескольких местах. Хорошо что потом забрали её и вернули деньги, купила там же новую.</t>
  </si>
  <si>
    <t>Странно, у моих родителей лет 7 этот чайник, может раньше с других мест поставка шла. Проблема № 1 на мой взгляд-это громкий свист). У меня куплен позже (модель новее) но свистит редко и другие мелочи...В целом довольна. Рекомендую всем.</t>
  </si>
  <si>
    <t>Камера отличная.Мы покупкой довольны.  Минус только один,это то что прилагаемый аккумулятор слабенький.</t>
  </si>
  <si>
    <t>2015-12-22</t>
  </si>
  <si>
    <t>Последний месяц в связи с покупкой новой кухни шерстил инет в поисках адекватной вытяжки..Сначала хотел встройку-слайдер..типа стильно-модно- молодёжно..) заказанная в Эльдорадо Сата 5260 оказалась крашеной серой эмалью! И два! мотора а производительность 360м3))..По дизайну хотелось бы со стеклом..но бюджет душит поэтому смотрел до 9тр..А тут как раз на эту модель скидка-3000р.. Пугали сообщения о шумности..-да на 3й скорости ..но это 1000м3 !!! на первой вообще комфортно ..если по делу - не нужен вам запас по мощности-берите более слабую ! Мне пережившему 4ре отечественные вытяжки такой запас просто супер!</t>
  </si>
  <si>
    <t>3093</t>
  </si>
  <si>
    <t>2009-12-09</t>
  </si>
  <si>
    <t>Мне очень понравился, купила себе, сижу радуюсь</t>
  </si>
  <si>
    <t>3007</t>
  </si>
  <si>
    <t>2009-12-03</t>
  </si>
  <si>
    <t>Этой машинкой стричь только волосы на руках и ногах, потому что она не справляется с плотностью волос на голове! Рвет и жует! Очень маленькая ширина полотна и короткие зубцы!</t>
  </si>
  <si>
    <t>2016-01-24</t>
  </si>
  <si>
    <t>Купила данную модель полгода назад. Отлично вписалась в интерьер, по заявленному функционалу отвечала всем моим запросам. НО..... Машина вообще не стоит на месте при работе, прыгает, скачет, вибрирует ужасно, сильный грохот. У меня она ухитрялась даже выскакивать из ванной в коридор. Попытки мастеров скорректировать установку с помощью антивибрационных подставок успехом не увенчались. В связи с этим, использовать режимы Ночной стирки и Отложенного старта нереально. Я не просто НЕ РЕКОМЕНДУЮ эту модель, я ПРЕДОСТЕРЕГАЮ от покупки.</t>
  </si>
  <si>
    <t>Меня попросили купить колонки в класс и дали 1.000 рублей. Я выбирал и остановился на этом варианте они маленькие и не дорогие. Оказалось очень удобные можно регулировать громкость саббуфера и когда на уроках его выключать а на огоньках или чёмто другом после уроков включать. Качественный звук. Громкие оказались когда покупал думал что будет не очень. В прочем как оказалось очень всем понравилось полохо одно их надо часто протерать от пыли очень сильно пылятся как другая техника чистая монитор, принтер, сканер, интерактивная доска, проэктор и системный блок. А так суперские. Советую!</t>
  </si>
  <si>
    <t>290</t>
  </si>
  <si>
    <t>Вещица не плохая, отличный варант для походных условий поездки в отпуск комадировки и тому подобное, но для регулярного применения не подходит быстро выходят из строя ножи.</t>
  </si>
  <si>
    <t>я себе взял такой классный моник,до этого был "ацер" в сравнении небо и земля! Ну очень классный,советую!</t>
  </si>
  <si>
    <t>очень довольна, волосы блестят и гладкие после него и не жгутся, греется очень быстро и регулировка температуры тоже для меня явный +. Рекомендую, штука хорошая.</t>
  </si>
  <si>
    <t>Кофемолка у меня уже больше 6 лет, ни на что ее не променяю, просто идеальная. Я на ней и кофе мелю, и сахарную пудру делаю.</t>
  </si>
  <si>
    <t>Водонагреватель просто супер, работает как часы.Всем рекомендую.</t>
  </si>
  <si>
    <t>щелкает термостат, от чего просыпаешься! ночью очень сильно мешает спать! это один но самый большой недостаток! НЕ БЕРИТЕ!!!!</t>
  </si>
  <si>
    <t>2017-06-12</t>
  </si>
  <si>
    <t xml:space="preserve">гораздо дешевле, чем сплит система, а эффект такой же. Так зачем переплачивать?! </t>
  </si>
  <si>
    <t>2572</t>
  </si>
  <si>
    <t>2015-10-15</t>
  </si>
  <si>
    <t>Купил почти 2 года назад. Холодильник суппер.   Слабое звено на холодильнике, ручки. У меня вариант с длинными ручками (серебристый). Ручки выскакивают с защелок, если пытаться открыть силой. Особенно если закрыть моорозильник, и тут же попытаться открыть, прилипает намертво, как будто там создали вакуум. Приходится ждать пока воздух попавший во внутрь, при предыдущем открытии остынет, минут 10, потом только открывается. Либо приходится палцем оттягивать уплотнительную резину,чтоб во внутрь набрал воздух, после чего .открвывается нормально. Но каждый раз ждать не очень удобно.</t>
  </si>
  <si>
    <t>Купила недавно этой модели пылесос очень понравился пользуюсь с удовольствием!!!!</t>
  </si>
  <si>
    <t>104</t>
  </si>
  <si>
    <t>1040504</t>
  </si>
  <si>
    <t>Классный девайс, правильней его называть - саундбар, хорош к 42 дюймовому ТВ смарт LG. Берите, не пожалеете. И FM-тюнер, и караоке, и читает все компакт-диски и флэшки. Стильно смотрится, и сочный мощный звук. Работает эта панель и с ДУ и ONE TOUCHE по дисплею. Недостатки мелкие - крепление есть, а саморезов и дюбелей - нет, нет кабелей - HDMI и оптического, хотя есть антенный провод FM и батарейки ДУ. Хотя за такую цену могли бы и положить и в коробке на пенопласте для этого места есть. Сабвуфер хоть и беспроводной, но в розеточку его включить надо будет. Но лупит мягко, сочно и бархатисто. Смотрится всё стильно с моим LG LA860V. Кстати, если будете брать всё вместе - и ТВ и саундбар, то продают саундбар этот дешевле, но брать надо одним чеком.</t>
  </si>
  <si>
    <t>Классная микроволновка!! И гриль и выпечка есть! Готовит просто отменно, и вкусно. Греет тоже хорошо, разморозка очень нужная вещь, особенно когда спешишь)))</t>
  </si>
  <si>
    <t>2011-02-04</t>
  </si>
  <si>
    <t>холодильник просто прелесть. Очень довольна, год пользуемся, одни плюсы. Спасибо производителям.</t>
  </si>
  <si>
    <t>2229</t>
  </si>
  <si>
    <t>Две недели упорно выбирал Blu-ray Проигроваель, и выбрал Philips 7500. Ну в общем и все. СОВЕТУЮ!!!</t>
  </si>
  <si>
    <t>Один из самых дешёвых телефонов с bluetooth. Пользоваться телефоном довольно удобно. Есть заморочки по поводу "удалённости" некоторых пунктов, но я более-менее решил небольшой настройкой. Хорошо настраиваемые будильники и куча мелких полезных приложений(таймер, секундомер и т.д.) Падение не причиняет корпуса каких-либо увечий :)</t>
  </si>
  <si>
    <t>Купили с женой вчера. Сразу же жена и проверила его в работе.Восторг был неописуемый, рубает все, начиная от фруктов, заканчивая мясом, 600 ватт это не 450. Очень полезная вещь, а главное - жена в восторге, и я доволен.</t>
  </si>
  <si>
    <t>2017-07-22</t>
  </si>
  <si>
    <t>Очень много функций, даже те, которые не ожидала. Например, пришивает пуговицы!</t>
  </si>
  <si>
    <t>1231</t>
  </si>
  <si>
    <t>Присматривался к нему недели две. Вчера купил. Где-то читал отзыв, что телек якобы чёрно-белый. Телек - ЦВЕТНОЙ. Нормально принимает на открытой местности, от такой малюсенькой антеннки ничего большего ждать не следует. Зато можно в офисе и ТВ посмотреть, и радио послушать через встроенный динамик. Нормально жуёт файлы все. В корпусе коричневого цвета нет подсветки сенсорных кнопок. У чёрного была, но он в другой конторе продавался. Длина кабеля наушников нормальная, даже, сказал бы, несколько длинноватая. Хотя, конечно, если плеер таскать в заднем кармане гопниковских штанов, то и 3-х метров шнура не хватит.  Продавец сразу предложил нормальные вкладыши купить, но пока жаба задавила брать. Ясное дело, что никто не будет качественные наушники вкладывать в комплект. Хорошо уже, что есть сетевое зарядное, можно им и ещё кучу разной техники дома подзаряжать.  Считаю, что за свои деньги нормальный плеер на 4+</t>
  </si>
  <si>
    <t>Модель действительно сильно щелкает, когда срабатывает автомат. Ночью спать с обогревателем в одной комнате совершенно невозможно. Кроме того, часто попадаются экземпляры, которые сильно трещат при переключении термостата. У меня именно такой вариант, поеду сдавать. А так греет хорошо, пахнет только первые пару часов, как написано в инструкции.</t>
  </si>
  <si>
    <t>При своих габаритах и мощности, легкий, тихий. Волосы сушит супер!;-) Жена довольна.</t>
  </si>
  <si>
    <t>Очень советую всем любителям исторических RPG. Захватывающие битвы с участием более 100 юнитов не оставят вас равнодушнымию</t>
  </si>
  <si>
    <t>Всё отлично, музыка класс. Единственное, что не могу загрузить видео. Пишет: формат не поддерживается. Подскажите, как его загрузить!!</t>
  </si>
  <si>
    <t>Классный аппарат! Купил, не пожалел. Многофункционален. Удобное меню. Большой экран. Выход на т.в. через HDMI. Фото получается замечательное.</t>
  </si>
  <si>
    <t>1133</t>
  </si>
  <si>
    <t>Чайник в работе неплохой, при постоянной эксплуатации (кипичение по 15-20 раз в день) в течении 4 лет он еще работает и нет ни намека на поломку,нет трещин и каких-то подтеков, но есть один большой минуc, который огорчает - при полном наполнении и попытке налить себе кипятка в кружку течет часть воды по корпусу мимо кружки и в итого заливается весь стол. И еще при закипании сильно шумит и кажется что он так и не отключится.</t>
  </si>
  <si>
    <t>Сковорода замечательная, давно о такой мечтал, домашняя кухня с ней превратилась в удовольствие.  Вот только одно НО, не очень она подходит для использования на стеклокерамической плите, оставляет металлизированные следы на варочной поверхности.  Во всем остальном рекомендую.</t>
  </si>
  <si>
    <t>1239</t>
  </si>
  <si>
    <t>Плюсы - Отличный звук, хорошая фоторамка, простая и удобная читалка для книг, ест почти все форматы видео без конвертации, ЕСТЬ эквалайзер, очень ёмкий аккумулятор.    Минусы - не любит русские имена файлов (может ребутнуться), тв нормально ловит только в москве, сенсорная клавиатура без подсветки, что не всегда удобно, при высоком росте и использовании стандартных наушников лучше переложить в нагрудный карман.     Товаром доволен, свою цену отрабатывает на 110%.</t>
  </si>
  <si>
    <t>2013-02-02</t>
  </si>
  <si>
    <t>Очень даже неплохая мясорубка. Шумновата конечно, но крутит мясо хорошо и быстро. Я даже не заморачиваюсь на удалении жил и измельчении мяса перед перекруткой. Очень надеюсь что прослужит долго.</t>
  </si>
  <si>
    <t>Прочитав отзывы о соковыжималке решила остановиться на этой модели, хотя продавец в магазине посоветовала другую. Придя домой, сразу испробовала. Жмет сок молниеносно, жмых сухой. Работает бесшумно и моется быстро. Впечатление очень хорошее, но правда занимает много места.</t>
  </si>
  <si>
    <t>Отличный телевизор. Брал для кухни. Т.к. кухня находится на солнечной стороне, было важно именно отсутствие засветки. Телевизор оправдал надежды, тем более в плюс, настолько хороший угол обзора, что настенным кронштейном не пользуемся.</t>
  </si>
  <si>
    <t>1959</t>
  </si>
  <si>
    <t>Купил вчера, поставил за час! В комплекте есть все кроме провода от усилка до саба. Звук понравился. Бас четкий, не мягкий. Хотя может еще не прогрелся. А так для начального варианта в русскую машину - думаю его будет достаточно!!!</t>
  </si>
  <si>
    <t>никаких хлопот не вызывает. в литре холодного молока развожу любой йогурт из магазина, разливаю по баночкам, включаю и оставляю на ночь. при этом никаких салфеток подкладывать не нужно. отключается автоматически, утром всё готово. йогурт получается отличный.</t>
  </si>
  <si>
    <t>Вчера купил телевизор,подключил, с пульта работает, на передней панели  кнопки не работают. Ну-и какой тут вывод?.....</t>
  </si>
  <si>
    <t>Купила себе на день рождения, в том году, взамен старому.  Очень нравится, хорошо выпрямляет волосы)  Простой, ничего лишнего, рекомендую</t>
  </si>
  <si>
    <t>у меня кофеварка такого типа прослужила с 1998 года, только другой марки была, сломалась недавно.</t>
  </si>
  <si>
    <t>1269</t>
  </si>
  <si>
    <t>2013-08-27</t>
  </si>
  <si>
    <t>Пользуюсь им лет 5-7 уже и не скажу точно. Не знаю бед, волос не сушит, хотя и без ионизации, очень удобен в применении, не взыскальзывает из рук. Очень довольна.</t>
  </si>
  <si>
    <t xml:space="preserve">Очень хорошо сосет пыль, большая мощность. </t>
  </si>
  <si>
    <t>Проблема аналогичная,появляется буква "С" на дисплее вместо номера скорости, после нескольких месяцев эксплуатации.Вести в сервис проблематично также,но и не приятно также!!!Еще на первой скорости слышен посторонний шум,который пропадает при переходе на высшей.Италия блин.</t>
  </si>
  <si>
    <t>Купили утюг более 2-х лет назад, гладить одно удовольствие))) Нареканий нет. Всем советую.</t>
  </si>
  <si>
    <t>2011-12-28</t>
  </si>
  <si>
    <t>Купил себе psp 3008 на день рождения. И сразу же увидел на витрине доп.набор и сразу же его взял. И купил игру. Я был настолько радостным, что сразу же как сел в машину, открыл коробку и достал psp. И стал играть. Но меня немного огорчило, что комплектация была мала, но это меня не так огорчило. И когда зарядка садилась,  я его заряжал от магнитолы в машине (USB-с доп.набором).  Недостатки: панель нежная и легко царапается и нет web-камеры в наборе.</t>
  </si>
  <si>
    <t>2646</t>
  </si>
  <si>
    <t>Тем кто ищет именно плеер, а не всё в одном. Свою цену оправдывает. Подойдёт и парням и девушкам) Достоинства:  1)Батареи хватает надолго  2)не нужно никаких драйверов) в Windows 7 сам определился как плеер, показывает уровень батареи и дополнительные функции для плеера   3)качество звучание потрясающее(но нужны хорошие наушники)  4)Очень компактен  5)стильный дизайн    Из недостатков выделю:  1)слабенькие наушники которые идут вместе с плеером  2)некачественная русификация(можно выбирать язык в настройках - поставил английский)</t>
  </si>
  <si>
    <t>2012-01-06</t>
  </si>
  <si>
    <t>По тех. характеристикам: всем хорош. Но за 5 дней до Нового года и за 3 недели до окончания гарантийного срока решили испечь детям печенюшки. Поставили на предварительный нагрев до 220 градусов в режиме "нагрев сверху и снизу". Случилось страшное: на 200 градусах вдребезги разлетелось внутреннее стекло, которое должно быть жаропрочным и выдерживать нагрев духовки до 275 градусов, как заявлено производителем.</t>
  </si>
  <si>
    <t>2014-01-20</t>
  </si>
  <si>
    <t>Удивились,что он и с мешком и с контейнером. Контейнер сразу убрали,вставили мешок. Хороший дизайн, немецкая сборка, по шуму нормальный. Мощность всасывания просто прекрасная! На половину-самое то! На полную чуть ли не с бетоном пол поднимает:) В общем, мы довольны:)</t>
  </si>
  <si>
    <t>3189</t>
  </si>
  <si>
    <t>Брал в М.Видео. Удобный и очень маленький. Фото печатает быстро и они четкие.  Сам девайс можно брать хоть в палатку, так как работает не только от сети, но и от аккумулятора. Процесс печати прост: вставил флешку из фотоаппарата, выбрал на экранчике фото и количество печатаемых листов и нажал кнопку "принт". Все, поехали. Через минуту в руках классные фотки. Удобно! Берите не пожалеете.</t>
  </si>
  <si>
    <t>Монитор понравился цветами и качественной регулировкой баланса белого. Четверку ставлю за то, что монитор имеет проблемы с масштабируемостью. Особенно это заметно на разрешении 1024х768,на более высоких разрешениях, которые поддерживает монитор, это заметно меньше, но все равно четкость заметно уступает родному разрешению, хотя в играх и при просмотре веб-страниц это в глаза не бросается.</t>
  </si>
  <si>
    <t>1509</t>
  </si>
  <si>
    <t>Блин у меня нету смарта с ИК портом!   Что делать как разблокировать USB без вреда телевизору?!?!?!?  HELP</t>
  </si>
  <si>
    <t>2009-08-18</t>
  </si>
  <si>
    <t>тоже вчера купил.всё отлично,только такой блестящий и красивый,что с собой нужно иметь тряпочку и средство для полировки!</t>
  </si>
  <si>
    <t>310</t>
  </si>
  <si>
    <t>Автоматика стабилизации с 3D-сенсором значительно подавляет вибрацию, поэтому машинка не дребезжит, когда отжимает. Нравится, что в ней большая скорость отжима - 1400 об/мин, особенно джинсовую одежду ставлю на такую скорость. Отличная цена, очень достойное качество, современный внешний вид. Купила ее недавно, но так уже привыкла пользоваться, что кажется, что она у меня уже сто лет!</t>
  </si>
  <si>
    <t>2017-01-31</t>
  </si>
  <si>
    <t>Работал несколько лет</t>
  </si>
  <si>
    <t>Совсем забыл упомянуть. В комлект ещё входит USB кабель для телефона.</t>
  </si>
  <si>
    <t>5050301</t>
  </si>
  <si>
    <t>140</t>
  </si>
  <si>
    <t>2017-04-27</t>
  </si>
  <si>
    <t>Хорошие балванки. 2 упаковки взял - испорченная одна. да и то сам испортил...</t>
  </si>
  <si>
    <t>Пользуемся 5 лет ,картридж меняем 1 раз в месяц,все устраивает в фильтрации,до этого чем только не пользовались и покупали воду и привозную использовали и другие фильтры,все это не то,если кто-то не верит ,что это фильтр реально очищает воду то нужно самому попробывать.Но есть одно НО,внимательно покупать сменные картириджы так как попадаются подделки,рекомендую покупать их в крупных торговых сетях,думаю там действительно оригинальные.</t>
  </si>
  <si>
    <t>Наушники просто супер и рассчитаны на не послушные уши, так как гоняю на велике и не подводят как остальные! Но надо их до работать . Крепление я усиливаю с помощью шурупчиков и класс!!</t>
  </si>
  <si>
    <t>2012-11-21</t>
  </si>
  <si>
    <t>Неудачная модель. Согласна с предыдущими владельцами. Свой отрицательный отзыв решила написать после того, как контейнер раскрылся и весь мусор оказался внутри пылесоса. Конструкция контейнера просто отвратительная. Из недостатков еще: быстро засоряется контейнер, его неудобно чистить, а моторный фильтр сразу засоряется. Мощность всасывания в разы отличается с контейнером и мешками, с мешками модель нормальная, и это пожалуй единственное достоинство пылесоса. Советую не брать данную модель - цена и качество не сопоставимы.</t>
  </si>
  <si>
    <t>2011-02-28</t>
  </si>
  <si>
    <t>Очень понравился отзыв ScleroZee(Брянск) и решила купить эти наушники. Долго просто стояла выбирала, читала отзывы на сайте этом, но этот удивил. Решила купить. И не пожалела! Звук отличный! Но басы и правда мягкие. Я люблю, когда прям громко, чувствуешь их великолепно )   В общем берите не пожалеете!!!Очень классные!)  Когда подключила к компу вместо колонок еще... на самой тихой громкости, а как громко они играли! Для меня прям, искала, чтобы громкие были)</t>
  </si>
  <si>
    <t>1450</t>
  </si>
  <si>
    <t>очень долго искал бук и вот наткнулся, за такие деньги отличная машинка, в других магазинах аналоги стоят под 40к, а тут 30, и в добавок 3 тысячи картами получил)))  которые пошли друзьям на дни рождения</t>
  </si>
  <si>
    <t>Бритва неоправдывает себя: жесткий шнур,бреет плохо.цена завышена за такую бритву.</t>
  </si>
  <si>
    <t>2009-09-04</t>
  </si>
  <si>
    <t>Великолепный телек!!! Замечательно играть на PS3!!! и комп тоже!!!</t>
  </si>
  <si>
    <t>удобный, быстро кипятит, с подсветкой</t>
  </si>
  <si>
    <t>2016-05-17</t>
  </si>
  <si>
    <t>Очень функциональный блендер с супер-острыми ножами. Режет и измельчает все, от мяса до овощей и льда. Очень мощный. Пользуюсь больше года, не могу нарадоваться.</t>
  </si>
  <si>
    <t>2016-06-11</t>
  </si>
  <si>
    <t>Увлажняет воздух нормально, мы пока довольны. У ребёнка аллергия на пыль, поэтому нам без увлажнителя никак. Эффект уже заметен, сын чувствует себя намного лучше. Да и появилось ощущение, что воздух в квартире действительно стал чище. Есть ночной режим, он очень тихий, можно включить и спокойно спать – вообще никаких звуков и бульканья. Управление понятное. Есть специальный режим для детской, им чаще всего и пользуемся. Есть таймер и автоматическое поддержание необходимого уровня влажности, можно установить все параметры сразу и потом вообще нажимать одну кнопку всего.</t>
  </si>
  <si>
    <t>Машинка на второй неделе сломалась, начала отключаться, сдали.</t>
  </si>
  <si>
    <t>Покупал именно 2-х конфорочную т.к в 90% у меня используется всего 1-2 конфорки.  На этой плите можно сделать еду на стол для 6 человек.   Искал именного с физическими ручками регулировки т.к нет доверия к сенсорам, удобнее и быстрее крутануть ручку, чем тыкать в сенсор.  Чистится легко, обычным средством для посуды, немного на губку и протирать панель, за несколько минут становиться как новая.   Из недостатков можно отметить материал ручек, могли бы сделать их более приятными на ощупь, матовыми, скажем, но зато, они легко чистятся.   Если ищите маленькую, удобную варочную поверхность, берите эту, не ошибетесь.</t>
  </si>
  <si>
    <t>2016-01-08</t>
  </si>
  <si>
    <t>Плохие весы. Постоянно показывают неправильные данные.</t>
  </si>
  <si>
    <t>Характеристики впечатлили! Но еще больше впечатлила цена. Видимо, я поторопился с dv6 2019er.</t>
  </si>
  <si>
    <t>Хороший плеер, весьма удобный. Радио хорошее. Один раз правда завис при включении, но больше это не повторялось.</t>
  </si>
  <si>
    <t>2013-05-17</t>
  </si>
  <si>
    <t>Машинке 8 месяцев, сгорел светодиод на панели управления, но это на работу не влияет. Мастер сказал, что поломка редкая и запчасть придется заказывать, как придет заменит. Конечно машинка шумновата, но жить не мешает, а если хочется мыть посуду по ночам то покупать надо какую нибудь крутизну за большие деньги. Посуда не промывается только при неправильной расстановке. Никаких таблеток использовать нельзя (это пишу для особо одаренных, которые читать не умеют) только раздельные средства. За такие деньги нормальная машинка.</t>
  </si>
  <si>
    <t>Старый чехол совсем исстерся и выглядит непрезентабельно)) Решила купить новый. Пришла в магазин, мне предложили помощь, я отказалась, сказала, что посмотрю сама. Выбрала понравившейся мне цвет( их было много разных), купила с клубничками. Посмотрела по размеру подходит. Пришла домой, начала надевать его на гладильную доску и тут упс... не подходит. Не учла момент на подгибы с двух сторон. Пожалела, что отказалась от помощи продавца в магазине))) В этот же день поменяла на размер M. Теперь у меня дома "новая" гладильная доска. Материал отличный хлопок/полиэстер, приятный на ощупь. Советую. Только внимательно выбирайте размер!</t>
  </si>
  <si>
    <t>2012-10-11</t>
  </si>
  <si>
    <t>Отличные наушники! Перед покупкой почитал пару статей по акустике и именно эти наушники лучшее сочетание цены и требований. Отличное глубокое звучание, прекрасно сидят на голове, при ношении не чувствуешь ни усталости ни дискомфорта. Многие наушники сверх 3т.р. даже рядом не валялись) Советую!</t>
  </si>
  <si>
    <t>Машинка настолько обычная, что и писать особо нечего. По опыту пользования предыдущей машинки знал, что больше 2-3 программ просто использовать не будем, поэтому выбирал простую модель известного бренда. Порадовала хорошая вместительность при компактном размере. Огорчила очень сильная вибрация при отжиме, тем более огорчило отсутствие возможности регулировать обороты при отжиме. Приходится отключать отжим при стирке, а после завершения, выбирать программу мягкого отжима. Не катастрофа, но немного не удобно.</t>
  </si>
  <si>
    <t>1401</t>
  </si>
  <si>
    <t>советую всем полностью отрабатывают свою стоимость!!!!  даже есть какой то бас)))))</t>
  </si>
  <si>
    <t>Чайник подарили мужу. Нам он очень понравился, старый (дешевый Скарлет) отвезли на дачу. Но радость была не очень долгой. Чайник в течении 1-го года использования потек (примерно через 9 месяцев работы). Если учесть, что чайник Скарлет за 450 рублей проработал раза в 3 дольше, то картина грустная.</t>
  </si>
  <si>
    <t>Отличная вытяжка, пользуюсь 2,5 года, легко моется, т.к. решетка разделена на 2 части.</t>
  </si>
  <si>
    <t>2632</t>
  </si>
  <si>
    <t>Здравствуйте!  Если Вам нужна инструкция на электронный программатор, напишите мне по адресу: voroncoff.gorenje@yandex.ru</t>
  </si>
  <si>
    <t>Взял себе такой системный блок как медиацентр - видео монтировать с камеры, закачивать с интернета и смотреть через HDMI на ЖК телевизоре, прикольно иметь дома компьютер с монитором 26 дюймов. Также подключил через оптический кабель к музыкальному центру - звук просто супер!!! Жаль только при покупке предустановлена WINDOWS VISTA а не WINDOWS 7, хотя при желании можно доплатить порядка 700 рублей (через банковскую карточку) и из Тайваня пришлют диск с обновлением до 7. А так действительно очень тихий - у меня ноутбук громче работает. Сейчас думаю над апгрейдом, благо подходят процессоры 4-х ядерные и память с HDD можно нарастить.</t>
  </si>
  <si>
    <t>1924</t>
  </si>
  <si>
    <t>2014-08-13</t>
  </si>
  <si>
    <t>Превосходная плита, особенно духовой шкаф печет изумительно. Советую приобрести.</t>
  </si>
  <si>
    <t>От мясорубки просто в восторге. Радует и как перемалывает мясо, и трет, и режет. Вобщем советую всем, кто много готовит.</t>
  </si>
  <si>
    <t>Купил очень доволен. Информативный дисплей, сенсорное управление, стильный дизайн(стекло),мощная тяга воздуха(турбина).Советую всем как часть полезного интерьера кухни.</t>
  </si>
  <si>
    <t>2009-09-16</t>
  </si>
  <si>
    <t>Купил телевизор и пока ещё не пожалел. Для своей цены - оптимален. Жаль только разрешение не 1920x1080</t>
  </si>
  <si>
    <t>2770</t>
  </si>
  <si>
    <t>Мы с супругой очень довольны своей стиралочкой!!!Всем рекомендуем.</t>
  </si>
  <si>
    <t>2014-12-11</t>
  </si>
  <si>
    <t>Не стоило ждать от кофеварки за эти деньги чудес.......запах пластика присутствует постоянно, даже после нескольких прогонов воды, но во вкусе и запахе кофе пластик не ощущается. Вода течет быстро, но кофе получается вкусным. Так понимаю, вкус и аромат изначально зависят от качества и количества кофе. Кофе может даже вскипеть, не знаю, хорошо это или плохо... в целом,покупкой довольны. Если бы не запах - было бы 5 баллов!</t>
  </si>
  <si>
    <t>2102</t>
  </si>
  <si>
    <t>2014-04-20</t>
  </si>
  <si>
    <t>Лоток вынимается легко и просто, отличная машинка!</t>
  </si>
  <si>
    <t>Я просто восторге от такой кансоли как,сони плейстейшен три.Игры отпад,канешно каторые на английском не очень,ну да ладно.У меня было много приставок,ну эта канечно ни счем и скем не сравниться.</t>
  </si>
  <si>
    <t>11 декабря привезли,ещё не подключали/напишу, как подключим/внешне очень красивый,аккуратненький такой,понравилось обслуживание в интернет магазине,очень вежливые пунктуальные и квалификацированные!Дай Бог чтоб ещё и работал бы хоршо!</t>
  </si>
  <si>
    <t>2010-01-29</t>
  </si>
  <si>
    <t>Прекрасный вариант для собственного употребления и в качестве подарка. Четкое, яркое днем и ночью и достаточно крупное изображение на стене и потолке 20-метровой комнаты. Очень довольны. Правда синий цвет был бы, наверное, более приятен. Хотя и красный тоже не раздражает.</t>
  </si>
  <si>
    <t>3070</t>
  </si>
  <si>
    <t>нормальный телефон, все работает... вот только ява игры не запускаются ... еще написано что он идет в комплекте с картой , а карту то не дали ...</t>
  </si>
  <si>
    <t>4050305</t>
  </si>
  <si>
    <t>1334</t>
  </si>
  <si>
    <t>Нормально все работает! Мастера все подключили и все работает хорошо. в квартире ледник! Покупать можно!</t>
  </si>
  <si>
    <t>Утюг просто сказка. Мечта любой хозяйки. Гладить одно удовольствие.</t>
  </si>
  <si>
    <t>2502</t>
  </si>
  <si>
    <t>Ходил в магазин и полазев немного в системе обноружел что у него две видео карты !Модель видеокарты Radeon HD 4570  Видео память 512 МБ и встроенная Radeon HD 3200 !  Вот такая радостная новость,так берите пока дркгие не узнали!</t>
  </si>
  <si>
    <t>Когда купили отрывал ковер от пола даже с контейнером, после первой же уборки мощность всасывания упала почти до нуля! Поставили мешок, с ним всасывал отлично, но опять таки, недолго, спустя три месяца просто гладил ковер. Очень жаль потраченных денег.</t>
  </si>
  <si>
    <t>2013-12-11</t>
  </si>
  <si>
    <t>Плойка просто идеальна для укладки волос, получаются объемные, блестящие и ухоженные волосы. Если вы думаете, что она закрутит вам кудряшки, то вы ошибаетесь - плойка такого диаметра никогда вам кудрей не накрутит, так что можете не надеяться на это. Я изначально ее покупала для укладки и за это ей ставлю за это огромную пятерку, так как она полностью оправдала мою надежду.</t>
  </si>
  <si>
    <t>Я очень довольна результатом. 2 скорости, насадку можно промывать, то что шумный немного, так это можно и потерпеть. Советую, не пожалеете!</t>
  </si>
  <si>
    <t>Обогреватель понравился, нагревает быстро, поддерживает выставленную температуру. Но есть минусы: сушит воздух, достаточно шумно работает(если включать на ночь, но сейчас уже привыкла) и программы переключаются со звуковым эффектом(пищалкой, на который очень реагирует 2-х месячный ребенок (особенно когда засыпает).</t>
  </si>
  <si>
    <t>хороший плеер_)  пользуюсь где-то 2 месяца, еще ни разу не завис  выбирала из недорогих плееров просто, чтобы музыку слушать  этот оказался лучшим, все советую)</t>
  </si>
  <si>
    <t>Купил монитор, все отлично!  Так же, качество картинки HDMI.  Можно смотреть фильмы HD, и Blu-Ray.  Так же можно подключить приставку по кабелю HDMI.  Я советую брать, это лучший FullHD + HDMI до 10 т.р</t>
  </si>
  <si>
    <t>2014-06-22</t>
  </si>
  <si>
    <t>Покупали данную модель 6 лет назад, верой и правдой служит и сейчас! Очень тихий, супер мощный, от собачей шерсти после одного проведения турбощеткой не оставляет ни следа! Модель советую, кто сомневается, протестируйте в магазинеp&gt;</t>
  </si>
  <si>
    <t>Нагреватель порадовал добротностью и аккуратностью исполнения, а также довольно смешным переводом инструкции. По работе претензий нет &amp;mdash; работает как часики. Я доволен как слон, аккуратненький, приятное внешнее покрытие.Покупкой доволен.</t>
  </si>
  <si>
    <t>1066</t>
  </si>
  <si>
    <t>2017-02-17</t>
  </si>
  <si>
    <t>купила этот телефон 2дня назад на рязанке, если не брать в расчет что первый мне телефон принесли б/у, а второй оказался у них на витрине и без карты памяти в комплекте, то в целом ничего... немного глючит, если память заполнена и осталось всего 100mb свободных. Внимательно проверяйте комплектацию!!! мне вернули 1GB, вытащив из другого сонарика на моих глазах, еще и коробку собирали, ничего не было кроме зарядки, хотели обычную гарнитуру дать...</t>
  </si>
  <si>
    <t>купили плитку и через 2 недели она сломалась.</t>
  </si>
  <si>
    <t>2014-01-29</t>
  </si>
  <si>
    <t>Постоянно выскакивает ошибка Е3. Следовательно, посуду машина не моет. Смысла покупки такого товара нет.</t>
  </si>
  <si>
    <t>Совсем не понравилась эта модель. Тесто плохо замешивает,толком не пропекает хлеб.</t>
  </si>
  <si>
    <t>142</t>
  </si>
  <si>
    <t>плеер отличный, звук ваше ништяк, особенно с PlayFx. правда экран сильно царапается, для игр не предназначен. FM-трансмиттер вот что радует. большой экран 2,8</t>
  </si>
  <si>
    <t>492</t>
  </si>
  <si>
    <t>Супер приставка!!!И кстати в PSN тоже можно обнениваться играми,так как если вы купили игру у вас появляется под игрой красный пакетик и это значит,что этот файл можно качать бесконечно раз!</t>
  </si>
  <si>
    <t>2016-03-24</t>
  </si>
  <si>
    <t>Прошло два года и я достала свой старенький эл.чайник. Оказалось он шумит намного тише чем Bork. Гарантия на Bork 2 года, оставалось 9 дней до окончания, хорошо, что я это во время вспомнила! Вот жду, что скажут!  Было в самом начале всё отлично, я его взяла из-за имя и температурного режима (удобно), через год начал выключатся сам по себе не закипая хотя ставила на кипячение или кипел пака сама не выключу! Стала открываться крышка сама по себе! Но последняя капля стала это я заметила сколы на пластиковых частях: на крышки, по бокам где видно уровень воды! И это не от ударов (вообще ни разу не роняли)! А что шум сильный узнала только в сравнении когда достала старый чайник! Вообщем я жду ответа от сервиса, что скажут прямо интересно! А те кто читает отзывы и думает брать этот чайник, рекомендую посмотреть другой! Ну не стоит этот таких денег! Bork мне вообще нравиться у меня пылесос Bork вот он мне нра!</t>
  </si>
  <si>
    <t>Мнение неоднозначное...  Из плюсов: дивайс стабильный, шустрый, все что заявлено, работает на ура. Если что то не работает, то владельцу руки надо вставить в нужное место и все наладится. Аккум конечно слабоват, но для своей емкости вполне нормально, тут уже все упирается в размер корпуса, за малые габариты приходится платить... Хотя при полной нагрузке, т.е. не выпуская из рук держит не ментше 5 часов, в режиме ожидания вообще сказка, с включенным GPRS и BT не больше 2-3% за ночь, при чем аккуму уже 9 месяцев.  Минус - это корпус, царапается буквально голыми руками, не очень заметно, но неприятно. У многих проблема с пылью под экраном, но это походу косяк первых партий, у меня нету. Еще разводы на таче, у меня тоже нет. Зато появилась другая проблема: начало вздуваться аллюминевое покрытие под кнопками с левой стороны (после 9 месяцев эксплуатации), как оказалось не только у меня и в том же месте... В общем как кому повезет</t>
  </si>
  <si>
    <t>2467</t>
  </si>
  <si>
    <t xml:space="preserve">хорошая </t>
  </si>
  <si>
    <t>Хороший телефон.Пользуемся уже 1,5 года-никогда нас не подводил!Вот сегодня муж поехал покупать такой же телефон (только полностью черный) в подарок родственнику на НГ!!)</t>
  </si>
  <si>
    <t>659</t>
  </si>
  <si>
    <t>Великолепный плейер. Отличный звук (испульзую наушники Синхейзер). При выборе этого плейера есть смысл заострить внимание на витрину с наушниками.</t>
  </si>
  <si>
    <t>2015-04-19</t>
  </si>
  <si>
    <t>Пользуюсь данной моделью несколько месяцев, ни разу не пожалел о покупке. Кофе просто отменный!   До покупки пил кофе из разных кофемашин, и меня всегда смущал странный металлический привкус,  узнал, что Saeco используют керамические жернова в отличие от других фирм, что позволяет избавиться от проблемы с  привкусом. Купил, пью и радуюсь !   Также хочу отметить простоту управления и ухода за данным прибором, варочный блок вообще чистится за пару минут.  Моя оценка 5+, советую всем!</t>
  </si>
  <si>
    <t>2016-02-21</t>
  </si>
  <si>
    <t>Отличная цена на эту модель, просто супер! А мне еще и скидка досталась, так что довольна ужасно! Спасибо также за оперативную доставку и помощь в установке. У меня маленькая однушка, поэтому всегда делаю все возможное, чтобы как-то сэкономить место и на кухне и в комнате. Так вот с помощью небольшой панели это делается отлично. Очень экономно расходует газ, моя прошлая плита сразу выпускала огромное пламя, что во-первых опасно, а во-вторых очень много газа потребляет. Тут такого нет. Цвет красивый и немаркий, панель из нержавейки.</t>
  </si>
  <si>
    <t>У меня был день рождения 25 июля. Взяла единственный, который был в Ленте. Эпилятор замечательный, покупкой довольна. Эпилирование проходит не очень больно. Наличие двух скоростей позволяет выбрать оптимальную. Я сначала пользуюсь 2-й, а для удаления оставшихся волосков удобно пользоваться 1-й скоростью. На коже не остаётся красных точек. Общее время на две ноги от пяток до бёдер 25 минут. При использовании триммера для чувствительных мест (при эпиляции зоны бикини и подмышек) боль сильнее. Минус в том, что эпилятор от сети, а маленький от батареек. Предпочла бы аккумулятор и зарядку от сети.</t>
  </si>
  <si>
    <t>2010-09-01</t>
  </si>
  <si>
    <t>Почитала все отзывы по данной модели. Как всегда, на вкус и цвет товарищей нет. Кому как повезет, брак есть везде. Я лично пользуюсь данным пылесосом год и у меня к нему никаких нареканий нет. Сила всасывания отличная, на полную мощность тоже ни разу не доводилось использовать. То, что контейнер быстро заполняется, так это скорее всего зависит от того, насколько большую площадь каждый убирает, а если в доме есть еще и животные..., у меня примерно за 8 уборок контейнер наполняется, освобождать его от мусора не так уж и сложно. Фильтр под контейнером мою 1-2 раза в квартал. Шланг отсоединяется от пылесоса легко, ничего не заедает, на сам шланг несколько раз наступала, но никакой деформации не заметила. Вообще я никогда не любила и не покупала корейскую технику, но данным товаром довольна на все 100%.</t>
  </si>
  <si>
    <t>Не всегда выполняет до конца программу, не отстирывает загрязнения, при выжимании гремит вся квартира, а еще когда только купили оказалось кнопка запуска не работает, без проблем поменяли, но остальное мы обнаружили со временем. Теперь этой фирмы уже не хочется покупать ничего... Мне всегда было очень лень писать какие-либо отзывы, но тут в очередной раз не сработала машинка, и терпение просто лопнуло!</t>
  </si>
  <si>
    <t>По мне так игра на слабую 2, графическая часть просто ужасна, на макс разрешение 720х576 выглядит просто убого, картинка такого уровня допустима в играх 2001-2003 года, но не более. По ходу игры наблюдаются "тормоза" и зависания, при переходе из меню в игру, как то подвисла вся система, пришлось кнопкой на консоли перегружать. В общем выбор за вами.</t>
  </si>
  <si>
    <t>Я пользуюсь этой хлебопечкой неделю.Верхняя корочка у хлеба очень бледная получается.Нужно допекать на 12 программе.Сам хлеб очень вкусный.Мне очень понравился лимонный кекс.Просто супер!!!Нежный.мягкий.</t>
  </si>
  <si>
    <t>Сегодня установили данную модель! Работает отлично, очень тихий даже на турборежиме. Комната 20 кв м справляется на ура! Всем советую! пульт заслуживает отдельной похвалы, экран пульта с подсветкой использовать ночью - бесценная опция! Отличная модель!</t>
  </si>
  <si>
    <t>2017-05-12</t>
  </si>
  <si>
    <t>Удобно использоваться, хорошо отжимает, легко мыть.</t>
  </si>
  <si>
    <t>Пользуемся уже полтора года.  Неприятностей пока не доставляла.  За все время ничего не сломалось.  Моет достаточно хорошо.  Выбрали ее за компактные размеры.  Отлично подойдет для ежедневного использование в семье из 3-х человек.</t>
  </si>
  <si>
    <t>2534</t>
  </si>
  <si>
    <t>В аппарате даже черный список есть, на смс и на входящие, также любые блокировки, нельзя только закрыть паролем тел. во время работы, можно просто заблокировать (кнопка *).    Автоблокировка клавы есть (жалко, что можно только без пароля)    Профили настраиваются, есть даже автономный профиль (нельзя ни позвонить, ни дозвонится).    Можно закрыть паролем все контакты, журналы смс, отправку смс, журналы контактов (вход.,исход. вызовы).    Если вытащить батарею, то время\дату попросят поставить заново.    Обои к сож. не отключить, только выбрать (1 из 3х или случайные).    Навигационную клавишу можно перенастроить только влево, вправо.    Выбор мелодий 10 шт. (примитив),среди них пара звонков.  На смс - выбор 4 сигнала.  Громкость регулируется поотдельности, для входящих и смс.    5 будильников, каждый регулируется по разному, выбор мелодий и т.п.    Настройки дисплея ярк.\контраст, длит. подсветки,также можно выбрать одну из 5 тем оформления.  Свое приветственное сообщение (не больше кажется - 17 символов)    Т.н. Фонарик, влючается удерживанием нав. клавиши вверх.    При завершении исх. вызова, отображается время разговора.    При пропущенном вызове или смс, можно включив дисплей увидеть норм. надпись, что пропущено и от кого.    Тел. очень шустрый, по меню и контактам можно просто летать!    Качество связи ок, на улице Вы и Вас услышат, громкость регулируется при разговоре вверх вниз (навигац. клавиша).    Кнопки кстати, немного тугие, в кармане не нажмутся или ещё где, не нажмутся (может быть).    В общем всё здорово за такие деньги...  Всё, устал я тут по клавишам стучать,  всем пока, спасибо Самссссунгу и   М видео за тел.</t>
  </si>
  <si>
    <t>Нашла, где переключается, чтобы воздух выходил в трубу. Чуть громче шумит, но все нормально и тянет хорошо. Короче, вытяжкой довольна, можно рекомендовать.</t>
  </si>
  <si>
    <t>Купила 1,5 года назад данную машинку . Никаких недостатков в ней не вижу. Единственное программы выбираются самостоятельно не как у Бошевских. А обороты 1200 очень хорошо и она стоит ,как в копанная, не скачет.</t>
  </si>
  <si>
    <t>Выдергивает щетину и раздражает. После копеешной электробритвы, которой пользовался до этой, нынешнее бритье раздражает.</t>
  </si>
  <si>
    <t>1341</t>
  </si>
  <si>
    <t>купил себе такой телефон.очень удобный и прикольный.</t>
  </si>
  <si>
    <t>Отличный ТВ с отличным качеством картинки, простым меню,с цифровым тюнером, с возможностью считывания с флешки видеофильмов! До этого был Филипс 3605/60- жуткий "тормоз", поменял на LG,не пожалел!</t>
  </si>
  <si>
    <t>1490</t>
  </si>
  <si>
    <t>Мега пихорь (Емва)   Вот если не знаешь- то зачем что-то вообще писать???   8 гб озу - это весчь! и будет она видеть все - для этого и существуют 64битные ОС! За которыми и будущее..  они могут видеть и работать вплоть до 64 гб оперативки!!!</t>
  </si>
  <si>
    <t xml:space="preserve">Удобно держать </t>
  </si>
  <si>
    <t>2016-04-06</t>
  </si>
  <si>
    <t>Первое впечатление хорошее. Стригла один раз маленького ребенка. Из плюсов можно сразу отметить, что не очень шумная. Из минусов - быстро забивается волосами, приходится постоянно проходиться щеточкой. Порадовало, что ее можно промывать под водой и наличие функции "Филировка". В комплекте масло, которым нужно смазывать лезвия после каждого применения (см.инструкцию).   В ближайшее время опробую на муже, посмотрим как справится с его жесткими волосами.  В целом, она справляется со своими задачами на твердую четверку.</t>
  </si>
  <si>
    <t>2013-08-13</t>
  </si>
  <si>
    <t>Прочитала все отзывы, все отличные, пошла купила. Опробовали, кошмар. На режиме 6 хлеб еле прожаренный, белый, и только с одной стороны. Подумали - бывает брак, пошли поменяли на точно такую же модель. Тоже самое. Сегодня пойдем опять менять на другую модель, какую еще не выбрали, наверно придем с булкой хлеба и в магазине жарить будем))) А так жалко, дизайн понравился.</t>
  </si>
  <si>
    <t>2850</t>
  </si>
  <si>
    <t>А "размер" вполне хороший за такие бабосы))) Не жалею о покупке.</t>
  </si>
  <si>
    <t>1649</t>
  </si>
  <si>
    <t>Мне только что привезли этот шкаф. Выбрал его только потому, что мне нужен был именно белый. Производитель солидный, при этом цена вполне реальная. Что ж испытаю, поделюсь.</t>
  </si>
  <si>
    <t>Пользовалась феном 4 года! Пластмаска (насадка) тоже сплавилась и отвалилась, но года через 3, тоже выключается, появилась такая проблема тоже года через 3 пользования. Но вчера был последний удар о кафельный пол и мой любимый фенчик задымился...((( Сегодня побегу за таким же, пока не сняли с производства!!</t>
  </si>
  <si>
    <t>1779</t>
  </si>
  <si>
    <t>Телевизор через некоторое время стал сам выключаться, сначала нечасто, потом несколько раз в день, затем каждые 10-15 мин. Выяснилось, что это какой-то заводской брак. В магазине М.Видео сказали обращаться в сервисный центр Самсунг, возврат товара невозможен. Теперь повезу его сервисный центр. Не уверен, что отремонтириуют быстро, т.к. нужно менять какую-то плату, которую поставляют под заказ. Не покупайте технику Самсунг!</t>
  </si>
  <si>
    <t>2098</t>
  </si>
  <si>
    <t>2015-02-21</t>
  </si>
  <si>
    <t>Бреет хорошо, в области шеи пару раз надо поводить.  Нравится. Голландская, это еще плюс, головка плавающая, после сетки этой доволен очень. Всегда бреюсь только электробритвами. Консультанту спасибо, хорошо посоветовал.</t>
  </si>
  <si>
    <t>1312</t>
  </si>
  <si>
    <t>2010-09-08</t>
  </si>
  <si>
    <t>Очень хорошая игра , ЗЫЗа зверь !</t>
  </si>
  <si>
    <t>930</t>
  </si>
  <si>
    <t>Видео-карта на ноутбуке довольно слабая для игр, потому что сделана для бюджетных ноутбуков, для такой цены можно было и помощней видекарточку поставить.</t>
  </si>
  <si>
    <t>пользуюсь около девяти месяцев, в целом неплох, но хватает и недостатков.  долго грузится и вообще программное обеспечение хреновато обновлял, но положение не исправилось. звук хуже, чем у пионер лх-50.  Совет: не торопитесь, пусть компания еще немного доработает.</t>
  </si>
  <si>
    <t>Электронасос или кнопка сломалась через месяц   Закипает минут 20   короче чайник очень не практичный</t>
  </si>
  <si>
    <t>1033</t>
  </si>
  <si>
    <t>Купил антенну, подключил... что с ней что без неё... Несоветую её покупать.</t>
  </si>
  <si>
    <t>Для этой ценовой категории - наушники вполне оправдывают ожидания. Отличные верхние ноты, с басами тяжеловато. На максимальной громкости в iphone ничего не хрипит, слушать приятно. Не для больших ушей, т.к. наушники не очень большие. Для детей - самое оно!</t>
  </si>
  <si>
    <t>Купил для магнитолы в машину, пользуюсь уже 3-ю неделю, никаких нареканий нет, не тормозит, при подключении к магнитоле/компьютеру начинает работать сразу же и без задержек. В общем все в порядке, работает как часы.</t>
  </si>
  <si>
    <t>Пользуемся месяц, нареканий никаких! Пользуюсь в основном духовкой, все быстро и вкусно :)Эффектный дисплей, в плане того, что яркий и красненький. ООООЧень нравится автоматическое отключение.</t>
  </si>
  <si>
    <t>Хорошая скорость</t>
  </si>
  <si>
    <t>Купили 2шт на время с расчетом, что сломается, но он оправдал все ожидания. Когда включили был запах пластика мин 10 и все, потом исчез. Удобная ручка, нужная кнопочка внизу от падений, комнату 12кв. прогрел за 15 мин. Сейчас больше 1 режима не включаем, потому что греет на ура и это все за такие деньги! Потребляет мало! Рекомендую!</t>
  </si>
  <si>
    <t>Очень хорошая,сока много,чистый и прозрачный,работает как часы всем советую!</t>
  </si>
  <si>
    <t>Нереальный дизайн и очеь удобная</t>
  </si>
  <si>
    <t>ужасное качество.</t>
  </si>
  <si>
    <t>Очень хороший ноутбук, и самое главное не дорогой!</t>
  </si>
  <si>
    <t>1931</t>
  </si>
  <si>
    <t>Изображение понравилось. Звук понравился. Особенно настройка, позволяющая выставить расстояние до стены, супер) А так даже подключаю плеер и слушаю музыку на нем. HDMI подключение с отличным качеством с компьютера. Остаточные изображения не наблюдал, хотя и повода не было я картинки не смотрю на телевизоре. Читала жалобы на то, что при 4:3 полосы по краям серые. Люди, вы бы почитали инструкцию? Во-первых, это для более равномерного выгорания, а во вторых, это можно отключить, так что проблема надумана.</t>
  </si>
  <si>
    <t>Подарил жене. довольная, быстро и регулятор справляется со своими обязанностями.что мне не понравилось что длинный и толстый  шнур по всей ванной все крючки занимает. Наверное когда кончится гарантия укорочу...  ;)</t>
  </si>
  <si>
    <t>Я доволен!</t>
  </si>
  <si>
    <t>Крутая вещь! Пользуемся около полугода. Приготовление 4х тостов занимает 3 минуты. Делаем в основном с сыром, и получается великолепно: сыр плавится, а корочка хрустит. Моется тоже легко.</t>
  </si>
  <si>
    <t>2471</t>
  </si>
  <si>
    <t>Давно хотела купить хлебопечку. Остановила свой выбор именно на этой модели. Понравилась внешне и по функциям подходила. Читала на сайтах, что корочка получается бледная и не поджаривается. С большим нетерпением ждала окончания процесса выпечки. И к моему удивлению хлеб получился  поджаристым и хрустящим. Хлеб вкусный и ароматный. Очень довольна.</t>
  </si>
  <si>
    <t>2017-01-06</t>
  </si>
  <si>
    <t>Мощный, прост в управлении</t>
  </si>
  <si>
    <t>2017-03-02</t>
  </si>
  <si>
    <t>Прекрасно моет полы и пылесосит, аквафильтр делает воздух свежим, уменьшает количество пыли в квартире.</t>
  </si>
  <si>
    <t>2644</t>
  </si>
  <si>
    <t>Великолепная консоль, модное исполнение, ничего лишнего, совместимость со всей домашней аппаратурой (в том числе и марки sony), лёгкие джойстики, читает DVD-фильмы, и форматы AVI и MP4, фильмы на дисках Bly-Ray, поддержка FullHD.</t>
  </si>
  <si>
    <t>Кончилась гарантия, кончился и аппарат. В ремонте поставили диагноз - ТРУП!   Батарея заряд плохо держала, глючил частенько.  Вообще после покупки, примерно через пару недель уже пожалел что взял</t>
  </si>
  <si>
    <t>2015-01-13</t>
  </si>
  <si>
    <t>Смотрится красиво, работает отлично. Пои сравнению с другими гораздо тише. Вот только инструкцию нужно прочитать, а то вот поставили вытяжку, неделю возмущались, почему не работает, а потом обнаружили над решеткой картон))))))</t>
  </si>
  <si>
    <t>Очень достойная акустика.Конкурентов в этом ценовом диапазоне практически нет.Звучат чисто,даже на максимальной громкости минимум искажений(при правильной настройке частот).Советую всем к приобретению.(Кстати журнал "Потребитель" рекомендует к приобретению).</t>
  </si>
  <si>
    <t>199</t>
  </si>
  <si>
    <t>Анастасия, данную швейную машинку можно использовать для шитья кожи. Для этого рекомендуется использовать иглы для кожи с 12-18.</t>
  </si>
  <si>
    <t>2350</t>
  </si>
  <si>
    <t>Захотел купить домой тепловой вентилятор хороший и я думаю что у меня получилось.Данный вентилятор очень хорошо греет,а также у него работает вентилятор без нагрева даже летом можно использовать.Прост в управлении.Смотрел модели по дороже,греют также и опции почти одинаковые,зачем переплачивать просто так.Так что кто решил купить тепловентилятор и при этом не разорится ,вперед за данной моделью.Рекомендую!!!!!</t>
  </si>
  <si>
    <t>Искали пылесос для мамы. В деревню. Чтоб не морочиться ей с мешками-пылесборниками (где она их купит-то). Конечно чтоб фильтр был хороший - а тут максимальная фильтрация НЕРА13. естественно и его моющийся искали (а не сменный). Мощность всасывания 390Вт-максимальная из аналогов по цене.   Тоже заметил, что не весь мусор вываливается - застревают длинные женские волосы :-) Но уж раз в год отвинтить болты крышки и их снять не представляет проблемы (тем более что их наличие на мощность всасывания почти не влияет- не в том месте они скапливаются чтоб мешать).  Пальцы на растопырку мама не держит - регулятор мощности не задевает :-)  В общем, мне нравится.</t>
  </si>
  <si>
    <t>2014-11-15</t>
  </si>
  <si>
    <t>Приобретал такой 3 года назад, установил и пользовался без проблем. Он у меня охлаждал не то что паспортных 20, но 46 (!!!) квадратов без проблем. Кондей тихий, современный, все функции есть, 2 больших экрана на пульте и на самом кондее, удобное - подсветка кнопок на пульте.</t>
  </si>
  <si>
    <t>купил этот плеер сегодня! очень понравился!!!!!! за такую цену и такой плеер! я немогу найти игру по моему её нет в природе!!! но в описании есть 1 игра помогите напишите где она находится!!! А так плеер СУПЕР!!!</t>
  </si>
  <si>
    <t>2010-09-15</t>
  </si>
  <si>
    <t>купил, все устраивает,вот тока почему корпус её нагревается?это так должо или что то с ней не так?</t>
  </si>
  <si>
    <t>2010-11-01</t>
  </si>
  <si>
    <t>Все устраевает,но судя по отзывам других пользывателей,у нас у всех общая проблема:ОЧЕНЬ СЛАБАЯ батарейка,а так доволен:)</t>
  </si>
  <si>
    <t>2009-11-20</t>
  </si>
  <si>
    <t>Отличный телевизор!  Не пожалел что купил - очень доволен!  Кабельное ТВ показывает нормально, DVD по HDMI (видео сигнал) идут отлично!    Цветопередача прекрасная, простое меню, легкая быстрая настройка в общем берите не пожалеете ))))</t>
  </si>
  <si>
    <t>купил покатался полторы недели, начала заикаться и автоматически перезагружаться. поехал менять</t>
  </si>
  <si>
    <t>2016-06-09</t>
  </si>
  <si>
    <t>Купили по акции остались довольны.</t>
  </si>
  <si>
    <t>Пользуюсь уже года польора, меняла батарейки. Взвешивают вполне сносно, надо просто чтобы поверхность стола была ровная, чтобы все 4 ножки плотно стояли. Погрешность 400 грамм??? Да это просто неисправные весы, такие надо сдавать обратно, а не жаловаться, что весы плохие.   Единственный минус - действительно туго нажимается сенсорная кнопка включения.</t>
  </si>
  <si>
    <t>подсветка, быстро закипает вода</t>
  </si>
  <si>
    <t>146</t>
  </si>
  <si>
    <t>Очень хорошая, качественная вещь.  Держит тепло долго, не пахнет.  Удобный, продуманный до мелочей. Пользуюсь 3 около трех лет, очень доволен.</t>
  </si>
  <si>
    <t>2016-09-07</t>
  </si>
  <si>
    <t>Она вмещает в себя один килограмм белья, который стирает по истечению 15 минут. Во время работы она потребляет всего лишь 140 Ватт. Стиральная машина Принцесса СМ-1 купила данную машинку для дачи руками стирать надоело,стирает равномерно, потому что мотор вращается по особому алгоритму. Эту мини-стиральную машину удобно переносить с помощью специальной ручки. Также можно применять практически любой порошок в независимости от стирки, для которой он предназначен. СМ -1 blue обладает прорезиненными ножками, ее можно устанавливать на неровную поверхность,но мы сделали металлическую подставочку Она обладает реверсным вращением активатора. Вода заливается через шланг или с ведра.мне лично с ведра удобнее и быстрее Сетевой шнур имеет длину 1,5 метра, а вес машинки равен 5 килограмм. Бак изготовлен из высококачественного пластика, который устойчив к коррозии и механическим воздействиям. Ширина машинки составляет 34 сантиметра, высота – 45, а глубина – 30 сантиметров. На корпусе предусмотрены специальные переключатели, которые предназначены для выбора режима стирки.самое главное стирает,правда,трудные пятна приходится сначала застирывать.конечно не автомат,так как отжима нет и приходится потом полоскать,но для дачи очень неплохое вариант!</t>
  </si>
  <si>
    <t>2010-10-18</t>
  </si>
  <si>
    <t>Телефон просто супер!я довольна всем.</t>
  </si>
  <si>
    <t>2011-07-28</t>
  </si>
  <si>
    <t>Достоинства:  Отличный влагозащищённый корпус, прекрасно лежит в руке. Брал детям. Самые лёгкие и эргономичные из всех, что были в наличии в городе момент покупки. Питание - 3 аккумулятора ААА, а не 4 как у конкурентов. Приемлемое качество связи, возможность передачи звукового сигнала вызова на связь (как в телефоне). Очень удобная функция - брал на отдых: слышно вызов метров за 20-25 на берегу моря. Приличный тональный шумодав. Гарнитуры в комплекте. Удобное меню. Дальность связи в деревне при отсутствии прямой видимости - 1-2 км. На берегу моря в условиях малоэтажной застройки тоже 1-2 км с отличным качеством.  Своих денег стоят.  Недостатки:  Мала дальность связи в городе - метров 300. Ёмкости аккумулятора хватает на 1 день не больше, но заряжаются быстро. Зарядник не отключается автоматически по окончании зарядки.</t>
  </si>
  <si>
    <t>345</t>
  </si>
  <si>
    <t>Хороший. Мне нравится. Мощный аппарат.</t>
  </si>
  <si>
    <t>2013-01-25</t>
  </si>
  <si>
    <t>Купили, остались жутко не довольны. Быстро забиваються фильтра и теряеться мощность всасывания. Много уходет времени для того чтобы почистить весь пылисо, к томуже нужно разбирать почти весь. В итоге пылисосит плохо, очень шумный. Не удобные щетки. Не советую данный пылисос . Деньги на ветер.</t>
  </si>
  <si>
    <t>1292</t>
  </si>
  <si>
    <t>2016-03-03</t>
  </si>
  <si>
    <t>Как-то долго искала чайник большого объема, пока не нашла этот. На мое счастье он еще и в остальном оказался очень неплох. Пользует его очень много человек – у нас целое общежитие в четырехкомнатной квартире. Обычно техника убивается за пару месяцев. Этому чайнику уже четвертый месяц и ничего, справляется пока. Греется нормально, вода тоже нормального качества получается и плюс отключается четко, если мало воды – этим часто грешат соседи, отчего техника и летит.</t>
  </si>
  <si>
    <t>762</t>
  </si>
  <si>
    <t>Флэшка отличная, дизайн отличный, скорость хорошая, запись происходит мгновенно. Рекомендую. Единственный минус для меня - ширина флэшки большая, в ноутбуке не вставляется в USB, т.к. там они близко друг к другу и мешает разъем мышки. Но с этим можно мириться.</t>
  </si>
  <si>
    <t>2014-01-05</t>
  </si>
  <si>
    <t>Крутой подарок на новый год. Радуюсь до сих пор. Игры отличные,особо играю в Праздник Спорта 2 :D</t>
  </si>
  <si>
    <t>Минусы; звук не понравился, подставка шатается, на пульте кнопки мелкие.  Плюсы: фирма качественная + гарантия 3 года, не высокая цена за FullHD, не так тяжёлый, лёгкие и простые настройки на русском языке.  Как показывает судить сложно без блю рай плеера в скором времени куплю и тогда точно скажу. Для аналогового сигнала и dvd большеват.</t>
  </si>
  <si>
    <t>1756</t>
  </si>
  <si>
    <t>2012-11-15</t>
  </si>
  <si>
    <t>При выборе тостера искал именно такой, у которого можно было бы поджаривать тост как с двух, так и с одной стороны, так как очень люблю бутерброды. Как ни странно такая функция оказалась только в этом тостере, поэтому я купил именно его, в чём ни капли не жалею. Ещё мне очень понравился плавный спуск и подъём тостов.</t>
  </si>
  <si>
    <t>2779</t>
  </si>
  <si>
    <t>Очень стильный ноутбук, в отличии от других производителей его "простая" окраска намного симпатичнее, чем другие "разноцветные" ноутбуки. Функции вполне устраивают.</t>
  </si>
  <si>
    <t>2012-06-22</t>
  </si>
  <si>
    <t>Наушники очень неплохие.Звук вполне достойный. свои деньги отрабатывают полностью.Прожили у меня ровно два года.Звук достаточно сбалансированный,но, пожалуй, без изысков.Приличные басы, отчетливые высокие частоты, диапазон воспроизведения, конечно, похуже чем у мониторных, но заметно это только в сравнении и на сложных композициях.Хорошая шумоизоляция не надо сильно задирать громкость в плеере.Оптимальное соотношение цена качество, если не хочется сильно тратиться, но хочется приличного звучания.</t>
  </si>
  <si>
    <t>2010-11-25</t>
  </si>
  <si>
    <t>Вчера купил этот саб, вполне доволен!</t>
  </si>
  <si>
    <t>Плеер устраивает всем. Единственный минус - и если честно он меня сильно достает - это слегка неадекватное управление. Сенсор слишком чувствителен и часто попадаешь не на ту кнопку, или он срабатывает пока убираешь палец с кнопки - т.е через воздух.  Тем у кого не читает видео - инструкцию чтиать надо. Видео конвертируется через прилагаемую программму.Я вот прекрасно на нем смотрел кино пару тройку раз.</t>
  </si>
  <si>
    <t>У меня стоял,саб отменный!  Но я хотел спросить,будет ли он еще в продаже?сколько ни зайду только маленькие продают.хотел бы в ближайшее время купить.</t>
  </si>
  <si>
    <t>1593</t>
  </si>
  <si>
    <t>Супер печка! выше всяких похвал. Купили три недели назад, пользуюсь всякими рецептами (не только именно для Панасоник), экспериментирую, так вот, ни одного "прокола", все хлеба вкусные, тесто великолепное. Думаю, дело именно в фирме. Хотите качественную вещь и чтобы результат не разочаровал - приобретайте.</t>
  </si>
  <si>
    <t>Это моя четрёртая соковыжималка, так что есть с чем сравнивать. Подходит для большого количества перерабатываемых продуктов, а вот для стакана сока на завтрак лучше подобрать что-то другое, потому что этот агрегат крупный, мощный, работает громко - утром, выжимая стаканчик сока, разбудите всех соседей.   Моется так же, как и все другие соковыжималки, не легче и не сложнее.  Жмых сухой, для пюре не годится ещё и потому, что получаются крупные частички. А вот пену вполне можно давать детям под видом пюре.   Из минусов - сильный рывок на старте и жмых почему-то не спешит лететь в отведённый ему стакан, а весь собирается под прозрачной крышкой, забивая её. Боюсь, что это приведёт к скорейшему сгоранию мотора.   Не пробовала мелкие ягоды, но думаю, что пока вы закроете толкателем загрузочное отверстие, все брызги будут на ваших стенах.</t>
  </si>
  <si>
    <t>Отличный телевизор! Наилучшее соотношение цены и качества. Пульт не всегда адекватно реагирует на нажатия. ТВ программы смотрю через обычную антенну, качество супер, звук тоже порадовал! Единственная проблемка с моим ноутбуком HP Pavilion DM3, при разрешении 1920x1080 на телевизоре все равно остаются черные полосы со всех сторон(((((, может я с настройками что-то намудрил,а так очень доволен!</t>
  </si>
  <si>
    <t>Я очень довольна. Все что нужно в ней есть, всеми функциями пользуюсь.  Единственный недостаток - нет защиты от детей, но это уже не за такие деньги. Отличный выбор. Рекомендую.</t>
  </si>
  <si>
    <t>2015-12-10</t>
  </si>
  <si>
    <t>Уже вторые такие покупаем. Устраивает длинный шнур. Всё очень хорошо.. Но.. Вторые купили,потому что пропал звук в одном ухе.. Со временем со вторыми тоже самое произошло.. Вторые,конечно, потрепали может. Иногда оденешь, переходишь в них - сам наступишь на провод, вздёргивается он, может контакты и нарушились. В одних - пошевелишь - появляется звук ненадолго.. Вот куда их теперь ..может припаять можно? Куплю теперь с более коротким проводом.. Ребёнок пощипал внутри уха..Послужили хорошо..</t>
  </si>
  <si>
    <t>Пользуемся больше месяца,ничего лишнего не капает.Очень слабое крепление на баке - на двух коротких саморезах.Прищлось изобретать дополнительный крепёж к стене на всякий случай.Посмотрим,сколько прослужит.Пока довольны.</t>
  </si>
  <si>
    <t>Через месяц после покупки телевизора Samsung LE-40 B620 R3W при подключении наушников ,в наушниках стали появлятся неприятные шумы. Через два месяца телевизор стал сам выключатся ичерез 10-20 минут включатся.через три месяца он перестал работать вообще. Написал претензию на возврат денег.</t>
  </si>
  <si>
    <t>Согласна со многими отзывами. Не понимаю за что такая цена? Покупал муж, я бы и за 1000 его не купила. Ручка неудобная, кнопка тоже, крышка и т.д. Что в нем эффектного? Если вода плохая, то налет будет через стекло виден, антинакипином страшно даже кипятить</t>
  </si>
  <si>
    <t>Хороший телефон, но слегка медленный в отличии от продавцов магазина где я его покупал</t>
  </si>
  <si>
    <t>2015-08-06</t>
  </si>
  <si>
    <t>Купила пылесос и очень довольна. В первый день перемыла все.  Достоинства: насадки на все случаи жизни очень удобные, встроенная трубка подачи воды, находится внутри основной трубы (у других пылесосов крепится на трубку и болтается),  мощность всасывания отличная, остаточная влажность минимальная, через час ковер сухой, противоударный пластик для чистой воды, видно сколько воды чистой и грязной, отсутствие комплектующих (фильтры, пылесборники и т.п). Недостатки: шумноватый, тяжеловатый, насадка для мытья твердых поверхностей не маневренная. Все его достоинства перекрывают недостатки. Такой же взяла своей маме. Для большого дома подходит на все 1000%.</t>
  </si>
  <si>
    <t>Не работает АОН...  до этого аппарата стоял Panasonic? АОН работал...</t>
  </si>
  <si>
    <t>3052</t>
  </si>
  <si>
    <t>Внешний вид на 5+.Многофункциональна.Недорогая.Несколько режимов разморозки и разогрева.Очень лёгкое управление, с которым я разобралась за считанные секунды.</t>
  </si>
  <si>
    <t>Одна из немногих бюджетных, но при этом хороших машинок для стрижки. Насадка стрижет хорошо, лезвия острые, самозатачивающиеся. Без проблем можно отрегулировать длину волос. Аккумулятор есть, но работает всего 30 минут, в принципе, мне этого хватает, а потом на зарядку ставлю.</t>
  </si>
  <si>
    <t>2014-03-12</t>
  </si>
  <si>
    <t>Есть косяк один, правда) спалил на нем блин(по собственной дури:). купил на 12 см блин, тоже jbl, номиналка 350 уже. Кому понятнее - максималка 1400. Заменил провода в коробке самой. Плюс и минус, как нитки просто! так что, кому не лень, снимите, замените. Лучше станет, вот увидите) а по мощности-разницы не почувствовал. Саб и с родным так же наваливал) так что в общем только 5! за такую цену, само собой! лучший в своем ценовом диапазоне</t>
  </si>
  <si>
    <t>Брали чайник год назад, через пол года потек через стекло индикации уровня, в остальном все отлично.  За такие деньги такое качество неожидали.</t>
  </si>
  <si>
    <t>2412</t>
  </si>
  <si>
    <t>Перед покупкой, облазил все форумы, прочитал много отзывов! После покупки ни разу не сожалел, что купил именно Sony PS3, а не XBOX. Поверьте, есть за что платить! Это и медиа-сервер, и BluRay, а чего стоит игра Little Big Planet!? Много встроенных сервисов, бесплатные онлайн-сервисы и игра по сети, в отличие от XBOX. Sony - лидер! Советую!</t>
  </si>
  <si>
    <t>Уже 5 лет стоит в 2113 раскачивает нормально для своих денег</t>
  </si>
  <si>
    <t>2017-03-14</t>
  </si>
  <si>
    <t>Соотношение цена-звук.</t>
  </si>
  <si>
    <t>2017-02-28</t>
  </si>
  <si>
    <t>Удобное управление мощностью на ручке</t>
  </si>
  <si>
    <t>2009-11-11</t>
  </si>
  <si>
    <t>Камера на высоте,звук хороший,крышка задняя шатается,очень много щелей  При разговоре по 3G вырубился и не включается  Разочарован в SЕ,но не в М-видео!</t>
  </si>
  <si>
    <t>Подарила маме на день рождение. Цена, качество соответствует. Мама Очень довольна, лучше блендера и не нужно. Не переплачивайте за товар, данный блендер достоин уважения.</t>
  </si>
  <si>
    <t>Картинка с ,blu ray очень красивая, новая модель телевизора,вышла первая прошивка,установил без проблем,аппарат стоит таких денег.Рекомендую.</t>
  </si>
  <si>
    <t>2012-11-30</t>
  </si>
  <si>
    <t>Часто езжу в командировки и сталкиваюсь с проблемой мятости вещей, хоть и беру их по минимуму, у этого утюга есть функция прикольная - парового удара, он сам все делает, только держишь перед вещью утюг и все :)) +он компактный, а это важно!!</t>
  </si>
  <si>
    <t>я в восторге: волосы гладкие, блестящие...супер!!!Нагревается на раз,два; волосы не электризуются...Температура выбирается под тип волос. Мне не с чем сравнивать-это мой первый выпрямитель, но я рада,что мне подарили именно его!!!)))</t>
  </si>
  <si>
    <t>Не нашел</t>
  </si>
  <si>
    <t>1419</t>
  </si>
  <si>
    <t>По замерам на машине большой ток утечки - 220мА. Причём самого кондесатора ~180мА.  За 5 дней способен посадить акумм в ноль. Пришлось отказаться от использования данного устройства (</t>
  </si>
  <si>
    <t>2014-07-05</t>
  </si>
  <si>
    <t>Купил машинку, думал за два года накроется, но она очень отличная, с 2007 года работает, собираюсь ее купить теще</t>
  </si>
  <si>
    <t>Пылесосит отлично, удобно то, что не нужно переключать насадку пол/ковёр, удобно вытряхивать пыль и не менять расходники. Но неудобно то, что управление на корпусе, шнур чуть коротковат, а насадки для мягкой и корпусной мебели вообще-фигня, т.к. даже у дешёвой модели LG c контейнером для сбора пыли такие насадки  намного удобнее и эффективнее.</t>
  </si>
  <si>
    <t>797</t>
  </si>
  <si>
    <t>Купили машинку Indesit IWE 6105 B (CIS)в августе. Очень нравится. Стираем почти каждый день. Если правильно установить - то шума почти не слышно. Очень удобно, что на панели есть дисплей - понятно, когда стирка закончится.</t>
  </si>
  <si>
    <t>Очень красивая, безопасная и высокотехнологичная газовая панель, от качественного немецкого производителя.</t>
  </si>
  <si>
    <t>Достаточно хорошо воспроизводит DVD, mp3 играет замечательно как с DVD, так и с CD....Чтение происходит тихо, привода практически не слышно. Открывает диски поцарапанные до "не могу". Флешки читает до 4 гиг включительно, не зависимо есть диск в приводе или нет. Вердикт - хорошее качество за свои деньги....</t>
  </si>
  <si>
    <t>3012</t>
  </si>
  <si>
    <t>Ноутбук достаточно хорош,для своей цены,  тянет некоторые игры ,сильно не греется,загружается быстро (на windows xp sp2)Вобщем свои деньги он оправдывает.</t>
  </si>
  <si>
    <t>Купила кофемолку De Longhi KG 79.Просто супер! очень довольна!</t>
  </si>
  <si>
    <t>2012-08-12</t>
  </si>
  <si>
    <t>Хотела купить себе утюг, пришла в магазин,там мне посоветовали купить парогенератор. Чему я оказалась очень рада! Цена у них одинаковая, а гладит в разы быстрее утюга! Понравилось что пар сухой и очень мощный, им без проблем можно гладить шерстяные вещи, постельное бельё стопками, шторы прямо не снимая с гардины. И внешне он очень симпотичный.   Пользуюсь уже пол года, всем рекомендую!</t>
  </si>
  <si>
    <t>2009-08-11</t>
  </si>
  <si>
    <t>Celeron Dual-Core T3000/1.8 ГГц  RAM 2 ГБ / HDD 160 ГБ.  Вес	2.5 кг    Купил 11-08-09.  Cпец цена 16 990 с легальным Windows - отлично! Вес 2,5 кг - очень хорошо.  Включаешь и практически сразу можно DVD смотреть.    Из разочарований - заявленный на сайте М.Видео HDMI выход отсутствует!!!  Угол обзора по вертикали очень небольшой.</t>
  </si>
  <si>
    <t>2013-03-20</t>
  </si>
  <si>
    <t>Наушники очень интересные. Главная фишка этого изделия, что распайка наушников произведена в противофазе. Поэтому на многих плеерах есть эффект как-бы в одно ухо влетает, из другого вылерает и дефицит баса. Я слушаю на тф. Nokia, взял нокиевскую гарнитуру, отрезал её дешманские ушки, аккуратно разобрал наушники Fisher и припаял нокиевскую гарнитуру непосредственно к динамикам Fisherа, по ходу дела исправил противофазный косяк в распайке. Получились хорошие наушники, с высокой громкостью, ураганными басами. Звучание примерно похоже на звучание советской аппаратуры на гермениевых транзисторах. Класс... Единсвенный минус в наушниках, из корпусов динамиков выходит резиновая защита от перегиба, так вот, это не резина а мягкий пластик. Со временем засохнет закостенеет и начнёт резать провод своими краями, поэтому вся конструкция недолговечна, даже если будете пользоваться аккуратно и бережно, через год полтора, провода в районе амбюшур порвутся.</t>
  </si>
  <si>
    <t>Данную штуковину подарили на свадьбу (5 лет назад).  По ночалу готовили в ней вафли, очень вкусные! потом на время убрали в шкаф.  Но однажды я принесла её на работу (бухгалтерия) и.... о чудо!!! бутерброды улетают, только в путь!!!! да и просто вчерашний батон зажареный с двух торон, здорово хрустит!!!! Теперь мы все сытые и добрые..... кто первый приходит, тот жарит на всех бутерброды с сыром и ветчиной))))) с кофэ просто сказка!!! очень всем рекомендую!!!  Один минус, даже скорее не удобство - нет кнопочки что бы отключать!!((( приходится вытаскивать из розетки ( у нас просто розетка в неочень доступном месте)</t>
  </si>
  <si>
    <t>2013-05-07</t>
  </si>
  <si>
    <t>Купил год назад. Был разачарован, пока не сделал для него ящик на 133 литра с 2 фазиками и поставил усь кикс ар 1.350. Короче киловатт на него дает, ох мама родная, вот это он заиграл. За свою цену он посоревнуеться с другими, советую всем, только ящик переделать, очень мощьно качает особенно на неграх 30-35гц.</t>
  </si>
  <si>
    <t>Не вызывает раздражения</t>
  </si>
  <si>
    <t>2536</t>
  </si>
  <si>
    <t>Вчера купил этот телевизор, супер. Но так и не понял, как его прошить с помощью телефона (N73), помогите пожалуйста!</t>
  </si>
  <si>
    <t>Являюсь счастливым обладателем комбайна серии Bosch MUM 4655EU. Уже много лет служит верой и правдой. Хочу прикупить к нему насадку-соковыжималку как в данной модели. Пользуетесь ли вы ей? Удобная?</t>
  </si>
  <si>
    <t>2016-01-01</t>
  </si>
  <si>
    <t>На работе у меня довольно таки холодно , работаю в я в офисе , но у нас с отоплением  в последние время проблемы , и в офисе находиться было просто нереально.. Вот и пришлось купить для себя этот маленький тепловентилятор.. Включаю его теперь во время работы ,  становится значительно теплее.  Эта модель удобна своими компактными размерами, можно его и на пол поставить и на стол  и просто убрать когда он не нужен.  Хоть и корпус из пластика , но вентилятор сильно не нагревается никогда , и что самое главное во время работы не возникает запаха неприятного.. Тут еще и специальная система безопасности , которая может отключить вентилятор во время перегрева , уже такое было, проверено - работает. Осталась очень довольна покупкой.</t>
  </si>
  <si>
    <t>Хорошие наушники. Крепкие, хорошо звучат и недорогие.</t>
  </si>
  <si>
    <t>Недавно приобрел эту вещь и спешу похвастаться! Сок из нее получается, просто обалденным, пью каждое утро перед работой. Всего из двух яблок получаю целый стакан свежевыжатого сока, жмых абсолютно сухой! Вообщем, я доволен и рекомендую! Не пожалеете!</t>
  </si>
  <si>
    <t>Нетбук великолепный, вчера купил, сразу же поставил Windows 7(минут за 25) Работает идеально, звук достаточно громкий и качественный!!! =) Есть лишь один недостаток, проблема с увеличением видеопамяти, 8 метров мало! :( а так, советую брать, не пожалеете, соотношение цены и качества работают на ура!</t>
  </si>
  <si>
    <t>2014-05-15</t>
  </si>
  <si>
    <t>Сначала щипцы не понравились, но посмотрела видео как правильно пользоваться , результат налицо! локоны голливудской звезды обеспечены. Волосы выглядят красиво,дорого и романтично. Да,долго нагреваются,но зато не перепаливают волосы. Пользуюсь и буду пользоваться.</t>
  </si>
  <si>
    <t>2013-04-19</t>
  </si>
  <si>
    <t>У меня уже был такой утюжок. Пользовалась около 3х лет. Не каких сбоев , волосы не цепляет, выпрямляет отлично! Пришлось выкинуть т.к повредился шнур у основания , ремонту не подлежит, но думаю он отслужил свое. Собираюсь покупать такой же!</t>
  </si>
  <si>
    <t>Машинка отличная, все необходимые функции присутствуют и даже те которыми как и не пользуемся. Работает уже как 4 года, за это время перестирали кучу белья и не только белья. Отстирывает отлично, отжимает тоже на пять. Покупайте не пожалеете. Единственные минус то это шумновато работает двигатель, но это сам двигатель такой.</t>
  </si>
  <si>
    <t>2010-04-14</t>
  </si>
  <si>
    <t>Очень жестокая вещь - тормоза идеально дополняет неадекватное расположение кнопок. Иногда чтобы выключить плеер нужно по полминуты зажимать кнопку. Хотя тем, кто слушает радио хорошо, ведь только в радио управление не тормозит, зато прием ужасен. Сначала думал у меня брак, но после отзывов понял, что это у всех...</t>
  </si>
  <si>
    <t>Купил по скидке, всем доволен, главное правильно от балансировать.Стирает отменно.   В общем Bosch.  За такую цену других вариантов нет.  Немецкой сборки.   Рекомендую.</t>
  </si>
  <si>
    <t>Достоинства: 1. Очень хорошо всасывает жидкость с мягкой мебели( после уборки диван влажный- через 2 часа полностью сухой) 2. Самое главное достоинство это мойка самого пылесоса(занимает не больше 10 мин.,нет никаких мелких фильтров) 3. Спец. щетка для твердых поверхностей( реально ламинат остается чистый и сухой- даже в фасках) Недостатки: шумит конечно как самолет. больше недостатков нет Очень понравилось когда увидел что оказалось в баке мусоросборника, при том что для эксперимента сначала сделал уборку обычным пылесосом(вода была просто черной)и когда начал мыть сам пылесос понял что в принципе к грязи совсем не прикасаюсь(повернул бак горловиной вниз и обдал душем-далее всё чисто), после попробовал отмыть диван(до этого вроде был чистый- с учетом что ему всего пару лет)вода была грязнее чем от пола- а я на этом спал. В итоге: я доволен(не понимаю людей которые пишут, что моющий пылесос фигня), буду советовать. Кстати, запах после уборки класс( не воняет прелостью и остальной ерундой).</t>
  </si>
  <si>
    <t>677</t>
  </si>
  <si>
    <t>2012-05-21</t>
  </si>
  <si>
    <t>Очень хорошие весы, главное взвешиваться на ровном полу. Для устранения погрешности можно сбросить вес ).</t>
  </si>
  <si>
    <t>Печку приобрела 1 месяц назад.Я очень недовольна.Хлеб получается непропеченный, ни запаха, ни вкуса - несъедобный (по рецептам производителя).При выпечке в круглой форме - корочка у хлеба белого цвета.Особенно "убивает" непроходящий запах пластмассы (корпус).   Никому не советую продукцию фирмы BORK.</t>
  </si>
  <si>
    <t>2014-04-22</t>
  </si>
  <si>
    <t>Купил сегодня, установил.75*С - даже близко не лежали. Искупаться не получится,берите накопительный на 4 чел. , 50 л. за глаза хватит.</t>
  </si>
  <si>
    <t>Ребят, зашёл быстренько отзыв написать. До этого была машинка Камерун - отходила 10ять лет (1-2 стрижки в неделю). Скажу вам лезвия керамика и самозаточка - высше. Но стали сдавать батареи (их там не заменить), поэтому встал выбор новой машинки. Все, что здесь есть (почти все) с телескопическими насадками - не берите!! Сами потычте - все эти телескопы не для наших рук ))) Покрутил машинки от 700 р. до 5000 р. и пришел к выводу, что панас &amp;nbsp;- это идеал. Ни сколько не пожалел. Батарея на первой зарядке протянула 50 минут, думаю, если бы волос был не только что помыт, то и дольше бы отработала. Не жуёт, не чавкает, стрижёт даже на махе по волосам. Лезвие ошибок не прощает - каждое движение срезает плоть волос, а если руки растут чуть ниже плеч, то и плоть головы )) Для модельных стригунов (если правите контуры и т.п.) очень удобна тем, что лёгкая и в руке ощущается как авторучка примерно. Штрихами можно сделать с собой все! ))) В общем за эти деньги вещь не может быть лучше. Кстати батареи, кому мало, можно легко заменить на более емкие - они аабсолютно стандартные ААА, так же и на литий-ионные можно заменить, кому заряжать по 8часов в лом ) Все просто и легко, как и всегда у япов. Берите! Не пожалеете. Мне повезло, ещё элегантная подставка для зарядки, насадок и бутылочек от старого Камеруна подошла в идеале...</t>
  </si>
  <si>
    <t>Пользуюсь уже около 4-х месяцев, нареканий никаких нет. Вообще TV-аппаратуру SAMSUNG считаю самой качественной в плане изображения, дизайна, а также в плане дизайна.  Единственное в данной модели не очень понравилось что при переключении каналов получается пауза, но это не критично.  стоял выбор между данной моделью и В550А5, разница в стоимости 5000 руб. в пользу приобретенной модели. Но проконсультировавшись со знакомыми понял что большинство функций и опций имеющихся в модели В550А5, у нас в России не нужны, а сенсорная панель менее удобна, особенно в темное время. у приобретенной модели В530Р7 имеются опции которые действительно пригождаются в России. Мне очень нравится данный телевизор и я рекомендую данную модель всем.  В доме у меня это уже второй TV фирмы SAMSUNG, в данный момент собираюсь приобрести ещё один (маленький) телевизор конечно же SAMSUNG, в спальню.</t>
  </si>
  <si>
    <t>2010-08-24</t>
  </si>
  <si>
    <t>При первом запуске из под машинки появилась течь... Проверили шланги, соединения - все в норме. Течет из передней панели..где именно не известно. Ждем специалиста сервисного центра для оглашения вердикта. Все таки китайская сборка дает о себе знать. Но только не рассчитывали что это выяснится в первого дня. Печально что качество стало такой непозволительной роскошью.</t>
  </si>
  <si>
    <t>2013-03-19</t>
  </si>
  <si>
    <t>Проблемы как у всех. Одни поменяли по гарантии. Теперь перед покупкой буду читать отзывы. Купился как и все на красоту и фирму, но увы. Ни в коем случае не покупать, своих денег не стоят.</t>
  </si>
  <si>
    <t>2382</t>
  </si>
  <si>
    <t>Купил xbox 360 аркадную версию в конце 2009 и сейчас идеально работает . Докупил hdmi кабель теперь на плазме гоняю. Графа супер</t>
  </si>
  <si>
    <t>2017-06-30</t>
  </si>
  <si>
    <t>Компактная, делает действительно мелкий помол, легко чистить</t>
  </si>
  <si>
    <t>Купила утюг несколько дней назад. Очень порадовал своей ценой и удобством использования. Но недолго! В процессе использования обнаружилось, что при нагреве с носика утюга выделяется сильный запах горящего пластика! Пользоваться невозможно. Так  что пришлось обменять на другой. В магазине обменяли без проблем.</t>
  </si>
  <si>
    <t>Три года хотела купить моющий пылесос,читала многоо отзывов, но меня все отгаваривали потому что он тяжелый, большой и вообще мыть пол им не возможно. На день рождения мне подарили это чудо! Мне очень понравилось мыть им пол! у нас в основном плитка, она стала такая блестящая, не узнаю её. Есть и пробковое покрытие, влаги не остается и это плюс. Вода грязная, хотя я мою пол часто, так как у нас маленький ребенок и лохматые животные, с которых в сезон линьки столько сыпится!!! Да он тяжелый, и шумный, чуть громче обычного пылесоса! Мою его минуты за 3, это не доставляет мне неудобств. все просто. Я довольна подарком(при этом я хотела другую марку моющего пылесоса, спасибо консультанту) ! Но зато какой эффект и чистый пол!!!!</t>
  </si>
  <si>
    <t>Купил сегодня эту модель. Перемолола пол ведра мяса. Вроде работает неплохо. Даже может и хорошо. В дальнейшем посмотрим.</t>
  </si>
  <si>
    <t>4 года пользуемся. Очень удобная, легко моется, все работает! Всем рекомендую. Один небольшой минус - когда долго что-то готовишь нагревается панель сенсорного управления.</t>
  </si>
  <si>
    <t>Купила лет 10 назад (если не  больше), работает безотказно, очень удобный, маленький, ничего лишнего, но всё нужное. Единственно, в то время  еще  делали насадки цельнометаллические, а в целом дизайн почти не изменился. Всем  своим  подругам подарила. На мой взгляд, это лучшая  модель компактного комбайна.</t>
  </si>
  <si>
    <t>В целом, кофемашина понравилась. Все работает как надо. Регулировки понятные. Все легко настраивается по вкусу. Есть только один минус: очень много времени проходит пока она переключается с режима пара на кофе. Т.е. для приготовления капучино надо сначала сделать кофе, а потом только взбивать молоко. После взбивания молока придется подождать 3-5 минут, пока можно будет снова сделать чашку кофе. Если делаете несколько чашек капучино это неудобно.</t>
  </si>
  <si>
    <t>Бритва очень слабенькая, быстро забивается, трудно чистить, мучилась - мучилась и пришла к выводу что бритвенный станок удобнее.</t>
  </si>
  <si>
    <t>2735</t>
  </si>
  <si>
    <t>телефон просто супер!!!!!у меня уже 2 года и как новый=))звук просто класс да и не тормозит,стильный,и стойкий падал оч много раз и хоть бы что.</t>
  </si>
  <si>
    <t>Качество супер. При заказе через интернет учтите 2 момента: он огромный, узкий, но очень длинный (примерно 1,2 метра). Воду греет долго, примерно 1,5-2 часа и самое интересное, что после того как помоются 2 человека примерно по 5-8 минут каждый, вода течет уже еле теплая. Мыться начинаем когда стрелка в красной зоне. И еще один момент. Если регулятор нагрева выставить почти на максимум, то у меня он грел воду всю ночь и утром так и не догрел, лампа индикации включения горела, стрелка индикатора была на середине красной зоны, а электричества накрутил...</t>
  </si>
  <si>
    <t>2008</t>
  </si>
  <si>
    <t>Качество стирки в разы выше чем у моего старого Индезита. Еще из плюсов - вместительный барабан, тихая работа (при закрытой дверце даже не слышно что машинка работает).Не ходит ходуном и не двигается вообще. На всякий случай есть полная защита от протечек. Большой и понятный дисплей, кроме того есть функция отложенного старта на 24 часа (правда пользуюсь ей нечасто). Есть приятные дополнительные опции - увеличение времени стирки, легкая глажка, предварительное застирывание. Правда сигналит от окончании стирки она очень громко и у меня не получилось уменьшить громкость звука. А так все устраивает - и качество стирки и сборка - отличные.</t>
  </si>
  <si>
    <t>замешивает все.</t>
  </si>
  <si>
    <t>Пользуюсь этим плеером уже около месяца и я доволен этим девайсом.    Распишу по пунктам:  Звук: Отличный, чистый. Под этот плеер стоит взять хорошие наушники. Эффекты PlayFX здоровские!  Радует что можно слушать музыку формата FLAC.    Экран: Размер экрана специально для просмотра видео, крупный экран, почти 3 дюйма. Качество цветопередачи фото и видео на высоте. Спокойно смотрю видео в разы большего разрешения  экрана плеера.      Сенсор: Хороший отклик, правда не всегда удобно перемещать ползунок, который постоянно прыгает туда - сюда (особенно когда идет речь о сотнях файлов на плеере), но на это можно закрыть глаза.    Встроенная память: Её более чем достаточно. Лично у меня постоянно свободно гиг - два.    Видео: С AVI(DivX) есть проблемки, выскакивает окно "ошибка форматирования" и прочие дела. С AVI (XiviD) плеер более применим. Но есть небольшая трабла: Когда в видео показывают ночь или еще что-то "темное", то появляются "квадратики" в темных местах (впрочем, эта проблема у многих плееров.)  RMVB еще не пробовал закачивать, но думаю с ним особых "проблем" не будет.  Странно, но плеер не воспроизводит MPEG4, пишет "ошибка форматирования"    Часы, таймер, календарь есть. Неплохо для органайзера.  Радует металлический корпус. Как-никак это не пластик.  Электронные книги читать удобно.  Подсветка не утомляет глаза.  FM радио не особо сильное. Но порадовал диапазон частот с выбором стран. (Европа, США...)   Диктофон исправный. Записывает в хорошем качестве.  Функция Lyrics порадовала. Но слова там как-то иногда идут "невпопад".  Аккумулятора хватает часа на 3 т.к. я в основном смотрю видео.  Наушники, которые идут в комплектации плохие. Лучше берите другие, подороже, т.к. качество звука на стандартных - плохое.    Функция "встряхивания" тоже довольно удобная. Только иногда она не кстати переключает песни. Но можно поставить блокировку, и тогда эта проблема будет решена.    Акселерометр работает только с фото и аудио. Фотографии удобно переворачивать в удобном положении.    Меню правда, "кривовато", текст в сообщениях иногда выходит за пределы окна сообщения.    Вообщем плеер на твердую 4-ку.</t>
  </si>
  <si>
    <t>Этот пылесос отмывает все - ковры, диваны, полы, мягкую мебель. А когда сегодня я отмыла с сидения старого стула пятно от варенья, которым я сама его в детстве запачкала (нечаянно!), удивлению и восхищению моему не было предела. Обожаю его! P.S. Я не продавец и не менеджер по продажам этого магазина :) Пылесос действительно работает!</t>
  </si>
  <si>
    <t>Супер, мне нравится, правда из минусов то что шумит и нагревается.Советую.</t>
  </si>
  <si>
    <t>купил летом вместе с очистителем воздуха.     аппарат радует глаз, пока работает, никаких претензий нет.    Просто красивый и надежный...наверное техника такой и должна быть...</t>
  </si>
  <si>
    <t>1030</t>
  </si>
  <si>
    <t>Прокаливание духовки перед первым применением     Для долговечной службы и качественной работы духового шкафа необходимо четко придерживаться правил эксплуатации. К сожалению, многие забывают про  процесс прокаливания духового шкафа перед первым применением, и результат в виде неприятного запаха при готовке не заставляет себя ждать. Прокаливание подразумевает «обжиг» духового шкафа при температуре в 250 градусов в течение часа. Данная операция позволит избавиться от «заводского запаха», который присутствует в любом духовом шкафу любого производителя. Итак, прокаливаем духовку при температуре 250 градусов час-полтора на режиме верхний нагрев + нижний нагрев. При этом процессе не забудьте открыть форточку, ибо запах будет неприятным. После прокаливания следует открыть дверцу духового шкафа на 1/4. Можно и полностью, но будьте аккуратны — температура внутренней поверхности слишком высока. Форточка, при этом, также должна быть в открытом состоянии. Запах улетучится примерно через 30 минут. После этого возьмите средство для очистки внутренней части духового шкафа. Им вы сможете очистить эмаль от остатков запаха. Дайте духовке проветриться еще минут 20 и можете приступать к приготовлению пищи!</t>
  </si>
  <si>
    <t>2010-08-19</t>
  </si>
  <si>
    <t>Купили соковыжималку два дня назад.. и ОЧЕНЬ пожалели.. получается не сок, а пюре.... будем возвращать...</t>
  </si>
  <si>
    <t>2013-01-17</t>
  </si>
  <si>
    <t>Муж подарил мне на Новый Год, я очень довольна подарком! Делала в ней слойки из слоенного бездрожжевого теста с яблоками, с колбасой и сыром, с сосисками, с бананами и шоколадом. Офигенные получаются и большие! И вафли пекла тоже суперские! А завтра буду бутики делать!Берите не пожалеете!!!</t>
  </si>
  <si>
    <t>VITEK VT-1761BK покупали в 2013г. 2 шт. (один себе, другой – в подарок). Оба работают без нареканий. Модель не шумная,  иногда несильно булькает. Увлажняет воздух хорошо, при непрерывной работе за день можно поднять влажность в комнате 18 кв.м. с 20% до 60% (в комнате стоит гигрометр), при этом влажность ощущается уже чрезмерной =) Неприятности типа протечек воды были пару раз, все по причине неаккуратной сборки после заполнения водой и установки на основание. Как уже говорили ранее другие пользователи, причиной белого налета вокруг на поверхностях является состав воды, заливаемой в бак. Например, если заливать воду после обратноосматической системы очистки, то никакого налета не будет.  Достоинства: Производительность. Вместительный бак: 5л. Удобство очистки. Удобство управления.  Недостатки: Подсветка ручек регулировки иногда не включается (на работу не влияет).  Итог: Покупкой довольны. Прибор справляется со своими обязанностями и нагрузкой.</t>
  </si>
  <si>
    <t>1165</t>
  </si>
  <si>
    <t>увидел на сайте хорошую цену.пошел купил.принес домой включил .... обрадовался!работает!!!греет разогревает единственное не пробывал еще грилевать мяско .... а так аппарат мощный.можно пиццу с легкостью засунуть по размерам канечно огромная но 23л объем!супер мне все нравится спасиб  мвидео что оно есть  и недалеко от дома покупаю аппаратуру только там еще ничего не подводило.</t>
  </si>
  <si>
    <t>Телефон не понравился:  информация на дисплей выводится тонкими, гнутыми , трудно читаемыми  буквами.На клавиатуре нет русских букв, что неудобно для ввода абонентов в записную книжку.  ВНИМАНИЕ !  Введены новые правила торговли телефонными аппаратами:  возврат денег за купленный товар не производится, возможен только обмен на равноценный по стоимости или на более высокий по цене.</t>
  </si>
  <si>
    <t>Поработал около полугода. Потом поиграет несколько сек одного трека и тановится на стоп. Ремонтировать никто не берется. Говорят, дешевле новый купить</t>
  </si>
  <si>
    <t>Пользуюсь долго, но теперь только венчиком - у ножа внутри поржавели какие-то детали и он уже непригодный, т.к. при использовании вытекает ржавчина и жутко воняет...</t>
  </si>
  <si>
    <t>Купили в 2009 году, в первый год стирали через день и сегодня она работает отлично, есть только 1 минус это сильный шум при отжиме.&amp;nbsp; Просто закрываю дверь в ванной ))).В общем хорошая стиралка.</t>
  </si>
  <si>
    <t>1705</t>
  </si>
  <si>
    <t>На мой взгляд xbox360 и была неплохой приставкой,но с выходом slim она стала еще круче.Покупайте,не пожалеете!</t>
  </si>
  <si>
    <t>Пользуюсь этими наушниками уже около года.Могу порекомендовать.Отличный звук...думаю за такие деньги лучше вряд ли найдешь.</t>
  </si>
  <si>
    <t>3010201</t>
  </si>
  <si>
    <t>Мне очень симпатичны сказки этого автора. Мало кто в наши дни наделен таким литературным вкусом, чтобы так просто и легко создавать сказки для детей и взрослых одновременно.Спасибо.</t>
  </si>
  <si>
    <t>Выбирали чайник по прямым функциям + цвет. Сперва взяли чешский браун,который имел запах, а от воды заныл желудок.Позвонил в магазин сказали,что поменяют! За что им РЕСПЕКТ!Принес- и без проблем поменяли!К сожалению не все так могут...Поставил 5 ,потому как найти чайник, от воды которого не сморщишься-просто невозможно!Хотелось бы чтобы подольше работал.До этого были "чистые" немец и француз тефаль безукоризненные! Но всему приходит время...А травиться химией с красивым дизайном не хотим.Ещё раз спасибо персоналу ,ибо мнение о сети создаётся ими!</t>
  </si>
  <si>
    <t>2015-03-05</t>
  </si>
  <si>
    <t>Купили все кастрюли из набора, посуда очень нравится. Готовим на индукционной плите - ничего не пригорает, ручки не нагреваются, дно практически не царапается. Удобный слив, уже забыли,что такое дуршлаг. По объему тоже очень удобны.</t>
  </si>
  <si>
    <t>Супер цена за 3G. Качество исполнения на высоте. Берите пока есть. Выпуск этой модели уже прекращён. Все плюсы. Кроме одного. У этого аппарата батарея не очень сильная. Но мне хватает. Карту до 8Гб держит. Рекомендую!</t>
  </si>
  <si>
    <t>1693</t>
  </si>
  <si>
    <t>2012-12-29</t>
  </si>
  <si>
    <t>Отличная щетка! Но это именно для укладки волос, не для сушки. Пользуюсь уже год, очень довольна.</t>
  </si>
  <si>
    <t>Взял сегодня по акции - вроде ничего, но 64-битная винда уже мозг вынесла(( Обычные программы не работают, 64-битные не найдешь. Похоже сносить придется.</t>
  </si>
  <si>
    <t>купил этот телевизор,очень понравился мне! но не пойму как найти цифровые каналы! я живу в Абхазии, тут цифровое тел. есть!</t>
  </si>
  <si>
    <t>Машиной пользовались 1.5 года, после начала глючить и в итоге выключилась вовсе, вызвали диагноста, итог: необходимо менять платы, каждая из них стоит по 5 тыс. примерно... т.е. цена новой машины... мастер сказал не берите никогда машины нашей сборки, они одноразовые!!! Переплачу, куплю Boch</t>
  </si>
  <si>
    <t>3186</t>
  </si>
  <si>
    <t>2013-12-26</t>
  </si>
  <si>
    <t>Неплохая флешка. Скорость чтения/записи на уровне (не самая быстрая, но и не самая медленная). Единственное нарекание в плане корпуса - хотелось бы более прочный корпус.</t>
  </si>
  <si>
    <t>2013-09-04</t>
  </si>
  <si>
    <t>Чайник отработал ровно год. Никаких запахов, трещин и проблем. Знаю несколько человек у кого такой же - у кого-то уже 2 года, кто-то покупал вместе со мной одновременно и все довольны. Из недостатков - через несколько минут после выключения звучит щелчок. Если знаешь об этом, то особо не напрягает. Думаю, год назад чайники начали клепать из плохой пластмассы и общее качество резко упало.</t>
  </si>
  <si>
    <t>Купила новые колонки, так в них сразу же начали западать низкие частоты. И так крутилась с настройками и эдак, но слушать Киллерс или Мьюз мне так и не стало комфортнее. Все-таки в музыке важно все, а не только середина и высокие. Купила этот саб. Ну, как девочка, ориентировалась и на внешний вид - он такой симпатичный) Сделан из МДФ, сверху лаком покрыт, тканевая защита прочная, не пылесборник. И хорошие крепенькие ножки у него, не дадут свалиться и не поцарапают мебель.  И к колонкам белым лучше не подобрать. Наконец-то смогла нормально воспринимать любую музыку. При этом не скажу, что басы прямо долбят и я, поднеся руку к колонкам, могу почувствовать, как поток звука меня в руку шибает. Нет, все прекрасно сбалансировано, низкие не лезут на первый план, но они есть и их достаточно! Частотный диапазон нормальный - 33 - 200 Гц, ни больше, ни меньше мне не надо. На сабе есть собственная регулировка громкости. Все предусмотрено, все хорошо и аккуратно реализовано. Фазоинвертор, правда, сзади, ну поставила так, чтобы это никоим образом не мешало, а что бы спереди его было не сделать, я так и не поняла.</t>
  </si>
  <si>
    <t>2967</t>
  </si>
  <si>
    <t>Вот давно хотел его себе, завтра еду покупать!</t>
  </si>
  <si>
    <t>практически бесшумный, стильный, качественные материалы</t>
  </si>
  <si>
    <t>2012-03-28</t>
  </si>
  <si>
    <t>Не могу сказать ничего хорошего про индезит... родители пользуются несколько лет этой маркой стиральной машины и уже неисчисляемое количество раз ремонтируют, особенно блокиратор дверцы, который ломается с интервалом в полтора, два месяца; купил себе индезит IWSD5105... во время отжима она у меня чуть не ушла в коридор, а во время второй стирки вообще зависла и выдала ошибку F01; индикатор блокировки горит, а дверца свободно открывается. Не советую.</t>
  </si>
  <si>
    <t>Из плюсов - цена. Минусы - сгорел тен через месяц пользования.</t>
  </si>
  <si>
    <t>купили 2 дня назад.Все устраивает,хорошее соотношение цены и качества :)</t>
  </si>
  <si>
    <t>Я являюсь пользователем Пилотов уже больше 10 лет без каких-либо нареканий. Но вот пришло время их поменять и меня постигла та же участь, что и тех, кто оставил плохие отзывы. Фильтр, купленный в феврале 2015г. перестал работать ни с того ни сего уже через 3 месяца. В М-Видео обменяли на новый, который установил рекорд - 1,5 месяца и умер. Но тут я решила больше не искушать судьбу, начитавшись отзывов, и обратилась напрямую к производителю. Как оказалось, это какой-то производственный брак, который они не смогли сразу выявить. Компания предложила его обменять, что я и сделала. Надеюсь, он отработает положенный срок службы. Все-таки Пилоты остаются лучшими в своем ценовом сегменте.</t>
  </si>
  <si>
    <t>Телефон был подарен мне на новый год, очень понравился внешне и фирме нокиа раньше доверяла. Через некоторое время начал постоянно зависать. Мог зависнуть прямо во время разговора, либо очень часто при запущенных встроенных играх, временами так глухо, что приходится доставать батарейку, может сразу включится, может только минут через 40. В общем уже надоело с ним мучиться поменяю на другую модель.</t>
  </si>
  <si>
    <t>Прошелся по всем магазинам города и остановил выбор именно на этой моделе. Ни чуть не пожалел о покупке! Ноут стоит своих денег. Производительность очень радует: можно и поработать да и поиграть немного. По-моему лучше бука за эти деньги просто не найти.</t>
  </si>
  <si>
    <t>1680</t>
  </si>
  <si>
    <t>зашёл на сайт посмотреть что хорошего появилось, но что-то всё не то и это произведение то же, у меня асер аспире 6930г, тянет всё игры (Метро не пробовал не интересует), в онлайне четыре метина2 одновременно + мои программы, ноут работает постоянно, не выключаю уже 5 месяцев:), пока лучше не видел, ни по звуку ни по оснастке портов, есть тут  4-ёх ядерный асер, но оснащён плохо...а 2-х ядерные уже прошлый век:)</t>
  </si>
  <si>
    <t>2011-05-17</t>
  </si>
  <si>
    <t>Посудомоечная машина этой модели была куплена и установлена перед новым годом (в конце декабря 2010 г.). За месяц ее использования мнение о ней средненькое, 100% качества мойки нет (хотя класс мойки А).  Объясню в чем разочарование: 1. машина плохо моет кастрюли (местами внутри может остаться частички пищи, а так же кастрюли, в которых варилось мясо - остается кантик, который образуется при варке мяса наверху). Приходится после этого отмывать касяки в ручную (так происходит даже на 70 градусной программе).  2.сушит как-то странно, все-равно посуда влажная (но для меня это не принципиально, поэтому не обращаю на это внимание).  3. если держать дверцу машины закрытой, то в ней накапливается специфический неприятный запах (так было даже после первой мойки самой машины (еще без посуды). Для борьбы с запахом держим дверь машины все-время приоткрытой (кроме момента когда она работает, конечно).  В целом мама машиной довольна.</t>
  </si>
  <si>
    <t>2015-03-25</t>
  </si>
  <si>
    <t>Пользуемся года два - аккумуляторы работают, но выявлены недостатки модели. 1). Главное - нельзя "отбить" входящий звонок без поднятия трубки. Очень важно, когда звонит абонент с повременной оплатой разговора и нужно ему перезвонить, "отбив" его звонок. 2). База не звонит, поэтому, когда трубка не на базе, а абонент рядом с базой - звонок  можно не услышать. 3). Звонок достаточно тихий - часто не слышим, находясь в соседней комнате.</t>
  </si>
  <si>
    <t>1877</t>
  </si>
  <si>
    <t>В общем плеер конечно неплохой.. экран очень нравится, яркий, красивый.. Правда видео в большинстве случаев для него придется перекодировать, так что будьте морально к этому готовы.. Воспроизводит даже ролики 3гп и мр4 - это радует.. Также радует поддержка текстовых файликов, читалка очень даже приличная, прочитал не один десяток книг на нем.. Картинки, фотографии - тоже отлично смотрятся на нем.. Но не все идеально, есть конечно и минусы.. Из минусов выделю: 1. когда много песен в папке, то почему-то плеер не воспроизводит все песни подряд, несколько песен пропускается.. т.е. например 2-3 песни идут подряд, потом резко перескакивается на 6-ю и так далее.. 2. картинки разрешения .jpg все почему-то не открывает, выскакивает ошибка типа испорченный файл, хотя на компе все прекрасно открывается.. А в целом, если поставить режим случайного воспроизведения песен, то все просто прекрасно!</t>
  </si>
  <si>
    <t>Ужасная модель пылесоса! Когда выбирала себе пылесос, искала компактную модель по приемлемой цене, мне настоятельно рекомендовали этот экземпляр, в итоге я стала "счастливой" обладательницей сего шедевра. На деле оказалось, что мощность всасывания низкая,сильно шумит, во время работы в комнате специфический запах пластмассы (довольно сильный), трубка постоянно вываливается из шланга, короче говоря - сплошное разочарование! Я конечно понимаю, что за такую цену ничего большего ожидать и не приходилось, но думала, что на этот раз повезет. Теперь придется покупать новый, более дорогой и качественный, так как этим пользоваться не возможно.</t>
  </si>
  <si>
    <t>Покупали на дачу 2 года назад, клюнув на щедрую акцию и почитав про Haier довольно положительные опции. И не пожалел, ребята. Первые впечатления - крепкая сборка, регулятор включения/температуры выполнен кач-но, без люфтов и без намеков на "отлетит". А больше там ничего и нет:)  На мой взгляд неудачное крепление - скобы прикреплены к нагревателю и пришлось вкручивать анкера, одновременно держа его навесу другому человеку . Можно было сделать скобы отдельно на стены и на них потом подвешивать. Но в этом тоже плюс - в эксплуатации надежнее, не слетит с креплений.   Нагревает быстро и тихо. Шкала температуры делениями, без цифр, поэтому нагрев отслеживается относительно, а не абсолютно. При начале использования стрелка почти сразу уходит в "холодную", хотя вода в баке на 70% горячая. Это потому что датчик темп.находится внизу и вновь поступающий поток охлаждает его. Дело привычки, мешает не очень.  Тепло держит хорошо. Например, греем вечером, моемся вдвоем, на след.день в обед вода теплая при включении воды без смешивания с холодной.    В этом году решил его разобрать, так как начал гудеть ТЭН из-за накипи. Со стены не снимал.  Приятно удивила добротная и аккуратная сборка. Контакты не болтаются, детали/контроллеры/датчики на вид и в руке не фуфло, обклеены переливающимися наклейками haier. ТЭН действительно стальной.   В баке было немного воды. Оставляем его на зиму (сливая воду помаксимум), поэтому она явна там замерзала, но ничего не повредилось за две зимы. Это радует!  Немного смутила ржавчина на внешней стороне бака около крепления ТЭНа - похоже конденсат там образуется всё-таки. Почистил ТЭН, снова тишина при включении. Думал даже, что не так собрал и не работает первые моменты.    Отзыв сумбурный, но итог: есть техника "китайщина", а есть качественная китайская. Так вот это вторая. Видно, что производство корпорации, а не суб-китайцев по китайской лицензии. Рекомендую!</t>
  </si>
  <si>
    <t>2016-12-14</t>
  </si>
  <si>
    <t>после 10 кипячений запах и привкус пластмассы не исчез не советую или нюхайте сразу.почувствуете запах сразу меняйте чтобы не кататься зря</t>
  </si>
  <si>
    <t>Пользуюсь им 2 недели - давольна всем! Аккуратный,легкий,яркий дисплей,полноценная клава, блютуз. Лазить по инету - одно удовольствие. Отличное сочетание цены и качества!Всем его рекомендую, кому нужен компактный,не дорогой ноутбук для интернета(не только).Качество сборки на 4+ (не каждый может похвастаться оценкой выше). Батарею держит не больше 2 часов (можно купить дополнительно).</t>
  </si>
  <si>
    <t>701</t>
  </si>
  <si>
    <t>7010101</t>
  </si>
  <si>
    <t>Поменял испорченный триммер без проблем, практически за три минуты. Даже не ожидал</t>
  </si>
  <si>
    <t>Удобство, большая эффективность, автоматическая работа.</t>
  </si>
  <si>
    <t>Духовка замечательная: печет хорошо, выдвижные панели прелесть, глубокий лист тоже удобный. С чисткой специальным средством проблем нет. Из недостатков: сигнал о нагреве нужно сидеть и ждать, один раз пропищит и все на этом.</t>
  </si>
  <si>
    <t>Игра на 5+. Всем советую, даже взрослые играют с увлечением. Очень впечатлила точность передачи движений: например, необходимо следить за положением кисти при игре в пинг-понг и диско-гольф (поразительное сходство с движениями из реальных видов спорта)</t>
  </si>
  <si>
    <t>это мой первый эпиляторо и самый последний ни на что его не променяю. Пользуюсь уже им давно .   Волосы не пропускает и ни какой боли . В комплекте есть очень важная насадка для зоны бикини и подмышек . Конечно только один режим и то это не минус он в полне справляться со своими функциями .. Компактный , в руках держать ну очень удобно .</t>
  </si>
  <si>
    <t>2010-11-12</t>
  </si>
  <si>
    <t>Супер игруха!!!! Всем советую!!!!!</t>
  </si>
  <si>
    <t>Компьютер мощный, Counter-Strike Source тянет на самых максимальных без каких либо тормозов, но после 1 обновления Win7 у меня слетел рабочий стол. Выразилось это так, после перезагрузки всё вроде бы нормально, загрузился, приветствие, а потом цвет фона (у меня чёрный) стрелка и открытая панель управления и всё, ни рабочего стола, ни панели управления Пуск. Слава богу была открыта панель управления, включил восстановления и откатил систему на 1 час, ничего не изменилось, потом на 4 часа, именно тогда пришло обновления win7 (но я отложил перезагрузку на 4 часа), и всё восстановилось.</t>
  </si>
  <si>
    <t>2015-10-31</t>
  </si>
  <si>
    <t>Очень довольна покупкой, ничего не шумит, готовит отменно, телескопические направляющие очень удобный девайс, таймер приготовления оповещает пока его не выключишь, все режимы работают, очень удобная в эксплуатации. И не нужны никакие автоматичнские программы и функции очистки, так что, не переплачивайте деньги за ненужные функции, в данном духовом шкафу есть все необходимые функции, блюда получаются отменными, выпечка вообще супер! Я осталась очень довольна Самсунгом!</t>
  </si>
  <si>
    <t>2014-08-19</t>
  </si>
  <si>
    <t>Очень довольна покупкой. Для стирки мелких вещей незаменимая вещь .Никакого сравнения с автоматом.Просто супер!!! Не простирала за один раз,намыль и включи её еще раз ,в автомате так не сделаешь.Приехал с работы ,поставил в бане на полок,налил 15 литров воды с водонагревателя и пусть стирает (например   носочки).Мне очень нравится.А полоскать можно и в автомате.Ставлю 5.</t>
  </si>
  <si>
    <t>Впервые приобрел себе электробритву и если честно, был поражен. Специально не брился неделю перед тем, как её использовать. Брился ей на сухую и выбрила меня просто идеально! И подбородок и шею, без раздражения на коже! Я в шоке от качества бритья и потому советую эту бритву.</t>
  </si>
  <si>
    <t>2013-03-28</t>
  </si>
  <si>
    <t>Достоинства: Красивый и элегантный вид. Кувшин из стекла,оформление белый пластик,металл. Большая вместимость. Необычная голубая подсветка воды при работе,очень фантастический вид. Пластмассой не пахнет. Недостатки: Кнопка включения расположена неудобно-внизу под ручкой,при включении, приходиться придерживать чайник рукой. Крышка кувшина открывает незначительное пространство для залития воды. Даже на 90 градусов нельзя поднять крышку,можно пролить воду. А когда наливаешь воду в стакан или чашку,приходиться очень сильно наклонять чайник,чтобы вода начала литься.Шумит также как и все чайники. Время нагрева 1,8 литра примерно 5 минут. И еще, время от начала кипячения(когда уже пузыри пошли)до полного выключения чайника,почему то длительное(секунд 30-40)по крайней мере мне так кажеся. Шнур коротковат,впрочем как и у всех эл.чайников. Комментарий: Фирма производитель Австралийская. Сборка КНР. Если Вы хотите иметь стильный предмет (и думаю это надежный чайник)на Вашей кухне-покупайте. Дизайн чайника действительно классный,ну а к перечисленным моим придиркам,думаю можно привыкнуть.</t>
  </si>
  <si>
    <t>2885</t>
  </si>
  <si>
    <t>3 заявы от соседей! надо что-то искать слабее:D</t>
  </si>
  <si>
    <t>Недавно мне подарили кофеварку Moulinex. Она проста и удобна в использование. Мне не понравилась только одно - инструкция. Там не указано должна кофеварка сама отключаться после приготовления кофе или нет.</t>
  </si>
  <si>
    <t>2012-12-21</t>
  </si>
  <si>
    <t>Отличный тостер! Плавная подача тостов, удобная лопаточка в комплекте! Всё что нужно для хорошего завтрака!</t>
  </si>
  <si>
    <t>Тостер не понравился. Не проработал и года. Хлеб поджаривал неравномерно</t>
  </si>
  <si>
    <t>уже 4 года превосходно работает,вся система в норме и никаких замечаний,СУПЕР!!!!!</t>
  </si>
  <si>
    <t>Выбирали весы на месте (не изучая отзывы, а зря!), консультанта не было, понравился дизайн и к Бошу отношение было оч. хорошее. Придя домой и взвесившись, сначало дико обрадовался, показал оч. хороший вес и в дизайн вписались удачно, но через 3 секунды я поправился на полкило, а затем еще на килограмм, а потом похудел на три кило)))). Завтра пойду менять)))</t>
  </si>
  <si>
    <t>2009-08-21</t>
  </si>
  <si>
    <t>Здравствуйте Александр!  У меня такая же проблема с включением и выключением телевизора. Вы уже привезли телевизор с тех. отдела? И каков результат? Стоит его туда возить или так оставить? Особо конечно не мешает это включение, но как то неприятно.</t>
  </si>
  <si>
    <t>Пользуюсь пылесосом четыре месяца. В доме собака и кошка. Полы-линолеум. Очень нравится мощность этого пылесоса-практически всегда использую только на мин. мощности. На минимальной мощности работает ОЧЕНЬ тихо (я даже не ожидала, что пылесос может так работать). Шума моющего пылесоса собака боялась до истерики, этого - не боится. Кошка тоже к нему спокойно относится.  К щётке нужно немного привыкнуть, но в общем, она лучше, чем классическая щетка ковер-пол. Пользуюсь одноразовыми мешками (с пропиткой от животных, чтобы не было запаха в пылесосе). Мешки около 400 р. за 4 штуки. Одного мешка хватает на 3-4 недели. Денег не жалко, так как контейнеры нужно мыть (с контейнером пылесос дарили родственнице), а с мешком-пропылесосил и забыл до следующего раза. В комплекте есть также многоразовый мешок (им не пользуюсь). Одноразовые мешки очень удобно вынимаются-пыли при извлечении мешка нет совсем. На максимальной мощности пылесос, конечно, не очень тихий, но такая мощность нужна разве что на коврах, да и то, на мой взгляд, при использовании турбощетки. Недостатков у пылесоса нет! Я не пожалела о его покупке (вот, разве что, мешки были бы подешевле).</t>
  </si>
  <si>
    <t>1619</t>
  </si>
  <si>
    <t>Купили данную модель. Пользуемся две недели. Довольны. У меня маленький ребенок и собака. Ковер чист отлично. Особенно порадовало количество убранной грязи после первой уборки. Покупайте пылесос с контейнером для пыли LG VK8828HQ, не пожалеете.</t>
  </si>
  <si>
    <t>2614</t>
  </si>
  <si>
    <t>2 дня назад купила этот ноут,  тачпад работает хорошо, сам ноутбук быстренький, меня радует =)</t>
  </si>
  <si>
    <t>3072</t>
  </si>
  <si>
    <t>Ужасное кач-во ,после покупки через 4 месяца стал гудеть,ехать и сдавать стало лень...кое как открыл это чудо,что весьма сложно. И нашел причину! Механизм турбо режима - шестерни резиновые и со временем крошатся, вследствие перескакивают и перестают работать....кое как собрал эту дрянь. Потом он отработал пол года и в итоге сгорел со взрывом,и обжог жену... Сушит нормально как и любой фен с такой мощностью. От профессионального у него только дизайн!!! выкинул и купили нормальный Швейцарский профессиональный!!! Опасный агрегат!!!!! - не советую!!!</t>
  </si>
  <si>
    <t>1658</t>
  </si>
  <si>
    <t>Очень качественный и надежный девайс. Отличный корпус и надежная начинка. Скорость записи-чтения на высоте. Мне очень нравится.</t>
  </si>
  <si>
    <t>2016-02-17</t>
  </si>
  <si>
    <t>Проработала один год и девять дней. пользовались не часто. очень плохое качество. если  работает только в течении гарантийного срока,  зачем покупать дороже? Куплю самую дешевую, м.б дольше поработает )))</t>
  </si>
  <si>
    <t>2088</t>
  </si>
  <si>
    <t>Он потрясный!!!  Sony Vaio по сравнению с с ним просто отдыхает</t>
  </si>
  <si>
    <t>434</t>
  </si>
  <si>
    <t>Наконец-таки FIFA обошла своего конкурента PES.  Игра просто шик!  Спасибо EA за такую игру на PC.</t>
  </si>
  <si>
    <t>Отличная машинка, сушка работает хорошо, можно вещи сразу в шкаф ложить:)</t>
  </si>
  <si>
    <t>Ребята, это пять!!! Полный фарш, желать больше нечего, тут все в одном! В одном отсеке духовка, волновка, быстрая печь, гриль, корвектор... фантазии не хватает придумать минусы! Кнопки удобные, качественные!!! Если сравнить с другими превосходящими в цене даже в разы, она выигрывает, берите не пожалеете, месяц работает как шелковая ! Люблю ее, жену первую неделю оторвать не мог, все в ней готовила, в общем, берите не пожалеете!</t>
  </si>
  <si>
    <t>1311</t>
  </si>
  <si>
    <t>купил в декабре, через 3 месяца наушники стали играть тока в левом ухе всё отлично, а уши не пашут, причём никакие</t>
  </si>
  <si>
    <t>2013-05-06</t>
  </si>
  <si>
    <t>Тостер отличный за небольшие деньги. Пользуемся больше года, никаких нареканий. Получаются хорошие тосты, на 3-4 минутах - хрустящая корочка, на 7ми - уже почернеет. Режимами подогрева не пользовались, не было необходимости, а в качестве делания тостов - большего от тостера и желать нечего.</t>
  </si>
  <si>
    <t>Пароваркой пользуюсь полгода,очень нравиться. Особенно рыба получается вкусно и сочно. Радует,что есть отсек для специй,т.к.ребенок не любит есть пищу с приправой, а тут положил в отсек -  ароматно и вкусно! Я довольна пароваркой.</t>
  </si>
  <si>
    <t>Аппарат убойный!!!! он стоит своих денег. Но хочу предупредить владельцев, и тех кто только собирается его приобрести: Берегите экран он ооооочень хрупкий!!!! И гарантия магазинная тоже не помешает.</t>
  </si>
  <si>
    <t>2011-01-03</t>
  </si>
  <si>
    <t>Отличный монитор и прекрасный телевизор, полностью соответствует описанию. Все интерфейсы работают без проблем, удобные настройки как ручные так и автоматические, цветопередача на высоте. Занимаюсь графикой и фото, даже с этой задачей справляется очень неплохо, есть небольшая засветка по краям на черном фоне в полной темноте, но на реальной картинке этого не видно.</t>
  </si>
  <si>
    <t>1043</t>
  </si>
  <si>
    <t>2012-04-22</t>
  </si>
  <si>
    <t>Хороший холодильник! Купил себе по рекомендации продавца! Современный, надежный, отлично со всем справляется. Морозилка быстро замораживает. У меня дома постоянные проблемы в электросети, напряжение скачет. Выдерживает перепады на УРА, работает без сбоев и поломок вот уже 3 года. Рекомендую!</t>
  </si>
  <si>
    <t>Покупала в 11 году, т.к волос примой пользовалась редко. Недавно решила завить утежком волосы, получилось ооочень круто) в восторге от утежка, не сушит, температура подходит, удобный! Не хуже чем те, что  гораздо дороже. Покупала за копейки, и сейчас не дорогой. Очень советую!!!</t>
  </si>
  <si>
    <t>731</t>
  </si>
  <si>
    <t>Через раз при включение компьютера не грузится рабочий стол и не появляется меню пуск. На экране остается предустановленная заставка  При этом после попытки открыть диспетчер задач экран монитора становится черным.</t>
  </si>
  <si>
    <t>2084</t>
  </si>
  <si>
    <t>Купил его два года назад, был доволен им, но мне не понравился уселок - греется очень быстро, проблему быстро решил, поставил на него куллера от компа большие, и щас всё норм)) за такую сумму можно купить его, но уселок хочу другой</t>
  </si>
  <si>
    <t>2009-12-22</t>
  </si>
  <si>
    <t>Итак добавлю, посчитал индекс производительности. Ну неплохо, но почему-то на другом буке послабее индекс оказался на одну десятую больше. Не понял, забил. Поключил жк телевизор по hdmi-hdmi, смотрел звездные войны эпизод III(лицензия dvd-9). Супер. На бонусы взял беспроводную мышь, и с кровати управляю буком. (жаль нет встроенного синего зуба, но не критично, слотов USB в достатке)Очень удобно выключать монитор(есть спец кнопка функциональная)в то время как с него что-либо на монитор проецируешь. Непонятная фича, иногда засыпает так, что не пробудишь, перегруз спасает. Быстрое копирование(сравнивал с настольным пк с XP) на флеш носитель. Зарядный слот расположен удобно, у друга на  hp он сбоку, против асуса на задней стороне, что более удобно, не мешает руке, когда за столом сидишь. USB порты на левой стороне. Что немаловажно при поключении флеш носителя. Игры  производительные так и не поставил, ибо то, что хочу на лицензии не продают. А мелкие игры летают(жена в огород играет).  В комплекте много программ. В частности асус dvd. То есть не придется докупать. Функционально переключаются режимы работы(Производительный, кино, офис, и экономичный)  Кто будет брать, в будущем при покупке сумки берите с собой. Производители сумок врут их размеры.</t>
  </si>
  <si>
    <t>Меня устраивает, внешне замечаний нет, проверил пока 2 игры Juiced-2 и NFS PROSTREET тянет без проблем, работает тихо. Купили в начале ноября 2009 г. в М-Видео за 19990 руб (за эту цену лучше по характеристикам не нашел, видеокарта встроенная есть здесь, что немаловажно). Батареи хватает на 2-2.30 ч, ну если розетка есть рядом, этот недостаток может и не быть им. В целом очень доволен, глюков не было.</t>
  </si>
  <si>
    <t>1.Пищит блок питания в дежурном режиме, приходится выключать из розетки на ночь.  2.Изображение на экране с цветовыми шумами и помехами, по НЧ каналу таких помех нет.   3.Пульт ДУ через полгода эксплуатации перестал реагировать на кнопки регулировки звука и переключения каналами, вылечилось разбором пульта и протиркой обильно налитой смазки.   4.Заявленный «превосходный мощный звук» на самом деле не отвечает данным требованиям по качеству звучания.</t>
  </si>
  <si>
    <t>В целом чайник неплохой. Чехол из комплекта пригодится. Стакашки из комплекта - фигня. Могли бы выдвижные сделать (сложил и места не занимают). Шнур толстый. С одной стороны хорошо - надежный (если на меди не сэкономили), с другой стороны наливать не удобно кипяток в кружку, мешается. Все таки при не самых мелких размерах могли подставку отдельной сделать. Закипает на 2 чашки примерно 2 минуты. Нормально. Корпус нагревается сильно. Ручка не греется совсем. Отлично.</t>
  </si>
  <si>
    <t>2016-11-27</t>
  </si>
  <si>
    <t>много функций</t>
  </si>
  <si>
    <t>1.7</t>
  </si>
  <si>
    <t>Прикольный, маленький флешка дешовая и камера норм!</t>
  </si>
  <si>
    <t>за эту сумму,машинка себя вполне оправдывает.стригу по несколько человек в день. покупал машинку лет шесть назад насадка треснула,заклеил супер клеем стала как новая чтобы долго машинка работала нужно за ней ухаживать чистить смазывать и стричь предварительно вымытые сухие волосы. а если не нравится качество то берите агрегат Mozer или X-pert от Wella только он встанет вам в 3-4 раза дороже. А так машинка весчь!!!</t>
  </si>
  <si>
    <t>Купил два месяца назад. Работает на ура, тихий, не греется вообще. Тач пад работает отлично. Звук объемный как пишут)) но тихий, не стоит заморачиваться, у всех ноутбуков не громкий звук.</t>
  </si>
  <si>
    <t>2013-03-31</t>
  </si>
  <si>
    <t>В комплект почему-то не входит крепёж для крепления к стене, кнопка блендера при изготовления н-р пюре не фиксируется, об этом хотя бы в инструкции надо предупреждать.</t>
  </si>
  <si>
    <t>1926</t>
  </si>
  <si>
    <t>отслужили 5 месяцев, точнее отработал правый наушник... уши очень нравились)</t>
  </si>
  <si>
    <t>2015-10-19</t>
  </si>
  <si>
    <t>Через 3 недели после покупки, сломалась щетка (перестала переключаться в режим "ковер"). В магазине обменять отказались, сославшись, что обмен/возврат 2 недели, а платный обмен от м-видео я не купил. Отдал в сервис, через магазин.</t>
  </si>
  <si>
    <t>2016-11-22</t>
  </si>
  <si>
    <t>Удобен в использовании. Не дорогая цена. Со всеми заверенными функциями производителем справляется</t>
  </si>
  <si>
    <t>2014-05-27</t>
  </si>
  <si>
    <t>Загрузил полный комплект постельного белья. Машина стирала по ощущениям часа два, если не больше, но на выходе белье оказалось будто кипельным, в общем остался очень доволен. Теперь смело стираю почти все, что ношу: рубашки, джинсы, нижнее белье, постельное белье. Полет нормальный, результаты радуют. Машинка не гремит и не бегает, видимо мастер хорошо поставил. По поводу того, что пишут насчет свиста/визга: у меня скорее наблюдаются легкие повизгивания. Даже при полной загрузке и отжиме на 800 оборотах никаких визгов типа самолет взлетает нет. Режим ежедневная стирка вообще радует. Если, например, носите те же рубашки и меняете каждый день или чаще, этот режим просто выручает. Только учитывайте, что, по моим наблюдениям, машина очень склонна к длинным стиркам, почти все программы реально длинные. Но результаты того стоят.</t>
  </si>
  <si>
    <t>2013-05-16</t>
  </si>
  <si>
    <t>Очень хорошая модель! Пользуюсь уже год и всем довольна) С помощью этого замечательного помощника измельчаю любые продукты, в том числе и рыбу. Делаю коктейли, детское питание. Недостатков выявлено не было) что очень порадовало.</t>
  </si>
  <si>
    <t>Купила машину 4 сентября! Разочаровалась! С первых дней начала шумно стирать,а при отжиме как будто взлетит!</t>
  </si>
  <si>
    <t>461</t>
  </si>
  <si>
    <t>Очень удобное и выгодное предложение,стоит своих денег.</t>
  </si>
  <si>
    <t>В носу и в ушах не ковырялся. Подстригал бороду, усы и щетину.Если приноровиться то бреет и ровняет как пожелаете. Но нужно проходить по лицу с усердием по несколько раз и более. Я ожидал, что одно прикосновение сотворит чудо-ровную поверхность бороды. Наверно, еще многое зависит и от волос на лице...     А вообще, наименование прибора очень радует, ты можешь сказать другу, что пользуешься Валерой и он лежит у тебя в ящике :)</t>
  </si>
  <si>
    <t>2015-07-29</t>
  </si>
  <si>
    <t>В целом утюгом остались довольны, пользовались 2,5 года даже проработал немного более чем указанно в инструкции по экспуатации :)   "Срок СЛУЖБЫ изделия 2 года с даты продажи" Будем покупать новый, но который работает подольше ;). Решать Вам.</t>
  </si>
  <si>
    <t>во-первых здравствуйте!купил я этот чудо ноут в январе этого года,всё хорошо,но вот проблема,какие цветные квадратики и полоски появляются и мелькают при играх в игры, а при просмотре видео их не бывает, что за проблема может быть,ОС windows7 ultimate</t>
  </si>
  <si>
    <t>2016-07-05</t>
  </si>
  <si>
    <t>Проработал 6 лет верой и правдой! роняли его два раза, погружали вводу при мытье (не додумавшись прочитать что делать этого нельзя), откололись даже какие то частицы на передней панели, но все равно работал, пока в один ужасный день не накрылась помпа, насос перестал подавать воду и все тут. Вот несу на мусорку и мчусь за новым!</t>
  </si>
  <si>
    <t>Мне блендер очень нравится. Измельчает и правда как заявлено за секунды!</t>
  </si>
  <si>
    <t>замечательная вещь. очень вкусно и просто готовить. советую! цена оправдывает себя.</t>
  </si>
  <si>
    <t>Машинка отстирывает,отжимает на отлично,очень удобно наличие функций: выбора степени загрязнения белья (время стирки), отжим, функция доп. полоскание,выбор нужной температуры. Шум конечно присутствует,но при закрытой двери в ванной незначителен.</t>
  </si>
  <si>
    <t>2016-05-19</t>
  </si>
  <si>
    <t>У Витека это уже достаточно старая модель автопылесоса и за то, время, что она выпускается, я покупаю ее уже второй раз))) да-да, вот такой консерватор. К прошлому пылесосу никаких претензий не было, отслужил верой и правдой (при практически ежедневном использовании) больше 5 лет. Потом стала уже заметно садиться мощность мотора, а потом и пластмасса начала потихоньку крошиться. Но пора уже) Хотя, моторчик еще работал. В общем, решил, что от добра добра не ищут, тем более, что к его прорезиненной ручке и форме я привык и купил ту же самую модель. Из новых ни одна не приглянулась так сильно, как мой старый добрый Витек. В общем, стабильность – признак мастерства))</t>
  </si>
  <si>
    <t>1 год в работе,работает на 3 положении,пока всё в норме.Привезли в вертикальном положении.Подсоединён в розетку через сетевой фильтр.Работает тихо.Хороший холодильник.</t>
  </si>
  <si>
    <t>Красивая панель, даже очень ))) Купили на кухню после ремонта, мне кажется отлично подошла под общий стиль. А использование панели, а не полноценно плиты очень экономит место на кухне. Мне нравится то, что она не чадит и при готовке нет запаха газа. Я в свое время начиталась страшных историй и очень боюсь утечек, поэтому постоянно принюхиваюсь. Переключатели расположены удобно - спереди, никуда тянутся не надо. Моется панель очень просто, но лучше не использовать абразивные средства )))</t>
  </si>
  <si>
    <t>Неплохая и надёжная,хорошо и быстро моется-нет "карманов".Опробовал на яблоках,моркови,свекле, лимонах.Сок чистый и без мякоти,рекомендую одевать пакет на жмыхосборник,так как от больших оборотов идёт выброс мякоти (небольшой)через примыкание к крышке.Проворонил пену в стакане и налил на стол,надо чаще его опоражнивать,пены много и она долго отстаивается-решил почаще ополаскивать стакан и получается выход сока с яблок-0.4 по весу.После 3 литров сока почистил крышку,сито не забивается.Работает тихо и не чувствует заталкиваемых яблок.Дорогая но аналогов по мощности и стали не видел."Китайских"претензий не имею,но советую приобретать навыки на даче не пачкая евростол и обои.Теперь смело пользую дома,жену пока не подпускаю.На ягодах не пробовал-прогоню через неделю свой садовый виноград и поделюсь опытом.Советую купить,если есть деньги-стоимость немалая и завышена.</t>
  </si>
  <si>
    <t>ужасно сжигает волосы как написано девочками выше волосы реально дымятся я кудрявая выпрямляет действительно хорошо вот только выпрямляла я года 2 назад всю длину волосы не могу вылечить до сих пор!хотя пользуюсь дорогими средствами для волос.качество нормальное у меня года 3 уже до сих пор работает.только защитное покрытие с пластин стерлось до железа планирую другой вот сейчас стою перед выбором!)желаю всем удачных покупок девочки берегите водлосы)))</t>
  </si>
  <si>
    <t>Пусть модель не новая, но выбор был особо не богат в магазине и эта показалась наиболее оптимальной по качеству картинки. До этого был ЖК, вернее он и сейчас есть, просто перекочевал в другую комнату, так если сравнивать но насыщенности и яркости картинки плазма оставила ЖК позади, да к тому же угол обзора большой. А вот как монитор не советую использовать, так как при статической картинке может оставлять след, ведь в принципе плазма предназначена по большей части для просмотра HD контента. Вообщем мне всё нравится, мелкие недостатки не в счёт.</t>
  </si>
  <si>
    <t>На днях приобрёл данный пылесос, всем доволен. Отличная мощность всасывания, на максимуме ещё не разу не побывал (сразу начинает всасывать ковёр), управление на ручке тоже очень удобно, с выбросам мусора тоже особ не паришься (в отличии от мешковатых пылесосов).  Но у меня есть пару вопросов:  Как правильно чистить фильтр (я про тот что с губкой) с губочкой то всё понятно хорошенько промыть под водой чтобы не осталось пыли, а вот как правильно чистить белую сетчатую часть?? После второй уборки она сильно загрязнилась...сначала я просто промыл под водой но результата особ не дало, потом я потёр старой зуб. щёткой с мыльцем вроде результат лучше, но не повредит ли ей такая чистка?  И ещё вопросик:  этот HEPA  фильтр через какой срок его нужно мыть или менять?? И вообще его можно мыть?</t>
  </si>
  <si>
    <t>Телевизор большой,удобный!Всем советую!</t>
  </si>
  <si>
    <t>Раньше начиная с 06 ФИФА на компе ПЕС действительно рулил, а в этом году, с переходом ФИФА11 на некст-ген, ПЕС suck hard...    Так что игру однозначно нужно покупать лицензию, чтобы полностью насладится всеми режимами, а главное мультиплеером.</t>
  </si>
  <si>
    <t>ОТличная духовка. Жена очень довольна. Выбирал специально с простым механическим управлением. И не прогадал.</t>
  </si>
  <si>
    <t>248</t>
  </si>
  <si>
    <t>2015-09-25</t>
  </si>
  <si>
    <t>Мне нравится. Радио ловит, без помех. Я очень довольна. Рекомендую.</t>
  </si>
  <si>
    <t>Блинница просто супер, оладушки, драники и блинчики готовятся очень быстро, получаются очень тоненькие и вкусные. С отмыванием проблем никаких не вижу, просто после приготовления сразу протираю ее и все. В посудомойке не мою, берегу покрытие. Никакого масла, ничего не пригорает, в общем, давно надо было купить такой гаджет на кухню!!</t>
  </si>
  <si>
    <t>Привлекла прежде всего цена,внешний вид,ничего лишнего,достаточный набор функций,все понятно.Стирала несколько раз,пока никаких претензий,какую программу выбираешь,такую и выполняет,по полу не скачет,не шумит.Что будет дальше посмотрим.Настораживают не очень положительные отзывы об этой фирме.</t>
  </si>
  <si>
    <t>После минимум 7 лет использование, работает. Все функции выполняет на отлично. И это не триммер для стрижки волос. Это триммер для подравнивания.</t>
  </si>
  <si>
    <t>Пользуюсь утюгом 6 лет. Никаких недостатков и претензий. Все близкие получили в подарок от меня такие утюги и все довольны. Подошва супер-пупер! Все что прилепает без труда отходит и не царапает одежду.   А протекают почти все "холодные" утюги, даже самые дорогие, поверьте мне.</t>
  </si>
  <si>
    <t>Брал по акции, пол года назад. При первой уборке вроде все ОК, сосет зачетно. После 3-4 уборок однокомнатной квартиры забивается контейнер. А дальше начинается.. Думаете можно легким движением перевернуть контейнер и мусор выпадет как в рекламе? Ха, не ту то было! Ручки придется замарать. Но это еще не все! Если не мыть ВСЕ фильтры после каждой чистки контейнера, то мощность падает на половину. Сохнут фильтры около суток. И при мытье пачкаем руки еще раз. Так что всего через 24 часа вы сможете допылесосить то, что осталось!  Щетка сломалась месяца через 3. Насадки нельзя устанавливать на конец телескопической трубки, только вместо.</t>
  </si>
  <si>
    <t>Скорость записи 7-8 мб/с.</t>
  </si>
  <si>
    <t>Антенна хороша. По сравнению с выдвижной антенной на заднем крыле ловит чуть получше. Полностью оправдывает свою цену.</t>
  </si>
  <si>
    <t>долго не мог подобрать картинку к Телеканалам выбрал режим SuperLive 1 стало намного приятнее, нет широких лиц.)))    Сергей (Ростов)     расскажите, пожалуйста, как меняли режим?   пыталась повторить все как в инструкции написано - ничего не выходит, кнопка с пульта не срабатывает, другого изменения режима я не смогла найти.... очень расстроилась</t>
  </si>
  <si>
    <t>2012-09-04</t>
  </si>
  <si>
    <t>Подарили такой маме на день рождения. Мама хоть и в возрасте, но освоила его быстро. Гладит и радуется! Говорит что обычный утюг больше в руки не возьмет! Теперь расскажу поподробнее почему выбрали именно этот парогенератор. Во-первых это цена. За такие деньги вы можете купить и обычный утюг. Он просто в использовании, в нём нет лишних непонятных кнопочек которые зачастую вы даже не используете. Только включение утюга, включеие бойлера и регулировка силы пара. За счет этого вода используется экономично. То что нет непрерывного долива воды я минусом не считаю. Потому что одного полого бойлера хватает на полтора часа глажки. Ну и сама компания Delonghi, дома уже пользуемся их техникой, очень довольны!</t>
  </si>
  <si>
    <t>2015-08-29</t>
  </si>
  <si>
    <t>Плюсы: 1. Купили такой же чайник уже и не скажу когда - работает как часы, 2. Крышка на месте и держится уверенно. 3. Фильтр отвалился быстро, но по сути толку в нем не заметила: он не зафиксирован и к колбе не прилегает, только стучал по стеклу, когда чайник наклоняли (раздражал), и задержал бы что-то если бы это был булыжник или крупный сор, в общем, отвалился и хорошо.  Минусы: со временем облупилась фольга на крышке, пару раз попадала в колбу (когда начнет отпадывать хром надо присматривать за тем, что пьешь).  Вывод: чайник со временем потерял вид, но продолжает выполнять свою функцию - итого 4 балла.</t>
  </si>
  <si>
    <t>2014-02-20</t>
  </si>
  <si>
    <t>Покупал около 5 месяцев назад, заряжал всего три раза, бреюсь через день, щетина довольно жесткая. Мне бритва нравится. Станком никогда не брил против шерсти, соответственно бреет бритва не хуже станка. Да, плоховато выбрbвает район шеи, остаются кое-где волоски, но мне не лень пару раз еще провести бритвой по проблемному месту и все ОК.</t>
  </si>
  <si>
    <t>1900</t>
  </si>
  <si>
    <t>Цена, качество, простота использования, греет быстро</t>
  </si>
  <si>
    <t>1555</t>
  </si>
  <si>
    <t>Отличный телефон!!! я всем довольна</t>
  </si>
  <si>
    <t>2014-12-23</t>
  </si>
  <si>
    <t>Уже почти 4 года у нас работает этот термопот, ни разу не выключали из сети! У нас большая семья (было 4 человека, теперь 5), все взрослые, постоянно кто-то дома, гости приходят и все пьют чай. Наш милый термопот исправно кипятит нам воду, только успеваем наполнять. Подсчитали: в месяц непрерывная работа термопота обходится нам в 50-60 руб, в зависимости от кол-ва гостей. Жалеем только, что не купили большего объёма, было бы ещё экономичнее. Покупайте, не пожалеете! Кстати, наш термопот китайской сборки</t>
  </si>
  <si>
    <t>2010-08-25</t>
  </si>
  <si>
    <t>Впечатления от магнитолы смешанные. С одной стороны, функционал у ней неплохой (для такой цены), но если бы всё еще работало должным образом... Но по порядку:  1) Установка. Больших проблем с установкой не возникло - купил евроразъём за 25р, соединил провода и ноу проблем. С нетерпением воткнул первый попавшийся двд и облом: синий экран и надпись "ради вашей безопасности не смотрите фильмы во время движения". Но звук есть, значит играет. После плясок с бубном догадался подключить на "массу" провод стояночного тормоза и вуаля - есть картинка!  2) Видео. Сразу минус - слишком темно, смотреть неудобно. Из плюсов - всеядность магнитолы, диски с фильмами читает все.  3) Музыка. Тут облом был жесткий - ни один из записанных мною mp3 дисков не читался, хотя старая JVC нормально играла. Пиратские mp3 играет через раз, лицензионные диски нормально. Самая главная претензия - звук. Басы какие-то слабые, звучат как хлопки в ладоши. После выкручивания на максимум басов и установки эквалайзера на "рок" стало получше, но до JVC далеко. ДВД с музыкой пока не проверял. Кстати, при воспроизведении фильма басы надо ставить по умолчанию, иначе идут ужасные искажения в звуке.  4) ТВ. Тут глухо - не знаю, какую антенну надо поставить, чтобы поймать хоть 1 канал.  5) USB. Флешки до 2 гб понимает нормально, дальше тормоза и глюки.  6) Русификация: Родные буквы можно увидеть только во время чтения диска ("чтение" и "ошибка чтения") и в расширенном меню настроек (включается оно только с пду).   Резюмирую: Смотреть фильмы на встроенном экране неудобно, нужно докупать большой монитор. Качество звука хуже, чем на обычных mp3-магнитолах. По технической стороне замечу, что выглядит магнитола несерьёзно из-за кислотной подсветки (на картинке этого не видно), а при езде панелька мелко трясётся, издавая тихое дребезжание.</t>
  </si>
  <si>
    <t>Купила неделю назад, сначала не очень понравился дизайн, привлекла низкая стоимость. Сейчас рада до безумия, фен отличный, сушка холодным воздухом, то что нужно моим волосам. Всем советую</t>
  </si>
  <si>
    <t>Очень полезная вещица на кухне. Использую все функции, кроме маленького измельчителя для зелени (привыкла как-то руками)..) Зато и картошку фри, и чипсы, и салатик нашинковать ,пюре для ребенка взбить, даже черемуху для черемухового торта пережил, но больше не рискну конечно - напрягался. В сезон ягод вообще прелесть: соки и пюре свежие, да и джем отменный получается из такого сырья.  Есть большое пожелание (все классно), но  терки-то тупятся, а новых нигде нет в продаже, ни в инете, ни в магазинах города. Но с другой стороны приятно, что после жесткой эксплуатации первыми все же сдаются железные терки, а не сам комбайн.</t>
  </si>
  <si>
    <t>Зашел посмотрел, после таких отзывов, побежал я покупать ребята.  Действительно, то что в нем есть за такую цену, мало где можно увидеть.   Советую.</t>
  </si>
  <si>
    <t>Купил более года назад.Очень доволен.Как второй ТВ в доме просто супер!Цвета,четкость все ОК!</t>
  </si>
  <si>
    <t>Взял себе эти наушники для записей, хорошо звукоизолируют, приятно записываться и слушать. Показалось, что не хватает немного высоких частот, но зато впечатления производят басы, рок слушать одно удовольствие, хорошо записанные песни так вообще слушаются как на концерте. Небольшое неудобство вызывает длинный провод, приходится его складывать, но в общем и целом все ок! Не пожалел, что купил!</t>
  </si>
  <si>
    <t>2014-01-11</t>
  </si>
  <si>
    <t>Везу мясорубку в гарантийную мастерскую, спустя 2 недели после покупки. За это время 1 раз делался фарш из охлажденной свинины и говядины (1,5 кг) и 2 раза жался апельсиновый сок (по 2 стакана за раз). Похоже залипли щетки двигателя, т.к. двигатель стал работать короткими рывками вплоть до полной остановки + ненормальное искрение в зоне коллектора. Реверс перестал работать совсем. Качество сборки мясорубки, следовательно, не на высоте.</t>
  </si>
  <si>
    <t>1626</t>
  </si>
  <si>
    <t>HD видео с внешнего USB винта проигрывает, правда, не все подряд, как на компе. Отличный плеер!</t>
  </si>
  <si>
    <t>Комп супер. Идут последние игры, отличная графика, хорошая работоспособность. Но вот есть небольшая проблемка. Не могу настроить Bluetooth. Якобы устройство отсутствует. Если кто знает в чем причина- помогите!</t>
  </si>
  <si>
    <t>То что выпадает штекер из прикуривателя это фигня, сразу отрезал и поставил другой. Ну мощность, конечно, маловата, но вообще-то нужно чаще чистить фильтр. А в целом на эти деньги нормально.</t>
  </si>
  <si>
    <t>400</t>
  </si>
  <si>
    <t>Играет просто четко, усилок нормальный поставил, 800 ватт долбит бум бум бум...</t>
  </si>
  <si>
    <t>Чайник потек через неделю, из кнопки выключения. Сейчас в сервисе, но сразу сказали что ремонту не подлежит.  Чайник хороший , не шумит, быстро кипит.  Думаю обменяю на такой же. Главное чтобы не потек.</t>
  </si>
  <si>
    <t>2011-12-27</t>
  </si>
  <si>
    <t>Это уже третья хлебопеч, купленная мной за последние 2 месяца. Предыдущие 2 хлебопечки других фирм вполне нормально выпекали белый хлеб, но как дело касалось темного, так тесто вообще почти не поднималось.  Решил рискнуть и купил Борк Х800, печка конечно не дешевая, но после того как я испек на ней 100% черный хлеб, я действительно понял, что она стоит таких денег, а возможность менять рецептуру - это вообще класс, что хочешь, то и выпекай.  Я доволен.</t>
  </si>
  <si>
    <t>2013-07-06</t>
  </si>
  <si>
    <t>+++ 1. Очень легкий 2. Удобная ручка 3. Сосет хорошо (при заведенной еще лучше) 4. Шнур длинный 4. Складывается быстро, несмотря на длинный шнур --- 1. Щеточка на насадке складывается при сильном нажатии 2. Цена (хотя он этого стоит). Сегодня пропылесосил машину легко и быстро. Двух насадок достаточно вполне, что бы залезть в любое место в авто.</t>
  </si>
  <si>
    <t>2013-07-22</t>
  </si>
  <si>
    <t>Купили духовку весной и нарадоваться не могу. Легка в эксплуатации,готовит отлично,блюда получаются обалденные. Супер духовой шкаф,мечта каждой хозяйки. Рекомендую.</t>
  </si>
  <si>
    <t>2455</t>
  </si>
  <si>
    <t>Очень хороший телефон. Громадный послушный сенсорный дисплей, удобное управление. После месяца использования остались хорошие впечатления. Четкая связь, быстрый интернет, отличная камера. Фото получаются не хуже цифрового фотоаппарата, видео - также.   Отдельный респект GPS-Навигатору. Встроена программа навигации, которая юзает одновременно и GPS и GPRS. Прокладывает маршрут в считанные секунды, занимает всего 500кб, указывает на дорогах пробки, преграды, перекрытия и т.д. Стоит 400р/месяц. Недели пробной полноценной версии мне хватило, чтобы понять, что лицензия стоит того. За день езды - экономлю не меньше часа).  Вобщем, телефон - идеальный вариант для водил в крупных городах, не только Московских.</t>
  </si>
  <si>
    <t>1070912</t>
  </si>
  <si>
    <t>Отличный телик, по такой цене самсунг отдыхает, 3D рекомендую всем.</t>
  </si>
  <si>
    <t>Монитор отве4ает всем свом параметрам ! Идеальная покупка!</t>
  </si>
  <si>
    <t>2013-05-08</t>
  </si>
  <si>
    <t>Давно хотела тостер, почитала по отзывам, взяла этот. Очень понравился, хлеб жарю на тройке, получается вкусный, хрустящий, я теперь тосты делаю к любому приему еды, хотя раньше хлеб не очень жаловала, теперь наверно поправлюсь))))</t>
  </si>
  <si>
    <t>Фен покупала в 2006 году, до сих пор работает, сломалась только насадка с пальчиками.</t>
  </si>
  <si>
    <t>Весы как весы. Красивые беленькие, точно такие же как на картинке. Встал - показали вес. Ничего лишнего. За полгода особых глюков не наблюдал. Если вставать на весы несколько раз подряд, то показывают один и тот же вес, т.е. погрешность взвешивания в пределах нормы.  Имеет память на 2 человека. После первого взвешивания надо нажать на кнопку 1 или 2. Следующие взвешивания будут автоматически присваиваться номерам, результат которых ближе, и показывается разница в весе. Если вес 1 и 2 человека достаточно близки ( в пределах 3-4кг), то значения будут всё время путаться. Я уже давно забил на эти плюс или минус, просто тупо смотрю какой вес они показывают когда я на них стою.</t>
  </si>
  <si>
    <t>Никогда не жалел что купил данную консоль. Консоль действительно стоит своих денег пускай игры дорогие, слушаю слова тех кто перепрошивается - зачем. Если нет возможности берите Xbox 360</t>
  </si>
  <si>
    <t>Взяли его по акции, думали что будет не очень, а оказалось что не обманули, хороший аппарат оказался, и убирает хорошо и не шумит особо и чиститься и моется отлично просто. Много места не занимает.</t>
  </si>
  <si>
    <t>Оч удобен в использовании, есть пульт, аппарат греет хорошо, не сильно шумит, но через месяц использования = перестал работать, деньги вернули.</t>
  </si>
  <si>
    <t>Купил жене на день рождения эту мясорубку. Она часто любит приготовить что нибудь из мяса. Теперь ее работа намного стала легче. Мясорубка прекрасно перемалывает мясо в хороший однородный без жилок и прослоек фарш, а терки и шинковки прекрасно заменяют кухонный комбайн. Плюс есть насадки для приготовления собственных колбас котлет и сарделек.</t>
  </si>
  <si>
    <t>Купил для дома, выбирал долго, решил остановиться на этой ЖК модели от Панасоник, диагональ взял 32, этого вполне достаточно для небольшой комнаты, а по цене решил не экономить взять чуть дороже, но качественнее. Моделью очень доволен.</t>
  </si>
  <si>
    <t>3180</t>
  </si>
  <si>
    <t>Игра очень сильно отстаёт от PES11, лучше бы посмотрели видео PES11 на ютьюбе и поняли, что фифа и рядом не стояла. Но если сравнивать с PES10, то конечно FIFA11 получше будет.  5 октября в продажу должна выйти PES11, вот её я куплю в Мвидео :)</t>
  </si>
  <si>
    <t>2873</t>
  </si>
  <si>
    <t>Это просто Рай! Воздушный удар больше 5 метров!!!! Вся комната продувается и сигаретный дым моментально рассеивается! Можно поставить в любое положение , вот тока  жаль нет safe-touch для безопасности. Режим Sleep сплошное удовольствие, сначала разгоняется, потом затихает. Если кому-то это мешает заснуть, можно просто отодвинуть в др конец комнаты, мы около кровати ставим , он нам абсолютно не мешает и его неслышно! разве что звук похож на небольшой ветерок! Тут писали, что он громкий. Ничего подобного, просто может им с дефектом попался или чего-нибудь собрали неправильно.... Дизайн супер, качество у Bork на 5+, стоит конечно не дешево и с транспортировкой туговато ( нам в магазине не смогли разобрать стойку с подставкой, пришлось так класть в багажник, и весит многовато), но дома в два счета собрали и теперь жара для нас не проблема!!!!</t>
  </si>
  <si>
    <t>2959</t>
  </si>
  <si>
    <t>отличное решение, за эти деньги и черный - черный, куро отдыхает :)  сам смотрю тарелку и рипы, все устраивает. ВЧ подключение - вчерашний день, на нем одинаково хренова показывают устройства как за 30р так и за 80р.  Успел отхватить еще за 32р :)</t>
  </si>
  <si>
    <t>простой в управлении, долго живет, тихий.</t>
  </si>
  <si>
    <t>3120</t>
  </si>
  <si>
    <t>К сожалению отзыв отрицательный, терка непригодна для использования, все кто увидел рекламу как это здорово, здорово разочаровываются при покупке - и я не исключение.  1 резка работает легко только на фруктах и вареных овощах, так как для свежих требуется усилие, после которого и ножи гнуться и пальцы шинкуются  2 вставки терок настолько малы что приходиться постоянно крутить овощ в руках чтобы он не попадал свежим срезом на те же ножи  3 штучка которой вроде можно прижимать к терке овощи не держит их и соскальзывает а чтоб они вошли в спец нишу то их надо резать весьма маленькими частями  4 ножки скользят так как сделаны не из резины а гибкого пластика</t>
  </si>
  <si>
    <t>1825</t>
  </si>
  <si>
    <t>2011-01-22</t>
  </si>
  <si>
    <t>Стильный дизайн, но очень маленькое окно, слабая подсветка...а так в принципе неплохая......</t>
  </si>
  <si>
    <t>1870</t>
  </si>
  <si>
    <t>2011-02-23</t>
  </si>
  <si>
    <t>ужасная бритва, мне её сегодня подарили, бреет плохо, шумит ужасно, работает только от сети, аккумулятора нет, а шнур ну очень короткий.</t>
  </si>
  <si>
    <t>купили машинку два месяца назад!!никаких проблем нет,стирает просто отлично!!в общем мы довольны!)</t>
  </si>
  <si>
    <t>2017-07-23</t>
  </si>
  <si>
    <t>Надежность,качество, простота управления</t>
  </si>
  <si>
    <t>799</t>
  </si>
  <si>
    <t>купили в апреле очень довольна печем все просто супер оболдеть</t>
  </si>
  <si>
    <t>У меня та же проблема что и у Max. Все работает отлично но как только запускаю какую-нибудь мощную игру через некоторое время сам выключается. В сервисный центр пока не относил. Нет времени. Перед тем как покупаете 100 раз подумайте стоит ли!</t>
  </si>
  <si>
    <t>415</t>
  </si>
  <si>
    <t>хороший пылесос.. купил в середине января 2011    качество уборки:  пылесосит хорошо.. убираюсь раз в неделю, каждый раз вытряхиваю грамм 100-150 пыли и мусора, в первую неделю пропылесосил мягкую мебель и матрасы - было очень много мельчайшей пыли, остатки которой даже не тонули в воде! недавно первый раз промыл моторный фильтр.. на вид он был почти чистым, но при промывании вылилось очень много грязной воды.. выходной фильтр не мыл, хотя он слегка почернел с внутренней стороны (думаю это уголь от щеток мотора). важно не забыть открыть красные "окошки" на большой щетке, при уборке пола и гладких поверхностей, иначе всасывание будет сниженным, а нагрузка на двигетель повышенной! (на линолеуме даже с открытыми "окошками" приходится держать курок на рукоятке, чтобы можно было ее сдвинуть).    уход:  после уборки протираю щетку и трубу от налипшей пыли, вытряхиваю пыть в герметичный мешок и промываю контейнер, (внутренний циклон промывать нельзя, поэтому его только протираю слегка увлажненой тряпкой)    качество:  хорошее.. в лучших советстких традициях (большинство соединений на винтах). качество материалов тоже на высоте. правда пришлось смазать колесики щетки и подвижные части, после этого она катается просто как детская машинка. в планах уплотнить соедиенния трубок, т.к. они слишком свободны и слегка пропускают воздух (думаю, потери всасываемости от этого не больше 5%, но все же). шумит, имхо, не больше других (скорее свистит)    вобщем нормальный пылесос, надеюсь, исправно прослужит в течение заявленных гарантией 5 лет(как минимум)</t>
  </si>
  <si>
    <t>Отличная вещь. Быстрая, стильная, аппаратное шифрование. Пользуюсь более года.</t>
  </si>
  <si>
    <t>мы купили машинку пару месяцев назад,по акции.Первое,что смутило это гарантия в месяц.Непонятно вообще почему,но нам нужно было срочно.Вот на днях стала скрипеть ужасно.Стирает так себе,могла бы и получше.Но наша предыдущая вообще не отжимала,мы оттуда одежду вместе с водой вытаскивали,к этой отжим конечно хорош,по рукам вода не стекает когда развешиваешь.Ну пока нам годиться.</t>
  </si>
  <si>
    <t>Дизайн</t>
  </si>
  <si>
    <t>Пользуюсь этой моделью полтора месяца. В целом очень доволен. Фильмы В HD качестве отлично смотрятся на LED дисплее. По играм могу сказать, что Ksne and Lynch 2 на  максималках вообще без проблем пошли, Mafia 2 без физикса тоже. Так что всем кому нужен мощный бук и хочется уложится в районе 35 очень рекомендую.</t>
  </si>
  <si>
    <t>Для дома идеальный вариант. Каждое утро по стакану свежевыжатого сока для всей семьи легко и просто! Вращение в обе стороны, 2 фильтра (с мякотью или без), очень легкая разборка и сборка. Особо хочется отметить удобный вариант фиксации стакана - без дополнительных кнопочек и задвижек (не всегда надежных) как в других моделях.  Рекомендую данный товар!</t>
  </si>
  <si>
    <t>1407</t>
  </si>
  <si>
    <t>Дмитрий, скажи а у тебя нет ли таких багов:  1. замечено что кнопка TAB нажимаясь задевает за некий элемент корпуса, при этом это мешает ее нормальной посадке  2. нижний динамик (я так понимаю сабвуфер) начал иногда хрипеть, не постоянно    в остальном пока вроде все ok</t>
  </si>
  <si>
    <t>Печь очень удобная в управлении и достаточно мощная. Единственный недостаток - сломалась через 12 дней после покупки. Сертификат в Мвидео не покупал. Магазин произвел замену микроволновки "без звука". Спасибо, все было сделано четко и достаточно быстро. Стоит ли покупать, решайте сами. Может быть, просто это мне так не повезло. Но все таки, если решиться покупать, советую брать сертификат, чтобы потом не пришлось мотаться по сервисам. К сожалению, качество LG  сильно разочаровало.</t>
  </si>
  <si>
    <t>Пользуемся больше года - полностью довольны, пылесос идеально подходит для больших помещений и генеральных уборок, в маленькой квартире будет сложно, свою работу выполняет на все 100 (у нас ламинат, плитка, ковролин и волосатая кошка, чистит все, шерсть при сухой уборке налипает на щетку, поэтому лучше всего исчезает после влажной уборки), кто-то писал выше, что имеется неприятный запах, так извольте, если вы и сами в душ ходить не будите, от вас тоже будет пахнуть, потратить чуть больше времени на уборку пару раз в неделю для мытья сего агрегата не так сложно как кажется. Шампунь из комплекта быстро закончился и был безболезненно заменен на самый обычный Ваниш. Хочется добавить про мытье мягкой мебели - тот же самый Ваниш+щетка для мебели из комплекта и диван стал как новый, после 2ух летнего использования и чистки кое-как. Итого мы имеем отличный пылесос для генеральных уборок, который требует немного больше внимания, чем обычный пылесос на каждый день.</t>
  </si>
  <si>
    <t>2015-12-05</t>
  </si>
  <si>
    <t>Купили машинку  Indesit IWE 6105 B (CIS), когда сломалась предыдущая. Я привыкла к этой ТМ, и хотела, чтоб новая была максимально похожа на старую: то есть дисплей, программы и т.п. Меня убеждали в магазине, что машинки такого ценового сегмента уже не так хороши, как 8-9 лет назад, но у меня не было выбора.   Если честно я безумно довольна. Писали, что очень шумная (по сравнению со старой, она тихо урчит в моем случае). Выбор программ большой, - выбрала для себя три самые удобные и пользуюсь. Качество стирки на пятерку.  В общем, в этой машинке есть все что я хотела, и это самое главное!</t>
  </si>
  <si>
    <t>Недорогая, но качество хорошее. Готовить удобно это самое главное. Таймер с автоматическим отключением. Очень нравится)</t>
  </si>
  <si>
    <t>2992</t>
  </si>
  <si>
    <t>Покупала данную приставку ребенку на прошлый новый год (2009-2010), ребенку 7 лет, играет на ней постоянно, не ломалась в течении года! Не пожалела ни сколько, что красный цвет, так как на ней следы от пальцев менее заметны чем на черной – проверено на опыте знакомых.</t>
  </si>
  <si>
    <t>Ставлю оценку 4.  Сначала о плюсах: разнообразие режимов стирки, отсрочка запуска и приостановление программы, за раз можно выстирать большой объем белья,  проста в управлении, есть звуковое оповещение о прекращении стирки, автоматическая очистка.  Теперь о минусах: через 3 года эксплуатации полетел подшипник, барабан не разборный, ремонт, проблемы с забором порошка (часть постоянно остается в лотке, хотя сыпала по норме), довольно шумная, особенно при отжимании.  В целом впечатление положительное, но рекомендовать данный товар я бы не стала.</t>
  </si>
  <si>
    <t>Цена, устойчивый</t>
  </si>
  <si>
    <t>2012-10-15</t>
  </si>
  <si>
    <t>Приобрели данный духовой шкаф в интернет магазине М-видео, сплошные проблемы: не правильно работает таймер, не работает датчик вентилятора охлаждения, крепление фиксатора двери не возможно установить. Никому не посоветую связываться с данной маркой. По сложившимся обстоятельсвам с момента покупки прошло более 2-х недель, теперь, к сожалению, только ремонт.</t>
  </si>
  <si>
    <t>2013-06-05</t>
  </si>
  <si>
    <t>Все-таки решили приобрести данный нагреватель (пока на время отключения горячей воды). После установки посмотрим, но на первый взгляд собран качественно, внешне не отличается от импортных аналогов. Дополнительно порадовал завод-производитель thermex, а он, как многие знают, славиться своей качественной продукцией. После установки и эксплуатации обязательно отпишусь.</t>
  </si>
  <si>
    <t>1941</t>
  </si>
  <si>
    <t>Купил такой с 4Гб на борту. Очень простенький и удобный без наворотов плеер, одной зарядки хватает надолго. Наушники, что в комплекте, конечно же дрянь, менять обязательно! Отмечу, кроме перечисленных в описании поддерживаемых форматов, поддержку форматов lossless - flac и ape, что меня очень приятно удивило. Доволен полностью.</t>
  </si>
  <si>
    <t>Модель очень хорошая с IPS матрицей, цвета замечательные. С простой кол.антенной показывает лучше(аналоговые каналы) самсунгов и LG, краски не давят на глаза.Порадовало как воспроизводит фото, лучше чем на компе, изображение великолепное. Панасоник не сэкономил на матрице!Я рада, что купили эту модель, как телевизор лучший в своей ценовой категории, сборка отличная. То что видео воспроизводит определенного формата даже не расстроило, подключили медиаплеер. В первую очередь это телевизор!</t>
  </si>
  <si>
    <t>Если вам нужна микроволновка для того, чтобы просто разогреть, то это отличный вариант. Работает тихо, хотя писали про неё что сильно шумит. Приобрели такую микроволновку на работу, очень рады. Хорошая, удобна в эксплуатации (без всяких излишеств), вместительная - 17 литров. Всем советую.</t>
  </si>
  <si>
    <t>1667</t>
  </si>
  <si>
    <t>Хороший аппарат для маленьких ванных комнат. Самая узкая, какую нашел. Много программ, хотя реально требуются только 3-4. Работает без нареканий. Дисплей позволяет увидеть, сколько времени до окончания осталось. Очень удобно. Да, загрузка маловата. Но меня устраивает. На высоких оборотах сильно вибрирует. Но, учитывая маленькую площадь, которую машинка занимает, неудивительно.</t>
  </si>
  <si>
    <t>1287</t>
  </si>
  <si>
    <t>Утюг действительно очень хороший, особенно функция автоотключения)))Глажу с удовольствием, все складочки проглаживаются одним движением с помощью пара, вы не пожалеете, что купили его.</t>
  </si>
  <si>
    <t>Я в восторге, вытяжка тихая на 1-й и 2-й скорости , мой чайник шумит громче, когда закипает. 3 и 4 скорость включать нет необходимости, и на 1,2-й тянет просто отлично! Купила эту вытяжку, прочитав отзывы, и не пожалела. У соседей, родственников тоже вытяжки, так никакого сравнения с этой. Покупайте!</t>
  </si>
  <si>
    <t>Очень удобен в использовании. Долго думал куда вешать его (нельзя в душевых комнатах и над ванной - вода попадет, написано в инструкции). Но с нашими обычными квартирами выхода особого нет. Либо снимать зеркало и над раковиной или над ванной. Я выбрал над ванной. Снял крепеж от душа и повесил на место него, душ немного перенес. Теперь когда моюсь, то его просто шторой для ванны закрываю и все.   И еше у кого слабоватая старая проводка алюминиевая, то советую провести отдельную розетку с щитка. У меня на старой проводке под конец нагрева пробки вышибало. Но это когда полностью пустой (холодный) бак. Если по немногу пользоваться, то в норме.   Еще удобен тем, что в нем и кран руки помыь, уыться, и душ есть. При том все в комплекте. А самое главное встроенный смеситель. Я просто подключил на шлаг душевой от основного смесителя.   А так думал купить обычный маленький нагреватель, но к нему нужен и смеситель покупать или пыхтеть над обычным...   Вообщем берите, не пожалеете!</t>
  </si>
  <si>
    <t>2535</t>
  </si>
  <si>
    <t>Предыдущему утюгу фирмы Тефаль 6 лет, он не вышел из строя, просто мне не хватало его мощности для глажки мужских брюк из натуральных тканей. Свой выбор остановила на данной марке 5246, утюгом очень довольна, что называется "сам гладит", он хорош и для глажки изделий из деликатных тканей, так и пересохшего постельного белья из хлопка, бязи, и скатертей и салфеток из натурального льна. К тому же у него удобная подставка для вертикального положения, большой объем для воды и замечательная функция автоотключения.   В общем, рекомендую!</t>
  </si>
  <si>
    <t>2724</t>
  </si>
  <si>
    <t>Пока нравится очень!</t>
  </si>
  <si>
    <t>1268</t>
  </si>
  <si>
    <t>2016-05-16</t>
  </si>
  <si>
    <t>Соглашусь со всеми предыдущими отзывами, триммер этот и правда хорош. Как по мне, единственный минус это его НЕ компактность, я что ему всё место в ванной не могу выделить, не говоря уже о том, чтоб взять с собой куда-то. Что касается функций, то тут всё супер, пользоваться мега удобно, привык к нему очень быстро</t>
  </si>
  <si>
    <t>533</t>
  </si>
  <si>
    <t xml:space="preserve">не шумный, компактный, есть крепление - прищепка, </t>
  </si>
  <si>
    <t>312</t>
  </si>
  <si>
    <t>2013-10-08</t>
  </si>
  <si>
    <t>Жмых от яблок влажноват, я ожидал иного, как пюре, хотя непробовал его отжимать повторно, может и нечего там отжимать. Но работает быстро, сок получается отменным, очень быстро наполняет резервуар. Шумит не сильно, вибрации нет, держится на присосках хорошо. В уходе не сложна, быстро привыкаешь к четырём деталям. Ёмкость для жмыха отваливается, если за неё взяться для перемещения выжималки.</t>
  </si>
  <si>
    <t>2013-04-11</t>
  </si>
  <si>
    <t>Мне понравился пылесос: 1. Цена и размер 2. За эту цену он превзошел мои ожидания! 3. Никаких пакетов, все моется. 4. Спасибо огромное консультанту!!! магазин М.видео в РИО на Севастопольском.</t>
  </si>
  <si>
    <t>1100</t>
  </si>
  <si>
    <t>2013-08-04</t>
  </si>
  <si>
    <t>Цена-качество соответствует на 100% для любительского фото видео,большая высота съёмки,головка 3 д использую 2 месяца примерно 2 раза в неделю лёгкий и удобный, трубы возле ручки покрыты приятным поролоном полностью доволен, снял весь летний сезон, думаю при аккуратном обращений прослужит 2,5-3 года,как раз под новую камеру.</t>
  </si>
  <si>
    <t>905</t>
  </si>
  <si>
    <t>Игра просто супер,графика на 5+ !!!!играть одно удовольствие!!играйте в эту игру не пожалеете!!!!!!</t>
  </si>
  <si>
    <t>2012-09-07</t>
  </si>
  <si>
    <t>Купил чайник по акции со скидкой. Во первых в комплекте не оказалось инструкции на русском языке. Не обращайте внимание на бренд. Этот чайник ужасно шумит, аж ребёнок в соседней комнате просыпается! Более того недавно он перестал автоматически отключаться, поставили чайник и отвлеклись, он работал до тех пор пока не сгорел автомат в счётчике,погас свет пришлось менять проводку! Нагревательный элемент покрылся ржавчиной и накипью через 3 месяца хотя воду льём в него из фильтра! Пластик внутри чайника покрылся желтизной! От накипи не очищаеться! Понесу менять по гарантии!</t>
  </si>
  <si>
    <t>Легкий, удобный в использовании, удаляет короткие волоски, не вызывает раздражения</t>
  </si>
  <si>
    <t>Ноут купил еще в декабре, машинка прикольная и по дизайну и по соотношению цена-производительность, вообщем все устраивает, моя оценка твердая пятерка с минусом, но есть одно но - глючит винда, то проги иногда ошибку выдают (причем даже родной HP Support Assistant) и уже два раза винда после запуска намертво висла (в окне появлялась надпись, что программа Windows не отвечает, но может ответит, если подождать) приходилось выключать ноут с кнопки. Пытался восстановить с дисков восстановления, которые создал, но с них не получается, хотя инструкциям следовал строго. Сносить эту и другую ставить не хочу, т.к. это лицензионная, народ, если кто сталкивался с подобной проблемой, отпишитесь!</t>
  </si>
  <si>
    <t>2013-11-02</t>
  </si>
  <si>
    <t>Купил всего пару дней назад, честно, очень доволен. Количество всевозможных насадок не пугает,а наоборот очень радует. Волосы не дергает, кожу не цепляет, родинки и прочие штуки не трогает, не царапает. Кто поддерживает форму бороды - очень советую. Да и просто побриться под ноль насухо тоже можно. Про интимную стрижку молчу, все просто шикарно, не стремно ни капли. Всем советую)</t>
  </si>
  <si>
    <t>Вентилятор шумноватый, в комплекте был пульт управления, но он не работал,  поменял батарейку - все наладилось, работает, шум такой же как и у лопастных, а так и  хороший дизайн  и хорошо обдувает</t>
  </si>
  <si>
    <t>2015-05-25</t>
  </si>
  <si>
    <t>Через 1, 5 года перестал включаться. Гарантия была, но документов не было, поэтому решил посмотреть, что внутри. Вскрытие показало на плате ужасную пайку, бляхи олова, как будто кто-то тренировался паять. Раньше относился к APC с уважением, теперь никак.</t>
  </si>
  <si>
    <t>Купил и использую аппарат в домашних условиях для личных целей около месяца.  В целом, устраивает. Правда ожидал несколько большей резвости (исходя из характеристик).  Не удалось победить щелчки при воспроизведении МП3 (переустановка драйвера звуковой карты не помогла).Но это не очень критично для меня.  Порадовало время автономной работы: часа три держит спокойно, правда без использования Wi-Fi. Для снижения энергопотребления существует много "примочек" и если их использовать можно добавить автономности.</t>
  </si>
  <si>
    <t>Приобрел около года назад с целью снимать с него любительской видеокамерой. Сначала в магазине было вроде ничего. Потом через месяц-полтора голова перестала поворачиваться вправо-влево. Пришлось перебирать. Конструкция очень неудачная: голову починил, но от рывков при повортах и наклонах избавиться невозможно в принципе. Про наклон площадки уже писалось. Недавно пробовал ставить серьезную камеру (2,8 кг). Заявленные 3 кг он однозначно не осилит. Или это будет так страшно, что сами испугаетесь держать на нем такую технику. В моем случае оказался очень неустойчивым, груз на крючок снизу практически не изменил ситуацию. В общем НЕ РЕКОМЕНДУЮ. Своих денег явно не стоит!</t>
  </si>
  <si>
    <t>Прежде чем купить эту плойку, прочитала здесь все комменты...! были конечно сомнения "брать или не брать", но всё таки решила рискнуть и сегодня купила! плойка очень понравилась, хорошо нагревается, быстро накручивает! локоны получаются среднего диаметра, очень "подвижные" и естественные! не распускаются! Хочу сказать что действительно, всё зависит от ваших волос, от их структуры. Если толстые и прямые - будет сложновато! а если тонкие и вьющиеся (как у меня) - то очень здорово всё получится!!</t>
  </si>
  <si>
    <t>Компактность, цена, низкий шум, простота использования.</t>
  </si>
  <si>
    <t>Устраивает абсолютно всё!!!!!!!!!! А батарея, вряд ли кто-нибудь не вынимает наушники по 50 часов. У меня разряжается на четвёртые сутки регулярного прослушивания.  Качество звука на высоте в общем 5 баллов.</t>
  </si>
  <si>
    <t>Только-только купил. Пока все ОК, вес показывает всегда одинаковый. Из плюсов - компактный размер.   Корпус выглядит достаточно хлипким. Батареек в комплекте нет.    На упаковке было написано, что гарантийный талон заполнен, товар проверен. Так вот, гарантийный талон не был заполнен. Более того, его в упаковке просто нет.</t>
  </si>
  <si>
    <t>Красота? а не консоль и достоинств масса  1)Бесплатный сетевой сервис и мультиплеер  2)Поддержка Blu-Ray Disc(BD)  3)Крутые эксклюзивы(игры)  4)НЕ ГОРИТ(в отличии от XBOX 360)  5)Никаких аксессуаров не надо докупать(опять же в отличии от XBOX 360)  А хваленый XBOX 360-оказался хуже намного.</t>
  </si>
  <si>
    <t>232</t>
  </si>
  <si>
    <t>Очень хороший и качественный CD ресивер!!!  Пользуюсь им более 2 лет, никаких поломок и глюков. Звучание действительно можно получить потрясающее, только для этого надо еще и самой акустикой с проводкой заняться.  Через 1000 ваттный 4-х канальный усилитель и активный саб через 2-х канальный усилитель,  на 690 Hertzах (в кол-ве 6 динамиков) , на проводах с нормальным сечением,не  менее 2.5мм и хорошей настройкой эквалайзера - ПРОСТО БОМБА! Советую</t>
  </si>
  <si>
    <t>Сразу хочу предупредить, что купил в М-Видео сразу два пылесоса VAX: один для сухой уборки, а другой моющий.   Почему купил два? Да потому что после эксплуатации моющего пылесоса, последний надо обязательно мыть, что не очень удобно как для меня, так и для жены и дочки.  В конце концов не каждую неделю моем ковры или диваны...  Ну а теперь про пылесос VAX V-020 TFR. Это мой первый моющий пылесос. Я им очень даже доволен.  Хорошо моет, собирает влагу из ковра. Пол не мыл, но думаю и с этим справится на "отлично".  Собирается и разбирается просто. Легко моется после уборки (в отличии от Томаса): надо вылить грязную воду из круглой емкости, вылить чистую воду с моющим средством из кольцеобразной емкости в виде тора (бублика).    Недостатки:   Пока заметил только один - плохо фиксируется шланг с телескопической трубкой, иногда начинает разъединятся, т.к. пылесос сильно присасывается к ковру.    Совет, как мыть пылесос после уборки:   1. Приготовить ведро, на которое можно будет поставить двигатель.  2. Снять двигатель и поставить на ведро.  3. Вылить грязную и чистую воду.  4. Налить в емкость для чистой воды воду, чтобы промыть трубку, по которой подается моющее средство на ковер или пол.  5. Собрать пылесос, налить в ведро 4 литра воды.  6. Включить пылесос в режим подачи моющего средства, и промыть трубку для чистой воды.  5. Включить пылесос в режим сушки ковров и, погрузив щетку в ведро, высосать пылесосом воду. Таким образом Вы промоете щетку, телескопическую трубу и шланг.  6. Снять щетку и промыть в раковине. Разъединить трубу и шланг, подержать их вертикально над ведром, чтобы слились остатки воды.  7. Промыть емкости и оставить все это сушить.    Выглядит сложно, но этот пылесос заслуживает к себе такого внимания и в действительности эту процедуру я провел в течение 10 минут + время для сушки деталей.</t>
  </si>
  <si>
    <t>52</t>
  </si>
  <si>
    <t>Вчера купили этот комбайн!Просто супер.Количество насадок приятно впечатлило.Не могу сказать что сильно шумный!Измельчает мясо в фарш за считанные секунды.</t>
  </si>
  <si>
    <t>Купили водонагреватель более 4 лет назад , никаких течей нет, устанавливали сами, отличный товар, рекомендую.</t>
  </si>
  <si>
    <t>643</t>
  </si>
  <si>
    <t>Салфетки не дорогие. Пропитаны каким-то специальным средством, хорошо оттирающим именно стеклокерамиескую поверхность. Обычно с этим у меня бывают проблемы, тпк как абразивами ее чистить не рекомендуется, а обычные жидкие средства типа как для мытья посуды, особого эффекта не дают.</t>
  </si>
  <si>
    <t>Очень доволен цацкой!  Брал в Рязанском м видео в конце июля занесло меня туда с Украины))  Ну в общем классный!покупался за 2 минуты опаздывал на поезд!  Все классно!!  греется да но это не смертельно..мало юсб??можно купить переходник))  установил Либерти сити и Мафию 2 без вопросов!идет не тормозит!.не жалею!за эти деньги то что надо!</t>
  </si>
  <si>
    <t>1808</t>
  </si>
  <si>
    <t>купили 8 мая, полет нормальный, малошумная, не "гуляет" по ванной. Тест на устойчивость всяких баночек и бутылочек, расставленных на верхней крышке стиралки пройден на отлично - ничего не свалилось во время стирки и отжима.</t>
  </si>
  <si>
    <t>2012-10-21</t>
  </si>
  <si>
    <t>Пылесосу 2 года. Сплошная морока. Постоянно загорается контрольная лампа. Пылесос забивается после первой уборки. Постоянно приходится полностью разбирать контейнер. Теперь еще и снят с производства. И что теперь с ним делать. Своих денег он не стоит.</t>
  </si>
  <si>
    <t>2016-12-21</t>
  </si>
  <si>
    <t>Мало места занимает в шкафу</t>
  </si>
  <si>
    <t>За 3 месяца использования ни каких косяков не наблюдалось минусов нет вообще!!!Советую не пожалеете!!!</t>
  </si>
  <si>
    <t>Покупала мужу, очень довольны. Пользуемся уже полгода, и всё хорошо никаких проблем!</t>
  </si>
  <si>
    <t>Отличный тостер, который служит нам уже около 2х лет, проблем ни разу не возникало, жарит тосты отменно, а еще очень люблю поджарить с одной стороны, а с другой намазать масло, сверху икоркой красненькой, пальчики оближешь. Всем советую, уверен не разочаруетесь!!!</t>
  </si>
  <si>
    <t>Плитка работает хорошо ! Я довольно ,спасает в новой квартире т.как все сразу не купить))) Работает 6 мес.быстро греет.</t>
  </si>
  <si>
    <t>3 недели назад купила дочери нетбук levono s10-2 Mickey R.Оказалось,что нетбук не работает без сети. На утро без проблем поменяли родную 3х секционную батарею на 6-секционную. Соответственно, время без подзарядки увеличилось вдвое и составляет около 5-6 часов(если отключен блютуз, то подольше)К сожалению,нет встроенного 3g модема(есть только дырочка под симку,поэтому не стоит туда её пихать! Провалиться, проверено! В целом ожидания оправдались.Быстрый интернет,средненькие игрушки работают. В общем, если нужен мобильный, недорогой нетбук, это то, что надо: легкий,удобный,симпатичный!</t>
  </si>
  <si>
    <t>пока не нравится. шумит. ночью тем более слышно.поток теплого воздуха идет по верху. по полу холодно. через 1,5м уже тепла не чувствуется.И самое главное - розетки плавятся. . второй удленнитель меняю за неделю.  Здать в магазин обратно что ли, но маслянные греют хуже. это точно. Пока присматриваюсь.</t>
  </si>
  <si>
    <t>Да, ещё забыл добавить: если перепрошивать, то могут глюки появиться, брат менял прошивку правда на другом телефоне и появились глюки, функции некоторые перестают работать.  А так стоящий телефон, лучший продукт 2009 года по версии одного журнала</t>
  </si>
  <si>
    <t>1505</t>
  </si>
  <si>
    <t>оч хорошая игрушка))очень доволен покупкой)))</t>
  </si>
  <si>
    <t>2441</t>
  </si>
  <si>
    <t>С Юлей я согласен во всём, кроме того, что он сильный. Он не является супер мощным, но для комнаты 10-12 кв. м в самый раз. Режим обдува не нужная вещь, ведь режим вентиляции намного эффективнее. Но компактность и низкий уровень шума ему в +, только за недостающие ватты ставлю 4</t>
  </si>
  <si>
    <t>837</t>
  </si>
  <si>
    <t>2012-11-27</t>
  </si>
  <si>
    <t>1)В ней есть что надо за такую цену. 2)Все манипуляции с чисткой, заправкой, обслуживание производятся спереди, поэтому можно устанавливать в ряд с другой техникой микроволновкой, комбайном и т.д., большой бак для воды. 3)Пенку взбивает очень плотную, молоко 3,5% Милок увеличивается раза в три. 4)кофе крепкий, пришлось уменьшить регулировку крепости, поставив дозатор посередине. 5)Удобный столик для чашек сверху. 6)Настоящая итальянка. Упакован в двойной коробке, внешняя - вся итальянская с их наклейками, штрих-кодами и т.д., видимо только с дороги. 7)Думаю, ещё найду. Недостатки как таковых пока не заметил, вот только нагрев столика особо не почувствовал. Ну и если не брать в расчёт неправильное описание, устаревшая фотография на оф.сайте, Яндексе да и во всей сети. Долго выбирал, когда остановился на Делонге, начал метаться по моделям, их огромный выбор. Потратил два дня, в итоге выбрал эту. При звонке в интернет-магазин мне объяснили,что оказывается все модели до 30000 рублей одинаковые,разница только в дизайне и наличие дисплея. Информация на оф.сайте устаревшая, включая инструкции и фотографии блуждающие по интернету. На самом деле на этой модели вместо кнопки с краником - кнопка пар как и у всех(в процессе выбора меня этот краник отпугивал отсутствием функции быстрый пар, что и до сих пор подтверждается на сайте), а вместо кнопки ложка-появилась кнопка ECO. Таким образом машина сравнялась по функциям со старшими собратьями, вышла,т.с., на современный уровень. Нормальный быстрый пар, программирование времени отключения, вопреки описанию на оф.сайте, появился выключатель на задней стенке. Инструкция в комплекте правильная, а не та устаревшая, что с оф. сайта, если хотите почитать правильную, качайте от более старшей модели, все кнопки и функции одни и те же, машины одинаковые. Очень советую покупать, красивая,компактная,удобная и стильная модель с функциями как у дорогих моделей. P/S/ В инструкции понравилась фраза в самом начале Уделите ПАРУ МИНУТ на чтение данных инструкции :-)), читал намного дольше,а разбирался с настройкам тоже долго,т.к. их масса.</t>
  </si>
  <si>
    <t>1209</t>
  </si>
  <si>
    <t>купила я данную модель уж года три назад,только цвет салатовый.   минусы: когда уже закипает вода, громко шумит,что по мобильному абоненты спрашивают,что это у вас?)  плюсы: в пух и гриву! когда воды нет регулятор на половинку подогрева ставишь и вода есть. на гнездо ставится легко! Я очень довольна!</t>
  </si>
  <si>
    <t>2014-10-11</t>
  </si>
  <si>
    <t>Превосходный аппарат! Не жалко ни одной копейки потраченных денег! Кофе отменный! Сваренный в турке даже близко не стоит ни по крепости, ни по аромату, хотя я экспериментировала и с разными сортами, и степенями помола, и рецептами приготовления. Работает тихо - машинка стиральная громче белье отжимает. Пенка необыкновенная - с первого раза в три раза вспенила молоко за две минуты. Пенку делаю из топленого молока. Слышала, что можно взбивать шоколад, но пока не пробовали. Кофе не очень горячий, но кипяток мне ни к чему. Готовый напиток - бери и пей. Немного смутила нечеткая инструкция по приготовлению молотого кофе. Я обратилась в магазин, в котором покупала кофемашину, и любезная девушка консультант мне все объяснила.</t>
  </si>
  <si>
    <t>Прекрасная игра. Поиграл 15 минут у друга и после этого решил покупать себе такой комп чтобы на самых высоких настройках(с NVidia PhysX И CUDA). А насчет ИВАНА. Как поставит на РУССКИЙ язык. Заходишь в STEAM, находишь MAFIA II и ставишь в настройках русский. А насчет тормозов... Похоже у тебя и вправду не соответствует минимальным настройкам. Минимум нужны: NVidia GeForce 8600, Intel Pentium D с частотой 3 ГГц, 1,5 Гб оперативной памяти.</t>
  </si>
  <si>
    <t>2016-06-15</t>
  </si>
  <si>
    <t>Великолепный термопот , лучшая фирма . Очень рекомендую! Вы не будете жалеть о потраченных деньгах .</t>
  </si>
  <si>
    <t>да купил себе новую игрушку аппарат отличный, качество картинки и звука запредельное  минус один - грузится долго, да еще новый формат блю рей дисков типа((аватар)) отказался читать дал ссылку на сайт, пришлось обновлять программное обеспечение, но после обновления стало еще лучше.</t>
  </si>
  <si>
    <t>Пользуюсь чайником около 2 лет.До сих пор работает.При покупке понравился внешний вид,современный дизайн,вода закипает достаточно быстро,к сожалению на металлической поверхности быстро появляются разводы,но их легко смыть моющим средством,но больше всего не понравился сильный шум при использовании (если сравнивать с пластиковыми чайниками),но если уровень шума для вас не главное,то рекомендую к покупке.</t>
  </si>
  <si>
    <t>Как только увижу эти два слова "Russian Racing", то в игру играть не захочется, а тем более покупать!  Ну не умеют ещё в России делать хорошие игры!  От меня: Игра ужасная!</t>
  </si>
  <si>
    <t>Фритюрница Vitek VT-1535-отличная вещь! Качество супер,пластик великолепный,компактная,супер эффективная и экономичная (всего пол-литра масла!),пол-литра масла хватает,чтобы приготовить 5 кг картофеля без ухудшения вкуса(проверено);никакой мороки с очисткой,очень удобная и продуманная конструкция.Единственное-нужна кухонная руковичка:)</t>
  </si>
  <si>
    <t>Папа подарил плеер 3 года назад, полгода я им не пользовалась, как начала - просто влюбилась. Замечательная вещь, но вот недавно сломался, не включается. Буду отдавать в ремонт. Но все же за все время его использования вел себя хорошо, осталась довольна. Большая память, функциональный..просто супер!:)    Вот только немного обманули, было написано, что он сенсорный, к сожилению, это не так.</t>
  </si>
  <si>
    <t>Во все игры можно играть и с одним Мувом, это так.  В Гладиаторских боях зажимая "курок" (Т) вы переходите в режим защиты и начинаете управлять одним Мувом щитом вместо меча. Отпускаете курок - опять управляете мечём.    В Стрельбе из лука одиночный Мув отвечает, в основном, за стрелу (её вытаскивание и выстрел), лук от мува наводится, конечно, но косвенно.    Всяко интереснее с 2 Мувами в эти игры, когда, например, в левой руке независимый Мув-щит, а в правой независимый Мув-меч или луч и стрела соответственно. Погружение в игру с 2-мя Мувами намного сильнее.</t>
  </si>
  <si>
    <t>Плеер хороший, комплектация порадовала. В комплекте провод HDMI-HDMI (правда консультант в зале сам про это не знал и хотел мне такой провод отдельно впарить по цене 2500р), 3 диска Blu-ray (что тоже очень хорошо, т.к. покупать диски по рублю накладно).    Что касается USB, то флешку и винт (Seagate FreeAgent 320) плеер прочитал нормально как в FAT32, так и в NTFS!!!    Порадовала возможность смотреть YouTube с плеера. Подключение плеера к инету не вызвало никаких проблем, подключил провод к роутеру и все заработало. При старте плеер проверяет наличие свежих прошивок и сам их загружает (не надо лазить по сайтам и скачивать отдельно).    Проигрывать HD видео с винта пока не получается, звук идет картинки нет, плеер пишет, что формат не поддерживается. Сейчас экспериментирую с разными разрешениями и кодеками.    Все остальное пока без претензий, рекомендую не верить инструкции, т.к. прошивки постоянно меняются и возможности расширяются.</t>
  </si>
  <si>
    <t>Пока довольны.  С промывкой че-то намудрили. Надо было отдельную клавишу сделать.    Если кончилась вода, а вы воду долили, но аппарат не работает поверните тублер пар на 2 секудны. В инструкции этого не написано.    Кофе вкусный, спенкой даже без молока. В прозрачном бокале цвет у кофе от бежевого сверху до темного снизу, как на картинках.  Капучинатор делает классную пену из молока, которая не оседает.    Одно плохо - цену задрали 20тысяч. Купили с купонами за 16000.</t>
  </si>
  <si>
    <t>Отличное приобретение для семьи с маленькими детьми. Купив термопот, наконец то избавилась от вечного кипячения и остуживания чайника. Сейчас и чаи, и детское питание разбавляю без проблем. Конкретно это модель привлекла ценой и симпатичным внешним видом. Корпус сделан из высококачественной нержавеющей стали, при кипячении абсолютно не нагревается. Воду можно наливать помпой или клапаном. Мне больше всего нравится помпа. Модель простая и безопасная – не нагревается, не протекает, есть блокировка крышки. В общем, ничего плохого сказать не могу. Только положительные впечатления.</t>
  </si>
  <si>
    <t>С  одним Мувом можно играть во все игры второй мув  нужен для игр вдвоём  а волйбол ,лук , настольный тенис  ,</t>
  </si>
  <si>
    <t>Все-таки купил Самсунг SP-9480. Главным критерием покупки стало отсутствие этих пылесосов в 3-х ближайших крупных магазинах и их складах. Получается, что все плохие пылесосы с аквафильтрами раскупили - остались только хорошие с мешками и контейнерами. Привезла доставка, налили,включил, поелозил немного для пробы - столько грязи, как-будто не убирались никогда. Качество пластика, сборки и деталей достойное. В общем пока очень доволен. Единственное, что напугало - сразу после уборки перестало работать дистанционное управление на ручке пылесоса. Расстроился и убрал в коробку, чтобы поменять. Потом вспомнил, что нечто похожее у меня уже случалось с другой техникой с ИК управлением и надо просто выдернуть вилку и немного подождать. Судя по всему статика от трения о ковер где-то накапливается. Достал из коробки, включил - точно, все работает. В общем рекомендуем.</t>
  </si>
  <si>
    <t>Просто отличная не заменимая вещ на кухне, яйцо готовится быстро и без всяких проблем и именно такое как тебе нужно. Всем рекомендую.</t>
  </si>
  <si>
    <t>Купили пылесос Dyson/DC29 Allergy. Выбирали не долго, смотрели отзывы в интернете, остановились на этой модели.При выборе в магазине показался тяжёлым, как показала эксплуатация,совсем этого не чувствуется.Пользовалась 2 раза, но сразу почувствовала разницу.Очень манёвренный и сам корпус и щётка. Уборку провела раза в 2, а то и в 3 быстрее,чем старым пылесосом.Немного огорчило, что занимает больше места при парковке, чем прежний пылесос.До этого был Bork из дешёвых моделей, через три года порвался шланг, да к тому же замучились искать НР фильтр, которого никогда в продаже не было.А в целом пылесос просто супер!!! Достойная альтернатива пылесосам той же ценовой категории только с расходниками.Оптимальное соотношение цены и качества.</t>
  </si>
  <si>
    <t>2524</t>
  </si>
  <si>
    <t>2017-07-12</t>
  </si>
  <si>
    <t>Нагревается быстро</t>
  </si>
  <si>
    <t>Если не слышно примотайте к голове колонки , ватт на 10 :))  Плеер удобный, на дисплее всё видно, звук хороший.</t>
  </si>
  <si>
    <t>2075</t>
  </si>
  <si>
    <t>Долго искал подходящий для себя ноутбук и остановился на Ноутбуке Compaq 615 здесь сочетается цена качество и все необходимые функции в разумных пределах на этом сегменте !!!!!!</t>
  </si>
  <si>
    <t>Пользуюсь данной моделью чуть больше года. Сравнительно недорогой. Плюсы данной модели убирает на 5+; можно мыть окна(хотя и отдельной насадки для этого нет), кафель в ванной, полы, ковры, мягкую мебель. Особенно после первой уборки поражает в какой грязи до этого жили.Тряпка и простой пылесос, так не убирают как Thomas! Воду хорошо всасывает, полы сразу сухие.Конечно влажную уборку каждую неделю не наделаешься, т.к. после этого нужно промывать все шланги, трубки и фильтры хорошо. Есть не большие минусы, всё-таки тяжеловат, нет в комплекте турбощетки, пришлось брать отдельно; после 3 мес использования перестала складываться трубка металлическая, сейчас разболтался пистолет для подачи воды, моющие средства оригинальные не продают, а хотелось бы. Но пылесос не плохой.</t>
  </si>
  <si>
    <t>Самые лучшие наушники!</t>
  </si>
  <si>
    <t>Вытяжка хорошая но,пластмассовые штучки(уж незнаю как их назвать) которые дежут стекло тут же сломались!</t>
  </si>
  <si>
    <t>Плюсы:   1. Сидят на голове великолепно  2. Дальность приёма хорошая  3. Автоматическое отключение базы и самих наушников реализовано достойно, при поступлении сигнала база активируется вновь, на ушах нужно щёлкнуть кнопкой (есть модели у иных производителей, где база гасится пока её не включить руками, это не комильфо)  4. Внешний вид радует, подставка устойчивая.    Минусы:  1. Фоновый шум есть всегда. Тихий, но ощутимый в паузах.  2. Качество звука для беспроводных наушников достойное, но до "стационарных" не дотянут.</t>
  </si>
  <si>
    <t>3135</t>
  </si>
  <si>
    <t>Хороший телефон...даже отличный!!!! Я довольна всем!!!  Лёгкий,красивый,стильный,многофункциональный.  А особенно порадовало то, что он не подвёл даже в 25 градусный мороз!!!!  Советую всем от всей души!!! СОВЕТУЮ...  Приобретайте-не пожалеете!!!</t>
  </si>
  <si>
    <t>2014-07-04</t>
  </si>
  <si>
    <t>Покупал маме посудомоечную машину DW H-A LSF 7237 X. Мама почувствовала себя вдвойне женщиной! Сэкономила время, поберегла ручки, а посуда блестит и продезинфицирована.Советую всем!</t>
  </si>
  <si>
    <t>2913</t>
  </si>
  <si>
    <t>телефон просто класс! год назад купил и доволен! громкий динамик эргономичный стильный дизайн! смотрится отлично!и наушники тоже класс звук обалденный!если стоит вопрос покупать или нет: конечно покупать!))</t>
  </si>
  <si>
    <t>Пользуюсь им уже около года, и не нарадуюсь. Главное преимущество- длинный шнур!!! Только в сравнении понимаешь какой это кайф! И ещё один плюс это увеличенная ёмкость для воды, и очень удобный носик- рекомендую тем, кто много гладит мужу рубашки, вокруг пуговиц он разглаживает лучше других утюгов.</t>
  </si>
  <si>
    <t>2013-12-20</t>
  </si>
  <si>
    <t>Не оправдала себя !!! Сначала очень даже всё устраивало. Всё началось после окончания гарантии. Во время использования этой мясорубки сок от мяса стал затекать в корпус аппарата. По истечении 3-х лет со дня покупки, от мясорубки просто стало пахнуть тухлятиной. Пришлось нести в ремонт. Разочарован этой моделью, таких денег она не стоит !</t>
  </si>
  <si>
    <t>смартфон просто супер!!!!!!!!!ну аккумулятор, с такими пожирателями как процессор и тому прочее думаю нормально!</t>
  </si>
  <si>
    <t>2015-07-30</t>
  </si>
  <si>
    <t>Отличная голова, полу процессорная (не развитый), 9 полос эквалайзера. Много настроек такие как x-over , временные задержки и прочее. Ставлю твердую 5, одна радость от использования!</t>
  </si>
  <si>
    <t>2014-07-17</t>
  </si>
  <si>
    <t>Когда он был новый, два лета исправно работал. Маленький ,а масло любит. Смазывайте ось маслом для швейных машин (одной каплей спереди и сзади оси) сразу как послышится рокочущий звук. Если игнорировать рокот, неизбежно последует остановка вращения пропеллера. Разблокировка происходит после попадания масла на ось. Вынимайте вилку из розетки всегда когда обслуживаете или не пользуетесь вентилятором.</t>
  </si>
  <si>
    <t>Купила почти год назад.   Минусы:   - время от времени намертво зависает;  - сто тыщ лет думает, если открываешь объёмный видеофайл (фильм, и.т.д.) на закладке;  - не всегда удобно пользоваться внешней памятью (после выключения либо заново сначала списка переслушивать, либо дофига листать до того места, на котором в прошлый раз остановился).   В остальном - вполне приятная зверюшка.</t>
  </si>
  <si>
    <t>Берите, это реально вещь!!!!!!!)</t>
  </si>
  <si>
    <t>Отличная бритва.Работает очень тихо и чисто бреет.Никакого раздражения.</t>
  </si>
  <si>
    <t>2016-07-07</t>
  </si>
  <si>
    <t>Хорошая модель, пожбирали именно LG и смотрели по надежносте и простоте ик ачеству сборке, могу точно сказать это именна там микроволновка! Советую к покупке!</t>
  </si>
  <si>
    <t>Всем привет, данный телефон у меня на руках 2 день, из минусов обнаружил пока только один, из заявленных 32 мб на сайте, в действительности на телефоне всего 10, на вопрос почему менеджер ответил, что системные файлы занимают остальные 22 )) что еще...кричит громко, не орет как 3250 ( был во владении ) басов нет, высокие частоты по ушам режут на большой громкости...Заряд держит хорошо, с момента покупки еще не заряжал вообще.  Телефончик приятный, для людей которые покупают телефон именно по назначению, а не для выпендрежа, в принципе покупкой доволен.    Всем удачи, берегите себя, будут вопросы пишите тут постараюсь ответить по мере возможности.</t>
  </si>
  <si>
    <t>Купил перед отключением горячей воды. Подключил через электроплиту. Греет нормально, даже отлично при среднем напоре и при полной мощности.</t>
  </si>
  <si>
    <t>926</t>
  </si>
  <si>
    <t>Приобрел бритву года 2 назад. Бреет довольно чисто (станком, конечно, лучше), но долго. Приходится по несколько раз проходить одно место. Аккумулятора на 30 мин. не хватает, максимум на 15 в рабочем режиме. Корпус за 2 года не потерся, обрезиненное покрытие не облезло. Из минусов: на первых парах отвалились декоративные колпачки с бреющих головок. На бритье это не влияет, но неприятно.</t>
  </si>
  <si>
    <t>Пользуюсь уже 4 года, за это время ни одного замечания. Рекомендую</t>
  </si>
  <si>
    <t>2016-06-01</t>
  </si>
  <si>
    <t>Прикольный во всех смыслах чайник! Внешний вид, качество работы, быстрота нагревания воды, уровень шума - лучше не придумаешь! Надо брать.</t>
  </si>
  <si>
    <t>2016-06-16</t>
  </si>
  <si>
    <t>плюсы - работает как от сети, так и от батареи. Лезвия - ее второй основной плюс - пользуюсь уже 2 года и ни разу не дергала.  минусы - батарея сдохла на 2 использовании (вернуть не смог, так как племянник порвал чек еще в первые часы покупки). Насадок всего 2 (у одной сломался боковой зуб через год использования). Если одна сломалась, то можно просто выбрасывать, так как разброс размеров там максимальный, да и заменить насадку наврятли где можно.   Самый главный минус - потеря мощности из-за не функциональной защиты подвижных частей - волосы после стрижки банально вынимать приходится с разбором всей машинки вплоть до мотора.</t>
  </si>
  <si>
    <t>Мне очень понравился!!! Просто дело в том, что розжиг нужно немного подержать, а потом отпустить, тогда не погаснет. Там до определенной температуры что-ли должно нагреться...</t>
  </si>
  <si>
    <t>465</t>
  </si>
  <si>
    <t>Все хорошо, супер телефончик, доволен, кроме одного думаю минуса, камера как-то не впечатляет... сравнивал фото с цифровика с камерой 5 мп. Фото в телефоне на 3.2 пм тянут, а не на 5 мп.    Кто согласен?</t>
  </si>
  <si>
    <t>506</t>
  </si>
  <si>
    <t>Прекрасная вещица, работает без глюков и достаточно шустро. Надёжно, я всегда могу на неё положится. И никаких поисков колпачка.</t>
  </si>
  <si>
    <t>Отзыв о Gorenje. Отличная газовая плита!!! Отлично впишется в интерьер любой кухни и украсит ее! Мы с мужем рады что приобрели именно этой фирмы Gorenje газовую плиту, изначально выбор был за данной фирмой по советам большинства наших знакомых. Всем советуем!!! Не пожалеете!!!</t>
  </si>
  <si>
    <t>Очень хороший фен! Удобен тем, что 2 режима скорости и 2 режима тепла переключаются отдельно. Эти феном пользовалась почти 5 лет (у большинства подруг фены прекращали работать через 1,5-2 года). Буду покупать такой же :)</t>
  </si>
  <si>
    <t>Соковыжималка только для сока с мякотью, отжимает плохо, выбрасывает слишком мокрый жмых. Такое выбросить жалко, а делать из этого уже нечего, только выбросить... Сок из ягод, вообще не сделать, постоянно все забивается, приходится разбирать и промывать. Уже 2 сезона убрана с глаз долой, чтобы не расстраиваться при виде такой помощницы на кухне.</t>
  </si>
  <si>
    <t>2266</t>
  </si>
  <si>
    <t>2014-02-05</t>
  </si>
  <si>
    <t>Удобный, компактный, стаканчики с ложками и сумка действительно прилагаются. Сразу после покупки налил полный и засёк время-до отключения грелся 8 минут,поэтому 4,всё остальное на пятёрку. Запаха пластика в воде не почувствовал.Итог-своих денег стоит.</t>
  </si>
  <si>
    <t>2016-09-25</t>
  </si>
  <si>
    <t>Купила машинку около полугода назад, в подарок мужу. И вот теперь стригу его сама, он доволен.Экономим на парикмахерской и проводим время вместе. Очень удобно, что нет провода. Всё ОК, все довольны. Отличное соотношение цены и качества!</t>
  </si>
  <si>
    <t>2012-01-03</t>
  </si>
  <si>
    <t>прекрасный чайник. всем доволен. вода после нагрева долго остаётся горячей, поэтому пользуюсь им для заваривания различного вида трав а так же ягод</t>
  </si>
  <si>
    <t>работает года 2-3</t>
  </si>
  <si>
    <t>Купил данный телефон два года назад - пользуюсь до сих пор и радуюсь. Есть все, что нужно - GPS, Wi-Fi, блютус, радио  и тп и тд. Телефон маленький по размерам, удобно лежит как в кармане так и в руке. Особенно радует, что слайдер до сих пор не расшатался и крышечка ходит туда-сюда как надо.    Да и экран хороший, позволяет ставить свои заставки и наслаждаться сочными цветами ;)</t>
  </si>
  <si>
    <t>2017-05-13</t>
  </si>
  <si>
    <t>плоский, нержа, хромированный под смесы в ванную.</t>
  </si>
  <si>
    <t>Бритва очень хорошая. Бреет почти как станок. Саморазряда нет, долго держит зарядку. Элегантна. Срок использования уже три месяца. В общем, доволен.</t>
  </si>
  <si>
    <t>аппарат и удобен и функционален, но есть и минус, очень тихий полифонический динамик, мелковаты кнопки клавиатуры. я думаю что цена завышена уж слишком за такой телефон, а так очень даже хорошо.</t>
  </si>
  <si>
    <t>когда чайник полный много проливается мимо кружки.... плохое горлышко</t>
  </si>
  <si>
    <t>878</t>
  </si>
  <si>
    <t>Маленький и удобный пылесос.После покупки лучше сразу купить комплект бумажных одноразовых мешков.Шумноват,но соседи не жалуются).  Из минусов: когда засасывает металлические предметы,то наэлектризовывается весь.Иногда бьет статическим током.  В целом,очень хороший аппарат.</t>
  </si>
  <si>
    <t>Купили холодильник в мае. Сразу на стенке хол.камеры начала образовываться шуба до 2-х см. В магазине сказали, что так и надо. Приходилось размораживать каждые 2 недели. Но всё же после нескольких обращений забрали в ремонт. Ремонтировали ровно месяц. Неделю пока работает. Никому не советую Норд.</t>
  </si>
  <si>
    <t>3224</t>
  </si>
  <si>
    <t>после кражи моего любимого смартфона W960i, решил взять что-нибудь подешевле, но что б тоже вокман был и памяти много - приобрёл W902. немного напрягали щели по бокам дисплея, но сейчас их уже не замечаю. звук отличный, камера хороша.  аппаратом доволен</t>
  </si>
  <si>
    <t>Это лучшая мультиплеерная игра пока не вышла BF3)))</t>
  </si>
  <si>
    <t>1871</t>
  </si>
  <si>
    <t>А тут HDMI-выход есть ? А то собираюсь к телевизору купить PlayStation3 , а ей как раз нужен  HDMI-выход . Конечно и тюльпаны сойдут , но рекомендуется HDMI .</t>
  </si>
  <si>
    <t>Приехали мы в магазин за ЖК-телевизором 32", предварительно выбрав LG, посмотрели на месте, увидели Sony Bravia - дизайн действительно интересный, четкость рекламной картинки отличная...   Привезли домой, включили и долго пытались настроить красивое изображение, на всех каналах показывает слабый сигнал, четкость и контрастность вообще не регулируются, вобщем расстроились...   На следующий день поехали и обменяли на другой телевизор (взяли Samsung) доплатив 1000 руб, и поняли что и за 18000 тыс. можно наслаждаться изображением. А у Sony, во-первых, низкие показатели яркости и контрастности, а во-вторых люминесцентная подсветка дисплея даёт ядовитый зелёный свет... А вообще в М-Видео большой выбор и приемлемые цены!</t>
  </si>
  <si>
    <t>1135</t>
  </si>
  <si>
    <t>Нареканий нет, работает уже 3 месяца. Отлично гладит и отпаривает. У сестры такой же, говорит иногда вода вытекает через дырочки для пара, но я за своим такого не замечала. В целом утюг хороший</t>
  </si>
  <si>
    <t>Весы прекрасные и отлично работают!)) Я не нарадуюсь!))) Нужно лишь разобраться с использованием! "Кракозябра", это настройка перед применением. Вы включаете весы, ждете, пока они настроятся, а затем взвешиваетесь! И все замечательно!</t>
  </si>
  <si>
    <t>Отличный чайник, уже год пользуюсь никаких проблем.</t>
  </si>
  <si>
    <t>Купил Lenovo S12(VIA Nano) полгода тому назад, в основном для использования в инете. В принципе все устраивает, только вот батарейки хватает на 1.5-2 часа, это при выключенном тумблере вай-фая. Экран классный, звук громкий, клавиатура удобная. Но вот кулер немножко шумный. В игры играть невозможно все тормозит(пробовал GTA Vice city, NFS Underground 2), но в общем-то не для игр он и покупался. Фильмы blue ray качества тоже тормозят. Недавно отказала прокрутка на тач паде. Но я все равно считаю, что лучше купить его, чем какой-нибудь 10-дюймовый нетбук.</t>
  </si>
  <si>
    <t>Хороший бук. Семерка летает. Игры тоже отлично.</t>
  </si>
  <si>
    <t>А где конкретно находятся эти "В тул опшинс в юсб тайп" и как туда попасть?С помощью диодов попал в EZ ADJUST меню, но ничего про "тул опшинс" не нашел!Или я вообще не там искал?</t>
  </si>
  <si>
    <t>У меня стоят дома уже больше 6 лет, неудобно с проводами, но звук наилучший.</t>
  </si>
  <si>
    <t>Игруха супер ШЕДЕВР</t>
  </si>
  <si>
    <t>Кнопки выбора температуры воды</t>
  </si>
  <si>
    <t>1878</t>
  </si>
  <si>
    <t>Пользуюсь уже почти год, никаких претензий. Удобная ручка, функция "холодный воздух", благодаря ионизации забыла, что бывают намагниченные волосы))))) Отдельное спасибо производителям за дизайн)))</t>
  </si>
  <si>
    <t>2014-08-29</t>
  </si>
  <si>
    <t>Остановилась на этой модели из-за хороших характеристик, консультант объяснил, что эта подошва чем-то покрыта, поэтому её не придётся чистить карандашом. Пар мощный, скорость глажки значительно сократилась. Не налюбуюсь на идеально поглаженные рубашки:) Складываю постельное бельё в 2-4 раза и проглаживаю. В общем, очень довольна, рекомендую, и денег на такое не жалко</t>
  </si>
  <si>
    <t>Получается,что в этот нетбук нельзя вставить сим-карту к примеру, чтобы выйти в интернет в другом городе? Возможно мой вопрос немного некорректный, я не очень смыслю в компьютерах.....заранее благодарна за ответ!=)</t>
  </si>
  <si>
    <t>2016-05-29</t>
  </si>
  <si>
    <t>Долго выбирал. Точно нужны не только вращательные, но и пульсирующие движения. Уже после 3 чисток зубы заметно посветлели - супер! Задние стороны зубов обычной щёткой так не почистить. Рекомендую. Те, что дороже, на мой взгляд - уже не нужные навороты.</t>
  </si>
  <si>
    <t>2996</t>
  </si>
  <si>
    <t>В отличие от конкурентов кушает  NTFS (как HDD так и флешку питания хватает) и ловит файлы по сети (главное, правильно создать правило на FireWall'е) отображается как расшаренная папка(тестил с ноутом без доступа к инету)  работает по HDMI-CEC с телеком Philips  правда работает только пульт от филипса на 2 устройства samsung включать филипс отказывается, порадовала трилогия пиратов, расстроило отсутствие заявленного кабеля hdmi-hdmi  контейнеры mkv и avi ест с определенными параметрами  в целом доволен</t>
  </si>
  <si>
    <t>2012-12-08</t>
  </si>
  <si>
    <t>Брак может случится у любого производителя! Купил чайник почти год назад. Он никогда не пах пластиком, накипь не сильно образовывается, выдерживает все удары судьбы типа хрясь и бабах. Хорошо видно уровень воды. Единственное но немного шумит, приходится телевизор погромче делать. И все! Рекомендую как в офис так и домой:).</t>
  </si>
  <si>
    <t>Эта бритва полностью заменила мне станок, им я больше не пользуюсь.  Сухое бритье мне нравится больше. Порезов не делает. После бритья как и после станка использую бальзам.  Бреюсь с удовольствием каждый день, очень доволен.</t>
  </si>
  <si>
    <t>2107</t>
  </si>
  <si>
    <t>Плеер очень хороший. Минусы: дисплей на солнце слепнет причем яркость хоть на минимум стоит хоть на максимум очень плохо видно. Прошивку новую можно скачать только с корейского сайта самсунг на нашем официальном только самая первая прошивка. неудобные стандартные наушники звук неплохой ну провада ужасно неудобные.нет чехлов на него и нельзя повесить на ремешок нет крепление пок шнурок.Кабель для соединение с ПК редкий если потерять то я думую найти будет очень сложно он необычный.ПЛЮСЫ: хорошо показывает видео красивый корпус есть блютус ну всем хорош.</t>
  </si>
  <si>
    <t>2012-05-18</t>
  </si>
  <si>
    <t>Прекрасная кофемашина, готовит замечательно вкусный кофе, очень легкая  в управлении и очень легко чистится (не тратимся на какие-то еще дорогостоящие таблетки, как соседи со своей Jura). В общем получаем то же удовольствие, только за гораздо меньшие деньги )))</t>
  </si>
  <si>
    <t>Купила машинку неделю назад. Очень довольна. Стирала уже пять раз.Все отлично отстирывает. Единственное не очень хорошо отстирывает обувь. Стирала кроссовки и на местах заломов так и осталась пыль.Не трясется, стирает не громко, стирала ночью - соседи не приходили :)</t>
  </si>
  <si>
    <t>Купили в Мвидео. Остались очень довольны. Выбирали между Bosch и Kenwood. Выбрали Kenwood он компактней может спокойно стоять на столе и каждый день можно им пользоваться. Хорошо шинкует и терет. Прекрасно справился с морковкой  редиской и даже мясо получилось порубить. Реальный помощник на кухне облегчает труд не надо теперь руками что либо тереть и сохраняет время.Теперь готовим с удовольствием каждый день разнообразные блюда.</t>
  </si>
  <si>
    <t>Да классный плеер только я загружаю туда видео формата AVI как надо,а он пишет что формат неправильный.</t>
  </si>
  <si>
    <t>Пользуемся уже пару месяцев.    В общем, пылесос неплохой, учитывая особо низкую цену. Единственное, что не понравилось, это основная насадка, которая для такой цены, может, и неплохая, но имеет некоторые недостатки.      Плюсы: неплохой дизайн, пылесборник довольно-таки объемный, для такого маленького пылесоса, сила всасывания тоже приличная, низкая цена, соотношение цены и качества уместное     Минусы:  у основной насадки (из пластика) отсутствует обычная вставка для сбора шерсти и волос;  на гладких поверхностях колесики слишком жесткие и иногда скребут по полу, создается впечатление, что они плохо прокручиваются; по этой же причине щетка иногда плохо скользит по ковровой поверхности    По этой причине оценка товара 4, а не 5.    Решение: при желании можно купить другую насадку.    Вывод: для непритязательных и экономных покупателей самое то, все основные функции пылесоса на месте.</t>
  </si>
  <si>
    <t>2013-10-30</t>
  </si>
  <si>
    <t>Шикарно измельчает, отлично смешивает и с легкостью колет лед!!! Приятный корпус, высокое качество деталей!! Минусы: Не обнаружено!</t>
  </si>
  <si>
    <t>Купили ЖК-телевизор 32" LG 32 LH5000  остались довольны покупкой!</t>
  </si>
  <si>
    <t>2016-01-19</t>
  </si>
  <si>
    <t>Отличное приобретение. Очистили всю оптику ( фотообъективы, светофильтры и даже очки). Удобно пользоваться, результаты превзошли ожидания.</t>
  </si>
  <si>
    <t>2478</t>
  </si>
  <si>
    <t>2013-03-30</t>
  </si>
  <si>
    <t>Не советую эту плитку покупать. Приглянулся дизайн,симпатично смотрится абсолютно черная политочка. Но,радовалась не долго(((( Вчера она перестала работать. Проработала всего-ничего : около 4 месяцев . Честно сказать:жаль потраченных денег.</t>
  </si>
  <si>
    <t>2013-10-06</t>
  </si>
  <si>
    <t>Совершенно не понятно, зачем было делать движения щетинок этой щетки такими агрессивными. Производитель и сам понимает это, поэтому создал режим привыкание, но он мало что дает. Десна начили кровоточить и неприятные ощущения от чистки усилились.</t>
  </si>
  <si>
    <t>Отличный аппарат! Я очень доволен. качественный кофе получается. Надежная машинка.</t>
  </si>
  <si>
    <t>Купил жене в подарок такую мясорубку. Первое, что неприятно удивило - на шильдике вместо MG520 стоит MG510. После долгих выяснений мне сказали, что так положено и машины одинаковые, различаются только дополнительными терками. Так что для тех, кто выбирает мясорубку (и только!), не стоит переплачивать за дополнительные и ненужные причиндалы. Прочитал отзывы от купивших такой комбайн - многие довольны именно МЯСОРУБКОЙ, а не возможностью натереть морковь. Тогда зачем платить лишние 6-8 тыс.рублей?  В целом, машина хорошая, крепкая, красивая. Мне понравились ножи из нержавейки, достаточная мощность. Насчет поломки шестеренок сказать ничего не могу, не ломались ещё, хотя в старой кенвудской мясорубке (2400Вт) шестерни ломались (они из пластмассы).  Оцениваю машину в 4 звезды, учитывая вышесказанное.  P.S. Когда читаешь только хвалебные отзывы, без замечаний --- (неужели ВСЁ хорошо?).</t>
  </si>
  <si>
    <t>603</t>
  </si>
  <si>
    <t>2014-05-20</t>
  </si>
  <si>
    <t>Купила вентилятор год назад, нарадоваться не могу.Конечно шумный,но какой мощный!!. Кондиционер летом совсем не включала, вентилятор спас на все 100%.</t>
  </si>
  <si>
    <t>Всё хорошо,пользуюсь вот уже полгода...Минус - быстро разряжается : если слушать радио 1.5 дня, а так хватает дней на 5 заряда</t>
  </si>
  <si>
    <t>Куплен 19.01.2013 и 8.02.2014 вышел из строя, отработав на 2 недели больше срока гарантии! Из строя вышел сам ультразвуковой преобразователь.</t>
  </si>
  <si>
    <t>1141</t>
  </si>
  <si>
    <t>телефон не понравился, автоответчик включается даже после того, как берешь трубку параллельного телефона, телефон завис и заблокировал всю сеть - пришлось сбрасывать все настройки.</t>
  </si>
  <si>
    <t>купили 3 дня назад. Дома обнаружили, что информация об аккумуляторе отсутствует, и как определить время зарядки - неизвестно. При поисках вышли на этот сайт - решили не начинать пользоваться, а обменять. Даже отсутствие информации - факт неприятный, а уж если и качество как люди пишут....</t>
  </si>
  <si>
    <t>Купил три месяца назад. Работает в паре с 208 + ещё наружный датчик. Показывает точно, а, главное, отлично видно с любого расстояния.</t>
  </si>
  <si>
    <t>Воздухоувлажнитель хороший, без нареканий, но к сожалению нигде не найти на него фильтр без которого он не работает. Консультировался с продавцами М-видео о возможности заказа данного фильтра, в ответ только разводят руками, такой товар под заказ не привозят, где приобрести подсказать не могут. Я считаю если в магазине продается какая-либо техника, то в нем должны продавать и расходники на неё.</t>
  </si>
  <si>
    <t>2012-08-31</t>
  </si>
  <si>
    <t>появилась в нашей семье вместе с ребенком. Жена озадачилась полезностью фруктов, здоровым питанием, лечением соками. Выбирали соковыжималку для разовых пользований, поэтому, как мне казалось, в более дорогих моделях смысла не было. Остались довольны, цену свою оправдала, жмет все от ягод до ананаса без кожуры.</t>
  </si>
  <si>
    <t>625</t>
  </si>
  <si>
    <t>Приобрела миксер и осталась очень довольна! Он не шумит, взбивает хорошо, никакого запаха по сравнению с более дешевыми моделями!) Сматывание шнура - лучшее что может быть!)))) Я очень рада своему приобретению!)))</t>
  </si>
  <si>
    <t>2017-03-20</t>
  </si>
  <si>
    <t>Цена, дизайн</t>
  </si>
  <si>
    <t>Та же тупня что и V7. Тот правда брал за дороже, видимо оно дешевеет. Тупит тормозит исчо более. Аппарат тем кому нечем себя занять :)</t>
  </si>
  <si>
    <t>2613</t>
  </si>
  <si>
    <t>Хорошее соотношение цена\качество, за время пользования в 1 год почти каждый день и мин. по 6-ть часов:   Преимущества:   - цена (недорого для беспроводных ушей);  - качество звука;  - посадка на голове;  - управление звуком и вкл/выкл на правом ухе;  - хороший прием в рамках одной комнаты;  Недостатки:  - хрипение звука когда батарейки на исходе;  - шипение при полной громкости;  - при интенсивном использовании батарейки хватает на 1 месяц;  - через год  механизм регулировки уровня наушников вышел из строя.  Вывод: как бюджетное решение вполне может существовать, но для удобства и продолжительности использования, нужно потратиться на нормальные ухи )))</t>
  </si>
  <si>
    <t>+ красивый дизайн.  + поддержка Full HD, смотрел на нём Аватар в 720p картинка поражает, всё чётка ни каких искажений.  + Угол обзора, даже стоя сбоку на приличном расстоянии искажения по минимуму    - подставка, кажется слабоватой, хотя это и не так, чуть шатнуть стол, монитор начинает играть.  - отсутствие HDMI, хотя и по аналогу картинка изумительна, это больше прихоти!!     При покупке в центре экрана были битые пиксили, так что перед покупкой проверяйте на целостность пикселей, поменяли без проблем. После 17-дюймового, конечно, надо к нему привыкнуть, кажется просто огромным, не забываем и про видеокарту, минимум GTS 250 и выше.. или им подобны других производителей!!!</t>
  </si>
  <si>
    <t>1525</t>
  </si>
  <si>
    <t>Купил в подарок маме и решили сразу опробовать  - были очень удивлены качеством и результатом</t>
  </si>
  <si>
    <t>2013-07-30</t>
  </si>
  <si>
    <t>Данный сетевой фильтр покупали специально для холодильника марки AEG для защиты от скачков напряжения. В итоге сетевой фильтр не помог, холодильник сгорел. Ни за что не покупайте данный фильтр.</t>
  </si>
  <si>
    <t>1176</t>
  </si>
  <si>
    <t>До этого пользовалась эпилятором Браун 7 серии, поэтому сравниваю с ним  Что понравилось:  -Обдув воздуха действительно снижает болевые ощущения  - Массаж довольно приятный, но плохо что не снимается т.к. в некоторых местах он мешается только  - Дельная подсветка (большой прямоугольник света), по сравнению с Брауном видно лучше  - Можно мыть насадки под водой  - В комплекте есть триммер  Что не понравилось:  - Хлипкая пластмасса (надеюсь прослужит долго)    В целом за свои деньги эпилятор просто отличный! С таким количеством насадок и хар-ми у него просто нет конкурентов. Удаляет даже самые маленькие волоски на ногах, подмышках - всё удобно!!</t>
  </si>
  <si>
    <t>542</t>
  </si>
  <si>
    <t>отличненький бук, успел по акции взять за 35 кр, идет все что было на дисках и винтах вплоть до игр июня 2010 ...правда ГТА 4 на максимуме со включенными алязингами и прочими фишками слегкааа подтормаживает (примерно как вся игра до этого на другом буке)))) батарейки хватает на час примерно игры и часа 2,5 офисной работы со включенным музлом..</t>
  </si>
  <si>
    <t>Долго долго выбирал из множества доступных за такие деньги вариантов. Остановился на этой модели из за приятного дизайна и удобного управления. Штатные уши выкидывать не стал, чтобы не сидеть без музыки на случай если основные сломаются. Уверенно держит указанное время работы. Именно столько получается при интенсивном использовании по 5-6 часов в день в течении 4-5 дней. Качество звука достойное, хотя по моему просить идеальный звук за такие деньги как то глупо. Правда не понравилась организация плейлиста, уж очень неудобно. Экран по моему ярковат, сбавил бы на пару пунктов яркость, да вот беда. Нету такой опции. В старом samsung yp-f1 2005 года и то была. Очень понравился выдвижной USB, нету крышки которую легко потерять. Хотя правильная работа этого механизма через 1-2 года вызывает у меня большие сомнения. Последним фактором в пользу этой модели стала марка. Изделия этой фирмы меня почти никогда не подводили, и многая их техника до сих пор исправно трудится у меня дома.</t>
  </si>
  <si>
    <t>во первых дорогие игры во вторых ассортимент не то что хотелось бы,  если бы был выбор игр я бы еще подумал а так взял племяшке у него оказывается есть..........ну ладно сам играть люблю но продал за 15 990рублей потерял..........не советую лучше нормальный ноутбук и джойстик к нему тогда и рады будете</t>
  </si>
  <si>
    <t>746</t>
  </si>
  <si>
    <t>Продолжение Call of Juarez. Золото ацтеков. Вернее, не продолжение, а приквел, так что можно играть не знакомясь с первой игрой. Хотя и её приобрести рекомендую.   Динамичный шутер, классная графика, различные локации, стрельба с двух рук, Дикий Запад, погони, перестрелки, война за независимость, обязательный бандюга-мексиканец. Ещё что-то нужно? Борьба за внимание красотки, дуэли, индейцы.  Игра проходится на одном дыхании, разработчики очень постарались, чтобы игрок не скучал, ситуация меняется каждые 5-10 минут. В общем, берем не задумываясь.</t>
  </si>
  <si>
    <t>Операционка на самом деле очень хорошая, не тормозит, жалко не все приложения от XP работают,те которые создавались для xp sp2 - не пашут...радует то, что в инете уже много программ которые с ней работают.</t>
  </si>
  <si>
    <t>Сегодня купила этот пылесос. Действительно мощность на высоте (линолеум от пола отрывается!), лёгкость эксплуатации с первых минут, удобство запуска и регулировки мощности на ручке. Простота утилизации пыли из контейнера. На мой взгляд - такой пылесос лучшее сочетание цены и действительно комфортных ощущений при уборке квартиры. Положительные эмоции обеспечены на долгое время.</t>
  </si>
  <si>
    <t>Очень милый, удобный, прост в обращении, интерфейс интуитивно понятный, батарейка действительно очень долго держит (что несказанно радует), звучание прекрасное даже наушники из комплекта приятно удивили... вобщем 5+ Очень довольна покупкой</t>
  </si>
  <si>
    <t>2017-01-05</t>
  </si>
  <si>
    <t>доступная цена, мы покупали три года назад, есть короткие программы 15,30 минут</t>
  </si>
  <si>
    <t>Долго решала нужны ли мне электробигуди или сойдуд и простые термо-бигуди. Потом долго искала на форумах все о электробигудях. По внешнему виду больше склонялась к покупке Vitek, но в итоге пришла к выводу, что данная модель будет лучше. 1. Количество бигуди-24, в других моделях их 20. 2. В комплекте идут зажими и крабики (про другие модели люди в отзывах писали, что идут только металлические зажимы) 3. Покрытие бигуди очень качественное, волосы абсолютно не травмируются и не жгутся. на голове такие бигуди носить немного сложнее, чем термо, но зато гораздо удобнее. В общем покупкой довольна, удобно пользоваться и девчонки на работе завидуют моим локонам.Советую</t>
  </si>
  <si>
    <t>2011-02-24</t>
  </si>
  <si>
    <t>нормальный телек,качество картинки отличное.</t>
  </si>
  <si>
    <t>В общем чайник нормальный, только звук отключения почти не слышен.</t>
  </si>
  <si>
    <t>1965</t>
  </si>
  <si>
    <t>Купил вот... Отличная яркая картинка, смотрится одинаково под любым углом. Читает почти все, подключил внешний винт на 500 гиг. Прошит очевидно линуксом. К компьютеру можно подключить, но для монитора он всетаки великоват :) Без антенны жаль ничего по тв не ловит =( Просто отлично показал себя в играх и при просмотре фильмов. Некоторые скажут, что разрешение 1920 важнее - но у нас сейчас мало фильмов в таком качестве, а для обычных ДВД хватает за глаза.</t>
  </si>
  <si>
    <t>2643</t>
  </si>
  <si>
    <t>Порадовало качество изображения и видимый (ощущаемый) высокий контраст, правда надо учитывать, что поверхность экрана глянцевая.  Как оказалось - монитор производства HP, что не может не радовать;)  Сзади есть крепление для того, чтобы весить на стену, но какое-то нестандартное - под два болта.  Это все детали конечно, ерунда.  А вот встроенные колонки, на которые я возлагал определенные ожидания - мягко говоря скромные: громкость небольшая, а частотный диапазон начинается где-то с нижней середины, т.е. голосового диапазона. Что такое бас, хотя бы самый верхний этот монитор не знает, оттого тот же телик на нем смотреть как бы ущербно немного:( и даже элементарного эквалайзера нет. Вобщем, звук отстой!</t>
  </si>
  <si>
    <t>Купила лампу домой на запас. Через месяц она понадобилась. При первом включении она минут 5 разгоралась, но это согласно инструкции нормально. При следующих включениях на разогрев уходило примерно от 2 до 5 секунд, в зависимости от того, как долго её не включали. Горела холодным белым светом, не очень приятным.  Через  3 недели она перегорела.  Так что эта лампа мне не понравилась. Хорошо что на неё гарантия была 2 года и её обменяли на другого вида лампу.</t>
  </si>
  <si>
    <t>Купила машинку на замену своей "Чайки". Приглядела именно эту модель, не дорогую, без каких-либо наворотов. Сразу пустила в ход. Восторгу не было предела: ход тихий, мягкий, прошила толстые джинсовые складки без пропусков. Легка в применении, проста. Чехольчик тоненький, но можно хранить и в коробке. Лёгкая по весу. Ставлю твёрдую 5!</t>
  </si>
  <si>
    <t>пылесос хороший.  шли в магазин за зелмером, а купили этот. внешне выглядит красиво, качество материалов соответствует замечательное, комплектация простая. очищать контейнер очень удобно, ну а мыть каждый раз не обязательно. шнур довольно длинный и можно катать по двум комнатам :) грязи много собирает да и фильтры хорошо работают. в общем замечательный такой красивый мощный пылесос. правда мне не очень повезло с ним и через 2 месяца он неожиданно умер. сдал в гарантийку и теперь ждать ремонта аж целых 45 дней. надеюсь починят, а если нет, то все-равно куплю такой же.    с уважением, сергей</t>
  </si>
  <si>
    <t>За эти деньги ничего лучшего с такой диагональю не найти. Напрягает только отсутствие регулировки по высоте, но учитывая цену изделия...  Динамический контраст в настройках рекомендую отключить - глазам больно.</t>
  </si>
  <si>
    <t>123</t>
  </si>
  <si>
    <t>Дизайн хорош - вот и все достатки этого шкафа.  Во время работы духовки взорвалось внутреннее стекло на дверце.Чуть не оставило заикой маленького ребенка (9мес.) (возможно брак или при неправильной перевозке) Гарантия не действует. Ремонт и замена стекла - 10000 руб.  Подумайте, прежде чем покупать!  Выберите другую модель (естественно AEG)</t>
  </si>
  <si>
    <t>2016-03-14</t>
  </si>
  <si>
    <t>С появлением маленького ребенка эта вещь стала не просто удобной, а необходимой! Всегда под рукой горячая вода, термопот простой, бес всякий дополнительных функций и лишних кнопок, разберется даже человек далекий от техники, что было также важно при выборе, так как пользуются все члены семьи от детей до бабушек, воды нагревает не торопясь, как в принципе и любой другой термопот, потом температура воды поддерживается и она всегда горячая, удобно что есть ручная помпа, из минусов пока только один, не очень наглядно виден уровень воды</t>
  </si>
  <si>
    <t>Читая отзывы об этой машине сильно сомневался в ее покупке. но по габаритам подходила только она.  Теперь специально пришел сюда написать что все это чушь что написано вначале.  Машина отлично отмывает посуду. ничего не экспериментировали со средствами.  все чистое! просто пол таблетки финиш(три в одном).ну только пригоревшую кашу в кастрюле не отмыла. ВСЕ МОЕМ НА ЭКОНОМНОМ РЕЖИМЕ (тот что 30 мин).но это ведь ерунда! то что мало места это не недостаток! хочется много места берите большую посудомойку!  и самый большой прикол - она работает тише вытяжки!  Короче классная машинка!</t>
  </si>
  <si>
    <t>Отличная, не заменимая в поездках вещь. Выбрал её из-за компактности, и потому что долго хотел. Недостатков нет. Всем рекомендую.</t>
  </si>
  <si>
    <t>2015-01-26</t>
  </si>
  <si>
    <t>Отличная модель, пользуюсь 5 лет. Нареканий нет, легкий, маневренный, пылесосит отлично. Главное  следить за фильтрами!!!</t>
  </si>
  <si>
    <t>Сегодня купила эти щипцы и сразу их испробовала. Я осталась в восторге! Быстро нагреваются, и очень хорошо формирует локоны и не жжет волосы. Т.к. у меня густые и жесткие волосы, то я накручивала по тоненькой прядке. Это заняло где-то 1.5 часа, может, чуть дольше, но результат того стоит! Удивляет отличное  качество за такую приемлемую цену. Щипцы также имеют красивый термочехол.</t>
  </si>
  <si>
    <t>2013-12-21</t>
  </si>
  <si>
    <t>Купил телефон в ноябре 2013 года....пользуюсь больше месяца - минусов не обнаружил...плюсы - экран выше всяческих похвал, камера лучше, чем на цифровике, шустрый, тянет пока все игры, которые устанавливал...аккумулятор, несмотря на все характеристики телефона, держит очень даже неплохо!!</t>
  </si>
  <si>
    <t>Про эмоции: Проблемы были ТОЛЬКО с менеджерами МВидео. Сам организовал доставку, сам договорился насчет установки в удобное время. Ну а потом эмоции только положительные! Про установку: Всем советую выбирать установщиков от МВидео - как я и думал серьезная контора, дорожащая таким поставщиком, а потому качественно и быстро - 1.20 и готово. И никаких рассказов о допольнительных расходах в связи с высоким этажем и т.д. Про кондиционер: все просто отлично, но модель НЕ ДЛЯ спальни (повесил в зале), так как дует вниз или чуть выше. Как и думал 9-ка ОПТИМУМ для 20-метров комнаты. Тихо работают оба блока. Пульт конечно... ну а что от него надо-то. Индикация на вн блоке... ну у знакомого китаец весь горит огромными цифрами - что толку - по ночам как фонарь! Так что все очень грамотно и по уму. Пришел к выводу что оптимум для него - все на авто (режим STD - 25 градусов). Вывод: бренд есть бренд - не жалею что переплатил пару тысяч (NoName-мов развелось...)! P.S. Говорят проскакивают Малазийцы. Правда дороже. Но в Воронеже кроме Китая ничего не нашел...</t>
  </si>
  <si>
    <t>Водонагреватель забрал из магазина сам, влезает на заднее сиденье иномарки с класса (если выкинуть упаковку и пенопласт) Установил на даче самостоятельно, повесить на крюки проблем не составляет. Водонагреватель сделан добротно, в комплекте есть все что нужно для установки кроме шлангов (подбираются отдельно в зависимости от необходимой длинны.) Возникла проблема с предохранительным клапаном, если устанавливать по инструкции вода в бак не проходит тк клапан получается установлен наоборот, пока поставил без него.&amp;nbsp;</t>
  </si>
  <si>
    <t>1137</t>
  </si>
  <si>
    <t>Нравится, потому что никакой не смартфон, а простой сони эриксон с большим экраном) Нравится в нем абсолютно всё, радости нет предела. Нравится блютус гарнитура, звук очень качественный, но тихий (в общем плюсов много, минусов пока не нашел. Всем советую выбрать именно этот телефон:) не пожалеете;)</t>
  </si>
  <si>
    <t>Конкретно этой флэшкой на 16 гигов разочаровался, медленно работает, а вот точно такая же на 8 или 4 работает отлично!!!</t>
  </si>
  <si>
    <t>Телевизор мне очень нравится. Уже 2 недели использования. Плюс подключил систему 5.1 для звучания. Каналы смотрю через обычный кабель АТК</t>
  </si>
  <si>
    <t>на 2 год эксплуатации этого замечательного чайника не работает автоматическое открывание крышки.что делать разбирать там совсем нечего и не можем понять в чем причина,помогите если кто знает</t>
  </si>
  <si>
    <t>Пользуемся уже больше 6 месяцев. В первую же неделю работы влажность поднялась до 40% и сейчас стабильно держится на уровне 45%. Пыли стало меньше, но рассчитывать на то, что пыль совсем пропадет - не надо... Это все-таки не пылесос.  Шум (не сильный) не мешает, даже ночью сейчас зачастую не включаем ночной режим, хотя после покупки включали. Моется достаточно легко,  в обслуживании - неприхотлив. Покупкой довольны.</t>
  </si>
  <si>
    <t>Удобен.</t>
  </si>
  <si>
    <t>2015-01-24</t>
  </si>
  <si>
    <t>Попробовали две разные готовые смеси (в т.ч. и черный хлеб) и все получилось. Про дизайн нечего сказать - все супер.</t>
  </si>
  <si>
    <t>Купил данный духовой шкаф жене на день рождения. Жена в восторге. Из плюсов: большой объём духовки, целых 60 литров, дверца закрывается плавно, много автоматических программ, дизайн, сборка европейская, телескопические направляющие, режим самоочистка, что очень актуально особенно после готовки мяса. Перед тем как покупал конечно промониторил всех конкурентов, дешевле ни где не нашёл. Пришёл, оплатил, оформил доставку, привезли на следующий день. Что ещё понравилось , так это что сотрудники доставки подняли мне данный шкаф на 9 этаж и ни взяли ни копейки. Вообщем покупкой доволен. Советую всем.</t>
  </si>
  <si>
    <t>2561</t>
  </si>
  <si>
    <t>Купила месяц назад. Отличнейший утюг.Работает великолепно))Выполняет все функции на 100%!Вообщем оправдывает себя полностью)</t>
  </si>
  <si>
    <t>1429</t>
  </si>
  <si>
    <t>2012-09-11</t>
  </si>
  <si>
    <t>Сгорел через 10 минут использования в нетёплой осенней квартире. Что уж сказать - Scarlett .</t>
  </si>
  <si>
    <t>2 недели назад купила такую штучку и не пожалела.и звук хороший, и экран..один недостаток, который заметили, все греется очень.а по поводу батареи-не знаю..у меня 6 часов держит при пользовании и очень долго в ожидании...главное, он тихий, что для меня очень важно.</t>
  </si>
  <si>
    <t>Компактный удобный и достаточно мощный пылесос,(потребляемый ток 8 А, мощность 11 аэроватт, сила всасывания 320 мм в.столба, производительность 900 л/мин. Качественная сборка, хороший пластик. Из недостатков,немного жестковат шнур, хотя с другой стороны так его сложнее повредить. Резинку на дверце для удаления мусора могли бы сделать поплотнее, хоть небольшой, но подсос воздуха все же есть, а это сказывается на мощности. Вставленная полоска бумаги в качестве теста на плотность прилегания резинки между корпусом и дверцей в верхней ее части абсолютно не прижимается резинкой и выпадывает, пришлось доработать, но в целом впечатление от пылесоса очень даже хорошее!</t>
  </si>
  <si>
    <t>2012-10-30</t>
  </si>
  <si>
    <t>Такое ощущенье что предыдущие авторы пишут отзывы ,а сами даже не пользовались этой машинкой . Скажу так - стирает очень хорошо , полоскает отлично , порошком вещи не пахнут , про испарение - бред , машина герметична . До этого была итальянская другой фирмы так же с вертикальной загрузкой - я даже рад что она сломалась не проработав и 3-х лет , тк скакала по ванной , шумела , Электролюкс купили по рекомендации продавца - стоит устойчиво , работает вполне тихо , очень удобный порошкоприемник, в этой ценовой категории на мой взгяд самый удачный вариант 5+</t>
  </si>
  <si>
    <t>Писал уже о залипших коллекторных щетках и об обращении в гарантийную мастерскую. После ремонта мясорубка проработала в общей сложности(15+15) 30 минут, и вновь начались рывки оборотов двигателя и остановка(даже без нагрузки). Короче, снова залипла щетка коллектора. Вывод - гарантийный сервис - никакой. Второй раз обращаться в сервис не стал, вскрыл агрегат, нашел тугоходящую щетку, подточил немного и все, работает нормально. Вывод - мясорубка для очумелых ручек. Как-то несерьезно... Больше с этой фирмой дела иметь не буду. Низкое качество изготовления и фирменного сервиса.</t>
  </si>
  <si>
    <t>2015-11-19</t>
  </si>
  <si>
    <t>По-моему это одна из самых популярных маникюрных наборов у Витека. У меня из знакомых во всяком случае. Подруга кстати, и посоветовала. За что я ей очень благодарна. Набор подходит для маникюра и педикюра. Диски для педикюра убирают даже самые застарелые натоптыши на пятках Все насадки и сам прибор убираются в удобный футляр, при таком количестве насадок выглядит всё очень даже компактно, да и по весу немного. Я в отпуск с собой беру обязательно, привыкла и ничем другим маникюр и педикюр больше делать не могу. Получается, что одним прибором заменяется всё – и маникюрные пилочки-щипчики, и пемза, и всякие терки педикюрные, и станки (я когда-то пользовалась для педикюра, теперь с содроганием вспоминаю). Из минусов – даже не знаю что сказать. Конечно, было бы здорово, если бы еще сушка была, но тогда бы он, наверное, просто огромным был.</t>
  </si>
  <si>
    <t>Четвертый день как купил ноутбук. Пока не каких серьезных нареканий к нему нету. Windows 7 работает очень шустро. Игры на максимальных настройках можно сказать "летают".  Тестировал на Assassin's Creed, Fallout 3,CallOfDuty Modern Ware 2.    Отличный выбор в критерии цена-качество.</t>
  </si>
  <si>
    <t>Нормальные рации, в городе при плотной застройке на 1 км берет, разобрать можно, что говорят. Удобная в обращении. В комплекте акумы на сутки хватает. Хорошая рация советую.</t>
  </si>
  <si>
    <t>через нет то можно игратьь?</t>
  </si>
  <si>
    <t>3167</t>
  </si>
  <si>
    <t>Купила эти наушники совсем недавно. Почитав отзывы, я очень расстроилась... Почему так мало отзывов написано? Неужели стоило купить Sony?   Но, знаете, протестировав их на басы(что стоит услышать только одну Nelly Furtado - Can you get to heaven!) и высокие частоты, я поняла - никогда не стоит судить, не попробовав. Наушники действительно непривычные, главное, правильно расположить их в ушной раковине. Уж поверьте человеку, который привык слушать музыку телом))   Отличное подавление шумов... Одно дело слушать музыку дома, в системе 7.1 с мощным сабвуфером, а совсем другое - на улице, в автобусе, метро и институте... Многие меня прекрасно понимают...  В общем, отличный подарок для меломана)</t>
  </si>
  <si>
    <t>Купила пылесос, понравился : мощный, хорошо тянет, легкий, удобно выкидывать мусор из пылесоса. Минусы - короткая ручка, приходится наклоняться, шумит. Но в общем мне нравится.</t>
  </si>
  <si>
    <t>Купила попользовалась, очень довольна. Сейчас купила вторую на дачу, чтобы не возить туда-сюда. Так как есть куда поставить на зарядке вторую насадку, пользуемся вместе с мужем разными насадками , а щетка одна. Плюс нравится, что не очень дорогие сменные насадки. Зубы стали на пол тона , а может и на тон светлее, что достаточно много)</t>
  </si>
  <si>
    <t>532</t>
  </si>
  <si>
    <t>Холодильником данной модели пользуюсь более 7 лет. Выбирала холодильник с наибольшим объемом холодильной камеры. Довольна очень.Комфортный  для размещения продуктов, очень вместительный, огромный и удобный ящик для овощей. Холодильник легко мыть, стеклянные полки можно переставлять на любую высоту. В дверь холодильника также можно разместить большое количество продуктов и напитков. Прекрасный дизайн, качество и цена. За 7 лет эксплуатации ни одной проблемы. Рекомендую.</t>
  </si>
  <si>
    <t>Пользуемся уже полгода. Аппаратом очень довольны. Облегчает уборку дома, так как пыли на самом деле становится меньше. Ночной режим очень тихий и не мешает сну.  Самое главное, что теперь спать стало на много приятнее, так как нос не забивается, как был до использования, и коже так не сохнет.  Думаю очень пригодится, когда появится ребенок.  Всем рекомендую!</t>
  </si>
  <si>
    <t>Под мясорубку MK-G30 Panasonic слишком большое отверстие у ножа... Нож болтается... Сравнила с оригиналом...  Мдя... Не знаю как на другие мясорубки от Panasonic, но нож отличается от оригинального ножа сильно...((</t>
  </si>
  <si>
    <t>1187</t>
  </si>
  <si>
    <t>2013-11-19</t>
  </si>
  <si>
    <t>Не прослужил нож и года, сломался. Сталь хрупкая, пошли трещины от отверстия для шнека.</t>
  </si>
  <si>
    <t>крутая микравалновка у меня дома стоит,хорошая</t>
  </si>
  <si>
    <t>Это чудо техники льет воду мимо чашки, при небольшом количестве воды в чайнике долго не выключается, крышка деформировалась.</t>
  </si>
  <si>
    <t>Компьютер отличный, acer как всегда всё сделала отлично, на совесть, единственная проблема, слабый БП, который не совсем справляется с вверенными ему возможностями, и не до конца продуманная система охлаждения, в отальном же прекрасный аппарат!</t>
  </si>
  <si>
    <t>2791</t>
  </si>
  <si>
    <t>Лучше взять модель без дисплея, кнопки управления умерают через несколько раз использования духовки (при гриле ещё быстрее). По гарантии заменили (через 3 месяча эксплуатации), причем подтвердили, что это болезнь данной модели. Через год опять кнопки не работают, гарантия закончилась, стоит это дело около 3 000 т.р.</t>
  </si>
  <si>
    <t>Пользуемся этой машинкой несколько дней. Стирает хорошо, и практически без шума (порадовало).   Не приятно были удивлены, обнаружив, что класс отжима "D", хотя на сайте М-Видео в характеристиках указано "С". При нашем выборе стиральной машины это был важный критерий.    Так что будьте внимательны и уточняйте эту информацию у консультантов.</t>
  </si>
  <si>
    <t>2015-12-02</t>
  </si>
  <si>
    <t>Аппарат тихий (даже когда использовался вне кукхни во время ремонта), отмывает отлично, пользуюсь порошком и ополаскивателем Финиш, солью Калгон, себестоимость в разы ниже чем при использовании таблеток. Изначально была проблема, машинка выдавала сигнал о том, что вода в нее якобы не поступает. Читал похожие отзывы и здесь.  В итоге разобраться со всем помогли утановщики кухни, объяснили что ставят такие аппараты достаточно часто и уже сталкивались с подобными проблемами. Дело в том что клапан который находится на конце шланга подачи воды гравитационного типа (или что-то вроде того) и должен вкрусиваться вверх гайкой чтобы клапан сам под своим весом открывался иначе вода в машинку не поступает и она выдает ошибку. Говорили что это есть в инструкции, но я почему-то не нашел. Распаял водопроводные трубы по их рекомендации и с тех пор проблем нет. В остальном все отлично, жена довольна. Буду рад если кому-нибудь помогу своим отзывом.</t>
  </si>
  <si>
    <t>2012-03-26</t>
  </si>
  <si>
    <t>Приобрели машинку в апреле 2010, работала чуть больше полтора года отлично, установили ровно и поэтому не было никаких вибраций, прыганий, были довольно. Спустя девять месяцев после окончания срока гарантии, стала немного шуметь, потом даже ощущался еле уловимый запах от трения резины и чего-то металлического. Вызвали специалиста на диагностику, оказалось сломан один подшипник и еще какая-то деталь,заменить его нельзя, т.к. барабан у этой модели неразборный. Либо менять барабан либо купить новую, после того как эта доработает до полной поломки. В общем теперь знаем, что по ремонту Indesit дорого обходится.</t>
  </si>
  <si>
    <t>1063</t>
  </si>
  <si>
    <t>2010-12-09</t>
  </si>
  <si>
    <t>Прекрасная машинка, стирает достаточно тихо, а с верхней загрузкой запросто можно добавлять вещи, если что забыл. Из неудобств - не совсем по картинкам понятно, какой режим какие даёт преимущества.</t>
  </si>
  <si>
    <t>Пылесосит отменно. Лёгкий в управлении, а технические свойства полностью оправдали мои ожидания. Цена и качество приятно удивили. Мне очень нравится</t>
  </si>
  <si>
    <t>Пользуюсь им уже второй год и никаких нареканий! Правда я так и не воспылала к готовке всяких там пирогов и прочих кондитерских вкусностей, но открою вам небольшой секрет, что этот миксер просто отлично делает картофельное пюре насадкой кондитер! Так что мой миксер и не готовя выпечку находится постоянно в работе так как пюрешечку мы очень любим))) А из миксера она получается ну очень нежная!) Рекомендую миксер покупать всем.&amp;nbsp;</t>
  </si>
  <si>
    <t>Брал машинку месяцев 5-6 назад по скидке за 10990 :) и ни чуть не жалею.  Удобная загрузка белья, большая вместительность, управление простейшее (программы стирки сделаны таким образом, что не дадут сделать "опасную" температуру для вещей, которым она "противопоказана"), стирает за свои деньги хорошо.   Поставил на ее на подставки для ножек и ни на сантиметр не "дергается" при отжиме.  Из минусов ... на ум приходит только шум при отжиме, но т.к. это первая стиралка - мне не с чем ее сравнивать (дверь на кухню закрываю и тишина:)).  Рекомендую.</t>
  </si>
  <si>
    <t>Легким - не назвал бы, вентилятор весь из нержавейки, подставка тяжелая - для устойчивости конструкции. Существенный минус - не предусмотрен поворот в вертикальной плоскости. Это не отмечено ни у одного продавца этой модели. Бесшумный - да, ночью нормально спать при самой низкой скорости работы. Чего не отнять - стильная штука. Дизайн называется - Aviator.</t>
  </si>
  <si>
    <t>2013-04-03</t>
  </si>
  <si>
    <t>Сетевой шнур вылазиет сверху вытяжки на что одевается короб до потолка. И как я его должен до розетки довезти? Пришлось сбоку дырку сверлить и выводить шнур сбоку. А так вытяжка отличная!</t>
  </si>
  <si>
    <t>2009-10-01</t>
  </si>
  <si>
    <t>Спасибо, Оксана. Попробую. А это все нужно вместе делать или достаточно одного действия из этого? И еще вопрос: в этой печке нет сигнала, когда можно добавлять дополнительные ингредиенты, как понять когда их добавлять можно? Во время замеса?</t>
  </si>
  <si>
    <t>Недорогой, компактный, вполне справляется со своей задачей, если делать маникюр раз 1 -1,5 недели. Конечно с походом в салон не сравнить, но для поддержания рук в порядке подходит. Мне понравилось как шлифует мозольки на ногах (на мизинцах). Покупкой довольна!</t>
  </si>
  <si>
    <t>купила этот пылесос во время проведения скидок 50%подарочные карты.привезли домой включили в розетку, он заревел как старый холодильник Во время работы происходит перепад мощности, временами до полной остановки. пылесос никакой самого низкого качества.привезли на обмен в течении 14 дней вертели его крутили решили, что брак, но обменять не получилось оказывается подарочная карта 3000 рублей аннулируется при замене.</t>
  </si>
  <si>
    <t>Купил КПК в декабре. Дизайн у аппарата на все 100%. Но вот с остальным полная проблема.  1. Мало держит зарядки.  2. Очень плохой прием связи.Заходя в обычный магазин сеть пропадает. (причем менял симки на других операторов)  3. При открытие слайдера глючит меню телефона.   4. Нет отдельной кнопки Reset.  5. Нет Wi-Fi Причем при покупки и в инструкции говорится что есть.  6. Слабый звук внешнего динамика и наушников тоже.   6. Нет фото вспышки.  7. Плохой сигнал GPS приемника.  Модель сделана не корректно и требует доработок, чтобы продавать  хотя бы по такой цене 15 т.руб.</t>
  </si>
  <si>
    <t>2013-02-03</t>
  </si>
  <si>
    <t>Чуть больше года работает без нареканий. Купили по рекомендации продавца:сделана качественно, манты вкуснейшие, свое дело делает на 100%, управляется и чистится легко.В общем, довольны полностью.Маме на 8ое марта куплю такую же!!</t>
  </si>
  <si>
    <t>Приобрел чайник месяц назад,заржавел нагревательный элемент, хотя дизаин очень ничего, не покупайте полное говно.</t>
  </si>
  <si>
    <t>Пользуюсь уже три года. Хорошая плита. Всем рекомендую. Если сдури вёдра греть не ставить на ближние к ручкам конфорки,то всё будет нормально. У меня за три года эксплуатации не оплавилась ни одна ручка.</t>
  </si>
  <si>
    <t>Отличный бойлер. Не капризный, просто монтировать. Удобно пользоваться. Радует, конечно, его дизайн. Работает уже около 3 лет и ни разу не давал никаких сбоев.</t>
  </si>
  <si>
    <t>2010</t>
  </si>
  <si>
    <t>пользовалась этим плеером.  звук средний, при переходе с одной композиции на другую слышен шум.  батареи хватает на день прослушивания, то есть часов на 6-8 подряд.  работает без запинки.  только есть весомое но, после которого я пошла покупать другой плеер: у него постоянно отпаивается контакт внутри у разъема наушников - причем то один то второй:( припаиваешь а он снова, например когда положил его в карман и нагнулся, или случаем дернул за наушники - короче любой наклон разъема под наушники приводит к отрыванию контакта... корпус совсем не продумали. подойдет разве что для лежания на компьютерном столе.</t>
  </si>
  <si>
    <t>Хорошо моет, главное правильно поставить посуду.</t>
  </si>
  <si>
    <t>отличный комп. и в правду тихо работает ,мне понравилась функция LightScribe (позволяет наносить изображение на диск ) только нужен диск с поддрежкой LightScribe</t>
  </si>
  <si>
    <t>Давно хотела себе что-то подобное. Вот, случилось - муж подарил)) Очень удобные! Шнур крутящийся,на руку не наматывается. Очень&amp;nbsp;быстро нагреваются, есть дисплей на котором видно до скольки градусов нагрелись, так же кнопочки + и -, чтобы регулировать нагрев - для меня это актуально, т.к. волосы немного пересушены. Локоны получаются довольно быстро - упругие, блестящие, долго держатся. Волосы не пересушивает. Мне очень понравились! Берите, не пожалеете!</t>
  </si>
  <si>
    <t>3123</t>
  </si>
  <si>
    <t>LH2000 Отличный выбор в плане цена-качество.. на мой взгляд лучшее предложение на текущем рынке, с учетом скрытой возможности USB!!</t>
  </si>
  <si>
    <t>Покупала для деревни! В день по литров 10 делали! Давит сок на УРА!</t>
  </si>
  <si>
    <t>1075</t>
  </si>
  <si>
    <t>Отличная рация! На дачных участках берет на 2,5км просто замечательно, а наличие функции распознавания голоса (VOX)позволяет использовать её как радио-няню. Очень удобная штука!</t>
  </si>
  <si>
    <t>сломалась пружинка, которая прижимает одно лезвие к другому, найти такую сложно.</t>
  </si>
  <si>
    <t>3010</t>
  </si>
  <si>
    <t>пока сами не попробуете не поймёте!этот ноутбук лучший пользуюсь пол года!и мне не жалко за него такие деньги!</t>
  </si>
  <si>
    <t>Очень хороший выпрямитель!!!  приобрела год назад,завиваю,выпрямляю,и всё у нас с ним хорошо=)  советую!</t>
  </si>
  <si>
    <t>с первых дней плеер радовал, но с каждым днем все меньше. а теперь вообще сам включается, сам выключается как ему вздумается. сенсер вообще отказал - нажимаешь видео, он тебе настройки включает.</t>
  </si>
  <si>
    <t>Приобрели микроволновку больше 2 лет назад! Очень удобна в использовании.  Из плюсов:  - удобное меню;  - мощная (на максимальной мощности порцию любого блюда подогреваю в течение всего 1 минуты);  - наличие гриля (в комплект входит подставка из нержавеющей стали);  - стенки легко отмываются от жира и брызг;  - наличие таймера.  Из минусов:   - при использовании гриля не предусмотрена тара для капающего жира, приходится подставлять тарелку.    В общем и целом микроволновка на 5+. Не пожалели, что приобрели.</t>
  </si>
  <si>
    <t>Я пользуюсь этим телефоном два дня. перед покупкой перечитал много литературы и форумов и понял, это моё воплощение мечты! Воспользуйтесь и вы моим опытом! До Samsung S5560 у меня был Филипс ксениум 830, но он к сожалению сломался. Достоинств много:     Во первых, виджеты! Мелочь, а приятно     Во вторых, звук! Лучшего звучания я не слышал даже у 5800(у меня такой был).     В третьих, это конечно-же вай-фай! Ну вы найдите хоть одного человека, которому не хочется посерфить нахаляву!!!     В четвёртых, это камера. Снимает отменно, вспышка затмит блеск софитов, а распознавание улыбки - новшество, которое до того было только в фотоаппаратах.     В пятых, это Google-maps. Не советую использовать обычный режим, используйте вид со спутника. Если заблудились, то обязательно найдёте дорогу.     В шестых, это экран, который отвечает и на палец и на стилус.  У  У одного из прошлых телефонов (Samsung i7500) этого не было и это доставало, т.к. был маркий экран.     А теперь изъян. Какого чёрта, когда вставляешь гарнитуру набирается последний вызов. Кто знает как убрать пожалуйста ответьте!</t>
  </si>
  <si>
    <t>Пользуюсь такой духовкой чуть больше года. Нареканий по работе нет, но вот запах. Промывали, прокаливали, но все равно когда готовлю слегка попахивает резиной, хотя уже эксплуатировалась духовка несчетное количество раз. Может это нам так особо повезло, конечно :(</t>
  </si>
  <si>
    <t>Пользуюсь этим плеером где то полгода. Очень доволен покупкой ! Звук очень хороший ! громкий ! есть настраиваемый эквалайзер!   В руке плеер лежит очень хорошо и удобно ! в кармане вообще не чувствуешь его ! очень легкий и тонкий !   Крышка у плеера хорошая ! Хорошая потому что крепко держится !</t>
  </si>
  <si>
    <t>2016-05-15</t>
  </si>
  <si>
    <t>Купив светосильный объектив за немалые деньги, встал вопрос чистки передней линзы. "Покурив" тему, понял, что запороть объектив непонятными протирками легко. Вывод прост: не экономьте на мелочах. Принцип работы прост, результат достойный. Места занимает мало, всегда можно взять с собой, благо карандаш просто бомба - выручает здорово.</t>
  </si>
  <si>
    <t>Пылесосом довольна. Купили примерно 7 месяцев назад. Качество отличное. Мощность высокая,я бы даже сказала очень высокая,турбощетка в комплекте,уровень шума не выше,чем во многих других моделях.  Единственный для меня минус в том,что слишком просто открывается отсек для мусора.Обычно закрывается (защелкивается),открывается путем нажатия какого-нибудь рычажка.А здесь верхняя крышка просто откидывается даже без приложения усилий.Младший ребенок (2 года) залез без труда,что огорчило.  А в остальном нареканий нет.</t>
  </si>
  <si>
    <t>Купил данный ноутбук месяц назад. Лучшего ноутбука за такие деньги не найти. Все работает отлично. Были конечно небольшие проблемки, например со звуком, но все можно решить, если руки конечно под нужное заточены. Плюсов очень много, а минусы несущественные. Самый существенный минус - это маленькие углы обзора LCD дисплея. И можно было бы жесткий диск большего объема (решается покупкой внешнего HDD). Вообщем мощное железо, сравнимое с настольным ПК выше среднего уровня.  Индекс производительности в WIN7 Максимальная:   CPU- 5.7  DDR 5.7  GPU- 6.7  GPU- 6.7  HDD 5.5  На сайте LENOVO есть все необходимые драйвера для различных ОС (XP, VISTA, 7).</t>
  </si>
  <si>
    <t>Купил Candy GO4 1074LH-07S проработала 2недели и начал трещать барабан,затем отвалилась загрузочная дверца.вообщем вернул пока не поздно.</t>
  </si>
  <si>
    <t>1212</t>
  </si>
  <si>
    <t>Телефон купил весной. Из плюсов хороший звук слышно всегда , но недостатков больше.   1 это боковые клавишы управления плеером хотелось бы чтоб они блокировались отдельно т.к постоянно нажимаются   2 телефон постоянно зависает при отключении   3 неудобно менять симку   В целом телефон живуч, падал неоднократно только царапины, корпус остался цел.  Не скаать, что пожалел о покупке, но была бы возможность, поменял на 6303.</t>
  </si>
  <si>
    <t>выпрямитель очень понравился, осталась довольна, быстронагревается,есть опция регулировки темпратуры, приятный дизайн))</t>
  </si>
  <si>
    <t>2015-07-28</t>
  </si>
  <si>
    <t>Вытяжка отличная,работает исправно. Не знаю как у остальных с лампочками,а у меня в комплекте 2 сменные лампочки шли. Вытяжкой очень довольна,советую всем.</t>
  </si>
  <si>
    <t>1391</t>
  </si>
  <si>
    <t>Чайник очень разочаровал после двух дней использования появились коричневые точки на дне и местах спай с ручкой, хотя воду ипользовали фильтрованную!!! Не советую его покупать!</t>
  </si>
  <si>
    <t>728</t>
  </si>
  <si>
    <t>Сонибои завидуйте молча..</t>
  </si>
  <si>
    <t>Он конечно хороший, но когда я его брал была проблема с драйверами под винду XP,  но сейчас проблем нет особо таких, все дрова есть в нете! По своей ценовой категории даже он совсем не плох! Так что берите и не парьтесь!</t>
  </si>
  <si>
    <t>Пожалела о покупке. Работает шумно. Моет плохо. Через полгода работы стала выдавать код ошибки E4. За 2 500 мастер нашел залипание датчика и устранил поломку. Через 1,5 года стала писать код ошибки Е3. Позвонила в сервис - 4 000 замена терморегулятора или нагревательного элемента. Купила Elektrolux.</t>
  </si>
  <si>
    <t>151</t>
  </si>
  <si>
    <t>Вполне хорошая панелька. Аналоговые каналы так себе (в принципе как и все жк), а картинка я считаю - супер. Долго я выбирал из всяких фирм и моделей, но такая цена и качество вполне совместимы! я доволен</t>
  </si>
  <si>
    <t>Отличная вещица за такие деньги.    Теперь все по порядку.  Минусы:  - про USB порты уже говорили, не очень удобное расположение.  - политика компании производителя. Меня бесит то, что они не поставляют ПО на дисках. Обленились совсем.  - лакированная поверхность, протирать уже устал.    Далее. Не знаю какие вам там, игрункам, нужны игровые компы, но GTA4 у меня просто летает, также как и Dragon Age, StarCraf2 и другие современные игры. Играть в кризис на 16х сглаживании... извините уже глубокое геймерство. Деньги есть - хорошо, нет - вряд ли вам родители дадут 50т.р. для Кризиса 16х )))  В моем понимании, а я люблю поиграть, ноутбук - игровой. Все игры летают на нем при максималках, фактически.    Что касается Win7 и другого ПО.м У меня все работает отлично. Обои ставятся в Панели управления, не тупите. Нормальная версия Виндовс. Просто купите 4 DVD, запишите все на них и делайте все что хотите.    ВНИМАНИЕ: экран 16:9, поэтому, к примеру, старые игры будут идти только по центру экрана, с черными краями.    Аудио - очень высокого качества.    такая сумма за такую машину - достойно, тем более я так и не нашел для него конкурента в этом ценовом диапазоне. До 35000р это самый подходящий вариант.</t>
  </si>
  <si>
    <t>Пылесос не рекомендую, т.к. слабомощный и фильтра на него не найти. Через полгода использования сломалась щетка. Сейчас выбираю что-то другое, но не с аквафильтром.</t>
  </si>
  <si>
    <t>В продолжение ранее оставленного отзыва.   Плита стала хорошо работать только после того как сервисный центр поменял весь электронный блок управления.</t>
  </si>
  <si>
    <t>2014-04-02</t>
  </si>
  <si>
    <t>Хорошая, тихая, красивая, функциональная, удобная, проста в обслуживании, яркая подсветка, отлично вписывается в любой интерьер, но меня немного огорчила ее производительность, может из-за моего вент. канала так, но все же.</t>
  </si>
  <si>
    <t>2013-02-06</t>
  </si>
  <si>
    <t>В использовании уже почти 3 года , в семье 5 человек и каждый пользуется, падал из рук в ванной несколько раз и ниче так держится)) нигде не сломался и в работе фена ничего не изменилось,есть холодный поток воздуха,удобно менять насадки , короче довольны мы с семьей ))советую =)</t>
  </si>
  <si>
    <t>плита компактная, удобная, один большой минус на верхней панели через 6 месяцев потрескалась эмаль, обратилась в ремонт, плиту заменили без проблем, что приятно, но и на новой плите опять трещины по эмали сильные пошли.</t>
  </si>
  <si>
    <t>Техника просто супер!!! Пользуемся уже трети год - вопросов нет, я очень доволен. Собираемся сестре на день рождения подарить MG-510A/</t>
  </si>
  <si>
    <t>3011</t>
  </si>
  <si>
    <t>2013-10-27</t>
  </si>
  <si>
    <t>Пользуемся уже 1.5 года! Подошли с точки зрения логики: чтоб удобно, практично, красиво (как без этого) и самое главное (!) тихо и равномерно!!! По всем пунктам 5 баллов! Когда будете покупать, попросите продавца включить этот тостер! Это я вам скажу что-то!</t>
  </si>
  <si>
    <t>Пользуюсь данной посудомоечной машиной почти год. Что сказать?! Машина великолепна!!!! Сборка немецкая. Посуду моет очень чисто!!! А это самое главное в посудомоечной машинке. Что еще можно выделить как преимущество?! Во первых - очень тихая. Во вторых - очень мало потребляет электричества.  У нас семья из четырёх человек. В течении дня мы что то кушаем ,пьем или готовим, всю грязную посуду складываем в нее, а вечером перед сном, включаем. Она спокойно помыла, а утром мы просто достаем посуду, раскладываем по шкафчикам и повторяем цикл заново. Перед покупкой конечно промониторил  всех сайты по продажи посудомоек, дешевле чем в М.Видео не нашел. К тому мне ещё начислили бонусы и потом я фактически бесплатно купил таблетки для мытья посуды. Там же в МВидео!!! Советую всем данную посудомоечную машину. Не пожалеете.</t>
  </si>
  <si>
    <t>Ужасная машинка, не прошло и года, как из за неё, дома начало вырубаться электричество (как только включала машинку). По гарантии пришёл мастер устранил неисправность. Примерно через пол года, перестала работать кнопка Старт, точнее она, то работала, то нет, от чего это зависело не понятно.  Сейчас (по прошествии) еще 1,6 лет, кнопка Старт работает, 1 раз из 20, т.е. , если сейчас кнопка не сработала, надо пробовать минут через 5, ну и т.д., пока у машинки не изменится настроение и она соизволит постирать. Так же "глючат" кнопка t. Так же может самопроизвольно сработать Пауза, во время стирки, так что надо периодически проверять стирает она или уже нет. Машинке нет еще и 3-х лет, а у неё уже трескается краска и видно, что под краской на верхней крышке. Ну и по мелочи ещё есть нюансы.</t>
  </si>
  <si>
    <t>2980</t>
  </si>
  <si>
    <t>В виндовс 7 gta 4 работает быстрее чем в висте и чучуть побыстрее xp есть плюсы 7-ёрки и минусы.  Плюсы-Винда быстрая но у кого 64разрядный комп ставьте 32разрядную систему потомучто памяти она жрет меньше и работает на прогах и играх быстрее то есть 64x 8 гб оперативки это как в 32x разрядной 4гб.  А у кого 32разрядный система не меняйте на 64разрядную либо вы сломаете биос либо она не пойдет.</t>
  </si>
  <si>
    <t>2851</t>
  </si>
  <si>
    <t>В своей ценовой категории телевизор - супер. Купил месяц назад, все устраивает. DVD через HDMI показывает просто отлично. По началу было очень непривычно смотреть после ЭЛТ телевизора. Картинка в Full HD фильмах - как будто смотришь в окно. По поводу звука в MKV-файлах - не читает DTS-дорожки.    Маленький минус - при просмотре MKV - не нашел, как переключаться между  звуковыми дорожками.    Пока не пробовал смотреть фильмы с высоким битрейтом (~20Mb/s) - интересно - будет тормозить, или нет.    А в целом - очень даже устраивает.</t>
  </si>
  <si>
    <t>2017-07-09</t>
  </si>
  <si>
    <t>Прямой привод. Инвертор.</t>
  </si>
  <si>
    <t>2016-05-01</t>
  </si>
  <si>
    <t>Купил в 2012 году. 4 года отработал без проблем. Сегодня сгорел предохранитель, потому что воткнул одновременно регистратор, антирадар и компрессор. С регистратором и радаром работал без проблем.</t>
  </si>
  <si>
    <t>Советую всем,игра хорошая не пожелеете=)</t>
  </si>
  <si>
    <t>4020101</t>
  </si>
  <si>
    <t>Не так давно взяли такой винный шкаф себе домой, благо он относительно компактный и не занимает много места) приобретением остались очень довольны, сразу видно, что его проектировали люди, которые разбираются в вопросе)  Расположение бутылок в шкафу очень удобно, можно выставлять температуру и, при необходимости включать вентилятор, для циркуляции воздуха внутри и достижения идеальных условий для хранения! Также понравилось наличие ящика для хранения различных аксессуаров, например, штопора) мелочь, а приятно) у шкафа имеется угольный фильтр, для удаления лишних запахов, чтобы они не как не повлияли на конечное качество вина. вообщем для истинных ценителей просто обязательное приобретение!))</t>
  </si>
  <si>
    <t>Пылесос хороший, мощный. Но с контейнером для сбора мусора сила всасывания падает, после 2-ой уборки...используем одноразовые мешки для сбора мусора.</t>
  </si>
  <si>
    <t>821</t>
  </si>
  <si>
    <t>Активировал USB в сервисном меню и, подключив свой 42LH2000 оптическим кабелем к ресиверу с DTS получил настоящий 5.1 звук. Главное, чтобы сам видеофайл содержал в себе 6 звуковых каналов. Проверено как на Divx так и на Mpeg файлах. Так что никаких дополнительных медиаплееров покупать не обязательно. Достаточно просто купить внешний USB 2.0 HDD побольше (можно 1Tb) и напихать его фильмами, музыкой и фотками. Программный (разлоченный) плеер работает достойно! Управление воспроизведением со штатного пульта.</t>
  </si>
  <si>
    <t>Чудо-техника!! После первого включения закипятил воду и автоматически слил на пол!!! При последующих запусках... все в точности повторил. Товар опасен для нашего здоровья, господа. Остерегайтесь товар данной марки</t>
  </si>
  <si>
    <t>Очень тупые режущие элементы - не выбрасывайте деньги на ветер</t>
  </si>
  <si>
    <t>купили 3  месяца назад, покупкой довольны, очень хорошая цветопередача, хороший звук, если даже не включать домашний кинотеатр, радует европейская сборка, смотрю фильмы в HD, радует качество изображения, удивил пульт, надо удерживать кнопку включения около 2-3 секунд, чтобы включить, может, это у меня только так.</t>
  </si>
  <si>
    <t>Долго искала хороший ноутбук..и по наполнению и по цене. Сначала мой взгляд упал на другую фирму...но когда я увидела этот Асус, то поняла что внешне он так же хорош, как и внутри. Ничего лишнего всего достаточно для работы, и для Интернета и для игр. Очень боялась ПО Windows Vista...но быстро нашла с ним общий язык :)  И вес у него небольшой можно легко взять с собой.</t>
  </si>
  <si>
    <t>Один день - полет нормальный! Тихий вентилятор, запах из "больницы" - присутствует(ионы летают), лампы УФ тихо светят. Жена говорит, что мерзнет от его работы. Думаю, что это плюс - прибор-то маленький, а работает как большой!</t>
  </si>
  <si>
    <t>Удобная вещь во всех отношениях!!! Молотит третий год. Мы в ней и чай завариваем, и просто кипяток очень быстро подаёт, ну а кофе само-собой разумеется!!! Хорошо, что мы её купили!!! Никаких проблем как с рожковой. Если кофе хороший, то он и из этой кофеварки - хороший!!!</t>
  </si>
  <si>
    <t>Сергей попробуйте установить машинку по уровню, подложите кусочки линолеума, прыгать по ванной комнате перестанет....</t>
  </si>
  <si>
    <t>2013-10-17</t>
  </si>
  <si>
    <t>Мясорубка компактная, мощная, очень тихая. Мясо рубит превосходно. Нож качественный, хорошо со всем справляется. Очень понравилась в этой мясорубке насадка-овощерезка. Рекомендую.</t>
  </si>
  <si>
    <t>3218</t>
  </si>
  <si>
    <t>Отличный утюг!Всем советую!</t>
  </si>
  <si>
    <t>Очень довольна покупкой этого прибора! натуральные, вкусные продукты в любой момент без особых усилий, а главное дети стали есть молочное!!! раньше не заставишь))) использую закваску Lactina для йогурта и сметаны, консистенция отличная! йогуртница не перегревает, легко моется, места мало занимает. вся семья довольна!!! советую тем, кто заботится о своей семье.</t>
  </si>
  <si>
    <t>Всем рекомендую!!! Не шумная, мелит отлично! Берите без раздумий !</t>
  </si>
  <si>
    <t>Планирую использовать во время пробежек, с виду надёжный и мягкий провод не теряющий пластичность на морозе. Имеется усиление пластиковой оплёткой в проблемных местах. Чёткое воспроизведение басов.</t>
  </si>
  <si>
    <t>1435</t>
  </si>
  <si>
    <t>Ужасно недовольна! Все делаю по прилагающейся рецептной книге Bork, но тесто не поднимается! Уже возила ее в Техно-Сервис, мне там ее поцарапали и дали один единственный рецепт, по которому у них хлеб поднялся. Что дальше делать, не знаю! Очень расстроена!</t>
  </si>
  <si>
    <t>2014-05-11</t>
  </si>
  <si>
    <t>Прикольная игра для взрослых и детей. Классно поиграть в компании 4 человек. Жаль, только что не предусмотрена игра более чем на 4 человека. Но в целом - игра отличная.</t>
  </si>
  <si>
    <t>Маникюрный набор выбирала долго и придирчиво именно по насадкам. В этом наборе он мне подошел как никакой другой. Особенно довольна насадками для педикюра (для маникюра они в основном стандартные, а вот для педикюра еще надо поискать). Две терочки там ну просто чудо. Только сразу советую не пытаться в первый раз до фанатизма ими всё пилить и тереть. Особенно если у вас достаточно загрубевшие пятки. Разделите процесс раза на три-четыре, и тогда увидите поразительный эффект! А  когда будете пользоваться регулярно, пяточки вообще всегда как у младенца будут. Про набор еще хочу сказать, что он очень удобный, компактный, есть насадки для кутикулы и даже для полировки ногтя – специальный такой войлочный диск. Пользоваться одно наслаждение, как будто массаж делаешь.</t>
  </si>
  <si>
    <t>убирает даже коротенькие волоски,  Оптимальное соотношение цены и качества, прост в использовании.</t>
  </si>
  <si>
    <t>Еще ниже температура очистки в духовках Gorenje с системой Aqua Clean. Для такой очистки в противень духовки нужно залить 0,5 л обычной воды и оставить на полчаса при температуре 50&amp;deg;С, активизировав программу очистки. Затем достаточно просто протереть внутренние части духовки, удалив остатки загрязнений &amp;mdash; и ваша духовка готова к новым кулинарным подвигам.</t>
  </si>
  <si>
    <t>2979</t>
  </si>
  <si>
    <t>Правда бывает брак, вот что мне удалось о нем выяснить:  1. попадается скрипит корпус  2. попадается плохо приклеена пылеизоляция и слева вверху под экраном начинает скапливаться пыль    зы. мне попался девайс без этих проблем - я просто рад. телефон реально удобный, красивый и функциональный</t>
  </si>
  <si>
    <t>клевый, утюг, купили с женой и нарадоваться на него не можем</t>
  </si>
  <si>
    <t>Отличный пылесос!Все продумано до мелочей, очень легко моется контейнер, есть насадки на все случаи.</t>
  </si>
  <si>
    <t>2011-01-15</t>
  </si>
  <si>
    <t>Очень разочаровала покупка. Весы в день их покупки перестали работать. Высветилась надпись "Lo", батарейку заменил, поработали день. На следующий день даже не включились. Качество плохое. Нужно менять.</t>
  </si>
  <si>
    <t>1. "напрягает это потемнение экрана в темном помещении" Алекс это называется датчик освещённости. меня лично не напрягает ни разу + он экономит батарею.  2. "что-то накосячили с ним, воспроизведение звонка тихое" ерунда полнейшая. телефон обладает совершенно обычным динамиком. обычным это значит не каким-то очень качественным и громким, но и тихим и некачественным его не назовёшь. абсолютно нормальный динамик. громкость вполне достаточная, играет без каких-то тресков и хрипов.    у телефона приятные вес/габариты/сборка/материалы(алюминиевая крышка, мин. стекло, прорезиненные клавиши). неплохая фото/видео камера, много функций, удобное меню и клавиши. глюков и тормозов нет как таковых. очень добротный телефон. рекомендую.</t>
  </si>
  <si>
    <t>Недорогая, компактная и практичная модель щипцов для завивки локонов. Не знаю, что может быть еще проще и дешевле, но тут всё просто. В этом наверно и гениальность. Выбирала щипцы сначала по внешнему виду, потом по мощности, потом по цене. И вот именно в этой модели всё совпало. Никогда не думала, что буду так радоваться таким простым вещам. И тем не менее, покрытие у щипцов новомодное керамическое, есть 2 режима нагрева, шнур не закручивается в процессе. Цена более чем привлекательная. Понравился сам дизайн – очень продуманный и элегантный. Не забыли и про эргономику. В руках держать приятно, еще приятнее – работать. Минусы: из-за невысокой температуры длительный нагрев. Ну как длительный – несколько минут, но есть нетерпеливые, которым надо прям вот сейчас и сразу всё на 5 минут, потому что они постоянно опаздывают. Но это я думаю не недостаток щипцов, а скорее их пользователей.</t>
  </si>
  <si>
    <t>Водонагреватель служил 5 лет отлично на кухне в частном доме, но вот уже месяц как начал протекать, испортил шкаф, в который его спрятали, придется покупать новый, жаль, что мало прослужил</t>
  </si>
  <si>
    <t>Не берите этот телевизор как и прочие от Lg, не имеющих функции 100 ГЦ.  Взял данный телевизор - разочарован. Качество картинки - как у дешевого ЖК монитора, много шумов, неестественные цвета, режут глаза артефакты. Для просмотра телеэфира вообще не годится. Кроме того, телевизор выделяет очень заметный странный запах. Сдается мне, что это связано с используемой в дешевых ЖК ртутью. В общем деньги были потрачены зря. Планирую отнести его на свалку.</t>
  </si>
  <si>
    <t>Я пользуюсь им уже почти 2 года и ни на какой другой не променяю)), до сих пор от него в восторге)) Тоненький, легкий, яркий, четкий, фотографии шикарные)) Была одна проблемка со вздутием батареи, но в СЦ решили этот вопрос без проблем. Пользуюсь с удовольствием и всем советую!!!)</t>
  </si>
  <si>
    <t>Отличная соковыжималка, продумано все до мелочей, удобно, справляется даже ребенок.</t>
  </si>
  <si>
    <t>При подключении USB-флэш диска обьемом 16Гб - с него не удается скопировать данные.  ASUS заблокировал N (WiFi) из-за отсутствия сертификации (а на некоторых - перепаивает модули только на b /g).</t>
  </si>
  <si>
    <t>Пользуемся этой панелью полгода. С отзывам Игоря тоже не согласна, как и Павел, только чистить содой я бы не рискнула, все-таки абразивное средство. Мы чистим Шуманитом, никаких пятен, поверхность как новенькая. Нагревается очень быстро, также нравится, что управление не сенсоргое, а механическое. Прекрасная вещь. На мой взгляд есть только один минус - не поставишь сразу две кастрюли или сковороды с большим диаметром</t>
  </si>
  <si>
    <t>2015-03-17</t>
  </si>
  <si>
    <t>Много полезных функций, очень качественная сборка, приятный дизайн.  Бритье порадовало своим качеством и меньшим раздражением, чем при бритье станком.  Всякие мелочи, типа самоочищения, уровня загрязнения бритвы снимают вопросы по обслуживанию бритвы.</t>
  </si>
  <si>
    <t>3089</t>
  </si>
  <si>
    <t>Значит расскажу как есть...у меня этот ноут уже четвертый месяц...  плюсы: дизайн, время автономной работы(не 8 часов,3 хотя можно выжать и до 5),экран,производительность,тянет нормально faracry2,Fallout3 итд , цена,клава удобная+ нам лок,умный тачпад,бесшумный,не греется,тонкий и легкий...  минусы: нет блутуза, через месяц появился битый пиксель(чтобы поменять нужно 5 таких),слабый звук(очень)...</t>
  </si>
  <si>
    <t>3085</t>
  </si>
  <si>
    <t>Соглашусь с постом выше, лопухи просто отличные, пользуюсь уже 4 года, басы просто отличные, шнур 6 метров можно к телику подключить, легкие, не трут, не давят.  Берите не пожалеете!</t>
  </si>
  <si>
    <t>Хороший дизайн, порадовало то, что воспроизводит формат МKV, картинка чёткая.</t>
  </si>
  <si>
    <t>3 гига вместо 6 видит потому,что стоит на нём 32-разрядный windows 7,в этом главный недостаток что сразу не могли поставить 64 битную версию</t>
  </si>
  <si>
    <t>4061301</t>
  </si>
  <si>
    <t>179</t>
  </si>
  <si>
    <t>Муж недавно порадовал, у комбайна треснула пластиковая насадочка для колбасы, а тут в наборе целых три штуки сразу идет - металлическая с небольшими отверстиями для фарша, такая же на замену для колбасы и еще одна для кебабчиков) Крепятся они к комбайну очень надежно и не слетают в процессе, в общем, реально качественный продукт, не вижу никаких минусов!</t>
  </si>
  <si>
    <t>2407</t>
  </si>
  <si>
    <t>ПО в принципе мне понравилось. Все как-то ясно так по полочкам разложено, вопросы-варианты заданий -документы. Найти то, что надо не проблема. Я могу сама не сидеть над сыном, все он самостоятельно решает и птом выводится результат. Надеюсь наскребем нормально баллов. Все-таки и стресс поменьше будет уже привык он сдавать экзамен.</t>
  </si>
  <si>
    <t>574</t>
  </si>
  <si>
    <t>Мясорубка вроде бы неплохая. Но не могу не высказаться на тему несоответствия цены и качества исполнения мясорубки Zelmer. Пластиковый привод - это удел дешевейшего ширпотреба с рынка. Но там и цена соответствующая. А за такие деньги - просто несерьезно. Вот вчера обнаружил скол на приводе. Жду, когда сломается дорогая игрушка...</t>
  </si>
  <si>
    <t>Цена и Качество. Не требует дополнительной смазки и особого ухода. Надёжная. 5 лет гарантии</t>
  </si>
  <si>
    <t>Роман, я понимаю и уважаю Ваше мнение, ведь вы отчасти и правы, но ведь никакой проблемы не составляет перепрошить аппарат, установить операционную систему на Компьютер во много раз сложнее, даже нет, нуднее, но против компьютеров и их "прошивки", думаю, вы ничего не имеете.   Все те минусы айфона, что вы перечислили в современных прошивках устранены и к тому же добавлены сотни удобств, которые заставит растаять сердца даже самых "ненавистноайфономобильщиков".    В общем, каждый остаётся при своём мнении,лично я вижу главные минусы устройства в его черезчур сильной потребности в энергии (1400 мА/ч , к примеру, у Nokia N97 такой ёмкости хватает на полторы недели в режиме ожидания)и отсутствие слота для дополнительных карт памети.    Но 21 век только начался, а потребители смогут находить минусы во всём, чем они пользуются, и так было и будет всегда.</t>
  </si>
  <si>
    <t>Хороший аппарат, пользуюсь более полугода, нареканий в работе  не было. На долго хватает батареи, динамик громкий, хороший дизайн, удобно держать в руке, радует новая ОС.  Из минусов - быстро облетает серебрянное напыление на джойстике и поверхность телефона почти всегда заляпана отпечатками. Ну и еще при ярком свете, например летом днем, очень плохо видно что на экране.</t>
  </si>
  <si>
    <t>Хороший ноутбук. Непревзойденный дизайн. Если вам нужна мощность и красота, то берите именно этот бук. Достоинств действительно много. Среди них выделяется качественный звук по технологии Долби, мультимедийный интерфейс высокой чёткости, позволяющий передавать цифровые видеоданные высокого разрешения и многоканальные цифровые аудиосигналы. Очень удобный сенсор управления рабочим столом. Адаптивный датчик освещенности.  О минусах. Цвет русской и латинской раскладки одинаков, корпус на вид маркий. Видеокарта урезанная, поэтому в сложных графических программах притормаживает. Да, ещё нет WiMax. и usb 2.0 слотов всего два, реально маловато.</t>
  </si>
  <si>
    <t>Дешевый вентилятор, хорошо обдувает</t>
  </si>
  <si>
    <t>Да, зубная щетка хороша. Довольна приобретением, тем более моя первая электрическая зубная щетка! Зарядки хватает на неделю. Есть эффект отбеливания, очищает зубы идеально. Имеются 3 насадки, пользуюсь всеми :)</t>
  </si>
  <si>
    <t>8 месецев и здох (так себе)  вот собственно и все</t>
  </si>
  <si>
    <t>2013-05-26</t>
  </si>
  <si>
    <t>Пользуюсь год. Через пару месяцев начались проблемы с е3, пищала и не мыла. Оказалось просто соль закончилась. Сейчас сыплю ее по ложке перед моикой, все отлично. Тарелки, кружки, сковородки отмывает отлично, а вот на кастрюлях оставляет полосу покуда жидкость была.&amp;nbsp;</t>
  </si>
  <si>
    <t>моё мнение,что это офигенный телефон все в нем устраивает, берите не пожалеете</t>
  </si>
  <si>
    <t>Пользовались чайником 10 лет, очень довольны, за все время эксплуатации вышли из строя: 1. Сдох фильтр накипи,  2 На втором году эксплуатации перестал работать звонок при отключении, и больше никаких поломок. В ремонт не носили, Чайник на все сто. Самое интересное, что на самом чайнике написано: made in france.</t>
  </si>
  <si>
    <t>1840</t>
  </si>
  <si>
    <t>Прям переворот случился,преобрёл плейер все было зашибись всё работало 2 а фильма тока так музыка на долго ,но случилась, что он сдох .Внезапно больше не влючался вроде нажимаешь вылазит красный экран и вверху слева вопросы ????  и всё щас он вообще только как флешка у меня используется так данные потаскать. дурацкий плейер</t>
  </si>
  <si>
    <t>1456</t>
  </si>
  <si>
    <t>С октября прошло много времени и хочу Вам сказать - печь отличная! Мои домашние расстраиваются, когда забываю про хлеб... Главное вовремя заложить продукты (ждать то готовый хлебушек часа 3, не меньше) и наслаждаться! Аромат во время выпекания - м-м-м-м-м!!! Как у бабушки в деревне! Дрожжи должны быть свежими и последовательность продуктов надо соблюдать (соль не должна соприкасаться с дрожжами и сначала жидкости, а потом уже сыпучие продукты)! Покупайте! Кушайте!</t>
  </si>
  <si>
    <t>2011-08-22</t>
  </si>
  <si>
    <t>Очень хорошая хлебопечка, Хлеб пропекает прекрасно, джем делает супер, тесто правда еще не мисила, но я думаю и здесь не подведет. Мука при замесе по краям не остается, просто загружаешь прогамму, нажимаешь нужные кнопки и спокойно идешь заниматься своими делами, пока она трудится. Даже ночью когда ставишь отсрочку выпечки спишь спокойно потому что работает относительно тихо! Очень советую, не хлебопечка, а подарок судьбы.</t>
  </si>
  <si>
    <t>2017-03-27</t>
  </si>
  <si>
    <t>дизайн, большой бак</t>
  </si>
  <si>
    <t>Великолепный чайник! Понравился очень! При кипячении - не шумит, имеет очаровательную голубую подсветку. Да и дизайн очень приятный и лаконичный. Всем сомневающимся - рекомендую отбросить сомнения и покупать. Наша семья - очень довольна.</t>
  </si>
  <si>
    <t>Купили такой комбайн месяц назад, предварительно прочитали отзывы здесь. И остались очень довольны! Комбайн действительно компактный, занимает мало места, быстро собирается-разбирается, быстро нарезает овощи (капусту, свеклу, морковь, картофель для жарки). Замечательно, ничего вручную крошить не надо!</t>
  </si>
  <si>
    <t>2844</t>
  </si>
  <si>
    <t>Из основного: холодных воздух и шарики снижают болевые ощущения, все насадки можно мыть, убираются даже короткие волоски, есть незаменимая подсветка. Я сильной боли ни с одним прибором не испытывала, поэтому для меня они являются оптимальным вариантом удаления волос. С этим тоже не больно.</t>
  </si>
  <si>
    <t>Вчера приобрела данный предмет и безумно рада!!! Отличная вещь!!! Хлеб получился с первого раза. Тесто для булочек тоже вышло отменное! Всем рекомендую!</t>
  </si>
  <si>
    <t>Чтобы сделать себе что-то приятное, иногда нужно совсем немного денег. Даже жалею, что не купила эту ванночку раньше, хоть у нас на работе женщины как-то собрались и человека 3 себе сразу купили. А я вот все присматривалась. Ванночка чудесная – вечером усыпляет лучше любого снотворного. В выходные делаю ее не спеша, с чувством, с толком, вместе с маникюром. Обожаю гейзерный массаж, особенно с подогревом. Ощущения неописуемые – как в джакузи, только еще в несколько раз приятнее. Есть 2 насадки, которые можно менять. Управлять можно пальцами ног) не наклоняясь))  Сама ванночка при этом очень компактная, аккуратная, вода не разбрызгивается. Ставлю ее в комнате на обычное ножное полотенце.</t>
  </si>
  <si>
    <t>Чайником такой же модели мы пользовались регулярно на протяжении 4,5 лет . Были очень довольны. Соотношение цена-качество на 5+. Но ... Всему приходит конец и наш первый чайник приказал долго жить. Решили приобрести такой же чайник в том же магазине (М-ВИДЕО). Новый чайник этой же модели я получила на мой день рождения в подарок. Но к моему великому сожалению через пару дней эксплуатации выявился очень неприятный деффект: если вскипятить воду и сразу нужна новая партия кипяченой воды, то придется подождать некоторое время (минут так 15), чтобы чайник снова включился и довел воду до кипения. Вроде как мелочь, но ОЧЕНЬ НЕУДОБНО.</t>
  </si>
  <si>
    <t>2463</t>
  </si>
  <si>
    <t>Пользуюсь телефоном месяца 4... Отличный телефон! Зарядку держит долго, цена доступная. Хороший телефон для активной жизни.</t>
  </si>
  <si>
    <t>Странно что у вас  без диска  usb не  читает, я специально проверял  всё работает. Конечно качает без усилителя, но  по мне хорошо!</t>
  </si>
  <si>
    <t>Фен мне не понравился,при такой слабой мощности все эти насадки бесполезный хлам. Волосы им укладывать одно мучение, ну а густые волосы им уложить вообще невозможно. Так что покупкой не довольна и Вам девочки не советую.</t>
  </si>
  <si>
    <t>Красив, хлеб жарит, что ещё нужно? Провод немного неудобен, но ничего не поделаешь, у всех энергоёмких приборов шнур толстый.  Пользуемся уже больше месяца ежедневно. Даже просто на обед хлеб до хрустящей корочки иногда поджариваем. Разогревом и разморозкой не пользовались ни разу, и, думаю, не воспользуемся.</t>
  </si>
  <si>
    <t>игра просто хуже некуда.Вышла забагованной поиграл 30 минут и удалил ее.напрасно потраченное время.</t>
  </si>
  <si>
    <t>хороший телек лучше чем жк</t>
  </si>
  <si>
    <t>2015-05-11</t>
  </si>
  <si>
    <t>Пользуюсь уже очень давно. Бутерброды разного хлеба и с разными начинками любят и домашние и друзья. Главное все очень быстро и вкусно. Моется удивительно легко. Индикатор показывает, когда прибор готов работать. Часто выручает меня, когда приходят друзья, а в холодильнике малый набор продуктов.   Всем рекомендую! Берите, не пожалеете!</t>
  </si>
  <si>
    <t>2014-05-26</t>
  </si>
  <si>
    <t>Великолепный утюг. Если при первом использовании все сделать по инструкции - ничем не пахнет. Скользит отлично. На хлопке отлично проглаживает два слоя сильно мятой джинсовой ткани. В общем, отличный выбор за эти деньги.</t>
  </si>
  <si>
    <t>2013-08-02</t>
  </si>
  <si>
    <t>Я тоже погнался за дешёвкой и купил этот тостер. Уже попробовал.... и теперь могу сказать, что все комментарии тут ложные, один только Олег правду сказал, о том, что бы немного поджарить кусочки хлеба его надо на седьмом режиме три раза прогонять, тогда чуть чуть поджарится, а так просто греет и всё. А те заверения что эта штука жарит хлеб до равномерной золотистой корочки на третьем режиме, это всё враньё или это комментарии тех кто эти тостеры продаёт. Не зря говорят, скупой платит дважды, вот и я попался, лучше бы купил подороже, но с большей мощностью. Поэтому брать не советую, берите те где мощность больше.</t>
  </si>
  <si>
    <t>Ноут на высоте, но зафига туда винду засунули - лишняя трата денег. Все равно сносить((( блин и нигде без винды не купишь(  Единственный минус на мой взгляд. Конфигурация радует, посмотрим как на деле.</t>
  </si>
  <si>
    <t>Печка супер.Три года назад подарил маме.Очень довольна.Хлеб получается и вкусный и красивый и долго хранится без холодильника.Теперь на работе начальник требует себе такую же в подарок.Будем брать....</t>
  </si>
  <si>
    <t>Флешка проработала 2 месяца, потом в один прекрасный день просто перестала определяться. Не ожидал, честно говоря.</t>
  </si>
  <si>
    <t>Купили два дня назад. Кипятили много раз, но ВОНЯЕТ пластмассой! Воняет и чайник и вода. Пить невозможно!</t>
  </si>
  <si>
    <t>967</t>
  </si>
  <si>
    <t>Купили несколько месяцев назад, качество отличное. Но как написали выше, есть один недостаток - чтобы пламя не погасло, надо держать включатель газа некоторое время.</t>
  </si>
  <si>
    <t>Проработал 3 мес и перестал работать тачскрин, отнесла в сервис, заменили контроллер пока работает хорошо.</t>
  </si>
  <si>
    <t>2013-04-07</t>
  </si>
  <si>
    <t>Хлеб поджаривает равномерно, ничего не подгорает, готовлю на средней мощности. От односторонней обжарки тостов просто в восторге. Хлеб не выстреливает, как у некоторых, поднимается достаточно плавно. Покупкой очень доволен.</t>
  </si>
  <si>
    <t>Наушниками 3 года пользуюсь.. все наравится. Отличный звук, длинный провод, удобные..   неделю назад сел на них =\ теперь у меня 2 половины )  на днях пойду такие же новые брать )   рекомендую.</t>
  </si>
  <si>
    <t>Месяц назад купили эту пароварку.Шумит не громко, первое блюдо, которое сделали - манты.Получились вкусные, по времени минут 40.Конечно время приготовления, которое написано в инструкции немного меньше, чем на самом деле.</t>
  </si>
  <si>
    <t>Давно искал подобную конфигурацию в Екатеринбурге. Как только появились, купил сразу же. Хотел производительный ноутбук не на один год. Не гигантского размера и пригодный для переноски. С неброским современным дизайном и возможностью подключить HDMI, IEEE 1494, eSata, чтобы Win 7 стояла уже.   Достоинства: всё вышеперечисленное есть, аккуратный качественный корпус, удобная клавиатура,яркий ЖК дисплей,четкий звук,  видеокарта одна из лучших в этом сегменте,при работе тихий, почти не слышно его,верхняя панель и клавиатура греются очень слабо, подобные модели других производителей стоят 35-40 тыс.  Недостатки есть, но незначительные. Немного "гуляет" пластик корпуса,прогибается крышка если взяться за неё в закрытом состоянии, глянец внутреннего покрытия покрывается "пальчиками", ЖК матрица с маленьким углом обзора по вертикали,масса не 2,2 кг, а 2,32 кг, в общем, нужно по-осторожнее с ним обращаться, это не "походный" ноутбук.  Думаю, что достоинства во много раз перевешивают недостатки, за те деньги, которых он стоит (за минусом бонуса) - 32000. Общая оценка - четверка с плюсом (или пятерка с минусом).</t>
  </si>
  <si>
    <t>Покупал в подарок 3 шт, на двух из трех через пол года перестал работать проектор, и нигде его не ремонтируют, поэтому лучше  выбрать что-нибудь из другой фирмы.</t>
  </si>
  <si>
    <t>895</t>
  </si>
  <si>
    <t>Изначально хотела другие весы, более экономный вариант, но муж уговорил - типа Bosh, гарант надежности. Проработали меньше года. Проблема с дисплеем как у всех. Мы тоже открыли и подивились на контакты. Система включения ударом ноги (кто то писал легонько - фиг там, двинуть по ним нужно не по детски) - до такого еще додуматься надо было! Думаю это одна из причин поломки</t>
  </si>
  <si>
    <t>2014-01-07</t>
  </si>
  <si>
    <t>Пользуюсь данным штативом 1,5 года. Своей цены стоит. Сначала присматривал штатив подешевле, потому что снимаю в основном на природе, а с дорогим штативом в болото лезть жалко). Но штативы подешевле оказались вообще не штативами, хлипкие скрепленные палочки, на которых Canon болтается больше чем в руках. А этот оказался крепеньким, устойчивым, я им доволен. Конечно пластмассовые крепления не выглядят супер долговечными, но при должном уходе думаю прослужит он очень долго. После похода в лес я его протираю, просушиваю, привожу в порядок и он как новенький. Мой верный помощник).</t>
  </si>
  <si>
    <t>Все замечательно!    Но мы, не трогая ножки, запустили и она чуть в коридор из ванны не упрыгала. Ножки подкрутили на глаз, без уровня, просто чтобы не качалась. И все стало тихо. Только свист (высокий звук) при отжиме.</t>
  </si>
  <si>
    <t>норм</t>
  </si>
  <si>
    <t>У меня AVI воспроизводит с флэшки(только с кодеком DivX), а вот тв каналы плохо показывает, рябит всё сильно(((. Попробуем вызвать настройщика, может он скажет в чём проблема.</t>
  </si>
  <si>
    <t>Хороший пылесос, мало хлопот, легко чистить и быстро собирается!!! Я в восторге!!! Советую всем!!!</t>
  </si>
  <si>
    <t>Напрасно люди считают 100 гц нужными только для качественного приёма,по аналоговой общей антене также улучшается качество воспроизведения ТВ,ещё рекомендую сменить сетевой шнур на более качественный,этот телевизор очень на это реагирует,а иначе его потенциал не раскручивается.Классный,после 100 гц ,50 гц не котируется,сравнивая в других местах.    как раскодировать USB так и понял,но у меня медиаплеер отдельный.    проверяйте внимательно,при проверке первый вынесенный ТВ оказался с тихим звуком,попросил проверить другой,он оказался громкостью в 2 раза выше.</t>
  </si>
  <si>
    <t>Комп не плохой... был. Сгорел BIOS, не перепрошивается, и не заменить просто микруху. В эксплуатации всего восемь месяцев.</t>
  </si>
  <si>
    <t>Купили диск и в шоке: на втором уроке программа не работает и дело не в диске, а в неправильной программе . Ответ не засчитывается! А далее нет возможности перейти к обучению, так запрограммировано!!,  ребенок плачет, мы недовольны!!!!!!</t>
  </si>
  <si>
    <t>2703</t>
  </si>
  <si>
    <t>Данной мясорубкой удалось попользоваться всего два раза,на третий она как-то странно зажурчала и перестала крутить шнек (причём один раз крутили рыбу,а второй мякоть свинины без прожилок и косточек)Каково же было моё удивление когда мне пришлось вскрыть данное устройство в надежде на починку.Оказалось чинить там абсолютно нечего весь механизм(редуктор)был выполнен из мягкого пластика,даже шестерни опирались на тонкие пластиковые ножки,которые не то-что под нагрузкой,а даже на холостом ходу просто обязаны были развалиться.В общем я ещё раз убедился,что значит хвалёное немецкое качество.</t>
  </si>
  <si>
    <t>2013-11-04</t>
  </si>
  <si>
    <t>Купила его в 2009 году, и стоил он точно так же, цена не поменялась. Хороший тостер, никогда с ним проблем не было! Хлеб прожаривается отлично: сильно прожаренный на 5 режиме или кто любит менее прожаренный, то на 3 или 2 режиме. Всем советую!</t>
  </si>
  <si>
    <t>Месяц со дня покупки  - в целом доволен. В первые дни был просто очарован. Через 2 недели появились недостатки . При просмотре видео пропадает сигнал с монитора появляется дурацкая подсказка. Якобы сам (комп) сделал ошибку и сам ее устранил. Думал это проблема моего железа , выходит не только у меня такие глюки. Видимо,   что-то с П.О.   О Windows -7 -  День рождения у него 22 октября , а Acer3812 изготовлен и заправлен в сентябре  еще не рожденным Windows -7 ???? Отсюда и проблемы,  не исключаю, что скоро что-то еще начнет  выбрасывать дурацкую подсказку. Буду менять младенца "Семерку" на зрелую XP или молодую ВИСТУ. DVD-привод пытался заправить малый CD - выпадает  в вертикальном положении  пришлось класть в горизонт работает нормально, но вид становится какой то убогий  - надо было ставить в такой корпус ноутбучный привод. Первые дни очарования переходят в разочарование, поэтому  ставлю четыре звезды.</t>
  </si>
  <si>
    <t>160</t>
  </si>
  <si>
    <t>2011-03-16</t>
  </si>
  <si>
    <t>Купили с мужем вчера и пропылесосив два ковра в однокомнатной квартире сразу забился контейнер для пыли.Пылесос работает хорошо,но очень громко. Из-за маленького веса легко переворачивается на бок и совсем не гибкий шланг-это очень не удобно. Родная щётка очень маленькая,а насадки просто кукольные и смешные. Вообщем пылесос игрушечный,создан для маленькой квартиры и малого обьёма работы,скорей автомобильный,чем обычный.</t>
  </si>
  <si>
    <t>Аппаратом очень доволен, сразу видно самураи шаманили над ней.До этого был неудачный опыт использования печки другой фирмы,поменял на следующий день на Panasonic SD-255 и ни разу не пожалел. Хлеб получился с первого раза, да еще какой! Всей семьей визжали от удовольствия. У нее нет смотрового окошка, и это только плюс. Двойная крышка сделана так чтобы потеря тепла была минимальна, поэтому хлеб всегда пропечен. Ведерко в отличии от других печек толстостенное литое (идеальное распределение тепла), у других тонкая жестянка с антипригаром и все. Что еще, наличие диспенсера, кто не знает это такая штука куда закладывают дополнительные ингредиенты типа изюма, орехов и т.д. Так вот, эта штука в нужный момент сама все добавит. А в других печках надо сидеть возле нее(иначе можно и не услышать) и ждать звукового сигнала, открывать крышку и ручками все добавлять. Так что машина отрабатывает на все 100. Цена конечно кусается, но оно того стоит.</t>
  </si>
  <si>
    <t>Мощный, достаточно тихий, функциональный</t>
  </si>
  <si>
    <t>Идеальное соотношение цены и качества, прекрасно подходит для обладательниц различных каре, в наборе есть полукруглая расческа и круглая расческа!Всем советую!</t>
  </si>
  <si>
    <t>В целом неплохой телефон. Покупала маме. Из плюсов: цена, цвет, функциональность, удобные кнопки.  Из минусов: блокировка клавиатуры включается по установленному времени(неудобно).  Кстати, он сделан не в Китае, а в Венгрии, что дает ему наибольшее преимущество.</t>
  </si>
  <si>
    <t>2016-06-30</t>
  </si>
  <si>
    <t>Классная фен-щетка. Маме покупала, а сейчас часто и сама ей пользуюсь. Локоны красивые получаются и держится укладка до вечера. Даже не ожидала, что от нее такой эффект будет.</t>
  </si>
  <si>
    <t>2010-04-21</t>
  </si>
  <si>
    <t>купил. ну есть пару, всего лишь пару не нужных настроек. а так шикарно все.    отличное качество, как сказано лучше только Led, но я бы добавил и Sharp. Но за такие деньги sharp full hd не найти.   интернет еще не пробовал. а то, что видео не читает, так это неважно. мультимедиа проигрыватели берите, если надо. лично я планирую playstation 3 взять.</t>
  </si>
  <si>
    <t>2010-08-26</t>
  </si>
  <si>
    <t>Фильм - настоящая классика жанра. Один из лучших фильмов в карьерах Шварценеггера и МакТирнана. Что касается диска, то он весьма хорош. Картинка здорово отреставрирована. Пленочных дефектов почти нет, чтобы их найти нужно внимательно присматриваться. Четкость хорошая, никакого шума или зернистости не обнаружено. Звук тоже отличный. Единственным минусом издания является то, что далеко не все представленные на диске дополнительные материалы переведены на русский язык.</t>
  </si>
  <si>
    <t>Миксер - для тех, кто часто готовит и печет. Самый большой плюс - свободные руки. На деле оказалось, что это действительно очень удобно. Понравилось, что венчики достают до самого дна чаши (но не царапают ее), поэтому можно взбивать даже небольшое количество ингредиентов. Мощность высокая, есть 5 скоростей. Импульсный режим для меня пока загадка, не могу придумать куда его применить, но думаю и с ним сработаемся. Миксер очень хороший,  если  сомневаетесь, берите - не пожалеете.</t>
  </si>
  <si>
    <t>2011-03-10</t>
  </si>
  <si>
    <t>Превосходный телевизор,100Hz супер,USB читает и MKV,DVDrip-ы тянет на ура(выручает 100Hz).Много полезных функций.Отличные цвета.Аналоговый сигнал - нормально.Очень доволен покупкой,спасибо М-Видео!</t>
  </si>
  <si>
    <t>Просто сссуууууппппеееерррр!!!Очень быстро,удобно и не дорого!</t>
  </si>
  <si>
    <t>Читаю предыдущий отзыв-бред сивой кобылы какой-то. Прежде чем купить данный пылесос много штудировала интернет, смотрела отзывы. Их оказалось 50/50. Долго решали с мужем брать-не брать, мало того даже консультант в М-Видио стала нас предупреждать от покупки-мол остаточная влажность высокая и тд. Решились-купили. Вчера целый день генералила с Томасом. Мощный, небольшие паласы аж в приподнимал в воздух, паласы после влажной уборки высыхают полностью через 1-1,5, и то все это время они не мокрые а слегка влажные -это чувствуешь если пройтись по нему босыми ногами, мыла с ним окна-слегка неудобно, подоконники мешают правильно поставить щетку поэтому приходилось орудовать ею слева направо а не сверху вниз и кое-где убирать разводы (поэтому мой совет-лучше окна мыть по-старинке, времени занимает столько же), с мытьем паркета он тоже хорошо справился-воды на паркете не больше чем вы бы оставили на нем после тряпки. На счет мытья его после-если в режиме сухой уборки это дело нескольких минут (промыть ведерко, насадку и фильтра), после влажной чуть дольше, но меня это нисколько не напрягло (кстати кто не знает передняя крышка у него тоже снимается для промывки-сполоснул и все, просто многие жалуются что ее трудно отмыть не снимая-читайте инструкцию внимательнее, господа). На счет его тяжести-да это не маленький аппарат с мешком для сбора пыли, но я с ним легко справлялась с водой и без (при чем я на 7 месяце беременности). Единственный минус шланг не очень крутиться вокруг своей оси и приходилось его поправлять чтобы не пережимать поток воздуха, но это дело сноровки как мне кажется.Складывается такое ощущение что все кто пишут плохие отзывы-либо конкуренты либо абсолютные лентяи, если вы одни из них-этот пылесос не для вас. Я лично довольна результатом.Советую!</t>
  </si>
  <si>
    <t>2743</t>
  </si>
  <si>
    <t>Пользуюсь год полет нормальный, флехи хавает до 16 гб, глюков ниразу небыло, вентилятор вообще не слышу! Фильмы с флешки вначале тормозят, через 3 мин картинка налаживается!</t>
  </si>
  <si>
    <t>Нужна была для дома хорошая, надёжная соковыжималка остановилась на Bork S400 . Делаю сок практически из всего начиная от апельсинов (естественно очищенных от цедры), до моркови, свеклы, яблок и ананаса. Качество сока хорошее пены не много, с ней помогает справится стакан со специальным носиком, жмых сухой. Так что покупкой очень довольна. Всем советую!</t>
  </si>
  <si>
    <t>2013-06-02</t>
  </si>
  <si>
    <t>Долго выбирал, в итоге остановился на нем. Купил в мвидео с установкой. Втбраций и шума не обнаружил.</t>
  </si>
  <si>
    <t>Я уже оставляла отзыв  26/04/10. Я нашла способ лечения "болезни" неполного цикла после очистки от накипи! после полоскания (не погружать! надо оставить сушиться в перевернутом виде на некоторое время. и все будет работать как положено.     Но я обнаружила другой серьезный недостаток - нижняя подставка от частых нагреваний видимо расширяется. За 3 месяца пошла трещинами и к 5 месяцам разломалась. запчасть купить можно, стоит она всего 225 руб. Но ее не бывает в наличии, а заказа можно ждать от месяца до трех!    А так - полгода эксплуатации - я в целом довольна. Вот если бы только не ломался...</t>
  </si>
  <si>
    <t>Очень удобно</t>
  </si>
  <si>
    <t>У нас маленькие дети и я считаю, что термопот - это более безопасная вещь, по сравнению с электрическими чайниками, да и ко всему есть кнопка блокировки, мы не смотрели на его энергопотребление. Он проработал у нас один год, без нареканий, все кнопки работали, но через год сломался и ремонту не подлежал. Сейчас можно было бы и такой взять, но для нас он маловат по объему.</t>
  </si>
  <si>
    <t>Купил себе перед новым годом, нареканий никаких, всё отлично работает... Игрушки норм тянет :)</t>
  </si>
  <si>
    <t>Согласен с многими кто здесь написал, супер телик, ну да не G20 и что?    Картинка для большинства случаев все равно лучше, чем на других телевизорах за подобную цену.    Доволен и менять не собираюсь на дорогие и навороченные плазмы или ЖК, конечно они круче, но поверьте и эта далеко не плохая модель.  С DVD в хорошем качестве фильмы, смотреть оч здорово!</t>
  </si>
  <si>
    <t>849</t>
  </si>
  <si>
    <t>Правильно, скопируй у японцев если не можешь придумать свое. Sony сделала в 2006 сделала приставку которую до сих пор не может догнать Microsoft. Стыд и срам.</t>
  </si>
  <si>
    <t>2016-06-24</t>
  </si>
  <si>
    <t>Отработала 2 года и сдохла. Не советую. !</t>
  </si>
  <si>
    <t>Великолепный и качественный девайс ,два года  безупречно работает,звук очень высокого  качества - слушаю на качественных сони для  плееров в формате FLAC(да умеет этот плеер и   это), и у меня есть с чем сравнивать звук,  имею в наличии аудио аппаратуру высокого  уровня.Рекомендую тем кто предпочитает  качество.</t>
  </si>
  <si>
    <t>Долго выбирала ,сомневалась,но когда увидела съемную,глубокую!!! чашу ,то решила,что буду покупать только ее!!! Удобно мыть,чистить,перемалывает без труда,сын любит помолоть подольше,что бы поджарилось немного!)))Отличный дизайн! Сейчас сравниваю с той,что у нас сломалась,у нее чаша в 2 раза меньше ,чем у этой! Не стыдно посоветовать друзьям и знакомым!(хотя раньше отдала бы предпочтиния Бошу!)</t>
  </si>
  <si>
    <t>2011-08-25</t>
  </si>
  <si>
    <t>Очень не довольна машинкой, так как при первом же подключении протекла снизу. Внешний вид - так себе. В общем совсем не довольна.</t>
  </si>
  <si>
    <t>2651</t>
  </si>
  <si>
    <t>2017-01-17</t>
  </si>
  <si>
    <t>«Отзыв о Braun».На мой взгляд  отличная  штука. Лучше чем просто эпилятор.Есть несколько насадок,можно подобрать индивидуально для себя.Пользоваться очень легко,удобно лежит  в руке. и в добавок ко всему очень лёгкий.Можно использовать ,как для зоны бикини ,так и для бровей.. Никакая бритва не справится с этой задачей, а триммер очень аккуратно отрегулирует длину и придаст нужную форму. Раздражения не вызывает, волосы не выдергивает, главное, пользоваться аккуратно и соответственно рекомендациям производителя.Благодаря своей компактности прибор всегда можно взять с собой на отдых.Там он точно пригодится.Собран очень качественно,ведь это Braun.</t>
  </si>
  <si>
    <t>очень довольна - цена - качество - просто  выше  всяческих похвал.</t>
  </si>
  <si>
    <t>2273</t>
  </si>
  <si>
    <t>Хороший пылесос. Со своей задачей справляется как положено. &amp;nbsp;Никаких проблем ни с фильтрами,ни с мытьём после уборки не наблюдается. Всё легко и просто. Не для белоручек и блондинок. Надо учиться пользоваться хорошими вещами господа,а не покупать только из-за цены что бы было круто...</t>
  </si>
  <si>
    <t>2016-01-20</t>
  </si>
  <si>
    <t>В магазине не особенно привлекла мое внимание эта модель, выглядит она, откровенно говоря,  мрачно, грузная, не очень изящная и легкая форма корпуса. По причине того, что ремонт кухни сожрал львиную долю денежных ресурсов, то пришлось таки вернуться к ряду бюджетных вытяжек. К счастью, все мои сомнения не оправдались, после установки в короб кухни, вытяжка стала смотреться с диагонально противоположным эффектом, аккуратная, компактная, накрывающая своим куполом всю поверхность варочной плиты. Простенько, но со вкусом! Работает мощно, справляется со всеми парами, дымом, запахами, частично жиром (на стене стало заметно меньше липких разводов). Гудит, но сказать, что выносит мозг - нет, уже привыкла и редко обходится готовка без ее включения. Есть одна полезная функция - рециркуляция, если упустила момент и комната уже наполнена неприятным (а иногда и приятным, но лишним) запахом, за 10 минут работы в этом режиме воздух становится свежим и чистым. Пользоваться просто, не прихотлива в уходе. 5 из 5.</t>
  </si>
  <si>
    <t>Шикарная соковыжималка жмых сухой.  ВСЕМ СОВЕТУЮ!!!</t>
  </si>
  <si>
    <t>833</t>
  </si>
  <si>
    <t>только сам постригся = ВЕЩЬ</t>
  </si>
  <si>
    <t>Купила теплообогреватель 20.11.2011. Включала всего 3 раза на работе и то ненадолго, на 3 раз поработал немного и затих навсегда. Просто удивительно.</t>
  </si>
  <si>
    <t>380</t>
  </si>
  <si>
    <t>Так себе бритвочка. до этого тоже браун был, только совсем древний какой-то с одной головой, так вот: разницы вообще никакой, что тем что этим надо несколько раз проводить и то волоски остаются, и это при том что щетина у меня не очень и жесткая!!!</t>
  </si>
  <si>
    <t>Своей покупкой очень довольна.Покупала эту модель по рекомендации.Моющий пылесос давно хотелось иметь,но слишком высокие цены.Большое Спасибо МВидео за предоставленную новогоднюю скидку.Пылесос достаточно мощный,всасывает очень сильно.Почистила ковер с моющим средством,воду всосал практически всю, но при этом ковер остался умеренно влажным.Пол после мытья остается сухой сразу,достаточно переключения кнопок.Вообще все очень доступно.Единственный недостаток - это нет электросмотки шнура, но это не так существенно.</t>
  </si>
  <si>
    <t>Не кипяток, не горячий, а еле теплый, пить неприятно, невкусно. Подогрев поддерживает его еле теплым.</t>
  </si>
  <si>
    <t>1516</t>
  </si>
  <si>
    <t>2016-04-23</t>
  </si>
  <si>
    <t>Хороший телефон, оптимально цена-качество.</t>
  </si>
  <si>
    <t>Чайник очень плохой.    Использовали чайник в рабочие дни (с понедельника по пятницу).Четыре-пять кипячения в день.    После недели эксплуатации появились первые точки ржавчины.После месяца эксплуатации ржавчиной покрылось дно (~до 30% поверхности).После третьего месяца эксплуатации появилась ржавчина на стенках и появились трещины на корпусе.  На четвёртом месяце корпус чайника лопнул (по всей высоте с обоих сторон от ручки) протекать стал очень сильно.    К работе нагревателя претензий нет.</t>
  </si>
  <si>
    <t>Соковыжималка компактная (размером чуть больше электрочайника), легкая, легко моется, как здесь уже заметили. Легко делает сок из яблок, моркови, апельсинов.     Из минусов - немного разбрызгивает сок, поэтому ставлю не стакан, а высокую и широкую пластиковую ёмкость, немного наклоняя ее под носик соковыжималки (брызги не попадают на стол).    За свои деньги эта соковыжималка - отличный выбор.</t>
  </si>
  <si>
    <t>2014-07-29</t>
  </si>
  <si>
    <t>Гудит как трактор!Телевизор еле слышен!</t>
  </si>
  <si>
    <t>2118</t>
  </si>
  <si>
    <t>2016-03-20</t>
  </si>
  <si>
    <t>Мне ее сестра подарила недавно, не думала, что в домашних условиях можно так легко тоненькую пасту делать, а тут все элементарно просто - присоединила к комбайну, сделала тесто и насадочка его отлично режет! Сделана из нержавейки, так что можно смело мыть водой и не боятся ржавых пятен. Особого ухода не требует, что тоже порадовало, обычного протирания, как правило, хватает для поддержания чистоты. Ролик прокручивает тесто без скрипа, сразу видно, что производитель постарался на славу - насадка не создает впечатления какой-то дешевой подделки. Как по мне - очень качественная вещь!</t>
  </si>
  <si>
    <t>От звучания музыки уши вянут. Никаких басов, высокие шипят.  Для радио или сериальчика сгодятся (не выбрасывать же).</t>
  </si>
  <si>
    <t>Отличная акустика, особенно если прально настроить в программном обеспечении Creative X-FI Xtreme Audio (басы, эквалайзер и прочие примочки)супер звук Вот они у меня уже год и норм работают. единственный минус - со временем регулятор громкости слегка шипит когда крутишь его, но это свойственно таким регуляторам громкости.</t>
  </si>
  <si>
    <t>2930</t>
  </si>
  <si>
    <t>комп супер все игрухи тянет на ура, проц не напрягается!</t>
  </si>
  <si>
    <t>2014-04-12</t>
  </si>
  <si>
    <t>Отличный саб, переслушал все в МВидео. Спасибо продавцу, что уделил время и дал возможность сравнить с другими моделями. Эта на мой взгляд оказалась самой музыкальной из того, что было в наличии. На счет давления не знаю, я не любитель подобных вещей. Задача была подровнять АЧХ по низам, разгрузив при этом акустику. Бас стал приятным, сильных тормозов тоже не заметил.</t>
  </si>
  <si>
    <t>Вибра. Трясет за милую душу и спину, и шею (если рост короткий и приналечь). Можно выбрать конкретно, что и как трясти и трясти адрессно - например, только поясницу. Роликового чувствительного массажа мышц конечно нет, но застои в организмах разгоняет. Даже какая-то легкость потом чувствуется. Греет тоже очень быстро и приятно.</t>
  </si>
  <si>
    <t>3045</t>
  </si>
  <si>
    <t>2013-07-01</t>
  </si>
  <si>
    <t>Очень громкие и хорошие наушники !!!! Отслужили пол года ! Использовались каждый день на полную громкость !!! Не сели !!! А отвалился провод левого наушника !!!</t>
  </si>
  <si>
    <t>2016-03-12</t>
  </si>
  <si>
    <t>Да шумная,но все таки таких выносливых мясорубок еще не встречал,работает почти каждый день в кафе,уже как два года.Фарш хороший получается,мясо проходит на ура!В общем мы довольны,да и знакомым всем рекомендую.</t>
  </si>
  <si>
    <t>простота, надежность, низкая цена</t>
  </si>
  <si>
    <t>2301</t>
  </si>
  <si>
    <t>Удобная, довольно большой дисплей. Жена довольна качеством стирки, отжимом. Много полезных опций - авто-регулировка уровня воды, ускоренная стирка, отложенный старт.</t>
  </si>
  <si>
    <t>Плита просто супер. Электроподжиг - спички вообще не нужны) в сравнение с предыдущими моделями считаю большим минусом что нету гриля хотя если честно им ниразу не пользовались. Жар печка не пропускает - плотно сидит крышка с прокладкой дверцы. Есть функция отключения газа когда огонь потух, так же минус что она действует только в печке на конфорках не работает. Так же по ширине уступает предыдущим моделям этого же модельного ряда( не из нержавейки). Незначительные недостатки роли не играют так что плита на полные пять, всем советую!</t>
  </si>
  <si>
    <t>2011-01-21</t>
  </si>
  <si>
    <t>Долго изучала все форумы и отзывы о печках и фирмах,но решила остановиться на Мулинекс.  Вообщем мы привезли её домой,и как советовали в книжке решили начать с белого хлеба.Получилось Супер,но как я и предполагала корочку потом пришлось допечь на 12 прогр.,но я это минусом не считаю. Днём сегодня приготовили французский хлеб,тоже хороший.Единственное мешалка постоянно остаётся в пропечённом хлебе,приходиться её выковыривать вилочкой. Вообщем мы с ней подружились!!!!!</t>
  </si>
  <si>
    <t>2601</t>
  </si>
  <si>
    <t>2017-02-16</t>
  </si>
  <si>
    <t>Красиво,аккуратно,функционально.</t>
  </si>
  <si>
    <t>Плеер произвел отличное впечатление. Звук детальный, чистый, басы присутствуют, а так же есть если что, регулировки для его усиления. У кого не так, значит либо у вас: некачественные наушники (sony mdr-32ex отличные наушники для любых плееров), либо вы слушаете некачественные записи (flac ape вот что нужно слушать для оценки звука, и в том случае, если эти 2 формата сжали cd-da, а не подделку из мп3 в cd-da), либо вы настроили звук или же он у вас настроен не правильно. Вообще я не выставляю никаких усилений на плеере, никаких эффектов и звук при этом отличный, всех низов,высоких и средних частот хватает, но только прикупите наушники получше, и обратите внимание на форматы которые вы слушаете, а также регулировки звука.  Что касается видео, то мне очень понравилосьчто его не всегда надо конвертировать, и даже плеер без тормозов читает его с карты памяти, это тоже +.   Тут у кое кого проблемы с ape, у меня такая же была, и вот как я ее решил: сказал monkey audio, распаковал ape файлы в wav, затем их снова пережал в ape и закинул в плеер, плеер их воспроизвел. Когда сжимаете этой программой в ape не стоит выбирать степень сжатия ниже normal, т.к. плеер с более эффективной степенью сжатия не проигрывает данный формат, процессор его не потянет т.к. даже при использовании перемотки ape на компьютере с 2х ядерным процессором есть заметные паузы.  Конечно, есть маленькие замечания, но, они не так существенны и не мешают использовать плеер по его назначению.   В общем, удачная модель от ritmix по очень приемлемой цене! Конкурентов потеснить удалось, т.к. за аналогичные почти модели, конкуренты просят больше денег.</t>
  </si>
  <si>
    <t>Кризис все же идет простым людям и на пользу, техника в цене ощутимо просела. так что порадовал себя и свою семью этой моделью. Картинка идеальная, очень хорошо передаются цвета и детали, огорчает лишь отсутствие юсб, ну и бог с ним. А так просто отличный ТВ.</t>
  </si>
  <si>
    <t>2014-12-10</t>
  </si>
  <si>
    <t>Миксер с чашей оказалась супер-удобная вещь. Бисквит взбивается замечательно, собственно только для бисквита миксер и нужен, а всё остальное быстрее венчиком взбить и помыть. К сожалению, спустя год развалился один из венчиков...</t>
  </si>
  <si>
    <t>Фен отличный. Пользуюсь около 5 лет, волосы средней длинны. Хорошо приподнимает у корней, придает объем волосам. Делает их гладкими, шелковистыми. Первый год мало им пользовалась - видимо не смогла правильно применить. Сейчас рука уже набита - 10 минут - и отличная прическа, не требуется дополнительной укладки от утюжков всяких и проч. Объем от укладки этим феном держится весь день. Я довольна, рекомендую:)</t>
  </si>
  <si>
    <t>Пользоваться насадкой-расческой вообще не возможно,постоянно слетает,не держится вообще!Не понравилось.</t>
  </si>
  <si>
    <t>630</t>
  </si>
  <si>
    <t>2016-01-03</t>
  </si>
  <si>
    <t>При покупке была ограничена в деньгах и выбор этой модели был аргументирован вполне демократичной стоимостью. На первый взгляд подумала, что будет выглядеть громоздко, в целом после установки даже привлекает этот нависающий короб. Работает мощно, без проблем справляется с самыми яркими запахами, по типу жаренной рыбы, котлет и т.д. Управляется парой кнопок, имеет подсветку, поглощающие решетки легко снимаются для мойки. Осталась вытяжкой очень довольна!</t>
  </si>
  <si>
    <t>2149</t>
  </si>
  <si>
    <t>2016-02-09</t>
  </si>
  <si>
    <t>Пользуюсь элктробритвой Панасоник уже больше года и в общем-то был очень доволен. Намного быстрее и чище бреет, чем станок. Но вот беда - в последнее время стало хуже бриться, так как затупились ножи. Я даже и не задумывался о том, что они могут придти в негодность раньше чем сломается сама бритва))) Но поскольку они вынимаются, надумал, что неплохо бы их заменить. тем более, что бритва сама по саба очень удобная и я к ней привык. А она за последние полтора года подорожала чуть ли не в два раза, так что вроде новую такую же покупать смысла нет совершенно Попытался сначала поискать ножи к ней в магазинах по соседству где я живу, даже бритву с собой носил, чтоб не ошибиться, но ничего не нашел. Тогда решил загуглить по марке этой бритвы нет ли для нее ножей исразу же, о, счастье))) набрел на этот сайт и эти ножи. Заказал на свой страх и риск, так сказать без примерки. И в общем не прогадал, так как ножи действительно подошли и они острые. Надеюсь, чьто их тоже на год-то должно хватить. наверное сразу еще один комплект закажу. чтоб потом не искать.</t>
  </si>
  <si>
    <t>Ноут классный, цена, система на высшем уровне рекомендую.</t>
  </si>
  <si>
    <t>ужасный - это не то слово!!!!10 в одном и не одно не работает как надо!!!</t>
  </si>
  <si>
    <t>2015-09-01</t>
  </si>
  <si>
    <t>Купили в декабре эту модель, всем довольны</t>
  </si>
  <si>
    <t>Купила чайник месяц назад, чтобы брать в поездки. Пару раз прокипятила в нем воду. Запаха нет. Очень легкий, компактный, быстро греет воду. Для путешествий - идеальный вариант.</t>
  </si>
  <si>
    <t>2016-05-25</t>
  </si>
  <si>
    <t>Купили первый раз четыре года назад, отработала без нареканий.  Единственный совет, не запускать чистку поверхности.  После переезда на другую жилплощадь, рисковать не стали, купили такую же, правда дороже на 50%.Инфляция)))</t>
  </si>
  <si>
    <t>2869</t>
  </si>
  <si>
    <t>Хоть все и говорят, что эти телики не на 5+, но судя по распродажам за 2 дня акции, телевизоров этой модели в нашем м.видео продано 9 шт. 9 - мой. За 19т. вы получаете full + dvb-t + чтение НД мультимедии с USB порта. МКВ правда не видит, но будем надеяться новая прошивка это исправит. Про цвета - никакие они не розовые, все смотрится отлично. Посмотрите минимальную цену в интернете на эту модель и на цену в 19т. и вы все поймете. Посмотрите по такому же принципу и другие модели, и вам станет яcно, что его нужно брать. Только не ошибитесь, берите /12 венгрию.  Тамбов.</t>
  </si>
  <si>
    <t>Купили этот духовой шкаф буквально месяц назад, но уже приготовили кучу всяких вкусных вещей. Запекать и готовить в нем - одно удовольствие, пока не было ни одного промаха! К тому же, в комплекте идут два разных противня для разных целей. В глубоком можно запекать мясо по-французски с картошкой, например. А в более плоском - готовить различную выпечку. В кухне духовка смотрится очень органично.</t>
  </si>
  <si>
    <t>2014-12-03</t>
  </si>
  <si>
    <t>Хорошая замена чайнику.По утрам нет необходимости ждать пока закипит чайник, вода в термопоте всегда горячая.   Из недостатков отмечу несколько завышенную цену за бренд, хотя при проведении сравнительных «краш-тестов» в условиях магазина качество сборки аналогов несколько уступает, есть необъяснимое желание заиметь модель большего объёма, даже +0,5-1 л отличали бы данного производителя в более выгодную сторону.  Но достоинства явно превосходят все мелкие недостатки: закипание с «нулевого цикла» не более 15 минут, шум при кипячении воды не напрягает слух в отличие от общепринятых стандартов 1-2-хлитровых электрочайников, пластиковый корпус температуру держит на отлично, возможность поддержания различного температурного режима 60/80/90/98 градусов, изготовитель заявляет о наличии фильтрации хлорированной воды, кнопка блокировки подачи воды будет полезна для несанкционированных игр с кипятком подрастающего поколения, режим экономии электропотребления, например в ночное время, также немаловажен для семейного бюджета, в отличие от установленного на работе более дешевого собрата нет необходимости отслеживать наличие капель после налива воды, уровень остатка воды в термопоте удобно отслеживается благодаря красному шарику на мерной шкале, расположенной на корпусе термопота, при отключении из сети ранее установленные настройки не сбрасываются.</t>
  </si>
  <si>
    <t>Пользуемся уже пол года, ни разу не подвел. Измельчаем орехи, фрукты, сухофрукты, готовим коктейли и все остальное, что можно сделать это штукой. Пользуемся частенько. Относительно мощности- нам хватает. Длина шнура нормальная, детали легко моются. Прост в эксплуатации. Советую!!!</t>
  </si>
  <si>
    <t>2592</t>
  </si>
  <si>
    <t>Советую этот утюг для отпуска или если часто приходится гладить что-то с мелкими деталями, рукавчиками-фонариками и т.д. Им даже реально разгладить сильно мятую вещь, только естественно придется это делать чуть дольше, чем большим обычным утюгом. Но на то он и дорожный</t>
  </si>
  <si>
    <t>Телевизор отличный но звук плохой лучше к нему брать компьютерные колонки</t>
  </si>
  <si>
    <t>Утюг разочаровал  Капля стоп заявленная не работает, на малой мощности с утюга течет ручьем вода на одежду</t>
  </si>
  <si>
    <t>2560</t>
  </si>
  <si>
    <t>2014-12-17</t>
  </si>
  <si>
    <t>Изначально критерии выбора были следующие:  1. Наличие телескопических направляющих  2. Наличие доводчика на дверях  3. Наличие обдува  4. Утапливаемые переключатели  В первую очередь рассматривалась техника другого производителя. Однако всем моим требованиям соответствовали духовки в высоком ценовом сегменте и в итоге мой выбор пал на GORENJE. Производитель известный, а наличие отрицательных отзывов меня не смутило. Я ни разу не пожалела о своем выборе.  Приготовление: Духовка отлично печет, пропекается со всех сторон. Огромное количество программ. Можно подобрать под отдельное блюдо. Более того, при использовании обдува блюдо можно выпекать/запекать при меньших времени и температуре.   Дизайн: Исполнение духовки в черном цвете подойдет для любой кухни, боковины и ручки выполнены из совершенно немаркой нержавеющей стали.  Гигиена: Стенки отмываются легко, очень удобная функция очистки паром.  Прочее: немного смущает тот факт, что вентиляция дует в лицо при включении любого режима, однако наличие такого количества плюсов перекрывает этот незначительный минус, к тому же это прекрасный отвод тепла, в результате которого мебель не нагревается. Стекло трехслойное также не нагревается, что удобно в семьях с детьми.</t>
  </si>
  <si>
    <t>Купил 2 дня назад  Bork AC MHR 25155 S Поставил в маленькой комнате, вынул шланг на улицу заправил полный бак воды и запустил на охлаждение 18гр. Прошло 2 часа температура упала с 27 до 26. Проверил, что идет холодный воздух.  Оставил на ночь!!! в 5 утра кончилась вода в баке, поднялся, заправил снова (8 литров (между прочим) Хватает на 8-10 часов непрерывной работы (проверял на малых оборотах)  в 10 утра в комнате было 24 градуса! Размер комнаты 17 м2 при высоте потолков 2,7. надеялся на другой результат!!! Пока я не доволен!!! НАдоело воду заливать, ну и система вывода горячего воздуха никуда не годится!!! НЕсомненный +, не нужно ждать пока поставят! В М-Видео сроки установки до месяца!!! Бред!!!</t>
  </si>
  <si>
    <t>после первой уборки перестал сматываться шнур питания. В остальном все неплохо.</t>
  </si>
  <si>
    <t>Довольна на сто процентов! Паровой удар супер! Гладит даже пересушенное белье. Подошва восторг! Чистится на ура обычной хб тряпочкой. Плюсуюсь к вышесказанному замечанию, что не хватает стаканчика для воды.</t>
  </si>
  <si>
    <t>Настоящий спаситель от жары! Мобильный, быстро собирается и разбирается и закатывается в угол. Очень доволен! Когда за окном +30+35 в квартире +25. Лучше всего его поставить в соседней комнате или на кухне, где вас нет,  тогда и шум мешать не будет. Теплый воздух идущий из форточки, взаимодействуя с набегающими холодными потоками, идущими из кухни создаёт эффект конвекции. В результате комнате и свежо и прохладно!    Недостаток: очень быстро изнашивается гофрированная труба для отвода горячего воздуха в месте крепления к кондиционеру. Производители не догадались придумать какой-нибудь пластиковый наконечник. А ведь эту трубу довольно часто приходится вкручивать и выкручивать.</t>
  </si>
  <si>
    <t>Вещь отличная, купил вчера, очень нравится, все устраивает.Работает отлично</t>
  </si>
  <si>
    <t>845</t>
  </si>
  <si>
    <t>Моделью доволен.В доме стоит третьим кондиционером.До него уже установил LG и Vitek.Этот оказался самым тихим и это было главное условие при выборе.Тем более что одного из них слышно в комнате даже наружный блок,За эти  деньги ещё и установили,и ещё бонусных катр 2шт дали.Так что не стоит придираться к мелочам в дешёвом кондиционере.</t>
  </si>
  <si>
    <t>Достоиства: вода нагревается в соответствии с заявлеными параметрами 1ч 45мин. Недостатки: из клапана вода не просто "сочится", как обещает производитель, а бежит ручьем!!! Какой там дренаж в канализацию, когда течет не только из патрубка, но и из под рчажка для ручного сброса давления. Причем так интенсивно, что "танцы с бубнами"  вокруг ЭВН Вам на долго будут обеспечены. Не рекомендую подобный аппарат, даже как очень бюджетный вариант.</t>
  </si>
  <si>
    <t>Купили 1 такую мясорубку 4 года назад, очень довольны, просто супер, работает замечательно, насадки тоже все отличные, и еще 5 шт. уже купили в подарок, все счастливы.Покупайте, не пргодаете!</t>
  </si>
  <si>
    <t>456</t>
  </si>
  <si>
    <t>2011-07-19</t>
  </si>
  <si>
    <t>Холодильник в первый же день показал себя с худшей стороны, в среднем положении регулятора охлаждает температуру холодильной камеру всего до +13, а в максимальном охлаждении до +10. Звонил официалам в индезит, говорят это нормально. Пытаюсь вызвать мастера, так как меня такой баг не устраивает, нарушен ГОСТ, если в ближайшее время не отремонтируют заберу деньги.</t>
  </si>
  <si>
    <t>Пользуюсь плитой с 2007 года. Не жалею что купила Сплошные плюсы! Но, к сожалению, минусы всё-таки есть. Ящик под духовкой, в нём я храню крышки от кастрюль, надо открывать осторожно, соскакивает с направляющих. Но не беда. И ещё один недостаток: между стёкол дверцы духовки может затечь жидкость, если что-то разлилось на плите, приходится разбирать, мыть. И поверхность плиты, в районе конфорок,со временем становится серой, шероховатой.  Но, купила давно, может  производители что-то улучшили. Повторяю, плита хорошая, удобная, нужных функций много.</t>
  </si>
  <si>
    <t>Цена на установку комплекта была более чем приемлемая, в два раза ниже, чем у конкурентов (а я всех обзвонил). Даже если купили где-то, сервис надо брать тут.  Теперь о технике.  Цена подозрительная была, не спорю. Подключили, поставил тестовый прогрев духовки на один час при 250 градусах. Запах был жуть, резина-пластмасса жженная и все такое. Но это сказали нормально, поверил.  Все блинчики эл.панели нагреваются за 3 секунды, причем две штуки - двухконтурные, очень удобно!  Духовка без наворотов, режимов хватает, жарит и печет на отлично!  Выглядит очень дорого и солидно, друзья завидуют, подруга радуется. Рекомендую.</t>
  </si>
  <si>
    <t>2057</t>
  </si>
  <si>
    <t>Удобна в использовании, да и варит вкусный кофе. Капучино не пью. Купил в кредит, но оочень доволен.</t>
  </si>
  <si>
    <t>361</t>
  </si>
  <si>
    <t>Чистка пылесоса после уборки - не составляет никого труда!!! Просто вылить из контейнера использованную воду, и прополоскать фильтра, как ведро и тряпка! 5+</t>
  </si>
  <si>
    <t>Купили неделю назад. При выборе весов руководствовалась отзывами и не пожалела. Точные, удобные. Я очень довольна, но если пойдет что "не так" обязательно напишу)</t>
  </si>
  <si>
    <t>2016-04-25</t>
  </si>
  <si>
    <t>Машинка для стрижки хорошая. Пластик прочный, насадки одеваются плотно, можно легко отрегулировать длину стрижки, предусмотрено автономное пользование и заряжается недолго. Плохо, что они для всего комплекта сумку не придумали, пришлось ее отдельно докупать, в остальном претензий нет.</t>
  </si>
  <si>
    <t>Цена, надежность, простота ухода</t>
  </si>
  <si>
    <t>Был куплен в результате долгих маркетиноговых исследований на замену устаревшему Daewoo. Купились на на крайне заманчивую рекламу водяной фильтрации. В итоге продолжаем использовать старый и дешовый Daewoo. Шумит Vitek  сильно, а всасывает значительно хуже старичка (&gt;5 лет) Daewoo!!! Даже если уберем все фильтры всасывание практически не увеличивается. Обещанными 400 аэроВаттами и не пахнет!!! После водяного фильтра практически вся мелкодисперсная пыль оседает в воздуховоде и на поролоновом фильтре перед гепафильтром. Такое впечатление, что водяной фильтр просто сборник тяжелого мусора. Простой тканевый мешок фильтрует гораздо лучше аквафильтра от Vitek! ВЫВОД: ДЕНЬГИ  БЫЛИ ВЫБРОШЕНЫ НА ВЕТЕР!!!!! Сейчас стоит, место занимает (а он ГРОМОЗДКИЙ), а выбросить жалко - денежки же заплачены:-)))) НЕ ПОКУПАТЬ!!!!!</t>
  </si>
  <si>
    <t>999</t>
  </si>
  <si>
    <t>Для волосатых и лицо женщин</t>
  </si>
  <si>
    <t>Печка просто сказка, всем рекомендую, тут вам и шашлык и курица гриль и пицца и много приятного. Она этих денег стоит. Ненарадуюсь!</t>
  </si>
  <si>
    <t>Действительно мощность всасывания отличная. После уборки вчера старым пылесосом, этот сегодня собрал пыли в два раза больше, чем старый вчера.</t>
  </si>
  <si>
    <t>1208</t>
  </si>
  <si>
    <t>Пылесос отличный (у нас модель без регулировки мощности), год пользуюсь никоких проблем, после мешков ненарадуюсь, пишут мол забивается быстро радуйтесь значит вся пыль в фильтрах осталась а не вылетела назад. Пылесошу две комнаты, коридор(где вечно писка валом ), кухню, и еще после попугаев , соберает все без проблем. Фильтр поролоновый под стаканом мою с мылом пока вода чистоя не побежит, сохнит гдето около суток и вперед. Я довольна!!!!</t>
  </si>
  <si>
    <t>Купил сегодня плеер. Сразу порадовало соотношение цены и качества. Есть все что необходимо. Пока обнаружил только один недостаток, тормозит когда смотришь видео большого размера.</t>
  </si>
  <si>
    <t>купили недавно, но стираем часто, у нас двое малышей, машинкой очень довольна!!! Стирает отлично и тихо, не прыгает по ванной, как это делала моя предыдущая машинка, оч. удобный и красивый дизайн,компактная,необычная; особенно меня устраивает, что спрятан приемный лоток. честно говоря, пока ждала доставку успела прочитать здесь и плохие комментарии и радость покупки сменилась тревогой, теперь понимаю, что зря волновалась; про экономию воды- полная ерунда!</t>
  </si>
  <si>
    <t>2017-01-02</t>
  </si>
  <si>
    <t>Вместимость, цена</t>
  </si>
  <si>
    <t>Выпрямитель прекрасный,а чтобы зубчики волосы не выдирали их расчёсывать нужно!А то цены это сильно не зависит!!!</t>
  </si>
  <si>
    <t>а он правдо стоит 3690? чтоо мне не вериться!</t>
  </si>
  <si>
    <t>Приятно удивлена - плеер просто замечательный: простой в обращении, а качество звука выше всяких похвал! Слушаю литературу, музыку любимую, читаю книжку (удобная закладка). На видео нужно место освободить - немного жалею, что не купила на 8 Гб...  Рекомендую!</t>
  </si>
  <si>
    <t>пользовался таким около года. Ничего особенного. холодит хорошо.</t>
  </si>
  <si>
    <t>Телефон радует:  удобный функционал, все необходимые опции находятся интуитивно, порадовала камера (в темноте никудышная, но при нормальном освещении лист а4 вполне нормально фотографирует), 2 симки работают без всяких проблем, 5 будильников. Кстати, довольно прочный, не часто, но бывает когда или уроню его, либо из кармана вылетает - максимум крышка батареи немного отошла - слегка пальцами надавил и всё встало на место.  Т.е. в целом аппарат весьма приличный и качественный.    Но отмечу и пару минусов:  -Слабая батарейка. Если пользоваться мало - то держится довольно долго, а если поставить подсветку секунд на 30, несколько смс в день и час-полтора разговора - сажают полностью. Хотя когда мало говорю - 2, а то и 3 дня не заряжаю, но такое очень редко.  -Или я дуб, или смски нельзя на карту памяти сохранять - раздражает тот факт, что постоянно приходится смс удалять...Привык за прошлый телефон, что у меня там тысячи смсок хранились.    В общем - советую.</t>
  </si>
  <si>
    <t>2366</t>
  </si>
  <si>
    <t>У КПК одни плюсы. из минусов пожалуй только маркий корпус. Начинка потрясающая, 720p крутит в легкую. Звук в наушниках довольно приемлемый. Отличная замена Hero</t>
  </si>
  <si>
    <t>2013-08-26</t>
  </si>
  <si>
    <t>Очень долго думала какую соковыжималку купить, читала отзывы, хотела купить другую, т.к. испугали не очень хорошие мнения некоторых владельцев данной техники, но продавец М.видео убедил меня купить именно эту модель. Показал наглядно все ее плюсы, а конкретно нержавеющие ножи, гладкая поверхность сетки внутри соковыжималки, которая не будет так накапливать на себе остатки фруктов или овощей, а значит не будет так засоряться, по сравнению с другими моделями конкурирующих фирм, ну и конечно очень легкая сборка. За этот месяц, моя новая соковыжималка выгнала около 80-ти литров сока. Из помидоров получается влажный жмых, но я его переработала и сделала заправку для борщей. Из жестких сортов яблок и груш, лимона и моркови получаются одни опилки, сока много, хорошего качества. Из мягких яблок и груш, апельсинов конечно жмых мокроватый, но не так чтобы сок тек по рукам. Надо просто не лениться и чаще промывать сито. Всем советую, соковыжималка стоит своих денег.</t>
  </si>
  <si>
    <t>Показывают всё время разный вес. А ещё "Бош". Позор.</t>
  </si>
  <si>
    <t>2010-09-07</t>
  </si>
  <si>
    <t>Процессор соответствует заявленным требованиям,порадовало очень внимательное обслуживание в магазине ТК"Масштаб". Заказала процессор через и-нет с услугой забрать в магазине, к сожалению на следующий день, когда пришла забирать товар,оказалось, что акция на него закончилась и мне помогли подобрать вот этот вот кенвуд, коим я очень довольна, как и терпением персонала.</t>
  </si>
  <si>
    <t>2011-01-01</t>
  </si>
  <si>
    <t>Долго сомневалась на счёт покупки данного выпрямители.  И после долгих раздумий,всё таки решилась.  Нисколько не пожалела.  Волосы блестящие и шелковистые.Есть чехол.Берити не пожалеете!</t>
  </si>
  <si>
    <t>2017-06-07</t>
  </si>
  <si>
    <t>Нашему воздухоувлажнителю Борк Н700 уже почти 4 года. Покупали в связи с появлением ребенка, ибо хотелось создать максимально комфортный микроклимат в квартире. Работает исправно по сей день, в сервис обращатьс не приходилось, прибор функциональный, простой и удобный в использовании. Имеет много различных режимов работы, мы чаще всего используем детский и ночной режим. Работает он у нас почти все время, бесшумный, ночью не беспокоит совершенно. Есть таймер отключения до 12 часов. Еще из несомненных плюсов - наличие трех различных фильтров, как для очистки воды и для ее смягчения, так и для исходящего пара, поэтому прибор не просто увлажняет, но еще и очищает воздух. Аппарат имеет массу индикаторов, так что сам подсказывает, когда нужно долить воду, когда его нужно почистить, насколько загрязнены фильтры. Мне кажется такая полезная машинка должна быть в каждом доме. Рекомендую.</t>
  </si>
  <si>
    <t>2014-08-22</t>
  </si>
  <si>
    <t>Купила вчера. К сожалению, неудачный выбор. Комфорки расположены неудобно. Комфорка с раширением под сковороду находится в левом дальнем углу. Жарить неудобно. Пробовала жарить с нижним овальным расширением, но прожаривается неравномерно Надо выбирать внимательно. эту модель считаю неудобной.</t>
  </si>
  <si>
    <t>2013-07-19</t>
  </si>
  <si>
    <t>Купила неделю назад, у предыдущей кнопка отвалилась через месяц, поэтому выбирала по надёжности, пока никаких нареканий, быстрый и качественный результат. Очень довольна.</t>
  </si>
  <si>
    <t>Светит нормально, загорается без задержки</t>
  </si>
  <si>
    <t>Купил сегодня этот удивительный приборчик, и очень доволен!  Поработал в комнате 13м2 пару часов, и воздух стал чистым и режим, реально ощущается чистота воздуха (отрицательные ионы действительно генерирует)! Шум вентилятора еле слышен, УФ-лампа надежно защищена (виден только слегка ее свет внутри), ее и не видно, т.о. вредное воздействие УФ на организм исключено.  Не нужны никакие сменные фильтры, чистится просто, по мере необходимости.  Потребляет всего 12 Вт э/энергии, что очень приятно. Очень компактный, легко размещается на тумбочке у кровати.  Планирую оставлять его включенным на всю ночь, оставляя окно на микропроветривании.  Перед тем, как использовать, рекомендую почитать инфу в интернете по теме ионизаторов (при их использовании необходимо проветривание помещения, так как образуется некоторое кол-во озона в воздухе) и по теме бактерицидных УФ-ламп.</t>
  </si>
  <si>
    <t>Весами пользуюсь уже недели 3 и никаких из вышеперечисленных недостатков не наблюдала. Прием с гирей в первый же день провела, погрешность 100гр., показали 15,9 кг. Сейчас даже из любопытства в разных местах взвешивалась, результат везде одинаковый. Твердая четверка!</t>
  </si>
  <si>
    <t>хм, приобрел сегодня, девайсом остался доволен, звук вполне хорошо, за такую цену получил то что и ожидалось, советую</t>
  </si>
  <si>
    <t>Сковородой пользуюсь уже три года! Это моя любимая посуда. Очень удобная ручка. удобно мыть в посудомоечной машине. Сковороду без ручки можно использовать как форму для выпечки. Набор отличного качества. Недостатков я не обнаружила.</t>
  </si>
  <si>
    <t>Хороший достаточно утюг, легкий, отпаривает хорошо, скользит. Хорошее, качественное предложение в своей ценовой категории. Я им довольна)</t>
  </si>
  <si>
    <t>2011-02-12</t>
  </si>
  <si>
    <t>хороший плеер!всё работает mkv читает.net tv хорошая штука ютуб. игры. я доволен.берите! хотя вкусы у всех разные. УДАЧИ.</t>
  </si>
  <si>
    <t>Сковорода просто СУпер!!! Пользуюсь уже четыре года .Сковороде нет равных.</t>
  </si>
  <si>
    <t>Крайне ненадежная. Внутри искрошился весь редуктор. Буду выбирать новую, но уже НЕ Bosch.</t>
  </si>
  <si>
    <t>Полгода как купил.  К работе никаких нареканий. Все прекрасно работает. Минусов нет.</t>
  </si>
  <si>
    <t>2109</t>
  </si>
  <si>
    <t>Панелька действительно очень маленького размера, но ведь это и по ее описанию вполне понятно. Мне например именно такую и надо было, так как кухня 4.5 метра у нас. Вполне хватает например чтобы суп сварить. А на чемью из двух человек да при такой кухне больше и не надо, так как кроме газовочки как водится есть еще и электрочайник и микроволновка и мультиварка. На газу вообще очень редко теперь готовим. А по качеству к ней никаких претензий не имеем, горит нормально и функция минимального огня работает как и заявлено. Внешний вид стильный и легко омывается если надо.</t>
  </si>
  <si>
    <t>2015-11-27</t>
  </si>
  <si>
    <t>Отличный штатив для путешественника - легкий, компактный и очень широкие возможности для прикрепления - ветки, камни, заборы и т.д. Только для легких мыльниц и экшн-камер. Полукилограммовую беззеркалку уже страшно цеплять.</t>
  </si>
  <si>
    <t>2826</t>
  </si>
  <si>
    <t>Вообще приставкой доволен, лучше нет ничего, но вот мне повезло меньше, чем вам всем, полтора месяца проработав, стала выдавать системную ошибку, зависать и ничего не сохранять на жесткий диск, пришел менять уже таких нет, теперь пришлось другую взять.</t>
  </si>
  <si>
    <t>2723</t>
  </si>
  <si>
    <t>Александр- обновление идёт через программу Samsung pc studio! повнимательней надо быть. у меня он пол-года, 1 раз ронял на кафель-ничего.первое время зарядки хватало на 1 день- пока все не облазишь не успокоишься.Щас дня 3 при умеренных разговорах. радует GPS/ поставил автоспутник- теперь с пробками нет проблем,траффика мало уходит, но с навигацией батарейку сажает быстро,хотя в машине есть прикуриватель.отличный дисплей -даже на солнце хорошо видать ( я поставил на 75% яркости вручную). Хоть многие и ругают винду,но она работает, и идёт работа над её ошибками.но в отличие от хвалёного Андроида я синхронизацию делаю запросто на своем компе, а не через чужие сайты!Да и прог на винду куча- 4pda посмотрите! поставил четвёрку-думаю это объективно!</t>
  </si>
  <si>
    <t>1929</t>
  </si>
  <si>
    <t>2016-01-07</t>
  </si>
  <si>
    <t>Неплохая вытяжка, дешевая. Сделана она нормально, ничего не отваливается и повесил ее муж без проблем. Воздух тянет хорошо, во всяком случае по квартире запахи все сильно не расходятся. Шум есть, но думаю это нормально, как же иначе ей работать. А к шуму и привыкаешь быстро. Понравились мне еще кнопочки переключения скоростей, удобно их нажимать. И подсветка у вытяжки хорошая, отлично всю мою готовку подсвечивает.</t>
  </si>
  <si>
    <t>2015-12-26</t>
  </si>
  <si>
    <t>КУПИЛИ ТАКОЙ ХОЛОДИЛЬНИК 2 ГОДА НАЗАД. ДА, ОН ШУМИТ,НО НЕ ПРИНЦИПИАЛЬНО, ДАЖЕ ВНИМАНИЯ НЕ ОБРАЩАЕМ, НЕ МЕШАЕТ.  НРАВИТСЯ ОЧЕНЬ, БОЛЬШОЙ,ВМЕСТИТЕЛЬНЫЙ, ПРОДУКТЫ ОТЛИЧНО И ДОЛГО СОХРАНЯЕТ. 3-Х ЛИТРОВАЯ БАНКА НЕ ВЛЕЗАЕТ, НО НЕ БЕДА ПЕРЕШЛИ НА БАНКИ ПОМЕНЬШЕ И ВСЕ НОРМАЛЬНО. У СЕСТРЫ ТОЖЕ ХОЛОДИЛЬНИК ШАРПЕЙ  8 ЛЕТ УЖЕ . И ТОЖЕ ООООЧЕНЬ НРАВИТСЯ.</t>
  </si>
  <si>
    <t>Отличные щипцы, купила себе в подарок, пользуюсь не часто, но когда их включаю - локоны получаются супер</t>
  </si>
  <si>
    <t>2017-04-25</t>
  </si>
  <si>
    <t>Печка супер. Хлеб в ней готовит наивкуснейший. Качество Kenwood как всегда держит марку. Все интуитивно понятно.</t>
  </si>
  <si>
    <t>После двух месяцев эксплуатации. телевизор сломался. В сервисном центре выяснилось, что гарантийный талон заполнен не правильно, пришлось ехать в магазин и заполнять правильно. В общем оценка хуже некуда, не с одной другой маркой бытовой техники такого не было.</t>
  </si>
  <si>
    <t>2015-01-14</t>
  </si>
  <si>
    <t>Прочно стоит и не прыгает на всех оборотах. Жмых сухой. Очень удобно, что контейнер отсоединяется и можно вместо него подставить другую чашу или вообще пакет. Когда выбирали, оказалось, что это есть не у всех (некоторые не работают при отсоединенном пакете). К счастью, легко чистится.  Из плюсов еще отмечу совершенно космическое лезвие с напылением. Выглядит и работает на 200%. И дизайн самой соковыжималки. Отлично смотрелась как на кухне, так и на даче, обшитой вагонкой.  Недостатка два. Цена и отсутствие книжки с рецептами. Она продается отдельно, а могла бы входить в комплект.  PS: Посмотрел комментарии перед публикацией. Добавлю еще немного про жмых.  При покупке не ожидал, что он буддет сухой как песок, поэтому не разочаровался. Он бывает и влажный, смотря что молоть, но никакого дискомфорта не вызывает. Соковыжималка не для мягкотелых продуктов. Попробовал смолоть банан. Лучше бы этого не делал ) Получилась каша. С особо мягкой дыней вышла похожая история. Тут жмых был не просто влажный, тут сами фрукты стали жмыхом ) Сока почти ноль. Но вот с твердой и не такой переспелой дыней получилась вкусная водичка с пенкой.  Иногда кусочки могут пролетать со свистом в боковую часть, ударяясь о стенку. Сначала меня это настораживало, но привыкается быстро. Как я понял, иногда плоские части не зажимаются достаточно хорошо, чтобы их смолоть, и на всей скорости вращения вылетают за сетку в жмыхосборник.  К покупке рекомендую )</t>
  </si>
  <si>
    <t>Взял для высоких частот, в дополнение к колонкам Kick STQ-130, сперва бегал по магазинам и искал кроссоверы, потом обнаружил что в самом твиттере - конденсатор полярный, а значит о нас позаботился производитель. Установил в парралель к фронту - звук потрясающий и без усилителя. Стал фанатом фирмы Кикс.</t>
  </si>
  <si>
    <t>Пылесос супер, но для тех кто готов пойти на небольшой компромисс и при этом не во многом, а так же сэкономить может купить Zelmer 5500.3</t>
  </si>
  <si>
    <t>Очень удобный, быстро выпрямляет мои кудряшки, да и по цене не дорогой. Я очень довольна, что купила его. Советую всем.</t>
  </si>
  <si>
    <t>Очен  клевый телек за такие деньги лучше не придумаешь!Всем советую самый простой способ разлочки,я так сделал купил универсальный пульт(вчера) http://www.mvideo.ru/product_review/251008.html  и вчера же разлочил вообще без проблем!!!стоимость пульта 590 р.вся разлочка заняла 10 мин.!!</t>
  </si>
  <si>
    <t>1105</t>
  </si>
  <si>
    <t>Наушники отличные, но отработали всего 2 месяца, после чего один из динамиков просто перестал воспроизводить звук. Несу в гарантию</t>
  </si>
  <si>
    <t>вентилятор работает нормально, дефектов пока нет. правда на 3й скорости шумноват. что касается цены - в этом году цены на все вентиляторы выше. в общем для комнаты пойдет))</t>
  </si>
  <si>
    <t>996</t>
  </si>
  <si>
    <t>Муж раскручивал, вроде и ножи не особо у неё тупые, но мясо еле идёт. Он сказал слабый мотор и его нехватает чтобы прокручивать мясо, если только не по мелким кусочкам кидать и с интервалом. Пытались вначале как-то пользоваться, но стало ясно что семейный бюджет зря пострадал.</t>
  </si>
  <si>
    <t>2014-02-06</t>
  </si>
  <si>
    <t>Покупкой очень доволен!!! В комплекте флешка на 8 ГБ, карты дополненной реальности. Все в порядке, работает отлично, wi-fi и симка все нормально. Камера, передняя и задняя, неплохо снимает. Чтобы установить игру, которая идёт в комплекте, нужно ввести код с карты и скачать с помощью wi-fi. Кто надумывает её покупать всем советую!</t>
  </si>
  <si>
    <t>2014-04-07</t>
  </si>
  <si>
    <t>Работает 3-й месяц. Нареканий никаких. Ставил датчик рядом со станцией - показания одинаковые! Жаль, в магазине нет дополнительных датчиков, буду приобретать отдельно (поддерживает до 3 датчиков). Прогноз пока предсказывал с вероятностью: 80-90%. Батарейки сразу поставил Energizer, на зиму куплю во внешний датчик(-и) литиевые. Экран просматривается четко (стоит на столе). Внешний датчик прекрасно передает данные через 2 бетонные стены на расстоянии 4-5 метров. Никогда бы не подумал что в квартире так сухо - 2% влажности. Давление выставил в миллибарах - интуитивно проще понять или умножить на 0,75)) Часы/Будильник/Календарь/Фазы луны - всем доволен...</t>
  </si>
  <si>
    <t>Дизайн просто отличный, как и большинство ТВ марки Philips. Очень стильный! Изображение не подвело, картинка радует. Простота, четкость, лаконичность настройки Quick start. Звук surround. Моей семье эта покупка понравилась )).</t>
  </si>
  <si>
    <t>2010-11-22</t>
  </si>
  <si>
    <t>Плеер очень хороший, пользуюсь им больше года.   Удобно, что не нужно конвертировать фильмы. Из минусов могу выделить только пыль, скапливающуюся под защитым экраном и отсутствие часов. А так плеер идеален!!!!</t>
  </si>
  <si>
    <t>Люблю готовить. Иногда работают все конфорки и духовка. Духан нереальный. Кухня 12 м2 и нет вентиляции. Встал вопрос о покупке вытяжки. В магазине М.видео порекомендовали эту модель. Справляется на все 100%. Я даже не ожидал такого результата. У неё 2 мотора - выше мощность, чем у аналогов. И, как меня уверили в М.видео, у них к этим моделям всегда есть угольные фильтры - можно не выводить трубу. Важно, в моём случае!</t>
  </si>
  <si>
    <t>1090</t>
  </si>
  <si>
    <t>купил сей девайс полгода назад, и начались проблемы с программами, сначала полетел электронный клапан фильтр, затем и вовсе программы зависли, из ремонта не вылезаю, а говорили, что фирма хорошая. Я еще и стиралку этой фирмы купил, пока еще не сломалась, жду. Раньше самсунг был, семь лет отпахал, никаких проблем, на дачу поставил.</t>
  </si>
  <si>
    <t>Пользуемся, точнее пользовались, 2 года.   Из достоинств - красивый дизайн и подсветка (особенно как ночник :).   Недостатки....Через месяцев 6 использования, загадочным образом крышка перестала закрываться до конца, и возникла необходимость выключать чайник вручную (он просто превратился в светящийся кипятильник). В магазине обменять отказались, и обратно принимать тоже...Через 2 года он еще и перестал кипятить, подсветка горит и синяя и красная...видимо ему больше по душе роль светильника (((    Кому нужен стилизованный светильник на кухню - вперед за покупкой!</t>
  </si>
  <si>
    <t>2012-04-19</t>
  </si>
  <si>
    <t>Выбирала и приценивалась около двух месяцев. Это моя первая посудомойка. Но я очень довольна!Работает очень тихо...много программ, есть половинная загрузка,что укорачивает время программы. Самая короткая 30 минут. Есть просто полоскание посуды.А главное помещает много посуды. Пользуюсь таблетки финиш. Другие не пробовала. Все идеально чистое, без подтеков и разводов.</t>
  </si>
  <si>
    <t>Греет отлично. Шумит несильно, я бы сказала, успокаивающе. Вдобавок, у нас очень большая влажность в комнате. Он с этим справляется на ура. Очень рекомендую! Ещё огромный плюс в том, что он занимает мало места.</t>
  </si>
  <si>
    <t>чайнику 2 года, довольны!  пол года назад отвалилась крышка и облупилась металлическая краска.  А так все работает, купим снова Витек.</t>
  </si>
  <si>
    <t>То что нужно для подключения любого усилителя, Толстые провода это самое главное. И конденсатор не забудьте купить 100мкф на 100 ват выходной мощности.</t>
  </si>
  <si>
    <t>2009-09-15</t>
  </si>
  <si>
    <t>По своим характеристикам ноут отличный для этой цены!  Немного разочарован в видео карте(после смены висты на хр, стал определять только 256 видео)(с поиском дров невозникло некаких проблем,все есть на офицальном сайте)  после 2-х недель эксплуатации с правой стороны от тачпада стали видны потертости(трещены в краски), думай еще месясцок или 2 и придется делать аэрографию........в общем очень быстро стирается внутрянняя поверхность!  Бук очень тихий, батареи на играх хватает на полтора часа, на текстовых прогах,на фотошопе хватает на 3,5 - 4,5 часа(довольно неплохо)</t>
  </si>
  <si>
    <t>Необходимо учесть, что в данной метеостанции есть измерение атмосферного давления и фазы луны (в спецификации не указаны).  Существенным минусом является то, что давление указывается в дюймах ртутного столба, а не в принятых у нас миллиметрах.  Для получения результата в миллиметрах, приходится умножать показатель на 25.</t>
  </si>
  <si>
    <t>2716</t>
  </si>
  <si>
    <t>Очень бодрый плеер. Взял его месяца 3 назад. Поверьте,лучше не найдете,разве что из аналогов от сони. Качество звука и его громкость просто на 10+++ Науши просто супер,даже демонстрационные выдают очень хороший звук. Поверьте.... сколько наушей перепробовал разных фирм в ценовом диапозоне 300-1.5к,конкуренцию составили только синхайзеры. А это ого ого как круто,не правда ли? Стильно выглядит,не стремно будет вытащить в общественном транспорте,наоборот он повысит твой престиж аля верту :)Тач четко реагирует на команды,яркая подсветка,удобное меню,имеется блок клавиатуры. Батарея держится лично у меня 5 дней. В основном прослушка музыки часа 3 в день,когда еду на учебу и во время еще :) Свои деньги оправдывает полнотью. Кому нужен девайс для прослушки любимой музыки,берем!</t>
  </si>
  <si>
    <t>1648</t>
  </si>
  <si>
    <t>Изначально шел за другим плеером, но в итоге купил этот - заинтересовала возможность смотреть ТВ на даче при такой же цене плеера. Покупвом доволен, качество музыки на 5, видео на 5, ТВ на 4.</t>
  </si>
  <si>
    <t>Не читает в формате субтитров SRT. В инструкции это есть. Не знала. Покупала для того, что читал всё. Есть фильмы, которые можно посмотреть только с субтитрами.   Шрифт меню слишком маленького размера.   Чтобы изменить разрешение экрана нужно полностью остановить просмотр, вернуться в меню и настраивать...  Не нравится, радости от покупки нет.</t>
  </si>
  <si>
    <t>Приобрели увлажнитель Boneco 7135 неделю назад, по отзывам читали, что для достижения необходимой влажности в квартире требуется 1-2 дня работы прибора. Сделали вывод, после почти непрерывной работы увлажнителя необходимой мощности для нашей квартиры недостаточно, при закрытых дверях зала (примерно 30м2) душно и влажность набирается до 35% максимум, при открытых, начинаются сквозняки и влажность держится на минимуме 25-26%. Хочу добавить, что мы все равно ощутили пользу, дышится легче воздух заметно мягче для дыхания. Изначально думали как проверить прибор, закрыли в ванной, минут через 15 влажность была уже 50%. :)</t>
  </si>
  <si>
    <t>2009-11-10</t>
  </si>
  <si>
    <t>Плеер весьма не плох, для своей цены. Объема в 2 гб хватает уверено на неделю(ну тут каждому свое))). Звук на высоком уровне, хотя чего еще ожидать от walkman'а.   Уровень выходного сигнала высок, на наушниках с 70 Омами играет достаточно громко, с учетом что они закрытые в дневной трафик лишнего не слышу))) в кармане занимает места, как зажигалка, да и весит мало. заряда хватает часов на 10 на высокой громкости.   по поводу двух кнопочек) они довольно удобны) первая - басс, одним нажатием добавляет низких треку. если же вдруг начался "тяжелый" трек, то, дабы огородить свой нежный мозг от сотрясений, можно легко их убавить обратно)   вторая - zappin. прикольная вещь) пролистывает все треки и воспроизводит 4 секунды каждого с процентов 25% от общей продолжительности) забавно играть на улице в "отгадай мелодию") так можно легко найти трек, который хотелось бы послушать 2-умя нажатиями) для менее хардкорных есть режим где-то секунд на 10. как диктофон....купите лучше диктофон) радио тоже не очень хорошо ловит.  как дисковый накопитель у меня работать пока не хочет, надеюсь что это только пока)))   в целом плеер выполняет все функции плеера на приятном уровне, да и совсем не за большие деньги) если хочется слушать музыку, "шагать в ритме", и не таскать здоровенный дисплей в заднем кармане, то это для вас)</t>
  </si>
  <si>
    <t>Тостер как тостер. Добавить нечего. Жена попросила, я купил. Пару месяцев поиграется, потом пойдет в коллекцию "нужных" вещей - мультиварка, блендер и т. п.</t>
  </si>
  <si>
    <t>2022</t>
  </si>
  <si>
    <t>Весы отличные, точные, пользуемся ими уже 2.5 года, никаких нареканий. Чтобы включить их надо стукнуть по ним стопой, но не вижу в этом никаких сложностей. Надеюсь, они еще долго нам прослужат.</t>
  </si>
  <si>
    <t>Отличная вещь! Но если бы было 8Гб и емкость батареи была больше-было бы хорошо!</t>
  </si>
  <si>
    <t>отличный телевизор  и плеер и звук тоже отличный .настройки -всё доступно и понятно и лишнего не наблюдаю . минусов не нахожу . я рад .одна покупка и вопрос медиаплеера  решается.подробности описывать нет смысла-телевизор очень отличный даже не верится что такое может быть</t>
  </si>
  <si>
    <t>2014-09-22</t>
  </si>
  <si>
    <t>Пользуюсь печкой уже года 3. Очень довольна. Хлеб пеку часто и тесто делаю для пирогов, пиццы. Рецепты использую из книги и из интернета. 99% получается всё. Единственное, со временем протерся тефлон на форме и поскрипывать стала иногда, но всё равно я её люблю и благодарна за свежий  хлебушек! Форму планирую заменить, благо  не сложно.В общем и целом твёрдая 4!</t>
  </si>
  <si>
    <t>Машина дерьмо. Также как и в предыдущем отзыве вышла из строя через 3,5 года. Потекла вода из за манжеты затем сгорел блок. Стоимость ремонта 15 тыс. так что судите сами покупаться ли на эти дорогие бренды.</t>
  </si>
  <si>
    <t>2015-03-22</t>
  </si>
  <si>
    <t>Единственный телефон с питанием от телефонной сети ( не нужна сеть 220v для АОН и прочего ), вся подсветка, громкая связь, голосовой громкий определитель номера работает от самой телефонной сети. Лет за десять сэкономит вам стоимость самого аппарата.     У кого не работает, полистайте инструкцию и выполните "сброс настроек до заводских", это ведь программируемая электроника, бывают программные сбои. Сбрасывайте настройку -  всё отлично работает!    Это самая надежная, красивая и неприхотливая техника в этом сегменте, маленькие дети у меня роняли его сто раз, всё работает очень качественно.</t>
  </si>
  <si>
    <t xml:space="preserve">Качественная, надёжная. </t>
  </si>
  <si>
    <t>Выбрала год назад именно эту модель и ни капельки еще не пожалела. Очень удобные габариты - не большая и не маленькая. Все на автомате. Духовка готовит и печет - пальчики оближешь:задаешь температурный режим и не паришься, тк он будет постоянный + есть таймер на плите, который всегда напомнит! Чистится на УРА.</t>
  </si>
  <si>
    <t>Приобрели данную модель в фирменном магазине, дизайн стильный-нержавейка с прочной резиной, мощность хорошая, измельчали овощи, творог и мясо 4 месяца, потом блендер выключился ни с чего. Ремонту не подлежит-неразборный корпус!</t>
  </si>
  <si>
    <t>1887</t>
  </si>
  <si>
    <t>Станция в корне неверно показывает влажность воздуха в комнате. Все время 2%, так не бывает! И температуру дает с погрешностью в градусов 7. Покупали, чтобы контролировать климат в комнате маленького ребенка, а вещь оказалась бесполезной. Странно, что авторы вышеопубликованных отзывов этих минусов не заметили, в интернете полно отзывов на других сайтах, где называют те же недостатки. Жаль, я не прочитала их раньше.</t>
  </si>
  <si>
    <t>2014-03-30</t>
  </si>
  <si>
    <t>Приобрел мясорубку лет 5 назад, эта модель только с опциями - терки, кеббе, с насадкой для печенья и котлет, соковыжималка для цитрусовых (нужно аппарат поставить на попа и т.д. в максимальной комплектации. По сей день работает хорошо(тьфу-тьфу). Делал фарш на две семьи по 50-60 кг(полтуши бычка),без нареканий. Хотел этот девайс подарить родителям, в магазине удивился,пластиковое непонятное крепление не держит насадки, а болтается, манагер объяснил, что крепление такое теперь у всех и внутренности пластиковые, выбор в свое время пал на нее, т.к. привод металлический был. Я брал сборку Франция, а теперь непонятно, чья она.</t>
  </si>
  <si>
    <t>Звук на 5.Обратите внимание на размер по затылку, прежде чем брать.</t>
  </si>
  <si>
    <t>Отличная кофемолка, очень хорошо молит проблем не видел,покупкой доволен!</t>
  </si>
  <si>
    <t>1793</t>
  </si>
  <si>
    <t>Пользуюсь данным девайсом уже лет 10, первую покупала в Европе на отдыхе. Очень нравятся чудесные сырные бутербродики и мне,  и гостям. Никто еще не устоял. Было несколько моделей за это время: покупала себе,  дарила родителям. Именно эта модель очень удобна съемными формами для бутербродов - легко снять  и помыть и больше плюсов нет, потому что самое главное она не дает - максимально вкусный продукт. В ней бутерброды менее вкусные, чем в других двух моделях, которые у меня были, видимо иначе расположен нагревательные элементы и продукт просто горит, нужно приноровиться, чтобы они не сгорели, бутеры пересушиваются. Прогревание происходит иначе. Если бы не знала, что может быть по-другому то думала, что так и должно быть. То, что в других моделях вкуснее - факт. Потому что заметив это, ничего не стала об этом говорить гостившему у меня брату, но он тоже обратил внимание, что не так вкусно, как в прежней и они сухие.  Вафли никогда не готовила - для меня это дополнение оказалось бесполезным.  Именно эта служит уже три года и все цело.</t>
  </si>
  <si>
    <t>Купил наушники пару дней назад, долго выбирал по интернету, облазил много сайтов. Но в конце концов упал взгляд на эти наушники, плюс у меня набрались 500 рублей бонусами, и конечно это был самый лучший выбор из наушников это цены. Хорошо сидят на голове, отличный звук, я играю на электронно установке и теперь подключаю эти наушники, благодаря длине провода, стало удобно играть, раньше приходилось тянуть еще один провод. Пластик хороший, всё добротно. Надеюсь прослужат долгой верой и правдой.</t>
  </si>
  <si>
    <t>Некоторые пишут в своих отзывах, что к мультиварке прилагается плохая книга рецептов. Друзья, с мультиваркой легко научиться готовить, такая книжка просто не нужна. Разве к обычной плите прилагается книга рецептов? Я пользуюсь этим, не побоюсь сказать, волшебным горшочком уже более 1,5 лет. Без нее не представляю себе готовку. Жалею лишь, что купила такую маленькую. Для тех, у кого проблема готовить на кухне это просто находка. Благодаря ей полюбила каши. Готовлю их даже без молока. Кукурузная, пшеная - просто сказка! Но есть и недостатки: тефоновое покрытие очень нежное, царапается даже штатной пластиковой ложкой, использую бамбуковую; мало программ, не понятна их температура, но к этому можно приспособиться; сложновато мыть верхнюю крышку; резиночки и фильтр пахнут использованными ранее специями даже после мытья, но на вкус и запах последующих блюд это не влияет.</t>
  </si>
  <si>
    <t>3035</t>
  </si>
  <si>
    <t>все что могу сказать - это супперовский телик и ничего больше, простой удобный качественный, картинка хорошая, если нормально настроить.</t>
  </si>
  <si>
    <t>Я был вообще готов купить новую бритву, но воворемя узнал что можно купить просто сетку со сменным блоком, и вся проблема. В моем случае сетка и режущий блок представляют собой единую систему и не меняются по отдельности, поэтому в наборе они тоже идут вместе. Подходит для бритв Браун 7-ой серии.</t>
  </si>
  <si>
    <t>Комп просто прелесть! Винду переустанавливал через фирменную прогу,все прекрасно снеслось и поставилось.ВИнду до пака 2 го обновил и вообще летать стал, все проги и игры идут, нагрузки он не чувствует,прекрасное шумоподавление,винда супер. На всякий случай сделал образы на нее.Образ сделал с заводскими настройками на 2 ум дисках. Одним словом, сказка, а не комп! Даже и на винду денег тратить не пришлось.</t>
  </si>
  <si>
    <t>1949</t>
  </si>
  <si>
    <t>Купил на работу.Очень доволен.Думаю и домой взять.За эти деньги лучше не придумаешь.</t>
  </si>
  <si>
    <t>2784</t>
  </si>
  <si>
    <t>хочу купить телефон. подскажите какой лучше, этот или nokia X2-00 2gb Blue?</t>
  </si>
  <si>
    <t>853</t>
  </si>
  <si>
    <t>Я вообще не согласен с комментариями где говорится что  psp go это полная фигня. На ней есть bluetooth, wi-fi, загрузка игр из play station store, она весит 158 грамм, встроенная память 16 гиг. В общем я не уважаю людей которые поставили ниже 4.</t>
  </si>
  <si>
    <t>Этот пылесос подарил мне мой муж, который купил его в нашем любимом Мвидео, это просто чудо! Удобная насадка которая хорошо проходит по углам и тишина при работе!!! на половине мощности его вообще почти не слышно, но всеиравно сильно тянет! Мне очень нравится!!!</t>
  </si>
  <si>
    <t>Покупал тв ребенку в детскую. 32 взял, чтобы глаза не портил сильно, а панас - потому что это панас. Почитал по форумам предварительно, вроде тв ничего себе. Прийдя в магазин, картинка не понравилась, были и лучше изображения, особенно на лед-тв. Взял только потому, что у них демонстрационный режим на всех телеках, а дома обыкновенное кабельное на подъезд. купил-установил.Настраивал 2 вечера, баловался режимами, функциями и тд. Функций - миллион, полезных - около половины.В итоге настроил. Вердикт - телевизор достаточно универсален, т.е. вполне недурно показывает аналог, звук хорош, картинка как у всех панасов без выраженной зернистости, цвета не ядовитые. Потом самое интересное - назвали детвору, подсоединили плэй стейшн и прощай свободное время. в режиме игра на телеке- ни зависаний, не подтормаживаний, картинка бомба. потом подключил ноутбук через hdmi - качество великолепное, хотя работать за компом, глядя в 32 тв - на любителя.  Единственно, что парит слегка - куча панасовских заставок, картинок и т.д. буду искать как избавиться. а остальном - прекрасный телек для дома.  через юзб кино не смотрел и не собираюсь, по моему это извращение. проще "разориться" на самый элементарный двд за рубль, он вообще то для этих целей собирается шаловливыми китайскими ручонками. а тв - для тв. Вывод - нужен дома второй (третий, ..надцатый телек) - берите смело и да пребудет с вами сила</t>
  </si>
  <si>
    <t>не дорогой</t>
  </si>
  <si>
    <t>810</t>
  </si>
  <si>
    <t>это 100% не игровой копм для работы подойдет, но память ддр2 и процессор прошлого поколения +видео карта среднего уровня не дадут поиграть в гта на максимуме даже на 1440x900</t>
  </si>
  <si>
    <t>Постоянно падает на бок при уборке  плохо и долго убирает  много воды после него  ковры совсем мокрые</t>
  </si>
  <si>
    <t>В целом наушники отличные! Пользуюсь уже 3 месяца и ни одного лага не было. Только есть вопрос. Почему страна производитель КНР, если сама фирма немецкая?</t>
  </si>
  <si>
    <t>Штатив, мне кажется, хороший, только область его применения ограничена: им неудобно пользоваться на гладкой поверхности - трудно выровнять ножки. Штатив предназначен скорее для экстремальных условий, как видно на фотографиях, - его можно прикрепить куда угодно.</t>
  </si>
  <si>
    <t>2017-04-03</t>
  </si>
  <si>
    <t>Стирает и отжимает отлично!</t>
  </si>
  <si>
    <t>Пользуемся этим чайником месяц. Чайник очень нравется ,имеется подсветка , при закипании быстро отключается , привлекательный вид , вода без запаха.</t>
  </si>
  <si>
    <t>2015-04-25</t>
  </si>
  <si>
    <t>Это моя первая кофемашина, берите и не бойтесь. Она вас порадует и своим качеством и качеством кофе.</t>
  </si>
  <si>
    <t>2015-07-06</t>
  </si>
  <si>
    <t>За 2 года сменил 2 пары таких наушников.   После полу года появляются косяки:  1) звук начинает шипеть  2) одно из креплений "отъезжает" и не держится на ухе  3) штекер перестает нормально контачиться и звук пропадает, приходится все время его крутить</t>
  </si>
  <si>
    <t>2317</t>
  </si>
  <si>
    <t>Замечательный пылесос! Всё гуд: регулятор длины нормальный, держит хорошо; щетки тоже хорошие, регулируются; мыть фильтр удобно, не особо часто даже можно (после трех уборок), и даже маленький ребенок не мешает, ежедневная уборка легко. Рекомендую.(лишь бы не сглазить!)</t>
  </si>
  <si>
    <t>Вчера поставил 10литровый Термекс. Вполне хватает помыться одному. Через 20-30минут можно мыться другому. Отличный вариант для тех кому нужна горячая вода 1месяц в год. Для каждодневного пользования в семье из 3 человек надо брать не менее 50л.</t>
  </si>
  <si>
    <t>2017-02-14</t>
  </si>
  <si>
    <t>очень удобная,компактная,бесшумная</t>
  </si>
  <si>
    <t>Данный вентилятор я приглядела ещё в прошлом году, прикупила в маленькую комнату. Пользовалась тем летом с превеликим удовольствием. В большую комнату муж выбрал другой, не на дисковой основе, а на дугообразных ножках, не буду говорить при каких обстоятельствах, но ноги у него обломались и теперь вентилятор бесполезен. Вот поэтому-то и залезла на сайт, чтоб прикупить эту модель и в большую комнату. Очень советую, хороший вентилятор и смотрится супер.</t>
  </si>
  <si>
    <t>большой резервуар для воды, хватает на долго! цена по акции!!! автоматическое поддержание влажности, ионизация!</t>
  </si>
  <si>
    <t>Купили с женой 2 месяца назад, подключил, запустил, работает как часики и не большой расход воды и злектроэнергии..  Машиной остались довольны...</t>
  </si>
  <si>
    <t>Чтоб не было накипи, попробуйте либо заливать туда дистилированную воду, либо воду из  фильтра для воды типа (барьер)</t>
  </si>
  <si>
    <t>Радионяня не понравилась.    Работает устойчиво только, если говорить непосредственно в детский блок. А если даже просто разговаривать на расстоянии метра-двух, то детский блок то передает, то не передает звуки. Услышать шевеления ребенка в кроватке можно не пробовать - точно не слышно.</t>
  </si>
  <si>
    <t>815</t>
  </si>
  <si>
    <t>Более неудачной покупки не припомню. Менее чем через полгода перестал отключаться. Через 11 месяцев приказал долго жить путем короткого замыкания. Было страшно.</t>
  </si>
  <si>
    <t>Всё устраивает, стоит своих денег, но вот есть один минус существенный, при отображении темных сцен к примеру при просмотре фильма, начинает гудеть, или же если поставить его на экономичные режимы - тоже начинает гудеть. Купил по акции со скидкой, так бы взял Сони....</t>
  </si>
  <si>
    <t>2016-08-06</t>
  </si>
  <si>
    <t>Я удивлена и в восторге!Занялась поиском чайника и увидела,что этот чайник еще актуален.Такой чайник мне прослужил долгих 7 лет и служит  до сих пор,единственная проблема-это крышка у него из пластмассы и она стала сыпаться,буквально недавно,в остальном чайник превосходен,приятная голубая подсветка,когда его включаешь.Другие варианты даже не буду рассматривать,вновь куплю тот же самый.</t>
  </si>
  <si>
    <t>Всё вроде норм, но как начнёшь разбираться в инструкции возникают вопросы. В инструкции нет функции "пятна", а есть функция "отбеливание", а на стиральной машине над кнопкой написано "пятна". Ну зачем вводить в заблуждение пользователя? Возникает  масса домыслов-это одно и тоже или нет, отсюда ли вообще инструкция? Было бы простительно если бы эта инструкция шла на несколько моделей одновременно и была бы универсальной, но это не так.</t>
  </si>
  <si>
    <t>2547</t>
  </si>
  <si>
    <t>МНЕ ПОНРАВИЛАСЬ ЭТА КАМЕРА.ФОТКИ КЛАССНЫЕ, ВИДЕО ТОЖЕ НОРМАЛЬНОЕ. В ОБЩЕМ Я ДОВОЛЕН ТЕМ, ЧТО МНЕ ПРЕДЛОЖИЛИ ЕЁ. ЕДИНСТВЕННОЕ, НА САМОМ ДЕЛЕ МИНУС ОДИН- ПЛОХО СНИМАЕТ В ТЕМНОТЕ. А КОРОТКОЕ ВРЕМЯ РАБОТЫ- ЭТО КУПИТЬ ДОПОЛНИТЕЛЬНУЮ БАТАРЕЮ И ВСЕ В ПРИНЦИПЕ.</t>
  </si>
  <si>
    <t>2014-07-21</t>
  </si>
  <si>
    <t>Андрей, мы не рекомендуем предпринимать подобных действий. Чтобы решить проблему, обратитесь по гарантии к установщикам кондиционеров или в наш сервисный центр.</t>
  </si>
  <si>
    <t>234</t>
  </si>
  <si>
    <t>Купил за пять тысяч, пока была акция. Очень доволен. Глюков мало (процессор хорош), правда аккумулятор слабоват.</t>
  </si>
  <si>
    <t>Купила 2 года назад,до сих пор хорошо работает. Довольна покупкой,нравится дизайн, правда иногда глючат кнопки.</t>
  </si>
  <si>
    <t>1627</t>
  </si>
  <si>
    <t>Дизайн красивый, подсветка вообще супер и со своей работой справляется, кухня 15 кв. на двоечке спокойно справляется. Недостатков не обнаружено. Радует что не Китай выпускает, рекомендую</t>
  </si>
  <si>
    <t>2017-03-04</t>
  </si>
  <si>
    <t>Убирается очень хорошо, в доме есть кошка и собака, после уборки шерсти не остается.</t>
  </si>
  <si>
    <t>2012-01-22</t>
  </si>
  <si>
    <t>Прежде чем купить данную модель, я искала отзывы. Вот и я решила взять именно эту микроволновку. На 4 день после покупки, перестала работать клавиша открывающая дверцу. Очень хотелось воспользоваться грилем, за 20 минут приготовления,  как указано в инструкции, филе куриное было сырым, пришлось еще 20 минут использовать, чтоб доделывать. Хорошо, что она у нас успела сломаться быстро и мы поменяли на другую модель. Покупкой была крайне расстроена.</t>
  </si>
  <si>
    <t>2023</t>
  </si>
  <si>
    <t>Все нравится: и удобнейший интерфейс - как будто под меня сделан, и быстрота перемещения по менюшке, и качество сборки.  5/5, не зря взял.  Рекомендую!</t>
  </si>
  <si>
    <t>пользуюсь тостером третий год и каждый день - с удовольствием порекомендую его всем) а сегодня вот беру его в подарок друзьям!</t>
  </si>
  <si>
    <t>Как было сказано ниже, шуманитом отмывается легко, при частом использовании можно раз в месяц им мыть, а так просто жидким моющим отмывается. Съемные противни, это самый главный плюс, положил в раковину и мой себе на здоровье.   Основной минус в неудобстве хранения. Боком поставить нельзя, так как упадет верхняя насадка. Сверху на нее ничего не поставить,можно поцарапать поверхность. На что-то поставить ее тоже нельзя, можно поцарапать вторую насадку, которая крепится снизу. Приходиться держать ее все время в коробке.   Блины получаются изумительные, уже перепробовали кучу рецептов.</t>
  </si>
  <si>
    <t>2448</t>
  </si>
  <si>
    <t>Пользуюсь месяц. В целом доволен. Отличное соотношение цена/производительность!  НО НЕ цена/качество:  1. Сэкономили на качестве корпуса. Шумоизоляция никакая. Поэтому он сильно гудел (очень сильно - такого я раньше не встречал). Оказалось, вибрация с жёсткого диска передавалась на корпус (проверял - вентиляторы все останавливал, гудение не от них). Пришлось делать шумоизоляцию диска руками, приделал самоклеющийся полипропилен. Помогло.  2. Поскольку пришлось открывать корпус - лишился гарантии. В сервисе шум вряд ли посчитали бы неисправностью.  3. Шумит к тому же и кулер процессора. Не так сильно, но и не приемлемо. Придётся менять на новый - тут уже на коленке не сделаешь :)  4. Блок питания реально не 300 Вт, а 250! (на нём написано). Производитель кстати - FSP (имхо неплохо). Он на самом деле тянет эту конфигурацию, но при любом апгрейде надо ставить мощнее. Я бы поставил от 500.    PS  Видеокарта - это НЕ 9600GSO. По производительности примерно 9600GT. 1.5 ГБ на борту - это плюс.    Брал по акции, за 20тр (21тр - 5% за оплату по карте). 27 он конечно не стОит.</t>
  </si>
  <si>
    <t>2060</t>
  </si>
  <si>
    <t>Она отличная, красивый дизайн, +куча насадок, единственный минус шумновата.   Измельчает все очень хорошо.</t>
  </si>
  <si>
    <t>Отличный телефон! Привлек именно по дизайну, а когда попробовал в действии, просто влюбился. Трехмегапиксельная камера со вспышкой, что для w-серии редкость, удобный плеер и главное отличие от других телефонов SonyEricsoon - стальной корпус. За 4 месяца пользования ни одной царапинки!  Вообщем, если хотите выбрать имеджевый телефон с хорошей начинкой - берите и не пожалеете!!!</t>
  </si>
  <si>
    <t>А вы случайно "ноль" с "землей" не путаете? А "зануление" с "заземлением"? Если все электрики настолько грамотны как вы то мне страшно за ту работу которую вы делаете! В новых домах "земля" есть с той самой металлической шиной через все этажи, но основная часть жил.фонда России была построена во времена СССР, тогда не считали необходимостью запускать "землю" в квартиры, не была эл.приборов которым она была нужна, исключение - эл.плита, а если у вас плита газовая, то о "земле" вообще можно забыть. А что за новость что для работы УЗО необходима "земля"? На УЗО цепляют "фазу" и "ноль"! "Земля", если она есть, идёт отдельной прямой линией без всякой коммутирующей аппаратуры от заземляющего контура к эл.прибору! ! А  что за разность металлов на DIN-рейках которая грозит окислению и потери контакта? Контакт меди и алюминия окисляется, но на DIN-рейках применяют анодированную сталь! Все электроцепи всего мира построены на контактах меди и стали или алюминия и стали!</t>
  </si>
  <si>
    <t>1040</t>
  </si>
  <si>
    <t>2012-06-21</t>
  </si>
  <si>
    <t>Ура! Я стала счастливой обладательницей данной плиты :) Долго выбирала между ней и 320 моделью, думаю не прогадала - у нее телескопические направляющие, и это очень удобно при пользовании духовкой! Спасибо М-Видео!</t>
  </si>
  <si>
    <t>2017-03-15</t>
  </si>
  <si>
    <t>Нам нравится</t>
  </si>
  <si>
    <t>Кофемашина на 5 баллов! кофе с пенкой, ароматный, прям как в хороших кофейнях. легко можно отрегулировать количество и крепость напитка простым поворотом регулятора. привлекательная цена для такого товара.   Отлично подойдет для офиса, где каждый любит какой то свой, особенный кофе и сможет быстро поменять под себя настройки кофемашины. не надо лезть куда-то вглубь настроек меню.</t>
  </si>
  <si>
    <t>2016-05-30</t>
  </si>
  <si>
    <t>Хватило всего на 1 год и 3 месяца. При копировании фильма зависла и не отформатировалась никаким способом. Вернули деньги в Мвидео без проблем.</t>
  </si>
  <si>
    <t>1357</t>
  </si>
  <si>
    <t>Прекрасно справляется со своей задачей, управление простое и действенное. Есть функция "убавния" вредных организмов (полезно, если вода долго стояла или нет уверенности в её безопасности).  Выглядит очень хорошо, реально не большой, прекрасно вписывается в туалет над бачком (совершенно не мешает)</t>
  </si>
  <si>
    <t>Хуже некуда!!!!!  Воздух выдувает куда угодно: сзади, через колесо сбоку, но не через фильтр HEPA.</t>
  </si>
  <si>
    <t>Плеер просто супер - сразу понравился</t>
  </si>
  <si>
    <t>2009-10-13</t>
  </si>
  <si>
    <t>Уже несколько лет являюсь обладателем консоли PS3. Но речь сейчас пойдёт не о новенькой Slim версии, а о PlayStation 3 вообще. Пришло самое время приобрести себе этот великолепный плод японской инженерной мысли. "Приставка" PS3 стала синонимом надёжности, качественного и бесплатного сервиса, кино высокой чёткости и, конечно, ВЫДАЮЩИХСЯ ВИДЕОИГР. Можно много рассуждать о сетевой службе Сони, где вы можете не только опробовать новейшие демо версии игр, но и приобрести прекрасные небольшие игры, которые подарятвам море удовольствия по цене в несколько долларов, а так же прикупить дополнительные материалы для полюбившихся вам игр. Можно долго вспоминать впечатления от просмотра фильмов в сумасшедшем Blu-Ray качестве. Однако консоль делают игры. И здесь мало кто может поспорить с "японской бестией". Гигантское количество хитов и множество порясающих эксклюзивов подарят вам десятки и даже сотни часов непрерывного кайфа! Прошли любимые игры по два - три раза? Добро пожаловать в мультиплеер, где без лишних забот можно сразиться с друзьями или просто классно провести время в Playstation Home. Говорить можно долго, однако "лучше один раз увидеть, чем сто раз услышать!". "Слимка" же - компактная и наиболее удобная в использовании  версия PS3, причём по цене всего в 14000 рублей (я брал свою за 23000 рублей!!!!!!!!) И не забудьте, что экономя 34% электроэнергии с новой PS3, вы спасаете нашу планету :):):) .   З.Ы. Я НЕ СОТРУДНИК SCEE!!!!!!! Я просто довольный пользователь, который хочет поделиться с вами своими мыслями по поводу этого продукта. Встретимся в мультиплеере Uncharted 2 и Call of Duty 6! Приятной вам игры!</t>
  </si>
  <si>
    <t>Пылесос довольно хорош за свои деньги купил за 6250, мощей хоть отбавляй, а шумит не сильно, больше слышно воздух в щётке, чем сам пылесос, воздух фильтрует отменно!  Недочёты: 1. шланг бьётся статическим электричеством (зато бодрит)  2. в момент включения при раскручивании дребезжит корпус.    Вывод: достойный технологичный аппарат, с наилучшими в своём ценовом диапазоне показателями мощности всасывания и потребления тока, а также шумности (если смотреть соотношение). Посмотрим на сколько хватит этого "чуда".</t>
  </si>
  <si>
    <t>2822</t>
  </si>
  <si>
    <t>не знаю,надо так или нет ,но она набирает очень мало воды.Только увлажняет белье,а воды в барабане нет.меня это смущает.не знаю надо вызывать мастера или так положено.может кто подскажет?</t>
  </si>
  <si>
    <t>680</t>
  </si>
  <si>
    <t>Купил, установил (встроил в кухонный шкаф, сняв верхнюю крышку). Со своими обязанностями справляется на "ура". Индикация оставшегося времени стирки работает четко: сколько показывает на дисплее, столько в реальности осталось времени до окончания. Отжимает хорошо, а что еще немаловажно - вибрации при этом не большие. На 1000 оборотов машинка вибрирует, но стоит на месте, т.е. не пытается упрыгать с места. Это радует. Хотя выставлена не совсем по уровню, т.к. пол в принципе кривой, а регулируются только передние ножки (первый минус). Второй минус заключается в том, что отсутствует отверстие для аварийного слива воды. Т.е. на том месте, где должно быть отверстие с пробкой, там просто кусок пластика. Т.е. если придется сливать воды в аварийном режиме (забьется сливной фильтр), то нужно будет откручивать сам фильтр и вся вода потечет на пол, т.к. отверстие фильтра расположено слишком низко и под него ничего не поставишь. В целом, машинкой очень доволен. Рекомендую.</t>
  </si>
  <si>
    <t>Телефоном пользуюсь больше месяца. Искала именно коммуникатор, с хорошим офисом, так как работаю в сфере фри-ланса и Word мне просто необходим, как дома, так и в поездках.  Телефон оправдал все ожидания. Легко изучаем, легок в использовании, отличное звучание. Просто разберитесь в настройках. Когда ноутбук невозможно взять с собой - xperia просто находка.   В телефоне будет только один недостаток - нежелание в нем разобраться и почувствовать, что это именно то, что Вам нужно. Но мы то с ним уже на ты!   Оценка - десятка и даже больше.  Рекомендую!</t>
  </si>
  <si>
    <t>Машина просто Супер! Стирает идеально, не шумит, не вибрирует. Очень тихо стирает. Проста в использовании, программа стирки рубашек-Супер! В общем очень советую. Идеальное соотношение Цена-Качество!</t>
  </si>
  <si>
    <t>Купили маме в подарок, сама хочу теперь такую. Прикольный вид, низкая цена, удобна и проста в управление.</t>
  </si>
  <si>
    <t>2526</t>
  </si>
  <si>
    <t>Приобрела данную модель машинки и очень довольна, просто сказка, удобная, легкая, великолепный выбор строк и оверлока, вообщем, рекомендую.</t>
  </si>
  <si>
    <t>графика просто супер, огромный выбор бойцов (отличная схожесть) физика боя - все на пять с плюсом и конечно же ФЕДОР ЕМЕЛЬЯНЕНКО только за это в нее охота играть (сам играю с ее выхода и по сей день)</t>
  </si>
  <si>
    <t>Моя дорогая незаменимая помощница! Могу охарактеризовать как круглую отличницу (т-т-т) :-)  Очень приятная функция - замок от детей. Мой карапуз оценил замок по достоинству: больше не рвется понажимать на кнопочки - бесполезная затея, только лишний шум :-)</t>
  </si>
  <si>
    <t>Пользуюсь второй месяц, пока всё устраивает. Это моя первая кофемашина, поэтому сравнить не с чем. Работает шумно (в сравнении с бош у друга), но лично мне это никак не мешает. Кофе вкусный (опять же субъективное мнение). Не понятно как работает датчик наполняемости отходов, иногда после 2-х чашек срабатывает, в другой раз на 10 хватает.  Значительных недостатков не обнаружено, а учитывая ценник (по акции, витринный образец, из другого города обошлась дешево) машинка просто супер!</t>
  </si>
  <si>
    <t>Плойка просто отличная! Нагревается очень быстро, температура регулируется и очень нужный поворачивающийся наконечник со шнуром, благодаря которому провод не запутывается! А локоны получаются просто отличные! Я по 3 дня с ними ходила! Берите - не пожалеете! И не стоит переплачивать за более дорогие устройства!</t>
  </si>
  <si>
    <t>Кофемолка проработала минимум 15 лет, никаких нареканий к работе, мелит все отлично: кофе, сахарную пудру. Кофе пьем каждый день, так что работала на протяжении всего времени постоянно. Нигде ничего не раскололось, крышка толстая, так что тоже никаких трещин.</t>
  </si>
  <si>
    <t>Мне муж подарил эту модель на 8 марта, вот пользуюсь уже 1,5 месяца очень довольна. Моет кастрюли супер, даже старый нагар постепенно смываеться. Масимум что делаю так это только остатки пищи убираю и все в посудомойку составляю... очень много времени высбодила... очень хорошая помошница на кухни. Загружаю два раза в день. Очень удобная функция отложить время мойки на 3,6,8 часов с вечера загрузила поставила на этот режим, а утром уже чистая посуда. СУПЕР!!!</t>
  </si>
  <si>
    <t>Ржавчина появилась на следующий день, в магазине посмотрели и сказали,что данный товар возврату и обмену не подлежит,а ржавчина это накипь от воды. Деньги жалко, качество отстой.</t>
  </si>
  <si>
    <t>2014-03-31</t>
  </si>
  <si>
    <t>Ровента дает очень много пара, отглаживает прекрасно, дизайн крутой, подсвечивается режим лен, шерсть и так далее. Но главное, повторюсь,отлично отглаживает вещи, издавая смешные звуки в процессе ))</t>
  </si>
  <si>
    <t>Подойдет ли этот комплект, если варочная и шкаф в разных местах?  Духовой шкаф отдельно встроен</t>
  </si>
  <si>
    <t>2705</t>
  </si>
  <si>
    <t>Я приобрёл несколько экземпляров этого ПК для клиентов. Просто вырывал у них из рук асеры и вёл за руку к hp compaq mini). Причём, никто не пожалел - наоборот, все остались довольны.   Плюсы: поклонникам минимализма понравится лаконичный дизайн с налётом гламура, пож; корпус из немаркого пластика, на котором не видны отпечатки и мелкие потёртости; яркий дисплей - если сравнивать с моим Asus EEE PC 900, матовый с антибликовым покрытием; шустрый винчестер актуального объёма; серийный номер ОС допускает активацию обычного дистрибутива XP Home SP3 OEM - а значит, раздобыв его, вы сможете "обрезать" систему программами наподобие nLite, получив дополнительный выигрыш в производительности; невероятно большая для нетбука клавиатура - сопоставима с полноразмерной; относительно тихая вентиляция - если сравнивать с ViewSonic, почти бесшумная - но EEE PC ещё тише; три USB разъёма; удобно расположенные разъёмы картридера, наушников и внешнего дисплея; скруглённые края корпуса - легче доставать и убирать в тесную сумку, не тяжёлый в сравнении с тем же Asus EEE PC 900 - вот наиболее значимые для меня меня моменты.   Минусы есть тоже: нестандартный тачпад, требующий привыкания - он неплох, просто необычный; маркая верхняя крышка; отсутствие встроенного модуля BlueTooth (!!!), Wi-Fi без поддержки стандарта 802.11N, хотя и на чипе Broadcom, но относительно долго получает IP-адрес от DHPC моего роутера, также, драйвер Wi-Fi с кириллическим словом в названии сбил с толку KIS2010 (Касперского Интернет Секьюрити) - тот не смог справиться с кириллицей (!) и неправильно отображает названия сетей в модуле "Сетевой экран" - поэтому невозможно присвоить им статус доверенных - и разрешить обмен файлами в домашней сети - эта проблема пока не решена ни касперскими сотрудниками, ни броадкомовскими. В комплектацию не входит чехол - пока не исцарапали машинку, приобретите чехол от подходящего портативного DVD-плеера. Аккумулятора хватило на два часа. Возможно, играя яркостью подсветки, можно выжать больше - но ведь глаза потом не поменяешь.  В целом, приятная модель в корпусе из качественных материалов и с хорошей производительностью и интерфейсом - монитором и клавиатурой. Если за компанию приобретёте компактную беспроводную мышь Defender или Logitech - поступите правильно. Пятерка - но с небольшими минусами!</t>
  </si>
  <si>
    <t>1037</t>
  </si>
  <si>
    <t>Офигенная флэшка, девушка подарила на новый год, в руках очень приятно держать, метал отполированный ваще супер, всем брать кому флэшка нужна, хотя можете не брать, пусть только у меня такая будет :D</t>
  </si>
  <si>
    <t>Купил эту машинку 2 года назад, нареканий нет, работает отлично.</t>
  </si>
  <si>
    <t>Вентилятор очень плохой. Хлипкий, некачественно изготовленный. Выштамповка основания не позволяет вставить пластмассовые заглушки, которые так же нужно дорабатывать ножом. Работает очень громко из-за вибрации, т.к. всё на соплях держится. А в конце всего блок кнопок провалился внутрь. Сдал его на следующий день.</t>
  </si>
  <si>
    <t>Были разочарованы: при первом прогреве потрескалась эмаль в духовке в местах, куда вставляется противень и по краю покрытия рядом с дверью. Подумали, что брак конкретной модели, поменяли на такую же - ситуация повторилась, эмаль отвратительная - тоже потрескалась при первом прогреве и царапалась от противня (не знаю у всех плит такая проблема или нет, но советую брать плиту с направляющими. В итоге купили аналогичную плиту. Надо отдать должное МВидео - меняли без проблем в магазине, который расположен в Роднике, обмен прошел вежливо и без нервов.</t>
  </si>
  <si>
    <t>Ужасный бойлер. Не прошло и пары недель после покупки, как начал подтекать возле предохранительного клапан.</t>
  </si>
  <si>
    <t>480</t>
  </si>
  <si>
    <t>Недавно приобрел этот комп, железо просто отличное. Работа с Windows 7 не очень нравится, подскажите можно ли на серию Aspire установить Windows XP ?</t>
  </si>
  <si>
    <t>2375</t>
  </si>
  <si>
    <t>очень хороший и портативный плеер))  не жалуюсь, родные уши очень сильные.  работает очень долго, порядка суток...может даже больше.  все что нужно продвинутому человеку и очень недорого)  я думаю, подойдет для студентов.  минус в том, что краска быстро стирается, но это не так заметно:))    в общем хорошее приобретение, всем советую))</t>
  </si>
  <si>
    <t>2726</t>
  </si>
  <si>
    <t>Привет.я думаю,что PSP лучше Ps3.Почему?Объясняю:Ps3-это хорошая приставка,но настолько наворченная.Во первых:18 форматов воспр..Зачем так много?!Это же не компьтер.Во вторых:цена 13-17 тыс..За такие деньги можно 2 PSP купить+игры или чехол.В третьих(самое важное):цена игр.От 1 до 3 тыс..То есть,если купить 7-8 игр,то получится цена Ps3?   Теперь PSP.PSP-это игровая консоль,уменьшиная копия Ps3.Как я уже говорил-её можно носить с собой и подключать к телевизору.Во первых:графика.Графика конечно не такая как на Ps3,но это нормально.Это же вам не большая,чёрная, толстая коробка с надписью Ps3.Во вторых:ценя.Цена 7-10 тыс..8-10 с учётом игр или чехла.В третьих(это самое главное):цена игр.Их можно и не покупать.Схема такая:купил,прошил,скачал,играй;всё.Но если PSP не прошивается-можете купить(а лучше подождать пока взломают программу)игры.Их цена 500-2000руб.(игры по 2 тыс.встречаются редко).   Так,что покупайте PSP.Но если вам хочется игры с друзьями и дорогих игр Ps3 к вашим услугам.Только помните приставка создана не для того,чтобы на ней смотрели фильмы,не для того,чтобы слушали музыку,а для того,чтобы на ней играли.</t>
  </si>
  <si>
    <t>Шумная и часы постоянно спешат! Дизайн самое то для современной кухни.</t>
  </si>
  <si>
    <t>Замечательный плеер для прослушивания аудиофайлов, для чего вообще-то он и нужен. Отличный дизайн, удобное управление, хорошо лежит в руке. Батарею держит около 10 часов (не знаю почему пишут 30 часов непрерывного воспроизведения...), слушаю на 25-ой громкости из 30-ти. Наушники, которые идут в комплекте лучше сразу заменить, так как не передают всей четкости звучания...   Для видео конечно же маловат дисплей (2 дюйма), конвертирует сам в нужном формате и разрешении. При подключении плеера к компьютеру, найдете setup. exe и установите прогу (Content Transfer) через которую и можно будет сконвертировать видео, перетащив просто файл в эту прогу, после конвертирования сама скинет в нужную папку.  P.S. Отличный выбор.</t>
  </si>
  <si>
    <t>Воздухоувлажнитель Vitek VT-1761 прекрасная и доступная модель. Стильная синяя подсветка, датчик уровня воды (увлажнитель отключается, когда заканчивается вода в резервуаре), функция ионизации, регуляторы уровня влажности и интенсивности увлажнения. Очень понравилось и очень полезная вещь.</t>
  </si>
  <si>
    <t>Купил 4 дня назад. Никаких проблем пока не возникало. Блок очень мощный, требовательные к железу игрухи летают. Работает практически бесшумно. Всем советую.</t>
  </si>
  <si>
    <t>Приобрели месяца два назад данную модель пылесоса, честно говоря порадовал своей мощностью всасывания!Особенно впечатлило количество убранной грязи первые дни использования. Вместе с тем, на мой взгляд имеются недостатки: щетка (подпрыгивает при использовании) и предмоторная губка. При заполняемости контейнера на 50%, на мой взгляд, надо обязательно помыть и просушить предмоторную губку,потому что частицы пыли осевшие на ней влияют на загрязнение НЕра фильтра, а он не дешевый. Кроме того, ещё лучше поменять губку которая стоит прямо перед мотором, она я считаю вообще бесталковая, слишком крупные поры, лучше купить фильтр для обычных пылесосов, вырезать и поставить, мощность при этом не теряется.</t>
  </si>
  <si>
    <t>прикольный, мне нравится</t>
  </si>
  <si>
    <t>Сейчас провёл наглядный тест, налил стакан чая и получил чай чуть-чуть более жёлтого, разницы почти никакой (возвращать, конечно, нет смысла они все такие), теперь буду покупать на основе обратного осмоса.</t>
  </si>
  <si>
    <t>Я согласна с мнением ко-ко,т.к. такой фен использую года 4 - у меня самая первая модель, очень нравится - при таком частом использовании- до сих пор работает. У меня очень сильно кудрявые волосы - так это изделие экономит мне кучу времени и сил. Сегодня пойду новую модель покупать - потом отзыв напишу.</t>
  </si>
  <si>
    <t>Очень довольна,отмывает хорошо!Единственный минус открывается дверка трудновато.</t>
  </si>
  <si>
    <t>2016-10-19</t>
  </si>
  <si>
    <t>Шикарная машина за маленькие деньги производства Италии</t>
  </si>
  <si>
    <t>хороший пылесос.. купил в середине января 2011, специально не писал отзыв сразу, чтобы более объективно его оценить..    цена:  изначально расчитывал купить пылесос в пределах 10 т.р. (или дороже, моющий или с аквафильтром. от водяных пылесосов отговорили менеджеры, т.к. очень много недостатков, но не о том речь). сначала прицеливался на 9 т.р., затем на 13+т.р., а затем менеджер рассказал про дайсон.. цена конечно сразу отталкнула, но когда прикинул суммарный расход на пылесосы с расходниками (13т.р. + 1,5-2т.р./год на фильтры и мешки), получилось, что через пару лет это выйдет дороже этого дайсона без расходников.. вобщем купил дайсон.. :) (кстати, в день покупки передо мной купили 2-а таких же, мне пришлось брать с витрины)    качество уборки:  пылесосит хорошо.. убираюсь раз в неделю, каждый раз вытряхиваю грамм 100-150 пыли и мусора, в первую неделю пропылесосил мягкую мебель и матрасы - было очень много мельчайшей пыли, остатки которой даже не тонули в воде! недавно первый раз промыл моторный фильтр.. на вид он был почти чистым, но при промывании вылилось очень много грязной воды.. выходной фильтр не мыл, хотя он слегка почернел с внутренней стороны (думаю это уголь от щеток мотора). важно не забыть открыть красные окошки на большой щетке, при уборке пола и гладких поверхностей, иначе всасывание будет сниженным, а нагрузка на двигетель повышенной! (на линолеуме даже с открытыми "окошками" приходится держать курок на щетке, чтобы можно было ее сдвинуть).    уход:  после уборки протираю щетку и трубу от налипшей пыли, вытряхиваю пыть в герметичный мешок и промываю контейнер, (внутренний циклон промывать нельзя, поэтому его только протираю слегка увлажненой тряпкой)    качество:  хорошее.. в лучших советстких традициях (большинство соединений на винтах). качество материалов тожена высоте. правда пришлось смазать колесики щетки и подвижные части, после этого она катается просто как детская машинка. в планах уплотнить соедиенния трубок, т.к. они слишком свободны и слегка пропускают воздух (думаю, потери всасываемости от этого не больше 5%, но все же). шумит, имхо, не больше других (скорее свистит), однако, кошка его практически не боится.. :)    вобщем нормальный пылесос, если исправно прослужит в течение заявленных гарантией 5 лет(как минимум) - окажется выгоднее всех остальных пылесосов за 10-20т.р.</t>
  </si>
  <si>
    <t>2013-01-11</t>
  </si>
  <si>
    <t>Хорошая! Сегодня купили,выбирали долго,уровень шума низкий, 4 скорости, сенсорное управление, стильная. На первой скорости практически не слышно (очень тихо)по сравнению с др. моделями...как выше уже писали. Рекомендую!</t>
  </si>
  <si>
    <t>490</t>
  </si>
  <si>
    <t>Недостатки:  1.через месяц не стала закрываться крышка(ремонт по гарантии)  2.через 1,5 года потекла вода снизу  3.после закипания воды долго не отключается  4.цена</t>
  </si>
  <si>
    <t>Купила)шикарная) довольна очень)</t>
  </si>
  <si>
    <t>2015-02-16</t>
  </si>
  <si>
    <t>Достоинства: Плюсы - нагреватель керамика, т.е. нагрев не до "красна", нет обгорания пыли и соответствующего запаха, воздух проходит через сотовые радиаторы которые греет керамика, на режиме "тепло" мощность около 1 квт, работает 2 секции из 4х радиаторов, на "горячо" - все 4, и около 2 квт. Вполне хватает и 1-го режима. Скорость вентилятора не меняется, воздушный поток не слаб и не силен, вполне комфортный, как по силе так и по температуре. Шум - вполне адекватный, примерно как системник шумит, чуть-чуть есть посторонний призвук ( вибрация). Собрано достаточно аккуратно, провод неплохого сечения, пластик - не идеал, но твердая тройка. Длина сетевого шнура - около 60 см. Маловато но приемлимо.  Недостатки: Вентилятор обдува стоит не очень удобно, чтоб его после 3-4 месяцев работы смазать и почистить сотовый радиатор от пыли и "войлока", надо разобрать все и как то снять запресованную крыльчатку. Крыльчатка да, слабовата, лопасти прикреплены всего на треть свой ширины, и пластик опять же на троечку. Но чтоб сами отлетали - не должны, если только в них посторонний предмет засунуть.Есть режим "вентилятор". т.е. дует холодным воздухом, но это ни о чем, поток очень слабый и использовать как вентилятор летом малореально, да оно и не надо. Термостат - да, он закреплен просто внутри над кожухом с моторчиком, т.е. меряет температуру нагрева радиатора внутри, но очень мало окружающей среды, я бы считал его дополнительным элементом защиты от перегрева ( впрочем есть и защитный термопредохранитель и концевик от опрокидывания), регулирует температуру он косвенно и неточно, но есть :). Забор воздуха идет фактически с пола, и если есть коты-собаки, то крайне рекомендую наклеить на сетку забора воздуха сеточку москитку, чтоб не забивался радиатор и не падала производительность, благо там ничего не греется и довольно легко ее наклеить. Управление удобное, очень легкий, есть ручка таскать его, симпатичный, с безопасностью там все хорошо, исполнение соответствует цене и твердая тройка с плюсом. Лопасти вентилятора смущают, не очень надежны, но посмотрим. Греет хорошо, нешумный, дешевый, функциональный и керамика, что очень хорошо как с точки зрения пожаробезопасности, отсутствию запаха горения пыли и долговечности. Смело рекомендую.</t>
  </si>
  <si>
    <t>Самое главное в ЖК это матрица ,  а матрицы для Аквас делаются в Японии , сборка Польша , а Польша это ЕС , гарантия 3 года , есть HD DBV тюнер ( наземное цифровое тв формата HD )</t>
  </si>
  <si>
    <t>1436</t>
  </si>
  <si>
    <t>Свой отзыв оставил в разделе "джевел-бокса" Mafia II, но и отмечу тут - рассказывать о игре нет смысла, т.к. каждый должен увидеть и почувствовать сам. Игра суперская, всем советую! :)</t>
  </si>
  <si>
    <t>2016-09-08</t>
  </si>
  <si>
    <t>Если долго сидишь в этих наушниках, уши потеют. А так за такую цену норм</t>
  </si>
  <si>
    <t>Легкая, маленькая, реверсируемое вращение, стирает хорошо</t>
  </si>
  <si>
    <t>956</t>
  </si>
  <si>
    <t>2016-04-30</t>
  </si>
  <si>
    <t>Хорошая кофемолка. Съёмная чаша что бы мыть, индикация по времени -удобно, мощности хватает - не греется. Было до этого несколько дешёвых - так те по два раза за год ломались, а эта живет.</t>
  </si>
  <si>
    <t>Надёжный и удобный в работе</t>
  </si>
  <si>
    <t>Нас этот чайник уже больше 5 лет радует. Модель очень качественная и очень удобная. Свист при закипании сначала нежный, а потом громкий, из комнаты слышно, что чайник уже закипел.</t>
  </si>
  <si>
    <t>Классно звучат, прикольно выглядят.  Все устраивает.</t>
  </si>
  <si>
    <t>Купили пылесос 1,5 недели назад. Очень удобно снимается контейнер для пыли и грязи. За такие деньги очень мощный пылесос.У меня ковров нет, только плитка и ламинат, тот у кого ковры и много детей не стоит брать этот пылесос.Тот, кто не использует пылесос в промышленных масштабах - этот пылесос для Вас. Фильтр моется элементарно и сушится.Я не знаю как у Вас, но у меня грязь в контейнере от квартиры в 70 кв.м. набралась за неделю, а пылесосила я каждый день, вместо веника. Рекомендую.</t>
  </si>
  <si>
    <t>Купил сегодня. Сразу снес убогую ХР Home, поставил Windows 7even. встала отлично, не тормозит. не определились лишь 2 устройства(одно из них кард ридер - дрова на сайте есть. второе пока не вылечил)  Так же настоятельно рекомендую перепрошить биос на последнюю прошивку. Сразу после этого будет корректно работать с 3 Гигами памяти    п.с. не пойму мысль разработчиков,которые решили разбивать изначально диск на 103 и 30 Гигабайт =))))</t>
  </si>
  <si>
    <t>145</t>
  </si>
  <si>
    <t>По умолчанию верхи "зарезаны", но их можно поднять эквалайзером магнитолы. После этого качество становится действительно неплохое, фоновый шум на практике не слышен, надо специально прислушиваться. Встроенный эквалайзер здесь есть и с виду вроде бы регулируется, но эффект незаметен. Флэшку 8Gb и карту 8Gb SDHC читает, причем инициализирует очень быстро. Встроенный дисплей с красными цифрами может показывать частоту, время до конца песни или уровень сигнала динамически. RDS работает, но видимо моя магнитола (родная тойотовская 2din) не показывает русские тэги, плюс частенько из-за сбоев передачи на экране появляется всякая мура. Впрочем, процесс циклический, так что это не особо напрягает. Папки листает и с пульта и с кнопок, причем действительно неважно как они называются. Пультом надо точно "прицеливаться", очень узкий луч.</t>
  </si>
  <si>
    <t>Хорошая вещь.  Мощность вполне приличная для автопылесоса.  Качественная сборка. Покупку рекомендую.</t>
  </si>
  <si>
    <t>1400</t>
  </si>
  <si>
    <t>Досталась в подарок поставил к родителям, работает все четко пар дым выносит за борт. Нормальная модель без претензий. Сначала хотел оставить себе такую, но по размышлению отдал предпочтение встройке и по и размеру пришлось взять на 50 А НЕ 60 сантиметоров ширины. А эту вытяжку  раз уж появилась пристроил все довольны.</t>
  </si>
  <si>
    <t>Ну товарищи, тут тоже смотря кому как... у меня щетина мягкая, слабенькая и меня эта бритва бреет шикарно, так что если у кого то начинает только появлятся щетина или уже есть давно, но слабая, то берите смело, не парьтесь))))    Ну а те у кого грубая, тогда да, бери что ниудь получше))))</t>
  </si>
  <si>
    <t>Купил в этом году. Охлаждает хорошо. Ночной режим работает странно. В течении 2-х часов поднимает температуру на 2 градуса. Работает шумно (такое чувство, что какая то часть задевает при вращении) . Обращение в центр не принесло результатов. Имя Daikin не оправдало надежд.</t>
  </si>
  <si>
    <t>"Также недостатком считаю то, что включается и выключается телевизор очень громко и настроить громкость или совсем отключить возможности нет"    Лучше надо смотреть в настройках (Меню -- Установка(значок шестеренки)-- Последняя строка "Общие" -- Мелодия)вот и разрешилась проблема</t>
  </si>
  <si>
    <t>Пользуюсь им почти 2 года. Работает бесперебойно. Удобный. Достаточно компактный и легкий. Пару месяцев назад купила второй, в подарок... претензий к работе и удобству тоже нет.</t>
  </si>
  <si>
    <t>2014-09-06</t>
  </si>
  <si>
    <t>Первый такой утюг покупала в прошлом году, работает отлично, 2 месяца назад купила второй утюг чтобы подарить родителям на поездки в отпуск. В итоге неделю гладил хорошо, а потом перестал проглаживать и гладить вообще, подачи пара нету, и ручка постоянно влажная от воды, не рекомендую новую серию этих утюгов с нарисованными треугольниками на белом фоне около подошвы. Сдали его обратно. Старая серия без рисунка треугольников как на картинке отличная, нарадоваться не могу )))</t>
  </si>
  <si>
    <t>Пользуюсь данной бритвой около года. Отличная бритва. Качество бритья хорошее, очень удобна в использовании.</t>
  </si>
  <si>
    <t>Машинка отличная, работа на ней происходит эпизодически, супруга в восторге уже третий год :-) за все время пару раз смазывал и чистил отсек. Достойная неприхотливая замена старым элементам мебели, простите, Зингерам, Подольскам и Чайкам, но только если вы не шьете толстенную кожу и плотные материалы</t>
  </si>
  <si>
    <t>купил сушку в магазине на Трубной. 27.08.14 13:55 продажа №9908.  1. Сушилки за 890 и за 399 лежат в одной корзине с общим ценником. Хитрюги.  2. Сушилка при включении  заработала на 50% только одним элементом. По гарантии не понес. Запаял проводок сам.   3. Это устройство должно стоить 100р максимум.</t>
  </si>
  <si>
    <t>Приобрел газовую панель Gorenje G64AX1 несколько месяцев назад, единственное чем недоволен, это регуляторы подачи газа, не стойки к контактам с посудой, подвержены царапинам. Предполагал что у данного бренда не будет такого рода проблемок. А так в целом девайс неплохой.</t>
  </si>
  <si>
    <t>1041</t>
  </si>
  <si>
    <t>155</t>
  </si>
  <si>
    <t>точто ударопрочный и защита от брызк эт понятно - резиной вокруг окутан  даёт хороший световой поток - точку  и с небольшим рассеиванием от точки - что впринципе хорошо - так сказать "Боковое зрение"  чесно.. жаба давила покупать.. думал туфта односветодиодная  рискнул, доволен.  за счет того что используется сверхяркий! светодиод и притом 1(тем самым достигается как раз световой поток точка) получается низкое потребление батарей\аккумуляторов.</t>
  </si>
  <si>
    <t>красивая коробка и книжка-инструкция</t>
  </si>
  <si>
    <t>Брал в 2007 году. Тогда стоили 2 с чем-то штуки. До сих пор как новенькие, даже материал подушечек не стерся. Очень качественно собраны.  Наушники замечательны и для компьютерных игр и фильмы смотреть на компе отлично в них. Переходник короче взял недавно с 3.5 на 2.5 теперь и на телефоне слушаю с них. Аше круть. В маршрутке совсем не слышно. Рок самый руль слушать.</t>
  </si>
  <si>
    <t>Могу вам сказать с уверенностью, что эти наушники очень хорошие. Ношу их уже 2 года, и ни разу они меня не подвели!</t>
  </si>
  <si>
    <t>Аппарат просто шикарный, опробовал сразу как купил. Сок выжимает великолепно, сухой жмых, чистый сок, а мыть ее одно удовольствие и занимает меньше минуты времени. Очень доволен!</t>
  </si>
  <si>
    <t>Выполнена из стеклокерамики, легко моется. Есть таймер, можно выставлять время приготовления и идти по своим делам - плита издаст негромкий звук и конфорку вовремя выключит. Зона расширения - это очень удобно, можно выставлять любую посуду. Конфорки очень быстро нагреваются и быстро остывают, но есть индикатор остаточного тепла. Для детей - безопасна, так как есть специальная блокировка. Также она автоматом выключится если на поверхность что-то выльется из кастрюли, спасала меня не раз! В принципе такое качество неудивительно, это ведь немецкое качество и сборка!</t>
  </si>
  <si>
    <t>Купила этот фен около 5 лет назад! Я от него в восторге! За счет компактных размеров им очень удобно пользоваться! Главное требование к фенам для меня, это несколько режимов мощности, холодный и горячий режим и конечно чтоб сильно дул- все это в нем есть и цена приемлемая! Позже купила этой же фирмы Утюжки для волос, тоже довольна!</t>
  </si>
  <si>
    <t>2013-10-05</t>
  </si>
  <si>
    <t>Покупал в конце 2007. Сначала был запах пластмассы, потом все прошло. В ходе нещадной эксплуатации прослужил до мая 2013. Вся надежность чайника скарлетт в его простоте)</t>
  </si>
  <si>
    <t>у меня такая же но на 3,5 кг уже 4 год!!! и тьфу-тьфу!! отлично пашет. только вот есть один минус. недавно в поясе резиновом, что находится впереди, как откроешь барабан, появилась дыра...и пока не поняла, насколько от этого страдает сама машинка.</t>
  </si>
  <si>
    <t>Купили машинку, начали стричь ребенка - волосы выдирает, ребенок кричит. Ужас какой-то!!! Старая машинка за 300 рублей непонятной фирмы и то стрижет лучше. Одно расстройство ...  Завтра же обратно понесу.  Надо же какую "бяку" продали!</t>
  </si>
  <si>
    <t>3119</t>
  </si>
  <si>
    <t>2015-12-29</t>
  </si>
  <si>
    <t>Так как и муж, и дети окончательно сели мне на шею и с моего выхода в очередной декрет требуют вкусных пирогов, утку с яблоками, кулебяку, буженину и так далее чуть ли не каждый день, то решила выпросить у мужа такую независимую духовку, в которой больше программ, и все хорошо работает, в отличие от старенькой плиты. Если есть ниша, подходящая по размеру, то советую всем любителям печеного и гриля брать такой шкаф. Отличная марка, всем известная, есть все, что нужно, в конце концов, есть сервисные центры, если вдруг что, но у нас пока все ттт хорошо. Тут прекрасно работает электроподжиг, не надо лазить внутрь плиты, уже пустив газ, с газетой подожженной, а потом стремглав нестись с ней через всю кухню, чтоб затушить в раковине! А ведь никакими спичками обычную духовку невозможно нормально зажечь. Еще тут подсветка хорошая, видно, как там все поджаривается, доходит. Дверца вниз откидывается, вот это единственное, что мне кажется не очень удачным, лучше бы вбок, а то вытаскивать и загружать приходится сбоку, не всегда понимаешь, как лучше подойти-то к нему. но поняла это только после покупки(</t>
  </si>
  <si>
    <t>Все хорошо,но вот проводок пяти метровый тут собственно вообще никак не подходит!А так...хороший звук,глубокий бас,удобная посадка,в общем я остался доволен.</t>
  </si>
  <si>
    <t>Сковородки супер!Лёгкие,очень удобная ручка,двустороннее антипригарное покрытие!Короче,Tefal есть Tefal!</t>
  </si>
  <si>
    <t>2702</t>
  </si>
  <si>
    <t>В общем купил данные наушники, удобно сидят в ушах, уши не устают, звукоизоляция отличная.  А вот звучёк мне не понравился, глухой какой-то подъема нет, слушал через комп, бас не соответствует заявленному диапазону, высокие низкие, но все же лучше чем Philips SHE8500, звук вообще никакой, а те кто написал отзыв про них видима не слышали нормальных ушей. В общем переслушал 3 ушей пошел и взял  http://penza.mvideo.ru/product_review/50033279.html  (Sennheiser CX-300-2 Silver) все остальное просто отдыхает !!!     Звук тоже на уровне - чистый, низкие частоты звучат приятно, высокие тоже слышно довольно разборчиво. Единственное, что не нравится - провод у наушников выглядит довольно хрупким, но это, мне кажется, недостаток всех наушников данной ценовой категории.</t>
  </si>
  <si>
    <t>2015-02-17</t>
  </si>
  <si>
    <t>Полирует зубы, если есть проблемы с белизной зубов, она  вам нужна. Зубы даже после первой чистки  блестят. Не грубая, не жесткая, десна после нее не горят.</t>
  </si>
  <si>
    <t>Нагревается медленно, детали хлюпкие!Что бы хоть чуть-чуть выпрямить волосы понадобиться ждать минут 40 пока он нагреется.Но кудряшки делает более менее нормально!!Единственный плюс это гофра: делается быстро и держится долго!!!В цело:брать не советую, не стоит.</t>
  </si>
  <si>
    <t>Вообще я очень долго выбирал какой проигрыватель мне купить. Выбрал DVD-плеер BLU-RAY Pioneer BDP-320. Понял сразу, что не ошибся. Звук 5++. Проигрывание CD-дисков отличное. Картинка вполне достойная. Вообщем, достойный аппарат.</t>
  </si>
  <si>
    <t>Доволен покупкой на все сто. Соковыжималка для одного-двух стаканов сока утром, и/или днём, и/или вечером. Для чего её и купили. Это не станция по заготовке сока - и ёмкость для жмыха не позволяет, и скорость отжима (одна скорость). Стильный, красивый, удобный, аккуратный, не громоздкий аппарат для городской кухни. Легко разбирается/собирается и ещё легче моется. Один маленький недостаток - одна скорость - при оборотах 18500 в минуту, можно было бы сделать и три скорости. И тогда бы, ей вообще цены не было. Но что есть, то есть. А так, для твёрдых овощей/фруктов - жмых слегка влажный, не опилки, но отжать ещё пару капель не получится (для заготовок есть другие агрегаты с другим типом центрифуги, но и с другими трудностями с мытьём после отжима каждой партии продуктов), для мягких - более влажноватый (потеря одна-две чайных ложек, а то и меньше). Но при при одном-двух стаканах сока за отжим, это не критично. Полностью удовлетворён покупкой. Доволен как слон. Рекомендую, с учётом всего выше сказанного.</t>
  </si>
  <si>
    <t>2948</t>
  </si>
  <si>
    <t>2010-09-05</t>
  </si>
  <si>
    <t>Игра явно не стоит таких денег),узкий,прямолинейный сюжет...всё что обещали разработчики,в большинстве осталось ложью...такое ощущение что они тупо взяли гта 4 и заточили под гангстерскую тему(ничего хорошего в графике,как обещали я не увидел...куча багов... о сюжете вообще промолчу...во общем столько лет ожиданий и всё впустую)</t>
  </si>
  <si>
    <t>Недавно приобрела выпрямитель данной модели. Мне очень нравится. Хорошее сочетание цена-качество. Единственный маленький недостаток - кнопка для переключения температуры находится в неудобном месте (я все время нажимаю, когда использую). А так все ОК!</t>
  </si>
  <si>
    <t>Купила такой ноутбук. Ни разу не пожалела. Но есть вопрос: Не было в комплекте ни одного диска-ни винды установочной, ни дров. а сам Асер предлагает записать настройки на диск. Ноутбук я впервые покупаю, винда установлена, но если она полетит это мне новую Винду покупать снова? Не понятно с этим вопросом. ехать в магазин? но я покупала его уже 2 мес назад.</t>
  </si>
  <si>
    <t>988</t>
  </si>
  <si>
    <t>советую всем! ноут- супер! скажу, что лучше брать i5 чем i7, т.к. i5 производительность лучше увел. и он меньше греется и дешевле.вообщем по-моему он лучше i7</t>
  </si>
  <si>
    <t>Купил эту нокию летом ,хороший телефон за такие деньги вродибы и работает хорошо,тока была проблемка с проигрывателем глючил не хотел в плеер заходить но потом глюк сам прошел..а так нравится всё</t>
  </si>
  <si>
    <t>2014-08-11</t>
  </si>
  <si>
    <t>Купили соковыжималку, так как яблок на даче очень много.Три ведра пропустили очень быстро. Но где сок? Получилось яблочное пюре. Из смородины вообще вышел хорошо взбитый мусс. Жмыж очень мокрый и забивается. А вот морковка порадовала. Жмых сухой и сок то что нужно. Буду сдавать в магазин. Соковыжималка надежд не оправдала.Может быть кому-то и нравиться много мякоти, но я хочу сока.</t>
  </si>
  <si>
    <t>Взял по рекомендации консультанта. Качеством звука доволен. Единственный минус - шнурок для закрепления на плеере. Он слишком короткий и если разъем на плеере находится сверху, а разъем для подключения снизу - длины шнурка не хватает.</t>
  </si>
  <si>
    <t>Увидела у подруги модель на 4,5 литра. Она мощнее (не 490, а 670 Вт), чашка больше. Большинство указаний на сайтах с рецептами для этой большой мультиварки. В моей(2,5л) все готовится в полтора раза дольше. Шарлотка на 3 яйца не менее 1,52 часов. Тушеные овощи часа 2. Думаю, что автоматические режимы значительно не удлиняются по сравнению с 4,5 л.  Еще замечания: таймер отсрочки действует только на автом.режимы (гречка,плов,каша); подруга хотела сварить овсянку с таймером (на утро)- пузырится или пригорает - не удалось никак.</t>
  </si>
  <si>
    <t>2016-10-02</t>
  </si>
  <si>
    <t>Хорошая машина, не большая, не скачет. Один недостаток-неделю жутко пахла пластмассой во время стирки.</t>
  </si>
  <si>
    <t>Купил сегодня. Сборка за пару минут. Первое прикосновение к пластику и звук щелчков сразу говорят о качестве сборки. Очень всё продумано и удобно. Компактный. На мой взгляд, легковат, когда за шланг тянешь. Мытьё и протирка - 1 мин. Супер вещь! Надеюсь, что надолго.</t>
  </si>
  <si>
    <t>Машина неплохая, стирает и сушит вещи, есть много режимов и дополнительных функций. Хлопковые вещи после цикла стирки сушит 4-5 часов до идеально сухого состояния, синтетику - около 3 часов. В итоге постирать и высушить, скажем, полотенца, занимает 6-7 часов. Также во время стирки в течение некоторого времени издается громкий свист.</t>
  </si>
  <si>
    <t>Отличный ТВ. Всё устраивает,изображение,цвет. звук- а что ещё можно ожидать от телевизора..... Кому не нравится эфирный приём, поменяйте антенну. Берите и не жалейте ни о чём!!!</t>
  </si>
  <si>
    <t>Супер наушники!!!! Сижу в них три часа, уши не устают, звук хороший. Всегда предпочитал мониторные наушники, но после этих вкусы пересмотрел в пользу вакуумных.</t>
  </si>
  <si>
    <t>Электрощипцы просто замечательные! Очень быстрый нагрев. Удобны и просты в использовании!</t>
  </si>
  <si>
    <t>2009-09-30</t>
  </si>
  <si>
    <t>Купил телефон в интернет магазине.  телефоном очень доволен. Батарейка держит дня 4, при активном использовании. Корпус прочный. Камера- так себе, но для качественных снимков, есть фотоаппарат. Меню доходчивое.   Итог: ПОКУПАЙТЕ, не сомневайтесь.</t>
  </si>
  <si>
    <t>Холодильник хороший в плане дизайна, тихо работает, мало ест электричества. Граждане: у кого проем дверной меньше 72-75 см между выступающими частями двери, данный холодильник может не пройти, придется снимать двери и переднюю панель, хорошо, что не трудно, сама панель снимается, глянцевую накладку снимаете, она на защелках с левого торца, а дальше на 4 саморезах и не забываем про разъем. Так что будьте бдительны, внимательно мерьте, мерьте от самой ручки и до заднего ограничителя, иначе потом будите мучаться с заносом в квартиру.</t>
  </si>
  <si>
    <t>По функционалу и качеству исполнения телефон не плохой. Огромный минус его АКБ или прожорливость самого телефона, не понятно... если по телефону разговаривать зарядки хватает максимум на два дня.</t>
  </si>
  <si>
    <t>1191</t>
  </si>
  <si>
    <t>Пользовался этой щёткой 6 лет. Всё было превосходно. Теперь аккумулятор стал держать слабовато.</t>
  </si>
  <si>
    <t>Игра просто суперская, 2й раз прохожу и получаю удовольствие, советую всем, графика в 100 раз лучше, чем на самом мощном ПК!</t>
  </si>
  <si>
    <t>Полностью согласен: Станция в корне неверно показывает влажность воздуха в комнате. Все время 2%, так не бывает! И температуру дает с погрешностью  градусов в 7. Покупали, чтобы контролировать климат в комнате маленького ребенка, а вещь оказалась бесполезной.  Хрень.</t>
  </si>
  <si>
    <t>2012-03-29</t>
  </si>
  <si>
    <t>Отличный холодильник. Пользуемся уже 1,5 года. Я восторге, как хозяйка. Все нравится. Покупайте не пожалеете. Он стоит своих денег.</t>
  </si>
  <si>
    <t>я играю в эту игру, игра просто потресающеееся ГРАФИКА ОЧЕНЬ ХОРОШАЯ СЮЖЕТЫ ТОЖЕ, ТАК ЧТО ПОКУПАЙТЕ.</t>
  </si>
  <si>
    <t>Очень довольны.5+</t>
  </si>
  <si>
    <t>2015-03-12</t>
  </si>
  <si>
    <t>Присоединяюсь ко всем положительным отзывам. Опыт пользования 4 месяца. Мои замечания по машине:  1. Да она шумит, но в соседнем помещении не слышно.  2. Качество сваренного кофе зависит исключительно только от качества зёрен.  3. При употреблении "правильных" кофе зёрен вкус кофе изумительный - на голову выше кофе из макдональса.  4. С момента пользования ни каких проблем с машиной не было, обслуживания ещё не проводил.   5. Рекомендую машину к покупке. Для истинных любителей кофе - желаю найти свой вкус из разнообразных кофе зёрен, представленных на рынке.</t>
  </si>
  <si>
    <t>2013-09-09</t>
  </si>
  <si>
    <t>Второй год пользуемся духовкой Hansa BOEI62000077. Довольны! Духовка быстро нагревается, равномерно, что позволяет избегать пригорания. Есть несколько режимов работы, достаточно вместительная, в комплекте противни, решетка. Покрытие духовки легко чистится, что является большим плюсом для любой хозяйки. Также хотим отметить - у дверцы толстое трехслойное стекло, что позволяет ей меньше нагреваться и быть безопаснее.</t>
  </si>
  <si>
    <t>Отличный плеер, за него говорят низкая цена, отличное качество звука, размеры и управление. Качество звука более чем удовлетворяет требованиям, которые предъявляются к плееру, используемому в тренажерном зале или при беге. С качественными, дорогими наушниками дают отличный звук, на уровне очень хороших плееров. Размеры и цена позволяют не беспокоиться о нем во время тренировки (разобьется - не жаль, да и разбиваться там нечему у меня он падал уже много раз, самое худшее с чем он столкнулся - падение на него 5-кг прорезиненного блина, везение конечно, но кроме царапин с ним ничего не произошло ))). Управление не самое лучшее (джойстик не удобный), но гораздо лучше чем сенсорное, которое во время занятия спортом использовать невозможно вообще (приходится постоянно вынимать плеер), хотя и уступает многим другим плеерам (тот же samsung за 1500 в этом отношении очень понравился).     В общем если вы смотрите подобные плееры, думаю он нужен вам для прослушивания музыки во время занятия спортом или другим активным отдыхом и в этом случае это действительно отличный выбор :)</t>
  </si>
  <si>
    <t>2016-12-18</t>
  </si>
  <si>
    <t>соответствует цене, звук нормальный</t>
  </si>
  <si>
    <t>У меня тоже такой фото принтер,он действительно прост и удобен в применении и не требует особых навыков,и качество отменное.Если задумались о покупке то не раздумывайте покупайте этот товар,не пожалеете.</t>
  </si>
  <si>
    <t>очень классный плеер))))  самые наилучшие отзывы)</t>
  </si>
  <si>
    <t>В процессе эксплуатации (около 1 месяца) выявил несколько интересных особенностей:  1. Атмосферное давление отображается либо в дюймах ртутного столба, либо в мБа/гПа (гептаПаскалях), однако высота нахождения метеостанции задаётся в метрах. Очевидно, что производитель основной единицей давления рассматривал гПа (производная единицы СИ), из-за этого вылезли и метры;  2. Этим летом в наших краях была сильная задымлённость из-за лесных пожаров. Станция выдавала в это время "пасмурно" и "дождь", хотя дождя не было (даже через 24 часа), а пасмурно или ясно - понять было крайне сложно.  В остальном нареканий нет.</t>
  </si>
  <si>
    <t>2012-05-01</t>
  </si>
  <si>
    <t>Духовкой пользуемся уже почти 5 лет! Довольны все эти годы! Печет очень быстро, даже удивляемся иногда скорости! Всем рекомендуем!</t>
  </si>
  <si>
    <t>класная приставка жалка что не могу купить</t>
  </si>
  <si>
    <t>2915</t>
  </si>
  <si>
    <t>Хороший плеер с не очень хорошими в комплекте наушниками, поэтому если вы все-таки решите купить этот плеер, то вам как минимум придется отдать ещё рубль за наушники, чтобы оценить качество звука.   И ещё заранее говорю плеер не находится компом, если у вас ХР сервис пак3(не всегда, но в большинстве случаев). Экран на нем хороший яркий, но он годится только для просмотра роликов(зо кадров в секунду и с разрешением 320*240, а не кино. Радио ловит хорошо. Также в нем есть диктофон с возможностью записи радио в формате мр3 до 160 кбит/с. Ещё можно смотреть фото, но увеличивать нельзя.   Минусы не читает FLAG,битрейт выше 320кбит не поддерживает, следовательно музыку с СD диски не читает, плеер полностью выключить нельзя(он выключается полностью сам, если ты не пользуешься им 4 часа), но можно поставить в ждущий режим, зарядки в комплекте нет, он заряжается через кабель путем соединения к пк, видео придется конвектировать . Ну вроде все.    Решение за вами, но думаю не пожалеете что взяли.</t>
  </si>
  <si>
    <t>502</t>
  </si>
  <si>
    <t>20.01.2011 алекс   (ижевск)  через 1,5 месяца сломался разъем для наушников,также его минус это кнопки,которые впали и еще он периодически виснет(это без флэшки,с флэшкой гораздо чаще)   -&gt; Зависания при наличии SD карты может быть только в случае, если карта форматирована в системе не совместимой с плеером. Попробуйте форматировать карту в системе FAT16, FAT32. По поводу разъема для наушников Вы можете обратиться в сервисный центр для осуществления гарантийного ремонта.    С уважением  www.explay.ru</t>
  </si>
  <si>
    <t>Достоинства: 1. Высокие обороты отжима. 1200об/мин делают далеко не в каждой машинке.  2. Очень удобное управление. Все наглядно оформлено. Все настройки интуитивно понятные.  3. Удобные программы. Встроенных хватает для всего. Возможность регулировать каждую программу под себя еще больше расширяет диапазон применения.  4. Правильный таймер. Практически всегда заканчивает ровно во столько, во сколько обещала. Иногда бывают небольшие задержки на 5-10 минут, но это из-за белья.  5. Вымывает весь порошок. Сколько раз стирали, всегда лоток совершенно пустой.  6. Электромеханический замок. Просто так ребенок не откроет. К тому же закрывается этот замок очень легко и тихо.  7. Очень интересный дизайн. Лично мне не нравится белая машинка.  8. Достаточная компактная машинка для своей загрузки.  9. Совершенно не прыгает. Выставил машинку по уровню сам за 15 минут. При полной загрузке и максимальных оборотах машинка не двинулась ни на см. Никаких дополнительных приспособлений мы не покупали.  10. Система распределения белья. Перед отжимом белье раскладывается по барабану.  11. Очень тихая. Машинка стоит на кухне. При закрытой двери в комнате слышно только момент отжима на оборотах 1000-1200.     Недостатки: По сути единственный.  При больших оборотах и большой загрузке начинает вибрировать лоток для порошка. Из-за этого возникает дополнительный шум. Однако длится это всего минуты 3-4. Никаких неудобств, соответственно, это не создает.    Комментарий: Очень качественная машинка. Выбором остались полностью довольны, хотя перед покупкой сомневались.</t>
  </si>
  <si>
    <t>Комбайн отличный. И главные его плюс для меня - компактное расположение на столе.   Полностью устраивает</t>
  </si>
  <si>
    <t>Не могу нарадоваться:машина класс, качество стирки на высоте,дизайн отличный,проблема в том,что при последнем полоскании есть вибрация,при отжиме такого нет (выставлена по уровню...)</t>
  </si>
  <si>
    <t>1369</t>
  </si>
  <si>
    <t>Потек через два месяца эксплуатации (причем, не очень активной). Собственно, больше комментариев нет...</t>
  </si>
  <si>
    <t>2014-11-22</t>
  </si>
  <si>
    <t>Игра моего детства:) Отличная</t>
  </si>
  <si>
    <t>Хорошая машинка! Пользуюсь полгода, даже постельное белье стираю и полоскаю тоже ей. Отличный выход из положения на даче или в комуналке.</t>
  </si>
  <si>
    <t>1757</t>
  </si>
  <si>
    <t>Мне подарили йогуртницу Tefal на день рождения. С первого же раза все получилось. Главное - внимательно читать прилагаемые инструкцию и рецепты. ТАМ ВСЕ НАПИСАНО!!! Для закваски использую данон, ничего не грею, а наоборот, охлаждаю, добавляю сухое молоко, фрукты (манго рулит))) ) Йогурт получается изумительный! Главный минус - мало баночек для большой семьи. Мои домашние, в т.ч. самые маленькие всё съедают за пару минут и сидят с голодными глазами, спрашивают, когда еще сделаю. ))) Так что, при покупке запасайтесь дополнительным комплектом баночек ) Приятного аппетита!!!</t>
  </si>
  <si>
    <t>2013-02-27</t>
  </si>
  <si>
    <t>Отличная машинка,купил себе по акции в М-видео на 23 Февраля,стирает великолепно-для тех у кого разводы после стирки остаются,порошка поменьше ложите в лоток и будет все ок,по сравнению со старой небо и земля,даже на 1000 оборотов при отжиме работает тихо,и удивительные свойства отцентровки проявляет-ни прыгает и ни вибрирует, ВСЕМ советую не пожалеете,покупайте,тем более за такие то деньги!!!</t>
  </si>
  <si>
    <t>2183</t>
  </si>
  <si>
    <t>1730</t>
  </si>
  <si>
    <t>У меня штатная магнитола не читает MP3 (Mazda6). С музыкой у меня все в порядке, но проблема в том, что я больше времени слушаю аудиокниги, а они у меня почти все в MP3. Недавно скачал себе аудиокурс немецкого, с ним возникла такая же беда. Это меня достало.  Я купил данный FM-модулятор и могу сказать, что он решил все необходимые задачи.   Тут писали, что bluetooth не работает, так вот, я его задействовал, код к нему - 0000.  Я очень доволен покупкой, качество меня устраивает, и поэтому я рекомендую это устройство другим покупателям.</t>
  </si>
  <si>
    <t>2014-01-31</t>
  </si>
  <si>
    <t>Совершенно никчемная плойка. Пробовала много раз и с разными средствами для укладки. Результата никакого. Не советую.</t>
  </si>
  <si>
    <t>2012-03-15</t>
  </si>
  <si>
    <t>Сразу предупреждаю, что данный отзыв написан мной именно так, как меня учили писать в школе, т.е. обдумывая смысл каждого написанного предложения и его смысловое значение в общем тексте. Если кому-то будет трудно воспринимать столько много букв и слов, то можете и не начинать. Кратко излагать я не хочу, потому что теряется весь смысл. Итак: Пришлось купить этот чайник для того чтобы потратить бонусы, иначе они бы просто сгорели. Теперь о главном. Чайник показал себя в целом хорошо, пользуюсь уже больше года, и одной из проблем является его периодическое загрязнение моей любимой женой, поскольку она при жарке на соседней конфорке не убирает его с плиты, но эти загрязнения удаляются её же руками при помощи &amp;quot;Cillit Beng&amp;quot; или ему подобных мощных щелочей. Свистит хорошо, надо очень постараться, чтобы не услышать его свистка, например, надеть глухие наушники, включить в них громкую музыку, и уйти в другую комнату закрыв обе двери. Закипает тоже достаточно быстро, но мне сравнивать особо не с чем, до этого был чайник объёмом в два раза больше этого, (у него через три года отвалился свисток, поскольку был силуминовый) и закипал он тоже в два раза дольше. Но зато его было удобней заполнять водой, поскольку свисток открывал полностью всё горлышко и вода заливалась из крана прямо через носик. А у этого надо обязательно снимать крышку, а она тугая, и если её неплотно вставить назад, что любит делать моя жена, то свиста не будет, ну а последствия в случае полного забвения и ухода от действительности надеюсь всем известны (расплавленный чайник, и запах по всей квартире). Ручка чайника хорошая, даже можно сказать мягкая, но заварить чай (т.е взять в руки и налить в чашку) сразу после закипания на 2-х киловаттной газовой конфорке без использования прихватки не получается. Можно конечно кипятить его и на средней одно киловаттной, но как всегда &amp;quot;время-деньги&amp;quot; и поэтому некогда. Теперь о главном недостатке, который был, я надеюсь, только в моём экземпляре. Это подклинивающий механизм поднятия свистка курком. Выражалось это в периодическом (видимо в зависимости от температуры) застревании свистка посередине своего рабочего хода, чем вызывало &amp;quot;неудобство&amp;quot; при наливании кипятка в чашку. В некоторых случаях можно даже было ошпариться брызгами, которые появлялись из-за встречи струи и свистка. В общем не очень приятный дефект, который кстати проходил после нескольких сильных нажатий на курок, но ненадолго. Поскольку закон моей жизни: &amp;quot;Не сделаешь сам, не сделает никто&amp;quot; работает безупречно на протяжении многих лет, то я этот чайник разобрал. Дефектом оказался недоработанный напильником рычаг выходивший из ручки, который и поднимал свисток. После заглаживания заусенцев вызванных штамповкой детали и последующей сборки в обратной последовательности всё стало работать хорошо.</t>
  </si>
  <si>
    <t>Очень удобная вещь!намного удобнее обычного чайника, вода всегда горячая с нужной вам температурой. Если семья 3-4 человека, лучше брать 5 л, т.к вода быстро расходуется, а греется минут 10. Легко чистится. Не пожалеете!</t>
  </si>
  <si>
    <t>Штатив натурально высоченный , выше меня. Сделан нормально, для любителей - самый самолёт !!</t>
  </si>
  <si>
    <t>245</t>
  </si>
  <si>
    <t>Советую всем приобрести это дополнение к игре  Red Dead Redemption! Отличное дополнение к ковбойским похождениям и охотой на зомби. Прекрасный геймплей игры, не подкачал и графический движок, жаль конечно что игра и все дополнения к ней не локализованы нет даже титров на русском языке, но тем не менее рекомендую всем любителям серии игр GTA Да что там говорить-это РОКСТАР и этим всё сказанно!  Удачной Всем игры на Xbox!</t>
  </si>
  <si>
    <t>Пришёл за Филипом, а купил этот телевизор и не жалею. HD идеально. С USB читает все форматы воспроизводит без тормозов. Цифровой тюнер с MPEG-4. Плюс 3 года гарантия. Чего ещё надо. 5 балов.</t>
  </si>
  <si>
    <t>Ужасный плеер, долгая загрузка, не читает 8 из 10 лиц. дисков включая бонусный в коробке</t>
  </si>
  <si>
    <t>2594</t>
  </si>
  <si>
    <t>Купила месяц назад, очень довольна. Всё работает исправно, быстро, не очень шумная. В плане качества, говорят что она одна из самых лучших. Что ж, время покажет :)</t>
  </si>
  <si>
    <t>Пожалуй только конфорки нормально и работают</t>
  </si>
  <si>
    <t>машинку выбирала по принципу "среднее по цене, обязательно с педалью и горизонтальным типом челнока".  Приобрела машинку 3 часа назад и ДО СИХ ПОР не могу начать шить - нитка запутывается в шпульке, в инструкции нет ни одного указания по заправке нити, поэтому проверить его качество не представляется возможным. игла так сильно затянута в иглодержателе - что разжимать её приходится пасатижами. ужас! достоинств пока не обнаружила...  данный товар не рекомендую.</t>
  </si>
  <si>
    <t>Панель хорошая. Тоже сначала расстроились, когда пришлось менять из-за того, что не загорается газ. Но когда это случилось со второй панелью, вызвали мастера из сервисного центра. Оказалось, все очень просто!!! Продавцы магазина некомпетентны в данном вопросе! Мастер нам все рассказал и показал, что нужно делать в данной ситуации. Панель очень надежная и хорошая. Пользуемся год. Берите - не пожалеете! Главное знать, как ей правильно пользоваться. У меня белого цвета. Моется просто влажной тряпкой с любым моющим средством для посуды.</t>
  </si>
  <si>
    <t>Мобильный телефон Just5 - громкость будь здоров - как раз для пожилых людей.   Только в 2 раза подороже выйдет. :))</t>
  </si>
  <si>
    <t>+: 1) легкий 2) устойчивый, нормально держит камеру с объективом (700г + 550г) 3) есть 1 уровень 4) удобная ручка для переноски -:1) хлипкий пластиковый крючок для подвешивания груза 2) регулировка нормальная, удобная, но для съемки видео следует поискать другой штатив с более плавным ходом по горизонтали. Нормальный штатив за такие деньги. Хорош для съемки пейзажей, портретов, не для видео.</t>
  </si>
  <si>
    <t>У меня плита 438ая. Достоинств море, но для меня важнейшим была духовка. Выпечка получатся отличной (равномерно пропекается, вовремя румянится и тд)! Мясо сочным.   У меня решётки и кружочки, которые на комфорках чугунные - моются элементарно.   Выглядит красиво.   Газ-контроль - вещь! При открытом окне (если лето, а у тебя ещё и духовка работает!!!) спасал не раз. В духовке действительно срабатывает долго. Это мелочь.   Лучше Горения (по качеству пищи и исполнения) только Бош. Но это совсем другая ценовая категория...</t>
  </si>
  <si>
    <t>2014-12-26</t>
  </si>
  <si>
    <t>Транспортировочных болтов на задней стенке обнаружили 3, все они были с красной прокладкой, мы их выкрутили. Верхняя прокладка самая большая не снялась - мы ее оставили. Ощущение, что еще есть болт где-то. Но на схемах и инструкциях задней панели нет. Сколько точно должно быть болтов? Если кто знает, напишите пожалуйста. А так за сервис 5+, а за саму машинку 4 - нет парковки барабана и инструкция неполная.</t>
  </si>
  <si>
    <t>Игра отличная, всем советую!Только нужно английский знать так как игра помойму не переведена.</t>
  </si>
  <si>
    <t>2956</t>
  </si>
  <si>
    <t>ТТЕЕЕЕЕЕММААА, игра вообще прикольная, самая лучшая</t>
  </si>
  <si>
    <t>Через год работы лопнуло стекло. Интересно за что платить такие деньги когда можно в 6 раз дешевле купитть чайник и он проработает столько же. Причем в поисках нового чайника прочитала мого отзывов. И на данный чайник и на другие модели Тефаль.&amp;nbsp;</t>
  </si>
  <si>
    <t>очень хороший аппарат  кнопки не заедают, долго держится, памяти много  всем рекомендую</t>
  </si>
  <si>
    <t>В эксплуатации с августа текущего года. Отличные цвета и резкость изображения при просмотре спутникового телевидения, видеороликов, записанных на камере в НDM  формате и DVD фильмов, стереозвук просто супер. Очень толковый и понятный интерфейс меню настроек.  Из минусов:  1. "тормозное" переключение каналов при переключении каналов на экран выводится информационная строка с номером канала, частотой приема и типом (цифра-аналог)сигнала и эта шняга висит в течении 10 сек и ни как не отключается.  2.В данной модели НЕТ разъема скарт.   3. Некачественный прием аналогового сигнала от коллективной подъездной антенны в связи, с чем  пришлось докупать еще и спутниковую тарелку.  Учитывая плюсы и минусы данную модель телевизора оцениваю на твердую 4 -ку.</t>
  </si>
  <si>
    <t>Сплит-система мне очень понравилась! Компактная (легко вмещается в багажник), достаточно лёгкая... Цена приемлимая + бесплатная установка (хотя пока ещё не установили...). В интерьер вписывается просто чудно. Удобный пульт...   ... а вот как она будет работать я ещё пока не знаю....., но надеюсь, что когда-нибудь (хорошо, если это будет лето)почувствую приятный холод!</t>
  </si>
  <si>
    <t>Система охлаждения как,не нагревается?</t>
  </si>
  <si>
    <t>Плюсов нет!</t>
  </si>
  <si>
    <t>игра супер.в неё можно играть сто раз</t>
  </si>
  <si>
    <t>Когда данный товар появится в наличий магазинов нашего города?</t>
  </si>
  <si>
    <t>Купили данную модель, не о чем, свои функции выполняет на 30% да еще и все комплектующие хлипкие, все переломалось!!!!</t>
  </si>
  <si>
    <t>Цена+мощность</t>
  </si>
  <si>
    <t>3027</t>
  </si>
  <si>
    <t>Отличный телефон, самое главное - хороший звук!</t>
  </si>
  <si>
    <t>Намаявшись с мешковым пылесосом, решил приобрести модель без без мешка.  Что порадовало это наглядность уборки и простота очистки контейнера.  После уборки всей квартиры (3 комнаты) обязательно чистка контейнера и промывка фильтров, просто не могу смотреть когда в прозрачном контейнере что то болтается. Поэтому вопросов с мощностью нет, мойте фильтр и прослужит аппарат вам верой и правдой долго.  + тихая работа, мощность, регулировка мощности, длинный шнур питания (хватает везде с одного подключения, наглядность проделанной работы (прозрачный контейнер), простой фильтр, не дорогой.  - мало доп.насадок</t>
  </si>
  <si>
    <t>Нужен был теплый пар и автоотключение без воды, а также самозатемнение дисплея при ночном режиме. Плюс хотелось что-то для интерьера, красивое. Аппарат очень понравился, довольна. Как минус высокая цена, но он того стоит) Алёна</t>
  </si>
  <si>
    <t>Плита полностью отрабатывает свои деньги.Готовлю много.Пеку.Дешево, но сердито.Столкнулись с гарантийным ремонтом. Ребята быстро отреагировали.Всем советую</t>
  </si>
  <si>
    <t>Долго думала, какой набор выбрать. Остановилась на этом в виду сочетания цена-функциональность. Все насадки - нужные. Особенно нравится конусная, сферическая. Профессиональны пользуется сферической в салонах. Странно, что не во всех наборах она присутствует. Здесь есть. Порадовало, что есть пилочки, ими легко придавать форму ногтю, потом дорабатываю пилкой. Конечно, нужно уметь пользоваться, чтоб набор оказался полезным. Я делала в салоне аппаратный маникюр - поэтому было представление, каким образом пользоваться насадками. Маникюр получился как в салоне, кутикула растет медленнее, чем при обрезном маникюре. Особенно порадовала цена. Сейчас в магазине он не очень дорогой</t>
  </si>
  <si>
    <t>Товар был куплен в конце января 2015 по акции.  Преимущества данного прибора: 1) надежное крепление насадки, она не слетит,если перегреется, или  прядь слишком толстая, 2) в комплекте удобная сумочка для хранения и транспортировки фена и всех насадок, укладка великолепна, волосы не секутся, даже если редко ровнять кончики (9 месяцев не стриглась, и волосы выглядели отлично, концы не путались). Недостатки или пожелания к новой модели: 1) не хватает регулировки скорости вращения - вместе с температурой чуть увеличивается и скорость вращения), 2) хотелось бы, чтобы вращались обе насадки, а не только большая и на теплом и горячем воздухе. Лично у меня волосы густые, толстые, ниже плеч, укладка занимает 15-20 минут, держится 2-3 дня. Сначала подсушиваю волосы феном без насадки, потом расчесываю, разделяю на пряди все волосы, фиксирую зажимами, и сушу каждую прядь по отдельности, предварительно расчесав расческой с частыми зубчиками, начинаю с нижних слоев. Я сушу от корней, сначала на горячем воздухе с вращением, потом на теплом с вращением. Холодным воздухом пользуюсь редко - пушит мои волосы.   Берите, не пожалеете! После такого прибора вы не захотите возвращаться к обычному фену и брашингу.</t>
  </si>
  <si>
    <t>Игра супер! Затягивает по полной! Графика, звук, просто BEST, качество русской озвучки на высоком уровне! Сюжет игры очень интересен!   Всем рекомендую!</t>
  </si>
  <si>
    <t>2091</t>
  </si>
  <si>
    <t>Почти такой же, как Samsung GT-E1070.    Отличия:    Корпус немного прочнее, и меньше скрипит. Немного шире, и тоньше.    Логотип над дисплеем.    Кнопки немного мягче, приятные на ощупь :)) рэзина. Подсветка теперь белая.    Для разъёма зарядки-гарнитуры, сделана суперская задвижка(!) от пыли.    Слышимость ОК:   на мой взгляд качество связи улучшилось (собеседник меньше пропадает, чем страдают Самсунги, в дорогих моделях - не знаю), высоких частот стало самую малость меньше, но слышно и меня и я, в любой ситуации.    Качество Дисплея такое же,   3 темы оформления (в E1070 было больше).    Меню стало более красивым, значки крупнее.    Добавили Игру A+Sudoku.  Значок Профили пихнули в Настройки, т.к. добавился значок Игра, т.е. теперь все Настройки в одном месте.    Горячие клавиши (назначения на навиг. клавишу) теперь можно перенастроить целиком, жаль что нельзя всё-таки на неё назначить Контакты.    Язык: Русский Англ. Казахский      Будильники (5 шт.): зачем то убрали возможность назначать мелодию на будильники, т.е. только один(!) сигнал. (Мне ч.г. всё-равно)    Громкость мелодии при вкл\откл телефона регулируется в: Меню\Настройки\Профили\Опции\Изменить\Громкость\Сигнал клавиатуры    Обои те же 3 шт., поменять, но не убрать.    Безопасность, Чёрный список на вызовы и смс, и всё остальное - без изменений.    Вообщем отличный телефоникс...    Забыл,:) аккумулятор теперь 800Ма, но затестить его ещё не успел, т.к. вчера купил ентот аппарат.    На этом повесть заканчиваю,  всем удачи!</t>
  </si>
  <si>
    <t>2017-03-18</t>
  </si>
  <si>
    <t>Чистая уборка</t>
  </si>
  <si>
    <t>Класная вещь, одни плюсы! Мало масла, получается вкустная картошка, хрустящие пельмени, курица супер! Очень хорошая цена, переплачивать не стоит! Всем советую!</t>
  </si>
  <si>
    <t>2190</t>
  </si>
  <si>
    <t>Железо и дизайн классный!  У друга такой! Но тормознутая операционка Sumbian со своими сертификатами ,на которую проблематично что-то левое поставить, либо нужно платить не оправданно дорого!  Вообщем, знаком еще с времен Нокий!  Желательно брать,такой но только с Виндой, только не потому что я поклонник Била,а Вам реально будет удобно работать! Для себя усвоил,какое бы железо навороченное бы не стояло ,ни в коем случае не связываться с эти злосчастным Сумбианом!</t>
  </si>
  <si>
    <t>2013-04-26</t>
  </si>
  <si>
    <t>Раньше никогда не хотела посудомоечную машину, а теперь появился ребеночек и времени совсем не хватает! Муж подарил, и я никак не нарадуюсь!!! Это просто чудо какое-то!!! Загрузил, кнопочку нажал и радуйся! А как отмывает - это просто супер, даже старые кастрюльки! посуда сухая, без налета и разводов, столовые приборы блестят как отполированные!!! Главное, средство для мытья, соль и ополаскиватель правильно заливать и посуду правильно загружать!! Всем советую!!!!!</t>
  </si>
  <si>
    <t>Плеер ужс сплошной...год у меня лежит, с экраном все в порядке, кроме того что плохо реагирует на прикосновение пальцев, неудобно прокручивать, приделала стилус...функция переключения музыки во время встрясывания бесила до жути, пока не узнала, что можно её блокировать*хоть одной бедой меньше*...но на этом все не закончилось, постоянно расшатывается разъем для наушников...наушники в комплекте не айс, купила свои *ну это нормально*...зарядку жрет большой экран, долго не держит...часов 4-5 может...ну из плюсов тока то что корпус металлический, да, удобно, не царапается и ты ды...кста, гнездо для карты памяти тоже ужс, два раза туда microSD проваливалась, еле вытащила...не довольна.</t>
  </si>
  <si>
    <t>2013-06-19</t>
  </si>
  <si>
    <t>Пользуюсь уже года 3 , очень удобная и необходимая вещь на кухне! можно делать фарш (вместо мясорубки), детское питание (превратит в пюое любой овощь или фрукт), взобьёт коктейль.... В общем, берите - не пожалеете!</t>
  </si>
  <si>
    <t>835</t>
  </si>
  <si>
    <t>удобна</t>
  </si>
  <si>
    <t>Очень вкусный хлеб, простая в использовании</t>
  </si>
  <si>
    <t>Отличная печка!!! Готовит хорошо и быстро. Купила полтора года назад, нареканий никаких. Первые два раза эксплуатации пришлось готовить чуть дольше чем обычно, видимо из-за того что новая, разогревалась медленно, а потом нормально, повторюсь готовит быстро.Только единственное если будете подключять через удлинитель, покупайте мощный (удлинитель), потому, что печка мощная.</t>
  </si>
  <si>
    <t>Очень довольна покупкой, превзошёл Наши ожидания!!! Хорошее качество по хорошей цене. Легкий в обращении. После первого испытания пылесоса ковровые покрытия стали как новые, а вода - "можно катать валенки" :)</t>
  </si>
  <si>
    <t>2011-12-29</t>
  </si>
  <si>
    <t>Чайником очень довольна. дизайн, качество, работа техники.  ничего не течет. 4 месяца в активной эксплуатации. покупала так же по акции. а если вам попался брак- так от этого никто не застрахован. а то все такие нежные прям. потек у них. ну идите и поменяйте. гарантию никто не отнимал у вас же.</t>
  </si>
  <si>
    <t>Тихая, дизайн, удачная подсветка</t>
  </si>
  <si>
    <t>2079</t>
  </si>
  <si>
    <t>смотреть эфир невозможно,двд можно после добавления цветности.</t>
  </si>
  <si>
    <t>2017-07-02</t>
  </si>
  <si>
    <t>Узкая, недорогая.</t>
  </si>
  <si>
    <t>Классные наушники,покупкой довольна. Жаль только что басы звучат не очень. А так претензий нет. Удобно сидят на ушах. Покупкой довольна, советую всем.:)</t>
  </si>
  <si>
    <t>Игра супер! Steebook выглядит шикарно... Единственный минус это перевод (местами ужасный)</t>
  </si>
  <si>
    <t>Уважаемые господа, если хотите потратить деньги и нервы, тогда вперёд - покупайте этот красный кусок нервотрёпки. Купили его в мае 2007 года, всасываемость отличная, но и засоряемость фильтров мгновенная, заполняемость контейнера по отношению к засоряемости фильтра где-то 1:5. Если пыль умудрится попасть внутрь (у нас это происходило не раз), где распологается плата с эл.деталями, то надо разбирать его весь и продувать потроха от пыли, иначе он вообще не выключается (происходит закорачивание цепи). Шланг, не дай Бог наступить на него, больше не выровнять. И самое главное - наш бобик сдох, проработав (если это можно назвать работой) 3 года..Хана двигателю. Надо теперь выбирать новый пылесос, к Самсунгам больше не подойдём!!!</t>
  </si>
  <si>
    <t>Легкие удобные наушники, отличный звук. Использую при поездках в общественном транспорте. Страховочная резинка предохраняет провод при рывках, которые неминуемы в толкучке. Срок службы при ежедневном использовании у меня - год-полтора, потом провода все-таки обламываются - на штекере или  на самих наушниках. Тогда вновь покупаю эту же модель, т.к. ничего удобнее для себя пока не нашел.  Единственный недостаток - истирается светоотражающее покрытие дуги. Но на акустических характеристиках это не сказывается ))</t>
  </si>
  <si>
    <t>2009-11-06</t>
  </si>
  <si>
    <t>Пользуюсь уже год, камерка без проблем и лишних прибамбасов.Особенно впечатляет объектив, фотки не уступают простеньким зеркалкам.Немецкая оптика - это класс!Не каюсь, что прикупил,просто,качественно и карман не тянет(это я о цене).</t>
  </si>
  <si>
    <t>2257</t>
  </si>
  <si>
    <t>2013-07-12</t>
  </si>
  <si>
    <t>Пользуюсь этим комплектом 1,5 года. Негатива нет ни к приёмнику, ни к оператору (НТВ+). Однако цены на каналы - завышены! Про hd каналы - вообще молчу! P.S. нтв+ очень много потеряло (и теряет) клиентов из-за своих цен.</t>
  </si>
  <si>
    <t>Так долго ждал когда она у вас появится , неужели смогу играть мастер лигу онлайн , спасибо м.видео!</t>
  </si>
  <si>
    <t>2550</t>
  </si>
  <si>
    <t>Советую не брать.  Через 6-8 месяцев начинает протекать. Опасно для жизни.  Не берите клеенные чайники.</t>
  </si>
  <si>
    <t>Круто Пользоваться</t>
  </si>
  <si>
    <t>1607</t>
  </si>
  <si>
    <t>телек полгода, ненарадуюсь. ps3 дает классную картинку как в нете, так и при просмотре фильмов. А я ужасно придирчивый.</t>
  </si>
  <si>
    <t>купил самолет-вентилятор в том году летом.  Мало того что под ним спать невозможно,так он еще бедняга весь трясется во время вращений. Я бы не рекомендовал в квартиру,на работу склад.  Купил себе на это лето борк, посоветовали в магазине мвидео и почувствовал разницу.  не особо рекомендовал. Выбирайте внимательно.</t>
  </si>
  <si>
    <t>Купил по 14990, заметил что изображение немного мутноватое по сравнению со всеми соседними ТВ, может это связано с функцией поддержки DVB-T?? На НЧ-видеовходах изображение норм. В общих чертах доволен</t>
  </si>
  <si>
    <t>Мне очень нравится эта зубная щетка! Удобная в использовании да к тому же с таймером! Не громкая и не жесткая! Без зарядки может достаточно долго работать, больше чем неделю!</t>
  </si>
  <si>
    <t>занимает мало места, все программы по времени, особенно короткие (для меня это было важно) совпадают. Панель управления понятна и легка в обращении. Соотношение цена -качество хорошее.</t>
  </si>
  <si>
    <t>2011-03-18</t>
  </si>
  <si>
    <t>не советую никому!!!  Ставлю 1, потому, что нет оценки 0(ноль).  Прослужил 11 месяцев и задымился (сломался выключатель), в сервисном центре забрали на обмен, т.к. этот ремонту не подлежал.  Новый прослужил ровно год и та же история,только закончилась гарантия.  Больше BOSCH покупать не буду, один раз - случайность, а два уже система, да и вижу не только у меня такие проблемы, да и по функциям был на 3 с минусом, выпрямлял очень плохо, надо было ставить на мах температуру  всем желаю более удачного выбора</t>
  </si>
  <si>
    <t>энергопотребеление в разы больше??????????  не смешите мои уши, максимум в два раза, и оно динамическое в отличие от жк;   изображение размытое???, тоже ерунда, фулл хд очень четко показывает, если конечно картинка изначально хорошая, не надо путать людей.  да технологии жк перспективнее, но им еще есть куда расти (серость, цвета, углы и тд), а плазма уже отшлифованная технология. единственный минус плазмы - это энергопотребление, но не намного больше.  Просто поставьте жк и плазму рядом и посмотрите разную картинку (эфир, динамичное кино, статика) и делайте выбор.</t>
  </si>
  <si>
    <t>Печёт хлеб замечательно, корочка белого хлеба хрустит аппетитно! управление довольно таки лёгкое (покупая немного побаивался, чтоб не было тяжело маме управлять ею). Есть режим, чтобы хлеб выпекать быстрее. Вообщем очень понравилось. Советую!!</t>
  </si>
  <si>
    <t>2014-03-04</t>
  </si>
  <si>
    <t>Приобрела эти бигуди с хорошей скидкой. Очень понравились. Закрученные на них локоны держатся 2 дня. Не идут ни в какое сравнение с обычными термобигудями. Не оставляют заломов на волосах.Пользуюсь при завивке крабиками, шпильками так и не смогла закрепить. Берите не пожалеете.</t>
  </si>
  <si>
    <t>За такие деньги нормальный телик с флешки все читает!На счет что греется не заметил вроде все нормально!Качество с кабельной антенны не очень,сфлешки фильмы отличное!Завтра подключу PS3 думаю будет замечательно показывать!</t>
  </si>
  <si>
    <t>купил этот плеер. СРАЗУ после покупки был очень им доволен( сенсорные кнопки, которые красиво горят красным цветом, красивая компактная упаковочка, хороший экран в 2.8 дюйма,видео,текст, качественный звук с поддержкой playFX, автоматический поворот картинки при смене  положения плеера). После недели работы  начал барахлить разъем для наушников(ужасное искажение звуков, нерабочий 1 динамик), дизайн уже начал надоедать (а сменить интерфейс нельзя), видео нужно конвертировать, сенсорные кнопки глючат, просмотр списка музыки в плеере ужасный( ну очень медленно листает). в общем не стоит брать. лучше себе купить телефон с функциями проигрывателя, фотоаппарата, просмотра текста, видео, фотографий</t>
  </si>
  <si>
    <t>1804</t>
  </si>
  <si>
    <t>Колонки очень хорошие, всем советую!!!  цена-качество!!!     Покупайте,  не пожалеете!!!</t>
  </si>
  <si>
    <t>2013-12-08</t>
  </si>
  <si>
    <t>Отвратительное бритье. Даже в сравнении со станковым бритьем не идет. Шею и области скул не бреет вообще.</t>
  </si>
  <si>
    <t>Товарищи, подскажите где купить или заказать гребень-насадку для машинки! Сломалась насадка, а машинка отличная! Рекомендую всем!!!</t>
  </si>
  <si>
    <t>Телефон плохой.Сломался через месяц.Выключился и не включается.</t>
  </si>
  <si>
    <t>Пользуюсь этим типом более трех лет. Бритвы дорогие. Но для жесткой щетины и чувствительной кожи другого варианта не существует. Перепробовал все. Или не пробривает или пробривает (Mach3), но кожа не держит. Влажное бритье Panasonic'ом единственный, по крайней мере для меня, метод быть чисто выбритым без раздражений.  Но! Сетку и ножи я меняю раз в 9-10 месяцев.Хоженые не пробривают. Щетина жесткая.  Для бритья лучше использовать пену, а не гель. По гелю бритва хуже идет.</t>
  </si>
  <si>
    <t>2013-08-29</t>
  </si>
  <si>
    <t>Брала, чтобы молоть крупу для ребенка. Все супер! Очень довольна!!!</t>
  </si>
  <si>
    <t>Очень хороший термопот. Температуру воды держит отлично, таймер четкий, электроэнергию экономит. Единственный малюсенький минусик- нет кнопки включения-выключения, чтобы  залить и вскипятить новую порцию воды нужно: выдернуть штекер из разетки, залить воду и опять вставить в разетку. Не очень удобно, лучше бы на нем была кнопочка ВКЛ.- ВЫКЛ.</t>
  </si>
  <si>
    <t>купил вчера.  пока работают хорошо,но только с линейного входа, при подключении к выходу для наушников сильные помехи!!!!  а в остальном всё хорошо....</t>
  </si>
  <si>
    <t>Люди не покупайте эту так сказать "няню", первый экземпляр купленный в мвидео, изначально не работал, второй проработал ровно месяц. Связь постоянно пропадает, причем родительский блок никак об этом не сигнализирует (хотя должен). В итоге ребенок весь в слезах, а няня молчит. Уровень излучения в 50 см от передатчика составляет ~ 70 мВт\см2, что больше нормы в 7 раз.</t>
  </si>
  <si>
    <t>2016-06-13</t>
  </si>
  <si>
    <t>Купил 11.06.2016, только в белом цвете. Собрал легко. Использую на минимальной скорости, шум только от воздуха(звук мотора не слышен).  Воздух гоняет на ура. В первый же день проработал непрерывно часов 20, к удивлению корпус под мотором был абсолютно холодным. Есть небольшая вибрация(почти не заметная). Сама конструкция вентилятора устойчивая не хуже и не лучше такого вентилятора такого же типа.  Покупкой доволен! Надеюсь проработает долго!</t>
  </si>
  <si>
    <t>2014-04-28</t>
  </si>
  <si>
    <t>Купила 27.04.14 качество нормальное,выпрямляет хорошо, я довольна!В итоге все супер!</t>
  </si>
  <si>
    <t>Качество за такую цену, работа от аккумулятора, качество стрижки</t>
  </si>
  <si>
    <t>Купил около года назад, отличная вещь! Перемалывает все! Готовлю постоянно коктейли, со льдом справляется без проблем, пюре ребенку из любых продуктов(в том числе из мяса) на ура, при этом легкий и мало места занимает. Мыть легко! В общем доволен покупкой!</t>
  </si>
  <si>
    <t>2012-04-10</t>
  </si>
  <si>
    <t>Это пылесос купили года три назад, стала ненавидеть уборку, через полгода использования этого пылесоса, как только гарантия закончилась, перестал всасывать воду, ремонтировали. Про сухую уборку не комментирую, как все обычные пылесосы. А при влажной уборке действительно остается много воды на деревянных полах, действительно может заваливаться на бок, т.к. маневренность отсутствует напрочь, каждое из пяти колес, видимо, тянет в свою сторону, переехать не может даже собственный провод, тоже подтекали насадки, как и у предыдущих пользователей, насадки постоянно слетают с трубы (и это через 3 года, то ли пластик на насадке расползся в диаметре, то ли труба сама как то сточилась) приходится обмотать трубу листом бумаги и потом вставлять насадку, так плотнее фиксируется; и сама труба вечно вылетает из шланга (в месте соединения шланга с трубой вообще весь пластик крошиться начал), если чуть посильнее потянешь - вылетает шланг из крепления к корпусу, в общем разваливается весь. Мыть его тоже удовольствие сомнительное, ванную комнату тоже перемываю после этой процедуры. Готова была смириться с уродливым дизайном в пользу технических качеств, но он не оправдал моих ожиданий никак. Пылесошу часто (почти каждый день) квартира огромная, может быть это все из-за частоты использования? Резюме - есть много свободного времени и Вы обладатель стальных нервов - берите.</t>
  </si>
  <si>
    <t>2010-11-20</t>
  </si>
  <si>
    <t>Наушники СУПЕР!!! Пользуюсь уже больше года, почти каждый день часов по шесть и никаких нареканий. Всем советую. За эту цену отличные уши.</t>
  </si>
  <si>
    <t>3117</t>
  </si>
  <si>
    <t>это игра за которую не желеешь не одного не рубля ни потраченой минуты=)))</t>
  </si>
  <si>
    <t>2289</t>
  </si>
  <si>
    <t>У моих друзей такой же термопот. Завидую и коплю деньги. Обязательно куплю.</t>
  </si>
  <si>
    <t>4040103</t>
  </si>
  <si>
    <t>Самый большой минус товара - привезли БЕЗ полагающихся шурупчиков, которыми крепятся ножки. Причем, пакетик от этих запчастей есть! И шурупчики "тютю". К сожалению, обратили на это внимание только после того, как курьер уехал и дошли руки до сбора конвектора.    Проверяйте комплектацию.    При первом включении сильно вонял, возможно пыль грела или что-то типа того. Сейчас вроде бы получше или принюхались. :)    Муж покупкой недоволен, а я не разочарована, поскольку ничего сверхъестественного и не ожидала.</t>
  </si>
  <si>
    <t>Купил только сегодня, и вот первые впечатления:    ДОСТОИНСТВА:  1)Собственно из-за чего и купил ее - просто замечательная ручка дверцы. Открывается, как говорится на сайте Панасоник, "мизинцем руки, держа рукой кружку". Очень мягко, и закрывается также замечательно и тихо. Сколько не переоткрывал другие печки, даже до 10т.р., нигде не находил близкого к этому - открываются с усилием, закрываются с грохотом.  2) Дизайн. На мой взгляд очень симпатичный (если учесть, что эта модель уже не последней линейки)    НЕДОСТАТКИ:  1) Дисплей. Если с отсутствием часов я смирился заранее, то отсутствие даже подсветки или светящихся цифр меня очень расстроило. На всех фотках в нете цифры горят, а у меня нет. Хотя может это брак моего экземпляра ((  2) Отсутствие быстрого старта. На моем бывшем Самсунге достаточно было нажать кнопку Старт, и автоматически запускался разогрев на 30 секунд, нажал 2 раза - на минуту и т.д. Здесь же приходится сначала установить время, например 3 раза нажав на кнопку "10 сек", и затем нажать кнопку Старт. Неприятно отвыкать от удобства    ИТОГО: покупкой доволен, хотя пара ложек дегтя в бочке меда есть</t>
  </si>
  <si>
    <t>Купил  я ее в апреле , а в 1.10.2010 поменял.Если изменить угол панели и при этом ехать будет слышен грохот ,но не музыка. Диск зависает ,панелька сама не закрывается флешка тоже отказала. Вот такая магнитола.</t>
  </si>
  <si>
    <t>Сломался мой старый выпрямитель, поэтому пришлось срочно бежать в магазин и покупать новый,т.к. он был необходим. Мне нужно было всего 2 функции: чтобы хорошо выпрямлял и регулировалась температура. По рекомендации продавца купила данный выпрямитель. Он оказался даже намного круче моего старого, который покупала в 2 раза дороже еще несколько лет назад. Волосы идеально прямые. Не остаются волны, хотя у меня они ужасно пушатся и вьются. Единственный минус - это можно обжечь руки об бог утюжка, но сверху он не нагревается даже при высокой температуре. Поэтому стараюсь лишний раз не касаться и быть аккуратной. В целом очень довольна. Волосы как после профессионально выпрямления.</t>
  </si>
  <si>
    <t>2339</t>
  </si>
  <si>
    <t>Стоит в приоре универсал. Голова пионер 7900, усил Blaunkpunt 470. Бас качает чётко, гудения нет.  Места много не занимает.  Свои деньги отрабатывает сполна. Рекомендую.</t>
  </si>
  <si>
    <t>1711</t>
  </si>
  <si>
    <t>Чесно говоря не увлекла. Поиграл 2 часа не мог нарадоваться, но прошел день и понял что это будет хуже чем пес 11 (что фифу 11, что пес 11 скачал). Да, у фифы больше клубов, лиг, режим be a pro неудачная копия с песа 9 стать легендой . Графика. Не скажу что лучше или на уровне бокса, но уже что то. Но если приблизить камеру видно что прорисовка хромает, лица пластелиновые, игроки почти деревянные или пластмассовые. Игровой процесс. Геймплей не меняется уже давно. Играть быстро надоедает. Более менее цепляет режим карьеры, но после двух сезонов надоедает. Системные требования. Если сравнивать игры пес 11 и фифа 11 ,то последняя кушает больше, но качество дает хуже песа 11. Да, многие скажут про пес 11 плохое слово, но это эволюционная игра,которая экспериментирует с геймплеем, внедряет новое управление (убран точный пас в ноги) но это не мешает играть, а наоборот вдохновляет или побуждает игрока играть в красивый, комбинационный футбол. Что до фифы то они топчатся на месте. Обновили графику (если сравнивать с 10) и на этом вроде все. Многие купят игру для мультиплеера, но ничего нового там нет. Выбирай команду и играй. В пес 11 команда из друзей/игроков против другой команды, мастер лига онлайн. Подводя итог можно сказать что фифа 11 находится в правильном направлении, но он слишком мал чтобы быть футсимом в этом году. Фифе 11 можно поставить 7.5 - 8.0 баллов. Пес 11 - 8.5 - 9.0  лучший в этом году.  Я выставляю оценку опираясь на ощущения от игры. Пес 11 зажал и не отпускает уже неделю или уже две, а фифа 11 лишь два дня до ожидания конкурента.</t>
  </si>
  <si>
    <t>2014-08-10</t>
  </si>
  <si>
    <t>Скорее всего,  написанное относится ко все мини плиткам такого типа! Она сгорела, чуть не воспламенилась в том месте, где кабель входит в плитку, по всей видимости произошло замыкание из-за криворукой сборки. Если бы вышел из дому во время варки на ней, то последствия были бы очень печальными. Использовать ее крайне не безопасно. Да, ее расхваливают как якобы потому что не возможно обжечься и все такое, но никто не предупреждает о том, что можно лишиться квартиры из-за этого чуда китайской мысли. Минусы:  на малых мощностях работает рывками импульсами, то бишь периодически включается и выключается. Если варить например суп, то так же как на газу не получится, суп будет периодически побулькивать и затихать. Можно конечно прибавить мощности, но тогда будет происходить быстрое вскипание воды. Это сильно разочаровало, т.к брал индукционную плитку взамен обычной дисковой, в надежде на плавную регулировку мощности (газа в квартире нет, большая плита тоже не вариант,  квартира съемная). - Она шумит. Да, именнно шумит и трещит. Уровень шума сравним наверно с шумом работающей микроволновки (или системного блока 2000 годов), а треск напоминает щебетание саранчи.  - Она пищит. (типа предупреждает) по любому поводу. От нажатия кнопок, от временного приподнимания посуды. Громко и противно. Обязательно будет действовать окружающим на нервы, даже не сомневайтесь (особенно по утрам и вечерам). - Сенсорные кнопки. Лучше бы их не было. Плюсы (лично для меня было только пару): + очень быстро разогревается. Да, это так и правда. Вода вскипает моментально. По сравнению с дисковыми плитками. + моментально меняет мощность, т.к плита сама не нагревается (и не остывает соответственно подолгу), а нагревается только дно посуды при воздействии электромагнитного поля плиты на посуду. Короче, брать крайне не рекомендую (ради собственной же безопасности и нервов). Минусы перекрывают плюсы.</t>
  </si>
  <si>
    <t>Ужасный пылесос, деньги на ветер, мощность на самом деле слабее раз от раза, фильтры быстро загрязняются и изнашиваются, а покупать новые - дело недешевое. Сам пылесос после уборки приходиться мыть долго и упорно. Очень жалею о покупке, никому бы не пожелала такой пылесос.</t>
  </si>
  <si>
    <t>2012-09-02</t>
  </si>
  <si>
    <t>Приобрел данную модель пол года назад. Радует отличное качество сборки, дизайн тоже на высоте! Сок получается отменный,особенно нравится яблочно-морковный, рекомендую всем! Огромное спасибо ребятам из МВидео за хорошую консультацию, и помощь в выборе!</t>
  </si>
  <si>
    <t>2013-10-15</t>
  </si>
  <si>
    <t>У нас тоже уже три года, нам очень нравится, ставим даже не на самую горячую температуру и хватает.</t>
  </si>
  <si>
    <t>1295</t>
  </si>
  <si>
    <t>Купили соковыжималку год назад,брали для дачи. Отличная модель выжимает все и быстро.С яблоками справляется за 5 минут,жмых сухой а сок светлый. Хорошая мощность и легко моется. Даже выжимал виноград и она справилась. Отличная модель советую всем!</t>
  </si>
  <si>
    <t>пол года пользовался магнитолой, отказал диск, сегодня отвез в ремонт, а так в принципе доволен. Объясните, какая флешка к навигатору подходит, СД маленькая вроде, не знаю какую надо.</t>
  </si>
  <si>
    <t>1674</t>
  </si>
  <si>
    <t>Оригинал - это главное достоинство. Я всегда предпочитаю за него переплатить чем покупать аналог. Служит долго - сужу по тому комплекту что шел вместе с бритвой. Качество действительно очень высокое, не жалею, что заплатил столько.</t>
  </si>
  <si>
    <t>Покупал приставку два года назад, с тех пор не нарадуюсь, дети тоже играют с удовольствием, сейчас закупился мувами и автомат мув взял, вообще детвора довольна, а игра - праздник спорта тоже супер, дети и в гладиаторов играют и в теннис и в волейбол! Жене купил фитнес, тоже подключилась, все довольны.Спасибо Sony за такую классную вещь</t>
  </si>
  <si>
    <t>Купил 2 месяца назад, очень хороший штатив, претензий не имею. Снимаю свои видео клипы. Очень хороший. Не скользит, прочно стоит не падает. Хорошая регулировка высоты. Думал, что будет не высокий, а оказался очень хороший и подошел, несмотря на то что у меня рост 185.</t>
  </si>
  <si>
    <t>2013-07-10</t>
  </si>
  <si>
    <t>Взял жене ,она не на радуется. Блендер-просто класс, мощный и практичный, 5 скоростей.</t>
  </si>
  <si>
    <t>2010-08-07</t>
  </si>
  <si>
    <t>Купили в М.ВИДЕО,спустя 2 стирки машинка начала течь, причем очень сильно, вызвали мастера, сказал что с барабаном проблемы, хорошо что у нас была доп.гарантия, сравнительно быстро привезли новую, такую же модель.Вот у нас теперь стоит и отлично стирает Electrolux EWTS10620W уже 1,5 года, и ни разу не ломалась, работает на ура, бесшумна, если ставить на ночной режим, то вообще не слышно.А по поводу первой машинки, скорее всего был брак, почти единичные случаи.Вообще фирма Электролюкс очень хорошая и надежная.Всем советую, не подведет в трудную минуту со стиркой.</t>
  </si>
  <si>
    <t>соотношение цена/качество, на мой взгляд идеальная.  миниатюрен, сила обдува для таких габаритов просто восхитительная, работает тихо, из минусов-только отсутствие ДУ для ленивых)  чудесный экономичный вариант, который занимает очень и очень мало места</t>
  </si>
  <si>
    <t>Привет всем фанатам Sony Ericsson! Мне очень понравился s312 внешне, в магазине тоже в руках держал, приятно лежит в ладони.Думаю-покупать или подороже взять модель. Есть пока сомнения по функционалу камеры и плеера! Может кто опишет чуть подробнее их работу!? Заранее спасибо!</t>
  </si>
  <si>
    <t>За свои деньги аппарат неплохой, но сильно шумит и дребезжит.   После года использования взорвалась лампочка от перегрева! Вытяжка продолжает работать, а вот цоколь лампочки расплавился и прикипел, так что просто так ее не поменять. Так что будьте осторожны  Лучше присмотреться к другим моделям</t>
  </si>
  <si>
    <t>2013-04-28</t>
  </si>
  <si>
    <t>Супер комбайн. Пользуюсь уже пять лет. Ничего не вышло из строя,все работает. Отличный помощник на кухне.</t>
  </si>
  <si>
    <t>2014-03-09</t>
  </si>
  <si>
    <t>Мы пользуемся этим аппаратом больше двух лет. В общем довольны. Всасывает очень прилично. Да, фильтры довольно быстро засоряются, приходится чистить. У нас кошки и турбощетка реально спасает. Многие пишут, что слабый шланг, если на него наступить. Зачем наступать на шланг?!!! Индикатор заполнения действительно не работает. Но он и не нужен, т.к. контейнер для пыли прозрачный - и так все видно. Выбор за вами, потребители. Пылесос мощный, тихий, удобный, легко моется, компактно хранится. Классная штука регулятор мощности на ручке. Фильтры и запчасти еще можно найти в магазинах и сервис-центрах. Некоторые недоработки, конечно, есть. Лично нам, при наличии четырех комнат, двух кошек, двух детей и трех взрослых этого пылесоса хватает на 4-5 уборок. Наверное, этот мелкий трудяга не создан для белоручек. Кстати, воздух на выходе чистый и пыль не поднимается.</t>
  </si>
  <si>
    <t>2014-11-30</t>
  </si>
  <si>
    <t>Хорошая вытяжка! Купил поставил и забыл) Надеюсь долго проработает) Очень мощная и почти тихая, толстую газету держит на первой! скорости!</t>
  </si>
  <si>
    <t>У меня тоже пушистые волосы,после расчёски волосы становятся гладкими,мягкими,блестящими.Классная расчёска,я очень довольна!!!</t>
  </si>
  <si>
    <t>2092</t>
  </si>
  <si>
    <t>Купила LG V-K 8730HTX с паровой насадкой сегодня. Сразу протестировала на полу (кафель и линолеум). Пылесосила и мыла паром одновременно- результатом оч. довольна. Пол очень чистый, отмылся пластилин, короче моим малышам можно ползать смело! Пылесос очень легкий, простой и удобный в использовании, легким движением ноги снимается накладка с тряпочкой для гладких поверхностей и можно приступать чистить и пропаривать мебель и текстиль, но старые пятна с обивки дивана не вывел!   Вывод: оч. хорош для ежедневной быстрой уборки семьям с малыми детьми-экономит силы и время, т. к. тяжелый и сложный в эксплуатации моющий или паропылесос каждый день доставать точно не будешь!</t>
  </si>
  <si>
    <t>927</t>
  </si>
  <si>
    <t>Взял для просмотра фильмов и игры на XBOX. Всё устраивает,хотя конечно не хватает 100 Гц. Кто-нибудь знает как активировать режим "Фильм" при просмотре DVD. И вообще - что это такое?</t>
  </si>
  <si>
    <t>Данная модель служит моей маме уже больше 5 лет. Работает отлично. Менять пока не собираемся. Себе будем брать такую же.</t>
  </si>
  <si>
    <t>907</t>
  </si>
  <si>
    <t>Утюг был куплен мною из необходимости, но я осталась довольна. Стандартный набор функций и отличное качество обеспечивают такую легкую глажку, что делаешь это с удовольствием. Кроме того, Moulinex - одна из марок, которой доверяешь.</t>
  </si>
  <si>
    <t>Плюсы:  - пользуюсь уже 3 года  - никогда не подводит  - возможность самому установить температуру  - не жгёт волосы (выпрямляю волосы на 2 ил 3)  - форма держится довольно долго  - волосы очень приятные на ощупь  - низкая цена  Минусы:  - со временем стал сильно нагреваться  - неудобство кнопки, но по мере использования привыкаешь  Выводы: отличный выпрямитель</t>
  </si>
  <si>
    <t>Сначало очень нравился,без проблем прослужил 2 года.И все потек,и с каждым днем все сильней в итоге течь стала невыносимая.Вид чайника остался очень хорошим,но пользоваться им уже нельзя. Разобрал думал, что то еще смогу сделать, все контакты соединения и провода в порядке. Уплотнительное кольцо между ТЭН и корпусом эластичное и в полном порядке.Течь идет из трешин образовавшихся в корпусе в местах затяжки саморезов крепления ТЕН. Видимо отвратительного качества пластмасса и при нагреве и остывании происходит неравномерная деформация вот и возникают трещины!!!! Вещь не дорогая обидно другое известный производитель и большинство техники хорошего качества а тут такая засада. Предыдущий чайник тоже был Мулинекс проработа 12 лет несчадной эксплуатации в кв без горячей воды.</t>
  </si>
  <si>
    <t>За такие деньги - просто отличный, только площадь подошвы маловата,но это не слишком большой минус, даже в некоторых случаях - плюс</t>
  </si>
  <si>
    <t>125</t>
  </si>
  <si>
    <t>Очень хороший мошьный глубокий басс,но конечно мне не нужно 5 метров кабеля,наушники снимались в фильме матрица первом фильме где Нео(мистер андерсен)жил в своей маленькой квартирке(конуре)и там слушал музыку при этом спал.можете сами посмотреть это правда.наушники довольно хорошо шумоизолируют но не идеально,сидят удобно и хорошо на голове,в комплекте входит переходник 6,3мм это очень хорошо так как можно подключать к синтезатору и к гитаре,наушники полностью закрывают уши в отличие от наушников Sennheiser HD-202,использую наушники для проффесионального аудиомикшера и звучание очень правильное и реалистичное проффесиональному аудио,наушники стоят своих денег ,рекомендую тем людям которые хотят услышать по настоящему правильный звук!Очень доволен пакупкой так как с опытом я понял что эти лучшие!!!</t>
  </si>
  <si>
    <t>3030401</t>
  </si>
  <si>
    <t>2040</t>
  </si>
  <si>
    <t>Я эту игру обожаю больше всего! Особенно на ПС2! =)</t>
  </si>
  <si>
    <t>1354</t>
  </si>
  <si>
    <t>Подскажите как к этой модели подключить наушники MDR-XD 100. Купил наушники руководствуясь разделу аксессуары. Подключить не могу и что делать не знаю. Который вход выбрать? Кто знает?</t>
  </si>
  <si>
    <t>Купили три года назад. Очень довольны. Работает отлично! А главное тихий (стоит в комнате)! Свою стоимость полностью оправдывает!</t>
  </si>
  <si>
    <t>Пользовалась 3 года утюжком и от него никогда не избавлюсь.Уже месяц пользуюсь этим феном.Честно говоря,ожидала большего,но результат вполне устраивает.Советую вам использовать его вместе с круглой щеткой,прижимая плотно к фену и тогда волосы выпрямляются+остается оъём в отличие от использовании утюжка.А передние пряди все-равно выпрямляю утюжком.Эффект нравится!</t>
  </si>
  <si>
    <t>Вещь вроде как и отличная, но.... Уже у второй одна и та же проблема, через некоторое время ломается проектор, цифры показывает не полностью... На первом через год, на втором почти через два. Порадовало, что оба сдала, первый по гарантии, второй по услуге обмен без проблем ... Еще и сдачу за использованный год услуги вернули, это удивило и придавило плюсов магазину М Видео...</t>
  </si>
  <si>
    <t>2013-03-07</t>
  </si>
  <si>
    <t>Зубная щетка великолепно выполняет свои функции, очень тщательно очищает поверхность, зубы стали заметно белее, пользуюсь полгода, результат отличный!!!!</t>
  </si>
  <si>
    <t>1046</t>
  </si>
  <si>
    <t>Отличная машина я рад этой покупке</t>
  </si>
  <si>
    <t>Опишите пожалуйста в отзывах изменения после перепрошивки данной модели телевизора. (Для тех кто перепрошивал)</t>
  </si>
  <si>
    <t>апарат норм, громкий стильный и недорогой, один минус румынское производство</t>
  </si>
  <si>
    <t>2015-06-25</t>
  </si>
  <si>
    <t>удобно готовить и мыть, места занимает мало, а готовить на ней очень удобно на обычную семью. дизайн сделан так что максимум без выступов, кроме передней панели, где есть регуляторы. Специально  покупала такую  с выпуклыми регуляторами, ибо сенсоры зло, особенно если кошка в доме ходит - может включить случайно наступив на сенсор. НУ и так как эта панель для мамы в подарок - ей крутилки удобнее.</t>
  </si>
  <si>
    <t>Бритвой пользуюсь уже 6 лет. Никаких нареканий. Правда в последние два года стал подводить аккумулятор. Время работы от него все меньше и меньше. Да и скорость работы без подключения к сети оставляет желать лучшего. Время берет свое! Сейчас бреюсь только от сети.  Режущий блок слишком дорого стоит. Справедливости ради надо сказать, что его мне хватает стабильно на 2 года (бреюсь через день). Протирается до дыр металлическая сетка (да, об лицо и протирается!). Какой-то там нежный (или тонкий) металл.</t>
  </si>
  <si>
    <t>Виликолепный плеер от которого была в восторге, но продлилось это всего неделю и он умер.Жестко с ним не обращались,ни каких падений и ударов не было.Теперь жалею что вообще его купила.</t>
  </si>
  <si>
    <t>Хорошая панель. Немного затруднен электророзжиг.</t>
  </si>
  <si>
    <t>Моему лет пять минимум, приличный срок для службы, нареканий в работе нет и не было.</t>
  </si>
  <si>
    <t>Хороший кондиционер. Свою функцию - охлаждать квартиру, выполняет отлично. Стоит в большой комнате, охлаждает коридор, кухню и еще одну комнату поменьше. Считаю недостатком, то, что не подсвечивается дисплей на пульте дистанционного управления. Хотели купить более дорогую модель, теперь даже рада,что в то время ее не было в продаже.</t>
  </si>
  <si>
    <t>покупал для никона L110 фотик влез идеально, как будто для него и пошита, качество клевое, есть ремень чтоб на плече носить и кармашек куда и батарейки влезут и карты памяти и что удобно можно и в руке носить</t>
  </si>
  <si>
    <t>Пылесос действительно оправдал свою характеристику, очень мощный.Я довольна!</t>
  </si>
  <si>
    <t>2016-12-10</t>
  </si>
  <si>
    <t>Хороший дизайн, добротная упаковка хорошо предохраняющая товар от повреждений при транспортировке. Есть ряд интересных и удобных решений таких как: наличие отверстий (большие и малые) в крышках кастрюль и ковшиков - заменяет дуршлаг, носики для слива на кастрюлях и ковшиках. Заявлена гарантия 25 лет (на посуду из нержавеющей стали), тройное дно.</t>
  </si>
  <si>
    <t>моник супер</t>
  </si>
  <si>
    <t>Ноут очень нравится, только два недостатка: греется и аккумулятор больше 2х часов не держит, приходится сидеть у розетки.</t>
  </si>
  <si>
    <t>пользуюсь 2года. утюг хорошо гладит. чаще всего на max с паром.если не разглаживает, то водичкой брызгаю и все хорошо!</t>
  </si>
  <si>
    <t>Заказала такую, привезли. При первой же пробе ждало разочарование. Такое впечатление, что у неё полностью тупые ножи, мясо не режет, а мнет в какую-то кашу.</t>
  </si>
  <si>
    <t>1572</t>
  </si>
  <si>
    <t>Адекватная цене в 16к. модель, доволен, пользую две недели на момент отзыва. Размеры аналогичны иксбоксу360, при  этом последние игры (сталкер, код, стар ворс, редфэкшн, аватар) в макс. разрешениях (монитор ХД) более чем играбельны, естесно не в макс. настройках, но при понижении разрешения все бегает очень и очень.   Привожу индексы в 7: память 5,5, диск 5,9, игры 6,5 (!). Тихий, если сравнивать с большими страшными ящиками - щитай ноут, при этом не ахти и горячий. Вполне может стать медиаплеером.   Из замечаний: нет vga выхода, оперативки только 2 гига, но пока недостатка в ней нет, видеокарта все вытягивает сама за свой гиг, что то поставить в корпус уже вряд ли выйдет, все впритык, впрочем, за корпус и брал.   Начинка: 7 хоум. Сносится и ставится что надо без проблем. Операции с винтом без заморочек.</t>
  </si>
  <si>
    <t>Игра лучшая из когда либо выходивших на PS3, таких хороших игр не было ещё со времён Wolfenshtein и Half Live 2. Это даже не игра а какбы интерактивный фильм в котором вы главный герой! 4 роли, 4 жизни, 4 судьбы, 4 дня...</t>
  </si>
  <si>
    <t>Хорошая машина! Сначала установили неправильно, прыгала по ванне. Потом выровняли по уровню, при отжиме ставишь стакан с водой, вода не выплёскивается.    Больше замечаний нет! Устанавливайте сразу правильно, иначе недолго прослужит!</t>
  </si>
  <si>
    <t>Очень не советую покупать эту машину!!! На третий год работы машина сломалась. Перестала сливаться вода из бака. Сначала решили ремонтировать, но на форумах почитали и поняли, что бесполезно, поломки могут проявиться опять.   Кроме того машина при отжиме сильно прыгает и гремит, хотя установлена правильно.  Периодически возникают какие-то ошибки и машина зависает.</t>
  </si>
  <si>
    <t>- Пользуюсь этим телефоном уже год, покупала в М.видео. Никаких замечаний.  - Долго выбирала красивый функциональный телефон с хорошей камерой. Когда увидела эту модель, на другие больше не смотрела, а когда взяла в руки в магазине - влюбилась раз и навсегда!  - Достоинства: очень хорошая камера (вспышка,автофокус,панорама), удобное меню, стильный дизайн, и еще много приятных мелочей :)  Недостатков пока не заметила.  - Рекомендую!</t>
  </si>
  <si>
    <t>2014-05-22</t>
  </si>
  <si>
    <t>Купил вчера по акции, сразу поставил, влез в шкаф под раковиной. Через 10 минут горячая вода из крана на кухне!!!! УРА!!!!Мечта сбылась!!!!! Покупкой невероятно доволен))))))) Одни положительные эмоции!!!!!</t>
  </si>
  <si>
    <t>очень долго выбирала чайник, читала множество комментариев..и решила приобрести Philips HD 4659/04 нисколько не жалею!!бесшумный, мощный, не пахнет пластмассой, удобное открывание крышки и через стекло можно наблюдать как быстро закипает вода.очень порадовал всех!!</t>
  </si>
  <si>
    <t>Купил такой полторы недели назад. Меньше чем через неделю после покупки, сразу после его включения и загрузки игры заметил тормоза, которых за день до этого не было. Пока выходил из игры, он самопроизвольно выключился. Запускаться заново отказался. ОЧЕНЬ горячий был. Постоял немного, запустился, поработал минут 5 и опять отключился, и так пол дня. Я думаю, что был брак системы охлаждения (я не слышал кулера).  В тот же день пошел в магазин и поменял на такой же. Прошло 3 дня, пока без нареканий. Надеюсь единичный случай был.</t>
  </si>
  <si>
    <t>Мы уже четвертый год пользуемся увлажнителем воздуха Bork H700, и могу сказать, что за свои деньги это практически маст хэв для всех, кто хочет создать здоровый климат у себя в квартире или дома зимой. Все знают, что обычно при работающем отоплении влажность сильно падает, что явно не идет на пользу здоровью, да и эта сухость ощущается и взрослыми, и детьми. Зато как стали пользоватсья увлажнителем, стало даже как-то дышать приятнее дома. Прибор в пользовании несложен, нужно только не забывать подливать в него воду. С другой стороны, без воды он сам не включится, так что безопасность на высоте. Энергии потребляет совсем немного, а шума и вовсе никакого нет, такая тут конструкция.</t>
  </si>
  <si>
    <t>У меня вопрос какой усилитель подойдет для этого сабвуфера?       ▶▶▶ОТВЕТ ЭКСПЕРТА «М.ВИДЕО»◀◀◀   Иван, тут многое зависит от типа кузова Вашего авто. Присмотритесь к этим моделям: 1) автомобильный усилитель (1 канал) Kicx AR 1.350    2) автомобильный усилитель (1 канал) Pioneer GM-D8601;   3) Автомобильный усилитель (2 канала) Kicx KAP-27 эта модель не самая мощная, отлично подойдёт для хэтчбэка (использовать мостовое соединение).</t>
  </si>
  <si>
    <t>Жена  очень довольна-моет отлично и без проблем</t>
  </si>
  <si>
    <t>Пользуюсь устройством 1,5 мес. В целом довольна. Пожалела, что обновила Андроид Киткат до Андроид Лоллипоп (слишком эксклюзивные и ядовитые цвета, первая - спокойней). Не понравилось, что когда регулируешь качелью громкости звук, большой палец с противоположной стороны очень часто нажимает кнопочку Вкл и экран гаснет. По мне - так лучше бы Reset была сверху устройства.   Один раз уронила на асфальт прямо стеклом с высоты своего роста - ни царапины!   Ну и чехол - лучше б откидывался вниз, чем в сторону.  А так - смотрите сами) По производительности и по качеству - все 100%. На мой взгляд - хромает только эргономика...</t>
  </si>
  <si>
    <t>Купил меньше недели назад. Встаю на весы по 5 раз подряд из них 2-3 показания одинаковых. Причем устаналиваю на ровный пол, на 1 плитку положенную по уровню. В общем условия создали идеальные для весов, а они врут.</t>
  </si>
  <si>
    <t>2014-04-05</t>
  </si>
  <si>
    <t>Купили по акции (установка бесплатно), через 2 недели установили. Охлаждает ооооочень хорошо, просто замерзнуть можно за пару минут. Работает тихо и наверное это единственный кондей, который действительно не шумит.</t>
  </si>
  <si>
    <t>2016-07-02</t>
  </si>
  <si>
    <t>Хорошая, надежная, простая в использовании микроволновка. Покупала ее маме, она очень довольна, разогревает, говорит, отлично, а больше ей и не надо нпичего, уже год прошел, никаких нареканий, еще лет 5 думаю проработает.</t>
  </si>
  <si>
    <t>Купила машинку 1,5 года назад, никаких нареканий, все просто супер. Даже с минимальным напором вода работает.</t>
  </si>
  <si>
    <t>Пользуюсь данной моделью уже более трех лет.   Замечательно справляется со своей задачей. Легко и быстро.  Удобно регулировать температуру.  К покупке рекомендую!</t>
  </si>
  <si>
    <t>3046</t>
  </si>
  <si>
    <t>2012-06-05</t>
  </si>
  <si>
    <t>навороченная штука! очень доволен..! покупайте незадумываясь.. насадок докупить, и можно пользоваться всей семьёй, правда, по очереди..:). p.s. у меня отбеливающая насадка - реально отбеливает.. пользуюсь неделю, и уже результат на лицо..</t>
  </si>
  <si>
    <t>2011-12-07</t>
  </si>
  <si>
    <t>Купил вчера, выбрал по отзывам. Работает плохо - с одного края кусок подгорает, второй - белый. На 1 получается как у других моделей на 3-4, совершенно не понравился. Нет возможности сделать просто чуть-чуть поджаренный, на режимах 4-5 вообще угольки получаются. Сегодня пойду сдавать</t>
  </si>
  <si>
    <t>2864</t>
  </si>
  <si>
    <t>НИЧО ТАКАЯ ВЫЖИМАЛОЧКА ТО!</t>
  </si>
  <si>
    <t>во многом отличный аппарат, однако очень хромает качество сборки, поэтому если решили брать - внимательно осмотрите аппарат</t>
  </si>
  <si>
    <t>Приобрели холодильник месяц назад. Выбирали с большим объемом,системой No Frost и системой ионизации и очистки воздуха,но решающим моментом покупки послужил нужный нам бежевый цвет. Холодильник собран из качественных материалов, по сравнению например с Whirlpool. Морозит хорошо. Единственный на мой взгляд недостаток,то что он работает очень шумно. Чтобы нормально уснуть дверь на кухне приходится закрывать. Это конечно очень плохо. Но с другой стороны, холодильник достаточно объемный и мощный,и может быть поэтому так громко себя ведет)  В общем модель достаточно хорошая, качественная и вместительная. Кого не пугает шум, тем рекомендую)</t>
  </si>
  <si>
    <t>Телевизор подключил к компу и получил огромный манитор,играть забойно,в гонки обалдеть,ещё руля не хватает</t>
  </si>
  <si>
    <t>2011-03-11</t>
  </si>
  <si>
    <t>Пользуюсь данной моделью 1,5 года.  Картика отличная, цвета и т.п.  но после использования режима 4:3 три месяца подряд на экране осталась тень по границам формата.  Также не нравится то, что в экране все отражается, сидишь и  смотришь на себя и интерьер.</t>
  </si>
  <si>
    <t>Приобрела месяц назад этот утюжок.Плюсы- не заметила чтоб портил волосы,сначало показалось что слегка тяжелый и будет не удобно-но оказалось пользоваться удобно,рука не устает,гафре делает очень быстро,и хорошо что широкие пластины а минус один- сами пластины которые меняются они шатаются,("гуляют")незнаю,на сколько мне его хватит)но пока все устраивает,вполне неплохой товар!Будьте внимательны и распаковывайте прям на кассе когда расплатитесь и проверяйте!Удачи)</t>
  </si>
  <si>
    <t>Очень хорошие часы! Прикольные такие!!! Радуют глаз!</t>
  </si>
  <si>
    <t>2358</t>
  </si>
  <si>
    <t>2015-03-15</t>
  </si>
  <si>
    <t>Соглашусь с предыдущими отзывами касательно протечки воды, после которой увлажнитель перестает увлажнять совсем, пока все не вытрешь насухо (и корпус и резервуар). Но это возникает редко.  На мебели у нас следов не остается, а на самом увлажнителе, т.к. он черного цвета, заметен беловатый налет, который легко стирается сухой тканью.   А вот на максимальной мощности и максимальном уровне увлажнения производитель обещает чуть ли не 90% влажности, но увы и ах. В обычной "хрущевской" спальне, которой очень далеко до 40 м2, отдельно стоящий гигрометр показывает влажность воздуха не более 50%, которая до включения увлажнителя составляла около 36-40%.   Но, если верить доктору Комаровскому, то 50% вполне подходит для ребенка. Сын 3 лет действительно больше не сопит носиком во время сна, но вот в борьбе с кашлем увлажнитель нам не помог.  Ионизации не ощутили, хотя не уверена, что её вообще можно ощутить.</t>
  </si>
  <si>
    <t>1860</t>
  </si>
  <si>
    <t>Машинкой очень довольна, никаких нареканий. Любые ткани ей под силу, никаких "тормозов" в работе, 14 строчек - более чем достаточно. В общем, оценка очень положительная, рекомендую для тех, кто занимается шитьем для себя!</t>
  </si>
  <si>
    <t>Телефон отличный ,очень удобный ,фотки супер,звук плеера супер!Всем советую!</t>
  </si>
  <si>
    <t>Купили первый - страшно гудел, поменяли, второй сломался через 2 недели. Кстати, второй тоже гудел, хотя и меньше чем первый. У нас есть еще 2 увлажнителя других фирм, ни один не гудит. Берите проще и дешевле какой-нибудь, если не принципиально Bork.</t>
  </si>
  <si>
    <t>2261</t>
  </si>
  <si>
    <t>Купил их неделю назад. На полной громкости не трещат, звук чистый, отлично слышны ударные. До этого были Панасоник, так они им в подметки не годятся. Всем советую. Замечательный товар. Проверено на собственном опыте.</t>
  </si>
  <si>
    <t>Всегда пользовался обычными насадками, решил попробывать эту и зря! 1. чистка жёсткая, некомфортная из-за толстых шитинок MicroPulse 2. после чистки ноют дёсны, возможно нужно привыкнуть, но смысла в этом не вижу! Якобы эти толстые шитинки проникают глубоко между зубами-без зубной нити не орбойтись однозначно! Пару раз пользовался этой насадкой, больше не тянет.</t>
  </si>
  <si>
    <t>Честно говоря, я даже почти отказался от намерения купить этот пылесос, прочитав оценки с одной звездой... Но, не верилось, что Бош может так не ценить свой товарный знак и репутацию. До этого 19 лет пользовался Хитачи (сделан на Филиппинах). Но - морально устарел и текстильный мешок вытрясать - дело грязное и неблагодарное, запах пылесоса и сломал случайно место крепления трубок. 19 лет служил верой и правдой да ещё поработает у друзей на даче... Короче, созрели для покупки нового. Рынок просто переполнен предложениями и выбрать то, что тебе действительно нужно, очень не просто. Решение созрело после прочтения положительных отзывов, консультация в магазине и многоразовое щупанье и этой, и других моделей. Не мог понять, какие проблемы были у людей с забиванием фильтров и многочасовым разбиранием пылесоса для прочистки его фильтров? Ещё в магазине посмотрел, что все фильтры очень доступны, все разбирается за считанные секунды. Сделано все добротно, очень удобно и технологично. Также привлекло то, что все фильтры - моющиеся, то есть не нужно покупать расходники. А то у друзей пылесос Бош, который у них рабочий, но на него не найти мешков - сняли с производства.... Ну и, конечно, у нас есть опыт эксплуатации нескольких единиц техники этой фирмы. Ни что не подводило пока. И вот - купили сей агрегат... Впечатления: очень тихий для такой мощности. Мусор собирает как зверь. У нас длинношёрстная кошка с соответствующими проблемами. Вечно приходилось после пылесоса прежнего собирать шерсть с ковра с помощью щётки минут 15. А тут - турбощётка за минуту все шерстинки собрала. Ковер вычищает просто великолепно. Вся уборка квартиры с помощью пылесоса занимает 10 минут с учётом сбора пыли сверху мебели. Собрал пыль и грязь на порядок больше и быстрее старого. Очень просто контейнер очищается... и промывается, кстати, тоже очень просто. В общем, агрегат понравился. Что не очень понравилось. Необходимо быть внимательным при выборе конкретной модели. Модель чёрного цвета (с турбощёткой в комплекте) не имеет в комплекте насадки для сверления и удлинённой щелевой насадки (а хотелось бы). Ещё бы не помешала насадка с мягкой щетиной для мебели. Ну и, конечно, нужно с собой тащить в М-видео старую технику на утилизацию сразу - покупка обойдется на 20% дешевле. Пока опыт эксплуатации не очень большой - всего 4 уборки. Если будут проблемы, обязательно напишу. Пы.Сы.: я не менеджер фирмы Бош, но считаю, что оценки в таких местах должны быть объективны и помогать другим сделать правильный выбор...</t>
  </si>
  <si>
    <t>Купила недавно эту стиральну машину. Всё устраивает дизайн, как отстирывает вещи, не шумит и не вибрирует. Внешне очень приятная, по функциональности просто супер. Не могу нарадоваться. Очень вежливое обслуживание. Молодцы так держать!!!!</t>
  </si>
  <si>
    <t>3148</t>
  </si>
  <si>
    <t>Эту зубную щетку мне порекомендовали мои друзья! Решила сама попробовать!Очень удобная в использовании, прямая щетка сверху позволяет убирать все остатки пищи на зубах и деснах!!</t>
  </si>
  <si>
    <t>Вот спустя год и 1 месяц сломалось данное чудо. А ведь все было хорошо. Поломка заключается в том, что не идет вода. Он греет, при нажатии шумит, но вода не течет. Думал от накипи засорился, прочистил, но не помогло. (((((</t>
  </si>
  <si>
    <t>Купили машинку в октябре и с радостью пользуемся. Стирали в ней и шелк и хлопок и отбеливали, по поводу вышибаний машинки могу сообщить, вышибается с места только при максимальном отжиме, отжимает при 1000 оборотах насухо, но из махровых полотенец лезут нитки... а на 400 оборотах отжима просто идеально! и белье слегка влажное и не прыгает, и нитки на месте!</t>
  </si>
  <si>
    <t>Звучание могло быть и лучше</t>
  </si>
  <si>
    <t>ненадежная фиксация при регулировке наклона</t>
  </si>
  <si>
    <t>3004</t>
  </si>
  <si>
    <t>Пользуюсь hp 4515s чуть меньше месяца, многим в нем вполне доволен. Удобная полноценная клавиатура, вполне устраивают характеристики,за свою цену.    Но! Мне кажется он сильно греется. Температура ядер без нагрузки 50-60, при нагрузки доходит до 80,система охлаждения в этот момент явно начинает работать с предельным усердием, в принципе выше 80-82 не поднимается никогда температура. Тем не менее корпус довольно горячий, на коленях держать неприятно.  Охлаждающие подставки для него, я думаю практически бесполезны, внизу корпуса ни одной дырки.  Может кто-нибудь просветит на этот счет, нормальная ли температура?</t>
  </si>
  <si>
    <t>2017-01-15</t>
  </si>
  <si>
    <t>простая как самовар</t>
  </si>
  <si>
    <t>Хотелось добавить немного баса за небольшие деньги :) Приобрел данный комплект и остался более чем доволен звучанием и мощностью!  Если честно ожидал меньшего и косился на более дорогие   Считаю свой выбор правильным по цене и качеству</t>
  </si>
  <si>
    <t>8 мес. назад купили эту чудо-устройство. При покупке ориентировались в большей степени на дизайн (вся кухня в нержавейке). Но в процессе использования были приятно удивлены ее возможностями: простое управление, еда в ней готовится быстро, пароварку легко мыть, одновремменно моно готвить два блюда в одной емкости (есть разделитель). Очень удобно, что после приготовления пароварка может подогревать блюда в течение часа. Покупкой очень довольны. Всем советую!!!</t>
  </si>
  <si>
    <t>Если буду покупать кофемолку, возьму эту, т.к. она имеет жерновой механизм, что, как написано в инструкции, обеспечивает "однородность  помола ... для гарантии однородного экстрагирования всех частичек молотого кофе."</t>
  </si>
  <si>
    <t>1574</t>
  </si>
  <si>
    <t>Аппарат хороший, но для игр явно не предназначен, иногда бывает зависает на играх, а так очень даже хорош...</t>
  </si>
  <si>
    <t>купил недавно u100i, телефон замечательный, всем устраивает, берите, не пожалеете! и цена для такого телефона вполне приемлема.</t>
  </si>
  <si>
    <t>Брал для работы с документами word, excel etc. Справляется с задачей отлично, удобно таскать на нем части диплома в инст, легкий, отличная камера, хороший звук и микрофон встроенный тоже ничего.  Из минусов - очень долго грузится опера, так что перешел на мозилу, кнопки insert и num lock совмещены в одну клавишу, но очень странно (чтобы нажать nlock нужно зажимать еще одну клавишу, что очень неудобно ибо нум лок используется чаще инсерта раз эдак во много). И еще постоянные проблемы с полосой прокрутки, драйвера в порядке, настройки правильные, но она просто перестает работать, и так до переустановки драйвера, затем все по новой, причина мне неясна, однако похоже у меня одного такая проблема</t>
  </si>
  <si>
    <t>2011-02-06</t>
  </si>
  <si>
    <t>Пользуюсь с апреля 10г. Готовит мясо,рыбу, курицу очень хорошо, особенно быстро получается с конвекцией. Торт тоже пропекается изумительно, но вот пироги получились сухими. Через некоторое время вышел из строя поджиг, и сейчас проблема при включении. Если просто нажимаешь на поджиг, то не включается, а лампочку параллельно включишь и всё заработает. А вовсём остальном проблем нет.</t>
  </si>
  <si>
    <t>За такие деньги телефон мог быть и пошустрее.   Плюсов много. Большой экран, хорошая камера, добротный звук, удобные кнопки.  Из минусов. Задняя металлическая панель стирается и немного странно смотрится, протертость такая. Аккумулятора хватает на неделю не больше, говорю не много. Быстро сломался динамик (во время разговора трещал жутко), поменяли за 4 дня, но осадок остался (со слов продавщицы это проблема не единична). Разок упал и образовался хороший скол, все предыдущие телефоны такие падения даже не замечали.   И самое не приятное телефон сам через WAP выходил в интернет. зайдет/выйдет зайдет/выйдет и так 20 раз на дню. За два дня съел около 4 сотен рублей.   Я его купил за внешний вид, за это и люблю, хоть телефон и с характером.</t>
  </si>
  <si>
    <t>2013-02-16</t>
  </si>
  <si>
    <t>Когда приобретала,не думала,что это очень удобная вещица! Не надо стоять у плиты засекать время для того чтобы сварить всмятку или крутую. Налил необходимое количество воды и завтрак готов за считанные минуты и яйцеварка сама тебя оповестит о готовности! Вообщем экономит драгоценное время!</t>
  </si>
  <si>
    <t>Не советую всем!!!!  После двух недель эксплуатации сплошные недочеты.  Люфтит панель снизу спереди, вечно при нажатии на кнопки с левой стороны - щелкает задняя крышка, пришлось подложить листок, вроде перестала. Дальше больше, часто виснет, иногда может работать без сбоев два-три дня, но иногда аж хочется разбить его до того нервов не хватает.    Камера отвратительная, со вспышкой все как в тумане, видео снимает норм, фото так себе, до этого юзал 5700, по сравнению с ней в 100000 раз лучше во всем!  Динамик тихий, если в помещение (пример в комнате)играет громко, но звук так себе, а где нить на улице или на месте учебы ели слышно!!!!, но в наушниках звук отличный (не в стандартных!!!, а так купленных рублей за 500-700 как у меня.)    Часто путаются кнопки на панели.     От себя: я тоже читал такие же комментарии, который я щас написал, и я думал что просто им достался плохой девайс, но теперь пришла и моя очередь, ведь действительно за такие деньги можно было сделать намного лучше.    Да и еще после 3-5 дней интенсивной эксплуатации очень сильно начинает скрипеть!!!    Мой совет не покупайте, лучше купить что-нибудь получше!</t>
  </si>
  <si>
    <t>2110</t>
  </si>
  <si>
    <t>Все кто берёт Маки по моему просто люди которые вообще ничего в ноутах не понимают!!!    За эти деньги можно взять оч крутые ноуты которые намного мощнее!! с процом i7 и видяшкой которая 11 директ держит!!!  я вот тоже данво думаю какой ноут лучше взять! но Мак я сразу отклонил, да они пафосные, да они стильные,  но функционал оч бедный за такие деньги! я считаю того не стоит!  доплачивай лучше 8 штук и бери  Acer AS5942G-728G64Bi  тут же в мвидео и продают!    а вообще сам сомтри что тебе надо, замена домашнего ПК дак я те выше упомянул ноут, или ультромобильный...    Sony как ультромобильный оч хорош ещё Packard Bell особенно  Packard Bell LJ75-JO-101 (раньше он стоил вообще 34)  Sony в данном случаи проигрывает Экраном...у него оч много моделей с Ламповой подсветкой...    а вообще если нужен небольшой и оч мощный и стильный ноут то бери   Packard Bell LJ75-JO-101    суперский!</t>
  </si>
  <si>
    <t>2012-04-05</t>
  </si>
  <si>
    <t>Действительно, она несколько перегревает, но я подложила плотную картонку - и все отлично! Я делаю на заквасках \"Свой йогурт\" - вкус нежный, некислый, а по времени даже быстрее делается, чем указано а инструкции; я весьма довольна!</t>
  </si>
  <si>
    <t>2087</t>
  </si>
  <si>
    <t>тихий, нет запаха, сетовая индокация включения</t>
  </si>
  <si>
    <t>Купили машинку 3 недели назад. Работает как часы, правда при отжиме шумновата,как реактивный двигатель. Больше нареканий нет. Стирает хорошо.</t>
  </si>
  <si>
    <t>По своим техническим характеристикам - лучшая модель среднего класса. Что касаемо эргономики и удобства - есть маленькое не очень приятное "НО": клавиша управления (лев.кнопка и прав.кнопка мыши) - цельная и слишком длинная, что, немного осложняет моментальный доступ к ним.   В целом аппарат приличный, заслуживает своих 5*</t>
  </si>
  <si>
    <t>1718</t>
  </si>
  <si>
    <t>2016-11-26</t>
  </si>
  <si>
    <t>качественная, красивая, быстрая</t>
  </si>
  <si>
    <t>699</t>
  </si>
  <si>
    <t>2014-12-29</t>
  </si>
  <si>
    <t>Чайник протекает, на  подставке всегда вода, которая постоянно капает при поднятии чайника. Во-вторых: крышечка чайника постоянно дребежит при кипячении и это со времением реально напрягает. Да,  он керамический и есть в комплекте маленькие чашечки, только чай из них не попьешь, а для варенья вполне сойдет ....</t>
  </si>
  <si>
    <t>2014-06-14</t>
  </si>
  <si>
    <t>Машинка очень понравилась. Великолепно моет тарелки, чашки моет хорошо, столовые приборы иногда приходится перемывать вручную (не больше 10% от общего числа). Работает тихо, спать не мешает. Очень экономичная - и по расходу воды(10 литров цикл) и энергии (1кв/ч цикл) и по расходникам (килограмм соли на 60 моек, литр ополаскивателя на год, наверно, кило моющего средства на три месяца точно). Использую самые дешевые средства, разницы с дорогими - не замечено. Немного огорчает качество пластика дверцы и кнопок, но это самая дешевая модель, главное, что моет хорошо, а пластик можно простить.</t>
  </si>
  <si>
    <t>1132</t>
  </si>
  <si>
    <t>МАШИНКА БРЕДОВАЯ.Во время отжима - вибрация такая, что страшно оставлять включенной, когда уходишь.  Кто сказал, что стирка тихая.Когда воду сливает - насос работает так, что соседям слышно.  Если б моя воля, то сдал бы ее опять в магазин.</t>
  </si>
  <si>
    <t>2014-08-20</t>
  </si>
  <si>
    <t>Стандартная сеточная бритва. При этом по низкой цене.  Лучшая по соотношению цена/качество   Бреет так же, как и большинство других сеточных бритв. Т.е. только короткую щетину.  Недостатков не заметил. Зарядка 8 часов не важна, если оставлять на ночь.  Отрицательные отзывы от тех, кто не знает, что такое сеточная бритва. и не умеет ей пользоваться.  Идеальный выбор для тех, кто бреется каждый день.</t>
  </si>
  <si>
    <t>Такая посудомойка проработала у нас два года вообще без вопросов.Сразу скажу,чтобы хорошо мыла,нужно правильно располагать посуду в машине.Использовали только таблетки,типа "всё в одном" или "почти всё".Правда соль не сыпали совсем.Результат-она сломалась.Пишет Е3 и останавливается.</t>
  </si>
  <si>
    <t>Игра улетная, проходил несколько раз, остался под большим впечатлением, есть моменты, где по самые кости пробирало. В общем я доволен, что купил эту игру. Всем любителям этой серии советую купить эту игру. Она заслуживает всех похвал.</t>
  </si>
  <si>
    <t>Не впечатлил.. Ожидал большего. Обыкновенное кабельное тв показывает плохо, возможно со спутниковым тв будет лучше.</t>
  </si>
  <si>
    <t>Купила машинку 1,5 года назад. не скажу, что много шью, но если шью, то что-то крупное: платье, костюм... нет ни одного нарекания к данной модели. Плавная регулировка скорости шитья, есть весь минимальный набор строчек, необходимый при работе, плюс немного декоративных строчек, но я ими особо не пользуюсь. Не сильно шумит, легко меняются лапки, автоматический нитевдеватель. Гарью, кстати, никогда не пахло... рекомендую)))</t>
  </si>
  <si>
    <t>Купила утюг полгода назад. И до сих пор не могу нарадоваться! Раньше не могла заставить себя погладить. Сейчас при любой свободной менуте берусь за утюг и глажу с удовольствием. Своим предыдущим утюгом не могла разгладить не одной складки. Сейчас при одном прикосновении любая вещь идеально гладкая. Покупайте и не сомневайтесь - не пожалеете!</t>
  </si>
  <si>
    <t>Купил недавно его, всё делает быстро, не глючит, звук классный, всё интуитивно, после кпк как в раю. Только советую всем еще зарядку отдельно покупать, а то НЕУДОБНО постоянно USB шнур с переставлять. Всем советую.</t>
  </si>
  <si>
    <t>Цвет чайника и дизайн замечательный.Спустя 2 недели после покупки нагревательный элемент покрылся ржавыми пятнами.Оказывается он сделан из ржавейки а не наоборот.Сразу же вернул в магазин.</t>
  </si>
  <si>
    <t>Очередной проработал,как и предыдущие, 2 года. Проржавел и потек бак. Восстановлению не подлежит.</t>
  </si>
  <si>
    <t>Купили полтора месяца назад в М видео у нас в городе. Нареканий почти нет, единственное- шумит.А работает отлично. Мне нравится. Тянет просто замечательно!</t>
  </si>
  <si>
    <t>Привет! Понравился дизайн, цена, и характеристики...паласы, ковры и ламинат хорошо берет..пыль да, налипает немного на насадку! ну это у многих я думаю...взял еще со скидкой в 20% ) пока радует все!</t>
  </si>
  <si>
    <t>Купила месяц назад. Хлеб получился с первого раза. ОЧЕНЬ довольна. Всем рекомендую. У меня мама точно такую же собирается покупать :)</t>
  </si>
  <si>
    <t>игра просто улёт. жаль только, что не на русском.</t>
  </si>
  <si>
    <t>Очень доволен покупкой и обслуживанием в магазине.</t>
  </si>
  <si>
    <t>2017-05-02</t>
  </si>
  <si>
    <t>Дешево-сердито!</t>
  </si>
  <si>
    <t>17</t>
  </si>
  <si>
    <t>И года не проработал агрегат - умерла сенсорная панель. Жалею о покупке этого аппарата, - можно было купить более живучий за те же деньги..</t>
  </si>
  <si>
    <t>Пользуюсь пылесосом уже год, очень доволен !!! Мешка хватает на 2,5 - 3 месяца. Очень хорошая мощность, удобный в эксплуатации.</t>
  </si>
  <si>
    <t>1971</t>
  </si>
  <si>
    <t>Покупал эти наушники года 4 или 5 назад, работают до сих пор на отлично, динамики не расшатались, НО амбрашури растянулись и иногда вылазят, эксплуатировались практически всегда дома, в чехле лежали только при переноске.   Звучание отличное, для данной ценовой категории, отчетливо слышу разницу между mp3 192, mp3 320, flаck и обычным CD, даже на встроенной звуковой карте ноутбука.   Обладателям АЙПОДА нано (про классик не могу сказать), сам являюсь таким, не тратьтесь на них, лучше купите уши до 1000 руб, это максимум на что он способен. (слушал их на многих плеерах, звуковых, стационарках, и айпод оказался самым худшим к сожалению)  По поводу удобства: в принципе наушники удобны, и в ношении и в переноске, но есть один момент - при длительном прослушивании устает голова(или уши), тк сжимают голову, тугие. Это заметно при длительном прослушивании, начиная от 1.5-2 часа, что не скажешь при первом опыте эксплуатации, обманчиво получается.</t>
  </si>
  <si>
    <t>Этот чайник супруг покупал себе на работу. После увольнения принес домой, пользуемся до сих пор. Он очень вместительный, на большую семью или семью чае-маньяков хватает прекрасно. Закипает очень быстро, о корпус обжечься невозможно. Один недочет - со временем начал чуть подтекать носик, но мы приноровились его держать чуть под углом и тогда вся вода попадает в кружку)</t>
  </si>
  <si>
    <t>3075</t>
  </si>
  <si>
    <t>Впринципе, пользуюсь уже около года, при работе по проводному инету выпадал синий экран, поставил вайфайку проблем нет, игры тянет все, на максимальной графике, слега притормаживает при работе с жестким диском</t>
  </si>
  <si>
    <t>Удобная,волосы не дерет</t>
  </si>
  <si>
    <t>Ничего подобного, если у вас ТВ поддерживает HDMI, то всё будет прекрасно видно (на себе проверено). И совсем необязательно покупать дорогущий Microsoftовский кабель за 1500р, можно и за 300 рублей взять - ничего не изменится(на себе проверено)!</t>
  </si>
  <si>
    <t>Вот все пишут DVD смотрят через HDMI ;) разрешение DVD-фильма - примерно 720x300 Пикс, а у этой панели разрешение экрана: 1920x1080 Пикс(FullHD). Если у Вас нет Blu-ray плеера (один диск с фильмом от 1000 до 2000р.-:) ) и Вы не собираетесь подключать панель к компу то за эти деньги можно диагональ 37" взять)))</t>
  </si>
  <si>
    <t>2015-07-03</t>
  </si>
  <si>
    <t>Отличная вытяжка за свои деньги. Ничего лишнего. Со своей основной функцией справляется замечательно. Не шумит, занимает мало места. Висит давно. Никаких поломок. Для маленькой экономной кухни прекрасный вариант</t>
  </si>
  <si>
    <t>2013-01-29</t>
  </si>
  <si>
    <t>Приобрел блендер в мвидео. Мощный и удобный блендер, легкая чаша,хорошие ножи,есть возможность перемалываеть мясо, крошит лед.</t>
  </si>
  <si>
    <t>3042</t>
  </si>
  <si>
    <t>Для обычного человека со средним достатком, очень не плохой комплект.</t>
  </si>
  <si>
    <t>2016-01-04</t>
  </si>
  <si>
    <t>С наступлением зимы резко начала падать влажность в комнате, слежу за этим, так как грудные детки нуждаются во влажности как никто другой, реже болеют. До этого купили Мойку воздуха, воздух лучше в комнате чем в других, но увлажняет только до 30-40%, и дует холодным воздухом, зимой как то некомфортно, включаю, когда уходим. Данный увлажнитель дует тёплым воздухом, что для нас большой плюс, так как в квартире не так уж и жарко, увлажняет до 50-60%, дышится легко, есть таймер до 8 часов, автоотключение при отсутствии воды, а так же ночной режим. Считаю, что гидрометр там нелогичен так как он же под струёй пара все время находится, понятное дело там влажность 70-80% будет, но во всей то комнате на так))) но вначале работы показывает адекватную влажность, которая имеется во всей комнате</t>
  </si>
  <si>
    <t>К плюсам данной игры относится:    + Вы можете играть за двух разных персонажей и у каждого свои особенности, один стреляет с двух рук, второй пользуется кнутом и может взрывать что угодно динамитом.    + Игра блещет своей местностью, много мест, где можно спрятаться, окружить врага и зайти с тыла,     + Оружие в игре самое разное: Лук и Стрелы, Кольты, Винчестер, Стрельба из Пушки, Стрельба из пулемета.     + Дуэли в игре занимают особое место, отлично продумана система боя и каждая из дуэлей становится настоящим испытанием, особенно, если играть на сложном уровне.    + Овладев всеми хитростями игры становишься настоящим профи и начинаешь получать непередаваемое удовольствие от прохождения.     На данный момент, думаю, нет игры похожего жанра лучше этой.</t>
  </si>
  <si>
    <t>Купил 3 дня назад . Пользуюсь и не нарадуюсь . Моется и собирается легко , жмых сухой , жмет очень быстро . Металич корпус и + ее не калошматит по столу , в отличии от конкурентов . Если вы думаете что дороговато , то лучше уж купить эту технику на много лет , чем вечно материться на китайское барахло.</t>
  </si>
  <si>
    <t>Долго выбирал посудомойку, сначала вообще смотрел на отдельностоящие (по высоте у меня она бы влезла под столешницу даже не снимая верхнюю крышку), но в итоге из-за глубины (большинство посудомоек 60см) подходила только встраиваемая, да и больше понравилось, как смотрится, когда установлена скрыто, все под одно, даже и не подумает никто, кто не знает, что там посудомойка. Выбирал недорогую модель, по характеристикам вроде что-то среднее, без лишних наворотов, но и далеко не совсем простая. Понравившиеся поначалу Whirpool по цене стоили почти так же, по отзывам как часто бывает - противоречие. Опытный продавец-консультант объяснил все особенности, и в итоге выбор пал на эту посудомойку.    Итак, плюсы:  - полностью встраиваемая (если дома маленькие дети, не нажмут на кнопочки), бывают модели (в частности Whirpool, которую сначала хотели) с открытой панелью управления, но это наверное одна новая модель, в основном все закрытые.  - классы энергопотребления\мойки\сушки: А\А\А (многие в этой ценовой категории имеют класс сушки B)  - количество программ 7 думаю самое то (ни 5, ни 10), опять же сравнивая с другими моделями.  - удобная вещь - складывающиеся направляющие для тарелок в нижнем лотке, чтобы можно было положить крупную кастрюлю (у большинства не складываются)  - "деликатная" программа для мытья хрупкой посуды, экономичная программа для слабозагрязненной посуды, режим предварительного замачивания  - полная защита от протечек (мелочь, а приятно)    Минусы: пока еще только купили, ничего не могу сказать, в том числе и по качеству мойки, как установим, через некоторое время обязательно отпишусь.     В целом: за свои деньги с подобным набором функций - считаю оптимальный вариант, главное чтобы проработала долго.</t>
  </si>
  <si>
    <t>Хороший плеер! И клипы читает( в avi),музыка нормально ВОСПРОИЗВОДИТСЯ! только вот не удобно с microCD, то что она в общий плейлист не входит. а так хороший плеер,советую!</t>
  </si>
  <si>
    <t>2012-08-29</t>
  </si>
  <si>
    <t>Привлекла дизайном, но смущала цена, после консультации, купил. С тех пор не нарадуюсь: сока много, сок чистый и очень легко пользоваться!Рекомендую!!!</t>
  </si>
  <si>
    <t>Сегодня купила этот телефон.  Очень даже удобный,многофункциональный!  Желаю всем такой приобрести!</t>
  </si>
  <si>
    <t>2016-03-26</t>
  </si>
  <si>
    <t>Покупал данную модель в 2008 году.Отработала честно указанный вдокументах срок-7 лет,даже больше,стал тормозить движок только сейчас в 2016. На 1 скорости не очень шумная , а на 2-3 скоростях шумит.Но ими практически не пользовался, кухня около 10кв.</t>
  </si>
  <si>
    <t>1738</t>
  </si>
  <si>
    <t>2015-06-28</t>
  </si>
  <si>
    <t>Опыт эксплуатации 1 неделя. По-началу  клапан сброса на обратном кране  тек, но это было только первый день, купил новый на всякий случай. Принять душ двоим можно, но при экономном использовании воды. Дизайн этого ящика конечно не очень, смотриться громоздко. Нареканий к работе нет. Тепмпературу поддерживает долго, даже в выключенном состоянии.</t>
  </si>
  <si>
    <t>Могу с уверенностью сказать что это лучшие наушники, которые когда были у меня!  Если правильно подобрать амбушюры под своё ухо, то вы получите 100% звукоизоляцию. Звук чистый, басы на высоте, это именно тот бас, который даже на сильной громкости не превращается в шум!  С этими наушниками вы услышите свои песни иначе, так как они раскрывают звуковой диапазон , и становятся слышны звуки , оттенки и фрагменты,которые вы не замечали раньше или они не были слышны вовсе, особенно это заметно если файл качества 320kbs.  Качество материала тоже порадовало, сами наушники выполнены из материала напоминающий софт-тач, провод тоже качественный, толстый, штекер надёжный с золотистым напылением.  Комплект тоже удивил, в него входит чехол из джинсовой ткани (для плеера, телефона или же для самих наушников), набор амбушюр, даже инструкция выполнена в необычном стиле, напечатанная на пергаменте!  Я не нашёл недостатков, всем советую!</t>
  </si>
  <si>
    <t>Достаточно мощный и тихий для своих габаритов и ценовой категории. В отличии от "вертикальных", нагревается до рабочей температуры мгновенно. Мощность потока не падает в результате включения/выключения нагрева.  Единственный минус: хреново отрегулированный зазор на потенциометре регулировки потока. На работе не сказывается никак, но искра, проскакивающая при включении/выключении, выглядит довольно стрёмно.    Рекомендую для быстрого прогрева небольших помещений (до 18-20 квадратных метров).</t>
  </si>
  <si>
    <t>Печке третий год. Ни разу за это время не покупали хлеба. Едим только свой. Печка справляется на ура и с французским и со ржаным и с пирогами. один минус-мешалка облезла и плохо вынимается из хлеба.</t>
  </si>
  <si>
    <t>Ноут нормальный, тоже покупал по акции за 19.990  есть проблема, иногда просто отключается, то левая кнопка мыши, помогает блок и разблок ноута.</t>
  </si>
  <si>
    <t>Да многие пишут что сушит плохо!!! Ополаскиватель не пробовали заливать? Плохо отмывает? Фильтр мойте перед каждой мойкой и не перегружайте! Соль не забудьте насыпать (специальную для посудомоек) И сразу пропадут ваши отрицательные отзывы! Соблюдайте эти простые правила и вы будите довольны!!</t>
  </si>
  <si>
    <t>2013-06-14</t>
  </si>
  <si>
    <t>Очень удобная по эксплуатации и компоновке. НО! 1.Продавец нас удивил функциями которых нет-Отсрочка готовки и автостарт после пропажи света. Мы штудировать книжку в магазине после брождения по магазинами не стали. Ну сами виноваты. 2.Через месяц эксплуатации начали трескаться крышки. Контейнеры пока целы. Сдал в сервис-жду ответа. В москве в борке сказали, что замена без проблем, но судя по реакции местных может дойти до бодания. Ну это мы привыкли в совдепии:( Там видно будет-оставлять эту или купить дешевую и менять каждый год. Что то не тянет она на 5лет гарантии. Видно не умеем мы готовить,электричество и вода у нас не та:) 3.Пар-ставить под мебелью нельзя. Мебель заказная и уже поплатились пробой-пухнет. Стоит пока на подоконнике. Казалось бы-Пароконденсат смудрить производителю. Колхозный вариант-трубки силиконовые в крышку и в стакан. И ставь где хочешь. 4.Ну и не знаю как на других пароварках, опыта мало. Но на этой нужно в комплект клизму-откачивать воду из мусорников. Каждый раз разбирать морочно. И Щипцы какие то- больно доставать эти миски из контейнера.</t>
  </si>
  <si>
    <t>Пользуюсь окло полугода. Отличный утюг! Хорошо гладит, отпаривает, длинный шнур-удобно. Красивый, ручка прорезинена, тяжелый. Подошва легко очищается, удобно воду заливать-ни капли мимо! Советую!</t>
  </si>
  <si>
    <t>Купили тостер в М-Видео в Химках, вроде, Tefal - уважаемая фирма, принесли домой - а он одну сторону хлеба сжигает, практически на любом режиме. И обмену, как бывший в использовании, уже не подлежит (сказали в сервисном центре М-ВИдео), так что только вести в ремонт - это до 45 дней по закону, а так как тостер покупался на дачу, смысл в нем к осени уже отпадет. Разочарование.</t>
  </si>
  <si>
    <t>Брал в небольшое кафе, в день чашек 20 может делали. Через пол года  начались проблемы-перестала варить, кофе берет, молит и просто скидывает. Отвезли в сервис, что-то подделали и вроде начала опять работать. Не прошло и месяца и опять тоже самое. Постоянно мыть надо, внутри сильно забивается. Средства для промывки еще и не купишь. Пожалел, что дешевую взял. И не сказать, что вкусный делает кофе.</t>
  </si>
  <si>
    <t>2015-12-17</t>
  </si>
  <si>
    <t>Ирина, в данной модели фасад больше встраиваемой части. Ширина встраиваемой части составляет 54,5 см.</t>
  </si>
  <si>
    <t>2014-05-07</t>
  </si>
  <si>
    <t>Отличный межблочник, качественно сделан. Хорошая изоляция и экранирование. Купил на замену, и жуткий писк полностью исчез.</t>
  </si>
  <si>
    <t>2773</t>
  </si>
  <si>
    <t>2017-01-29</t>
  </si>
  <si>
    <t>Неубиваемые, работают года 4 наверно, уже и не помню когда покупал. Звук - многое зависит от используемого устройства, допустим, на MP3 плеере Sony они играют замечательно, но на компьютере качество звука почему-то хуже.</t>
  </si>
  <si>
    <t>Фильм, который завораживает, увлекает, заставляет думать. Фильм, который нельзя пропустить.</t>
  </si>
  <si>
    <t>Звук по HDMI идет,на он и HDMI, a не DVI. Надо только драйвера на звук HDMI поставить. На моем ноуте MSI GX710 видюха Radeon HD 2600 - надо было поставить дрова Windows XP HDMI Audio 10.4 и включить аппаратное ускорение в свойствах видеокарты. После установки дров HDMI Audio в "панели управления - Звуки и аудиоустройства - Аудио - воспроизведение звука" выбираем Ati HD Audio rear output и жмем ОК.  А можно использовать BS Player(у меня v2,54) и в настройках устройства вывода звука задать тот же HD Audio rear output. Пользуюсь вторым вариантом.  Алексею за ответ по включению телека +1!!!</t>
  </si>
  <si>
    <t>2984</t>
  </si>
  <si>
    <t>Отличная Пароварка</t>
  </si>
  <si>
    <t>Игра супер.советую купить</t>
  </si>
  <si>
    <t>данный плеер подарили на др...через 2 месяца перестал включаться.Мне его поменяли,а ещё месяц он опять вырубился.  Собираюсь менять его на другой.В нём нашла только один плюс:батарея держится неделями,в остальном - некоторые песни не воспроизводит,экран "ни к селу ни к городу",т.е.текст читать не удобно,фильм не посмотришь,картинки тоже; звук тихий.  Оценка 2</t>
  </si>
  <si>
    <t>Отличная сковорода! Пользуюсь 4 месяца - еще ни одной зарапинки. Ничего не пригорает и не прилипает, отлично моется. P.s. если соблюдать все правила по уходу за посудой Tefal, она прослужит очень долго! Дно не выгнет, если не будет резкого перепада температуры (наприм. с огня под холодную воду).</t>
  </si>
  <si>
    <t>Если руки кривые, то медицина скорее всего будет бессильна. Пользуюсь ей 7 лет - лучше не видел, за это время ничуть не затупилась. Попробуйте купить совковую картофелечистку - вот там будет и скольжение и толстый слой.</t>
  </si>
  <si>
    <t>Очень шумная и очень плохо моет. Но это полбеды, после полугода эксплуатации стала постоянно появляется ошибка E3 «долгий нагрев», машинка не может нагреть воду как я понимаю, что-то с термодатчиком, и машинка не может достирать до конца!!! Почитал в инете, оказывается эта ошибка обычна для этих машин!</t>
  </si>
  <si>
    <t>2011-12-05</t>
  </si>
  <si>
    <t>Мясорубка в работе оказалась очень даже хорошая, перекручивает мясо очень быстро, качественно и без лишних проблем. Ну, а тем у кого мясо в пластилин превращается, то мясорубка здесь ни причем, просто надо настоящее мясо покупать, а не пластилин...</t>
  </si>
  <si>
    <t>2351</t>
  </si>
  <si>
    <t>Пылесос как пылесос. Ничего выдающегося. Мое субъективное мнение -пыль он улавливает чуть-чуть лучше чем другие пылесосы без этих "крутых" фильтров. Покупал в М-видео два года назад, и турбощетка была в комплекте, и простенький пылесос (еще один пылесос!?) дали в подарок. Однозначно, не стоит своих денег. Может быть, модели с аквофильтром удерживают пыль лучше, а не раскидывают ее по всей квартире?</t>
  </si>
  <si>
    <t>купил сегодня, понравился, долго выбирал между им и лед телевизорами за такую же цену и понял что лед будет у меня в зале а такой жк нужен на кухне, изображение классное, яркое, настройки всё есть что надо. звук на 4, в магазине лед телевизоры были с таким звуком ужас просто. Если для кухни то рекомендую, не пожалеете. А формат 16:10 класс просто. и смотрится симпотно.</t>
  </si>
  <si>
    <t>не тянет звук на максимуме, вырубается мафон.</t>
  </si>
  <si>
    <t>Фен покупать не советую.  На третий день отключился при работе.  Отнесла в магазин, забрали на проверку качества.</t>
  </si>
  <si>
    <t>Чайник не плох, но для своей цены совершенно не удовлетворяет требованиям эксплуатации.  Нас 5 человек. Кипятим чайник часто.  Про шумность писали выше.  Через полтора года вдруг начал подтекать. Я решил что это просто при наполнении попала вода.  Однако недавно заметил, что индикатор уровня воды весь в трещинах и оттуда сочится вода.  В общем, кому надо часто кипятить - тому чайник не посоветую.  Своей цены не оправдывает.</t>
  </si>
  <si>
    <t>Я и мой муж страдаем аллергией на пыль. У нас было много воздухоочистителей, так как была большая сложность найти фильтра (магазины нас за фильтрами посылали в сервисные центры, а они в свою очередь посылали нас). Мы просто покупали новые приборы. Пришли за очередным очистителем, а нам посоветовали очиститель-увлажнитель. Сначала я даже слушать не хотела, но муж настоял на покупке. Я очень-очень довольна! Пыли в доме реально нет. А больше всего радует, что очистка проходит в основном через воду! А воздух как после дождя!!! :) Советую всем, особенно в отопительный сезон!</t>
  </si>
  <si>
    <t>2011-03-22</t>
  </si>
  <si>
    <t>psp просто супер всем советую прощивка 6.05</t>
  </si>
  <si>
    <t>Не плохо продуман, только увы кроссовера не имеется, и второй минус при морозе -25, кажется что его просто украли, низкие частоты просто исчезают, а в целом кто понимает в звуке, динамик не плохой</t>
  </si>
  <si>
    <t>Пластмассой почти непах.Сгорел через пол года.Забрал деньги.Не рекомендую.Опять пользуюсь пятнадцатилетним MOULINEXом.Вот было качество.</t>
  </si>
  <si>
    <t>Очень нравится швейная машина.  Жаль мало в комплекте лапок.</t>
  </si>
  <si>
    <t>Уже 2 недели пользуемся этой машинкой, перестирали все что можно. Работает как часы. Ни каких посторонних шумов и тряски нет. Устанавливал сам. Машина очень хорошая, есть все необходимые функции. Zanussi входит в корпорацию Electrolux. Очень удачное сочетание цены и качества. Когда выбирали советовались в сервисном центре. Самые ломаемые Бош, Горенье, Самсунг, LG. Надеюсь, что помогу в выборе.</t>
  </si>
  <si>
    <t>2244</t>
  </si>
  <si>
    <t>Аэрогриль купили совсем недавно,но уже попробовали запечь картошку и курочку!!!Еда получилась,просто пальчики оближешь....Курочка сочная и с золотистой корочкой!!!Картошечка просто сказка,не то что в духовке...Ну а сколько жира стекло...Страшно представить,что раньше мы весь этот жир поглощали....Теперь будем пробовать разнообразие рецептов!!!</t>
  </si>
  <si>
    <t>Пользовалась мульстайлером около двух лет. Насадки фен и выпрямитель отличные, остальные не использовала. Для завивки все время путаются в волосах и эффект не большой. Перегревается очень сильно, загорелся при сушке волос.</t>
  </si>
  <si>
    <t>Всем привет,купил авто ваз 2107, но денег на музыку не хватало=(, но решил взять комплект, взял и не пожалел, покупкой доволен на все 5+ советую всем новичкам его,а только проводов не хватает!!! Но теперь к аппарату,купил поставил,но первое время просто гонял воздух, но когда мне настроили его я ахнул просто, стоит в багажнике, магнитола отстой скажу у меня, но когда накачали на все 40вол, машина тряслась+все зеркала так дрыгались, и звук чуть слышно снаружи но не как 1киловат=)), сами звуковики афигели когда настроили, сказали да такого мы ещё не видели!!! Короче всем советую, главное настройте его правильно, и магнитола чем лучше, тем мощней и чище он будет играть у вас!!! Берите за эти деньги это очень хорошо,а там можете не читать, что ломается сгорает, воздух гоняет, просто сразу надо правильно установить и настроить, девушки ваши отвечаю ребят!!!</t>
  </si>
  <si>
    <t>Купили такую полтора года назад.   Пользуемся постоянно, работает исправно. Давили в ней абсолютно все. Единственное с чем не справилась, это с гранатами. Но я так понимаю, что с ними ваще мало что справиться может.   Из недостатков, соглашусь с предыдущим отзывом - цена ни разу не маленькая.</t>
  </si>
  <si>
    <t>Такой утюг у моей сестры, у моей мамы уже 3 года, себе купила такой же.Не жалею. Привыкла именно к нему. Скользит по ткани супер. Паровой удар - класс. Так отглаживает хорошо!!! С водой именно пользуюсь. Кто-то тут написал ,что шумит. Не знаю. Меня всё устраивает. Всем советую именно эту модель.</t>
  </si>
  <si>
    <t>2013-02-01</t>
  </si>
  <si>
    <t>Покупал исключительно для разогрева пищи. Недорогая, качественная, пользуюсь ею почти пол года и каждый день. Недостатков не выявил, работает идеально. Пищу разогревает равномерно.</t>
  </si>
  <si>
    <t>Ноут просто супер, летает, работает без тормазов. Клавиатура удобная.</t>
  </si>
  <si>
    <t>Уже 4 года эксплуатирую , без проблем  поджиг работает, газконтроль работает</t>
  </si>
  <si>
    <t>По акции - самый оптимальный вариант. Климат-канторы за такую цену поставят кондей на порядок ниже по характеристикам таким как шум, энергопотребление. Нормальный кандей, внешний блок прям рядом с окошком расположен у меня. Ночь, режим турбо, никакой абсолютно вибрации, телевизор стоит на той же громкости, что и без него. Комната 18 кв.м. с проемом в коридор без двери, за окном солнце и + 26, 15 минут и без рубашки в комнате становиться не комфортно, далее 20 на пульте, средние обороты и замечаешь его работу только перед сном, когда выключаешь тв. Что немаловажно, для меня по крайне мере, никакого ярко-святящегося дисплея на внутреннем блоке, посреди ночи напоминающем о том, что в вашей комнате, не беспокоя Вас работает климат-контроль без функции новогодней елки. Последние и немаловажное - монтаж, к весьма несложной технической процедуре подойдите не менее ответственно, чем к выбору самого агрегата.</t>
  </si>
  <si>
    <t>Фен, наверное, соответствует своей цене. Но если вдруг вы пришли за более дорогой моделью, а консультант в магазине говорит, что этот фен по функционалу и всему остальному соответствует и не уступает, то не верьте ))). Фен хоть и легкий, но эргономически неудобный  - рука затекает при длительном использовании. 2 режима мощности ничем не отличаются друг от друга, то есть де-факто режим мощности один. С температурным режимом тоже не все гладко. Тот, который должен быть менее горячим, действительно даёт менее горячий поток воздуха, но только первые 2-3 минуты. Потом воздух становится горяченным. То есть и температурный режим всего один. Наверное все-таки не зря он стоит гораздо дешевле, чем все остальные фены )) пойду покупать другой</t>
  </si>
  <si>
    <t>Купил соковыжималку Bork S800. Жмых сырой, моя старая советская "Журавушка" отжимает лучше!</t>
  </si>
  <si>
    <t>Использую фен каждодневно - оправдал все ожидания. Отнесу к плюсам выбор насадок и оптимальную мощность для сушки и укладки. Удобная функция для неперекручивания шнура во время использования. Модель выполнена очень аккуратно.  Для меня минус только один - неудобная рукоятка, толстая, во время использования ее неудобно держать.  Ставлю 4 за функционал и качество!</t>
  </si>
  <si>
    <t>2016-04-17</t>
  </si>
  <si>
    <t>штатив мне понравился устойчивый все механизмы работают плавно и мягко рекомендую и по цене недорогой</t>
  </si>
  <si>
    <t>Надежный, мощный помощник на кухне. Пользуюсь им уже 2 года, практически каждый день и очень довольна. Делаю разные коктейли, майонез, тесто для блинов и многое другое. В общем всем советую приобрести!</t>
  </si>
  <si>
    <t>96</t>
  </si>
  <si>
    <t>2013-04-05</t>
  </si>
  <si>
    <t>Сгорел мотор после 4-х месяцев эксплуатации, ехать в Калугу отдавать его в ремонт нет желания.</t>
  </si>
  <si>
    <t>Классный, купил по совету знакомого монтажника, он же мне установил, внешний неслышно вообще, внутренний на тихом режиме не напрягает, всем советую.</t>
  </si>
  <si>
    <t>6 лет уже живем с этим чайником, я не знала что они до сих пор продаются:) Запаха пластика никогда не было, отличный вариант - всем рекомендую.</t>
  </si>
  <si>
    <t>2965</t>
  </si>
  <si>
    <t>Подарили на 8 Марта. Кофеварка отличная. Пользуюсь каждый день. Очень проста в применении. Кофе получается вкусным, насыщенным. Мне нравится.</t>
  </si>
  <si>
    <t>2346</t>
  </si>
  <si>
    <t>Присоединюсь к последним отзывам. Комп хороший, НО оочень сильно греется видеокарта. Как-то умудрился вставить 80мм вентилятор в системник, но к сожалению проблему с перегревом это не решило. Будем копать дальше. А проблема с вылетом видео драйвера решилась сменой ОС на Win XP. Да и тогда пришлось помучиться чтобы её установить... Если вам не нужны такие проблемы, то забудьте про мини-системники. ИМХО</t>
  </si>
  <si>
    <t>Купил соковыжималку в начале лета , под влиянием жены . Сначала думал на пару дней , ну или недель попользуемся , а нет вот уже как три месяца жмём всё без устали и самое главное очень нравится и не надоедает! С утра яблочко с морковью на весь день заряжает , да и жена с дети очень довольны. Вобщем все круто , надо брать!</t>
  </si>
  <si>
    <t>Хорошая вытяжка, шум умеренный. Мне, во время готовки, совсем не мешает. Покупкой довольны)</t>
  </si>
  <si>
    <t>1867</t>
  </si>
  <si>
    <t>Печь просто прелесть, хотя в самом начале она нам дала немного поволноваться. Купили 16 мая 2010 года, выбор помогли сделать на месте хотя печь искали давно, весь интернет зачитали до дыр, а выбор как сразу пал на нее , тем более акция (скидка) вот и решили, зашла на сайт прочитала про нее еще больше обрадовалась, какое чудо приобрели. СПАСИБО, SANSUNG, что дарят нам женщинам таких помощниц.</t>
  </si>
  <si>
    <t>Могу присоединиться ко всему вышесказанному, плеер действительно качественный, звук и все остальное на высоте, но....единственный недостаток - Батарея. Сам являюсь обладателем такого плеера уже почти год и могу авторитетно заявить, что батареи хватает от силы часов на 8-10, а то и меньше! А если смотреть видео, то всего 2-3 часа! Делайте выводы сами. А во всем остальном абсолютно никаких претензий нет! Твердая 4</t>
  </si>
  <si>
    <t>Недавно купил себе этот плеер,доволен им полностью.Музыка просто супер!</t>
  </si>
  <si>
    <t>84</t>
  </si>
  <si>
    <t>Примечательно то, что она встала в стандартную для большинства встраиваемых панелей нишу, изначально рассчитывали взять шириной 58 см на четыре сопла. Эта будет пошире за счет центральной мощной конфорки ВОК с тремя контурами пламени, прекрасное дополнение, практичная и у меня она наиболее часто используемая. В сковороде ВОК люблю готовить все, получается быстро и с наименьшей тратой полезных веществ, тушение на медленном огне тоже получается и быстрее и равномерней, не нужно постоянно перемешивать, не говорю уже о варке в большой кастрюле, закипает за считанные минуты. Неубиваемое качество, чугунные решетки, стальная поверхность, износостойкость плиты на высшем уровне. Моется легко. Абсолютно безопасная эксплуатация, автоподжиг срабатывает четко и блокировка подачи газа при заливании пламени или скачке тяги. Управление выведено вперед, ручки не нагреваются от ближних конфорок. Поверхность просторная и ровная.</t>
  </si>
  <si>
    <t>2016-06-05</t>
  </si>
  <si>
    <t>Это отличная и самая компактная мясорубка, которая легко справляется с любым мясом.  Недавно крутил в ней лося, справилась безупречно! Лучше за эти деньги еще не видел.</t>
  </si>
  <si>
    <t>2010-02-24</t>
  </si>
  <si>
    <t>У меня таких 3 чайника  Дома, на работе и у родителей. Чайник очень хороший, качественный.  Единственное что один из них сломался малость. Общая проблема таких чайников в том что кнопка включения наверху, а электрика внизу и между кнопкой сверху и дном чайника идет длинная пластиковая пластинка, которая часто ломается у разных чайников не только у braun. Чтобы этого не было лучше брать чайник у которого "рубильник" внизу находится (такие модели тоже есть на рынке). Вот меня тоже не миновала такая проблема у одного из чайников тоже эта пластинка сломалась, разобрал соединил проволокой и почти хорошо стал работать. Еще эти чайники разной мощности есть, есть стандартной а есть повышенной -- он быстрее кипит, так вот мы "попробовали" взять домой большой мощности он кипит конечно быстрее, но жутко шумит. В магазине вы это не проверите, только дома узнаете после покупки. Не рекомендую брать большой мощности (под 3Квата) -- он на кухне телевизор заглушает когда греется и просыпаются в соседней комнате домочадцы по утрам в остальном чайник очень хороший и действительно работает годами, чего не скажешь о других моделях.</t>
  </si>
  <si>
    <t>Подарили на свадьбу. Опыт использования - ровно 2 года.  В течение первого года работы (он был еще на гарантии) была довольна подарком, потом при работе дольше одной минуты из двигателя начинал просачиваться дымок, приходилось останавливаться и ждать пока все пройдет. По истечении еще одного года использования что-то случилось с мотором и электроникой. Собираюсь покупать новый. Буду брать Бош.</t>
  </si>
  <si>
    <t>2014-12-28</t>
  </si>
  <si>
    <t>Весь набор весит менее 400 граммов! Провода тонкие, судя по весу это алюминий. Информация о металле на упаковке отсутствует, но это явно не медь. Межблочник в силиконовой оплетке, все какое-то игрушечное, никому не советую - деньги на ветер.</t>
  </si>
  <si>
    <t>У меня машинка 3 года, нареканий и вопросов никаких!!! Стирает, отжимает, молодец! Когда-то покупала (надо очень быстро, любая марка, недорого) Не пожалела! Сейчас встал вопрос, мама хочет новую стиральную машинку, советом моим воспользовалась, заказала, скоро привезут. Советую всем!</t>
  </si>
  <si>
    <t>Ноутбук купил два дня назад. В принципе всем доволен. Единственная ложка дегтя это то, что обнаружилась зеленая точка на экране дисплея - сразу не заметил. Скорее всего мне просто не повезло с экземпляром, но все-таки рекомендую внимательно проверять дисплей при покупке. В остальном - прекрасный аппарат.</t>
  </si>
  <si>
    <t>Реально работает</t>
  </si>
  <si>
    <t>2430</t>
  </si>
  <si>
    <t>купил этот телефон в июле, телефон классный, камера прикольная двойная вспышка. платформа simbian s60. колонки хорошие, звук не искажают, в общем телефон хороший</t>
  </si>
  <si>
    <t>Приобрела кондер в июле 2011 г. Работает. Дизайн симпатичный. Охлаждает достаточно быстро (18 м комната), но грооомкий.  Удобная функция эконом электроэнергии. Жалко, что нет часов на пульте. Уличный блок из пластика, потому заморочилась установкой козырька. Оч маленький шнур для розетки. Шторкам нельзя придать определенное положение, они просто двигаются сами по себе.</t>
  </si>
  <si>
    <t>1351</t>
  </si>
  <si>
    <t>2013-12-01</t>
  </si>
  <si>
    <t>Увлажнитель просто космический, кто пишет, что он гудит, значит, он бракованный, я первый раз купил, он гудел, как трактор, обменял, не гудит, только вода изредка булькает, да и то тихо</t>
  </si>
  <si>
    <t>Игра просто улет, советую всем поклонникам Наруто.  После игры остались только одни положительные эмоции =)</t>
  </si>
  <si>
    <t>Купили 14 июня и пока очень довольна! Это моя первая хлебопечка, сравнивать конечно не с чем, но меня в ней все устраивает! Пеку каждый день, попробовала уже практически все рецепты из сборника, получается очень вкусно,с магазинным не сравниться, корочка румяная, даже на режиме "светлый цвет корочки", работает тихо!Минус только в том что по краем на готовом хлебе остается немного муки, и сборник рецептов так себе, но эту проблему решила просто - смотрю рецепты на форумах!</t>
  </si>
  <si>
    <t>Работает тихо, вообще ничего не слышно!!! Иногда булькнет пару раз за ночь и все... Воду заливали чистую , не из под крана, хотя производители( Корея ) уверяют что частички серебра предохраняют аппарат от ржавчины, мы решили не рисковать. Проработал всю ночь и сам отключился, когда закончилась вода в резервуаре. Влажность в комнате увеличилась до 57% за пару часов . Комната 20 м. Рекомендую аппарат со своей задачей справляется на Ура!!!</t>
  </si>
  <si>
    <t>1899</t>
  </si>
  <si>
    <t>По дизайну:  Понравился компактностью и прищепкой(!!)-  единственная альтернатива яблоку шаффл(старого поколения).    По звучанию мп3:  очень средненько так... это если сравнивать с IRiver T10 (в котором SRS WOW, но и уена была 3900 за 1гб), и не исправляет ситуацию даже сенхайзеровские наушники за 2000р. стандартные даже не стал в уши вставлять.    радио:  поймал пару радиостанций, как сделать чтобы они остались в памяти и я между ними переключался, так и не понял.</t>
  </si>
  <si>
    <t>1615</t>
  </si>
  <si>
    <t>народ а вот эта аркада у неё какая стоит материнка Jasper или Falcon????</t>
  </si>
  <si>
    <t>бук отличный. батарея 5 часов смело держит. всё вообще в шоколаде. поставил ХР без проблем. клава отличная (что очень странно для таких ноутов) единственный недостаток - неоправданно сильная видюха, греется как чайник. на голом пузе долго держать не получится</t>
  </si>
  <si>
    <t>2014-03-25</t>
  </si>
  <si>
    <t>Отличная доска. Широкая, удобная (купила её в комплект к утюгу с парогенератором Philips GC 8635/02). На ней замечательно гладить всё, особенно постельное бельё и полотенца - минимум движений и всё поглажено). Пользоваться элементарно. Складывается/раскладывается как любая другая. Примочки типа раскладных плечиков - удобно для мужских рубашек - для женских слишком широкие. Но удобно) При глажке ничего нигде не прогибается.</t>
  </si>
  <si>
    <t>Купил данную модель в январе в Н.Новгороде на веденяпина. Привез тв домой вроде все в порядке, но обнаружился дефект - не работают сенсорные кнопки на тв. На следующий день повез менять, вопросов не было обменяли, но пришлось забирать с сормовского поворота, приехал туда, а там народу на выдаче товара, часа полтора ждал, получил, все проверял сразу на месте на этом было все ок. Пользуюсь 2 недели претензий нет. Господа проверяйте технику сразу, что бы не тратить пол дня на обмен.</t>
  </si>
  <si>
    <t>Если довольно сильно "вдавить" наушники в ушной канал, басы становятся раздражающе-гулкими, то есть вставлять надо при играющей музыке. В остальном, за свою цену - отличные наушники. Да, низам не хватает проработанности, а верхам - прозрачности, но свою цену они полностью отрабатывают.</t>
  </si>
  <si>
    <t>Нет кнопок включения блютуз и вайфай</t>
  </si>
  <si>
    <t>Отличный аппарат за скромные деньги.Что ещё сказать?</t>
  </si>
  <si>
    <t>Очень довольна хлебопечкой!!! Из предложенных рецептов по выпеканию, хлеб получается просто отменный!!! В МВидео самая низкая цена на эту печь!!! Есть программа по замешиванию бездрожжевого теста Время приготовления 14 минут, во многих хлебопечках этой фирмы такая функция отсутствует!</t>
  </si>
  <si>
    <t>807</t>
  </si>
  <si>
    <t>Приобрела данный пылесос около года назад.В общем могу сказать, что он прост в обслуживании и уборке, чистит хорошо,а, главное, моей дочери  - аллергику стало полегче(у неё аллергия на домашнюю пыль).</t>
  </si>
  <si>
    <t>Я, как обладатель щетины - нождачки, перепробовал бритвы, пожалуй всех известных производителей, и могу с уверенностью сказать следующее: если Вы берете себе бритву, как инструмент именно для бритья, а природа наградила Вас брутальным ковриком под губами, лучше бритвы, чем Philips, попросту нет. Все, что я только не пробовал либо работало как эпилятор, пытаясь не состричь, а именно вырвать у меня волосок-другой. Либо оставляла щетину, размер которой и намёка не подавал на то, что я вообще сегодня брился. Либо попросту выходила из строя от такой нагрузки. Взял себе такую бритву и в целом доволен. Сейчас используя бритву Philips и следующая уж точно, так же будет Philips, с голландскими расходниками, которые мне не приходится покупать ежемесячно. 10 усов из 10! Я доволен!</t>
  </si>
  <si>
    <t>Работают отлично. Купил пол года назад. До сих пор нормально работают без каких-либо проблем или нареканий.  Передатчик под монитором стоит, чуток приподнят чтобы сигнал шел в лицо. Сигнал легко доходит даже до окна (метра 4 где-то). Никакой свет или что-то еще сигнал не искажают. Да возможно звук не 100% как из колонок идет, но на то это и беспроводные наушники. Лично я доволен. Покупайте, не пожалеете.</t>
  </si>
  <si>
    <t>1570</t>
  </si>
  <si>
    <t>Как не крути, но воздух пересушивает! А запах неделю стоял.</t>
  </si>
  <si>
    <t>Купила вчера маме в подарок, сейчас думаю, может подарить ей что-то другое? ))) Покупкой довольна, не разобралась толком с кнопками на пульте, ну думаю мама разберется сама. Себе тоже куплю!!</t>
  </si>
  <si>
    <t>Маломощный, плохо сушит, и вообще не укладывает.</t>
  </si>
  <si>
    <t>Имеется возможность перенавешивания мебельной дверцы, полная защита от протечек, понятное управление. Контроль пенообразования не пустое слово - она хорошо выполаскивает. Купили месяц назад взамен старой. Отлично стирает и не шумная. За счет большой загрузки теперь могу за раз постирать гораздо больше белья. Отличная модель!</t>
  </si>
  <si>
    <t>2015-10-03</t>
  </si>
  <si>
    <t>Кофемашина очень хорошая! Всем доволен, кофе вкусный! В обслуживание нет ни каких проблем. Когда в интернете изучал данную кофемашину очень смутило что машину нужно смазывать! Но грамотный консультант в магазине мне объяснил для чего это делается, и я понял что все нужно что бы машина максимально корректно работала и максимально долго! В общем машинка высший класс!</t>
  </si>
  <si>
    <t>3020</t>
  </si>
  <si>
    <t>ребят всем советую играть в эту игру на руле с углом поворота на 900 градусов. делайте прошивку на xbox 360 и радуйтесь диски очень дорогие</t>
  </si>
  <si>
    <t>Очень довольна покупкой. Выбирали небольшую и простую - ине прогадали))   Теперь открываем для себя новые блюда!!  Всем советую!!</t>
  </si>
  <si>
    <t>Полностью согласен с отзывом Николая из Ульяновска. Весы очень хорошие. Рекомендую всем!</t>
  </si>
  <si>
    <t>Лучший подарок от любимого за все наши отношения!!! Обожаю красивые ногти, и раньше даже перед маникюром в салоне делала маникюр дома, и девочки, которые делают маникюр, смеялись надо мной, мол сколько дома не делай, а в салон все равно придется идти)) Какие же у них были лица, когда я пришла на маникюр после того, воспользовалась этим набором)) Они явно хотели что-то поправить, но все было красиво, так что я ушла от них не заплатив ни копейки)) Берите, девочки, забудете про салоны навсегда))</t>
  </si>
  <si>
    <t>1820</t>
  </si>
  <si>
    <t>Наша семья получила данный девайс в подарок. И тут начались приключения. Во-первых, после тщательного изучения инструкции пылесос удалось подготовить за 45 минут! Но ради справедливости следует сказать, что это было только первый раз. Потом эта процедура занимала 1,5 минуты максимум. И так по порядку, что за почти 4 года удалось выяснить о нем.  Достоинства:  1) реально убирает чище, чем обычный пылесос, но при правильной эксплуатации.   2) довольно надежные и продуманные механизмы передних колес, и телескопической трубы, щетки (снимаю шляпу за компоновку и комплект поставки), способы парковки.  Недостатки:   1) неповоротливый – двигаться с ним можно только вперёд. Движение назад, при влажной уборке, напоминает движение автофуры с прицепом задним ходом.  2) для быстрой уборки не подходит в принципе: полчаса как минимум надо мыть сам пылесос, а после влажной ещё дольше.  3) съёмка форсунок аквафильтра травмоопасна, но необходима при чистке самого пылесоса.  4) мудреную систему фильтров тяжело найти в продаже.  5) отдельное спасибо посредникам, таможне и немцам за высокую цену.  6) через 6 уборок начинает «пахнуть», хотя в инструкции четко написано «мыть тщательно пылесос» и ещё его сушить надо, а от себя добавлю на все патрубки надо ещё заглушки из пенопласта или поролона поставить.    Резюме: подарок хороший, а вот покупка – не рациональная.    Техническое наблюдение: если не менять нейро фильтр (выполняет функцию обычного сухого фильтра на последней стадии очистки воздуха, что, по-моему, странно для пылесоса с аквофильторм) он забивается, вследствие этого теряется сила всасывания, что приводит к некорректной работе аквафильтра (те самые пресловутые форсунки не смачивают пыль в аквафильтре) и вуаля, пылесос работает по принципу старых стечественных «тайфунов» и «циклонов» – всё что всосано, то выкинуто в воздух, но в измельченном состоянии, что называется - привет аллергия, плюс мощный шум.</t>
  </si>
  <si>
    <t>качество уборки</t>
  </si>
  <si>
    <t>Хорошая панель! Удобная, есть всего пара замечаний (эксплуатирую больше 6 месяцев): 1. Пластиковые ручки(( Хотелось бы металлические, но, может, так лучше по соображениям безопасности. 2. Нужно смириться, что нержавейка вряд ли останется в неизменном виде (даже при деликатной чистке). Лично у меня остаются несмываемые пятна даже от обычной пролившейся кипяченой воды. Правда, их не так уж и заметно. Вывод: вещь! Соотношение цена-качество идеальное.</t>
  </si>
  <si>
    <t>2013-03-04</t>
  </si>
  <si>
    <t>Купили чайник Филипс польского производства около года назад. За время работы дно чайника покрылось ржавчиной, весь пластик внутри стал желтоватого цвета. Потеряли чек, а то бы вернул назад производителю. Вода у нас нормальная с чайниками других производителей такой проблемы не было. Больше Филипс не куплю.</t>
  </si>
  <si>
    <t>2012-11-16</t>
  </si>
  <si>
    <t>Поскольку одиночная миссия меня не интересует пишу своё мнение об мультиплеере. Хочу сразу предупредить если вы хотите более меннее спокойнее играть в сетевых баталиях, то должны обладать мощным железом: процессор не ниже четырёхядерника и мощная карточка иначе постоянные тормоза замучают, также желательно иметь хорошую связь не ниже 50мб/сек, а лучше и выше- проверите скорость по програмке спидтест. Хочу сразу предупредить, что выходов на русские сервера очень мало, я в основном играл на немецких серверах, пинг большой от 61 до 96, поэтому при таких пингах необходимо иметь скоростную связь лучше 100мб/сек, иначе живой мертвец, убивать будет кому не лень и не ломайте клавиатуру и мышь- дело не в них. Теперь об игре: из всех мультиплеерных игр этот наиболее интересный и увлекательный, чувствуется, что создатели вложили много сил и денег в него, чувствуется реальность боя, хорошая графика и звук, отличный выбор оружия с возможностью усиливать его, отличные перки, хороший выбор наград за серии убийств от радиоуправляемой машинки до собак убийц, отлично продумана система престижа, когда за каждый новый уровень ты получаешь дополнения-это очень увлекает. Из всех мультиплеерных карт наиболее интересна Nuketown в нее больше всего играют, а из режимов мне более по душе были командная борьба и захват флага. И в конце короткое резюме: мультиплеер отличный, одиночную не знаю не играл;если у вас мощное железо и скорость не ниже 50 мб/сек смело покупайте, не пожалеете лучшего мультиплеера я пока не встречал.</t>
  </si>
  <si>
    <t>201</t>
  </si>
  <si>
    <t>пользуемся уже пол года и очень довольны!хорошо вытягивает запах из помещения,хорошее освещение,легко мыть! отличная вытяжка,рекомендую!</t>
  </si>
  <si>
    <t>Долго раздумывали о покупке хлебопечки, покупка ведь не из дешевых! Приобрели именно эту модель и ни минуты не пожалели! Хлеб (мы печем французский) просто сказка, такой моя прабабушка выпекала в русской печке, просто вновь почувствовала вкус ХЛЕБА! Опять же и экономическая выгода: одна буханка получается 5-6 рублей. Если есть возможность приобретайте уверена останетесь очень довольны!  Да, у меня вопросик такой: можно ли в модели Panasonic SD-254 выпекать ржаной хлеб, если есть опыт поделитесь пожалуйста.</t>
  </si>
  <si>
    <t>Пока смотрю только телепередачи (антенна триколор)-изображение звук и цветопередача отличные.</t>
  </si>
  <si>
    <t>Пользуемся машинкой с августа  прошлого года. Стригу мужа и отца, модель профессиональная, очень хорошая. Я не парикмахер, но научилась управлять машинкой быстро, потому что в работе очень проста. Чистится очень просто, достаточно под краном промыть лезвия. Очень понравилось, что гарантия на машинку три года идет, внушает доверие)</t>
  </si>
  <si>
    <t>2013-06-16</t>
  </si>
  <si>
    <t>За такие деньги можно купить сплит зима - лето, ни в коем случае не берите это чудо техники.Оно ставится только на подготовленную площадь: должен быть приготовлен вытяжной карман (иначе горячий воздух никуда не будет уходить), нужен дренаж для слива (иначе некуда будет сливать конденсат, а его сливать нужно, иначе его будет хватать от силы на пару - тройку часов, а остальное время будет гонять воздух по кругу и не холодит). Только тогда с него будет толк. Мобильным тридцати килограммовый агрегат никак не назовешь. Или катить его на мизерных буксующих колесиках, или тащить на горбу.</t>
  </si>
  <si>
    <t>2014-01-13</t>
  </si>
  <si>
    <t>Машинка у нас живет вот уже как 3 года. Стирает отлично, сколько белья в нее не запихнули бы))). Практически не вибрирует, с места ни разу не ускакала.Закинул вещи и забыл))</t>
  </si>
  <si>
    <t>Проблемная машинка попалась, сначала барахлил пульт выбора программы, потом потек барабан. Все таки русская сборка...  Спасибо большое м.видео за замену машинки</t>
  </si>
  <si>
    <t>Игра отличная! рекомендую всем! Стоймость диска на 100% оправдана!  Разработчики отлично поработали, это видно при первом-же запуске Assassin's Creed 2.  Немного огорчила система защиты, при малейшем разрыве с интернетом игра вылетает, особенно удручающе это при наличии интернета от ADSL-Avangard в Вологде.</t>
  </si>
  <si>
    <t>Использую этот радиатор с сентября 2007 для обогрева комнаты 18 м2 - справляется замечательно!  Планирую купить такой же в подарок родителям.</t>
  </si>
  <si>
    <t>2579</t>
  </si>
  <si>
    <t>Купил 31 марта 2010,очень функционален,красив,прост в использовании.НЕ ДУМАЙТЕ ПОКУПАЙТЕ!!!</t>
  </si>
  <si>
    <t>Для тех кто любит домашнюю выпечку, лучше не придумаешь! Может дороговато, но он стоит того! 12 режимов работы, он сам определяет вязкость смеси и выставит оптимальную скорость.   При высокой мощности (1000Вт), практически бесшумен, насадки просто супер (4 вида), силиконовая лопаточка в комплекте. Есть таймер, шнур можно спрятать внутрь корпуса. А дизайн! Слов нет! Одним словом, рекомндую.</t>
  </si>
  <si>
    <t>1599</t>
  </si>
  <si>
    <t>Телефон просто шикарный! Недавно купила и очень-очень довольна. Сенсорный телефон у меня впервые, но привыкла быстро. Прост в управлении, звук отличный, очень нравится виброотдача на клики. Звук динамика достаточно громкий.   Жаль что в камере нет автофокуса и вспышки, но фотографии получаются достаточно качественные. Особенно после моего Nokia с 2мп. Даже печатный текст можно различить. Студенты меня поймут)))В руке лежит прекрасно, кнопочка-бриллиант нажимается приятно.   К недостаткам могу отнести только неметаллическую окантовку вокруг экрана (боюсь что может облупиться в скором времени), отсутствие автофокуса и вспышки, то, как воспроизводит видео (так и не смогла вывести ролики на полный экран. Можно только наполовину.)   А ещё заряда батареи хватает ооооочень надолго. Думаю даже при интенсивном использовании аппарат проработает не менее 3 дней.   Все боялась брать Самсунг после Нокии, думала телефон разочарует, но в итоге рискнула и нисколько об этом не пожалела. Он оказался таким милашкой. и не только внешне. После смартфона я все равно наконец поняла, что для меня в телефоне главное - это его основная функция, внешний вид и приличная камера, для остального есть плеер и иные гаджеты. Так что ставлю огромную 5.</t>
  </si>
  <si>
    <t>2100</t>
  </si>
  <si>
    <t>Телефон в целом хорош, удобен.  Есть минусы: невозможность переключать музыкальные дорожки с помощью гарнитуры.   По истечению полугода у моего телефона сломался распределитель энергии, из-за чего телефон не имел возможности подзаряжаться.  Ремонт обошёлся в 1900.  Что касается камеры, то пикселей могло бы быть и побольше. В виду неудобства постоянной переноски цифрового аппарата.  Так же клавиатура. Весьма удобна. Но если у вас до Nokia 6500c был другой телефон, с более крупными клавишами - этот может показаться первоначально неудобным для печатания.  Плюсы:  удобная гарнитура, многофункциональность модели, ж\к экран (имидж, ярче изображение).   Всё остальное так же отлично.</t>
  </si>
  <si>
    <t>Продукт высочайшего качества. Изумительное изображение, потрясающие цвета, превосходный звук (через внешний усилитель). Единственное замечание- неудобное подключение наушников через меню.</t>
  </si>
  <si>
    <t>Купили год назад в м видео эту машину. Оказалась-супер вешь,кофе потрясающий и детям с молоком очень удобно готовить-есть вспениватель.работает достаточно тихо(в офисе стоит другая машина-очень громко работает) и ухаживать за ней легко ,она все сама подсказывает.дисплей правда не со словами а с картинками,но все очень ясно и понятно,даже дети справляются.всем членам семьи она полюбилась.без кофемашины теперь нам не жить) всем советую</t>
  </si>
  <si>
    <t>Все было хорошо, пока не сломалась, выяснялось что гарантия та, да не та...после трех поломок решил поменять, но не тут то было. Потом узнал что на тот момент 2010 год в России нет сертификата на ремонт машин премиум класса, детали, а именно подшипник на барабан в сборе не поставляются. Вообщем ходил ругался, кормили завтраками, ждали когда гарантия по бесплатному ремонту кончится. После всех мытарств вроде работает, но в последнее время программы не переключаются. Машинке 5 лет, думаю пора выкидывать, до этого была Чайка-3 15 лет без ремонта, только прокладки барабана менял, пока не вся не прогнила работала как часы. А эта жрет порошок будь здоров и кондиционер подавай, а иначе белье не возможно погладить. Сименс в топку.</t>
  </si>
  <si>
    <t>Пылесос хороший, убирает идеально, но с ним очень тяжело(так что напрягите своего мужа),щетка большая ведет вас сама, довольно быстро, и приходится постоянно ее подтягивать к себе (а она не легкая), а так, очень довольна покупкой, убирает хорошо, звука мало, воздух не портит. так что оценка 5</t>
  </si>
  <si>
    <t>2014-11-10</t>
  </si>
  <si>
    <t>Выглядят неважно, напоминают старые, но мне они очень нравятся. Удобная ручка, быстрый нагрев, долго держатся кудри. Волосы не сушит. Все, что надо. Супер.</t>
  </si>
  <si>
    <t>3024</t>
  </si>
  <si>
    <t>Пылесос Thomas 788540 Twin T2 Aq просто супер!!! Многофункциональный, компактный, удобный в использовании, прост в обращении, вообщем для дома оптимальный вариант!!! Советую всем, кто хочет и будет покупать!!!</t>
  </si>
  <si>
    <t>536</t>
  </si>
  <si>
    <t>Купила ее 2 месяца назад, попросила мама.Теперь готовим только в ней. Еда получается очень сочная и вкусная. Моется легко, без особых усилий. Я очень рада что она у меня есть, безумно довольна. Спасибо М-видео за оперативность и доставку прямо на дом!  Всем советую,на кухне вещь незаменимая и занимает не много места.</t>
  </si>
  <si>
    <t>Хорошая,недорогая, нужная вещь в хозяйстве:-)</t>
  </si>
  <si>
    <t>Классный большой</t>
  </si>
  <si>
    <t>hold есть, если подержать пару секунд стрелочку (в левом верхнем углу).  По качеству звука лично меня устраивает, все громко и хорошо, даже эквалайзер есть настраиваемый пользователем. Есть не большие проблемы с воспроизведением формата *.ape 1 файл может заиграть, другой нет. Удивило поддержка формата *.txt, но и тут же вопрос зачем?   Из минусов, не очень удачно реализован разъем для наушников, можно было сверху, да и место позволяет.  Плеер сделан на 4+ (разъем)   Если не ждете от плеера за такую сумму чего то фантастического, то смело рекомендую к покупки.   P.S Бракованный товар есть у всех производителей.</t>
  </si>
  <si>
    <t>2041</t>
  </si>
  <si>
    <t>Если выбирать между этой акустикой и Edifier C2, то я предпочту последний вариант. Хоть и Edifier и малость слабее (в смысле мощности), но там и пду есть, да усилитель отдельный.</t>
  </si>
  <si>
    <t>шумный. воздушный поток слабый. не рекомендую покупать. лучше взять напольный.</t>
  </si>
  <si>
    <t>2012-12-24</t>
  </si>
  <si>
    <t>Работает эффективно, нагрев относительно других радиаторов быстрый. Очень удобны четыре колеса, не надо приподнимать торец радиатора чтобы передвигать его. И главное об него нельзя обжечься.</t>
  </si>
  <si>
    <t>Этот обогреватель подойдет для тех, кто хочет повысить влажность помещении, немного нагреть, ионизировать воздух и кто не заметил бы дикого шума вентилятора.  Очень хотел нормальный обогреватель - продавцы в магазине ооочень сильно убеждали, что это именно то, что я ищу и он своих денег стоит! На самом деле "пластмассовая игрушка 4 в 1". Если вам нужно просто согреть помещение - вам этот аппарат НЕ нужен! После него взял  обогреватель EWT Clima 1500 - отличная штука и 2 года гарантии!</t>
  </si>
  <si>
    <t>2017-02-20</t>
  </si>
  <si>
    <t>один сплошной плюс</t>
  </si>
  <si>
    <t>Привет.  Не советую брать данный аппарат. Вот мои аргументы:  1. Мало держит батарейку без подзарядки (но это ещё что).  2. После двух месяцев работы на дисплее цифры стали отображаться не полностью.  3. Качество связи оставляет желать лучшего, в трубке шумит (поставил другой аппарат все нормально стало, это к вопросу о качестве подключения если что).  4. Уехали с женой на 3 недели на дачу, приезжаю, беру трубку в руку, а он потек. Причем потек не аккумулятор а именно сама трубка. Вообще впервые с таким столкнулся.     Так что крайне не советую брать данный аппарат.</t>
  </si>
  <si>
    <t>Хорошая кофемашина. Кофе варит идеально. Посмотрите внимательно на предыдущие отзывы, их явно пишут конкуренты, они написаны все 07.04.2017. Спасибо консультанту в М.Видео, он честно мне рассказал о всех кофемашинах. Теперь мне понятно почему мне другой консультант так навязывал philips, ему за это платят немалые деньги! Будьте внимательны!</t>
  </si>
  <si>
    <t>отличное сочетание цены и качества</t>
  </si>
  <si>
    <t>1695</t>
  </si>
  <si>
    <t>Качество сборки отличное нет люфтов и скрипов.  Камера делает четкие снимки.  Глюков в ПО нет  Пользуюсь уже месяц ни одного недостатка не нашел  Связь держит отлично к интернету подключается без проблем. Очень быстрый смартфон. Долго работает без подзарядки в течение 3 дней активного использования  P.S. если у вас возникают проблемы с этой моделью, то вам уже ни чего не поможет;)</t>
  </si>
  <si>
    <t>Хотелось бы знать имеется ли у него турмалиновое покрытие и есть ли терморегулятор? А также почему никогда не пишут сколько он мощности потребляет?</t>
  </si>
  <si>
    <t>Я думаю многие на себе ощущали что качество воздуха в доме оставляет желать лучшего в отопительный сезон, с появлением в семье ребенка этот вопрос стал принципиальным, поэтому и решились на покупку воздухоувлажнителя Bork H700. Работает он у нас исправно и уже чуть больше чем три года. При том что пользуемся часто и можем даже на ночь не выключать, потому как шума от него практически нет. Аппарат за это время стал незаменим. Разница в воздухе чувствуется, а к хорошему, как говорится, привыкаешь быстро. Воздухоочиститель имеет 4 режима, каждый из которых по-своему удобен, мы конечно же чаще всего используем детский режим - прибор постепенно повышает уровень влажности доводя его до 55% и затем поддерживает на этом уровне. Также в нём есть фильтр, который очищает и смягчает воду, которая испаряется. Прибор функциональный и удобный в использовании, имеет встроенный гигрометр, таймеры включения/отключения, индикаторы уровня воды, загрязнения фильтра, необходимости очистки. На мой взгляд такое устройство будет полезно в любом доме.</t>
  </si>
  <si>
    <t>Весьма тормозная флешка, дизайн совсем китайский, основное достоинство это цена, за эти деньги с недостатками можно легко мириться</t>
  </si>
  <si>
    <t>Недавно купила именно эту микроволновку....только потому, что из представленных в магазине она была самой большой...23 литра!!! Заявленная мощность и вправду не вполне соответствует действительности.   Но все же:  * на приготовление мяса с картошкой в соусе ушло чуть меньше часа  * курица-гриль - 40 мин.  * бутерброд с сыром от 30 сек. до 1,5 мин. в зависимости от сыра  * разогрев тарелки супа 2 мин.  * разморозка 1 кг чего-нибудь мясного - 20-30 мин. ...долго ((  * автоменю совершенно нереалистичное. приходится запускать 3 раза. проще задать все параметры вручную  Особо сравнивать не с чем, поэтому впечатления скорее положительные.   Посмотрим, сколько прослужит</t>
  </si>
  <si>
    <t>Купила эту машинку 9,5 лет назад (!!!). За все это время ни одного ремонта! Стирает тихо, никуда не прыгает, отжимает хорошо</t>
  </si>
  <si>
    <t>Пылесос полностью оправдывает потраченные средства. Очень удобен в эксплуатации, обладает хорошей мощностью всасывания и моется легко, да и шумит не сильнее других пылесосов. Рекомендую всем любителям быстрой уборки).</t>
  </si>
  <si>
    <t>Всех приветствую !!! Пользуемся данной машиной  уже 3 недели! Кофе получается очень вкусный!!! Кофемолка по громкости работает умеренно, варит быстро, без каких либо проблем. Приобретал в Краснодаре по акции. Короче очень довольны. За такие деньги это подарок)))))). Всем удачи и добра!!!!)</t>
  </si>
  <si>
    <t>На 2010 год PsP 3008 стала превосходным подарком! Мне 16 лет, и я был счастлив данной покупке.   Про функции говорить даже нечего, все ГУД...о них вы и на других ресурсах почитаете.   А тут я пожалуй расскажу о самом корпусе консоли:  -как бы вы не относились к своей драгоценной приставке, на ней все равно появятся царапины\потертости\ссадины.(по скольку корпус ее выполнен из очень нежного лакированного пластика)  -еще 1 проблемой является экран самой системы, а точнее панелька над ж\к дисплеем: срузу же покупайте ПЛЕНКУ, ЖЕСТКИЙ ЧЕХОЛ и КЕЙС. Тогда вы сможете сохранить приставку в первозданном виде!                Удачи вам в общении                 с этим чудом от SONY!   С уважением DEN</t>
  </si>
  <si>
    <t>Если этот утюг у Вас воняет, то это скорее всего подделка, ведь запах может появиться только через некоторое время от накипи (на этот случай есть функция самоочистки). Пользуюсь этим утюгом где-то год уже. Отличный утюг!!!!</t>
  </si>
  <si>
    <t>2233</t>
  </si>
  <si>
    <t>В ответ на сообщение Кристины (Москва) от 10.12.2009 хотелось бы добавить, что программы стирки детских вещей в этой машинке нет!!  А так машинкой в целом довольна, хотя пользуюсь ей около 3мес. Действительно стирает тихо, не прыгает во время отжима. Но заметила один очень существенных недостаток: когда машинка простаивает отключенная без белья, да еще и с закрытым люком, то в барабане появляется очень неприятный прелый запах(( Поэтому теперь ее постоянно приходится "проветривать" и держать дверцу люка открытой((.Раньше пользовалась индезитом, практически всегда люк держала закрытым, такого не было, в барабане всегда пахло свежестью - кондиционером. Никто с такой проблемой не сталкивался??</t>
  </si>
  <si>
    <t>вроде для него выпустили обновление до андроид 2.1, поищите прошивки.  а так пока жду появления Samsung Galaxy S в мвидео</t>
  </si>
  <si>
    <t>2016-11-20</t>
  </si>
  <si>
    <t>2341</t>
  </si>
  <si>
    <t>с виду телефон был маленький, я подумала, что он плохой, но как заглянула внутрь сразу же всё поняла!!!когда закрываешь крышку телефона на крышке появляются часы, то есть когда хочешь посмотреть время не обязательно отрывать крышку. А когда ты в мултимедии или в интернете, то если перевернуть влево, то есть на бок, если телефон перевернуть, то и всё на экране тоже всё на бок.телефон супер советую!!!</t>
  </si>
  <si>
    <t>2666</t>
  </si>
  <si>
    <t>Даже с моими аудиофильскими потребностями, эти уши восполняют на 100% мою тягу к качественному звучанию. Если звуковая карта "тянет" хорошие басы, эти наушники их отобразят с достоинством. Про детальные высокие и средние я хочу упомянуть особенно: я такого качества еще не слышал в наушниках такого класса.</t>
  </si>
  <si>
    <t>Юзаю с неделю.  Картинкой доволен.  Иногда портит настроение отражение (блики).  Но за эти деньги хорошо.  S-ка  на ~9т.р. дороже...  Кому позволяет бюджет, однозначно S-ка.</t>
  </si>
  <si>
    <t>Купила в сентябре, в марте - накрылся. Износилась пластмассовая резьба основной детали. Измельчал очень плохо. Шумный. Не советую покупать никому.</t>
  </si>
  <si>
    <t>Добротный вентилятор, использовал его не очень часто, но выглядит долговечным, интересный совет по использованию, ставлю его на открытое окно, что бы затягивал воздух с улицы, вполне свежо.</t>
  </si>
  <si>
    <t>На одиночную даже не рассчитывайте - глупый сюжет, забудьте про графику - все корявое, только мультиплеер и то есть вещи поинтереснее.</t>
  </si>
  <si>
    <t>Брала у подруги поползоватся) Идеальный утюжок) В ближайшие дни куплю себе такой же. волосы не испортил за месяц. надеюсь, это не предел.  отзывы тоже потрясные.   спасибо.</t>
  </si>
  <si>
    <t>5020102</t>
  </si>
  <si>
    <t>2016-06-04</t>
  </si>
  <si>
    <t>У нас уже долгое время стоит в гостиной воздухоочиститель, модель Борк а800 - мы без него никак,у меня и муж аллергик, и сын. В последнее время поняли, что работать он стал как-то похуже, и аллергии снова появились у сына. Посоветовались, сказали, что нужно фильтр поменять. Пришли сразу к вам т.к. и воздухоочиститель у вас покупали. Цена не отпугнула - все равно главное то что фильтр фирменный и подходит к нашей модели. Поменяли его без труда. Работает с новым фильтром модель уже неделю, разница реально ощутимая.</t>
  </si>
  <si>
    <t>Zinaida (Самара )  стерео звук на телевизоре работает, только на стерео тв каналах. Если на тв канале поддерживается стерео, телевизор надписи моно показывать не должен.  (у самого этого телевизора в наличии нет, так что полагаюсь только опыт)</t>
  </si>
  <si>
    <t>Кофемолка мне досталась со скидкой, почти, в половину цены!  Мне с оказией привезли  кофе,не тот ,что в магазинах лежит месяцами,а "свеженький".Кофемолка справилась за 5 секунд.Класс!Не шумная.  Небольшой минус -это короткий шнур,но это мелочь,по сравнению с тем,как он работает.Ножи острые.Чистить легко.  Я довольна покупкой !  Всем советую!</t>
  </si>
  <si>
    <t>Нормальный плеер)</t>
  </si>
  <si>
    <t>1097</t>
  </si>
  <si>
    <t>Приобрел 10.05.12 доволен и техникой и сервисом все на уровне.При вращении не скрипит.  Единственный минус на высокой скорости шумит.</t>
  </si>
  <si>
    <t>Выпрямитель - супер! Сомневалась по поводу его покупки из-за цены... Но! Он того стоит. Очень удобный в эксплуатации, легкий. У меня от природы сильно вьющиеся и пушистые волосы. Этот выпрямитель с легкостью справился с обеими этими задачами за 10 мин при температуре 180С. Отличная вещь! Всем советую</t>
  </si>
  <si>
    <t>2013-07-15</t>
  </si>
  <si>
    <t>Купила выбирал муж, покупкой очень довольна ,шумит не сильно, все супер!</t>
  </si>
  <si>
    <t>Купил в подарок, при осмотре выяснилось - не хватает лопатки. Работает нормально.  Хотелось отметить что выдача товара на Пушкаревском кольце выше, чем  в магазине на Гончарова.</t>
  </si>
  <si>
    <t>крышка сливного клапана у наполненного термоса плотно не закрывается поэтому идет испарение под крышку и как следствие интенсивное изменение температуры жидкости.  по рекламе гарантия 100 лет а по факту 1 год и эта неисправность обмену не подлежит . купил в октябре 2016г и уже противно.</t>
  </si>
  <si>
    <t>Купила эти щипцы, руководствуясь отзывами. Очень понравились! Локоны действительно получаются за 10 секунд, как и заявлено в характеристиках. На завивку всей головы (волосы 50 см) ушло всего 5 мин.</t>
  </si>
  <si>
    <t>Сегодня приобрела этот телефончик!!!В первую очередь понравился его гламурный дизайн!!!Этот телефон действительно очень прост в управлении,он лёгкий,такой приятный, многофункциональный,качество звука хорошее!Сенсорный телефон у меня впервые,сначала хотела купить телефон от Нокиа,но всё же не устояла перед этим беленьким гламурненьким Самсунгом,созданным специально для девушек-модниц,и не ошиблась....это то что мне надо!Я в него теперь влюблена!!)))</t>
  </si>
  <si>
    <t>-при переключении с одной симки на другую,перезагрузка телефона, просто бесит (хотя в характеристиках пишут обратное)  Валентина (Бийск)  Внимательно нужно читать инструкции или воспользоваться горячей линией самсунг, если плохо с головой и руками:   В этом телефоне два радиомодуля и они работают одновременно - ничего перезагружать не нужно! Справа, на корпусе, есть кнопка переключения между симкартами, но нажимать её нужно после того, как вы нажали кнопку вызов (с зеленой трубкой). Индикация работы и переключения между симкартами слева, вверху на экране телефона(нужная симка подсвечивается белым прямоугольником)    "нет шнура и дика с ПО" это плохо, но хуже того - отсутствует USB порт.    "при удалении с блютуз-гарнитурой из зоны телефона не всегда подключает ее обратно при входе в зону" Да, работа этой функции не продумана.    От себя добавлю: Нет горячей замены карты памяти, экран хороший, но на солнце "слепнет", камеру можно было вообще не ставить, чем иметь такую. Аккумулятор держит заряд неделю. Компактный. Качество связи, громкость звонка - на высоте.</t>
  </si>
  <si>
    <t>Машина была куплена 31.03.09. В целом довольна,но пожалела, что из-за экономии не взяла ПДД. Причина - "зависает" программатор на 2-х основных программах стирки хлопка.Необходимо несколько раз выставлять программу до получения корректного значения на дисплее. Машиной пользуюсь одна, строго соблюдаю инструкцию - речь о том, что кто-то из домашних сломал не идёт.  А так - мне нравится. Если бы пришлось выбирать - то скорее всего остановилась бы на данной модели.Главные плюсы - большая загрузка,небольшая глубина, программа mix&amp;wash.</t>
  </si>
  <si>
    <t>271</t>
  </si>
  <si>
    <t>Данную машинку приобрели полтора года назад. Работает до сих пор отлично,стирает очень качественно. Бывала и стирка больше часа,и ничего,все отлично работает. Единственный минус-появились две маленькие дырочки на шланге для слива воды (но это произошло совсем недавно). Мы эти дырки замотали белой изолентой и машинка опять как новая! Рекомендую и для дачи,и для съемных квартир. Легкая,можно перемещать без проблем.</t>
  </si>
  <si>
    <t>Сейчас уже прошло 3 месяца как пользуюсь. Из недостатков могу сказать, что цветом она совсем не вписалась ко мне на кухню, в остальном очень доволен! Вкусный и быстрый черный кофе, можно приготовить капучино(молоко берите пожирнее, тогда пенка отменная), очень понравилось. Понять что и куда не составило труда))) Единственное много воды уходит в лоток для отходов. В остальном класс!) Хорошее сочетание цены и качества)рекомендую!)))</t>
  </si>
  <si>
    <t>Лично у меня ничего не виснет, может и по реалу ты купил брак, но это не значит, что все компы этой модели браки.</t>
  </si>
  <si>
    <t>Телевизор приобретен 23.12.2010г Приобретался для просмотра на кухне.В целом не плохой аппарат. Очень порадовало меню, после 15 минут )))) ковыряния нашел практически все. Основной недостаток - формат изображения 16:9 не радует, лица растянутые, картинка смазанная, установил расширенный - не видно бегущей строки и номера канала. В остальном доволен.</t>
  </si>
  <si>
    <t>классная вещю и к плазме подключать можно и к телевезору графика улёт качество тоже просто супер приставка класс!!!!!!!  покупайте не пожалеете!!!!!!</t>
  </si>
  <si>
    <t>хороший!в 2012 подарили и только сломался((буду ещё такойже брать!</t>
  </si>
  <si>
    <t>В высшей степень комфортная, практичная, компактная кофе-машина. Вот уже год, как радует исключительным вкусом приготовленного в ней кофе. За прошедший год, кофемашина не потеряла свой внешний вид. Краска не слезла, корпус не проржавел. Исользуется ежедневно два-три раза в день. За год не было каких либо замечаний по работе машинки. Не занимает много места на небольших пространствах, ее ширина всего 15 см. Тихо работает, что важно для тех, кто бодрствует по ночам.</t>
  </si>
  <si>
    <t>2955</t>
  </si>
  <si>
    <t>Хорошие наушники, звукоизоляция на высоте практически ничего не слышно кроме музыки, басы идут удивительно сильно и глубоко.</t>
  </si>
  <si>
    <t>Вытяжка очень нравилась, все два дня эксплуатации:) Вечером второго дня разорвалось стекло, осколки разлетелись по всей кухне, просто счастье, что было поздно и на кухне никого не было, особенно ребёнка, т.к. стёкла летели, как пули и запросто можно было остаться без глаз.</t>
  </si>
  <si>
    <t>2009-12-15</t>
  </si>
  <si>
    <t>У меня такой же фен. Мне его подарили года 3-4 назад. Самый лучший фен который когда либо у меня был.</t>
  </si>
  <si>
    <t>Аналог Nokia N76???Долгое время пользовалась этим телефоном..теперь не могу никак найти схожий по функционалу и внеш.виду(((</t>
  </si>
  <si>
    <t>2013-07-21</t>
  </si>
  <si>
    <t>Купил сегодня сей девайс, сразу разумеется попробовал, хорошо пылесосит, удобно, что в руке не надо держать, до этого пылесосил стареньким домашним, b@d не уступает, цена конечно завышена, но думаю оправдана, рекомендую.</t>
  </si>
  <si>
    <t>Использую с iPod nano 3G. До них были вставные Fischer, которые натурально развалились через 2 месяца. Так вот эти соньки звучать сравнимо со штатными айподовскими ушами, гораздо лучше по басам, немного лучше по середине, слегка проигрывая по верхам.  Очень удобно сидят в ушах, и качественно собраны - ничего не отваливается и не дребезжит.  Угловой штекер конечно лишняя теперь штука- прямой удобнее.</t>
  </si>
  <si>
    <t>1722</t>
  </si>
  <si>
    <t>Мне очень понравились наушники и никаких нареканий к ним нет! Но за такие деньги можно было не просто наушники сделать, а с каким-нибудь регулированием громкости, переключением песен! А так впрочем нормальные!</t>
  </si>
  <si>
    <t>2746</t>
  </si>
  <si>
    <t>Хороший ТВ по хорошей цене.</t>
  </si>
  <si>
    <t>Купила соковыжималку сегодня. Очень понравилась, легка в использовании, сок из яблок и груш получился очень вкусным, сложностей с мойкой тоже не было. Сильной прозрачности сока я не заметила, но она и не нужна, мякоти в соке тоже не было. Довольна покупкой!</t>
  </si>
  <si>
    <t>2017-05-31</t>
  </si>
  <si>
    <t>Долговечный</t>
  </si>
  <si>
    <t>Начнем по порядку. Я и моя семья- постояные клиенты М.Видео.  Впринципе всегда был доволен покупками в данной сети магазинов.  Но не в этот раз.  Купил в эти выходные сетефой фильтр за 20.000 (monster power)для будущего большого телевизора и данную модель телека для родителей.   В данной модели от SONY осталось только удобство пульта и меню.  Такой ужасной модели от соньки не ожидал. Очень долго думает при переключении каналов. Качество тв эфирных каналов вообще ОТСУТСТВУЕТ. Все размыто.  Настолько огорчен данной покупкой, что просто пипс. Ну не ожидал от SONY такого. Слишком поздно прочитал отзывы в интернете, так бы не купил.  Не берите этот телевизор.   Для тех кто сомневается - это третий ЖК телевизор и второй, который брал в М.Видео.   Самсунг 27" - Качество эфира - 4, цифры - 5.   Филипс 20"(19) - качество эфира - 4, цифры - 5.  Эта соня 26" - качество эфира - 1, цифры - 3(4)   Взял только несколько дней назад, буду пытаться менять, но возможно откажут так как это "сложный технический товар". Отказать их право. Если не поменяют, откажусь вообще от всех заплонированных покупок в данной сети.   Может это даже не отзыв о товаре , а что то большее, потому что всегда верил что необманут меня ни М.видео ни SONY, а получилось вот так как есть :((</t>
  </si>
  <si>
    <t>917</t>
  </si>
  <si>
    <t>хорошие щипцы, быстро нагреваются,распрямляют отлично и волосы после укладки блестят и переливаются</t>
  </si>
  <si>
    <t>Нет МР3.</t>
  </si>
  <si>
    <t>Отличный духовой шкаф! Качественный,стильный. Выпечка получается воздушная! Легко мыть, отпечатки на стекле не остаются. За год использования проблем не возникало. Советую всем!</t>
  </si>
  <si>
    <t>модель на твердую четверку, показывает хорошо есть небольшие минусы в изображении, но по мелочи, плюс подозрение, что с приемом эфира у меня косяк, так как видео с двд без нареканий. Покупкой доволен, а там каждый сам пусть решает.</t>
  </si>
  <si>
    <t>Купил сегодня. Сразу испробовал.   Помол для экспресо просто супер, и очень быстро помолола.   Единственный недостаток - молет от двух чашек.</t>
  </si>
  <si>
    <t>-При переключении каналов, в верхней части экрана появляется широкая чёрная полоса с информацией о канале и др., которая «висит» на экране примерно 5-7 секунд - что довольно долго.  -При переключении каналов долго "думает" - пару секунд чёрный экран.  -Отсутствие часов и таймера на включение.   -Таймер на выключение "зарыт" глубоко в меню-подменю, зато есть кнопка «установка субтитров», мною (думаю и многими) вообще не используемая, но расположенная в очень удобном месте на пульте!</t>
  </si>
  <si>
    <t>1326</t>
  </si>
  <si>
    <t>дороговат немного, мало розеток, защита достаточно хорошая, но есть аналоги и дешевле, имеющие больше розеток и более эргономичный дизайн.</t>
  </si>
  <si>
    <t>228</t>
  </si>
  <si>
    <t>2011-09-16</t>
  </si>
  <si>
    <t>Несколько месяцев назад купил этот утюг,доволен им,хороший вес,функции автоочищения и автоотключения.Есть всё,что нужно.</t>
  </si>
  <si>
    <t>479</t>
  </si>
  <si>
    <t>телефон очень классный, звук порадовал, камера тоже шик! вообщем минусов в телефоне практически нет!</t>
  </si>
  <si>
    <t>Уже год этот фен мой спутник жизни. Он подходит, как маме и сестре на волосы до пояса, так и мне на более короткие волосы. Щетка держится отлично, ничего не путается когда руки ростут из нужного места )). Советую это чудо всем! И все знакомые, кто купил-влюбленны в этот фен! А совет для тех кто только собирается его купить, проверяйте чтоб не качался сразу в магазине, при укладке берите небольшие пряди как в парикмахерской (с нижнего ряда в верхний) и регулируйте скорость снизу на рычажке)). Удачи)).</t>
  </si>
  <si>
    <t>Очень хороший фен.Понравилась отдельная кнопка ионизации воздуха,к тому же она симпатично подсвечивается.Длинный шнур-тоже плюс.Удобное расположение кнопок,все можно переключать без труда!Хорошее качество!</t>
  </si>
  <si>
    <t>Телевизор отличный, но есть несколько моментов, которые считаю необходимым отразить, во избежание недоразумений во время и после приобретения.  1. Не ищите "горячую" кнопку таймера сна на пульте ДУ - для его установки каждый раз необходимо погружаться в меню.  2. Ощущается ограниченность в поддерживаемых к произведению через USB форматов - ни AVI ни MKV ни некоторых других вполне ходовых форматов воспроизвести не удастся.  3. В отношении российской сборки имеет место еще и косметический брак - если смотреть на ТВ сзади, то в верхней правой его части от угла к середине тянется аккуратная щель протяженностью сантиметров 5 внешне похожая на трещину на самом же деле это диагональный стык между двумя тыльными пластинами корпуса, который либо плохо заплавлен, либо плохо за полирован.(я по-началу отказался от одного из телевизоров, думая что это трещина, тем более что мы с продавцом не нашли симметричной щели на противоположной стороне ТВ. Но потом посмотрел на несколько других таких же ТВ и убедился, что это не последствие падения. Происхождение щели стало окончательно понятно после рассмотрения ее под углом, под которым отчетливо видно что продолжением щели является едва заметная бороздка от стыка пластиковых панелей).  Резюме - телевизор я все-таки купил. И откровенно доволен.</t>
  </si>
  <si>
    <t>Приобрёл сегодня. На вид большеват, однако размеры оправдывают. Большие фильтры внушают доверие. Шумноват на малой скорости что не говори. Попался производства декабря 2007. Годовалый вообщем. Немного разочаровало. А так неплохой, лампы работают, чтобы проверить, нужно нажать защиту при вставки фильтра, и одна защита стоит при установки крышки, иначе не заработает. Ионизатор представляет собой провод выведенный в корпусе. Не знаю насколько эффективен. Инструкция не сказал бы, что обширная. В целом 4. За эти деньги очень даже недурно.</t>
  </si>
  <si>
    <t>Хорошая маленькая машинка. Удачно встала в своё место. Нам очень нравится.</t>
  </si>
  <si>
    <t>3003</t>
  </si>
  <si>
    <t>наушники хорошие, то что свет мешает и резкие движения полный бред, ни чуть звук не искажается. Звук хороший чёткий, правда басы в них очень слабые. в общем на 4 из 5, хорошие но ожидал большего.</t>
  </si>
  <si>
    <t>Лучшая модель масленого радиатора. Поддерживает нужную температуру в помещении за счет термостата. Имеется три режима мощности работы. Не сушит воздух и не съедает кислород, экологичный, тихо работает, надежный помощник в осенью). Каминный эффект сказка - быстро нагревается сам и хорошо прогревает комнату!!</t>
  </si>
  <si>
    <t>Комбайном очень довольна, пользуюсь больше 3 лет. Блендером взбиваю коктейли и тесто на блины :). кубиками резала только отварные овощи сырые не пробовала, жалко испортить. Нож отличный курятину или рыбу превращает в фарш для котлет (мягкие нежные готовлю ребенку). Терками пользуюсь редко (маленький объем проще ручной тереть и меньше потом мыть + у меня под крышку часть овощей набивалась и оставалась неперетертой, уж не знаю дефект или так у всех). Сок из цитрусов тоже на 5.</t>
  </si>
  <si>
    <t>Купил этот утюг 15 февраля 2007 года, по сей день работает без нареканий, и в воду падал, на пол сколько раз, ему все равно.. Хочу такой же родителям взять, а в продаже их нет, жаль...</t>
  </si>
  <si>
    <t>Вещь! Брал 6 месяцев назад - никаких проблем! Цену более, чем оправдывает, особенно теперь!</t>
  </si>
  <si>
    <t>Мне его на ДР подарили. Нравится, все устраивает. Блендер у меня уже больше года. Пользуюсь, радуюсь! Даже как то рыбный фарш на нем делала. Единственное НО, для полного счастья не хватает в комплекте венчика для взбивания, а так все что нужно!</t>
  </si>
  <si>
    <t>2013-02-14</t>
  </si>
  <si>
    <t>Мне понравилась, не шумная, хорошо дует, единственное, краска облупливалась по углам.</t>
  </si>
  <si>
    <t>Дорожный утюг с подачей пара? Я такого даже представить не могла, тем более по такой цене доступной, поэтому взяла не задумываясь. Это дейтсвительно незаменимая вещь для тех, кто много ездит. Да и дома тоже пользуюсь им для глажки труднодоступных складок.</t>
  </si>
  <si>
    <t>Фен не понравился! Очень громоздкий, из-за этого неудобный! При укладке круглая щетка постоянно вываливается, из ручки, т.к. крепления очень слабые. Спустя месяц маленькой щеткой из-за этого больше не пользуюсь, а крупная не позволяет добиться желаемой завивки локонов.  Жаль потраченных денег, теперь ищу простой фен для укладки!</t>
  </si>
  <si>
    <t>Телефон проработал у сына чуть больше года, в конце концов заглючило так, что сервисный центр отказывается чинить.  Брать никому не рекомендую</t>
  </si>
  <si>
    <t>Тел отличный! Звук потрясающий(конечно после е398). В общем претензий к нему нет после 2-х месяцев эксплуатации.</t>
  </si>
  <si>
    <t>телефон хороший....советую купить тем, у кого нет плеера:)</t>
  </si>
  <si>
    <t>Пользуюсь коммуникатором полтора года. через полгода эксплуатации, аккуратной прошу заметить, полетела кнопка Hold (переключатель трех положений), из-за этого асус постоянно выключался. гарантийный ремонт конечно все исправил и в целом работой аппаратом я довольна.</t>
  </si>
  <si>
    <t>Справляется с любой тканью</t>
  </si>
  <si>
    <t>Отличная машинка! Отмывает даже посуду после запекания в духовке на 2 программе, не говоря уже о тарелках и кастрюлях. Работает тихо. Проблем с посудой больше нет, рекомендую.</t>
  </si>
  <si>
    <t>Данный вентилятор имеет отверстия для обдува только наполовину от лицевой части, т.е нижняя часть без отверстий, просто для красоты. На режиме "сон" тихо работает, обдувает слегка, ночью комфортно. На 3-х остальных режимах достаточно шумный, но обдув очень мощный. В небольшой комнате справится со своей задачей, но в большой думаю нет.  К плюсам можно отнести малогабаритность, и пульт управления.</t>
  </si>
  <si>
    <t>1842</t>
  </si>
  <si>
    <t>2015-12-06</t>
  </si>
  <si>
    <t>это не гневный отзыв, а скорее вопрос. купили печь и сразу же решили испечь простой хлеб, пятый раз уже пробуем но ничего не получается - хлеб не пропекается внутри хоть корка и вкусная. все делаем по рецептам из интернета, и не можем понят то ли дело в муке, то ли дело в рецептах</t>
  </si>
  <si>
    <t>Пользуюсь полгода, почти каждую неделю.    Запишите мой плов (он лучший), прежде чем делать, прочитать последовательность:    Растительное масло - 3 ст.л (половина - сначала, остальное - поверх всего)  Говядина - 400 г (уложить на дно кусочками)  Морковь - 2 шт (кубиками, на мясо)  Лук - два (кубиками, выше)  Рис круглозерный на пару - 2 стаканчика (насыпать сверху)  Вода - 4 стаканчика (наливаем сверху)  Чеснок - 6 зубчиков (разрезать вдоль на 2-3 части, воткнуть в рис, который уже в воде)  Специи - 1 ч.ложка без горки (купить у кавказцев, для плова), полчасти насыпать на мясо, полчасти - поверх всего.    Получается максимальная загрузка, готовится примерно 1 час 15 минут. По-разному пробовал, этот вариант - лучший.    С морепродуктами не понравилось, с бараниной - специфический аромат, с курицей не стал пробовать, было лень идти и покупать нормальную деревенскую, бройлеры не вздумайте использовать.</t>
  </si>
  <si>
    <t>1769</t>
  </si>
  <si>
    <t>2012-05-11</t>
  </si>
  <si>
    <t>Господа! Напишу, пожалуй, объективный отзыв. Мне нужен был для дачи - сделать горячий душ в бане. Соответственно - чем дешевле тем лучше.  Перед тем как покупать - проштудировал все ресурсы и отзывы. Насторожило, что здесь написали о ручьях и тп. Решил не смотреть на это и купил - уж больно цена хорошая.   Купил Еталон в Мвидео. И не жалею.  Устанавливал сам, все делал на совесть (краны, уплотнения и тп).  Итог: моемся в горячем душе на даче втроем за один нагрев. Нигде ничего не течет. Сколько проработает - посмотрим. Но за такие деньги - можно и еще один купить.  По поводу ручьев из клапана - этот клапан предотвращает разрыв бака нагревателя от большого давления! Если у вас течет из него - это значит очень большое давление НА ВХОДЕ - клапан лишнее скидывает естественно! У меня насос дает 3 атм. И все супер! Ни единого потека, даже клапан по шлантику не сочит. В городе да, при старых трубах давление может быть и больше - чтоб продуть весь стояк. В инструкции к нему все это подробно описано!</t>
  </si>
  <si>
    <t>выбрали по цене, цифровые каналы ловит, но они почти все зашифрованы ( то есть платные), аналоговые каналы надо настраивать каждый в ручную ( минут 10 ушло) поймал 21 канал( и это при подключаемой антенне, не стационарной), показывает очень хорошо, денег не жалко, для того чтобы телек показывал все что может поймать надо внимательно прочитать инструкцию и грамотно настроить.. у меня это получилось...</t>
  </si>
  <si>
    <t>2671</t>
  </si>
  <si>
    <t>Отличный утюг...купил по акции в Мвидео.. пользуемся 2 года..проблем не каких нет)) жена довольна</t>
  </si>
  <si>
    <t>2014-06-08</t>
  </si>
  <si>
    <t>Пользуюсь этой соковыжималкой год и все это время отлично жмет и яблоки и апельсины и свеклу. Никакого отличия от дорогих брендов не вижу, кроме материала. Горло довольно широкое (киви и среднее яблоко уходит целиком), легкая, все легко снимается, моется и ставится обратно.Я довольна)</t>
  </si>
  <si>
    <t>Купил такую соковыжималку, очень огорчился: ну ОЧЕНЬ ГРОМКО работает. По какому-то непонятному алгоритму вычисляет, в какую сторону ей крутить - порой долго не может определиться и буксует на месте :(</t>
  </si>
  <si>
    <t>Mystery MMD-6205 BS - месяц как приобрел, порою глючит дистанция, т.е. не реагирует ни на одну кнопку, но остальном нормально. Читает ВСЁ (кроме HD) и со ВСЕГО. Радио и ТВ - все работает - короче с ним не скучно.</t>
  </si>
  <si>
    <t>2013-07-27</t>
  </si>
  <si>
    <t>Несколько недель назад , хотел сварить яйца - несколько треснуло, некоторые недоварились, потратил кучу нервов , при том, что спешил , а приходилось рядом с плитой крутиться. В итоге, когда завтрака не получилось, я психанул , пробил в поиске Яйцеварка, я даже не знал , что они существуют! И мне высветилось!!! Поехал и купил! Теперь я боюсь , что у меня от яиц аллергия будет) Яйца варятся великолепно, скорлупа очищается на раз-два, не надо никакой соли добавлять, чтобы не растрескались, я поставил, пошёл заниматься своими делами , услышал сигнал, завтрак на столе. Всё! Надо мной все подсмеиваются до сих пор, но интересуются и я с удовольствием рассказываю им про свои эпические победы на кухне! ) Вот сейчас зашёл , чтобы посмотреть в наличии , хочу в подарок купить!</t>
  </si>
  <si>
    <t>Дружимся 2 месяца. Дизайн - респект изготовителям. Веб-камера пока не сломалась). Заглушка, кстати, соскакивает с шурупов. Наличие дополнительной цифровой клавиатуры радует однозначно. STALKER идёт на максимальных настройках. Очень неплохая цена для столь впечатляющей начинки.</t>
  </si>
  <si>
    <t>Отличная бритва! при очень чувствительной коже никакого раздражения(после станка всегда было). купила ее , когда она только появилась. Работает до сих пор! Аккумулятора хватает на очень долго! В общем на 5+ покупка!</t>
  </si>
  <si>
    <t>Плохой, пыль возит с места на место, туда сюда. Ничего не убирает! Своих денег не стоит!</t>
  </si>
  <si>
    <t>185</t>
  </si>
  <si>
    <t>Я очень волнуюсь за состояние здоровья всех моих родственников с которыми я живу, особенно из-за того, что всегда есть риск онкологических заболеваний( Почитала в интернете про все способы того, как можно это все свести к минимуму. Было также написано и о таких специальных фильтрах. Посмотрела на вашем сайте, нашла подходящую модель, купила прямо по интернету. Подошла к моей модели воздухоочистителя без проблем, заменили, теперь прям на душе действительно как-то легче. Да и в целом воздух очищается хорошо, как раньше, но мне кажется, что даже лучше.</t>
  </si>
  <si>
    <t>1868</t>
  </si>
  <si>
    <t>Флешка классической формы, без особых оригинальностей в оформлении, как всегда у Kingston'а. И, как всегда-отличное качество, скорости как записи, так и чтения достойные, работает уже почти год без глюков, несмотря на не очень щадящие условия эксплуатации)) Порадовал выдвижной разъём, не переношу флехи с крышками... В целом и общем доволен. Разве что цвет взял бы другой, но это мелочи.</t>
  </si>
  <si>
    <t>Купил как массажер, оказалось прекрасным средством от бессонницы!  :)  Выбор пал именно на эту модель:  1. Купил в период действия скидки (за 1490 руб.)  2. производитель-Витек (в нашем доме самый долгоживущий обогреватель именно этого производителя)</t>
  </si>
  <si>
    <t>Поставил себе этот усилитель на фронтальную и тыловую аккустику и честно говоря был разочарован, разница звучания до и после его установки минимальна. Вобщем очередной раз убеждаюсь что лучше не спешить с покупкой а подкопить и взять действительно стоющую вещь.</t>
  </si>
  <si>
    <t>653</t>
  </si>
  <si>
    <t>Что сказать про недостатки? Не может прибор интеллектуально обработать "негладкий" сигнал с обычного кабеля. Есть дрожание отдельных сегментов картинки; впрочем оное нормально, но просто не современно, ибо новые технологичные модели хорошо умеют компенсировать дрожание силуэтов, линий, контрастных фигурок. Эта модель всё нормально показывает, но в ней нет не хватает встроенных программ по компенсации недостатков внешнего сигнала. Прибор для восприятия эфирного вещания не очень удобен.</t>
  </si>
  <si>
    <t>3086</t>
  </si>
  <si>
    <t>Комп вообще классный, игры идут хорошо без лагов, памяти много, оперативы достаточно много   windows 7 hb ничего , а вот то что 64 битный мне не очень, но систему и переустановить можно    Вот то что шумный он, это ничего  сделал звук колонок погромче и ничего не слышно</t>
  </si>
  <si>
    <t>2760</t>
  </si>
  <si>
    <t>Ну наушники прикольные , хорошие   Минус: неудобно уши у меня не такие огромные, постоянно вылетали, уши болели.  Сломались через год, жаль конечно но что поделать.  А вообще всё круто)</t>
  </si>
  <si>
    <t>Я купила аналогичный, но  Bosch MSM 75PRO, с профессиональной насадкой для взбивания. Блендер просто супер. Занимает минимум места, быстро перемешивает, измельчает и взбивает. Не хуже цептера, которым пользовалась 5 лет. Если их сравнивать минус только в органомике, цептор полегче и покороче.</t>
  </si>
  <si>
    <t>Купил этот монитор и на следуюший день нашел в нем битый пиксель (((</t>
  </si>
  <si>
    <t>2013-10-13</t>
  </si>
  <si>
    <t>Про мильку - оправдал ожидания, на 100 процентов, удобный, мощный и главное надежный. Кстати эта фирма действительно делает очень надежные пылесосы, у них большая наработка на отказ.</t>
  </si>
  <si>
    <t>2009-12-16</t>
  </si>
  <si>
    <t>Год пользуемся моделью 5818. Пылесосит очень хорошо, мощность достаточная, с турбощеткой идеально чисто. Недостатки: быстро нагревается и сильно шумит.</t>
  </si>
  <si>
    <t>2014-09-23</t>
  </si>
  <si>
    <t>Хороший водонагреватель. Семье из трех человек хватает и помыться и посуду помыть. При нагреве ставили на 3, но вода очень горячая, приходится разбавлять. Постоянные скачки напряжения на нем никак не отражаются. Пользуемся с весны, т.е. полгода. Проблем нет пока.</t>
  </si>
  <si>
    <t>2017-02-12</t>
  </si>
  <si>
    <t>Проработал два года и что-то накрылось. Но я его использовал на отопление.</t>
  </si>
  <si>
    <t>Очень доволен этой магнитолой. Но не могу разобраться с картой памяти. Магнитола не читает Micro SD 8GB, а 1GB нормально. Может сам что неправильно делаю.</t>
  </si>
  <si>
    <t>Здравствуйте.Купили мы с женой пылесос Пылесосил им я 2 раза.Вот это действительно ПЫЛеСОС!!!Никакой не нужно турбощётки, пылесосит всё.Реально зверь,причём работает очень тихо.Очень практичный,удобный и очень приятный в обращение.Греется он конечно хорошо и быстро но на улице 37 дома больше.Гарантия от производителя 36 месяцев.Лишь бы расходники не пропали с прилавков магазинов и не наступил конец света!!!</t>
  </si>
  <si>
    <t>Игра очень понравилась!Особенно мультиплеер с разными режимами.Графика отличного качества,миссии продуманные и интересные+множество видов оружия.</t>
  </si>
  <si>
    <t>Сдали обратно, трещали жутко.</t>
  </si>
  <si>
    <t>после апгрейда прошивы телик сдох, хотя было сделано все правильно, по инструкции с офф. сайта, где и прошивка лежала. Сырой видно какой-то он, лучше не берите, а если взяли, то НЕ ПЕРЕШИВАЙТЕ, гемора будет потом много.</t>
  </si>
  <si>
    <t>Месяц назад купила эту хлебопечь, не нарадуюсь! Бегать в магазин по морозу не нужно, точно знаю из каких ингридиентов ем хлеб...  Из-за безалаберности иногда не получается качественно (открою во время выпекания крышку, насыплю муки или сахара на глаз, перепутаю ложки: чайную-столовую...), но даже при таком подходе получается более чем съедобно!  В интернете полно интересных рецептов с сыром, с зеленью и чесноком, с мёдом...  Печь замечательная! Кстати,  о корочке, если выдержать хлеб час после выпекания в печке, то корочка темнеет до приличного состояния, попробуйте...  Четвёрку поставила только потому, что это первая хлебопечь в моей жизни, вдруг есть лучшие печки?</t>
  </si>
  <si>
    <t>Отличный аппарат. Шумит меньше многих других моделей. В квартире это второй кондиционер, есть с чем сравнивать. Скоростей 3, а не одна, как писал Алексей. Комнату 20 м.кв. охлаждает быстро, порой даже приходится приоткрывать дверь из комнаты. Вода выводится по испарителю. После недели работы так и не пришлось сливать конденсат.</t>
  </si>
  <si>
    <t>Очень хорошая вещь. Нагревается моментально, сандвичи готовятся быстро, ничего не подгорает и не прилипает. можно делать очень вкусные бутерброды с колбасой, сыром, помидорами и др, все помещается, ручки фиксируются-это очень удобно, если большой бутер делаешь. всем советую.</t>
  </si>
  <si>
    <t>1707</t>
  </si>
  <si>
    <t>Здравствуйте. У меня плита Hansa данная модель. Мне очень нравится, пользуюсь уже больше полугода - проблем никаких нет. Разогревает быстро, не пригорает, поверхность чистится легко, достаточно протереть влажной тряпочкой. Стильный современный дизайн. Часто готовлю в духовке, ничего отрицательного сказать не могу, есть несколько режимов приготовления, очень нравится функция гриль, курица получается наивкуснейшая, с золотистой корочкой. Есть удобный внизу ящик для посуду, очень вместительный. Люблю готовить и с этой плитой - это одно удовольствие. Советую приобретать - не пожалеете!</t>
  </si>
  <si>
    <t>Щетка отличная, пользуюсь уже два года, все хорошо, чистит, дисплей показывает сколько времени осталось, аккумулятора хватает на неделю в среднем.&amp;nbsp;</t>
  </si>
  <si>
    <t>1180</t>
  </si>
  <si>
    <t>Наушники действительно подходят как написали выше для "прогрессив рока, классики и транса", нравится как слышны детали. Шумоизоляция не как в танке, но достойная. С басами тут неопределенно. Вроде бы они есть, но не в привычном "гуле".     единственная аномалия какая была с наушниками, шипение\хрипение музыки при прослушивании треков из папки с треками NFS Underground. но тут думаю уже дело не в наушниках.</t>
  </si>
  <si>
    <t>Множество насадок,регулируемая мощность.</t>
  </si>
  <si>
    <t>Думал, сеточные электробритвы хуже роторных справляются с рельефными участками лица -  ошибался.  Несколько режимов бритья (которые умеют переключаться автоматически, в зависимости от степени небритости), плавающая головка (которая при необходимости может быть зафиксирована), возможность за 5 минут быстренько подзарядить бритву с утра, когда торопишься, - и этого хватит, чтобы побриться! а если зарядить бритву полностью, то аккумулятора хватает на какое-то неприлично бесконечное количество минут (что-то около часа непрерывной работы). Наличие триммера делает бритву завершенным совершенством: с ним удобно и стрижку подровнять, и бакенбарды, и в труднодоступных местах вроде шеи волоски подцепить. Дизайн и материалы бритвы настолько приятны на ощупь и презентабельны, что бритву не хочется выпускать из рук: Braun знает, что мужчины - те же мальчики, только предпочитают более навороченные гаджеты в качестве игрушек :)   Серьёзно, не думал, что бритье из докучливой утренней обязанности превратится в такое удовольствие!</t>
  </si>
  <si>
    <t>1243</t>
  </si>
  <si>
    <t>Купил месяца 4 назад. Перепрошил за 10 минут. Всё супер. Подключал Xbox 360 и PS3 картинка супер. Звук отличный. Всем советую.</t>
  </si>
  <si>
    <t>Вы знаете, все нравится в компе. Единственное что можно считать за неудобство, в какой-то мере, это его габариты.такой не хочется взять с собой на отдых или еще куда!  P.S. И напоследок такой философский момент, все железо очень бистро морально устаревает. И как с этим быть когда речь идет о ноутбуке? Upgraid исключен!!!</t>
  </si>
  <si>
    <t>Купила сей аппарат на днях). Ноготочки он мне все сравнял, конечно без пилочки не обойдешься, потому что невозможно в некоторые места подобраться, или где-то просто не берёт (сильнее надавливаешь, он перестаёт крутиться, это очень огорчило), что касается диска с шероховатой поверхностью, вообще непонятно что он делает( слабо водишь, он просто плавно скользит ничего не удаляя, а сильнее надавишь, останавливается( но по своей цене и качеству выполняемой работы, он соответствует)</t>
  </si>
  <si>
    <t>Купил по акции взамен такой же 2007 года, старая в один прекрасный день (15.04.2014) отказалась слить воду. Уже после установки новой (всё заработало сразу как надо, шланги оставил все старые, всё подошло) решил разобрать старую машинку. Достал из водяного насоса, что откачивает из барабана воду горсть монет, собачку от молнии и две бывших влажных салфетки. Салфетки пришлось извлекать кусками, пинцетом. После прочистки насос, и собственно машинка - заработали. Теперь у меня 2 стиральных машины. P.S.: с 2007 по 2014 год фильтр (оказалось есть и такой) водяного насоса ни разу не очищали (а надо было бы!), в остальном всё работает. И даже водонагреватель.</t>
  </si>
  <si>
    <t>Есть множество насадок и специальная удобная сумочка. На самом высоком режиме громко шумит, но по большому счету нравится все. Пользуюсь меньше недели, но и за такой короткий срок оценила удобство. Отлично выпрямляет конский хвост).</t>
  </si>
  <si>
    <t>Честно не покупал, просто хочу написать в опровержение 7ки (мне самому она не нравится, эта не понятная помесь висты и мака), по словам знакомого специалиста, на многие буки заливают оптимизированную 7ку, которая работает намного эффективнее, нежели снести и заменить её на ХП, но опять же ни в чем не уверен, но другу верю, надеюсь, что так, надеюсь бук не разочарует)</t>
  </si>
  <si>
    <t>Плита замечательная, комфорки совсем не шумят, духовка - прелесть, единственное, что создаёт неудобства, короткий шнур, пришлось купить удлинитель.</t>
  </si>
  <si>
    <t>Это лучший утюг. Повертье - их было в жизни не мало. То что надо. Пар - мощнейший, рубашки гладить очень удобно и эффективно - минута времени и все отутюжино. Жена в восторге.</t>
  </si>
  <si>
    <t>Фен-щетку Rowenta CF-8022DO использовала 3 года, пока он не сгорел :-( хотя пользовалась им всего раза 2 в неделю.   Выбирала его по критериям:  - мощность (для сушки);  - количество насадок (для укладки);  - функция "холодного воздуха" (для закрепления желаемого результата).    По всем критериям он идеально подошел и радовал хорошим результатом, но вдруг, сгорел...(наверно от этого застраховаться не возможно).   Если Вам нужен фен на каждый день, то наверно стоит подумать ещё...</t>
  </si>
  <si>
    <t>198</t>
  </si>
  <si>
    <t>Супер пылесос! Вчера купил, был до этого Miele - вообще не сравнить с Dyson! Пылесосит на ура, одно удовольствие пылесосить стало! Всем советую</t>
  </si>
  <si>
    <t>Купили эту машинку. Вещь очень хорошая и недорогая, моет как и все остальные, что за 12 тысяч рублей, что за 30 тыс., разницы никакой нет. Советую всем. Мы дома остались довольны !!!</t>
  </si>
  <si>
    <t>2016-05-31</t>
  </si>
  <si>
    <t>Пользуюсь этим парогенератором уже 6 лет.  Как я раньше без него обходилась?  Гладит быстро, много, без усилий!  Воду заливаю из фильтра, чтобы было меньше накипи.  Но, все равно засоряется. Это минус.  Мой взрослый сын стал жить отдельно от нас.  И вдруг просьба: подарите мне парогенератор на день рождения!  Я говорю: у тебя же есть утюг!  Сын: После парогенератора гладить утюгом просто пытка!</t>
  </si>
  <si>
    <t>Я тоже себе купила этот телефон))еще в мае))  вообще он классный... особенно камера))  только улыбку он у меня не распознает..может я не правильно пользуюсь? как это и сделать??    и еще...как работает автофокус???</t>
  </si>
  <si>
    <t>В целом не плох, но как уже было сказано - кнопка регулировки температуры находится не в самом удобном месте и в процессе выпрямления волос частенько нажимается...</t>
  </si>
  <si>
    <t>Угольный фильтр в комплекте</t>
  </si>
  <si>
    <t>Массажер хороший, делает отличный массаж, очень расслабляет, много режимов, единственный минус - очень громко гудит.</t>
  </si>
  <si>
    <t>Кто купил эту машинку, скажите плиз - нет ли небольшого дребезжания боковой стенки корпуса при вращении барабана? немного напрягает этот момент...</t>
  </si>
  <si>
    <t>Купил ноутбук 26.03.10, работает уже 2 месяца. В целом устраивает, но уж очень маленький объём батареи, и от батареи работает ничтожное количество времени. Ноутбук не для игр, но всё же погонять игрушки 09-10 года на средних настройках может. Не понравилось то, что нет диска с Windows Seven, которая установлена по умолчанию. В случае чего систему и не переустановить будет. Отсутствие bluetooth не критично, но всё равно не приятно, что такая мелкая деталь не включена.</t>
  </si>
  <si>
    <t>Приобрел такую машинку в январе. Был доволен выше крыши. Работал бук резво. Даже GTA4 нормально бегала. Был правда глюк - система висла после закрытия QIP 2005. Но это был скорее промах системы и после обновления все стало работать как часы. Вплоть до августа. Так случилось, что с высоты около 40 см на бук упала лампа. Сначала ничего не происходило, но потом в играх он стал просто неимоверно греться и виснуть. Думал все - повредила что-то лампа. Тем более, что многие жаловались на слабый пластик. Оказалось все дело в пыли. Прошелся по решеткам пылесосом и бук как заново родился! Так что машина отличная, главное следите за ней и ухаживайте!</t>
  </si>
  <si>
    <t>2439</t>
  </si>
  <si>
    <t>Ставлю этому ЖК жирную пятёрку, потому что действительно качественная модель. У меня малазийская сборка - очень хорошая и аккуратная. Картинка понравилась более всего, на Самсунге и Голдстаре похуже будет, хотя по характеристикам довольно схожи с Панасоником. Я смотрю фильмы через DVD, поэтому сразу подключил его через HDMI - картинка на порядок лучше стала, мой совет - сразу так делайте! Только не экономьте на шнурах, не делайте мою ошибку. Эфирка как показывает мне не понравилось, а вот через тарелку всё отлично, поэтому в купе с этим телевизором сразу покупайте и тарелку)))</t>
  </si>
  <si>
    <t>только плюсы</t>
  </si>
  <si>
    <t>Качество отличное! Всё что нужно есть в комплекте!Особо удобно что два раздельных комплекта для зарядки!Почему то в предыдущих отзывах пишут что радиус связи в городе 500 метров,сегодня проверял лично одну оставил дома со второй ушёл в парк,растояние до парка 3км-полёт нормальный слышно хорошо,при удаление на более дальнее растояние связь пропадает!Вне города не проверял но думаю растояние будет гораздо больше!О покупке не жалею!</t>
  </si>
  <si>
    <t>Взял телевизор неделю назад, изучив перед тем особенности, достоинства и недостатки ЖК панелей. Был приятно удивлен качеством (и в первую очередь аналогового TV) изображения. DVD и AVI (фильмы объемом ~1,4-2 ГБ) файлы воспроизводятся (причем через AV IN!)вполне достойно. Звук отличный. По HDMI пока не подключал, т.к. рекомендуют более тщательно подходить к выбору кабеля. Ищу. Обобщая вышесказанное считаю, что прибор деньги, отданные за него отрабатывает полностью.</t>
  </si>
  <si>
    <t>хороший бук. доволен, приобрел где-то в декабре 2009г. игры работают комфортно, радует, фильмы смотреть комфортно тоже без проблем)    а вот насчет пощелкиваний это да, есть такое, и еще сегодня встал болванку с кино, что-то не читает О_о  и другие цд тоже  сейчас будем разбираться</t>
  </si>
  <si>
    <t>2013-09-01</t>
  </si>
  <si>
    <t>Справляется с запахами так же хорошо, как две упаковки активированного угля из аптеки за 10 руб :)</t>
  </si>
  <si>
    <t>Компьютер просто супер, в соотношение цена/качество - идеал!  Готовый, сбалансированный, мощный.  Скажу сразу - я не фанат Асер, не рекламный агент .. как и вы долго думал, сравнивал, несколько раз заходил в магазин, тыркался в настройках... в итоге купил. Доволен!!!  Что касается нехватки вентиляторов, малой мощности блока питания - ну вы даете! Это же сбалансированный компьютер, готовая протестированная сборка. НЕ ДЛЯ РАЗГОНА И АПГРЕЙДА!  Если стоит 1 вентилятор и б/п 300W , то конструкторы сто раз посчитали и проверили - значит так надо. Тут нет избыточной мощности, еще раз повторюсь все сбалансировано. А для шаловливых ручек существует сборные компьютеры, собирайте, экспериментируйте, радуйтесь своими 600W б/п ... Этот продукт не для экспериментов.  Да здесь не Core i7, не GeForce GTX295, не рейд 2Tb ... но вы хоть на цену обращали внимание?  Операционную систему надо бы поставить 64 бит, для кого то это проблема?  У меня лично все отлично работает, все игры запускаются, летают, все программы Adobe (Photoshop CS4, AfterEffects ..) работают очень быстро. И самое главное, компьютер ни разу не повисал ...  По моему мнению в этом ценовом диапазоне самый подходящий выбор!  Надеюсь это кому то поможет в выборе.</t>
  </si>
  <si>
    <t>2013-04-10</t>
  </si>
  <si>
    <t>Машинку купила по акции в обмен на старую чайку, шьёт тихо и плотные ткани берёт, чувствуется что мощность маловата, но для меня...шью изредка по необходимости...пойдёт!</t>
  </si>
  <si>
    <t>Как и многие, сначала наводила справки путем прочтения отзывов о данном товаре. Купила! Телевизор очень хорошо вписался в интерьер, сидит как влитой. В принципе нравится. Русифицированное меню, удобный ПДУ. Только вот не все каналы хорошо показывает (кабельное), по сравнению с кинескопными телевизорами качество картинки не очень. Крупный план нормально, а вот дальний - все размазано. Надо попробовать цифру. Качество изображений с лицензионных дисков отличное! Подскажите каким образом перепрошивается и активируется сервисный USB???</t>
  </si>
  <si>
    <t>Цена отличается с ценами ритейлеров на 300 рублей в меньшую сторону не за счет ли отсутствия карты памяти на 1Гб, которая идет в комплекте у других продавцов?</t>
  </si>
  <si>
    <t>Очень довольна, что купила именно этот утюжок, волосы не цепляются, выпрямляются быстро, температура регулируется, за счет тефлона в покрытии пластины волосы не электризуются и блестят.  Хотела сначала покупать мультистайлер, но в итоге передумала. Лучше купить отдельно утюжок и щипцы для завивки, но отличного качества, чем все в одном, но качеством хуже.</t>
  </si>
  <si>
    <t>2011-02-17</t>
  </si>
  <si>
    <t>Купила себе два дня назад эту расческу. Мечтала о ней и все ждала, когда она в Мвидео появится. У нас в Марьино Мвидео работает круглосуточно - что очень удобно! Ну вот, купила, помыла голову. У меня вьющиеся волосы, очень пушатся, если высыхают естественным путем без крема для волос. На сухих волосам, как написано в инструкции, эффект лучше. Стала расчесываться только ей. Сначала в глаза бросился блеск от расчески! Пух сразу не пропал. Ну думаю, ерунда...Но к концу дня волосы сияли и совершенно не пушились - гладкие-гладкие стали! Мне пока все в этой расческе нравится :) так что, рекомендую!</t>
  </si>
  <si>
    <t>Ноутбук выбирал долго и очень рад покупке.  Нужен был лёгкий, небольшой ноутбук для работы. Склонялся к нетбукам, но останавливал слишком маленький экран.    К минусам этого ноутбука могу отнести только не самый низкий уровень шума вентилятора (хотя он находится на приемлемом уровне и не раздражает, но общую идеальную картину немного смазывает) и маленький тачпад (в 90% случаев работаю с мышкой, поэтому этот момент тоже не критичен)  Остальное сделано на 5+.  Сборка отличная. Нет люфтов. Все детали аккуратно подогнаны. Ничего нигде не шатается.  Отличный баланс характеристик. Можно было бы процессор по мощнее, но это сказалось бы на времени работы. Ноутбук использую в основном для работы и просмотра фильмов. Ничего не тормозит (пока не пробовал смотреть FullHD но учитывая неплохую видеокарту на борту, думаю он справится).  Экран яркий. Очень приятно смотреть. Оптимальное разрешение для такого размера. Картинка очень чёткая. Сначала непривычно мелко, но потом это стало даже удобно.  С включенным вайфай в режиме низкого энергопотребления при работе в интернете от батареи проработал около 7 часов. Без вайфай должен проработать ещё дольше. Но и этого времени вполне достаточно.  Покупал по акции со скидкой, поэтому для той цены это было идеально соотношение цена/качество. Очень доволен.</t>
  </si>
  <si>
    <t>Ели вы еще думаете брать или нет.... то ответ очевиден конечно же ДА!!!! Все советую эту машинку очень довольна покупкой!!Машинку просто супер... Если вы не любите думать это вариант ваш ... машинка сама задает программу, ваше дело только поставить тип ткани!! ПОКУПАЙТЕ ЭТУ МОДЕЛЬ БУДЕТЕ ОЧЕНЬ ДОВОЛЬНЫ!!!!!!!!!!!!!!</t>
  </si>
  <si>
    <t>плеер замечательный! Если Вы хотите просто слушать музыку, то он - то, что надо. Аккумулятор долго держит, звук хороший, достаточно много интересных функций.  Единственное - изредка зависает, но кнопка "Reset" все улаживает</t>
  </si>
  <si>
    <t>Вообще эту игру я взял сразу. И она суперская, но не настолько крута как первая часть. Игра проходится легко и миссий мало очень. А мир ограничен возможностями. Зато графа суперская!</t>
  </si>
  <si>
    <t>2011-08-24</t>
  </si>
  <si>
    <t>Все, разобрался! Оказывается все так здорово, что бокс можно подключить не только к телевизору, но и монитору с отдельными колонками:  описано на сайте xbox-club.ru/communities/xfaq/posts/faq-vse-sposoby-podklyucheniya-xbox-360-k-televizoru-monitoru/</t>
  </si>
  <si>
    <t>Купил через интернет-магазин.Получил быстро.Характеристики устраивают-недорого.комплектация хорошая,удобно пользоваться гибким шлангом. Покупкой доволен.Есть,конечно,помощней,но дороже.А меня и этот устраивает,не жалею.</t>
  </si>
  <si>
    <t>Классный коммуникатор, лучший в своем роде. Есть все: 3g, wi-fi, большой экран с хорошим разрешением, удобное управление, красивое оформление, новый интерфейс, android market позволяет скачивать тысячи полезных программ бесплатно, в общем, качественно скомпонованный кпк.</t>
  </si>
  <si>
    <t>Дома очень холодно и ребенок мерз, консультант посоветовал эту модель, т.к. он нее больше всего тепла. Не обманул, дома стало просто жарко, класный радиатор!!</t>
  </si>
  <si>
    <t>Машинкой пользуемся 1,5 года, очень довольны! Дешево и сердито. Посуду моет хорошо, отмывает даже то, что не отмыть вручную! Главное правильно расставить посуду и подобрать моющие средства. Минус только в том, что слишком шумная. Очень довольны!</t>
  </si>
  <si>
    <t>Купили на днях данную стиралку. Первые впечатления от стирания - просто отличная стиралка. Тихая. Немного громковато набирает воду и сливает. Но не раздражает совсем. И не прыгает и не скачет по комнате, как пишут об этом большинство покупателей. Стоит на родных ножках в кухне на линолиуме как вкопаная. Вообщем нам с женой очень понравилась!</t>
  </si>
  <si>
    <t>Купила на днях. Очень клевый телевизор, а главное, что USB читает все файлы (фото, видео, музыку). На нескольких проверяла, все просто отлично, смотрю, не нарадуюсь, повесили на кухню, никакой встроенный DVD не нужен!))))</t>
  </si>
  <si>
    <t>2933</t>
  </si>
  <si>
    <t>2017-04-29</t>
  </si>
  <si>
    <t xml:space="preserve">ПЛЮСЫ ВО ВСЁМ </t>
  </si>
  <si>
    <t>Супер телефон недостатков нету!</t>
  </si>
  <si>
    <t>Наушники очень хороши, мощный четкий бас, отличная середина,правда высокие на 4, но в целом звуковая картина очень хороша, мягкий теплый звук, слышен каждый инструмент даже в самые нагруженные моменты рок-музыки, отличная звукоизоляция! я в этих ушах ремонт дома делал, так работал и с дрелью и шлиф-машинкой(крайне громкая штука), так уши гасят практически полностью внешние шумы, прослушивал в это время на средней громкости аудиокниги (плеер sony s638)! Это со стандартными двойными силиконовыми накладками. Звучание с обычными одинарными накладками мне не понравилось, звук меняется кардинально. Провод достаточно толстый, опасений в плане хрупкости не вызывает и в то же время очень мягкий и упругий, на ощупь изоляция бархатная, как будто силиконовая или каучуковая, на морозе не дубеет.  Когда в первый раз включил эти уши, то они мне жутко не понравились, звук отвратный, баса ноль, но оказывается их просто надо прогреть некоторое время, и тогда они войдут в штатный режим, так что не спешите их обменивать! Плюс ко всему отличный футуристичный дизайн! Есть небольшая проблема на счет шума когда провод трется об одежду, но такое замечается только на паузе, стоит даже на самой малой громкости включить музыку, так эти шорохи пропадают полностью. Наушниками крайне доволен, оценка 5!</t>
  </si>
  <si>
    <t>Работает без косяков и сюрпризов! Шум практически не слышен, при этом отлично обдувает. Вещь!</t>
  </si>
  <si>
    <t>482</t>
  </si>
  <si>
    <t>Антенна нормальная в принципе, принимает с переменным успехом, в городе стабильность шаткая,но когда на дачу выезжаю, то положение налаживается, 4-5 каналов в хорошем качестве можно все получить. Плюсы в ней тоже очевидны, она собрана качественно, аккуратно смотрится, не громоздкая, легко крепится и стоит несущественных денег.</t>
  </si>
  <si>
    <t>хорошая ванночка для ног) прям все в восторге</t>
  </si>
  <si>
    <t>2324</t>
  </si>
  <si>
    <t>Месяц назад купили пылесос по акции и очень довольны,особенно очень удивил аквафильтр и хороший уровень фильтрации,всем рекомендую.</t>
  </si>
  <si>
    <t>Нормальный пылесос. Выбирал между безмешковыми Самсунгами, но почитав отзывы, передумал. В этом подкупила "богатая" комплектация (запасной Нера фильтр и турбощетка), вот только отсутствие щелевой насадки заметил только дома. Да еще управление на ручке тоже очень удобно. Правда отсутствие дублирующей кнопки включения на корпусе скорее минус. Турбо-щетка нормально работает, шнур тоже хорошо сматывает.Хороший армированный шланг. Удобная ручка для переноски. Достаточно мощный, правда греется при работе очень быстро. В целом покупкой доволен.</t>
  </si>
  <si>
    <t>У данной модели есть телескопические направляющие? ▶▶▶ОТВЕТ ЭКСПЕРТА «М.ВИДЕО»◀◀◀Виктория, направляющие в духовом шкафу проволочные.</t>
  </si>
  <si>
    <t>Комбайн ОТЛИЧНЫЙ. У меня на тазик оливье ушло примерно 1,5 минуты. Вместе с яйцами. С ними никаких проблем не было, покрошились в кубики как миленькие. Еще одна особенность: не остается практически никаких отходов-ошметков-недорезанных продуктов. Это касается не только кубиковой насадки, но и остальных терок. Единственное, что трудновато лично для меня  - это собирать всю конструкцию. Чаша защелкивается в некоторым усилием. Но думаю в процессе разработается.</t>
  </si>
  <si>
    <t>Все полностью стирает,моет,чистит,сушит просто отличная.По функциям-даже через чур много,тихая. Пользуюсь и радуюсь и вам  советую!</t>
  </si>
  <si>
    <t>Замечат утюг, чувствуется-теперь я полюблю глажку. Гладит очень хорошо, пар мощный, проглаживает все складочки. Шнур отличной длины, в предыдущем утюге как раз этого не хватало. По весу-да, не легкий, но во время глажки почему то этот вес совсем не чувствуется.</t>
  </si>
  <si>
    <t>Очень, очень доволен, с тех пор всегда слежу за новинками. Очень удобен в эксплуатации, навигация не раз выручала, производитель доказал, что нано-технологии это хорошо, так как мы живём в 21 веке! очень рад что им пользуюсь уже не один год!!!!  ещё не ломался, только менял прошивку!!!!!=) Жду, что бы оценить 4G</t>
  </si>
  <si>
    <t>Сегодня купили это чудо богов!На подарок бабушке,принесли и распокавали,узнали как пользоваться,и первая партия-апельсин и яблоко.Жмых сьели,сок выпили.Промыли.Вобщем хотим себе такой!Всем советуем!</t>
  </si>
  <si>
    <t>Взял бук на днях, порадовал. Все супер. Функциональность на высоте.</t>
  </si>
  <si>
    <t>Выбором довольна, звук хороший, выбор мелодий звонка не велик, но что-то подобрать можно. Трубка в руке удобна</t>
  </si>
  <si>
    <t>Неудобный!!! Подарили на ДР!! Неманевренный,тяжелый,все шланги вываливаются,очень неудобная насадка для моющей функции-теперь хочу его продать...да кто возьмет)))  Не повторяйте моих ошибок!!</t>
  </si>
  <si>
    <t>прошил биос,но почему-то хрипит правый динамик...</t>
  </si>
  <si>
    <t>Самопроизвольное включение/выключение это говорят телевизор обновление ПО ищет,где то в настройках можно отключить.</t>
  </si>
  <si>
    <t>Купили почти год назад,никаких проблем не было ни разу)))отличный тостер и отличная модель)Борк как всегда молодцы)</t>
  </si>
  <si>
    <t>Экран поцарапался уже буквально через несколько недель,кнопка включения стерлась тоже быстро. Пользуюсь им чуть больше года и надо отметить сенсор чувствительность достаточно сильно потерял. "Родные" наушники держались год, одно ухо перестало работать. Звук неплохой, но громкости иногда не хватает. Легкий, компактный, но думаю мужчинам такая кроха будет маловата в руках. Не обрадовало что заряжается только от USB, зато что нибудь новенькое каждый раз да закинешь.</t>
  </si>
  <si>
    <t>2011-03-03</t>
  </si>
  <si>
    <t>Это просто супер помощница! Даже древние, бабушкины ножи заулыбались! Рекомендую всем!!!</t>
  </si>
  <si>
    <t>888</t>
  </si>
  <si>
    <t>Супер игра))))Все покупайте лицку Мафии :D</t>
  </si>
  <si>
    <t>Очень долго выбирал и рад,что выбрал эту модель:  1-большое разрешение  2-отлично показывает эфирные каналы(аналоговое вещание)  3-никакого самопроизвольного включения/выключения нет  4-с PS3 вообще круть (для нее в основном и брал)  Никаких минусов не заметил,только по началу очень большим казался,но ничего,быстро привык,после жк 32 дюйма,просто сказка.</t>
  </si>
  <si>
    <t>1576</t>
  </si>
  <si>
    <t>Ураааа!!!!!!! Я стал владельцем Этого Великого Девайса !!! в руках как влитая, чехол удобный игра класс ! Плюс  ещё докупил ГТАшку и карту памяти. теперь играю в PSP , как в моих мечтах !   УРААААААААААААААА !!!!!!!!!!!!</t>
  </si>
  <si>
    <t>Телефон пользую почти 4 месяца, сначала хотел LG шоколад, но память маловата, решил этот самсунг взять. Что б всё и сразу в одном аппарате--это только i8910, в других обязательно чего-то недоставало, то памяти, то экран не тот, то ещё чего, а этот самое то, в общем стоящий аппарат.  Но поначалу пришлось долго привыкать к большому размеру и весу, поэтому кто носит телефон в кармане--могут малость пожалеть, но я привык, хотя всё равно торчит из кармана в отличие от старого филипса стандартного размера, так что имейте это ввиду.   Ещё можно добавить про фото--качество в отличие от рекламы и некоторых отзывов не ахти какое, то есть он Не заменит обычный фотоаппарат, ну если только их в фотошопе обрабатывать.  Я правда не пробовал, шумы присутствуют и резкость не та, хотя конечно лучше, чем в других, более дешёвых телефонах.  А вот видео ничё так, хотя те же шумы будь они не ладны всё портят, а в остальном нормальный агрегат, да и аккум держит недели полторы, а то и две, если конечно не юзать по полной, то есть смотреть фильмы игрушки и прочее, тогда конечно сядет за день.  Странно, что сделан он в китае, хотя сам телефон корейский и наушники из китая соответственно качество уже не то.  Ещё добавлю, что дубль гис не поставить, так как на симбу он в принципе не ставится, так на сайте гиса написано--обидно однако, если кто знает как обойти эту пакость пусть поделится, только без перепрошивок, так как гарантия слетит.</t>
  </si>
  <si>
    <t>Купили месяц назад, очень довольна панелью, матовая нержавейка легко моется и не сильно пачкается, удобные ручки-переключатели.</t>
  </si>
  <si>
    <t>По сравнению с Moulinex BKA388, эта соковыжималка просто ужасная! БРАТЬ НИКОМУ НЕ СОВЕТУЮ! Жмых не просто влажный, а мокрый! Приходится жмых по второму и даже третьему разу перерабатывать! После стакана морковного сока приходится очищать от жмыха! Один плюс: моется быстро и удобно!</t>
  </si>
  <si>
    <t>2016-10-22</t>
  </si>
  <si>
    <t>Отличное качество</t>
  </si>
  <si>
    <t>2013-06-04</t>
  </si>
  <si>
    <t>Купил его, думал не раскачает ничего, так как цена ну очень мала. Оказалось, даже очень хорошо раскачал, за такие деньги ну реально хорош. Сабвуфер для себя вообще зачет, ну не для автозвука или тому подобных соревнований.</t>
  </si>
  <si>
    <t>Соотношение цена/качество вполне устраивает, посоветовали знакомые, проблем за 5 лет не было. Красивый дизайн, 80 л хватает на семью их 4 человек. Взяли сначала в квартиру, затем на дачу. Привезли быстро, подняли до квартиры 13 этаж без лифта. Понравилась работа службы доставки. Удобный способ оплаты.</t>
  </si>
  <si>
    <t>Вчера купил и вчера же за вечер перегнал на около мешка яблок (мелкие паденцы) - получено 6,5 литров сока. Сок относительно чистый (без мякоти, хотя и мутноват). Жмых на мой взляд немного влажноват, но не пюре -вообщем в пределах нормы.  Рубил целыми яблоками вместе с косточками. Яблоки мелкие - закидывал по 3-5 шт. Рубит и жмет зверски - только косточки с треском разлетаются.  Через 5 мин непрерывной работы (кастрюлька яблок или около литра сока) - начинает забиваться жмыхом (заметно по снижению оборотов). Чтобы не спалить - выключаем и чистим (ок. 2 мин - дольше всего мыть ситечко) и снова в бой...  Отец мыл яблоки и вырезал гниль и за мной не поспевал.  Мое мнение - Нормальная машина для небольших домашних заготовок и на каждый день. За 4000 р - супер.  Сделано все добротно - не шумная, не гремит, не прыгает.  Покупкой доволен.</t>
  </si>
  <si>
    <t>Быстрая готовка.Механическое управление.Надёжность.Не китай.</t>
  </si>
  <si>
    <t>2015-01-20</t>
  </si>
  <si>
    <t>Очень понравилась духовка,  печет отлично, запах пропал недели через две, в общем я довольна.</t>
  </si>
  <si>
    <t>Купили вчера в качестве подарка теще. До того, как подарить решили испытать сей чудо агрегат на себе. Ощущения потрясающие!!!! В итоге я, жена и ребенок провели весь вечер за приятной процедурой.  Набор функций - оптимален, цена приемлема! Покупайте, не пожалеете!!!!!</t>
  </si>
  <si>
    <t>Маленький</t>
  </si>
  <si>
    <t>2014-07-30</t>
  </si>
  <si>
    <t>Купил недавно, понравилась цена. Металл крестовины жиденький... выглядит хлипко, В остальном пока одни плюсы! Работает тихо, дует мощно, даже на первой скорости. Дальше посмотрим...</t>
  </si>
  <si>
    <t>2189</t>
  </si>
  <si>
    <t>Много читал про пылесосы, остановился на этом. Малошумен, фильтры чищу, циклонный, претензий никаких, щетка выметает все, что попадется, про шум - очень тихий пылесос. Очень доволен, рекомендую!</t>
  </si>
  <si>
    <t>2017-03-21</t>
  </si>
  <si>
    <t>Пылесос компактен, мощный, лёгок даже для женской руки. Очень удобна чистка контейнера.</t>
  </si>
  <si>
    <t>Вкусный кофе</t>
  </si>
  <si>
    <t>Всё плюсы, и сок норм и не зависает как остальные да и мыть её удобнее.  Пользуюсь 2 недели, за это время переработал с 4 яблонь сок.   Минус- цена. Ценник для состоятельных людей)</t>
  </si>
  <si>
    <t>Когда выбирали машинку, руководствовались следующими требованиями: загрузка 4,5кг, наличие основных программ стирки (включая шерсть, деликатную стирку, доп.полоскание и пр.), наличие дисплея и количество оборотов при отжиме 1200 (на мой взгляд оптимальное - белье достаешь почти сухое).  Читала отзывы на этом сайте - насторожили отзывы про то, машинка вибрирует и скачет =). Но все же купили (по акции в январе). Объективно - у нас машинка немного вибрирует (для сравнения, раньше была AEG, за 23 тыс. по-моему, она вибрирует не меньше), не скачет ВООБЩЕ. У нас на полу плитка + резиновые ножки. В общем, если на нее поставить стакан воды, то он не расплескается =).  Очень нравится функция "Сокращение программ", например, деликатное белье можно постирать всего за 30 мин.  Из небольших недостатков (если придираться) - когда машинка меняет направление "движения" барабана - по часовой или против - щелкает постоянно реле, и насос довольно шумно работает при откачке воды. Предварительная стирка возможна только для программы "Хлопок 60".    В остальном все нравится, стирает и отжимает хорошо, и для такой цены (со скидкой по акции) модель вообще замечательная. Выбирала достаточно долго по критериям, которые описала выше, и по соотношению их с ценой - эта машинка одна из лучших.</t>
  </si>
  <si>
    <t>Хорошая лампа. Нравится тёплый свет. Пока из этой модели все лампы работают.</t>
  </si>
  <si>
    <t>Телевизор понравился, смотрю семь месяцев.Выбирал  только c FullHD под мультимедиаплеер и спутник.Был небольшой танец с бубном настройки с помощью тестовых рамок, но игра стоила свеч.Заводские настройки субьективно завышены.Заметил один не критичный недостаток- неравномерная засветка заметна при очень тёмном сигнале.Да и сто герц думаю не нужны всё же не кинескоп.</t>
  </si>
  <si>
    <t>ВСЕ!</t>
  </si>
  <si>
    <t>Купила блендер недавно, очень рада!!!  Коктейли получаются вкусными, а главное быстро!  Пока не пожалела о покупке, думаю в будущем не пожалею!  занимает мало места, красивый дизайн и стиль!  А гланвое,есть венчик для взбивания теста и т.п. !!</t>
  </si>
  <si>
    <t>2830</t>
  </si>
  <si>
    <t>О достоинствах этой модели написано много, и написано без преувеличений!Действительно очень нужная вещь в доме, а, главное, качественная! Напишу о недостатках. Самый существенный недостаток - не вместительные резервуары для сока. Сок перетекает в емкость для воды, отсюда нагар на нагревательных элементах. Не разборные чаши для продуктов тяжело мыть, к тому же много всяких уголков особенно с обратной стороны чаши которые без посудомойки очень тяжело промыть. Еще к недостаткам отнесла бы скудную информацию по эксплуатации. А за такую то цену производители могли бы и книжку с рецептами в комплект вложить. Но даже со всеми недостатками пароваркой довольна. Отдельное спасибо консультантам М.Видео. Всем советую покупать технику в этом магазине. Подготовка сотрудников у них на высоте!</t>
  </si>
  <si>
    <t>качественная чистка, здоровые десна, удобство использования, сменные насадки, небольшой расход зубной пасты.</t>
  </si>
  <si>
    <t>2016-12-05</t>
  </si>
  <si>
    <t>Хорошие и недорогие!</t>
  </si>
  <si>
    <t>Если вам не нравится эта консоль,то это потому что она не похожа на другие,но заметьте что это самая портативная псп из всех псп!</t>
  </si>
  <si>
    <t>Пользуюсь пылесосом уже больше года, очень довольна, рекомендую всем!  Пылесос легкий, что немаловажно для женщины, мощный, что заметно сокращает расход сил на уборку. Насадки удобные. То, что все в пылесосе моется - огромный плюс, т.к. пыль не стоит в пылесосе и не пахнет. Контейнер моется легко и просто.  Для любителей чистоты - очень хороший вариант за эти деньги!</t>
  </si>
  <si>
    <t>хрипит нечего не понятно убавляеш звук не слышно дальность по прямой 700м  в городе 300-350 не какими10км и не пахнет здал обратно в магазин и взял другую можель т-8 земля и небо хотя до10км недотянет но хотябы звук чистый</t>
  </si>
  <si>
    <t>2015-12-25</t>
  </si>
  <si>
    <t>Взбивает все очень хорошо и не важно что вы в него бросите. Моя семья любит когда нет нифилей(маленьких кусочков), на пятой скорости делает пюре, но приходиться включать пару раз по две минуты. Работал на протяжении года в плотном режиме для семьи из 4 человек. потом начал протекать нож. Считаю что за такие деньги год работы это мало.</t>
  </si>
  <si>
    <t>В магазинах искали качественную варочную панель известного бренда  и при покупке наш выбор остановился на Samsung-c61r2ccn , потому что сразу видно, что эта панель выглядит в строгом, но в то же время стильном красивом дизайне и цена оказалась для нас очень подходящей.  Пользуемся такой варочной панелью уже больше  двух лет – за это время ни разу не ломалась. В процессе использования появились как плюсы, так и минусы этой панели.  1)Плюсы – красивый строгий дизайн, стеклянная поверхность смотрится отлично, на варочной панели также есть сенсорный цифровой дисплей – тут можно регулировать температуру конфорок, и когда готовишь, то сенсор не нагревается.  Полезная для нас функция защиты от детей  – прибавляет вар.панели большой плюс! Также есть функция «Таймер обратного отсчета времени» - тоже удобно, поставил таймер и делай свои дела – панель сама выключится в указанное время. Мыть поверхность очень легко – поверхность стеклокерамическая и нет никаких выступов,  можно протереть влажной тряпкой и панель снова как новая! Если, например, готовить на всех комфорках и вдруг у вас что-то разлилось  на варочную панель, то на дисплее появится ошибка и комфорки выключатся. После готовки еды панель остывает быстро.  2) Минусы – на сенсорном управлении остаются  отпечатки от пальцев, но стираются легко салфеткой.  Осторожно обращайтесь  с посудой при готовке, у нас нечайно упала крышка с кастрюли прямо на панель и осталась небольшая царапина, но стеклокерамическая поверхность не треснула. Естественно пользоваться такой варочной панелью приятно, главное пользоваться внимательно и осторожно.</t>
  </si>
  <si>
    <t>Покупали данный фен 2 года назад. Мне фен нравится, сушит хорошо, мощности хватает высушить кучу моих густых волос. Рекомендую всем!</t>
  </si>
  <si>
    <t>Классно выглядит, качество сборки</t>
  </si>
  <si>
    <t>Приобрела такие щипцы довольно недавно, и всем довольна. У меня волосы вообще не поддаются домашним завивкам/укладкам - очень жесткие. Однако выпрямитель справляется! Использую в совокупности со всевозможными масками для восстановления и муссами для впрямления и все прекрасно!</t>
  </si>
  <si>
    <t>2014-01-17</t>
  </si>
  <si>
    <t>Моя любимая часть! Я её обожаю!</t>
  </si>
  <si>
    <t>Пользуюсь уже четыре года. Каждый раз получаю огромное удовльствие от прооцесса глажки любой вещи. До этого был Тефаль. Мощность меньше, пригарала подошва. А Браун подорожал на 1500 за это время.  Приятно, что купили вещь, которая не падает в цене. Хотим купить и детям в подарок.</t>
  </si>
  <si>
    <t>784</t>
  </si>
  <si>
    <t>Много разных полезных функций, дома быстро холод нагонял летом!Думаю фирма сама за себя говорит,что он надежны и прослужит не один год.Цена по сравнению с летом дешевле, больше 30 тыс. стоил</t>
  </si>
  <si>
    <t>Из эриксонов среднего класса W595 - лидирует!! То, что нет мп3  - полная ерунда,просто  надо вам, Николай(пенза!!) быть внимательным. функции, звук (т.е его качество,чистота и громкость), возможности интернета, энергопотребление  - на высочайшем уровне! пользуюсь моделью w595 bronze(хотя достать ее было ой как непросто)уже на протяжении 2 лет и ни разу не возникло проблем, батарея как и в первый месяц эксплуатации  держит до недели с учетом активного использования. кнопки прорезиненные, не стираются - для активных чатеров то что нужно, смс писать одно удовольствие. приобретайте и никого не слушайте. естественно у проверенных продавцов, а не в переходах и не возникнет негодований по поводу преждевременной поломки!!</t>
  </si>
  <si>
    <t>По соотношению цена-качество, в своей нише 32" ТВ - ИДЕАЛЕН. При более чем доступной цене выдает картинку(особенно с DVD) на оценку ХОРОШО! Очень рекомендую! Особенно хорошо смотрятся мультики. Отсюда, также рекомендую как ТВ для детской.</t>
  </si>
  <si>
    <t>Купили тостер примерно 1,5 года назад. Пользовались редко. Жарит стремно. И кнопка зажима вообще не зажимает.</t>
  </si>
  <si>
    <t>Хороший звук, приемлемая цена, но сломались за 10 месяцев(( Перетёрся штекер</t>
  </si>
  <si>
    <t>тип раздела у pqservice NTFS.  Alexxxan отличие этого бука от Packard Bell LJ75-JO-101 в веб камере. если тебе не сложно будет таскать 3.3 кг и 17 дюймов то бери тот.</t>
  </si>
  <si>
    <t>От восторженного первого впечатления, положительное осталось только от внешнего вида. Неудобен в эксплуатации. Аккумулятора хватает на три дня при двух часах разговора за эти ТРИ дня!!! Файлы по мультимедии самостоятельно распределяются в непонятном порядке и получается в нескольких папках напихано одно и то же, очень неудобно. Время разговора показывается только на первой минуте после его завершения, потом уже не посмотришь. Очень много мелких неудобств: на мультимедии серый экран, на запуск и завершение нельзя поставить свою музыку... сразу всего и не вспомнишь... я очень разочарована... не рекомендую никому...</t>
  </si>
  <si>
    <t>Не советую приобретать данную хлебопечь, потому как хлеб не всегда получается вкусным, хотя готовлю всегда из одних и  тех же продуктов одним и тем же способом. Но не это самое ужасное. В данной хлебопечи производителем не проработан механизм вращения лопасти для замешивания. У самой чаши штыри которые вставляются в механизм вращения выполнены из тонкого металла, в результате после года работы хлебопечь стала скрипеть из-за задевания штырей за механизм, появился запах нагретой пластмассы, на штырьках отчетзиво видны следы деформации (пропилы). Очень высокая цена для товара с таким низким качеством. Жаль.</t>
  </si>
  <si>
    <t>ОООчень долго выбирали утюг, остановились на нем. Оптимальное соотношение функций, цены и качества.  350 мл резервуар-это очень хорошо, но чтобы не бегать доливать каждые 20 минут глажу на среднем уровне подачи пара. От вертикального пара ожидала большего, так впрыснет чего-то там, даже не поморщится...эффекта от этого удара не обнаружено. Поэтому занавески гладить в верт. режиме не пригоден)))Постоянным спариванием эфефктивнее. Но все равно на мой взгляд, выглаживает он обычно, нормально, но не вот что бы ах. Нет, хлопковые рубашки сначала разглаживаются внешне, но потом смотришь-заломы проявились опять. Даже после водички не всегда выглаживает. Скольжение на троечку.   К плюсам стоит отнести тихий при глажке, достаточно хороший постоянный пар, длинный шнур на липучке.  к минусам-шипит при вертикальной установке, слабый вертикальный пар только из носика, и ну ОООчень долго остывает(((</t>
  </si>
  <si>
    <t>1980</t>
  </si>
  <si>
    <t>2013-10-01</t>
  </si>
  <si>
    <t>Купила утюг по совету продавцов - все нормально, гладит хорошо. Но иногда утюг начинал издавать странные звуки - пищит, думала, что это брак. Повезла сдавать утюг, но в отделе оформления возвратов объяснили, что так и должно быть - это я задевала кнопку ионизация пара. В инструкции все это описано, но кто же читает инструкции? :-) В общем все разрешилось, просто кнопка расположена, на мой взгляд, не очень удачно, я эту кнопку все время задеваю. Так что гладим и пищим периодически!</t>
  </si>
  <si>
    <t>Сегодня второй день, пока все нравится,  вчера пекли белых хлеб, сегодня испекли кекс, получилось замечательно.  постараемся с печкой подружиться. Пока все нравится.</t>
  </si>
  <si>
    <t>Бритвой пользуюсь не долго, но понравилась. бреет хорошо. из минусов можно отметить то, что нет индикатора зарядки батарей, есть только индикатор сети</t>
  </si>
  <si>
    <t>Сильно разочарован. Из-за устройства лезвия модели ER 407, триммер совсем не выбривает мелкие волоски! Совет: не тратьте зря деньги, купите лучше триммер другой модели!</t>
  </si>
  <si>
    <t>Прекрасный блендер! Работает у меня уже почти 2 года, использую каждый день и не по разу, т.к. двое маленьких детишек... Сломала стакан для измельчения по глупости и венчика не хватает, теперь подбираю новый блендер, но только Филипс!</t>
  </si>
  <si>
    <t>Проработала почти пять лет на 5 ,но наднях подломалась, машинка отличная, моет хорошо, в мануале написано срок службы 10 лет.</t>
  </si>
  <si>
    <t>Штука на самом деле универсальная, работает и на обогрев, и на охлаждение, и на осушение - три в одном</t>
  </si>
  <si>
    <t>вибрирует при отжиме так  так приходится держать, иначе норовит раздолбать всю кухонную стенку.  были случаи когда и порошок оставался не тронутым, как стирала фиг ее поймет.  жаль не разбиралась в машинках стиральных когда брали, но теперь буду пытать консультантов до потери пульса.  не думала, что наткнулась на стиральную машину, которую сторожить надо!</t>
  </si>
  <si>
    <t>У меня такая-же тема, есть изредка мигания... А от чего, хз....</t>
  </si>
  <si>
    <t>2012-02-12</t>
  </si>
  <si>
    <t>Купила ровно год назад, с самого начала на дне появились пятна - не отмыть. Вместимость маленькая. Мыть поверхность приходиться часто, иначе на ней остаются мелкие капельки воды, что не очень красиво смотрится.</t>
  </si>
  <si>
    <t>720</t>
  </si>
  <si>
    <t>По дизайну из всех Бошевских произведений эта плита самая практичная! Для меня показателем качества всегда является решетка - у нее она очень крепкая, с отлично продуманной конструкцией - уголки имеют упоры для большей устойчивости, поэтому с тяжелыми кастрюлями уж точно никаких проблем не будет, я сразу же на этот момент обратила внимание, поскольку решетка на моей предыдущей плите за два месяца изрядно погнулась. Ручки конфорок достаточно тугие, но проворачиваются очень легко и без люфтов - еще одно достоинствао)) Двухконтурная конфорочка теперь моя самая любимая, очень быстро доводит воду до кипения, при готовке выручает и разогревает разную еду шустро, муж только ее использует для экономии времени, когда на обеденный перерыв приходит домой)) И нержавейка, из которой поверхность изготовлена, отличного качества - мою ее уже второй месяц всякими средствами и ни одной царапинки! Одним словом - классная плита в своей ценовой нише))</t>
  </si>
  <si>
    <t>Пользуюсь моделью z3358 (на одну насадку меньше) уже лет 5. Сосет мощно и тихо, ВСЯ пыль остается в мешке, даже внутренности пылесоса абсолютно чистые. Выходной фильтр стоит только на всякий случай. (Мешками пользуюсь "Swirl", других не пробовал.) Пылесос неубиваемый, и бетонную пыль периодически сосу, и мелкие объемы жидкости (например пиво из клавиатуры). Единственный недостаток - слегка покоробилась декоративная накладка и задевает о крышку при открытии.   А все аква- и циклонные пылесосы - для любителей поковыряться в грязи.</t>
  </si>
  <si>
    <t>Очень доволен Филипком! Качество Супер!:)Смотреть фильмы просто наслаждение:)Такое чувство, что находишься в самом фильме:))) Только вот я поспешил с покупкой купил его за 31990р.:)  Но не чуть не жалею.:) Советую!;) У филипков самый надежный процессор.   Оценка +5!</t>
  </si>
  <si>
    <t>590</t>
  </si>
  <si>
    <t>ОТЛИЧНАЯ СТАНЦИЯ!!!!  Играю в MICROSOFT FLIGHT SIMULATOR X (ресурсов надо много)  в общем тянет хорошо..  Минус:сильно греется видеокарта(причем устроена так что очень трудно поставить кулер).  но кулер дополнительный нужен..  Да...еще сразу снес семерку поставил винду zver 2010  все работает отлично  нареканий нет  5+++!!</t>
  </si>
  <si>
    <t>Аккумулятор слабоват, надолго не хватает, максимум 4 - 5 раз. Уже более года в эксплуатации. За эти деньги вполне отличная бритва. У кого жесткая щетина проходиться надо по нескольку раз, даже если лезвия новые. Не берет. Вполне доволен. Колпачек сразу отлетал с рождения.</t>
  </si>
  <si>
    <t>Машинка отличная. Со своей задачей справляется на "отлично".  В руке лежит комфортно. Рекомендую.</t>
  </si>
  <si>
    <t>2016-08-30</t>
  </si>
  <si>
    <t>Кофемолка отличная - кофе перемалывает практически в пыль. Легко очищается кисточкой после работы. Небольшой недостаток - округлая форма крышки, влажными руками фиг открутишь ((</t>
  </si>
  <si>
    <t>отличный звук, хорошая цена</t>
  </si>
  <si>
    <t>1158</t>
  </si>
  <si>
    <t>да нет, цена как раз хорошая, но видео карта не самая лучшая и вообще странно, на маломощных компьютерах ,продаваемых здесь, стоит последние видеокарты, а на мощных нет</t>
  </si>
  <si>
    <t>2015-01-22</t>
  </si>
  <si>
    <t>Брала в сентябре до повышения цен, после четырех раз использования функция "пузырьки" перестала работать(( Температура  воды не поддерживается. Две насадки  для массажа тоже ни о чём. Один плюс что компактная!</t>
  </si>
  <si>
    <t>2017-01-07</t>
  </si>
  <si>
    <t>Качество, эффект.</t>
  </si>
  <si>
    <t>2010-03-26</t>
  </si>
  <si>
    <t>два дня как стал её владельцем! Когда юзал залез в сервисное меню и что то там нахимичил((( Сейчас тв не включаеться(((Лиш моргнёт несколько раз диодом и издаст звук типа включен и всё!!(( Как его оживить!? Помогите!</t>
  </si>
  <si>
    <t>Отличный телевизор за свои деньги. Цвета супер, работает все как и должно работать в телевизоре от Сони. Гибкие настройки, живые цвета. Все советую купить, сейчас на него очень хорошая цена установлена. Спасибо МВидео!</t>
  </si>
  <si>
    <t>Приобрела пылесос с водяным фильтром Zelmer 819.0 SK в декабре 2009 года.   Соглашусь полностью с Ариной - пылесос засасывает очень слабо как с мешком, так и с водой, абсолютно не подходит для чистки ковров, шерсть животных собирает плохо, мелкий мусор тоже собирает через раз - заявленная мощность не соответствует фактической. Качество исполнения так же оставляет желать лучшего - через год использования отвалилось ведущее переднее колёсико. А замене оно не подлежит, так как ножка монолитная пластиковая.   Пылесос формой неудобен для людей старшего возраста - при чистке и резких движениях обивает углы мебели.    Никому не рекомендую.</t>
  </si>
  <si>
    <t>215</t>
  </si>
  <si>
    <t>Купила эту модель 2 недели назад, ноут выбирала долго и придирчиво.    За эти деньги, при компактности, хорошей производительности и красивом дизайне- лучший вариант!!!    К фирме Паккард пока недоверие, все-таки недавно на российском рынке...    О покупке не пожалела, ноут очень нравится.    Из недостатков: слишком громозкий кабель от ЗУ, экран не очень яркий, на мой взгляд, надежность клавиш под сомнением, у меня одна кнопка болтается уже...</t>
  </si>
  <si>
    <t>Купил мясорубку в небольшое кафе, пользуемся уже 2 месяца, рубит мясо идеально и быстро, эксплуатация почти каждодневная, на маленькой скорости даже не очень шумно, нам нравится</t>
  </si>
  <si>
    <t>Первый раз воспользовались онлайн заказом.  Очень удобно. Забирали само вывозом из магазина. Работой магазина не довольны.... Очень долго ждали девушку которая выбьет нам заказ (в очереди были первые), оплатили правда быстро. Но потом на выдаче снова 30 минут потеряно, потому что не было сотрудника, который выдает товар... и где он был в течении 0 минут не понятно (тем более что на выдачу вообще ни кого  не было).   Что касается самой вытяжки. Купили 2 недели назад. 3 дня как установили. Пока работает отлично. Тянет воздух прекрасно, освещает всю поверхность варочной. Немного шумновата, но это не беда, потому что прошлая была еще более шумная.  Итог: за вытяжку 5, за обслуживание в магазине 3, средний бал 4.</t>
  </si>
  <si>
    <t>Купили машину 19 декабря. Очень понравился дизайн и то, что машинка оснащена прямым приводом. Дома, прочитав отзывы в интернете расстроилась, большинство стиральной машиной недовольны:  шумит, скачет по квартире, течёт люк и многое другое... Но, начав пользоваться, поняла, что не так всё плохо: отстирывает бельё хорошо, когда набирает воду слегка шумит, но не так, чтобы это мешало. Когда отжимает бельё по квартире не скачет. Есть, конечно небольшие минусы: большой расход воды 55 литров и режимы отжима 400,800,1200, например 1000 оборотов выставить уже нельзя. А так, в целом неплохо.</t>
  </si>
  <si>
    <t>2693</t>
  </si>
  <si>
    <t>Плеер - просто СУПЕР! Взял таких 3, собираюсь еще брать в подарок! Народ не зря говорит, я с этим АБСОЛЮТНО согласен!За такую цену - такого качества больше нигде не найдете! Минусов нет, а наушники и зар.устройство стоят копейки! ПОЭТОМУ СПЕШИТЕ ПОКА ЕСТЬ В ПРОДАЖЕ!!!</t>
  </si>
  <si>
    <t>Ноутбук купил месяц назад.Самсунг хотел изначально,так как раньше у меня был R40 и претензий к нему не было.Что хочется сказать отличный ноут,без проблем,очень тихий,почти не греется,работает всё быстро,игрушки тянет достаточно приличные.Всем советую,но тщательно проверяйте монитор,так как у самсунга вроде 5 битых пикселей не являются браком,а настроение Вам от покупки подпортят.У меня был без,но проверял я усердно))))Динамики хорошие,лёгкий.Я ещё покупал по акции на 1000 дешевле,вообщем за эти деньги идеально))).Ещё бы Висту не ставили было бы просто отлично))))</t>
  </si>
  <si>
    <t>Мельчит хорошо, взяли, чтобы измельчать крупы для приготовления детских кашек, справляется отлично.</t>
  </si>
  <si>
    <t>697</t>
  </si>
  <si>
    <t>It's a great thing ever made! Everyone who are invited into videogames, should acquire this console!</t>
  </si>
  <si>
    <t>1157</t>
  </si>
  <si>
    <t>Купили неделю назад. Долго сомневалась, какой купить, купила Моторлоллу и очень довольна. Отличный телефон, очень удобное, понятное меню, хороший звук. Все очень удобно и функционально. Советую!</t>
  </si>
  <si>
    <t>2015-10-08</t>
  </si>
  <si>
    <t>Купил Маме в подарок. Удивило довольно приятное качество сборки.</t>
  </si>
  <si>
    <t>Хороший звук. Удобно и крепко сидят в ушах. Прикольный дизайн.</t>
  </si>
  <si>
    <t>Приобрёл себе недавно этот телевизор - доволен. По соотношению цена/качество очень достойный вариант. +USB    Активировал USB с помощью последовательного порта телевизора, инфа есть на ixbt-е</t>
  </si>
  <si>
    <t>Долго искал ноутбук с нормальным соотношением мощного процессора и производительной видеокарты, свой выбор остановил на  Packard Bell MT85. Работает 2 года и никаких нареканий не вызвал, в своей ценовой категории один из самых мощных ноутбуков!!!   Минусы: Непрактичный, маркий корпус; малое время работы батареи (примерно 2 часа); не совсем удобный разъем под штекер питания (бывали случаи что провод, зацепившись за что-нибудь, вылетал и ноутбук выключался); неудобное расположение кнопок левый Ctrl и fn... Замечательный аппарат!!</t>
  </si>
  <si>
    <t>Плита просто прелесть. Быстро нагревается, долго сохраняет тепло. А какие вкусные пирожки получились. Одним словом не плита, конфетка.</t>
  </si>
  <si>
    <t>Пользуюсь год. Проблем (в том числе с дверью) пока не было, и надеюсь не будет. Сейчас ищу машину для родителей. Скорее всего остановлюсь на этой же модели. Проверена. Рекомендую!</t>
  </si>
  <si>
    <t>Стал обладателем данного агрегата до нового года, еще не разочаровался. Производительность удивляет. Одним словом техника BORK суппер! Я очень доволен!</t>
  </si>
  <si>
    <t>Хороший блендер за приемлемую цену. Имеет две скорости, что очень удобно.</t>
  </si>
  <si>
    <t>Отличное качество изображения (взяли взамен старого - качество изображение с той же антенной в разы лучше). Провод питания в комплекте был Г-образный, так что проблем с подсоединением не было.  USB-вход сбоку удобен, можно просматривать медиа-файлы, но видео с флешки не посмотрите (это немного расстроило). Звук можно сделать какой хотите (имеется ввиду "звук вокруг", "персональный" и т.д.). Пульт наипростейший - разберетесь без труда.</t>
  </si>
  <si>
    <t xml:space="preserve">Элегантный , тихий </t>
  </si>
  <si>
    <t>Запах пластика присутствует поначалу, чайник надо сразу почистить с содой или с лимонкой. Не считая этого, модель хорошая. Кипятит довольно быстро. Внешний вид очень оригинальный - тут и супер-наглядный индикатор уровня воды на пол-чайника, и стильная подсветка.</t>
  </si>
  <si>
    <t>Отличное качество звука, но достаточно не удобные в ушах</t>
  </si>
  <si>
    <t>3066</t>
  </si>
  <si>
    <t>Купили в М.ВИДЕО,спустя 2 стирки машинка начала течь, причем очень сильно, вызвали мастера, сказал что с барабаном проблемы, хорошо что у нас была доп.гарантия, сравнительно быстро привезли новую, такую же модель.Вот у нас  теперь стоит  и отлично стирает Electrolux EWTS10620W уже 1,5 года, и ни разу не ломалась, работает на ура,  бесшумна, если  ставить на ночной режим, то вообще не слышно.А по поводу первой машинки, скорее всего был брак, почти единичные случаи.Вообще фирма Электролюкс очень хорошая и надежная.Всем советую, не подведет в трудную минуту со стиркой.    Минус только один, иногда не забирает кондиционер до конца, но это не проблема.</t>
  </si>
  <si>
    <t>Нормальный штатив при бережном отношении. Единственный минус - шарик с первого и  со второго раза не удается зафиксировать, так чтобы камера была ровно по уровню. Брал для видеокамеры, снимать сцены с пола . Цена оправданная. Главное при покупке смотрите, чтобы резиновые ножки не выпадали с посадочных мест.</t>
  </si>
  <si>
    <t>Как сказать ощущения двоякие: удобная, сделана добротно, бреет действительно неплохо, но не везде, как писали до меня - на шее волосы растущие параллельно не сбривает качественно, так, что 4 поставил ей с большой натяжкой.</t>
  </si>
  <si>
    <t>Сегодня купил этот плеер и знаете не нашёл в нём минусов. Всё в нём на твёрдую 5.Всем советую.</t>
  </si>
  <si>
    <t>Цена не соответствует качеству, сразу полетела электроника, через год в помойку</t>
  </si>
  <si>
    <t>2013-08-25</t>
  </si>
  <si>
    <t>Массажер действительно не плохой. Вроде бы работает слабо, но поясница у меня болеть перестала. На мой взгляд пульт неудобный и подогрев не очень (хотя раньше массажерами с подогревом я не пользовалась).</t>
  </si>
  <si>
    <t>1778</t>
  </si>
  <si>
    <t>сломалась после 4-х стирок.дополнительное обслуживание не купила теперь мне головная боль и нервотрёпка.</t>
  </si>
  <si>
    <t>не знаю как что но ноутбук этой серии пропахал год после чего успешно сгорел северный мост в трех сервисных центрах признались что эту серию(с пузыриками на крышке)сдают часто(горят мосты)ремонт стоит 9-10 тысяч и в целом серия неудачная короче думайте господа я в HP разочаровался брать больше не буду</t>
  </si>
  <si>
    <t>1015</t>
  </si>
  <si>
    <t>Пользуюсь 2 года ежедневно,не ломался(тьфу тьфу).Нагревается за секунды, это здорово ,потому что я каждый день мою голову утром до работы и мне нужно по-быстрому уложить свои волосы ,минимум времени, выпрямляет супер!!!Нагреваю на средней температуре, потому что волосы у меня жгутся на большей, да и хватает. РЕКОМЕНДУЮ!!!</t>
  </si>
  <si>
    <t>Купила набор 4 месяца назад. Качеством довольна. Работает замечательно. Единственный недостаток-полировочная насадка (плохо справляется с функцией полировки). А в остальном все идеально обрабатывает и долго держит заряд. Советую</t>
  </si>
  <si>
    <t>2011-05-31</t>
  </si>
  <si>
    <t>Купили в М.Видео на Садовом, ни разу не пожалели. Работает тихо даже при максимальном режиме. Минут за 10 в комнате в 22 квадрата становится очень холодно). Советую!</t>
  </si>
  <si>
    <t>Приобрел этот аппарат в МВидео декабре. За такую цену вообще отлично. Аудио, видео воспроизводит без проблем. Единственное, в топку AVI конвертер идущий на диске, а качаем "teXet AVI Converter" и конвертируем через него с макс настройками качества и проблема отставания звука решена. Конечно не без косяков, но за такие деньги даже тупо флешку не купишь нормальную. а тут еще и слот. У меня получилось 8+4. Вообщем если разобраться в нем, то штука отличная за такую цену!</t>
  </si>
  <si>
    <t>Работает отлично (уже месяц), быстро нагревает комнату, да и вторую тоже быстро нагревает, очень довольна))))</t>
  </si>
  <si>
    <t>Хочу поделиться своими впечатлениями об этой игре.В целом, это очень достойная игра, хотя и есть некоторые недостатки.Мне кажется, что разработчики поторопились  с выходом этой игры, потому что недочеты видны, хотя и не с первого взгляда.Возьмем, например, волейбол.Эта игра в которую я играл 80% времени, которое я провел в этой игре. Я прошел все три кубка. Если честно, было немного трудновато, особенно последние 2 игры, когда я проиграл 20 раз прежде чем выиграть. Так вот, я считаю, что надо было сделать  так, чтоы были видны границы полся а то иногда непонятно, попал мяч или нет. Правда, очень хоорошо были реализованы "глушки", блоки и так называемые диги(это когда вы в падении спасаете мяч, если пас был не очень удобным). Также не очень понравились "свечи": они эффективны только тогда, когда противник ставит двойной блок. Не понравилось то, что твои соперники производят подачу очень эффектно, и каждый по-своему, а ты за всех подаешь банально и одинаково. Огорчило то, что не была реализована сетевая игра, хотя взамен этого предлагается игра с другом. Я думаю, игра была бы лучше, если бы были альтернативные компании, выпускающие подобного рода игры. Не порадовал настольный теннис, потому что сам занимаюсь проффесионально этим видом спрота, но я думаю, что игра то создается для любителей, чтобы она была интересной. в общем и целом, я считаю, что остальные виды спорта не такие захватывающие, как волейбол, хотя также стоит отметить отличное управление в стрельбе из лука и отсутстыие крови в гладиаторских боях. Мое мнение, что эту игру стоит купить каждому, у кого есть мув, во-первых: потому что эта игра очень интересная, а во-вторых: 6 игр по цене в 1500 рублей - это очень дешево, особенно если сравнить с другими играми, например с баттлфилдом 3, который стоит около 2500 тысячи. Спасибо за внимание, надеюсь, что тем, кто задумывается купить эту игру, будет полезно  прочитать мое мнение.  P.S. поставил 4,но на самом деле игра на 4 с плюсом или на 5 с минусом, кому как нравится.Если бы была максимальная оценка 10 то эта игра тянет на 9 баллов. Прошу меня извинить, если найдете орфографические ошибки.</t>
  </si>
  <si>
    <t>Довольно хороший плеер. Телевизор ловит даже в такой дыре как у нас. Пользуюсь товаром 1 месяц. Было дело зависал. но Ничего. потом дальше работал. Книги читать очень удобно правда в темноте без подсветки клавиш сложновато было по началу, но потом привыкла да и есть такая функция как автопролистывание страниц. Видео очень хорошее качество, просмотрела уже фильмом 10 на нем. Usb Кабель который был в комплекте не работал, благо подошел от нокиа. Очень простая закачка файлов. большой обьем памяти. Вообще достойный внимания плеер. Оценка 5</t>
  </si>
  <si>
    <t>Очень хороший КПК! пользуюсь неделю ни разу не подвела! Сенсор хороший дизайн отличный. Функции просто зашибись! Собираюсь обновить до винды 6.5</t>
  </si>
  <si>
    <t>Через 2 мес. иногда перестал автоматически выключаться-кипит, пока в ручную не выключишь. Через 5 месяцев потек-заливает стол, течет на пол. А ведь недешевый и бренд известный. Не советую.</t>
  </si>
  <si>
    <t>С отзывом Натальи не согласна, ручка достаточно эргономичная, но есть несколько "но". Через полгода  чайник потёк внизу основания под шкалой воды, плюс появился известковый налет по всему периметру шкалы примерно через 4 месяца. Прочитав много отзывов поняла , что у всех чайников это самое слабое место. А то, что он шумный, так это понятно 2400Вт!!</t>
  </si>
  <si>
    <t>2015-11-06</t>
  </si>
  <si>
    <t>По началу радовала машинка Аристон, но через  5 лет полетели подшипники , барабан не разборный, замена барабана  обошлась 10 т.р (при том что такая новая машинка стоила 16 т.р.). Сейчас через 1,5 года повторилась поломка, опять барабан  на выброс. Ремонтировать не будем, смысла нет.  Из-за не разборного барабана ставлю одну звезду и больше не буду покупать машинку данной фирмы.</t>
  </si>
  <si>
    <t>По ссылке  http://consumersupport.lenovo.com/ru/configuration/configuration.html  если ввести серийный номер ноутбука доступна конфигурация модели    Информация о комплектующих	  Intel T3000 1.80G 1M R-0 PGA CPU	  Optiarc AD-7580S RAMBO ODD  LINETEK LS15+H03VV-F+LP-34 card  Sony Ayers 11.1V 3S2P 4400mAhN Bbattery  Hard Drive ( 160G )	[1]  Liteon PA-1650-52LC NB adapter(EPS2.0)  Memory (1G)    x2  Memory (1024M) x2  CCY A3S RU 101KEY ORG KBD  WinDVD Disk V1.1(t)  CPL G550 15BB W/Q-GL T  Cbt BCM4312 M 802.11G MOW NB WLAN</t>
  </si>
  <si>
    <t>Мой предыдущий выпрямитель недавно сломался, точнее почти сгорел. Пришлось купить этот, увидела его в магазине - очень понравился по форме да и характеристика у него не плохая. Приехала домой, после помывки и сушки головы начала выпрямлять. У меня очень кудрявые,тонкие,не послушные волосы , для меня это беда. Мне очень нравятся ровные волосы. На температуре 140 выпрямляет как мой прошлый утюг на 200. Очень быстро управилась,легко лежит в руке, к кнопке привыкла уже, Свои непослушные волосы выпрямляю минут за 20 (с тем выпрямителем выпрямляла за 50 минут минимум. Вообщем мне очень нравится !</t>
  </si>
  <si>
    <t>3145</t>
  </si>
  <si>
    <t>Отличный духовой шкаф, мы очень довольны выбором!!! У этой модели Gorenje много функций, хотя половиной мы ни разу и не пользовались) Утапливаемые переключатели удобны в использовании, проще мыть панель. Не пачкается, не остается никаких отпечатков на черном фоне. А еще мне очень нравятся телескопические направляющие, оценила новинку)) Берите не пожалеете!!!</t>
  </si>
  <si>
    <t>1454</t>
  </si>
  <si>
    <t>Два дня назад купил в Перми.   Первый удар - отказался читать флешки на 8 и 32 гига, отформатированные в NTFS, он их просто не видит. Переформатировал 8-гиговую флешку в FAT32 - сразу увидел. 40S5600 видел и читал флешки и под NTFS, а на этом телеке сразу же ограничения накладываемые на размер файла системой FAT32 в 4 гига, большие фильмы не запишешь. Плюс по сравнению с 40S5600 – корректно отображает названия русских файлов и папок на русском языке, предыдущий писал «крокозяблики» вместо русских букв. А этот только теги из файлов MP3 крокозябликами рисует, а названия файлов, не смотря на  то, что в инструкции написано «поддерживаются только названия файлов на английском языке» пишет по-русски. Еще чисто субъективно он медленнее раза в два по сравнению с S5600 загружает с флешки полноразмерные (1920 на 1080) JPG- файлы. Не принципиальный недостаток, но все же.  Видео MPEG4 с флешки проигрывать отказался, даже после переименования avi в mpg (файлы avi вообще не видел). В инструкции написано, что умеет воспроизводить MPEG1,  но не пробовал, у меня все фильмы  в MKV или TS (M2TS). Хотя в отзывах написано, что он умеет M2TS воспроизводить, что странновато, дело не в расширении файла,  а в кодеке, которым он закодирован. Получается, что он AVC воспроизводит?! Проверю, напишу  Интернет – скорее игрушка, чем полезная фича, особенно улыбнуло сообщение «Появляются новые виджеты к этому телевизору» и это при том, что реально их рабочих (кроме уже «зашитых» в телек) всего 3 – мировое время, калькулятор и чтение новостей (ни о чем, темы о Sony). Хоть бы погодный виджет запустили, но про него только реклама &amp;#61514;.  Работу в сети пока не проверял. Проверю – напишу.  Качество приема аналоговых каналов со слабым сигналом ХУЖЕ, чем у 40S5600, больше помех и зерна, судя по всему, чувствительность у него ниже. Аналоговые каналы с хорошим сигналом показывает не хуже, чем S5600, может даже где-то получше, но не принципиально. Цифровые каналы проверить не могу ввиду их отсутствия.  Хорошее качество при подключении компьютера по входу PC, заметно лучше, чем у предыдущего телевизора по аналогичному входу. Этим он порадовал.  Но ПЛОХОЕ, я бы даже сказал очень плохое, качество при подключении компьютера по входу HDMI (любому из 4-х) в максимальном разрешении 1920 на 1080. Для просмотра видео – качество, конечно, самое то, но для использования в качестве монитора в текстовом режиме, качество при подключении по входу РС заметно лучше. Для меня это основной недостаток, 40S5600 заменил в основном потому, что тот вообще не умел подключаться к компу по HDMI "точка в точку" на максимальном разрешении 1920 на 1080 без масштабирования в ССС Radeon или панели управления NVidia. Этот умеет, так как у него есть эти настройки, но вот качество далеко от цифры. Очень я этим обстоятельством огорчён (Есть с чем сравнить, у меня 27” монитор 1920 на 1200 со входом HDMI, так на нём при подключении любого компьютера качество изумительное и значительно лучше, чем по D-Sub и даже DVI).. Но это касается только максимального разрешения, ну не видно там качества «точка в точку», а при разрешении 1280 на 1024 без масштабирования качество по HDMI тоже замечательное.   Разницы в качестве звука по сравнению с 40S5600 не заметил, ну да и не обладаю музыкальным слухом. К тому же использую внешний ресивер по оптике с компа на 6 колонок. Вопрос этот для меня не столь важен.  Доволен в принципе режимами PiP и PaP, хотя и работают они только с одним тюнером. Одновременно два канала телек показывать не умеет. Режим PaP работает так же при подключении компа по HDMI (по входу PC -  только PiP).  Общая оценка – 4 с минусом, критичные недостатки:   – плохое качество при подключении компа по HDMI в полном разрешении 1920 на 1080  - не видит флешки под NTFS  - хуже качество приема аналоговых каналов со слабым сигналом (в сравнении с 40S5600)</t>
  </si>
  <si>
    <t>Работает нешумно, сушит хорошо (большая мощность - для профессионалов, а для обычных потребителей  данная мощность - самое подходящее).  Сколько прослужит - посмотрим. Пока довольна.</t>
  </si>
  <si>
    <t>Очень прочная крепкая и жесткая сумка,фотоаппарат Nikon L340 убрался без проблем,есть 2 кармана под разные мелочи,единственный минус,так то что ручка прикреплена к замочкам молнии,а в целом очень не плохо.Есть ремень для ношения на плече</t>
  </si>
  <si>
    <t>2012-12-05</t>
  </si>
  <si>
    <t>Всем, доброго времени суток! Пользуюсь телевизором более 2-х лет. Изображение супер, оценить в полной мере можно с HD каналов, либо при просмотре с usb. При этом читает жесткий диск - у меня на 250 Гб, больше не пробовал цеплять, теоретически может читать и большей емкостью. MKV не читает, не читает файлы тяжелее 2 Гб, в остальном - супер. Недавно подключил цифровые каналы (провайдер УфаНЕТ) - нашел более 400 каналов, из них 94 видит, остальные заблокированы, за доп плату - показывает. + 4 канала в HD качестве - картинка - обалдеть. + ко всему около 10 каналов радио поймал. С наушниками есть неудобство: громкость регулируется через меню, но я практически не пользуюсь. Настроек времени не нашел - как идет время московское, так и идет :(, посмотреть время можно через кнопку инфо, там же отображается и программа передач с описанием конкретного фильма или передачи. Телетекстом не пользовался, но он есть. Ambilight работает без нареканий - глаза в темноте приятно не устают :) 3D цеплять не пробовал, может даже и показывает - очень хочу узнать, если кто пробовал - пишите. В интернет выходить не пробовал, но говорят, работает нормально. Отличная модель, всем советую.</t>
  </si>
  <si>
    <t>Недавно приобрёл данный ноутбук...  Очень понравился, в работе всё супер... Всё удобное, кнопки блютуз и вайфай сенсорные и чисто случайно не нажмёшь, подержать нужно :) А так ваше всё просто отлично :)  Единственное тяжеловат, но он этого стоит :)</t>
  </si>
  <si>
    <t>2016-04-20</t>
  </si>
  <si>
    <t>Купила мужу, он пользуется ему нравится, не дергает волосы. Говорит что отличный триммер. Минусов не обнаружили.</t>
  </si>
  <si>
    <t>2602</t>
  </si>
  <si>
    <t>Перепробовал кучу телефонов и в итоге сформировал для себя идеальный телефон в моем представлении и потом неожиданно появляется iPhone, полностью и даже больше воплощающие мои идеи. К великому разочарованию он у нас в продаже не появился официально, а на "черном" стоил кучу зелени. Потом узнал, что уже вышла более совершенная модель 3G и как же я был удивлен и счастлив увидеть его в свободной продаже (без тупых контрактов и тарифов) в сети Мвидео да еще по такой суперской цене (порядка 2-3 тыс дешевле чем у сотовых операторов или др сетях)Отвалил почти всю свою месячную зарплату, сомневался пока шел домой, но когда начал им пользоваться и изучать (удивляться), все сомнения исчезли. Не смотря на привязку к айтюнс и поддержки каких то своих разрешений рингтонов и видео, невозможности передавать музыку по блютус и т.п. тут столько плюсов и новшеств, что я решил если когда и буду менять телефон то только на более совершенный телефон от APPLE.</t>
  </si>
  <si>
    <t>868</t>
  </si>
  <si>
    <t>2013-06-07</t>
  </si>
  <si>
    <t>Уже пользуюсь 3 год, рада очень своей покупке. Советую всем. Я его дороже покупала. Сейчас буду приобретать в подарок на рождение ребенка. Очень компактный, все под рукой, мыть его никаких проблем, при работе шум не раздражает. Молит, взбивает, с разными режимами. Вещь на УРА!</t>
  </si>
  <si>
    <t>Пользуюсь этой штукой по нескольку раз в день уже больше года. Очень удобный блендер и ни разу не вызвал никаких нареканий. Занимает мало места и всегда под рукой, благодаря наличию подвесной системы хранения. Прост и приятен в использовании. Советую.</t>
  </si>
  <si>
    <t>501</t>
  </si>
  <si>
    <t>Купила 1 год назад, пользуюсь не часто, из-за этого нареканий особых нет. Единственное сильно греется дверца, да и первые 3 раза пахло горелым сильно (оказалось так надо, тэны обгорали..), так что, по-моему, неплохая духовка за свои деньги.</t>
  </si>
  <si>
    <t>Отличная кофеварка, простая, без наворотов, но со своей прямой функцией справляется отлично! Пользуемся уже около года, нравится, объем большой.  Единственное - при заказе было указано, что в комплект входит металлический фильтр, но его не было, а мы сразу не проверили. Но в общем это не страшно, все равно пять баллов!</t>
  </si>
  <si>
    <t>Хороший ноутбук, минус в том, что нет видеокамеры. Во всём остальном меня устраивает.</t>
  </si>
  <si>
    <t>Сначала работал нормально. Потом начал серьезно греться, вплоть до выключения. Обнаружилось, что прилагавшийся к нему бумажный мешок заполнен примерно на половину. Мешок был заменен на штатный же тканевый. Ситуация примерно аналогичная.  На выходе из мотрного отсека - горячий воздух, практически не всасывает пыль - очень слабая тяга. Мешок практически пустой при этом. Фильт, который стоит между отсеком для мешка и моторным отсеком - промыт и не забит.   До этого был груго LG - не было проблем 10 лет почти - принцип работы ровно такой же.</t>
  </si>
  <si>
    <t>Долго выбирал модель, но решил остановится на этом триммере, т.к. посчитал, что за приемлемую цену получу широкий функционал. Реально хорошая штука, сидит в руке удобно, большое количество насадок. Могу подстричься и побриться - многофункциональнось, то что я и хотел. За такие деньги отличная модель.</t>
  </si>
  <si>
    <t>Вот чем мне нравится М-Видео так это честностью. Написано на сайте что чайник стоит 1190 вместо 1990 и на самом деле оно так и есть. Пришёл и купил.    Что касается самого чайника - он хороший. Работает довольно тихо (если сравнивать с Tefal vitesse diamond, который на 6-м году работы начал течь через стекло). Кипятит быстро, внизу подсветка больше синего цвета чем голубого (не совсем как на сайте).    Посмотрим сколько проработает. У нас кофеварка Scarlett, ей примерно года 4 (может чуть больше) - всё нормально - пользуемся каждый день. Думаю и чайник проработает долго.</t>
  </si>
  <si>
    <t>ПЛЮСЫ:  1. Очень красивы сателиты. Фронтальная металлическая панель сателлитов без тканевой решетки смотрится превосходно.  2. Высокое качество изготовления.  3. Сателиты компактны, на столе занимают очень мало места.  4. Удобный пульт ДУ. При включении наушников автоматически отключатся динамики АС.  5. Отличные показатели сигнал/шум усилителя (92 дб по паспорту). Усилитель не фонит и не шумит.  6. Нижняя граница работы сабвуфера низка - 35 гц. Очень впечатляет для таких габаритов саба.  7. Запас мощности предостоточен. Слушаю на максимум 60% громкости. Обычно 20-40%.  МИНУСЫ:  1. Комплект дорог.  2. При громкости более 50% сателиты начинают визжать. Из средних частот получатся каша. Сабвуфер начинает бубнить.  3. Кому-то покажутся короткими провода. Для обычного стола вполне хватает. У проводов нестандартные разъёмы.  ПРОСЛУШИВАНИЕ:  Взыскательному меломану звучание системы не понравится. Музыка на громкости более 50% звучит не очень: каша на средних частотах, кому-то может просто резать слух. Сателиты имеют узкую направленность. Если голова слушателя отклоняется из зоны прослушивания моментально уменьшаются высокие частоты. Бас агрессивный жесткий, а не мягкий и обволакивающий. Вместе с тем ИМЕННО БАС (нижняя граница 35 гц)! Не думаю что конкуренты за эту цену дадут хотя бы такой бас.  Словом звучание музыки до 50% мощности (этого вполне хватает)вполне комфортное. Дальше кого как устроит. Очень внимательно отнеситесь к настройке уровня сабвуфера (у меня регулятор установлен на 11 часов для музыки).  Для игр и кино комплект превосходен.  ВЫВОДЫ:  Для музыки желательно комплект 2.0 типа Sven Royal 2. Он даст более правильное сбалансированное звучание. Если вы не меломан - то звучание музыки на Z3 вас вполне устроит. Для игр и кино комплект хорош.</t>
  </si>
  <si>
    <t>Купили сие чудо летом 2011. Сначала все было нормально, машинка стирает хорошо, если не брать в рассчет сильные вибрации при отжиме, и то, что машинка ездит по полу, несмотря на то что уровень выставлен и куплены специальные подставки по ножки. Спустя 7 месяцев машинка начала барахлить. Ставишь экспресс стирку на 44 минуты и 40 градусов, а машинка стирает больше 90 минут, на безумной температуре, кормус машинки кипяток прикоснуться нельзя, вещи внутри как из парной на мороз - пар идет, взять в руки нельзя, краски потекли - сразу на помойку. Много вещей испортили, по стоимости больше, чем цена машины. И еще один недостаток, иногда набор воды может идти без остановки минут 20 пока не выключишь ( это после запуска машины, не в процессе). В норме набор воды первичный занимал 1 минуту. Никому не советую покупать - качество очень низкое.</t>
  </si>
  <si>
    <t>Конструкция носика сама по себе не очень - льет не прямо в чашку, но это проблема многих чайников, а их у меня было немало, другое дело что у этого конкретного шов между носиком и самим чайником быстро прохудился и треть воды по корпусу стекает, горячей такой воды, кипятка.</t>
  </si>
  <si>
    <t>лучшая покупка за эти деньги. единственный минус - люфт задней крышки. а так всё на отлично.</t>
  </si>
  <si>
    <t>Пользуемся этой моделью 2 года, регулярно и часто. Очень довольны. Собираемся купить еще один такой же, а старый отвезем на дачу. Все советую, просто и практично.</t>
  </si>
  <si>
    <t>2325</t>
  </si>
  <si>
    <t>Купил вчера, негерметичен((( за ночь натекла лужица, поеду менять</t>
  </si>
  <si>
    <t>417</t>
  </si>
  <si>
    <t>Взяла этот пылесос себе и родителям, очень хорошо проводить с ним уборку и легко ухаживать! Отличная модель, приятный внешний вид, спасибо М-Видео!!!</t>
  </si>
  <si>
    <t>Недавно купил и просто в восторге от этой супер игры!Бесспорно предендент на лучшую игру года!Великолепная графика,отличный сюжет,очень увлекает.Игра действительно взрослая,в неё встают разные вопросы и вам надо будет выбрать вариант ответа.Всё в игре полностью зависит от вас!Вобщем советую брать,она на 100% оправдает ваши ожидания.Я был шокирован когда узнал кто Мастер-Оригами,думаю что вы тоже будете шокированы:)</t>
  </si>
  <si>
    <t>Пользуюсь данной машинкой с 2011 года. За это время она меня ни разу не подводила. Вещи стирает отлично, у меня не скачет ( было пару раз перемещалась, но не намного и то при сильной заргузке). Покупала из-за возможности в ручную регулировать температуру и отжим.Радует 15 минутная стирка, когда веще вроде чистые, но второй раз их уже не наденешь.  Очень давольна.</t>
  </si>
  <si>
    <t>Прекрасной ноутбук :) очень нравится. Игры все идут. Не тормозит, клавиатура хорошенькая. Удобно все. Цена меня поразила.. просто суперр.)    рекомендую.</t>
  </si>
  <si>
    <t>Купила пароварку Bork F500 2 месяца назад. ОЧЕНЬ довольна.Проста в эксплуатации,удобна,моется легко. Еда в ней получается не только вкусная, но и очень полезная!</t>
  </si>
  <si>
    <t>Всем привет.  Долго присматривался к данной модели: при лучшей из всех производителей цене за подобную конфигурацию, она все-равно не маленькая. Скидка 10%, с которой теперь в М-Видео продается модель (а кроме М-Видео никто не продает), сподвигла на покупку. НЕ ЖАЛЕЮ!  Недостатки: не самый лучший дисплей (на черном экране видна засветка снизу и сверху; при горизонтальных перемещениях относительно экрана меняются цвета; если располагаться близко от экрана, оттенки верхней и нижней части изображения отличаются); глянцевая поверхность; не самые быстрые жесткие диски (по данным Windows).  Достоинства: конфигурация (не хватает разве что пишущего BlueRay-привода); подсветка клавиатуры (светятся в темноте белые буквы на черных клавишах); наличие кнопок отключения звука, тач-пада, ВТ и вай-фая; очень удобное колесико регулировки громкости; 5 динамиков реально создают объемный звук.  Выбор сделал осознанно: высокая производительность, большой объем жестких дисков, два HDD, большой дисплей для работы с фото и видео, отсутствие постоянного места рабочего места.</t>
  </si>
  <si>
    <t>2010-03-18</t>
  </si>
  <si>
    <t>Купил я знач родителям телик,Плазменный телевизор 50" Samsung PS-50 B430P2W. Думал что нормальный. Смотрят 4 часа после работы....т.е в очень щадящем режиме.Через неделю пропал звук от видика к телику.Сказали надо отдавать в ремонт.Отдали в ремонт.И вот сижу жду уже неделю пока мой "новый" телевизор отремонтируют.ОЧЕНЬ НЕ ДОВОЛЕН!!!!</t>
  </si>
  <si>
    <t>Купила ноутбук в 2009 году. На виндоус 7. Ноутом очень довольна. Отработал 4,5 года без проблем. И вот только сейчас появились первые проблемы - сел аккумулятор (родной). Полгода назад заряд держался чуть больше часа при изначально заряде 3 часа. Очень жаль, что мвидео не продают аккумуляторы! Такой отличный ноутбук достоен того, чтобы работать дальше как мобильный компьютер. Особого расстройства от отсутствия камеры и неработающего блютуза за 4,5 года не испытывала. Ноутбук был больше рабочей лошадкой. Минус только один - вес в 3 с лишним килограмма.</t>
  </si>
  <si>
    <t>1087</t>
  </si>
  <si>
    <t>КПК супер! прочный и надежный!</t>
  </si>
  <si>
    <t>Эта малышка стоит на нашей кухне уже довольно- такидолго! Готовлю на ней каждый день  для всей семьи)) Каждый день по нескольку блюд по нескольку раз и до сих пор очень довольна!! На этой плите очень удобно все устроено, есть автоподжиг конфорок, который облегчает работу с газом , так же есть система безопасности, надежность конечно важнее всего , я уверена , что никаких утечек газа из этой плиты никогда не будет!  Сама конфорка красивая , сделана из нержавейки, решетки  чугунные , прочные, посуда на них ставится легко. Есть целых пять конфорок , четыре обычные и одна трехконтурная - на этой конфорке с тройным!!! огнем все на много быстрее готовится. Да также она расположена по середине , что позволяет ставить на нее более большие кастрюли)) Качество сборки отличное , немецкое!  Все сделано очень прочно!!! Рада что мою кухню украшает именно эта плита от сименс, она и качественная, и практичная,  и безопасная, и надежная!!. За такую технику только пять звезд , ниже ну никак не поставишь , рука не повернется)))</t>
  </si>
  <si>
    <t>Плеер очень хорош. Чуть медленноват и шумноват, но в целом очень хороший плеер. Да и кабель HDMI в комплекте.</t>
  </si>
  <si>
    <t>Соглашаюсь со всеми предыдущими высказываниями!!!  Отличная комплектация: отшелушивающие насадки (очень удобные), защитные насадки для эпиляции в чувствительных местах, удобная серебряная сумочка.  Про тишину его работы я бы на месте производителей не писала, хотя не могу сравнивать, т.к. это мой первый эпилятор, но, видимо, другие ревут как газонокосилки...  Но не пугайтесь, все очень в меру.  Классная вещь, очень удобная!  Берите и не сомневайтесь: цена оправдана, а дороже - значит с лишними примочками вроде подсветки (для работы в темноте) и прочее, что не особо нужно.</t>
  </si>
  <si>
    <t>Надо сказать голландцы сделали классную "игрушку" для мужчин.  Легка, проста, изящна!!! Работает - не слышно.  рекомендую...</t>
  </si>
  <si>
    <t>Перепробовал много наушников ( с открытыми вкладышами ) для плеера sony nwz e453.  Это лучший вариант. В уровне баса схожи со стандартными, но имеют относительно чистый и громкий звук.</t>
  </si>
  <si>
    <t>2016-03-05</t>
  </si>
  <si>
    <t>Подарила маме, ей очень понравилось, а папа как раз оценил толстое дно.    У меня у самой ковшик и сковорода из этой серии, так что качество оценила прежде чем дарить - готовить одно удовольствие и мыть легко.</t>
  </si>
  <si>
    <t>2015-11-05</t>
  </si>
  <si>
    <t>Приобрела такой аппарат недавно, в основном из-за постельного белья (много приходиться гладить именно его), пока все радует- время глажки сократилось на много, а качество - только лучше! советую всем - экономьте своё время - его точно не купишь!!!!!</t>
  </si>
  <si>
    <t>242</t>
  </si>
  <si>
    <t>сегодня третий раз за месяц понесу в ремонт. руки оторвать тому, кто паял этот плеер</t>
  </si>
  <si>
    <t>Купил пылесос около года назад пользуюсь мне очень нравиться его мощность всасывания+идеальная фильтрация воздуха. Всем советую отличная качественная  модель по хорошей цене..</t>
  </si>
  <si>
    <t>Купил в прошлом году для деревенской избы. Раньше был бачок с ТЭНом - холодная отдельно, горячая - отдельно.  Теперь проблема горячей воды решилась замечательно. Работает в комплекте с насосной станцией на кухонную "елочку". Жена в восторге - очень удобно стало.  Всем рекомендую. Запаса воды вполне хватает помыть посуду даже после вечеринки.</t>
  </si>
  <si>
    <t>Очень интересная модель. Недавно приобрели, остались очень довольны. Органично вписался в дизайн. Прост в управлении и 9 степеней обжаривания! Особенно понравилась функция одностороннего обжаривания тостов. Рекомендуем!</t>
  </si>
  <si>
    <t>Телефон отстой! Купил в апреле; после обновления прошивки,стал тупить; динамики громкие,но звук отстой; аккумулятор держит 1 день, приходиться таскать шнур USB; дисплей яркий, но на солнце плохо видно; GPS в пасмурную погоду ловит плохо; не приятный высокочастотный писк от телефона.</t>
  </si>
  <si>
    <t>Взял ЭТОТ комплект, чего и всем советую. Сомневался по поводу необходимости приобретения мува и камеры. После установки Праздник спорта 2, вопрос отпал сразу. Играет вся семья, брат впервые за 5 лет занялся спортом с удовольствием. М-Видео респект!</t>
  </si>
  <si>
    <t>2016-11-25</t>
  </si>
  <si>
    <t>хороший чайник</t>
  </si>
  <si>
    <t>2012-08-15</t>
  </si>
  <si>
    <t>Купили этот воздухоувлажнитель 5 месяцев назад потому что у нас маленький ребёнок. Продавец посоветовал нам эту модель.  Мы остались им очень довольны. Увлажняет хорошо, удобно что ставишь влажность 55% и он её поддерживает автомотически. Кстати только на него в магазине были фильтры и продавец сказал что они всегда бываю в продаже. Жене он очень понравился внешне. Есть тихий ночной режим. Вода в нём не зацветает.  Вцелом покупкой довольны, советую всем.</t>
  </si>
  <si>
    <t>Хотелось бы побольше узнать как этот ноут дружит с играми (ну там к примеру call of duty mw2, или метро 2033)???</t>
  </si>
  <si>
    <t>2906</t>
  </si>
  <si>
    <t>Купил как 1,5 недели. Когда брал хотел венгерскую сборку (индекс 12), сказали, что есть только русская. Русскую наотрез брать отказался и волшебным образом на складе обнаружился один венгерский телевизор))).  Индекс Н в модели означает гибридный ТВ-тюнер, консультант сказал, что он есть только у венг. сборки. Перепрошил в первый же день, интерфейс, качество изображения, количество подключений и самое главное ЦЕНА понравились очень. Грелся и вонял только первый день, потом все пришло в норму. В ближайшее время постараюсь проверить все возможные подключения и функции, пока все устраивает!</t>
  </si>
  <si>
    <t>Всё понравилось,картошку если начистить грамотно(1см) то всё пучком получается(как в МакДональдсе-"картошка по-деревенски"),реально экономичная,немного с ценой правда загнули-а так все нормуль!</t>
  </si>
  <si>
    <t>2017-06-26</t>
  </si>
  <si>
    <t>Сейчас думаем, как мы раньше без нее обходились. Раньше никогда не пили кофе в зернах, поэтому и нужны в кофемолки не было. Но с ней и перемолотым коже, это просто подарок какой-то . Так намного проще и вкуснее. Она пластиковая и достаточно легкая на вес, но сделана основательно так. Мощность приличная, электричества потребляет совсем не много. И гарантию нам на нее дали.</t>
  </si>
  <si>
    <t>вырывает даже короткие волоски</t>
  </si>
  <si>
    <t>Неплохие наушники, мощный и насыщенный бас, умеренные верха, и еще качество зависит от плеера, я их слушаю на плеере марки Apple, и в целом доволен</t>
  </si>
  <si>
    <t>2131</t>
  </si>
  <si>
    <t>Купили недавно водонагреватель эдиссон на 80 л. Нагревается 4,5 часа, а не 2,5 как по инструкции, проблем с крепежом не было, удобно и быстро. Петли большие, не пришлось переделывать отверстия от предыдущего титана.</t>
  </si>
  <si>
    <t>Купила себе такой телефон в августе 2009.Отличный телефон,очень хорошие динамики и звук.  В меру стильный и недорогой)в общем я не пожалела ,что его купила</t>
  </si>
  <si>
    <t>238</t>
  </si>
  <si>
    <t>Полгода балдею от мультиварки! При повышенной занятости, когда на готовку времени мало, она  - незаменимая штука. И вкус блюд отличный.</t>
  </si>
  <si>
    <t>703</t>
  </si>
  <si>
    <t>самое лучшее сочетание цена-качество за такие деньги, батарея действительно слабенькая.</t>
  </si>
  <si>
    <t>23</t>
  </si>
  <si>
    <t>Покупали его почти год назад, хотелось тогда не сильно переплачивать за производителя, долго стояли перед другими марками типа panasonic, но в ценовом диапазоне типа 30 тысяч картинка радовала мало у кого. Уже расстроились, что ничего не возьмем, как на глаза попался этот телек. Взяли, не раздумывая, так как был на позицию лучше по качеству картинки. А USB у нас в dvd-плеере есть, так что не жалуемся =)</t>
  </si>
  <si>
    <t>1223</t>
  </si>
  <si>
    <t>Мне их подарили, и уже один этот факт меня порадовал. До этого года четыре были (и еще есть) Technics RP-F550. И вот что интересно - звук совершенно разный! У Philips почти не слышу частот верхнего диапазона, зато басы отличные. Звукоизоляция отличная, внешние звуки почти не слышно вовсе.  Учитывая цену, можно сказать, что выбор вполне достойный. Жаль лишь, что провод коротковат и регулятора громкости нет.  Моя оценка 4+.</t>
  </si>
  <si>
    <t>Просто шикарный набор для маникюра и педикюра. Отличное качество насадок (есть сапфировое покрытие, очень долговечные). Несмотря на то, что насадок множество, лишних нет. Пользуюсь всеми, в т.ч. насадкой для полировки и лопаточкой для поднятия кутикулы, просто одними пользуюсь чаще, другими – реже. Очень нравятся диски для педикюра, особенно большие диски. Через 3-4 педикюра пяточки стали как у младенца)) Удобная ручка, есть индикатор подзарядки. Несмотря на то, что в наборе множество предметов, умещается он в футляре достаточно компактно. Цена тоже вполне себе приемлемая, недорого я считаю.</t>
  </si>
  <si>
    <t>Чайник просто супер, работает 3 года как часы. Залез в описание чтобы помочь с выбором остальным и купить такой на работу.</t>
  </si>
  <si>
    <t>291</t>
  </si>
  <si>
    <t>Отличный телевизор.Взял в подарок родителям,ну и мы с женой будем смотреть на кухе!Порадовало качество картинки.Функциональность вообще на высоте.Может и как монитор использоваться!</t>
  </si>
  <si>
    <t>Непонимаю зачем брать дороже, если этот работает идеально! не сжигает кислород и не сушит воздух. быстро нагревает, особо не шумит(спать можно), да ещё и с термореле! я вообще его из розетки не выключаю уже месяц. в течении дня настроил на одну температуру и он её держит. в тёплый день вообще не включается а по ночам раза по 3. окноприоткрыто чуть-чуть всегда т.к. без микропроветривания воздух тяжолый станет. прогревает на 2 градуса комнату и отключается. Отличный тепловентелятор. родителям понравился - щас за вторым поеду)))</t>
  </si>
  <si>
    <t>Прошёл игру один раз ... прикольная гама ) сюжет классный , похардкорней в отличии от втарой ...   Чем отличается это издание от простого?)и скоро данную игру завезут на родину Чехова ?)</t>
  </si>
  <si>
    <t>Отличный фен! Надо только привыкнуть к нему: у меня удлиненное каре, я на третьей укладке приноровилась. Пользуюсь обеими щетками, концентратор выбросила за ненадобностью. Волосы не жжет,очень довольна покупкой</t>
  </si>
  <si>
    <t>2010-02-20</t>
  </si>
  <si>
    <t>Оптимальное сочетание цена-качество.  Андрей (Казань), делаете все правильно, просто эта магнитола больше 4 или даже 2х Гб SD не читает.   А кто знает где панельку взять на эту магнитолу? недавно раздавил дисплей :(</t>
  </si>
  <si>
    <t>отличный аппарат. при покупке нужно смотреть что и как. камера на ура и звук отличный, стильный. достойный ответ конкурентам.</t>
  </si>
  <si>
    <t>2146</t>
  </si>
  <si>
    <t>2014-11-25</t>
  </si>
  <si>
    <t>Это не медь! Хорошие медные будут стоить от  3к за комплект для 4-х канального усилка. Советую покупать отдельно силовые, сигнальный и т.д.</t>
  </si>
  <si>
    <t>Неимоверно прочный и удобный рюкзак, как для фото, так и для простых поездок (если вынуть внутренности) отделение для документов и ноутбука, я спокойно туда запихивал  HP-17 дюймов, пользуюсь два года нареканий нет.</t>
  </si>
  <si>
    <t>Купили водонагреватель Ariston ABS PRO ECO 80V проработал 1 год 3 месаца потек корпус. Очень жаль денег выкинутых за продукцию низкого качества. Больше никогда ничего не куплю марки аристон и знакомым отсоветую.</t>
  </si>
  <si>
    <t>Ионизация действительно не ощущается. Пользуюсь уже больше года и стали стираться пластины. А в целом очень даже ничего.</t>
  </si>
  <si>
    <t>0</t>
  </si>
  <si>
    <t>Это яблокофон стоит потраченных денег. Для сравнения проверил производительность на своём iPhone 2G. Разница в скорости ощутима. Только вот удивила комплектация.. сообщалось что в коробке будет тряпочка для протирки экрана и "скрепка" для открытия сим лотка. Увы у себя я их не увидел...</t>
  </si>
  <si>
    <t>Компьютер просто класс!! Только здесь написано, что windiws 7 Домашняя Базовая, а у меня Домашняя Расширенная.  Вообще почти не шумит и это главный плюс.ВСЕМ СОВЕТУЮ ЕГО ПРИОБРЕСТИ</t>
  </si>
  <si>
    <t>Хороший комбайн по сравнению с другими марками такими как Bosh  некоторыми другими, очень удобное нахождение насадок (внизу комбайна),нет необходимости их держать насадки не ломаются и не гнутся, в общем очень понравился.</t>
  </si>
  <si>
    <t>1735</t>
  </si>
  <si>
    <t>Вот оно! Вернее она - Настоящая Стратения Реального Времени! Вступай в ряды Конфедератов-Землян, Храмовников-Протоссов или присоединяйся к армии Зергов! Бесконечный простор для творчества, громадное количество тактик за каждую сторону, сложный редактор сценариев, бесплатная игра по battle.net - это малый перечень достоинств игры StarCraft: Brood War!!! Рекомендую всем!  :))</t>
  </si>
  <si>
    <t>не вижу</t>
  </si>
  <si>
    <t>2015-11-13</t>
  </si>
  <si>
    <t>Стирает хорошо, шум умеренный, не прыгала даже на деревянном полу на даче.  Отработала 2 летних сезона, а на 3 сдохли мозги. Итого в сервисе приговорили к замене электронного блока управления. Мастер посоветовал выкинуть на помойку и забыть как страшный сон. Категорически не советую!</t>
  </si>
  <si>
    <t>Пользуюсь пылесосом около трех лет, за это время пару раз сменила HEPA-фильтр, только сейчас собираюсь еще заменить губчатые фильтры. Кто сказал, что набор фильтров стоит как половина пылесоса - бред! 290 рублей комплект фильтров в соседнем магазине. Насчет поломки телескопической трубки - у меня с полгода назад приключилась та же беда, решила проблему тем, что сняла внешнюю кнопку, под ней система из двух пружин и двух кнопок. Просто нажимаю на нужную кнопку и телескопическая система работает. Покупать новую трубку совсем не обязательно. Еще кто-то написал, что нет насадки для мойки окон - неправда, все это есть в базовой комплектации. Мытье пылесоса в первое время и правда может занимать много времени, но вскоре приловчитесь и будете тратить на это 7-10 минут. Зато результат того стоит - чистые полы, ковры, окна, мягкая мебель, свежий воздух после уборки. Большой плюс, что в случае аварии в виде разлитой воды на полу, вы можете легко собрать пылесосом воду и не будете мучиться с тряпками и ведрами. Совет для тех, кто часто будет пользоваться моющим режимом - после уборки сменить воду в пылесосе и прогнать через него пару литров чистой воды (ровно столько, сколько помещается в контейнер для чистой воды), чтобы промыть шланги, и пару-тройку минут дать поработать на сухую, чтобы просушить шланги. Тогда вас не будет беспокоить запах затхлости, который может появиться после застаивания грязи в шланге. В целом пылесосом очень довольна и менять не собираюсь, работает все 3 года без нареканий, мощность не уменьшилась, в отличие от простых пылесосов, которые через время начинают плохо сосать )</t>
  </si>
  <si>
    <t>Покупал для целей чистки дисплея iPad при замене тачскрина. Оценка - пять.  Единственный недостаток (минус один балл) - щеточка теряет ворсинки, но это не критично.  Не забывайте читать и следовать инструкции )</t>
  </si>
  <si>
    <t>Вибрация у тех кто не правильно установил(снять транспортировочные болты).Мне пока все нравиться.Правда пока мало пользовались.Вибрации как раз практически ни какой нет.Вообще тихая.О качестве стирки сказать особо не чего.Стирает так-же как и все.</t>
  </si>
  <si>
    <t>1939</t>
  </si>
  <si>
    <t>супер приставка</t>
  </si>
  <si>
    <t>На сегодняшний день, PlayStation 2 эта лучшая приставка во всём МИРЕ.</t>
  </si>
  <si>
    <t>2015-10-06</t>
  </si>
  <si>
    <t>После пяти стирок отвалился переключатель слива воды.Слив воды очень жесткий вертушек из тонкого пластика разболтался. Машину пришлось сдать.Деньги вернули.</t>
  </si>
  <si>
    <t>купил. открыл - корпус с элементами коррозии. поменял на другую. в течение 3 часов работы звук периодически пропадает, включается от любой кнопки. с ней не заскучаешь!!! поехал возвращать (((</t>
  </si>
  <si>
    <t>Очень хороший телефон за такие деньги.</t>
  </si>
  <si>
    <t>отличный телефон, прекрасно держит заряд, а доп. источник питания спасает от последствий забывчивости, просто купил где угодно батарею ААА и все... я доволен, тока не все видео файлы читает... даже не любые 3gp... но ведь это прежде всего телефон...</t>
  </si>
  <si>
    <t>Выбирал по форума и отзывам этот фильтр как самыйСгорел, проработав 1 месяц. Ни с того ни с сего. При этом вырубило автомат в щитке. Крайне не советую!</t>
  </si>
  <si>
    <t>2015-10-11</t>
  </si>
  <si>
    <t>Отличная газовая панель за свои деньги. Есть все, что должно быть в газовой панели. Авто «поджиг», газ контроль, в комплекте идут форсунки для природного и с «жиженого» газа.  Вся панель выполнена из нержавеющей стали, что делает ее более устойчивой к внешним воздействием воды и моющим средствам. Ручки не нагреваются и  легко снимаются соответственно и процесс чистки под ручками у вас не займет много времени. В комплекте идут все необходимые прокладки и уплотнитель который ставится между панелью и столешницей.  В общем, берите, панель проверена. Рекомендую.</t>
  </si>
  <si>
    <t>5,09,09 купил данную модель. Если бы не  Висто, доолго думает, и пошустрее привод, было бы нормально.</t>
  </si>
  <si>
    <t>772</t>
  </si>
  <si>
    <t>хорошее изображение,чёткое...яркость классная..всё супер!</t>
  </si>
  <si>
    <t>У меня все работает, и таймер, и пропекает отлично. Очень довольна покупкой, и ухаживат за ней намного проще, чем за обычной духовкой! Ну а про микроволновку вообще молчу, совершенно другое дело!</t>
  </si>
  <si>
    <t>Не очень хорошая машинка:    1) При первой заливке воды смывает не только порошок, но и кондиционер для последнего полоскания (всегда и на всех программах).    2) Перед последним отжимом крутит белье в барабане до тех пор, пока не образуется ком, и только после этого отказывается отжимать и выдает ошибку.    Больше никогда не куплю стиралку самунг.</t>
  </si>
  <si>
    <t>2016-12-04</t>
  </si>
  <si>
    <t>Стильный, удобный, долго работает</t>
  </si>
  <si>
    <t>2542</t>
  </si>
  <si>
    <t>2015-01-23</t>
  </si>
  <si>
    <t>Пользу дайсона для аллергиков проверила на собственном опыте, после появления дайсона чихать дома я перестала вообще (до этого была аллергия на пыль),  да и на мебели вообще ее перестало быть!Он еще и удобно сделан - быстро ездит по комнате и пролазит щетка под кровать и кресла. Удобная регулировка ручки - хочешь подлиннее, а хочешь - покороче!</t>
  </si>
  <si>
    <t>Подскажите где взять прошивку,ну вообщем все поподробнне!!За ранее спасибо</t>
  </si>
  <si>
    <t>Прошло 3 недели, и все раздражение прошло! Бритвой очень доволен! Просто прыгал от счастья!Всем советую! Браун это по настоящему вещь!!!</t>
  </si>
  <si>
    <t>Практичная форма,скорость нагрева хорошая.</t>
  </si>
  <si>
    <t>2674</t>
  </si>
  <si>
    <t>Телефон отличный,без претензий.В Эксплуатации с 11.01.2010г.Появилось одно неудобство-подсветка клавиатуры не работает должным образом. Т.е.цифровые кнопки раньше гаснут, чем другие кнопки. В ждущем режиме-мерцают. Функция мерцание хотя-отключено.Сгорел видимо контроллер.</t>
  </si>
  <si>
    <t>The Complete Edition - очень классный сборник, содержащий в себе оригинальную игру, и два официальных дополнения-эпизода. И конечно же очень-очень приятно иметь в своей коллекции такую коробочку, с таким отличным содержимым.  Не забуду упомянуть еще то, что издание так же содержит полную карту города (на другой стороне плакат), руководство пользователя, и полностью пропатченную игру. Так что после установки игрокам не придется ждать полчаса на скачивание обновлений.  Шикарно, всем советую!</t>
  </si>
  <si>
    <t>Около полугода пользуюсь этой моделью кофемолки, очень довольна, много кофе помещается и помол получается очень равномерным!Рекомендую!</t>
  </si>
  <si>
    <t>Утюг с 2013 года. Цвет другой. Мы все в восторге, я не понимаю почему у него 3,5 балла оценка.   По белью скользит как сыр в масле. Отпаривает все на ура.   В общем вещь отличная.</t>
  </si>
  <si>
    <t>Удивляюсь двум отзывам с недоумением по поводу отсутствия часов. Может быть кого-то это удивит, но это микроволновая печь, а не сотовый телефон или будильник. Здесь часов быть и не должно!  Сама микроволновка отличная. Одна из немногих с нержавеющим покрытием внутри, а среди доступных вообще единственная!  Sharp одна из немногих компаний имеющая опыт и главное умеющая делать качественные микроволновые печи.</t>
  </si>
  <si>
    <t>Хороший кондиционер, действительно тихий! Имеет один минус (для меня существенный)- шторки кондиционера открываются не сверху- вниз, а наоборот снизу- ввверх!!!!  Зачем производители такое сотворили для меня остаётся загадкой. Но поток воздуха в данном кондиционере нельзя полностью загнать наверх((</t>
  </si>
  <si>
    <t>DVD-плеер BLU-RAY Samsung BD-P1600A - аппарат с довольно широкими возможностями, изображение в HD на телевизоре ЖК Full HD смотриться прекрасно, поддерживает очень много форматов, правда через USB вообще не читает с внешних HDD.  Но основной недостаток данного плеера - отсутствие встроенного WI-FI и очень "скользкие" объяснения в руководстве об настройки сети - вообще ни слова о подключении к ПК или ПК к плееру для воспроизведения мультимедиа.  С уважением АА.</t>
  </si>
  <si>
    <t>Класный ноут, супер просто...при покупке сразу сносим висту ставим windows 7...и наслаждаемся</t>
  </si>
  <si>
    <t>2013-09-05</t>
  </si>
  <si>
    <t>Проработал 6 месяцев, теперь ищу новый</t>
  </si>
  <si>
    <t>789</t>
  </si>
  <si>
    <t>Я довольна этой маркой швейной машины, в инструкции все написано, и показано стрелочками на самой машине.Глазки надо открывать.</t>
  </si>
  <si>
    <t>За 1490 руб вполне хорошая рация.    Плюсы:  - сигнал окончания передачи.  - подключение гарнитуры.  - обычные "ААА" батарейки.  - Небольшой размер.    Минусы:  - невнятная работа голосовой активации (продолжает передавать, когда уже молчишь).  - Кнопка передачи голоса "микрик" под резинкой - ощущение что быстро сломается. К тому же совмещена с кнопкой подсветки, спорное решение.    Кстати:  Если одна рация работает хуже другой, то просто смените канал связи, все должно наладится.  Дальность связи не проверял.</t>
  </si>
  <si>
    <t>Купили с мужем Утюг Tefal FV 5116. Выбирали из моделей филипс и тефаль стоимостью от 2 до 3т.р. Остановились именно на этой модели.  Достоинства - все в этом утюге продумано, удобно и функционально, использовать сплошное удовольствие!  Обязательно порекомендую такой утюг маме.</t>
  </si>
  <si>
    <t>Пользуюсь ей уже 5 лет. Чаще для приготовления салатов (в т.ч. капустного - тру на крупной терке, получается как рубленая) и апельсинового сока, но с мясом и рыбой тоже справляется замечательно.</t>
  </si>
  <si>
    <t>Это чудо техники, по всей видимости, собирали пьяные китайцы-инвалиды ночью без света и со связанными руками (да простят меня китайцы-инвалиды за такое сравнение). Все болтается, детали на место при сборке не становятся нормально, рамка помята, причем помята не при транспортировке, а изначально на заводе, а поврежденное место закрашено заводской краской. Пластик тонкий хрупкий и дико воняет, видимо сделано все из переплавленных дешевых китайских игрушек или и того хуже. Спасибо, что хотя бы крутится, правда, со странными звуками и вибрацией по всему корпусу, но воздух пока гоняет, только поэтому не повез это возвращать. Но есть предчувствие, что проработает он не очень долго.</t>
  </si>
  <si>
    <t>Машинкой пользуюсь уже больше года. Шьет отлично. Шила на ней шторы для себя. Хорошие строчки получаются, главное отрегулировать под ткань.Машинкой довольна. Для дома всем советую!</t>
  </si>
  <si>
    <t>Фритюрница Vitek VT-1535 - просто супер!!!! Занимает мало места, есть куда поставить!!!для двоих супер.  Если приходят гости можно сделать картошку фри, картофель по деревенски, курицу,рыбу, а так же фондю!!! всё просто и быстро.  а цена ШИКАРНАЯ))))</t>
  </si>
  <si>
    <t>Машинка просто супер-за такие деньги... Работает тихо, стирает отлично. Советую...</t>
  </si>
  <si>
    <t>Неплохая сушилка за приемлемую цену. Сушит. Купил дешевле, благодаря программе "Нашли дешевле? Снизим цену!"</t>
  </si>
  <si>
    <t>Нам очень понравился этот чайничек. Быстро нагревает воду. Если вода жесткая и появляется осадок-можно спец средством или просто 1 пакетик лимонки - и чайник как новый. Мы купили в подарок. Всем советуем!!!</t>
  </si>
  <si>
    <t>2015-01-19</t>
  </si>
  <si>
    <t>Стильный, из нержавейки, качественный. Не дорогой, запахов нет и мыть удобно. Порадовала длина шнура.</t>
  </si>
  <si>
    <t>2010-02-23</t>
  </si>
  <si>
    <t>Евгений, у меня была подобная проблема на пионере. Просто когда панель откидываешь, там есть контакты, почисти их, смажь графитом (можно простым карандашом потереть), и возможно пройдёт твоя беда! ))</t>
  </si>
  <si>
    <t>Наушники очень хорошие, но через несколько месяцев левый наушник почему-то перестал работать без какой-либо причины, просто так...</t>
  </si>
  <si>
    <t>2013-11-15</t>
  </si>
  <si>
    <t>Купили ее в августе. После первого же использования заржавели нож и решетка!!! В магазине вернули деньги</t>
  </si>
  <si>
    <t>Приобрели эту модель в марте. За пол года работы ни разу не подвела. На первый вид, когда выбирали, боялись что будет массивной (до этого была выдвижная небольшая вытяжка). На самом деле все наоборот за счет стекла, видимо, и вообще внешний вид продуман хорошо. Сделана добротно, рад качеству.</t>
  </si>
  <si>
    <t>1468</t>
  </si>
  <si>
    <t>Я считаю что эта ПСП - самая неудачная. Так как игры на нее можно купить только через PSN. И владельцам старых ПСП свои старые игры перенести туда не получится. Единственное что радует - это габариты и блютуз.    Как приставка она мне не понравилась. И я думаю что не только мне. Не у всех есть Вай Фай поэтому игры на нее смогут приобрести не все.    Но она удалась как медиа плеер. 16 гб памяти и большой экран! Её можно купить вместо какого нибудь айпода и т.д.    Так что я думаю что ее нужно переквалифицировать из приставки в плеер на который можно качать игры от ПСП!</t>
  </si>
  <si>
    <t>3082</t>
  </si>
  <si>
    <t>Компактная, бесшумная</t>
  </si>
  <si>
    <t>Довольны, печет отлично, долго выбирали, девушка консультант предложила эту модель. Спасибо ей.</t>
  </si>
  <si>
    <t>2015-08-14</t>
  </si>
  <si>
    <t>Купили панель 3 года назад. Теперь могу рассказать все + и - этой панели. Из плюсов, у нее не плохой дизайн, расположение  конфорки расположены удобно, (о чем ниже писала уже одна дама), Из минусов-тяжело моется, остаются разводы после мытья приходится полировать))), чугунные решетки со временем заляпываются жиром и не отмываются к сожалению. Поломок не было, с эл. поджигом у нас все отлично, газ контроль работает исправно, опробованно  н раз сыном. В общем модель не плохая.</t>
  </si>
  <si>
    <t>Бритва супер...единственный минус что может быть шнур туговато растягивается, поэтому иногда его не хватает. Качеством бритья доволен (Braun держит марку), триммер на бритве задвинет многие машинки в парикмахерских...сбривает все ровно и без усилий..В общем советую</t>
  </si>
  <si>
    <t>Очень медленная карта</t>
  </si>
  <si>
    <t>Ценовой диапазон около 25000 руб, разрешение 1920х1080 динам контрастность побольше т.к чем больше, тем лучше вытягивает чёрные цвета, диагональ 32" - больше не требовалось т.к живу в квартире расстояние для просмотра равняется: размер экрана умноженная на 3,с поддержкой USB,ну и что б поменьше кушал. Выбор был между Toshiba 32 RV633 DR и Philips 32 PFL 5404/60. Приехав в магазин предварительно записав на флэху мр3,jpg объём флэхи 4гб Toshiba видит флэху не воспроизводит мр3 только jpg, Philips всё Ok, кроме видео не воспроизводит ни в каком формате хотя пишется о mpeg.  Приехал домой подключил к обычной антенне - результат смотришь ту же картинку, что и на трубке только большего размера. Итог можно брать и меньшего разрешения и за меньшие деньги, если нет тарелки т.е цифрового видео сигнала.  О телеке - дизайн на любителя, закругленые формы по краям высокая подставка как инопланетянин в магазине стоял на уровне пояса не обратил внимания. Время включения реально 10 СЕКУНД встроенный усилитель слаб, только для тарелки, реакция на пульт выше среднего у samsunga думаю будет выше и усилок посильнее.СПАСИБО за внимание!!!</t>
  </si>
  <si>
    <t>Пользуюсь этим гаджетом более недели, в принципе по быстродействию и скорости аппарат очень не плох. Единственное, что качество сборки оставляет желать лучшего. Очень некачественно исполнен саббуфер, так что его использование становится просто невыносимым. Память стоит фирмы Samsung PC-8500 с таймингами 7-7-7-20, что достаточно неплохо для ноутбука. Винчестер фирмы Seagate 5400 с буфером в 8 мегабайт. Процессор P8700 с ядром Penryn показывает достаточно впечатляющие показатели. В общем если бы не относительно некачественная сборка и при учете, что цена очень низкая на подобного рода технику, то можно было бы поставить высшую оценку.</t>
  </si>
  <si>
    <t>Плеер очень хороший! Сразу полюбился. Множество функций, приятный интерфейс. Качество звука отличное. В целом очень довольна!</t>
  </si>
  <si>
    <t>Ноутбук отличный, пока проблем не было с ним никаких)))))</t>
  </si>
  <si>
    <t>Пылесос просто супер!!!Уборка с таким пылесосом доставляет удовольствие!</t>
  </si>
  <si>
    <t>У меня он первый, утюг с парогенератором (взял попробовать). Потому и поставил 5. Меня всем устроил, только не удобная заливная горловина и закрутка. Представлю, как работают утюги 4,5-5 Бар и давлением на выходе 110!</t>
  </si>
  <si>
    <t>Купил эту вещь в январе 10-го года. Месяц попользовался...остался очень доволен. И играться можно и с видео поработать в общем относительно цены и качества+производительность хороший выбор. НО есть НО.. Попользовался месяц -ВИНТ умер.. Отнес в сервисный центр М-Видео... Вот к ним то и все вопросы... За 30 дней не смогли поменять винчестер... то у них его нету, то винды у них нет.Сервис в этом отношении ужасный.. неужели за 30 дней такая проблема найти этот самый винчестер.. завтра иду за актом о том, что не сделали..(деньги забирать не буду, возьму такой же ноут) надеюсь повезет..))(гарантию покупал дополнительно)</t>
  </si>
  <si>
    <t xml:space="preserve">Красивый дизайн. 6 розеток </t>
  </si>
  <si>
    <t>2015-08-27</t>
  </si>
  <si>
    <t>Выбирал кофемашину довольно долго. Выбрал Саеко по рекомендации продавца, плюс еще по хорошей акции в Мвидео  на тот момент продавалась. Сравнивать мне не с чем (это моя первая кофемашина), но покупкой доволен. Из преимуществ сразу могу отметить быструю готовность к работе, просто снимается варочная группа, легко чистится и промывается. Кофе получается вкусным, главное, советую не экономить на качестве кофейных зёрен.</t>
  </si>
  <si>
    <t>2483</t>
  </si>
  <si>
    <t>Комп видит только 3 гига (в диспетчере задач см.) надо ставить 64 битную систему.(эйсерцы 32х битную ставят и 6 гигов суют). Видяха 1.5гига,цифровой выход (отличная штука) и все такое но какого она 128 битная и толку от полутора гигов !?   а так если по частям собирать дороже бы вышло одна мать ддр3 сколько стоит. 26к по моему приемлемая цена хотя на сайте рекомендованная цена 24к). диск разделен на 2 части 290 - 290 тоже бы поправил бы 100 - 480 да-да не 640 получается. процессор в принципе не самый последний.   ПО - Антивирус отличный стоит,(McAfee)виндовс медиа бесит, все расширения под себя гребет если изменить, то обратно автоматом вернет, удалить хочу(откатить.   Корпус мне нравится ,когда включаешь его кнопка включения и кнопки открытия дисковода светятся(синии).прямо над дисководом есть крышка, за ней немного пустого пространства (тайник что ли диски в конверте или подобном войдут и остальное барахло:) ).</t>
  </si>
  <si>
    <t>Все очень понравилось. Нагрев поверхностей секундный. Духовка работает просто превосходно. Даже не сомневайтесь, плита Супер!</t>
  </si>
  <si>
    <t>2017-05-03</t>
  </si>
  <si>
    <t>Мощьный, очень много насадок, налюбой вкус цвет и покрытие), длинный шланг(не нужно за собой тащить пылесос), вся пыль оседает в контейнера а не на пылесосе(как у других производителей) очень легко мыть.</t>
  </si>
  <si>
    <t>581</t>
  </si>
  <si>
    <t>Вчера купил и установил. ТВ супер! За такие деньги поставил бы оценку 8! По обычной городской антенне - вопросов нет. Краски насыщенные, яркие, смотрел с 4,5 метров - качество картинки твердая пятерка! Звук отлично! Вчера не успел подключить домашний кинотеатр, поэтому про ДВД пока ничего не скажу. Меню очень простое, доступное и понятное. Есть кнопка возврата каналов. В общем, претензий нет, недостатков тоже нет. Да, я не болен темами типа FullHD и Blue Ray и прочим "супер качеством". Поэтому взял бы еще один, но комнаты кончились куда можно поставить :)</t>
  </si>
  <si>
    <t>Нормальный системник, но все портит перегрев, знал бы не купил.</t>
  </si>
  <si>
    <t>2009-08-20</t>
  </si>
  <si>
    <t>Об этой игре можно рассказывать много, но в общих чертах можно сказать следующее:  Это отечественный FPS/RPG без прокачки игрока, действия которого происходят в недалеком будующем и на основе реально произожедших событий, оргинальность и атмосферность игры завораживает с первого взгляда, графика настолько четко передает обстановку что во-первых привяжет любителей реалистичности игр, а во вторых просто втянет в сющетную линию, которую игрок может по прохождении выбирать самостоятельно.  В общем рекомендую всем кто играл в серию игр HALF LIFE, DOOM 3 ну и конечно же серию игр FALL OUT</t>
  </si>
  <si>
    <t>Плюсы:  1.Хороший вид и прочный корпус.  2.Две сим-просто и удобно переключать.  3.За пол года корпус не потерся(качество пластика)  4.Хороший звук.  5.Батареи хватает на 3-4 дня в активном режиме.  6.Для каждой сим свои обои-чтоб не путаться.  7.Фото-определитель для звонящего.  Минусы:  1.Не сворачиваются приложения.  2.Слабая камера, на 2 не тянет  и отсутствие вспышки.  3.Нет подсветки джостика и основных кнопок (большой минус), в темноте неудобно.  4.Не открываются фотки JPeG.  5.Все игры-демо.  6.Открыть заднюю крышку-надо сильно постараться.  Итог-кому нужен надежный и удобный телефон на 2 сим советую,я телефоном доволен.</t>
  </si>
  <si>
    <t>Через неделю затарахтел кулер, но как мне сказали в СЦ, что в этих моделях такую проблему встретили впервые, скорее всего провод при сборке попал под вентиль, в игры на нём играть сложно, но и главная задача его заключается не в этом )) ещё были сложности при установке ПО, драйверы которые идут в комплекте не подходят, человек потратил часа 2 чтобы установить XP sp3.  В принципе за эту стоимость очень достойная машина, работой доволен.</t>
  </si>
  <si>
    <t>Игра СУПЕР! Покупайте все 5+!</t>
  </si>
  <si>
    <t>Удобный в использовании, мощный, не громоздкий, много насадок, также присутствует насадка для уборки шерсти. Мыть контейнер также удобно и легко. К недостаткам могу отнести лишь то, что фильтры не продаются в магазинах. В остальном - хороший пылесос.</t>
  </si>
  <si>
    <t>Купила недавно. Выбирала  зубную щётку именно с аккамулятором, но не очень дорогую. Очень довольна. С первого применения сразу же виден результат: зубы гладкие, блестящие + массаж дёсен. Очищает весь мягкий зубной налёт, который у меня оставался после использования простой зубной щётки. При чистке зубов необходим минимум зубной пасты. Очень легко ухаживать после использования.</t>
  </si>
  <si>
    <t>Сегодня купил сразу попробовал , нормальный пылесос при заведенной машине лучше сосет , минус это смотка шнура очень хорошо бы, если сделали ее автоматической, а то не как четко не намотать, чтобы защелкнуть адаптер питания и шнур не торчал и лежал плотно, а так в целом пылесосом доволен, думаю лучший выбор из предложенных здесь.</t>
  </si>
  <si>
    <t>Я оставляла отзыв почти два месяца назад и поставила хлебопечке 5 звезд, теперь, познакомившись с ней поближе, понижаю оценку, сейчас объясню, почему.  Печкой пользуюсь активно, хлеб в магазине с появлением печки вообще покупать перестали, пеку хлеб и на свою семью и маме. Т.е. печка используется активно, и прекрасно справляется с загрузкой, но появились и замечания.  1. Рецепты ржано-пшеничного и чисто ржаного хлеба в книге рецептов прилагаемой к печке толи не соответствуют указанным программам, толи вообще писались "на глаз" и никто не проверял их на этой хлебопечке. Т.е. ржаной и ржанно-пшеничный хлеб по ним не получается. Читала форум на хлебопечка.ру - не только у меня не получилось, по моему, вообще ни у кого.  2. Из первого вытекает второй пункт: среди 15 стандартных программ нет приемлемой программы для ржаного хлеба.  3. Запрограммировать такую программу тоже не получается, т.к. нет возможности сделать программу с длительным подъемом теста без обмеса, максимальный время подъема перед первым обмесом теста всего 1 час и больше сделать нельзя - для темного хлеба этого мало. Приходится пользоваться двумя программами, т.к. через час либо надо ставить выпечку, либо ставить обмес, а он вообще не нужен для темного хлеба, т.е. выпечка ржаного хлеба без вмешательства через 80-90 минут невозможна, приходится караулить момент, чтоб переключить на другую программу, тем самым, продлевая подъем теста. Толи дело белый хлеб, поставил на ночь с отсрочкой, утром - свежий хлебушек к пробуждению.  4. В программах, которые можно запрограммировать самостоятельно не меняется вес буханки (только максимальный) и цвет корочки (только средняя) - это неудобно.  Думаю, производителям, которые так вложились в дизайн, стоило бы поработать над стандартными программами и добавить в них пару реальных (!!!) рецептов для темного хлеба, сделать более пластичным программирование, решить вопрос с люфтом ведерка, за все это добавить 1000-2000 рублей, но сделать печку совершенной, я бы купила ее и за такие деньги, а пользовалась бы с большим удовольствием.  Это были минусы, теперь плюсы:  1. Конечно дизайн.  2. Простота выпечки белого хлеба.  3. Наличие диспнсера.  4. Сенсорные кнопки - протер верхнюю панель и она сияет, не приходится выковыривать из кнопок муку)))  5. Ревизионное окошечко и подсветка в любой момент.</t>
  </si>
  <si>
    <t>1035</t>
  </si>
  <si>
    <t>Отличный блендер, прекрасно готовит коктейли, смузи , лед и даже фарш! Следующий поход в магазин - хлебопечь BORK</t>
  </si>
  <si>
    <t>Купил 2 года назад, сначала домой, т.к. нет открытых лопастей о которые могут пораниться дети. Через 3 дня купил второй на дачу...через ещё три дня купил третий на работу. Насчёт поскрипывания при повороте, не было. Может ставят не ровно. Жена называет его мини кондиционер. Советую всем. Воздух гонит мощно, но без напряга.</t>
  </si>
  <si>
    <t>2225</t>
  </si>
  <si>
    <t>Если чисто музыку  слушать, то нормально. Действительно управление плеера тормозное, качество звучания среднее. Постоянно приходится нажимать несколько раз на кнопки (периодически не срабатывают с первого раза). Звук опережает видео и на многооооооо-почти в 2 раза. Правда, если при конвертации поставить самое низкое качество, то все нормально, но не всегда. Плеер довольно хрупкий и видимо предназначен в основном для девушек. При усиленном нажатии на кнопки экран немного искажается( словно вы на сам экран нажимаете). Батарея держит слабо, про нее уже написано. Возможно мне просто брак попался(брал за 1690). Если все таки собрались покупать эту модель, перед покупкой обязательно проверьте как работает плеер. Я обменял его на Плеер MP3 Flash 8 GB teXet T-860 (8Gb)-отличная модель.</t>
  </si>
  <si>
    <t>Купил 3 дня назад. В целом доволен и звуком, и изображением.  Огорчила работа пульта ДУ - очень задумчивый. Чтобы добиться входа в меню приходится нажимать кнопку и удерживать или нажимать дважды...  Дело не в батарейках(поменял на новые, приличного качества) и не в конкретном пульте - сегодня заехал в ближайший М-видео, посмотрел другой экземпляр - эффект тот же.  Расстроила функция сортировки каналов - очень неудобно организована.  Как вариант ТВ на кухню, за такие деньги, рекомендую.</t>
  </si>
  <si>
    <t>Очень сильный шум и фон в трубке: и при разговоре, и при его отсутствии (когда идет просто ответ станции). Считаю это недопустимым недостатком, даже невзирая на небольшую цену: можно как угодно урезать функциональность телефона, но качество звука при этом должно быть хорошим. Буду сдавать.</t>
  </si>
  <si>
    <t>не пожалел что купил, отлично бреет!!!</t>
  </si>
  <si>
    <t>Хорошая штука. Оч. нравятся делать бутеры получаются хрустящие и сыр отлично плавится, вафли делали всего пару раз, но тоже выходят хорошо. Нагревается равномерно.</t>
  </si>
  <si>
    <t>1329</t>
  </si>
  <si>
    <t>Нормальная флешка. Использую больше месяца. Из достоинств - быстрота, симпатичный дизайн, небольшой размер. Недостатков пока не замечено.</t>
  </si>
  <si>
    <t>Купил себе в подарок данный нотик! Привлек ценой и характеристиками. На данный момент пока лучшего предложение не встречал. В любом интернет-магазине он стоит дороже. Кроме того, в Мвидео еще и карточку дали на 5 рублей. Кто хочет вложить средства и быть уверенным, что ноутбук через 3 месяца не подешевеет - советую присмотреться к этой модели. windows 7 просто летает. На ноутбуке качественная матрица и изображение выше всех похвал! Смотрел фильмы РВ 1080 - все гладко работает. Клавиатура удобная. Звук очень хороший.  За такую сумму  лучше не найти (27990). Всем советую. Д.</t>
  </si>
  <si>
    <t>Купил сегодня, всё отлично работает, а самое главное быстро, без задержек!!! Всем советую, покупайте, ни на секунду не пожалеете!!!</t>
  </si>
  <si>
    <t>2016-10-25</t>
  </si>
  <si>
    <t>Оригинальный, не кондиционный товар</t>
  </si>
  <si>
    <t>2017-07-25</t>
  </si>
  <si>
    <t>Если то что работает как и должна это плюс, то работает как и должна</t>
  </si>
  <si>
    <t>1881</t>
  </si>
  <si>
    <t>полноценный юсб лучше чем мини, мини с собой не всегда есть а юсб есть везде</t>
  </si>
  <si>
    <t>Это просто жалкий обмылок, потратил 10 минут, пробовал как на сухую так и влажное бритье - можно 30 раз провести по одному и тому же месту, и результата ноль. Шляпа короче, завтра понесу обратно.</t>
  </si>
  <si>
    <t>Оказался очень неудобным. Разочарован.</t>
  </si>
  <si>
    <t>2633</t>
  </si>
  <si>
    <t>Автопылесос от именитого производителя электроинструмента Black and Decker. При первом взгляде имеет оригинальный и удачный дизайн, качественный, на ощупь, пластик, доп. насадки одеваются и снимаются без усилий, причем маленькая насадка-щетка спрятана в корпусе под открывающимся соплом пылесоса. Шнур достаточной длины для свободного перемещения по салону авто при уборке, штекер в из гнезда прикуривателя не вылетает, если не дергать за шнур конечно. Мощность всасывания приемлемая, для уборки пыли и незначительный загрязнения песка и др. мелкого мусора в салоне. Достаточно легко снимать и чистить фильтр. По цене данный аппарат выше менее именитых своих конкурентов из "поднебесной" скорее из-за бренда Black and Decker. Считаю данный  автопылесос удачной покупкой, а там время покажет!</t>
  </si>
  <si>
    <t>Нигде нет фильтров на борк 5920  Даже по всей москве, а при продаже говорили, что фильтр купить нет проблем. Теперь стоит агрегат в углу и пылится.....</t>
  </si>
  <si>
    <t>665</t>
  </si>
  <si>
    <t>Ребят, купила и очень рада!!! Довольна сама и дома довольны!! быстро разобралась в меню, легкодоступен!   ВОПРОС: как настроить стерео звук? при переключении каналов показывает моно.. почему?? помогите!!</t>
  </si>
  <si>
    <t>1) На фото кажется серым. Это иллюзия, на самом деле внутренний блок идеально белый. Внешний - светло-серый.  2)Внутри собран хорошо. Сборка турецкая, компрессор и электроника корейские, пр-во LG.  3) Работает тихо. Охлаждает / обогревает "на ура". Отличное соотношение цена/качество.</t>
  </si>
  <si>
    <t>2640</t>
  </si>
  <si>
    <t>Классная бритва, жена подарила на день рождение. Кожу не раздрожает в то же время очень мощная. С аккумулятором наверное повезло, пока не подводил. Спасибо жене!</t>
  </si>
  <si>
    <t>452</t>
  </si>
  <si>
    <t>Купил вчера данный монитор, все настроил, изображение хорошее. За такую цену такой товар советую.</t>
  </si>
  <si>
    <t>Ребят купил неделю назад играл в лицухи форзы 3 а сейчас 3 красных лампочки горят , что делать?  тебе чо хенон или зефир подсунули?? :) ладно к делу сдай по гарантии в магазин тебе должны его или заменить или денги отдать если это не ты напортачил(экспертизу проведут),  который сейчас продаётся в Мвидео, он намного качественнее чем Slim версия (посмотрите ролик, где мужик её разбирал) и Slim версия не прошивается.  во первых прошивается,во вторых надо джаспер брать т.к гарантия  микрософт 3 года ,а у слимки 1 год :)</t>
  </si>
  <si>
    <t>Хочется сказать об этом чайнике хорошее. Нам подарили его в 2005 году, такой же есть у бабушки и у тети (только разного цвета). Очень удобен в обращении, автоматически отключается при закипании и при открывании крышки. Мне очень нравится. А самое главное, что эти чайники не дешевеют. Не знаю, какие они сейчас, но нам попались отличные.</t>
  </si>
  <si>
    <t>Красивый, качественно собранный аппарат, корзинка для заварки на магните, тихий, есть дисплей, много режимов, отложенный старт, удерживает температуру после приготовления.</t>
  </si>
  <si>
    <t>В принципе плеер нормальный, взял недавно, особых проблем с ним не возникало, единственное что раздражает, то что, каким то образом отказывается читать некоторые картинки, также как и фильмы(хоть типа и форматы поддерживаются)...и самое раздражающее(в темноте), то что сенсорные кнопки мигают, а не постояно работают.</t>
  </si>
  <si>
    <t>Пользуюсь этой кофемолкой больше года. Удобная съёмная чаша, большая кисточка. Кофе перемалывает быстро, помол равномерный.</t>
  </si>
  <si>
    <t>Сгорел при втором включении в розетку.начал взбивать яйца с молоком и пошел дым. просто ужас. Не советую никому.</t>
  </si>
  <si>
    <t>2016-07-29</t>
  </si>
  <si>
    <t>Отличный эпилятор! Делать эпиляцию с ним совсем не больно за счет шариков и холодного обдува. Есть подсветка, которая очень помогает. Все насадки можно мыть. Именно я часто использую насадки для бикини, поэтому для меня важно их наличие. В общем работает на 5+</t>
  </si>
  <si>
    <t>Замечательный чайник за свои деньги :) пользуюсь больше года. Из недостатков - нет светового индикатора.</t>
  </si>
  <si>
    <t>Вчера  купил    телик   С10   Просто  супер!   Изображение   МОРЕ!  Звук  Идеальный!   Всем  Рекомендую  Настоятельно   Только   С10   Сборка  ЧЕХИЯ!!!!!!!!!!</t>
  </si>
  <si>
    <t>Пользуюсь уже три месяца. Сынулька помогает эксплуатировать - гоняет NFS Shift. На максимальных графических установках-всё без тормозов. Машиной доволен в целом.. Правда с жестким диском было тяжеловато бороться,пока подсоединил скрытый раздел, не понимаю,зачем они его так разбивают.. Да и система после переустановки Винды стала работать получше,были мелкие глюки...</t>
  </si>
  <si>
    <t>Весы отличные, просто нужно правильно ими пользоваться!  Им необходима опорная плита, например, одна керамическая плитка от пола. И поверхность должна быть строго горизонтальной. Тогда вес отображается точно. Хотя я бы купил сейчас, например, тефаль с опорной плитой, удобнее.</t>
  </si>
  <si>
    <t>611</t>
  </si>
  <si>
    <t>Телефон купили неделю назад, вроде все устраивает. Не можем настроить определитель номера с первого звонка, номер звонящего определяет после 3 звонка, приходиться ждать чтобы посмотреть звонящего, это очень не удобно, особенно если находишься возле трубки.</t>
  </si>
  <si>
    <t>Купил за 9990,по акции в феврале.Единственный минус-слабоват аккумулятор.В остальном претензий нет.Работает идеально,грузится быстрей домашнего компа.Игры не ставил,поскольку не для этого он предназначен.Интернет по WI-FI без каких-либо тормозов.Удобная клавиатура.Экран яркий ,четкий.Вентилятор тихий,практически не слышно.В общем ,только положительные эмоции.За такие деньги идеальный выбор.  P.S. Денису(Челябинск)  Atom N270 все-таки одноядерный,как уже здесь писали ,но работает очень шустро.</t>
  </si>
  <si>
    <t>Монитор на 5+</t>
  </si>
  <si>
    <t>1930</t>
  </si>
  <si>
    <t>Хорошая сетка, на бритве отработала лет 10, потом износилась и порвалась.  В общем, претензий по качеству нет.</t>
  </si>
  <si>
    <t>+ Большой объем 2,2 литра, иногда и больше наливаем и все равно вскипятит  + Ручка не нагревается  + Индикатор синего цвета, особенно в темноте классно выглядит  + Уровень воды видно хорошо, на пол чайника  + Для большого чайника, не очень шумный и вскипает быстро  - Иногда пахнет пластмассой  - Крышка металлическая нагревается, когда нужно наполнить еще раз после нагрева можно обжечься  - При дневном свете, плохо видно уровень воды через матовую поверхность уровня воды</t>
  </si>
  <si>
    <t>Долго выбирал чайник. И остановился на этой модели. Чайник понравился. Запаха химии из чайника ноль. Что очень обрадовало после вонючего Брауна, который вернул в магазин. Работает очень тихо. Корпус сделан на совесть. Всё хорошо подогнано и без заусенцев. Так же порадовала цена. Вообщем чайником доволен.</t>
  </si>
  <si>
    <t>Купили вот такую машинку 2 года назад (точное наименование модели не помню, но это тоже был "турецкий Бош" с такими же параметрами). Купили в магазине "М-Видео" на Савушкина.  Мне нравятся изделия фирмы "Bosch", и цена устроила.  Наша машина не разу не ломалась (слава Богу), стирает хорошо, все необходимые функции присутствуют. Она практически бесшумная. Никакого ухудшения качества работы за 2 года мы не заметили. Недостаток замечен один - не всегда хорошо прополаскивает, приходится включать дополнительное полоскание. Впрочем, я такого не заметила, это мама критикует.  Рекомендую этот товар всем, кому нужна просто надежная стиральная машина, без "наворотов" и излишних сложностей в обращении.</t>
  </si>
  <si>
    <t>Приобрёл пару месяцев назад, так как дом находится рядом с дорогой и постоянно дома какая то сажа и пыль, дышать не выносимо было. В магазине много моей но меня привлекла именно это, необычный дизай он мне приглянулся сразу, продавец очень подробно мне описал все функции и я остановился именно на этой модели. После 2 недель использования пыли в доме стало гораздо меньше, самое что приятное это ночной режим, теперь засыпаю быстро, действительно в доме воздух загрязнён, когда сливаешь воду она чёрная..Мойка оправдала себя полностью. Доволен очень!</t>
  </si>
  <si>
    <t>1071</t>
  </si>
  <si>
    <t>Очень хорошее качество диска, диск очень интересный! MJ-forever!*</t>
  </si>
  <si>
    <t>2016-12-22</t>
  </si>
  <si>
    <t>Качественный товар!!!</t>
  </si>
  <si>
    <t>Приятно удивил тем (даже сильно удивил), что выдувает воздух, прохладнее забираемого. Дует хорошо и прохладно в радиусе 1,5 м. Минусы: не очень приятные звуки, когда он работает в режиме вращения, щелчки в одном месте; пошатывает его малость при вращении - но это не сильная проблема.</t>
  </si>
  <si>
    <t>Купили этот термометр три года назад. Используем и во время купания ребенка, и ставим в детскую комнату. Играем и даже грызем его во время купания. Безопасно, удобно и эстетично!</t>
  </si>
  <si>
    <t>Комп слабый. Половину игрушек не тянет</t>
  </si>
  <si>
    <t>Сначала приобрели, а потом почитали отзывы. Расстроились, что купили кота в мешке. Проблема вся в том, что продавцы навязывают тот товар, который им выгодно продать. Никогда не верьте им.Камерой довольна, но не то, что обещали. Они совершенно не компетентны. Когда не знают что сказать, просто врут. Скажу честно, у нас есть не очень дорогой цифровик(7-8 тыс.руб.) и видеозапись в нем  лучше чем в камере, отличие только в звуке. Возвращать конечно не будем, но если бы пришлось сейчас выбирать, то однозначно не взяли бы.</t>
  </si>
  <si>
    <t>отличная машинка!!!!к сожалению нам не дали ее в кредит</t>
  </si>
  <si>
    <t>При переключении на канал которого нет (ну просто неполадки на кабельном) остается зависшая картинка предыдущего канала. Кто-нибудь еще замечал нечто подобное или это тока у меня. Заранее спасибо.</t>
  </si>
  <si>
    <t>минусы - греется чуть-чуть и не такой уж безшумный, батарея не прочно крепится. в остальном недостатков не выявил. пользуюсь 4 мес. легкий, корпус из приятного материала, не такой маркий как ожидалось и достаточно прочный. экран радует размерами. клавиатура также порадовала. без зарядки - набор текста + wifi интернет в среднем работает 4-4.5 часа. при серьезной нагрузке около 2ч.  отличное соотношение цена - качество!</t>
  </si>
  <si>
    <t>Работает в гараже, включаю каждый день машинку на прогрев. К моему приходу, как раз до нужной температуры прогревается и заводится с пол-оборота. При окружающей температуре таймер -25 работает нормально - проверено, даже ЖК дисплей. Покупкой доволен.     На выходные время прогрева другое стоит - удобно. Всего можно 8 различных пар включения/выключения поставить. Мне хватает, хотя не отказался бы от большего количества.</t>
  </si>
  <si>
    <t>2772</t>
  </si>
  <si>
    <t>Очень хороший увлажнитель. Пользуюсь им около 6 месяцев. За это время аппарат показал себя только с хорошей стороны. Правда первое время работал постоянно(но это и понятно, ведь дома паркет и много мебели, которая очень влагу любит! В основном использую режим \"авто\</t>
  </si>
  <si>
    <t>1237</t>
  </si>
  <si>
    <t>Да фотик хороший, особенно для новичков в этом деле. Жалко только зарядника нет. А так можно подстроить под себя и жить себе радоваться....</t>
  </si>
  <si>
    <t>1909</t>
  </si>
  <si>
    <t>Не шумит, не греется, не тормозит, не светится ночью, как новогодняя елка! Я рад, три ядра, видео 512Mb+1G, привод не тупит. Цена отличная. Просто эйфория.</t>
  </si>
  <si>
    <t>Купил монитор, вполне очень доволен,за такую цену с такими характеристиками круче не найти!  вот только проблема: в некоторых настройках монитор требует программу ForteManager установленную на компьютер.........а где взять ее не знаю.......  монитор супер   стоит купить.....</t>
  </si>
  <si>
    <t>2016-03-10</t>
  </si>
  <si>
    <t>У меня дочка школьница, и само собой ее гиперактивный образ жизни приводит к тому, что ногти находятся в ужасном состоянии. Пробовала отвести ее к знакомой маникюрщице, но разве затащишь ее куда-то. Решила купить набор нормальный чтобы дома ей ногти в порядок приводить. Сначала ломалась, но сейчас привыкла. А теперь вообще подарила ей его и она сама заимается красотой ногтей) нравится что насадки не ранят нежную кожу на пальцах, да и насадок самих много. Теперь хоть салон на дому открывай!!</t>
  </si>
  <si>
    <t>ОЧень громкий - сильный шум при нагревании с первых же секунд после включения! Отработал всего ничего, а нагревательный элемент уже покрылся налётом и какими-то пятнами! Хотя воду из фильтра наливаем. Лично для меня минусом является ещё и то, что минимальный объём кипячения 700 мл, т.к. нет желания каждый раз кипятить почти литр, если хочется всего чашечку горячего чая. Несоответствует своей ценовой категории! Из плюсов только дизайн и зарекомендовавший себя бренд.</t>
  </si>
  <si>
    <t>Дорогой ИВАН, может у вас системные требования не подходят?</t>
  </si>
  <si>
    <t>1927</t>
  </si>
  <si>
    <t>Оценка 4 в сторону 5ки. Минус то что глуповата - северная корея захватила штаты (надо ж такой бред). Визуально смотрится хорошо, выбор оружия средне-хороший, мульт не гонял - оценить не могу. Местами слишком аркадна,и,  да, меня уже достали игры где ты не один, а все время с тобой какие-то чувачки с искусственным интеллектом помогают - они не мешают в игре.</t>
  </si>
  <si>
    <t>Купили пылесос неделю назад. Не ожидала, что дома окажется столько пыли. При первой чистке мыла контейнер после каждой комнаты. Теперь одного набора воды хватает на всю квартиру, и грязи гораздо меньше. В квартире становится заметно чище. Очень удобно, что все насадки прячутся в сам корпус и легко достаются-убираются-меняются. В дополнение к пылесосу, по совету продавца, купила турбощетку (в комплект не входит) - очень удачно они на пару (пылесос с турбощеткой) справляются с уборкой! Наведение порядков превратилосьв удовольствие.</t>
  </si>
  <si>
    <t>2017-02-03</t>
  </si>
  <si>
    <t>Цена. Большой стакан для помола. Металлический корпус. Длинны провод от сети.</t>
  </si>
  <si>
    <t>2226</t>
  </si>
  <si>
    <t>2014-06-25</t>
  </si>
  <si>
    <t>Интересный дизайн, удобный пылесос за счет наличия разных насадок, штекер не выпадает, шнур длинный - дотягиваешься до багажника без проблем, сосет прилично, отключается через 30 мин работы, стильный и вместительный чехольчик =))</t>
  </si>
  <si>
    <t>Обошла перед покупкой много магазинов и десятка два плит пересмотрела и перещупала, но в итоге остановилась на Бош, европейское качество все-таки неплохо котируется) Плита достаточно удобная, краники конфорок расположены спереди, а не сбоку - так легче температуру регулировать, все под рукой, а с боковушками пока дотянешься - суп убежит) Непривередливая к посуде, что тоже очень немаловажный плюс - можно даже старые чугунные гусятницы и сковородки советского производства ставить, решетка от них не страдает и места полно между конфорками, чтобы все это дело нормально разместить) Решеточка, кстати, очень легко снимается и хорошо становиться обратно на свое место. Конфорки всегда зажигаются шустро, ни разу еще не было задержек, 1-2 секунды - и готово) Радуюсь неимоверно, что выбрала ее в черном цвете, очень легко ухаживать за такой, с белой плитой даже не сравнить ни по времени чистки, ни по затраченным усилиям)</t>
  </si>
  <si>
    <t>Это реально супер вещь   Игра, можно сказать, интерактивное кино, каждый раз сюжет разный  Консоль тоже очень крутая вещь для игр  Буду брать на следующей неделе</t>
  </si>
  <si>
    <t>Результат превзошел все ожидания!Дети в восторге! Я еще не видела чтобы с таким удовольствием ели блины! Ели с джемом,сметаной, маслом,медом; блинчики получаются тоненькие, есть лучше сразу горяченькими.С отмыванием проблем нет,противни съемные, моются легко, да особо отмывать нечего, если аккуратно разливать тесто. Вообщем,отличная вещь,рекомендую особенно семьям в которых есть дети.</t>
  </si>
  <si>
    <t>3040205</t>
  </si>
  <si>
    <t>3156</t>
  </si>
  <si>
    <t>2016-08-11</t>
  </si>
  <si>
    <t>Наконеееец могу спокойно играть в свой ПСП где угодно, не только дома. А то когда в транспорте гамал постоянно эти звуки все шарахались смотрели косо. Сейчас просто подключаю эти уши и все, погружаюсь полностью в игру. Тут вообще такой частотсный диапазон я в шоке был, самый малейший шумок в игре ощущается, и все нереально динамично. Кстати вот эти наушники не выпадут в самый разгар игры из ушей, тут даже специально дают два комплекта этих насадок мягких чтобы можно было под свои уши подобрать пару. Прикольно и то что я могу даже в них музыку слушать подключив к своему айфону пятому. В общем все круто!</t>
  </si>
  <si>
    <t>Вот уже прошла первая стирка! очень радуюсь и качеству и дизайну! шумов нет! всем советую и не будете жалеть!</t>
  </si>
  <si>
    <t>Хороший чайник из нержавейки при этом легкий и удобный. Запаха пластика нет тк нет и пластика, контактирующего с водой.Мне пришелся по вкусу.</t>
  </si>
  <si>
    <t>доволен!занимает мало места, отлично работает.особенно порадовал ионизатор воздуха и таймер.</t>
  </si>
  <si>
    <t>Недорогой, удобный в использовании, эффективный, длинный шнур.</t>
  </si>
  <si>
    <t>не могу сказать что очень громкая, у кого громко работает - просто подкрутите ножки, чтобы стояла ровно. управление простое, стандартное. вообще стирает без нареканий.</t>
  </si>
  <si>
    <t>искусственное усиление басов, звук никакой, уши болят...единаственный плюс - цена, но на ушах экономить не надо!</t>
  </si>
  <si>
    <t>2962</t>
  </si>
  <si>
    <t>Где-то 2 месяца назад, оч нравится, но немного огорчило то, что кнопочка для блютуза есть, а самого его нет.  А так идеальная машина))</t>
  </si>
  <si>
    <t>2013-09-12</t>
  </si>
  <si>
    <t>Очень плохая, за 2 года устала ремонтировать....тэн. подшипники. шум.....</t>
  </si>
  <si>
    <t>Хуже чайника я не видела.Как такая солидная фирма выпустила такой товар?  Из носика все льется мимо чашки,вода остывает моментально,так как крышка сделана из очень тонкого пластика,которая еще и деформировалась.А если нагревать чайник с небольшим количеством воды,то он очень долго не отключается.Фактически он не нагревает воду,а варит ее.Не стали мучиться,купили чайник другой фирмы,теперь жалеем,что не сделали этого раньше.</t>
  </si>
  <si>
    <t>2928</t>
  </si>
  <si>
    <t>Купил этотужас, готовить не возможно, термостат срабатывает не успевая приготовить еду ,горсть картошки готовишь минут сорок, так как отключается все время, получается обычная картошка ,сырные шарики не получаются вообще, не фритюрница, а мучение, не стоит свои денег, лучше переплатить не так уж много взять получше.</t>
  </si>
  <si>
    <t>Отличная кофемолка во всех отношениях: качество, дизайн. Удобна в использовании. Приобрела вместе с кофеваркой Bosch. Очень довольна.</t>
  </si>
  <si>
    <t>Реально ужас какой-то.Ладно хоть в подарок досталась,денег не тратил.</t>
  </si>
  <si>
    <t>Покупкой довольна ! Сушит хорошо.Фен очень легкий,удобно держать в руке.</t>
  </si>
  <si>
    <t>Колонки подходят для дома, чтобы нормально слушать музыку. Но у меня с ними возникла проблема через 5-6 месяцев после покупки, правая колонка стала играть на ~50% тише. Сейчас буду менять по гарантии. СЦ официального в РФ нет, поэтому МВидео сказали, что поменяют, если действительно подтвердиться дефект.</t>
  </si>
  <si>
    <t>Отличный пылесос! Сначала он мне не понравился: шумный, большой по размерам. Но все изменилось после уборки: собрал все волосы и шерсть в доме, нет пыли после уборки! Контейнер моется без проблем (по сравнению с другими пылесосами).</t>
  </si>
  <si>
    <t>Производители явно себя недооценивают!!! В инструкции написано - воспроизведение музыки на одном заряде аккумулятора до 22 часов, видео - до 5. На самом деле на первой зарядке (той, с которой покупала в магазине) пахал двое суток (!!!) практически без остановки (хотела побыстрее разрядить батарею, чтобы произвести нормальную зарядку). И видео, и радио, и телик, и музыка - жгла экран нещадно - не садится аккумулятор и все тут!  Чуть неудобно сенсорные кнопки, на которых длительное и кратковременное нажатие на одну и ту же кнопку имеют разные функции, да еще и без подсветки, но рука быстро привыкает - буквально за час освоилась.  ловит без проблем (в Москве в квартире) каналов больше и лучше, чем телевизор с комнатной антенной!!!  Наушники в комплекте многие ругают, а я вот считаю, что они вполне даже. Конечно, нет пределов совершенству, кому-то и синхайзер недостаточно хорош покажется. А мне и те, что в комплекте, прекрасно подошли, ущемленной себя не чувствую.  Соотношение "цена-качество" - выше всех похвал!!! Телик, радио, видак, аудиоплеер, электронная книга, usb-накопитель, часы, калькулятор, цифровая мини-фоторамка)))) и еще куча всякого разного - и все это меньше чем за 3000 рублей - это сказка!!! Не знаю, может ли это удовольствие стать еще дешевле, но я давно следила за динамикой цен на эту прелесть и наконец решила - брать надо сейчас.</t>
  </si>
  <si>
    <t>Фен отличный, пользуюсь года 4. В постоянном использовании. Плюсы: щетка с покрытием, не пересушивает, падал и не ломался. Пользуюсь только большой насадкой для объема - держит весь день без лака и прочего. В руках приятно держать. Минус только один: вовремя удалять волосы в задней части фена (прощелины для выхода воздуха). Отломала одну полосочку в прощелинах и добираюсь длинным пинцетом. И иногда убираю пылинки в месте нагрева воздуха. Эти минусы могут быть с каждым феном.</t>
  </si>
  <si>
    <t>1907</t>
  </si>
  <si>
    <t>хороший телек за смешные деньги  выбирал между филипсом, панасоником . сони и LG (самсунг вообще не вариант слишком много просят за марку, хотя ничем не лучше их телеки)    (цена выбора телеков в районе 25000 - 35000 руб)    филипсы оказались хуже: нет юсби , нету 1920 на 1080 ( на некоторых написано, что держит, но это уловка в инструкции написано 1360x768 при подключении к ПК или HDMI) , слабенький тюнер , стоят дороже , бедность разьёмов подключения ,картинка по хуже на них    панасоники тоже не выбрал : нет юсби , плазмы едят раза в 2 приблизительно больше электроэнергии максимум 400-500 ват/час ,также не на всех моделях поддерживается 1920 на 1080 (только те которые дороже 32ооо руб) , также не слишком богатые интерфейсы подключения , по качеству картинки может на немного лучше LG , но на свете ярком плоховато видно изображение     сони можно сказать тоже самое что и филипс:: нет юсби , нету 1920 на 1080 ( на некоторых написано что держит но это уловка в инструкции написано 1360x768 при подключении к ПК или HDMI) , слабенький тюнер , стоят дороже , бедность разьёмов подключения ,картинка по хуже на них , битые пикселы  находил на них в разных магазинах , дизайн не очень    LG --- неплохой телек . приемлемая контрастность , текст читать плохо глаза устают,для игр ( 60 кадров/сек 1920 на 1080) и фильмов пойдёт , цветопередача нормальная, но контрастность не самая лучшая , халявный проигрыватель фото видео аудио при разлочке USB , не плохой набор разьёмов подключения , хорошие кодеки видео читает практически всё , сносная картинка эфирного ТВ (не хуже чем у других телеков), хорошая кабельное ТВ , хорошие углы обзора ,прилипает пыль , глянцевая поверхность (следы от рук остаются), задняя стенка слабенькая прогибается если вешать на стену ,почти все разьёмы сзади и парочка с боку    простота активирования USB -халявный медиапроигрыватель  получаем</t>
  </si>
  <si>
    <t>2941</t>
  </si>
  <si>
    <t>мультиплеер совершенно не понравился! но компания шикарная ,для тех кто не очень много времени уделяет мультиплееру а предпочитает проходить компания будет идеально .ваабше я встречал мало игр на которые уделил время с удовольствием но во время прохождения этой игры я не мог оторваться от экрана!!!!!</t>
  </si>
  <si>
    <t>Работает как часы.Молола даже семечки ,кунжут и бобы какао.Ничего не сломалось.За такую не большую цену,приобрела не плохую кофемолку.</t>
  </si>
  <si>
    <t>2017-03-01</t>
  </si>
  <si>
    <t>Отработал 8,5 лет. Без малейших проблем.</t>
  </si>
  <si>
    <t>2422</t>
  </si>
  <si>
    <t>Всем привет. Пару дней назад приобрел данное произведение искусства. Скажу сразу машинка сногсшибательная.  Этот ноутбук достойный показатель соотношения цены с качеством.     P.S. Не обрашайте внимание на ниже написанную критику. Бук самый лучший.</t>
  </si>
  <si>
    <t>3091</t>
  </si>
  <si>
    <t>Отличная плитка! Только 34*44*9 см - это размеры упаковки.</t>
  </si>
  <si>
    <t>Вот привезли машинку. Устанавливается легко, если было нормальное соединение предыдущей. До этого была зануси, проработала 7 лет. Надеюсь эта перебьет рекорд. Сейчас поставила на первую стирку, по внешнему видам и начала недоставка не вижу.   1. Барабан действительно сотовый довольно интересный, что и есть функция Даймонд.  2. 2Н это 2 часа или оболее 2 часов. Так что с таймером все в порядке.  про отжим не знаю, или у меня и предыдущая громкая была, но по моему вполне нормально отжимает.   При включении сначала испугалась когда она начала в пустую прокручивать барабан без воды, только потом поняла что это она равномерно распределяет белье.   Пока довольная. Если будет что не так обязательно напишу.</t>
  </si>
  <si>
    <t>Вышел из строя примерно через год использования. Как разобрать фильтр до сих пор не понял. Винтов крепления нет.</t>
  </si>
  <si>
    <t>470</t>
  </si>
  <si>
    <t>Купили в подарок маме в августе. Мама была восторге, но на прошлой недели поверхность плиты дала трешину в трех местах плюс провалился кусок керамики вниз. И вот теперь сидим и ждем что нам ответят в сервис центре.</t>
  </si>
  <si>
    <t>Были у меня такие,очень хороший звук! Но есть один недостаток - без поролоновых амбушюр они уже так сочно не звучат и плохо держаться в ушах(сменил несколько амбушюр за время пользования). Продержались два года, сломались по моей вине (дернул случайно сильно провод). Цена более чем подходящая, а звучат они на много дороже.</t>
  </si>
  <si>
    <t>1590</t>
  </si>
  <si>
    <t>Explay T7 просто потрясающий плеер! Ни разу не пожалела, что приобрела его!</t>
  </si>
  <si>
    <t>Пользуемся этой соковыжималкой уже года 3. Я довольна, единственное-отвалилось крепление, но я приспособилась без него. Она компактная и легко моется. Плюс-можно выжимать и цитрусовые.</t>
  </si>
  <si>
    <t>Станция неплохая, если работает исправно. Крупные цифры, устойчивая синхронизация по времени. Достаточно точный прогноз по погоде и показания температуры. Но та же проблема что и у Катеринки. После четырех месяцев работы станция стала показывать влажность в помещении 2%, а это уже серьезные претензии к качеству прибора.</t>
  </si>
  <si>
    <t>Первый раз, запуская этот диск, я не мог ожидать от этой игры такого чуда !     Она буквально затянула меня своей динамикой, хорошо прорисована, отличное управление на выбор старое как на SEGA две кнопочки пас/удар, и многоуровневое, где задействовано много кнопок.     Игра тем более интересна, когда играешь вместе с друзьями, можно устраивать целые турниры.       Отличный выбор для всех возрастов.</t>
  </si>
  <si>
    <t>Телевизор - просто супер, качество изображения шикарное, звук четкий, с флешки прекрасно воспроизводит фильмы, мне очень нравится, не жалею, что приобрела.</t>
  </si>
  <si>
    <t>2177</t>
  </si>
  <si>
    <t>"Подарила" сама себе на день рождения сэндвичницу, ни разу не пожалела) теперь любимые бутербродики получаются куда вкуснее и интереснее. Прекрасно все пропекает, сыр не вытекает, а сохраняется плавленный внутри сэндвича... Объедение. Даже при первых использованиях никаких странных привкусов не ощущалось.Долго уже достаточно пользуюсь и часто - никаких проблем не было, да и цена вполне адекватная.</t>
  </si>
  <si>
    <t>Не очень довольны данным блендером. Купили в начале августа того года,а уже в январе снесло резьбу, мощности тоже маловато. Очень люблю технику Тефаль, но не советую никому брать данную модель.</t>
  </si>
  <si>
    <t>952</t>
  </si>
  <si>
    <t>PS3-очень класная приставка!!! На мой взгляд даже самая лучшая! Особенно мне нравится контройлер движений PS Move для PS3!!!</t>
  </si>
  <si>
    <t>Честно скажу, не хотела писать отзыв, боялась сглазить своего нового любимчика. Но так как мне самой при выборе Борка пришлось руководствоваться только двумя предыдущими отзывами (кстати, спасибо им большое, я им поверила и не пожалела об этом), то я решила всё-таки внести свою лепту и постараться помочь тем, кто ещё не определился с выбором подобного агрегата. Этот миксер я ставлю в один ряд с лучшими изобретениями человечества в помощь хозяйкам, такими как: стиральная и посудомоечная машины, электромясорубка и робот-пылесос. Почему? Да просто потому, что они делают всю грязную и тяжелую работу за вас! Итак, смотрим на BORK! Для начала, по всем документам гарантия не на 3 года, а на 5! Вам это о чем-нибудь говорит? Мне – о многом. Далее: работает, действительно, тихо. Настоящая находка для шпиона, ночного, такого, как я. Бывает у меня такой заскок - готовить по ночам, и я теперь точно знаю, что никого не разбужу, даже с открытой на кухню дверью. Я, вообще-то, люблю возиться с тестом, с любым. Но самая неприятная для меня работа – это начальная стадия замеса, когда жидкость и мука превращаются в вязкую, липкую массу, которой уделывается всё, и руки и чаша. Подмешиваешь тесто на столе, так что и ему, столу, тоже достается кусочек «свинства». Отмывание и выковыривание из под ногтей всего этого дела, как всем известно, такое же неприятное, как и после вымешивания вручную жирного мясного фарша. Кстати, о фарше: он прекрасно вымешивается миксером, насадкой «Кулинар» на низкой скорости. Потом насадку и чашу в посудомойку и до свидания. Ручки чистые. Крюк вымешивает любое по твердости тесто, даже для равиоли и лапши, которое готовится на одних яйцах и до расстойки имеет консистенцию камня. При этом умудряется каким-то образом оставить чашу практически чистой. Дрожжевое тесто после замешивания, не вынимаю из чаши, а, только слегка примяв его, накрываю чашу тарелкой и отправляю в духовку на 35 градусов для подъёма. Очень удобно, не нужно пачкать лишнюю посуду. Но самая моя любимая насадка – «Кондитер». Она так устроена, что вплотную прилегает к стенкам чаши и как бы соскребает с них всю смесь, не оставляя ей никаких шансов быть плохо перемешанной. Прекрасно подходит для мягкого теста: бисквитного, кексового, и уж конечно песочного на сметане. Последнее, кстати, тоже не трогаем руками, просто лопаткой вываливаем его на целофан, заворачиваем и в холодильник. Ну и апофеозом моей экспериментаторской деятельности стало безе. Сразу хочу успокоить тех, кто ещё не решился на покупку подобной машины, начитавшись нелестных отзывов от владельцев миксеров-комбайнов других марок, по поводу слишком большого объёма чаши, из-за которого цитирую: «Взбить меньше 4-х яиц - не реально!». Так вот, мой Борчик прекрасно взбил безе из двух белков! Думала – венчик до них не достанет. Ни чего подобного, куда бы он делся. Получилось 10 довольно больших безешек.  В общем, чего я только не месила и не взбивала. Счастлива, как мартышка на куче бананов. Хлеб теперь не покупаем, сладкая-не сладкая выпечка в доме практически не переводится. Песочный пирог-курник или с картошкой-грибами, на завтрак или просто на перекус ,куда вкуснее, чем бутер с неизвестно из чего сделанной колбасой. Правда, ведь? Этот миксер я посоветовала бы и маме, а ей я плохого не подсуну. Только самое лучшее!   А вот кому я бы НЕ советовала покупать этот миксер, так это тем, кто не очень любит возиться с тестом, а находит удовольствие в других делах. Не тратьте на него свое время и деньги в надежде, что вдруг воспылаете страстью к домашней выпечке, пельменям и т.д. Поиграете с недельку, и будет стоять пылиться. А могли бы потратить эту не малую сумму на что-нибудь более полезное и нужное именно вам. Этот миксер не должен стоять. Он должен работать. Ведь он самый настоящий труженик! И у нас с ним полная любовь и взаимопонимание. Он облегчает жизнь мне, а я обожаю за это его!</t>
  </si>
  <si>
    <t>Долго выбирали пылесос без мешка для сбора пыли, остановились на этом. Купили. Плюсы: турбощетка для чистки ковра впечатлила, насадка для выбивания пыли из одеял и матрасов тоже делает свое дело отлично, маневренность у пылесоса хорошая, регулятор мощности на ручке - очень удобен, мощность  пылесоса на отлично. Не смотря на то, что за день до этого в квартире была сделана тщательная уборка, этот пылесос умудрился собрать достаточно пыли, особенно с ковра и с 2-х одеял! Очень легко выкидывать мусор и остается только ополоснуть контейнер от самой мелкой пыли. Запаха при уборке, как при работе с обычным пылесосом, нет. Дизайн пылесоса приятный, габариты нормальные.Минусы:тяжелее, чем обычный мешковый пылесос,цена несколько завышена. Других минусов пока не выявлено. Пока довольны.</t>
  </si>
  <si>
    <t>Купил,хожу по городу и радуюсь! Не знаю, как у кого, но у меня радио на твёрдую четвёрку(даже ближе к пятёрке).Радует большое кол-во часов работы без зарядки(до 20 часов)! Есть один небольшой минус-некоторые песни не воспроизводятся(у меня пишет,что формат песни не поддерживается),но он небольшой,т.к. большинство песен воспроизводятся прекрасно. В общем, мне этот плеер нравится и я его советую тем людям,кто просто хочет идти или ехать и наслаждаться музыкой!</t>
  </si>
  <si>
    <t>Про тв могу сказать - очень доволен, качество действительно впечатляет</t>
  </si>
  <si>
    <t>Приобрела данный тостер в июне и не пожалела. Оправдал мои надежды полностью ))))Муж вообще в восторге, не хочет теперь есть не поджаренный хлеб. Жалеем, что раньше не купили, т.к. это наш первый тостер. Ломтики получаются хрустящие, мягкие внутри, режима 4 вполне хватает, единственный минус, к которому надо привыкнуть, это громкий хлопок, когда хлеб готов. Очень советую!!!!</t>
  </si>
  <si>
    <t>Ноутбук отличный, производительный и дешевый. Жалко, что все драйверы только под Windows 7 идут, пришлось на ней остаться. А Windows 7 Starter я заменил, т.к. она не поддерживает много функций, в том числе смены фона рабочего стола, а заменил на  Win 7 максимальную и все отлично ;) Вполне доволен покупкой.</t>
  </si>
  <si>
    <t>У термопота приятная форма, качественная пластмасса, хорошо работающая помпа (кнопка вполне себе на вид и на ощупь прочная, добротная, думаю что надолго хватит). Управляется легко. В целом никаких претензий. Температуру воды держит долго, не протекает. Сам по себе внешне хорошо выглядит. Из претензий – только временная. Сначала, как и у многих, был небольшой запах пластмассы в воде. Совсем малозаметный, но все-таки чувствовался. Пришлось вылить 2 или 3 нагрева, потом запах пропал. Ничего дополнительного для этого не делали – как люди содой чистят, лимоном. У нас прошел сам, просто прокипятили пару раз воду и вылили.</t>
  </si>
  <si>
    <t>...по моему дело не в цене и не в фирме производителя, любая машинка может сломаться и на второй день или...через много лет! Тут как в рулетке- повезет- не повезет))  Я этой машинкой пока довольна, стираюсь практически через день. Стирает хорошо, ну при отжиме шумит немного, а какая машинка может отжимать бесшумно?! А самое главное- цена приемлемая.</t>
  </si>
  <si>
    <t>Пользуемся машинкой практически месяц, нареканий нет никаких. Достаточно тихо работает, при отжиме немного шумновата, при закрытой двери практически не слышно. Много программ, хорошо отстирывает и также полоскает. Защита от детей очень помогает. Мы очень довольны.</t>
  </si>
  <si>
    <t>Чудеса начнутся сразу, вначале зависать будет WIN7, установленная там по умолчанию, потом, когда вы установите Win XP, то драйверов для совместимости с этим чудом техники вы не обнаружите, точнее - они не будут подходить. Вам предложат отвести в сервис-центр за свой разумеется счет ваш новенький комп и еще скажут, что нечего было менять Win7 на WinXP и что мол вы сами виноваты. Вобщем, хотите разнообразить вашу жизнь - купите отечественный комп!!!!</t>
  </si>
  <si>
    <t>Нам, с мужем, этот пылесос посоветовал консультант. И я ему очень благодарна. При первой уборке, в доме все ковровые покрытия и мягкая мебель подняли ворс и стали выглядеть как новые. Благодаря набору насадок, не требуется никаких дополнительных моющих средств, лишних передвижений мебели, так как телескопическая трубка вместе с щелевой насадкой может достать везде. При этом очень вместительный контейнер, который достаточно ополоснуть, а не менять грязные пыльные мешки. И, самое главное, воздух в доме остаётся свежим и чистым, спасибо НЕРА фильтру, который ещё и моется.</t>
  </si>
  <si>
    <t>2014-11-06</t>
  </si>
  <si>
    <t>Классный, удобный, стильный. Цена соответствует качеству. Быстрый нагрев, отличный литраж</t>
  </si>
  <si>
    <t>а вы видели пылесос который будет эффективно всасывать при забитых фильтрах?    пылесосы с контейнером предназначены для полов. если же вы будете пылесосить им ковры,ковролин и т.д. пылесосить он у вас не будет. фильтр будет забиваться    пылесос отличный. жалоб и нареканий на него нет.</t>
  </si>
  <si>
    <t>Сказать, что батарее плохо держит это почти ничего не сказать. Заряжается порядка 4х часов и держит примерно столько же. Если смотреть видео, то 1-2 - это мах. Не понимаю зачем было создавать такую модель, лучше бы уже без экрана, но с нормальной батареей. При покупке уверяли, что держит 7-8 часов.</t>
  </si>
  <si>
    <t>Прекрасный вариант моющего пылесоса! Если вам в доме необходима настоящая чистота и уют, то этот пылесос вам реально может помочь достичь своей цели! Так было и со мной! После покупки пылесоса наша квартира преобразилась на глазах!</t>
  </si>
  <si>
    <t>Кто собирается брать его для игр или чтобы держать на нем игровые сервера и т.п сразу говорю вам он НЕПОДОЙДЕТ! Этот Ноут конкретно только для работы!</t>
  </si>
  <si>
    <t>Купил 18.12.09 на московском шоссе, 2 дня - полет нормальный. Сильные стороны - неплохое железо-процессор лишь немного отстает от С2В 6600, видео лучше G240M, много оперативы, хорошее общее качество исполнения и дизайн, HDMI и тд.   Что не понравилось - немного непривычная и "бренчащая" клава, нет блутузА. Батарея при средней загрузке проца и максимальной подсветке держит около 2ч-не так много, но терпимо. В общем за эти деньги я доволен.</t>
  </si>
  <si>
    <t>2016-10-20</t>
  </si>
  <si>
    <t>Занимает мало места, легко перевозить.</t>
  </si>
  <si>
    <t>телефон просто СССССССУУУУУУУУУУУУпер  установил всё (пар. инт. и тд.) минут за 10 без проблем.   очень порадовала опера мини 4.1 очень дешёвый браузер.(10мин=2 руб)   сам телефон в очень стильном корпусе, порадовала камера правда ещё не разобрался как приложения сворачивать( подскажите кто сможет).  правда, очень неприятно, что в комплекте нет наушников и USB!!!!! но зато есть флеш карта (м2) на 1 гб.   ну а в общем телефон очень сильно меня порадовал. всем советую брать!</t>
  </si>
  <si>
    <t>Покупали года два назад на период летних отключений воды, как показало время пользуемся им постоянно. Очень удобна плоская форма, так как места много не зниамает - можно повесить и на кухне и в туалете. Как уже заметили есть настройка включения по времени. Хотя я пользуюсь немного по другому - отключаю его полностью, вода долгое врем остается горячей, таким образом экономлю на электричестве. Бойлером полностью доволен.</t>
  </si>
  <si>
    <t>2012-08-23</t>
  </si>
  <si>
    <t>Купила увлажнитель и очень им довольна. Во многих отзывах жалуются на налёт, так вот, вода должна быть отфильтрованная и никого налёта. Увлажняю воздух перед сном, ставлю таймер, и он сам выключается. Дышать легче, никаких вредных микробов, пыли меньше!!! Час работы аппарата перед сном и здоровый сон обеспечен! Очень советую всем!!!</t>
  </si>
  <si>
    <t>Отличный агрегат, собираюсь приобрести второй, жду скидок - акций</t>
  </si>
  <si>
    <t>2015-11-15</t>
  </si>
  <si>
    <t>Вещь хорошая! Купил 3 года назад работает исправно. В прошлом году отключили отопление (была авария) данный прибор полностью справился с обогревом комнаты 18 кв.метров. Температура в помещении была 23* при уличной -28.</t>
  </si>
  <si>
    <t>Отличный телевизор за такие деньги ничего лучше не найдете, отличный вариант!!!</t>
  </si>
  <si>
    <t>2016-11-05</t>
  </si>
  <si>
    <t xml:space="preserve">Прямой штеккер не ввиде буквы Г (такие не перевариваю). Хороший контакт. Основание данамиков прочное, не сильно выпирает из ушей. Вкладыши не скользкие, плотно сидят на своих местах. Звук четкий, ровный, с приличным запасом громкости. Имеется пульт управления и микрофон. </t>
  </si>
  <si>
    <t>5100102</t>
  </si>
  <si>
    <t>Эта сушка для белья довольно удобная и устойчивая.Если надо перекатить в другое место-имеются колесики с одной стороны,но катить все равно легко. Единственный минус-немного трудно раздвигать у этой сушки ножки из сложенного состояния в рабочее.</t>
  </si>
  <si>
    <t>Суперская игра. Ни капли не жалею, что взял</t>
  </si>
  <si>
    <t>Во первых маркой Sony Ericsson пользуюсь уже лет 5, до покупки С510 все устраивало.  Купил телефон 10 месяцев назад на данный момент телефон в ремонте  -сильно тормозит это слабо сказано:  1)при наборе нового номера набор идет до полного соединения, т.е. если ошибся при наборе номера и нужно сбросить ЭТО НЕВОЗМОЖНО!  2-й вариант  при наборе нового ошибся, недобрал одну цифру, набор идет до полного соединения, (т.е. сбросить вызов нельзя!) плюс ко всему прочему на том конце отвечают, что номер не существует и все бы ничего, но это продолжается около 3-х минут, это очень напрягает!  2) Перестал работать громкоговоритель.  О мелочах писать не буду, и так много пишут.  Всем удачи.</t>
  </si>
  <si>
    <t>1553</t>
  </si>
  <si>
    <t>Комп замечательный - все нравится.  Но огорчило, что Ethernet-контроллер не определяется системой. Из-за этой "мелочи" интернета нет.  Кто знает - подскажите, какой драйвер для него нужно скачать?</t>
  </si>
  <si>
    <t>Уважаемые форумчане! Просьба кто разблокировал с помощью телефона или светодиодов как я, еще раз войти в меню INSTART и посмотреть контрольную сумму для tool option 3. Случайно внес изменения (я помню цифры что-то вроде 14400). Каких либо изменений не произошло, но все-таки лучше не лезть, куда не знаешь. Спасибо заранее за помощь.</t>
  </si>
  <si>
    <t>Купил самую дешевую, сказали нормальная, оказалась на самом деле неплохая, целый день мелем им зерна в кафе нашем, пока не подводит, как промышленная работает у нас.</t>
  </si>
  <si>
    <t>Здравствуйте!  У меня вопрос, есть ли в этом телефоне GPS, в привычном понимании: карта, определение местоположения, может быть навигатор?</t>
  </si>
  <si>
    <t>2013-10-03</t>
  </si>
  <si>
    <t>Приобрели полгода назад. Очень довольна: работает тихо; легко моется, чему способствуют утапливаемые ручки; просто управляется; печет и запекает просто изумительно, все сочно и ничего не засушивается. Хорошее охлаждение - не греется мебель, хотя вентилятор, конечно, дует в комнату, но не нагревает так, чтобы напрягало; стекло тоже горячее, но не обожжешься, а как иначе если внутри такая температура!? Единственный минус на мой взгляд - не отключается работа вентилятора во время открывания дверцы, а в остальном все супер!!!</t>
  </si>
  <si>
    <t>2015-05-23</t>
  </si>
  <si>
    <t>Долго радоваться покупке нам не пришлось, сгорел спустя месяц эксплуатации. Деньги вернули</t>
  </si>
  <si>
    <t>562</t>
  </si>
  <si>
    <t>Хороший телевизор! Нет слов! Давно мечтали! Но проблема с USB-портом. В первый день вставили флэшку и телевизор её проиграл, мы смогли просмотреть видеофайлы с флэшки! И потом что-то случилось - не видит телевизор флэшки и всё! Я и форматировал флэшку, думал может вирус, пробовал на неё записать фото в различных форматах! И видео не видит, и фото не видит...</t>
  </si>
  <si>
    <t>2028</t>
  </si>
  <si>
    <t>Its a very good iron,i m happy</t>
  </si>
  <si>
    <t>2015-11-24</t>
  </si>
  <si>
    <t>Отработало данное устройство 3 года, защищая стиральную машину. Пару раз сработало. Приходилось передергивать из розетки. В конце концов погорели кондёры и резисторы. Решил не ремонтировать.  Уж не знаю, был ли от него реальный толк, но с ним спокойнее. Думаю купить такой же на замену сгоревшему. Нареканий к нему нет, претензий нет, просто пришло его время, ведь работал всё-таки 24/7. Поэтому 5.</t>
  </si>
  <si>
    <t>Купил себе такой системник,работает два месяца без нареканий.Посмотрим,что будет дальше.</t>
  </si>
  <si>
    <t>Хлебопечка мне очень нравится. Белый хлеб пеку редко (не очень люблю) обычно делаю тесто для пирожков или ржаной хлеб на квасе. Получается неплохо. Так как эта модель не заточена под ржаной, то делаю на режиме "Французкий".   На днях собираюсь купить такую для родителей.</t>
  </si>
  <si>
    <t>1652</t>
  </si>
  <si>
    <t>2015-12-27</t>
  </si>
  <si>
    <t>Это духовка сразу же поразила меня своим внешним видом , Она из специальнйо коллекции , и идеально подошла к моей кухне , которая тоже была выполнена в ретро стиле. Чего только стоят эти красивые регуляторы, и датчик температуры выполненные в золотистой оправе. Что касается самой духовки , то работает она хорошо , никаких проблем не возникала , хотя использую я ее тоже довольно таки редко, только во время особенных торжеств , но все равно очень довольна результатом, да и вообще такой покупкой!!</t>
  </si>
  <si>
    <t>Телефон отличный был до тех пор, пока не глюкнул! В один прекрасный день, перестал набирать соединение! Сбой, и всё, хоть убейся! во как!</t>
  </si>
  <si>
    <t>Все устраивает,хороший телевизор и по цене приемлем.Правдо продавец обманул,сказал что поддерживает флешку до 4 гигов и видео с USB показывает.Видео с USB залочен!Работает только картинки и музыка. Разлочил при помощи ик светодиода и сигнала с колонки ПК,в отзывах написано как это сделать,не буду мультипостить.Теперь работает и видео ,на счет 4 гига максимум продавец не прав,сказав что жесткий USB диск не считает.Читает в легкую 160 гигов,не тормозит,все просто класс.Подключил к ПК через RGB ,попробовал поиграть в игру,вобще улет.Советую этот телек всем.</t>
  </si>
  <si>
    <t>на данный момент являюсь пользователем этого прекрасного ноута. все радует, прекрасное соотношение цены и качества. в нете можно найти дрова под хр (для желающих).    куплен 16 авг.</t>
  </si>
  <si>
    <t>Плюс только в том, что она красивая. Огромный минус в том, что оооочень долго все готовится, а если на двух конфорках сразу, то это вообще нереально. У меня вода не могла закипеть под крышкой за 2 часа. Это просто ужасно. Знала бы - ни за что не купила.</t>
  </si>
  <si>
    <t>Отличный набор! просто идеален... оправдал все мои ожидания, и цена радует глаз)))) берите не пожалеете</t>
  </si>
  <si>
    <t>Купили сыну. Могу четко сказать, что за эти деньги весьма хороший аппарат. Удобное меню и клавиатура, громкий звук. Батарея держит 3-4 дня. Внешний вид просто отличный. Единственное, немного неудобно то, что для того чтобы индивидуально для кого-либо установить мелодию вызова нужно сохранить музычку в памяти телефона, а места там не так уж много...</t>
  </si>
  <si>
    <t>В общем купили около двух лет назад,через время заметили звук от сабвуфера "отбивание" ритма даже при выключенной музыке  и тп!Теперь вот жалко и в ремонт отдавать</t>
  </si>
  <si>
    <t>2284</t>
  </si>
  <si>
    <t>аппарат хороший, пользуюсь 2 года, она работает нормально,внешний датчик слабоват, да и незачем его на улицу выставлять, поставил его в детской комнате, а температуру на улице и так показывают по телеку</t>
  </si>
  <si>
    <t>Компактный, очень тихий, весьма аккуратненький с виду! Хорошо сбалансирован пропеллер, не дрожит и не дребезжит. Движение воздуха прекрасно ощущается даже на 1 скорости.</t>
  </si>
  <si>
    <t>Купил года три назад. Сначала были довольны - чистая уборка, легкое обслуживание. Потом начались проблемки - пропускает пыль мимо контейнера, часто требует мыть фильтры. Результат - что-то где-то забилось пылью, не хватает вентиляции, перегревается после уборки одной лишь комнаты и выключатся. Для пылесоса с премией Red Dot &amp;nbsp;для непремиальной марки - это плохо. Ищу другой.</t>
  </si>
  <si>
    <t>2012-07-03</t>
  </si>
  <si>
    <t>Флешка хорошая, корпус антиударный, скорости хватает. Единственный минус - со временем колпачок (который закрывает разъем) разбалтывается, прочно не одевается, легко можно потерять.</t>
  </si>
  <si>
    <t>отличный выпрямитель, быстро нагревается, хорошо выпрямляет волосы.многие пишут, что кнопка вкл/выкл расположена неудобно.ЧИТАЙТЕ ПОЖАЛУЙСТА ИНСТРУКЦИЮ!!!есть такая функция-блокировка клавиатуры.как она работает?удерживая клавишу "-" в течении 3 сек, вы блокируете/разблок.абсолютно все кнопки.</t>
  </si>
  <si>
    <t>2014-02-16</t>
  </si>
  <si>
    <t>Миксер просто супер!!! Купили его в октябре. Миксер отличный! Какие бисквиты он мне взбивает, вы не представляете. Каждую неделю я пеку бисквит или с яблоками, или со сливами, которые я летом заморозила. Бисквит пышный!!! Вкуснючий!!! И вот он, мой помощник, взбивает минут 20-25 бисквитное тесто и даже не нагревается. Пока взбивает, я муку просеиваю, яблочки режу, в общем руки свободны, чаша сама крутится, все само взбивается. Я очень довольна покупкой и советую эту модель тем, кто еще не определился с выбором. Покупайте, не пожалеете.</t>
  </si>
  <si>
    <t>2736</t>
  </si>
  <si>
    <t>Как уже было сказано в будильнике дни перепутаны, но это не так важно т.к. можно привыкнуть.А так телефон отличный. Советую всем его брать!</t>
  </si>
  <si>
    <t>Бук самый лучший во всем: качество, дизайн, мощь, обьем, все что нужно  перед покупкой этого бука долго и придирчиво выбирал ноут, облазил весь инет, смотрел, читал.   читал примерно месяц, может больше, потом ходил по магазинам смотрел щупал ноутбуки разных производителей и более дорогих, так как бюджет был 50 т.р и вот как-то случайно я проходил мимо и встретил его - это было чудо, я его нашел.  Вот он красивый (особенно клавиатура и сенсорная панель)и еше круче тачпад. Качественный и крепкий пластик как в дорогой иномарке (у некоторых ноутбуков клавиатура прогибается особенно ASUS аналогичный,и некоторые HP, а я на них смотрел с высока).  потом он очень удобен и легок. греется тока в играх, нормально, так и должно быть, главное, что температуру держит, хоть весь день играй. тест проводил лично при специальной программе, экран по качеству неплохой от других производителей ничем не отличается вот тока продавцы sony меня убеждали, что их матрица самая яркая и в ней типа не видно пикселов, ну это все уловки продавцов.   минус тока один - когда брал я не проверил DVD/RW, вот привез я его домой вставил диск dr.weba и он начал крутить и шуметь, но я на это не обратил внимания. теперь иногда вставляешь диск, а и он начинает как истребитель на взлетной полосе, проблема в том, что он как-то неплотно подходит, люфт так сказать небольшой, поэтому шумит, если пальцем его прижать, то все ОК'.   советую, когда будете брать, то проверяйте на месте абсолютно все звук порты, вставьте диск, послушайте, потрогайте.   И еще на картинке он не очень, вот когда его в живую увидишь, да на фоне других - это просто красавец, эта модель ESYnote так и разрабатывалась для развлечений, то есть красивый, удобный, мощный. Ноут 5 балов, было бы 6 - поставил бы и б.   ах да забыл ноутбуком пользуюсь 1 месяц купил за 29900+гарантию на 2 года 2000 и мне дали карту в м.Видео через 21 день на ней будет 2000р, вот так что это вдвойне крутой ноутбук .СУДИТЕ САМИ, это было лично моё мнение.</t>
  </si>
  <si>
    <t>Купили её три года назад по акции. Была одна из самых дешёвых. До сих пор работает все отлично. Стираем часто.</t>
  </si>
  <si>
    <t>2016-10-08</t>
  </si>
  <si>
    <t>Понравился только дизайн. Но стойкий запах и привкус пластмассы даже после недели пользования. Вернула в магазин.</t>
  </si>
  <si>
    <t>Пользуюсь 2 года, никаких нареканий, рад что купил именно этот термопот.</t>
  </si>
  <si>
    <t>2016-03-31</t>
  </si>
  <si>
    <t>Купили эту модель на замену старой. До этого у нас была наклонная вытяжка из стекла. Если сравнивать по эффективности работы, то это небо и земля. Купол очень здорово вытягивает даже самые едкие запахи гари, при этом пар от еды сразу уходит в вытяжку и не попадает на дверцы кухонного гарнитура.  Вытяжка работает исправно уже 3 года. При работе не гудит, не трещит. В целом вытяжка сделана довольно качественно. Все швы выглядят аккуратно,никаких следов спайки, скосов, неровностей. Относительно шума скажу так, для меня если вытяжка слишком тихая, то значит она и тянет так себе. Эта модель при работе, конечно издает шум, но не критичный, при этом тянет очень мощно.</t>
  </si>
  <si>
    <t>Выбор остановился на данной машине. С доставкой никаких проблем не возникло, доставили вовремя, занесли.  Что касается самой машины, функциональная составляющая прекрасна, все самое необходимое имеется, нет таймера обратного отсчета, но это простительно. Единственное что немного напрягает, машина довольно шумная, и "прыгает" на 1000 об., при макс загрузке, ножки выставлены правильно, я полагаю дело в самой машине, 4 ставлю только за это. Ко всему остальному претензий нет.</t>
  </si>
  <si>
    <t>в пользовании 1мес.  М.видео молодцы - доставили, распаковали, проверили.Быстро!  Достоинства - маленькая, хорошая загрузка (хотя с первого взгляда барабан маленький, но вместительный), думала из-за размера будет скакать по ванной, ничего подобного! Для меня тихая (есть с чем сравнивать), выжимает как и все. Стирает в рамках выбранной программы. Можно ставить Эко режим (меньший расход).Очень удобна 15 мин. стирка.  +Цена. Легкая, устойчивая. Стираем каждый день. Нареканий нет.  Недостатки - нет табло, но мне вообще не мешает, так как есть индикаторы этапа стирки, шланги на вход справа сверху, выход слева внизу.  Песни не поёт, кушать не готовит, просто делает своё дело.</t>
  </si>
  <si>
    <t>Моя вторая и однозначно лучшая бутербродница. У подруги стоит какой-то другой фирмы, и даже она считает, что в моей получается проще и вкуснее. Температура выставляется правильно, индикаторы тоже не сбоят. И уж запаха пластика точно никакого нет и ничего у меня не плавится</t>
  </si>
  <si>
    <t>2918</t>
  </si>
  <si>
    <t>отличный аппарат.фильмы с флэхи открывает быстро.плохо только,что флэшки до 8г берет.нареканий нет.</t>
  </si>
  <si>
    <t>В общем ноут неплохой! ОС, то бишь Висту сносить однозначно, слишком кривая и много лишнего. Монитор и железо вполне приятно работает, игры прут, работать удобно. За такие деньги думаю лучший выбор.  Нашел недостаток в оперативе - почему планки разные не тока по обьему (что не так важно), но и по пропуску? Кто-нибудь замечал или это мне уже в магазине возможно подложили, в общем оперативу буду менять, так как сложно докупить 2гиговую планку......  Короче хороший ноут!</t>
  </si>
  <si>
    <t>Мои тонкие волосы этот фен-щетка Polaris сушит и укладывает хорошо. Насадка-расческа приподнимает волосы, а круглая щетка создает направление волосам и делает завитки. Для такой цены модель отличная. Год работает без нареканий. Удобна в руке, компактна, можно в дорогу брать. Мощность хорошая. Моя голова с этим феном всегда ухоженая. Сейчас так много разных навороченных фенов, а мне вполне хватает такого.</t>
  </si>
  <si>
    <t>Хорошая звукоизоляция.  3 комплекта амбушюр в комплекте.  Хороший Бас, почти как в больших наушниках.  Сверхлегкие.</t>
  </si>
  <si>
    <t>Недавно взял себе такие наушники. Просто отличная вещь!!!)) Если вам что-то не понравится при тестировании в магазине то скорее всего это из-за плеера на компе, на котором вам будут их демонстрировать. Басы отличные, не скрипят, есть разъём 6.3, вообщем звук отличный) Берите - не пожалеете!</t>
  </si>
  <si>
    <t>2011-08-15</t>
  </si>
  <si>
    <t>Была разочарована после первого использования. Написала не очень лестный отзыв. Но теперь спустя месяц использования мнение свое изменила. Не плохой фен. Наловчилась менять щетки как говорится "на ходу".   Для домашнего использования то что надо.</t>
  </si>
  <si>
    <t>Не смотря на красивый дизайн и прочее, у телефона DECT teXet TX-D7600 есть несколько недостатков:  -очень тихий звук. Разговаривая с собеседником, приходится, в буквальном смысле слова, засовывать трубку себе в ухо, чтобы расслышать, что тебе говорят.  -к слову о неудобной комплектации самой трубки. Она может и маленькая, но не совсем удобная. Верхняя её часть при разговоре впивается в ухо.  -кнопки маленькие и узкие.</t>
  </si>
  <si>
    <t>Купил год назад. Работает постоянно, проблем вообще ни каких. Не много не удобно вешать, но справился один. Зато на 4 точках весит не оторвешь. Обратный клапан не течет. Конкурентов у него по цене и по качеству даже близко нет. Теплоизоляция очень хорошая, бак снаружи практически холодный. Думаю, если отключить несколько суток простоит горячий не остынет, но сам не пробовал. Итог: Если не гнаться за понтами, то аппарат очень достойный и на вид красивый, так что всем советую брать!!!!!!!!!!!!!!!!</t>
  </si>
  <si>
    <t>Очень качественный термопот купила 5 лет назад и очень им довольна. Очень хорошо держит температуру . Закипает за 25 минут Покупайте не пожалеете.</t>
  </si>
  <si>
    <t>камера очень хорошая, по размерам небольшая, в руке очень удобная. по функциям тоже неплохая, так что берите не пожалеете!!!!</t>
  </si>
  <si>
    <t>Купил себе на голову эту мясорубку, думал сэкономить время и силы на готовке, всё равно приходится фарш в магазине брать. То, что вылезает из это мясорубки с медленной скоростью фаршем назвать нельзя, это скорее паста какая-то. Не рекомендую.</t>
  </si>
  <si>
    <t>Купила телефон 2 недели назад,зависает по страшному.....  пришлось отдать на замен!!!!=(((((  Так в принципе ничего только система глючит.....</t>
  </si>
  <si>
    <t>2016-10-07</t>
  </si>
  <si>
    <t>Пользуюсь 2 года. Нареканий нет. Кипятит воду практически бесшумно.  Есть выбор температур, что удобно при приготовлении напитков. Рекомендую  для приобретения.</t>
  </si>
  <si>
    <t>2014-07-27</t>
  </si>
  <si>
    <t>Приобрел данную вытяжку в июле 2014 года под заказ. На витрине и на сайте жировой фильтр состоит из двух половинок. В моей же эта часть сделана единой частью. Т.е. преимущество в отмывании её от жира, которое было заявлено раньше, уже не соответствует действительности. Работает тихо, пришлось докупить угольный фильтр. Покупкой доволен.</t>
  </si>
  <si>
    <t>2893</t>
  </si>
  <si>
    <t>че скопируй?то что сони копирует нинтендо это нормально,а то что мелкософтовцы сделали урезаную версию через 5 лет это копирайт да?  И продажи богсов в 1.5 раза превышают продажи Сони.Так что нечего говорить без фактов.</t>
  </si>
  <si>
    <t>Гладит идеально, но минус в неприятном звуке от пара!</t>
  </si>
  <si>
    <t>Штатив значительно расширяет область съемки за счет необычной конструкции.</t>
  </si>
  <si>
    <t>Поменялся на эту кофемолку после роторной - что нравится в ней - да все нравится, сделано не в китае а в Югославии, беленькая - приятно, удобный выключатель, небольшая по размеру - на кухне место много не занимает, кофе молит хорошо, чем дольше держишь включенной, тем мельче помол, можно намолоть в пыль, будет как мука, это чего не умеет роторная кофемолка.  Единственный минус - если молоть на одну чашку кофе то мощности движка многовато, долго держишь включенной начинает обмотка греться и попахивать. Во всяком случае в начале так было сейчас не замечаю запаха нагретой обмотки. Правда когда засыпаешь полную чашку, то это скорее плюс.</t>
  </si>
  <si>
    <t>2017-01-11</t>
  </si>
  <si>
    <t>Тщательность и равномерность помола кофейных зёрен за то небольшое время, которое указано в инструкции - его достаточно.  Быстро и качественно!</t>
  </si>
  <si>
    <t>595</t>
  </si>
  <si>
    <t>2016-10-13</t>
  </si>
  <si>
    <t>Мощный, практичный</t>
  </si>
  <si>
    <t>Искали простенькую и недорогую вытяжку для кухни, привлекла эта. Она маленькая и компактная, легко встраивается. Моется тоже легко. для нашей маленькой кухни её вполне хватает. тянет воздух отлично, теперь на кухне не душно во время готовки, не пахнет жареным луком и другими продуктами. Производительность хорошая, при этом вытяжка совсем не шумная. Удобное управление, 3 скорости, можно выбрать любую в зависимости от желаемой мощности. Освещает плиту хорошо.</t>
  </si>
  <si>
    <t>Купил весной 2010 года. Работает отлично. Малошумный. Очень доволен покупкой.</t>
  </si>
  <si>
    <t>купила недавно и очень рада!  превосходный телефон с прикольными сменными панелями.  яркий,модный,красивый,понятный и удобный. и т.д  неплохая камера не хуже чем у star:)  мало недостатков, хорошего в нём намного больше!  с каждым днём радует всё больше!  много доступа к интернету!  может заменить плеер)  ооочень хороший телефон!)  советую всем брать!и цена хорошая...)</t>
  </si>
  <si>
    <t>1423</t>
  </si>
  <si>
    <t>Эта вытяжка мне приглянулась еще в магазине, еле уломала мужа купить ее.в сравнении с нашей старой смотрится отлично!! Удобно что располагается она под наклоном к поверхности печки, и не мешает в процессе приготовления. Всегда когда готовлю включаю подсветку даже днем,чтобы лучше видеть что твориться в кастрюлях. Вытяжка работает практически бесшумно. так же еще купили дополнительный угольный фильтр. муж бывает частенько курит на кухне, с дополнительным фильтром запаха табака уходит на ура. Однозначно удачная покупка!</t>
  </si>
  <si>
    <t>Пользуюсь лампой уже несколько дней, могу сказать , что лампа соответствует заявленным характеристикам. Отличное качество.  При включении, только после длительного перерыва, есть незначительная задержка, что совсем не критично. Плюсом является короткая длина лампы.</t>
  </si>
  <si>
    <t>Хороший фонарь за свои деньги, светит ярко, батареек хватает надолго.  После покупки пришлось его немного доделать самому. Была не приклеена плата со светодиодом и отходил проводок с минусом.  Сделал за пару секунд.</t>
  </si>
  <si>
    <t>Пользуюсь ею уже пол года, очень нравится. Жмых абсолютно сухой, отжимает очень быстро, моется и разбирается за 1 минуту, не занимает много места на кухне, особенно хорошо отжимает морковь, яблоки, апельсины. Вобщем очень довольна покупкой, и всем советую!</t>
  </si>
  <si>
    <t>2017-02-08</t>
  </si>
  <si>
    <t>Измеряет точно</t>
  </si>
  <si>
    <t>Хочу поделиться результатом использования зубной щетки. Сразу скажу-Очень довольна!!! В связи с "особенностями "моего организма на внутренней стороне нижних зубов всегда образуется налет, какими щетками и пастами его не счищала-помогала только регулярная ультразвуковая чистка у стоматолога в кабинете. Для поддержания  чистоты, врач рекомендовал приобрести электрическую з/щетку. Выбор пал на эту модель, благодаря ее режимам и правильным движениям. Налет счищает превосходно! Зубки всегда чистые!</t>
  </si>
  <si>
    <t>2015-12-30</t>
  </si>
  <si>
    <t>Очень нравится стиралка, простая в управлении, негромкая, маленькая-прям прекрасна для нашей однушки, приемлемая цена, заказали и оплатили по интернету-получили 5% скидку, а это  немало) легко довезли ее на заднем сидении машины.</t>
  </si>
  <si>
    <t>740</t>
  </si>
  <si>
    <t>файл AVI DVD-плеер Pioneer с нее почему-то не читает, при том что с другой флешки тот же файл  читает нормально.</t>
  </si>
  <si>
    <t>2015-12-13</t>
  </si>
  <si>
    <t>антенны, чтобы достичь нормальной стрижки, нужно голову подстригаемого довести до мозолей, сама убавить обороты, хочу вернуть по скольку гарантия позволяет</t>
  </si>
  <si>
    <t>Супер. После того как купили теперь 70% еду готовим только на ней. Я раньше думал что пища приготовленная на пару будет резиновая и не вкусная. Теперь понял как я ошибался.   Учитывая что мне поставили диагноз гастрит - нежирная и нежаренная пища, но при этом вкусная, это как раз для меня.  Сейчас собираюсь купить точно такую же маме в подарок.</t>
  </si>
  <si>
    <t xml:space="preserve">Светится </t>
  </si>
  <si>
    <t>1896</t>
  </si>
  <si>
    <t>Купила печь и сразу начала  ее "обкатывать" Пекла пирог-получился замечательно.Пропекся равномерно.Запекала овощи-получилось быстро и вкусно-а главное-полезно.Плюшки получились вкуснейшие. Всем рекомендую эту мини-печь.</t>
  </si>
  <si>
    <t>2252</t>
  </si>
  <si>
    <t>2015-09-24</t>
  </si>
  <si>
    <t>В целом хорошее сочетание цены и качества. Стирает хорошо, имеет гибкие настройки для стирки. Шумновата, при полной загрузке на отжиме от вибрации "ползает" :) хотя и отрегулирована по уровню. Отработала три года и вышел из строя двигатель.</t>
  </si>
  <si>
    <t>Плеер прослужил примерно месяцев 10, при этом очень часто отключался сам по себе... и вот недавно просто напросто пропал звук, меняли прошивку, пока не выключишь работает, потом включаешь...и снова тишина...В общем...очень огорчена!!!</t>
  </si>
  <si>
    <t>В машину я себе этот усилитель ставить не стал. Установил в гараж: подключил акустику для домашнего кинотеатра (4 колонки), запитал через 20Амперный блок питания. Вполне доволен результатом.</t>
  </si>
  <si>
    <t>2012-10-16</t>
  </si>
  <si>
    <t>Игра хорошая, играть можно одним джостиком мув, но можно и двумя, всем советую купить.</t>
  </si>
  <si>
    <t>718</t>
  </si>
  <si>
    <t>На мой взгляд, это на сегодняшний день лучший симулятор боевых действий! Особенно на харде!!!</t>
  </si>
  <si>
    <t>Телефон супер, рад то, что  купил  сенсорный экран, клавиатура, конечно   памяти только 512мб, но нормально, советую купить</t>
  </si>
  <si>
    <t>Имейте в виду при покупке, официального сервиса в России нет, по гарантии отремонтировать не получится, только за оплату.</t>
  </si>
  <si>
    <t>3016</t>
  </si>
  <si>
    <t>ВООБЩЕ В ИРКУТСКЕ ПРОДАЮТ jailbreak ???? ПОДЕЛИТЕСЬ АДРЕСОМ )</t>
  </si>
  <si>
    <t>Очень плохой ноутбук,в нем есть очень серьезный на данный момент недостаток - технология optimus,которая позволяет работать с двумя видеокартами сразу(от intel и nvidia).Но большинство приложений из-за недочётов разработчиков драйверов не обнаруживают последнюю,в результате чего производительность крайне низка,а видеокарта от nvidia в системе абсолютно ничего не делает.</t>
  </si>
  <si>
    <t>Хорошая стиральная машинка.  Был до неё самсунг 803. Габариты почти одинаковые, только самунг всё по ванной скакал, а индезит стоит там,где оставил )  Минус  у машинки  только для меня в том , что нет индикации в виде лампочки или дисплея установленной программы. Надо голову гнуть и смотреть внимательно ,что включил.  Стирает и отжимает -ОЧЕНЬ ХОРОШО ! С женой довольны.</t>
  </si>
  <si>
    <t>Неплохая модель.Работает без проблем. Недостаток-это ручка-переключатель не имеет ребер и потому скользкая во время работы не очень удобно.</t>
  </si>
  <si>
    <t>Купила себе на съемную квартиру - не нарадуюсь, постельное белье, джинсы, куртки отстирывает на ура. Два режима стирки - обычный и деликатный, таймер механический с максимумом в 15 минут. активатор крутится в обе стороны, благодаря этому белье не сбивается в комок. Что меня действительно удивило, дак это то, что она не "прыгает" стоит ровно, как поставили. В комплекте шел шланг для залива воды, им не пользуюсь, душевой лейкой набирать проще и быстрее, а вот сливной шланг подкачал, поэтому и не 5. Он короткий очень, приходится сливать в тазик. В целом сделана добротно, не скрипит, не гремит, нигде не подтекает. Еще одна "фишка" это фильтр внутри машинки, не совсем понимаю как он работает, но суть в том, что вся крупная грязь, такая как нитки, катышки, длинные волосы, остается внутри специального мешочка, который надо периодически снимать и чистить. Машинка за такие деньги просто отличная, главное не крутить таймер в противоположную сторону (сломается) и правильно выбирать порошок - для активаторных машин, а не для автомата.</t>
  </si>
  <si>
    <t>Скрипит, дымит,&amp;nbsp; хотите - берите на свой страх и риск</t>
  </si>
  <si>
    <t>Наушники плохие.Для ценителей хорошего звука брать не советую.Басов практически нет,одни низкие и средние.Вообще бренд сони последнее время не радует-все часто ломается.</t>
  </si>
  <si>
    <t>Тихий,  мощный, стильный</t>
  </si>
  <si>
    <t>Мне муж подарил. Хотела изначально купить мощностью 1800, но испытав этот в деле поняла что и 1400 вполне достаточно(тяжелый шерстяной ковер присосался и поднялся в воздух вместе с трубкой). Удобно то, что бумажные мешочки очень вместительные. Легко катается на своих калесиках по ковру за шлангом, легкий вес.     Из минусов:шумноват.</t>
  </si>
  <si>
    <t>2015-08-30</t>
  </si>
  <si>
    <t>Утюг отличный, отпаривает вещи хорошо, постельное белье гладит в 4-ре слоя, своим параметрам отвечает полностью, очень довольны покупкой. С обычным утюгом не сравнить, потому что утюг такими возможностями не обладает. Вертикальное отпаривание работает, но конечно не за одну секунду, обычная глажка проходит быстрее, главное в его использовании большое количество пара благодаря чему не нужно прикладывать усилий при глажке, что делает ее легче, вода испаряется пропорционально количеству поглаженного белья. По весу сам утюг легче обычного, вместе с системой наполненной водой конечно тяжеловат, места в принципе занимает не много, но побольше чем обычный утюг, сам резервуар для воды сьемный, что облегчает его заполнение водой. Если выбирать между обычным утюгом и этим, то конечно эта система лучше.</t>
  </si>
  <si>
    <t>консоль у меня почти с начала продаж.она просто супер.3d  выглядит отлично,но углы обзора плохие.и вобще все нравится.единственный минус пока мало игр. вобщем консоль получилась отличной.и я советую ее к покупке.разве можно подождать когда выйдет по больше игр.</t>
  </si>
  <si>
    <t>Станция куплена 2 недели назад в качестве альтернативы "телевизионным" метеопрогнозам, которые в последнее время сбываются с вероятностью не более 50%, во всяком случае в Питере. Здесь была обещана вероятность 70%. Должен сказать, что станция обещаниям разработчиков вполне соответствует. Может ошибиться на одну градацию - т.е. вместо "дождя" показывать "облачно" ну или вместо "ясно" показывать "переменную облачность". Большего греха за ней замечено не было. Насчёт точности данных. Раньше дома стоял просто электронный термометр (другой фирмы) сравнил с его показаниями - разница в показаниях что на улице, что дома не более 0,4 градусов. Совет: перед эксплуатацией выставить давление не по высоте, а по "нормальному" барометру (спросить у соседей или на местных каналах ТВ бывает, текущее давление показывают) и учитывать, что станция в процессе работы накапливает информацию и реально "прогнозировать погоду" начинает только (не раньше) через 12 часов после включения (написано в инструкции). В заключении: станция, конечно больше похожа на игрушку, но довольно приятную и частично полезную, например, сегодня утром в 8.00. по ТВ сказали, что во второй половине дня будет гроза, станция показывала переменную облачность (прогноз на 12ч вперёд) - фактически в этот день никакого дождя не было, а раньше, без "мнения" станции" я бы наверное, зонтик с собой взял...</t>
  </si>
  <si>
    <t>недорогая,   1 час таймер норм, энергосберегающая, экономит воду, короче на каждый день отлично.</t>
  </si>
  <si>
    <t>1933</t>
  </si>
  <si>
    <t>Нормальный коммуникатор, есть минусы, но в остальном всё нормально</t>
  </si>
  <si>
    <t>Пользуемся месяц. Комната 10м2 и открыта дверь в коридор, охлаждает мигом!Внутренний и Внешний блок неслышно! Симпатичный дизайн, удобный пульт, прост в управлении. Соотношение:цена-качество! Советую купить. Планирую на следующий год купить такой же во вторую комнату, 13м2</t>
  </si>
  <si>
    <t>Легко гладить, функциональность, хороший пар.</t>
  </si>
  <si>
    <t>Использую три недели. Комнату в 8 кв.м. прогревает быстро, запах от фильтра прошел дня за три, корпус излишне не нагревается. Довольна, рекомендую.</t>
  </si>
  <si>
    <t>Хорошая кофемолка. Использую с кофеваркой рожкового типа De Longhi. Рекомендую делать самый мелкий помол.Можно насыпать кофе и молоть по мере необходимости.Рекомендую для продвинутых кофеманов!</t>
  </si>
  <si>
    <t>1706</t>
  </si>
  <si>
    <t>классный комп. все игры тянет!</t>
  </si>
  <si>
    <t>Адекватна в разборке, Человек с прямыми руками сможет самостоятельно привести в порядок работу всех механизмов. Поломки только у  ленящихся вовремя проводить чистку от накипи и остатков кофе. Для чистки от накипи не обязательно покупать спец растворы(развод на деньги) 10% раствор лимонной  кислоты и будет вам счастье. НЕ ЛЕНИТЕСЬ ЧИТАТЬ ИНСТРУКЦИЮ!!! Ради бога не применяйте воду для куллеров и из скважин, колодцев. Там много солей ухудшающих вкус кофе и забивающей накипью бойлер! Как предпочтительный  вариант вода очищенная с помощью обратного ОСМОСа .  Качество приготовлнного кофе отличное! (отзывы о ненасыщенности-Учитесь подбирать помол и дозировку. Если мозгов нет-нефиг винить машину!)</t>
  </si>
  <si>
    <t>Купил три месяца назад. В целом доволен.  Плюсы: 1.Качество стирки хорошее.2.Есть две быстрые стирки 15 и 30мин. 3.По окончании работы издаёт звуковой сигнал. 4. Производство- германия. 5. Классные сенсорные кнопки. 6. Металлическая защёлка люка(не пластик). 7.Возможность установки числа оборотов  вне зависимости от программы.  Небольшие минусы: 1. Шумновата. 2. Отсутствует программа дополнительное полоскание. 3. Не комплектуется ключом для снятия транспортировочных болтов. А в целом всё отлично.</t>
  </si>
  <si>
    <t>681</t>
  </si>
  <si>
    <t>Отличная фритюрница, юзаю уже почти 2 года!  Все отлично! единственное, не знаю как мыть ее полностью... или просто лень!    Жарит хорошо!  Таймер работает!  Термостат тоже хорошо работает!  Не дорого, объемная (2,5 литра для масла), недостатков не заметил, вывод - брать!</t>
  </si>
  <si>
    <t>чайник спустя 2 недели стал протекать при закипании (холодный воду держит!)  Регулятор живет своей жизнью - чайник либо не нагревает воду вообще, либо кипятит до победного - пока не выльется вся вода через дно.</t>
  </si>
  <si>
    <t>Долго приценивался, и подыскивал хороший безмешковый пылесос. хотел сперва самсунга, ну чет электролюкс меня взял своим дизайном, да и понятие циклон это круто. Пылесосит отлично, да и красиво-видно как пыль закручивается в циклоне. Один минус , туго открывается вторая крышка в контейнере, боюсь поломать, и крышка выходного фильтра двигателя тоже очень тугая. А так ))) очень даже хорош!!! покупайте не пожалеете!</t>
  </si>
  <si>
    <t>Очень плохо крутит, у меня на обычную плойку ещё старых времен крутится намного лучше чем на эту......пока накрутила одну сторону вторая почти распустилась, хорошо что не покупала, а подарили</t>
  </si>
  <si>
    <t>Проработал год. Умер двигатель. До этого - все было прекрасно, за исключением веса.</t>
  </si>
  <si>
    <t>1395</t>
  </si>
  <si>
    <t>Этот системный блок настоящий хищник в его силе и мощи в работе нету равных! Он новый и стильный, цена конечно же не для бедных, а для денежных людей. Так что он пока будет лучшим в данное время, а потом через несколько лет устареет и к нему на смену придут новые молодые хищники. Так что, народ, если вы в компах ничего не рубите, тогда лучше ничего не пишите и не засоряйте этот сайт всякой юрундой.</t>
  </si>
  <si>
    <t>Очень хороший фен. Пользуюсь уже 2 года. Волосы не пересушивает даже без ионизации.</t>
  </si>
  <si>
    <t>Пользуюсь три месяца. Всё что есть работает отлично. Очень удобно сделан поджиг конфорок - одной рукой зажигать очень просто и быстро (4 сек.)  Минусы:  1.-часы если прислушаться немного жужжат, но это, если очень прислушаться :)  2.-духовку придется поджигать спичками, там почему-то не сделали поджиг.  Эти минусы не значительны, просто я щепетилен к мелочам.</t>
  </si>
  <si>
    <t>2016-04-28</t>
  </si>
  <si>
    <t>Ярослава, не ленитесь картридж менять чаще чем раз/4 месяца.. )) Потому что от такой воды будет больше вреда чем пользы (!) 1 раз /месяц будет самый раз ;)   Крышечка никуда не отходит, просто наливать воду в чашку надо после того как она отфильтруется, а не до этого.. ;) Ну и ручкой придерживать крышку на всякий случай (хотя такого случая у меня за 10 лет не было ни разу) никуда ничего не течет, кроме чайника или чашки.  Надежда, все кувшины формата XL не имеют заливного отверстия, потому что большой объём и его трудно держать навесу во время наполнения. Но там сделана очень удобная прихваточка под 4 пальца чтобы сдернуть крышку целиком, что на самом деле для больших кувшинов удобнее чем откидная крышечка под большой палец.  Этой компании Brita в этом году 50 лет исполняется. За столь длительный срок поверьте что они научились делать фильтры самого оптимального дизайна и самого высокого качества фильтрации. Недаром эти же картриджи Maxtra используются в кофемашинах Bosch ;)   Отличная цена за отличный товар.</t>
  </si>
  <si>
    <t>В ближайшее время собираюсь купить данный телевизор. Почитал в Инете и на сайте производителя о нём - отзывы положительные. В сравнении с Panasonic дешевле, а в качестве не проигрывает. Два тюнера, несколько входов HDMI, USB и прочие приятные мелочи дополняют этот телевизор. Плюс сборка - Польша, всё-таки не Россия.</t>
  </si>
  <si>
    <t>Очень довольна этой микроволновкой! 2 года пользуемся, отлично работает, аккуратная внешне и компактная. Рекомендую!</t>
  </si>
  <si>
    <t>Купил бритву недавно. В инструкции написано, что режущий блок нужно менять раз в 18 месяцев. В магазине, продавец опустил эту цифру до 4-5 месяцев. Не знаю кому верить. А впечатление - отличное! Цена/качество - на потрясающем уровне. Рекомендую к покупке.</t>
  </si>
  <si>
    <t>купили комбайн 2 дня назатд, очень довольны, комплектация устраивает. хотелось бы еще отдельно купить насадку на кубик, но где?</t>
  </si>
  <si>
    <t>575</t>
  </si>
  <si>
    <t>купил сегодня. почти всё выше сказанное правда, так как взял потому, что у двух друзей такой телефон) но смущает одно - яркость! так и немогу найти яркость телефона..её можно ваабще поменять??</t>
  </si>
  <si>
    <t>2813</t>
  </si>
  <si>
    <t>Этим средством полирую практически все что сделано на моей кухни из нержа, результатом всегда остаюсь очень довольна. Легко чистится и становится блестящим и плита и холодильник и даже вилки с ножами.  Этой тары в четверть литра мне хватает примерно на месяц.  Цена на жидкость низкая, так что при покупке беру сразу две три упаковки, чтобы пользоваться дольше.</t>
  </si>
  <si>
    <t>Идеально выбриться уходит 3-4 минуты, есть пропущенные волоски, но их так мало, что это не критично. В целом бритвой очень доволен. Фиксирующая головка и 3 режима интенсивности бритья очень удобны в ежедневном использовании. Бритвой очень доволен, могу смело рекомендовать другим. Думаю стоит добавить: у меня щетина средней жесткости, бреюсь в основном при длине щетины 2-3 мм. При щетине 1-2 мм - бреет идеально!</t>
  </si>
  <si>
    <t>Отличная плазменная панель, по отличной цене. Прям не ожидал такого качественного изображения. Очень доволен. спасибо магазину Мвидео!!!</t>
  </si>
  <si>
    <t>1156</t>
  </si>
  <si>
    <t>Выскажу минусы сначала:  1 Отсутствие блютуса, мелочь конечно, но все ровно обидно, так как кнопка присутствует!  2 Сенсорная панель справа для звука не работает, по причине: Launch Manager утилита для контроля этой панели не совместима с  windows 7, сносить 7ку пока что не хочется! удалось запустить только кнопку Mute!  3 Сильно греется левая сторона там видяха и процессор расположены, ну и сетевая карта!  4 Разьем сетевой карты под коннектор без защелки, кабель постоянно вылазит, приходится сильно вдавливать его внутрь! "Возможно брак разьема только у меня("   5 От перегрева левый динамик периодически начинает хрипеть при низких частотах!  Ну с минусами вроде все, там ниже кто-то писал что сдром задевает корпус, у меня такой траблы нету, сдром отлично открывается, возможно это единичный брак, как у меня с сетевой:(  Теперь о плюсах, в целом ноут очень понравился производительность давольно высокая, весьма хорошо тянет новые игрушки, такие как: Stalker, Метро 2033, Battlefield Bad Company 2, еще хотел попробовать GTA 4 но не нашел версии которая бы шла в Windows 7 "у кого получилось отпишите"   Внешний дизайн очень кошерно выглядит, ну вобщем все минусы побольшому щету не значительны посравнению с достоинствами это-го ноута, всем рекомендую!!!</t>
  </si>
  <si>
    <t>Мне не понравился этот утюг, может правда потому что до этого был этой же марки и понавороченней...Не понравилось что плохо отпаривает, довольно легкий, буду покупать новый и на цене не экономить</t>
  </si>
  <si>
    <t>Стрижка бороды от 2 до 16 мм не представляется возможной!!! Щетина никак не поднимается под ножи, благодаря насадкам, которые идут в комплекте. У них слишком толстая гребёнка, которая не только щетину, но и просто волосы на голове захватить НЕ МОЖЕТ!!! Не покупайте этот БРЕД, зря выбросите деньги! Я пытался получить свои деньги назад, но меня вежливо послали, ссылаясь на Закон о Торговле, где, мол, триммер - это прибор личной гигиены. А дизайнеру и конструктору, данной модели, я бы аккуратно оторвал руки. ;)</t>
  </si>
  <si>
    <t>2014-12-05</t>
  </si>
  <si>
    <t>Хорошая вытяжка. Шум умеренный. 3 скорости + освещение. Сама работает и никому не мешает! Рекомендую!</t>
  </si>
  <si>
    <t>Очень простая и удобная пароварка. Блюда получаются вкусными и сочными. Готовится все предельно быстро. Рекомендую всем.</t>
  </si>
  <si>
    <t>2009-12-08</t>
  </si>
  <si>
    <t>Одни плюсы, минусов пока не видел, разве что глянец возле клавиатуры.  А так просто бомба, при максимальной нагрузке теплоотвод очень хороший, летает не только винда, а все что ни поставишь (в разумных пределах конечно, это же все-таки ноутбук). Оч доволен.</t>
  </si>
  <si>
    <t>3130</t>
  </si>
  <si>
    <t>Кофемолка СУПЕР !!!</t>
  </si>
  <si>
    <t>867</t>
  </si>
  <si>
    <t>2013-02-20</t>
  </si>
  <si>
    <t>Присоединяюсь к отзывам.От себя хочу добавить про игры в3D.Телевизор 107см-Праздник Спорта 2(входящий в комплект)3D просто Супер.!Звук через Дом.Кинотеатр 5:1 Вещь.!</t>
  </si>
  <si>
    <t>Много сказать не могу, так как недавно взял, но на первый взгляд и ощущение нормальный телефон, есть некоторые неудобства после тел. Nokia, но к ним можно привыкнуть!</t>
  </si>
  <si>
    <t>Это дико удобный плеер для бега и вообще для занятий спортом из всех с какими мне приходилось иметь дело.Берите не раздумывая, по соотнешению цена качество это просто кайф.</t>
  </si>
  <si>
    <t>Плюсы: недорогой, неплохо обрабатывает кутикулу  Минусы: слабый для педикюра стопы,  из всех насадок полезна только одна конусовидная фреза, остальные можно выбросить</t>
  </si>
  <si>
    <t>2014-08-06</t>
  </si>
  <si>
    <t>Вчера вечером попробовал сбрить свои 3 дневные заросли именно этой прекрасной бритвой. Эл. бритвой нужно уметь пользоваться, если конечно не хотите страдать и писать негатив отзывы. Так вот вчера купил сее чудо, можете мне не верить, ваше право, но я с первого раза нормально сбрил 3х дневную щетину, без раздражения(шкура моя, несмотря на дикую щетину, чувствительная), никаких мучений, довольно быстро для эл. бритвы, тут писали под носом плохо, да я станком там мучился, а вот бритвой раз - и нет. Поеду докуплю ещё режущий блок, не стану ждать когда этот затупится, путь лежит жрать не просит))) А по поводу цены, определитесь, вам что дороже своя шкура или деньги? Хотите комфорт и качество - платите. Если найдете бритву за 1000р которая бреет не хуже этой - киньте ссылочку, а пока альтернативы нет, есть 2 варианта или брать и радоваться при бритье или сэкономить и сидеть и плакать от раздражения! Везде слышал и читал, что какая бритва ни будь, а первую неделю будет раздражения - кожа привыкает, странно но от этой у меня его нет)))</t>
  </si>
  <si>
    <t>1981</t>
  </si>
  <si>
    <t>Монитор работает 3 года,устраивает по всем параметрам, но 2 раза было "недоразумение" со звуком: при включении были искажения,после этого разбирали монитор, продували пыль, собирали всё работало снова хорошо. Инцидент недавно повторился, между первым и вторым случаем прошло полтора месяца, хотя до этого работал 2,5 года без какого-либо вмешательства. Возможно в комнате повышенная пыльность, но влажность нормальная.</t>
  </si>
  <si>
    <t>Пылесос, по сути, три в одном - мешок для сухой уборки, аквафильтр и мойка. Самое удобное - простота перехода с сухого режима на моющий. Мыть сам пылесос после уборки не особо сложно и муторно, минут 5-10. Влажная уборка ковров не понравилась: ковер сильно мокрый, сохнет долго (хотя при низкой влажности в квартире это, скорее, плюс). Паркет, линолеум, плитка - это все на ура. За год мытья паркета ни одна дощечка не вспучилась. Расходка (фильтры, мешки) в продаже есть, но оригинальный шампунь найти трудно. Тех, кто только думает о покупке моющего пылесоса, хочу предостеречь: быстрее, чем вручную, убрать в квартире не получится. Качественнее - да. Усталость примерно та же. Тряпкой все равно придется углы вычищать. Так что если квартира в хрущобе, метров 50-60 - не парьтесь, берите обычный циклон и ведро с тряпкой, быстрее, дешевле и проще выйдет. А вот когда квартира или дом под 200 квадратов и дети, кошки, собаки, куча прихожан - тут без вариантов.</t>
  </si>
  <si>
    <t>Чайник выбрал из-за бренда и гарантии на 2 года. Через неделю перестала открываться крышка от кнопки. Через две недели соскочила кнопка с рычажка переключения. Через месяц перестало работать ручное отключение. Надо только разогреть воду, а чайник не отключается пока не закипит вода сколько не переключай рычажок отключения. Через 2,5 месяца периодически стало не срабатывать автоматическое отключение при закипании воды. Один раз включил и вышел из кухни. Вернулся через 20 минут - полная кухня пара, под чайником лужа, два листа обоев вверху отклеились. Гарантийная мастерская на другом конце города. Не поехал сразу, а стал следить за закипанием. Через 3,5 месяца время от времени при кипячении стали появлятся небольшие лужицы воды на поддоне. Через 4 месяца надоело и отвез в гарантийную мастерскую. А там заявили, что поломка механическая и видимо я сам сломал (уронил). Хотя не ронял. И что это за пластмасса внутри, которая должна ломаться - это же не стекло! Сказали, что отправят фото в представительство фирмы и если оттуда придет разрешение, то отремонтируют по гарантии. Разочарован полностью и в качестве и в сервисе.</t>
  </si>
  <si>
    <t>1220</t>
  </si>
  <si>
    <t>Стираю уже год, очень довольна. Стираю очень часто, но чаще пользуюсь только программой быстрой стирки.    Из недостатков: иногда не отжимает, приходится загружать повторно. В среднем отсеке постоянно после стирки стоит вода. Что это такое до сих пор не поняла.</t>
  </si>
  <si>
    <t>Уже год с мужем пользуемся данной щеткой. Действительно, очень хорошо чистит зубы, которые обычной щеткой не вычищаются и остается налет. После этой все зубки чистые и гладкие. Что касается десен, то раньше у меня они были очень чувствительными, а теперь такой проблемы нет. Если только куда- то еду без нее, то снова от обычных щеток начинают болеть десна. В общем, мы очень довольны покупкой. Тем более, что очень удобно на семью , можно купить несколько насадок. Лучше насадки покупать сразу с запасом,т.к.каждые 3 месяца их нужно менять.</t>
  </si>
  <si>
    <t>Купили месяц назад, стандартная щетка полная фигня, надо еще за отдельную плату брать турбо щетку, вот с ней он работает.</t>
  </si>
  <si>
    <t>2016-05-27</t>
  </si>
  <si>
    <t>Нормальный (обычный) водогрей, каких много. Установили без проблем. Подключили также без проблем. Включили... Через 3 часа заметили, что подводка холодной воды ГОРЯЧАЯ!!! Термостат ни разу не сработал за это время. Из обратного клапана ничего не капает. Открыли кран горячей воды.... Услышали шипение, пар. Короче. Регулятор температуры оказался СВЕРНУТ. У нас стояла средняя температура, III, а на самом  деле термостат был свернут (Узнали об этом сняв крышку и потрогав его флажок руками). Расстроились, что придется сливать воду, снимать, везти в магазин на замену (всего 3 дня, как купили). Но повернув флажок регулятора вокруг оси, услышали щелчок. Оказалось, что мы его таким образом в нормальное положение поставили (СДЕЛАВ 1 ПОЛНЫЙ ОБОРОТ!!!!) Выключили и оставили до утра... Утром заново включили, на самый минимум. Через 40 мин бак отключился. Перед выходом на работу времени больше не было. ОЧЕНЬ надеемся, что теперь он в норме. Вечером, после работы, снова понаблюдаем. Вот такое качество сборки и комплектующих. Качество товара немного расстроило. Такого быть не должно!!! Будьте внимательны при покупке. Проверьте, если у вас регулятор температуры проворачивается на 360 град и более, значит такая же фигня. Там флажок регулятора проскакивает стопор. Если эта беда повторится, повезем менять, хоть и не очень хочется этим заниматься. Это не утюг в 1кг. Обидно!</t>
  </si>
  <si>
    <t>Отличная модель. Замечательный, стильный дизайн по виду дорогой модели, богатая полифония, устойчивый сигнал, FM приёмник с гарнитурой, фото/видео полный стандартный набор. Очень доволен покупкой. Цена удивительно доступная для такой солидной модели, кстати на порядок дешевле чем в других сетях города.</t>
  </si>
  <si>
    <t>Я почитал отзыв и тоже попробовал ее устойчивость в микроволновке. 3 минуты в гриле и ничего, и даже не поплавилась. Работает. И стиралка ее не взяла. Пользуюсь уже год. Рекомендую.</t>
  </si>
  <si>
    <t>Появилась проблемка, западают кнопки и трещит звук. Биос прошивал, винду менял, дрова посл. ставил, все равно барахлит левая колонка, не знаю уже что делать, куда нести? хочу обменять на другой!</t>
  </si>
  <si>
    <t>телефон супер,пусть и не очень функционален. никаких проблем со связью нету. очень доволен телефоном.</t>
  </si>
  <si>
    <t>Современная вещь, которая может сделать за 2 минуты 4 кг превосходного фарша. Отлично смалывает даже мясо с прожилками. Колбаски делать жена еще не пробовала, т.к. купили совсем недавно, но уверен, они получатся такими же вкусными, как котлеты, что она делает с помощью этой мясорубки.</t>
  </si>
  <si>
    <t>1501</t>
  </si>
  <si>
    <t>2016-07-24</t>
  </si>
  <si>
    <t>Полгода у нас работает и тьфу-тьфу ничего не сломалось! Сделана на вид аккуратно, детали надежно закреплены плюс фильтр металлический не болтается. Очень хорошая и яркая подсветка имеется, по вечерам ее достаточно, чтобы готовить и кухню освещать. Гудит немного, правда, уже на второй скорости, но все домашние уже привыкли, так что нарекать особо не на что. Еще и гарантия на два года выдается, а не на год, как у подавляющего большинства моделей - если что вдруг случится, можно спать спокойно. Довольна!</t>
  </si>
  <si>
    <t>Купила сумку, для видеокамера Flash HD Sony HDR-CX620. Очень понравилась - прочная, компактная и вместительная.</t>
  </si>
  <si>
    <t>Полное разочарование, хватило его на 3 года, жаль подсветкой мало пользовались. С ремонтом не стали связываться (проблема с матрицей), купили новый ТВ другой фирмы.</t>
  </si>
  <si>
    <t>2103</t>
  </si>
  <si>
    <t>Доставили 11.06.2013 кондиционер. После 10 минут работы стал тарахтеть как компрессорная станция. Надеюсь, смогу сдать с возвратом затраченных средств. Менять не хочу раз не задалось спервоначалу.</t>
  </si>
  <si>
    <t>2014-11-07</t>
  </si>
  <si>
    <t>В ней есть конвекция, как в хорошей духовке. Результат очень порадовал, хлеб получился реально очень пышным и вкусным, еще жена делала тесто на вареники, все тоже очень просто и замечательно получилось! В общем очень довольны своим выбором, спасибо тем, кто оставлял здесь свои отзывы, они мне очень помогли!</t>
  </si>
  <si>
    <t>Пользуемся вентилятором неделю. Очень довольны. Купили как альтернатива мобильному кондиционеру, который дети увезли на дачу. Кратко: мощный, не шумный, красивый, приятно пользоваться. Рекомендую купить!</t>
  </si>
  <si>
    <t>1168</t>
  </si>
  <si>
    <t>Купили мини печь Делонги 2 месяца назад, очень довольны, запекает отлично все, как ниже написано, пробовали тоже и курочку, индейку,свинину, пицца 100 баллов!!!! Мы вообще изначально хотели ее купить для приготовления домашней пиццы, но когда прочитала, что она скажем "универсальная"  очень обрадовалась... Вчера делала кексы - смак!!!! Моется очень легко, в общем мы довольны!!!! Рекомендую.</t>
  </si>
  <si>
    <t>Много нужных программ, стирает отлично, не глючит (стирает точно указанное время), порошок вымывает полностью (у предыдущей машины были с этим проблемы), при отжиме не скачет (что меня удивило при 1200 об/мин). То, что можно назвать недостатками: шумноватый насос, щелчки реле и громкий щелчок при автоматическом открывании дверцы. За эти деньги отличная машинка, берите, не пожалеете!</t>
  </si>
  <si>
    <t>2162</t>
  </si>
  <si>
    <t>2014-05-05</t>
  </si>
  <si>
    <t>Чайник на 5, но некрепкий, кинул в стену - чайник рассыпался и больше не работает. Хватило на 2 месяца.</t>
  </si>
  <si>
    <t>ТОваром в принципе пока довольна, пользуемся неделю, цена конечно дороговата, но надеюсь оправдает себя! Не удобно, что надписи на кнопках не по русскому! Закипает примерно минут за 30! С 98 до 60 гр. остывает часа за 4! У кого маленький ребенок оч.удобно!</t>
  </si>
  <si>
    <t>Вытяжка ужасного качества,  по приезду домой при проверке она проработала минуту, отказала первая скорость. Сразу же возвращена в магазин. НЕ РЕКОМЕНДУЮ!!!!!</t>
  </si>
  <si>
    <t>Купили холодильник перед Новым Годом в г.Краснодаре. Привезли,выдержали время,включили. Немного смутил неприятный запах пластика из холодильника.Через 30 минут работы раздался сильный треск.Оказалось-треснула внутренняя обшивка морозильника.В шоке позвонили в сервис,нас направили в магазин.В магазине были приятно удивлены,даже поражены приветливостью менеджеров магазина.Не верилось,но холодильник нам заменили.Запаха в холодильнике не было и работает без проблем,намного тише,чем предыдущий.Холодильник СУПЕР,очень довольны,присоединяюсь ко всем комментариям.Сделали вывод,что первый холодильник был с некачественным пластиком,поэтому следует обратить внимание на запах.Второй холодильник запаха не имел!Не сомневайтесь,покупайте,не пожалеете.</t>
  </si>
  <si>
    <t>Не буду писать какая крутая печь, пользуюсь второй день. Внешний вид просто шикарны, успел приготовить цыпленка гриль, готовил 1,5 кг 25 минут, изумительный вкус! Иза плохой сборки в КОМБО2 режиме из-за вибрации очень громко дребезжит верхняя панель, если положить руку или ещё чего - перестает. Есть небольшие недостатки в плане внутренней конструкции, но со своими функциями справляется и готовит супер. Если оборудуется серьёзный дефект или произойдет поломка, обязательно отпишусь.</t>
  </si>
  <si>
    <t>Купил сегодня, yota не оказалось, стал звонить в службу поддержки - посоветовали звонить в саму yota, там объяснили где и что скачать и установить (32). Еще небольшое неудобство - в магазине взял чехол, но нетбук вместе с батареей, которая крепится сбоку в чехол лезть не желает, приходится долго и аккуратно его втискивать и так же геморройно вынимать, хотя продавец уверял, что чехол в размер(на фотографиях и в зале нетбук без батареи, имейте ввиду, что его габариты с батареей больше).</t>
  </si>
  <si>
    <t>2733</t>
  </si>
  <si>
    <t>славненько и дешево!</t>
  </si>
  <si>
    <t>Классный дизайн! всё удобно и красиво. За исключением одного: КРЫШКА! Это кошмар какой-то. Сломалась так же как и у всех через год с лишнем, пару раз чинили (т.к очень нравится), но бестолку. Доп.гарантию брать не стали, а надо было. Хотите этот чайник? берите доп.гарантию и живите спокойно. Правда за нынешнюю цену я б не взяла.</t>
  </si>
  <si>
    <t>Фритюрница понравилась, единственный минус для нас- это большой объем масла. Брала для детских праздников, т.к. дети очень любят картошку фри.</t>
  </si>
  <si>
    <t>Сегодня привезли моющий пылесос. Я очень его ждала,т.к. в доме кошка и очень хотелось отмыть от шерсти диван и ковры. Сразу же собрала его (по инструкции - просто) и приступила. Насторожило то, что из щеток вода не распыляется, а льется хорошей струей. Диван и ковер сразу же намокли, а шерсть осталась на месте, правда вода все равно была очень грязная. Зато порадовало мытье пола: и ламинат в  комнатах, и плитку в кухне и прихожей отмыло так, как не получалось вручную. Итог - подходит для мытья полов и гладких паласов. В принципе для генеральной уборки два раза в месяц можно использовать, не чаще с учетом трудоемкости заливки воды, слива грязной,мойки и сушки внутренностей после уборки.</t>
  </si>
  <si>
    <t>очень довольна, купила на последние деньги, качество замечательное, если фотаешь без движения. для тех,у кого руки трясутся, он не подходит - фото получаются смазанными</t>
  </si>
  <si>
    <t>Мне подарили эту соковыжималку.Очень понравилась, я довольна.</t>
  </si>
  <si>
    <t>1253</t>
  </si>
  <si>
    <t>очень хлебопечь понравилась. правда, не совсем разобрались со сборкой- вытекло молоко. надеюсь- моя ошибка и не придется возвращать ее магазину.</t>
  </si>
  <si>
    <t>Хорошая печь, мощности для быстрого разогрева хватает.</t>
  </si>
  <si>
    <t>871</t>
  </si>
  <si>
    <t>Офигенный, стильный телефон. Большой экран, яркие цвета.  Купил пару недель назад. Все приложения на нем летают.  ГПС навигатор тоже не подводит, другие навигаторы отстают от этого на несколько шагов. Показывает пробки на маршруте, сокращения пути, езда по бездорожью, кучу всяких настроек и функций. Вобщем всем советую, покупайте!)</t>
  </si>
  <si>
    <t>2650</t>
  </si>
  <si>
    <t>2 Настёна   Сколько будет 320-(140+140)=40 гб на скрытый раздел</t>
  </si>
  <si>
    <t>нормальный телефон, без зарядки держит трое суток это точно... минусов пока не нашёл....</t>
  </si>
  <si>
    <t>все супер))</t>
  </si>
  <si>
    <t>Пользуюсь поверхностью 3 года. Проблем нет. Все пятна удаляются спец.чистящими средствами для стеклокерамики. Довольна.</t>
  </si>
  <si>
    <t>Купили вчера в М.Видео. Сразу пришли и решили ее опробовать в работе на свинине, кидали прямо с жилками - переработала отлично, 3 кг свинины смолола примерно за 2 минуты. Первое впечатление - супер.</t>
  </si>
  <si>
    <t>При получении товара я спросила выдающих (парень и девушка), будем ли проверять магину? Мне сказали, что "вы можете оценить только внешний вид". Я приехала домой и не смогла запустить машину. Она гудела и не крутилась. Не крутилось устройство, которое мешает белье. Я сразу вызвала мастера, который объяснил мне, что одним из первых пунктов в инструкции по эксплуатации товара сказано: "При покупке стиральной машины обязательно проверьте ее исправность путем пробного запуска, комплектность, отсутствие повреждений."В итоге - оказалось, спал ремень в машине. И это, я так поняла, можно было установить до того, как я принесу машину домой  и запущу ее.</t>
  </si>
  <si>
    <t>Приобрёл около несколько дней назад. Выбирал между Samsung( так как до этого был 37'), Sony, Lg и Toshiba. Прочитал много обзоров по 42' моделям этих фирм. В итоге выбор пал на Toshiba, к слову заметить у Samsung вообще нет 42'жк панелей.   Отличное качество картинки на DVD через HDMI, качество эфирного приёма(кабельное тв) на 4, но это огрехи самого кабельного вещания, а не тв. У Toshiba качество принимаемого сигнала выше, чем у моего преыдущего Samsung, картинка более чёткая, звук с преобладанием низких частот, что меня радует. Телевизором очень доволен-качественная картинка, хороший звук, отличный дизайн. Пластик телевизора не скрипит, чем немного грешил Samsung. Рекомендую, отличное соотношение качество-цена.</t>
  </si>
  <si>
    <t>Пользуюсь этим комплектом чуть больше года. Пока всё нравится. Цена на зависимый комплект получается дешевле чем покупать по отдельности. Качество сборки хорошее. Особенно импонируют утапливаемые ручки управления с подсветкой и наличие противней в количестве 3х штук, плюс решётка. Сразу ознакомилась с инструкцией и если возникают вопросы, снова туда ныряю. Поэтому сюрпризов и неприятностей не доставляет.   Конечно это экономичный вариант. Здесь нет каких-то мега-доп.функций, вроде замка от детей или индикаторов температуры блюд и отключения. Всё достаточно просто и предсказуемо. Но я до этого пользовалась автономной советской конфорочной плиткой, поэтому всем довольна.  В принципе можно поставить и 5.(вспомнила что есть таймер выключения духовки с сигналом, жаль что варочная панель не отключается таймером)</t>
  </si>
  <si>
    <t>В принципе все устроило.   Кроме 1: Радио плохо ловит (в маршрутке не послушаешь постоянно волна плавает)  2. Проги на диске так себе, конвертор не работает  3. уши не очень удобные, вываливаются постоянно (  4. Объем памяти маловат  Но в целом доволен.</t>
  </si>
  <si>
    <t>Мне его подарили, только он шел немного в другой комплектации. Он отработал 5 лет, сделан очень качественно, из приятной пластмассы и регулировка температур размещена очень удобно, да и волосы не выдергивает! Сейчас он сломался =( Но после 5 лет использования через день, это даже не обидно! =) Хочу взять той же фирмы, но с дисплеем температур.</t>
  </si>
  <si>
    <t>Мясорубкой очень довольна, со своей основной функцией справляется отлично. Особое удовольствие доставляют насадки с помощью которых можно натереть овощи (незаменимы при приготовлении зимних заготовок).</t>
  </si>
  <si>
    <t>Очень компактный и удобный набор! Можно брать с собой в поездки, заменяет целый несессер, а по цене еще дешевле! Пользуюсь им на протяжении двух лет каждый два-три дня, ногти всегда отлично выглядят!</t>
  </si>
  <si>
    <t>2013-10-09</t>
  </si>
  <si>
    <t>Холодильник ёмкий, красивый, удобный, бесшумный. Очень рады, что его купили. 555 литров ёмкости хватает для всего!</t>
  </si>
  <si>
    <t>Данную модель не советую. У нас тоже лопнула шестеренка, передающая вращение от мотора к насадкам, хотя блендером пользовались не часто, только для детских пюрешек. В комплекте были 2 чаши, сломались обе. Замена чаши (гарантия уже истекла) стоит 750 руб., лучше бы купили блендер другой марки.</t>
  </si>
  <si>
    <t>Являюсь обладателем данного пылесоса уже год. По началу действительно работал хорошо, радовалась, что не надо мешки выбивать или менять и т.п.   НО:  1) фильтр забивается после 1-2 уборок, а высохнуть к следующей уборке не всегда даже успевает, к тому же сетчатый фильтр вообще не вымывается :(.   2) все время перегибается шланг, уж что только мы ни делали  3) непонятно почему теперь еще и реветь стал    В общем, если честно, жалею что приобрели данную модель, может не стоит экономить и купить что-нибудь поприличнее сразу? а то в итоге выйдет себе дороже.</t>
  </si>
  <si>
    <t>457</t>
  </si>
  <si>
    <t>Хороший телевизор.Сделан в России.Дизайн и сборка на ура.Изображение по кабельному каналу вполне приличное.Изображение с двд-проигрывателя на 5,HDMI пока не пробовал.Настройка каналов-проще не бывает,но что бы их перенумеровать по своему, нужно повозиться((.Здоровенный пульт не есть гуд.Остальным вполне доволен.</t>
  </si>
  <si>
    <t>Очень понравилась,  устойчивая, добротно сделана подставка под парогенератор. Широкая поверхность, а рубашки гладятся на ура:) Советую. Единственное, чтобы я изменила, - насадки на ножки, они пластмассовые, а для дома лучше прорезиненные. Доска стоящая</t>
  </si>
  <si>
    <t>Играл минут 30.  Первое впечатление от игры - не плохое, ну и не шикарное, многие хвалили её до ужаса. Я ничего особенного не увидел. Может быть в дальнейшем моё мнение изменится.</t>
  </si>
  <si>
    <t>Прекрасная модель! Подарили три года назад - до сих пор пользуюсь, без единой поломки!!!</t>
  </si>
  <si>
    <t>Очень хорошая машина. Тихая. Покупал для просмотра видео, в составе домашнего кинотеатра. Очень компактная. Очень быстрая. В общем очень доволен.  Из минусов: через часов 5 нагревается видеокарта порядка 65 градусов и жесткий диск 51-56 градусов (everest).Процессор всегда 31 град.  В описании неточности: память DDR3 1333 одна планка 2г., USB 4 сзади и 5 спереди. Корпусного вентилятора нет, это Блок питания. У дискретной видеокарты dvi и hdmi. у встроенной sdub и hdmi.</t>
  </si>
  <si>
    <t>Утюг хороший.   Нагревается мгновенно, мощность большая, температуру держит достаточно долго. Подошва steamglide - по слухам, одна из лучших на данный момент (в этой ценовой категории), скользит легко. Но не надейтесь, что при большом нажиме не будет оставлять лоснящихся пятен - марлю все равно иногда придется использовать.  Не легкий (но и не чугунный!) - это кому как больше нравится.  Действительно шипит громко при \"паровом ударе\" (здравый смысл подсказывает, что это нормально), и пар действительно подается только из носика (как и заявлено производителем). Так что не надейтесь, что сможете использовать его как полноценный отпариватель, но пару грубых складок на пиджаке отпарить сможете.  При горизонтальной глажке пар подается через все отверстия, не громко (как у любого другого утюга), достаточно равномерно, ибо отверстий много.   Большой резервуар на 350 мл - что, по-моему, хорошо + стаканчик с узким носиком для заливания воды. Отверстие достаточно большое, чтобы аккуратно вылить оставшуюся воду и не залить при этом весь утюг. Заглушка плотная - ничего не протекает, не выливается.   Система анти-капля - работает. Но не стоит забывать про конденсат, с которым ничего не поделаешь.  Про двойную систему анти-накипи ничего сказать не могу, так как купил совсем недавно. Но здравый смысл опять же подсказывает, что не стоит на неё сильно надеяться - и воду использовать хотя бы фильтрованную.  По цене - думаю, можно и дешевле найти достойный аналог, явно накручивают за систему анти-накипи (на которую все же хочется понадеяться).  Из минусов - нет системы самоотключения, да и поцветастее мог быть.   А еще у него суперский разбрызгиватель! если им кто-то вообще пользуется.</t>
  </si>
  <si>
    <t>Вчера купила. Пока нравится все. Яркий красивый экран. Большой, но тем не менее, очень удобный. Пока косяков не нашла, если найду сообщу дополнительно. Очень довольна покупкой.</t>
  </si>
  <si>
    <t>Купил 3 дня назад - просто вертолет, удивило что дна нет. До этого был БОШ проработал 8 лет безупречно. Эта машинка прыгает по всей ванной комнате просто какой то ужас, раскачивается,дребезжит, выставлял по уровню с точность авиационных приборов - ничего не помогает, пробовал и на плитке, и на полу в коридоре на ламинате и в кухне на линолеуме.</t>
  </si>
  <si>
    <t>2220</t>
  </si>
  <si>
    <t>Инна  у меня ключ находится на нижней панели))) там есть наклейка....</t>
  </si>
  <si>
    <t>Фигня полная подарили думаю кому ее продать с дисконтом  У меня старый фотоаппарат снимает и то лучше видео. так такой фот будет новый стоять 3 тр. Единственное отличие это наличие зума х70. Но с таким качеством записи этот зум не нужен. Фотографии вообще 640х480 в телефонах уже камеры лучше и мощнее. Для кого такое г... выпускают не пойму</t>
  </si>
  <si>
    <t>2943</t>
  </si>
  <si>
    <t>Купил такой же только европейской сборки 5604/12Н.  Сразу накатил новую прошивку и уже пол года ненарадюсь.  Качество супер! Все работает! Флешки все форматы читает!  Так что ищите европу.</t>
  </si>
  <si>
    <t>865</t>
  </si>
  <si>
    <t>Игра очень классная и в отличии от Ришата, который живет в Екатеринбурге, я лично купил игру с русскими субтитрами</t>
  </si>
  <si>
    <t>2015-07-19</t>
  </si>
  <si>
    <t>Модель достойна отдельного внимания и на мой взгляд один из немногих вариантов для тех у кого очень маленькая ванна или совмещенный вариант.  Вполне нормальный вариант по функционалу, по количеству программ может позавидовать даже премиум сегмент.  Вполне оптимальное число оборотов для нашего времени 1000, этого хватит чтобы почти насухо выжать любую хлопчатую ткань.  Поэтому к достоинствам этой модели можно смело отнести компактность, загрузка 4 кг, вместит в себя 1 комплект постельного белья. Большое количество программ, есть режим деликатного отжима (легкая глажка). Устойчива, при своей миниатюрности весит 65 кг, но замечу если пол кафель или плитка, 100% лучше подкладывать резиновый коврик или ножки, т.к. аэродинамические законы на таких поверхностях  сдвинут даже полногабаритные аппараты. Не стоит также забывать снять транспортировочные болты перед использованием, иначе есть риск не только лицезреть танец  машины, но и повреждение ванного фасада. Так же наличие таймера отнесу к большому плюсу, всегда удобно видеть сколько осталось времени до конца стирки. Что касается качества аппарата, не стоит забывать про российскую сборку, которая у многих производителей порой оставляет желать лучшего, так что кому как повезет.   Итог - компактная, функциональная модель при вполне доступной цене. Рекомендую.</t>
  </si>
  <si>
    <t>2016-12-27</t>
  </si>
  <si>
    <t>выпрямляет быстро и не жжет волосы</t>
  </si>
  <si>
    <t>Купили этот телек. Ехали за филипсом, который FullHD тоже 32 дюйма. В магазине сравнили картинки - СОнька оказался значительно лучше и по чёрному и по насыщенности. Сравнивали с более дорогими, 26-33к руб. - разница минимальна, хотя чувствуется только, если рядом поставить(Причём самоt лучшее изображение у Самсунга и LG, потом сонька). Про нечёткость и плохое качество эфирных каналов: ЛЮБОЙ ЖК до 60к руб. их будет показывать хуже ЭЛТ. меня устраивает качество эфирных, хотя надо будет перейти на цифровое. А все прелести FullHD будут заметны только при соответствующем сигнале, например с blue-ray. а так - хорошее качество по хорошей цене.</t>
  </si>
  <si>
    <t>2014-08-04</t>
  </si>
  <si>
    <t>Купила,подключила,улыбка с лица не сходит уже несколько часов.Льется горячая, с одним кольцом в лейке(на входе вода леденющая). Если два кольца или 3,то уже даже руки неособо приятно мыть. Простота в подключении,даже инструкция не нужна.Рекомендую для временного пользования, на время отключения горячего водоснабжения.</t>
  </si>
  <si>
    <t>Купили с женой неделю назад.Долго выбирали,выбор остановили именно на ней,консультант посоветовал и нисколько не пожалели.Экспрессо просто супер с нежной пенкой,латте изумительное.Чистится просто и легко(варочный блок)промывается водой,тратиться на дорогую химию не нужно.Вобщем мы довольны.Всем советую!</t>
  </si>
  <si>
    <t>а вы можете прошить саму   Игровая консоль PlayStation Portable Sony PSP-3008 Black Base▶▶▶ОТВЕТ ЭКСПЕРТА «М.ВИДЕО»◀◀◀Александр, производитель рекомендует использовать только оригинальное программное обеспечение и лицензионные игры в цифровом или физическом виде.</t>
  </si>
  <si>
    <t>Посмотрел справочник, для подключения достаточно сечения 1,5 кв (5 кВт, открытая проводка, медь). Для надежности взял 2,5 кв. Проводка не греется. Пользуюсь 2 года. Доволен.</t>
  </si>
  <si>
    <t>Купили сегодня эту мясорубку, повелись на цену (с совами и картой вышло на 1100 руб. дешевле). принесли домой, распаковали, оказалось, что то самое крепление хоть и пластиковое (как у 90% современных мясорубок вообще-то), но толстое и крепкое оказалось просто напросто сломано, все детали были во вскрытых (!) пакетах - ее явно уже возвращали назад. Не долго думая, повезли обратно в магазин. там приняли без вопросов. Взяли такую же, но целую. Посмотрим как будет работать. Полкило говядины (нарезали кусками 5х5 см) перемолола меньше чем за минуту. Морковь тоже нашинковала хорошо. Для своей цены мясорубка вполне приличная.</t>
  </si>
  <si>
    <t>2016-12-23</t>
  </si>
  <si>
    <t>Цена соответствует качеству, стильный дизайн, самоочистка, сухое и влажное бритье</t>
  </si>
  <si>
    <t>Машинку купила почти 2 года назад. Мы ею пользуемся по нескольку раз в день. Работает отлично.   Стирает хорошо. При деликатной стирке вещи из нее, как новые достаешь.  Пока цела, хотя мы ей пользуемся очень неаккуратно.</t>
  </si>
  <si>
    <t>Весы мне очень понравились. Поверхность слегка выпуклая. И это не является недостатком как некоторые написали. Как бы я на них не вставала, они показывают одну и ту же цифру, вплоть до граммов. Весы поставила в одно место (удобное для всех) и больше их не передвигаю, тем самым обеспечивается стабильный результат при взвешивании. Для того, чтобы весы показали вес на них нужно спокойно встать, а чтобы повторно измериться (например, Вы сняли одежду), то просто сойти с них. И как только они погаснут - снова встать.  Покупкой очень довольна.</t>
  </si>
  <si>
    <t>Купили недавно эту машинку. Устроили тест-драйв,стирали без остановки. Работает очень тихо,самое главное у кого есть дети,есть блокировка кнопок. Советую всем эту машинку.Соотношение цены и качества очень радует.</t>
  </si>
  <si>
    <t>529</t>
  </si>
  <si>
    <t>Мама купила -ужаааасный микрофон в нем!!!!!!!! Ни слова не разобрать - ухо "режет". Доводит до нервного тика :-)</t>
  </si>
  <si>
    <t>Не утюг, а полное недоразумение . Без пара ничего не выглаживает, включаешь пар, руку близко держать нельзя , ошпарит в две секунды . А как же тогда выглаживать рубашку ? Вместе с паром вылетает из подошвы вода и потом мокрые вещи приходится высушивать без пара. Не регулируется мощность подачи пара, просто давит на всю мощь. Я понимаю это необходимо для глажки полотенец и пододеяльников, но ведь дома полно и других вещей ! Достал свой старый утюг. Советую прежде чем купить, попробовать его в действии .</t>
  </si>
  <si>
    <t>потек через 3 года. Кнопка включения не работала сразу, но муж разобрал и внутри подрезал какой-то заусенец, который и "отключал" кнопку. 3 года прослужил исправно, сейчас потек.</t>
  </si>
  <si>
    <t>Совершенно безполезная вещь.Толку абсолютно никакого.Не знаю, какую площадь обогревали вышевысказывающиеся, но наша 18 м. комната не прогрелась ничуть .С таким же успехом деньги можно было просто выкинуть((, очень разочарован.</t>
  </si>
  <si>
    <t>2 недели назад купила эту модель , я очень довольна не только ценой, но и качеством: русский язык есть, полифония, удобный телефон ))))</t>
  </si>
  <si>
    <t>1055</t>
  </si>
  <si>
    <t>Я не знаю ребята, у кого что тупит, но аппарат отличный, он у меня уже 2 месяца, и всё робит отлично. Всё обновляется и всё робит. Единственно мне не понравилась прога GPS Navifon что стояла по стандарту, я её сразу заменил на лицензию Navitel и всё горя не знаю. До этого была Nokia 5530 XM, вот это действительно ТОРМАЗИЛО, слов нет. А в целом, нужно просто настроить его под себя, отключить то, что не надо, и всё.   PS: Прежде чем что-либо покупать нужно очень тщательно его смотреть.</t>
  </si>
  <si>
    <t>3228</t>
  </si>
  <si>
    <t>2016-10-03</t>
  </si>
  <si>
    <t>Раньше, когда были промокоды на 500р, можно было купить карту за 690р, сейчас уже низя:(</t>
  </si>
  <si>
    <t>2184</t>
  </si>
  <si>
    <t>Кирюх, не знаю что с твоим компом... Скорее всего сборка не удачная(ты это писал) Но комп просто чудо, у меня тоже были проблемы)) блок питание не для русских розеток!!! у меня комп вырубался в процессе работы (у кого такие проблемы даю совет), если гарантия есть, то вы можете потребовать, чтоб блок заменили специально для русских розеток!!! После... Никаких проблем все айс)) единственное Вин 7 плохо пашет на нем, а вот Виста просто летит!!! 0 проблем.. Все игры тянет!!!  в общем как я сказал - чудо!)</t>
  </si>
  <si>
    <t>1558</t>
  </si>
  <si>
    <t>отлииичный ужастик!!!!!  Любителям чужого советую купить.</t>
  </si>
  <si>
    <t>2012-01-07</t>
  </si>
  <si>
    <t>Купили около двух недель назад. Тихая-наслаждаемся просмотром телевизора( она у нас установлена на кухне)без регулировки громкости. Жена стирает практически каждый день, т.к. в доме маленький ребёнок. При отжиме где-то что-то постукивает-возможно, как писали в отзывах не закреплены провода. Единственное, хотелось бы, чтобы она проработала лет 8-10, тогда напишу ещё отзыв.</t>
  </si>
  <si>
    <t>1991</t>
  </si>
  <si>
    <t>Неплохая радиостанция я думаю за 1490 лучший выбор!</t>
  </si>
  <si>
    <t xml:space="preserve">цена, дизайн, бренд, эффект </t>
  </si>
  <si>
    <t>Проработал ровно пол года (прогнил изнутри и потёк), во время работы булькал и не стабильный напор.</t>
  </si>
  <si>
    <t>814</t>
  </si>
  <si>
    <t>Очень понравился по дизайну и в работе. Купила в М-Видео уже два года назад и нисколько не жалею! Никогда не подводил, очень хорошо себя ведет в жару(кондея на кухне нет, а сторона - солнечная, стоит возле окна, солнечные лучи попадают прямо на корпус). Полмесяца были перебои с электроэнергией ( дом новый - новострой, напряжение скакало конкретно)- всё выдержал достойно! Рекомендую. Особенно великолепен дизайн корпуса - под венецианку, супер! Да, очень удобная ручка и ночью горят светодиодики красиво! Грузила стеклянные полки конкретно - без вопросов! Спасибо за хороший товар, рекомендую!</t>
  </si>
  <si>
    <t>это новый уровень FIFA</t>
  </si>
  <si>
    <t>Отличная вещь, мы играем в нее всей семьей и с друзьями. Эта игра интересна не только детям, мы с мужем любим играть на Wii и устраиваем соревнования. Так же если купить доску-приставку, то Wii поможет разработать комплекс упражнений для похудения и будет контролировать ваш вес, один недостаток для Россиян все на английском языке.</t>
  </si>
  <si>
    <t>Тостер замечательный, хлеб поджаривает отлично. Хлеб сейчас уходит на ура. Берите эту модель не пожалеете.</t>
  </si>
  <si>
    <t>Модель швейной машины долго выбирала и остановилась на этой. Так как мне надо для домашнего использования, в основном подшить, вшить молнию и т.п...и что-то шить еще.  Пока что три дня эта машинка у меня. всё нравится. Мягкий ход, не очень шумная, лапки меняются одним движением. Пробовала шить, прошивала изделия, ремонтировала, всё очень быстро сделала. Сегодня попробовала заменить молнию. Вшила очень быстро, без проблем. Инструкция понятная, всё написано пошагово и картинки есть. Надеюсь, что прослужит долго! Советую!</t>
  </si>
  <si>
    <t>Эффективность, эргономика, надежность</t>
  </si>
  <si>
    <t>Купила этот холодильник-думала деньги на ветер.Оказалось он просто отлично работает!!!!!!!!! Спасибо за неплохой совет!!!!!!!!!!!!</t>
  </si>
  <si>
    <t>1994</t>
  </si>
  <si>
    <t>Купил этот телевизор, порадовало всё, но после дня просмотра он настолько нагрел, что радость сошла на НЕТ:( люди у кого этот телевизор, напишите весточку сильно ли он нагревается? у меня СИЛЬНО, примерно как обогреватели на слабом режиме, игнат что с твоим?</t>
  </si>
  <si>
    <t>2016-04-07</t>
  </si>
  <si>
    <t>Отличный вместительный холодильник. Доставка как всегда на высоте. Точно в срок и очень деликатно.</t>
  </si>
  <si>
    <t>1579</t>
  </si>
  <si>
    <t>Пару дней назад купил стиральную машину с СУШКОЙ. Выбирал между двумя марками: ARISTON ARMXXL 105 и Indesit IWDC 7105. Выбор пал на ARISTON ARMXXL 105. Так вот, что хотелось бы отметить, работает ARISTON ARMXXL 105 ОЧЕНЬ громко!!! Как только запускаешь какую-нибудь программу (стирка или сушка), и начинает вращаться электродвигатель внутри, появляется такой гул с рёвом!!! Я даже не ожидал (и это притом, что продавцы в магазине уверяли, что ARISTON тише, чем Indesit)! Вот теперь очень хочется послушать в действии Indesit IWDC 7105.   Есть претензии и к сушке. В инструкции написано, что в конце сушки происходит цикл остужения белья, но в моей машине этого не происходит и бельё после окончания сушки, как и вся стиральная машина, ОЧЕНЬ горячие.  Но при всех недостатках ARISTON ARMXXL 105 всё же стирает и сушит.  Если есть опыт владения стиральной машиной Indesit IWDC 7105, напишите, пожалуйста. Очень интересно сравнить!!!</t>
  </si>
  <si>
    <t>купила осенью. моментально его полюбила. очень удобный, маленький, аккуратненький, прост в управлении....а память..а батарея...шикарно))))  вот потеряла его недавно...через пару дней пойду покупать снова..и снова его)))</t>
  </si>
  <si>
    <t>Забивается моментально, при этом шумит за пятерых! С покупкой этого пылесоса уборка превратилась в кошмар. Качество пластика низкое, на шланге появились уже какие-то намеки на то что он собирается треснуть (использую всего то полгода). Мне кажется он даже свою цену не оправдывает, разочарован.</t>
  </si>
  <si>
    <t>Сегодня приобрели, пока всё очень нравится. Выжали все соки из яблок, моркови. Завтра планируем сделать грушево-яблочный сок. Шумит средне, молотит отчично. Жмых сухой, от моркови вообще одна стружка остается растерла ее с медом и орехами - получилась отличная витаминная паста к завтраку. Рекомендую всем!</t>
  </si>
  <si>
    <t>Вентилятор хороший. Работает 2-й год. В этом году уже 2-й месяц работает почти сутками.</t>
  </si>
  <si>
    <t>Купил ноутбук 5-го числа сего месяца, очень доволен, конфигурация хорошая, своих денег стоит. на работу нареканий нет, но есть минус - крышка ноутбука маркая, если закрываете его или частенько переносите, то готовьте тряпочку отпечатки пальчиков оттирать :) Общее впечатление отличное, продукту твердая 5.    P.S. Если у кого после обновления заводской Windows 7 через WinUpdate систему спустя некоторое время начинает периодически кидать в BSOD (синий экран смерти), то на сайте Acer выложили обновление VGA 8.682.1 (точнее это пак обновлений для видео платы, северного моста, чипсета и пр. от AMD), рекомендую обновиться, это поможет (перед установкой старые удалить). Так же можно обновить драйвера звуковой карты на более новые(не обязательно), драйвера есть на сайте Realtek.</t>
  </si>
  <si>
    <t>168</t>
  </si>
  <si>
    <t>Очень хорошее воспроизведение dvd и blu-ray!!Единственный минус не читает mp-3 и mp-4</t>
  </si>
  <si>
    <t>Сказка с потрясающими спец эффектами. Ах, Дженнифер Лопез...</t>
  </si>
  <si>
    <t>Пользуюсь 2 месяца. По техническим характеристикам  - отличный аппарат. Одно но - материал корпуса и жерновов не нержавеющая сталь, как меня уверяли в магазине. Ещё какая ржавеющая! Все капельки надо тут же тщательно вытирать, а хранить на балконе и в гараже нельзя.</t>
  </si>
  <si>
    <t>Недавно его купила, очень нравится, даже на третий день волосы остаются прямыми, дольше не пробовала. Кнопка выкл/вкл. абсолютно не мешает, нагревается быстро, провести по волосам достаточно одного - двух раз. Насчет пластин согласна - близко расположены, действительно пару раз обжигалась, нужно быть осторожнее! Действие ионизации не скажу что очень заметно, немного электролизуются, но все равно волосы становятся шикарными: мягкие и блестящие!   Если купите, не пожалеете!</t>
  </si>
  <si>
    <t>790</t>
  </si>
  <si>
    <t>Геймерский комп, у меня любая игра подходит сюда</t>
  </si>
  <si>
    <t>Купила печку белого цвета несколько лет назад, при её использовании верхняя крышка пожелтела от высоких температур - стала не вписываться в интерьер на кухне. Отвезла её на дачу, а домой купила такую же, но черного цвета. Теперь очень довольна. Легкая, проста в обращении, нет необходимости пользоваться духовкой в газовой плите. Рекомендую такую печь иметь каждой хозяйке!!!</t>
  </si>
  <si>
    <t>2012-10-14</t>
  </si>
  <si>
    <t>Через месяц захрипел один из этих замечательных динамиков. Бас не ощущался совсем, и то не выдержали простого магнитофона. Теперь буду что-то другое брать.</t>
  </si>
  <si>
    <t>По-настоящему долговечный, качественный, стильный, удобный</t>
  </si>
  <si>
    <t>Дизайн простой, функций минимум, мульт мизерный  все в угоду большой мощности и низкой цены, покупал в М.видео в марте 2012 с бесплатной установкой. Установили быстро. Вопросов нет. Спасибо. Кондиционер больше похож на общественный чем на домашний-включил и забыл-в настройках можно не лазить... их нет.</t>
  </si>
  <si>
    <t>2014-10-22</t>
  </si>
  <si>
    <t>Машина отслужила 5 лет, а потом разболтался барабан...точнее подшипник в барабане, бак монолитный, чтоб заменить подшипничек, нужно распилить бак....видимо потом после починки склеит....проще новую машину купить</t>
  </si>
  <si>
    <t>Покупали 4 года назад. Лежала в коробке, не подключали. И вот как год пользуюсь своей красавицей и умницей!  Про вилку: нас сразу предупредили в магазине, что в комплекте ее нет. И это не проблема, к современым розеткам крепится только проводами и закрывается какой то крышкой (я в этом не сильна).  Выпечка отличная, таймер (с ним удобно), легко чистится, запахи не накапливает. Стекла (их 3), снимаются и моются-всегда чистенько, нет потеков! Два протвиня, они не диформируются, ровные (проблема с перекосом протвиней у меня была с прошлой плитой)  Единственное предупреждение: При открытие дверцы при приготовление, будьте аккуратны!!! Горячий воздух вырывается с напором!</t>
  </si>
  <si>
    <t>2345</t>
  </si>
  <si>
    <t>Купил сегодня на работу. Не включается. Завтра поеду менять. Чайник полное разочарование.</t>
  </si>
  <si>
    <t>В дополнении к отзыву от 31.1.16 г.Того же дня отнес утюг в ремонт,в авторизованный сервисный центр Ремикс( г.Барнаул).Приняли,выписали квитанцию,пришла СМС с номером заказа.Уже в четверг вечером пришло СМС оповещение о выполнения ремонта,но из-за праздников,данный утюг забрал 7.11.16 г.</t>
  </si>
  <si>
    <t>В пользование камера удобна и понятна, но качество съемки и фотографий УЖАСНО!!!   Пойдем менять!!!</t>
  </si>
  <si>
    <t>Мрачные подземелья СС кишат нечистью и мощными монстрами готовыми разорвать вас, с которыми предстоит справиться. И если на первых уровнях игра идет в щадящем режиме, где вы отстреливаетесь от простых фрицев и вам хватает обычной винтовки. То на более поздних этапах ваш склад оружия будет забит базуками,снайперскими винтовками и лазерными лучами без которых просто не обойтись. Игра захватывает сюжетом и резкими нападениями вурдалаков из тени.     Мне очень понравилась игрушка, тайные комнаты и неоднозначные уровни не утомляют прохождением, а каждый босс уникален и требует смекалки.    Всем удачи в прохождении.</t>
  </si>
  <si>
    <t>Достоинства: объемный поток воздуха, в комплекте пульт ДУ! Больше достоинств не заметил.    Недостатки: включил, послушал - ужасный шум от трения в механизме. Низкое качество сборки - похож на дешевую китайскую игрушку, ломающуюся от падения. Разобрал и ужаснулся - в местах крепления оси барабана ни одного подшипника, везде втулочное взаимодействие, отсутствие смазки механизма. После 2 часов работы на 3-ей скорости вошел в комнату и почувствовал запах жженого пластика. Быстро выключил, опять разобрал - двигатель, вращающий барабан, накалился до степени плавления оплетки подводящего провода. Разобрал двигатель - опять же ни единого подшипника - все на втулках (сталь о сталь) без смазки.</t>
  </si>
  <si>
    <t>1427</t>
  </si>
  <si>
    <t>классная игра. как купил приставку - приобрел первой эту игру. тем кому нравится стрелялки на корабле в космосе - самое то. звук просто обалденный! (можно и ночью не уснуть). советую!!!!!!!</t>
  </si>
  <si>
    <t>435</t>
  </si>
  <si>
    <t>Купила. Очень рада качеству звука и громкости. Наушники в наборе даже в уши не влезают, так что купила новое.  Всем довольна только вот к кнопке включения привыкнуть надо)  Берите, не пожалеете ;)</t>
  </si>
  <si>
    <t>Нисколько не пожалела,что приобрела эту машину.Стирает хорошо,отжимает,работает бесшумно.</t>
  </si>
  <si>
    <t>А какой пакет каналов подключается при покупке в Иркутске?</t>
  </si>
  <si>
    <t>обалденный аппарат</t>
  </si>
  <si>
    <t>Продолжение истории с бошем. Вызывал сервисника 2 раза. И ни один не нашел проблему - седьмой фильтр (тангенциальный) до которого добраться ой как не просто. Зачем простому пылесосу 7 фильтров? Чтобы мощность всасывания почаще падала?Или может чтобы расходники почаще покупать, а если двигатель сгорит, чтобы сервис отказал в гарантии , так как фильтры забиты? А тот кто пишет что редко чистит фильтры в этом пылесосе, наверное живет в стерильных условиях</t>
  </si>
  <si>
    <t>1383</t>
  </si>
  <si>
    <t>Отличные уши в своей ценовой категории, может быть даже лучшие. Приятное плотное звучание с легким уклоном в низы. Оголяют многие огрехи в качестве записи, но и новые оттенки знакомых трэков открыть способны. Очень удобно сидят в ухе за счет небольшого размера. Короче, наушники очень и очень приятные.</t>
  </si>
  <si>
    <t>Купили в прошлом году этот утюг. Ужасный утюг.С самого начала он плохо скользил по одежде, потом к подошве стало всё липнуть, очищается подошва только вместе с эмалью, да-да вы не ослышались, подошва просто покрыта краской(!?) Потом подошва вообще перестала очищается. Отпаривание/глажка с паром работает через раз. Короче, через год, пользоваться стало вообще невозможно, пришлось покупать новый. Сейчас купили ****, небо и земля. Кстати до этого мы шесть лет пользовались утюгом Ufesa, великолепный утюг европейской сборки, сейчас почему то этой марки не видно, а жаль.</t>
  </si>
  <si>
    <t>Пользуюсь уже 2й год, отлично выпрямляет волосы, благодаря ионизатору волосы совершенно не электризуются. Отличный выпрямитель!</t>
  </si>
  <si>
    <t>2013-02-07</t>
  </si>
  <si>
    <t>Обогреватель не плохой,хорошо и быстро греет помещение. Поддерживает заданную температуру,места практически не занимает,перенесет даже ребенок. Минус,это- небольшой шум вентилятора,во время работы,но к нему можно привыкнуть.</t>
  </si>
  <si>
    <t>1560</t>
  </si>
  <si>
    <t>Покупая нетбук, уже по опыта знаю, что удобнее сразу купить привод DVD.  Первый раз в жизни, точнее мой первый нетбук, который без проблем "принял" привод! До этого трое других нетбуков напрочь отказывались "видеть" внешние приводы. Скорость работы нетбука - вполне устраивает. Подзарядки хватает на сравнительно долго. +1.    С Lenovo я уже ознакомлена, и управление не доставило мне никаких проблем. +1    Тихо работает. Это лично для меня одно из самых важных качеств. В моем случаи - я довольна нетбуком в этом плане +1    Стильный. Люблю когда нетбук тонкий, аккуратный. +1    Посколько мне очень часто нужно носить с собой нетбук - естественно для меня важно, чтобы он был легок на подъем. +1      И того - +5 :)</t>
  </si>
  <si>
    <t>Машинка нормальная, свою стоимость отрабатывает, проблем нет.</t>
  </si>
  <si>
    <t>2701</t>
  </si>
  <si>
    <t>Купил себе машинку Bosch WLX 20162 OE, мне очень понравилась. работает всё отлично, замечаний никаких не наблюдаю, советую.</t>
  </si>
  <si>
    <t>Работает хорошо, звук отменный, читает любые файлы, один "минус", очень не хватает пульта управления.</t>
  </si>
  <si>
    <t>За такую цену, конечно, ноутбука с такими параметрами не найти, поэтому и поставил 4.  Качество сборки желает лучшего. Сабвуфер фонит, пришлось его отрубить, включаю иногда, зависит от контента. Левый динамик дребезжит. Еще дребезжали зажимы в отсеке для дополнительного жесткого диска, но эту проблему сам решил. Не стал возвращать, т.к. понимал, что беру и за какую цену. А так вообщем машинка отличная, работает великолепно. Windows 7 напрягает, работает не стабильно.</t>
  </si>
  <si>
    <t>приставка просто супер красочные игры замечательный звук графика оболдеть различные игры кароче моя оценка к этой приставки и к м.видео + вам</t>
  </si>
  <si>
    <t>1597</t>
  </si>
  <si>
    <t>Купила этого красавчика 5 дней назад...а сегодня уже отнесла обратно в магазин! Во-первых, глючит по страшному (ну очень медленно листает и открывает файлы), во-вторых, вибрация пропала практически сразу, в-третьих, сенсоры не очень чувствительные (приходится по много раз нажимать на кнопки)! В общем мне очень жаль, что такой стильный, красивый плеер очень плох в своих функциях! На него можно только смотреть и любоваться! Не ожидала!</t>
  </si>
  <si>
    <t>Утюг разочаровал.Утюг индонезийской сборки полная ерунда по сравнению с Сингапурской (такой у сестры, очень довольна). Вертикальное отпаривание - только одно название. Надпись над индикатором автоматического отключения стерлась после второго использования. Подошва утюга притягивает вещи. Постоянно задевается бессмысленная кнопка ионизации. Очень много расходуется воды при отпаривании, нужно постоянно доливать. Утюг не оправдал ожидания.</t>
  </si>
  <si>
    <t>Бреюсь два года, имею жесткую щетину и раздражительную кожу.До этой бритвы бритьё казалось адом, Mach3-хватило лезвия на 2ва раза и то весь изрежешься и не пробреешься. Пробовал браун чуть получше лезвий, но раздражение. Панасоником бреюсь на сухую режущий блок пока не менял. Всем такую бритву советую.</t>
  </si>
  <si>
    <t>Эту сэндвичницу мы купили 2-е недели назад. Поначалу я хотела купить обычный тостер, но изучив предложенный м-видео товар, мы с мужем выбрали именно этот сэндвич-тостер, чтобы можно было делать и сэндвичи, и печь вафли. Долго сомневалась:стоит покупать или нет. Теперь поняла одно, хорошо, что купили. Мне понравился цвет этой сэндвичницы, её возможности и цена. Сендвичи делали много раз.Хлеб покупаем специально для тостов.Обязательно нужно смазать кусочки хлеба сливочным маслом (только не переусердствуйте, иначе масло будет даже под тефлоновой формой). Нужно смазывать внешние стороны хлеба,можно и внутренние - это на любителя.Пекла вафли, рецепт нашла в интернете. Чтобы вафли с обеих сторон были хорошо поджаренные и имели красивую форму, теста нужно класть столько, чтобы оно не тонким слоем было размазано по форме, но стоит один раз испечь и всё сразу будет понятно. Достоинства:компактная, красивая, сэндвичи хрустящие и вкусные, вафли тоже классные.Проста в употреблении. Недостатки: не нашла.</t>
  </si>
  <si>
    <t>Отзыв пишу от себя и за мужа. Чайник этот обожаю! Три года пользуемся( покупали по акции). Да шумит,да писчит,нам это обсалютно не мешает. А насчет того,что начинает у кого то подтекать,так просто не допускайте резких перепадов температуры,дайте чайнику остыть прежде чем наливать воду</t>
  </si>
  <si>
    <t>Мне телефон очень нравится! Глюков никаких не было! У меня в нем внезапно сломалась какая-то деталь и теперь не включается! =(</t>
  </si>
  <si>
    <t>Чайнику (было) 2 года - без проблем вообще. Но в один прекрасный день жена стала, как обычно, мыть его и прозрачная часть крышки просто раскрошилась. Представляете чайник с дыркой в крышке! В чем причина даже и не знаю, но  замечал, что эта крышка в процессе эксплуатации постепенно тускнела. Может пластик не качественный раз не выдерживает со временем температуру пара? А так, если бы не эта "мелочь" чайник отменный, без протечек и проблем.</t>
  </si>
  <si>
    <t>широкое поле для глажки</t>
  </si>
  <si>
    <t>2767</t>
  </si>
  <si>
    <t>Аппарат постоянно глючит!  Иногда при нажатии кнопки "отбой" начинает трезвонить мелодией входящего вызова. Иногда после этого пропадает звук и перестает работать микрофон(зависает), приходится вынимать аккумулятор.  Единственный плюс аппарата - это на мой взгляд довольно хорошее качество сборки(пластиковый корпус трубки не скрипит в руках)</t>
  </si>
  <si>
    <t>Купили несколько дней назад. Были удивлены, что нет провода к плите, он не идет в комплекте</t>
  </si>
  <si>
    <t>Пользуемся 1,5 года. Для точного отображения веса ставим на кафель в ванне. Гости в восторге от взвешивания. Иногда не с первого раза показывают вес-пишет "Error". покупкой довольны.</t>
  </si>
  <si>
    <t>Очень плохие весы.   Проработали нормально всего месяц. Сейчас погрешность в 2-3 килограмма и показания постоянно изменяются в сторону уменьшения (когда стоишь на весах). Пробовала заменить батарейку - не помогло.</t>
  </si>
  <si>
    <t>Шумит, а толку мало, турбина мощная, но ничего не всасывает, видимо, из-за своей формы</t>
  </si>
  <si>
    <t>Отличный чайник, хоть и Китай, но работает отлично, удобный дизайн. Что еще нужно от чайника?  Со временем появилась накипь, но столовая ложка лимонной кислоты все исправила. Надо вскипятить чайник с лимонной кислотой и он станет как новый!</t>
  </si>
  <si>
    <t>1539</t>
  </si>
  <si>
    <t>хороший телефон)  отсутствие современных примочек компенсируется временью работу....в режиме ожидания держит не 30 часов как указано, а прмерно неделю)</t>
  </si>
  <si>
    <t>2015-03-28</t>
  </si>
  <si>
    <t>Замечательная машинка. 1,5 года ей пользуемся. Миниатюрная, все отстирывает. Купили ее по акции. Пока только радует.</t>
  </si>
  <si>
    <t>2013-11-14</t>
  </si>
  <si>
    <t>Если с умом настроить, то цена и качество на 5!!!! Да и звук очень даже хороший, не ожидал за такие деньги такого эффекта!!!!</t>
  </si>
  <si>
    <t>2248</t>
  </si>
  <si>
    <t>Игра для настоящих любителей футбола.Намного лучше многих аналогов.</t>
  </si>
  <si>
    <t>Хороший фотоаппарат. Отличная съемка, хорошее качество. Много функций, удобный в использовании. Приемлемая цена и отличное качество. Покупкой очень довольна.</t>
  </si>
  <si>
    <t>Пока заметил один нюанс, дверца люка закрывается, но мягко говоря, с трудом, а в остальном все хорошо, это и резиновые (силиконовые) ножки, Удобная панель + дисплейчик, в общем пока нравиться!</t>
  </si>
  <si>
    <t>Этот вентилятор то что нужно в эти жаркие дни.  Когда сажусь работать перед ноутбуком ,ставлю этот вентилятор рядом , чтобы не умереть от жары, куллер же к тому же... Отлично помогает, жары как не бывало.  К тому же у вентилятора устойчивая основа, совсем ен вибрирует и не издает лишних звуков во время работы.не отвлекает меня...  Есть функция отключения при перегреве, это для меня очень важно , потому что вентилятор у меня работает долго , по нескольку часов. Хотя еще ни разу не перегревался. Очень удивился что получил такую качественную модель за такую малую цену. Рекомендую.</t>
  </si>
  <si>
    <t>вещь. круче не бывает. Первый раз такое.  Привезли в офис, включили - через 10 минут выбил розетку. Переключили в другую розетку, выбил вторую.Теперь 6 рабочих мест не работает. И что с этой рухлядью делать теперь?!</t>
  </si>
  <si>
    <t>Быстро и просто приготовит ароматный напиток. Наличие капучинатора - безусловный плюс.</t>
  </si>
  <si>
    <t>Отличная стиралка, великолепно работает, почти бесшумно, не сминает вещи, хорошо отстирывает, мало потребляет воды+сделано в Словакии, как плюс.</t>
  </si>
  <si>
    <t>Приобрел данную модель стиральной машины в субботу, сегодня ее доставили прямо в квартиру (всего за 200 руб!, предварительно позвонили и еще раз согласовали время - в это время был на работе, но т.к. время было удобное "обеденное", я быстро съездил домой и за час обернулся. Так что службе доставки "М-видео" большой респект!). Приобрести собрался именно эту модель и именно в "М-Видео". Во-первых цена для немецкой техники с такими характеристиками очень привлекательная, а во-вторых т.к. я в декабре купил в "М-Видео" телевизор PHILIPS 32 PFL 5604/H12 (тоже, кстати целенаправленно именно эту модель :-) и именно в "М-видео" по прекрасной цене), то в придачу получил карточки на 2 тыс. руб. Таким образом данная модель стиральной машины обошлась мне по факту в 17990 руб.(+200 руб. доставка). Сегодня же испытал ее в деле. Работает тихо, "не прыгает" при отжиме, все завяленные функции работают четко, меню и мануал - доступные. Очень удобна программа быстрой стирки (15 минут!), система "Аква-стоп" с электромагнитным клапаном тоже хороша. Считаю, что приобрел весьма солидную машинку с претензиями на "премиум" класс по такой приятной цене, чему очень рад! :-) Надеюсь, немецкое (мюнхенский завод СИМЕНС) качество не подведет и она мне послужит долго.</t>
  </si>
  <si>
    <t>4</t>
  </si>
  <si>
    <t>Отличная духовка! Очень рады своему приобретению! Печет на отлично! Вся семья полюбила и овощи запеченые, и мясо. Единственный нюанс: открывать в режиме готовки нужно осторожно - можно обжечься паром. А в остальном очень довольны!</t>
  </si>
  <si>
    <t>679</t>
  </si>
  <si>
    <t>Низкий уровень остаточной влажности!!!!! Видимо это единственный положительный момент.    Ужасный шум! Ни европа, ни азия себе подобного давно не позволяет.  Очень не практичные и не удобные трубы и сменные насадки, причем низкого качества!  Ребята! Не покупайте этот отстой из 18 - го века! Дешевле купить компрессор и на входе прицепит трубку от пылесоса!</t>
  </si>
  <si>
    <t>2015-08-11</t>
  </si>
  <si>
    <t>Громоздкий, очень шумный, занимает много места для хранения. Мощность всасывания при сухой уборке не оправдала моих ожиданий, я считаю, что лучше чем советские "ракета" и "буран"  по мощности еще никто не сделал. В целом по качеству уборки этим пылесосом довольна, только цена: я брала в феврале за 35 т.р., через 2 нед он стоил 25 т.р., а сейчас он и вовсе за  20 т.р. стоит -  я бы и этих денег за него не дала.</t>
  </si>
  <si>
    <t>телефон хорош, если бы не его сборка, может, это только у меня передняя панель отходит, не знаю, что с этим делать</t>
  </si>
  <si>
    <t>2012-09-14</t>
  </si>
  <si>
    <t>Давно мечтала, купила на свою голову! Деньги выброшены на ветер! Когда покупала у продавца спрашивала, чтобы виноград давила.Сказал давит шикарно! В итоге весь виноград вместе с соком оказался в жмыхе, да немного выдавила сока, но основную часть отправила в отходы! Все остальное давит, но также , как и любая другая за гораздо меньшую сумму!</t>
  </si>
  <si>
    <t>Получила хлебопечь в подарок, очень была рада, хлеб красивый, вкусный, но радость была недолгой через десять дней печь - остановилась. Отвезли а магазин ....</t>
  </si>
  <si>
    <t>2016-05-08</t>
  </si>
  <si>
    <t>1) Достоинства: большая мощность, длинный шнур, сумка для хранения и транспортировки, складная ручка  2) недостатки: Иногда после долгой работы появляется запах жженой пластмассы    Общее впечатление: Пользуюсь уже много лет. Хотела купить еще один в подарок. Жаль, что больше нет в продаже данной модели фена.</t>
  </si>
  <si>
    <t>Очень хороший телефон!  Лично мне телефон не нужен для игр,а для звонков.   Качество фото не очень, но на то это и телефон, а не фотокамера, так, что все устраивает.  Звук очень громкий, что очень радует.  Никакие кнопки не трещат, экран отличный, ничего не ломается не стирается. Пользоваться телефоном нужно аккуратно, тогда все ок будет</t>
  </si>
  <si>
    <t>Мне очень нравится. Процессор мощный. А то, что про кнопки пишут таких проблем нету. Очень даже удобные кнопки.</t>
  </si>
  <si>
    <t>2015-02-04</t>
  </si>
  <si>
    <t>Неубиваемый. 7 лет, меняю на такой же, пластик от времени пожелтел</t>
  </si>
  <si>
    <t>2014-04-27</t>
  </si>
  <si>
    <t>Чайник молодец, прослужил около пяти лет. Не бежит, быстро не остывает, решили купить новый, потому что крышка перестала закрываться и при кипячении приоткрывалась. А так чайник очень хороший, претензий к качеству кипячения нет, свои деньги отработал.</t>
  </si>
  <si>
    <t>2672</t>
  </si>
  <si>
    <t>Именно из-за этой игры я собираюсь купить xbox/ps3   Отличная прорисовка динамика, свобода движений в бою, фанатам аниме должно очень понравится.  Надеюсь к тому времени, как куплю платформу, игра будет у вас!</t>
  </si>
  <si>
    <t>Пользуюсь этим феном уже полгода. И ничего плохого сказать не могу о нём. Отличная вещь (5+). Ни разу не пожалела, что купила именно его.</t>
  </si>
  <si>
    <t>asd, ты не прав.  винда64 поддерживает 128gb оперативки, а не 64</t>
  </si>
  <si>
    <t>2960</t>
  </si>
  <si>
    <t>2015-08-10</t>
  </si>
  <si>
    <t>Это действительно мощный пылесос и очень тихо работает по сравнению с другими. В магазине мне его продемонстрировали и у меня не осталось сомнений что это то, что мне нужно. Не пожалел нисколько о выборе. И кстати мешки сменные, это очень удобно, наполнился, выбросил и не нужно ничего трясти, мыть и т.п. Предыдущий так же был с мешками, поверьте, очень удобно!</t>
  </si>
  <si>
    <t>Купил 2 года назад такой себе - очень понравилось, как работает. В прошлом году купил еще два таких - сестре и брату (на свадьбы) - они тоже очень рады и постоянно пользуются. Оценка 4 - т.к. у брата через полгода такой утюг сломался (застучал клапан). Он отнес утюг в М-Видео сервис-центр, они сдали его на ремонт в Делонжи. В делонжи починили, вернули через месяц. Сейчас пользуется - без проблем. Рекомендую. Цена хорошая. Отличный подарок для хозяек.</t>
  </si>
  <si>
    <t>Нам подарили ее на свадьбу 4 года назад. Сначала смутило, что это Supra, никогда раньше не слышала об этой фирме, но как оказалось совсем зря. Все 4 года работает без нареканий, ни одной малейшей поломки. И цена в магазинах, как оказалось, тоже приятно удивила. Я бы рекомендовала. Пользуюсь ей почти каждый день и без проблем.</t>
  </si>
  <si>
    <t>2014-09-05</t>
  </si>
  <si>
    <t>Ужасный и бесполезный набор!!толком ничего с ним сделать нельзя! для педикюра он очень слабый!!</t>
  </si>
  <si>
    <t>2014-09-20</t>
  </si>
  <si>
    <t>Спокойный дизайн- ничего лишнего. При такой цене и размерах для кухни 12 кв.м обеспечивает очень приличную силу всасывания . Совсем не шумная (по сравнению с другими производителями). Нужно ставить пластиковый твердый воздуховод. Рекомендую ))</t>
  </si>
  <si>
    <t>2016-07-03</t>
  </si>
  <si>
    <t>Затеяли мы ремонт в новой квартире... все шло своим чередом.... вот и пришло время выбирать варочную стеклокерамическую панель. На вид понравилась именно Samsung C61R2CAST (тем более проблем с этой фирмой никогда небыло) Затем объездив еще кучу магазинов(искали где подешевле она стоит или акция на нее)купили именно ее. Спервая я очень боялась на ней готовить, думала запачкаю и не ототру. Но со временем я привыкла. Кстати муж собирался как-то сварить спагетти, они у него "убежали" и он на пушечный выстрел к ней не подходит. Ухаживать за ней очень просто, главное необходимо купить скребок и спец средство для очистки.купила я еще новый комплект посуды, просто стыдно на такой крутой панели на старых кастрюлях готовить.(((  Еще очень важный момент не покупать варочную панель с алюминиевым ободком, т.к. там будет собираться жир и грязь!!!  Кстати очень важно читать отзывы перед покупкой т.к. у моей знакомой варочная панель(не помню какой фирмы) ни в какую не хочет чиститься, все перепробовала, она просто в ужасе. Также эта панель боится точечных ударов.  ПриЯтного Вам приготовления:)</t>
  </si>
  <si>
    <t>2014-09-08</t>
  </si>
  <si>
    <t>Пользуюсь данной моделью больше 5 лет. Все супер! Отпаривает и гладит замечательно. Проблем с ним не испытываю. Всем советую.</t>
  </si>
  <si>
    <t>2014-04-04</t>
  </si>
  <si>
    <t>Отрицательные отзывы просто удивляют. Девушки, зачем же вы берёте эти щипцы для локонов? Для локонов нужны другие. У меня волосы длинные и прямые как солома. Я ими укладываю чёлку и концы, и придаю объём у корней. Это я на своём опыте поняла, хорошо что они не сильно нагреваются, получается лёгкая укладка (не переборщить). Так что если они не делают локоны, не значит что они плохие.</t>
  </si>
  <si>
    <t>1527</t>
  </si>
  <si>
    <t>Очень красивый, тонкий корпус, красочный дисплей, играет почти все форматы, стоит не дорого. За такие же деньги продаются плееры без видео. Очень доволен покупкой, плеер радует безумно, одна из лучших моделей!</t>
  </si>
  <si>
    <t>Просто нереально много музыки!!!   Берите смело не пожалеете.  В данной ценовой категории конкурентов нет.</t>
  </si>
  <si>
    <t>636</t>
  </si>
  <si>
    <t>Вытяжка эффективно работает у меня уже больше года. Что заметила с ее появлением? На рабочем фартуке, он у меня из светлого кафеля, перестал появляться липкий желтоватый налет от пара и жира, который приходилось отдраивать жесткой мочалкой, после обильной жарки котлект или, особенно, рыбы даже  кухонные полотенца не впитывают в себя запахи готовки. Работает мощно, все ароматы всасывает добросовестно, готовлю только с включенной вытяжкой, вечером удобно пользоваться только подсветкой плиты. Управление элементарное. Моется легко, фильтры можно снимать для чистки. Я довольна.</t>
  </si>
  <si>
    <t>ЖК-телевизор 32" Samsung LE-32 B450 C4W. Отличный телевизор, на мой взгляд - лучший из "бюджетных" моделей. Яркое, сочное, "солнечное" изображение, которое действительно порадовало!!! Матрица Самсунг - рулит! Диагональ - меньше 26" я даже не рассматривала при выборе, а вкусив 32" - на меньшую вы уже и не согласитесь (если только этот телевизор не будет предназначаться для кухни, например). Так что советую всем сомневающимся! Берите - не пожалеете!</t>
  </si>
  <si>
    <t>Щипцы просто бесподобные. Не пожалела, что купила)  Советую всем)</t>
  </si>
  <si>
    <t>телефончик неплохой, да и желать лучшего за такие деньги и не стоит.  неплохой муз.проигрыватель, хоть и динамики не так громко звучат.Камера на телефоне *так себе*.Ну ожидать большего не стоит, так как это не зеркальный фотоаппарат.Батарейки хватает примерно на 3-4 дня.Есть один недостаток на улице на экране практически ничего не видать  советую</t>
  </si>
  <si>
    <t>Отличная плита! Купили 3 месяца назад и очень довольны. Сначала хотели взять с чугунными конфорками, т.к. дешевле, но в последний момент передумали (и очень правильно сделали).</t>
  </si>
  <si>
    <t>2014-12-09</t>
  </si>
  <si>
    <t>Чайник шумит, закипает за 4-5 мин., проработал полгода и потом расплавился контакт при кипении,  не стоит его покупать, не долговечный.</t>
  </si>
  <si>
    <t>муж подарил на 8 марта. я просто в восторге! опробовала все режимы. с маленьким ребенком ничего не успевала и мульти стала настоящим спасением - накидал всего, включила и побежала гулять. и печет превосходно. моя работает бесшумно, ну, конечно, по окончанию пищит. Запах блюд не остается, если следовать инструкции и каждый раз ополаскивать клапан на крышечке. Минус один - не может взять все из холодильника и в себя закинуть.  Я в полном восторге!Все получается очень вкусно. И плов у меня, кстати, получился рассыпчатый, ни капельки не склеенные рисинки.</t>
  </si>
  <si>
    <t>Штука великолепная!!! не нарадуюсь берите не пожелеете!! экран приятен и прост наушники в комплекте прекрасные и вообще внешний вид приятный выбирал между Sony NWZ-B143F 2gb Black и самсом.   У сони хоть цена и больше экран сделан слишком просто ни анимации ни обложку альбома не показывает но по звуковым качествам я отдавал предпочтение соньке: у него звук чуть-чуть побогаче. а по покрытию сонька опять проиграла она цветастая и глянцевая в то время как плеер может лежать в кармане и с мелочью и с ключами и вообще я думаю только за надпись "SONY" мы переплачиваем 300-400 рублей =)</t>
  </si>
  <si>
    <t>Очень хороший звук по оптике.  Хорошо читает - даже то что застревает на компе.  Напрягает отсутствие возможности включить мультизонность: магическое сочетание 9113, найденное в интернете для BD3000, не работает (набор цифр сопровождается индикацией на экране "запрещено")</t>
  </si>
  <si>
    <t>вчера купили этой фирмы. так в принципе неплохой:красивый дизайн,подсветка, не шумит при закипании, но очень большой минус-пластик при нагреве воняет. муж отнес обратно,приняли.</t>
  </si>
  <si>
    <t>2014-06-30</t>
  </si>
  <si>
    <t>Медленно нагревались.В один день просто перестали работать.</t>
  </si>
  <si>
    <t>Довольно удобный аппарат, единственный минус, за месяц эксплуатации так и не понял алгоритма переключения скорости "вперед/назад"((((</t>
  </si>
  <si>
    <t>Отличная плита, просто нужно приноровиться, как и ко всему новому.А чтобы не было проблем с разводами, приготовил-сразу протри. Приобрела салфетку, чистящее,и все замечательно. Если понравилась, приобретайте.</t>
  </si>
  <si>
    <t>Пользуемся чайником почти полтора года, ни одна из вышеописанных проблем у нас не выявлена, ну может если только громкий, но это для меня сомнительный минус, хороший дизайн и не пластиковый корпус - два больших плюса.</t>
  </si>
  <si>
    <t>2009-10-17</t>
  </si>
  <si>
    <t>Всем привет! Ноутбук очень хорошый т.к. приобрёл я его 10 дней назад, но опять же за меньшую сумму. Я б и в мвидео купил,но неопытное знание товара продавцов-консультантов поставило меня в тупик.Дело в том что все знают на буках стоит ось Vista, что благополучно не сказываеться в работоспособности и скорости системы. А продавец-консультант говорич что XP ставить нельзя. Снимут с гарантии. Связался с производителем и сервисным центром. Ответили что всё это бред полный. Они неснимают с гарантиии оборудование с любыми переустановками. т.к. нисут ответственность не за операционную систему и п.о., а конкретно за сам бук.</t>
  </si>
  <si>
    <t>Есть дисплей и несколько режимов, индикатор включения, ультрасовременный дизайн, качественный, удобный, функциональный</t>
  </si>
  <si>
    <t>Все бы ничего, за такую цену ждать чудес не приходится. Корпус вполне себе приличный, кнопки прорезиненные удобные. Экран притормаживает, но за такие деньги смириться пожалуй можно и с этим. Но вот шипение в динамике, заставило меня обменять эту модель на другую буквально через два часа после доставки. Тихое, но ощутимое, монотонное шипение.... бррррр....</t>
  </si>
  <si>
    <t>Ситуация была как у Игоря, покупал по акции 24990+5 тыс карту дали, ну и собирался купить Хбокс360, т.к. до этого были 2 штуки, и вот когда поехал за приставкой, все таки решил купить ресивер + акустику. Взял Ямаху 363, тоже со скидкой продавалсь, т.к. последняя была, и акустику взял полочную, и получился отличный дом.театр.  По Плазме, отличное качество, множество настроек, лучший выбор по цене/качество, отличие от старшей модели ПК600 лишь тем, что ПК600 читает Ави с флешки через усби, но и в ПК301 это все легко активируется.</t>
  </si>
  <si>
    <t>3055</t>
  </si>
  <si>
    <t>Очень хорошая игра, недавно покупал у себя в районе в Теплом Стане эту игру, очень хорошая игра, графика намного лучше чем на ПК, и легкое управление, за 1 час уже научился играть. Только вот в режиме турнира нету сезона NHL (только Montreal Canadiens Cup, там канадские команды играют в турнире), и российской лиги тоже нету, приходиться играть всего лишь в тов. матчах. =( Может быть можно создать свой турнир там с российскими командами?</t>
  </si>
  <si>
    <t>Купил только вчера,пришел домой и был малость удивлен.В магазине покупал наспех,ничего толком не узнал.В итоге,когда открыл коробку,увидел 2 телескопические насадки,с шагом в 3 мм,т.е. 3,6,9 и тд.  Сам я стригусь под 4 мм,для себя решил,что это оптимально.  Так вот,для меня это существенный минус.Все таки не хватает более короткого диапозона установок между фиксироваными положениями.    А так,машинка приемлимая,и комплект радует. Поэтому по части фирмы только положительные отзывы.</t>
  </si>
  <si>
    <t>2013-02-09</t>
  </si>
  <si>
    <t>Герметичный, отлично сохраняет тепло, большой объем- для выезда с семьей очень удобно. Цена для данной модели в М-Видео очень демократичная- в прочих интернет-магазинах стоимость выше.</t>
  </si>
  <si>
    <t>2014-11-21</t>
  </si>
  <si>
    <t>Пылесос очень мощный, убираться с ним легко и быстро! Тихий для такой мощности, если мощность убавить на половину (у кого нет животных, и половины мощности предостаточно!), то он не слышен в соседней комнате. Щетка-"галочка" на деле оказалась удобнее, чем я ожидала! Она пролезает везде, даже под кровать и под кухонный гарнитур без труда (с другими моделями такой маневр был возможен только с щелевой или маленькой мебельной насадкой).  Для тех, кто только собирается совершить покупку:  - мешок в комплекте один и он одноразовый! Сразу берите мешки про запас;  - на сайте не указано, но мешки к нему подходят и Электролюкс. S-Bag одинаковы для Филипс и Электролюкс, в магазинах М-Видео они есть;  - насадок указано 5, но по факту их 4. Просто насадка-"галочка" с выдвигающейся щетиной, т.е.идет за 2 (для ковра и паркета).</t>
  </si>
  <si>
    <t>1195</t>
  </si>
  <si>
    <t>Видеокаамера хорошая, компактная, удобно держать в руке, но очень не хватает функции антиблик. При съемке в сторону солнца или света фар , качество съемки уменьшается((((</t>
  </si>
  <si>
    <t>1504</t>
  </si>
  <si>
    <t>Купили в середине января по акции до &amp;quot;50%&amp;quot; выбирала по отзывам всего интнрнета и функциональности, поставили на следующий день сами, ножки родные, стоит на кафельном полу- никуда не убегает, хотя в зависимости от типа белья вибрация разная. Шумит не сильно, из ванной слышно плохо. проверила на всех режимах- стирает отлично. Меню простое. В работе недостатков пока не нашла, а облегчение в стирке большое. Из минусов, а может из непонятого - после нескольких стирок подряд нагревается дисплей и кнопки. Рекомендую с удовольствием.</t>
  </si>
  <si>
    <t>2569</t>
  </si>
  <si>
    <t>Тестировал при полной зарядке.  Годятся только для просмотра телепередач и фильмов. Музыку(рок/металл) не тянут, начинают "пердеть" не зависимо от громкости, также возникает ощущение, что "мощей" на весь частотный диапазон не хватает и высокие частоты отваливаются, получаем звук "из-под подушки".</t>
  </si>
  <si>
    <t>3074</t>
  </si>
  <si>
    <t>Достоинства: Клавиатура для набора текста очень удобна.   Современный процессор i3 2130 МГц 330М  Аккумулятор держит 3 час.  Недостатки: Издает странный писк, иногда его не слышно, но если прислушаться, то начинает действовать на нервы.  Комментарий: Вполне адекватный ноутбук. Широкий экран.  23 тыс с доставкой. Bluetooth в наличии. Забавная программа распознавания лиц для входа для авторизации.</t>
  </si>
  <si>
    <t>2357</t>
  </si>
  <si>
    <t>Устанавливается легко. Информации полезной полно. Кладезь просто народной мудрости. Стоит ну совсем недорого, я даже ребенку игрушки для компьютера и приставки покупаю дороже. не говорю уже сколько стоила бы такая энциклопедия будь она в виде обычной бумажной книги. У меня аллергия на многие лекарства. Если у вас тоже то точно оцените возможности которые эта электронная энциклопедия открывает для улучшения здоровья и для красоты кожи, волос и ногтей.</t>
  </si>
  <si>
    <t>Отлично отпаривает-слов нет,единственный минус-очень быстро кончается вода, хотя с таким паровым ударом неудивительно. Пользуюсь недолго, с чем скорее всего и связано то, что пару раз ошпаривалась поправляя ткань)</t>
  </si>
  <si>
    <t>Пользуюсь данным комбайном с октября 2007 года и единственный его минус слабая мощность для мясорубки. А в общем справляется со всеми задачами, использую все насадки. Я без него, как без рук. А сегодня в мясорубке сломалась муфта на шнеке не приятно, но он и прослужил хорошо. Просмотрела интернет магазины и убедилась, что они спасут нас от таких неприятностей.</t>
  </si>
  <si>
    <t>супер ноутббук</t>
  </si>
  <si>
    <t>2014-02-11</t>
  </si>
  <si>
    <t>Впечатление от одного раза работы. Брала под спец.задачи - изготовление фарша для кормления дорогих породистых кошек, в состав которого входит ингредиент куриные шейки и как понимаете - они с косточками. С этой задачей мясорубка справилась на ура, моментально и без усилий, впрочем как и с подмороженной очень жильной говядиной. Единственное, что мне пока непонятно: выключалась несколько раз при температуре на дисплее около 45 градусов, а заявленный максимум 80 градусов. Пока довольна, терками и насадками для колбасок еще не пользовалась...</t>
  </si>
  <si>
    <t>2013-12-07</t>
  </si>
  <si>
    <t>Если у вас налет, значит выкиньте фильтр. Залили первый раз нефильтрованную воду - налет был везде, куда только попал пар, но в следующий раз прогнали воду через обычный барьер, и о чудо - ни намека на налет.  Единственный минус не значительный, иногда булькает, но когда спишь - не слышно его.</t>
  </si>
  <si>
    <t>Очень сильно шумит. На коробке написано, что удаляет даже волосы, меньшие 0.5 мм, что является неправдой. Мало того, что он их не захватывает, так ещё и кожу попутно зажевывает. На коробке также написано о безболезненном удалении волос. Так вот, это тоже неправда. Для зоны подмышек есть специальная насадка, хотя трудно назвать её насадкой - это скорее ограничитель. Ни система охлаждения, ни эта "насадка" от боли при эпилировании зоны подмышек не спасают. Не понимаю, для чего вообще там накручен обдув был - от него никакого толку. Зато очень понравилась насадка для отшелушивания кожи - мягко и нежно сняла слой отмершей кожи. Таким образом он скорее подойдёт девушкам с тонкими светлыми волосами, слабо чувствующим больболь.</t>
  </si>
  <si>
    <t>Сегодня купила этот блендер для того, чтобы готовить различные пюре для маленького ребенка. Придя домой сразу же опробовала покупку. Пюре для малыша приготовила в считанные секунды. Ни одного комочка!! Что очень важно для малышей, которые еще не умеют жевать. В общем, если вы ищите блендер, чтобы готовить для ребеночка - это отличный и главное недорогой вариант. Советую!</t>
  </si>
  <si>
    <t>До этого брился Филлипсом с 3 головками - но так как кожа очень чувствительная, на шее и периодически на щеках было раздражение.Передарил отцу. Взял Пульсоник со скидкой, польстился на микровибрации, которые минимизируют раздражение и триммер по-середине. В сравнении с другой маркой, которую пробовал ранее - небо и земля!! чище, быстрее, приятнее, комфортнее. Советую всем у кого чувствительная кожа-не пожалеете!</t>
  </si>
  <si>
    <t>2015-07-11</t>
  </si>
  <si>
    <t>Выбирала щипцы для завивки по нескольким параметрам: 1. чтобы обязательно была керамическая поверхность (металлические были – спасибо, больше не надо). 2. чтобы вращался шнур – для моих длинных волос это очень важно, потому что намучаешься потом этот вечно сворачивающийся шнур разматывать), 3. чтобы диаметр щипцов был не менее 2-2,5 см – возможно, это дело вкуса  и кто какую прическу носит, но для меня важны не только кудри, но и объем – у этой модели 2,5 см и это именно то, что нужно). Из дополнительных плюсов отметила бы также возможность регулировать температуру нагрева – есть 2 режима. Тоже очень удобная функция, потому что иногда надо локоны покруче, а иногда достаточно лишь небольшого завивания кончиков – так зачем зря волосы пережигать? Моделью довольно со всех сторон, о недостатках затрудняюсь что-то сказать – не нашла.</t>
  </si>
  <si>
    <t>2014-06-11</t>
  </si>
  <si>
    <t>Пользуюсь чайником этой модели 5-й год. Все так же нет нареканий к работе. При небольшом переливе подтекает, чего раньше не было ( по инструкции перелив недопустим)</t>
  </si>
  <si>
    <t>776</t>
  </si>
  <si>
    <t>Может быть я не видел совсем плохих плэеров, но этот самый отвратный.  Настроек минимум, что по звуку, что по видео. Уровень звука с пульта не регулируется. Фото по размеру весьма ограничено. В любом формате экрана фото какое то сплющенное сверху и снизу. При воспроизведении avi'шек и mp3 даже с новых дисков время от времени тормозит и заикается. Форматов видео для блу-рэй-плэера маловато совсем по современным мерка. Посмотреть сколько осталось времени до конца фильма невозможно, только текущее время и то эта панель на треть экрана вылазит...  Всё преимущество - это красивый дизайн, но даже невысокая цена не затмит всех недочётов.</t>
  </si>
  <si>
    <t>1142</t>
  </si>
  <si>
    <t>Ходил выбирал 3 дня по магазинам, в итоге приобрел СОНИ, смотрим семьей - радуемся...  К ноутбуку подключается без проблем, флешки проигрывает, жесткий диск тоже без проблем играет.  может я не очень привередлив и мало разбираюсь в телевизорах, но я считаю что это отличный.</t>
  </si>
  <si>
    <t>+ удобно что поворотное крепление, гнется до 180 градусов  - довольно громоздкий  - вчера сгорел по непонятной причине: работал, выдернули, воткнули назад - перестал работать. возможно, отошел какой-нибудь контакт.  Куплен был примерно полгода назад, тоже в М-видео, теперь присматриваю новый.</t>
  </si>
  <si>
    <t>Год эксплуатации прошел. Сварено 500 яиц, наверное. Хочу сказать "Спасибо" производителям. Ни одно яйцо не треснуло, не вытекло. Главное-научиться быстрым движением делать аккуратную дырочку в тупом конце яйца . Но даже, если дырочка не очень хороша-яйцо сварится отлично. Яйца получаются вкусные, нужной консистенции.  Особенно люблю всмятку, варю в яйцеварке, они отличаются от кастрюльных. Белок у них потверже, их даже можно брать с собой на работу, они Вас не осрамят, отлично чистятся. Редко какая вещь из мелкой кухонной техники вызывала у меня восторг..</t>
  </si>
  <si>
    <t>Полностью согласен с предыдущим оратором. Не у всех есть Вай-Фай, не у всех есть кредитная карта, не везде продаются оплатные карты PSStore. Меня очень смущает её форм-фактор - не люблю слайдеры. Я считаю, что чем меньше подвижных частей - тем надёжнее. Расположение шифтов тоже вызывает нервный смех. То, что батарея не меняется - вообще убивает. Дизайн очень убогий. И самое ужасное - это отсутствие UMD! 16 Гб встроенной памяти - это, конечно, хорошо... Но с Вай-Фаем в моём городе проблемы, мягко говоря. Как плеер она, может, и удалась, но ИГРОВУЮ консоль берут ради того, чтобы ИГРАТЬ.</t>
  </si>
  <si>
    <t>Минусы: 1. У пылесоса нет ручки, т.е. его невозможно носить, только катить. Чтобы пропылесосить на балконе или в ванной, надо переносить на руках  ( в вертикальном положении занимает мало места, но передвигать его не удобно)  2. колеса оставляют следы на полу, не маневренный, передвигать его можно только за шланг  3. Нет кнопки сбора шнура, собирается, если еще раз потянуть за него у основания. Иногда начинает затягивать провод по своей воле прямо во время уборки (если нечаянно задеть провод).  4. регулятор мощности не нужен, минут через 10-15 работы на максимальной мощности скидывает её на минимум, загорается лампочка « смените фильтр» . Конусообразный фильтр забивается сразу же. Если его не чистить несколько раз во время уборки, тяги не будет. Получается, что за время получасовой уборки надо 2-3 раза открывать крышку, вытаскивать конусообразный фильтр и снимать с него пыль   5. тяжелый  6. очень шумный ( о какой бесшумности пишут в отзывах не понимаю, если при работающем пылесосе не слышно звонка телефона!)  7. Чтобы снять щетку, требуются значительные усилия  8. В воздух всё же попадает некоторая часть пыли, даже при самом аккуратном обслуживании  9. Много уходит времени для того, чтобы почистить весь пылесос    Сдать-поменять его невозможно.   Не советую этот пылесос.</t>
  </si>
  <si>
    <t>Телевизор отличный. USB разблокировал светодиодами. Тянет жесткий диск 500 Гб.</t>
  </si>
  <si>
    <t>нету</t>
  </si>
  <si>
    <t>442</t>
  </si>
  <si>
    <t>2014-05-08</t>
  </si>
  <si>
    <t>Приобрели этот пылесос на работу по рекомендации продавца и не пожалели. Первое назначение было для уборки в боулинг-центре и в небольшом бильярдном зале, где постелен ковролин. Очень хорошо справляется со своими обязанностями. В использовании чуть больше года (ранее другие пылесосы не проживали и полгода). Сегодня по акции (цена очень обрадовала) купил и маме в подарок такой же девайс. По поводу ухода, необходимо каждый раз мыть после большой уборки. И кстати, фильтры есть в наличии в М.Видео.</t>
  </si>
  <si>
    <t>Очень шумный, - пылесос и то тише. Категорически не подходит для отопления жилых помещений.Покупал, думая что уж за такие деньги можно сделать тепловентилятор потише. В общем самый настоящий мусор.</t>
  </si>
  <si>
    <t>Металический корпус, металическое соединение, реверс, кованный самозатачивающийся нож.</t>
  </si>
  <si>
    <t>2232</t>
  </si>
  <si>
    <t>Отличный фен для укладки.Удобно лежит в руке. Достаточная мощность даже для сушки волос.Много насадок!!!Симпатичный дизайн!</t>
  </si>
  <si>
    <t>2017-04-08</t>
  </si>
  <si>
    <t>Меньше, чем через год эксплуатации перестал кипятить воду и потек.</t>
  </si>
  <si>
    <t>1.Фотки лучше на нее не снимать, а делать это фотоаппаратом(ведь это видеокамера).  2.Ночью съемку можно не производить, т.к. чувствительность никакая.   3.Качество съемки в другое время суток отличное.  4.Батареи, если снимать очень долго, не хватает и поэтому советую приобрести еще одну.  5.Быстро заляпывается экран.(покупка защитной пленки поможет убрать это).  6.Понравилось то, что ею может снимать не профессионал (все ясно и понятно, если меню на русском).  7.Удобная функция быстрого включения (открыл экран и снимай)...  Короче видеокамера стоит этих денег. А если вас не устраивает качество съемки в режиме Full HD где эффективное разрешение видеосъемки 1,35 мпикс, то можете взять вот эту видеокамеру HDD HD Sony HDR-XR550E Black</t>
  </si>
  <si>
    <t>2015-09-11</t>
  </si>
  <si>
    <t>Наушники никакие! Звук плоский, как из бочки. Что бы прослушать бас нужно сильно прижимать к уху. Высокие срезаны. Круто только бренд. Подходит только для прослушивания речи (новости, аудиокниги...). Ни о каком наслаждении музыкой речи идти не может!</t>
  </si>
  <si>
    <t>Пользуемся уже около года. Никаких проблем не возникало. Только положительные впечатления.  В основном подсушиваем многозлаковый хлеб на 4-5 мощности.</t>
  </si>
  <si>
    <t>Телеканалы показывают плохо. Целый день пытались менять настройки, толку нет. DVD через HDMI - более-менее. Пожалели, что взяли эту модель. Не советую.</t>
  </si>
  <si>
    <t>Утюг очень хороший,гладит вещи отлично,подошва утюга 100%.Советую купить, не пожалеете.</t>
  </si>
  <si>
    <t>393</t>
  </si>
  <si>
    <t>Хорошие наушники. Шумоизоляция и басы на высоте. К сожалению через год эксплуатации сдохли. Что-то со штекером. Т.е. они работают, но звук как "караоке".</t>
  </si>
  <si>
    <t>2440</t>
  </si>
  <si>
    <t>2009-08-25</t>
  </si>
  <si>
    <t>Отличный лаптоп, для тех кому не нужно рубится в игрушки. Экран просто супер мощности для нета хватает, колоночки очень даже ничего, вес габариты тоже на отлично. За 13000 отличная рабочая машина.</t>
  </si>
  <si>
    <t>Идеальный фен! Очень много ф-ций, в том числе и холодный воздух, что безопасно для тонких и больных волос. Сушит великолепно! Не ломается, перегреваться попросту не успевает, волосы высыхают уже через 10 минут.  Отличный фен! Очень им довольна!</t>
  </si>
  <si>
    <t>все сенсоры начинают рано или поздно глючить. Так хороший телефон есть только один минус: зарядки на один или 1,5 дня хватает.</t>
  </si>
  <si>
    <t>Нашел информацию о новой прошивке (069 от 19.01.09)    http://www.p4c.philips.com/cgi-bin/dcbint/cpindex.pl?scy=RU&amp;slg=RUS&amp;sct=LCD_TV_SU&amp;cat=TV_CA&amp;grp=SOUND_AND_VISION_GR&amp;session=20100120115738_94.180.175.51&amp;ctn=32PFL5604H/12&amp;mid=Link_Software&amp;hlt=Link_Software</t>
  </si>
  <si>
    <t>2836</t>
  </si>
  <si>
    <t>Работаю с переводами, поэтому я без такой программы просто как без рук. Простая программа. Очень большое количество прекрасных словарей, включая Оксфордский. То есть самый нужный и уважаемый в переводческой среде. Очень быстрый поиск по всем словарям. Не припомню, чтобы что-то не нашлось.</t>
  </si>
  <si>
    <t>2012-11-29</t>
  </si>
  <si>
    <t>Покупала данный блендер 6 лет назад, через 0,5 года сгорел мотор, мне без проблем обменяли в магазине на новый, который верно без проблем отслужил 5 лет. Пользовались часто, удобный в пользовании.</t>
  </si>
  <si>
    <t>Вот проблема та же. Зависает частенько машина. Причем не только в играх( в играх чаще конечно) иногда за день ни разу, иногда раз 6-7. В общем брак какой-то во всей серии. Возил в сервис центр, месяц без компа сидел, это ужас. Сказали видеокарта плохая. Поменяли...прошло недели 2 и зависания снова начались, не понятно все же с чем это связано.</t>
  </si>
  <si>
    <t>2974</t>
  </si>
  <si>
    <t>Очень довольна, сразу можно приготовить много еды и вкусной. Все умно продуманно и очень удобная в обращении, что немаловажно. Не жалейте денег, это того стоит.</t>
  </si>
  <si>
    <t>Давно мечтал об этой модели PSP.Меня всё устраивает,очень хорошая графика,да перепрошить нельзя.А так в целом очень хорошое многофункциональное устройство.</t>
  </si>
  <si>
    <t>Нормальный кондишен для небольшой квартиры. Не пойму-зачем людям светящийся дисплей на корпусе испарителя и почему боятся пластикового корпуса короба в котором находится компрессор? Металл всегда быстрее сгниет чем пластик. А пластик только потускнеет. И зачем на пульте remote control часы? Чем проще девайс, тем меньше поломок. Он охлаждает и греет-незаметен в работе, а это главное.</t>
  </si>
  <si>
    <t>Прекрасно отглаживает вещи, достаточно тяжелый, стильный. Покупкой довольна.</t>
  </si>
  <si>
    <t>Прикол в том, что купил),был доволен покупкой - хороший звук, наушники родные тоже неплохие, удобный...короче сплошные плюсы. НО!в первый же день пользования он просто потух и не реагировал вообще..2 часа им попользовался)..было очень неприятно, когда он просто перестал работать, но Explay фирма хорошая... (во всяком случаи такой я больше не куплю - это точно)</t>
  </si>
  <si>
    <t>Покупали жене. Она сказала все суперски! Полностью соответствует описанию! Рекомендует)))</t>
  </si>
  <si>
    <t>2014-02-15</t>
  </si>
  <si>
    <t>Просто сказка!!! Не на секунду не пожалела ,что купила!!!! А чтобы хорошо работал надо промывать фильтры-там в инструкции написано!!!!!!!</t>
  </si>
  <si>
    <t>Пользуюсь этим телефончиком уже как 3 недели и с самой покупки еще не заряжал! Очень клево!  Не заряжал, а еще около половины заряда есть  Качество приема звонков на высоте, качество передачи речи тоже идеальное  Порадовало то, что корпус практически весь металлический: а это крышка аккумуляторного отсека, кнопки металлические, и ободок по всему периметру корпуса тоже оказался металлическим - ни одной царапины у меня не появилось  Порадовал FM приемник, Bluetooth, а также есть слот для карт памяти, у меня стоит на 2Gb и прекрасно работает.  Но вот с Java - приложениями явно не хочет работать, с ними проблема  Камера тут нормальная для 1,3 Мпикс, видео правда пишет в отвратном качестве, но это же не главное тут.  Главное то, что у меня вообще не садится батарейка и голова перестала болеть о таскании с собой повсюду зарядного устройства  Берите такой телефончик и не пожалеете!</t>
  </si>
  <si>
    <t>Чайник хороший, пользуемся уже долго, работает отлично. Единственное может неудобство это когда открыта крышка, то на ней стеночка, что в носик опускается, торчит и мешает сбоку заливать воду из кувшинчика.</t>
  </si>
  <si>
    <t>в комплекте usb кабеля не было(((</t>
  </si>
  <si>
    <t>Дизайн выполнен в черном стиле с белыми полосками.Но игры можно и даже нужно доработать. Еще понравилась камера.</t>
  </si>
  <si>
    <t>1918</t>
  </si>
  <si>
    <t>Эту фен-щетку купил мне мой муж, т.к он всегда умилялся над тем, как я укладывала свои волосы...в одной руке фен, в другой расческа (он считал что это ужасно не удобно). Вот решил мне облегчить эту задачу данной покупкой. Этим феном-щеткой уже пользуюсь года 3-4 и очень довольна! В основном пользуюсь самой большой щеткой, с ней действительно очень удобно вытягивать пряди и подкручивать кончики. Волосы после укладки блестящие и мягкие.</t>
  </si>
  <si>
    <t>2012-10-10</t>
  </si>
  <si>
    <t>Взял неделю назад данный агрегат,через дней 5 он скончался... Ещё и попахивало палёной пластмассой почти каждый раз при использовании. Техникой пользуюсь аккуратно. Может просто такой попался.. А может и нет. Сегодня иду сдавать.</t>
  </si>
  <si>
    <t>1556</t>
  </si>
  <si>
    <t>Работает безупречно.Качество сока отменное. Большой плюс- возможность получать сок из продуктов, не нарезая их.</t>
  </si>
  <si>
    <t>Отработала 7 лет. Минусы - сильный грохот при отжиме. В остальном очень устраивало. Теперь перестала отжимать напрочь, застревает перед полосканием. Если не проследить - будет крутить на одном месте целый день.</t>
  </si>
  <si>
    <t>223</t>
  </si>
  <si>
    <t>Nintendo 3DS Aqua Blue просто супер!!!   Не ошибётесь в выборе!!! Рекомендую!!!</t>
  </si>
  <si>
    <t>Купил год назад,дизайн отличный как и у всех телевизоров этой марки.Качество тоже не уступает теликам такого же класса,вывод сделал походя по магазинам цифровой техники,поначалу показалось что чёрного цвета почти нет,но покапавшись в настройках настроил.Как монитор и для XBOX-360 превосходно показывает.</t>
  </si>
  <si>
    <t>Работает данная модель у меня уже 1,5 года. Пользуюсь каждый день, т.к. дома ребенок годовалый.Однажды приключилась неприятная вещь он стал нагреваться и выключаться, а потом потерял свою мощность всасывания.Причина оказалась проста нада было очистить спираль в контейнере от волос(а то я просто выкидывал мусор из контейнера, фильтры мыл, думал этого достаточно, длго не мог понять почему пылесос потерял свою мощь).Вот решил помочь и всем вам советом, отличный пылесос.</t>
  </si>
  <si>
    <t>2749</t>
  </si>
  <si>
    <t>На днях мне купили PS3, но она оказалась бракованной и мы купили другую, комплект с игрой я брать не стал, а игру купил отдельно, мой выбор на тот момент была MK VS DCU, игра мне очень понравилась, 5 баллов!!!</t>
  </si>
  <si>
    <t>Достоинства: Когда купил, был удивлён, насколько тихо она отжимает! При этом свою цену отрабатывает на все сто - теперь регулярно отжимаю сок из цитрусов, граната для всей семьи. Очень удобно что рычаг, во-первых, делает всю работу за меня - сильно давить не нужно, а во-вторых, благодаря нему руки остаются чистыми.</t>
  </si>
  <si>
    <t>1320</t>
  </si>
  <si>
    <t>Приставка просто супер работает безупречно! Кинект ваще чудо техники! Очень хорошая приставка, каждый день играю и нарадоваться не могу! Вот только очень быстро нагревается=(</t>
  </si>
  <si>
    <t>Ради всех Богов Олимпа перед пользованием читайте инструкцию! О времени непрерывной работы там все написано. 20 секунд делают из 3 ложек кофе мелкодисперсную пыль. Прочитайте сколько зерен нужно молоть за раз (максимально возможное количество). Эта кофемолка не заслуживает оценок ниже 5. Ибо это третья, которой я пользуюсь и она творит волшебство)</t>
  </si>
  <si>
    <t>Кондиционер приобретался в магазине М.Видео в районе м.Марьино. Кондиционер установлен в комнату площадью 17 кв.м. Данной моделью очень доволен. Замечательно работает во всех режимах, очень быстро охлаждает и поддерживает температуру при любых заданных параметрах. В работе он бесшумен. Режим GOOD SLEEP - вообще сказка. Лопасти по вертикали регулируются под любым углом, также возможно регулировать их по горизонтали в ручном режиме. Внешний блок крепится на подставку, которая оборудована специальными подушками по всему периметру-это обеспечивает очень качественную шумоизоляцию и виброизоляцию для стены, дома и ваших соседей. Соседям во время работы не будет мешать. Берите, не пожалеете. Очень рекомендую! Выражаю отдельную благодарность монтажникам, так как в комнате недавно клеили дорогие обои. Все сделали очень аккуратно и ничего не повредили.</t>
  </si>
  <si>
    <t>Классный чайник! Современный и надежный!</t>
  </si>
  <si>
    <t>1728</t>
  </si>
  <si>
    <t>Отличный ноут за такие деньги просто сказка рекомендую и фирма отличная...</t>
  </si>
  <si>
    <t>Водонагреватель ужасный. Энергии потребляет много, а воду совсем не нагревает, даже на максимальной мощности и при минимальном потоке вода еле теплая( Не советую покупать.</t>
  </si>
  <si>
    <t>2013</t>
  </si>
  <si>
    <t>Отличный утюжок. Мне очень нравится. Нагревается за 5 секунд. Быстро выпрямляет даже мои кудряшки. Сколько я мучалась,не могла найти нормальный утюжок, который бы выпрямил мои кудряшки, но этот утюжок лучше всех. Советую Вам!</t>
  </si>
  <si>
    <t>2011-02-11</t>
  </si>
  <si>
    <t>Купили себе несколько лет назад, сравниваю с микроволновками у знакомых - нет более удобной и правильной печки! Удобно все, все кнопки очень логично расположены, легко моется, стильный дизайн. Недавно друг купил такую же - не нарадуется.</t>
  </si>
  <si>
    <t>181</t>
  </si>
  <si>
    <t>Куплен зимой для создания нормальной влажности в комнате. С задачей справляется на 100  на маленькой скорости, так как, чтоб ни говорили стоит гул на высокой, да она и не нужна для комнаты в 22 кв.м. Пыли стало гораздо меньше. Влажность 55 %. Сменный фильтр найти не проблема, стоит только достаточно дорого от 700р, в инете полно предложений. советую покупать.</t>
  </si>
  <si>
    <t>813</t>
  </si>
  <si>
    <t>Таких игр мало, а жаль. Осень красивая игра с отличным сюжетом, любителем приключений рекомендую. Только я еще играл с русским языком, а здесь вроде только документация написано.</t>
  </si>
  <si>
    <t>Понравился более качественным исполнением и материалами, чем штативы другой фирмы-производителя. Головка ходит более плавно чем у той же Rekam. Но через короткое время начали ломаться ушки у ПЛАСТИКОВЫХ звеньев, соединяющих ножки и вертикальную основу. Обидно. Звено сломалось-штатив не работоспособен. Как оказалось-это очень уязвимое место. Когда штатив установлен, любое неаккуратное движение-и можно услышать хруст пластика. Поэтому агитирую за штативы с металлическими звеньями. А если нужен плавныый ход-то это уже другие штативы за совсем другую цену.</t>
  </si>
  <si>
    <t>Отличный вариант для 2х человек. Оптимальное соотношение количества картошки/масла.    + Быстрая и качественная жарка картофеля.   - Сильно нагревается корпус (боюсь как бы столешницу не подпалить, придется завести специальную подставку).    Хорошая фритюрница, главное теперь чтобы долго служила.</t>
  </si>
  <si>
    <t>Ненадежная кофемолка. Ненадежный двигатель - очень боится перегрузки! Ремонтируется очень сложно! По дизайну только плюс и все!</t>
  </si>
  <si>
    <t>2414</t>
  </si>
  <si>
    <t>пользуюсь плеером уже третий день, пока что все устраивает, к включению сразу привыкаешь, к меню тоже. Возпроизведение музыки отличное, не глючит, батареи хватает надолго, в общем, всем советую!</t>
  </si>
  <si>
    <t>Прямо взбесила эта машинка, слов просто нет, в общем, люди, не жмитесь, покупайте нормальную технику</t>
  </si>
  <si>
    <t>Классная машинка!!!  Много нужных функций,проста в применении,отлично стирает,отжимает и не громкая!</t>
  </si>
  <si>
    <t>Здравствуйту! Действительно данная бритва супер. Всю жизнь брился станком, на 45 летие подарили данную бритву, был удевлен, что электро бритва может так чисто брить.</t>
  </si>
  <si>
    <t>Позавчера купил этот термопот, но опробовать получилось лишь вчера... Время подогрева воды (3.3 литра, полный) 24 минуты!!! Подогрев 1.5 литра 22 минуты!!! Это неисправность, спрашиваю я себя, либо это нормальное время для сего девайса??)))  Хочу обменять на простой чайник, либо вернуть деньги.</t>
  </si>
  <si>
    <t>От набора в восторге! Муж подарил на этот новый год. Использую регулярно. Ногти как после посещения салона. Заряжается долго, но я его на ночь ставлю.</t>
  </si>
  <si>
    <t>2013-06-20</t>
  </si>
  <si>
    <t>Наушники купил 3 года назад. Неожиданно отключаются при нормально заряженных аккумуляторах. Начинаю заряжать минут пять. Потом снова пользуюсь. Хватает на несколько минут, затем снова отрубаются.</t>
  </si>
  <si>
    <t>Плюсы: большой бак, можно регулировать мощность, отключается если нет воды  Минусы: отверстие для заливки воды снизу бочка, при режиме работы выше среднего уровня вокруг образуется лужа.  Комментарий: В общем покупкой не разочарованы,хотя радости великой не испытываем.  Судя по комнатному гигрометру влажность повышает, но как пишут что "дышится легче и дети исцеляются" не верно.Дышится как обычно , дети дружно переболели под новый увлажнитель.  Итог: функцию увлажнить- выполняет!</t>
  </si>
  <si>
    <t>Согласен телевизор своих денег стоит ( взял по обмену на старый ТВ за 16000т.р.) накидал кучу разных форматов на внешний диск должен заметить AVI файлы, dvd рипы, mpeg прочитал без проблем, но к сажелению не видит форматы хорошего качества HDRip и BDRip? а у меня почти все именно в HD(((. Если кто знает возможно ли прошить его, для исправления, то напишите, буду признателен....</t>
  </si>
  <si>
    <t>Отличная машинка, эксплуатируем ее уже 2 года, пока без проблем. Оптимальное количество программ стирки, нет запахов посторонних, шумит в меру, при закрытой двери почти не слышно. Всем советую, отличное сочетание цена и качество!</t>
  </si>
  <si>
    <t>2667</t>
  </si>
  <si>
    <t>жалко купить не могу.А так срасу же купил бы</t>
  </si>
  <si>
    <t>Прекрасный телевизор. оптимальное соотношение цены и качества.</t>
  </si>
  <si>
    <t>1285</t>
  </si>
  <si>
    <t>Очень доволен покупкой!</t>
  </si>
  <si>
    <t>635</t>
  </si>
  <si>
    <t>"Вставить флешку с прошивкой, нажать кнопку "меню", в меню выбрать "опции" (но в них не заходить!!!), нажать на пульте кнопку "FAV" СЕМЬ РАЗ!!! (дальше - выбрать файл прошивки вручную , запустить и больше ничего не трогать)"    У нас высветилась таблица ПО и всё- как дальше выбирать в ручную мы так и не поняли-уже перебрали всё!  Кто перепрошивал- подскажите более детально- пожалуйста!!!  Заранее спасибо!</t>
  </si>
  <si>
    <t>Весы просто суперские,очень стильно смотрятся в интерьере.На самом деле нужно правильно пользоваться.Все цифры хорошо просматриваются,выбрала их сама,так как консультанта в нашем магазине не дождаться,всё посмотрела изучила и выбрала их.Взвесилась прям в магазине,несколько раз подряд,всё было чётко!Сейчас тоже никаких неудобств неиспытываю.Советую всем такие весы,кто хочет и качество и цену разумную.</t>
  </si>
  <si>
    <t>2392</t>
  </si>
  <si>
    <t>Очень функциональная и легкая в использовании. Для рукодельниц самый идеальный вариант. Я ею очень довольна.</t>
  </si>
  <si>
    <t>Отличные ножи! Мы в восторге, пользуемся уже 3 года, кач-во на высоте, стильный дизайн.  Из недостатков: со временем ручки немного белеют от постоянного использования, а на ножницах резина износилась.  Но это не слишком и минус, т.к ничто не вечно)))</t>
  </si>
  <si>
    <t>1080</t>
  </si>
  <si>
    <t>"телефон только для детей или таких деловых людей, кто не пользуется современными устройствами.Пользуюсь 2 года, со2 начала понимать, что с таким телом в классе авторитет не поднимешь! покупайте телефон детям до школьного или 1,2,3классы, а так телефон нормик))память единственная проблема..."     мда, такое ощущение что это написал сам нерадивый школьник, которому подарили такой телефон родители=)телефоном в принципе авторитет не поднимают ни в школе, ни будь то, где еще=)    сам щас хожу с 5530, и присматриваю маленький телефон на лето, чтобы в кармане шорт не сильно оттягивало=)) не думаю, что это как-то повлияет на мой авторитет =)</t>
  </si>
  <si>
    <t>Даааа... Набор отличный, пользуюсь им уже 3-й год. Сейчас планирую приобрести аналогичные кастрюли.</t>
  </si>
  <si>
    <t>Проходил эту игру несколько раз, остался при хороших впечатлениях) единственный минус, физика не полностью была разработана, автомобили были там не убиваемые, идешь на полной скорости, врезаешься, допустим, в здание, автомобиль цел за исключением царапин. В общем автомобили там как кирпичи. Все остальное  отлично.</t>
  </si>
  <si>
    <t>Отличный ноутбук. До этого работал с Dell, конечно никакого сравнения. Этот в разы лучше. Технические характеристики описывать не буду, все это очень индивидуально, и дискуссионно. И это действительно лучший выбор.  От себя лично, рекомендую!!!</t>
  </si>
  <si>
    <t>2800</t>
  </si>
  <si>
    <t>Отличный телефон! Пользуюсь уже год! Аппарат отрабатывает себя на все сто процентов. Если же сравнивать с коммуникаторами на WM то тут много за что можно спорить... Если АйФон настроить под себя то открывается огромный мир возможностей, которых просто навсего нету на других телефонах. Во-первых, это игровая платформа, НЕТ ни одного телефона, который бы сравнилась с АйФоном по количеству, а главное качеству игр. Во-вторых, это экран, он заслуживает всех самых высших похвал! В-третьих, это ОС по сравнению с Виндоус Мобайл нету ни одного глюка, нету ни одного зависания, нету ни одного тормоза!    1P.S.: Я пользовался до АйФона многими телефонами и коммуникаторами, но как только разобрался с чудояблоком мне больше ничего не надо! Он крут во всех планах (Кроме цены)! И сколько раз я слышал от своих знакомых, что АйФон фуфло, а в итоге когда сидим рядом и активно пользуемся или играем аппаратами так у всех слюнки текут и начинаются разговоры типа “Вау, Супер, как так? Этого не может быть, дай попробовать”.    2P.S.: Люди! Не слушайте тх кто критикует АйФон. Ибо существует три типа таких людей: 1. Пол часа подержали аппарат в руках и всё фуфло. 2. Которые ни разу не держали его вообще. 3. Где-то услышали что-то про аппарат - и всё фуфло!    3P.S.: Блютузы и карты под Россию на нём есть. И ММС тоже. Да в нём есть всё! Даже о чём вы ни разу не слышали и не могли подумать!</t>
  </si>
  <si>
    <t>Юзаю неделю. Пока доволен. Перепрошил. Теперь работает полноценно разъем USB. Смотреть теперь можно кино, фото, слушать музыку и все это с флэхи НАПРЯМУЮ.</t>
  </si>
  <si>
    <t>Мы очень ей довольны..прошел уже год а она не дает сбоев)) выбирали мы только из Bosch и нам нужна была функция загрузки на половину. недостатков вроде бы нет))))</t>
  </si>
  <si>
    <t>1123</t>
  </si>
  <si>
    <t>Качество связи на уровне телефонов от Samsung, никаких проблем в аппарате нет, он сравним с другими моделями этого класса. Громкость звонка неплохая, его слышно в различных условиях. Виброзвонок по силе средний, здесь нет никаких принципиальных улучшений.    Этот аппарат является предложением для женской аудитории, об этом говорят стразики вокруг камеры, узоры на корпусе. Стоимость модели в конце августа составит порядка 9000-9500 рублей, это примерно на 1500 рублей дороже полностью аналогичного Samsung S5200. Можно сказать, что цена выше за счет более богатого комплекта поставки (чехла), но, думаю, в основном это плата за внешность.    К необычным функциям относится опция интерактивных обоев, в календаре можно выбирать обои, которые будут устанавливаться для каждого события. Необычная реализация, но не уверен, что она будет востребована многими.    Рассчитывать, что Samsung S5050 будет иметь оглушительный успех, не стоит. С другой стороны, назвать этот аппарат провалом, безвкусицей или чем-то подобным нельзя. Пример моделей из линейки La’Fleur показывает, что подобные телефоны продаются и весьма успешно, спрос на них есть. В качестве ассортиментного предложения Samsung S5050 будет успешен.</t>
  </si>
  <si>
    <t>Купила 2 месяца назад, в принципе довольна. Мощный (хорош для большой площади), удобен при наличии животных в доме. Шумит конечно, но привыкла и даже засыпаю под этот шум.   Недостаток - при поворотах поскрипывает, а так поставила бы 5 баллов.</t>
  </si>
  <si>
    <t>Мясо крутит превосходно! Толкатель - в принципе не нужен. Мощности хватает без направления мяса толкателем. Это супер!  Тёрли морковку в самоё мелкое сито. Превосходно. Крупная твёрдая морковь трётся изумительно.  Очень доволен подарком на 23 февраля! Всем рекомендую. Спасибо производителю. Франция, сделала превосходного помощника на кухне.</t>
  </si>
  <si>
    <t>2017-06-29</t>
  </si>
  <si>
    <t xml:space="preserve">Система циклон практически остается чистой. Все собирается только в контейнер. </t>
  </si>
  <si>
    <t>5+ Три года пользуюсь, вот только насадку найти не могу к нему, старая отработала свое. Током меня не бьет)</t>
  </si>
  <si>
    <t>Привезли вчера, очень быстрый, до этого был Witu. идеальное сочетание цена качество. всем советую!!!!</t>
  </si>
  <si>
    <t>Купили чайник на новоселье радовал он нас ровно 4 месяца.  Очень шумел но это ладно, зато нравился внешне )  В один прекрасный день, когда хотел открыть крышку чтобы налить воды крыщка просто расспыпалась)  Зачем делать такую некачественную пластмассу.  Обидно.   TEFAL такое имя и такие крышки - разочарован(</t>
  </si>
  <si>
    <t>Один минус - после сушки запах во всей ванной комнате</t>
  </si>
  <si>
    <t>2329</t>
  </si>
  <si>
    <t>Мягко бреет, пластик очень прочный, у сетки оригинальный рисунок и за счет этого бритье происходит гладко. После смены бритва Крузер выглядит даже словно обновленной. Замена очень простая, купил и поставил, ничего сложного.</t>
  </si>
  <si>
    <t>77</t>
  </si>
  <si>
    <t>прикольная игра покупаем !!!!</t>
  </si>
  <si>
    <t>2016-09-14</t>
  </si>
  <si>
    <t>Плюсы- греет,и довольно таки хорошо и быстро прогревает комнату в 18 м2. Качество сборки снаружи радует, все аккуратно, ничего не болтается.  Минусы- трещит при максимальном режиме. Исходит от него запах данного пластика, который все ни как не исчезает. Сушит воздух.</t>
  </si>
  <si>
    <t>Купил этот ноут из-за цены и наличия DVD и HDMI. Но подключив ЖК42" и запустив фильм, посмотрел всего 5 мин и ноут перезагружается. Думаю из-за перегрева видухи.</t>
  </si>
  <si>
    <t>3 недели назад, взял эту машинку и нарадоваться не могу !!! Все самые современные и требовательные игры идут без всякого зависания(лично мной пока не одного не наблюдалось !!!). В общем, советую всем !!!!!!!!!!</t>
  </si>
  <si>
    <t>Я купил его жене больше года назад. Работает исправно. Громкий динамик, буквы не отваливаются. Телефон очень хороший.</t>
  </si>
  <si>
    <t>2013-04-29</t>
  </si>
  <si>
    <t>Выбирала модель из принципа:цена и функции! Осталась довольна, все продумано до мелочей, подробная инструкция. Легка в обращении. Теперь это моя помощница, особенно когда в доме растут дети!!!! Спасибо!</t>
  </si>
  <si>
    <t>Приобрел такой саб этим летом, работает с усилителем blaubunkt gta 5350 работает изумительно, прекрасно держит жесткий и мягкий бас, только в самом начале эксплуатации мне не понравился н вообще!! Ну как только он раскочался буквально на второй недели его усиленной работы он просто разрывал багажник моей BMW 1, во общем очень хороший саб.</t>
  </si>
  <si>
    <t>Пока работает превосходно. Недостатков в течение месяца не выявлено. Рекомендую.</t>
  </si>
  <si>
    <t>Купил в Декабре 2010г, за всё время работы один раз поменял батарейки в основном устройстве, в передатчик сразу поставил хорошие аккумуляторы, за все морозы зимы 2011 и 2012 батарейки не разу не замерзли и сам прибор работал без проблем хотя ночами температура была до минус 32. Покупкой очень, очень доволен, рекомендую!</t>
  </si>
  <si>
    <t>Купили пылесос более месяца назад. Работает отлично, если не регулировать мощность всасывания, утянет всё. Легко моется, но 2-ая крышка открывается очень тяжело, так и думаешь, что сломается. Хрупкой женщине не открыть. Очень довольны пылесосом.</t>
  </si>
  <si>
    <t>Просто супер,нет слов!!!!!!!!!!!!!!!!!!</t>
  </si>
  <si>
    <t>Со временем перестали работать почти все сегменты цифр проектора.</t>
  </si>
  <si>
    <t>Сравнили камеру Sony,JVC,Canon из одной ценовой категории. у последней оказалась получше оптика.Снимает хорошо, но фотографии получаются не ах. Ну для фото я думаю фотоаппарат нужен. А так для такой цены для любительских съемок вполне даже нормально. И заряда аккумулятора надолго хватает.</t>
  </si>
  <si>
    <t>1219</t>
  </si>
  <si>
    <t>Отличный агрегат. Кому не нравится, сам не знает чего хочет :).</t>
  </si>
  <si>
    <t>2009-09-11</t>
  </si>
  <si>
    <t>Неплохая модель. Мне тоже нравится. С оценкой тоже согласен.</t>
  </si>
  <si>
    <t>14</t>
  </si>
  <si>
    <t>Хорошие наушники, поначалу не нравилось что глухо звучали, как оказалось такой звук просто телефон издает, наушники использую для сведения (занимаюсь музыкой)...  Звук почти такой же как и на динамиках...  Уже почти год как их купил, обращаюсь не очень то аккуратно, хорошо держутся, у других наушников что были раньше обычно проблемы с проводами на 2 месяц начинались, а с этими все отлично, провод не твердеет на холоде...</t>
  </si>
  <si>
    <t>В принципе, хороший аппарат. Пульт удобный, фильмы смотреть очень удобно.    Из минусов - ТВ ловит от силы 2-3 программы. С флешки при выключении магнитолы начинает песни мотать сначала, а не с последней песни. Экран тупит, редко правда. Приходится выкл/вкл магнитолу.    Из плюсов - понравился звук, качество звучания, басы у неё хорошие, панель удобная, хорошая навигация на пенели. Меню на русском языке.    Было немного проблем с подключением, но справился.  P.S Мне нравится,купите, не пожалеете.h</t>
  </si>
  <si>
    <t>2222</t>
  </si>
  <si>
    <t>посмотрел все отзывы о плеерах, также посмотрел функциональность плееров, ну и сделал вывод что этот плеер лучший. вот собираюсь купить его через месяцок.    кстати никто не пишет как работает фм модулятор.и на каких частотах.</t>
  </si>
  <si>
    <t>2009-11-18</t>
  </si>
  <si>
    <t>1 день использования.  Понравился тач пад, полоса прокрутки не выделена, а скрыта. Кнопка как бы одна, но на самом деле их 2! органично сделано.  Клавиатура как бы зависает в воздухе, притоплена, с каймой глянцевой вокруг. Звук вполне приемлемый. Экран не бликует(в комнате включал) Игры не гонял пока.</t>
  </si>
  <si>
    <t>В комплекте было: 2 рации, 6 шт &amp;quot;ААА&amp;quot; фирменных (на каждом написано &amp;quot;Midland&amp;quot;) аккумуляторов по 600 мАч каждый, зарядник для обеих раций. Эта рация безусловный лидер в соотношении цена-качество,за свои деньги я получил устойчивую связь до 4.5 км по прямой видимости(в городе 300-500 метров устойчивой связи,зависит от застроек). Маленькая,легкая- весит 95 грамм(с аккумуляторами).&amp;nbsp;</t>
  </si>
  <si>
    <t>1957</t>
  </si>
  <si>
    <t>Бреет не хуже обычных бритв типа мак3 и т.п.,плюс нет последствий в виде порезов. Нет раздражения,а с пеной ощущения от бритья отличные.  Всем рекомендую.</t>
  </si>
  <si>
    <t>И мне набор очень нравится!!!Я сама парикмахер,понимаю толк в таком товаре.Правда покупала для личного пользования.</t>
  </si>
  <si>
    <t>Отличная вещь, очень жаль. что не купила раньше. Проста в управлении,хорошо расслабляет,улучшает сон.Порекомендовала сестре, она тоже довольна. Добавляю в воду соль для ванн и наливаю прохладную воду, вода слегка подогревается, очень приятно.Размер ванны большой, удобно двигать ступнями, массировать их. Отличная вещь.</t>
  </si>
  <si>
    <t>Аппарат конечно прикольный,мне понравился.Принципиально не покупаю Нокиа,постоянно только Сони и только раскладушки,нравится дизайн,только вот подводит динамик,он настолько громко орёт что иногда на рок песнях(Рамштайн)похрипывать начинает как Брайан Адамс.А вот существенный минус то,что когда он лежит на нижней панели,динамик полностью закрыт,его вообще не слышно,я постоянно пропускаю звонки.Перед ним был Сони W710i у того подставка специальная на корпусе,чтобы было слышно как бы он не лежал.И ещё растреклятый разъём подзарядки:((Вообще в Соньках это самый жирный минус,родной милый "Джек" был бы намного удобнее и надежнее.А так всё путём,функции устраивают.Не люблю когда в телефон засовывают слишком много функций,там микроволновка,блендер,измеритель уровня сахара в крови в моче и т.д:))</t>
  </si>
  <si>
    <t>2012-12-27</t>
  </si>
  <si>
    <t>Варочная панель-сплошное растройство. До этого была 10 лет другая варочная панель. Не было никаких проблем. После установки данной панели, правая ручка регулятора подачи газа нагревается и плавится. Пользоваться правой горелкой невозможно. Места очень мало. Вы никогда не сможите пользоваться 4 комфорками. Я в шоке от данной варочной панели!</t>
  </si>
  <si>
    <t>2013-10-20</t>
  </si>
  <si>
    <t>Блендер действительно хороший, коктейли взбивает за минуту, быстро колет лед, идеально делает детские пюрешки, пользуюсь уже больше года, никаких нареканий не было, если позволяют финансы, берите смело</t>
  </si>
  <si>
    <t>654</t>
  </si>
  <si>
    <t>Пищалки в норме, а вот САБ насторожил дребезжанием, похожим на звук вибрирующего стекла у закрытой машины, внутри которой что-то громыхает типа КЛАБ или ТРАНС! Не супер, но нормально для компа НА СРЕДНЕМ УРОВНЕ ГРОМКОСТИ !</t>
  </si>
  <si>
    <t>2369</t>
  </si>
  <si>
    <t>Очень близко расположены входы USB.</t>
  </si>
  <si>
    <t>Динамик на самой большой громкости хрипит.   Интерфейс на мой взгляд отличный. Переключать и печатать удобно.  Чехол, который идёт в комплекте на первый взгляд не очень, но довольно удобный.  Неудобно снимать блокироввку телефона.  Очень предусмотрительно в период разговора ставится блокировка сенсора.  Почему то у меня не запустилась Опера. Но может это моя проблема.   В общем я доволен.</t>
  </si>
  <si>
    <t>Супер телефон! Недавно приобрела его в М-видео и очень, очень довольна им! Красивый,функциональный,удобный... Его достоинства можно перечислять очень долго. Единственный минус - это батарея. Хватает всего на 2 дня. А так все супер! И конечно же товар приобретенный в М-видео, как всегда качественный и не имеет претензий.</t>
  </si>
  <si>
    <t>3205</t>
  </si>
  <si>
    <t>Небольшая и очень удобная вытяжка, брали ее недавно для мамы - пока не разочаровала! Во-первых - не самый шумный вариант, скорости легко переключать и подсветка достаточно ярко и равномерно освещает плиту. А во-вторых - тянет сильно, после жарки в квартире нет запаха общепита) Ну и дизайном я крайне довольна - современная такая, аккуратненькая, отлично дополнила кухню! Считаю, что качество и цена у нее хорошо друг другу соответствуют)</t>
  </si>
  <si>
    <t>Хорошая штука, подарил жене, а пользуемся оба ))</t>
  </si>
  <si>
    <t>236</t>
  </si>
  <si>
    <t>2017-03-24</t>
  </si>
  <si>
    <t>Надежная, небольшая, недорогая</t>
  </si>
  <si>
    <t>2016-04-10</t>
  </si>
  <si>
    <t>доска большого размера - не для маленьких квартир. Исключительно для парогенератора, поскольку не имеется площадки и розетки для утюга. Нет полочки для глаженного белья, его можно складывать на большую площадку для генератора. Плюс - плечики для рубашек - для тех, кто каждый день стирает и гладит рубашки) ИТОГ - если нужна доска для глажки утюгом - ТОЧНО не этот вариант.</t>
  </si>
  <si>
    <t>Покупали для работы, действительно очень хороший, удобный чайник, вполне оправдывает свою стоимость. У нас даже некоторые купили себе такой же домой. Пользуемся примерно 6 месяцев, темных пятен не появилось. Наш отдел он вполне устраивает. Работай как можно дольше, наш трудяжка!))))</t>
  </si>
  <si>
    <t>А если на этот ноутбук закачать игру контр-страйк глючить не будет???Когда я буду играть её по сети??))))))))  Заранее спасибо))))))))))))</t>
  </si>
  <si>
    <t>Уже несколько лет подстрегаюсь этой машинкой, все замечательно, только насадка сломалась, остальное без нареканий.</t>
  </si>
  <si>
    <t>До этого пылесоса были два Самсунг и LG . Стало удобнее управление на ручке, шланг длиннее, трубка более продумана. Турбощётка стала лучше.Контейнера хватает на две уборки 3-ком. квартиры. Фильтр приходится мыть после четырёх уборок.  Сразу берите запасные фильтры.  Есть модели с особыми фильтрами, которые не продаются.Поэтому взял эту и не жалею.</t>
  </si>
  <si>
    <t>хорошая видиокассета</t>
  </si>
  <si>
    <t>Отличнейший утюг!!!  До него пользовались роветой 9 лет, поэтому за следующим шли только за ровентой)))))) гладится всё отлично,никогда ничего не прилипало,хотя  полно маек и толстовок с прорезинеными рисунками и др.декором,я их никогда даже марлей не прикрывала-и ничегошеньки! пользуюсь только дистиллированной водой, поэтому ф-цией самоочистки не пользуюсь, но на старом приходилось из-за жёсткой воды,очень я довольна покупкой!!!</t>
  </si>
  <si>
    <t>Выбирать производителя долго не стал, имея в наличии практически все девайсы французского производителя MOULINEX, состоящие на службе нашей кухни и безотказно выполняющих свои функции. Дети готовят бутерброды самостоятельно, чистить поверхность после жарки достаточно двумя обычными салфетками. Отсутствие таймера с функцией автоотключения, но это мелочи, ведь на приготовление требуется все лишь 2-3 минуты.</t>
  </si>
  <si>
    <t>277</t>
  </si>
  <si>
    <t>В описании сказано что он воспроизводит .mkv, а вот у меня он что то оказался, говарит формат непотдержывается.  Есть у когонить мануал как общий доступ по Lan открывать, а то он то видит то невидит, как то криво.  И Wi-Fi передатчит где кокой и почем он??</t>
  </si>
  <si>
    <t>Очень классная игра. Мне понравилась. Да и братику тоже.</t>
  </si>
  <si>
    <t>очень советую, вещь действительно хорошая, у меня было 4 выпрямителя, и средней стоимости и дорогие и не очень, это самый лучший выпрямитель, заметьте, что турмалин есть только в этом выпрямителе, а он делает волосы блестящими, очень удобен в использовании, я использую много пенки для укладки и ничего совершенно не налипает, всегда как новенький!</t>
  </si>
  <si>
    <t>Хлебопечкой пользуюсь более 1 года. Претензий к работе агрегата нет, но хотелось бы иметь модель покомпактнее. Экспериментировала с разной мукой: гречневой, овсяной, ржаной, пшенной - такой хлеб в магазине вы не найдете. На Пасху испекли кулич по рецепту из интернета (получился!)</t>
  </si>
  <si>
    <t xml:space="preserve">Отличная емкость!Примерно в 1.5 раза увеличивает срок работы камеры при тех же условиях что и с обычной батарейкой. Очень важно что аккумулятор поддерживает быструю зарядку. У меня до 100% заряжается примерно за час . Такая фишка пригодится тем кто постоянно снимает много роликов и не любит долго ждать.Размеры стандартные. Саморазряда нет. </t>
  </si>
  <si>
    <t>надежный, неплохо охлаждает</t>
  </si>
  <si>
    <t>Богатейший комплект поставки.  Присоска на лобовое стекло авто, зарядка от прикуривателя - всё в комплекте.  В коробке идет диск с Навителовскими картами и 2 лицензионных ключа ключа: на саму программу Навител Навигатор 3 и на подробную карту края. Обновления с сайта Навитела встают на ура. Для автолюбителей, кто хочет убить двух зайцев сразу - отличный выбор.   В сети 3G от МТС работает нормально. Серфинг с оперы мобайл шустрый. Как модем тоже нареканий нет. В отрыве от настольного ПК спасает. Жаль WI-FI и видеосвязь опробовать пока удалось. Нет еще у нас. Аппарат функционально опережает наши российские возможности.  Как КПК - вполне нормальный аппарат. Полнофункциональный WM6.1 Оперативки, конечно, хотелось бы побольше.  Как  телефон тоже справляется нормально. Хард-клавиатура как на обычном мобильнике. Потому не нужно каждый раз стилус доставать для звонка (в отличие от глофишей).  Минусы : заряда при активном использовании хватает только на сутки, и вот место где вставляется стилус (3 месяца аппарату) уже скрипит, боюсь скоро крошиться будет.  А вообще - за 14000 руб. нет такого другого аппарата. Просто нет. Либо без 3G либо без Навитела.</t>
  </si>
  <si>
    <t>Отличная модель. Работает тихо, спать не мешает. Охлаждает хорошо. Внешний блок почти не вибрирует. Резинок в комплекте нет, но мастер сказал, что Панасоникам они и не нужны. Дисплей на пульте действительно очень маленький и без подсветки. Устаноку брали тоже в М.Видео. Поставили за 3 часа, мастера грамотные, все сделали аккуратно, все рассказали и объяснили.</t>
  </si>
  <si>
    <t>купил вчера этот ноут, доволен как слон. Дай думаю посмотрю процессор и видеокарту. Оказалось, что в коробке был ноут с видюхой HD 3200,вместо HD 4330. я думал мне коробку с ноутом дали не ту, так нет, на коробке написано что 4330, а внутри 3200 лежит:), сюрприз однако.  А по делу, то ноут думаю хороший: led-дисплей, очень интересно проработаны верхние клавиши, они являются все горячими вместо f1,f2,f3..., а сами они будут включаться через "fn".jxtym нравится кнопка включения ,находящаяся справа, как стразик маленький светящийся:).  Сегодня поеду менять, надеюсь проблем не возникнет. Так как в кредит взял данный аппарат с ЖК вместе.</t>
  </si>
  <si>
    <t>Ну главный плюс это конечно кубики!!!Из-за него и брали, справляется на ура, даже картошку что удивило, думала что переварила и будет каша. Но все равно идеальные кубики. И большая чашка винегрета за 5 минут, только мыть потом дольше, так что разве что сразу ведро готовить... Из за этого плюса на все остальное закрыла глаза. Все какое-то хлипенькое, крышка - затвор для того места, где крепится блендер и без нее, я так поняла, техника не запустит, очень кажется ненадежной, прям страшно открывать, так же как крепится чаша, тонкий пластик, кажется что чуть надавишь и все...Мелкая терка - слишком мелка, но и для протирки не особо подходит, не понятно зачем она, средней терки и правда не хватает, по мне так лучше вместо мелкой - средняя. Ломтиками режет нормально, шинкует тоже хорошо, только не понятно зачем там два варианта тонкая шинковка и еще тоньше... Очень понравился диск для взбивая яиц и сливок, яйца мгновенно и шикарно взбил так как у меня венчиком на блендере не выходило даже за 10 минут, а тут всего 1 минута. Так же пробовала на шинковке капусту шинковать, за 5 минут качан капусты. Эту технику стоит брать если у вас большая семья и вы много готовите, закручиваете, шинкуете,празднуете и тд Если вы пара без детей или холостяк то и не надейтесь облегчить себе жизнь, потому что готовить на одного-двух не удобно, чаша слишком большая, нож небольшое количество не измельчает - разлетается все по стенкам(у меня блендер с маленькой чашей и там ножом рублю и зелень и морковку с луком на борщ) То же самое с терками, небольшое количество просто разлетится и размажется по стенкам, дольше собирать в кучу и отмывать. В целом комплектация устроила, нравится что есть соковыжималка для цитрусовых, и ничего лишнего (так как блендер уже есть). Если качество для вас немаловажно и долговечность, то выберите другую модель Боша подороже и понадежнее.</t>
  </si>
  <si>
    <t>Нашей семье очень нравится эта плита! Пеку каждый день - я бы не сказала, что "она печет слабовато". Печет супер - можно отрегулировать температурный режим - хочешь на 150, хочешь - на 220. Есть гриль - постоянно делаем на гриле курицу - получается очень-очень вкусно! Стильная, красивая, удобная - да она (плита Индезит) моя мечта! Покупайте- не сомневайтесь! Если можно было бы поставить оценку 5+, не сомневаясь поставила бы!</t>
  </si>
  <si>
    <t>1692</t>
  </si>
  <si>
    <t>Наушники просто супер, басы ваще как надо!берите все их за такую цену лучше не найти</t>
  </si>
  <si>
    <t>Сегодня(26 августа2010 года) купила этот телевизор! Мне он очень нравится и картинкой и цветопередачей и  внушительным размером! Вещь!!!!!!!!!!  Меняла 40-дюймовый VIP на этот  и не жалею!!!!!!</t>
  </si>
  <si>
    <t>Выброс денег, если купите этот пылесос.  Слабомощный, быстро забиваются пылью фильтра, необходимость мыть фильтр-стакан после двух уборок, дорогой фильтр, стоящий на выходе. Полностью разочарован!</t>
  </si>
  <si>
    <t>Отличный утюжок</t>
  </si>
  <si>
    <t>Все хорошо, по дизайну нравится - дело вкуса конечно, сделано хорошо!     по поводу ручек - ну не знаю - не испытывали - нужно так включить газ чтоб все оплавилось!   - большие кастрюли ставим на дальние комфорки    ручки целы - хотя лучше бы они были металлические !    покупалась в апреле     спасибо</t>
  </si>
  <si>
    <t>Пылесос и впрям не плох, тянет на отлично, управление на ручке очень удобно. Супруга очень довольна.</t>
  </si>
  <si>
    <t>Две недели назад купила эту модель, телефон супер, прост в обращении. Недостаток - нет подсветки клавиатуры, но мне это и не надо.</t>
  </si>
  <si>
    <t>2014-09-26</t>
  </si>
  <si>
    <t>Внутри на дверце была приклеена наклейка. После ее удаления на стекле остался след от клея. Отмыть клей очень сложно.</t>
  </si>
  <si>
    <t>2016-04-05</t>
  </si>
  <si>
    <t>Купила машинку недавно. Стирает отлично! Мне нравится. Очень легкая.</t>
  </si>
  <si>
    <t>2326</t>
  </si>
  <si>
    <t>2012-10-26</t>
  </si>
  <si>
    <t>Для тех, кто любит экспериментировать со своей прической - этот фен самое то! Насадка вращается в обе стороны, что очень удобно. Подойдет как для длинных так и коротких волос. Керамика - это здорово!</t>
  </si>
  <si>
    <t>Неплохая модель без излишеств. Все очень просто, даже проще чем хотелось бы. без хорошей антенны - бесполезная вещь. Настройки не позволяют разгуляться. Своих денег стоит.</t>
  </si>
  <si>
    <t>135</t>
  </si>
  <si>
    <t>Если покупать Mafia II - то коллекционку, из-за никчёмного на первый взгляд дополнения Made Man Pack...</t>
  </si>
  <si>
    <t>купил 2 недели назад за 9990р. приятно удивлён недорогой игрушкой!!!p.s. wi-fi в macdonalds есть ещё бы розеточку)))</t>
  </si>
  <si>
    <t>Очень тихая работа,практически не слышно.</t>
  </si>
  <si>
    <t>Телевизор порадовал,удобное меню и понятное,сочная картинка.Советую поменять прошивку с официального сайта и подключиться к внешним устройством с помощью component и будет счастье.</t>
  </si>
  <si>
    <t>1855</t>
  </si>
  <si>
    <t>Весьма неплохой саб за такие деньги, да и усилок не слабый. В комплекте все есть. Играет отлично.</t>
  </si>
  <si>
    <t>Проработал неделю, залил блок управления водой, выяснилось протечка в уплотнении тэна, явный брак при сборке.ОТК на заводе при сборке работает отвратительно.</t>
  </si>
  <si>
    <t>Общение</t>
  </si>
  <si>
    <t>Купили маме в подарок на день рожденья. Консультанты уверяли, что чайник бесшумный - это был главный критерий при выборе. Принесли домой, порадовали маму. Прошло не много времени и наш "золотой" чайник зашумел похлеще старого, отработавшего года 3. Прочитали, кажется в инструкции, что это из-за накипи, хотя её не так уж и много было - почистили - не помогло. Собираемся возвращать, не нужно нам такое счастье.</t>
  </si>
  <si>
    <t>59</t>
  </si>
  <si>
    <t>держите меня четверо, купил сегодня, будем гонять зверюшку по черному...</t>
  </si>
  <si>
    <t>1573</t>
  </si>
  <si>
    <t>2015-09-21</t>
  </si>
  <si>
    <t>Я не знаю кто пишет тут отрицательные отзывы, минусов у нее нет! Купили , с первого же раза все получилось! Хлеб отменный! О дизайне даже и говорить не стоит, конечно он на 5+! Всем рекомендую</t>
  </si>
  <si>
    <t>1279</t>
  </si>
  <si>
    <t>Довольны покупкой, очень хороший обогреватель, небольшой и компактный. Нам хватает на комнату 30 метров вполне, конечно, нужно немного подождать, пока прогреет :) Работает тихо и безо всяких посторонних запахов, качество воздуха совершенно не ухудшается (обычно подобные обогреватели его заметно сушат). Струя воздуха из него довольно мощная. При этом он абсолютно безопасен - если случайно упадет, то тут же выключится! Так что для детской неплохой вариант.. Сочетание цены и качества очень выгодное на мой взгляд!</t>
  </si>
  <si>
    <t>Сразу скажу - не плохой и многофункциональный триммер, с его помощью я сам стригусь и бреюсь. Он очень удобен в применении, бреюсь им оставляя щетину около 2мм, при этом проблем с подбородком и над губой нет, красиво и четко можно сделать окантовку, густые волосы берет без проблем. К качеству я тоже без претензий, не греется, не шумит и удобно лежит в руке, что еще надо.</t>
  </si>
  <si>
    <t>541</t>
  </si>
  <si>
    <t xml:space="preserve">Удобен в использовании, доступная цена </t>
  </si>
  <si>
    <t>2015-02-25</t>
  </si>
  <si>
    <t>Телефон оправдывает все ожидания.... Камера лучше, чем на многих фотоаппаратах. Система шустрая. Ничего не виснет и не тормозит. Пользуюсь телефоном уже год. Проблем не знаю. И в данный момент ни на какой другой его бы не променяла</t>
  </si>
  <si>
    <t>доволен ТВ. но почему-то видео не показывает ..прочитал в посте конвертировать АВИ формат в мпег2. как это сделать?</t>
  </si>
  <si>
    <t>Купил пару недель тому назад. Сочетание качество-цена выше ожиданий. Дозатор - почти честный. Отсутствует вилка с заземлением (м.б., связано со статикой в отсеке, у меня же, скорее, маслянистый сорт кофе) и тем, что на мой взгляд, слишком часто надо чистить и под, и внутри. Минимальный и однородный помол у кого как, судя по отзывам.</t>
  </si>
  <si>
    <t>Классная вещь, каждый день играю.</t>
  </si>
  <si>
    <t>Купил такую года три назад. Через месяца два стала жить своей жизнь, а именно: плитки сами включаются, при этом световые индикаторы могут как гореть так и нет.  В общем приготовил пищу, и сразу из сети - как правило. А так в целом, еще жива.</t>
  </si>
  <si>
    <t>пользуюсь год, очень довольна, а если производить чистку уксусом (как описано в инструкции), то не будет ни пищать ни мигать.</t>
  </si>
  <si>
    <t>Макс. выходная мощность -45х4,скудная инструкция ,телевизор только в Москве,гарантия на обмен 2 недели,хорошая акустика ,много настроек звука,для просмотра клипов и концертов в двд самое то!</t>
  </si>
  <si>
    <t>Через 12 лет интенсивного использования внезапно приказала долго жить микроволновка. Естественно встал вопрос о покупке новой. После неудачной попытки приобретения в одном интернет-магазине был совершен рейд по магазинам основных продавцов бытовой техники. Эта модель, как говорится, приглянулась с первого взгляда. Жене очень нравится. И что-то мы не заметили, что реальная мощность не соответствует заявленной, все с этим нормально. Эффектный, без лишних изысков внешний вид, удобное управление, гриль. Обнаружился  небольшой минус - видны отпечатки пальцев на черном стекле дверцы. Но ведь стекло! Очень легко все следы стираются, и ни царапины (на старой был обычный пластик, легко царапающийся).</t>
  </si>
  <si>
    <t>2576</t>
  </si>
  <si>
    <t>На моей - страна-производитель Германия. Простая машинка, без кучи ненужных опций. Купила по акции. Считаю, что мне безумно повезло приобрести не китайскую пластмассу, а нормальную немецкую стиральную машину. Тем более, что вся техника в доме - Bosch!</t>
  </si>
  <si>
    <t>Прекрасный плеер, прекрасная цена, всем советую,  в комплекте нормальные наушники, звук прекрасный, плеер просто КЛАСС!!!</t>
  </si>
  <si>
    <t>Действительно нужно смотреть характеристики на сайте производителя. USB разъём есть, но служит только для обновления ПО телевизора, а это значит, что ни обещанных mp3 и JPEG с цифровых носителей он не воспроизводит.   Также недостатком считаю то, что включается и выключается телевизор очень громко и настроить громкость или совсем отключить возможности нет. Подключал к нему ещё и dvd плеер тоже samsung с функцией Anynet, так с кабелем действительно проблема. Из-за недорогого кабеля, телевизор 1 раз из 5 попыток находит плеер, а саму функцию Anynet считаю бесполезной, потому что когда хочешь выключить плеер, выключается телек и др. недоразумения.</t>
  </si>
  <si>
    <t>Телевизором попользовался всего пару дней, но качество изображения и цветопередача отличнейшие, благодаря низкому разрешению 1024 на 768 качество аналоговых телеканалов великолепнейшее, смотришь фильмы как с DVD, взрывы вообще отлично показываются, как в кинотеатре. К сожалению, экран реально как зеркало, сильно бликует, а у меня проблемы со зрением, так что был вынужден поменять, есть эта же модель со специальным покрытием антибликовым, лучше взять ее. Поменял на 32 дюймовый филипс амбилайт, с расстояния метра в 4 смотреть для зрения как раз нормально, хотя экран конечно кажется малюсеньким. Еще один минус, по кабельному ТВ некоторые каналы у меня шли без звука, уж не знаю с чем это связано.</t>
  </si>
  <si>
    <t>Цена , качество , нет запаха пластика .</t>
  </si>
  <si>
    <t>Чупил недавно.....радости полные штаны))приставка очень мощная, и графа супер...Берите не пожалеете)))</t>
  </si>
  <si>
    <t>Мясорубка  отличная. Эксплуатируем  с  женой  уже  6  лет  подобную  мясорубку. На  Новый  год  решили  сделать  подарок  детям и  купили  им  проверенный  вариант. Я  по  образованию  инженер - механик, могу  сказать  что  и  по  критерию  цена-качество, и по  культуре в  целом  конструкции  и  применяемых  материалов( все  детали  передающие  крутящий  момент металлические)эта  мясорубка  не  имеет  себе  равных. Всем  советую.</t>
  </si>
  <si>
    <t>Очень нехорошая штука, много шумов, кнопки не информативные, сам корпус весь по швам трещит, кнопки болтаются, в общем не советую.</t>
  </si>
  <si>
    <t>У меня такой же,только чёрный.В целом доволен,лучше Sony NWZ-B142F (2Gb).  Понравился попкорн(или как он там),есть возможность настраивать самому эквлайзер.Ззвук качественный,готов выдавать хороший низ и вверх.Периодически огорчает зависания,за два месяца завис раза 3-5.Перезагружается с помощью иголки.  Что касается время работы,то не обманули.Работает что то около 15-20 часов.Базовые наушники нормальные,но стоит купить ещё одни,т.к. они у меня сломались через 2 месяца.ИМХО за 1600 самое оно!</t>
  </si>
  <si>
    <t>2016-07-17</t>
  </si>
  <si>
    <t>надо было быстро придумать спасение от жары, т.к. кондиционер установить дома возможности нет, а на 8-м месяце беременности переносить жару +35 дома просто невыносимо. посмотрела самый недорогой вариант из более-менее известных брендов - выбор пал на этот вентилятор.   когда покупала - при мне еще три человека брали этот вентилятор. так что модель очень популярна именно из-за своей цены. по словам консультанта, за один день 60 штук продали этих вентиляторов.  приехала домой - собрала сама, даже без помощи мужчины. но для сборки нужна крестовая отвертка (к счастью, у меня был шуруповерт под рукой). в остальном все просто и понятно, даже беременной женщине под силу самой и довезти коробку, и собрать вентилятор  в использовании нормально, обычный вентилятор, ничего особенного, работает нешумно!</t>
  </si>
  <si>
    <t>Мне очень нравится.</t>
  </si>
  <si>
    <t>Отличный телефон!!! Изображения на телефоне отличные. пользуюсь 2 мес.впечатления отл.берите очень хороший.</t>
  </si>
  <si>
    <t>отличный холодильник, небольшого размера, но очень вместительный, очень тихо работат.</t>
  </si>
  <si>
    <t>Купил домой такую вещь, сильно от неё ничего не ожидал, но оказалась довольно полезной. Дождь предсказывает гораздо точнее прогноза по СМИ, жалко что только на 12 часов вперед. Ошибалась буквально пару раз, когда показала возможный дождь, а его не было. Температуру показывает точно. Вообщем, особых нареканий не замечено, рекомендую.   Кроме синхронизации времени. Не нужно мне Московское время дома (+4).  Как уже говорилось, отличный вариант подарка.</t>
  </si>
  <si>
    <t>Мне неочень понравился, пользуюсь почти 2 года, волосы особо не сжигает, но рвет ужасно. Чехол удобный, беру с собой в поездки. Выпрямлеяет нормально. Не советую, если есть деньги то лучше купить другой.</t>
  </si>
  <si>
    <t>Игра очень сильно на любителя, т.к. сравнивая с хитами такими как BC2 и MW2 сильно им проигрывает, но это на первый взгляд и разыгравшись по сети в принципе можно переждать время до выхода Black ops!!!</t>
  </si>
  <si>
    <t>Ожидания оказались не оправданными.  Во-первых: самый большой недостаток-сильно греется (ни разу еще не встречал с такой теплоотдачей). Видеокарта, как оказалось старой технологии DDR (а не DDR2). Нет мультимедийных кнопок. Во-вторых: очень слабый аккумулятор, в среднем только 1,5 часа (а при полной нагрузке только 40 минут).  Из положительных качеств: удобный дизайн, нравится как работают клавиши, тачпад немного не удобный, но хорошо позиционирует, нет разных лампочек у дисплея (которые отвлекают). Нет HDMI, но зато есть и Блутус и Firewire (IEEE1394).</t>
  </si>
  <si>
    <t>887</t>
  </si>
  <si>
    <t>Отличный прибор! Качественная сборка, удобно сидит в руке, широкий фильтр.</t>
  </si>
  <si>
    <t>Баса вообще нет, какие то посторонние шумы, не порадовали меня наушники, лучше взять в том же ценовом диапазоне фишер какие-нибудь, там хоть басы нормально рубят.</t>
  </si>
  <si>
    <t>Универсальная, компактная,лёгкая</t>
  </si>
  <si>
    <t>2015-02-23</t>
  </si>
  <si>
    <t>Купили в мае 2014 года. Пользуемся не менее двух раз в неделю. Мощность очень радует!!! Маневренный - любые уголки и закуточки легко проходит! Насадки приятно радуют. Турбощетка - монстр, в хорошем смысле этого слова. Настоятельно рекомендую пылесосить матрасы турбощеткой. Выхлоп пыли из работающего пылесоса мной не выявлен.  Контейнер легко снимается, не менее легко опорожняется от пыли и очень просто моется. Очистка самого фильтра не доставляет хлопот. Могу сказать из практики, что первые 5-6 применений мойки фильтра не требует. Сам процесс мойки фильтра больше похож на игру :).... Пылесос радует, всем доволен!!!</t>
  </si>
  <si>
    <t>Телефон отличный, стильный дизайн, но обламывает, то что в аське и опере нет русского. Что делать? Я же его из-за этого и брал.</t>
  </si>
  <si>
    <t>Купила такую и не долго радовалась. Через месяц пришлось пригласить мастера. Поменял эл.модуль. Оказывается слабенькую стали делать электронику, чем раньше. Все полагаемся на авось. А так, все нравиться как стирает и отжимает. Трикотаж не сминает, не рвет и индикаторы ярко горят.</t>
  </si>
  <si>
    <t>Очень довольна! Моей машинке уже год и никаких проблем.</t>
  </si>
  <si>
    <t>Отличный водонагреватель, почти как котел, воду греет быстро, совсем не шумит, объём воды универсальный, купаться можно не торопясь, 3-4 человека легко... Для семьи идеальный "Мойдодыр", пользуюсь 3 месяца нареканий и недостатков нет!!!</t>
  </si>
  <si>
    <t>Приобрела ее на бонусы по карте М.Видео неделю назад. Отлично справляется со своими функциями. Чисто гладко и практично. Вещи как новые. Работает от 2 батареек АА, в комплекте не идут. Единственный минус на мой взгляд шумновата. Но за эти деньги готова с этим мириться и ставить  фильм на паузу когда чищу вещи, ибо ничего не слышно)</t>
  </si>
  <si>
    <t>Блендер просто супер!!!! Приобрели в прошлом году, со своей задачей справляется, достаточно мощный двигатель, справляется с любым мясом, перемешивает, взбивает. Покупкой очень довольны, коктейли просто изумительные, лед на раз превращает в пушистый снег! Система ножей позволяет перемешивать продукты в однородную массу качественно и быстро. Легко моется. Ко всему прочему, он очень красивый и стильный. Украшает кухню.</t>
  </si>
  <si>
    <t>Справляется со всеми функциями отлично! Вмиг перемалывает любые овощи, приготовление сложных блюд становится гораздо легче и доставляет больше удовольствия! Хочется действительно пользоваться таким блендером! Эргономика прекрасная, все продумано производителем, плюс мощность соответствующая. А еще есть удобное крепление на стену, так что много места этот кухонный помощник не займет!</t>
  </si>
  <si>
    <t>нормальный миксер, исправно работает. в общем довольна)))))))))))))</t>
  </si>
  <si>
    <t>В данном телефоне не работает АОН (услуга на АТС подключена). При звонках на мобильные телефоны происходит соединение, но ничего не слышно. При этом каким-то образом списываются деньги с мобильника (входящий звонок).</t>
  </si>
  <si>
    <t>Куплен 29.05.2015. Сгорел 16.07.2015.   У сестры лет 10 уже стоит сетевой фильтр бренда Pilot. Сам раньше пользовался то другими фирмами. Расстраивался, что через 1,5-2 года эксплуатации горят. Подумал, раз у сестры так долго работает, то и себе куплю заветный Pilot. Да не тут то было! Pilot GL сгорел через полтора месяца использования при просмотре видеоролика на популярном видеохостинге. В сети скачков напряжения при этом не было, так как защита другой половины квартиры не сработала, а там и холодильник включен и электронные часы; вылетел только автомат, питающий часть квартиры с данным сетевым фильтром. Поставил пока вместо пилота старый свен, который поменял на это "чудо" по причине того, что на свенах со временем умирают розетки, а судя по тусклости лампочки выключателя одной из его розеток, оная потихоньку умирает.  Крайне не рекомендую продукцию данной фирмы.</t>
  </si>
  <si>
    <t>2012-09-10</t>
  </si>
  <si>
    <t>Впечатления на следующий день после покупки оценить до конца не успел так как купил вечером, а проверял на практике уже ночью, результат на утро весь пол в доме блестит, тапки по чистому полу скрипят, а ковер приобрел вторую молодость, такое впечатление что пол под ковром помылся вместе с ковром, этакая химчистка - прачечная на дому. Купил последний экземпляр с витрины до этого посмотрел все модели моющих пылесосов, которые были в магазинах города и почитал отзывы о всех моющих пылесосов и остановился на VAX V-020 TFR жаль что другой такой пылесос остался только в соседнем городе, а то бы знал уже, что на подарок прикупить можно.&amp;nbsp;</t>
  </si>
  <si>
    <t>Духовой шкаф просто потрясающий!я например после газовой духовке от этого вообще в восторге !А пироги поставил и забыл, только достать когда готовы.Покупайте не пожалеете.У нас и панель тоже КРОНА очень нравиться.</t>
  </si>
  <si>
    <t>4.	Ну признайтесь кто из нас не мечтал  в детстве о локонах как у Барби? И даже в более сознательном возрасте? Но и красивую, объемную прическу с небрежными локонами, оказывается, можно соорудить минут за 10-15, воспользовавшись щипцами. Эти щипцы мне понравились тем, что у них есть керамическое покрытие (а значит вред для структуры волос минимальный), два режима работы и удобное крепление шнура на шарнирах – не дает проводу закрутиться (а помните, как с этим мучались наши мамы? я помню). А учитывая цену, модель можно назвать вообще одной из самых удачных.</t>
  </si>
  <si>
    <t>Я только из-за этой игры буду брать ps3</t>
  </si>
  <si>
    <t>Камп норм, я купил его 5 месяцев назад, щас играю работаю всё нормально,советую купить деньги зря не потратите.</t>
  </si>
  <si>
    <t>панель очень нравится. нагревается моментально. еда на этой панели получается очень вкусная</t>
  </si>
  <si>
    <t>купил этот аппарат 21.05.2010. Покупкой больше чем доволен, с USB качество картинки супер, читает все форматы видео, нечего не тормозит!!! достойный девайс!!!</t>
  </si>
  <si>
    <t>2013-05-11</t>
  </si>
  <si>
    <t>Ремонтирую через каждые 2 месяца, а гарантитя кончается в июне. НА МЫЛО!</t>
  </si>
  <si>
    <t>Весы очень компактные, отличный дизайн, точное взвешивание единственный, минус очень - дешёвый пластик.</t>
  </si>
  <si>
    <t>Пользуюсь несколько дней.  Достоинства: реально мощный и действительно тихий (хотя на сайте указан неверный уровень шума, у этой модели уровень шума 71дб, можете проверить на официальном сайте Электролюкса, да и в паспорт был вложен лист с указанием уровня шума 71дб).   Кроме того, понравилось удобство в пользовании - длинный шнур (от одной розетки хватает убраться в 3-х комнатах), авт. регулировка длины шнура (не путается под ногами и под колесами пылесоса), удобные длинные ручка и шланг позволяют пылесосить мебель на двухметровой высоте не поднимая пылесос с пола, кстати не очень большой вес (чуть больше 5кг) и наличие 2-х ручек для горизонтального и вертикального удержания делают уборку даже с пылесосом в руке не утомительной и комфортной.  Недостатки: однозначно цена (даже с учетом акции - 6390руб. это перебор). Есть хорошие пылесосы за 2,5 - 3 тыс. Да и пылесборники и фильтры, которые придется менять достаточно часто тоже у Электролюкса не самые дешевые. Не понравилась и насадка для мебели, щетина у нее очень мягкая и то и дело получается, что трешь по мебели резиновой трубкой, хотя может это дело привычки (после 17 лет эксплуатации пылесоса Мулинекс привык к более жесткой щетке). Кстати после 3-х разового использования оторвалась тряпочная накладка около щели на насадке для пола, пришлось лезть за ней в пылесборник, а потом клеить на место.  А в целом хороший комфортный пылесос, если можете себе позволить потратить на него более 6 тыс.</t>
  </si>
  <si>
    <t>1536</t>
  </si>
  <si>
    <t>машинка у меня полгода, очень порадовала!!качество стирки отличное, есть быстрая стирка очень удобно,подключили сами, все просто!Отдельная благодарность работникам интернет-магазина, привезли в назначенное время, распаковали, все проверили, очень вежливый персонал, сказали, если не понравится приедут заберут в течение двух недель! сервис в мвидео отличный сколько товаров покупали никаких проблем не возникало, спасибо вам!!!</t>
  </si>
  <si>
    <t>У меня телевизор уже 2 года, очень устраивает. Возможно ли приобрести пульт ДУ к такому же телевизору отдельно и по какой цене?</t>
  </si>
  <si>
    <t>Эксплуатация пару лет. Чайником довольна. Работает исправно. Воду нагревает быстро. Один минус - шумит громковато. А так претензий нет.</t>
  </si>
  <si>
    <t>Магнитола не плохая. Очень грамотно сделано меню. Приятное оформление. Но есть и минусы. Съёмная панель ну оочеень тяжёлая. DVD привод у меня накрылся через 10 дней. Что очень печально, т.к. магнитола мне успела понравится за это время. Бороться можно с этим купив дополнительно Сертификат доп обслуживания. Тогда если навернётся, то всегда можно обменять на другую :-)) Я, например, так и сделал. Да и ещё. У кого место под магнитолу утоплено в торпеду- не подойдёт, т.к. верхняя часть не входит в 1DIN</t>
  </si>
  <si>
    <t>Моя первая бритва. Сравнивал с огромным количеством бритв Braun, Philips, Panasonic, Читал много отзывов. Решил купить именно такую модель... и не разочаровался. Бритва не шумная, вибрация не сильная, не напрягает. Бреет очень чисто, даже "нестандартный" рост щетины. Я очень доволен - Бритва СУПЕР.</t>
  </si>
  <si>
    <t>Этой микроволновкой пользуюсь около месяца. Купил ее потому, что была самая дешевая в магазине на данный момент. Классическая печка. Порадовал тихий звук работы вентилятора и стола (сравниваю с предыдущей СВЧ Daewoo).  В общем покупкой доволен.</t>
  </si>
  <si>
    <t>134</t>
  </si>
  <si>
    <t>Вы знаете, мне очень понравился этт пылесос, всасывает отлично, то что много пыли собирает, я считаю это "плюс", а не "минус" :) Мы взяли со спец. щеткой для сбора волос! Это вообще нечто, собрала все, что было и получился ковер как новый! А гудят они все, я думаю никто от него еще не оглох!!! До этого был LG....такой отстой, что никому не советую эту фирму! Фильтр и емкость я всегда чищу после каждой уборки, так что не заметила никаких неудобств! Всем советую! Отличный пылесос! У меня брали еще 2 знакомых и все довольны!!!</t>
  </si>
  <si>
    <t>Решил поменять СВШПП-301 Садовая и выбор пал на Bork S700-мощность 1300вт, макс.обороты 13000,5-скоростей,плавный запуск,работает тихо слух ласкает. Купил 4 дня назад и с магазина на дачу тестировать. По сравнению с Садовой это небо и земля. 5 вёдер яблок махом остановки были только на выброс жмыха. Покупкой доволен правда немного дороговато по сравнению с другими брендами но оно того стоит. Почему-то другие производители не сообщают мин и макс обороты двигателя, а только мощность странно?, а от них зависит качество отжима я так думаю. В общем приобрёл то что хотел и просто балдею от неё. Кто не хочет гимароя то лучше доплатить и иметь Bork не менее 700 модели по финансам.</t>
  </si>
  <si>
    <t>Телефоном пользуюсь около месяца.    Выбирал телефон с поддержкой сетей 3G  с обязательным наличием "камеры" на лицевой стороне телефона для комфортного общения через "видео звонок", стоимостью до 5000 тысяч рублей.    Плюсы: качественный хорошо читаемый на солнце дисплей, качественная сборка корпуса, не плохая достаточно быстро работающая прошивка, удобная навигация меню, удобный интернет браузер, почти точно определяется местоположение в приложении Google Maps.     Минус только один, глуховатый звук динамика про разговоре.    Вполне приличный (за такую сумму), телефон со всеми нужными опциями для комфортного общения в сетях 3G.     Покупал свой телефон в исполнении silver, но рекомендую покупать лучше red тк надписи на кнопках лучше читаются на свету.</t>
  </si>
  <si>
    <t>Бритвой пользуюсь 2 месяца. До этого была сетчатая, разница колоссальная. Первый раз попробовал на сухую, не особо понравилось, побежал в магазин за пеной для бритья, и все, стал получать от бритья лишь удовольствие) Заряд держит хорошо, хватает его надолго,триммер в комплекте тоже не плохой.</t>
  </si>
  <si>
    <t>У кого уже есть EyePet (не Мув Эдишн), достаточно скачать обновление в PSN (весит около 2 Гб) для игры с Мувом. Запускать такой апдейт нужно через меню игр (там появится отдельная иконка), а не через диск.    А в целом EyePet Мув Эдишн играбельнее своей первой версии. Мув намного удобнее "волшебной карточки". Да и новых халявных игрушек добавили)</t>
  </si>
  <si>
    <t>1827</t>
  </si>
  <si>
    <t>Купила их лет 5 назад.Супер удобная вещь.Принимаю ванну с ними,мою посуду,курю с бокалом шампанского на балконе и всё с любимой музыкой!...Никаких конфликтов по поводу моего меломанства с мч или ещё кем-либо, включаю..и делаю все дела,что захочу! Советую!</t>
  </si>
  <si>
    <t>Пользуюсь телефоном полгода уже, и недостатков нет! Очень нравится, удобный в использовании! Телефон работает без зависаний, краска на корпусе не слезает, зарядки хватает достаточно! Качество звука, фотогрфий отличное! Легкий, компкатный телефон! Довольна покупкой!</t>
  </si>
  <si>
    <t>Очень долго сомневались в покупке данного агрегата, много посмотрели отзывов, видео и все же решились, ведь цена не малая. И ни минуты не пожалели о выборе. У нас в семье двое маленьких детей, стирка каждый день, особенно простыни, пеленки, пододеяльники. А вот погладить ни сил ни времени уже нет, а с данным утюгом время на глажки сокращается в разы, а какое удовольствие. У меня даже муж просит теперь погладить постельное белье)))). У нас есть утюг тефаль, мощный, один из последних их новинок, но утюг с парогенератором это совсем другая ветвь развития. Советуем, не пожалеете!!</t>
  </si>
  <si>
    <t>Купили для офиса. Пользовались больше года. На год его как раз и хватило, не больше. После года стал вонять пластиком. Пластик крошится по краям крышки и фильтра, и потом в чашках плавали эти мелкие белые пластиковые крупинки. Потом у него есть одна "замечательная" особенность самопроизвольно включаться. Здесь люди пишут, что чайник не отключается после кипячении, а у нас наоборот, он как живой - включается и сам подогревает воду. Не рекомендуем этот чайник.</t>
  </si>
  <si>
    <t>Дёшево и сердито. Свою функцию выполняет полностью, но если бы добавить оборотов и мощности двигателя на 10-20% - это был бы бестселлер! Когда хочется размолоть помельче, просто достаточно наклонять туда-сюда, для того чтобы нож разогнался. Легко чистится и идеально защищает от травмы при использовании, так как если не наденешь правильно и плотно крышку, она просто не включится.</t>
  </si>
  <si>
    <t>Не советую эту модель. Купили первый раз, подключили дома, не включается. Заменили на такую же модель, отработала 4 мес и перегорела панель управления. Замене не подлежит.</t>
  </si>
  <si>
    <t>Купили мы эту машинку несколько недель назад! Нам очень нравится!!! Дизайн супер, стирает очень хорошо. Но есть одно Но у нас маленький ребенок сын постоянно нажимает все кнопки, когда машинка не стирает, ему очень нравится музыка в ней))))</t>
  </si>
  <si>
    <t>Монитор замечательный, цветопередача меняется только если смотреть снизу, но, думаю, мало кто смотрит в монитор из-под стола. Единственный существенный на мой взгляд недостаток - частота обновления 60 Гц при разрешении 1900х1200. После 75 Гц на предыдущем мониторе глаза устают. Здесь же 75 Гц доступно при разрешении 1280х1024 (4:3), что как мне кажется нелогично для широкоформатного монитора.   Возможно стоило дождаться модели Р2770.  Моя оценка - 9/10.</t>
  </si>
  <si>
    <t>Также не помешала бы ещё одна насадка для резки кубиками побольше.Например 1.5х1.5 см. Кто нибудь знает где их можно заказать? А в остальном всё устраивает. Она не подойдёт тем ,кто захочет сыграть с ней в футбол,или тем у кого руки-крюки. Для таких целей существуют модели покрепче,которые могут выдержать жёсткого обращения и побои от сильных рук. Если бы не нехватка средней тёрки ,то поставил бы 5.</t>
  </si>
  <si>
    <t>asd (QWERT).. В данном случае установка 64 битной винды проблему не исправит..  Тебе же ясно сказали, что аппаратная часть проца не будет видеть 8 гигов..</t>
  </si>
  <si>
    <t>Телевизор отличный, прием аналоговых каналов впечатляет с даже не самой хорошей антенной (у меня нашел 45 каналов) + наличие цифрового тюнера. Также используется как монитор: 1920х1080 держит на "ура" и никаких hdmi-кабелей не нужно. Минусы есть, но они очень незначительны. Планирую взять второй такой же в другую комнату.</t>
  </si>
  <si>
    <t>69</t>
  </si>
  <si>
    <t>Купила недавно! Нисколько не жалею! Шустрый, мощный, компактный, ну прям настоящий профессионал! Минусы для меня 2: а)не устанавливается программа консультант! б) office не могу установить на русском, все на английском!</t>
  </si>
  <si>
    <t>2 неделя полет нормальный! Стирает хорошо, нареканий нет. Если кого-то не устраивает качество стирки, купите нормальный порошок или гель-капсулы. Господа, у кого шумит, мой Вам совет - не поленитесь возьмите уровень и установите по-человечески. Стирает тихо, отжим тоже норм. Так что не бухтите...за такие деньги норм агрегат.</t>
  </si>
  <si>
    <t>Нехило, Slim с 250Гб винчестером плюс Heavy Rain, эт выгодно по сравнению с PS3 Slim 120Gb без игр, и оч даже выгодно, одна игра только 2500 стоит, а тут комплект всего за 16000. Советую купить, лучшая консоль плюс лучшая игра для этой консоли. Отличный выбор для тех, у кого еще нет PS3, но хотят купить.</t>
  </si>
  <si>
    <t>Присоединяюсь ко всему сказанному здесь. Системник собран отлично, нигде ничего не скрипит и не люфтует. Очень приятно удивила и в тоже время расстроила видюха. Производительность отличная, но греется ужас как!!!  Из-за этого системник периодически зависает. Поставил дополнительно радиатор охлаждения. Посмотрим, чем все закончится. А так очень шустрая машинка.</t>
  </si>
  <si>
    <t>Очень нравятся, не пожалела ни дня что купила именно их. У меня очень вьющиеся волосы, не скажу что тонкие, но мне хватает 140-150 градусов чтобы выпрямить волосы. Я довольна.</t>
  </si>
  <si>
    <t>2012-07-16</t>
  </si>
  <si>
    <t>Пользуемся данной доской, если честно уже давно, но каждый раз при ее эксплуатации вспоминаем все самые нехорошие слова. Дело все в том, что даже при ее немаленьком весе, доска очень сильно шатается, кронштейн-держатель для складывания/раскладывания доски сломался через неделю использования и теперь доска держится в сложенном положении только при помощи шнура обмотанного вокруг. Про чехол и ватный подклад под ним тоже ничего хорошего сказать нельзя, он никак не закреплен к каркасу, постоянно ерзает и сбивается.   Не советую тратить деньги на данный экземпляр, качество нулевое!</t>
  </si>
  <si>
    <t>Купил весной 2010 года, на время отключения горячей воды показал себя более чем достойно, 3Кв зватало и что бы ребенка годовалого ополоснуть, и что бы взрослому человеку принять душь полноценный.  В отличи от предыдущих отзывов у меня и шурупы с дюбелами были в комплекте, и душевой рассеиватель без повреждений. В общем агригат за такую цену очень даже достойный.</t>
  </si>
  <si>
    <t>в сравнении с прошлой своей пароваркой, стало удобнее мыть пластиковые яруса, так как отверстия овальные и хорошо вымываются. Плюсом является то, что есть "сеточка" для приправ, можно, что угодно положить, аромат будет не только в готовящемся продукте, но и по всей квартире, что мне нравится.  Мощность в 900 вт, достаточна, чтобы пропечь самое сложное мясо.</t>
  </si>
  <si>
    <t>Вот она,новая веха в истории развития идеального мобильного телефона. Apple,как и всегда опередила всех,как говорится,на голову в то время ,когда ее предыдущее детище только начали догонять продукты конкурентов.Не понимаю тех,кто может говорить что-то плохое про продукцию этой компании,но в то же время осознаю,что ненавистники Apple всегда будут.Ситуация та же , что и с  Mac OS  и Windows.Мало кто в деле опробовал "Мак",но многие брызжут слюной,доказывая,что "Винда" лучше всего на свете.(just for example,у господина Медведева  Macbook Pro последнего поколения,может быть хоть это о чем-либо скажет приверженцам "Майкрософт")Вернемся к теме-претензии к "отсутствию блютуза"(извиняюсь,но в этот момент я надолго ушел ,как говорится,"под стол") вообще сразили наповал.Друзья!В iPhone есть блютуз, представьте себе,он даже работает,а то что некоторые не удосуживаются зайти в меню "Settings" меня очень расстраивает.Камера ?А зачем аппарату такого класса     супер-пупер камера?Разве для этого подобные вещи покупаются ?(ах да,еще некоторым "знатокам фотоаппаратов" поясню, что качество фотографий не от количества мегапикселей зависит,а от оптики,которая в столь любимых вами аппаратах на WM тоже как таковая отсутствует). Мое знакомство с iPhone началось два года назад ,когда мне подарили  3G.Аппарат во всем радует,iTunes очень удобен для хранения видео и аудиотеки с последующей синхронизацией с  iPhone/iPod. AppStore просто сказка,даже несмотря на то,что российская его часть пока очень слабо развита .По поводу проблемы перегрева 3Gs-да,такое есть, но мой 3Gs даже при максимальной нагрузке ,пусть и сильно греется,но при этом никаких проблем не возникает,температура не поднимается настолько,чтобы его невозможно было держать в руке.  P.S- после знакомства с Мас и iPhone я для себя осознал что лучше техники Apple для меня ничего нет в этой сфере,советую и вам попробовать,а только потом,извиняюсь,поливать ее грязью.  P.S.S- с нетерпением жду июня и появления iPhone OS 4.0 ,тогда "аЙфон" точно станет для меня идеальным(а заодно и возможного дебюта iPhone 4G)</t>
  </si>
  <si>
    <t>Хороший громкий чистый звук, на ухе держится ровно, причем как со вкладышами, как и без них</t>
  </si>
  <si>
    <t>Приобрел соковыжималку с большим удовольствием, хотя цена и высокая, долго решался на нее, но теперь с уверенностью, пользуюсь почти полгода ежедневно, могу сказать что она себя оправдывает, не просто окупает натуральным соком но и радует приносимой пользой витаминов. Порадывал тот момент, когда она с легкостью отжала маленький лайм, теперь я довольствуюсь освежающими коктейлями. Свой выбор оцениваю на 5 с плюсом. Наслаждения Вам с пользой.</t>
  </si>
  <si>
    <t>Телек просто супер, купил 28 октября 2010 года!!!  Настроил, СУПЕР звук и СУПЕР изображение! ОТЛИЧНО подходит к интерьеру!!! Стиль соотношение цены и качества ВСЕМ советую!!!!!! Тока как Разблокировать USB не пойму если кто знает пишите по адресу crazy_Daniil@mail.ru</t>
  </si>
  <si>
    <t>В моем пользовании эта третья стиральная машина. Все предыдущие были Indesit, выбрал эту модель, к тому же она аналогична моей 2-й стиралке, только она не узкая и работает уже 6-ой год. Основные проблемы у владельцев - проблема с открыванием лотка для порошка и проблемы электрики: не подключена или отсутствует плата программ или т.п. К сожалению, я столкнулся со второй проблемой. На 2-й стирке при отжиме стала мигать экранчик со временем до конца стирки, на 3-й стирке при отжиме вообще погас :( Походу контакт платы отошел окончательно от тряски. С локализацией производства качество товаров значительно ухудшается. Первый мой родной Indesit работает до сих пор, хотя ему уже 16 лет...</t>
  </si>
  <si>
    <t>716</t>
  </si>
  <si>
    <t>Штатив - просто восхитительный!  Прочный, устойчивый, выдерживает большой вес.   Удобно использовать его и при съемке видео с рук - как своего рода стабилизатор.</t>
  </si>
  <si>
    <t>3105</t>
  </si>
  <si>
    <t>Купил эту модель неделю назад..И был приятно удивлен не только качеством товара но и как они звучат..Всем советую.Мне очень понравились.</t>
  </si>
  <si>
    <t>2609</t>
  </si>
  <si>
    <t>2016-07-08</t>
  </si>
  <si>
    <t>Достоинства  -не греется  -не сильно шумит  -достаточно сильно дует, для своих параметров  -цена  -остальное в ттх  Недостатки  -до полного поворота вправо замедляется винт  -нет крепления для эмблемы  -на ножке не хватало 1 шурупчика (возможно только у меня)  -нет выбора расцветок  Комментарий  В целом покупкой доволен, по акции взял</t>
  </si>
  <si>
    <t>2016-07-20</t>
  </si>
  <si>
    <t>Отличный чайник! Служит уже 2 года. Красивая подсветка радует глаз. Закипает быстро. Покупала по бонусам, а это вдвойне приятно. Очень довольна покупкой.</t>
  </si>
  <si>
    <t>Отлично готовит хлеб</t>
  </si>
  <si>
    <t>В принципе чайник не плохой. У меня пробыл 2 года, после чего начал поддтекать.</t>
  </si>
  <si>
    <t>Живет долго, уже два года. Пахнет неприятно - факт. Но у него есть одна проблема. Разглаживает он плохо. Ткань как бы ровная, но мятая.</t>
  </si>
  <si>
    <t>Замечательная вещь! И волосы вьющиеся выпремляет супер и объём держит. Не надо бегать в салоны для укладки. Купила уже как три года тому назад и хочу ещё один приобрести. Так что отличный фен и для вьющихся волос и для средней и короткой длинны волос. Уметь только надо укладывать а это только сноровка.</t>
  </si>
  <si>
    <t>2015-05-14</t>
  </si>
  <si>
    <t>Вот захотелось мне красный кухонный набор Бош: чайник, тостер, кофеварка и все тут!!!И на моей кухне появился первый экспонат чайник 1,7 л..   - Первое месяцы кипяток был с запахом пластмассы, что конечно меня расстроило! Со временем он исчез,  - Ручка из матового пластика, примыкает только одной стороной, удобная. Накипь появляется как и у всех чайников,  - За год использования не сломался, работает очень очень шумно!!  - Для семьи с ребенком малый объем (!),  - К выключателю до сих пор не привыкла и каждый раз задумываюсь. Он работает на изнанку: при включении надо клавишу нажать вниз как выключатель света в комнате. Для выключения клавишу вверх. Несмотря на все минусы он меня устраивает, пользуюсь с удовольствием. Наслаждаюсь его внешним видом. Позже у меня появился тостер этой же серии марки Бош. Теперь они работают в унисон и радуют хозяйку.</t>
  </si>
  <si>
    <t>Отличный монитор , про соотношение цены и качества пишут правду )) Подходит и для фильмов и для современных игр .</t>
  </si>
  <si>
    <t>Может смолоть зёрна быстро и качественно, меня полностью устраивала бы, если бы не серьезный минус</t>
  </si>
  <si>
    <t>Товар только купил и еще не пользовался. Первое впечатление -"хлипкое" исполнение кнопок включения питания и выдвижения коретки DVD привода. Как сделать перезагрузку механическим путем вообще не понятно. Полное отсутствие сопроводительных документов на русском яэыке,да и на иностранном только информация о гарантии.Порадовал Windows 7   Товар выбирал по рекламной акции в газете, соблазнили технические характеристики и цена. А так внешний вид очень даже оригинален, непривычно маленький корпус сделан добротно и впечатляет. Все новое непривычно-поработаем посмотрим. Товар рекомендую по низкой цене, хорошим техническим характеристикам и оригинальному внешнему виду.</t>
  </si>
  <si>
    <t>1110</t>
  </si>
  <si>
    <t>Наушники-супер! Сочные басы,высокие тоже на уровне. Берите,всем советую</t>
  </si>
  <si>
    <t>2017-02-27</t>
  </si>
  <si>
    <t>снимает усталость ног, виброрежим, пузыри</t>
  </si>
  <si>
    <t>441</t>
  </si>
  <si>
    <t>Муж одарил 1,5 года назад. Три чаши,ограничитель,чаща для риса,возможность приготовления яиц.конечно,отличная вещь-долив воды,звуковые сигналы.ни разу не глючила,ничего не протекало,время не сбивалось,прогрев держит согласно инструкции,все разборное,хорошо моется. Проблем нет.</t>
  </si>
  <si>
    <t>Имею такой купленный у вас штатив. Слабая, ненадежная сборка. Сын пользуется им часто. Замки при прописанной в инструкции нагрузке могут расстегнуться. Один на малой части даже сломался, пришлось его ремонтировать. Но и после он прослужил неделю.&amp;nbsp;</t>
  </si>
  <si>
    <t>2012-08-06</t>
  </si>
  <si>
    <t>Долго читала отзывы о стиральных машинах- остановилась на самсунг. По соотношению объем, загрузка барабана, отжим (соответственно-качество стирки и отжима)ну и цена конечно - остановилась на данной модели - и нисколько не пожалела.Конечно гудит немного при отжиме - так не надо ставить 1200 оборотов.Радует что можно нажать на паузу и изменить параметры стирки.Попробовала постирать большой синтетический плед, подушку -ничего не стучало, не било, без сбоев прошла весь цикл - справилась на 5.Всем спасибо за отзывы- буду наслаждаться обновкой дальше.</t>
  </si>
  <si>
    <t>Машинка полностью разочаровала. Вибрация больше допустимой, с насадкой 3 мм. дергает волосы, при этом срезает до 1 мм. С другими насадками лучше, но вибрация убивает все плюсы.  Никому не рекомендую!!!</t>
  </si>
  <si>
    <t>Отработал у меня около 5 лет и вчера что-то сломалось в моторе. 90 ватт хватает чтобы тщательно вычистить салон, конечно не профессиональный, приходится по несколько раз водить  до идеальной чистоты, но для меня вполне достаточно. Включал его  в прикуриватель при работающем двигателе - он так мощнее работает. Радует масса мелких насадок для различных ниш и полостей и длинный шнур. Фильтр тоже хорошо продуман - с защитной сеткой.</t>
  </si>
  <si>
    <t>Купил в середине апреля. Конечно прошло не очень много времени, но телефон полностью отвечает моим требованиям. Достаточно большой экран, спутники ловит на "раз" (у меня навигатор с такой скоростью не ловил), в интернете не тормозит и без проблем загружал все сайты, которые мне были нужны.  Отличный телефон.</t>
  </si>
  <si>
    <t>У нас не крутятся сменные насадки на этом массажере. Неужели так и должно быть или это брак?</t>
  </si>
  <si>
    <t>Пользуюсь этими бигуди больше года. Очень удобно создавать красивые локоны. Правда необходимо время, чтобы они хорошо нагрелись, но зато накрутил волосы и занимаешься своими делами. Очень удобно пользоваться крабиками в комплекте, металлическими скобами так и не пользовалась, неудобно. Укладку держат хорошо при использовании средств для локонов, даже на другой день остается легкая волна. В общем считаю, если есть возможность, то такая вещь должна находиться под рукой!</t>
  </si>
  <si>
    <t>В январе 2010г. приобрели этот пылесос, все нравится пылесосит отлично.</t>
  </si>
  <si>
    <t>Хороший ноутбук - единственный минус это конечно его поверхность крышки все отпечатки видно.приходится постоянно протирать - а так норма и цена и качество</t>
  </si>
  <si>
    <t>Неделю назад как заказала эту фен-щётку и очень рада приобретением. Так как укладывать ей волосы стало намного проще. Не смотря на то, что стоимость её совсем недорогая,  она прекрасно справляется со своими функциями. Также хотелось бы отметить, что щётка весьма мягкая и приятная на ощупь, благодаря которым не повреждает волосы.</t>
  </si>
  <si>
    <t>Очень быстро и качественно рубит мясо, рыбу.</t>
  </si>
  <si>
    <t>При покупке обратила внимание на её форму, мне нравятся такие вытяжки. Они удобные и компактные. Нравится качество её работы, вытягивание воздуха происходит быстро и незаметно, тем временем меня не беспокоят запахи и духота во время готовки. Из предложенных трёх скоростей последней пользовалась только один раз, когда нужно было готовить перед Днём рожденья, в остальное время предпочитаю первые две, они не такие мощные, и их вполне хватает для повседневного использования. Понравилось электронное управление, оно очень удобное и практичное, отлично экономит силы и время! Вытяжка выглядит аккуратно, её легко чистить. Фильтры тоже моются быстро и просто. Освещение продумано хорошо, поверхность плиты освещается полностью. Вытяжка не шумная, работает тихо. Легко устанавливается и крепится на стену. Выглядит симпатично и стильно, при своей работе ещё и украшает кухню. Инструкция понятная, разобралась я с ней быстро.</t>
  </si>
  <si>
    <t>Пылесос VAX у меня первый, долго изучала отзывы и, наконец-то, решилась. Впечатления только положительные:  - квартиру 98 м2  мою 30 мин наливая воду в резервуар 2 раза  - ковры почти сухие, в прихожей высасывает даже весь песок из коврика   - пробковое покрытие идеально сухое  - шнур длинный, очень удобно, в  розетку воткнул, и ненадо бегать переключать   - очень мощный, поэтому и шумный (я пока еще не встречала тихий и мощный)  - моется достаточно просто, сил уходит столько же сколько промыть швабру и ведро (учитывая что воду, нужно менять несколько раз в процессе мытья).     Я бы нестала покупать пылесос для  1комнатной квартиры, проще, наверное, шваброй. А для меня соотношение цены и качества самые лучшие.</t>
  </si>
  <si>
    <t>Все хорошо, только одна проблема диски уж очень дорогие, а так приставка супер</t>
  </si>
  <si>
    <t>купила перед новым годом 2010 отличная вещь очень выручала в праздники было много гостей и посуды, моет, сушит класс!!! советую не пожалеете</t>
  </si>
  <si>
    <t>Вот приобрел себе машину. Теперь маюсь ею, что меня очень огорчило, моделька отличная... но когда играю в игры у меня почему-то происходит потеря сигнала видео драйвера. вот как оно происходит: весь экран черный, потом автоматически восстанавливает систему, но на экране появляются белые квадратики похожие на блески. Кто знает, помогите пожалуйста. ММм вот ещё, при покупке у меня стаяла 7-ка, так вот попробовал переустановить на XP 3 пак., так не получается, копирует файлы и потом ошибка белым по синему лат буквы...</t>
  </si>
  <si>
    <t>Неплохая бюджетная печка! Проста в эксплуатации и без всяких ненужных "наворотов". Советую.</t>
  </si>
  <si>
    <t>всё хорошо, только если налить много воды (как делают мои родственники постоянно) при наливании отходит крышка и вода льётся и в стакан и на всё что вокруг. Мне всё лень заменить фильтр, поэтому пользуемся первым уже месяца 4, не так давно увидела небольшой угольный осадок в воде. Чтоб залить воду нужно снять верхнюю крышку и всё. Потом вода медленно стекает проходя через фильтр, вещь хорошая - наливаем воду из под крана, она проходит через фильтр ну и отстаивается немного. Советую.</t>
  </si>
  <si>
    <t>2015-06-29</t>
  </si>
  <si>
    <t>В комплекте есть всё необходимое. Единственный минус - короткий кабель питания (около метра) в остальном всё супер! Превзошел все ожидания.  Средний напор теплой воды отлично сгодится на время летнего отключения воды, и это достойная замена нагреву воды в ведрах)))   Так же где то читал что его подвешивали на двусторонний скотч чтобы не сверлить стену, т.к. он для временного пользования. Сам не пробовал т.к. воду еще не отключали я его проверил и убрал.</t>
  </si>
  <si>
    <t>Через 3-4 года увлажнитель стал протекать и довольно сильно, при детальном осмотре обнаружились микро трещины в районе ультразвуковой пластины. В сервисном  центре сказали- корпус отдельно не поставляется, возникает вопрос а надо ли покупать такой дорогой?</t>
  </si>
  <si>
    <t>2335</t>
  </si>
  <si>
    <t>Отличная соковыжималка!  Можно выжимать сок из любых овощей и фруктов! Самое интересное,что жмых, который остается после приготовления сока похож на пластилин, в нем нет ни малейшего признака жидкости! Мощности столько, что можно использовать данную соковыжималку в промышленных масштабах! А для дома это просто бомба, особенно в осенне время когда в достаточном количестве овощей и фруктов!  Всем рекомендую данную модель!</t>
  </si>
  <si>
    <t>Я уже оставлял комменты, и вот после ещё долгого пользования хочу добавить: в кармане носить его Удобно, только нужно купить не ременной чехол, а с карабином--его не в каждом магазине продают, придётся побегать, но нашёл и доволен, а без чехла так совсем не заметен. Дальше, качество фото видео оказалось лучше, чем показалось поначалу и мне он совершенно спокойно заменяет фотоаппарат, ну а видео в HD качестве--понятно лучше всего остального.  Одним словом телефон - то что надо.</t>
  </si>
  <si>
    <t>Вынуждена была брать этот аппарат около месяца назад, так как сломался хороший чайник известной голландской марки, проработавший больше 6 лет. Думала взять ту же марку, но увидела этот и решила сэкономить, так как на момент был напряг с деньгами. Тут нужно отдать должное двум консультантам М-видео, которые пытались меня отговорить от этой идеи и предложить чайники других марок (немногим дороже кстати). Каков итог:  1) Ужасный пластиковый запах не прошёл даже после 15 кипячений (я считала). Причём вода приобретает какой-то горьковатый привкус. Ни разу чай себе с помощью этого чайника я так и не заварила. За здоровье как-то страшно.  2)Несколько раз он не отключался. ТАк как в одном из таких случаев я готовила на кухне, специально решила посмотреть может он всё-таки отключится? Как оказалось и не думал. Вода выкипала и выкипала, под конец я не выдержала и выключила сама, побоявшись что начнётся пожар.  3)На 15 раз, когда я точно знала что если и в этот раз вода будет вонять пластиком, то я выкину чайник, он как предчувствовав, неожиданно... сломался. Ну если я виновата в том, что вообще наливала в него воду и нажимала на кнопочку с надеждой получить кипяток... то я не знаю, а для чего этот чайник вообще создан? Чтобы любоваться?  Мораль: уважаемые дамы и господа, не забывайте про старую добрую поговорку, что скупой платит дважды. Хороший чайник не может стоить меньше 1000 рублей. А покупать плохой и надеяться что он прослужит долго - наивно. Но это лично моё мнение. Возможно вы считаете по другому. Я купила себе сейчас чайник одной известной немецкой марки, благо на него была (а может и есть) хорошая скидочка, и никаких проблем пока не возникло. И думаю, что не возникнет.</t>
  </si>
  <si>
    <t>Полетел разьем под наушники, проработал 2 недели и всё, хотя плеер функционирует нормально, только звука нет</t>
  </si>
  <si>
    <t>872</t>
  </si>
  <si>
    <t>Фен выбирала долго, перед самым новым годом, т.к сгорел старый. Перечитала много отзывов, а так же пересмотрела много других разных моделей, но остановилась именно на этой. Очень хорошая, узкая насадка. Материал из которого изготовлен сам фен, отличный, удобно держать в руке. Лично у меня не было ни каких проблем с переключением режимов, случайно ничего не переключалось, как пишут некоторые. А самое главное, фен не пересушивает волосы!!!!</t>
  </si>
  <si>
    <t>Машинку купила две недели назад.  В эксплуатации - легкая, относительно тихая. Понравилось, что можно шить на ней как медленно, так и быстро (педаль плавно регулируется). Строчек, конечно, не много, но мне, начинающему портному - хватает. Советую, кому машинка нужна для домашнего использования.</t>
  </si>
  <si>
    <t>Купили чайник еще летом на дачу. Все лето прослужил без нареканий, семья большая, эксплуатировался нещадно.</t>
  </si>
  <si>
    <t>2575</t>
  </si>
  <si>
    <t>Стильный вид, подсветка, низкий шум</t>
  </si>
  <si>
    <t>4100401</t>
  </si>
  <si>
    <t>3100</t>
  </si>
  <si>
    <t>2014-05-19</t>
  </si>
  <si>
    <t>Со временем образовался налет, нашла информацию о чистящих средствах, оказалось что для моей марки Jura существует специальное средство - таблетки для декальцинации (очистки). Таблетки эффективные, накипь исчез быстро - одной штуки хватило! Осталось еще 2 в запасе!</t>
  </si>
  <si>
    <t>Работает тихо, иногда булькает, но это не раздражает и к тому же, не громко. Кого интересует - налёт от него есть, появляется раз в два дня на телевизоре, нем самом и сд-дисках /на стороне без рисунка,если оставить на столе/.У меня он стоит на комоде в 30см от зеркальной гардеробной. Зеркала все чистые. Пыли на мебели стало гораздо меньше,НО она вся на полу оседает. Я очень боялась налета, но он минимален - проходя мимо смахнёте тряпочкой. Я очень давольна покупкой.</t>
  </si>
  <si>
    <t>2014-03-20</t>
  </si>
  <si>
    <t>Всасывает отвратительно, трудно чистить контейнер (есть с чем сравнивать), шланг очень неудобный -закручивается, сетевой шнур, видимо, для комнаты в 10 кв м, постоянно приходится менять розетки, вечно выпадает трубка.</t>
  </si>
  <si>
    <t>Я долго выбирала стиральную машинку, после поломки старой. Прочитала отзывы, рекомендации и т.д и т.п. Остановилась на данной модели и не жалею. Цена приемлемая, компактная. Как только опробовала, пняла, что не ошиблась. Не шумная, когда отжимает, стоит на месте (при том что мы не брали ни каких ножек, ковриков и т.д)Удобное управление. Полоскает супер, все чистое даже при 1 полоскании. А дверка как закрывается. Так что тьфу тьфу не сглазить. Мне очень нравиться. И спасибо всем, кто ранее отзывы оставлял, это очень большая помощь при выборе.</t>
  </si>
  <si>
    <t>Никому не советую. Блендер не плохой, но стакан к основанию крепется на трех тонких платиковых креплениях, которые ломаются на ура. Как только одно трескается, блендер начинает протекать. Новый стакан продается только всборе по цене 2/3 от цены блендера. Стоит поднять блендер за ручку стакана и крепления можно сломать. Есть функция измельчения льда. После первого же применения ножи стали тупые как валенки. Никому не советую.</t>
  </si>
  <si>
    <t>Первый чайник Tefal у нас появился в 1996 году и проработал 8 лет без нареканий! Этот же чайник маде ин китай проработал ровно пол года и потек :(</t>
  </si>
  <si>
    <t>Управление простое,нет излишеств.</t>
  </si>
  <si>
    <t>Отличная вещь! Рекомендую всем. Правда не пробовала проводить мясо(тогда мясорубка будет простаивать), а так очень довольна!!!</t>
  </si>
  <si>
    <t>Купила его и теперь довольная как кот со сметанной... Маленький, шустренький, а какой красивый мммм.... Свой старый ноут огромный отдала маме )))) Покупайте не пожалеете</t>
  </si>
  <si>
    <t>1610</t>
  </si>
  <si>
    <t>Выше писала про слабую тягу. Беру свои слова обратно. Засасывает смертельно. Двадцатилетний ковер преобразился до неузнаваемости - ворс поднялся, расцветка стала намного ярче. Когда читала инструкцию, видела, что резервуар необходимо наполнить до уровня на ЗАДНЕЙ стенке, плохо посмотрев, не нашла его и налила до уровня на боковой. Откуда же здесь взяться тяге?!!! Надеюсь, мой опыт будет полезен для кого-то.</t>
  </si>
  <si>
    <t>Нечеткие цифры!половина не видно!пробовали батарейку менять-ничего не меняеться.И гарантия закончилась(</t>
  </si>
  <si>
    <t>Это отличный пылесос с контейнером для пыли , всасывает на отлично , работает тихо , люди которые пишут чушь про фильтры - прочитайте инструкцию , фильтр сетку убить невозможно , если уж загорелась красная лампочка , то нужно просто сполоснуть его под потоком воды и все , и то я это делаю примерно раз в 4-5 месяцев , фильтр - губку мыла только 1 раз за 2 года пользования , hepa фильтр вообще белоснежный до сих пор , пылесос полностью устраивает , смело покупайте , не сомневайтесь , после моих прошлых самсунгов и lg я до сих пор не могу нарадоваться этому помощнику , один раз купила и забыла , ничего покупать и менять не нужно , и это единственный пылесос у которого не сломался и не перегнулся шланг  , у предыдущих пылесосов у всех сломался либо порвался . Bosch есть Bosch</t>
  </si>
  <si>
    <t>Электробритвой Браун 1008 пользуюсь с 2000 года, лучшего товара пока не видел.</t>
  </si>
  <si>
    <t>При малейшем скачке напряжения в сети, вылетел модуль питания, модуль питания неремонтопригоден, а замена модуля на новый, равносильно покупки новой машинки.</t>
  </si>
  <si>
    <t>239</t>
  </si>
  <si>
    <t>2011-07-12</t>
  </si>
  <si>
    <t>Игра определенно порадовала! В первую очередь ALAN WAKE  цепляет сюжетом, своей атмосферой. Да, игра опоздала с выходом на 3 года, и местами графика кажется не красивой, но узнавая эту игру все глубже, ты закрываешь глаза на все недочеты. Она кажется тебе идеальной, ты готов проходить ее вновь и вновь. Ты как зомби быстрей мчишься домой чтобы запустить ВЭЙКА на своем Х-ящике. Продолжительность игры 20-25 часов и до последней секунды ты удивляешься все больше и больше поворотам сюжета. Удивительная атмосфера маленького городка со своими загадками и тайнами. Музыкальное сопровождение и саундтрэки сливаются с игрой воедино.Отдельное слово хочется сказать про озвучку-она английская но к середине игры ты понимаешь что ни один диктор и дублер не смог бы передать такой атмосферы как диктор(обладатель потрясающего и запоминающегося голоса)который озвучил вэйка. Остальные дублеры ничем не уступают! Купил X-ящик пол года назад, ради Gears of war, Halo,и конечно Alan Wake. Всем советую именно эту игру, одназначно оно того стоит.Вы получите море впечетлений, вам захочется рассказывать о сюжете всем людям разных возрастов. Каждый обладатель XBOXа обязан в нее поиграть. Игра супер! 5 баллов!</t>
  </si>
  <si>
    <t>Прекрасный пылесос, за такую цену!</t>
  </si>
  <si>
    <t>1409</t>
  </si>
  <si>
    <t>Пользуемся с января 2010 года. Очень нравится. Всегда есть горячая вода 90 градусов (60 не пользовались, 98 иногда). Семье из трёх человек 5-ти литров хватает на 3-4 дня. Удобно с вечера налить воды и утром можно наливать. Легко моется. После смены поставщиком бутылированной воды на дивеевскую вообще пропала накипь. Рекомендую.</t>
  </si>
  <si>
    <t>2012-06-12</t>
  </si>
  <si>
    <t>Отличный аппарат, не искажает звук, не требует подключения к 220V, отличная слышимость без фона и шумов в трубке. Отдельное спасибо за помощь в выборе консультантам.</t>
  </si>
  <si>
    <t>Отличная соковыжималка для небольших объёмов сока каждый день! Легко разбирается,собирается и моется ( всего 3 детали), небольшая и лёгкая, отличный дизайн, хорошая цена. Что ещё надо, чтобы встретиь новый день бокалом вкусного натурального сока!</t>
  </si>
  <si>
    <t>Качественный вариант! Посоветовал бы всем! Согласен с Алексеем из Оренбурга - односторонняя обжарка просто класс! Детям нравится!)</t>
  </si>
  <si>
    <t>Компактный, мощный, надежный, цена</t>
  </si>
  <si>
    <t>Телефон очень хороший , мне нравится )))  вообще очень люблю нокия ))</t>
  </si>
  <si>
    <t>Давно хотела иметь дорожный утюг и вот наконец-то он у меня появился. Очень удобный, как по габаритам, так и в применении. Нагревается быстро, гладит отлично, очень удобно наличие острого носика!</t>
  </si>
  <si>
    <t>Машинка отличная, прекрасно сушит досуха и отмывает потрясающе. Программы все удобные и оправдывают себя. Надеюсь, прослужит подольше.</t>
  </si>
  <si>
    <t>Телевизор работает 2 дня, меню удобное и простое,до этого был СОНИ КВ, отслужил верой и правдой 20лет, ушел на покой, надеюсь Samsung не разочарует. Первое впечатление хорошее.  P.S.   Отдельное спасибо М.видио, выполнено все в срок!</t>
  </si>
  <si>
    <t>224</t>
  </si>
  <si>
    <t>Большое количество интересной и нужной информации. Написано доходчиво и понятно. Воспринимается без затруднений.</t>
  </si>
  <si>
    <t>Мне очень понравился его дизайн и я не пожалела,что купила..  единственное он большой на 1,7л,я живу одна и мне наверно нужен был маленький на 1л,ну я не жалею так как дизайн классный,и всем он очень понравился</t>
  </si>
  <si>
    <t>Всем привет!  Телефончик хорош, правда мелодии конечно так себе, но можно подобрать более менее приятную. Понравилось, что присутствует GAP, мой радиотелефон от GE зарегистрировался на базе без проблем, теперь в каждой комнате по трубе, что очень удобно. Удобно, что есть интерком, теперь не надо орать из кухни в дальнюю комнату, что бы позвать скажем племянника.</t>
  </si>
  <si>
    <t>Фен отличный! Недорогой! Оценка 5+. У меня он работал лет 5, потом стал нагреваться. Ровента молодец!</t>
  </si>
  <si>
    <t>1767</t>
  </si>
  <si>
    <t>Купил 9.08.2009. Ждал его давно. Все ожидания оправдались, кроме одного:    При заявленных ROM 256MB, аппарат пишет, что у него памяти 97МБ. Сколько ни смотрел других аппаратов с таким же объемом ROM, у всех она в районе 155МБ. В Вологодском М.Видео никто вразумительного сказать не смог. У другого P565 тоже самое. Либо партия бракованная с ROM=128МВ(хотя на коробке указано 256), либо Asus намудрил (Хотелось бы разъяснений каких-либо)    В остальном аппарат хорош, только очень аскетичен: нет ни датчика положения, ни датчика освещенности, ни радио. Чисто рабочая лошадка, но очень быстрая:). Сделан качественно, комплектация хорошая. Единственной, что огорчило еще - чехол. К использованию абсолютно не пригоден. Лучше бы положили сумочку на пояс, как раньше делали. И стилус пластиковый, не привычно.</t>
  </si>
  <si>
    <t>Пользуемся чайником уже больше трех лет и никаких претензий у кого-либо из членов семьи не было! Скажу честно, купили, потому что очень понравился дизайн, все друзья и товарищи обращали внимание, когда приходили в гости! На деле оказалось, что он и работает прекрасно!!! Функции кипячения воды на разных температурах в соответствии с сортами чая также очень помогают!!!! раньше даже и не знали о том, что например, зеленый чай не нужно заваривать в кипятке 100 градусов :) В общем, соответствие цены и качества идеальное! Всем советую!!!!</t>
  </si>
  <si>
    <t>Купили машинку неделю как.очень довольна!ничем она меня еще не расстроила.моет хорошо, стекло - так отлично, не шумит. самым трудным для меня оказалось разложить посуду так,что бы всё промылось.но и это теперь не проблема - научилась!нисколько не жалею о покупке.рекомендую!</t>
  </si>
  <si>
    <t>Удобная флешка, порадовал выдвижной разъём - не теряется крышечка, что всегда проблема для меня...Хорошая, позитивная моделька, неплохие показатели скоростей записи/чтения.</t>
  </si>
  <si>
    <t>Телек хороший даже можно сказать крутой, мне понравилось на нём играть, монитор и рядом не стоит. Я о таком всегда мечтал у меня вопрос, кто знает как активировать на нём usb, пожалуйста, напишите поподробнее, я думаю, не только мне будет интересно. заранее спасибо</t>
  </si>
  <si>
    <t>Отличная насадка ,крошит аккуратно и быстро,супруга довольна и ей и аппаратом(мясорубкой Zelmer)пользуемся 1.5 года без претензий(только мясорубку брал не здесь)</t>
  </si>
  <si>
    <t>Долго выбирала себе телефон, но когда увидела Samsung GT-S5200, на другие больше не смотрела! Уже почти год.  Отличная камера (автофокус, зум, вспышка, панорама, видео), хороший звук, стильный дизайн, приятный интерфейс, и все необходимые функции!  Недостатков в нем я для себя не нашла. И PC Studio в WinXp работает. А 10 игр - для нормального человека не мало!</t>
  </si>
  <si>
    <t>Брал на свой страх и риск. Так как в инете не одного отзыва, до этого была CANDI отработала 12 лет. При выборе пролез весь интернет и обошёл все магазины лучше BOSCH и SIEMENS ничего не нашёл, чистится очень хорошо, никаких средств не надо, конфорки все разные, всё работает отлично, поверхность не греется.</t>
  </si>
  <si>
    <t>2012-11-18</t>
  </si>
  <si>
    <t>Пылесос работает до первого случайного попадания воды в мотор. Защита от попадания воды в двигатель не работает, в сервисном центре по гарантии не ремонтируют, если имеются следы попадания воды в мотор. Не смотрите на 4 года гарантии. &amp;nbsp;Пылесос одноразовый. Мотор стоит 3800 руб. Покупать не советую, деньги на ветер.</t>
  </si>
  <si>
    <t>1470</t>
  </si>
  <si>
    <t>Покупал на Чонгарском в начале июля по рекламной цене 3990 руб. Вода по цвету и консистенции похожа на незастывший холодец :) Сборка- Китай, на дне написано: "Made in PRC", но это не важно. Фильтр вечный, никакой заморочки с мешками. Турбощётка в комплекте опять же. Пусть выглядит несколько дёшево- оправдывает себя на все 100%. Рекомендую всем!!!</t>
  </si>
  <si>
    <t>Пылесос купили несколько месяцев назад, потому что постелили светлый ковролин, а в доме маленький ребёнок и собака. Настоящая палочка выручалочка. Разлили краски или собака нахулиганила, в считанные минуты собирается и после очень качественной уборки довольно легко разбирается, чтобы помыть его. Очень мощная штука, ковёр почти сухой в отличие от другой марки пылесоса, используемого братом. Минус один-габариты. Но хорошая хозяйка найдёт куда и что спрятать. А что до визуального восприятия, это же не ваза, чтобы любоваться на него.</t>
  </si>
  <si>
    <t>Хороший пылесос (опыт использования пока что меньше недели)! Да, габаритный, но покупать его стоит для больших площадей. Со своей работой справляется отлично, а главное результат вожно увидеть своими глазами. Еще один плюс водного фильтра - при удалении грязи из контейнера не летит всякая дрянь в воздух. Не сказал бы, что он тихий, но терпимо. Многие жаловались на хлипкое соединение шланг-пылесос, но мне так не показалось. После 2-х часовой ГЕНЕРАЛЬНОЙ уборки НЕРА фильтр остался чистым, что свидетельствует о хорошем смачивании мелких частиц пыли водой.</t>
  </si>
  <si>
    <t>Много насадок, длинный шнур, компактный и удобный в использовании</t>
  </si>
  <si>
    <t>Хорошая магнитола, уже год у меня. В сочетании с колоночками Pioneer звучит прекрасно. Записываю на DVDшку больше, чем полтысячи песен и она даже не думает. Так же и тяжёлые видео файлы не задумываясь воспроизводит.</t>
  </si>
  <si>
    <t>Игра очень увлекательная помню как я в неё играл в 1ом классе. Минус в том что там малость трудное управление персоналом а в остальном игра классная</t>
  </si>
  <si>
    <t>Купила холодильник 3 месяца назад. Долго выбирала, очень довольна своей покупкой, отличный холодильник по качеству на все 100% и прекрасный внешний дизайн. Надеюсь прослужит долго. Рекомендую!</t>
  </si>
  <si>
    <t>На изображении очень сильно заметны шумы и даже при просмотре без записи.  Сегодня еду менять на аналогичную или делать возврат.</t>
  </si>
  <si>
    <t>Классный чайник, пользуемся им 3 года. Долго воду горячую держит, быстро закипает! Не разу не подводил.</t>
  </si>
  <si>
    <t>2809</t>
  </si>
  <si>
    <t>Купил телефон в декабре 09г.До сих пор не было ни одного замечания к нему. Голосовое управление, отличный плейер, камера 2Мп, интересный дизайн, в общем 5 баллов за телефон.  Советую всем, тем более за такую цену.</t>
  </si>
  <si>
    <t>Хороший фен. Покупала маме на день рожденье, подльзуется уже около года. Хорошо сушит волосы любой длины: как мамины средней длины, так и мои - длинные. Хорошая мощность, удобные переключатель температуры и мощности- расположены сбоку и не переключаются во время сушки. Единственный маленький минус - насадки не вращаются после закрепления. А так - никаких нареканий за все время не вызвал. Рекомендую.</t>
  </si>
  <si>
    <t>1713</t>
  </si>
  <si>
    <t>Замечательное изобретение! Уже несколько лет пользуюсь этими карандашами, чистят линзы и фильтры просто идеально. Главное не трогать подушечку пальцами, чтобы не испортить.</t>
  </si>
  <si>
    <t>2015-12-09</t>
  </si>
  <si>
    <t>Не страшно доверить термометру водичку для пупса)    И можно поиграть им, привлечь внимание купальщика, чтоб он не разревелся. Взяли в общем такую себе, а потом подарили еще друзьям, - недорого и полезно и как подарок идеально.</t>
  </si>
  <si>
    <t>купили месяц назад..очень радовал...все супер, каналы конешн плохова-то ловит да и с радио малова-то станций..зато звук суперский!!и внешний динамик хорош...но тут неожиданно стал виснуть, не могу понять почему..седня еще его поюзаю, если так и будет на картинках виснуть, то завтра же в сервисный центр!!!смешанные чувства..и радости от покупки и разочарования от возникшей в стль скором времени проблемы</t>
  </si>
  <si>
    <t>Шикарный пылесос! Тихий,и в тоже время очень мощный, маневренный и компактный. Не променяю его на другую модель. Многие из моделей, даже что подороже - ему и в подметки не годятся.  Мешки меняю редко, так как они достаточно объемные.  Если есть детки, животные - не заменимый помощник, который не пугает своим шумом и убирает идеально.</t>
  </si>
  <si>
    <t>Купила сыну(6лет), он в восторге, работает все как и заявлено, батарея служит долго,  работает бесшумно, клавиатура очень удобная, муж предлагает сразу купить к нему мышку, ребенок против (после обычного компа, ему интересно работать на тачпаде).</t>
  </si>
  <si>
    <t>2013-10-31</t>
  </si>
  <si>
    <t>Отличная модель! скоро год как приобрели. Пару раз уже жестко роняли и никаких сбоев! Звук отличный. Мелодия звонка замечательная. Аккумуляторы стандартные. Единственный недостаток - нет подсветки панели кнопок.</t>
  </si>
  <si>
    <t>1879</t>
  </si>
  <si>
    <t>Данный аппарат понравился внешним видом. А при дальнейшем использовании и своим функционалом. Его надо настроить и тогда получать удовольствие. Интернет, карта памяти, фильмы, фото - все супер. При высоком уровне использования меньше 16 часов не держал. Надо понимать и изучать то что покупаешь. Любая техника требует освоения!!! Это будет всегда.</t>
  </si>
  <si>
    <t>Пользуюсь плеером около месяца. Приобрел из-за автономности - не нужны зарядка и кабель для подключения к компу. Редко это все оказывалось вместе в одно и тоже время под рукой. Наушники из комплекта сразу в топку - годятся только для проверки работоспособности. В процессе использования оказалось, что кнопки работают только при работающей подсветке (в инструкции ни слова). Так что одним нажатием включается подсветка, а потом все остальное. При подключении к компу выяснилось что HOLD блокирует не только кнопки, а еще и память на запись(в инструкции ни слова). На крошечном дисплее трудно что-то рассмотреть и выбрать. В основном работой плеера доволен. Для своей цены плеер весьма хорош. Рекомендую.</t>
  </si>
  <si>
    <t>923</t>
  </si>
  <si>
    <t>2014-05-09</t>
  </si>
  <si>
    <t>Нормальный пылесос. Машину, квартиру и даже кота - все пылесосит! Кто жалуется, тому, наверное, подделка попалась</t>
  </si>
  <si>
    <t>Очень понравился и тут же купил! Великолепный гаджет для походов и долгих поездок. Очень хорошо ловит ТВ, но не очень удобно то, что кнопки без подсветки. Иногда, после "общения" с IPhone хочется тыкнуть в экран! Очень жалко, что не сенсорный. Хорошее качество ТВ и видео, но экран маловат. Эти недостатки были устранены в более современной версии плеера Explay T35TV</t>
  </si>
  <si>
    <t>Выплямляю только челку, результатом довольна. Очень удобная штука - термостойкий чехол, на него я кладу выпрямитель для остывания.  Случаев  случайного выключения при задевании кнопки вкл/выкл не было ни разу.</t>
  </si>
  <si>
    <t>Отличное качество электробритвы. Главное достоинство - чистое и безболезненно бритьё без "выдирания" щетины на всех участках кожи. Причём размер щетины не важен. Дизайн очень хорошо продуман разработчиками. Бритва не тяжёлая - рука не устаёт. Хорошо "сидит", не выскальзывает. Корпус герметичен - не пропускает воду. На корпусе находится триммер для бритья висков и шеи. Подвижный бритвенный блок оснащён тремя плавающими головками - это позволяет бритве повторять изгибы лица и шеи. Процесс бритья от этого выше всяких похвал. Бритву можно чистить как под струёй воды, так и щёточкой в комплекте. Также есть чехол. Всем рекомендую.</t>
  </si>
  <si>
    <t>Ноут сам очень даже неплохой и по цене и скорости. Но семерка 64-х битная, поэтому не все программы стабильно работают. А так очень даже шустрый.  Синего зуба нет, зато есть wifi.</t>
  </si>
  <si>
    <t>Игра ради которой приобрел ps3. Первое время было тяжеловато, со временем увеличивал уровень сложности. А как вышел в онлайн так понял что до совершенства ой как далеко. Короче игра классная, настоящий симулятор. Единственный минус что на английском языке, но это не критично... разобраться не долго.</t>
  </si>
  <si>
    <t>Плюсы  -внешний вид, особенно хорошо смотрится ручка. на нее нет акцента, а плавные линии.  -механический замок-защелка от детей, которая не дает открывать дверцу даже в нерабочем состоянии.  -есть функция очистки паром, правда не знаю как она справится с сильным загрязнением.  Минусы  -на экране нет индикации никакой кроме часов, будильника и установки времени пуска и выключения, и надо выбирать в меню какую индикацию вы хотите видеть на меню в данный момент (показывает что то одно, либо время либо, что то другое).   -еще таймер отключения показывает не время через сколько надо отключить, а надо указывать точное время когда духовка выключится (часы,минуты), что для меня показалось не удобным.   -и когда мне привезли духовку сообщили что у этого производителя в духовке установлено каленое стекло, т.е если придется удар о стекло оно сразу разобьется в дребезги (надеюсь что, с этим мы в процессе эксплуатации не столкнемся).</t>
  </si>
  <si>
    <t>Сложно контролировать помол, так как всё пристает к стенкам, и в итоге помол очень крупный. При мытье вода попадает в лоток сбора шнура, и протереть там не реально, в итоге собирается  влага, что не хорошо. Не доволен, завтра пойду возвращать.</t>
  </si>
  <si>
    <t>2697</t>
  </si>
  <si>
    <t>XP ставится на сей комп легко - все дрова подходят от Aspire X3810 с сайта производителя!    http://www.acer.ru/acer/service.do?LanguageISOCtxParam=ru&amp;miu10einu24.current.attN2B2F2EEF=907&amp;sp=page15e&amp;ctx2.c2att1=21&amp;miu10ekcond13.attN2B2F2EEF=907&amp;CountryISOCtxParam=RU&amp;ctx1g.c2att92=411&amp;ctx1.att21k=1&amp;CRC=391229961    Пользуюсь почти полгода - НИ ОДНОГО сбоя,  доволен как слон!    Правда, у меня шел с атишкой 4370.</t>
  </si>
  <si>
    <t>Выбрали данную модель прежде всего из-за дизайна, искала серебристого цвета и с ручкой, ну и по ценовому диапазону конечно подходила. Изначально смущала фирма супра, но решили рискнуть. Ну и зря. Изначально грела очень слабенько, но ничего ставили на большее время. Спустя 4 месяца греть перестала вообще, время идёт, тарелка крутится, всё работает, но всё холодное! Иногда всё-таки разогревала, если поставишь минут на 15. В итоге спустя неделю мучений из камеры пошёл дым и ужасно завоняло пластмассой. Решили, что с нас хватит издевательств и отвезли в сервис. Там с наших слов определили причинуи сказали ждать деталь 3 недели, прождали 5 недель. Итог таков: выдали справку,что ремонту не подлежит. Вот повезём в магазин менять, только не знаем на какую, чтоб опять так не вляпаться. Я конечно понимаю, что никто не застрахован, но это про ужас! Не покупайте!</t>
  </si>
  <si>
    <t>Раньше пользовался станком,потом решил купить бритву,потому что касеты к станку не из дешовых.Купил и не жалею.Работает очень тихо,не так как другие,приятно брится.Но есть недостаток,в некоторых местах надо выбревать подольше,но это ерунда.Бреет как будто станком.Очень доволен,оценка-пять с плюсом.Советую Всем-не пожелеете!</t>
  </si>
  <si>
    <t>1266</t>
  </si>
  <si>
    <t>был такой чайник дома и на работе...оба через пол года начали подтекать...и с каждым днем все сильней и сильней...не знаю в чем причина... но протекает сильно и прямо на поддон...в общем пришлось выкинуть оба чайника...во избежании....</t>
  </si>
  <si>
    <t>Цена соответствует качеству.</t>
  </si>
  <si>
    <t>211</t>
  </si>
  <si>
    <t>Ноут супер, видео на хорошем уровне(NFS shift на высоких настройках летит), есть минус это Vista, но это не проблема т.к. есть RECOVERY, и конечно AMD это знатная грелка))), но даже при 75 градусах нет намеков на тормоза. И батарейка конечно слабовата, но для меня это не играет роли, т.к. почти всегда от сети работаю.</t>
  </si>
  <si>
    <t>Пользуюсь 4 год 2х литровым, купил еще 1 .5 литровый. Качественный и реально крутой термос. горячий к концу 1х суток, а это очень важно). Особенно актуально в зимнее время, да или просто любой выход , выезд в сторону моря, леса и пр.оутдора.</t>
  </si>
  <si>
    <t>2017-07-13</t>
  </si>
  <si>
    <t xml:space="preserve">Бреет как станок только дольше </t>
  </si>
  <si>
    <t>в принципе термос неплохой, но кружки из пластика не внушают надежд, и протекают из-за плохой крышки-задвижки.  За такую цену смело можно брать.</t>
  </si>
  <si>
    <t>Телефон превосходного качества, отличный стиль, хороша громкость мелодий, возможность ставить МП3 на звонок, будильник и смс, встроенной памяти маловато, но мелодии для смс, будильника можно устанавливать , указывая на карту памяти. Аккумулятор отличного качества, держит заряд хорошо. Камера среднего качества, но запись фото и видео зависит только от настроек. Просто отличная модель</t>
  </si>
  <si>
    <t>Утюг хороший за такую цену. Пересушенные вещи без отпаривания не отутюжить, а так утюжит и отпаривает хорошо. Пластмассой не пахнет, но воду в нем оставлять после окончания работы не стоит, она вытекает.</t>
  </si>
  <si>
    <t>Подарили ванночку на день рождения, пользовалась уже раза 4. У меня работа физически тяжелая, постоянно на ногах. К вечеру ноги гудят, хочется реклакса. Ванночка спасает. Наливаю водичку погорячее и включаю пузырьки. Масса положительных эмоций и расслабляет, конечно)). Прочитала, что есть поддержание температуры: не поддерживается она, там же даже нагревателей никаких нет. Вычитала, что можно отвары заливать, только предварительно процедив, чтобы не забились отверстия под подачу воздуха. С отварами можно и подлечить ножки. Так что вещь не бесполезная, если ею пользоваться! Советую))</t>
  </si>
  <si>
    <t>661</t>
  </si>
  <si>
    <t>2014-07-23</t>
  </si>
  <si>
    <t>Флешки этого бренда действительно хороши, соглашусь конечно что скорость невысокая, но за такую цену вполне следовало ожидать, этой флешкой пользовалась недолго, т.к. Ее у меня украли, но до нее 2х гиговая флешка прослужила 6 лет, если бы не механическое воздействие, пользовалась бы до сих пор. Предпочтение отдаю исключительно этой компании, планирую купить на 32гб. Осознаю что, чтобы загрузить хороший фильм придется немало ждать, но переплачивать не готова</t>
  </si>
  <si>
    <t>Пользуюсь телевизором 4-й день,на данный момент всем доволен.Прочитав отзывы ниже,НЕ соглашусь с тем,что звук не очень!Для данного телевизора звук хороший,тем более при включении функции SRS TruSurround HD он становится так сказать глубже по звучанию.(P.S но это мое личное мнение) Дребезжание динамиков тоже пока не замечено.На счет качества картинки,то тут все на высоте !Качество эфирных каналов (у меня Триколор Тв)оцениваю на 3+.В общем очень,очень хороший телевизор за свои деньги !:)</t>
  </si>
  <si>
    <t>Вчера купила этот чайник, понравился дизайн. При проверке увидела эту подсветку, класс, очень необычно для чайника! Надеюсь будет радовать меня.</t>
  </si>
  <si>
    <t>Очень удобно иметь 2 насадки. Легко производиться замена.Приятный дизайн.</t>
  </si>
  <si>
    <t>Отличное качество...подарила молодому человеку на день рождения...(оооочень доволен остался)</t>
  </si>
  <si>
    <t>Железная, долго может жать сок, качественная, сок прозрачный</t>
  </si>
  <si>
    <t>появился громкий треск при работе и перестал срезать волосы, стал их зажёвывать</t>
  </si>
  <si>
    <t>1148</t>
  </si>
  <si>
    <t>2012-11-04</t>
  </si>
  <si>
    <t>Идеальный вариант всего! Цена оправдывает свое! Отлично проглаживает все! Вертикальное отпаривание вообще супер , при глажке вещей не приходиться возиться долго, вообщем быстро и удобно!</t>
  </si>
  <si>
    <t>Приставка класс! Я тож не сам покупал. Тоже покупали родители, но я доволен! Порадовало, что в комплекте мув. Мув-это вообще супер вещь! Игр мало? Это поправить легко! Ща подписался на playstation plus. Теперь скачиваю игры (всего можно скачать 10 игр для пс3 и 4 для пс виты) бесплатно.</t>
  </si>
  <si>
    <t>320</t>
  </si>
  <si>
    <t>Стригусь уже 6 лет, практически без нареканий. Насадка жива. Батарея держит пару стрижек. Недавно правда адаптер уронил и отломал один из штырьков вилки. Судя по обзорам ничего лучше и не появилось в продаже. Придется ее же покупать :)</t>
  </si>
  <si>
    <t>2264</t>
  </si>
  <si>
    <t>2015-01-06</t>
  </si>
  <si>
    <t>Месяц назад купила этот миксер. Минус один - не очень получается взбивать один белок, только  если в процессе приподнимать чашу миксера. Гарантия 5 лет,  понравилось еще что у него такие серьезные дополнительные насадки - тяжелые и эффективные!! а насадка кондитер - нечто!   Теперь за 5 мин готовлю в нем песочное тесто. Мама тесто для пельменей и вареников готовит только им, с помощью насадки крюк</t>
  </si>
  <si>
    <t>2015-07-24</t>
  </si>
  <si>
    <t>Пользуемся кофе машиной неделю. Никаких нареканий нет. Проста в обращении,кофе ароматный с пенкой. Рекомендую. Качество превышает цену!!!</t>
  </si>
  <si>
    <t>1637</t>
  </si>
  <si>
    <t>Неплохой антивирус!  С фаерволлом придётся поработать:  -по умолчанию блокирует все сети;  -не дружит с программами работающими по пиринговому протоколу.  Вывод:  Антивирус хорош, фаерволл использовать другого производителя!</t>
  </si>
  <si>
    <t xml:space="preserve">цена, класс энергопотребления, </t>
  </si>
  <si>
    <t>Телефон купил год назад. За всё время проявился, но потом исчез только один глюк - заедала кнопка "8". А так телефон просто супер, среди прямых конкурентов от Nokia - XpressMusic очень сильно отличается громкостью и качеством звучания. Комплектация - отличная, есть всё необходимое: шнур, зарядка и гарнитура.</t>
  </si>
  <si>
    <t>После долгого и мучительного выбора между огромным количеством разнообразных моделей остановился именно на этой мясорубке, и не пожалел после покупки! Да, на вид простовата, без изысков и богатой комплектации, но надежная и производительная!Очень убедительно выглядит мощный хвостовик шнека под шестиранник! Я не ожидал такой скорости-мясо только подавай! Аппарат действительно создан для качественной рубки мяса! Рекомендую!</t>
  </si>
  <si>
    <t>Отличный компьютер, очень доволен данной конфигурацией! Поставил себе виндоус 7 и все пашет на ура! Игры просто летают!</t>
  </si>
  <si>
    <t>2880</t>
  </si>
  <si>
    <t>2014-09-30</t>
  </si>
  <si>
    <t>Работает тихо, приятно звенит при выключении, без запаха пластмассы, крышка открывается хорошо, можно рукой вымыть внутри, закрывается плотно без всяких хрустов и скрипов, в общем 100 баллов</t>
  </si>
  <si>
    <t>Отличная модель, хлеб получается великолепным, правда, ни один рецепт из прилагаемой книги не пригодился, либо хлеб не получался. Всем советую сайт хлебопечка.ру - там найдете множество рецептов.  Сегодня сварила в ней варенье. Удобно.</t>
  </si>
  <si>
    <t>Телевизор замечательный. Рекомендую тем, кто ищет качественную вещь. Плюсов - масса, самый главный - отличное изображение, приятное для глаз с любого расстояния. "Аналоги" рядом не валялись. Минусов - не заметил. Радует всё.</t>
  </si>
  <si>
    <t>195</t>
  </si>
  <si>
    <t>Пластмассовые дужки так неудачно сделаны, что уже минут через 20 начинают "резать" уши.</t>
  </si>
  <si>
    <t>2013-01-31</t>
  </si>
  <si>
    <t>В апреле 2012 года купила себе хлебопечку. Сразу же купила и весы Tefal BC5060B1. Сначала муж ворчал, что дорогие, но когда я начала ими пользоваться, то он понял. что погорячился. Весы просто прелесть. Это мои первые электронные весы. Я не представляю, как я без них раньше обходилась. На них я взвешиваю всё, что мне нужно, не только муку,когда пеку хлеб. Своим выбором я очень довольна. Взвешивают точно. Батарейку не меняли со дня покупки(в апреле будет год).</t>
  </si>
  <si>
    <t>Отличная соковыжималка, консультант пугал что плохо жмет, его не послушал и сделал правильно! С 2 яблок (средних размеров, влазит не разрезая)стакан сока!</t>
  </si>
  <si>
    <t>289</t>
  </si>
  <si>
    <t>Вы любитель вестернов? Вам нравится серия GTA или, хотя бы, последний из её представителей? У вас нет возможности переместиться на сто лет назад, на границу США и Мексики, купить револьвер и стать вольным охотником за удачей? Тогда поздравляем - эта игра вам должна понравиться!  От своего движкового прародителя(GTA4) игра получила красивую оболочку и большой мир. От своих родителей из Rockstar San Diego игра заполучила кучу разнообразных личностей(именно так, а не NPC), множество развлекательных(в каком-то роде) ситуаций, и действительно живой мир!  Ах да, в игре есть ещё и хороший мультиплеер, но это так, к слову, ибо даже простые прогулки на лошади по песчаным мексиканским равнинам доставляет удовольствие истинному любителю тех мест и времён.</t>
  </si>
  <si>
    <t>Самый лучший экшн за всю историю PC.</t>
  </si>
  <si>
    <t>2015-02-18</t>
  </si>
  <si>
    <t>У него есть датчики температуры ик-порт( всегда можешь выключать телик (причём любой телик)), ещё мне очень понравились его жесты например если кто то звонит то просто помахав рукой или сказав одно слово он принимает вызов и ствавит его на громкую связь. Очень качественно показывает картинку на экране, очень высокая производительность, он настолько быстр что ни одно приложение у меня не лагало!!!</t>
  </si>
  <si>
    <t>Шикарная мясорубка! Все соединения из металла. Любое мясо, даже с жилами крутит на ура. Спасибо продавцу за совет.</t>
  </si>
  <si>
    <t>1835</t>
  </si>
  <si>
    <t>Через 6 месяцев началось отслоение антипригарного покрытия (на стеклокерамике)</t>
  </si>
  <si>
    <t>Отличный телевизор, играю на PS3 - картинка класс, много выборов режима показа: игры, кино, и д.р. и т.п. но чаще использую их.</t>
  </si>
  <si>
    <t>Проработал около года и перестал нагревать воду, это второй водонагреватель данной марки, придется покупать другой.</t>
  </si>
  <si>
    <t>476</t>
  </si>
  <si>
    <t>Хорошее качество звучания. Честно отрабатывают свои характеристики по частотам. Низы четкие без хрипов от перегрузки. Верхи на высоком уровне. Очень доволен. Спасибо консультантам Балашихинского магазина.</t>
  </si>
  <si>
    <t>2174</t>
  </si>
  <si>
    <t>Люди я такой же точно чудо чайник только черного цвета   привез 9 лет назад из германии но с именем Gastroback   когда увидел его с именем Bork удивился  а потом начал рыскать в интернете   и нашел вот что   Оказывается фирма Gastroback еще в 90е пыталась завоевать Российский рынок но с таким именем она в России не прижилась  и вот теперь мы с вами видим их товары с именем Bork   что я могу сказать про чайник:  9 лет работает.  правда корзину года как 3 выкинули  накипь образовывается только на лифте ну на палке этой по которой корзина ездит  чайник отличный.</t>
  </si>
  <si>
    <t>2016-12-07</t>
  </si>
  <si>
    <t>Для дорог - самое то!</t>
  </si>
  <si>
    <t>Я пользуюсь такой штукой уже 1год. В принципе все супер-картошка тушеная,рис с мясом... Единственное что не нравится, так это запах после этих блюд - почти не выветривается. Хочешь сделать шарлотку, а открываешь крышку и чувствуешь что запах никуда не делся.Пирог вкусный(и пахнет пирогом), но от кастрюли все равно чувствуется...</t>
  </si>
  <si>
    <t>Купили машинку 2 месяца назад .Качество стирки оцениваю на 5,но вот с порошком вышли проблемы-он не смывается полностью,лежит комком,вначале открывала и убирала его в процессе стирки,чтобы при полоскании не попадал в барабан.Потом попробовала жидкий порошок,но приходилось ставить доп.полоскать.Причем наливала чайную ложку,но при каждом последующем полоскании пены становилось все больше и больше.Сложилось такое впечатление, что порошок где-то на пути к барабану застревал и выходил только при полоскании.Так промучилась неделю,после стирки вручную полоскала вещи и при этом на поверхности воды оставались мыльные разводы.В итоге нашла такое решение:гель для стирки лью в барабан,вернее на такие пластмассовые штучки внутри барабана,они не дают ему стекать внутрь.Итог-все отлично прополаскивается,проверяла пару раз в тазике.А в остальном машинка нравится,хоть и не всеми режимами пользуюсь-некоторые режимы длятся 3 часа,за такое время мне кажется вещи очень быстро придут в негодность.Стираю на быстрой стирке(40-50мин) и деликатный режим.Экостирка вообще бесполезный режим для меня - что можно отстирать в холодной воде?</t>
  </si>
  <si>
    <t>2016-11-28</t>
  </si>
  <si>
    <t xml:space="preserve">За свою цену не плохо моет, </t>
  </si>
  <si>
    <t>1265</t>
  </si>
  <si>
    <t>Машина-шикарная,берите не пожалеете,в свою цену он включил все что можно было и даже больше</t>
  </si>
  <si>
    <t>Единственный минус этого телефона - ненадежность разъема для сим-карты, т.е. если вставили симку первый раз - лучше не вынимать, потому что разъем тонкий и при замене сим-карты на чуть более толстую могут сломаться (и как правило ломаются) контакты на приемнике сим-карты телефона после чего естественно телефон не видит симку(</t>
  </si>
  <si>
    <t>3111</t>
  </si>
  <si>
    <t xml:space="preserve">Решили отремонтировать кухню и сделать так, чтобы вся такая техника была встраиваемой, в том числе и холодильник, и отдельно морозильник. Купили все от liebherr, устроила цена + объем + режим суперзамораживания + легкое электронное управление. При отключении питания можно также не волноваться за еду, морозилньик раьботает еще + 32 часа. Внутри 4 удобных ящика, умещаются и фрукты, и овощи, и рыба, и мясо, ничего не портится. </t>
  </si>
  <si>
    <t>Простота обслуживания и удобства в эксплуатации.</t>
  </si>
  <si>
    <t>Пользуюсь этим измельчителем давно, работает исправно, хорошо измельчает лук и прочие овощи, можно перемешать составляющие для фарша. Если надо взбивать много жидкости, то лучше взять такую модель с более объёмной чашей.</t>
  </si>
  <si>
    <t>Великолепные весы.   Благодаря наличию опорной платформы, всегда показывают точный вес. Активируются легким прикосновением к платформе. Все в них радует.   Перед этим купил весы Vitek VT-1973. На линолеуме давали погрешность до 10 кг, им нужна очень твердая поверхность. И вообще они раздражали своей работой. Пошел и поменял их на эти.   Великолепные весы.</t>
  </si>
  <si>
    <t>пользуюсь полтора месяца и в принципе доволен... работает все, кроме пульта (лень ехать менять, в другом городе покупал), ну и микрофон откровенно слабенький... а так КЛАССНАЯ магнитола, звук выдает офигенный)) всем советую!!!</t>
  </si>
  <si>
    <t>2012-09-26</t>
  </si>
  <si>
    <t>Вещь! У меня фары перестали под бас мигать! Саб на высокой громкости перестал захлебываться! И кажется, что даже мощнее стал играть! Я очень доволен покупкой!</t>
  </si>
  <si>
    <t>1116</t>
  </si>
  <si>
    <t>классный телефон купил за 3999 спокойно поддерживает флешку 8гб</t>
  </si>
  <si>
    <t>Очень быстро вышел из строя;(</t>
  </si>
  <si>
    <t>Отличная модель, дороже брать для себя смысла не видел, кофе варит быстро и вкусно, приготовление капучино тоже никаких проблем не вызывает. Всем Советую!!!</t>
  </si>
  <si>
    <t>Плюсы:   -красиво выглядит  Минусы  -бракованный    Купили, решили проверить в сервисной зоне не покидая магазин - оказалось крышка открывается с 3-4 попытки, при нажатии на кнопку с силой, если сильно не давить - не открывается вовсе- щелчок в холостую и все, сдали обратно.</t>
  </si>
  <si>
    <t>2014-05-14</t>
  </si>
  <si>
    <t>Чайник - очень плохой , потек через год. За такие деньги качество должно быть лучше.Разочарован</t>
  </si>
  <si>
    <t>1121</t>
  </si>
  <si>
    <t>лучше не на 25, а на 25,4. А если выставить измерение в милибарах, то тогда на 0,75.</t>
  </si>
  <si>
    <t>Супер вещь!!! Дорого, но супер!!! Люблю его!</t>
  </si>
  <si>
    <t>К отзыву "dienperm" — вообще-то он и не должен читать видео. На официальном сайте четко написано, что он может читать только изображения в формате JPEG и музыку в формате MP3. Сам на днях купил, через некоторое время обязательно оставлю еще один отзыв.</t>
  </si>
  <si>
    <t>Продавец включила в магазине, вроде работала. Приехали с женой домой. Что только не делали, комбайн не включался. Поеду оформлять возврат.</t>
  </si>
  <si>
    <t>Купил две недели назад... Отличный коммуникатор, много функций, удобный ввод букв даже без стилуса. Все СУПЕР!!! Достоинства не описать (много сказано в предыдущих отзывах, все подтверждаю) Один минус - батарея. Но есть выход: в режиме ожидания отключать Wi-Fi, GPS, 3G, т.е. когда не используется... а для быстрого включения этих функций использовать созданные виджеты на одном из рабочих столов. Это поможет продлить срок действия батареи на 2-3 дня!!!!</t>
  </si>
  <si>
    <t>Мне нужен был такой телевизор, чтобы и фильмы смотреть и обычное ТВ (не спутниковое) показывало хорошо - не было цели и средств покупать несколько телеков)) а старый сломался, ну и конечно экран большой хотелось. Заметил такую вещь, чем больше разрешающая способность экрана, тем хуже показывают обычные каналы. Поэтому взял именно с таким разрешением 1024х768, при этом качеством при просмотре фильмов на ДВД вполне доволен. Фильмы блюреевского качества всё-равно мне не по карману, максимум могу скачать с сети, а вот дисков ДВД полно, и всё нравится, недовольных нет. Короче удовлетворил меня по всем параметрам, чему я собственно и рад :)</t>
  </si>
  <si>
    <t>Девушки, покупка этой плойки вас точно не разочарует!  Уж на сколько я придирчива... Плойка быстро и хорошо нагревается, накручивает МЯГКО, быстро, сама по себе удобна в использовании, удобно держать, а наконечник со шнуром, который двигается, предотвратит запутывание в шнуре. Что уж говорить о притом сюрпризе в виде сумку-чехла, в котором можно хранить плойку... Давно не видела такого удачного сочетания цены-качества.</t>
  </si>
  <si>
    <t>2016-04-19</t>
  </si>
  <si>
    <t>Отлично все крутит и режет, фарш идеальный даже из самого жилистого мяса лосятины. Мясорубка отличная.</t>
  </si>
  <si>
    <t>2621</t>
  </si>
  <si>
    <t>2017-07-06</t>
  </si>
  <si>
    <t>2013-06-12</t>
  </si>
  <si>
    <t>Купили пылесос 3 месяца назад, очень довольны. К нему купили еще турбо щетку, так ему вообще цены нет!!! Всем его советую.</t>
  </si>
  <si>
    <t>Народ, скажите кто нибудь,на сколько времени заряда батареи хватает?</t>
  </si>
  <si>
    <t>Пылесосом пользуюсь уже 6 лет. Покупал еще под маркой \"Bork\". Пыль собирает хорошо, пылесосом не пахнет. Дома собака, от которой много шерсти, пылесос справляется легко.  Из минусов: стал плохо убираться шнур, приходится вытягивать вновь и направлять.   Главное, не лить в резервуар слишком много воды.</t>
  </si>
  <si>
    <t>1054</t>
  </si>
  <si>
    <t>Блендер хороший и красивый, но сломался блок ножей, по гарантии не смогли сделать, вернули деньги. Правда спецы сказали, что bork обычно не ломается. Сейчас все же ищу ту же модель ;)</t>
  </si>
  <si>
    <t>Вчера приобрел данную модель... Наушники сразу поменял на другие Сони. С sp3 у меня работает прекрасно, быстро, четко. Экран очень быстро царапается, поэтому сразу надо покупать пленку или чехол. Музыка звучит очень даже хорошо. Видео воспроизводит тоже очень четко, но в основном это зависит от качества самого видео)) Жаль что нельзя удалять файлы прямо с плеера. На счет списков воспроизведения я вообще не понял, как их делать... Но вообще вещь хорошая, не жалею!</t>
  </si>
  <si>
    <t>Волшебный горшочек!!!Пользуюсь неделю нравиться.А клапан надо действительно промывать и тогда не будет никаких посторонних запахов. Покупайте не пожалеете.</t>
  </si>
  <si>
    <t>Пользуюсь телефоном 3 месяца. Заметила только один существенный недостаток - это долгий отклик на вызов, нажимаешь ответ и ждешь еще секунды 4-5, пока сможешь услышать собеседника((( но и тут нашла спасение - перезагрузка телефона! Вполне помогает. И еще, это скорее недостаток,но меня он никак не раздражает - долго "думает" при разблокировке... Ну и для моих ушек неудобная гарнитура, взяла просто другие наушники!!!! В остальном очень хороший телефон!!!! Если вас не смущают перечисленные недостатки, то советую этот телефончик!</t>
  </si>
  <si>
    <t>Хотела стеклянный чайник именно такой, круглой формы. При объеме 1.7 л выглядит достаточно компактно и аккуратно. И вообще красивый. Воду греет моментально, в плане безопасности тоже все на высшем уровне. Очень эффектно выглядит, когда закипает. Накипь на стенках почти не образуется. Моется легко. На нагревательном элементе есть антипригарное покрытие. Сам элемент скрытый, находится под днищем, поэтому совершенно не заметен. Недостатки попробовала вспомнить, но так и не смогла. Даже не знаю, к чему придраться. Цена тоже радует. Поэтому только плюсы, минусов не нашла.</t>
  </si>
  <si>
    <t>2180</t>
  </si>
  <si>
    <t>Купили 2 таких чайника,в итоге через месяц-один потек,а у другого кнопка отказала-сплошной БРАК!!!думаю что недоработки самой модели,не покупайте его.А так вообще у нас есть пылесос и миксер Скарлетт-они Супер!!!</t>
  </si>
  <si>
    <t>Был куплен больше двух лет назад. С тех пор отключался только для помывки-протирки, на время отъезда. Запах пластмассы выветрился после двух кипячений (первое с лимонной кислотой). Очень удобно - кипяток всегда под рукой, только наливай! Сшила дополнительный чехол-рубашку: реже запускает подогрев (опять же экономия) и смотрится намного уютнее. Прямо член семьи)))  +) Экономичный, безотказный. Легко моется. Три способа подачи кипятка.  -) Нет кнопки отключения на корпусе, если понадобится, то отключать только из розетки.</t>
  </si>
  <si>
    <t>1852</t>
  </si>
  <si>
    <t>Купили пылесос по акции, думала с экономила 50%. Получилось все наоборот. Очень плохой пылесос, шланг постоянно вываливается, шумит очень сильно, верхняя часть отстегивается, не удобно им пользоваться. После так называемой мойки ковра, я еще тряпкой прохожу его, остается много волос и ниток, собирает только пыль, а весь мусор остается. Никому не рекомендую его брать!!!</t>
  </si>
  <si>
    <t>тот, кто попробовал хоть разок apple, уже не захочет прикасаться ни к чему другому! восторг не передать словами! это такое высочайшее качество, звука, видео. цветопередача. даже фото напечатала, лучше фотика моего в 10 пикселей!!</t>
  </si>
  <si>
    <t>Нагревает помещение быстро. Запах исчез через 10 минут. Термостат действительно  мудреный, а так очень приличный тепловентилятор. Работой  довольны, шума мало.</t>
  </si>
  <si>
    <t>Отличный плеер для тех, кому не нужны навороты, просто прекрасно воспроизводит музыку и огромный плюс, о котором говорилось выше долгое время работы) Всем советую)</t>
  </si>
  <si>
    <t>Три месяца назад купил этот плеер и остаюсь доволен по сей день! Зарядка была в комплекте, разъем для наушников жалоб не вызывает, звук и видео на отлично! Единственный минус не совсем удобные кнопки!</t>
  </si>
  <si>
    <t>2013-11-06</t>
  </si>
  <si>
    <t>Очень рад! Игра - легенда! Ни капли не жалею! Брать всем!</t>
  </si>
  <si>
    <t>206</t>
  </si>
  <si>
    <t>2060202</t>
  </si>
  <si>
    <t>Цветной лазерный принтер HP Color LaserJet Pro CP5225DN обладает возможностью как цветной, так и монохромной печати. Разрешение для обоих типов печати составляет 600 х 600 т/д со скоростью 20 стр/мин. Устройство оснащено цифровым дисплеем для вывода различной информации и навигации по меню. Принтер может работать с компьютерами на всех актуальных операционных системах, а именно: Windows (Server 2003, Vista, 7, 8, 10), Mac OS (X 10.3 и выше) и Linux. Всё необходимое для начала работы идёт в комплекте (4 картриджа, программное обеспечение и кабель USB).</t>
  </si>
  <si>
    <t>Работает третий год.   Из минусов, после отключения, самостоятельного или непредвиденного, автоматическая система замера напряжения запускается через раз. Т. е. бывает появляется напряжение, загорается синяя лампочка и ничего не происходит. Тогда выключаешь клавишу, включаешь снова и начинается замер напряжения(мигает дополнительная лампочка).    Качество сборки превосходное. Компьютер стал реже зависать. Если и случаются зависы, то не такие критические, Alt+Ctrl+Del вполне справляется.  Аналогов спасающих от перенапряжения за такие деньги всё равно нет, так что в общем брать можно.</t>
  </si>
  <si>
    <t>Вчера купил iPod, в комплекте шли данные наушники. Наушники просто супер! У меня есть наушники Philips, стоимостью около 500р. Они явно проигрывают Apple, хотя я думал они у меня хорошие. Звук у Apple супер, басс отличный, пока что лучше наушников я не слышал, даже про Шанхайзеры не сказал бы такого, такие тож есть у меня. Проверял на стареньком Nexx mp3 и iPod. Они стоят того, чтобы слушать их.</t>
  </si>
  <si>
    <t>Цена больше 20 000 - психологически высокая для переходной модели нетбук-ноутбук, ведь нет DVDROM. Модель очень нравится.  Я хотел нетбук, но экран 10-11 дюймов маловат для букв и значит не полезен для глаз. Стал искать 13 дюймовые - думаю этот нотик наилучший среди 13 дюймовых.   Аккумулятор держит нормально - в ноль еще не разряжал, но при минимальной нагрузке выстоит часов 8. В режиме просмотра фильма простоял 1 час 20 минут  - прогноз батареи был 5ч 37 минут. По окончании фильма он был 4ч 20минут. У этого ноута 2 видеокарты - одна интеловская встроенная, вторая дискретная ATI HD4330 512mb (для игр что ли?)Он между ними переключается для экономии энергии. Игры не пробовал еще запускать. WEB - камера выше всяких похвал - цветопередача отличная. Встроенный микрофон вполне чувствителен для Skype. Тач-пад отключается кнопочкой, чтобы случайно до него не докоснуться при вводе большого количества текста.  Приемник WiFi работает нормально.  Недостатков особенно не заметил. Вот мелкие:  - крышка глянцевая, жирные следы остаются от рук  - 3 юсб порта маловато - если захочешь подключить клаву, мышь, и внешний дисковод, то для флэшки юсб разъема уже нет...  - оптического звукового разъема нет, хотя он есть в панели настройки звукового контроллера.  - в режиме экономии энергии частоту не снижает - во всех режимах 1400 мгц</t>
  </si>
  <si>
    <t>Сегодня отключили горячую воду сразу сели читать отзывы по всем проточным водонагревателям, остановились на Атморе))) и не пожалели, сначала боялись устанавливать сами, т.к. не дружим с электроприборами и со и всяким заземлением, но боялись зря. Установка легкая, пришлось просверлить 2 отверстия для нагревателя и 2 для крепления для душа. Сначала установили на лейке душа 2 кольца, но температура воды показалась прохладной, остановились на одном кольце специально измерили температуру 39 градусов. Вобщем мало того, что цена порадовала, а качество вообще блеск, хоть и после прочтения отзывов переживали, что только посуду мыть сводится, но мы в восторге и ни грамма не жалеем о своём выборе. Тьфу-тьфу-тьфу главное теперь чтобы долго прослужил этот чудо-аппарат.</t>
  </si>
  <si>
    <t>165</t>
  </si>
  <si>
    <t>Очень хороший фоторюкзак! &amp;nbsp;Преимущества: прочный, хорошо защищённый корпус, отдельный отсек для ноутбука, обилие кармашков для мелочёвки, ремни для крепления штатива. Удобный доступ к фотоаппарату. Помимо фотоаппарата в основной отсек можно положить до 8 аксессуаров, таких как объективы, вспышки и прочее. Лёгкий! Из недостатков хотелось бы отметить следующее: - Отсутствие специальных кармашков для карт памяти; - Отсутствие защитного чехла (основной недостаток для меня); - Небольшие ограничения при трансформации основного отсека: возможности перемещения перегородок минимальны, но отсеки можно объединить, удалив перегородки.</t>
  </si>
  <si>
    <t>2014-03-28</t>
  </si>
  <si>
    <t>Надежная, простая плита. Никаких наворотов особых в ней нет. Купил на дачу такую по акции. Не жалуюсь. Если вы не какой-нибудь шеф-повар, то вам она подойдет 100%. Не было никаких поломок. Мыть ее удобно. С установкой проблем никаких не было. Устанавливал сам, все прочитал в интернете. Без проблем совершенно.</t>
  </si>
  <si>
    <t>Приобрел менее недели назад. Превзошел все мои ожидания: более чем хороший обдув, кроме как 1 скорости и не пользуюсь, а их 3. Собирается достаточно просто и легко. Малошумный. Имеется ночная подсветка (хотя не понимаю, почему ей постоянно уделяют такое внимание - неужели можно ночью вскочить и налететь на вентилятор высотой в 1,5 метра))))) Цена просто супер. Легкий. Лопасти вентилятора в защитном корпусе, надежно закрывающемся - ни дети ни вы не поранитесь. Из минусов, наверное можно отметить только слишком облегченную подставку, которая изготовлена из тонкой жестянки, не способная удержать вентилятор если его немного толкнуть, но когда вспоминаешь о цене, это даже не кажется минусом)). Вентиляторы с устойчивой подставкой из более плотного металла стоят дороже, а обдув, иногда, хуже чем у данной модели, да и шумят намного сильнее. Одним словом всем советую.</t>
  </si>
  <si>
    <t>Рация для развлечения и не более. Прослужила у меня полгода. 1 из двух раций страшно начала шуметь. Вскрытие показало, что все контакты окислены и проржавели. В общем, влагозащищенности никакой. К сведению, в дождь не носил. Просто один раз занес с мороза в дом. Охотникам и рыбакам  не рекомендую.</t>
  </si>
  <si>
    <t>отличная брендовая вещь, пользуюсь каждый день. и жене тоже нравится.</t>
  </si>
  <si>
    <t>Чайник проработал 10 дней, все это время вода пахла аптечными лекарствами, также сильно нагревается подставка которая источает запах пластмассы; в использовании не удобен металлический корпус - большая вероятность ожога, особенно у детей. Пришлось вернуть, взял другую модель в пластике, хотя изначально хотел металл.</t>
  </si>
  <si>
    <t>Пользуемся уже 3 мес. Счастью нет предела! Пользуемся в основном на 1 скорости, т. к. даже при ней все засасывается). Очень тихая, что радует. Но вот на 3 ей скорости(если что-нибудь пригорает включаем) фильм не посмотришь становится шумновато. Козырек из стекла легко моется. А жироулавливающий фильтр мыли в ручную(сложно от жирка отмыть)Но как вытяжка она свою функцию на 200% выполняет! Всем советую!</t>
  </si>
  <si>
    <t>Пока разбираюсь, навскидку простое управление оказалось не слишком легким.Очень замудренная инструкция. Очень мало и плохо написано. Морозилка отличная, холодильное отделение также без вопросов.. А вот в биофреше  выставляется,но не фиксируется температура... Сегодня в М-Видео на Красноармейской подсказали, как можно еще попробовать. Но в инструкции этого нет.</t>
  </si>
  <si>
    <t>2015-05-05</t>
  </si>
  <si>
    <t>Проверенный производитель, не даром гарантия 5 лет. флешки этого производителя трудятся у меня значительно большее время. Понравились характеристики, которые хорошо влияют на соотношение цена- качество. Дизайн конечно не передовой, но проверенный, убрал штекер и никакой колпачок, крышечка не потеряются.</t>
  </si>
  <si>
    <t>Отличный радиатор. Быстро разогревается и поддерживает нужную температуру в помещении. Экономия электроэнергии, и оптимальный по времени прогрев. Не сушит и не съедает кислород, Радиатор De Longhi TRD 0820 хороший выбор для всех которые ценят качество и надежность!!!!</t>
  </si>
  <si>
    <t>Очень достойный плеер за свои деньги. Давайте не будем забывать, что ценовая категория бюджетная. Единственный минус за все время эксплуатации: отсутствие кнопки выдвижения дисковода на дистанционном пульте. Все остальное только в плюс: шикарная картинка, замечательный звук (хотя наверное честно себе признаемся, SONY никогда не воевала за мировое господство в музыке), быстрая загрузка воспроизводимого диска, качество сборки, помимо всего очень достойное воспроизведение лицензионных DVD.   Подводя итоги : шикарный , качественный плеер в своей ценовой категории.</t>
  </si>
  <si>
    <t>Купил я этот трахтор.....Ну и что???  стоял у меня перед этим третий пень, и то лучше и быстрее, хотя скорость 880Гц!!! Видеокарта полетела на третьи сутки, а оперативной по документам 2, а внутри 1!!! В общем не берите его.</t>
  </si>
  <si>
    <t>2014-02-09</t>
  </si>
  <si>
    <t>Купила достаточно давно, но практически не пользуюсь. Нагревается слабо, почти не завивает волосы (при том, что у меня свои волосы волнистые), через час легкая волна (это все, на что способны эти щипцы) распрямляется. Увы. Не советую.</t>
  </si>
  <si>
    <t>Муж подарил мне соковыжималку фирмы "Мулинекс", КЛАСС!!!!! так всё здорово. Яблоки за секунды отжимает, а ещё гранат здорово отжимает, а киви прямо с кожурой клала, отлично получается. ПРОСТО КЛАСС!!!!!</t>
  </si>
  <si>
    <t>купил себе 3дня назад такой=) все отлично) все летает) жаль что ОС 1.6 могли бы уже на 2.2 делать)) плюсов куча) минусы-слабовата батарея, ос 1.6) остальное ОДИН БОЛЬШОЙ ПЛЮС)</t>
  </si>
  <si>
    <t>Rowenta PH 230 -неплохой фен.Несовсем удобно расположены кнопки,но со временем  привыкла.Удобная насадка,с помощью которой можно легко выпрямлять волосы.В целом,мне понравилось.Советую.</t>
  </si>
  <si>
    <t>698</t>
  </si>
  <si>
    <t>Телевизор нужен был для просмотра фильмов(HD рипы и прочее).Как обычный телевизор не интересует-ибо не смотрю.  Выбор был между Жк Toshiba 42 AV635 DR и данной моделью.Просмотрев динамику,качество фильмов,эфирного телевидения сразу понял что жк не возьму.И статика не пугает.(тем более это уже не те времена,есть система антивыгорания).Очень доволен покупкой.</t>
  </si>
  <si>
    <t>Купил в прошлую субботу, очень понравилось, всем советую.</t>
  </si>
  <si>
    <t>Бритва очень даже и ничего, есть конечно свои недочеты, но это мелочи. Бреет нормально, даже хорошо...Что касается триммера, то да он не очень, плоховат. А так я в принципе доволен, за такие деньги, я думаю, что это вполне нормально...Моя оценка 4...</t>
  </si>
  <si>
    <t>883</t>
  </si>
  <si>
    <t>2015-10-23</t>
  </si>
  <si>
    <t>Действительно отличный чайник. Друзья брали на работу . Работает как часы. И мне посоветовали !!! К тому же отличный дизайн!</t>
  </si>
  <si>
    <t>Отличный пылесос за эту цену. Хотела сначала без пылесборника взять, с моющимся фильтром, но оказалось, что отзывы о недорогих моделях не очень. Так что, этот просто находка. Да, шумит, но зато как сосет))) Недостатки конечно есть-отсутствие регулировки мощности и пластмассовая труба, но всё же плюсов гораздо больше, чем минусов.</t>
  </si>
  <si>
    <t>2016-09-02</t>
  </si>
  <si>
    <t>Покупали в Калуге в М-Видео 08.08.16. В магазине сказали что сок гонит быстро,жмых сухой,может долго работать без остановки.В итоге жмых влажный,постоянно засоряется центрифуга и после 40 минут работы корпус стал очень горячим и почувствовали сильный запах горелой обмотки.Мы покупкой не довольны,за такие деньги можно взять 2 более дешёвые соковыжималки и работать они будут не хуже этой!!!</t>
  </si>
  <si>
    <t>да нормальный плеер, разговоров больше, чем реально проблема какая-то</t>
  </si>
  <si>
    <t>Отличный телевизор для тех кто не хочет переплачивать за ненужные вам навороты. Главное достоинство - очень хорошо ловит аналоговый сигнал(обычная антенна).      - Цена (брал за 15990)   - Быстро переключаются каналы, порядка 0.5 сек.   - Удобный пульт. Небольшой, только всё самое нужное, с удобными кнопками.   - Не искажает картинку, нет растянутых лиц(если нормально настроить формат изображения).   - По настройкам предельно всё просто.    Придирки: При выборе канала введена задержка для нажатия двухзначного канала. Поэтому если вам надо канал 0-9 то получается пауза.     Хорошая картинка и хороший звук.  Кому большего и не надо, то советую.</t>
  </si>
  <si>
    <t>Мясорубка огонь!!!работает очень тихо по сравнению с остальными.Соединения шнекредуктора металлическое,2-е скорости,реверс,защита двигателя,провод складывается в нее,очень удобная,и красивая.</t>
  </si>
  <si>
    <t>Отличная соковыжималка. 1 литр сока за 2 минуты и 5 минут потом на мытье (3 элемента ополаскиваем водой, сеточку чистим щеточкой, входящей в комплект). На контейнер для жмыха прекрасно одевается обычный полиэтиленовый пакет, весь мусор там! Не скажу конечно что жмых идеально сухой, но если рассчитывать на 2 стакана сока, то потери незаметны! А когда через 1-1,5 кг. яблок сеточка забивается, можно просто пропустить 1-2 стакана теплой воды (по инструкции) и пользоваться дальше!Мы остались довольны покупкой!</t>
  </si>
  <si>
    <t>1508</t>
  </si>
  <si>
    <t>Утюг отличный!! очень довольна покупкой! всем советую!</t>
  </si>
  <si>
    <t>1173</t>
  </si>
  <si>
    <t>По габаритам и дизайну очень устроила,так как кухня маленькая-это плюс. Вытягивает слабовато(для курильщиков), приходится включать 3 режим, создается впечатление,что мы в самолете(шумная очень).При готовке хватает 1 режима,запаха еды не остается. В целом за такую цену вытяжка хорошая.Но так как выбирала именно для удаления запаха дыма сигарет, не очень устроила,хотя также выбирала по отзывам. Поэтому 4 звездочки )</t>
  </si>
  <si>
    <t>Служит уже месяца 3. В принципе доволен, хорошая картинка. Много полезных настроек, типа True Motion. Мкв'шку в 35 гигов так и не съел. А еще туго реагирует на управление с пульта (скорее это особенность модели). Еще хорошо идет как второй монитор.</t>
  </si>
  <si>
    <t>А у нас он сломался и 3 месяцев не прошло....  Просто тупо исчезает изображение,звук остается.  По гарантии только замена запчастей,а я нафиг такой телик не хочу.Гарантия через год закончится и опять проблемы с ним начнутся.</t>
  </si>
  <si>
    <t>3176</t>
  </si>
  <si>
    <t>Отличный ноутбук, вне всякого сомнения!</t>
  </si>
  <si>
    <t>2011-09-30</t>
  </si>
  <si>
    <t>Если класть хороший кофе и вовремя делать чистку, то проблем никаких не возникает. Стоит она на работе (1,5 года), поэтому работает много и часто, проблем не возникало ни разу. А если она и сломалась, то я думаю, что это бывает у любой техники, просто не повезло.</t>
  </si>
  <si>
    <t>Не могу понять зачем производитель поставил сюда gt120, когда можно было установить более мощную видеокарту, я не сомневаюсь эта система "прожуёт" любую картинку, но "прожуёт" она её извинюсь, подавившись. Процессор на высоте поставили, конфигурация оперативки тоже на высоте, но видеокарта меня смущает, ну не могу я прочитав что о ней пишут даже сами "нвдщики" реиться его купить. 100% того что придёться покупать g 9 поколения, но войдёт ли она туда? а даже если войдёт,  во первых Бп не позволит ей работать на 100% во вторых циркуляция воздуха в систему упадёт до отметки в 35% обдуваемости, может я не прав, помогите советом.</t>
  </si>
  <si>
    <t>2659</t>
  </si>
  <si>
    <t>Служили без малого 5 лет. Всё устраивало, кроме отлетания резиночек, что в уши. И пришлось покупать запчасти и приклеивать. По всей видимости клея не пожалела и один из наушников перестал работать( Такая вот печальная история и бесславный конец моим наушникам. Ах да, иногда были какие то свисты именно в левом наушнике. Но видимо это было временное помутнение. Но тогда они вроде как дороже стоили, иль мерещится мне...</t>
  </si>
  <si>
    <t>2016-10-14</t>
  </si>
  <si>
    <t>2078</t>
  </si>
  <si>
    <t>Огромное спасибо за то что привезли эту игру в наш город. Давно ждал когда-же она где нибудь появится.И выражаю наибольшую благодарность за открытие магазина в нашем городе. С появлением М.Видео мы получили возможность покупки лицензионных дисков( до этого были в мелочном кол-ве, и очень редко).</t>
  </si>
  <si>
    <t>2015-03-02</t>
  </si>
  <si>
    <t>Пользуемся примерно 4-5 лет и ни разу не пожалели о сделанной покупке.  Качественная вещь. Советую!  Единственный недостаток это то,что давление не в мм ртутного столба, а в других буржуйских единицах измерения на выбор.</t>
  </si>
  <si>
    <t>Купил приставку 10 числа этого месяца, что сказать со времен 1-й Сони прошло много времени и у сони получилась крутая штука, проверил, все работает. С текеном 6 установилась новая прошивка 3.01, вроде все нормально. 31 декабря подарю сыну, тогда и потестим. Единственное, что могу сказать, что теперь надо купить ПЛАЗму, иначе не АЙС. Надписи слишком мелкие и почти не читаемые, а так в общем приставка, конечно, Супер.</t>
  </si>
  <si>
    <t>Я очень долго выбирал комп по цене от 20000 до 30000.Пока остановился на этом.Поднакоплю капельку куплю и отпишусь,по параметрам меня устраевает,советую преобрести.Даю крепкую пятёрочку</t>
  </si>
  <si>
    <t>Просто отличный аппарат! Всё летает! Есть официальное обновление ОС до 2.1 (по слухам готовится до 2.2!) Батареи хватает на два-три дня! Софта вообще море! В общем, не пожалеете!</t>
  </si>
  <si>
    <t>2012-01-29</t>
  </si>
  <si>
    <t>Вчера купили эту Радио-няню. Связь достойная- можно в магазин сходить пока ребенок спит. Слышно все отлично. Единственный недостаток это меню не на руском языке. Двусторонняя связь - это как рации.( Можно ребенку ответить что нибудь голосом своим. Месяц думали купить радионяню или нет - Теперь не в коем случае не жалеем.</t>
  </si>
  <si>
    <t>Отличный звук сравнивал с 202-ми, 201-ми, Philips SHP2700, Sony MDR-XD100. Филипс, сони 201-е отсеял сразу. 202-понравились. И тут мне продавец посоветовал еще 150-е послушать. Долго перетыкал 202 vc 150, пока не наткнулся на композицию с сочным детальным басом - и понял, что 150-е лучше. Взял 150-е, хотя немного давят, причем как-то на виски а не на сами уши, но какое звучание!!! cочные басы, детальные верхи, но без выпирающего "цыканья". Пришел домой включил любимые композиции - оркестровый джаз, свинг, блюз, мамбо, рок - просто потрясающе! Звукоизоляция от окружающего мира - полная. Да, еще минус - уши быстро потеют. Спасибо консультантам, что дали все послушать и предложили эту модель.</t>
  </si>
  <si>
    <t>2014-03-26</t>
  </si>
  <si>
    <t>+ Установил быстро,хорошо греет,  на кухню как резервный источник горячей воды. - Начал капать после прогрева из штуцера отвода горячей воды (он там пластмассовый). Поменяю на металлический ,а там посмотрим в процессе работы. А так в принципе нормально за такие деньги.</t>
  </si>
  <si>
    <t>2811</t>
  </si>
  <si>
    <t>2009-11-19</t>
  </si>
  <si>
    <t>После года пользоваия этой моделью,появилась проблема.Телефон после звонка или будильника зависал намертво.Сдавали три раза в ремонт,не помогло пришлось вернуть в магазин.Либо самсунг сам по себе г...,либо экземпляр такой попался.</t>
  </si>
  <si>
    <t>Купили в декабре 2013 в связи с рождением ребенка. Долго выбирали - данная модель победила тем, что была со скидкой в 1000 р)) Дома быстро разобрались с управлением. Плюсы: большая вместительность воды, большая мощность и охват площади (у нас спальная 30 м2 - за 2 часа влажность доходит до 38, что вполне комфортно для человека). Никакой белой накипи и осадка!!! В комплекте есть даже щетка для чистки и патрубок для направление потока пара. Есть сигнализация по уровню воды и чистоте прибора. Минусы: через неделю загорелась лампочка \Почистить мембрану\ - чистили всеми возможными способами - не помогает. На работу никак не влияет, поэтому улыбнулись и смирились. Главная проблема - не прост в обслуживании за счет габаритных размеров. Чтобы набрать воды, необходимо перевернуть.Чтобы сделать это обратно с 6,5 литрами, не расплескав, надо быть суперменом)) Советую брать.</t>
  </si>
  <si>
    <t>Охлаждает моментально.  Для 12 м2, пожалуй, избыточная мощность.    Поначалу пованивала немного не пойми чем (видимо микробы были внутри), но режим обогрева на пару часов, а затем режим вентилятора решили проблему.    В общем отличная система.</t>
  </si>
  <si>
    <t>41</t>
  </si>
  <si>
    <t>купил вчера и пропылесосил комнату сразу же. Прост, удобен, ничего лишнего. Отличный дизайн,-просто космический.Дороговато, конечно, но положительных эмоций море...Уборка из скучного занятия превращается в развлечение.</t>
  </si>
  <si>
    <t xml:space="preserve">мощный </t>
  </si>
  <si>
    <t>Телевизор в целом неплохой, но нет у него USB, хотя магазины во весь голос поют обратное. Есть вход только для сервисных нужд. Идем менять.</t>
  </si>
  <si>
    <t>Отличные колонки за свои деньги!Бас отличный!Высокие частоты чуть похуже,но это почти не заметно. При просмотре фильмов звук шикарный! Пользуюсь вторую неделю - устраивает полностью. Теперь нужно искать хорошую звуковую карту, чтобы полностью реализовать весь потенциал колонок!</t>
  </si>
  <si>
    <t>1396</t>
  </si>
  <si>
    <t>Очень хороший плеер. Купил 1,5 года назад, до сих пор радуюсь. Качество звука на высоте, удобное меню, и наушники за все время не сломались))), ни разу не глючил, и кнопки работают хорошо, даже в мороз. Но проблемы все таки были, через год поломался разьем для наушников, но после ремонта все стало работать идеально))))</t>
  </si>
  <si>
    <t>Играет полностью как лажа. корпус не прочный, быстро расходится по швам. Дифузор лопнул. Взяли второй динамик пустили 500 ватт ровно. погорел, хотя написали 1000 ватт максимум</t>
  </si>
  <si>
    <t>1812</t>
  </si>
  <si>
    <t>Купили, вроде работала хорошо. Только очень громко работала, но через полгода перестала крутить мясо, хотя шум сохранялся. слетела и потерялась шестеренка, а в мастерских нет таких....</t>
  </si>
  <si>
    <t>купили в январе,ерунда. Глючит,постоянно сам нажимает кнопки, пищит.</t>
  </si>
  <si>
    <t>Хорошая машинка, работает уже год. Со своей задачей справляется на отлично!!!</t>
  </si>
  <si>
    <t>Подтверждаю. Очень приличный нагреватель. Изначально хотел 80 литров, но когда в реале увидел его размер, понял, что при размещении над унитазом будет мешаться (в диаметре ~40 см). Пользовался летом 2011 в период отключения горячей воды в квартире в течении 2 недель. Семье из 4 человек на принятие вечернего душа хватает более чем. Рекомендую.</t>
  </si>
  <si>
    <t>Купил данный ноут два месяца назад, после чего он был протестирован Прототипом, Бэтменом, NFS Shift - на максимальных настройках, а так же GTA4 на "средничке"  Нагревов и прочих нюансов корпуса я так же не заметил, если не считать глянцевого пластика возле клавиатуры.  Советую всем купившим и собирающимся покупать данную машинку, переустановить ОС и перепрошить биос, разница ощутима сразу же.Советую данный ноут всем, кого интересует соотношение цена\качество.</t>
  </si>
  <si>
    <t>1316</t>
  </si>
  <si>
    <t>Пользуюсь таким уже больше года. никаких проблем с утюгом. Можно было бы шнур подлиннее сделать, но и так все отлично.</t>
  </si>
  <si>
    <t>2014-09-03</t>
  </si>
  <si>
    <t>Приобрела недавно, волосы у меня густые,  думала, что будет идеальная копна локонов. Но: 1)щипцы очень долго греются 2)ничего не крутят. Разочаровалась.</t>
  </si>
  <si>
    <t>2450</t>
  </si>
  <si>
    <t>Выбирал мощную производительную соковыжималку, чтобы справляться с тоннами яблок, привозимых с дачи. Остановил свой выбор на этой.    Плюсы: самая мощная и производительная соковыжималка за свою цену. Цельное яблоко вместе с косточками и черенком исчезает быстрее, чем успеваешь взять толкатель.    Минусы: мокрый жмых. На стакан морковного сока уходит около килограмма моркови. Жмых можно отжать рукой, и надавить ещё полстакана.    Вердикт: ни в коем случае не покупайте эту соковыжималку, если вам нужно отжимать себе стаканчик каждое утро: замучаетесь доставать, а потом мыть и убирать обратно. А вот если задача - избавиться от большого количества овощей или фруктов, когда эффективность уже не так важна, то это, наоборот, хороший выбор.</t>
  </si>
  <si>
    <t>2012-10-24</t>
  </si>
  <si>
    <t>Прекрасная вытяжка, справляется на все 120%. Купил 2 года назад. На закрылках обратноходового клапана приклеил маленькие поролонки, тогда они мягко закрываются и нет пластикового стука. Т.к. вытяжка мощная пришлось ставить в ванной тоже обратноходовой клапан, иначе все ароматы франции шли оттуда на кухню.</t>
  </si>
  <si>
    <t>Отличный ЖК, хоть мне и пришлось ввиду отсутсвия в нашем автограде, ехать за ним за 400 верст.   Как TV c аналоговым сигналом - у него куча дешевых конкурентов, так как качество сигнала не позволит оценить достоинства.  Как TV для DVD - отличный, но опять же обычные DVD даже лиценз не покажут изюминки.  TV c Blue-ray на УРА!!!))) Качество перед вами, но более дорогие модели Philips могут показать и более, честно, с небольшим превосходством для нашего глаза.    Ну и наконец, для PC, X-box, Sony Playstation - на Отлично!!!)) Минимальный отклик в 3 сек и отличная картинка позволит это оценить.      P.S. И не забывайте о скидках.  Отдельное спасибо "М-Видео, Саратов, 3-я Дачная, TV".</t>
  </si>
  <si>
    <t>1833 - просто СУПЕР !!!             Создотелям спасибо !!!  Побольше бы токой честной бытовой техники. Этот пылесос для тех кто нехочет , постоянно, тратить время и деньги на покупку сменных хеппа фильтров и мешков . Если Вы готовы после каждой уборки мыть контейнер-  -пылесборник , 1833 для Вас если нет то , выберайте пылесос другого типа фильтрации пыли и запасайтесь ,  дорогенными расходниками "на всю оставшуюся жизнь" - завтра их просто не найдёте .  Маленький совет - промывка хеппа фильтра 1833 не нужна , а возможно и вредна . Микроскопическое колличество пыли , оседающее на нём , стряхните в раковину постукивая фильтром о её край .  Пол года такой эксплуатации показали что хеппа фильтр 1833 - вечный .  Куплен в Воронеже октябре 2009</t>
  </si>
  <si>
    <t>1895</t>
  </si>
  <si>
    <t>Только учтите, что у него нет привода для компакт-дисков! В определенный момент это может оказаться очень важным. А так - супер машина за такую цену</t>
  </si>
  <si>
    <t>1428</t>
  </si>
  <si>
    <t>На днях приобрела Scarlett SC-281 Red - очень довольна. Чистит хорошо, лёгкий, хорошо моется, недорогой. В магазинах говорили, что нормальный пылесос стоит от 5 тыс. руб. Я не пожалела, что не купила дорогой.</t>
  </si>
  <si>
    <t>Нормальный агрегат, купил машину пылесосить. Все свои функции выполняет нормально, маленький размер, легкий. Раз 20 пользовался, проблем пока не обнаружил.</t>
  </si>
  <si>
    <t>Красивый, стильный дизайн и множество функций! Лучший из компактных блендеров. Имеется куча насадок для терки и шинковки, в комплекте стеклянный! Блендер и полноценная соковыжималка! За свои деньги самое то! Всем советую!</t>
  </si>
  <si>
    <t>Удобный, мощьный, хорошой парит =)</t>
  </si>
  <si>
    <t>Эта йогуртница стала у нас самой неудачной покупкой. Мы с ней намучались, пытались сделать йогурт, покупали разные закваски, но йогурт так и не получился, отделяется сыворотка.   Нам пришлось купить кухонный градусник и оказалось, что йогуртница жутко перегревает, аж до 50 градусов. Естественно, что молоко с бактериями сворачивается.  Пытались под баночки подкладывать салфетки, деревянные дощечки, но все равно температура зашкаливает и \"живого\" йогурта уже точно не получится. Ведь для нормального сквашивания температура должна быть 40-43 градуса.  Почитала разные мнения по этому поводу на форумах, оказалось, что это беда всех йогуртниц. Народ выходит из положения, покупая терморегулятор.</t>
  </si>
  <si>
    <t>450</t>
  </si>
  <si>
    <t>Ну полный бред, ничего хорошего, курица сухая, остальное мясо и подавно, а про выпекание пирогов вообще молчу, мыть тяжело, крышку отмыть начисто так это вообще нереально, т.к.в горячем виде это сделать невозможно, только место занимает.</t>
  </si>
  <si>
    <t>2932</t>
  </si>
  <si>
    <t>Во-первых, нет ночного режима, от того в глаза бьет яркий свет от магнитолы, во вторых глючит и не слушается пульта управления, в третьих звук в магнитоле - это отдельное государство, оно или появляется или исчезает по своему желанию! И еще много-много косяков, но они чуть не значительнее, так что я думаю, что этот отзыв тут не долго будет лежать. А выбирать вам! Я скорее всего буду менять её на что-то более надежнее!</t>
  </si>
  <si>
    <t>Качество</t>
  </si>
  <si>
    <t>2009-10-30</t>
  </si>
  <si>
    <t>Купил месяц назад, проблем пока никаких не было. А насчёт нагрева процессора, то процессор у него "энергосберегающий", т.е. критическая температура выше, чем у обычных.</t>
  </si>
  <si>
    <t>1515</t>
  </si>
  <si>
    <t>у меня почему то только звук видео avi..(не показывает изображение вообще.  подскажите пожалуйста с каким разрешением конвертировать,и какой программой пользоваться)  буду очень благодарен.</t>
  </si>
  <si>
    <t>удобная, компактная. Но только для подогрева т.к. Если готовить постоянно то через 10-15 подходов у Вас точно сгорит большая панель а на маленькой макароны варить будете часа полтора. Второй бы раз не купила её.</t>
  </si>
  <si>
    <t>2553</t>
  </si>
  <si>
    <t>Телевизор очень не плох, изображение отличное! Единственный минус при повышение света ячейки(перевод в динамический режим) усиливается шум трансформаторов, телевизор включается сам по себе как и многие другие модели!</t>
  </si>
  <si>
    <t>2012-09-19</t>
  </si>
  <si>
    <t>Чайник супер! Громкий - это да, но греет быстро и ни разу еще не подвел. Относительно комментариев про &amp;quot;рыжие пятна&amp;quot; на нагревательном элементе могу сказать, что кипятить надо больше литра воды, тогда и пятен не будет</t>
  </si>
  <si>
    <t>2012-11-17</t>
  </si>
  <si>
    <t>Ни кому не советую! Пользуюсь 2 месяца. Трачу много времени, но потом всё-равно подчищаю станком. Бритва не бреет, уровень зарядки не показывает. Не практичная даже для дома. Заряжается долго (8ч.) Жалко денег внуков, подаривших мне её на юбилей.</t>
  </si>
  <si>
    <t>Очень хорошая бритва. Лёгкая ,удобно держать, элегантный дизайн. Пользуюсть 6 месяцев ежедневно. Заряжаю один раз в 6 дней. Очень чистое бритьё,постоянно подравниваю усы и виски. Никаких нареканий. Нет раздражения. За такие деньги, просто-подарок.</t>
  </si>
  <si>
    <t>Хорошие наушники мне понравились, и басы в норме и высокие</t>
  </si>
  <si>
    <t>2016-10-23</t>
  </si>
  <si>
    <t>Использую второй месяц. Качество стирки - отличное, но вещи мнутся сильно. Режима "без складок" нет. Понятный интерфейс. Компактная, порадовало качество сборки, количество программ и внешний вид. Во время стирки уровень шума - низкий, при отжиме и откачке воды -  шумная (но сравниваю с дорогими моделями, так что, наверное, придираюсь). В целом, по соотношению цена-качество я довольна. Поставила 4 за надежность, так как использую недолго.</t>
  </si>
  <si>
    <t>3166</t>
  </si>
  <si>
    <t>Это замечательный телефон. Отлично заменяет мп-3 плеер, качество звука, с качественными наушниками - отменное! Отличный динамик, разговор отлично слышно. Правда немного не удобное меню, но я быстро привык. Самый главный плюс- может работать от обычной пальчиковой батарейки. От аккумулятора у меня работал двое суток, учитывая что я слушал музыку и разговаривал около 5 часов в день. Всем советую!</t>
  </si>
  <si>
    <t>Соковыжималка отличная. Мощная, легко моется, маленькая и дешевая. Из одного грейпфрута получается стакан сока, вкуснятина.</t>
  </si>
  <si>
    <t>Купил вчера именно в качестве термометра. Но как нормально настроить часы, так и не понял. Вроде с вечера настроил правильно, а утром в 8 часов показывает 3. Видно, синхронизировался неизвестно с чем. Инструкция совершенно бестолковая. Но в качестве термометра - нормально. Единственно непонятно - куда в многоквартирном доме вывешивать внешний датчик и как. Пока стоит на балконе.</t>
  </si>
  <si>
    <t>недавно купила этот ноутбук, полностью его просмотреть времени было мало...но в целом он пока ничем не огорчает. только вот яркость оставляет желать лучшего. Для меня он стал уже родным, надеюсь не разочарует!!!</t>
  </si>
  <si>
    <t>Игра очень понравилась. Графика просто поразила.Сюжет игры бесподобен! Мне так и не удалось предугадать ход событий в игре!</t>
  </si>
  <si>
    <t>1865</t>
  </si>
  <si>
    <t>Я думаю консоль просто гениальная! Теперь я просто покажу плюсы и минусы.Сначала плюсы. +Слайдер(хороший,как на Nokia) +Прошивается. +Удобная(держал в руках обе консоли) +Действительно портативная!(Влазит в карман,а не в сумку,очень лёгкая) +16 гб. встроенной памяти. +безусловно цена. А теперь минусы -Хрупкая(а может прочная,у тех кто оставлял отзывы своё мнение) -Встроенная батарея(для меня это не минус) Берите psp go!</t>
  </si>
  <si>
    <t>1414</t>
  </si>
  <si>
    <t>Купил...читает в общем-то все, прошивку сливает сам через езернет шнурок...досадно лишь то,что не воспринимает жесткие диски с файловой системой NTFS через USB ... 120гиговый винт отформатированный в FAT32 видит и играет с него без проблем ... но хотелось бы NTFS, чтобы BDRipы не разрезать на куски по 4 гига, может в след прошивках будет ...</t>
  </si>
  <si>
    <t>Купили, чтобы разогревать, размораживать. С функциями справляется. Немного шумновата, но шум не раздражает. Пользуемся 2 месяца, пока претензий нет.</t>
  </si>
  <si>
    <t>1134</t>
  </si>
  <si>
    <t>Телевизор классный. Только не нужно пугать пользователей словом "перепрошивка", правильное слово "активация". Чтобы активировать в данном телевизоре возможность проигрывать видео с флешки нужно просто попасть в сервисное меню, а наиболее безопасным путем этого можно добиться с помощью любого коммуникатора с ика-шкой или пары светодиодов</t>
  </si>
  <si>
    <t>Комбайн очень понравился. Купил для приготовления коктейлей. Взбивает на отлично. Девушка часто натирает морковку на салат, получается быстро и очень вкусно. За свои деньги идеальный вариант при хорошем комплекте насадок.</t>
  </si>
  <si>
    <t>Чайник куплен 7 ДНЕЙ назад, и уже перестал сам отключаться.</t>
  </si>
  <si>
    <t>Очень хороший телефон. У меня был Nokia 5130c-2, жалко что украли, использовал постоянно в течении 9 месяцев- игры, музыка, интернет...сам удивляюсь как он у меня продержался так долго:-)и все нормально, оправдал себя 100 раз.</t>
  </si>
  <si>
    <t>1028</t>
  </si>
  <si>
    <t>отличная вытяжка!у меня на кухне нет двери и раньше весь запах был в комнате,а с этой вытяжкой даже не слышно запах лука при жарке,на шкафах нет копоти!отличная вытяжка!рекомендую!</t>
  </si>
  <si>
    <t>Еще вчера он был со мной! Телефон просто супер! Если честно когда покупала ждала меньшго, но на деле он просто супер!!  Вчера его украли у меня=(( я его очень любила. Телефон просто супер, берите. Точно не пожалейте, кст телефон очень удобен для левшей!! Что является редкостью!</t>
  </si>
  <si>
    <t>я пользуюсь им уже 5 лет, очень довольна, руки не устают от него, пользуешься как расческой. единственное но - сегодня при включении сразу стал подаваться очень горячий воздух - прям кипяток, не знаю с чем это связано...</t>
  </si>
  <si>
    <t>2011-08-02</t>
  </si>
  <si>
    <t>Пользуюсь утюгом больше года...за это время неоднократно чистила его,постоянно все прилипает,подошва по началу прикольной казалось,пока не погладила черные брюки х/б и испортила...пошла карандаш для чистки утюга на последние деньги покупать...так же было потом элементарно и с пододеяльником!Теперь нужен новый утюг((( и я знаю точно!что с такой подошвой я точно больше не куплю!!! а переплатила уже так много,что проще было сразу самый дорогой утюг купить...</t>
  </si>
  <si>
    <t>Очень хорошая помошница на кухне! Особенно хорошо получаются бисквиты, пышные и ароматные. Плов тоже очень вкусный. Рисинка к рисинке. Если у кого не получается плов - нужно выбирать правильно рис. Благодаря мульте муж научился готовить - делает рисовую кашу в ней. Котлетки на пару с чесночком - объедение!</t>
  </si>
  <si>
    <t>857</t>
  </si>
  <si>
    <t>Неплохой телевизор, за небольшие деньги.   Из минусов:  1. DVD привод не кажет форматы DivX и Mpeg;  2. присутствует USB но только для сервисных целей;  3. несколько бубнящий звук.  4. про вещание DVB (встроенного приемника цифрового телевидения)в инструкции   не прописана Россия  А в остальном просто супер!</t>
  </si>
  <si>
    <t>Блендер супер! Покупала больше года назад и у меня в комплекте было крепление на стену и крышка для стакана!!! Для приготовления детского питания незаменимая вещь!</t>
  </si>
  <si>
    <t>2798</t>
  </si>
  <si>
    <t>Отличный дизайн, цена=качество</t>
  </si>
  <si>
    <t>Гаджет сам по себе неплохой и всё что нужно у него есть. Только есть не большой минус для тех, кто выбирает плеер погромче, он тиховато играет!!  А так если сравнивать цена/качество/стиль можно поставить твёрдую 5!</t>
  </si>
  <si>
    <t>2397</t>
  </si>
  <si>
    <t>Пользовалась этим феном 5 лет, сегодня видимо устал и отказался меня сушить. Собираюсь идти покупать новый такой же. Я им очень довольна. Волосы действительно не электролизуются, комфортные размер и вес, прорезиненная ручка удобно лежит в руке. Соотношение цена-качество идеальное.</t>
  </si>
  <si>
    <t>Увлажнитель хороший. Довольно удобный и простой в применении. Шумит не сильно, ночью не мешает. Резервуара хватает часов на 8. Работает 4 месяца без нареканий. Главное не забывать чистить, чтобы продлить срок службы.  Единственный минус - не хватает для площади 60 кв.м. Максимум - для 25-30 кв.м. На мои 54 кв.м. максимум влажность поднималась до 35 % в зимнее время и это за всю ночь. все батареи отключены, дома 21 градус. На ночь направляем "струю" прямо на кровать.  Резюме: Очень полезная вещь. Очевидные плюсы - кожа не сохнет, в носу ничего не засыхает и очень легко переносить ОРВИ. Особенно если в доме ребенок. Еще рекомендую подарить увлажнитель детскому саду, который посещает ваш ребенок.</t>
  </si>
  <si>
    <t>Отличный шутер, замечательная история, отличные диалоги, великолепный дизайн уровней, чудесная графика, невероятная постановка, внимание к деталям. Про Uncharted 2 можно говорить несколько часов, не припомнив ни одного минуса. Даже в 2012-м году это одно из лучших приключений последнего десятилетия, которое должно быть в коллекции каждого ценителя игр. Единственное, что разочаровало -- это небольшая книжка, идущая в комплекте с диском. Составлена, напечатана и переведена она была не лучшим образом. Но в любом случае, к игре это не имеет никакого отношения -- там все отлично. 11/10</t>
  </si>
  <si>
    <t>Вытяжка хорошая, дизайн строгий и красивый. Не приходится так часто вытирать как аналоги со стеклом. Однако не без косяков...часы спешат..за неделю на 10 мин...идти менять...геморо много, а постоянно подводить напрягает</t>
  </si>
  <si>
    <t>2013-12-05</t>
  </si>
  <si>
    <t>За эти деньги не надо от них ожидать супер звука. Я купил их как дежурные и вполне нормально они играют, это не для супер звука. Не более чем дежурные уши...хотите круче, платите больше.</t>
  </si>
  <si>
    <t>1270</t>
  </si>
  <si>
    <t>о разблокировке USB телека , превращение в мультимедиа проигрыватель    при разблокировке гарантия на телек уже не работает !!!    есть несколько способов  1- прошивка 3.15 разблокировка USB - прошивка 3.55 ( есть риск убить прошивку, если убили не расстраивайтесь даже убитый телек можно починить самому об этом есть в интернете (даже если он не включается чёрный экран))  2- с помощью пульта и меню настройки ( не заходим ) нажимаем либо 7 или 9 или fav пока не предложит прошивку ( где-то 7 раз нажать) и вылезет сервисная менюшка (работает не на всех телеках , не везде есть прошивка 3.15 )  3- с помощью светодиода самый безопасный никакого риска спалить прошивку телека !!!  1. Скачиваем на комп любезно выложенные на форуме ixbt.com добрыми людьми "звуковые" файлы для светодиодов. Из скачанного архива нам понадобится только "serv-ok-ok.mp3" или "serv-ok-ok.Wav".   2. Находим ИК-диод (например, из старого телевизионного пульта или покупаем на радиорынке), берем два проводка и прикручиваем их к ножкам светодиода. Другие концы проводков подсоединяем к источнику звука. Я подсоединял к штекеру провода, идущего из активной компьютерной колонки на вторую колонку. Все манипуляции проделываем при выключенных колонках.   3. Несем телик к компу (ну, или наоборот ). Звук плеера на компе уменьшаем до нуля. Включаем колонки. Кидаем аудиофайл ("serv-ok-ok.mp3" или "serv-ok-ok.Wav"  ) в плеер компа и ставим цикличное проигрывание.   Направляем ИК-диод на ИК-приемник телевизора и меееедленно увеличиваем громкость.   4. На телике появляется окно ввода пароля. Убираем в сторону ИК-диод - он нам больше не нужен. Вводим пароль "0000" с пульта телевизора. Попадаем в EZ ADJUST меню.   5. Открываем ТОЛЬКО раздел Tool Option3. Меняем стрелкой вправо ТОЛЬКО два значения:   EMF (JPEG, MP3) --- 1.   Divx --- HD.   БОЛЬШЕ НИЧЕГО НЕ МЕНЯЕМ!   Нажимаем кнопку «Return/Exit» на пульте. Выключаем и включаем телевизор.</t>
  </si>
  <si>
    <t>печкой очень довольна. Пеку хлеб, замешиваю тесто дрожжевое и для пельменей варенников. После этого хлебушка магазинский хлеб не в какие ворота, только свой домашний, супер. Иногда при замесе поскрипывает но это особенности этой модели и ведро надо ставить правильно. Я очень рада покупке!!!!</t>
  </si>
  <si>
    <t>Классная приставка!!!СОВЕТУЮ ВСЕМ ПОКУПАТЬ!!!</t>
  </si>
  <si>
    <t>Очень понравилось качество звука, почти как с CD! и соотношение "Сигнал-шум". Есть встроенный эквалайзер! В комплекте удобный пультик :)</t>
  </si>
  <si>
    <t>Для меня главное что читает флешки и эсдишки! ДВД почти не смотрю, но иногда пригодится    Особых недостатков не заметил.</t>
  </si>
  <si>
    <t>Мое мнение, что ноутбук золотая середина. Есть свои минусы, но и плюсы соответственно. Большой минус - это маркость. Второй минус - это зазоры между клавиш, они вроде маленькие, но мусор туда попадает и удалить его оттуда нелегко. В принципе это все его минусы, а вот плюсов несомненно больше.Это и бесшумность работы и хорошее изображение картинки и удобство в эксплуатации.Модель, конечно, не потянет современные игры, но кто играет в игрушки не слишком навороченные, то он будет как раз кстати.</t>
  </si>
  <si>
    <t>2012-12-09</t>
  </si>
  <si>
    <t>Купили последнюю с витрины,благодаря положительным отзывам на сайте. Очень остались довольны)). Да маленькая, но зато и масла нужно не много и совсем не трудно сделать картофель в несколько заходов. Просто прелесть!! Мы сразу принесли и опробовали её! Очень довольны!Удобно, что не большого размера, можно поставить куда угодно-поместится везде. Рекомендую)).</t>
  </si>
  <si>
    <t>1098</t>
  </si>
  <si>
    <t>Пользовался год этим аппаратом, каждый день использовался, для этого он и существует... оплавились контакты))</t>
  </si>
  <si>
    <t>Очень хорошие отзывы, а самое главное полезные, вот только один вопрос, таблетками  можно пользоваться? Собираюсь купить эту машинку, надеюсь на неё будет скидка. Всем спасибо.</t>
  </si>
  <si>
    <t>ОТЛИЧНЫЙ Lenspen LP-1!!!!!!! Свою работу выполняет на ОТЛИЧНО!!! Всем советую!!!</t>
  </si>
  <si>
    <t>Отработал без проблем 8 лет.</t>
  </si>
  <si>
    <t>При первых двух использования все было хорошо, но только много шума от нее. В третий раз мясо прошло хорошо, а вот при прокрутке в конце кусочка хлеба - шнек перестал работать, еще громче зашумела. Вот так, Kenwood!</t>
  </si>
  <si>
    <t>2017-02-13</t>
  </si>
  <si>
    <t>чайник очень хороший</t>
  </si>
  <si>
    <t>2014-09-10</t>
  </si>
  <si>
    <t>Купил сегодня по акции. Бритва супер за эти деньги, бреет отлично и быстро. Есть недостаток - нельзя бриться от сети.</t>
  </si>
  <si>
    <t>2431</t>
  </si>
  <si>
    <t>очень хороший утюг, я довольна</t>
  </si>
  <si>
    <t>В комплекте есть насадка для зоны бикини и подмышек . Отличный эпилятор убирает даже коротенькие волоски</t>
  </si>
  <si>
    <t>Купил 3 недели назад. Аккумулятор ещё не заряжал ни разу показывает половину. Качество приёма/передачи отличное. Также радует флэшкарта на 2Гб. Подключал как модем к ноутбуку без проблем.   Минус - очень аскетичное меню. Ява и  ММС не интересуют поэтому ставлю твёрдую 5.   Кому нужна качественная и надёжная связь берите не пожалеете.</t>
  </si>
  <si>
    <t>941</t>
  </si>
  <si>
    <t>Повторюсь из минусов отсутствие микрофона и то, что гнёзд USB всего 2. Добавил еше одну операционку 32битную максимальную теперь не работает веб камера, и игры не в полный экран нужна помощь? кто сталкивался дайте ссылку на дрова.</t>
  </si>
  <si>
    <t>Минусы.  1) Убило то, что на второй день при включении камеры изображение, передаваемое камерой, стало все в сине зеленую полосочку на более ярких местах изображения, а при съемке снимает черный экран, сохраненное фото открыть невозможно.  2) Что касается самой камеры, когда она работала, то она очень тормозная.  Хотя минусом особо назвать нельзя, мне она там нужна лишь для того чтобы в тел. книгу фото абонентов заносить, да и изредка какие-нибудь моменты отснять (если под рукой фотоаппарата нет).  3) В первый же день на экране появилось 3 битых пиксела находящихся рядом ближе к левому верхнему углу.    Завтра поеду сдавать на обмен (в надежде что попадется не бракованный экземпляр, если и второй "крякнет", буду возвращать деньги, т.к. в м.видео вообще нет норм. аппаратов на винде до 12-13к(ни htc ни самсунгов, которых кстати вообще почему то нет...одни роверы)    Из плюсов могу отметить следующее:  1)Довольно шустрый аппарат, по производительности на одной ступени с samsung WiTu.  2) В комплекте 8gb флешка.  3) На этой самой флешке лицензионный mobile shell и Автоспутник City+ с картами регионов на выбор (краснодар полностью детализован - с номерами домов)  4)Тач достаточно чувствительный, лучше чем у witu, но сам экран хуже.  5) Время работы в нагрузке сопоставимо с witu.</t>
  </si>
  <si>
    <t>Классная игра! Рекомендую всем! Blizzard посторались на славу.</t>
  </si>
  <si>
    <t>Категорически не согласен с предыдущим отзывом. Телефон просто супер. Сенсор работает чётко, не глючит, звук очень чистый, правда меню немного неудобное и стандарных игр нет =(. Камера вообще отпад, матрица позволяет делать снимки с очень высоким разрешением. В комплект входит трипод и адапптер, мелочи, а приятно. Так что советую брать всем.</t>
  </si>
  <si>
    <t>2014-05-23</t>
  </si>
  <si>
    <t>Очень громко работает,кофе не вкусный,если это ваще кофе.Вот раньше SAECO это были отличные машины!!!</t>
  </si>
  <si>
    <t>Отличная маленькая соковыжималка на каждый день. Вместо кофе теперь каждое утро свежий сок. Моется легко и быстро, жмых достаточно сухой. Очень довольна. Один минус - шнур не сматывается.</t>
  </si>
  <si>
    <t>Отличная машинка. Удобные телескопические насадки, индикатор длины и заряда батареи. Не мешает провод. Легкая и в руке сидит хорошо. Через полгода себя окупает! От работы с ней только положительные эмоции!</t>
  </si>
  <si>
    <t>Купил давным давно для стрижки под насадку перед военными сборами в институте. С тех пор нарастил мастерство и вот уже 7 лет сам себя стригу (раз-два в месяц). 7 лет, а машинка, как новая. Насадку только надо заменить - пара пластиковых зубьев сломались лет через 5 эксплуатации.</t>
  </si>
  <si>
    <t>В качестве первого опыта для молодой семьи - думаю, как раз. Средненький, измельчает мороженные ягоды в блендере, замешивает некрутое тесто (чуть-чуть, т.к. объем чаши небольшой), терка/шинковка - на мой взгляд, слишком уж мелкая - рагу, например, не возможно сделать - будет каша, и для первых блюд - не подойдет.  Расстояние от диска до крышки большое - много остается неиспользованных овощей в этом пространстве. Ну и по весу - он очень легкий. Сильно трясется при работе, присоски не очень спасают.  Пользуюсь примерно год, ничего плохого по качеству не могу сказать. Но и хорошего особо не скажу. Планирую покупку комбайна с бОльшим количеством насадок и мощностью не менее 900 Вт.</t>
  </si>
  <si>
    <t>Чайник отличный, единственным недостатком является его чересчур громкий на мой взгляд шум работы, ну это компенсируется его ценой :)    да и вообще по-моему это болезнь чайников Vitek, так как до этого тоже был Vitek более старой и младшей модели, шумел также сильно.    В остальном претензий нет, за полгода использования вполне доволен этим чайником, отсюда твердая 4.</t>
  </si>
  <si>
    <t>Купила ее в первую очередь для того, чтобы готовить ребенку, т.к. готовить 2 овощные галеты или один маленький омлет в большой основной духовке как-то не очень. И не пожалела. Она маленькая внутри и снаружи, очень быстро нагревается и быстро остывает. Недорогая. Ребенок вырастет, не жалко подарить или отправить на дачу.</t>
  </si>
  <si>
    <t>лично я доволен своим КПК.система под управлением WM6.1 очень хорошо справляется со своей задачей.немаловажными являются 3G,3.5G,HSDPA/HSUPA. размер экрана удовлетворяет. пользуюсь полгода и за всё время было лишь несколько ошибок.</t>
  </si>
  <si>
    <t>2185</t>
  </si>
  <si>
    <t>купил на DVD качество отличное без дефектов за 169 рублей лицензия.ходил на специальную версию очень понравилось.очень много новых эпизодов!</t>
  </si>
  <si>
    <t>Отличная мощность даже на ЭКО режиме, пыль через аквафильтр не возвращается в дом, Очень удобная РУчка, щетки. Куча щеток для всего! Уйма способов уборки любого покрытия. Очень легкий и удобный для моющего пылесоса. Габариты в норме. Простота использования на интуитивном уровне!!! ГАРАНТИЯ 4 года!!! Очень легко мыть!!! Все фильтры очень легко вынимать и мыть. По такой цене просто золотой пылесос!!!</t>
  </si>
  <si>
    <t>Видимо Роман один из тех, кто не успел купить яблФон, поэтому сидит и оспаривает факты.  Один неоспоримый факт (как бывший владелец коммуникатора на WM): В яблФон чтобы получить новые возможности и функции, не нужно покупать новый коммуникатор (конечно я имею ввиду ПО), производители же WM устройств привязывают жестко ОС к устройству (кастом прошивки не считаются).    P.S.&gt; А разве кто то щас обменивается через bluetooth? Я думал все уже давно почтой пользуются</t>
  </si>
  <si>
    <t>2763</t>
  </si>
  <si>
    <t>Пользуюсь год. немного кусается. иногда пропускает и пропущенное сбривает с неохотой. бреет довольно таки неплохо. после бритья лучше пользоваться лосьоном. бритву удобно брать в дорогу и пользовать дома от 220в.  сложилось впечатление надежной вещи.</t>
  </si>
  <si>
    <t>Лучший из Remington. Стоит своих денег.</t>
  </si>
  <si>
    <t>Это первая наша стиралка, пользуемся пол-года и очень даже довольны. В основном покупали из-за немецкого про-ва, стирает хорошо, выжимает отлично, шума мало, энергии потребляет очень мало.</t>
  </si>
  <si>
    <t>1631</t>
  </si>
  <si>
    <t>Покупала в том году осталась в ужасе, ловит всего только лишь 1 из 5 вирусов. Даже бонального трояна не умеет расспозновать.</t>
  </si>
  <si>
    <t>2017-03-28</t>
  </si>
  <si>
    <t>Очень довольна,спасибо</t>
  </si>
  <si>
    <t>2391</t>
  </si>
  <si>
    <t>2013-11-17</t>
  </si>
  <si>
    <t>Хороший телефон, но... Очень сильно греется в играх, через 3 месяца использования вздулся аккумулятор, соответственно в игры особо не поиграешь(зачем тогда эти два процессора по 4 ядра...). В целом телефон хорош</t>
  </si>
  <si>
    <t>Отличный пылесос. Аквафильтр не загрязняет воздух запахом горячей пыли. Никаких пыльных мешков. Что тяжеловат и большеват-так это достоинство(больше вмещает воды, соответственно вода дольше выполняет очистительные функции-вы же не моете полы одним литром воды!). Мощность при меньших количествах ватт по сравнению с мешковатыми пылесосами вполне достаточна, так как водяной фильтр не отбирает мощность у мотора, в отличие от мешка. За ИК-управление сначала не хотел переплачивать(смотрел Самсунг попроще), но поработав, убедился, как это удобно-не надо бегать для переключения к корпусу. Смотка шнура работает (у тех, кто умеет ей пользоваться). В-общем, я доволен и рекомендую.</t>
  </si>
  <si>
    <t>1350</t>
  </si>
  <si>
    <t>Ну что можно сказать, тут и так уже все все сказали, я могу только присоединиться к их словам, монитор действительно классный, качественный и не дорогой. (и небольшая реклама такая..) - Так что если ТЫ хочешь себе 22" FullHD монитор, уж поверь всем кто тут пишет - это лучший выбор!</t>
  </si>
  <si>
    <t>Купила самую простую сушилку на случай, пользуюсь не каждый день, а по необходимости. Чтобы хорошенько подсушить женские сапожки нужно часов 5. Но энергии она почти не потребляет, так что этоне проблема. Главное не оставлять на ночь! Единственное, что я бы добавила - какой нибудь индикатор работы - чтобы не забывать выключать</t>
  </si>
  <si>
    <t>2017-03-13</t>
  </si>
  <si>
    <t>качественная работа, хорошая комплектация.</t>
  </si>
  <si>
    <t>3006</t>
  </si>
  <si>
    <t>Довольно качественная матрица. Очень яркий экран и достойные градации серого. Много настроек изображения и звука, с возможностью редактирования готовых профилей, раздельные настройки для каждого входного сигнала. Громкий, четкий звук. Тюнер отлично справляется с приемом эфирного тв, качество каналов, как минимум очень хорошее. DVD отличного качества, подключил через компонент. При подключении ПК, использовал 3х метровый медный VGA кабель, разрешение картинки поставил 1360х768 60гц, смотрел HD фильмы - качество на высоте. Удобное меню. Серьезный строгий дизайн.</t>
  </si>
  <si>
    <t>Подарили друзья, когда приезжали в гости!!!! Прошло уже два года, работает просто на 5+</t>
  </si>
  <si>
    <t>2050</t>
  </si>
  <si>
    <t>Села на мой Кенвуд-Мэйджор как раз, немного переживала, подойдет ли, но все замечательно - действительно производитель не обманул с описанием)) Сама по себе качественная, из крепкого материала, и отверстие для фруктов довольно широкое, небольшие яблочки можно целиком закидывать, что крайне удобно, экономится время на нарезке)) В комплектации полный набор необходимых штучек, включая литровую чашу для сока, лопатку, даже щеточка, чтобы жмых очищать, имеется! За такую цену - годный вариант, теперь радую домашних свежими соками круглый год, не нужно тратиться на фреши в кафе))</t>
  </si>
  <si>
    <t>Мы очень рады, что приобрели сыну эту приставку, купили на день рождения 4 года исполнялось. Сейчас ребенок растет, и приставка растет вместе с ним: игры покупаем сложнее, освоили новые функции: музыку, фильмы закачиваем. Всем рекомендую приобрести: если нужно занять ребенка в машине, самолете и вообще. Нам оч.понравились игры: История игрушек, гонки, лего (любые).</t>
  </si>
  <si>
    <t>Обратите внимание на то, как выставляется температура в камере Био-фреш!! От b1-b5 автоматически устанавливается 0 град. по цельсию,   b6-b9 будет один градус тепла. Нигде это не написано. Продавец с Красноармейской Алексей выяснил это где-то на форумах и сообщил мне по телефону. Благодарность и респект за такое отношение к клиентам!!! Фамилию, к сожалению, не знаю.</t>
  </si>
  <si>
    <t>Купила полгода назад только для разогрева еды, т.к. на электоплите всё время упускаешь момент, когда надо выключить, особенно утром. Довольна на все 100%, без всяких наворотов. Единственный минус: печь белая, а шнур питания чёрный...</t>
  </si>
  <si>
    <t>Ужасная машинка!!!!После стирки в барабане между резинками остается вода,в отсеке для порошка постоянная сырость!!!!Очень шумная!Не советую брать машинку из этой серии!</t>
  </si>
  <si>
    <t>Действительно отличный телевизор, цвета намного ярче чем на моём старом жк-Samsunge. Удобное меню, да и в отличие от предыдущего поста у меня отлично проигрывает avi и с флешки и даже с подключенного коммуникатора HTC. За такие деньги просто лучший.</t>
  </si>
  <si>
    <t>30</t>
  </si>
  <si>
    <t>2013-03-05</t>
  </si>
  <si>
    <t>Хорошая, качественная сэндвичница. При покупке муж сомневался в ее необходимости, теперь не можем без нее обойтись. Выбирали между двумя моделями этого производителя, больше всего переживала за крепления-очень уж ненадежно выглядит пластиковая защелка. На деле все детали оказались крепкими и надежными, нужно только аккуратно обращаться с техникой. Готовим в основном горячие бутерброды, на пирожки и слойки не заморачиваемся. Световые индикаторы работают исправно, но после готовности сэндвича нужно подержать его внутри еще минутку для образования корочки. Незаменимая вещь для тех, кто с утра торопится.</t>
  </si>
  <si>
    <t>2203</t>
  </si>
  <si>
    <t>22.10.2010   Татьяна   (Н.Новгород)"...От вертикального пара ожидала большего, так впрыснет чего-то там, даже не поморщится...эффекта от этого удара не обнаружено. Поэтому занавески гладить в верт. режиме не пригоден))"- Изначально вертикальное отпаривание у данной модели только из носика, этого указанно на самом утюге!!!Это нужно было учесть при покупке. И вООООООбще не понимаю таких людей, которые ОООчень долго выбирают утюг...((( А утюг на самом деле клёвый)</t>
  </si>
  <si>
    <t>1318</t>
  </si>
  <si>
    <t>Sonyericsson C510 - нормальный телефон, камера радует, фото замечательно получаются, за время эксплуатации 8-9 месяцев завис два раза при посыле вызова, вообще не отвечал ни на одну из кнопок и при включении один раз. Кнопки удобные, дизайн замечательный, всё устраивает, хороший телефон, единственный недостаток лично для меня это специальное ПО для работы с компом, в отличии от нокиа. +4</t>
  </si>
  <si>
    <t>1162</t>
  </si>
  <si>
    <t>Да классный набор! Всем советую! Насадки не стираются совершенно Кконсультант сказала,что на них сапфировое напыление. Использую для себя и подруг постоянно. Работает бесшумно, удобно всё очень.</t>
  </si>
  <si>
    <t>Данная сетка и режущий блок подходят к моделям 7000 серии, у меня бритва 7630, и все подошло. Просто раньше на упаковке было написано 7000/4000 серия.</t>
  </si>
  <si>
    <t>Я пользуюсь коммуникатором уже почти год и нареканий почти нет. После четырёх падений только стал выпадать стилус, но это ведь мелочи.   Время автономной работы примерно 3-4 дня. Фотокамера - ещё один минус, очень огорчает. Но в этом коммуникаторе больше плюсов, чем минусов. Написание сообщения без стилуса, не проблема, не составляет труда и пальцем написать. Качество звука практически отлично.  Rover PC X7 - это хороший выбор, качеством работы он будет только радовать.</t>
  </si>
  <si>
    <t>2016-10-29</t>
  </si>
  <si>
    <t>Такая футуристическая капсула с полезными свойствами! Купила позавидовав подружке, у которой такая же была. Не пожалела)</t>
  </si>
  <si>
    <t>2016-03-17</t>
  </si>
  <si>
    <t>Отличный вариант для дачи) отработал все лето. Вода нагревается очень быстро. Устанавливали самостоятельно, муж сказал все просто)</t>
  </si>
  <si>
    <t>после двух недель использования покрылся серыми пятнами на желтом фоне,ничем не выводятся...</t>
  </si>
  <si>
    <t>Пользовался чуть более года, - пластиковые детали быстро стираются, - венчик стал прокручивать и страшно орать через 2 месяца; а у погружной части стержень совсем оторвался через год. Стакан с острыми лезвиями крайне не практичный в том смысле, что при работе в его полую крышку через отверстия попадают продукты и жидкости и вычистить их оттуда невозможно.</t>
  </si>
  <si>
    <t>2661</t>
  </si>
  <si>
    <t>Очень необычное ощущение  от бритья с использованием лосьона...  Бритва сильно отличается от своих предшественниц (даже звук тонкий и приятный)Хорошее качество бритья ...  Очень простой процесс очистки (путем опускания в воду)...  Кожа после бритья абсолютно спокойна (такое ощущение что вообще не брился)...  очень рекомендую...</t>
  </si>
  <si>
    <t>Удобный, не большой, кипятит нормально, запаха нет, красивая подсветка (синий в состоянии покоя, красный когда закипает)</t>
  </si>
  <si>
    <t>Купила этот чайник в марте 2013 в подарок. Очень довольны. Чайник супер! Красивый, удобный в использовании, экологически чистый, бесшумно работает, в комплекте с ним шли две маленькие чашечки.</t>
  </si>
  <si>
    <t>Первые десять-пятнадцать раз использования этой формы - сплошной восторг и удивление. Готовые запеканки сами выскакивали из формы. Саму форму надо было просто ополоснуть горячей водой. А потом покрытие начало отслаиваться и форма перестала радовать. Кусочки покрытия на готовом изделие, ржавчина... Форма в помойку!</t>
  </si>
  <si>
    <t>+ много функций и цветной дисплей - глючная модель, АОН работает через раз, при чем не понятно по какому принципу срабатывает - если отключить звонок на базе то АОН не работает, а у базы стандартные мономелодии, и когда входящий звонок, то звонит трубка так себе, так еще и база другую мелодию не в тон играет, слух режет, - сбиваются часы, раз в сутки ровно на час назад сбиваются. Вообщем отнес обратно, больше негатива чем удовольствия от покупки.</t>
  </si>
  <si>
    <t>2017-01-25</t>
  </si>
  <si>
    <t>1. Практически невесомая - весит всего 7 кг. 2. За 3 минуты стирки эффект лучше, чем за 1 ч 45 мин в автомате (Zanussi); а те максимальные 15 мин, на которые рассчитан таймер, нужен, наверное, для стирки без порошка ооочень грязного белья. 3. Можно постирать хоть один носовой платок - не надо килограммы накапливать, чтобы запустить автомат.</t>
  </si>
  <si>
    <t>Отличный утюг. Немного тяжеловат, но к этому привыкаешь быстро.</t>
  </si>
  <si>
    <t>Мне оч понравилась, пеку почти всегда, накачала себе с инета много рецептов, всегда делаю что-то новое. Я думаю, что такая вещь не может надоесть! Советую! А на счет корочки, то, что не запекается, надо чуть больше сахара класть. Я уже даже все кидаю на глаз, а первое время испсиховалась - ничего не получалось.</t>
  </si>
  <si>
    <t>Всем хорош, мощный, но есть один минус этот фильтр забивается мелкой пылью очень быстро и приходится его разбирать и чистить после каждого применения. А так очень доволен пылесосом.</t>
  </si>
  <si>
    <t>Отличная вещь, полностью доволен! Функциональность, легкость использования, компактность и мощность все эти качества сочетает в себе относительно небольшой пылесос.   Оценка 5+! Разумеется, сделано в Германии)</t>
  </si>
  <si>
    <t>2017-02-23</t>
  </si>
  <si>
    <t>Пользуюсь микроволновой печью более 5 лет!</t>
  </si>
  <si>
    <t>605</t>
  </si>
  <si>
    <t>Согласен с предыдущим оратором на 250%. Всё происходит от кривых рук. Понаберут приборов, и не разобравшись начинают хаять. Купить себе тел за 500 руб.и всё будет нормально. будет и звонить и говорить. Согласен что, WM для любителей поковыряться, но собственно для чего интернет придумали. Покупайте коммуникаторы.</t>
  </si>
  <si>
    <t>Вполне нормальная магнитола. Пользуюсь уже больше полгода, проблемы возникают только с прослушиванием музыки с внешней флешки: иногда подвисает, мне кажется что из за плохого контакта USB кабеля с магнитофоном (флешку использую 4Гб). Диски читает все. Качеством звука вполне доволен, с моим усилителем, сабвувером и задними колонками JBL (подключены от усилка) звучит просто супер. На счет видео: DVD читает все, проблема с другими форматами, у меня читает только AVI.</t>
  </si>
  <si>
    <t>Сегодня стал обладателем сего цифровика! Всё в нем радует, качество снимков отличное, в темноте снимает отлично!!! Что касается различных режимов фотосъемки, то их достаточно! Но для начинающих "папарацци" лучше ставить автоматическую настройку. Присутствует также интеллектуальная настройка, которая сама подбирает ту сцену, которую считает нужным подобрать (то есть ночь, портрет, пейзаж и т.д.)...Но вот только не порадовала крышка отсека под флэшку, имеется люфт. То есть стоит слегка задеть эту крышку случайным движением, то она открывается. Не знаю, может это у моего аппарата такой брак, но я подумываю сходить в магазин и попросить другой фотоаппарат! В качестве итога могу сказать, этот фотоаппарат - отличное решение для начинающих. Да и Panasonic - фирма серьезная!!!</t>
  </si>
  <si>
    <t>У меня было подобное...советую проверить кабель на разрывы либо стабильность соединения с ТВ или к ноуту. В остальном ТВ даже через VGA показывает с отличным HD разрешением. Рекомендую всем.</t>
  </si>
  <si>
    <t>Оченеь долго хотела и мечтала о блендере,к выбору подходили с мужем тщательно,ну и плюс знакомый работающий в магазине плохого бы не посоветовал,работает на ура,я очень довольно. Рекомендую данную модель!!!</t>
  </si>
  <si>
    <t>Отличный Mp3.Уже  год  им  пользуюсь.</t>
  </si>
  <si>
    <t>Купила сегодня ноутбук!Просто в восторге от его многофункциональности!!!Посмотрим, как будет работать дальше!</t>
  </si>
  <si>
    <t>2204</t>
  </si>
  <si>
    <t>Зарядного устройства в комплекте не оказалось xD. А так неплохой фотик!</t>
  </si>
  <si>
    <t>Отличный ноутбук за свои деньги. Юзаю неделю, всем доволен. Игры идут на ура. Кризис Ворхед на родном разрешении 1600х900, без сглаживания, по большей части на высоких настройках идет хорошо, фактически без тормозов. В 3D Mark06 набирает 7400 баллов. Почти не шумит и не греется. Экран - не супер, но устраивает, что же вы хотели за такие деньги, даже у дорогих ноутбуков экраны не намного лучше, а у "одноклассников" не редко и хуже бывают. Были траблы с работой сенсорных кнопок, без проблем все решилось переустановкой драйверов, взятых с официального сайта PB. Всем советую, как замену настольному компу.</t>
  </si>
  <si>
    <t>2016-01-28</t>
  </si>
  <si>
    <t>Бреет отлично, без раздражений. Отличный вариант для командировки. Только почему то в магазине нет  расходников( режущего блока)?</t>
  </si>
  <si>
    <t>купил вчера,поставил на работе перед столом,отлично ганяет воздух и даже не шумит,цена оправдана ,но можно рублей 150 скинуть ,а так даволен</t>
  </si>
  <si>
    <t>Сегодня купили. Вроде все нормально, но почему-то через стекло не ощущается нагрев воды. Стекло как было холодное, так и остается, хотя температуру выставляли на 60 гр.</t>
  </si>
  <si>
    <t>Рация хорошая. Плюсы - чёткий звук , громкость и дальность.Всем советую!(Сначала прочитайте инструкцию)</t>
  </si>
  <si>
    <t>в июне купили морозит замечательно работает тихо пока все хорошо....</t>
  </si>
  <si>
    <t>2080</t>
  </si>
  <si>
    <t>Конечно 120, указан объем диска, а не свободное место на нем. Т.к. виста 40гб забирает под файлы восстановления и бэкап. Об этом везде пишут, и это вполне разумно. Фарматните жд и вы получите 160 гб (объем диска). Вот только висты там уже не будет ;)</t>
  </si>
  <si>
    <t>Купили эту микроволновку, так как всем домашним понравился ее внешний вид. Кроме того 23 литра за небольшие деньги.  В целом печь неплохая. Уровень шума невысокий. Во всяком случае есть, с чем сравнить, не первая, да и за два дня до покупки была попытка приобретения через интернет-магазин микроволновки другого производителя (шумела как трактор).  За два дня использования недостатков не обнаружилось, управление понятное. С мощностью вроде порядок, так что не знаю.  Единственный минус - это гриль не кварцевый, а ТЭН, как бы устарело уже. Но это недостаток несущественный.  Посмотрим, как дальше себя заявит. Ставлю твердую четверку.</t>
  </si>
  <si>
    <t>Качество наушников было отличное. Громкое звучание, а это для меня было главное. Но спустя полтора месяца они отказались работать. Ну как отказались... Если вставить в разъем на 1/3, то они работали. А если на полную - то получалась ерунда. Чек естественно потерял.</t>
  </si>
  <si>
    <t>Покупал этот телик два мес назад для дачи. К сожалению, тогда он стоил немного дороже((. Сразу понравился дизайн и цена. Из представленных на полке ТВ у него была самая тонкая рамка и разрешения экрана 16:10 - лучше для нашего эфира. Поставил на даче,пока работает нормально даже не смотря на небольшие скачки напряжения. Удобно, что можно использовать его в качестве монитора. Когда купил, сравнивал дома картинку с Toshiba 22 SLD2, который висит в спальне. Acer по картинке проявил себя с лучшей стороны (отсутствием засветки по периметру и лучшим углом обзора) В общем рекомендую!  Фирма известная, качество на уровне корейцев, цена заметно ниже.</t>
  </si>
  <si>
    <t>Привосходный кабель, советую брать.</t>
  </si>
  <si>
    <t>1817</t>
  </si>
  <si>
    <t>По мне, так вполне хорошая вытяжка. И подсветка яркая.  Конечно она шумит, а как может быть иначе, если она воздух вытягивает из кухни? Это невозможно слделать бесшумно же) Кстати, на первой скорости вообще тихо совсем шумит. Доугое дело, что если на действительно что-то активно жарится-парится на кухне да еще и с сильным запахом, то конечно первая скорость не справляется. Но на третьей она создает очень ощутимую тягу. Ну и шумит конечно побольше. Но не вижу в этом никакой проблемы, так как обычно необходимость в третьей скорости бывает не слишком долгой. Так что считаю, что по части работы она нормальная, как и большинство подоных вытяжек. За то по дизайну я ни у кого еще такой красивой вытяжки не видела. она по тональности очень подошла к моему бежевому кухонному гарнитуру и в целом получилась красота просто неимоверная, просто как в глянцевом рекламном журнале теперь кухня выглядит!</t>
  </si>
  <si>
    <t>Пришлось ехать аж в VEGAS чтобы купить данный вентилятор с запада Москвы (в остальных остался только в Подмосковье), но не жалею. Тихий и мощный, обдув супер! Компактный и симпатичный. Внешне он не такой как на фото, гораздо стильнее и свежее на вид. При такой цене - большая редкость. По сравнению с Bork P510, который просто гудит \"железом\" прямо в мозг, просто прелесть!</t>
  </si>
  <si>
    <t>Телевизор очень понравился. Особенно удобно продумано меню.  Только есть минус: шумопонижение иногда сбрасывается, точнее визуально нет, а когда заходишь в настройки изображения, то видишь, что шумопонижение - выкл. И если в настройках звука динамики - ставить аудиосистему вместо динамиков тв, то тоже постоянно сбрасывается на динамики тв. Фильмы с флэшки объемом более 2 Гб перематывает долго и с паузы долго снимает, после просотра тв и возврата к фильму.</t>
  </si>
  <si>
    <t>подарили на день рождения, вообщем класс но через неделю не включился думала разрядился, зарядила ни каких изменений!  в ремонте наладили-на нём есть кнопочка под разьёмом под брелок, на неё если зубочисткой нажать он перезагрузиться и нет проблем файлы при этом не удаляются!!! тормозит TV но можно поймать.  больше одного фильма не влезает, а вот книг полно! когда купила были закачены несколько произведений в том числе и "Анна Каренина" где 8 с чем-то тысяч страниц!  Вообщем просто супер, а нелостатки они есть везде!</t>
  </si>
  <si>
    <t>внутрений блок без нареканий. тихий. внешний чутка вибрирует, но кроме меня никто не слышит. )  всё работает чётко. если вам нужно охлаждать комнату площадью до 30 метров и не нужны какие то сильно замороченные функции, а нужно быстро и тихо охлаждать \ нагревать помещение - покупайте смело.     из минусов- это звук включения и выключения кандея - одинаковы. в ранних моделях самсунга , по звуку можно было понять, включился кандей или выключился. сейчас просто тупой "пик" , при вкл\выкл.</t>
  </si>
  <si>
    <t>Муж купил мне год назад эту кофеварку. Я ей просто не нарадуюсь. Я с вечера наливаю 2 чашки воды и 2 ложечки кофе. А утром включаю и иду умываться. Пока я делаю свои дела и кофе готово)))Кофе брала разные и все всегда получается вкусно.</t>
  </si>
  <si>
    <t>Машинка сбрасывала программы и в результате через 2,5 года интенсивной работы (а как иначе, если семья состоит из 4-х человек, 2 из них маленькие дети) перестала работать вообще. Мастера предложили отправить её на свалку, т.к. ремонт обойдется дороже, чем купить новую. На мой взгляд слишком уж быстро она выработала свой ресурс. Не рекомендую!</t>
  </si>
  <si>
    <t>Собираюсь купить этот телефон))) почитала комментарии и ничуть не разочаровалась))) Я всегда очень долго принимаю решения... и вот: уже который день штудирую сеть в поиске телефона ДЛЯ МЕНЯ. В финал прошел Samsung S5230 Star и S5560. Я решила остановиться на S5560. на днях пойду покупать. Надеюсь, что этот аппарат меня не разочарует))))</t>
  </si>
  <si>
    <t>Много функциональных строчек (достаточно для «неопытных»), понятно изложена информация в инструкции, простота в использовании, достаточно мощная (прошивает 4-5 слоев льна), легкая по весу.</t>
  </si>
  <si>
    <t>2013-10-02</t>
  </si>
  <si>
    <t>Машинке вот уже три года, через полгода сломался разъем электропитания, муж починил, не стала обращаться в сервис, иногда периодически постукивала, а сейчас сломалась деталь, которая отвечает за связывание петель верхней и нижней, теперь ищу деталь, нигде найти не могу, жаль машинку, пусть есть и минусы, но мне нравится ее функционал и как шила, берет все ткани.</t>
  </si>
  <si>
    <t>Меня, как поклонника сеттинга "Звездных войн", игра "Star Wars: The Force Unleashed" восхитила. Я долго дожидался ее появления на ПК, но это того стоило... Потрясающая графика (по крайней мере, для ПК), захватывающий и непредсказуемый сюжет, о великолепной анимации можно и не говорить (используется технология «euphoria», известная нам по GTA IV)... Но когда все это сливается на экране, и ты вступаешь в бой с имперской пехотой, подбегаешь к ним на огромной скорости, одного поднимаешь в воздух и бросаешь в сторону, другого бьешь молнией, разбиваешь каким-нибудь ящиком одно из наружных окон имперского корабля, и туда, в открытый космос засасывает всех остальных (слюнки текут, пока все это Вам рассказываю)... Извините, но не выдержав такого напряжения, беру диск и вставляю в привод... Да прибудет с Вами Сила...</t>
  </si>
  <si>
    <t>Отличный аппарат стал после обновления до WM 6.5.3. По сравнению с тем что было раньше - небо и земля. Кто купил советую обновиться до версии ПО R3AA035, там уже WM 6.5.3.</t>
  </si>
  <si>
    <t>2014-04-13</t>
  </si>
  <si>
    <t>Нет блокировки кнопок. Нет звукового сигнала ,если кто оставил сообщение на автоответчик в ваше отсутствие. Работал всего 2 года</t>
  </si>
  <si>
    <t>Стала его обладательницей и первое время ходила счастливая. Но через 2 месяца кнопка перемотки сломалась-пришлось отдать в ремонт, вернули только через 2 недели. Еще через 3 месяца стал пропадать звук в наушниках (подумала, может быть дело в наушниках, поменяла их 3 штуки, но та же проблема). И снова отдала в ремонт, вернули снова через 2 недели. Через 6 месяцев заглючил при подключении к компьютеру, и вновь он попал в ремонт (через 1 день гарантия истекала-надо было спешить). И вновь вернули через 2 недели. Все работало нормально, НО снова сломалось гнездо для наушников. Сейчас лежит и пылится. Перехожу на Samsung.  Вывод: за 1 год в ремонте был 3 раза (это не считая мелких глюков). Одни сплошные проблемы.</t>
  </si>
  <si>
    <t>Хороший телефон с хорошим звуком. Радио и плеер - замечательные. Радует выносной динамик. Полностью оправдывает свое назначение по прослушиванию музыки.  Удивлена плохим качеством видео и фото - нечеткий контур и искаженные цвета (особенно в помещении).</t>
  </si>
  <si>
    <t>В ультразвуковые увлажнители нужно заливать деминерализованную воду для избежания появления белого налёта</t>
  </si>
  <si>
    <t>Отвратительная сковорода! через пару месяцев после начала использования на стеклокерамике деформировалось дно. По сути она лишь самым центром дна касается поверхности конфорки.</t>
  </si>
  <si>
    <t>Уважаемый Евгений,   Все детали у нас есть. Рекомендуем Вам еще раз обратиться в авторизованный сервисный центр эксплей и настойчиво потребовать заполнения заявки на данную деталь, сервисный центр обязан будет ее принять. Если Вам все-таки откажут, просим Вас обязательно связаться с нами по телефону службы поддержки +7(495)649–62–66, мы Вам поможем.</t>
  </si>
  <si>
    <t>Всё, разобрался! Разложил посуду, как написано в рекомендации, и всё хорошо отмылось и высушилось! Отличная машинка, очень доволен!</t>
  </si>
  <si>
    <t>Всё сомневался брать или не брать,но судя по отзывам думаю телевизор хороший тем более за такие деньги и с такой диагональю!!! У кого есть такой телевизор скажите качество изображения сильно отличается от FullHD???</t>
  </si>
  <si>
    <t>хороший чайник за хорошие деньги, интересный дизайн, быстро греет, о покупке не жалею, всем остался доволен</t>
  </si>
  <si>
    <t>2014-03-11</t>
  </si>
  <si>
    <t>Купили эту машину 3 года назад, работает идеально, без перебоев. Пережила 4 переезда с квартиры на квартиру, т.к. живем на съемной, занимает мало места, очень компактная. При правильной установке вибрации и шума нет. Очень не дорогая машина, качество 100%. Устанавливали сами, много всяких функций, например, стирка 30 минут при 30 градусах, быстро и качественно стирает.</t>
  </si>
  <si>
    <t>всем привет.купила сегодня эпилятор браун 1170.сразу испробовала.осталась очень довольна.думала будет больно,оказалось слегка пощипывало.удобный в применении. нет ни каких ненужных наворотов.</t>
  </si>
  <si>
    <t>Купил такие наушники уже в третий раз, прозапас. как и в прошлые разы никаких проблем нет: уши звучат одинаково громко, не шуршат, не дребезжат, амбюшуры положили, чёткий бас присутствует, всё хорошо!</t>
  </si>
  <si>
    <t>Подарили мне парогениратор на юбилей... Три месяца пользовалась им с огромным удовольствием, но потом пришлось сдать обратно в магазин, прекратилась подача пара, утюг стал вместо пара выплевывать воду . Из ремонта он так и не вернулся , причины поломки я так и не узнала, вернули деньги , возьму парогениратор другой марки.</t>
  </si>
  <si>
    <t>Прекрасный телевизор! Взял 4 месяца назад и до сих пор нарадоваться не могу:) А вот в сервисном меню (на пульте powerON-&gt;Info-&gt;Menu -&gt;Mute-&gt;PowerON) я так этих опций и не нашёл...</t>
  </si>
  <si>
    <t>Хороший качественный штатив. Качество действительно радует. Приятный на ощупь, устойчивый, стильный. Головка крутится плавно. Мягкие муфты очень приятный бонус, не придется браться за голый металл на морозе. Чехол в комплекте это вообще огромнейший плюс. В общем я крайне довольна покупкой. В очередной раз спасибо м-видео!</t>
  </si>
  <si>
    <t>Пользуемся уже почти год. Моя палочка выручалочка и помощник в доме) после строительства дома и ремонта отмыл наш черный кафель в 150кв метров без единого развода. Думаю тряпкой я бы до сих пор известку отмывала)) Сейчас пользуюсь им как моющим пылесосом не так часто как в первое время, но раз в месяц точно. Остальное время пылесошу весь дом а потом или парошваброй, или еще быстрее обычной шваброй протираю. Ковров нет, диваны тоже мыть не приходиться. Но вот у мамы в доме один раз помыли им диван, так он даже следы от зеленки с ткани снял!! Шумноватый но меня совсем не раздражает, т.к. чем мощней, тем шумней, а он достаточно мощный, есть с чем сравнивать... на 150кв метров два раза доливаю воду и один раз выливаю 8 литров грязной. Моется легко, посторонних запахов не наблюдается)) До покупки аквафильтра еще не добрались, в общем-то без надобности. Тоже взяла его по акции - смешные деньги за такой агрегат. Очень нравится, что не нужно его чистить после сухой уборки, выкинул пакет да новый вставил, класс. Одного пакета хватает месяца на два. Пока ничего не ломалось ттт, но я с техникой очень бережно обращаюсь. Покупкой довольна.</t>
  </si>
  <si>
    <t>628</t>
  </si>
  <si>
    <t>2011-08-08</t>
  </si>
  <si>
    <t>Купила с мужем этот чайник по акии и осталась крайне не довольна.Все вроде хорошо но так же как и других потек через 3 месеца эксплуатации.</t>
  </si>
  <si>
    <t>Вытяжка сломалась на второй день эксплуатации, гарантийный срок закончился, поскольку покупали давно и в квартире шел длительный ремонт, обзвонили порядка десяти фирм по ремонту бытовой техники и никто не хочет браться. Что теперь делать непонятно.</t>
  </si>
  <si>
    <t>2556</t>
  </si>
  <si>
    <t>2017-03-17</t>
  </si>
  <si>
    <t>На неё идёт запись видео - значит уже всё хорошо; Хорошо что мини диви ещё продают</t>
  </si>
  <si>
    <t>привет всем! по ходу на задней крышке ни у кого нет вентиляции...у меня там тоже нет...</t>
  </si>
  <si>
    <t>Не удачный выбор!!! В комплекте надо брать уборщицу. Слабая мощность,электризуются щетки,высокая цена=5 хорошим пылесосам!!!</t>
  </si>
  <si>
    <t>670</t>
  </si>
  <si>
    <t>системный  блок фигня полная зачем Q8300  8 гигов оперативки ему 4 будет много видюха слабая сильно вот есле была бы 285 то это классно бы было а это слабая особенно что 2 гига прост для прикола поставлена,проц слабый блок питания слабоват хотябы 600 ват бы ставили ,операцеонка стоит на 32 бита она видет только 3200МБ оперативки, жесткий 16 мегобит мало для 640 гигов надо 32 мб</t>
  </si>
  <si>
    <t>2017-07-15</t>
  </si>
  <si>
    <t>2010-12-07</t>
  </si>
  <si>
    <t>Просто супер!!!</t>
  </si>
  <si>
    <t>Телефон отличный, пользуюсь два года ни разу не подводил. Цвет металлик. Ни сколько не пожалел, что приобрёл именно эту модель.</t>
  </si>
  <si>
    <t>Ну что сказать о данном товаре.. В первое время все было довольно хорошо, но потом стал замечать недостатки. Вот одни из них: на холоде провода становятся деревянными, при трении создается шум в ушах. Очень неудобно. Через пол года провод около наушника треснул совсем, и наушник перестал работать. Ну что.., разобрал, перепаял, вроде запахал. Еще через месяц звук стал тише. Вообщем эта модель мне не понравилась, ну может из-за того что пользовался год, хотя не знаю. Может вместе со сроком годности кончился и срок их службы. Еще один из минусов это сборка.</t>
  </si>
  <si>
    <t>2053</t>
  </si>
  <si>
    <t>Они просто отличные, сегодня приобрел, радуюсь не нарадюсь.</t>
  </si>
  <si>
    <t>несколько месяцев назад приобрели такую кофемашину, цена очень демократичная ,и в месте с тем кофе-отличный,не уступает напиткам в кофейнях. в управлении проста, и на нашу кухню вписалась благодаря своим малым размерам</t>
  </si>
  <si>
    <t>Все впечатление испортили зажимы, подумала, что отзывы об этих зажимах не более чем неумение пользоваться, но они же разгибаются и становятся больше бигуди, как они могут зажимать. Теперь точно знаю - это дешевое китайское фуфло.</t>
  </si>
  <si>
    <t>Пылесос то работает, вот фильтр на него ни где не купишь,  спасибо вам мвидео.</t>
  </si>
  <si>
    <t>год назад купила этот телефон. очень довольна им, радовал работой без сбоев .вот две недели назад сломался, но по моей вине-попала вода. по гарантии его сделали за три дня, поменяли экран и плату какую-то, теперь все опять замечательно!!)))  постоянно работает аська, плеер-зарядка стабильно держится два дня.громкость отличная,тормозов нет. и вообще,отличный телефон))</t>
  </si>
  <si>
    <t>Купили пылесос 2 недели назад ,выбирали очень долго.Раза 4-5 делала сухую уборку - супер ,один раз сделала влажную, тоже супер. Когда решила сделать еще раз влажную уборку - он сломался. Не могу сказать с чем это связано - брак производителя ,или не качественный товар ,или просто нам не повезло, но убирает он хорошо. А то что его нужно долго мыть - не правда. После сухой уборки - 5 мин., после влажной максимум мин. 15. Сейчас будем покупать новый пылесос и наверное опять эту же модель.</t>
  </si>
  <si>
    <t>244</t>
  </si>
  <si>
    <t>Ковры помыл шикарно, после него они еле влажные, при комнатной температуре полностью высыхают на 2-3 часа. Очень довольна покупкой!</t>
  </si>
  <si>
    <t>920</t>
  </si>
  <si>
    <t>ну раз мультеплеер не удался то не вижу смысла покупать линцензию ведь можно с интернета пиратку скачать и компанию пройти</t>
  </si>
  <si>
    <t>Плюсов нет! Из минусов:  1) зажевал мне волосы и сжег их, в области решетки, где выходит шнур!!!  2) 1 и 2 режим не отличаются, слабоваты, а 3 сразу сильно дует  3) обожгла пальцы, когда придерживала кончик фена. Пластик и металл очень нагреваются. Одним словом китайский хлам.</t>
  </si>
  <si>
    <t>У вас на сайте указана максимальная скорость отжима 1000 об/мин., а на самом деле у этой модели скорость 800 об/мин., а у модели 5105 - 1000 об/мин.</t>
  </si>
  <si>
    <t>Легкая.Справляется с тяжелой тканью.</t>
  </si>
  <si>
    <t>2013-08-31</t>
  </si>
  <si>
    <t>Маленькая компактная и симпатичная мультиварка обладает огромной неразрешимой проблемой: чересчур продолжительный процесс приготовления, будь это тушеная картошка (самый проблематичный из всех режимов, тк время готовки на тушении может достигнуть до 3,5 часов а то и дольше, а это извольте, совсем не дело) или выпечка на одноименном режиме, кроме того что долго, так еще и тесто внутри всякий каждый раз остается сырым и не пропеченным внутри, а корочка внизу изрядно подгорает, хотя в то же время верхушка пирога остается бледненькой и не аппетитной, далеко от той, что мы привыкли видеть вынимая противень с ароматным пирогом из духового шкафа.</t>
  </si>
  <si>
    <t>Взял его как второй к нокии н82 только позавчера и уже влюбился, хотя на первый взгляд показался не очень. Телефон малюсенький, но сделан очень качественно,задняя крышечка даже большей частью металлическая, связь держит хорошо, громкость звонка на уровне, громкость при разговоре еще 2 деления остается, экран маленький но яркий, вес малюсенький, старая нокия рядом с ним кажется огромной бандурой. Сколько держит аккумулятор еще не знаю, но заявлено вполне приличное время. За такие деньги такой телефончик это просто даром. До этого как второй телефон был мегафоновский фирменный, который они за 1100 типа по спеццене продают, и это еще плюс 100 рублей за симку, так даже сравнивать нельзя, не говоря уже про то, что тот мегафоновский только на мегафон и залочен.</t>
  </si>
  <si>
    <t>Вытяжка шикарная. Работает отлично, смотрится очень стильно. Особого ухода не требует. Всем советую .</t>
  </si>
  <si>
    <t>Линзы современных объективов покрыты осветляющим напылением, которое можно легко повредить протирая обычной тканью, поэтому не стоит экономить даже в таком простом деле, как чистка объективов.</t>
  </si>
  <si>
    <t>Это такая прелесть. я в восторге! умная технка. он же tob температуру меряет, и календарь ведет, и ..КАК ОН СВЕТИТСЯ! я про проэкцию!!! это что-то волшебное! для любителей комфорта и новых техноглогий - самое то! все просто шикарно. поломок не было за год службы!</t>
  </si>
  <si>
    <t>Купил в Марте пользуюсь...и очень даже нравится,правда Windows 7 домашняя базовая стояла,но я ее поменял на 7 Ultimate,а так все хорошо,пока не жалуюсь)))</t>
  </si>
  <si>
    <t>1475</t>
  </si>
  <si>
    <t>Купили в ноябре 2010 года,довольны... Работает без перерыва (только для набора воды)-а воды 5 литров, хватает часов на 12. Дышать легко-нравится цветам. Только от ионизатора мелкая пыль садится на телевизор и вокруг него,стекла (притягивается-не знаю,может это вредно?)приходится постоянно вытирать, а так не жалеем))))И, кстати, отключается, еслди нет воды!!!</t>
  </si>
  <si>
    <t>Замечательный увлажнитель. Мощность отличная, рассчитан на 24м2, на большую комнату хватает. Можно регуляторы выставить так, чтобы и увлажнял эффективно, и луж на полу не было. Иногда раздражает гудение и яркая подсветка, но при регулярном использовании к этому можно привыкнуть. Зато дышать можно нормально, без увлажнителя у нас зимой влажность 30%, а иногда даже меньше. Только Витек и спасает.  Еще нравится большой резервуар для воды, при работе всю ночь при средней мощности хватает водички до утра.   Один момент не очень понравился, при получении резинка была собрана неправильно в фильтре, сразу стал течь. Но кто-то тут в отзывах писал об этом, так что резинку вытащили, уложили как следует, ничего не течет.</t>
  </si>
  <si>
    <t>Чайник внешне весьма симпатичен, кипятит быстро, но из достоинств это пожалуй все. Чайник перестал отключаться через месяц после использования, ремонтировали... примерно еще через месяц кнопка стала западать, теперь и не включить,и не выключить приходится ловить нужное положение чтобы заработало и быстро снимать с подставки когда закипит.</t>
  </si>
  <si>
    <t>Приемлимый шум, быстрое охлаждение, правда хотели охлаждать 2 комнаты =30 м, не получилось, зато на зал 19 м хватает.</t>
  </si>
  <si>
    <t>Этот комбайн - мой главный друг и помощник на кухне! Всем рекомендую. Главное, что я для себя отметила - эффективно выполняет все заявленные функции: прекрасно замешивает тесто, делает пюре, коктейли, заквасить капусту теперь не проблема - только и успевай подавать для шинковки. А какие он выдает кубики... Ровненькие, кубик к кубику. Теперь о минусах. В основном я пользуюсь только смесительной чашей (т.е. без миксера) и часто при работе отходит защитная крышка для привода миксера. В результате он останавливается, т.к. считает, что конструкция не до конца собрана. Но вобщем могу сказать, что очень довольна и эта маленькая проблемка легко решаема.</t>
  </si>
  <si>
    <t>2654</t>
  </si>
  <si>
    <t>Телевизор супер , всем советую , картинка очень качественная , и вообще телевизоры sony !!!!</t>
  </si>
  <si>
    <t>Подходит исключительно просто для сушки и для укладки на примерно каре. У кого длинные волосы ( ниже плеч) и густые лучше присмотреть другой вариант. Пользуюсь только для сушки после бассейна.</t>
  </si>
  <si>
    <t>Звук отличный, цена смешная! Проработали верой и правдой примерно пол года, потом звук начал стихать и басы пропадать(мембрана наверное сдыхать начала), видимо, поэтому и цена соответствующая... Буду брать такие же!</t>
  </si>
  <si>
    <t>Хороший фен. Небольшой размер.</t>
  </si>
  <si>
    <t>Аппарат хороший за свои деньги, но вот что то очень сильно греется верхняя часть и вход антенны, (не знаю нормальна это или нет ) но работает все замечтательно :)))</t>
  </si>
  <si>
    <t>Использую предыдущую модификацию (LG PC52) полтора года.    Из плюсов:  1. Сравнивал изображение с антенного сигнала Филипса 9 серии (тоже 32") и этой недорогой плазмы. Купил плазму, хотя материально был готов и на Филипс. У плазмы нет эффекта "пластилиновой картинки", нету паразитных артефактов, рождающихся процессором Full HD ЖК, минимальные шумы картинки, т.к. размер матрицы как раз по SD. На картинку ЖК без слез смотреть не смог.  2. Очень хороший режим Панорама (растяжка 4:3 на 16:9).    Из минусов:  1. После длительного просмотра НТВ остается след от логотипа канала. Исчезает довольно медленно. Один раз полдня смотрел, след исчезал 3 дня. Видимо, сама панель довольно бюджетная, т.к. на дорогих Panasonic и Pioneer этот эффект выражен гораздо слабее.  2. Для просмотра HD контента непригоден, т.к. 852х480 точек.    Вывод:  Если планируется HD (НТВ-Плюс HD, Blue Ray проигрыватель, HD-рипы и пр.), то телевизор не подойдет.  Но если планируется только SD (антенна и DVD), то лучшего варианта я просто не нашел. Т.е. морально был готов на Филипс 9 серии (по отзывам эфирную антенну показывает лучше других ЖК). Но сравнив картинку "вживую" (в M-Видео все телевизоры один сигнал передают) сознательно купил эту плазму.    А посмотрев на цену телевизора на недостаток 1 можно закрыть глаза.</t>
  </si>
  <si>
    <t>Стираю уже больше месяца, нареканий на машинку нет. Стирает быстро, единственное когда включаешь режим экономии времени потом приходится пользоваться доп полосканием. А так машинка очень хорошая и по цене доступная</t>
  </si>
  <si>
    <t>Взял аппарат полгода назад. Отговаривали, типа ровер - далеко не самый лучший производитель, но я не послушал. :) И правильно сделал. Никаких нареканий нет. Работает стабильно. Ни разу не слетала ось, не тормозит, крышка не отваливается, стилус тоже держится хорошо и с калибровкой тоже нет проблем, я, вообще, не могу представить, что нужно делать, чтоб он так сыпался. Уже ронял его несколько раз и разок утопил под сильным ливнем.  Минус - камера, но я не фотолюбитель, этого качества для телефона хватает, для нормальных снимков есть нормальный фотоаппарат.  НО! Пока что, я не сталкивался с необходимостью покупать на него аккумулятор, экран и/или что-нибудь ещё. Надеюсь, и не придётся (продам быстрее)</t>
  </si>
  <si>
    <t>2045</t>
  </si>
  <si>
    <t>Хорош в том плане,что он очень мощный.  Много программ,и отлично тянет все кроме игр:    Не знаю почему?!Но Игру Гта 4-он у меня слегка логал,немнго-но все же обидно.    А еще нравится Аудио-Диджей-прикольная штучка.    Экран супер))    Но вот бессит то ,что когда выключаешь кабель из разетки он начинает издовать такие страшные звуки и меняет в себе что-то,что аш жалеешь о том,что ты вытащил кабель.)))  Порадовало то,что много различных входов (Ювизби,И прочее)))  ____________  Но немного не радует то,что он тяжеловатый и не юркий....</t>
  </si>
  <si>
    <t>помойму там стоит прошивка 3.30 или 6.30 да приставка хорошая и интернет браузер замечательный ну вобщем приставка на 5+</t>
  </si>
  <si>
    <t>Работает уже больше года, вполне отработал свою цену. Тосты поджаривает отлично. Булочки сверху на специальные подставки можно положить - тоже очень вкусно! После использования всегда выключаем. Рекомендуем!!!</t>
  </si>
  <si>
    <t>906</t>
  </si>
  <si>
    <t>Отличные колонки!!!!!!!!! Поставил в центральную консоль на нексию, хорошее дополнение к 16 в дверях и к овалам в задней полки. Стоит этих денег.</t>
  </si>
  <si>
    <t>Нужен был недорогой утюг с паром. Сомневалась в подошве, т.к. витринный экземпляр был напрочь расцарапан. Пользуюсь уже 5 месяцев. Появилась одна неглубокая, но мешающая царапина. На подошву не ставлю, но хранится абы где, может ребенок случайно поигрался. Нравится качество глажки, турбоудар нормальный, подошва скользит отлично. Немного неэргономичная ручка, т.к. нет резиновой накладки и еще ладонь чувствует швы между деталями ручки. Но это мелочи. Воду толком не сливаю, если остается, никак ни разу не чистила, пользуюсь просто отфильтрованной водой, хотя в инструкции сказано нельзя, но из под крана почему-то рука не поднимается наливать.</t>
  </si>
  <si>
    <t>2013-11-10</t>
  </si>
  <si>
    <t>Нержавейка, поверхность эмалированная, что легко чистится. Советую. Качество достойное.</t>
  </si>
  <si>
    <t>446</t>
  </si>
  <si>
    <t>Ребяты, в чем принципиальная разница между этой моделью и Acer AS 8943G-728G1.28TWi??</t>
  </si>
  <si>
    <t>Та же история. Отработал год, стал перегреваться. После ремонта прослужил мне ещё 3 года. Потом опять стал греться, отключаться. В сервисе сказали:"Ремонту больше не подлежит, покупайте новый". Очень жаль, т.к. вещь удобная.</t>
  </si>
  <si>
    <t>На работе сгорел чайник(советский), этот оказался самый дешёвый из линейки. Носик удобный, постороннего запаха нет, закипает быстро и децибелы в норме. Подставка удобная,но шнур коротковат. 2л.- отлично, для все сразу.</t>
  </si>
  <si>
    <t>Чувствительность кнопок на самом телевизоре плохая, с большим трудом можно управлять. Иногда сам включается на некоторое время в режиме ожидания. В остальном устраивает.</t>
  </si>
  <si>
    <t>Купила этот нетбук в январе. на следующий день слетела система.Отнесла,поменяли на новый.Переустановила систему и разбила диски правильно.минус этого нетбука - кошмарно тормозит при воспроизведении некоторых HD  фильмов выше разрешения 1080*900.Игры на него явно лучше не устанавливать.А так в принципе хороший нетбук за такую цену.Нетбук достойно заслуживает оценку 4!</t>
  </si>
  <si>
    <t>Покупал такие наушники в конце мая, хорошие наушники, звук неплохой, хорошие басы. Однако прошло некоторое время, вытянулся провод, в том месте, где провод раздваивается. Сходил поменял на аналогичные. Как позже оказалось эти наушники были чистой воды подделкой, они они совершенно не были похожи на те, которые я покупал ранее, единственное их сходство так это дизайн этих наушников. Вот как я потом их отличил  Во-первых, я сразу заметил, что их корпус был пластмассовым, когда должен быть сделан из алюминия. Во-вторых, на самих наушниках в отличие от предыдущих логотип Fischer едва читается, плохо пропечатан. В-третьих, вместо алюминиевой гравировки на концах наушников, нанесена блестящая краска. В-четвертых качество звука было ужасным, складывалось такое ощущение, что звук идет откуда то из-за глухой стены. В-пятых упаковка так же отличалась от предыдущей, она была заметно меньше предыдущей, были плохо пропечатано тех. описание, ну и цвет упаковки был зеленоватого цвета, когда как я думаю у оригинальных была бледно-желтого цвета.   Так что, будьте внимательны при выборе наушников.</t>
  </si>
  <si>
    <t>1337</t>
  </si>
  <si>
    <t>офигенный аппарат</t>
  </si>
  <si>
    <t>2014-05-29</t>
  </si>
  <si>
    <t>Купил сегодня, за эти деньги меня всё устраивает, вода чуть выше, чем теплая при среднем напоре, сполоснуться летом нормально. Есть запах медицины и немного попахивает при нагревании.</t>
  </si>
  <si>
    <t xml:space="preserve">Лучшее соотношение цены и качества </t>
  </si>
  <si>
    <t>1197</t>
  </si>
  <si>
    <t>Эта вытяжка сразу привлекла мое внимание, потому что она сделана так, что в домашнем интерьере будет скромненько, без привлечения внимания делать свою работу.  Эта встраиваемая модель устанавлена в моем   настенном шкафу над варочной поверхностью.   Видна только лишь передняя панель, которая  управляет работой вытежки. Чтобы включился мотор и начался отток теплого воздуха, необходимо выдвинуть   вперед саму понель. Задвинув ее обратно, вытяжка отключается- комфортно сделано) В момент  своей активации вытяжка набирает скорость, установленную раньше и  удаляет воздух в том же режиме. Тут еще и установлен металлический моющийся фильтр и имеется  возможность установки угольного фильтра - все продумано)</t>
  </si>
  <si>
    <t>Отличная кофемолка! Кофе не пережигается, вкус раскрывается полнее. Помол равномерный и быстрый. Я очень довольна. Главное не трогать внутреннюю часть. Один раз вынули, потом с трудом поставили всё на место.</t>
  </si>
  <si>
    <t>Читала отзывы. Многие предупреждали, что чайник течет. Не послушалась. Через 1,5 месяца уехал на помойку на ПМЖ.</t>
  </si>
  <si>
    <t>Этот утюг мне подарили....сначала я пользовалась им и он мне нравился, а потом он меня стал просто раздражать =))  В него воду заливаешь, а закрыть нечем...так он у меня падал на бок и вода выливалась. Пользовалась водой из под крана, и накипь на вещах остается(не сразу конечно через год где то....ну это наверно само собой вода ведь такая) и вещи приобретают после глажки неприятный запах. Так что воду оставлять в утюге не вариант, надо выливать постоянно. Прльзовалась 3 года.</t>
  </si>
  <si>
    <t>567</t>
  </si>
  <si>
    <t>в этом плеере есть блокировка клавиатуры.  Плеер хороший!:)уже год пользуюсь...</t>
  </si>
  <si>
    <t>Цена соответствует качеству</t>
  </si>
  <si>
    <t>2013-07-26</t>
  </si>
  <si>
    <t>Весь месяц работал практически круглые сутки и не сломался, но пришлось чистить воздушный фильтр (загорелась ошибка).</t>
  </si>
  <si>
    <t>Увлажнитель приобрела около полугода назад. Отличный! Стильный и компактный дизайн, действительно низкий уровень шума. Качество увлажнения: легко увлажняет до 50-60%,у меня 22 квадрата, увлажнитель вполне справляется, влажность повышается очень быстро. Что касаемо белого налета, если не пожалеть и заливать хорошую чистую питьевую воду, никакого налета не будет.Покупкой очень довольна.</t>
  </si>
  <si>
    <t>Для входящих в комплект плеера они ничего (с iPod Classic 160gb), но за 2500р.-кому они нужны? Звук ужас. За эти деньги можно купить крутые Sennheiser затычки.</t>
  </si>
  <si>
    <t>Купил я этот буф,был полностью доволен,качает нормально,то что там что то у него стучит это всё херня,при покупке данного саба будьте просто внимательны резина вокруг диффузора должна быть твёрдой,у меня она была твёрдой спустя пол года,потом тачку выхлопали.Сам диффузор,при давлении на него рукой очень сложно проваливается,проще говоря при выключенном состоянии хождения у него не должно быть</t>
  </si>
  <si>
    <t>Мелкая решетка на винтах.Волосы не захватывает</t>
  </si>
  <si>
    <t>220</t>
  </si>
  <si>
    <t>Крайне неудобный интерфейс.  USB флешку на 16GB понял, но читает долго, русские имена файлов не понимает, не знает о существовании вложенных папок: расписывает все папки в один длинный-длинный лист, очень долго щелкать пультом, к тому же названия папок/файлов более 8 символов тоже не понимает.</t>
  </si>
  <si>
    <t>Тихий ужас! Вода не просто бежит ручьем, а полноводной рекой! Никому не советую!</t>
  </si>
  <si>
    <t>Наушники порадовали. Диапазон частот приличный, громкость в норме. Верой и правдой отработали год. Потом сдох левый канал, а за ним и правый. Единственный минус - тонкий провод. Собственно из-за этого они померли.</t>
  </si>
  <si>
    <t>3213</t>
  </si>
  <si>
    <t>LG марка надежная и проверенная ...все работает эффектно и безотказно. Агрегатом доволен.</t>
  </si>
  <si>
    <t>2819</t>
  </si>
  <si>
    <t>Лучший слешер года.Если у вас есть PS3 и нет God of War,то вы многое теряете!  P.S. Просто отлично что она появилась в Новокузнецке!!!</t>
  </si>
  <si>
    <t>2213</t>
  </si>
  <si>
    <t>Отслужила 4 года. :( Появился сильный треск. Итог - подшипники накрылись. Бак литой, запаянный, не ремонтопригодный. Ремонт через резку бака у Кулибиных, от 5 тыс. руб. Иду за новой стиралкой.</t>
  </si>
  <si>
    <t>2017-01-14</t>
  </si>
  <si>
    <t>Кофемолка Поларис очень легкая в использовании, купила его в основном для того, чтобы перемалывать зерна кофе, но в ней можно так же делать сахарную пудру из сахарного песка, перемалывать крупы. Кофемолкой очень легко пользоваться, у нее одна кнопка и ее нужно нажимать до готовности продукта, который перемалывается. В ней оптимальная загрузка по горсточке примерно.</t>
  </si>
  <si>
    <t>купил этот ноутбук сравнительно недавно, пока не могу нарадоваться, очень надежная вещь за не самую большую сумму. спасибо магазину за скидку.</t>
  </si>
  <si>
    <t>3028</t>
  </si>
  <si>
    <t>2012-07-18</t>
  </si>
  <si>
    <t>Покупали пару утюгов в М-Видео и в итоге возвращали (возврат проводился без ругани, чему очень рады и даже удивлены)... Остановились на этой модели и очень довольны. Единственный казус: На полной мощности при максимальной подаче пара постоянно бегаю за водой, но в этом и плюс - всё быстро и легко проглаживает без каких либо нареканий.</t>
  </si>
  <si>
    <t>В восторге от своей крохи. Идеально вписалась в маленькой кухне, отмывает - просто блеск, главное использовать хорошие средства, а не таблетки 3в1, которые категорически нельзя применять для этой модели. Не бесшумная, но и не ужас-ужас.</t>
  </si>
  <si>
    <t>Купили год назад .За этот год ремонт производился два раза,  каждый раз ломался экран, без которого эксплуатация не возможна !!!!!!!! Хорошо что взяли сертификат !!!!</t>
  </si>
  <si>
    <t>Отличный чайник. Прослужил 8 лет и не сломался, просто захотелось нового. Новый прослужил 5 месяцев. Думаю чтобы снова купить Braun</t>
  </si>
  <si>
    <t>Отличная модель, очень хорошо подошла к нашему интерьеру, искали телевизор именно в светлом корпусе. Качество изображения великолепное, особенно когда ставишь что-то диснеевское для сынишки, сама рядом с ними остаешься сидеть смотреть. На обычном телевизоре даже и смотреть ничего не хочется.</t>
  </si>
  <si>
    <t>Хороший выбор за эти деньги.  подтверждаю, слабый аккумулятор. Заряда хватает часа на 2,5-3 работы.  Синезуб в модели 021RU отсутствует.  В целом доволен.</t>
  </si>
  <si>
    <t>Сама бы я, может, никогда и не купила, но подарили на ДР в прошлом году. Попробовала в деле – теперь даже и не знаю, как я до этого мучилась с обрезным маникюром. Насадки с сапфировым покрытием, кстати, подходят и для педикюра. Насадок много, но лишних или ненужных нет – пользуюсь ими всеми.  Очень симпатичный внешний вид. По объему общий футляр большеват, но это нужно для того, чтоб поместился вентилятор для сушки. Часто езжу в командировки, поэтому нашла выход – вожу с собой в поездки отдельно сам приборчик, насадки и адаптер - он может работать напрямую от сети (если зарядить аккумулятор надо, то это вроде бы только от базы). Без адаптера одной подзарядки мне хватает на два-три раза. Мне достаточно. Удобная вещь – насадки двигаются в обе стороны + на разных скоростях.</t>
  </si>
  <si>
    <t>478</t>
  </si>
  <si>
    <t>Хороший аппарат и главное надежный, пользуюсь 2 дня проблем и зависаний не было, ос просто классная и acer-цы снабдили всем, что нужно для начала, в нем есть всё, берите не пожалеете</t>
  </si>
  <si>
    <t>1201</t>
  </si>
  <si>
    <t>Уши за свою цену норм оч даже приличные.</t>
  </si>
  <si>
    <t>2013-07-11</t>
  </si>
  <si>
    <t>Хуже триммера не придумать, насадки держатся плохо иногда соскакивают прямо во время стрижки. Насадки для выбора длинны волос сделаны так что практически невозможно выбрать длину, все стригут примерно под 3 мм. Ужасная модель никому не советую.</t>
  </si>
  <si>
    <t>Отличный выпрямитель! Долго выбирала, смущала цена, было немного жалко денег. Но отлично выпрямляет! И наконец-то перестали электризоваться волосы! Выпрямляю всего на 180 градусов, и очень довольна!!!!</t>
  </si>
  <si>
    <t>Пользуюсь телефоном 1 год.Проблем в использовании нет.Особенно приятно,что определенный номер Аоном, проговаривается и если не ответил, то голосовое сообщение записывается.Так же можно его прослушать в любой момент и с любого телефона,позвонив на свой, если после звукового сигнала автоответчика набрать 3-значный код.</t>
  </si>
  <si>
    <t>НУ по характиристика просто супер обязательно себе куплю и другим советую</t>
  </si>
  <si>
    <t>2013-02-08</t>
  </si>
  <si>
    <t>Приобрела кофеварку 3 месяца назад для кабинета на работу. Быстро и удобно варит кофе. Пока не нажмешь на кнопку выключателя, находится в режиме подогрева, так что в течении рабочего дня у меня всегда горячий готовый кофе. Очень довольна покупкой, соответствует цене и качеству.</t>
  </si>
  <si>
    <t>2012-12-25</t>
  </si>
  <si>
    <t>Купила этот утюг сыну, он уехал учиться в Москву. Специально выбирала такой, чтобы имел острый носик, паровой удар, был нетяжелым и понятным в использовании. Пока вроде справляется с трудностями.</t>
  </si>
  <si>
    <t>Фен как фен, удобная насадка. За два года безотказной работы только шнур перебило где то. Починили шнур, работает дальше. Сделан из дешевого пластика. Но цена, цена!его главное достоинство. Те кто хотят профессиональный брендовый фен за такие деньги идите мимо, чтобы потом не писали в отзывах свои разочарования.</t>
  </si>
  <si>
    <t>Мой муж не любит, когда я глажу одежду, так как сильно устаю. И решил купить мне на день рождение эту машину! Она превосходна, девочки! Просто нажимаешь одну кнопку и всё - она сама тебе все гладит! Только плохо, что по полочкам в шкаф не складывает. Я очень довольна! Теперь у меня больше времени на отдых остается! И я счастлива! Могу больше проводить времени с подругами и общаться в Контакте!</t>
  </si>
  <si>
    <t>Что сказать? В такой технике ВСЕ решает пара НОЖЕЙ, а здесь ножики... Толку с мощности, если приходиться все развинчивать после 15 сек. кручения вырезки!!! У предков Panasonic - вот это техника.</t>
  </si>
  <si>
    <t>достаточно полезная штука, использую дома когда сижу за компьютером, расслабляет.    имейте ввиду, что долгий массаж вреден, норма в день минут 20, проконсультируйтесь с врачом.</t>
  </si>
  <si>
    <t>2113</t>
  </si>
  <si>
    <t>Отличный телевизор, настройка довольно простая, качество изображения очень порадовало, хорошая, чёткая картинка, без каких-либо искажений. Смотреть кино очень приятно, подсоединяешь комп, и наслаждаешься просмотром. Звук тоже хороший, пользуюсь недолго, пока всё нравится, надеюсь и прослужит долго.</t>
  </si>
  <si>
    <t>Отличный утюг! Покупали в конце 2007 года (правда, не в России) - работает на отлично до сих пор! Про систему очистки могу сказать, что после её включения на гладильной доске остается заметный слой песка(похоже очень). Пользуемся этой функцией довольно часто, может, потому и работает.</t>
  </si>
  <si>
    <t>Отличные наушники очень советую ,проверял на свей Nokia 2700 classic ,бас долбит хорошо, звук очень громкий, громкость на максимум ставить страшно, ажно больно ушкам моим ))).Правдо кушают энергию и со штекером нужно осторожно обращаться очень нежный.</t>
  </si>
  <si>
    <t>Удобная, стильная, работает нормально</t>
  </si>
  <si>
    <t>496</t>
  </si>
  <si>
    <t>Через 6 месяцев перестал отлючаться автоматически.  Чайник сломался через 10 месяцев эксплуатации (сгорели тены). Ремонту не подлежит.  Дорогой, шумный, но красивый )))не берите.</t>
  </si>
  <si>
    <t>2016-03-19</t>
  </si>
  <si>
    <t>Триммер универсальный, когда в магазине предложили, то задумался о покупке. Дома с женой посоветовался, еще отзывы почитал, в итоге здесь купил. Бороду ношу с недавних пор, два раза сходил в салон, чтобы подровняли, форму сделали. А теперь могу дома вполне за бородой ухаживать, рад что мне предложили эту модель. Полноценный уход за собой в домашних условиях. Скажу пару слов о качестве: стрижет хорошо, для волос насадки съемные, отдельно есть для бороды и усов и еще насадка для стрижки в носу. Минусов пока что не нашел, пользуюсь 4 месяца.</t>
  </si>
  <si>
    <t>Сделан качественно и пластик и маталл,дизайн красивый,приятная неоновая подсветка у рычажка включателя,не шумит ни разу,не слышно как выключается.Из недостатков отмечу узкое горло залива воды-неудобно к крану подносить и плохо видно заполняемость.</t>
  </si>
  <si>
    <t>1273</t>
  </si>
  <si>
    <t>Очень хорошая микроволновка и печь,мне понравились её функции,и простота управления!</t>
  </si>
  <si>
    <t>Пользуюсь щипцами уже третий год, недостатков-ноль,довольна очень, волосы не секутся, не жгутся, рекомендую всем!!!</t>
  </si>
  <si>
    <t>Отличное исполнение  Удобство использования  Хорошая комплектация  По сути это циклонный мини пылесос, работающий от прикуривателя. Гораздо удобнее классических автопылесосов. Гофрированный шланг гибок и позволяет добраться до любых закоулков в салоне. А насадки идущие в комплекте отлично справляются со своими задачами. Широкая насадка может использоваться как с щеткой так и без нее. Очень удобно! А наличие узкой насадки, так вообще - отлично!  Циклонное исполнение позволяет быстро и удобно избавляться от мусора.  Мощности пылесоса вполне достаточно. Сам очень волновался перед покупкой, что будет не очень. Но он даже превзошел мои ожидания.  Одним словом очень доволен покупкой. Не думал, что уборка салона будет мне приносить удовольствие.</t>
  </si>
  <si>
    <t>Самый большой минус это его ужастный рев. Взбивала все для молочного коктеля и чуть не оглохла, ребенок под падушку забрался от испуга. Вот и представте как можно взбить более твердые продукты. Про лед уже молчу. Шумный, пахнет пластиком когда работает. Исключительно для взбития легких продуктов.</t>
  </si>
  <si>
    <t>Моему миксеру Борк E800 уже почти год. Считаю его одной из самых моих удачных покупок. С ним замесить практически любое тесто - не проблема благодаря большому количеству разнообразных режимов и насадок, особенно радует насадка-Кондитер - с ней получается отличное песочное тесто и воздушное картофельное пюре. Чаша миксера вместительная, а сам он довольно тихо рабоет, не смотря на свою мощность. Собран качественно, выглядит стильно, приятно держать в руках и приятно пользоваться. Он стоит своих денег, приготовление сдобы, разнообразных пюре и соусов без него уже себе не представляю! На моей кухне он незаменим и надеюсь еще долго мне прослужит!</t>
  </si>
  <si>
    <t>2013-08-23</t>
  </si>
  <si>
    <t>Плитка не плохая. Всю посуду обновил на индукцию. Живем в честном доме летом и плитка очень спасает. Всем рекомендую. Работает отлично.</t>
  </si>
  <si>
    <t>Недавно купила такой чайник. Понравилось, что он легкий и очень удобная ручка. Пластиком не пахнет.</t>
  </si>
  <si>
    <t>Совершенно не согласна с господином Predator.   Моя машина работает безупречно, одно наслаждение. Ничего не рвет, не прыгает. Вас послушать, ужаснешься, собрали все самое плохое.</t>
  </si>
  <si>
    <t>Замечательная вещь! полностью заменяет плиту! И жарит и варит и пироги печёт! Так ещё и как пароварку можно использовать! И ничего не прилипает и не пригорает! Обожаю её! А для того, чтобы потом не пахло блюдом которое вы приготовили, надо просто мыть клапан выпускающий пар и всё будет хорошо!:)</t>
  </si>
  <si>
    <t>2024</t>
  </si>
  <si>
    <t>Приобрел сей товар на днях.  Отмечу минусы:  1) Маркий, частицы пыли "мозолят глаза"  2) Не очень удобно набирать текст на краях дисплея, уж сильно выпирает.  3) Неудобство протирать экран.  Плюсы:  1) Цена.  2) Качество материала.  3) Разъемы под кнопки</t>
  </si>
  <si>
    <t>Машинка работала,хорошо отстирывала,не шумела,но ровно 1,5 года. Полетел подшипник и что-то еще. Мастер посоветовал не покупать машинки этой фирмы, т.к. очень часто ломаются.</t>
  </si>
  <si>
    <t>1669</t>
  </si>
  <si>
    <t>Вчера стали счастливыми обладателями этой йогуртницы. Почему-то супруга выбрала ее, именно квадратная, а не круглая ей понравилась больше, да и на страна производитель (France), ей больше понравилась.  Согласно инструкции приготовили йогурт. Все очень просто и получилось на Ура! 125 мл магазинного живого йогурта, местного производства, развели до однородной массы в одном литре 3,2 % молока. Все было из холодильника, холодное. Разлили в мерные стаканчики, установили в йогуртницу, даже и не добавляли никакие фруктовые добавки, 10 часов и получился волшебный продукт. Достаточно густой, однородный вкуснейший йогурт. Просто тает во рту. Супер! Мы очень довольны! Всем рекомендуем.</t>
  </si>
  <si>
    <t>Плеер очень нравится. У меня не было никаких поломок. Звук отличный. Переключение встряхиванием выключается автоматически, когда плеер заблокировался. Очень удобно. Сенсор хорошо работает. Не обращайте внимание на плохие отзывы и смело покупайте)</t>
  </si>
  <si>
    <t>Очень неплохой девайс. Я доволен. Единственное - меню немного не такое, как здесь на 3d-просмотре, и при переходе между уровнями меню чуть притормаживает. Но в остальном, просто отличный) Стандартные наушники не очень хорошие, но если вместо них использовать что-нибудь подороже - звук потрясающий :)</t>
  </si>
  <si>
    <t>У кого трещит wifi рекомендую докупить внешний usb wifi, и отключить внутрений. Порадовало что в наушники передается нормально закодированый pro-logic, поэтому подключив выход от наушников к музыкальному центру у которого есть декодер про-лоджик получаем правильно раскиданный звук по пяти колонкам и саб (не псевдо). Без глюков работает с телевизором LCD TOSHIBA 42" по HDMI</t>
  </si>
  <si>
    <t>Телевизору пятый год, ни разу не чего не ломалось даже ребенок его ронял все работает отменно пробмлема только одна, сломались гнезда HDMI Остальное все работает без проблем.</t>
  </si>
  <si>
    <t>Купил ноутбук ))  Оценка 6+  Не пожалел.  Читает диски быстро, обмен памятью между компом и Ж. диском очень быстрый. По данным комп говорит, что оценка системы 5!!!  Игра Call of duty 6 (очень мощная) Пошла!  Я рад как никогда!</t>
  </si>
  <si>
    <t>2016-12-09</t>
  </si>
  <si>
    <t>Лучший товар 2016 года для меня – это пылесос  Samsung sc4760. Долго искал модель с хорошими техническими данными и за приемлемую цену, так как с появлением сына появилась острая необходимость в максимально  чистой уборке.   Циклонный фильтр на 2 л. идеально подходит для количества мусора 2-х комнатной квартиры.  Несколько ступеней очистки воздуха не оставит равнодушной даже самую привередливую чистюлю – диван превращается в новый! (Как и ковёр…)  Телескопическая трубка с регулировкой мощности двигателя позволяет оперативно извлечь из щётки кота, штору, носок…или что ещё может попасться при восхищённой уборке пылесосом Samsung sc4760.  Мощности хватает на всё, это малыш может поднять линолеум! При этом пылесос не режет слух и не будит трёхмесячного сына.   Контейнер для мусора и фильтры заставляют тебя быть исследователем грязи – кажется, можно целую диссертацию написать о разнообразии пылинок и соринок квартиры. Но радует, что всё это легко и удобно мыть.    К тому же, акция позволила сэкономить бюджет семьи, и покупка стала радостнее вдвойне. Спасибо М.видео! Вам, действительно, «не всё равно»…</t>
  </si>
  <si>
    <t>2015-09-23</t>
  </si>
  <si>
    <t>у меня есть такая штука! купила потому что раньше у нас были такие крупные металлические наверно ещё советские, те грели на ура, а здесь пластик кажется что забирает тепло, но всё равно работает и греет, на свою цену себя отрабатывет, маленькие компактные, можно взять с собой в дальнюю дорогу в холодное время, запаха пластика при нагревании нет, может хотелось бы чтоб нагревались чуть быстрее, но в целом это не принципиально.</t>
  </si>
  <si>
    <t>2017-03-31</t>
  </si>
  <si>
    <t>преимуществ много</t>
  </si>
  <si>
    <t>Купил по акции, выбирал по цене, в принципе, техника LG неплоха. При уборке понравилось высокая мощность всасывания, контейнер после одной уборки 2-х квартиры не забился(а может не было столько грязи в квартире). Необходимо привыкнуть к несколько тяжелой щетке(в комплекте), и необходимости прилагать заметные усилия для изменения направления ее движения. Дополнительные щетки лучше хранить отдельно, а не цеплять на трубку, как предусмотрено производителем - при уборке, если задеваешь ими препятствие(а это всегда), они выпадают, приходится постоянно их подбирать. Шнур длинный (11 м), хватило на всю квартиру. В целом хорошо.</t>
  </si>
  <si>
    <t>Первые впечатления - всё просто супер! Работает негромко, а тянет хорошо даже на малом режиме.</t>
  </si>
  <si>
    <t>2922</t>
  </si>
  <si>
    <t>пользуюсь 3 месяца все отлично ! батарея садится из за старого ПО которое в телефоне стоит изначально! меняем прошивку и вуа ля батарея живет в 2-3 раза дольше</t>
  </si>
  <si>
    <t>Машинка отличная, по поводу громкости не заметила, работает отлично.  Один минус думает долго.  Но, в принцыпе за такие деньги, я довольна.</t>
  </si>
  <si>
    <t>У меня плеер MP3 Flash 2 GB Samsung YP-U5QB (2Gb) Black около 3-х месяцев, и всё это время каждый день старался все функции проверять на максимуме т.е. музыку слушал на максимуме (30), каждый день перенастраивал радиостанции заново и все другие функции по много раз, в разумных пределах ронял на пол и сильно нажимал на кнопки и так далее, одним словом - ВСЕ МОИ ПЫТКИ ВЫДЕРЖАЛ. Что будет дальше не знаю, но пытать плеер больше не буду, потому что убедился - плеер работает отлично.Брак бывает везде, поэтому и существует гарантия.</t>
  </si>
  <si>
    <t>Купил Daikin FTYN35GXV1B/RYN35GXV1B в Мвидео по акции Установка за наш счет. При покупке дали купон на бесплатную установку через 1 месяц. Привез кондер домой и позвонил в фирму - установщик. Сказали придут через 2 дня. Пришли, установили за 3 часа, доплатил за дополнительные 2 метра трубы + доп. отверстие 1500 руб. установщики все сделали хорошо. Кондер работает нормально. Сильно шумит наружный блок (установлен за лоджией), но при закрытой лоджии все Ок.</t>
  </si>
  <si>
    <t>Мне очень нравится этот чайник. недавно упал на пол, так хоть бы что треснуло(хотя был не пустой) - все в полном порядке. Крышку в пазики вставили и работает как ни в чем не бывало.</t>
  </si>
  <si>
    <t>Великолепный аппарат!  Купил и не разу еще не пожалел! Жена не нарадуется на него! Места внутри немерено, полочки в дверях огромные, работает тихо, очень удобно что дверцы открываются как в шкафу! По объему как 2 обычных холодильника, а места занимает меньше! Минусов не вижу, одни плюсы, покупайте - жалеть не будите.</t>
  </si>
  <si>
    <t>Здравствуйте,подскажите пожалуйста как убрать звук при включении и выключении телевизора?Перелистала всю книжку по руководству,так и не нашла.Буду вам очень благодарна если подскажите.А в общем телевизор меня устраивает.С уважением.</t>
  </si>
  <si>
    <t>Отличный компактный чайник! Постоянно выручает в командировках, на отдыхе, в больнице. Удобно, что в комплекте два стаканчика + ложки, которые помещаются внутри чайника при транспортировке.</t>
  </si>
  <si>
    <t>Данный телефон у меня уже полтора года и ни разу не пожалел, что купил именно его. Флеш памяти поддерживает не 2Гб, а 4Гб, больше не пробовал. Единственное, с такой большой флешкой подвисает камера и раздел меню "галерея". А так всё нормально. И ещё! Объявлено, что аппарат поддерживает MP4, пробовал - звук есть, а изображения нет. Есть подозрения, что если перекодировать видео в нужный формат, то всё пойдёт.     В общем за такую цену очень даже не плохой телефон. (а я его брал за ~7000).</t>
  </si>
  <si>
    <t>1164</t>
  </si>
  <si>
    <t>Бюджет был ограничен купили с супругой этот пылесос. Пользуемся уже пару лет по 2-3 раза в неделю,2-х комнатная квартира 63 кв. м. Фильтра (родные) мою где то раз в неделю, до сих пор живые и выглядят великолепно.Пыль и мусор собирает отлично. Отличный выбор при небольшом бюджете.</t>
  </si>
  <si>
    <t>Вчера приобрела фен, консультант хорошо разрекламировала. Сегодня при сушке волос отметила, что фен достаточно удобный, не тяжелый, кнопки  легко переключаются, синий свет никак не мешает глазам (как писали ранее). Нешумный, сушила на второй скорости на средней температуре. Вполне комфортная температура для волос и головы. Про эффект ионизации пока ничего сказать не могу. Так как сушила только один раз пока. Радует, что есть кнопка холодного воздуха. В целом покупкой за такую цену довольна. Есть соответствие цены и качества. Из минусов ничего не выявила. Рекомендую для использования в домашних условиях.</t>
  </si>
  <si>
    <t>дизайн, надежность, тихо работает, прекрасно вытягивает, хорошее освещение</t>
  </si>
  <si>
    <t>Забыли указать 2D - режим и подсветку. Работает тихо, не вибрирует и скорости достаточно первой, а затем уже "турбо" начинается! :)) Доволен на все 100%. Дёшево и сердито.</t>
  </si>
  <si>
    <t>Это потрясающая бритва! пользуюсь 8-й год!!! Пора бы уже поменять лезвия, но даже сейчас бреет хорошо, бритва безотказная, зарядки хватает на очень долгое время! 100% рекомендую.</t>
  </si>
  <si>
    <t>2012-10-08</t>
  </si>
  <si>
    <t>Классная йогуртница. Очень удобные баночки. Йогурт получается качественный. Купила дорогую другой фирмы-эту отдала, сейчас жалею об этом.</t>
  </si>
  <si>
    <t>Реально увлажняет и очищает. Не ожидал, что такой эффект. Не понимаю, как жили без него)) температура в комнате опустилась до 24 градусов</t>
  </si>
  <si>
    <t>Супер Вещь!!! Экономия времени!! Пришел с работы загрузил в мульти продукты и она сама по себе готовит там еду!! А ты тем временем занимаешься своими делами!! Супер! я даже освоила выпечку!</t>
  </si>
  <si>
    <t>Приобрёл эту печку в марте 2011. Как прибор работает в принципе не плохо, но качество сборки и исполнения оставляет желать лучшего. Где то через пару тройку недель после начала эксплуатации(использовал 5-6 раз)отвалилась ручка дверцы духовки. Я был был шокирован просто качеством изделия.Пришлось обратно приклеивать суперклеем.</t>
  </si>
  <si>
    <t>телефон замечательный, легок в управлении. всем довольна. больше всего порадовал тот факт, что упав с четвертого этажа на нем остались 2 царапины и треснуло стекло вспышки, телефон работает исправно, так что всем рекомендую =)))</t>
  </si>
  <si>
    <t>Все нормально кроме системы. Лучше переустановить, иначе замучает своим долгодуманием и проблемами с установкой многих программ. Если в Инете юзать, батарея часа 3 - 3,5 держит, в играх не пробовала. Карты памяти ноут  быстро читает, звук неплохой. Нормальная клава, мне лично не мешает. Хорошая машинка, только осторожно обращаться нужно, пластик на крышке тонковат, прогибается.</t>
  </si>
  <si>
    <t>Покупкой доволен. Но! В описании ошибка. Язык игры - английский! (не очень критично - можно разобраться ) Играю с братом в кооперативе на одной консоли. Так интересней. Для того, чтобы провести время убивая зомби одному или с другом, всем советую.</t>
  </si>
  <si>
    <t>С этой помощницей вместе больше двух лет, устанавливали сами под столешницу. За все время эксплуатации нареканий никаких. Качество мытья отличное ( пользуюсь только таблетками), посуда конечно не всегда безупречно сухая, но не критично.</t>
  </si>
  <si>
    <t>2641</t>
  </si>
  <si>
    <t>Месяца три со мной. Мощный,красивый, удобно держать,готов к работе (нагревается )быстро,великолепный пар,этот TEFAL превратил ГЛАЖЕНИЕ для меня в удовольствие!!!!!</t>
  </si>
  <si>
    <t>1998</t>
  </si>
  <si>
    <t>У меня квартира частично представляет собой студию, вынес часть стен и объединил холл, гостинную и кухню. Особенно в этом пространстве летом не хватает прохлады и свежести, благо спальня выходит на теневую сторону и там практически всегда комфорт. Кондик установил в холле, дует в направлении от входной двери, за 10 минут можно достичь выставленной температуры, воздух при этом не имеет холодных слоев, быстро и равномерно распространяется по всей площади, не имеет неприятного запаха даже после продолжительной паузы в работе, более того, фильтрует воздух. Цветной информативный дисплей. Есть опция автоочистки и размораживания внутреннего/внешнего блоков (этот кондик можно включать при начальных заморозках). Похвальное качество производства и работоспособности.</t>
  </si>
  <si>
    <t>При покупке продавец сказал, что среди дешевых вариантов Vitek лучший. Однако, как оказалось, это тоже не лучший вариант. Отображаемый вес зависит от того, как встанешь на весы, разница достигает 2кг. Не понятно, зачем делать весы с погрешностью 100г, если такая разница?!  Пойду менять.</t>
  </si>
  <si>
    <t>3 раза одна и таже проблема!  Телефон не заряжает батарею! Хотя на дисплее зарядка показывается.  2 раза отдавал в сервис и телефон отправлялся ими в Москву и ремонтировался по гарантии. Что-то там серьезно менялось, но "что" - сервисной службой от меня скрывалось. Причем телефон в сервисе валаялся по месяцу!   Вот сегодня сдох телефон в 3 раз!!!!  С теми же самыми симптомами!  Гарантия закончилась! Видимо придется ремонтировать за свой счет!  Спасибо НОКИА за "чудесный" телефон!</t>
  </si>
  <si>
    <t>В 2008 году летом купил электромясорубку BORK MG RNP 1215 WT. Достойное качество при оптимальной цене.Проблем у меня с ней за все время использования не возникало как и со всей техникой BORK.</t>
  </si>
  <si>
    <t>Пользуюсь пол года. Винду 6.5 скачал, обновился без проблем. Аппарат очень шустрый, батарея слабовата, но зато корпус тонкий и очень стильный. Навигатор работает отлично. Wi-Fi берет достаточно далеко. Множество дефолтных приложений, ОЧЕНЬ удобный интерфейс-оболочка HTC Sense. В общем раздумья в сторону, копите бабло и обязательно берите!!! Очень советую.</t>
  </si>
  <si>
    <t>Прежде чем покупать эту игру советую обзавестись мощным железом в компьютере, иначе половина удовольствия от игры потеряется. Сюжет не сильный. Графика отличная. Кто может - обновляйте игру до патча 1.9, скачивайте с официального сайта игры улучшенные текстуры и прочее. Тогда играть станет ещё интереснее. Звук и музыка в игре неплохие. Сетевой режим ещё доработать нужно, но лучше, чем в первом Crysis.</t>
  </si>
  <si>
    <t>Наверное я буду здесь первым пользователем не работающим в М.Видео )))) Поэтому скажу как есть... Спасибо большое им за эти наушники. Приобретя которые буквально на вторую неделю прослушивание в них музыки у меня начались боли в ушной полости, пластиковый ободок так сильно сдавливает наушники што буквально после 2 часов прослушивания в них музыки у меня просто начало стучать в весках (видимо так задумали производители для усиления басов). Одним словом большое спасибо М.Видео !!! Отоларингологи никогда не останутся без работы....</t>
  </si>
  <si>
    <t>2105</t>
  </si>
  <si>
    <t>Очень ужасная машинка, не советую ее брать, не доволен, батарею не держит, работает всего 10 минут и потом 16 часов заряжать</t>
  </si>
  <si>
    <t>Тебя убило отсутствие видео выхода? Фотик подключается к ТВ по мини юсб, тот, который за резиновой заглушкой!</t>
  </si>
  <si>
    <t>В эксплуатации месяц и уже почему-то порвалась кромка уплотнительной резинки, она там такая тонкая и нежная,  просто непонятно как вообще может долго служить. Машинкой не доволен.</t>
  </si>
  <si>
    <t>4040108</t>
  </si>
  <si>
    <t>1699</t>
  </si>
  <si>
    <t>Зверюга. Очень быстро натапливает комнату в которой расположен. А если везде окна закрыть то и квартиру всю нормально обогревает. А красивый какой. Мне кажется с таким камином любая комната становится уютной и обжитой. У него два режима работы. Так что не обязательно устраивает парилку. Можно просто даже в прохладный летний вечер согреться. У кмина есть колесики. Так что передвинуть его могу даже я метр с кепкой в прыжке и 40 кг весом.</t>
  </si>
  <si>
    <t>Отличная бритва, хорошо бреет, заряжаю раз в 2 месяца, а время зарядки порядка 15-20 минут. Пользуюсь уже 2 года.</t>
  </si>
  <si>
    <t>2015-12-16</t>
  </si>
  <si>
    <t>Ожидала намного лучшего. Был похожий телефон, теперь такой модели нет, взяла данную, думая, что нет различий. К качеству звука пока претензий нет. Недостатки: 1. мелодии звонка выбирать не из чего (когда читала это в других отзывах, удивлялась, но в данном случае действительно очень скудный выбор мелодий, все очень простые, на уровне классического звонка); 2. Спикерфон в момент разговора отключить нельзя. 3. Очень мелкие надписи на экране и сам экран достаточно маленького размера в сравнении с моим прежним аппаратом; 4. Когда идет входящий вызов и снимаешь трубку на другом аппарате, то этот ещё долго не перестаёт звонить, а разговаривая по другому аппарату в трубке слышишь "соединение установлено". В общем,  работает он как-то криво.</t>
  </si>
  <si>
    <t>Ураганный экшн, потрясающая кинематографичность.  Обязательно нужно играть тем, кто этого ещё не сделал )</t>
  </si>
  <si>
    <t>Долго выбирал машинку - первая покупка для которой я проанализировал весь рынок машинок ценового диапазона 5-15 т.р. Остановился на марке Zanussi, дочке Electrolux, который в этот сегмент не вписывался.      Купил в итоге эту машинку за 8500 р по акции.     Первые впечатления - тихая работа, лёгкость управления(всего один регулятор), отсутствие вибраций. Вроде бы 3,5 кг загрузки маловато - но если учесть что надо разделять белое и цветное то этого размера хватит на обычную семью из 2-3 человек, чем постоянно крутить большой барабан с неполной загрузкой.      Стираю не выше 60 градусов и уменьшаю обороты до 700 - хотя она может и 1000 (боюсь за вещи). Бельё на выходе чуть влажное. По поводу качества стирки никаких претензий тоже нет - всё замечательно.     Недостатков не обнаружено.     Вывод - очень хорошая надёжная стиральная машина без ненужных наворотов вроде сенсорный дисплей, жк экран, сушки и тд и тп, тем более за такую цену. Я очень доволен покупкой.</t>
  </si>
  <si>
    <t>Пользовался вытяжкой менее месяца. Все устраивало, пока в один прекрасный день декоративное стекло в прямом смысле разорвалось на миллион мелких осколков и разлетелось по всей кухне. Чудом в эту минуту никого не было рядом, на столешнице кухни остались глубокие царапины от стекла. Установка проводилась в точности с приложенной инструкцией, во время &amp;quot;взрыва&amp;quot; работала в минимальном режиме задняя правая конфорка. Выкинул деньги на ветер. Если не учитывать этот факт, то вытяжка отличная, покупайте!&amp;nbsp;</t>
  </si>
  <si>
    <t>Мне давно он нравится, покупала лет 7-8 назад, тут правда дизайн сменился, вот на днях шнур начал барахлить. Девушки поверьте, ничего лучше и не найдете, даже среди дорогих моделей, перепробовала и другие, захватывают намного меньше. Сейчас опять буду брать его. Считаю, что прослужил очень хорошо и долго.</t>
  </si>
  <si>
    <t>2867</t>
  </si>
  <si>
    <t>Отличные наушники для плеера и компа!Звук качественный!</t>
  </si>
  <si>
    <t>Игра просто шик. Rockstar сделали GTA на Диком Западе! И пускай вестерн уже не такой популярный жанр, поиграть в RDR стоит! Сейчас коплю на нее деньги, потому что недавно купил не менее хорошую игру Alan Wake!</t>
  </si>
  <si>
    <t>самые лучше ушки, что у меня были, перед покупкой начитался обзоров в инете, и как в одном из отзывов тоже в основном склонялся к Philips SHP2000 и зеннхайзер hd 201, в магазине послушал, разницы в звуке вроде нет, а цена заметно лучше :)    сами наушники очень удобны, амбушуры мягкие, поворот "лопухов" огромный, провод толстый, но в целом ушки лёгкие, очень понравились :)</t>
  </si>
  <si>
    <t>Пользуюсь третий год - кипятит хорошо и ничего не деформировалось у него, но льет мимо кружки в огромных кол-вах кипяток не зависимо от кол-ва воды, содержащейся в чайнике. Точнее, если в чайнике 0,5 литра, то удается при хорошей сноровке обойтись без ошпаренных ног, но если воды больше - лить нужно с вытянутой руки, тряпки не спасают. Не поменяла еще только потому, что обычно кипячу часто и по-малу. Но еще раз покупать такой однозначно не буду.</t>
  </si>
  <si>
    <t>Хороший телевизор за свои деньги...качество порадовало,думал хуже будет...дома смотрю с дивана с расстояния 4 метра - ОТЛИЧНО! думал по началу какую диагональ взять или 42" или 50" и все таки взял 50" и не пожалел....дома кабельное ТВ,все каналы показывает класс,правда пришлось помучаться с настройкой,но зато все каналы на своих местах (первый на первом второй на втором и т.д)    Берите не пожалеете</t>
  </si>
  <si>
    <t>Пришли в магазин, долго сомневались, выбирая между этим чайником и другим. Ожидания оправдались и дизайн очень красивый, приятно и смотреть и пить чай!</t>
  </si>
  <si>
    <t>самая бесполезная вещь  глючит нереально  брака нет, сдавал на проверку качества  камера ужасна  разочарован.</t>
  </si>
  <si>
    <t>Отличная кофемолка,пользуюсь уже год. Мелит быстро и качественно,независимо от количества кофе.</t>
  </si>
  <si>
    <t>2144</t>
  </si>
  <si>
    <t>2016-02-26</t>
  </si>
  <si>
    <t>Плита покупалась в подарок для мамы, было важно, в первую очередь качество стеклокерамики, а то многое пишут в Интернете о недостатках этого покрытия, мол, царапины сразу лезут и внешне она портится быстро. Но пока за три месяца ежедневной эксплуатации все, тьфу-тьфу нормально, мама очень довольна и постоянно ее нахваливает))) Конфорки очень шустро нагреваются до нужной температуры, тепло равномерно распространяется по всей поверхности конфорки, а не только по краям или по центру, как у многих моделей из линейки стандартной электрики. Плюс мощность подтягивается легко с помощью сенсора, он тут спереди расположен, а не сбоку, что очень удобно. Устанавливал ее сам, тут никаких сложностей не возникло вообще, в коробке есть понятно расписанная инструкция. Ну и моется она намного легче, чем предполагалось вначале, белые пятна от посуды убираются обычными тряпками, пригоревшая еда - тоже. Одним словом, хорошее приобретение!</t>
  </si>
  <si>
    <t>Чайник очень нравится. Давно думали купить его, плюсов много очень, и крышка на пружине, чтобы не закрывалась, когда воду наливаешь и вообще само отверстие для воды довольно широкое и мыть чайник изнутри удобно очень пролезают спокойно хоть две руки.  С прошлым сименс специал эдишен с этим были проблемы, и моется он очень легко, но вот только немного смущает, что регулятор очень легко крутится, практически не фиксируется вообще, в отличие от стоящего на витрине точно такого же чайника.   Хотя и это тоже не напрягает совершенно. Чайник действительно довольно тихий,есть конечно момент, когда он собирается заглушить телевизор, но это буквально секунд 5-10.   Очень легко ставится на подставку, опять же в отличие от сименса (который, кстати, в полтора раза дороже)/ И еще, когда регулятор ставишь на максимум, он кипит гораздо дольше других чайников прежде чем отключится.</t>
  </si>
  <si>
    <t>366</t>
  </si>
  <si>
    <t>Утюг очень компактный,очень удобно что ручка складывается,острый носик,вертикальное отпаривание,нагревается моментально. Вообщем для отпуска и для дома вещь не заменима! Рекомендую,не пожалеете!</t>
  </si>
  <si>
    <t>Отличный пылесос! Мощный, симпатичный, отличная щетка, аккуратно вынимается мешок. Убираться им одно удовольствие! Единственное в описании есть ошибка - длина сетевого шнура не 9м, а 7м... Но этого вполне хватает.</t>
  </si>
  <si>
    <t>не плохой саб.если ему ещё и фазик воткнуть то приличной громкости звук выходит.за эти деньги отыгрывает на 100%</t>
  </si>
  <si>
    <t>Плеер отличный! Звук шикарный!  Батарею держит от одного заряда 33 часа при следующих условиях:    1.Аккумулятор войдёт в штатный режим через 4-5 полных зарядок-разрядок  2.Заряжать обязательно при полностью разряженном аккумуляторе внешним зарядным устройством с выходным напряжением 4.5-5 вольт мощностью 1000mah.  Время заряда - 2 часа 30 минут (важно,перед зарядом нужно выключить аппарат, нажав  и удерживая кнопку option.Далее нужно включить зарядное устройство в гнездо аппарата.Экран загорится (т.е. плеер снова включится).Начнётся заряд. Нужно снова нажать и удерживать кнопку option, чтобы плеер снова полностью выключился.Заряд продолжится, но уже при выключенном состоянии аппарата.Так аккумулятор наберёт полную свою мощность (при заряде включённого аппарата батарея будет заряжена поверхностно и время работы существенно уменьшится).  Чтобы плеер работал 33 часа от одного заряда батареи формат файла должен быть MP3,битрейт 128kbs (не больше).Качество битрейта - постоянное.  В меню аппарата выставить следующие параметры:  1.Включить систему ограничения звука (AVLS),тогда громкость звука не будет превышать 13 делений  2.Яркость экрана выставить на минимум "1"  3.Эквалайзер отключить (в меню нажать "нет")  4.Отключить функцию "Динамическая нормализация"  5.Отключить функцию "Clear stereo"  6.Отключить функцию экранной заставки -часы.    При соблюдении вышеуказанных параметров плеер будет работать 33 часа в режиме воспроизведения музыкальных файлов.</t>
  </si>
  <si>
    <t>Если честно, то я не увидел прок от этой коробочки, которая только место занимает. Только подсушивает и всё,никакой золотой корочки и аромата. И то мне на 7 режиме пришлось 3 раза прогонять. Не советую.</t>
  </si>
  <si>
    <t>Большая площадь покрытия (по сравнению с другими) и простой интерфейс и стильный дизайн и широкий выбор режимов.  Ухода практически не требует (только фильтр периодически менять), работает что дома что в лаборатории что в офисе на износ и за несколько лет никаких претензий. Дело свое делает тихо, качественно и красиво) . Всех так и тянет к столбику пара</t>
  </si>
  <si>
    <t>Работает второй месяц. Не сглазить бы, но я считаю, что это нормальная машинка. Особенно для её цены. Есть конечно маленькие недостатки: лоток верхний закрывался только с усилием и дверцу барабана при закрытии надо приподнимать вверх и ещё после некоторых режимов остаётся вода в центральном отсеке для загрузки кондиционера. НО для её цены - это мелочи. Если финансовые средства ограничены вполне можно брать.</t>
  </si>
  <si>
    <t>Эх,Тефаль!Ты действительно думаешь о нас!  Пару лет назад она, правда в 2 раза дешевле стоила.Покупали в подарок.А теперь вот решила мужу подарить на ДР.Качество агрегата отличное,сделано все с умом,ничего лишнего.Из всех марок предпочитаю именно выжималку Tefal.</t>
  </si>
  <si>
    <t>Ровно год и месяц прослужил данный чайник, купила я его в подарок, на дне появились какие-то пятна типа ржавчины после трех разового кипячения воды, а на днях поставив чайник на газ он при нагреве выдавил крышку и сам подпрыгнул с плиты и упал с кипятком на пол, после всего этого он остыл я вновь налила воды поставила греть, когда вода закипела и я хотела налить в стакан кипятка обнаружила что ее там нет, а дно поднялось так что я просто в шоке, чайник только красотой глаз радует а качество плохое.</t>
  </si>
  <si>
    <t>2066</t>
  </si>
  <si>
    <t>Я крайне разочарован этой электроплиткой. Использовал её по назначению и в соответствии с инструкцией по эксплуатации. Но она перестала работать на четвёртый день использования.</t>
  </si>
  <si>
    <t>Комбайн нас очень сильно разочаровал. Когда включили комбайн поняли все  его минусы:   1)Сильно шумит(Philips в этом плане много лучше)  2)Когда стоит фри-насадка, комбайн начинает бешено трястись  3)Чтобы надеть какой-либо диск надо одно снять еще две детали надо надеть и потом только надеть диск. А ведь потом это все надо мыть и мыть это все очень муторно(слишком много деталей)</t>
  </si>
  <si>
    <t>Бук хороший, выглядит красиво.Но родная операционка просто отстой, пришлось на первый же день покупки сносить её и с флешки ставить xp. На xp работает отлично.    мне не понравился маленький тач пад, на нём неудобно работать. по производительности бук слабоват для игр.    Драйвера на него найти не сложно достаточно поискать в гугле.    Блютус, вайфай, ёта, всё работает отлично. Батарея массивная, но она сделана так, что служит ноуту подставкой.    в общем за свою цену это лучшее, что я нашёл</t>
  </si>
  <si>
    <t>трубка отличная,удобная в обращении,АОН работает,настройка простая,дизайн красивый,цена приемлемая,в общем всё замечательно!Я довольна-рекомендую!</t>
  </si>
  <si>
    <t>Спасибо за совет, Pavel. Но дело в том, что я в утюг всегда заливаю фильтрованную воду, к сожалению, не помогает. Продавцы в магазине советуют стержневой фильтр утюга немножко подержать в уксусе или лимонной кислоте. Будем надеяться, что хоть это поможет моему утюгу  избавиться от накипи.</t>
  </si>
  <si>
    <t>Технология бесшумного кипячения.</t>
  </si>
  <si>
    <t>Отличная вещь! Комбайн в полной комплектации - умеет практически все! Разве что кубиками не режет - эта новинка есть в другой модели. Но зато режет брусочками.    Единственное - будьте осторожней с шестеренкой, которая крутит насадки, она у многих ломается. Поэтому не давите толкателем еду на насадку, лишь слегка придерживайте, чтоб она не выпрыгивала.</t>
  </si>
  <si>
    <t>1127</t>
  </si>
  <si>
    <t>Пожалуй самая лучшая мультиплеерная игра игра 2010 года и серии battlefield. Всем советую приобретать не задумываясь.</t>
  </si>
  <si>
    <t>Ноут очень хороший, но мне непонятно как включается микрофон для онлайн звонков. Изображение есть, собеседника слышу, а он меня не слышит. Подскажите как быть?</t>
  </si>
  <si>
    <t>Проработал верой и правдой 4 года. К сожалению потек индикатор уровня воды.</t>
  </si>
  <si>
    <t>Одна из лучших приставок текущего поколения с жестким диском 250 гб. и God of war 3 в комплекте!    Недели 2 назад купил. Рад всё хорошо, быстро и тихо работает.</t>
  </si>
  <si>
    <t>За компанию 5 за мультиплеер 2!  Игра отпадная,но только для разового прохождения.Графика и физика суперская!Очень интересная игра пробежал ее на одном дыхании за день!советую игра хорошая!</t>
  </si>
  <si>
    <t>Эта фритюрница - прекрасное сочетание цены и качества!  Удобная, простая в обращении.    Прекрасных дам удивит то, что она гораздо меньше весит, в отличие от ей подобных и вы с легкостью сможете донести её до дома самостоятельно:))    Покупайте - не пожалеете!!!</t>
  </si>
  <si>
    <t>Потрясающая соковыжималка. Пользуюсь недавно, но как только купил выжал яблоки, морковь, мандарины. Жмет на ура, жмых сухой. За такие деньги просто потрясающий аппарат! Немного шумновата, но я не обращаю внимание на это, ведь сок получается отличным. Плюсом так же выделю производство Польша.   Берите, не пожалеете. Гарантия 2 года (уже тоже как бы намек на то, что аппарат потрясающий.</t>
  </si>
  <si>
    <t>супер но не хватает для него адроида</t>
  </si>
  <si>
    <t>2742</t>
  </si>
  <si>
    <t>Большая ёмкость для воды. Интуитивно понятное управление и использование. Функция тёплого пара.</t>
  </si>
  <si>
    <t>А мне нравятся наушники! Слушаю на работе, различную музыку. Главное для меня не громкость, а качество!  Глубокие, объемные басы, бешенное перетекающее из уха в ухо стерео. Верхи, низы, прорабатывают все мелочи.  Мне нравятся...</t>
  </si>
  <si>
    <t>Телефон отличный.   Плюсы: отличный звук, хорошая камера, "опера-мини",компактен,качественный дисплей.   Минусы:непрочный корпус, после нескольких падений откололся уголок, одна боковая кнопка перестала работать;кнопки мелковаты, долго привыкаешь;слабая вибрация.  В общем цена/качество идеально.</t>
  </si>
  <si>
    <t>Вчера купил этот телевизор.Глаз не могу оторвать!Люди, какой там Сам сунг,Филлипс и так далее.....(на них изображение сильно растянуто.Невозможно подобрать формат,чтобы смотреть нормально).Тошиба есть Тошиба! За Японией не угнаться никому.Всем рекомендую!!!</t>
  </si>
  <si>
    <t>Приобрели данную модель месяц назад, радует на всю потраченную сумму ))) Воздух реально увлажняет, на столько, на сколько нужно - ночью выставляем на 50-55, как только нагонит выставленную влажность, автоматически выключается, при "высыхании" комнаты хотя бы на процент, включается сам - встроенный гигрометр. Его показания верные - проверяли станцией, которая работает как часы )))   Ёмкость для воды большая, что и было важно при выборе увлажнителя, заливать воду не так чтобы супер-удобно, но навык появляется с практикой ))) Есть функция теплого пара, но полезность её пока не понимаю, на холодном пару в комнате приятнее и свежее, для маленького ребенка самое то, да и нам взрослым реально лучше спится.   Белого налета нет ни на мебели, ни вблизи самого прибора, подозреваю, что все-таки Ag-фильтр делает свое "чистое" дело (есть с чем сравнивать, в опыте использования два увлажнителя более низкой ценовой категории). Воду заливаем прямо из крана без всяких фильтров и прочих всяких насадок и приблуд - есть фильтр, пусть сам отрабатывает.   Управление простое, интуитивно понятно, что за что отвечает. Ночью не шумит, изредка тихо побулькивает себе, но это замечаешь, когда не спится ))) Если кто-то посчитает этот увлажнитель громко работающим, значит дело не чисто - обратитесь в сервис, что-то с ним не так  В качестве резюме - это хороший качественный увлажнитель, не самый дешевый, но работающий как должен. Буду рекомендовать.</t>
  </si>
  <si>
    <t>Ужасный пылесос, никому не советую его покупать!!! Фильтры засоряются очень быстро, потом не найти. И в итоге он полностью рассыпался(пластмасса раскрошилась резко через 1,5 года), очень жалко потраченные на него деньги!!!</t>
  </si>
  <si>
    <t>Пользуюсь машиной уже больше года - стирает обалденно, при условии использования нормального порошка (респект Юрию в этом вопросе)!  Плюс - тихая работа!!!, есть с чем сравнивать, особенно с последней узкой Занусси, которая сносно отработала 6 лет, плохо стирая и пытаясь переехать в другой угол ванной при наборе оборотов отжима:-))   Советую брать, настоящая итальянская машина с тихой работой и хорошим качеством стирки за такие деньги (жаль, что когда брал год назад ценник был нАААмного выше)      P.S.: про сервис этого производителя - в гарантийной книжке в Москве указаны 12 сервисов!!!  и если что-то не дай бог сломается, сидеть и ждать деталь в одном месте 3 недели я лично не буду, позвоню в другой:-) Кто ищет - тот всегда найдет!!!</t>
  </si>
  <si>
    <t>Купили сегодня кофемолку и остались очень довольны от неё, мелит очень быстро и качественно, рекомендую.</t>
  </si>
  <si>
    <t>2259</t>
  </si>
  <si>
    <t>Слишком громко работает (шумит-рычит)</t>
  </si>
  <si>
    <t>Добрый день! Вот и мне удалось стать счатливым обладателем данного чудо продукта, который просто меня спас от жутких приступов аллергии! Я перепробовал уже кучу других очистителей и увлажнителей,но ни один из них не дал такого результата! И отдельное спасибо отличным консультантам в М.видео которые помогли мне его подобрать!</t>
  </si>
  <si>
    <t>Великолепная модель, все работает просто слету, GPRS не тормозит, все работает быстро, вторые сутки с ним не расстаюсь, батарея не кончается, при этом смотрела видео, сижу через него в нете, запускала несколько сразу приложений, все работает на ура. Первый день была не очень довольна, но похоже влюбляюсь в него скаждым днем все больше ))) Софта в нете на него хватает, все удобные приложения можно скачать на маркете, установленном прямо на коммуникаторе, приложения есть бесплатные и платные, платными пока не приходилось пользоваться, бесплатных больше чем достаточно. Видео отличного разрешения для коммуникатора. Qwerty клавиатура очень нравится, очень удобно в нете сидеть, отлично работает и главное быстро через Wi-Fi. Двумя словами, модель супер. Всем рекомендую.</t>
  </si>
  <si>
    <t>388</t>
  </si>
  <si>
    <t>Использую второй месяц, жму по три стакана в день морковку с сельдереем... Работает супер (главно на крышку сверху сильно не давить), моется легко. Маме на 8 марта такую же взял )))</t>
  </si>
  <si>
    <t>Я уже много лет пользуюсь утюгами tefal,очень-очень довольна! Вот вышла новая модель с первой в мире самоочищающейся подошвой,преобрела,погладила. Я счастлива! Кто не пользовался утюгами этой фирмы- очень рекомендую,не пожалеете!!!</t>
  </si>
  <si>
    <t>ммм... Что Вы имеете ввиду под вторым HDD?</t>
  </si>
  <si>
    <t>Обычный аккумулятор.Я думаю ничем не отличается от других.Оригинал проработает долго  (у меня больше года)-нет проблем!</t>
  </si>
  <si>
    <t>Хорошая машинка, тем более со скидкой. Купил её в апреле. В семье двое маленьких детей, так что стирает почти каждый день и не по разу. Совсем недавно немного подглюкивала - при нажатии на кнопки перескакивала нужную программу, так что приходилось ловить несколько раз. Мелочь, а все равно раздражает. Сейчас всё пропало, возможно было от сильной жары или от влажности, кто знает. До этого была индезит 9 лет и до сих пор работает на даче. Разницу по шуму особо не нашел. У приятелей самсунг WF-F861 (не ошибиться бы с моделью) вот она гораздо громче</t>
  </si>
  <si>
    <t>Могу сказать,что купил, купил и не пожалел! Прекрасный телефон! Звук просто шикарный! Приятный интерфейс, говоря о дизайнерском решении корпуса, оно вне всяких сомнений заслуживает всех похвал! Прекрасное качество фоток на мой взгляд лучше чем у N73! Вообще берите и не пожалеете!</t>
  </si>
  <si>
    <t>Сегодня купил соковыжималку Zelmer 377.   Купит и сразу же пропустил морковку - отжимает отлично! Жмых - почти СУХОЙ!!! опробую ее на протяжении всего лета, потом отпишусь.  из недостатков - одна скорость (просто улёт!), довольно трудно очищать ситечко, но производитель об этом предупреждает в инструкции и предлагает промывать его(!!!) незамедлительно после использования. Я приспособил для этого зубную щетку - капаешь каплю фэри на ворс и аккуратно трешь по ситечку - отмывается идеально! еще из недостатков - немного шумная, призводитель заявляет -87Дб, но, если небольшая семья, то вполне нормально. Больше недостатков нет! таперь достоинства - их больше, поэтому ставлю положительную оценку!  Достоинства:  -низкая цена - порядка 40 ЕВРО,  -сборка в Польше,  -гарантия 2 года (кто знает, может и не понадобится?!),  -очень и очень компактная, на кухне не займёт много места,  -сравнительно легко моется проточной водой, кроме ситечка - его лучше дополнительно потереть ершиком,  -кушает всего 200 ватт,  -жмых сухой, сок по вкусовым качествам - очень вкусный, объем идеален для семьи из 3-4 человек.  Я не работник этой фирмы, поэтому пишу объективно, как есть. Буду рад, если мой отзыв поможет сделать вам ПРАВИЛЬНЫЙ ВЫБОР!</t>
  </si>
  <si>
    <t>1786</t>
  </si>
  <si>
    <t>СУППА!!!!</t>
  </si>
  <si>
    <t>1635</t>
  </si>
  <si>
    <t>To маша и артур: Windows 7 Starter вообще-то не позволяет менять фон рабочего стола.</t>
  </si>
  <si>
    <t>Пользуюсь меньше месяца. Пироги, запеканки получаются быстро, румяные и воздушные. Хорошо пропекает со всех сторон. Минус: очень шумит, и дребезжат крепежи противней и гриля.</t>
  </si>
  <si>
    <t>Купил приставку все хорошо играю неделю, не чего не глючит, не лагает, и с муви все отлично играется. В общем я даволен приставкой, советвую все приобрести)))</t>
  </si>
  <si>
    <t>Игра просто супер, смотрел много обзоров, думаю игра стоит того, чтобы купить, хоть и картинка отличается от боксовой версии в худшую сторону.</t>
  </si>
  <si>
    <t>Как купили радости не было предела! Через полгода перестал нагреваться,отдали в сервис центр прождали 1,5 месяца, дали заключение что ремонту не подлежит.Сломалась электроника.Теперь поменяли на Филипс с такой же электроникой,Посмотрим!!!</t>
  </si>
  <si>
    <t>Рекомендую всем любителям настоящего кофе. Надоело пить эту растворенную жижу, которую они тоже называют "кофе". Кофемолка очень простая, без всяких ненужных наворотов, которыми не пользуешься. но за которые доплачиваешь. Довольно мощная, зерна перемалывает до нужного состояния. Объема загрузки хватает на приготовление напитка для четырех человек.</t>
  </si>
  <si>
    <t>экран сочный кнопки не очень удобные но привыкаешь едиственный минус это торможение при навигаций в меню то есть нажимаешь на клавишу а он через доли секунды переходит не очень приятная вещь лично для меня и громкая связь тоже плохо реализована слышны какие то посторонние шумы а в остальном норм!твердая 4 ему!</t>
  </si>
  <si>
    <t>Купили два месяца назад,стираем часто т.к маленький ребенок.Очень довольны!</t>
  </si>
  <si>
    <t>Хорошая вытяжка,широкий козырек, отличная тяга, но несколько шумновата.</t>
  </si>
  <si>
    <t>Я выбирал стиральную машинку довольно долго. И когда выбрал эту модель, то не пожалел о сделанном выборе. Самое главное достоинство этой модели в том, что она абсолютно стирает бесшумно. Когда я первый раз ее запускал, то мне вначале показалось, что она не работает, настолько бесшумно вращается барабан. А также большой объем барабана позволяет стирать очень крупные вещи (плед, одеяло и т.д.). В общем я с женой очень доволен.</t>
  </si>
  <si>
    <t>Отжимает классно,но при отжиме лопается пластиковая крышка на горловине из за мощного выброса остатков фруктов. В сервисе сказали,что гарантия распространятся только на двигатель, а эта деталь просто расходный материал( стоит около 3 тыс.руб )Не слишком ли дорогие соки с Борком. Кстати в магазине об этом не говорят</t>
  </si>
  <si>
    <t>436</t>
  </si>
  <si>
    <t>Машинкой пользуюсь 4 месяца. Плюс - цвет, серебристый, вписалась на кухню как родная. Программ достаточно, 15мин, 25мин, и т.д. Стирает хорошо, отжимает тоже. Стирала все, начиная от шелка, заканчивая покрывалом от дивана. Нареканий нет. Да, возможно шумновата при сливе и при отжиме, но только на 1000 и 1200 оборотах, но за такие деньги на это можно закрыть глаза. В целом хороший экономичный вариант.</t>
  </si>
  <si>
    <t>333</t>
  </si>
  <si>
    <t>Не понимаю тех, кто пишет, что нужно его чистить после каждой комнаты. Если у Вас одна комната - 100кв м. или пылесосите раз в месяц, тогда может и так, у меня трехкомнатная квартира, после всех комнат, балкона и корридора заполняется только на 70-80%. Хороший пылесос, вычищает будь здоров, аж до вековой пыли) Только нужно не забывать мыть фильтр, это несложно.</t>
  </si>
  <si>
    <t>Машинка очень хорошая, узкая. при этом стирает тихо и очень хорошо.  были небольшие проблемы с ровной установкой на полу, но исключительно из за качестра пола.  Советую, хорошая модель.</t>
  </si>
  <si>
    <t>Поехал 15 мая на Красноармейскую с целью выбрать домой себе другой монитор(был старый) - с выпуклым экраном...Выбирал среди "19"дюймовых,подзывал консультантов одного за одним с задачей-выяснить у них какой монитор лучше взять(Philips?Samsung?ViewSonic?LG...)Все они в один голос сказали, что лучше взять ЖК-монитор "19" ViewSonic VX1940w-4  Потому что только на нём разрешение1680x1050 Пикс(HD Ready). А на остальных 1360x768 Пикс-что является минимальным разрешением для "19"-ти дюймовых мониторов.  ПРийдя домой понял, что взял очень ХОРОШИЙ МОНИТОР!!!Качество изображения превосходное,спасибо за совет!!!</t>
  </si>
  <si>
    <t>Мне понравился. Если контейнер забивается, то просто вытряхиваешь пыль, моешь после. Фильтр тоже легко моется.</t>
  </si>
  <si>
    <t>2013-07-20</t>
  </si>
  <si>
    <t>Пользуюсь этим чайником 4-е года. Никаких проблем нет.</t>
  </si>
  <si>
    <t>Хорошая бюджетная модель. Недостаток один - шумновата. Понятно, что при помоле от звуков никуда не деться, но наливать кипяток можно было чуть потише. Что за процессы происходят при отключении (в т. ч. автоотключении) - загадка, наверное что-то внутри неё промывается, и тоже с достаточно громким рычанием (а при автоотключении это случается ещё и весьма неожиданно).    Также непонятно предназначение хлипенькой фольгированной площадки  сверху справа, по идее она должна быть для подогрева чашек - так вот, не греет, только пыль в углах собирает.    А так в целом - рекомендую, за эти деньги очень хороший вариант.</t>
  </si>
  <si>
    <t>Пришел... Пощупал... Разочаровался...  Да действительно тормоз, как включаешь музыку лучше положить и просто слушать т.к. если что-то пытаешься при прослушивании делать кроме тормозов заметны глюки в воспроизведении - подвисание музыки (видать процессор слабоват) А так ничего... Красивый, памяти много и расширить можно... Плеер на любителя, мне дак не очень...</t>
  </si>
  <si>
    <t>1277</t>
  </si>
  <si>
    <t>отличный выпрямитель,волосы не портятся.  Брала у подруги,вот решила купить такой же.  Советую,не пожалеете.</t>
  </si>
  <si>
    <t>Взял данную соковыжималку - не пожалел. Хорошее качество сборки. Удобно разбирать и мыть, мощности двигателя хватает за глаза. Всем советую.</t>
  </si>
  <si>
    <t>Машина нравится.  Плюсы:  1. все моет, и посуда с каждой мойкой становится "как из магазина" - это удивляет по началу.  2. Управление очень простое - колесо и три кнопки (специально искал такую модель, чтоб не было механических кнопок)  3. Индикация - точно знаешь когда программа закончит мойку.    Минусы:  1. После сушки может оставаться вода в углублениях посуды, для кого это критично ищите турбосушку - правда эта функция значительно увеличит расход электричества.  2. Все таки она маленькая для семьи из 5 и более человек. После хорошего ужина не вся посуда помещается из-за кастрюль и сковородок с крышками.  Резюме:  Рекомендую для семьи до 5 человек - это просто супер агрегат.  Про 9 комплектов это правда при условии что нет ни одной кастрюли или сковородки, что России нереально.</t>
  </si>
  <si>
    <t>Машина хорошая работает уже 4 года нареканий нет. Только вот есть один недостаток в режиме синтетики после стирки останавливается нужно идти и нажимать ещё раз чтоб слила воду и отжала бельё.</t>
  </si>
  <si>
    <t>1890</t>
  </si>
  <si>
    <t>Насчет давления в дюймах соглашусь не удобно, но почему то в инструкции написано, что должно показывать в миллиметрах?! Прогноз работает довольно точно, угадывает на 85%. Как бы ни было за эти деньги это лучшее, что можно найти с таким набором функций, купил не жалею.</t>
  </si>
  <si>
    <t>отличный ноутбук в своем классе. за месяц работы ни разу не подвел.</t>
  </si>
  <si>
    <t>Я уже оставлял отзыв об этом буке 06.12.2009, но спустя 2 недели с момента покупки хочу оставить еще! За те две недели, что он у меня мне пришлось в прямом смысле посидеть за работой с ним несколько дней. Я не сразу отметил одну особенность:ДАЖЕ КОГДА СИДИШЬ ПО 10 ЧАСОВ ПОДРЯД ГЛАЗА НЕ БОЛЯТ, НЕ ТЯНЕТ ПРИЩУРИТЬСЯ ИЛИ ОТВЕРНУТЬСЯ, со старым буком была проблема этого характера.    Моя оценка поднялась до 4+!</t>
  </si>
  <si>
    <t>Сегодня купил пылесос 919.0 SP и сразу в бой! Влажная уборка + мойка ковров. Люди чем мы дышим??? Я был в шоке... (жена постоянно убиралась и пылесосила стареньким мешочным пылесосом), сколько было грязи. Ковры ну если не из магазина, почти как новые выглядят после уборки. Воду собирает хорошо. Мощности вполне хватает. По поводу мытья его после уборки, то я Вам скажу 5-10 минут и все. Главное, что вынимается все грязная часть пылесоса и мойте ее на здоровье. В общем покупкой пока очень доволен. РЕКОМЕНДУЮ отличный аппарат.</t>
  </si>
  <si>
    <t>Пылесос LG V-C7B73NT я купила недавно! Люди не покупайте этот пылесос ! Фильтр засоряется после одного применения,регулятора мощности нет ни на корпусе, ни на рукоятке! Вообще не сосет,даже когда помоешь фильтр!Стакан не плотно вставляется,вставляю правильно, с щелчком!Поэтому воздух всасывания Идет наполовину наружу!Вообще пылесос LG я приобретаю второй раз! первый с мешком не прожил и года!После ремонта поработал еще полгода!И все, сгорел мотор!И вообще такой геморрой был только вставить этот мешок! Теперь уж я на горьком опыте точно не куплю пылесос фирмы LG!я в полном расстройстве!Теперь уборка с этим пылесосом превратилась в каторгу!И очень жалко потраченных денежных средств и нервов!</t>
  </si>
  <si>
    <t>Мясорубка просто чудо. Мясо крутит отменно.   Как большинство россиян..сперва собрали не смотря в инструкцию ) как результат - поставили нож неправильно мучились около получаса, пытаясь прокрутить пару кг мяса ... в итоге...еле-еле, но она выдержала эти мучения. Заглянули в Инструкцию, переставили ножи и вуаля....заработала как бульдозер...не смущается при виде жил. Работает на УРА!   По сравнению с нашим кухонным комбайном, шума не много.</t>
  </si>
  <si>
    <t>Купил-таки данный пылесос за 4500 рублей. Выбирал между Samsung SC-6570/SC-4350 и  Zanussi ZANS750, но все-таки выбрал Electrolux, т.к он мне больше понравился формой контейнера для пыли и внешне очень привлекателен + моющийся HEPA фильтр Н12. Как и было сказано ниже, на контейнере одна сторона очень туго открывается, но это не мешает мытью контейнера, по поводу крышки выходного фильтра двигателя – открывается туго, ну и часто лазить туда нет никакой надобности; на полной мощности, издаваемый им шум вполне для меня приемлем, пылесошу обычно при мощности 60% (этого вполне достаточно), при почти заполненной контейнере падает мощность всасывания и поэтому рукоятку мощности на пылесосе приходится выкручивать ближе к 100%, а это более быстрый нагрев и большой расход электроэнергии (как-никак 2100 Вт) + появляется запах пластмассы. Насадка для пола и ковров не очень удобна: в труднодоступных местах не пропылесосить. Чувствую как место крепления трубки пылесоса и шланга (шланг-ручка-трубка пылесоса) прогибается, если во время работы приложить небольшое усилие на ручку. В заключении хочу сказать, что пылесос является лучшим выбором в ценовой категории 4000-4500 рублей, но не как не в 6000 рублей!</t>
  </si>
  <si>
    <t>Очень хороший вариант телефона для работы!!!  Плюсы:)  - очень удобно проработана одновременная работа с 2 симками  - небольшой размер и вес  - наличие всех необходимых функций  - зарядки хватает на 2-3 дня (разговариваю достаточно много)  - элементарная настройка всех функций "под себя" (инструкцию не открывал даже)  - громкий и качественный динамик  Минусы:(  - слабая цветопередача экрана  - очень посредственный фотоаппарат (лучше бы производитель эти деньги в экран вложил)  - при удалении с блютуз-гарнитурой из зоны телефона не всегда подключает ее обратно при входе в зону  - в комплекте нет шнура и дика с ПО    А в общем советую. Очень хороший телефон за такие деньги!!!</t>
  </si>
  <si>
    <t>Очень легкий,тихий, хватает мощности чтоб замесить любое тесто, советую</t>
  </si>
  <si>
    <t>Барахло, а не эпилятор. Триммер какой-то. Волоски не выдирает с корнем, а косит! Неанотомический дизайн рабочей поверхности, лишилась сантиметров кожи. Редко оставляю отзывы, но нет сил молчать.</t>
  </si>
  <si>
    <t>аппарат понравился, но сдох правый динамик((((</t>
  </si>
  <si>
    <t>Когда совсем новый -хороший</t>
  </si>
  <si>
    <t>Отличная модель!!! Нет проблем с инетом! Все параметры на высоте!</t>
  </si>
  <si>
    <t>Года 3 пользовались большой машинкой аж  на 8 кг. Но она расходовала нереально много воды ,поэтому решили сменить ее на что-то более экономичное. Семья у нас из 3 человек, на своем опыте поняли что большая загрузка нам ни к чему. Выбирали недолго. Остановились на индезите. Это известная марка бытовой техники.В этой модельке все как я хотела - загрузка на 4 кг, куча всяких программ и простое управление. По экономии наверно уже невозможно придумать что-то лучшее. Здесь можно регулировать время стирки, сокращать потребление воды и света ,но лучше экономию включать на несильно грязном белье, иначе ничего не отстирается. Отдельно хочу написать про режим отбеливания. Очень полезная штука. Были у меня несколько полотенец, которые со временем пожелтели. Выкидывать или на тряпки жалко. После 2 стирок на Отбеливании полотенца стали заметно свежее, тут еще надо выбрать правильный отбеливатель. Я пользуюсь ванишем. Работает машинка довольно тихо, гудит только во время отжима, машинка у нас в ванной, потому дискомфорта особого нет, да и запускаем ее только днем. За одну загрузку отстирает полный комплект постельного белья. Машинкой пользуемся 2 месяца.Проблем пока нет.</t>
  </si>
  <si>
    <t>1336</t>
  </si>
  <si>
    <t>долгожитель, есть индикатор уровня воды, дизайн</t>
  </si>
  <si>
    <t>Вчера приобрёл в свою коллекцию долгожданный фильм - "Predator" на BD! Качество просто СУПЕР, если учитывать давность фильма - 23 года!!! Звук просто ШЕДЕВР, если вы конечно ставите оригинальную дорожку ))) Но и русский трек неплох, в отличие от DVD релиза!!! Получил огромное удовлетворение от просмотра!!! Советую всем приобрести!!! Цена для такого качества просто смешная!!!    С Уважением,  Арсений Владимирович Спиридонов</t>
  </si>
  <si>
    <t>382</t>
  </si>
  <si>
    <t>Стильный дизайн, металлический корпус. Очень легко моется вручную, хотя можно и в посудомойке. Мощный движок и легкий отжим любого цитрусового. Крутой аппарат. При покупке были сомнения, стоит ли брать, но премиум класс он и в Африке премиум класс. Опробовал и теперь ни капельки не жалею!</t>
  </si>
  <si>
    <t>Больше года назад купила швейную машинку "Астролюкс"-150. Покупала самую простую: 2 строчки (прямая и зигзиг). Получаю море удовольствия: нестучит, а "жужжит",ход мягкий. Шью много, но практически как большинство, использую 2 строчки( оверлок у меня отдельно).Мою "астрочку" не поменяю ни на что.</t>
  </si>
  <si>
    <t>Очень хороший фен. Пользовалась 5 лет. Была одна поломка - волосы намотались на ротор мотора. Мужу пришлось разбирать и чистить. Ремонт был успешным. Потом сломалось крепление насадок. Тоже муж исправил (правда поставил одну насадку навечно, менять было уже нельзя). Сломался на днях - не крутится мотор. Буду менять на такой же. Учту ошибки эксплуатации!</t>
  </si>
  <si>
    <t>Просто ужас, а не машинка,скупой платит дважды!!!! УБЕДИЛАСЬ.Еще и менять либо возвратить деньги отказываются.</t>
  </si>
  <si>
    <t>Приобрела такую машинку как только родился у нас ребенок, для стирки детских вещей. Вещь удобная, качество стирки хорошая. Удобно стирать пеленки и ползунки.</t>
  </si>
  <si>
    <t>Надежность, цена, два вида быстрой стирки 15-30 мин (не у каждой дорогой стиральной машинки, есть такие функции)</t>
  </si>
  <si>
    <t>Купили таки эту печь со второго захода. В первый раз продавец отговаривал в виду отсутствия в этой модели конвекции, мол это большой тостер и приготовить ничего не удастся. Решили не брать, подумать. Потом решили все-таки взять уже в другом магазине и остались очень довольны! Все готовится, запекается, выпекается, что рыбка, что картошечка, что кексики и пироги!!!</t>
  </si>
  <si>
    <t>У меня эта машина российской сборки. только что подключили, запустили первую стирку. Вроде без сбоев работает. Обнаружила один баг: чтоб добраться к кожуху (то, что находится в самом низу машины, куда по идее выпадают все пуговицы-монетки), нужно переднюю панель, как написано в инструкции, с помощью отвертки, снять, а оказалось, что просто этой отверткой ОТКОВЫРЯТЬ. По-моему это безобразие полнейшее,походу как и всё в России, с помощью молотка и какой-то матери)))  Скажите пожалуйста, как эта панелька снимается в машинах итальянской сборки?</t>
  </si>
  <si>
    <t>Купил эту рамку, доволен, обновил прошивку до (v. 8,26) не смотря на все написанное выше, потом сразу сделал "ресет". Рамка "кажется" как будто зависает, на самом деле просто включается демо режим если не вставлена карта памяти с фотками, а с картой загружается моментально, просто надо немного подождать. С новой прошивкой рамка работает быстрее!. Отличное соотношение цена качество!</t>
  </si>
  <si>
    <t>Выбирали мясорубку в семью, с особой тщательностью! Чтобы все соединения металлические, чтобы нож был хороший и чтобы реверс был обязательно. Эта мясорубка выиграла всех. Шумит? за те 5-7 минут ее работы не ощущается, это металл, естественно он чуть шумнее, чем пластик. А что тут прочитал по поводу ножей, так это кованные ножи, они подтачиваться должны. Изначально их нет смысла продавать заточенным. Я точу на холостом ходу, запуская мясорубку без мяса - никаких проблем, только усилий меньше! В общем на мой взгляд, явный лидер на рынке!</t>
  </si>
  <si>
    <t>Купил 2 дня назад, ноут просто супер очень доволен!!!</t>
  </si>
  <si>
    <t>1514</t>
  </si>
  <si>
    <t>Стал счастливым владельцем этого телефона. Подчеркиваю, счастливым. Телефон красив, изящен, отличный звук, особенно в наушниках, хорошо ловит и настраивает радио, отлично работает блютуз, список воспроизведения обновляется автоматически, что позволяет назвать его телефоном-плеером.  Недостатки - сам пытается при первом запуске зарегистрировать свои игры, плохой браузер (не может отобразить даже простейшие страницы).</t>
  </si>
  <si>
    <t>Не заметил особой шумности. Да и стоит она у меня в туалете - никого не беспокоит. Честно говоря, я не понял, как можно забыть добавить отжим - автоматически программа содержит все нужные стадии.  Вот что касается элемнтов управления - какие-то они хлипкие. После моей старенькой zanussi кажется, что вот-вот что-то отломится. Это так же касается дверцы: пластиковый запорный крюк не внушает доверия. И вообще замок (опять же после занусси) очень недолговечный.  Далее, хоть в рекламе (кажется LG) большой люк подается как благо, на самом деле это не так. То есть с одной стороны вынимать пододеяльники стало удобнее, но с другой чаще всего стирается детская мелочевка. Когда ее загружаешь по полной (а детей трое, так что это бывает часто), то постоянно что-то вываливается.    В общем, не знаю сколько прослужит, но учитывая, что купил машинку по суперраспродажной цене (7990 кажется), пока аппарат на свои деньги.</t>
  </si>
  <si>
    <t>2012-05-12</t>
  </si>
  <si>
    <t>Фильтр абсолютно бесполезен. При любом скачке напряжения вся выключенная техника выключается.</t>
  </si>
  <si>
    <t>Был приятно удивлен тем, что ноутбук поставляется с новой Mac OS X Snow Leopard 10.6.   Документация хиленькая, но описано как менять жесткий диск и память. Поэтому тем у кого с руками порядок совсем не обязательно переплачивать за более дорогой вариант.</t>
  </si>
  <si>
    <t>2568</t>
  </si>
  <si>
    <t>Всем привет!Долго выбирал ноут в подарок девушке и в итоге выбрал леново!!!Судя по отзывам не прогадал,посмотрим его в действии...завтра жду курьера с ним)))</t>
  </si>
  <si>
    <t>класс аппарат, быстрый и надежный, берите и вам будут завидовать</t>
  </si>
  <si>
    <t>Купила чайники Tefal Justine за 1290 р. и Philips HD 4659/04 за 1690 р. себе и родителям. Филипс шумит как самолет, хоть и стоит дороже, через 2 месяца пришлось менять НОВУЮ розетку (перегорела) зато Тефаль работает тихо, воду кипятит быстро. осталась очень довольна.</t>
  </si>
  <si>
    <t>Игра классная !... но отдалилась от жанра horor терь больше напоминает Gears of War ток там местами страшней). Но игра 10 из 10</t>
  </si>
  <si>
    <t>Я приехал за ней 08.10.10 а их раскупили все,неуспел.  Жду завоза.  Думаю наши нормально собрали стиралку,конечно хотелось бы корейца LG.</t>
  </si>
  <si>
    <t>Греет действительно хорошо, шумный очень, такое ощущение, что в квартире мини трактор работает, поработал он 7 дней и сломался. Поменяли без проблем.</t>
  </si>
  <si>
    <t>945</t>
  </si>
  <si>
    <t>Сравнивал показания температуры, поставив прибор с датчиком рядом. Показания одинаковые, и когда замерял в комнате, и когда на улице. Значит - работает чётко. Вот, с прогнозом погоды - пока не знаю. Не было возможности. Пока покупкой доволен.</t>
  </si>
  <si>
    <t>Насадку стоит правильно снимать. Я так одну сломал из-за не опытности, потом разобрался. С боков нажимаем и снимаем.</t>
  </si>
  <si>
    <t>Отличная печь, когда покупали не обратили внимание на то, что духовка электрическая, а дома когда увидели... огорчились, но когда опробовали ее в деле, даже обрадовалась, духовка супер!!! Куча режимов, пропекает со всех сторон равномерно и без подгорелой корочки. Одним словом, рекомендую всем!!!</t>
  </si>
  <si>
    <t>Плюсы: варить яйца легко и удобно - налил воды, нажал кнопку, ждешь, пока запищит. После всё легко и быстро моется. Гораздо удобнее, чем варить в кастрюле. Минусы только в эргономике: выключатель хлипкий и неудобно расположен. Нет удобного способа свернуть шнур. Слишком пронзительный и непрерывный сигнал о готовности. Есть смысл посмотреть на другие модели, но если есть только эта, то отказываться от покупки не стоит.</t>
  </si>
  <si>
    <t>Хорошо работала месяца 3 наверное, пользуюсь раз в 3 недели. Сейчас когда включаю работает, то сильнее, то слабее машинка сама это решает и очень быстро нагревается. Мощности для педикюра не хватает. На работу не влияет подключена машинка к сети или нет. Лучше купить что-то еще, свои функции не выполняет</t>
  </si>
  <si>
    <t xml:space="preserve">Компактная, </t>
  </si>
  <si>
    <t>2239</t>
  </si>
  <si>
    <t>Купил сегодня эту модель, пришел домой, почитал отзывы - немного расстроился, но после тестов настроение поднялось, тестировал на рок музыке, трансе и поп, звук чистый, полной звукоизоляции нет, но я считаю это к лучшему) так можно ходить по дому и что-то делать. На голове не мешают, проходил уже часа 4 никаких неудобств не ощущаю, вообщем покупкой доволен</t>
  </si>
  <si>
    <t>Муж подарил на 8е Марта выпрямитель этой марки,очень довольна-волосы гладкие,ухоженные.Выпрямляет быстро,легко скользит по волосам.</t>
  </si>
  <si>
    <t>Купила комбайн. Мясорубка и овощерезка . Шиканула и не пожалела. Очень хорошая вещь. Мясо пролетело, не успела даже протолкнуть. Включила реверс. Потом все остатки до конца прокрутила. Мяса внутри не осталось ни капельки. Шинковала овощи. Лук. Нарезала всего. И на котлеты, и для супа, и для второго гарнира. Очень удобно. Хочу попробовать колбаски из индейки сделать. Уже чувствую, что все будут в ВОСТОРГЕ. Советую.</t>
  </si>
  <si>
    <t>2016-12-08</t>
  </si>
  <si>
    <t>Без проблем справляется со своей задачей</t>
  </si>
  <si>
    <t>Мне и мужу понравился - единственное неудобство нельзя поставить бутылку с водой побольше - падает до 0,8 л. максимум, а лучше 0,5, как в инструкции сказанно. Воздух увлажняет хорошо - дышать легче - свежее. Шумность низкая, у меня чуткий сон, но, с работающим увлажнителем я легко засыпаю. Приятно радует синеватая подсветка, а когда вода заканчивается - загорается красная. В комплекте сумочка. И ЕЩЕ - ВАЖНАЯ ДЕТАЛЬ! НЕ НАДО ПОКУПАТЬ ФИЛЬТРЫ, как в др. модели - чистится щеточкой, кот. идет в комплекте. Да и еще в наше маленькой комнате он занял ооочень мало места!</t>
  </si>
  <si>
    <t>Вчера купили эту соковыжималку и сразу попробовали. В принципе номарльно выжимает, потом проверила жмых и сок с него вообще не течет. Жмых как пластилин весь пресованный, на вряд ли с него еще сок выжмешь. Посморим как дальше в эксплуатации себя поведет.  И есть щетка для мытья фильтра, в описании не указано просто.</t>
  </si>
  <si>
    <t>Подарил жене не нарадуется, отмывает на ура просто супер. Рекомендую</t>
  </si>
  <si>
    <t>работал сразу тормознуто, неудобное управление, диктофон первую звукозапись не записывает, только со второй. Прошел месяц, как то не понятно глюканул, вирусов нет. Радует только что работает долго и можно добавлять в избранное.</t>
  </si>
  <si>
    <t>Здрасте! Пылесос купил 2,5 года назад. Всё удобно, всё работает, фильтры долговечные и чистятся отлично.</t>
  </si>
  <si>
    <t>Холодильник нормальный!) Хорош для холостяцких квартир, пользования 1-2 человек. Морозилка вместительная, но не огромная; легкий; симпатишный; все легко моется; порадовала подставка под яйцо =)) Бесшумность конечно бред, шипит чувствительно ))) Понравился сервис при заказе через интернет.</t>
  </si>
  <si>
    <t>Купила блендер около 10 лет назад. Очень довольна. Первые 4 года пользовалась постоянно. Делала пюре для детей, фарш. Остальные 6 лет - раза 4-5 в месяц точно пользуюсь. Делаю коктейли, пюре, фарш куриный и говяжий (надо порезать мелкими кусками, понемногу). Очень нужная вещь на кухне. Удобный, занимает мало места. Очень довольна покупкой. Ни разу не пожалела. )))</t>
  </si>
  <si>
    <t>2012-11-12</t>
  </si>
  <si>
    <t>Купила себе такую йогуртницу. С ней все хорошо, единственно, если разобъется банка - трудно найти замену, так как баночки узкие сами по себе, а банки от десткого питания становятся только на углах(я считаю, это ее единственный минус). То что она сама отключает нагрев - удобно. И ничего она не перегревает, просто надо следить за йогуртом, и когда он загустеет, сразу вынимать баночки и все. Реально она сквашивает быстро, часа за 4 в среднем, бактерии живы все (делала ацедофиолтный йогурт, он тянулся нитями, значит бактериии ацедофильные в нем живы). Сыворотка появляется, только когда йогурт банально передержали, что логично. Не знаю зачем люди приспосабливают к ней терморегуляторы, засовывают в нее полотенчики и дощечки, по-моему это совсем не нужно. А качество йогурта напрямую зависит еще и от качества закваски :)</t>
  </si>
  <si>
    <t>Купил данный вентилятор в мае месяце, последнюю неделю работает по 12-16 часов в день, работает отлично, в целом доволен, разве что шумноват слегка...</t>
  </si>
  <si>
    <t>Игра хорошая!  P.S. было бы еще хорошо если бы она поступила в продажу и в нашем городе (Череповец)</t>
  </si>
  <si>
    <t>Купил эту варочную панель и остался очень доволен! Порадовало не только соответствие цены и качества, но и функциональность, дизайн. В ней все те же функции что и в более дорогих моделях. А еще не маловажный факт - это то что цвет очень подошел к столешнице и смотрится как монолит. Супер.</t>
  </si>
  <si>
    <t>2014-03-16</t>
  </si>
  <si>
    <t>Мне вот одну пломбу не очень удачно поставили, все между зубами застревает из-за нее. Эта насадка реально лучше вычищает все.</t>
  </si>
  <si>
    <t>Очень хороший комбайн. Пользуюсь больше полугода. Коктейли получаются супер. Салаты делаем за 5 минут, когда раньше тратили не менее 10 минут. Сок из цитрусовых выжимает в пол пинка. Тока вот кубиками не режет. :( Но если вы найдете насадку для кубиков, то это он будет делать. Еще один плюс, есть контейнер, куда можно сложить все ножи и насадки.  Недостаток один. Соковыжималка для твердых вещей из него никакая. Хотя написано, что он типа выжимает сок из яблок и моркови.  Мощность в нем много, но на мой взгляд вполне хватит и 700-800 Вт. Если у вас станет выбор между Bosch MCM 5529RU и Bosch MCM 5540, берите Bosch MCM 5529RU он более практичен.</t>
  </si>
  <si>
    <t>1524</t>
  </si>
  <si>
    <t>Купил мясорубку. Жена довольна, крутит все. Насадки тёрки очень понравились.   Спасибо за совет консультанту.</t>
  </si>
  <si>
    <t>У этой модели технологический шум двигателя при наборе оборотов,при закрытой двери ванны чётко прослушивается.Ставить машинку на кухню не рекомендую.</t>
  </si>
  <si>
    <t>Щетка отличная, чистит на 10/10. Правда нужно привыкать к вибрации и к разлету зубной пасты вокруг, если пользоваться не аккуратно. А в целом супер! Простейшая в управлении и уходе. Цена за такое просто смешная!!!Берите-не пожалеете!</t>
  </si>
  <si>
    <t>Проблема выгорания плат и портов на плазмах где-то описывалась. Помню, что к этому ведет подключение "на ходу". То есть, прежде чем подключать комп по кабелю, нужно всё вырубить из сети!</t>
  </si>
  <si>
    <t>Неудобная. Какая-то громоздкая, тяжелая, шумная.</t>
  </si>
  <si>
    <t>Пользуюсь около 8 лет. Все отлично, стерлись только надписи на панели.</t>
  </si>
  <si>
    <t>184</t>
  </si>
  <si>
    <t>Телик супер. Купил и радуюсь. С помощью двух диодов ИК зашел в сервисное меню и исправил его на чтение USB флешки. Не бойтесь, все работает здорова. Кстати, версия прошивки 3.65 и поэтому избрал для себя метод с 2-мя ИК диодами.</t>
  </si>
  <si>
    <t>Весы очень плохие((( купила 4 дня назад. На следующий же день хотела идти сдавать, но сильно заболела. Сначала они вообще не включались...потом "гнали" на -+ 7 кг!!!! Когда взяла в руки 2-х литровую бутылку...показали + 4 кг!!! Ничего погрешность на 100 гр!!! Проверяю от нечего делать каждый день))) все твк же гонят!!! Не весы, а кошмар!!!!!! НЕ ПОКУПАЙТЕ!!!!</t>
  </si>
  <si>
    <t>Вполне приемлемый приборчик за свою цену, без лишних наворотов и по доступной цене. Свое знакомство в эпиляторами я начала именно с  Braun SilkEpil 1 1170.   Приборчик не большой, размером с ладошку, корпус белого цвета, на обратной стороне есть пупырышки которые предотвращают выскальзывание из рук во время работы.   В нем нет аккумулятора, работает от розетки, шнур около 3х метров.   Скорость работы всего одна, но этого достаточно.   Волоски удаляет хорошо, сначала было не очень приятно, но теперь привыкла и болевые ощущения свелись к минимуму. Насадка после использования легко снимается, чистится щеточкой. Удобно хранить, занимает мало места.   Отличный помощник в борьбе с нежелательной растительностью на протяжении многих лет.</t>
  </si>
  <si>
    <t>2845</t>
  </si>
  <si>
    <t>Достался за баллы. Если бы здесь был ассортимент, выбрал бы решение посвежее и функциональнее (модель за три-четыре года устарела). Плюсы: Дизайн - стеклянная панель, бывает двух цветов на выбор, тонкий корпус, как следствие - удобное крепление на стену, крупные пиктограммы легко распознаются, батарейки в комплекте. Довольно точные показания выносного температурного датчика. Повесил в прихожей и выносной датчик под окном. Выходя из дома можно справляться о прогнозе на день. Минусы: Скудный функционал (нет истории по замеру температур/влажности, нет отображения изменений давления), очень-очень медленные датчики, как основного модуля, так и выносного. На замер температуры уходит более получаса. Нет подсветки дисплея.</t>
  </si>
  <si>
    <t>Стал обладателем этого телефона. На вид выглядит неплохо, но при рассмотрении внимательно замечаешь, что задняя крышка пластмассовая и отходит незначительно, звонок не очень громкий. После изучения самой системы телефона выявляются минусы. Java не передаётся по блютуз, так что все, кто хочет перекинуть какие-то приложения, то им понадобится компьютер. Динамики очень тихо играют, особенно будильник, на удивление от общего звучания. Темы он не принимает и нельзя поставить другие кроме родных. Настройка самого интернета для Java приложений поставила в тупик так как приходится настраивать отдельно от общих настроек интернета. Функция кнопок тоже запутана. Народ жалуется на сбои этого телефона на форумах. Не советую его брать, если не хотите проблем. Цена не соответствует качеству.</t>
  </si>
  <si>
    <t>Взяли чайник на время. Работает 3 месяца. Пока нет повода заменять. Пластиком не пахнет. Приятно удивлена качеством недорого чайника.</t>
  </si>
  <si>
    <t>отличная модель, удобный.</t>
  </si>
  <si>
    <t>Не покупайте эту машину, моет она не очень. При том почти сразу стал барахлить выбор программ, но мыла на одной, а через 1.5 года сломался насос. Нет смысла покупать дорогую машину, если ломаются они все одинаково, лучше остановить свой выбор на более дешевой моделе.</t>
  </si>
  <si>
    <t>Эпилятор отличный. Боль терпимая.Все гладко и чисто.Рекомендую.</t>
  </si>
  <si>
    <t>Пользуемся всего месяц. Пока полет нормальный. Хорошо, что уровень заряда отображается на дисплее. Разряд аккумулятора не застанет врасплох. Если бы не минусы, о которых я написал, то был бы вообще прекрасный аппарат. Отсутствие подсветки клавиатуры я минусом не считаю. Скорее это было бы приятное дополнение.    Симпатичный, звоночек достаточно громкий, хотя мог бы быть и чуток погромче (у меня пониженный слух). Качество звука при разговоре на высоте. Хороший дисплей с приятной для глаз подсветкой, отображение уровня принимаемого сигнала и оставшегося заряда АКБ.    Главный минус - ну очень громоздкая процедура переброски звонка на другую трубку. Ею из-за запутанности вообще не пользуемся. Проще прийти и передать трубку из рук в руки. Раньше на панасониках была ясная и понятная кнопка INT, после нажатия которой нужно было ввести номер трубки, на которую идет переброс. Но у программописак чешутся руки все "обновить" и сделать по их мнению круче. Вышло наоборот. Не поддерживается мультибазовость. Протокол DECT кривенький,- от базы трубки регулярно "отваливаются" на короткое время. Так что только с родной базой приходится их использовать.</t>
  </si>
  <si>
    <t>Очень хорошая печка, работает уже не первый год. Проста в управлении, вот только низ не печет, а так все супер.</t>
  </si>
  <si>
    <t>Я доволен аппаратом. Не смотря на его постоянные глюки ОС Windows Mobile. Много на него программ почти бесплатных и вовсе не нужных. Навигатор из него клевый не заблудишься. Брал на море фотки получились ужасные плохая цветопередача. Звонил шеф с работы - недозвонился он был в чехле. Клевая вещь.</t>
  </si>
  <si>
    <t>Неплохой фотоаппарат, довольно просто разобраться в его функциях, снимки хорошие, если не трясутся ручки во время съёмок. Видео тоже для фотоаппарата очень даже ничего, довольно качественное, звук нормальный.  К сожалению, в комплекте не было AV-кабеля. Особо он и не нужен, но как-то немного обидно.</t>
  </si>
  <si>
    <t>Очень нравится!!!тихая!стильная!удобная!!!советую всем!!!читала отзывы про стекло ,взрывы....но купила и не пожалела!!!!прекрасная покупка!!!!!</t>
  </si>
  <si>
    <t>Наушники, в моем случае, подключены к компьютеру. Пользуюсь ими уже более 3х лет. Я довольна,т.к. за эти деньги лучшего не найти, да и не надо! Аккумуляторов хватает на продолжительный срок(в моем случае дней на 6-10, при этом я сижу за компьютером по  2-3часа в день). Естественно-это не радио наушники, поэтому необходимо чтобы ик-порт был в прямой видимости(через препятствия звук не проникнет). Лично у меня все замечательно, а то что мешает свет(приборов использующих лампочки у меня более чем предостаточно)- это чушь, уж поверьте!</t>
  </si>
  <si>
    <t>1) Функционал хороший за эти деньги . Сделана качественно по сравнению с другими .2) не понравился внешний вид,доработать бы.</t>
  </si>
  <si>
    <t>Я бы не сказал что вытяжка очень тихая. Но дует правда хорошо, в комплекте был штуцер на 100мм, купил штуцер металический на 120мм и гофру металлическую тоже на 120, большее сечение меньше сопротивление. штуцер на герметик к самой вытяжке. дует очень хорошо не смотря на то что в гофре 2 угла 90 градусов. Даже на 1 скорости.     Сделана коряво, метал хлипкий, задняя направляющая изначально была погнута и нижняя крышка болталась, пришлось выгибать самостоятельно.     Цена радует, думал будет хуже. Покупалась на кухню в хрущевке.</t>
  </si>
  <si>
    <t>Вытяжка красивая, современная. Но есть множество НО: 1) при установке муж измучился, подлезть очень тяжело 2) она включается автоматически. Сначала можно подумать, что это плюс, НО когда спишь и она сама по себе включается понимаешь, что ничего хорошего. И таких случаев случаев очень много было. Как-то вернулись с работы домой, а она работает и неизвестно сколько это длилось. 3) сенсор не всегда срабатывает на выключение.</t>
  </si>
  <si>
    <t>Вчера приобрела сей аппарат. Просто супер. Я в восторге. Очень мощный пылесос. Вроде каждый день убираюсь, а столько пыли и грязи в контейнере оказалось.  Немного смутило то, что  на корпусе пылесоса нет кнопочки типа вкл/выкл. Управление на ручке(включение, выключение, регулировка мощности).   Заказывала здесь - в интернет-магазине. Цвет не такой как на фото. Тёмно-бордовый. Очень красиво смотрится.</t>
  </si>
  <si>
    <t>кто-нибудь в курсе, как разбить винт на несколько разделов, что-то никак не получается</t>
  </si>
  <si>
    <t>Замечательный чайник за свои деньги. Строгий дизайн. Хорошее качество пластика. Удобная антискользящая накладка на ручке.</t>
  </si>
  <si>
    <t>Стирает нормально,чуть шумновато работает помпа,и не понравилось что постоянно щелкает реле когда срабатывает реверс двигателя,могли бы уже и электронное управление приделать.Да и транспортировочная защита больно уж мудреная-штыри назад проблемно засунуть.</t>
  </si>
  <si>
    <t>Телефон хороший, купил давно, сейчас лежит на полке =)  В ремонт никогда не носил, были проблемы с картой памяти на 8гб, пришлось ставить 4гб.  Минус в задней крышке, после нескольких падений она перестала спокойно держаться и выпадала прямо из рук.  Спас чехол, а в принципе телефон хороший.</t>
  </si>
  <si>
    <t>1532</t>
  </si>
  <si>
    <t>2014-03-24</t>
  </si>
  <si>
    <t>Пользуемся данным агрегатом чуть больше года. Пользуемся почти ежедневно - готовим сок на 3 человек по стаканчику, гостей тоже потчуем. Радует удобство: фрукты и овощи не нужно резать. Соки делали из груш, яблок, киви, моркови, свеклы, цитрусовых, винограда - все получается мгновенно и без проблем.Да есть пена, и не получился сок из банана, но нас это не огорчает.Радует, что она надежно делает свое дело и через год как в первый день. Если делать заготовку сока в больших объемах, есть заминка с объемом чаши - нужно останавливаться и освобождать. Ну а для ежедневного использования просто любимая вещь (кстати благодаря специальной щеточке удобно мыть сетку). Рекомендую</t>
  </si>
  <si>
    <t>хорошая машина, взял для учебы, сейчас решил поставить видео, не знаю как. кто знает как отключить встроенную и надо ли ее вообще отключать, напишите по возможности. очень признателен буду</t>
  </si>
  <si>
    <t>Классная флешка, у меня все флешки только Кингстон. Сколько лет пользуюсь, никогда никаких проблем с ней не было. Скорость умеренная, но, согласитесь и цена совершенно не заоблачная. Как по мне, так цена вполне соответствует качеству. А качество тут и правда отменное.</t>
  </si>
  <si>
    <t>Был в командировке в Москве, так жалею что не купил  эту машину (ноутбук). Денег не хватило, надеюсь возьму его в следующий приезд.</t>
  </si>
  <si>
    <t>Года 3 назад купил, ни разу не пожалел. Рекоммендую!</t>
  </si>
  <si>
    <t>98</t>
  </si>
  <si>
    <t>Купил телефон пол года назад, конечно очень разочаровался, за такую цену могли бы и больше примочек насовать!!!!!! Для меня конечно деньги не проблема, но ожидал большего!!!! Теперь думаю купить нокиа Н9000, надеюсь не разочаруюсь!!!!</t>
  </si>
  <si>
    <t>Не берите, ни в коем случае!  Сначала оторвался шнурок крепления, затем сломались крепления к ушам!  Даже неделю не проносил</t>
  </si>
  <si>
    <t>Купил эту модель на новый год, устраивает все и даже процессор M300 не такой уж и слабый по отношению к видеокарте да и системе в целом. Единственный минус - до сих пор не могу обновить W7 Home Basic, выдает ошибку, поддержка майкрософт молчит, жду ответа от ASUS.</t>
  </si>
  <si>
    <t>Контейнер приходится вытряхивать после каждой комнаты, т.к мощность всасывания падает. Очистка фильтра жуть. Через год использования сломалась пластмассовая трубка.</t>
  </si>
  <si>
    <t>2247</t>
  </si>
  <si>
    <t>Очень даже ничего телевизор,цена пусть не смущает.Разрешение конечно не самое большое,до 1024 на 768,но качество от этого не страдает,картинка равномерная и с неплохой детализированностью.  Фронтальные колонки конечно не крутые,вообще встроенный звук,яркий пример-ноутбуки,мягко говоря не хороший.Хотя это для меня,в принципе эта акустика нормальная для нетребовательных.Но я люблю крутой звук,поэтому приобрел отдельную систему.  Меню на русском,SD есть,стоп кадр.Очень хорошая функциональность за недорого)</t>
  </si>
  <si>
    <t>Пользуюсь этой плитой 2 года,все отлично!!!</t>
  </si>
  <si>
    <t>Потенциальному покупателю (Новокузнецк):  Если комната затемнена хотя-бы с помощью тканевых жалюзи и панель не смотрит прямиком на окно и прочие источники света, то отсутствие антиблика просмотру не мешает и кайф не обламывает, по личному опыту.</t>
  </si>
  <si>
    <t>По-моему, очень выгодный вид машинки для стрижки волос - как-никак сочетание качества от Панасоник с выгодной ценой, грех пройти мимо такой модели. Прикупил и пользуюсь ею уже полгода, никаких помех в работе не было, остался доволен. Стрижет хорошо, равномерно, если наловчиться конечно. Можно ножи спокойно под водой промыть, что очень удобно. Насадки удобные, качественные. Вообще машинку удобно держать в руке, материал такой, что ничего не скользит, крепко держится. Есть еще и триммер встроенный. Ставлю обычно на зарядку ночью, зато потом могу хоть до часу в совокупности использовать - с аккумулятором проблем никогда не было. В целом доволен, храню в фирменном футляре, благо он в комплектации, к тому же еще и с маслом специальным для смазки.</t>
  </si>
  <si>
    <t>Вот насчет батареи могу сказать, что заряда хватает часов на 5 при постоянной эксплуатации.</t>
  </si>
  <si>
    <t>Отличная машинка! Работает без нареканий. Легко чистится, легко промывается. Удобна в эксплуатации на 100 %</t>
  </si>
  <si>
    <t>2015-09-26</t>
  </si>
  <si>
    <t>куплена осенью 2011  умерла осенью 2014  всё абсолютно также как писали ранее: износ втулки (ближней к крыльчатке)-&gt;гул-&gt;скрежет-&gt;ступор  чистка и смазка в этом случае помогает на день-два... потом на полдня-день... а потом уже совсем не помогает  в сервисе есть запчасти только мотор (100$) и мотор в сборе с крыльчаткой (150$)... втулок нет)))</t>
  </si>
  <si>
    <t>телефон - просто класс, за такую цену просто офигеть, пользуюсь 2 месяца и очень доволен меню, я привык к флай б700, а он сломался - на замену класс.</t>
  </si>
  <si>
    <t>Вроде бы всем не плох, вот уже почти 3 года эксплуатации и нареканий никаких. Но добивает шум, издаваемый при нагревании воды. От моего предыдущего чайника tefal шума было намного меньше, правда, он и спиральный был, может, все дело в этом...</t>
  </si>
  <si>
    <t>Приобретен в М-Видео в начале февраля. Через HDMI-кабель подключен к компьютеру, разрешение 1920x1080 Пикс(FullHD). Картинка сочная и "живая", монитор компьютера 22" не смотрится после ЖК-шки. С флэшки читает все, но вот фильмы немного подтормаживают (возможно версию прошивки нужно обновить). HDTV и Blue-ray фильмы смотрятся шикарно, пересмотрел уже пару десятков фильмов. Дизайн TV стильный и в интерьер квартиры хорошо вписался. Диагональ 42" после некоторого времени пользования стала маловата, 47"(50") была бы в самый раз, но это на любителя.  По TV вещанию (TV каналы почти не смотрю) поэтому могу сказать только, что показывает хорошо, без помех и шумов. Звук в TV также заслуживает похвалы.  Цена - качество, телевизором доволен!</t>
  </si>
  <si>
    <t>Машинка хорошая, срок эксплуатации стиральной машины семь лет, столько она вам и проработает ))))</t>
  </si>
  <si>
    <t>Первый коммуникатор в пользовании. Купил месяц назад, проблем пока не было. Огромный плюс цена.  За такие деньги, такой аппарат просто не найти. Поддержим отечественного производителя :-)</t>
  </si>
  <si>
    <t>Все четко!Никаких шумов! Отличные наушники басов вполне хватает)на 8 баллов из 10)Советую, не пожалеете!</t>
  </si>
  <si>
    <t>В описании написано что :  Габаритные размеры (В*Ш*Г)		595*595*564 мм	  Размер ниши (В*Ш*Г)		600*560*550 мм  Как может быть ширина ниши 56 см если ширина духовки 59,5 см ?</t>
  </si>
  <si>
    <t>Купили пылесос и сразу же решили насладиться покупкой, прочитали инструкцию, залили воды (кстати оказалось странным, что объем резервуара для воды 6 литров, а наливать туда надо только до 1,5л), да действительно, на высокой мощности ковер прилипает к щетке, что затрудняет легкое движение вперед-назад, поэтому приходиться двигать щеткой, по возможности, только в одном направлении - на себя - так удобнее!   Пропылесосили - результат нас обрадовал, так как в доме имеется собака, вся шерсть с ковра, с легкостью, оказалась внутри бака. Правда, если Вы привыкли к телескопической трубке, на которой находится регулировка мощности, то взяв в руки эту телескопическую трубку, палец невольно будет скользить по клапану, который открывает отверстие в этой трубке. К этому надо привыкнуть.   Мне очень понравилось, что воздух, выходящий из пылесоса, чистый, так как пыль находиться в воде, что очень хорошо для тех, кто склонен к аллергии и у кого есть маленькие дети. Единственный недостаток этого пылесоса в том, что на нем нет приспособления для крепления телескопической трубки к пылесосу, поэтому хранить его в собранном виде не удобно, так как трубка лежит рядом на полу, приходится её постоянно отсоединять от пылесоса.   Да, ещё через неделю использования, на основной щетке отпали колёсики (они там не крепко крепятся), но можно пылесосить и без них, мне кажется, так даже легче пылесосить стало. А в основном, нам очень понравился - рекомендую!</t>
  </si>
  <si>
    <t>2011-08-23</t>
  </si>
  <si>
    <t>Купил пылесос-ZELMER для своего небольшого офиса. У меня ковролин 36 м2, и нужно это дело мыть соответственно, потому что проходимость приличная и зимой и летом. Уборщица 2 раза в неделю мучается с этим отвратительным чудовищем на колесах!!! В первую неделю забились все форсунки-распылители воды, купили новые за бешеные деньги за жалкие плассмаски и все равно забились! Трубка для подачи воды перегибается и перекручивается, с водой не удобно его передвигать. Для влажной уборки абсолютно не пригоден. Моет плохо, практически не распыляет воду, конструкция не надежная, трубы покрылись ржавчиной. Сменили 8 форсунок и все они опять капают еле-еле.Через год сломался насос подачи воды. Думаю о покупке нового. Если кому нужен - отдам за сдельную цену на запчасти!!!</t>
  </si>
  <si>
    <t>1024</t>
  </si>
  <si>
    <t>Пользуюсь этим эпилятором уже 6 лет, проблем с ним никогда не возникало. Со своей основной задачей модель Braun SilkEpil 1 1170 справляется хорошо, ножки выглядят гладкими и ухоженными. В комплекте нет никаких дополнительных насадок, но мне они и не нужны, есть удобная щеточка для чистки. У эпилятора одна скорость, и одна основная насадка с 20 маленькими пинцетиками, можно использовать для удаления нежелательных волос на ногах, зоне бикини и подмышками. Весь процесс раньше занимал примерно 30-40 минут, использовала эпилятор 1-2 раз в неделю, через несколько лет трачу всего 15-20 минут и повторяю процедуру 1-2 раза в месяц. При отрастании волос, нет эффекта "щетины", волоски более мягкие, отрастают медленнее. Чтобы предотвратить врастание волосков, пользуюсь скрабом для тела. Хорошая и надежная модель за приемлемые деньги. Кто любит экономить-данная модель для Вас!</t>
  </si>
  <si>
    <t>Что удивило в чайнике, так это пластиковые заглушки внутри.Носик для подачи воды казался маленьким, но на удивление, вода при наливе не разливалась. А в целом довольна.</t>
  </si>
  <si>
    <t>Больше года пользуюсь этим телефоном.   Очень хорошая громкость. Клавиши удобные.   Меню простое и понятное. Блокировка клавиатуры снимается немного муторно. Заряда хватает на несколько дней.  Фотографии получаются хорошие, видео тоже хорошее.   Супер-качества фото и видео от любого мобильного, да и от коммуникатора (НТС у мужа) не стоит ждать по сравнению со специально предназначенными для фото- и видео девайсами.</t>
  </si>
  <si>
    <t>Аппарат требует усовершенствования. Почему нет продолжение данной линейки аппаратов. Ведь он всем хорош и подойдет любителям интернета. Ему не хватает нового дизайна и хорошего графического интерфейса рабочего стола. Акер мало настраиваем под пользователя а это их упущение. Мало программ бесплатных поставляется в прошивки. Аппарат надежный без глюков и без проблем, а если они и появятся для этого есть кнопка перезагрузки и переустановка полностью прошивки прям с коммуникатора. Берите его не задумывайтесь он того стоит.</t>
  </si>
  <si>
    <t>Отличная тяга. Удобный доступ к мешку, в отличие от "Витька". Фильтры простоваты, но зато их также просто промывать, в отличие от Боша с пластиковым  контейнером для пыли (ох запарился чистить фильтры тонкой очистки). Регулировки мощности нет, но нафиг она нужна? На том же Боше - регулятор всегда стоит в положении "эконом", а это вообще ватт примерно 900! Все у этого Самсунга сделано хорошо. Пластик качественный. Вобщем - просто нормальный пылесос. Дизайн на пятерку.</t>
  </si>
  <si>
    <t>Стрижет отлично, не рвет волосы и работает не громко.</t>
  </si>
  <si>
    <t>1003</t>
  </si>
  <si>
    <t>Очень простой монтаж, если делать все по инструкции; долго держит тепло; удобное управление температурой</t>
  </si>
  <si>
    <t>Пылесос хороший, но насадок там не 5. Я насчитала всего 3(((</t>
  </si>
  <si>
    <t>Телевизор купил вчера. Изображение отличное. Подключал к ноутбуку, смотрел видео в формате FULL HD - это просто супер. С DVD так же картинка отличная, хоть и с меньшим разрешением. Боялся, что качество эфирных каналов будет не очень хорошим, но был приятно удивлен когда настроил. Изображение конечно не цифрового качества и уж точно не FULL HD, но я остался доволен, так как помехи, которые присутствовали на старом ЭЛТ SONY 25", исчезли, картинка чистая, без помех, цвета сочные и не смазываются. Звук так же на высоте, не бубнит и да же при низком уровне громкости, четкий и чистый. Множество всевозможных разъемов, на все случаи жизни. Вобщем, отличный ЖК телевизор. Рекомендую.</t>
  </si>
  <si>
    <t>2012-01-02</t>
  </si>
  <si>
    <t>Отличный аппарат!2 года ежедневного использования,работает как часы,рекомендую всем.  из минусов-отсутствие внешнего датчика уровня воды(неудобно).</t>
  </si>
  <si>
    <t>2011-03-04</t>
  </si>
  <si>
    <t>Из плюсов:  - устанавливал сам, все предельно просто и понятно описано;  - смотрится стильно, особенно в работе горелка с тройным рассекателем;  - расположение комфорок удачное, т.к. если горелку с тройным рассекателем вынести на передний план, то будут сильно греться ручки;  - чугунная решетка из двух половинок.  Из минусов:  - придется менять сопла (имеются в комплекте, маркировку см. в инструкции), т.к. иначе мощность горелок будет еще ниже, однако для их замены нужен специфический торцовый ключ на 7.</t>
  </si>
  <si>
    <t>Хороший пылесос,единственный минус - нет щетки для мебели, огорчило.</t>
  </si>
  <si>
    <t>Стираю этой машинкой 8 месяцев, без сбоев.</t>
  </si>
  <si>
    <t>У меня этот термопот работает уже 2 года. Всё отлично! Вначале у воды был запах пластика, потом исчез. Нам эти 3 литра хватает на день. Вечером заливаю новую воду, утром можно завтракать по-быстрому. Можно кнопкой включить кипячение, а если холодную воду зальешь, то он автоматически включается. Было пару раз такое, что стал включать кипячение сам по себе. Я его почистила от накипи и опять работает исправно. Воду заливаем фильтрованную, но накипь всё равно потихоньку образуется. Главное, очищать вовремя, не запускать. Хочу еще купить такой для дачи.</t>
  </si>
  <si>
    <t>объем, смотрится хорошо, по цвету подходит</t>
  </si>
  <si>
    <t>Весами пользовалась около года, но с тех пор как села родная батарейка (которая шла с весами) я задолбалась менять батарейки. Какие только не брала и недорогие, и дорогущие по 400-600 тенге за штуку - они все равно быстро садились. Раньше, когда садилась батарея весы какими-то символами сообщали мне об этом на дисплее. Последнее время они стали просто гаснуть без предупреждения. И вот теперь они вообще перестали включаться.  Жалею, что не купила механические. Лично я с этой электроникой только нервы трепала и деньги переводила на бесконечные батарейки. Даже чинить их не хочу. ((((((((</t>
  </si>
  <si>
    <t>2321</t>
  </si>
  <si>
    <t>Телевизор просто отличный, цена-качество соответствует!!!! Спасибо в общем всему М-видео!!!! Мы довольны всеми товарами, которые приобретались у вас!!!!       p.s. - Тимур(Новосибирск) поменяйте в режимах с авто на любой другой- режим, а т.к. он на авто стоит по этому подбирает режим к каждому каналу.</t>
  </si>
  <si>
    <t>Из плюсов - экран 15.6 , строгий дизайн,нормальный процессор.Из минусов - плохо видно буквы на кнопках,отсутствие блютуза,всего 2 юсби разъёма,отсутствие встроенной камеры. Но в общем доволен (поскольку цена-качество на 100%).</t>
  </si>
  <si>
    <t>253</t>
  </si>
  <si>
    <t>2011-02-22</t>
  </si>
  <si>
    <t>суперхолодильник. купили, рады до безумия. впереди лето и в него влезет все - фрукты и минералка, мороженое. дверцы сами сняли. заняло 15 минут. в инструкции все написано.</t>
  </si>
  <si>
    <t>548</t>
  </si>
  <si>
    <t>Первый отечественный фильм со звуком DTS-HD 7.1!</t>
  </si>
  <si>
    <t>Все легко и просто</t>
  </si>
  <si>
    <t>Лучшая микроволновка. В семье две стоит. Одной больше двух лет, другой больше года. Нареканий не было. Используется ежедневно. Кнопки удобные. И выбиралось чтоб без сенсора а таких моделей уже мало. Оценка 5+</t>
  </si>
  <si>
    <t>используем полтора года, работает отлично, моется быстро. Получается делать сок даже из гранатов!</t>
  </si>
  <si>
    <t>Купила в марте . Использовала очень редко, где то 6-7 раз морковь порезать , а вчера буквально рассыпался - отвалилась какая то пластмассовая штучка , куда заходит насадка. Понесу обратно в магазин.</t>
  </si>
  <si>
    <t>Достоинства: небольшой размер рециркуляция конденсата пульт упраления быстрое охлаждение. Недостатки: нет. Комментарий: Очень хороший кондиционер просто спаситель в жаркие дни, работает исправно, конденсат практически не нужно сливать, охлаждает просто моментально!</t>
  </si>
  <si>
    <t>1029</t>
  </si>
  <si>
    <t>Пылесос плохой . Качество пласмасовых труб и всего низкое . Не стоит тех денег . Пользуюсь 8 месяцев . Каждый раз только с плохими словами .</t>
  </si>
  <si>
    <t>1795</t>
  </si>
  <si>
    <t>Прекрасная вещь для труднодоступных мест! Если где что подравнять, хорош для лица и для линии бикини. У меня более старая модель. Пользуюсь уже года 4. Супер! Очень довольна!</t>
  </si>
  <si>
    <t>Аналогичная проблема, не советую данную модель никому! Тепеоь ждем замены.</t>
  </si>
  <si>
    <t>Приобрели вытяжку еще летом. Используем режим "рециркуляции", пока фильтр даже не меняли, хотя уже прошло около полугода. В качестве совета остальным, после окончания приготовления оставить вытяжку в рабочем режиме еще на пару минут, чтобы фильтр продуло свежим воздухом и он немного подсох. За счет этого дольше прослужит.  Тянет очень хорошо, никакие запахи не распространяются по квартире. Влага поглощается тоже неплохо. Немного шумновата, но это относится ко всем вытяжкам, поэтому минусом я бы это не назвала.   Оцениваю на твердую пятерку. Очень довольны покупкой.</t>
  </si>
  <si>
    <t>2012-09-21</t>
  </si>
  <si>
    <t>Берёт на 4 км с небольшими склонами и лесом, зарядки хватает на 1-1,5 суток, смотря как часто общаться(акумы в комплекте не мощные идут ,от них много не стоит ждать) рацией пользовался под моросящим дождём на рыбалке, пару раз ронял не слабо, пока что жива. Рацией пользуюсь около года, аппаратом доволен.Что касается отношения цены к качеству дал бы 4+.</t>
  </si>
  <si>
    <t>Пользуюсь уже 1,5 года, никаких проблем не выявлено. Басы на высшем уровне. Довольно крепкие: ежедневное использование - провода в норме, посторонних признаков не наблюдается. Еще бы цена не поднялась, брал за 650р также в М-Видео</t>
  </si>
  <si>
    <t>2015-11-16</t>
  </si>
  <si>
    <t>Покупала давно (может года 2 -3 назад), так что на счет запаха сейчас не вспомню, может первоначально и пах, но сейчас нет точно никаких запахов. Может конечно я не столь чувствительна к запахам, но приходили неоднократно гости, тоже жалоб на запах не поступало. Осталась полностью довольная, при использовании этой осенью на даче. Быстро прогревает комнату, тихий, работать мог всю ночь и не беспокоил..  Никаких нареканий в его сторону нет) Еще бы пользовалась и пользовалась, если б не сломался б нагревательный элемент, после падения(</t>
  </si>
  <si>
    <t>2818</t>
  </si>
  <si>
    <t>Пользуюсь 4 месяца - нареканий пока нет, действительно хорошо выпрямляет и не цепляет волосы.  Разве что на самой минимальной температуре - он почему то ну ОЧЕНЬ горячий же.Регулятором даже не пользуюсь - если он на самой низкой так жарит, там дальше наверное вообще языки пламени от волос пойдут? Вот это очень странно.</t>
  </si>
  <si>
    <t>Купил электробигуди жене в подарок. Подарок не получился, бигуди не держатся,постоянно раскручиваются,завивка держится минут 15, не больше. Очередная вещь для сбора пыли на полке. Пользоваться невозможно,выбросить жалко.</t>
  </si>
  <si>
    <t>Используем второй год, работает исправно, все устраивает!</t>
  </si>
  <si>
    <t>Игра работает с высокой частотой кадров даже на высоком качестве графики. Но есть минусы. В игре слишком много видеороликов, а если их пропускать - то игра будет вдвое короче. Сглаживание хоть и включено в настройках, но оно не дает результата - контуры не ровные даже на разрешении 1920х1080. И к тому же в игре много внимания уделено не криминалу, а направлению 18+. Очень уж много "Плэйбоя" и девушек в роликах</t>
  </si>
  <si>
    <t>Купил я рации своим детям для походов. Читал с начало отзывы. Немного пугали плохие комментарии. Но купил всё равно и не разочаровался. За эти деньги работает нормально. Качество звука чётко разборчивое, громкость чуть ниже среднего. С кнопками настройки, немного муторно через чур мягкие. Настраивать рации лучше дома по инструкции.</t>
  </si>
  <si>
    <t>Машинка сделана качественно. Насадка на 6мм почему-то слегка болтается. По сравнению с филипсом за 690, потяжелее будет. Видимо на обмотке и на движке не экономили. Волосы (на бороде) не рвет, нареканий нет.</t>
  </si>
  <si>
    <t>2014-12-27</t>
  </si>
  <si>
    <t>Пишу еще, чтобы другие не наступали на эти же грабли. Транспортировочных болтов 3 штуки, верхний самый большой. Обязательно удаляйте и красную (думала заглушка или прокладка). Так вот она как раз длиной 5 см пластиковая и об нее стучит барабан при отжиме. Все удалила. Машинку почти не слышно!!! Рекомендую покупать!!!</t>
  </si>
  <si>
    <t>минусы это отсутствие средней терки, шумная, продукты остаются под крышкой, в общем помаяться еще как можно) из плюсов: режет хорошо, кубики супер (но тоже маета в том что надо все разобрать и пропихнуть продукт в решетке, все сыпется и валится мимо) коктейли тоже хорошо, единственное что не понятно так это остальные насадки, но с этим надо разбираться, в инструкции мало что мне понятно</t>
  </si>
  <si>
    <t>Пылесос моющий, классный. Купила год назад и очень довольна.</t>
  </si>
  <si>
    <t>BigGuy (Владикавказ)   - если жесткий диск выдал 5.9 баллов, это не значит что он медленный, ОН КРУТИТСЯ НА ПОЛНОЙ, ЖЕСТКИЙ ДИСК БОЛЬШЕ 5.9 БАЛЛОВ НЕ ВЫ-ДА-ЕТ!!!!    По мне - ноутбук шикарен, ноутбук с более крутой начинкой, хммм, найти очень трудно.  8 гигов оперативки, 1280 гигов памяти, видео карта... Ну нет лучше... НЕТУ!   На данный момент - НЕТ!!!</t>
  </si>
  <si>
    <t>Пользуюсь феном около 5 лет, нареканий нет. Не перегревается, при длительной сушке (волосы у меня длинные). Правда насадкой  "диффузор" не пользуюсь. Объём не держится после укладки, да и эффект мокрых волос так себе получается. А в целом неплохой фен.</t>
  </si>
  <si>
    <t>купили чайник 17 апреля, сейчас 8 июля...по стыку нижней и верхней части чайника вылезла накипь, потек т.е., пойду менять, а так он был ничего, правда очень шумный и воду как будто бы не доводил до кипения, пьешь чай а он холодный...</t>
  </si>
  <si>
    <t>Купил месяц назад,поставил в седан,качает очень качественно,звук чистый остается только в машине,на улице не играет.Очень даволен.А по качеству звука многое зависит от настроек усилителя,лучше доверять профессионалам и подбирать качественные диски.Но настроить можно и под любую музыку.</t>
  </si>
  <si>
    <t>У меня все нормально, цена деления 100г, брал в Мвидео, весами доволен, из электронных самые дешевые, и не врут, погрешность вроде действительно 100г. В итоге: простенькие, надежные, не врут, циферблат работает хорошо, не тупит, а самое главное дешевые, советую!  Сначала взял весы фирмы "Марта" (вроде не путаю) в другом магазине, так пришлось вернуть, врали просто ппц то 75,6 то 73 показывали, а сам 77.1</t>
  </si>
  <si>
    <t>Машинка хорошая, в общем бреет хорошо и чисто, но по одному месту нужно провести несколько раз, что бы не оставила единичных волосинок...в плюс большое количество насадок...на мытьё под струёй воды уходит пара минут..для использование в домашних условиях идеальный вариант..</t>
  </si>
  <si>
    <t>Твитеры по деньгам слабоваты, кто не особо сечёт в звуке - не меломан, посоветую купить их, не дорого и нормально. Устанавливать советую на торпеду по углам так чтобы твитеры смотрели вверх на лобовое стекло, соответственно звук отражается и попадает куда надо! В других местах их почти не слышно.</t>
  </si>
  <si>
    <t>Приобрели  для повзрослевшей дочери (12 лет) - это первый прибор данного типа в нашей семье. Дочь довольна,  результат превосходный, прибор не только прост в эксплуатации, но и очень надёжный и безопасный, что немало важно при использовании детьми. Решайте сами брать дешёвый или дорогой выпрямитель- мы данной моделью довольны на все 100%.</t>
  </si>
  <si>
    <t>1510</t>
  </si>
  <si>
    <t>просто отличный компьютер</t>
  </si>
  <si>
    <t>Согласен с предыдущими отзывами: легкий, быстро раскладывается, компактен, чехол в комплекте. Чуток бы его подешевле.. Покупал для видеокамеры..</t>
  </si>
  <si>
    <t>2013-10-22</t>
  </si>
  <si>
    <t>Бигуди полный отстой. Зря не придала значения плохим отзывам. Даже если заменить шпильки, то завитков особо не наблюдала, а если они и есть, то минут на 10 хватает. Потом только кончики волос похожи на мочалку. Минус 1 000 000 баллов. Однозначно не рекомендую</t>
  </si>
  <si>
    <t>Чёрный цвет отлично смотрится и дизайн симпатичный,работает хорошо(особенно на 3 скорости),почти бесшумный,я довольна.</t>
  </si>
  <si>
    <t>657</t>
  </si>
  <si>
    <t>Вторую неделю хожу с Android 2.2. Офицальная прошивка 2.1 помедленей. Проблем акромя батареии нет. Сутки для него потолок. Но аппарат отличный. От асера не ожидал.</t>
  </si>
  <si>
    <t>Покупали специально для фондю. Вещь отличная, пользуемся уже 1,5 года. Рекомендую всем кто любит фондю (т.к. традиционные наборы для фондю - это мучение!)</t>
  </si>
  <si>
    <t>3062</t>
  </si>
  <si>
    <t>телефоном категорически доволен, мне он так понравился, что наверное возьму такой же еще раз.    по косякам. с момента покупки в декабре 08 до первого визита в сервис, иногда произвольно перезагружался. после ремонта глючить перестал вообще.    по ремонтам: первый раз я в поезде отлежал на нем кнопки, второй раз у меня отошел разъем гарнитуры-зарядки, третий (сейчас) раз - опять же стал отходить разъем гарнитуры-зарядки, причем как-то утром я вытащил из него зарядку "в последний раз" - с гнездом. примечание: прожил телефон уже почти полтора года, каждый день я на ночь ставил подзаряжаться, утром вставлял гарнитуру, вечером ее соответственно вынимал и вставлял зарядку.</t>
  </si>
  <si>
    <t>есть стирка 15 минут- ЗДОРОВО!</t>
  </si>
  <si>
    <t>Купили прмерно год назад,работает нормально.Немного слабоват мотор а так всё устраевает.</t>
  </si>
  <si>
    <t>Очень классная игруха. Советую всем !!!</t>
  </si>
  <si>
    <t>Многие в отзывах об iPod говорят что стандартные наушники плохи и что их сразу же приходится менять! Друзья мои! Это брехня! Купите себе паралоновые насадки на них (15р за 6шт) - звук офигенный! У меня были Sennheiser CX-300-2 за ту же цену. Они громче - это их единственное преимущество, зато они быстрее сажают батарею. Кто-то считает что вакуумные затычки лучше передают звук. Для меня не факт!  Единственный недостаток Appl'овких ушей - белый цвет! Меня он бесит! Мечтаю найти уши такого-же качества звука, но черного цвета! Пока все тщетно! Sennheiser валяется в ящике стола уже пол года, использовал всего пару раз!</t>
  </si>
  <si>
    <t>Отличный фен, у меня по счету уже 5 такой,т.к постоянно ломается контакт у основания провода, пыталась найти аналог другой фирмы- нету..</t>
  </si>
  <si>
    <t>Айфоны это уже целая культура и чеовеку впервые столкнувшемуся с выбором что брать ? Айфон или ....... стоит задуматься что ты Хочешь от своего телефона/коммуникатора Айфон это отличный выбор, простое несложное меню, только регистрация телефона может вызвать некоторые сложности но все решаемо есть Appll магизинчики в которых тебе помогут сделать правильную настройку в остальном все сложности заканчиваются, Телефон плеер, планировщик задач, Звонок быстрого меню Любимая,Boss,все одним нажатием клавиши, Небольшой недостаток пожалуй в том что мелодии по 30 бесплатно можно закаать, но для меня это не проблема и ничуть не смутило, Куча приложений как платных так и бесплатных, два цвета черный белый Классика ничего лишнего. Нравится телефон.    А вот что касаемо других производителей, то даже рядом не стоят нокия со своими кирпичами, HTC со своей мега моделью HD2 никому ненужной кстати пользовался этой моделью 2 месяца потом не выдержал продал ! Это ж надо додуматься чтобы в активном режиме батарея за 5 часов полностью садилась !!!?</t>
  </si>
  <si>
    <t>Пылесосу десять лет,работает отлично.Первый этаж 120 метров,моем только пылесосом.Никакими тряпками и швабрами песок так не убрать.</t>
  </si>
  <si>
    <t>2015-09-15</t>
  </si>
  <si>
    <t>Очень долго не могли выбрать подходящую модель, так как большинство газовых плит все-таки уступают по внешним характеристикам сенсорным, а хотелось красоты.   Данная модель прекрасно "вписалась" в интерьер и радует глаз ежедневно)  После старенького Гефеста эта плита как БМВ после Жигули)   Автоподжиг, программатор на каждую комфорку (можно установить время и уйти, плита сама выключится), в том числе и на духову.   Очень понравился газовый гриль!     Еще и купили плиту по акции) вдвойне довольны.     Всем советуем!</t>
  </si>
  <si>
    <t>Показывают постоянно разный вес.Включаются не с первого раза.Даже если стоят пустые то попеременно показывают то 5 гр,то 8 гр.И это за такие деньги,они и бесплатно не нужны!</t>
  </si>
  <si>
    <t>При том, что утюг небольшой и все таки дорожный, справляется он бывает и с трудными вещами, на которые и с обычным много сил уйти может. Отпариватель отличный.</t>
  </si>
  <si>
    <t>1101</t>
  </si>
  <si>
    <t>Отличная вещь за такие деньги.  Простой и универсальный: можно в офисе пользоваться, с собой носить, видео смотреть - то, что я искала.  Крышка ребристая  - очень удобно, пальцев не остаётся. Клавиатура не очень плоская - это тоже хорошо.  По серийнику на официальном сайте выдаётся конфигурация.     Жаль, что Vista HB, сейчас можно купить с 7 совсем немного дороже.</t>
  </si>
  <si>
    <t>1149</t>
  </si>
  <si>
    <t>Купила этот эпилятор и осталась очень довольна. Ели кто то говорит, что обычная бритва лучше, скорее всего он просто не правильно пользуются или вовсе не пользовались этим эпилятором. Захватывает отлично с корнем не обрубая волоски. Раньше после обычного бритья ног на следующий день уже появлялись грубые пеньки, которые были очень заметны, с этим эпилятором можно забыть надолго про эпиляцию ног!!!</t>
  </si>
  <si>
    <t>2дня назад купили этот холодильник,пока нареканий нет.Морозит моментально,правда в холодильнике на задней стенке капельки,это единственный минус,а в основном довольны,работает практически не слышно,вообщем за низкую цену отличное качество!!</t>
  </si>
  <si>
    <t>Очень понравился данный тостер. Купил спонтанно, когда бродил по магазину.  Привлекла простота и низкая цена. Теперь белый хлеб в семье съедается быстрее. Тосты готовятся в течение минуты в позиции 2,5 и получаются золотистые, хрустящие и очень вкусные.  Тостер прекрасно вписался на кухне, при таких небольших габаритах.  Замечаний никаких нет и никаких наворотов не нужно. Все должно быть просто и удобно.</t>
  </si>
  <si>
    <t>1993</t>
  </si>
  <si>
    <t>класс</t>
  </si>
  <si>
    <t>Весы включаются не с первого раза. Батарейки \"съедают\" за месяц (использовали не так уж и часто). Постоянно сами отключаются. Нет кнопки принудительного отключения. А через год вообще не включились. За такую цену Vitek мог бы и получше сделать.  p.s.из плюсов: меряли они точно.</t>
  </si>
  <si>
    <t>Отличный комбайн! все самые необходимые насадки имеются! все замечательно! вот только, уже как полгода пользуюсь им, а запах при использовании до сих пор остается! В остальном все устраивает!</t>
  </si>
  <si>
    <t>Уже оставлял сообщение год назад. За это время телефон показал себя просто отлично. Ну можно конешно придраться: действительно как и у всех буквы на задней панели отвалились (а они мне нужны?), за всё время было раза 3-4 когда телефон сам выключался ( ну это со всеми устройствами бывает, у меня например комп тоже раз в 2 месяца сам перезагружаеться). Единственное что возможно не всем понравиться , что телефон тихий , можно ехать в автобусе и не услышать звонка... В остальном всё отлично: слышимость отличная, игры с лёгкостью загружаються в телефон , отличные наушники в комплекте, карта памяти входит в поставку с телефоном, хорошие фотки (ну для телефона если считать) , видеокамерой не пользуюсь. Покупал за 4190. Сейчас смотрю уже   3000 стоит, По моему соотношение цены качество только радует. Зарядки хватает на 2 дня, не совсем громкий звонок , но если вас это не пугает, если нужен практичный недорогой телефон с загружаемыми играми , радио, хорошими наушниками и картой памяти  то покупайте</t>
  </si>
  <si>
    <t>Я счастливая обладательница такой хлебопечки.Хлеб замечательно получился с первого раза. Магазинный теперь не покупаем - сами выпекаем и пшеничный, и ржаной, а тесто вымешивает, так просто замечательно!Ещё она очень тихо работает. Сказать, что я довольна - ничего не сказать. ОТЛИЧНАЯ ХЛЕБОПЕЧКА!!!</t>
  </si>
  <si>
    <t>плеер просто Супер! Советую просто купить всем!минусов мало а плюсов много</t>
  </si>
  <si>
    <t>На мой взгляд лучшая игра 2009 года на ПК.</t>
  </si>
  <si>
    <t>У нас он три года. Вполне хороший.Довольны.   Шумит - как все.   Тянет хорошо. Особенно на максимуме. (судя по "чистоте" воды после уборки).   Мыть контейнер надо после каждой уборки, но это не трудно. а так будет вода тухнуть, не так ли. Контейнер, конечно, интересной формы :) без рук не обойтись.  Пользовались всеми насадками. Всё ок.</t>
  </si>
  <si>
    <t>Удобные Щипцы с переключением температур.   Мне приходиться часто в гости ездить на праздники к родственникам.И конечно хотелось бы выглядеть с поезда хорошо.Жаль, что производители не предусмотрели  к нему походный мешочек.</t>
  </si>
  <si>
    <t>3038</t>
  </si>
  <si>
    <t>простой в управлении, стоимость</t>
  </si>
  <si>
    <t>2010-12-10</t>
  </si>
  <si>
    <t>Отличный телевизор. Брал в основном для просмотра с внешних носителей. С флэшки и карты 8 GB все читает, не тормозит, перемотка работает без замечаний. Звук приемлимый. Есть DVD c USB, флэшку больше 2 GB не видит, как что вместо DVD советую купить такой телевизор. Один недостаток нет АВ выхода.</t>
  </si>
  <si>
    <t>Мне нравится этот телефон...он классный...ни капельки не пожалела, что его приобрела</t>
  </si>
  <si>
    <t>Печку подарил любимый муж к 8 марта, давно хотела делать всю выпечку сама, а не бегать по магазинам, освоила ее очень быстро, обычный белый хлеб делается очень просто, особенно понравился гостям мой кекс(в комплекте идет еще круглая форма)! Буду рецепты пробывать дальше, а вы не жалейте денег, обсолютно точно останитесь довольны.   P.S. Муж умница, а я теперь рукодельница.)))</t>
  </si>
  <si>
    <t>Купили сегодня чайник из нержавеющей стали DEKOK WK - 104. Вскипятили один раз фильтрованную воду. Чайник с водой постоял 2-3 часа. После этого дно чайника покрылось мелкими коричневыми точками, похожими на ржавчину.Очень расстроились.</t>
  </si>
  <si>
    <t>Телевизор очень радует!!! стоит в маленькой комнате, звук вполне устраивает. Лежа на диване, самое то смотреть)</t>
  </si>
  <si>
    <t>Супер. Дети в восторге.</t>
  </si>
  <si>
    <t>Утюг в эксплуатации очень хороший. Но сломался через 2.5 года ((</t>
  </si>
  <si>
    <t>Купил сегодня.  Поставил Deep_Purple_Live_1993 стал слушателем концерта. Качество воспроизведения очень даже приличное, басовитость, верха все на месте и на нужном уровне, без видимых провалов и завышений. Эргономика на высоте. За такие деньги все очень даже прилично.</t>
  </si>
  <si>
    <t>110</t>
  </si>
  <si>
    <t>ноутбук и вправду хорош за свои деньги, еще б и сборка была качественной цены б не было данному лэптопу. о клавиатуре было сказано не мало, придержусь такого же мнения, что правая часть клавиатуры немного приподнята или вздута и кнопки продавливаются при нажатии. было б качество изготовления того же асера поставил бы 5.но асер  и стоит подороже.)) а в принципе советую всем, свою цену отрабатывает на 100 %.</t>
  </si>
  <si>
    <t>Гладит и скользит хорошо, хорошая подача пара и длинный шнур. Выбирали с функцией автоматического отключения, поэтому остановились на этой модели.</t>
  </si>
  <si>
    <t>2016-11-09</t>
  </si>
  <si>
    <t>Если оставить на ночь, к утру не будет болеть голова, кислород не выжигает.</t>
  </si>
  <si>
    <t>Отличный холодильник, купили месяц назад, пока довольны. Работает бесшумно. Вместительный, красивый.</t>
  </si>
  <si>
    <t>За свои денежки отличный товар, купил на распродаже, проветрил пару часов, и пользуюсь с удовольствием</t>
  </si>
  <si>
    <t>1978</t>
  </si>
  <si>
    <t>Холодильник отличный. Дизайн, эргономика - 5 баллов. Подсветка красивая, но темновата. Работает тихо, но видимо, надо точно по уровню выставить, у меня чуть-чуть шумит, визуально пока стоит не ровно, надо исправить. Морозит отлично. Даю 5, без плюса за неяркую подсветку. Влезает слон! Удобно для любителей заготовок и просто поесть!</t>
  </si>
  <si>
    <t>Не прослужил месяца. Слегка задела об вазу, и все дыра. На помойку. За такие деньги могли бы стекло по прочнее сделать</t>
  </si>
  <si>
    <t>Проработал почти 3 года при каждодневном использовании от 3 до 5 раз. Протек. Других дефектов не было обнаружено.</t>
  </si>
  <si>
    <t>Купила год назад, очень нравиться. Работает без проблем, много насадок...Очень давольны покупкой.</t>
  </si>
  <si>
    <t>2492</t>
  </si>
  <si>
    <t>Добрый день! Соковыжималка просто класс,купил и не на радуюсь покупкой. Утром мало времени перед работой, готовить сок одно удовольствие разрезал апельсин положил надавил вот тебе и сок,моется тоже классно и быстро. Вообщем мы с женой довольны всем советую,цена соответствует качеству и дизайн подойдет к любой кухне</t>
  </si>
  <si>
    <t>Пользовалась этой моделью больше года. качество хорошее, корпус износостойкий, качество звука устраивало полностью. Модель маленькая, легко помещается в ладонь, можно забивать билеты на экзамен)   Износостойкость действительно поражает. Упал с балкона со второго этажа, детали разлетелись, но экран работал и переключал песни. Рекомендую!</t>
  </si>
  <si>
    <t>2013-07-13</t>
  </si>
  <si>
    <t>Очень довольны покупкой, пользуемся неделю. Удобно мыть, жмых сухой,шумит умеренно, работает быстро, с твердыми овощами справляется отлично. Сначала собирались купить другую, но, когда посмотрели в разборе и сравнили начинку,послушали консультанта и купили эту, о чем не жалеем. У кого еще есть сомнения, походите по фреш-барам и посмотрите, на чем жмут соки они))Мы, кстати, так и сделали))</t>
  </si>
  <si>
    <t>Все работает отлично , мне понравился .</t>
  </si>
  <si>
    <t>Отличная машинка. Жене очень нравится. Шьёт тихо. Стежок ровный. Рекомендуем. Минусов пока не обнаружили.</t>
  </si>
  <si>
    <t>2017-02-07</t>
  </si>
  <si>
    <t>Данную машинку покупали полтора года назад, за все это время работала отлично, удобная, зубчики при бережном использовании не сломались (постоянно стригла двух сыновей и мужа!). Но последние месяца 2 аккум стал быстро разряжаться и постеаенно совсем перестал держать заряд, да и ребенок стал жаловаться что волосы дергает... в общем хватило ее на полтора года всего(</t>
  </si>
  <si>
    <t>Взял для бани на даче. Всё работает отлично, никаких проблем с обратным клапаном. Не хватает, разве что, термометра, чтоб можно было быстрее подобрать нужный режим.  Поставил сам, ничего не течет, насосная станция настроена на 2.5 атм. Для душа на троих хватает 4го (из 5) режима за глаза, вода на входе +4, на первоначальный нагрев уходит порядка полутора часов. На ночь-день выключаю из сети, к вечеру вода теплая и нагрев проходит за 20-30 мин.</t>
  </si>
  <si>
    <t>2926</t>
  </si>
  <si>
    <t>Мало того, что он полностью оправдал ожидания, он их еще и превзошел. Искра появляется иногда при пуске, но загореться ему сложно при такой конструкции... =) Так что советую!    Прогрев воздуха, кстати, моментальный!</t>
  </si>
  <si>
    <t>1893</t>
  </si>
  <si>
    <t>Лучший из Sony Ericsson. Не добавить, не прибавить. Советую всем.</t>
  </si>
  <si>
    <t>615</t>
  </si>
  <si>
    <t>Он полностью перевернул моё отношение к игровым консолям,я даже и не представлял что можно в полной мере погрузиться с головой в игровой процесс.  Из плюсов:  1.Он просто шикарно смотрится,и на удивление практичен  2.250GB памяти,отменная графика  3.Это конечно же две шикарные игры поставляемые с комплектом,два стоящих внимания эксклюзива,что не может не радовать  Из минусов,пожалуй,лишь большая цена на игры,и на аксессуары типа kinnect.хотя если вы не играете по сети то проблему с дорогими играми можно избежать,путём прошивки консоли!Аппарат воистину заслуживает внимания,Оторваться не могу!!!</t>
  </si>
  <si>
    <t>Все нравится</t>
  </si>
  <si>
    <t>Нагревает помещение быстро. Работой довольны.</t>
  </si>
  <si>
    <t>Утюгом пользуемся уже полгода.   Выбирали по нескольким критериям (так как моя супруга профессиональный портной)            1. Это вес, утюг не должен быть легким это важно для разутюживания швов, да и при глажке не нужно прилагать усилий.                    2. Подошва, сапфировое покрытие самое прочное.                      3. Функция автоотключенния, т.к. утюгом пользуется ещё и наша дочь)))                               4. Ну и защита от накипи, так как вода у нас не идеальна.            5. насадка для деликатных тканей, для спеца она не нужна, а так реально защитит вашу ткань от проблем)))               Достоинства я уже перечислил выше, недостаток единственный, когда ставишь утюг вертикально нужно этот момент контролировать (у утюгов фирмы Тефаль вертикальная установка утюга более продумана). Но это мелочь по сравнению с подошвой сапфир!!!!!   Утюг рекомендуем!!!   P.S. я читал много отзывов в интернете об утюгах, при выборе, в частности и на эту модель, Могу дать один совет, чтобы отзыв был корректным и обоснованным покупайте бытовую технику в специализированных магазинах, а не где попало, тогда и проколов будет меньше))))</t>
  </si>
  <si>
    <t>У меня еще ни одна флешка столько не жила как эта, вечно с ними что-то случалось. А такая исключительно у меня работает уже больше 2 лет. Пару недель назад прикупил себе еще 2 флешки от Kingston но правда уже другого дизайна.</t>
  </si>
  <si>
    <t>Ноут у меня 3 месяца, но не этот, а с процом 2,2ГГц(М500), взял его с windows wista - просто ужас!!! Установил windows 7 максимальная и всё, забыл что такое глюки и зависания!!! Ну, а видео карта HD 4670 намного сильнее аналогов у NVIDIA, игры просто летают!!! В обращении ноут супер, клавиатура, экран 16"(40,6 см),USB порты грамотно расположены, ну и безупречный дизайн (отделка под дерево), восторг дикий!!! Единственный незначительный минус - это звук! Но! В походных условиях вполне, а дома всё равно акустика! Так что ставлю 5+ и всем рекомендую!!!</t>
  </si>
  <si>
    <t>2014-11-13</t>
  </si>
  <si>
    <t>Стирала удовлетворительно, но не всегда отжимала белье, приходилось постоянно включать функцию отжима дополнительно. Покупал в декабре 11 года. В  июле  полетели мозги, без проблем обменяли по ПДО, взял другую.</t>
  </si>
  <si>
    <t>2364</t>
  </si>
  <si>
    <t>отлично печет. хлеб пропекается.качество за такую цену что надо. использую обычную муку сухие дрожжи и ВПЕРЕД!!! рада преобретению</t>
  </si>
  <si>
    <t>Отличный выпрямитель, один из лучших от фирмы Rowenta.    Достоинства: удобен в использовании, действие ионизации заметно, волосы совершенно не электризуются    Минус - долго остывает</t>
  </si>
  <si>
    <t>Телевизор еще на тесте :( говорят - дифект не выявлен. Плохо что мастера не выходят на контакт, а телик тестируют на Варшавке.Оператор М-видео сказала, что привезут 25 числа в пункт, где сдавал. Получается продержали 20 суток, ничего не нашли. Вот думаю писать заявление на повторную проверку в моем присутствии или раз по документам исправен :) сделать отказ от покупки, похоже бракованная партия товара, жаль. А, Александр путает модель 430 и 451, которая дороже и имеет все названные функции.</t>
  </si>
  <si>
    <t>227</t>
  </si>
  <si>
    <t>Отлично работает, очень приятный дизайн.</t>
  </si>
  <si>
    <t>Телефон хороший. И пиликает весело и звук хороший и номера определяет. Есть только один минус: при использовании нескольких телефонов в доме звонит даже тогда, когда на параллельном телефоне набирается номер.</t>
  </si>
  <si>
    <t>купил магнитолку 02.01.2011 в свое день рождения, не нарадовался, особенной ценой, в новогодние праздники видимо были скидки а сейчас вот не читает диски и флэшку радио работает нормально и вот еще экран с утра светится белым и ничего не показывает хотя через некоторое время показывает надо ехать сдавать по гарантии в ремонт</t>
  </si>
  <si>
    <t>2012-08-07</t>
  </si>
  <si>
    <t>Купили его 5 лет назад! Первые 2-а года отработал отлично, мощность всасывания действительно поражает, правда есть видимые недостатки: контейнер не удобно вычищать и мыть весь в пыли остаешься уже после его открытия,постоянно выскакивает резиновое кольцо в контейнере, одно крепление крышки сломалось в первые два месяца пользования, но эксплуатации это не мешало. А вот дальше действительно начинаются проблемки:  отключается от перегрева если кнопка вкл. стоит на max, хотя фильтры меняли, стирали и т.д. и мощность 5 лет спустя значительно стала меньше. Может правда у них срок службы 3 года от силы...тогда можно сказать что он себя оправдал!</t>
  </si>
  <si>
    <t>Покупали именно эту модель в М-видео в декабре 2010 г.  Впечатление от работы очень положительное: все функции работают исправно, выпечка получается ровненькая и красивая, тушить и запекать вообще одно удовольствие.  Телескопические направляющие очень облегчают жизнь.  За год эксплуатации так ни разу и не пробовали встроенную чистку: обычно тряпочки вполне достаточно.    Единственный минус (конкретно для нас) - интенсивно выделяет тепло сбоку в районе крепления дверцы. У нас сбоку стоит холодильник, так в результате в этом месте на уплотнитель на дверце холодильника деформировался.   !!! На состояние шкафа, в который духовка встроена это никак не повлияло.    Ставлю твердую четверку. Всё-таки я надеялась на меньшую теплоотдачу во внешний мир.</t>
  </si>
  <si>
    <t>Телефон отличный.на 95 процентов безглючный. Главный глюк в 16-й прошивке (единственной на данный момент) ПРИ УСТАНОВКЕ БУДИЛЬНИКА НЕДЕЛЯ для срабатывания сигнала НАЧИНАЕТСЯ НЕ С ПОНЕДЕЛЬНИКА А С ВОСКРЕСЕНЬЯ.ТО ЕСТЬ ЕСЛИ ВЫ ХОТИТЕ ЧТОБЫ БУДИЛЬНИК ЗВЕНЕЛ С ПОНЕДЕЛЬНИКА ПО ПЯТНИЦУ, ТО В МЕНЮ ПОВТОРА СИГНАЛА НУЖНО ВЫСТАВЛЯТЬ с ВС по ЧТ.(ПТ и СБ будут считаться за нормальные СБ и ВС).Этот баг обещают исправить в следующей прошивке, но и сейчас особого дискомфорта он не доставляет.  Фото и видео камера на уровне.Не забывайте перед съёмкой протирать объектив.Звук внешнего динамика громкий но глуховат.Внутренний динамик звучит нормально.Опера работает.Ява-приложения со мобильного интернета не грузятся,нужно перекидывать через Блютуз или USB.  Тач скрин на уровне. Про микросд карту: нужно покупать только ФИРМЕННУЮ (Японской сборки или от брендовых телефонов,Т.К. КИТАЙСКИЕ ИЛИ ТАЙВАНЬСКИЕ КАРТЫ БЫСТРО САЖАЮТ АККУМУЛЯТОР ТЕЛЕФОНА).Радиоприёмник хороший, но уши лучше приобрести качественные.У меня DANON.Брал в М-Видео.  Телефон стоит тех денег,за которые его продают.</t>
  </si>
  <si>
    <t>Щипцы-просто супер. Мгновенное нагревание, в отличие от других щипцов. Щадящее покрытие плойки не будет вредить ваши волосы. Локоны держит долго, завивает отлично. У моей мамы такие же. Рекомендую.</t>
  </si>
  <si>
    <t>Единственный косяк не играет все папки в подряд</t>
  </si>
  <si>
    <t>Читал если корочка не румянится даже на 3 программе, то есть способ открутить на 0.5-2 (лучше сначала на пол оборота) оборота регулировочный винт термодатчика.</t>
  </si>
  <si>
    <t>Тихий, мощно всасывающий малыш. Прост в экстпуатации, не воняет после долгой работы, легкий. Пылесос у нас в жесточайшей эксплуатации полтора месяца (ремонт), справляется со строительной пылью, цементом, песком и т.п. однозначно пятёрочка!</t>
  </si>
  <si>
    <t>НАУШНИКИ ОТЛИЧНЫЕ!Басы просто супер в этой ценовой категории самые хорошие наушники фишер!берите не пожалеете!удобные в применение есть колпачек для втыка! очень удобно!  рассуждаем по плюсам и минусам(+/-)  +:  я уже говорил басы, звук качественный ни чем не уступает сонькам!  -:  свою цену она не стоит! раньше были наушники сони, сломались. Купил эти уши не сразу привыкли!!!что то чуть - чуть шумит!!! но а так афигенная вещь!</t>
  </si>
  <si>
    <t>Чайник просто супер!!! Я очень довольна, у меня он уже 8 месяцев</t>
  </si>
  <si>
    <t>Вчера купил сие чудо техники! Всем доволен хотя не совсем еще разобрался с ней! Плохо что не прошивается! А если и прошивается то не хочу не дай бог испортить! Сразу купил комплект прибамбасов (чехол, кейс, шнурок, кабедь и т.д)Отличная вещь советую всем!</t>
  </si>
  <si>
    <t>Доволен всем! кабельные каналы ловит по-моему хорошо. Не находил время на нём. Оказывается просто нажать ок и выводится канал, дата и время ). подключил к компьютеру через кабель vga-svga. Играть в игры просто супер!   Понравилась функция тру моушн! подвижные сцены интересно смотрятся при просмотре тв. 178 градусов обзор- реально так и есть. у меня просто монитор LG 19 дюймов. нареканий нет. вот и взял ту же марку. юсб пока не трогал. вдруг вылезет какой брачок. думаю потом светодиодами разблокировать. на мой взгляд шустрый- видимо 2,4 мсек отклик и 100 гц дают о себе знать.))  никаких засветов там и глюков нет. я рад.</t>
  </si>
  <si>
    <t>Курица-гриль, пирог, печёный картофель, рыба и много ещё чего. Нет продукта который она не готовит!!! У меня работает в течение 7 лет каждый день!!! А сенсорный разогрев подогревает пищу равномерно и не оставляет холодной серединки!!!</t>
  </si>
  <si>
    <t>1698</t>
  </si>
  <si>
    <t>Качество изготовления - дешевому Китаю в подметки не годится! Полно заусенцев на пластике - впору хоть для нее самой спецбритву для пластмассы покупать. Держать при стрижке надо прочно, чтоб на запчасти не рассыпалась! Шарушки разлетаются вокруг, а не только в контейнер, который норовит отвалиться на ходу из-за плохого неупругого крепежа! НО свою работу выполняет, кофта стала как новенькая.</t>
  </si>
  <si>
    <t>Отлично греет, легко встраивается. Конечно, лучше, чтобы кастрюли были небольшими, тогда две сразу можно вполне уместить. Я живу один, поэтому мне такая штука в самый раз подходит! Очень практичная и компактная, места вообще не занимает. Чистить её особо не надо, протёр тряпочкой, и всё. Прогревает еду равномерно, работает быстро. выглядит достойно, ничего лишнего.</t>
  </si>
  <si>
    <t>743</t>
  </si>
  <si>
    <t>Офигенская игра!</t>
  </si>
  <si>
    <t>Отличная соковыжималка! Выжимает хорошо особенно твердые фрукты и овощи.Очень удобная вещь в плане мытья, легко разбирается и моется, достаточно компактная, занимает мало места на кухне. Мы очень довольны покупкой.</t>
  </si>
  <si>
    <t>Телевизор на самом деле шикарный. Отлично показывает кабельное. Цвета насыщенные с большой возможностью регулировки.Подключил к компьютеру пока через RGB, но даже при таком подключении картинка блещет деталями.Стильно смотрится в квартире. Просто нет слов.При его цене это лучший выбор по соотношению цена качество. Берите не пожалеете.</t>
  </si>
  <si>
    <t>Очень хороший удобный сотейник, рекомендую.</t>
  </si>
  <si>
    <t>Хорошая доминошка - стильная и современная, чистить удобно, места много не занимает. Нагревается хорошо ))</t>
  </si>
  <si>
    <t>Долго промучившись с горячей водой, вернее с ее отсутствием по причине слабого летнего давления воды в доме, решились на покупку водонагревателя. Данная модель понравилась по многим параметрам, в том числе и ценой. Работает здорово. Вода нагревается быстро, остывает долго, я всегда на ночь его включаю, чтобы утром можно было спокойно принять душ. Температура от еле теплой до горячей регулируется легко. Вообще в настройках разобраться несложно, в инструкции все доступно описано. Главное теперь - проблем с горячей водой больше нет! Никаких свистов и шипений. И кстати - качество сборки радует, гарантийный срок - тоже)</t>
  </si>
  <si>
    <t>Купил, не без помощи отзывов здесь, попробовал пока 1 раз. Сразу сообщаю, что такой же мощности и эффекта как у домашнего обычного пылесоса вы не получите, во-первых из-за питания (аккумулятор должен быть исправен и заряжен, разница при заведенном двигателе чувствуется), во-вторых из-за размеров (в т.ч. двигателя). Там где обычным от эл.сети вы проведете один-два раза, мини потребуется точно больше раз, НО при этом все собирает: пыль, песок, камешки, волосы, пух и т.п.. Т.е. времени на уборку возможно уйдет больше - в зависимости от загрязнения салона. С очисткой мусоросборника проблем нет. Удобно, что к нему есть сумка в комплекте. МАЛОшумный. Щеток в комплекте достаточно. Минус вылез пока один - щетина мягкая, сразу закаталась о ворс авто, не знаю как это отразится на дальнейшей эксплуатации. Очень удобный дизайн, мягкий резиновый шланг, намотка шнура, легкий вес. В целом покупкой доволен, не жалею, рекомендую.</t>
  </si>
  <si>
    <t>Машинка отличная. Пользуюсь 3 года, постоянно в работе, очень шустрая, поломок не было, аккомулятор держит хорошо, советую всем.</t>
  </si>
  <si>
    <t>Недавно эксплуатируем.Замечаний нет.ПОЗЖЕ ОТПИШУСЬ ПОДРОБНЕЕ!</t>
  </si>
  <si>
    <t>2016-08-09</t>
  </si>
  <si>
    <t>Уже больше месяца как это вентилятор работает у нас, практически сутками. Минуса только 2. Маленький радиус обдува и не запоминает режим в котором работал. Постоянно после включения приходится по новой включать поворот и скорость. Кто то писал на столе стоит. Не пойму зачем, у него есть регулировка обдува, прямо, вверх или вниз. Дистанционное управление облегчает использование. Впечатлило наличие градусника. Ночью благодаря подсветке ночью как ночник работает. Да, немного шумный, но к этому шуму привыкаешь, и уже не обращаем внимания. Так мало того, с этим вентилятором стал лучше спать ребенок, можно пройти мимо, и не переживать что проснется. И воздух действительно прохладнее чем на обычном вентиляторе. В общем мы не пожалели что купили.</t>
  </si>
  <si>
    <t>2739</t>
  </si>
  <si>
    <t>телефончик супер, но мне больше нравится или тупо черный или с розовыми полосками, а не с красными</t>
  </si>
  <si>
    <t>У меня фен этой модели более 5 лет! Ни одного нарекания! Все работает! Пользуюсь в основном большой круглой насадкой, а парогенератором в принципе вообще не пользовалась. Волосы укладываю через день  - все отлично работает! Очень рекомендую! Надежная модель! Насадки с убирающимися зубчиками и правда в комплекте нет.</t>
  </si>
  <si>
    <t>При работе слышен только плеск воды, шума мотора не слышно. Хорошо моет как кастрюли, так и тарелки, чашки (забыла что такое оттирать чайный налет). Никаких разводов на стеклянной посуде не остается.</t>
  </si>
  <si>
    <t>Купила ее пару недель назад, очень ей довольна. Готовлю в ней в основном пиццу и пироги. Получаются пропеченными. Идеальный вариант для маленькой квартиры.</t>
  </si>
  <si>
    <t>Я купил его себе на день рождения и ОЧЕНЬ доволен)).Я считаю что за такие деньги очень даже преличный монитор.</t>
  </si>
  <si>
    <t>Купил,и не жалею покупки, качество звука отличное, бас в умеренном кол-ве. Так что при покупке не пожалеете</t>
  </si>
  <si>
    <t>Плита сделана очень качественно, добротно, имеет чугунные решетки на поверхности и много режимов работы духовки.</t>
  </si>
  <si>
    <t>2206</t>
  </si>
  <si>
    <t>Стильная и мощная штучка!</t>
  </si>
  <si>
    <t>1710</t>
  </si>
  <si>
    <t>Классная графика, русский чемпионат!</t>
  </si>
  <si>
    <t>2017-05-14</t>
  </si>
  <si>
    <t>Узкая (отлично вписалась на маленькой кухне, недорогая, много функций</t>
  </si>
  <si>
    <t>2753</t>
  </si>
  <si>
    <t>Прекрасная вещь! купила через интернет магазин. очень удобно.</t>
  </si>
  <si>
    <t>2013-04-09</t>
  </si>
  <si>
    <t>Облезла после 15-17 приготовлений. Крайне не советую.</t>
  </si>
  <si>
    <t>144</t>
  </si>
  <si>
    <t>Телевизор выбирал долго, взвешивая  соотношение цена / качество картинки, и предпочел за 36 этот взять, чем за 30-40 LG или Samsung (купил в октябре 2009).  1 - по поводу прошивки. Прошивал 2 раза, проблем не было и нет. Перепрошивал безо всякой надобности, естесно.  2 - подключение. Комп-ТВ по DVI-HDMI-HDMI со звуком (в/карта поддерживает вывод звука, причем без эха :) , переходник DVI-HDMI от в/карты), WD TV плеер по HDMI-HDMI, DVD плеер по S-Video, фотоаппарат по колокольчикам. Все работает отлично, переключайся в любой момент. Еще порты есть, но подключать более нечего. ДВД фильмы отл с 2м и далее (если это не экранка пиратская), ну а уж о 720р и 1080р вообще без нареканий. С дочкой играем на ТВ - ляпота :)  3 - некорректное отображение разрешения 1920х1080, это скорей всего имели ввиду режимы. Выбираешь в настройках "Режим ПК" и он показывает как монитор - все пиксели в поле экрана (по умолчанию изображение за границы уходит, например Панель задач ОС не видна и это по всем 4ем краям).  4 - отстойный звук. Я б сказал нормальный, но подключил колонки, поскольку за стенкой на кухне слышно лучше, чем напротив ТВ :) (низкие частоты естественно только) Очень понравилась функция автозвук.  5 - меню на мой взгляд удобное. Иногда приходится переключать настройки, сложностей с этим не ощущаю  6 - насчет флешек. Точно не все читает :) Старую 2005г 512Мб MyFlash! не видит  7 - великоват для 22 кв.м.!? Не соглашусь :) с 3-х метров смотрю чаще, чем с полных 7м длины комнаты. И теперь понимаю, что чем больше экран - тем лучше. Мечтаю о проекторе, чтоб на всю стену проецировать изображение.  В итоге - за уплаченные деньги я доволен. Но конечно же нет предела совершенству. Например 9 поколение (7 и 8 мне показалось дерганным, переплачивать смысла не видел. Хотя многие знакомые изображение на них воспринимают нормально)</t>
  </si>
  <si>
    <t>Пользуюсь плеером полтора года. Претензий почти никаких: всё отлично работает, ничего не тормозит, ничего не ломалось, никаких пропаданий звука и т.п.  Вообщем я просто в восторге от плеера и ни капельки не жалею потраченных денег!!  Единственное, что немного не устраивает - это кнопка включения (она же "плэй, пауза"). Очень маленькая, переключать только ногтем возможно.</t>
  </si>
  <si>
    <t>Геймпад выглядит очень круто и стильно, пусть кнопки решили сделать нецветными. отлично будет гармонировать как со слим, так и со старой версией бокса. А вот цену завысили. я бы лучше купил пока обычный беспроводной черный геймпад за 1990 рублев.</t>
  </si>
  <si>
    <t>Пользуемся 4 месяца. В меру шумная, устойчивая, отстирывает хорошо. 2 минуса - нет дисплея с отсчетом времени стирки и очень чувствительная к перепадам напряжения в электросети. Если напряжение меньше 220, то машинка или не включается совсем, или останавливается. Т. к. у нас такие проблемы каждый день, стираю по ночам (((</t>
  </si>
  <si>
    <t>Машинка очень плохо стрижёт с насадкой,хорошо стрижёт только бороду.Не советую покупать.</t>
  </si>
  <si>
    <t>Приобрел товар... Пару недель и начались сбои. То назначение клавиш стал сам менять, а на последак так вообще выдал ошибку сетевой карты. Снёс систему, избавился от одних ошибок, но сетивая так и не работает. Родные дрова не помогли избавиться от этого. Не определяет и всё. Короче сейчас без нета. Надо избавляться от него.</t>
  </si>
  <si>
    <t>Пользовался таким два года в командировках. Удобная вещь, легкий, с паром. Сейчас сломался. Стоимость ремонта сопоставима с новым. Куплю еще такой же.</t>
  </si>
  <si>
    <t>Купили с мужем этот пылесос, ничего не знали о контейнерных пылесосах, но рады, что не прогадали с выбором! Очень удобный контейнер, не нужно мучиться и бегать за мешками, очень тихий, а главное воздух выходит обратно очень чистый!! нам это было особенно важно из-за ребенка. В общем, всем советуем!</t>
  </si>
  <si>
    <t>Купила данную мясорубку в прошлом году, до сих пор никаких замечаний, ну если только шумная немного, хотя 5 минут можно и потерпеть. Фарш получается хороший, не пластилин. Дала попользоваться сестре, ей тоже понравилось, даже попросила подарить ей такую на день рождения. На следующей неделе буду дарить)</t>
  </si>
  <si>
    <t>удобство использования. компактная. многофункциональная</t>
  </si>
  <si>
    <t>Купила эту модель по совету консультанта. При выборе немаловажную роль играло то, что у меня кожа очень чувствительная, и предыдущими эпиляторами при эпиляции испытывала не приятные ощущения. В этой модели есть специальная насадка которая уменьшает болезненные ощущения при эпиляции за счет массажа, к тому же есть встроенная система охлаждения кожи, что очень помогает при эпиляции, и болезненных ощущения при этом стало меньше. У кого чувствительная кожа, для них этот эпилятор будет большой находкой, уверена, проверено лично!</t>
  </si>
  <si>
    <t>5 температурных режимов позволяют без проблем готовить чаи самых разных сортов. Когда разница в 5 градусов уже имеет огромное значение очень удобно иметь под рукой 80, 85, 90, 95 и 100 °C. Только Борк предложил такой выбор. Причем доведение до 80 идет без предварительного кипячения что очень важно для деликатных зеленых чаев. Есть функция поддержания температуры. Работает шумно, но хорошо. Уже много лет им пользуюсь.Если и придется когда-то менять, то на такой же.</t>
  </si>
  <si>
    <t>Курила это чудо в цветочек сегодня. Понравился в магазине  - во-первых, конечно, за дизайн) во-вторых, подкупила мощность и размер) то что я искала - маленький, мощный пылесос с симпатичным корпусом.    Дома распаковала, пропылесосила...После первого применения очень довольна, посмотрим что будет дальше...)    P.S. До этого пылесоса все остальные уже давно в помойке.У матери Дайсон - она очень довольна, но это все на вкус и размер кошелька.    Спасибо за внимание</t>
  </si>
  <si>
    <t>2327</t>
  </si>
  <si>
    <t>Хороший монитор, яркость супер, четкость изображения. Нам нравится, брали полгода назад - нет претензий.</t>
  </si>
  <si>
    <t>Я считаю, что новая консоль PSP go - это новое поколение техники.В новой PSP есть всё, что может содержать в себе игровая приставка.</t>
  </si>
  <si>
    <t>1609</t>
  </si>
  <si>
    <t>После полугода использования наглухо повис при включении, поскольку кнопки ресета не предусмотрено - сбой фатальный. Даже как флешка перестал определяться, просто "песочные часы" на синем фоне без какого-либо прогресса. Если готовы раз в полгода менять плеер, берите, на какое-то недолгое время его хватит. Покупал в М-Видео Марьино в ноябре.</t>
  </si>
  <si>
    <t>3019</t>
  </si>
  <si>
    <t>2013-07-18</t>
  </si>
  <si>
    <t>Через 10 дней после покупки блендера треснуло дно чаши, в которую погружается блендер. В замене блендера мне было отказано. Не покупайте этот товар- качество пластика ОЧЕНь плохое. Просто выброшенные на ветер деньги.</t>
  </si>
  <si>
    <t>Купил этот прибор вместо того, чтобы покупать второй внешний датчик к BAR206: по цене получилось лишь немногим больше,чем покупка отдельного датчика. Зато теперь у меня два прибора (один в гостиной, другой в прихожей), к каждому из которых подключено по два внешних датчика (один висит на улице, а второй - в детской). Очень удобно.</t>
  </si>
  <si>
    <t>В целом соковыжималка понравилась. Дополнительно к описанию хочу добавить, что у неё 5 базовых скоростей (и вроде бы есть промежуточные) для разных видов овощей и фруктов. Сок давит быстро и чисто. Шумит не очень сильно, на мой взгляд. И вообще создаёт впечатление надёжности (подробнее не скажу, только недавно купил и не успел как следует опробовать). Единственный минус её - это конечно высокая цена.</t>
  </si>
  <si>
    <t>Вчера с мужем купили этот пылесос и уже второй день ходим под впечатлением!Учитывая,что утром была уборка(старым пылесосом), вечером опробовали новый и обалдели:какой стал чистый ковер!При его супер мощности-пылесос бесшумный.Вообщем мы в восторге!</t>
  </si>
  <si>
    <t>Оличная плита,только когда выбирали плиту в магазине,эта же плита была с железными решетками,а доставили в квартиру с чугунными решетками,мы удивились и еще больше обрадовались.</t>
  </si>
  <si>
    <t>2051</t>
  </si>
  <si>
    <t>поделюсь свом впечятлением ACER как не крути КНР,греетса,слабый дисплей и одного вентелятора не хватает однозначно готовтесь брать охлождающую подставку минимум с двумя вентеляторами.в противном случае сгорит видео карта.И совет не старайтесь убить родные дрова и Windows это беда.не найдете даже на офиц.сайте дрова или они устанавливаются некаректно.собств.опыт,В общем скажу лучше взять Ноутбук Packard Bell тотже ACER только работает гораздо лучше</t>
  </si>
  <si>
    <t>Очень хорошая стиральная машина!!! Очень тихая, на максимальном отжиме белье не мнется совсем, причем бельё очень хорошо отжато! Сама высчитывает вес белья и исходя из этого набирает нужное количество воды.</t>
  </si>
  <si>
    <t>Этот утюг - отличная вещь. Раньше с трудом заставляла себя начать гладить, сейчас глажка - в удовольствие, не болит голова, как разгладить все складочки. Очень довольна.</t>
  </si>
  <si>
    <t>Чайник вроде ничего особенного, однако в деле показал себя хорошо. Это чайник для большой семьи или для тех, кто часто принимает гостей. Благодаря большому объему не нужно постоянно догревать воду. Нагревается он несмотря на это в принципе не слишком долго. Большой, крепкий, сделанный на совесть чайник</t>
  </si>
  <si>
    <t>2014-10-30</t>
  </si>
  <si>
    <t>Пару месяцев назад приобрели увлажнитель воздуха Boneco7135. Вве свои функции выполняет на отлично. Работает не громко, к небольшому шуму ночью привыкаешь.  Нареканий на работу нет.</t>
  </si>
  <si>
    <t>Это серьезная защита от всех неприятностей которые могут возникнуть с электричество, практически это топовая модель надежного производителя. В нем и защита от импульсных помех, грозы, перегрузки и короткого замыкания. Также есть очень полезный индикатор наличия заземления. Также приятно удивила низкая цена, - но в М.Видео я уже к этому привык. Однозначно рекомендую.</t>
  </si>
  <si>
    <t>отличная модель, пользуюсь уже более года. Вес показывает без ошибок. цена соответствует.</t>
  </si>
  <si>
    <t>Через полгода пользования при взбевании яйчных белков поплавился где место соединения с венчиком, в итоге отломалась деталь и осталась внутри.</t>
  </si>
  <si>
    <t>Супер смартфон,дисплей неплохой,процессор хорош,но требуется оптимизация.Много не нужных наворотов.</t>
  </si>
  <si>
    <t>Наушники по звуку отличные! Но через 5 месяцев использования левый наушник перестал работать..так же минус - наушники легко засоримы</t>
  </si>
  <si>
    <t>Хорошая игра. Сюжет коротковат : Всего 9 последовательностей.   Есть парочка интересных побочных квестов.  Мультиплеер на высоте.   Графика немного расстроила.    В целом 5 балов.</t>
  </si>
  <si>
    <t>Долго выбирали панель по соотношению цена-качество, остановились на Самсунге. Когда заказывали, даже не заметили, что конфорки стоят не ровно друг за другом - для меня конечно минус, так как 2 кастрюльки большие друг за другом не поставишь(( ну ничего, привыкли)  Плюсы: электроподжиг, газконтроль, конфорка тройное пламя (моментально закипает вода), подставка на конфорку (шла в комплекте)... что касается стеклянной поверхности - очень легко чистить (у меня средство топхаус)...панели уже 3 месяца - как новенькая)))) Очень рады такому приобретению..  p.s. еще с панелью купили и духовку Самсунг - тоже шикарная))</t>
  </si>
  <si>
    <t>Решила порадовать себя любимую новым утюгом, причем именно с парогенератором, т.к. глажка в последнее время стала занимать неимоверную кучу времени (появился маленький ребенок). На очень большую сумму не расчитывала, но и за копейки брать тоже не собиралась. Из всего ассортимента приглянулась именно эта модель, да и консультант уж очень расхвалил данный утюг. Купила, и ведь не капли не пожалела! Если раньше процесс глажки занимал у меня как минимум часа 1,5, то сейчас справляюсь буквально за 20 минут! Свою стоимость более чем оправдывает! Отличная вещь!</t>
  </si>
  <si>
    <t>Да и бритва не фонтан. Бреет не плохо, но за такую цену можно и лучше. До этой был панасоник дешевле в 3 раза и не чем не уступал. Повёлся на германию и через год уже пожелел.</t>
  </si>
  <si>
    <t>Классный плеер, прост в обращении, единственный минус, так это то, что я не могу закачать в него видео, пишет что файл не поддерживается(((скажите, что сделать,пожалуйста!!   Наталья (Мытищи)  Да плеер просто отпад. А видео надо конвертировать в MPEG4 или WMV формат-файл найдите в и-нете любой конвертер, который может с конвертировать в эти файлы</t>
  </si>
  <si>
    <t>2012-09-17</t>
  </si>
  <si>
    <t>Выбирал его не просто так. Посоветовали знакомые, у которых он уже не первый год стоит. В сервисе о нем тоже отозвались с хорошей стороны. Заметили лишь слабые тены, которые выходят из строя через год, и то не всегда. Отработал все лето, так как постоянно отключали горячую воду. Работает на 5 с плюсом.</t>
  </si>
  <si>
    <t>2577</t>
  </si>
  <si>
    <t>Используется очень часто на протяжении года в офисе!  Всем довольны!</t>
  </si>
  <si>
    <t>Чайник исправно работал 8 месяцев. На 9 месяце перестала работать кнопка включения. Вскипятить воду можно, если стоять и жать на кнопку.</t>
  </si>
  <si>
    <t>2722</t>
  </si>
  <si>
    <t>Хороший ноут.Только не знаю как сделать так, чтобы батарея отдыхала, а комп работал от зарядного устройства. Помогите!!!</t>
  </si>
  <si>
    <t>281</t>
  </si>
  <si>
    <t>Даже не говорите что плохой телевизор,телевизор отличный.Цвета яркие,живые и четкость хорошая. Просто надо правильно настроить и желательно подключить к кабельному тв.Я доволен и ставлю 5</t>
  </si>
  <si>
    <t>Не понравилось совсем.   При заявленном ценнике +:  Есть экранчик, на котором показывается уровень заряда батарейки. ВСЕ.  -:  1. Чувствительность микрофона не настраивается, радионяня вещать начинает ни когда ребенок начинает слегка шевелится во сне, а когда уже именно конкретно закричал. Причем не тихо. Есть возможность сравнить с другими марками - реально очень плохо сделано.  2. Заявленной Музыкальная функция	4 мин НЕТ. Читайте инструкцию.  3. Связь односторонняя, бывают радионяни с двухсторонней связью.  4. Цена. За красивый дисплейчик, на котором не отражается никакой практически информации цена в сравнении с аналогами задрана в 2-4 раза...</t>
  </si>
  <si>
    <t>2014-11-05</t>
  </si>
  <si>
    <t>Термопот отличный! Один из плюсов для меня - экономия времени по утрам: встаешь, а вода уже горячая! Если уезжаю, включаю 6 часовую отсрочку - опять же экономия! Покупайте, не пожалеете!</t>
  </si>
  <si>
    <t>Целью покупки должен был быть телевизор, который помимо функциональной нагрузки стал бы и украшением интерьера. После долгих поисков выяснили, что модель, отвечающая нашим требованиям только одна - SONY KDL-40E5500. Удобное меню настоек. Приобретением очень довольны - качество изображения даже аналоговых каналов более, чем достойное. Качество изображения цифрового телевидения, Full HD, игровой приставки - это SONY. При продолжительном не использовании пульта телевизор сам выключится, своего рода таймер засыпания. Всем рекомендуем!  Недостатки      Белая рамка на отсвет - неровная, с небольшими вмятинами - в местах крепления, конечно, не смертельно, но... Ну и, конечно же, по цене - можно было и дешевле! Так же не хватает Wi-Fi, быстрее бы и скорость переключения каналов, подсветку бы на пульт и для удобства добавить кнопку возврата к предыдущему каналу. - Но все это мелочи!</t>
  </si>
  <si>
    <t>Давно мечтала о таком холодильнике и после покупки ни разу не пожалела.Радует большое количество полочек и ящичков.Особенно ящики под овощи и фрукты-просто бездонные)))На дверце тоже удобные широкие полки,я их использую под банки и бутылки.А морозильник это вообще кайф!Различные виды мяса хранятся каждый на своей полке или ящике.Держит холод очень долго,как-то отключали свет на целый день,так все осталось замороженным,как и было.В общем мне нравится!!</t>
  </si>
  <si>
    <t>Отличная машинка, пользуюсь уже 5 лет и очень довольна. За это время не было ни одного сбоя.</t>
  </si>
  <si>
    <t>все хорошо Сони есть Сони качество отменное. Единственное, что не могу понять, как добиться от этого телевизора чтобы звук шел через домашний кинотеатр PHILIPS HTS3000/51. Вроде все подключил, а в ответ тишина....Может кто подскажет???</t>
  </si>
  <si>
    <t>1569</t>
  </si>
  <si>
    <t>Машинка супер.  Управление: интуитивно понятное, инструкция нужна только чтобы узнать куда порошок засыпать и зачем дополнительная кювета.  Шум: супер тихая. Можно шёпотом разговаривать :)  Надёжность: пока не знаю.    Рекомендую.</t>
  </si>
  <si>
    <t>Холодильник с функциями справляется на отлично, но вот полочки на дверце разлетелись через 2 года, в сервисном центре сказали, что одной вообще нет ( снята с производства), вторую ждем уже 3 месяца, причем сразу было заявлено что нужный цвет они не гарантируют</t>
  </si>
  <si>
    <t>3110</t>
  </si>
  <si>
    <t>Для хорошего качества ТВ нужно подключать цифровое телевидение, т.к. ни один из современных телевизоров не даст идеальную картинку от аналогового сигнала. Вполне достойная модель. HD-фильмы с компьютера выглядят отлично.</t>
  </si>
  <si>
    <t>Predator Eliminator II мне больше по вкусу, так как   у него плюсов больше чем минусов.</t>
  </si>
  <si>
    <t>общее мнение таково Ноутбук Packard Bell DT85-CT-015RU про-во КНР все это знают когда покупали а сравнения с Acer-ом не много не каректная у меня был7520 грелся жуть карта8600 в конце концов видюха сгорела.а по клавеатуре поделюсь своим опытом A4TechX7G100 решает все боталии.Но минусы все перечисленные я потверждаю плюс заглючилHDD WD я от него этого не ожидал.видно сказывается КНР фактор.в общем покупка себя оправдывает так как кроме китая ничего не найти даже в америке.УДАЧНЫХ ПОКУПОК</t>
  </si>
  <si>
    <t>Красивый дизайн, хорошо держит тепло</t>
  </si>
  <si>
    <t>1413</t>
  </si>
  <si>
    <t>Купил машинку 4 месяца назад по акции. Очень доволен. Дизайн классный, да и стирает здорово. Шум при отжиме не замечал (в ванной стоит), единственное когда начинает обирать обороты передняя дверца "ходит". Понравилась функция отсрочки-ночью стирала. И спасибо производителям за подробную инструкцию.</t>
  </si>
  <si>
    <t>371</t>
  </si>
  <si>
    <t>Купила данную модель 3года назад, искала телефон с крупным шрифтом и громким звонком. Этот - самое то!!!Меню очень понятное, фото тоже хорошие. Очень довольна и всем советую, а кому нужны причиндалы покруче, советую купить отдельно фотоаппарат, отдельно - плеер, а товарищу из 1"Б" - в магазинах игрушки есть для вас.</t>
  </si>
  <si>
    <t>2016-09-16</t>
  </si>
  <si>
    <t>Данную машинку для стрижки покупала для того чтобы подстригать мужа. До этого парикмахером быть не приходилось:). Машинка очень удобная и легкая в использовании, достаточно много насадок. Очень удобно, что можно использовать как через зарядное устройство, так и без него (машинка работает от аккумулятора), думаю будет радовать еще достаточно долгое время))) Рекомендую, отличный товар!!!!</t>
  </si>
  <si>
    <t>2897</t>
  </si>
  <si>
    <t>2013-07-31</t>
  </si>
  <si>
    <t>Пользуемся 6 лет. Отличная! Использовали максимальный объём посуды - 6 литров. Электророзжиг отличный!!! Газ-контроль работает - пару раз замечали. При зажигании конфорки :если ручку повернул , розжик мало подержал (и газ не загорелся)- то газ не идет , даже при повернутой ручке(вроде как открытом кране). Видимо какое-то средство безопасности. Стальные решетки не прогибаются, хотя и кажутся слабенькими. Единственное - на одной ручке управления конфоркой ( внутри ) сломалась пружинка которая плотно фиксирует ручку к самому крану перекрывания газа.Пользуемся так - вполне приемлемо ... Ну это , я думаю , дело случая...Всякими там жидкостями по уходу за нержавеющей поверхностью не пользовались - вполне хватает влажной уборки и вытереть на сухо (если уж кому нужен идеальный вид). Отличная...</t>
  </si>
  <si>
    <t>хорошая машинка, заряда вполне хватает на полноценную стрижку. подстригаемые не жаловались на неудобства или цепляния за волосы. насадок достаточно, чтобы сформировать прическу по желанию  - длинеее/короче. удобная, не тяжелая. масло приложено. было бы правильно приложить ножницы и расческу, но в этой модели их нет. поэтому 4 звезды</t>
  </si>
  <si>
    <t>Да,согласна с мнением Марины,кофемашина проста и удобна в обращении,дополнительных средств кроме средств от накипи не требуется и не дорогая по цене,своей пользуемся больше года,я очень довольна,всем советую!</t>
  </si>
  <si>
    <t>отстирывает хорошо, функций достаточно</t>
  </si>
  <si>
    <t>Отличная вещь-особенно для холостяков:))) Достоинства:за рис,гречку-можно не беспокоиться ничего не убежит(по сравнению с плитой),что варит яйца тоже большой плюс!Рекомендую-отличная помощница на кухне!</t>
  </si>
  <si>
    <t>Купили машинку в октябре 2011г. Работала без нареканий, не сильно шумно, при отжиме вибрировала сильно, но не прыгала.  Вчера поставили быструю программу 30мин при 30 градусах, стирала подозрительно долго, когда обратили внимание - оказалась безумно горячей. Итог - она нагрела воду так, что от вещей шел пар, соответственно все они перекрасились и вытянулись.   Будем сдавать по гарантии в ремонт.</t>
  </si>
  <si>
    <t>покупали в новую кухню. выбирали долго, сравнивали в интернете, консультировались с продавцами и остановились на этой модели, из модельного ряда она оказалась самая тихая и функциональная. работает уже два с половиной года и ничего плохого сказать не могу. на 1-ой и 2-ой скорости шум имеется конечно, но не режет слух, на 3-ей конечно шумновата, но пользуемся этой скоростью не так часто, поэтому не замечаем, воздух втягивает на 5+++, очень приятная подсветка и кнопки управления расположены очень удобно. вытяжкой очень довольны и советуем приобретать именно ее, и тогда вы забудете о посторонних запахах насовсем.</t>
  </si>
  <si>
    <t>3165</t>
  </si>
  <si>
    <t>2014-06-09</t>
  </si>
  <si>
    <t>Одной из первых игр на PSP у меня появилась именно Underground.Первое, что меня ужасно огорчило &amp;ndash; невменяемое аналоговое управление. Такой большой мёртвой зоны не было нигде на моей памяти. Даже играя на руле и на большом мониторе было бы очень сложно управляться с техникой &amp;ndash; не то что с маленьким &amp;laquo;напалечником&amp;raquo;. Чтобы машина среагировала на нажатие, надо довольно ощутимо сдвинуть рукоятку, но запоздалая реакция оказывается слишком сильным. Хорошо, что в роли дублирующего оставлен обычный цифровой джойстик, которым, кстати, управлять на порядок удобнее(!!!). В процессе рытья в настройках я не увидел опции настройки управления. Предлагается два варианта для автоматической и два варианта для ручной коробки передач &amp;ndash; о том, чтобы полностью переназначить управление, а уж тем более откалибровать аналоговый джойстик, речи не идёт. В опциях вы можете изменить плейлист EA Trax, состоящий, кстати, из 33 треков. В этом же меню вы можете посмотреть видео от Soulwax и The Doors (знаменитый Riders on the Storm из начального меню). Замечу, что всё это удовольствие работает у меня на версии для Японии (на 100% английском языке, правда. Иероглифы только на коробке). За работу версий на других языках я отвечать не могу. Как и в компьютерной версии, содержание игры &amp;ndash; сплошная мешанина. Только на SPS мешанина просто колоссальная. Игра разрывается на два режима &amp;ndash; Circuit Mode и Quick Play Battle. Последний поделён дополнительно ещё на четыре режима: Street Cross (короткие, прямые трассы), Drift Attack (скольжение вокруг специальных маркеров на земле до посинения или до потери пульса, кому что нравится), Nitrous Run (стандартная кольцевая трасса, где вы ускоряетесь от чекпоинта к чекпоинту, каждый из которых даёт несколько секунд времени) и Drag Racing. Дополнительно, каждый из этих режимов поделён на 10 стадий, которые опять поделены (!!!) на три уровня сложности&amp;hellip; К сожалению, начав на одном уровне сложности, перейти на другой уже нельзя. поэтому приходится проходить всё заново. М-да. В самом начале вас есть выбор четырёх уровней сложности. Потом вам станут доступны три разных типа гонок: Circuit, Knockout и Rally Relay, последний из которых потребует от вас покупки второй машины (что в корне нарушает мои привычки &amp;ndash; я не автоколлекционер, и езжу на одной машине). Затем в каждом режиме будут присутствовать по четыре разных трека по три уровня сложности каждый. Чтобы хоть раз проехать на каждой трассе в каждом режиме и на каждом уровне сложности, придётся угрохать такое количество человеко-часов, что любому начальнику дурно станет! Но не стоит пускать слюней &amp;ndash; трассы в большинстве случаев попадаются одинаковые, иногда зазеркаленные или пущенные задом наперёд. Тут я столкнулся с &amp;laquo;экономическим&amp;raquo; отхождением от реальности: чтобы получить машину со всеми усовершенствованиями 1го уровня (кроме визуальных: они бесплатны, хотя и требуют разблокировки), я потратил 72 000 очков &amp;ndash; это в 8 раз больше, чем стоит машина в магазине. Вспоминается Gran Turismo, где &amp;laquo;налучший тюнинг = 130% стоимости новой машины&amp;raquo;.С другой стороны, при большом &amp;laquo;замесе&amp;raquo; машин на старте, или при массовой аварии наблюдаются непривычные на PSP тормоза. Модели повреждений так и не появилось, что лично мне не нравится, но это касается уже личных пристрастий. Говоря об апгрейдах на машину, я был приятно удивлён количеством усовершенствований. Их даже больше, чем в NFSU 2. Но трёх полосок, характеризующих увеличение handling, speed или acceleration внизу экрана нет. Это потребует небольшой теоретической подпитки, чтобы чётко знать, какая деталюшка какой аспект &amp;laquo;прокачивает&amp;raquo;. Теперь апгрейды можно переносить с одной машины на другую, но всё придётся ворочать вручную.</t>
  </si>
  <si>
    <t>2013-03-13</t>
  </si>
  <si>
    <t>Плита очень хорошая, здорово сделана, отлично работает. Но вот когда ставишь таймер, то услышать его звук о готовности можно только находясь очень близко с плитой. Громкость к сожалению не меняется. А будильник-таймер для готовки крайне важная вещь, имею ввиду громкость сигнала таймера. Жаль, что не продумали производители эту, казалось бы, мелочь. Так что если планируете готовить и ставите таймер - забудьте, что услышите его из комнаты. Даже на самой кухне его еле слышно.</t>
  </si>
  <si>
    <t>Купил после нового года. В ходе эксплуатации выяснилось, что программа 15 минут работает не 15 как указано, а 15-11-15-14-9-15-11-9-0 (что занимает 28 минут). Диагноз: неисправен ЭБУ. Машинка пошла под замену.  В целом машинкой доволен, надеюсь новая будет без всяких сюрпризов.</t>
  </si>
  <si>
    <t>отличный комбайн. пользуюсь год, очень довольна. не пользуюсь только соковыжималкой для цитрусовых, остальными насадками пользуюсь по полной программе.</t>
  </si>
  <si>
    <t>привет всем!телефон супер!!из выше перечисленных минусов нашла выход  - аську качайте с интернета.и выбирайте асю для сенсорного экрана)я пользуюсь всё супер.к эл.клаве быстро привыкла)  -на счет контактов надо полазить в настройках контакты и поставить показывать или симку или телефон или всё вместе)  -с будильником проблем нет ставлю каждый день)  -НЕ СКРИПИТ))тоже мне тут напишете..  ТЕЛЕФОН СУПЕР)))</t>
  </si>
  <si>
    <t>942</t>
  </si>
  <si>
    <t>Брали в М.Видео месяц назад и пока не пожалели. Отличное качество. Рекомендуем.</t>
  </si>
  <si>
    <t>Отличный телефон, очень удобно, что есть база и трубка. Кнопки удобные.</t>
  </si>
  <si>
    <t>Фен для укладки волос средней длины отличный. Что мощность небольшая даже очень хорошо, волосы не раздуваются. Девушки советую.</t>
  </si>
  <si>
    <t>2015-07-17</t>
  </si>
  <si>
    <t>Давно уже не покупаю молотый а тем более растворимый кофе – только зерна. Старая кофемолка буквально развалилась на глазах – пластмасса, хотя мотор еще работал (но ей и лет было почти 10). Искала именно такую – маленькую, компактную, с таким вот острым ножичком, чтобы за один раз намолоть как раз на 1-2 чашки кофе. Вариантов примерно одинаковых масса, поэтому выбирала чисто по цене и внешнему виду. Осталась очень довольна. Кофемолка работает как часики – мелет тонко, равномерно, особенно на импульсном режиме. Два раза исправно отключалась при перегреве, когда я на компанию из 10 человек молола. Моя оценка – отлично!</t>
  </si>
  <si>
    <t>Хорошо отпаривает.Длинный шнур это очень удобно.Резервуар для воды тоже вместительный,если приходится много гладить часто не бегаешь за водой.</t>
  </si>
  <si>
    <t>Купил вчера никак нарадоваться не могу телевизор просто шедевр!!! Цвета и полутона просто фантастика фильмы смотреть замечательно а также что ни мало удивило через аналоговую антенну показывает не просто достойно а выше всяких похвал скажу честно такого не ожидал поиграл в игры с PS3 просто супер цвета и опять же цвета  - изумительные!!! Так что советую всем покупайте не пожалеете телевизор на твердую 5!!!</t>
  </si>
  <si>
    <t>Посудомойка очень хорошая, моет тарелки волшебно, стаканы и столовые приборы хорошо .&amp;nbsp;</t>
  </si>
  <si>
    <t>Все заявленные функции работают, эта модель вообще выглядит как надежный танк )) Сначала тоже показала влажность 2%. Удивился, почитал инструкцию. Диапазон измеряемой влажности - от 25% до 95%. Тут меня и осенило. В общем, при влажности менее 25% прибор показывает либо прочерки, либо 2%. После трех дней работы увлажнителя воздуха все пришло в норму. Так что тем товарищам, у который 2% - срочно увлажняться!</t>
  </si>
  <si>
    <t>Что можно сказать про эту модель?  - Шумный. И это мягко сказано. С таким пылесосом можно смело будить соседей по утрам.  - Пластиковая составная трубка. Мало того, что не регулируется по высоте, так она еще и прогибается.  - Щетка. Тут как у всех дешевых пылесосов - ничего сверхвыдающегося - стандартный набор.  - Цена. Пока на рынок не вывалили сборище всяких Супр, Ролсенов и т.п. китайского "добра", ценник у Самсунга был сопоставим с качеством. А теперь... да, она все так же не высокая, но есть ли смысл доплачивать за корейский бренд?  Я рад, что пылесос достался мне когда-то фактически в подарок. Потому как взять его за деньги - себя не уважать. Лучше доплатить еще немного и найти модель потише и поудобней.</t>
  </si>
  <si>
    <t>Всем привет, если вы сюда зашли, то это правильный выбор. Этот саб издает неимоверное удовольствие для прослушки любой музыки, как басовой так и обычной попсы. У меня в багажном отделении в универсале стоит такой с головой Panasonic и с передними 16 см той же фирмы сони, ну также и зад 6 * 9 сони, усь фирмы Prologi 2 на 150, зацепил мостом, вышло 300 номинальной мощи. И слушаю теперь и наслаждаюсь музыкой, и ни даю спать по ночам своей любимой тещи! Советую приобрести такой! Просто супер класс - бас!!!</t>
  </si>
  <si>
    <t>1828</t>
  </si>
  <si>
    <t>Плеер просто мега.Минусов никаких.Всем советую его покупать:)</t>
  </si>
  <si>
    <t>2480</t>
  </si>
  <si>
    <t>Купил 2 дня назад этот саб, и моно усилитель Kicx AR 1.350. Установил в хендэ портер 2, бас очень сильный и глубокий даже при 50% мощности усилителя, самый лучший из всех сабов, которые я покупал</t>
  </si>
  <si>
    <t>Плитой я довольна. То, что пишут по поводу неудобства расположения горелок, мне пошло в +. Средними пользуюсь в разы чаще и не боюсь, что ребенок на себя кастрюлю опрокинет. Единственный для себя&amp;nbsp; минус&amp;nbsp; обнаружился месяцев через 10 - начали появляться пятна (полосками) неизвестного происхождения, такое ощущение что плита ржавеет изнутри.</t>
  </si>
  <si>
    <t>Nikon и есть Nikon!!!  Очень удобен.  Фото просто супер.  Видео в тёмной комнате повергло меня в шок (такого в других не видел)!  Если ищете первый фотик, даже не сомневайтесь - за такие деньги, это лучшее предложение.</t>
  </si>
  <si>
    <t>Пользуюсь 2 года. Ни разу не пожалел. Отличная вытяжка. Стильная, функциональная. Выбирал в том числе и по уровню шума. По сравнению со многими в этом компоненте выигрывает.</t>
  </si>
  <si>
    <t>Месяц работает исправно, бесшумно кипит и выключается. Вода нравится, кажется чище на вкус - раньше был пластиковый чайник... Да, вода слегка проливается после наливания в чашку, вдоль носика. Кипит медленно, но зато не перегружает сети, т. к. в 2 раза слабее большинства. За месяц никакой накипи, ни разу не мыли. Также в нашем случае, хорошо смотрится с учётом своего роста. Мелкие чашки в комплекте тоже пригодились.</t>
  </si>
  <si>
    <t>Плюсы этой камеры в её габаритах и меню - очень удобное и понятное,жене понравился сенсорный экран. Ну, а в том, для чего она нужна - полное разочарование. Нечёткость изображения, отвратительная цветопередача(особенно при комнатном освещении), какие-то"трупные"пятна мелькают, как на мобиле.Пробовали все режимы, разное освещение,на разных теликах и ноутбуке просматривали - и в итоге я её сдал обратно. Наш canon ixus фотик - лучше В 2 РАЗА снимает видео!!!</t>
  </si>
  <si>
    <t>1500</t>
  </si>
  <si>
    <t>Пользуюсь данным аппаратом около года.Нареканий нет.Погоду предсказывает на 60-70%(очень удобно,хотя и прогноз лишь барометрический).На внешний датчик обязательно необходимо установить литиевые батареи, иначе при -15, и солевые и щелочные перестанут функционировать.</t>
  </si>
  <si>
    <t>1928</t>
  </si>
  <si>
    <t>Покупайте даже не думайте, цена копейки - выкинуть не жалко если сломается, использую уже второй месяц, пока работает =) Три апельсина - стакан сока.</t>
  </si>
  <si>
    <t>Звук очень нравится, сидят плотно, достаточно удобно, оголовье для меня великовато, а регулировки нет</t>
  </si>
  <si>
    <t>2991</t>
  </si>
  <si>
    <t>Сборка аппарата отличная. Батарея двухдневная. Дизайн передовой. Управление хорошее и быстрое. C WM6.5 подружился сразу правда ее настройками не мучаю. Сайт подержки акера оформлен доступно и постоянно дополняется советами и дополнениями.   Я доволен им. Надеюсь и вам он приглянется.  Ставлю ему оценку один из пяти.</t>
  </si>
  <si>
    <t>Мне понравилась камера.   Понравился аккумулятор. Довольно маленькая. 5 баллов!</t>
  </si>
  <si>
    <t>Вполне оправдывает себя, хорошо обогревает небольшую комнату. Автоматически выключается, если его поднимаешь. За счет керамического нагревательного элемента не сжигает кислород. Несильно шумит. В общем, отличный прибор, рекомендую!</t>
  </si>
  <si>
    <t>вчера купил 7ую винду и не пожалел интернет пашет быстрее и памяти мало снимает и еще тут шифровка на 35 языках</t>
  </si>
  <si>
    <t>долго не могла определиться с моделью вытяжки, в магазине посоветовали эту модель, тем более она была со скидкой 3000 рублей. купила и вот уже три месяца пользуюсь. со своими обязанностями справляется отлично, воздух очищает и запаха во время готовки не остается. из недостатков могу выделить: то что фильтр на нее дороговато покупать и модель не из тихих, но сильно не напрягает. модель хорошая, но производитель хотелось бы чтобы она была потише. а пока твердая четверка.</t>
  </si>
  <si>
    <t>Ноут вообще шик. Нареканий нет, но хотел бы узнать какой тип файловой систему у раздела pqservice? А то я случайно удалил.</t>
  </si>
  <si>
    <t>Кофе варит быстро, если любите покрепче смешивайте два помола очень мелкий(как для заваривания в чашке) и обычный.От капсульной кофеварки не отличите вкус! (такая стоит т.к как обычно забываешь заказать капсулы((( для замены взяла обычную, довольна! кофе с мужем по утрам пьём вёдрами в постоянном режиме работают все 2 машинки))) берите понравиться! пять минут, 4 чашки кофе готово!!!</t>
  </si>
  <si>
    <t>Хорошая машина, пользуюсь 1,5 года, за всё время использования даже сказать ничего плохого про неё не могу, при её размерах очень вместительная, единственное лучше её ставить подальше от плиты, может треснуть пластмасса верхней крышки как произошло у меня, в общем машина хорошая, всем советую.</t>
  </si>
  <si>
    <t>Отличная гладильная система, мне дети подарили, сначала боялась подходить, а теперь с удовольствием глажу и результат отменный, всем советую!</t>
  </si>
  <si>
    <t>Отличный пылесос купили со скидкой :)!  Минус один в корпусе контейнера есть щели в которые забивается пыль и вода когда его моешь, решился вопрос разбором и герметиком,а так усё ОК !!!</t>
  </si>
  <si>
    <t>Купили 1,5года назад. Очень довольна, хлеб потрясающий, а какие куличи на пасху получаются.....)))  Пользуемся постоянно, отличная помошница в изготовлении теста!!!  Всем рекомендую, очень довольна, не пожалеете!!!</t>
  </si>
  <si>
    <t>Отлично выжимает все фрукты и овощи</t>
  </si>
  <si>
    <t>1381</t>
  </si>
  <si>
    <t>1.Игорь, ты бы мог её сразу привезти в сервис!!!  2.zanussi и electrolux рос. сборки на одном заводе раньше делали!!!  3.За такие деньги ты ту же россию возьмешь!!!</t>
  </si>
  <si>
    <t>2939</t>
  </si>
  <si>
    <t>Всасывание очень слабое. Пол хорошо убирает, в вот на ковер его уже не хватает. Будьте осторожнее со смоткой шнура. Может легко сбить с ног или вырвать розетку. По шумности - уровень средний (бывали и громче). Из плюсов - красивый и очень легкий.</t>
  </si>
  <si>
    <t>Телефон отличный.Глюк только с будильником (описан выше Андреем).  Камера хорошая.Вчера снимали новогоднюю ёлку вечером у универмага - снимки получились хорошие.  Вот параметры для съёмки фото в тёмное время суток:    Разрешение выставлял максимальное 5 мпк,  Режим - Обычное  Сюжетный режим - стабилизация  Фотовспышка - подавление...  Диапазон - Авто  Обнаружение лица - авто  Автоспуск - выкл  Баланс белого - авто    Качество - высокое  Экспозамер - авто  Резкость - обычная  Контраст - обычный  Насыщеность - обычная  Метка времени - вкл  Убрать мерцание - 60 гц</t>
  </si>
  <si>
    <t>Купили год назад, работают, батарейку ни разу не меняли, включаются тоже нормально. Даже взвешивали в чаше котенка :) Вобщем, я довольна.</t>
  </si>
  <si>
    <t>Нетбук в общем нормальный,но со стандартными настройками Windows Vista местами очень "задумывается" - Vista на нем нуждается в "доработке". Не хватает также модуля Bluetooth. Экран достаточно большой - картинку дает хорошую.</t>
  </si>
  <si>
    <t>Отличный водонагреватель. С нашей отвратительной водой прослужил без ремонта почти  пять лет. Ничего не бежало.</t>
  </si>
  <si>
    <t>2953</t>
  </si>
  <si>
    <t>имхо, самое лучшее сочетание характеристик качества и цены (22590р.)</t>
  </si>
  <si>
    <t>1230</t>
  </si>
  <si>
    <t>Нож у этой мясорубки тупой!!! прямо из магазина. Не берите, мясо проминает формируя из него пластилин. Знать бы заранее, никогда бы не купил. Извините не удержался но мясорубкой это назвать сложно, это мясодавилка какая-то!</t>
  </si>
  <si>
    <t>Когда купила очень понравился и не было никаких претензий к работе,но через 3 месяца начал жужжать как бешеный и зажевывать волоски. Стоит конечно не дорого,но мог бы поработать и подольше.</t>
  </si>
  <si>
    <t>Классная! Нам очень понравилась, действительно все понятно, можно не читать инструкцию, а ещё она металлическая.</t>
  </si>
  <si>
    <t>Тостер очень прост в обращении, на передней панели механическое управление временем поджаривания, наличие кнопки stop- отличное решение, всегда можно прервать процесс приготовления, функция подогрева уже поджаренных тостов, отсек для крошек, легкий.К недостаткам могу отнести короткий сетевой шнур.Ставлю 5 баллов.</t>
  </si>
  <si>
    <t>А я вчера выбрала эту машинку.ЖДУ с большим нетерпением когда смогу воспользоваться ею...Завтра должны привести....</t>
  </si>
  <si>
    <t>О товаре информации ни какой о товаре в магазинах и рекламе, лишь рекламный ход, ""Купи игру и получи 10 (десять игр бесплатно)".  Купил игру (+ 10 игр) специально для отпуска, однако на сайте потом, выяснилось что, игры будут доступны аж в течении месяца, для чего купил игру для отпуска непонятно, отпуск начался отлично.Обидно !  В магазине М-Видео продавец надомной просто смеялся (в прямом смысле слова),типа ты читать умеешь рекламный стенд. На стенде написано "Купи приставку и скачай 10 игр бесплатно" срок рекламной акции до такой даты, однако про получение код для скачики игр "бесплатных" аж через месяц никто при покупке не говорил и в рекламе не указывается. Опять рекламный ход, и заблуждение ПОКУПАТЕЛЕЙ.     Второе:   при просьбе позвать мне старшего продавца, оказал типа зачем он тебе, есть притензия, бери и пиши заявление, и через 10 дней Вам ответят а у меня завтра вылет, отпуск заблаговременно подпорчен.  ПРОДАВЦЫ ПРОДАЛЖАЮТ НАС ДУРИТЬ, наверно так !?</t>
  </si>
  <si>
    <t>370</t>
  </si>
  <si>
    <t>Нормальная кофеварка. Жалко только, что нет датчика уровня воды. Внутри емкости для воды есть отметки на количество чашек кофе. Но видно их плохо, тем более что сделаны они на непрозрачном белом пластике.  Кстати колба сделана из закаленного стекла. По крайней мере, так мне в магазине сказали.</t>
  </si>
  <si>
    <t>Эта фритюрница - просто чудо по сравнению с другими, масла почти не требует, легко готовить и отмывать.   Из минусов только: когда блюдо готово, таймер лишь подает сигнал, но не отключает фритюрницу, а так остальным всем я очень доволен!</t>
  </si>
  <si>
    <t>Ноутбук просто супер!!!Имя ЦП CPUID	Intel(R) Core(TM)2 Duo CPU T6500 @ 2.10GHz и это радует.</t>
  </si>
  <si>
    <t>Хорошо скользит, мощьный паровой удар, крепкая подошва.</t>
  </si>
  <si>
    <t>1726</t>
  </si>
  <si>
    <t>Общие впечатления весьма положительные. Но будучи чайником столкнулся с проблемой подключения монитора.     приобретя в комплект 23 дюймовый Самсунг пытался с первого же раза подключиться через DVI - естеств. ничего не получилось, пришлось отключать грубо, все направилось только после использования miniD-Sub, после установки родных драйверов монитора все заработало отлично.     Более недостатков пока не выявлено, работает с графикой весьма хорошо, работает очень тихо (по сравнению со старым компом).    Удачи всем!</t>
  </si>
  <si>
    <t>ну вот купил это чудо... нареканий не было... пользовался меньше 2 мес. и вот что стало!  1) хард хрюкал через месяц.  2) 2 недели назад начала картинка замерзать в играх и программах( комп не откликается, температуры в норме не выше 50 градов,внутри чистота) выключается при длительном нажатии кнопки выкл  3) это не все. после такого выключения он не включается в течении 2-3 часов.  4) и вот дошло до чего: он перестал включаться...жмешь вкл, а он стартует и сразу же вырубается..    разочарован полностью((((((  чтобы не тратить время в пустую отдавать по гарантии (они и так ничего не сделают), а сразу же не зависимым экспертам и сдать его обратно.!!!</t>
  </si>
  <si>
    <t>2015-12-08</t>
  </si>
  <si>
    <t>Это уже не первая плитка у нас. Служит около года, выкинул и взял новую! Проверяйте на брак сразу, что бы потом не бегать.</t>
  </si>
  <si>
    <t>585</t>
  </si>
  <si>
    <t>Цена,функционал</t>
  </si>
  <si>
    <t>Недостатки: только 2 USB порта, отсутствие Bluetooth, только аналоговый видеовыход, нету PCMCIA слота. предустановленная Win7 HB - убить того кто придумал ставить 7 на ноуты =&gt; отказался, получил компенсацию, поставил Linux - радуюсь.  Плюсы: цена, бешеная производительность в source-based дистрибутивах Linux. отличная поддержка оборудования все тем же Linux`ом, графика спокойно вытягивает полный набор эффектов KDE 4. Приличная яркость дисплея.  Долго работает от батареи (все там же). Вес. Кто тут говорил про нагрев - вранье. Греется слабо, при просмотре фильмов и работе с инетом кулера вообще не слышно.   Выводы: За эти деньги хороший ноут. Был бы отличный если бы была предустановленная linux (что снизило бы цену), наличие DVI выхода. Чуть более мощный проц.</t>
  </si>
  <si>
    <t>292</t>
  </si>
  <si>
    <t>ноут отличный, все игры отлично идут, очень доволен покупкой.</t>
  </si>
  <si>
    <t>Где можно найти темы и игры к данному аппарату?</t>
  </si>
  <si>
    <t>2678</t>
  </si>
  <si>
    <t>Купил плеер,не сильно долго думал,так как хотел что-то качественное. Плеер оправдал ожидания, работает на ура, не ожидал даже,что он настолько громкий)) конектиться без проблем с windows XP sp3.Сразу купил пленку на экран.Экран в принципе для просмотра видео приемлем.</t>
  </si>
  <si>
    <t>1. Плюсы - качество питьевой воды после очистки.  2. Цена  - невысокая, если сравнивать с покупкой питьевой воды в бутылках.  3. Сам контролируешь, когда заменить фильтр, в зависимости от жёсткости воды. Раз в месяц - оптимально.</t>
  </si>
  <si>
    <t>Покупали для путешествий с семьей. Гладит отлично, есть подача пара. Идеальное решения для глажки небольшого количества вещей на отдыхе - весит мало и очень компактного размера , места в чемодане занимает минимум.</t>
  </si>
  <si>
    <t>При первом же натягивании провисшие веревки. Фиксатор для веревок все время слетает. Один плюс что веревки продеты внутри. Вес выдержит спального белья. Лучше чем ничего. Ни лучшая покупка.</t>
  </si>
  <si>
    <t>Довольно пользуюсь им недавно,а он хорош. Удобная кисточка, для удаления крупного мусора.  Хорошо очищает оптику.</t>
  </si>
  <si>
    <t>Товар отличный, очень порадовал меня своей ценой и отличнейшем качеством звучания! Ну в принципи про филипс плохого и сказать нечего=))</t>
  </si>
  <si>
    <t>Подарила маме на Новый год. Когда покупала, смутила цена, но на момент поиска это были единственные щипцы, которые соответствовали требованиям - длинные, с маленьким диаметром и тефлоновым покрытием. Мама в восторге, на укладку уходит мало времени, не жжет ее ослабленные волосы. На следующий день подправляет прическу за пару минут и без использования дополнительных средств, для нее это весьма важно, так как любит поспать подольше :)</t>
  </si>
  <si>
    <t>Сергею (Самара):  Проблема с выгоранием практически полностью решена ещё примерно с девятого поколения панелей. В данной модели стоит двенадцатая. Если будете месяцами держать яркую светлую статику не выключая - то, конечно же, выгорит фатально. При нормальном использовании после очень ярких светлых картинок (если несколько минут держать) след остаётся, но уходит полностью через 3-4 минуты после выключения картинки. С логотипами каналов проблем не возникнет в любом случае - не настолько они яркие, да и рекламных пауз (когда логотипы выключают) ещё не отменили.     Мой случай: ~полгода использования по 4-6 часов в день, ~80% эфир + ~20% - кино с различных источников. Панель в идеальном состоянии, как новая, никаких следов выгорания нет вообще.    Потенциальному покупателю (Новокузнецк):  Да, сильно бликует. Если стоит в затемнённой комнате - не заметно, но при ярком свете - зеркало. Если критично - обратите внимание на S10, она килорублей на 5 дороже, но на ней есть антиблик.</t>
  </si>
  <si>
    <t>Купили сегодня. Отлично справляется со всеми видами фруктов, овощей. Великолепный сок! Отличная модель.  Минус только один-при старте мощный мотор срывает соковыжималку с места - нужно поддерживать рукой. При выжимке фруктов\овощей держать аппарат не нужно.  Уровень шума нормальный. Не громкая.</t>
  </si>
  <si>
    <t>А мне нравится очень, только была бы она больше. Моет отлично только программу правильно выбирать нужно!</t>
  </si>
  <si>
    <t>Единственный недостаток был в том, что грел недолго, отключался, а включался обратно, когда совсем холодно становилось. Вопрос решился отключением датчика температуры, теперь ему цены нет!</t>
  </si>
  <si>
    <t>3169</t>
  </si>
  <si>
    <t>ужасно понравился сорбик все в нем отлично!но два недостатка это ужасные игры и ужасно не удобноу написание смс!также если в режиме фотографирования ничаянно нажать блокировку то усе из фото не выдти пока батарейку не вытащишь!а так все отлично!взял на одно лето из за легкости управления и компактных рзмеров!но в холодное время года этот телефон невозможно будет использовать!</t>
  </si>
  <si>
    <t>1284</t>
  </si>
  <si>
    <t>подарила мужу на день рождения .он честно говоря был разочарован .ожидали от машинки большего.</t>
  </si>
  <si>
    <t>2012-11-19</t>
  </si>
  <si>
    <t>Купил этот чайник, &amp;nbsp;думая что он из нержавейки. Заплатил подороже, чем за пластмассовые. Но распаковав дома и заглянув во внутрь увидел что стенки то пластмассовые.&amp;nbsp;</t>
  </si>
  <si>
    <t>Хорошая штучка))) пользуюсь с удовольствием уже несколько месяцев. Зарядку держит долго - хватает дня на 3 при условии, что слушаю часа по 3-3,5 в день. Видео показывает неплохо, читает много форматов, единственный минус - когда файлы очень большого объёма, звук иногда тормозит, лучше конвертировать, чтоб совпадал с изображением. Либо в настройках MSEQ поставить галочку на 3D – помогло, перестал отставать)))  Слушать можно как отдельные папки, так и всю музыку одним списком, разные эквалайзеры позволяют неплохо варьировать звучание музыки.  Родные наушники не удобные, лучше сразу купить другие. Радует, что и музыку и видео можно продолжать смотреть и слушать при новом включении с места, на котором выключили. Маленькая приятность – возможность поставить на фон рабочего стола свою картинку, правда при таком варианте становится неудобно читать книжки на плеере. Кстати о книжках – очень удобная функция закладок. Рекомендую такой плеер, не пожалеете - и цена привлекательная, и объём памяти большой (к тому же есть расширение картой памяти), и многофункциональный, и работает хорошо)))</t>
  </si>
  <si>
    <t>Хлебопечку купили вчера. Продавец уговаривал на более дорогие модели, но мы выбрали эту и не пожалели. Вчера пробовали белый хлеб, сегодня молочный. Все получается на ура и с первого раза! Главное инструкцию ВНИМАТЕЛЬНО читать и все получится. Продукты ОБЯЗАТЕЛЬНО должны быть комнатной температуры, либо подогретыми- если только достали из холодильника. Дрожжи использую сухие активные (которые предварительно надо разводить водой). Всем рекомендую эту модель- не пожалеете!</t>
  </si>
  <si>
    <t>Конструкция дверцы очень хлипкая. Сама дверь и пружины держатся на пластиковых деталях, которые ломаются очень быстро. Как следствие дверь перестает плотно прилегать и машинка не моет, нужно подпирать дверь.  ТЭН постоянно перегорает вследствие протечки какой-то жидкости, а стоит он недешево.  В общем машинкой недоволен. За такие деньги могли бы и не экономить на деталях.</t>
  </si>
  <si>
    <t>Отличное качество!    3 Спортивных HD канала. Кино в HD супер! И так получается, что единственный полновесный канал 3D в России, что-то не нашел ни у кого что-то похожего. Discovery, Nat Geo, все в HD!</t>
  </si>
  <si>
    <t>После долгого выбора решила,что можно выбрать проверенную фирму Тефаль. Оказалось зря. Почему-то производители решили,что тостер-это такой прибор,где надо приподнимать тост при помощи рычага, а не как на всех нормальных моделях-где тост выпрыгивает из отсеков сам.  Очень разочарована покупкой. Буду менять.</t>
  </si>
  <si>
    <t>2043</t>
  </si>
  <si>
    <t>жаль что сразу не прочитал отзыв от Андрея.Деньги на ветер!!!!!!!!!!!!!!</t>
  </si>
  <si>
    <t>Купил сразу два чайника: себе и родителям. С разницей в месяц у обоих чайников возникла одна и та же неисправность: после включения они самопроизвольно отключаются через некоторое время работы (от 3 до 10 секунд) и надо стоять над ними и несколько раз включать, раза с пятого они входят в режим и нагревают воду. Такое ощущение, что нет контакта!   Качество этой модели АБСОЛЮТНО не соответствует ее цене! Не советую!!!</t>
  </si>
  <si>
    <t>Купил осенью 2008 года. Через три месяца приехал покупать к нему сменный фильтр. Оказалось, что таковых в РФ не продается.  На просьбу заказать и привезти магазины не реагируют.  Так что покупайте этот увлажнитель только вместе с запасными фильтрами, иначе это бесполезная вещь.  А сам по себе этот воздухоочиститель безупречен. Наилучший выбор, если бы не эти гребанные фильтры</t>
  </si>
  <si>
    <t>Идеален практически во всём, а главное автоматизирован и ничего лишнего. Со дня покупки лишь подливаю свежую воду в него, закипание включается автоматически а то я заметил тут по отзывам люди жалуются что приходится выдёргивать вилку из розетки аж смех разбирает. На счёт правильности температуры сказать нечего, нужен проф прибор для замера. Я замерял детским инфракрасным термометром но у него предел 80*, первые 100 грамм выдал 71* а вторая и последующие прибор выдал ошибку указывая завышенную температуру. Использую около месяца и вода до сих пор кристально чистая про накипь ни намёка, возможно сказывается фирменное от Panasonic угольное внутреннее покрытие. Температуру не менял, по умолчанию 90*. Есть повторное кипячение или если быть точнее вода кипит 6 мин убивая остатки хлора на 80%. Если кому нужно то верхняя крышка снимается. Есть 4 режима поддержания это считаю лишним, достаточно одного 90* или 98* как говорится на вкус и цвет. Шнур сети вдвое длиннее чем у любого электрочайника. Большим плюсом считаю сборка Таиланд а не КНР да и вообще у меня дома много техники этой фирмы которую стоит уважать за качество.</t>
  </si>
  <si>
    <t>Долго смотрели на данную модель, затем почитала отзывы и решилась на покупку. Интересно, про какие 20 мин.пишут другие покупатели, но для приготовления 1 кг. картофеля понадобилось 40-45 мин. При этом назвать то, что получилось "картофелем фри" - очень сложно, т.к. получается мягкий и не поджаренный картофель. Пробовала добавлять время приготовления, но тогда картофель высушивается и становится "дубовым". При этом все инструкции по подготовке картофеля (нарезка, промывка под струёй воды, сушка и т.д.)строго выполняли. Короче, положила я эту "чудо-фритюрницу" в дальний угол шкафа.....</t>
  </si>
  <si>
    <t>Мясорубка отличная, а мясо она жует лишь потому, что не правильно собрана - следует смотреть силиконовую прокладку, которая или стирается со временем, или отсутствует. Кстати - а где купить сию прокладку?</t>
  </si>
  <si>
    <t>У данной модели весов есть проблема. Через какое-то время (у меня примерно раз в неделю, бывает и чаще), весы начинают "глючить" - показывают ерунду на экране при взвешивании, или вообще не работают... Видимо, кривой софт. Помогает только полный сброс по питанию - вынуть батарейки, подождать, вставить назад. Бывает, что и даже после данной процедуры всё равно глючат - нужно передергивать батарейку по несколько раз.</t>
  </si>
  <si>
    <t>2136</t>
  </si>
  <si>
    <t>Классный фен!! Действительно быстро сушит волосы, даже в таких объемах как у меня. Он небольшой и легкий, при этом мощный. Еще у него есть классичекий диффузор, поэтому делать объем прическе проще простого! Вывод: незаменимая вещь в моем обиходе)))</t>
  </si>
  <si>
    <t>Купил сегодня, понравился встроенным Йота модемом ... лучшее по моему сочетание цена-качество</t>
  </si>
  <si>
    <t>Отличный монитор. За счет отличной контрастности и высокого разрешения изображение получается супер. За эти деньги ничего лучше не найти.  Недостатки: отсутствие DVI (хотя он особо и не нужен в моем случае), низкие углы обзора (относительно моего старого Benq).</t>
  </si>
  <si>
    <t>я свой сестренке подарил такой, и честно завидую, потому что играться с ним одно удовольствие. У меня простой без дисплея, а тут и видео, причем конвертировать ничего не надо. Музыка - тоже самое, ест все форматы, звук отличный. Еще что удивило - время работы, горяздо дольше моего, хотя и на свой (тоже explay L70) я никогда не жаловался. Жалею только что 4 ГБ только, можно было на 8 взять.</t>
  </si>
  <si>
    <t>если сделать вид, что не слышишь как она шумит, то все просто замечательно. Но шум все равно раздражает, PS намного тише</t>
  </si>
  <si>
    <t>Хороший ПК, главное сменил винду на ХП, то с Вистой невозможно работать, хоть на ХП он видит только 3 гига оперативки но все равно производительность будет больше чем на Висте!!!</t>
  </si>
  <si>
    <t>соотношение цены и качества порадовало</t>
  </si>
  <si>
    <t>2415</t>
  </si>
  <si>
    <t>Машинка хорошая, пока не сломался крепеж сливного фильтра (один из двух маленьких рычажков).  Очень неудобно чистить фильтр. Фильтр развернуло  при стирке , он погнул барабан. Оказалось запасных частей в ремонтной мастерской на эту модель нет, а барабан , вообще не снимается. Гарантия к сожалению уже закончилась. Теперь надо новую покупать. А не прошло и трех лет...</t>
  </si>
  <si>
    <t>89</t>
  </si>
  <si>
    <t>Мне 38 лет и я скажу, что из них мой игровой стаж составляет около 30 лет (может быть, больше). Уж я-то знаю, какая игра стоит внимания, а какая должна быть разбита об голову нарика (других слов подобрать не могу). Игра Pirate Hunter является достойным продолжителем серии игр Far Cry. Если вы ещё не играли в хантера пиратов, то удалите свою ОС, иначе будет плохо, отвечаю. Достойная игра - 4/4.</t>
  </si>
  <si>
    <t>5+</t>
  </si>
  <si>
    <t>Пользуюсь третий месяц.Очень удобно варить гречку и рис на гарнир, получаются рассыпчатые. Молочная каша сильно разваривается, на любителя. Тушение нужная функция, мясо мягкое получается. Варка на пару-нужная функция, и мультиварка сама выключается,когда вода выкипит.Хороший кухонный прибор в дополнение к плите. Но плов лучше делать традиционным способом, здесь он получается хоть и рассыпчатым, но немного пресным. Но если нет времени стоять у плиты-мультиварка просто необходима.</t>
  </si>
  <si>
    <t>В общем хороший вентилятор. Дует отлично...не шумный..всё нормально..Но воняет ужасно..уже раза 4 включала на длительное время и уходила из комнаты.. думала пройдет...но не проходит</t>
  </si>
  <si>
    <t>Купил антенну в 2008 г. Ловит 2 канала только рядом с ретранслятором, и то во время стоянки. При движении сигнал пропадает. Брать не стоит</t>
  </si>
  <si>
    <t>Купил матушке, в больницу ложилась, нужна стала связь. В результате - постоянные тревоги: абонент не может ответить. Оказывается кнопки постоянно заклиниваются под переднюю панель и телефон перестает работать. Приезжаю, выковыриваю, а до тех пор ни мать позвонить не может, ни я до нее дозвониться.   Заряжать надо часто, не реже раза в два дня. Причем значек заряженности батареи сначала показывает все время полно, а потом за несколько часов - нуль и кранты. А старикам вводить эти пины еще научиться надо.   Крупная клава и крупные цифры набираемого номера на экране - это хорошо, но все остальные надписи, значки - мизерные, совсем не для старческих глаз. Не для стариков и нежность зарядного устройства - развалилось через месяц. В общем, знал бы заранее что будут такие траблы - не взял бы.</t>
  </si>
  <si>
    <t>1462</t>
  </si>
  <si>
    <t>шикарный выпрямитель за эту цену! брала пользоваться у подруги, еду покупать себе! теперь и другая подруга хочет такой же)) выпрямляет быстро, нагревается быстро, легкий, удобный! волосы живые, блестят!</t>
  </si>
  <si>
    <t>1498</t>
  </si>
  <si>
    <t>Использую как телефон. Большой экран. Крупные буквы.При выключенном интернете зарядку держит два дня.</t>
  </si>
  <si>
    <t>Прекрасный телефон!   Очень понравился. Удобное меню, идеальная подсветка.  И классные наушники..</t>
  </si>
  <si>
    <t>Купил месяца три назад, звук хороший, ну по крайней мере за эти деньги. И казалось бы...слушай и слушай, так НЕТ, взял и сел прям на них, и правая вилочка, ну где само ухо крепится, возьми и отвались, почти на совсем!   Очень жалко, так расстроился! :-(  А так всё супер!!!</t>
  </si>
  <si>
    <t>1) Плюсы: Цена, относительно длинные провода, звук для тех кто слушает не нагруженную низкими частотами музыку.  2) Недостатки:  Катушка в Сабе накрылась через месяц, после покупки, сначала начинает активно "жужать", а затем и вовсе отключается  3) Изначально был доволен покупкой, но из-за качества внутренностей больше не куплю подобный вариант</t>
  </si>
  <si>
    <t>Я не согласен с плохими отзывами. Я слушаю аудиокниги и для этих целей наушники хороши. Продуманная и надёжная система крепления, сидят действительно как влитые, удобно. Что такое спутанные провода - вообще забыл.</t>
  </si>
  <si>
    <t>Присоединяюсь к положительным отзывам. Хорошо чистит зубы и язык. Меняю насадку, когда бледнеют щетинки, что очень удобно, и не надо строить догадки. Я человек чувствительный, но уже через три года прижимаю щетку к деснам, видимо, привычка. Лампочка светит красным, мол сильное нажатие, но мне норм. Еще, когда чищу зубы - просыпаюсь:). Так, что, рекомендую. Сняла звезду за слабую батарею, не хватает на неделю.</t>
  </si>
  <si>
    <t>Купила недавно фен Ровента и очень довольна им. Сомневалась в выборе модели, но теперь убедилась, что правильно сделала, купив этот фен.  Всем советую купить.</t>
  </si>
  <si>
    <t>Приобрели недавно, очень довольны, при том что нам еще подвезло и мы приобрели ее со значительной скидкой!</t>
  </si>
  <si>
    <t>До этой бритвы лет 15 использовал другие Филипсы (4 шт.), потихоньку обновляя модели. Т.е. кожа всю жизнь брилась именно роторными и именно филипсами, привыкла к этому и не чувствовала перехода от бритвы к бритве. Этой бреюсь уже 3 недели, пока результат скорее отрицательный, к сожалению. Бреет не чище и не быстрее, чем предыдущая HQ8100, однако кожу дерет довольно ощутимо после бритья. Целый день потом с красной шеей ходишь как дурак. Позиционируется как аппарат для бритья под душем (для экономии времени типа) и использует гель для бритья. Влажное бритье, короче. К сожалению, опять же, только в душе и только с гелем ей бриться еще более-менее нормально. На сухую, да без геля - это какой-то садомазохизм. Нет подроторного сборника для щетины, вся щетина при бритье летит наружу с обратной стороны головок, вся раковина в ней. А вот под душем бриться прикольно (необычные ощущения), но невозможно рассмотреть результат своих трудов в процессе, тока наощупь.   В общем, пока даж не знаю, что делать: возвращаться к старой бритве или ждать, пока привыкнет кожа к этой...  Второй раз бы эту бритву не купил.</t>
  </si>
  <si>
    <t>Пользуемся уже 4 года такой очень активно. Если посуду расставлять в соответствии с инструкцией, а не больше и не по-другому, то моет хорошо не только столовые приборы, но и кухонную утварь. Пользовалась и таблетками и порошком, качество мытья зависит от используемого средства. Очень нравится, что можно прервать мойку на любом этапе, а затем продолжить (в отличие от других машин). Минусы - сильный шум и невысокое качество пластмассы корпуса. В целом довольна.</t>
  </si>
  <si>
    <t>1972</t>
  </si>
  <si>
    <t>2015-03-24</t>
  </si>
  <si>
    <t>Купил для экшн камеры, очень удобный штатив) Оригинал! Качество материала очень хорошее, есть быстросъемная площадка, можно установить камеру в любом положении)  Сравнивал с неоригинальными в этом ценовом сегменте, советую этот для экшн камер)</t>
  </si>
  <si>
    <t>Качество чистки, цена</t>
  </si>
  <si>
    <t>Никаких положительных изменений с волосами не увидела. К концу дня волосы стали "электрическими" и не приятными на ощупь((((</t>
  </si>
  <si>
    <t>2013-04-23</t>
  </si>
  <si>
    <t>Очень долго выбирала машинку, читала отзывы и купила эту. Очень нравится! Инструкция для школьников, все понятно! Сейчас шью и получаю удовольствие! Самое главное, что все необходимое в ней есть и быстро и легко заправляется! Не думала, что за такие деньги можно купить хорошую для души машинку!!!</t>
  </si>
  <si>
    <t>Мне его подарили, сама не выбирала. Пользуюсь уже больше 5 лет, довольна всем, кроме того, что фарш хорошо делает только из куриного филе, свинину и говядину с трудом перерубает. Особенно активно использую тёрку для драников, пару кило картошки перерубает за 5 минут и ни одного пальца не страдает. Рекомендую.</t>
  </si>
  <si>
    <t>Отличный усилок, стоял в 7-ке, подключил саб Mistori на 600 ватт, играл нормал, но сам саб не тянул, купил б.у саб не помню фирмы и после играл на ура даже машина дрожала))) голова пионер стояла.</t>
  </si>
  <si>
    <t>Замечательный прибор. Получается очень вкусный и полезный йогурт. Если готовить на сухой закваске йогурт получается через 11 часов, если на уже готовом йогурте через 4 часа.Если есть маленький ребенок незаменимая вещь.  Баночка объемом 150 гр.</t>
  </si>
  <si>
    <t>2011-03-31</t>
  </si>
  <si>
    <t>купили этот телевизор в январе 2011 по акции,всё супер,очень нравится-те кто ещё раздумывает-берите,не пожалеете! по поводу чтения не всех форматов- решается без проблем,через кабель HDMI,к компьютеру или ноутбуку и вперёд!!!</t>
  </si>
  <si>
    <t>Купили в инет магазине 4 месяца назад. Стирает отлично, вместительна. Режимов стирки вполне хватает. Раньше стирали Сибирькой, и мне говорили что автоматы не простирывают так, как совдепия. Ничего подобного - все прекрасно отстирывает. А детское белье вообще на ура!!! Советую всем, ни разу не пожалела о покупке этой машинки!!!</t>
  </si>
  <si>
    <t>Звукоизоляция ужасна, музыку в метро ещё можно слушать на большой громкости, а вот смотреть видео с ac3 или dts дорогой уже нереально, из-за шума ничего не слышно.</t>
  </si>
  <si>
    <t>2013-07-24</t>
  </si>
  <si>
    <t>Купил через месяц перестала работать камера! Отправили в СЦ где сказали надо менять модуль камеры - и это не единичный случай! Не устанавливал ни одной программы (все заводские приложения) свободной оперативной память 900 мб из 2гб! Два раза сам по себе перезагружался. Если во время разговора по bluetooth гарнитуре принять вызов со второй линии - то прервать вызов с первым собеседником вы уже не сможете.</t>
  </si>
  <si>
    <t>Не считая опечатки в описании товара (ддр2 оперативка, а не 3 таки) =-)</t>
  </si>
  <si>
    <t>плеер достойный.купил недавно.всё устраивает.но есть одна проблема.когда заряжается уже долгое время индикатор показывает что он всё ещё заряжается и не меняет символ на "полностью заряжен" подскажите из-за чего это происходит?</t>
  </si>
  <si>
    <t>Вещь эта очень хорошая, запах пропал буквально после 2-х или 3-х раз прогрева на полную.Пользуюсь до сих пор с 2004 года, вот только краска полопалась слегка, но это из-за времени.</t>
  </si>
  <si>
    <t>В первый же день появились отрицательные эмоции: 1) Съёмка видеокамерой не получится - не позволяет плавно двигаться не в одной из плоскостей 2) Одна из ножек выдвигалась с жестким скрипом (и вообще крепления очень слабые) 3) На второй день пользования вертикальная перестала выполнять свои функции - фотоаппарат просто напросто под веса объектива (небольшого)падал вперед, нечем затянуть. 4)Быстросъемная головка на место ложится неровно.</t>
  </si>
  <si>
    <t>Купили месяц назад машинку стиральную Bosch WLX20462OE Очень понравилась. Стирает намного лучше прежней ( Индезит). При отжиме не шумит. Очень мощная.</t>
  </si>
  <si>
    <t>Качественное стальное покрытие и дизайн радует глаз.Четко работает электроподжиг,плавное регулировка горение конфорок.Практичность чугунных раздельных решеток удобны для моментальной чистки,посуда стоит на ней как на магните.Духовка печет нормально,в ней тоже все продуманно.Вообщем мы с женой довольны ценой и качеством.</t>
  </si>
  <si>
    <t>Недавно купили такую вытяжку на кухню, очень довольны её работоспособностью и производительностью! Она мощная, с четырьмя скоростями, поэтому вытягивает воздух очень хорошо. Прекрасно справляется с уничтожением всех запахов, которые появляются на кухне. Конечно, четыре скорости – это много, я пользуюсь каждой из них в зависимости от того, насколько долго готовлю. Наиболее часто используемые мной – первая и вторая, иногда третья. Мне очень нравится, как здесь оформлена панель управления – всё видно чётко, регулировать режимы просто и легко, к тому же, кнопки оснащены подсветкой. Вытяжка не только отлично тянет воздух, но и освещает поверхность плиты – готовить в вечернее время теперь гораздо удобнее. выключается она автоматически, к тому же, есть специальный таймер, я им часто пользуюсь. На дисплее всегда показаны не только мощность её работы и выбранный режим, но и степень загрязнения фильтров. Это очень практично. Сами фильтры легко мыть, никаких сложностей с их очисткой не возникает. сама вытяжка очищается тоже в два счёта. Встраивается легко. выглядит она классно, хорошо сочетается с обстановкой кухни. Не шумная.</t>
  </si>
  <si>
    <t>2123</t>
  </si>
  <si>
    <t>Очень мощный пылесос!!!!!И очень тихий!!!!Он такой мощный, что на полной мощности поднимает ковер!Он у меня 2 дня, очень доволен. Все сделано классно, а особенно дизайн! Все пишут, что бьет током, он бьет тока на железной трубе и бьет не сильно, чтобы не бил надо держать за пластиковую ручку, а не за трубу. Вообще, это самый мощный мешковый пылесос в мире. Всем советую!!!!!!!!!!!!!</t>
  </si>
  <si>
    <t>Брал по акции в пол цены. Чайник устраивал всем. Примерно через месяц работы, когда чайник начал закипать, с кнопки включения потекла вода. Оказался неремонтопригодным. В итоге вернули деньги.</t>
  </si>
  <si>
    <t>От самого компа балдею, но зависания не дают им насладиться в полной мере. Если кто-нибудь свозит в сервис, сообщите какая проблем была, а то у нас сервисные центры некомпетентны, они поломку блока питания искали три недели, хотя я когда сдавал сразу указал на него....</t>
  </si>
  <si>
    <t>375</t>
  </si>
  <si>
    <t>Купил пару дней назад. После Elenberga просто кайф. Кстати недостатков не было. Кстати нагревание - вполне нормальное явление для электро техники. Универсальная щетка в комплекте. Всасывание даже на половине достаточное. Шумит не сильно. Может выше отписавшимся просто не повезло с товаром?   А пылесос рекомендую...</t>
  </si>
  <si>
    <t>Потрясающая расческа! Никогда не оставляю отзывы, но тут исключение, не могу не поделиться! Такого эффекта я действительно не ожидала. После примерки кучи вещей, волосы стояли просто на 90! Расчесалась этой щеткой, и они стали гладкие, блестящие и перестали электризоваться! Как после ламинирования! Подруга, скептик, не поверила мне, но когда сама расчесалась -поехала покупать) Волшебная палочка какая то!</t>
  </si>
  <si>
    <t>Я машиной Indesit WISN 100 (CSI)  осталась не довольна!!!Купили мы ее летом 2007года, в январе 2008 она сломалась!!Но была еще гарантия отремонтировали!!!Сейчас сломалось тоже самое!!Всего машина проработала три года!!Буду покупать новую и уж точно не Indesit!!</t>
  </si>
  <si>
    <t>Качество отличное, проверяйте комплектацию в магазине, монтаж не сложен, подключается элементарно, не забудьте прикупить фильтр грубой очистки для продления жизни прибора. Инструкция очень подробная, официальная гарантия на бак 7 лет. Висит на стене, не греется, не шумит. Очень доволен, рекомендую.</t>
  </si>
  <si>
    <t>Вытяжкой пользовались ровно год и неделю, сначала потрескались жироулавливающие фильтры, затем перестали работать кнопки, далее сломался сам мотор, и еще она очень шумная! Это кошмар, а не вытяжка!</t>
  </si>
  <si>
    <t>Два месяца и налет ржавчины у основания уровня,хорошо что купил гарантию.От М Видео ждал гораздо лучшего результата..</t>
  </si>
  <si>
    <t>Владею им уже 1 год. Никаких нареканий нет! Обращаю внимание: модель тяжеловатая-скорее мужская. Зарядки мне хватает на 2 дня. Телефон отличный, рекомендую!</t>
  </si>
  <si>
    <t>1819</t>
  </si>
  <si>
    <t>2015-09-20</t>
  </si>
  <si>
    <t>долго пользовались другой машиной, даже не помню название, и если честно была разочарована в этих аппаратах, но на работе купили такую машину и оказалось что не все машины одинаковые. эта машина варит обалденно-вкусный кофе,  даже не ожидала такого. на новый год решили купить, еще и под акцию классную попали со скидками, теперь стоит дома красавица. если детально то в ней можно сварить все что угодно, и латте и капучино, новые напитки для се6я открыла, она понятная и не прихотливая в уходе, продавцы нам все обьяснили и показали, так что покупкой очень довольны и бонусы заработали!</t>
  </si>
  <si>
    <t>1590 потому что последняя и в уценке - вывод один - уточнять надо на сайте</t>
  </si>
  <si>
    <t>986</t>
  </si>
  <si>
    <t>8 гб оператвной памяти не надо, так как аппаратная часть(ЦПУ)видит только 4  корпус слишком мал для таких запчастей, будет слишком сильно греться</t>
  </si>
  <si>
    <t>Ну вот пришло время написать отзыв) нашему чайнику лет 4,5 примерно и вот первая поломка: крышка чайника раскрошилась. Просто дырка в крышке..а чайник ещё готов служить думаю не мало лет. Чайник сам по себе отличный и подсветка нравится и взрослым, и детям.</t>
  </si>
  <si>
    <t>Стильная, красивая, удобная</t>
  </si>
  <si>
    <t>Замечательные щипцы, недостатков нет. Очень удобный шнур, и кудри получаются красивые. Рекомендую!</t>
  </si>
  <si>
    <t>Удобная, надежная. Ручки прячутся. От детей защиты нет конечно, но это не главное. Главное как она печет и пропекает. Лучший выбор. Жене понравилась)</t>
  </si>
  <si>
    <t>Купила для новой квартиры стиральную машинку,но... была немного разочарована пластиковой защелкой в открывающейся крышке.Теперь волнуюсь,вдруг быстро сломается. Потому что до этого были модели только с металическими защелками. Может кто нибудь утешит,у кого такая модель уже давно. А в остальном-мне все нравится.</t>
  </si>
  <si>
    <t>2307</t>
  </si>
  <si>
    <t>это просто офигено очень хорошая цена и набор офигенный я обязательно куплю</t>
  </si>
  <si>
    <t>Купила этот плеер и очень довольна!!!!!выбирала между Ritmix 8800 и 8900, на втором сенсор ВООБЩЕ не понравился, хотя польуюсь сенсорным телефоном и к такому управлению уже привыкла..да и читала что батарея  держится около 5-6 часов в реале.что очень удивило это стандартные уши на 8800!! они вообще отличные!!!звук мощный чистый. видео СУПЕР качество. всем советую брать!!!не пожалеете!! ещё советую сразу чехол на него взять какой нить что бы корпус не портился и норм буит..вот был бы там корпус по цевильней вообще б класс был бы..</t>
  </si>
  <si>
    <t>2014-02-19</t>
  </si>
  <si>
    <t>Данная мультиварка очень подходит для большой семьи. Недорогая, удобная, компактная, я даже удивился, когда узнал, что полезный объем чаши  четыре с половиной литра. У этой модели не так уж много программ приготовления блюд - шесть, но удивительно, как много на них можно сделать. Рецептов в интернете много, жена постоянно радует чем-нибудь новым и вкусненьким. Очень выгодная покупка.</t>
  </si>
  <si>
    <t>1081</t>
  </si>
  <si>
    <t>Весы купила в 2008 году. Так вот, работают они до сих пор. Лечилась от ожирения и взвешивала всё по сто раз, сейчас привычка осталась и пользуюсь ими довольно часто. Отличная модель, да и не сломаешь потому что простые в использовании. Берите, не думайте! Цена-качество говорит за себя. А то что они из пластмассы, удешевило эту модель во много раз!</t>
  </si>
  <si>
    <t>Великолепный выпрямитель.Волосы у меня от природы прямые,но очень непослушные,и их очень сложно уложить обычным феном или выпрямителем.Купила себе попробовать вот это чудо и удивилось:я сделала укладку всего за 10 минут.Рекомендую</t>
  </si>
  <si>
    <t>Всем здравствуйте! Выбирали с женой мясорубку, я хотел Panasonic, потому что очень хорошие отзывы, а главное надёжность! Но жене не понравилось, что шумная и дизайн... О эти женщины! Продавец презентовал Bosch, она как раз менее шумная и главное привлекательный дизайн, как потом выяснелось, это были единствеными достоинствами данной мясорубки... В итоге мелит мясо под настроение,постоянно приходится разбирать и смотреть, типо может быть мы что то не правильно делам, хотя не првильно собрать её не возможно, мясо без костуй, вообщем жена явно уже не в восторге, несмотря на привлекательный дизайн и малошумность. В планах приобретение мясорубки Panasonic. Всем удачи и уснешного выбора!</t>
  </si>
  <si>
    <t>реально хороший нагреватель ,предидущий такой же был атмор время использования 8 лет в летнее время с 20 мая по 20 октября второй такой же купил правда 1й был 7квт, 2й5квт удобный минимум места занимает  куплю еще один пусть лежит в запасе только 10или 12 квт нужно на кухню вывести для мытья посуды не заменимый испытаный временем</t>
  </si>
  <si>
    <t>2015-04-07</t>
  </si>
  <si>
    <t>Отличная штука! Вкуснейшие бутерброды быстро! Добавляете начинку по вкусу сразу, ждете полминуты и завтрак готов! Единственный, но несущественный недостаток - отключать нужно самому, индикатор оповестит вас о том, когда готово.</t>
  </si>
  <si>
    <t>маленькая.хорошо стрижет.в комплекте есть все.жена постригла меня под 1 насадку минут з 10.опыта стрижки почти нет</t>
  </si>
  <si>
    <t>От этой хлебопечки в восторге была вся семья. Всё просто, понятно. Тесто вымешивается прекрасно, очень удобно для пирожков,  замесил тесто и твори.Правда с цветом корочки приходится экспериментировать: для обычного хлеба светлая корочка в самый раз, а вот кекс бледноват и в середине не пропекается. Каждый день пекли хлеб, пока однажды ( с момента покупки прошло чуть более месяца) не перестали крутится тестомешалки. Вот отнесли в мастерскую, ждем уже дней 20.</t>
  </si>
  <si>
    <t>2380</t>
  </si>
  <si>
    <t>Сам утюжок хороший. Правда, никаких кисточек не было. Проверяйте в магазине. Цепляет незначительно. Выпрямляет достойно. Через полгода пользования начал отходить шнур, ещё через полгода совсем накрылся, но раз только у меня так, думаю, это на моей совести. Следующий утюжок возьму этой же фирмы.</t>
  </si>
  <si>
    <t>Ужасная терка, купила 2 года назад, лежит в шкафу, только место занимает. Ножи кривые, ручка не удерживает овощи.Не советую покупать, пустая трата денег.</t>
  </si>
  <si>
    <t>Брала такую микроволновку еще в 2007 году сейчас уже 11 год, пользуюсь по настоящее время нареканий никаких нет берите не пожалеете, очень люблю ее, незаменимая вещица дома, особенно после работы, когда приходишь голодным)) я бы по 10 бальной шкале оценилана все 10 а то и 100!!!</t>
  </si>
  <si>
    <t>с самого начала мне телефон понравился.дизайн здравый,кнопки супер,рисунок на корпусе нравится.купила недавно,и то ли это телефон такой,то ли такой просто попался,но через неделю стал глючить,заедать.у меня недавно вообще он выключился и не включался целый день,отвезла в магазин-сказали что батарея просто села.ладно зарядила.только вышла из дому-смотрю опять отключился и не включается.он меня раздражает уже.я его не роняла,ничего!не включается и все,только экран светиться немного и потом затухает.</t>
  </si>
  <si>
    <t>2015-09-13</t>
  </si>
  <si>
    <t>Цена и качество  полностью себя оправдывают с практичной  стороны</t>
  </si>
  <si>
    <t>Подарили бигуди в подарок маме, целый вечер разбирались как закреплять эти шпильки, в итоге вчетвером так и не поняли принцип. Инструкции в комплекте нет. В итоге так и лежат на полочке.</t>
  </si>
  <si>
    <t>2014-03-07</t>
  </si>
  <si>
    <t>На моем ноутбуке с Windows 8.1 стандартное средство расчета скорости, при подключении через разъем USB 2.0 показало следующее: средняя скорость записи 6,5 МБ/с; чтения более 20 МБ/с. Папка с фильмами объемом 14 Гб записалась за 37 минут. Довольно медленно по нынешним меркам, больше подходит для резервного хранения ценной информации, чем для постоянного использования. Тем более, что две другие флешки этой марки (4 и 8 Гб) у меня живут уже 7 лет и продолжают стабильно работать, бывают лишь редкие зависания, вызванные неправильной работой приложений на компьютере и немного упала скорость, что бывает с любыми флешками при длительном использовании. Надеюсь, что и эта флешка будет долгожительницей. Корпус выглядит довольно надежным, но микросхема с разъемом немного пошатывается. Это болезнь многих флешек данной марки.</t>
  </si>
  <si>
    <t>Отличная микроволновая печь.Пользуемся постоянно уже более 1 года.ни разу не подвела!</t>
  </si>
  <si>
    <t>3095</t>
  </si>
  <si>
    <t>цена-качество 100 баллов!! Мощная машина!!</t>
  </si>
  <si>
    <t>1785</t>
  </si>
  <si>
    <t>Произошло то же самое, о чем писал Марат (Москва) в предыдущем отзыве) ровно так же через 2-2,5 месяца.  А на 9-м месяце эксплуатации, то есть сегодня, потекла вода снизу не ручьем, но каплями довольно приличными - когда снял чайник после закипания (хорошо не обжегся кипятком).  При нагревании довольно сильно шумит.  За эту сумму ожидал куда более приличного срока службы и качества работы самого чайника.</t>
  </si>
  <si>
    <t>Очень хорошая микроволновка!!! хлеб получается очень вкусный. Хороша и для приготовления вторых блюд - просто удобно быстро и вкусно!!!!</t>
  </si>
  <si>
    <t>Взял этот вентилятор, что называется, до кучи - основной покупокой была мультиварка, но цена заствила обратить на него внимание, взял его на случай замены, если основной (подороже) сломается. В итоге основным стал этот - отлично работает, шума почти нет, скрипа нет. Единственное - как уже отмечали раньше, уже 1ая скорость работает весьма интенсивно, легкого ветерка не получится)</t>
  </si>
  <si>
    <t>1541</t>
  </si>
  <si>
    <t>Ноутбук просто класс, как раз в самый раз, отличная цена,процессор, видеокарта!! и т.п.</t>
  </si>
  <si>
    <t>Телефон очень классный кто бы что не говорил...все супер и кнопки..камера отменная..кто как ходит...роняла много раз до сих пор живой....щас хочу поменять только не  знаю на нокиа или самсунг думаю</t>
  </si>
  <si>
    <t>Замечательная сушилка.Предыдущая аналогичная прослужила не меньше 10 лет.</t>
  </si>
  <si>
    <t>Водонагревателем пользуемся 4 года,очень довольны.выбрали эту марку по совету продавца и ничуть не пожалели!!! Нагревается быстро,летом хватает,чтобы помылись 4 человека не дожидаясь дополнительного нагрева. Очень советую всем этот нагреватель.</t>
  </si>
  <si>
    <t>Если честно,то я недовольна.  Во-первых,кнопка неудобная.  Во-вторых,очень глючит и выключается постоянно.  Ужас,если честно.</t>
  </si>
  <si>
    <t>Очень атмосферное приключение, с недостатками в виде убогости графики. Но на графон мне плевать, а игрушка дейтсвительно крута!</t>
  </si>
  <si>
    <t>За такие деньги могли бы и поновее ресивер положить в коробку,а не этот отживший своё 5001.</t>
  </si>
  <si>
    <t>После долгих колебаний выбрал этот плеер.  Нареканий не вызывает, долго держит батарейку. Дисплей вмещает три строки текста (что вполне достаточно). Крышка держится очень прочно, просто из-за плавного хода кажется, что она хлипкая (ношу в кармане, ни разу не слетала).  В руке лежит очень удобно. Легко управляется и правой, и левой рукой.  30 уровней громкости, с нормальными наушниками звук хорошо слышен даже в трамвае.  Звук чистый, качественный. Радио ловит хорошо.  Перемотка быстрая.  При воспроизведении экран периодически показывает скринсейвер, при включенной функции "bass" четыре светодиода мигают в такт музыке(при желании "светомузыку" можно отключить). Т.е. включённым его не забудешь.    Итог : как плеер - отличная вещь, стоит своих денег.</t>
  </si>
  <si>
    <t>Очень была расстроена качеством изображение , нечеткое, расплывчатое. Настройки не помогают.</t>
  </si>
  <si>
    <t>Вообщем неплохой утюг. Минус недочет насадки для деликатных тканей, она постоянно выпадает.</t>
  </si>
  <si>
    <t>2216</t>
  </si>
  <si>
    <t>Покупали этот телефон маме....пришли в магазин,там много было телефонов, но моей маме сразу этот телефон приглянулся....всё в нём нравится, никаких нареканий нет....пожалуй единственный его маленький минус в том, что нельзя поставить мелодию на звонок с карты памяти, а память у него маловата - всего 11 мегабайт, ну это по большому счёту мелочи, на которые мы не обращали внимания при покупке...а в целом - супер телефон! Рекомендую! берите не пожалеете!</t>
  </si>
  <si>
    <t>2015-02-19</t>
  </si>
  <si>
    <t>Чистил этой насадкой месяца два. Она воооообще не чистит!!! На зубах все два месяца появлялся черный налет от кофе.  Все старания сменить способ чистки не привели к желаемому  результату вернуть хотя бы тот блеск, который был до использования этой насадки.  Вернул старую насадку, которая вся с щетиной - после первой же чистки блестят. Но решать Вам, пробовать эту насадку или нет.</t>
  </si>
  <si>
    <t>1252</t>
  </si>
  <si>
    <t>Отличная покупка! Рекомендую. Сервис-пак второй на Висту накатывается с проблемами, но производитель ноута тут не причём. Довольно сильно греется нижняя часть корпуса, поэтому рекомендую использовать подставку на колени, если на пузо будете ставить. :-)</t>
  </si>
  <si>
    <t>Компактная модель пылесоса, отличный внешний вид</t>
  </si>
  <si>
    <t>Нашей машинке уже около 4-х лет, нареканий нет. Недостатков не заметили. Единственное, в режиме шерсть недостаточно хорошо выполаскивается порошок, но есть множество других режимов, в которых всё отлично.</t>
  </si>
  <si>
    <t>3015</t>
  </si>
  <si>
    <t>до этого был фуджитсу сименс еспримо 5545 - проработал в ужасных условиях 2,5 года... Буду смотреть и сравнивать... А по существу (имха) неудобная клавиатура, нет блютуса (не принципиально, и в принципе можно прикрутить), переплата за "никому не нужную убогую винду".  Ну а так - машинка, как машинка... если денег особо не особо - отличный вариант - и поиграть можно, и поработать... вопрос сколько ))) покажет только время... А так в принципе рекомендую - сумма - производительность - на высоте...</t>
  </si>
  <si>
    <t>Вместительная, тихая, с полной защитой от протечек, малый расход воды (существенно для частных домов с септиками)</t>
  </si>
  <si>
    <t>Вчера купила этот утюг.Покупкой вполне довольна.Отпаривает и гладит хорошо. Цена приемлемая и качество хорошее</t>
  </si>
  <si>
    <t>Панель отличная, все и правда хорошо отмывается пятен не остается, смотрится супер, комфорки работают хорошо. Берите не пожалеете!!!</t>
  </si>
  <si>
    <t>1944</t>
  </si>
  <si>
    <t>82</t>
  </si>
  <si>
    <t>2016-10-16</t>
  </si>
  <si>
    <t>3152</t>
  </si>
  <si>
    <t>Главное  достоинство - подсветка, на кухне смотрится красиво.Кипятит воду очень долго. Запах не могу ничем вывести. Конечно, спустя почти три недели использования он не такой резкий, но всё же... Очень неудобная ручка, носик - вечно подтекает с него, подсветка перестала работать через пару дней, и крышка  слишком туго открывается(</t>
  </si>
  <si>
    <t>Не покупайте! Очень сильная вибрация и шум внешнего блока.Сильная вибрация внешнего блока, которая передается через панельную стену в соседнюю комнату.  И такая проблема у многих! Причем сам samsung признает брак! Проблемы с СЦ и установочным центром обеспечены!</t>
  </si>
  <si>
    <t>2012-06-02</t>
  </si>
  <si>
    <t>Перед покупкой почитал отзывы, и сразу отца предупредил, что говорят батареек не хватает на долго даже при температуре -20 ... К моему удивлению в марте узнал у него, как он работает. Оказывается в те деревенские морозы около 55 градусов он работал, и ничего с ним не случилось. Точность хорошая, висел рядом с обычным термометром, разница 1-2 градуса, но и то похоже из-за \"старости\" ртутного. После 40 градусов соответственно не понижалась температура показывала -40 .. хоть на улице за -50. В итоге с января месяца и до сих пор работает на одних батарейках-аккумуляторах (емкость не помню к сожалению), но и заряжать их ещё не приходилось.  По поводу проекции - так вообще отец души не чает .. Проснулся, посмотрел сразу и время, и что на улице с температурой твориться .. Вообщем 5 из 5-ти. По крайней мере по этим функциям.</t>
  </si>
  <si>
    <t>В прошлую субботу приобрел данную машинку. До этого использовал Acer aspire 5720G, купленный 2,5 года назад. Как и в прошлый раз, acer удивляют своим соотношением цена/качество. Предыдущий ноутбук до сих пор работает без единого нарекания, надеюсь, этот тоже не подведет =)  При сравнении (не только в рамках модельного ряда М-видео) схожих характеристик с соответствующей ценой не найти,так что, думаю, бессмысленно говорить, что у ноута низкая производительность. По сравнению с Sony VAIO,к примеру,он не выдерживает никакой критики, но!  VAIO раза в два дороже! А в той же ценовой нише ему, на мой взгляд, нет равных. Замена настольному компьютеру  получится навряд ли, но среди ноутбуков эта "рыбка" будет довольно-таки неплохо плавать ;)  Моё личное мнение: обязательный MUST HAVE! для тех кто выбирает модель ноута исходя из заданной исходной суммы, а не по характеристикам и с безлимитным кошельком :-)</t>
  </si>
  <si>
    <t>Несмотря на классическую форму, эта вытяжка выглядит очень привлекательно. Короб не груздный, обтекаемый, немного закругленный. Металл маломаркий, легкий, но не продавливается. Проверить это удается с первого раза, панель управления выведена на внешнюю сторону свода, поэтому при первом включении чувствуется качество и самого материала и кнопок управления, они чувствительные, легко нажимаются, крепко сидят в своих ячейках. Работает относительно не шумно, мощно, у меня кухня не очень большая по площади и со своей задачей в этом пространстве вытяжка справляется на 5+, запахи дальше порога не выходят, более того, когда готовлю со включенной на максимум, только возле плиты и пахнет. Есть функция очистки воздуха, очень пригождается, когда на улице морозилка, а проветрить кухню аж пищит. Да и по стоимости вытяжка вполне доступная.</t>
  </si>
  <si>
    <t>Приобрела парогенератор пару месяцев назад и как ни странно,  полюбила гладить. Отпаривает в несколько слоев постельное, любую ткань мгновенно разглаживает и без усилий, воды хватает на огромное количество вещей. Экономия времени в разы! Вначале правда при нагревании немного шумит, но это совсем пустяк, потом и не слышно его. Жалею, что раньше не купила.</t>
  </si>
  <si>
    <t>Всегда горячая вода.</t>
  </si>
  <si>
    <t>Приобрели этот кондиционер пару месяцев назад, до этого было 2 Борка - оба полетели. Очень довольны покупкой</t>
  </si>
  <si>
    <t>Супер!!! Брал не себе, -другу, тот на самсунг тонкий заморочен был поэтому долго сравнивали, но продавец адекватный попался(ему вообще отдельное спасибо)рядом поставил, настройки и т.д., лучше и при чем существенно. 100Гц,  контрастность, натуральность...и очень комфортная картинка уже дома оценили, Амбилайт тоже прикольненько.</t>
  </si>
  <si>
    <t>Купил неделю назад, в магазине клюнул на низкую цену, и более-менее приличное качество изображения.  1. По моему недостаточно яркости(все регулировки около 85%)  2. USB плеер разлочил за 2 минуты с помощью светодиодов.  3. Плеер не впечатлил:нет перемотки ни вперёд, ни назад, есть только временный стоп.  4. Очень ограниченный список аудио-видео кодеков. Формат MKV воспроизводит хорошо, только иногда без звука, по причине отсутствия кодеков.   Итого: В целом аппарат хороший, но не более. На 30% дороже можно приобрести более достойную модель.</t>
  </si>
  <si>
    <t>Проработал наш блендер чуть больше двух лет. Лопнула шестеренка, передающая вращение от мотора к насадкам. Гарантийный срок вышел (2года), ремонту не подлежит т.к. неразборный. Но исходя из того, что использовался очень активно каждый день, ставлю твердую четверку.</t>
  </si>
  <si>
    <t>1517</t>
  </si>
  <si>
    <t>камера просто супер легкая,маленькая и цена доступная короче берите.</t>
  </si>
  <si>
    <t>1613</t>
  </si>
  <si>
    <t>Готовить на ней приятно, особенно понравилось, что есть кнопка электроподжига и минимальный огонь. Эмаль крепкая, и вообще сборка качественная.</t>
  </si>
  <si>
    <t>Хороший вентилятор за такие деньги. Дует отлично, устойчив, очень тихий. Купил его сегодня в М-Видео и нисколько не пожалел. Рекомендую.</t>
  </si>
  <si>
    <t>Весы дешевые, реализованы не плохо, вот только прожили всего 15 дней. Скорее всего отвалился один из датчиков.    Хлипкий корпус, внутри детали пошатываются...    Резюме: могут жить, если повезет, но скорее всего 50 на 50... :-(</t>
  </si>
  <si>
    <t>Пылесос супер, как купил решил сам опробовать, на полной мошность от паласа еле оторвал, жена теперь отказывается пылесосить, говорит тяжело -:) кстати в комплект входят запасные фильтры на движок и в пылесборник, это очень порадовало, так как негде про это не написано, да и продавцы не знают, что там в коробке еще лежит.   Звук приятный завывающий, но не рычащий, сносно в общем, на мин. мошности можно пылесосить, когда в соседней комнате спит ребенок, а в основном на этой мощности он у жены и работает, хватает.   В кухне у нас линолеум приклеен только по периметру, и когда его пылесосишь видно как линолеум от пола отстает и прилипает к щетке. Щетка кстати тоже классная.   Вообще радует, пылесосик, вопрос сколько прослужит, т.к. сборка Российская.  До этого был ФУНАЙ, покупали еще предки проработал 20 лет, а сейчас я им в гараже пылесошу и хоть бы что, весь на изоленте, но работает, надеюсь что и этот не подведет.</t>
  </si>
  <si>
    <t>Сегодня купил. Опробывал, весчь! Однако Турбо щетку 3 раза на 1 ковер чистил (кстати она в комплекте маленькая, в 1.5 раза меньше чем стандартная), у меня их 4 ковра(+жена, ребенок и кот пушистый), тоже время тратится. Мыть удобно. Пока не нравитс,я что его сушить надо, но привыкну. Но управление на ручке мне очень понравилось! Удобно! Реально столько грязи собрал! Спасибо Всем кто отзывы писал, помогли с выбором! Спасибо производителю!</t>
  </si>
  <si>
    <t>2014-03-03</t>
  </si>
  <si>
    <t>Некачественное видео. Шумы сильные, стабилизация плохая, трясет особенно при приближении, ночью качества вообще нет. В солнечную погоду снимает еще более-менее, в принципе для начинающих камера сойдет, попользоваться, поучиться</t>
  </si>
  <si>
    <t>650</t>
  </si>
  <si>
    <t>телик супер.считывывает даже с внешнего жесткого диска 500гик.даже 40 гб mkv показывает.</t>
  </si>
  <si>
    <t>Купил, пропарил, сварил, продегустировал. Всё очень даже хорошо. И вкус отличный (субъективно). Минус всё тот же - нет автоотключения. От меня твёрдая четвёрка.</t>
  </si>
  <si>
    <t>Компактный, легкий, понравилось, что не греется, после нескольких часов работы пластик снизу - комнатной температуры. Относительно тихий, но есть небольшой свист: то ли воздуха с куллера, то ли вторичные источники питания свистят. Камера на троечку, у бывшего асера 4930 камера на порядок лучше была. Ну и глянцевый верх, конечно, раздражает, когда мода на глянцевые ноуты кончится наконец?</t>
  </si>
  <si>
    <t>2573</t>
  </si>
  <si>
    <t>какой фотошоп на таком проце? для работы в фотошоп олноценного Core2Duo не всегда хватает.    И вообще я считаю, что человек пользующийся фотошоп, а значит способный заплатить от 800$ за лицензию, может себе позволить что-то в районе Dell XPS Studio 13. Там и размеры маленькие, и проц уже поприличнее.</t>
  </si>
  <si>
    <t>1947</t>
  </si>
  <si>
    <t>Отличный медиа центр.Можно смотреть кино, причем на BLU-RAY дисках, просматривать свои фотоальбомы, слушая любимую музыку, бесплатно качать дэмо версии игр, бродить по интернету. Игра по сети, в отличие от XBox, не требует отдельной платы, нужен только выход в интернет. При желании можно просматривать фильмы непосредственно с компьютера по сети WI-FI. В общем вещь хитовая.</t>
  </si>
  <si>
    <t>Отличный, компактный вентилятор с современным дизайном. Пластик не выделяется особым качеством, но в целом дует нормально и тихо. Не хватает возможности вертикального направления воздушного потока.</t>
  </si>
  <si>
    <t>2013-09-17</t>
  </si>
  <si>
    <t>Захотел готовить апельсиновый фреш сам, каждый день. Пошёл в магазин посоветовали Bork S400. Минут 20 продавец меня уговаривал, говорил что не прогадаешь. После покупки, я понял, что он был прав. Пользуюсь 2 месяца. Вчера пропустили за час мешок яблок. Закрыли на зиму 10л сока. Даже не нагрелась. Цена конечно же показалась дорогой, но я доволен. Жаль что томатный сок нельзя делать. Получается непонятная розовая жидкость. Может я использовал не те томаты. Надо попробовать купить более мясистые. Всем советую.</t>
  </si>
  <si>
    <t>Стал счастливым обладателем этой чудо техники 11.07.2010 Сразу понял,что с такой оконной вставкой придется и гермитичность придумывать,короче купил малярный скотч,и обклеил все окно включая и оконную вставку.По крайней мере от окна теплом выдуваемым от выводящего от кандея шланга обратно не дует,уже хорошо!!! Да безобразники в М-Видео не предупредили,что расход воды такой быстрый,кстати оконная герметичность продлила расход воды примерно на час,сегодня хочу попробовать метод с ведром,уже думал об этом,своего же резервуара хватает на три с не большим часа!! у меня комната 18 метров,еще в воскресенье метео станция показывала 34,4 просто пекло,а теперь ставлю кондей на 22 градуса и она показывает 25,1 при условии,что на нее он не дует,жить уже комфортней,но вот шум издаваемый от этих напольников (кстати они шумят все поголовно цена не важна у нас в офисе куплен за 47,так шумит будто гидро эллектро станция работает ) ночью не комильфо спать,но при съемной квартире вариантов нет!</t>
  </si>
  <si>
    <t>1412</t>
  </si>
  <si>
    <t>Звучание, единственные наушники не вакуумные со звучанием без нареканий.</t>
  </si>
  <si>
    <t>Хороший звук</t>
  </si>
  <si>
    <t>2012-01-04</t>
  </si>
  <si>
    <t>Чайник прослужил почти 5 лет, потом что-то сломалось, видимо в подставке. Грешу на эл. сеть, т.к. был скачок напряжения. Сейчас лампочка горит, но вода не греется. Я бы сам разобрал и починил, но винты в нём слишком хитрые.  Чайник очень хороший, дизайн, подставка порадовали, ручка удобная и мощная. Лампочка пока греется и звоночек когда вода закипела - продуманное решение. Вода греется быстро, ничем не пахнет (это у меня был первый чайник, я и не знал, что обычно чем-то пахнет).  Сейчас буду брать наверное такой же.</t>
  </si>
  <si>
    <t>1324</t>
  </si>
  <si>
    <t>хороший плеер за небольшие деньги, советую</t>
  </si>
  <si>
    <t>3071</t>
  </si>
  <si>
    <t>хлебопечка 7месяцев. Очень нравится  выпечка - только удовольствие.Ни разу не пожалела о потраченной сумме.</t>
  </si>
  <si>
    <t>Хорошая стиральная машина! Незаменима в условиях дачи или деревни. Не требует много места, воды и времени.</t>
  </si>
  <si>
    <t>Пользуюсь этой моделью полтора года. Нагревает  изумительно, очень быстро минут за 15, причем включаем нагрев  на четверть))) Раз в месяц прогоняю в нем воду...чтоб не застаивалась...слесарь посоветовал.</t>
  </si>
  <si>
    <t>Тоже сломалась - похоже сгорел мотор.</t>
  </si>
  <si>
    <t>987</t>
  </si>
  <si>
    <t>Купил камеру месяц назад, впечатления хорошие. Глюков никаких не замечено, видео снимает хорошо. При дневном освещении снимает отлично. Ночная съемка честно говоря отстой полный после того как попробовал вряд ли использую еще. Встроенной памяти хватает на 40 мин в режиме ХР. Я вставил микро-флешку, через переходник, от телефона на 8 гб. Фотографии получаются слабовато даже при норм освещенности да и размер маловат. Зато 78 кратный зум при включенной стабилизации это что-то!!! Если хотите посмотреть, то посетите официальный сайт Panasonic, там зуммируют луну. При максимальном зуме объект начинает чуток фонить на солнце, по краю красноватое сияние. Не пожалел, что купил!!!</t>
  </si>
  <si>
    <t>Вот только вчера купили, полностью ещё не освоили, но с первых впечатлений очень нравится. Прикольный дизайн, смотрится очень элегантно, хорошее качество картинки, при эфирном ТВ чуть хуже, чем хотелось бы, но думаю это просто с непривычки. В остальном всё гуд. Пульт большой, теперь точно не потеряем, надписи крупные, да и ничего лишнего на пульте нет на мой взгляд, очень функциональное меню - полностью руссифицированное. Можно разобраться и без инструкции в принципе. К инструкции обратились только раз, не знали как подключить акустику. А так здоровская модель, рекомендуем.</t>
  </si>
  <si>
    <t>649</t>
  </si>
  <si>
    <t>Оказалась даже лучше, чем я рассчитывал: два яблока - и сока большой стакан, причем фильтр не забивается и легко промыть. В общем соковыжималка отличная, советую всем</t>
  </si>
  <si>
    <t>Очень хорошая машинка, согласна со многими, что единственный "минус" - очень громкий отжим. А так все просто замечательно, отстирывает и отжимает на чистую "5".</t>
  </si>
  <si>
    <t>Штатив  сделан так себе. Пользовался несколько раз, все более менее работало. А потом начали отпадать пластиковые зажимы один за другим. В итоге отлетело  3 штуки - пришлось перематывать скотчем и выдвигать приходится с силой руками. Можно было сделать и понадежней</t>
  </si>
  <si>
    <t>2015-06-17</t>
  </si>
  <si>
    <t>Фильтр кроссовер в виде конденсатора лучше заменить сразу на более качественные и из одной партии, т.к. у меня на новых изначально разница в звуке была заметна на слух. Ставил на место штатных под стекло. Как выяснилось, металлическая сетка "убивает" звук.  Пришлось отковырять. Без сетки у них вид приятнее.</t>
  </si>
  <si>
    <t>Для данной цены великолепные наушники, лично я очень довольна. Звук хороший, на максимальной громкости не хрипят, звуки инструментов передают отлично. Басы прослушиваются хорошо. Наушники радуют.</t>
  </si>
  <si>
    <t>Купил неделю назад, после установки сломался насос, потекла вода. Пришёл гарантийщик и сказал, что в этом году он поменял 6 насосов на этой модели. Заводской брак!</t>
  </si>
  <si>
    <t>2015-06-07</t>
  </si>
  <si>
    <t>Купить именно такую посоветовали друзья, у них она уже несколько лет. Очень довольна! У вытяжки 4 скорости, но пользуюсь в основном 2-ой и 3-ей - вполне хватает. Работает не шумно. При включении прежней вытяжки кот убегал с кухни!  Ещё нравится, что она стеклянная, мыть (в отличие от нержавейки) гораздо легче. Женщины поймут. В общем класс!! Свою цену оправдывает полностью, рекомендую.</t>
  </si>
  <si>
    <t>Уши отличные, бас хорош, шнур просто вечный какой-то, чего я с ним только не вытворял, он всё живёт.  6 метров кабеля гипер-удобно. Я, к примеру, заботясь об ушах соседей, играю на гитаре в наушники и такая длинна шнура позволяет спокойно играть, даже не замечая, что ты в наушниках. Класс!  В общем рекомендую всем, кому нужны наушники с длинным проводом.  А кому не нужны - Philips SHP2000.  Сегодня себе их купил, чтобы SHP2500 от комбика не отключать. :)</t>
  </si>
  <si>
    <t>Купил вчера этот бук. Всем доволен, особенно дизайн приятный и сенсорные кнопки управления понравились. Но есть и минусы. Очень тихий звук у динамиков, дисплей несколько блеклый и громкий кулер. Шумит заметно. До этого за месяц брал себе ASUS K61 кулера вообще не слышно, громкость раза в 2 выше, чем у PB LJ67 и дисплей на порядок ярче. Но в целом, конечно, достаточно мощный бук.</t>
  </si>
  <si>
    <t>2523</t>
  </si>
  <si>
    <t>Взял пару недель назад работпет стабильно не глючит.Если на флэшки фильм одно плохо открывает долго....</t>
  </si>
  <si>
    <t>Печка супер всем советую .  Печет отлично!!!  Экономична относительно других печек.  Недостатков пока не найдено.</t>
  </si>
  <si>
    <t>Не пылесос ,а зверь.Сначала купили пылесос циклонного типа(без пылесборника),но он оказался с браком.Когда обменивали на другой нам объяснили,что со временем у таких пылесосов падает мощность.И мы решили купить этот пылесос и к нему фильтр,который вставляется в трубу,получилась классная штука,крупным мусор в стакане,а в мешок попадает только пыль.Очень довольны.Но один недостаток все же имеется,он не очень устойчивый,часто переворачивается.</t>
  </si>
  <si>
    <t>2929</t>
  </si>
  <si>
    <t>КУПИЛ себе этот телик, только 32 дюйма. Всё отлично, качество просто на 5 . Прошил usb, всё супер, читает даже mkv. Не нужен двд плеер.и всякие BD кинотеатры . Просто скачал на флеш память любой фильм и смотри в красивом качестве.</t>
  </si>
  <si>
    <t>Пылесос хороший, но есть недостатки по сравнению с другими моющими. Мала емкость для чистой воды, приходится 2-3 раза заправлять в процессе уборки. Пользоваться как сухим пылесосом неудобно, использую для этого обычный мешковый пылесос с НЕРА13 на выхлопе.  Через 5 лет сдох мотор, восстанавливать не буду. Куплю моющий другой фирмы с емкостью для воды литра 4.</t>
  </si>
  <si>
    <t>Подскажите пожалуйста, что делать? Привезли стиральную машину домой, убрали транспортировочные крепления, подключили воду и т.п.после,  прочитав все рекомендации, делаем первый запуск и О_о Машина прокручивает два оборота каждые 4 мин. в течении 15 мин. и спускает воду без отжима! Далее устанавливаем программу полоскание чтоб смыть пену и О_о тоже самое! Пробуем загрузить белье но на первый запуск нагружаем немного и о ужас!!! О_о машина начинает перемещаться по дому, как в мультиках, при этом как-будто кто-то внутри нее стучит молотком! Один удержать ее не смог! Что делать?</t>
  </si>
  <si>
    <t>Буквально первые пару месяцев работала более-менее нормально. Потом сразу же сломался 1 нож, остальные два начали быстро тупиться(причем щетина не очень жесткая). Аккумулятора при полной зарядке еле-еле хватало на 2 бритья. В итоге: примерно через полгода просто перестала работать. Обращался с ней хорошо, не ронял и/т/д. В общем оценка "1", можно было бы поставить "0" - поставил бы "0".</t>
  </si>
  <si>
    <t>А у меня все в порядке. Пользуюсь уже два года и прекрасно продолжает работать! За такую цену - отличное качество.</t>
  </si>
  <si>
    <t>вообще игра для тех, кто любит побродить.поискать.подумать.да сюжет нелинейный, в чем вся прелесть игры.завораживающий геймплей.игра классная, всем советую.купил соньку из-за нее и еще пару игр.нисколько не жалею потраченных денег))))))))))</t>
  </si>
  <si>
    <t>3141</t>
  </si>
  <si>
    <t>Хорошая СВЧ .Берите.</t>
  </si>
  <si>
    <t>Работает как надо</t>
  </si>
  <si>
    <t>Всем хорош! Цена, начинка! Одно плохо: видеокарта поставлена явно не из плеч растущими руками! перегревается махом: играю в medieval2 total war -  через минут 10-15 перезагружается комп или выкидывает из игры! могли бы видеокарту  хотя бы cooler'ом вниз, чтоб ни в крышу металлическую дул, поставить! может кто знает как енту проблему решить, cooler там какой дополнительный приладить!???</t>
  </si>
  <si>
    <t>Феном пользуюсь около 4 лет.Работает отлично.Муж подарил на 8 марта.Ждала в подарок просто фен,а тут фен-щётка.Сначала,не знала как им пользоваться,но быстро разобралась.Очень довольна.Удивило качество укладки,после неё волосы гладкие и красивые.На кончике обнаружила контенер для воды,попробовала укладку с водой и тоже была довольна.Сначала сушу волосы крупной насадкой,получая объём,затем корректирую кончики двумя остальными насадками.Очень рекомендую.Хорошая качественная вещь.</t>
  </si>
  <si>
    <t>3001</t>
  </si>
  <si>
    <t>Купила этот ноутбук в конце июня 2009. До сих пор под впечатлением. Отличная машинка, думает быстро, графика безупречная,никаких глюков. Недостатки совсем мелкие,можно сказать совсем не заметны: панелька быстро заляпывается отпечатками ручек,нет модема и от батарейки не долго работает. Все остальное на высоте.</t>
  </si>
  <si>
    <t>Купил себе этот мониторчик неделю назад,очень нравится, контрастность на любителя, для некоторых знакомых тяжело переносимая для других нормальная,мне лично сидеть за ним приятно и удобно. За такую цену очень хороший товар, от очень хорошего производителя, советую работают они долго и качественно!</t>
  </si>
  <si>
    <t>2016-03-29</t>
  </si>
  <si>
    <t>Самый большой плюс - объем отфильтрованной воды. До этого был фильтр Барьер Экстра индиго, кот. отнесла на работу. Там для двух чаепитий в день в самый раз, а дома Гранд - выручалочка. Придраться можно, но меня все устраивает. Тем более за такие деньги.</t>
  </si>
  <si>
    <t>2821</t>
  </si>
  <si>
    <t>Выпрямитель просто чудо! Выпрямляет отлично!</t>
  </si>
  <si>
    <t>Пылесос уже более 2 лет насилуем и в хвост и в гриву - нареканий у меня нет. От 10% мощности до 100 - регулировка окей! Сосет конкретно. Умеет быть тихим, у меня ребенок - важно. А сила всасывания - отменная, хоть линолеум отрывай. А это ведь важнейший показатель ИМХО. Круче - промышленные. Вместо другого покупал - радостей полные штаны. З.Ы. Галина, вам брак попался видимо. Или партия такая... Ну а про мешочки постыдились бы, из Москвы же, тут и оригинал и совместимые везде есть, зачем так ;)</t>
  </si>
  <si>
    <t>Хороший утюг. Хорошо справляется со всеми температурными режимами, при этом вода из утюга не попадает на одежду. Хороший паровой удар. Достаточно не тяжелый, длинный провод и  самое главное хорошая подошва. Подошва выполнена из композитных материалов с использованием технического силикона, что придает подошве хорошую прочность и хорошие антипригарные свойства. Если уроните утюг, подошве ничего не будет, если что то попадет на подошву то не  пригорит. Смело можно покупать, собирают их в Малайзии, качеством сборки и самим утюгом остался доволен.</t>
  </si>
  <si>
    <t>2776</t>
  </si>
  <si>
    <t>2010-06-22</t>
  </si>
  <si>
    <t>телефон хороший,сегодня приобрела,очень нра единственное не могу понять ничего про управление жестами!продавец вообще был не в курсе этой функции)))</t>
  </si>
  <si>
    <t>Классный чайник, особенно для тех, где есть маленькие детки. Имеется защитная кнопка от  расплескивания кипятка. Так же отличный дизайн, который хорошо впишется на любой кухне. Нет посторонних запахов.</t>
  </si>
  <si>
    <t>Телевизор суперский, а вот с пультом перебор. Он слишком длинный и некоторые функции реализованы не очень удобно, по крайней мере для меня. Видео через USB, доступ в Internet, доступ к медиа контенту через LAN - это далеко не полный список воможностей этой модели. Есть цвета корпусов с серой и красной якобы подсветкой (красный цвет почему то дороже у некоторых продавцов), но на самом деле вообще не видно какого цвета с низу цвет. Покупкой доволен !!! (долго выбирал из всего разнообразия моделей и фирм)...а купил я его в Митино на 1-м этаже за 35300...сучайно наткнулся, заехал посмотреть, приценица... Короче решать Вам.</t>
  </si>
  <si>
    <t>3 года. Без особых проблем. Запах после 5..6 заливки прошёл. Крышка действительно открывается с усилием (хотя это и не критично). Есть небольшая проблема с выключателем: при включении иногда сразу отключается, нужно при включении на мгновение придержать его.Это у меня не первый чайник этой марки. Первый прослужил 12 лет и был списан на дачу в рабочем виде (в качестве резервного) из-за разрушения (выкрашивания) пластмассы по верхнему краю. Scarlett - вполне приличная марка бытовухи.</t>
  </si>
  <si>
    <t>Стоит на даче уже 3-ий год. Сразу же начал врать по температуре - индикатор показывает 35 - а льтся вода - хоть чай заваривай. Сейчас начал пробивать током - приятно так покалывает во время мытья под душем. Вывод - а что вы хотели за такие деньги....</t>
  </si>
  <si>
    <t>Юзаю сей девайс уже как год. Аппарат очень отличный за свои деньги. По времени ожидания все совпадает с описанием. Флеху 4 гига спокойно читал. Берите не пожелтеете с учетом того, что я его брал за пять тысяч когда-то!</t>
  </si>
  <si>
    <t>1485</t>
  </si>
  <si>
    <t>Проработал 2 дня.</t>
  </si>
  <si>
    <t>Добрый день! купила этот замечательный пылесос месяц назад!!! очень довольна! ламинат моет хорошо, разводов нет, влаги тоже! ковры чистит хорошо, единственное надо будет часик подождать чтобы высох. Мыть после уборки пылесос минут 10, единственное коробка с насадками огромная, места много занимает. В принципе он один в один как модель 7700, только считается что пластик получше (это мне так сказали в офиц центре). В общем не жалею денег на покупку.</t>
  </si>
  <si>
    <t>2012-05-17</t>
  </si>
  <si>
    <t>Сделала свекрови подарок кухонный комбайн Kenwood FP 250,она очень довольна,хорошие качество,легко шинкует все овощи,экономия времени на кухне,что для женщины очень важно.С мужем и себе приобрели,а теперь задумались о кухонной машине Kenwood,рекомендую всем!</t>
  </si>
  <si>
    <t>Прекрасный пылесос. Удобно, что и с контейнером и с мешком. Отличная мощность всасывания: половины хватает за глаза. Довольно тихий.</t>
  </si>
  <si>
    <t>Купили такую печку на дачу, теперь вот думаем брать такую же домой на замену духовке, ну или хотя бы микроволновке. Дело в том, что из-за небольшого размера она намного лучше все пропекает, а по сравнению с микроволновкой хоть и медленнее работает, но зато вкус еды не меняет и не высушивает!  Отличная печка!</t>
  </si>
  <si>
    <t>2964</t>
  </si>
  <si>
    <t>Когда эта модель появится в продаже в Питере?</t>
  </si>
  <si>
    <t>Действительно, при заливании кипячёной воды, утюг в дальнейшем начнёт гладить с накипью. Всегда мучились с очисткой этого утюга. Насчёт того, что протекает вода, так не нужно заливать воды больше отметки МАХ. У нас этот утюг проработал 2 года и просто перестал нагреваться.</t>
  </si>
  <si>
    <t>то, что она бесшумная это конечно преувеличено. шумит как обычная среднестатистическая машинка, но воду порой набирает громче обычного! про интеллект... ну он только на 2-3 режимах присутствует, и то, ставит всегда почти одно и тоже время! почувствует разницу и прибавит (отнимет) время стирки когда положишь вещей на 10-15 больше (меньше) в зависимости от их веса.  нравится дополнительное полоскание при температуре 40 градусов, приятно доставать из машинки теплые, а не ледяные вещи.</t>
  </si>
  <si>
    <t xml:space="preserve">Отлично выпекает, имеет много программ, качественное антипригарное покрытие. </t>
  </si>
  <si>
    <t>Уж и не помню, сколько лет назад купили мясорубку Бош. В комплекте шли два пластиковых предохранителя механической перегрузки. Каждый из них прослужил по нескольку лет. Крутили на них всё - и грецкие орехи, и рыбные кости - без фанатизма, но крутили всё, что хотели. Но настал день, когда сломался и второй предохранитель. Купили этот товар. Зачем нам лишний нож и сетка для мясорубки - непоятно, но другого выбора не было. Хватило его чуть меньше чем на одну работу - пластиковый предохранитель вышел из строя. Нормальная такая цена - 1000 (без 10)рублей за половину одной работы мясорубки. Собираюсь найти токаря и заказать ему выточить этот предохранитель из капролона. По деньгам наверное даже дешевле выйдет. Поэтому - если предохранитель и сломался - этот комплект покупать ни в коем случае не советую.</t>
  </si>
  <si>
    <t>6</t>
  </si>
  <si>
    <t>замечательный утюг. сама по молодости проработала 4 года в магазинах бытовой техники, потому знала что буду выбирать.очень хорошо гладит, отглаживает. к подошве не пригорает и шнур не ломается. недостаток один, как у всех утюгов- толка нет от вертикального отпаривания.</t>
  </si>
  <si>
    <t>Также купила его давненько, в 2005, когда была студенткой, искала, что подешевле. Работает до сих пор и менять пока не собираюсьЮ все устраивает. Достаточно мощный, сменные мешки найти не проблема. Цена-качество - идеальное соотношение))))</t>
  </si>
  <si>
    <t>1074</t>
  </si>
  <si>
    <t>Офигенная пароварка!!!</t>
  </si>
  <si>
    <t>3217</t>
  </si>
  <si>
    <t>Супер машина! Тихая, качественная,большой люк очень удобный. Очень проста в управлении. Даже самый тупой человек может разобраться))) Хотя у нас 800 об/мин, а в остальном все то же самое. 3 года - а она как новая! Минус: сейчас они в магазине стоят дороже своих одноклассников</t>
  </si>
  <si>
    <t>Да. Во время отжима сбивается время. Несколько раз возвращается назад и при этом время стирки увеличивается на энное количество минут и просчитать это время не представляется возможным.Это что такое? Кто-нибудь знает как с этим бороться? Или это только ремонт?</t>
  </si>
  <si>
    <t>отличная игра и великолепная приставка!)</t>
  </si>
  <si>
    <t>1526</t>
  </si>
  <si>
    <t>2016-12-01</t>
  </si>
  <si>
    <t>Работает 2.5 года. Вынесенные кнопки.</t>
  </si>
  <si>
    <t>Выдающихся способностей от такого маленького дорожного утюга ждать не стоит, но вот для дороги, командировки или быстрой глажки рукава костюма перед выходом подойдет. Для его размера очень даже неплохая подача пара</t>
  </si>
  <si>
    <t>2411</t>
  </si>
  <si>
    <t>купил его только сегодня, первые впечатления странные  вроде все неплохо  +:  игры вроде тянет (хотя новейшие не пробовал)  не особо греется\шумит  отличная комплектация для такой цены(брал за 28)  НО очень сильно разочаровало то что на видеокарте ДДр2(1ая встреченная мною модель из этой серии с ДДР2)  судя по тестам  производительность  Ati 4650 DDR2</t>
  </si>
  <si>
    <t>Купила две недели назад, места на кухне мало, так что выбирала маленький комбайн, в основном нужна функция терки, шинковки и измельчения, а порадовала, что в таком недорогом комбайне есть еще блендер и соковыжималка для апельсинов. В целом комбайном очень довольна, компактный, все мне необходимые функции есть.. Насадка для теста тоже есть, с тестом для шарлотки справилась, а вот густое тесто надо уже вручную месить, но там и не заявлено, что есть насадка для густого теста. Так что ставлю оценку 5 за качество, функции и цену.</t>
  </si>
  <si>
    <t>Совет: если не будете сушить лак, лучше купить другую, более компактную модель</t>
  </si>
  <si>
    <t>475</t>
  </si>
  <si>
    <t>пс 3 отвратное качество -  проработал год и в коробку купил другую марку приставку и отлично гамаю так что ваш пс3 не о чём, для понтов а о ценах на игры я вобще молчу...</t>
  </si>
  <si>
    <t>Удобный, стильный дизайн, выполнен из качественного материала. Вообще, по части эргономики очень привлекателен. Хотя в процессе работы сильно нагревается, но на работоспособность это не влияет.Пользуюсь им более полугода, и пока проблем не возникало. Единственный совет, лучше избавится от установленной на нем  WINDOWS VISTA , но это уже проблема не производителя НР.</t>
  </si>
  <si>
    <t>Комуникатор хорош, немного тормозит-маловато оперативки можно заменить при желании с 64м до 128м в мастерской. Трещины на корпусе причина перетянуты шурупы на корпусе при сборке достаточно ослабить.</t>
  </si>
  <si>
    <t>На днях купила этот утюг. Мне он очень понравился, так как у него мощный паровой удар, который справляется с любыми проблемными зонами одежды, хорошо скользит, быстро нагревается. У него удобная ручка и удобный заостренный носик и им, соответственно, просто и удобно гладить. И плюс у него немецкая сборка, Не Китай!!! Отличный утюг, берите не пожалеете!!!</t>
  </si>
  <si>
    <t>всё просто офигенно дизай вобще суперски в руке держать удобно я бы дал бы оценку в 10.</t>
  </si>
  <si>
    <t>Долго выбирали мобильный кондиционер, присматривались к тем, что имеют знакомые и выбрали bimatek am 400. Реальность превзошла все ожидания! Супер! Шум конечно есть, но незначительный. Две скорости охлаждения, авторежим, таймер включения и выключения, ночной режим - все эти функции реально нужны и отлично работают. Комнату в 23 м2 охлаждает за час на 4-5 градусов, дальше больше. Друзья, у которых есть подобная техника, признают превосходство этой модели над другими марками ;o) Однозначно рекомендую всем!</t>
  </si>
  <si>
    <t>322</t>
  </si>
  <si>
    <t>Купила данную модель пару дней назад, вполне довольна. Боль терпимая, учитывая, что это был самый первый раз...но красота же требует жертв)Покупкой довольна!!!</t>
  </si>
  <si>
    <t>Присоединяюсь к отзывам с одной звездой. Пылесос покупали год назад.  Через два месяца работы он периодически стал отключаться, хотя все фильтры очищены и контейнер пустой. Покупкой разочарованы.</t>
  </si>
  <si>
    <t>Чайник хуже не видел - потёк через 2 месяца после покупки, потом ещё проработал месяца 4 в режиме вскипятил воду и вылил быстрее, и сгорел... Не советую покупать!</t>
  </si>
  <si>
    <t>Купил на замену чайнику. Пользоваться гораздо удобнее. Вода всегда горячая. В использовании 3 месяца. Ничего не протекает. Чай можно приготовить в любой момент и не ждать закипания. Видимо, из-за системы очистки, вода по вкусу отличается от той, которая в чайнике. Пластик хороший, не вонючий, как в некоторых дешевых моделях</t>
  </si>
  <si>
    <t>В термопоте вода всегда горячая, не надо ждать пока вскипит, нажал и налил, да и объем больше. Плюс очень долго не остывает как в термосе и самое главное намного экономичнее чайника в плане электричества, всем друзьям рекомендую и любителям чая!</t>
  </si>
  <si>
    <t>2950</t>
  </si>
  <si>
    <t>Мне оооочень нравится!!!правда у меня Ноутбук HP Pavilion dv6-1230er, кстати про подставку охлаждающую правильно подмечено! и на счет цветов мы тоже сравнивали качественно =))) Моему уже год... я довольна!!! и игр парень тут море наустанавливал...</t>
  </si>
  <si>
    <t>Покупала этот блендер года три назад, что удивительно - живой до сих пор))) Может, от того, что я им пользуюсь редко.. И не по 15 минут, как некоторые, а по 1 минуте где то и даю отдохнуть, он начинает нагреваться, а за минту можно смолоть стакан супа или помидор В общем, когда принесла домой, ножи мне показались тупыми, мясо в мельничке совершенно не мололось, только по краям размазывалось, пришлось наточить камнем и стало вполне себе хорошо. Погружной же блендер поточить не удалось, тк ножи внутри, но он и так неплохо справляется. Супы пюре, гаспачо, майонез, соус томатный - все получалось хорошо. Единственное, венчиком у меня взбивать не получилось, пользуюсь обычным миксером.</t>
  </si>
  <si>
    <t>Купил сегодня,менеджер из м видео очень рекомендовал, типо борк надежная фирма, какоето стальное покрытие терки, качественная сборка и т.д. поехал на рынок купил по 1 кг яблок разного вида, морковки. Приехал обмыл, ну и начал процесс... первые два яблока пролетели нормально, но после 5 яблока ужас.... пошло пюре... оно было везде... и за якобы супер фильтром... во всех уголках соковыжималки.. и к соку начало сверку падать скатываться это самая субстанция. Жмых очень влажный, собственно изза этого и все проблемы, то что он очень мокрый и начал буквально приклеиваться ко всем частям соковыжималки... из-за этого и получается пюре... мыл.. пробовал с морковью тоже самое... Итог: Хотите пюре, покупайте данную модель! Я сразу помыл и отвез в магазин, нехотели принимать, неверили, хотели бежать в магаз за яблоками, я сказал вперед и с песней, но всетаки нестали и вернули деньги!</t>
  </si>
  <si>
    <t>отличная машинка.приобрела ее на 8 марта по акции,ждала неделю.все устраивает.</t>
  </si>
  <si>
    <t>отличные рации в комплекте все что нужно . берет далеко нужно перед разговором сначала выждать пару секунд чтобы слова не терять . для рыбалки или похода за грибами само то.</t>
  </si>
  <si>
    <t>всем привет, плеер хороший, вот только завис при включении игры какай-то... бороться с этой проблемой легко: есть такое маленькое отверстие с надписью "reset", просто нажмите туда иглой, и он выключится, а потом включите снова и все будет в порядке. просто советую удалить все игры, чтоб соблазна не было... да и зачем играть то? это же плеер... так что приятного прослушивания всем!)</t>
  </si>
  <si>
    <t>428</t>
  </si>
  <si>
    <t>В превью (вы это видите выше) в этому телеку громко написано "TX-PR42 C10 поражает воображение..."   На самом деле это просто хороший телек,картинка очень неплохая и четкая,понравилась,симпатичный дизайн,все нужные разъемы,хорошо контактирует с компом.Качественная модель начального уровня.   Хоть можно добавить несколько тысяч и купить телек покруче Panasonic TX-PR65 V10,в нем даже full hd есть.   Я б так и сделал,только этих нескольких тысяч не было,купил С10.Пользуюсь,доволен,качество нравится</t>
  </si>
  <si>
    <t>в магазине девушка-консультант так рассказала про эту модель что я не удержалась,и прикупила утюжок...  теперь глажу все что вижу))  очень нравится утюг...  спасибо замечательным консультантам за грамотную консультацию и помощь в выборе))</t>
  </si>
  <si>
    <t>Купил наушники Sennheiser RS-140 в начале июля в М-видео ТЦ Армада. Для просмотра кино на компьютере.  Когда принес домой, оказалось, что вместо аккумуляторов в комплект положили батарейки дюраселл. Где их поменяли-непонятно. Сам виноват, нужно было перед проверкой в магазине прочитать инструкцию. Мелкий недостаток: регулировка баланса все время сбивается когда лежишь на подушке. Передача сигнала в наушниках аналоговая, имеется легкий шум. Что особенно порадовало, так это то, что подошли на голову и уши. Не давит ничего и не мешает. Звукоизоляция хорошая. Наушники со своей задачей справляются.</t>
  </si>
  <si>
    <t>65</t>
  </si>
  <si>
    <t>Прежде всего, Мафия 2 - это круто! Неимоверно круто.  - отличная для игры с открытым миром графика, реализующая возможности PhisX  - потрясающая музыка  - крутой сюжет, играешь в игру - будто смотришь фильм  - достигнута индивидуальность каждого героя  - отлично передана атмосфера 40х-50х годов 20 века  - в общем игра просто затягивает  Если смотреть глубже, то для человека, относящемуся с трепетом к первой части Мафии нельзя не заметить недостатки:  - значительная часть из обещанных производителями миссий, машин, возможностей вырезаны из финальной версии игры  - вырезаны все концовки, кроме одной (то есть сюжет на 100% линеен)  - отсутствует режим свободной прогулки "фрирайд", так любимый всем в первой части  - нельзя пользоваться общественным транспортом  - отсутствует холодное оружие  - концовка не так драматична и харизматична, как в первой части игры (хотя, с другой стороны - это явный намек на продолжение)</t>
  </si>
  <si>
    <t>Отличная духовка. Эксплуатирую 3 года = 0 проблем</t>
  </si>
  <si>
    <t>Отличная соковыжималка! Выбирал специально для дачи, думал купить по дешевле т.к. прежде соковыжималки хватало максимум на сезон, продавец уговорил на эту прелесть, работает третий год, сок чистый, жмых сухой(в разумном смысле), отжимаю большие объемы, справляется на ура! Всем советую!</t>
  </si>
  <si>
    <t>1338</t>
  </si>
  <si>
    <t>Отвратительное звучание.</t>
  </si>
  <si>
    <t>телефон хороший,но писать смс не удобно</t>
  </si>
  <si>
    <t>1221</t>
  </si>
  <si>
    <t>Самый лучший пылесос, но покупала не в м видео</t>
  </si>
  <si>
    <t>2013-09-02</t>
  </si>
  <si>
    <t>Тихая хорошо перемолола, но вот с мощность все-таки проблемы... 2 кг мяса молола 30 мин. а написано 2 кг в мин !!!</t>
  </si>
  <si>
    <t>Что ж первый день со дня продажи.  Глюков и неполадок не обнаружено.  Этот ноутбук хорошая лошадка для работы, но не для игр.</t>
  </si>
  <si>
    <t>348</t>
  </si>
  <si>
    <t>Моя старая камера от сони с mini DV очень долго лежала без дела, уже думал ее выкидывать, пока не наткнулся на кассеты для нее. В камере все рабочее, оптика не слабая даже по современным меркам. Отдал ее дочери и купил к ней парочку таких кассет. Кассеты  - классика, максимальная длина записи час. Можно перезаписывать. Пленка прочная не рвется.в проигрывателе воспроизводит без проблем. Очень рад что их еще продают. Дочка от подарка в восторге. снимает и пишет чуть ли не целый день.</t>
  </si>
  <si>
    <t>безопасность, удобство пользования за счет подсветки</t>
  </si>
  <si>
    <t>Используется в жилой комнате 20 кв.м. Для достижения "видимого" эффекта нужно, чтобы прибор работал не меньше 14 часов при закрытых окнах на максимальной скорости. В общем устраивает, но очень медлительный агрегат.))))</t>
  </si>
  <si>
    <t>3 скорости</t>
  </si>
  <si>
    <t>2013-08-08</t>
  </si>
  <si>
    <t>Установили недавно этот кондер, ни какого шума как вы говорите нету, работает тихо! Зачем писать всякую ерунду, что он работает как трактор! Устанавливать надо нормально!</t>
  </si>
  <si>
    <t>2013-12-22</t>
  </si>
  <si>
    <t>Работает уже полтора года в режиме фильтра через уголь. Лампочки конечно расходник, горят регулярно, но вот оригинальных угольных фильтров хватило с момента покупки на 1,5 года вместо заявленных 6 мес. Сейчас нужно норм почистить и поменять фильтры. Из минусов - шумновата, реально шумновата, но за такие деньги можно и привыкнуть )))</t>
  </si>
  <si>
    <t>Пользуюсь ноутом неделю.  Впечатления - потрясающие.  Очень мощная машина, очень слабо греется и ВООБЩЕ не шумит!  все тяжелые приложения отлично быстро работают.  немного напрягает семерка, особенно после XP.  ну уже попривык. порадовал достаточно большой и яркий экран.  теперь минусы(как же без них =) ): дизайн у Asus`ов - лично мне не нравиться. Качество сборки - под сомнением, осмотрел клавиатуру - такое чувство стало, что через годик-полтора кнопки поотваливаются, хотя все может быть... не понравились слишком хлипкие крепления крышки, еси постоянно открывать, закрывать крышку тоже долго не проживут......  еще лично мне не нравится глянец на ноуте - отпечатки повсюду, приходиться постоянно протирать тряпочкой. кому-то может не хватить 3-х usb портов...  да и вообще мало разъемов у него    вообщем вывод, если нужен мощный, быстрый комп - берите его - не пожалеете (сталкер зов припяти без тормозов на макс. настройках - кайф! %) + гта4 на средних настройках отлично) photoshop и прочие графические и монтажные программы - все хорошо и достаточно быстро работает.  если нужен красивый внешний вид (на вкус и цвет....) и баланс между ценой и мощью - ищите что-то другое.</t>
  </si>
  <si>
    <t>2011-05-30</t>
  </si>
  <si>
    <t>единственный недостаток - бегут часы примерно на минуту в неделю, и не ставится замок от детей на сенсорной панели, когда идет приготовление.</t>
  </si>
  <si>
    <t>купила почти 4 месяца назад. Машинка хорошая, из минусов:  забор воды очень шумный;  когда температура стирки превышает 60градусов пахнет то ли пластиком нагретым, то ли масло каким то;  когда стирает тяжелые вещи(в моем случае был пододеяльник двухспальный)при отжиме сильно грохочет и плохо отжимает.  А в остальном очень довольна ей, маленькая,компактная.</t>
  </si>
  <si>
    <t>Исползуется как вторая машина, преимуществено для стирки детской одежды и нательного белья, благодаря дополнительным двум полосканиям.  Хороший интуитивно понятный интерфейс.  Стирает хорошо, если выбирать "больше воды".  Немного не удобно задавать отсрочку старта - т.к. машина не имеет встроенных часов, нужно задавать количество времени отсрочки, а не время окончания стирки.  Бывает, не до конца смывает стиральный порошок.  Но в любом случае получше эксплуатируемых вместе с ней Indesit и Bosch. Хотя, каждая машинка для своей одежды.</t>
  </si>
  <si>
    <t>Отличные наушники. Из всех, которые были в магазине, у этих звук понравился больше всего, низкие частоты шикарные. На голове тоже сидят удобно, не слетают и уши не устают. В общем, всем советую )</t>
  </si>
  <si>
    <t>Случайно только сейчас догадалась заглянуть отзывы, увидев её в акции "Успей купить" на первой странице сайта. Не смогла не написать!  Пользуемся уже больше полутора лет (не каждый день, правда, иногда и на неё то посуды не набирается), но периодически. Мне в ней всё нравится за исключением "её внешности, так сказать", т.к. даже из компактов (на момент покупки их в М-видео было штук 9-10 вроде) она самая неприглядная, но из-за того, что и из них она была самая узкая, пришлось брать именно её. Не жалею ничуть (ну если только о том, что в тот момент не рискнула поменять всю кухонную мебель, и заместо духового (мне не нужного шкафа) вставить встроенную полноразмерную машину, чтоб уж глаза не мозолила)...      По существу: из-за "совсем некуда приткнуть, а очень хотелось" выбирала долго, прочитала всё про классы мойки и сушки. Класс "С" по результатам тестирования это "хорошо" ("А" - отлично, "В" - очень хорошо), для компакта - "С" - это очень даже нормально, я их класса "А" просто на тот момент не нашла не только в продажах, но и в описаниях.      Для Елены (если вдруг заглянет ещё раз): Может всё дело в таблетках? Точно помню, что при покупке моющего средства в первый раз где-то находила информацию (вряд ли на самих таблетках, может быть в инструкции к машине), что таблетки используются только в полноразмерных машинах, а в компактах - нельзя. Почему так - не знаю, я пользуюсь порошковым средством "Багги", моет всё всегда чудесно, за ну-у очень редким исключением, если где-то уж очень плотно приткнёшь посуду или уж если сильно присохшее что-то.     Про громкость, ну тоже, конечно, у всех разная нервная система, меня саму например настолько раздражают звуки кухонных вытяжек, что сроду не пользовалась, всегда висели для "красоты" (только если что-то конкретно сгорело, и то сама выходила из кухни при включении вытяжки). А тут... ну телевизор, конечно, смотреть рядом не особо комфортно, а если я сама нахожусь в комнате, то уже не мешает, это с учётом того, что у меня вся квартира 44 кв.м. (включая лоджию) и нет двери на кухню (которую можно бы было закрыть).   В общем, всё гуд! Может, конечно, нам с машинкой просто повезло, но и вся техника, которую мы за 4-5ть лет накупили в М-Видео, пока, т-т-т, работает без нареканий, чего и всем желаю!</t>
  </si>
  <si>
    <t>Телевизор радует и дизайном и качеством. Картинка яркая, чёткая. Единственное, что могу к минусам отнести это небольшие искажения, когда смотришь фильмы с помощью ПК или играешь в игры. Но это не существенно. В целом 5 баллов за ЖК-телик по отличной цене.</t>
  </si>
  <si>
    <t>Первая соковыжималка в доме. Покупал по отзывам тут и на яндекс маркете. Работает отлично, жмых с яблок сухой. С отходов получается пюре. С кило яблок гдето 500мл сока получилось. С среднего апельсина примерно 100мл выход. Я доволен.</t>
  </si>
  <si>
    <t>Пользуюсь две недели, телевизор очень порадовал.  Плюсы: очень насыщенный и глубокий черный цвет, хорошая контрастность и сочность картинки, возможность подключения к ПК по DSub и DVI-HDMI, много разных входных разъемов, включая USB, обновляемая прошивка, звук очень приличный, никаких вибраций не замечено.  Минусы: немного шатается взад-вперед на подставке, но вроде не так сильно как у самсунгов. Настройки громкости едины для всех входящих разъемов, т.е. при переключении с компьютера на антенну рано утром может сильно заорать. Нельзя сделать для каждого канала ТВ свои настройки изображения (цветность, контрастность, теплота цвета), а так же формата изображения (16:9, 4:3 и т.д.).  По соотношению цена/качество, удобству использования и дизайну - телевизор отличный, качество картинки не хуже, чем у тех, что в два раза дороже.</t>
  </si>
  <si>
    <t>520</t>
  </si>
  <si>
    <t>Давно хотела купить пароварку, дабы быстро готовить вкусную и полезную еду. Выбор пал на данную модель. Стараюсь покупать технику Борк в силу ее качества и надежности. И в случае с пароваркой не прогадала. Советую!</t>
  </si>
  <si>
    <t>У нас уже несколько лет такой тостер, очень хороший. Хлеб вкусный и ничего не подгорает.</t>
  </si>
  <si>
    <t>Выпрямитель просто ужас!!!!!  - дерут волосы   - 200 градусов вообще не чувствуется  если решите его приобрести обратите внимание справа от каждого обзыва надпись "Полезен ли этот отзыв:  зеленый : красный"</t>
  </si>
  <si>
    <t>2435</t>
  </si>
  <si>
    <t>Пользуюсь полгода. Недостатков нет. Побаивались электрической духовки. Ошибались. Мне очень нравится. Удобный ящик внизу. Прост в эксплуатации.</t>
  </si>
  <si>
    <t>2016-06-06</t>
  </si>
  <si>
    <t>Просто придите в магазин и попробуйте его в деле.... Читая отзывы я бы его не купил... НО! Когда пришли в магазин и попробовали его в деле среди других оппонентов, то этот вентилятор выиграл их бесспорно. Сила обдува у этого вентилятора такая, что шторы летают, очень мощный. По поводу шума- на самой первой скорости его почти не слышно, я могу спокойно спать под него. На самой большой скорости он как самолёт, но это естественно он дует как реактивный двигатель :). Короче говоря чтобы не мноословить, просто попробуйте его в магазине как он дует и вы на другие не посмотрите после него</t>
  </si>
  <si>
    <t>В целом - отличная бритва. Скоро 2 года. Ножи пока не менял. Хотя уже пора. Доволен её "энерговыдержкой" и оперативной зарядкой. Но участки на подбородке приходится выбривать очень тщательно. Из-за этого бывает раздражение. Не покупаю станки и редко покупаю гель. Экономия существенная. И побриться на скорую руку - очень удобно!</t>
  </si>
  <si>
    <t>314</t>
  </si>
  <si>
    <t>Операционка очень красивая, всё сделано удобно и доступно, НО!!!!! Постоянно с периодичностью в несколько дней происходят зависания системы Win 7 64 бита!!!!!</t>
  </si>
  <si>
    <t>Пылесос очень понравился!!!! Всем рекомендую ! Сравнивала несколько подобных моделей стоимостью  до 2500 руб. Такое  количество насадок встречается далеко не у всех, особенно турбо- щетка в комплекте! Я осталась очень довольна ее использованием.  Порадовало и наличие дополнительного сменного НЕРА фильтра сразу в комплекте.   ПОсле уборки удивилась количеством пыли ... контейнер был почти заполнен до предела, при этом сам пылесос остался внутри чистым! т.е. дальше контейнера и фильтра пыль действительно не прошла! контейнер разбирается и  моется легко.   Очень довольна покупкой ! качественный пылесос и отличная цена  !!!</t>
  </si>
  <si>
    <t>Купил 2 месяца назад.  Плюсы:  - Благодаря электроннму датчику экономичен - достигнув нужной температуры выключается и сработает только при её понижении;  - Привлекательный дизайн  - Электронное табло позволяет легко задавать нужную температуру и видеть текущию;  - Занимает мало места в комнате   Минусы:  - Медленно прогревает комнату;  - Нет таймера на включение (хотя на выключение есть)     В целом остался доволен - вот жду зимних холодов))</t>
  </si>
  <si>
    <t>Постоянно использую дома и беру с собой когда еду в гости! Отличная вещь, для молока комнатной температуры просто нужно ставить на 100 мл больше чем в бутылке и тогда подогревается как нужно! Воду наливаю примерно, проверяю кол-во воды наклоняя подогреватель и сразу ясно нужно ли доливать Нужно немного принароваиться и вещь абсолютно себя оправдает!</t>
  </si>
  <si>
    <t>Действительно хороший ноут))) Toshiba как всегда марку держит. По мощности оказался равен домашнему четыре ядра. GTA 4 летает почти на максимуме)))    Всем хорош, но только не родной операционной системой. Советую сразу же Vista сносить и ставить старую добрую Windows XP. Все устройства работают, работают на отлично, с драйверами проблем нет.</t>
  </si>
  <si>
    <t>Купили машинку Indesit WISN 100 (CSI) осенью, через месяца два, уже зимой вышла из строя!!! Электроника накрылась, программы не регулировали режим стирки, пол года стояла в нерабочем состоянии, так и не отремонтировали! Придется покупать другую стиральную машинку только не Indesit и не российского производства!!</t>
  </si>
  <si>
    <t>Отличное приобретение, всасываемость просто класс. Да, действительно шума много, но пять минут потерпеть можно. И также контейнер для мусора 1,5 литра, для моего авто хватает. (Mersedes ML)</t>
  </si>
  <si>
    <t>Очень хороший!!!!!!!!!! была приятно удивлена тем, как легко и просто он гладит, точнее как разглаживает складки! сейчас у меня пора пеленок и хороший утюг сильно экономит время! я и раньше любила гладить белье, а теперь это просто наслаждение. надеюсь он прослужит долго!!!</t>
  </si>
  <si>
    <t>Телефон просто идеал - ничего лишнего - только звонки и СМС. Для меня заметен только один малюсенький недостаток - подсвечиваются только цифровые кнопки.</t>
  </si>
  <si>
    <t>Купил в феврале в М-видео в Краснодаре. Очень доволен такой покупкой, советую всем своим друзьям, а также знакомым и незнакомым людям. Только в последнее время эта модель почему то встречается в продаже все реже и реже!!!!</t>
  </si>
  <si>
    <t>может кому-то и понравился плеер, но мне с ним не повездло!</t>
  </si>
  <si>
    <t>2729</t>
  </si>
  <si>
    <t>Ув. ProNeO (Йошкар-Ола) , видимо у Евгения из Воронежа модель телевизора 32PFL5604/H12, соответственно ему удалось выставить разрешение 1920х1080 на ПК. Вот и разобрались. Всем спасибо!</t>
  </si>
  <si>
    <t>У малышки приемлемая цена. И товар проверенный, у моих знакомых такой монитор, у моего дяди телевизор и я себе купила такой жк.   По соотношению цена качество лучше не подобрать. Да и дизайн приятный,за такую же цену можно купить угловатый экран, а тут всё продумано, сглажено и подходит к любому интерьеру.    Отличная диагональ, больше 20 обычному пользователю брать не стоит,17-в наше время уже мало, 19 (крупнее, а по сути та же 17) а вот 20 самое то, и текста больше влезает и реклама по бокам не отвлекает. А вот 22 уже перебор, чисто для фильмов и игр, потому что глаза устают.</t>
  </si>
  <si>
    <t>Чайник супер! Довольна всем, уже давно использую и часто, а сталь узнала какая:пищевая хирургическая сталь 1810( 18% никеля 10% хрома), ржаветь не может. Это вода такая. Нужно было с лимонкой прокипятить или со средством от накипи и ржавчины почтистить.</t>
  </si>
  <si>
    <t>Полный шлак! Эта поделка(игрой это убожество назвать ну никак не получается)рассчитана скорее на недоразвитых извращенцев, чем на игроков! Доброе имя Dead or Alive утеряно безвозвратно!</t>
  </si>
  <si>
    <t>+</t>
  </si>
  <si>
    <t>190</t>
  </si>
  <si>
    <t>телевизор плохой .советую никому не покупать</t>
  </si>
  <si>
    <t>пользуюсь больше года,пока не сломался...</t>
  </si>
  <si>
    <t>Пользуемся уже около года, очень удобный при мытье, каждая деталька моется отдельно.стекло прочное, наливаем кипяток.у этой фирмы наверно все заварники хороши, но мне приглянулся именно этот</t>
  </si>
  <si>
    <t>Соковыжималкой пользуюсь уже год, хорошо отжимает твердые и мягкие овощи и фрукты. Жмых сухой,сок получается прозрачный. Отжимаю часто и в большом количестве, работает бесперебойно! Проблем с чисткой,мытьем сетки не возникает,очень удобная щеточка,да и сетка особо не забивается. Качеством соковыжималки и отжатого на ней сока очень довольна!!!</t>
  </si>
  <si>
    <t>Отличная вещь, всем рекомендую!</t>
  </si>
  <si>
    <t>Замечательный телевизор! Красивый дизайн, яркие насыщенные цвета, отличный звук. Наличие цифрового тюнера-большой плюс!</t>
  </si>
  <si>
    <t>Плеер покупал, чтобы через USB смотреть фильмы. Все форматы воспроизводит, грузится быстро. По-моему отличный плеер!</t>
  </si>
  <si>
    <t>2877</t>
  </si>
  <si>
    <t>Купил обогреватель, очень довольный, написанно до 15к.м., у меня комната 24к.м. - обогревает превосходно, потом отключаю или ставлю на малую мощность. И главное, не сушит воздух!</t>
  </si>
  <si>
    <t>PSP go это крутая игровая приставка, на которой можно легко смотреть видео, слушать музыку,лазить в инете в любом магдаке и особенно играть). Я себе купил и очень доволен.  Советую всем.</t>
  </si>
  <si>
    <t>Пользуюсь уже полгода.   Плюсы:  1. Быстро кипятит  2. Тихий (по сравнению с предыдущим не менее известной фирмы)  3. Удобная совмещенная кнопка включения и открывания крышки  4.Очень удобный носик (сколько бы воды в чайнике не было, она  ВСЕГДА льется аккуратной струйкой и попадает именно в чашку, а не льется из всех щелей во все стороны). Собственно из-за этого носика и купила.  5. Посторонних запахов даже при первом кипячении не было  6. Хорошо видно уровень воды  Минусы: по началу с непривычки обжигалась о горячий корпус, но теперь привыкла</t>
  </si>
  <si>
    <t>Очень плохой модулятор. Через месяц стал фонить и крякать. Корпус плохой и трещит по швам. Покупать не советую.</t>
  </si>
  <si>
    <t>751</t>
  </si>
  <si>
    <t>Долго выбирaли подходящую модeль и в итогe остaновились нa этой.Большой нaбор функций,и судя по отзывaм с этого сaйтa и консультaции продaвцa дaжe eсть USB.Когдa тeлeвизор привeзли домой и подключили,окaзaлось что USB рaботaeт только для сeрвисa,a для пользовaтeля он нe aктивeн.Тaк что будьте внимaтeльны при покупкe.А в цeлом тeлeвизор хороший.</t>
  </si>
  <si>
    <t>Купил такую мойку. Мыл только свою машину 2-3 раза в месяц. Обращение бережное. Хранение в теплом гараже, воду сливал все равно. Качество помывки вполне устраивало, но сразу после окончания гарантии мойка потекла. Заменили пластиковую крышку на насосе за 2500 р. Через год(после нескольких моек машины) опять потекла, та же причина. Качество никакое. Второй раз в ремонт сдавать не буду. Буду брать с металлическим корпусом насоса (5-ую серию), или другую фирму</t>
  </si>
  <si>
    <t>Купил телевизор 3 - 4 дня назад,аппарат хороший,цена качество оптимальные! Изображение супер хотя не "фул шд",подключал комп через "шдми" фильм посмотрел,остался очень доволен! Теперь про минусы! Выделяет побольше тепла чем ЖК,зимой можно использовать как обогреватель даже,при просмотре телевизионных каналов меняется развертка изображения,становится то больше то меньше,вот почему только,скажите???</t>
  </si>
  <si>
    <t>1704</t>
  </si>
  <si>
    <t>Прежде чем купить данный laptop я ознакомился в интернете с его комплектацие и ооочень был доволен ею!!(пульт д\у... сенсорный экран(не во всех комплектациях)).. спросив в магазине комплектацию с экраном 17.3 мне сказали ничего  в нём нет, ни пульта, а тем более сенсора, о нём даже ничего и не знали, в общем удивились этому)))     В целом ноут очень не плох, но хотелось бы большего )</t>
  </si>
  <si>
    <t>Купил этот телевизор, выбирал очень долго и тщательно. Так как я киноман для меня очень важно было, чтобы у телевизора была превосходное цветопередача. Выбрал именно эту модель, так как у нее более живая картинка из всех, что были на тот момент. У самсунга картинка не такая живая. Также хотел бы отметить возможность настройки цветовой гаммы, на данный момент это умеют делать не все телевизоры. Также хотел бы отметить цену телевизора, это тоже сыграло немаловажную роль при выборе этого телевизора. Я очень доволен выбором.</t>
  </si>
  <si>
    <t>ߑ͢ class=</t>
  </si>
  <si>
    <t>2014-04-08</t>
  </si>
  <si>
    <t>Массажер мне нравится. У кого слетают насадки, внимательно их надевайте, там есть фиксаторы! Что касается что он тяжелый, то надо правильно массировать.Массажер держат за самый кончик ручки и массируют по горизонтальной поверхности. Идет как по маслу, его форма для этого специально и сделана. Тяжелый низ и легкий верх. Попробуйте. Инфракрасное излучение не должно сильно ощущаться, его достаточно для массажа. Работать он может более 20 минут.</t>
  </si>
  <si>
    <t>Сообщение: Довольно простой, но как обычно бывает надежный и отличный аппарат! Всё работает, ознакомился с инструкцией за семь минут, вообщем отличный аппарат соответствие цена-качество просто класс!</t>
  </si>
  <si>
    <t>Начнем с внешнего вида,просто убивает выпеленная дырка под переключатель строчек к тому же еще и смещена в один бок,на функционал не влияет,но вид машинке портит. Далее от лампы сильно нагревается бок,так что пластик внизу начинает расходиться! Да и вообще весь пластик,скрипит,шатается того и гляди развалется и обножит внутренности машинки.Столик подставка после нескольких снятий(а снимать приходится часто ,чтобы заправить нить в челнок)тоже начал неплотно прилегать и образовалась щель. Теперь о главном,все функции работают,пробовала  пришивать пуговицу(для этого есть в комплекте специальная лапка),выметать петли тоже ничего сложного все подробно написано в инструкции и тоже в комплекте есть специальная лапка! Вот  подшить джинсы не смогла  так как со стандартной иглой в швах машинка не берет,а иглы 100/16 предназначенной для джинсовой ткани в комплекте нет. Ход машинки мягкий. Мое заключение для новичков неплохой вариант, легка в управлении!</t>
  </si>
  <si>
    <t>В связи с приобретением парогенератора, пришлось обзавестись такой доской (из-за широкого места-подставки). При использовании обнаружила, что она не предназначена для работы с паром. Конденсат образуется моментально на всех металлических частях и горячая вода капает на ноги "гладильщику". После процесса глажки под доской лужи. Думала, влияет мощность выброса пара (всё-таки использую парогенератор!). Не тут-то было! С обычным утюгом с функцией отпаривания ситуация повторяется...</t>
  </si>
  <si>
    <t>Хорошая штука. Если учесть его стоимость, работает на 5 баллов. Пользуюсь уже 2 года. Правда сейчас задумываюсь о приобретении более серьезной мойки. Модель ещё не выбрал, но знаю точно, что это будет керхер.</t>
  </si>
  <si>
    <t>Играют очень тихо .  Совсем не слышно. Голова Sony 660 без ус.</t>
  </si>
  <si>
    <t>Пользуюсь чайником две недели, только положительные эмоции. И никаким пластиком не пахнет. Цвет чайника у меня серый. Очень удобно то, что он компактный. Хватает на два стакана. Закипает минуты через четыре. Меня это устраивает. Пользуюсь на работе.</t>
  </si>
  <si>
    <t>Долго выбирали тостер, изучили весь ассортимент, но остановились на этом Тефале. Агрегат просто чудо, компактный, простой, тосты хрустящие, не подгорают, можно подобрать режим жарки на любой вкус. Очень довольны, хорошее сочетание цены и качества.</t>
  </si>
  <si>
    <t>Очень хорошая штука!!!  Вся семья счастлива! Даже дети легко справляются. Рекомендую.</t>
  </si>
  <si>
    <t>Здравствуйте! Суть моей проблемы: Купил 2 недели тому назад ноутбук hp ProBook 4515s.  Каждый день совершенно спонтанно, независимо от времени и действий, экран ноутбука моргает примерно на 1 секунду, сравнить это можно с подстройкой дисплея на изменение разрешения экрана. Причем случается это 1, максимум 2 раза в день. Первая мысль была, что шлейф отходит, но как-то странно он отходит 1-2 раза в день. В сервис нести тоже не вариант, ведь не будут же они 24 часа в сутки сидеть и неустанно глядеть когда же он моргнет. Почему-то думаю, что проблема где-то в настройках видеокарты (ATI Mobility Radeon HD 4330). Но опять же не факт. Может кто-то что-нибудь подобное уже встречал, или просто в курсе где покопаться. Заранее благодарю за ответы.</t>
  </si>
  <si>
    <t>Люди, скажите её можно перепрошить?</t>
  </si>
  <si>
    <t>Классная игра, у меня на PS2 была а на PSP у половины класса есть, все в нее играют, она чёткая. Советую всем ее купить, она того стоит.</t>
  </si>
  <si>
    <t>купил машинку в подарок, стало стыдно когда принесли обратно и сказали что не работает, то есть жужит, но волосы вырывает. насадки ужасно одевать, не приспособлены.</t>
  </si>
  <si>
    <t xml:space="preserve">Мощный,  тихий </t>
  </si>
  <si>
    <t>Не успел заметить</t>
  </si>
  <si>
    <t>Тщательно подходила к выбору пылесоса:) Прочитала много отзывов в интернете, рекомендаций и аннотаций:) И все же остановилась на Dyson. Купила и в этот же день опробовала - просто отлично! Никакого лишнего запаха после уборки, чистит великолепно. Очищать контейнер немного непривычно, но не критично: залила воду, ополоснула и вылила. Считать этот момент минусом я бы не стала. Довольна всем! А дальше поживем-увидим. Пылесос качественный!</t>
  </si>
  <si>
    <t>Спасибо ребятам из М.Видео! Подобрали что просил: громкий звонок, отличная слышимость .Купил маме - довольна!</t>
  </si>
  <si>
    <t>2617</t>
  </si>
  <si>
    <t>Отличный телефон) Лучший звук, что я слышал из W серии от  SonyEricson</t>
  </si>
  <si>
    <t>2068</t>
  </si>
  <si>
    <t>Кто знает конвертер format factory, раскажите про настройки для перевода в MPEG-1 и 2, чтобы на SONY 26"  с флэшки фильм посмотреть. Исходный файл - MKV. Есть ли разница какой файл конвертировать (AVI, DIVX).</t>
  </si>
  <si>
    <t>Пользуюсь 3 месяца, наушники поменяла,т.к. не слышно шума извне вообще! Но это дело вкуса. Помимо музыки смотрю на нем фильмы,читаю книги,глаза совершенно не устают,что приятно удивило)) Не тормозит!! Вмещает кучу информации. Тем,кто не фанатеет ковоновскими плеерами, советую брать,не разочаруетесь :)</t>
  </si>
  <si>
    <t>Телевизор замечательный,картинка отличная. Но...очень портит жизнь невозможность сортировки цифровых каналов.</t>
  </si>
  <si>
    <t>Достаточно тихая, смотрится хорошо, но работает в режиме циркуляции - весь воздух из вытяжки поступает наружу. Наверное, это нормально, но я думала, что воздух из вытяжки будет выходить в стояк вентиляции. Зачем тогда труба? Что-то не очень поняла. А как к вентилятору претензий нет.</t>
  </si>
  <si>
    <t>хорошая мясорубка, с мясом справляется отлично</t>
  </si>
  <si>
    <t>Долго выбирала, приценивалась. Очень понравилась, купила.   Ведь читала отрицательные отзывы, не поверила, а теперь... После четырех разогревов зашумел вентилятор или еще что-то, не знаю. Попробую вернуть деньги обратно, замене не доверяю.(((</t>
  </si>
  <si>
    <t>Металл во всем корпусе, шнек, соединение с двигателем, хоть и немного шумная, но металл объясняет все. Ножи стальные из хорошей стали долго не тупятся, функция реверс это на случай если что то зажует. Рекомендую</t>
  </si>
  <si>
    <t>Соглашусь с предыдущим мнением, подошва по мнению производителя "Антипригарная", но ощущение было наоборот. Скользил действительно плохо, материал далек от керамики, вообще похож на крашеный алюминий, но я в этом не разбираюсь. Насчет пара - работал относительно нормально. НО сломался через полгода(покупался только не в данном магазине), причина : заводской брак - так выявила ""экспертиза".</t>
  </si>
  <si>
    <t>Первая моя кофемашина. До этого была Moulinex капельного типа. Варит кофе на отлично. Очень быстро разогревается и приступает к работе. Порадовало программирование жёсткости воды в самой машине (прилагается тест индикатор бумажный). Чем мягче вода, тем реже надо будет делать автоматическое удаление накипи в машине. Заварочный узел легко вынимается и моется под струёй воды без моющих средств! (средства могут повредить узел). Кофе реално горячий варит. Есть программирование температуры воды, с которой производится подача кофе, для тех, кто любит "похолоднее". Думал, придётся покупать удлинитель питания, но нет в комплекте шнур 1.5м! Потребление энергии 1450W, а не 1350W. И ёмкость воды не 1.8L, а реальный 1.7L, дня на 2 хватает при семье из 2-3 человек. Производитель Италия. Куча всяких индикаторов, нет зёрен, заполнена кассета для кофейной гущи, нет воды, ну думаю это должно быть у каждой нормальной кофемашины. Капуччино делает на ура, только берите молоко не больше 1.5% жирности, и будет вам счастье!  Шумит-крыхтит, ночью как-то включил, думал, соседи проснутся. Неудобно наливать горячую воду из трубки подачи пара, брызжет аж капли во все стороны! Чтоб не было брызг надо держать кружку и опустить трубку на самоё дно. Тяжёлая 10.8кг, но это думаю не недостаток, не в походы же её брать.  В общем, за такие деньги (брал со скидкой) разумная покупка. Дорогие модели варят так же, но там есть автоматический капуччинатор.</t>
  </si>
  <si>
    <t>1416</t>
  </si>
  <si>
    <t>Подарили коллеги на рождение ребенка, подарок нужный, так как стирки у меня в день 1-2 точно есть, соответственно и гладить тоже очень много, а это вообще мое самое не любимое занятие. Распашонки гладит за секунду, реально одного просто прикосновения достаточно, в общем вещи гладит хорошо - без нареканий. Но главный плюс,  я потом поняла - это глажка постельного белья. Просто складываю в 4-слоя и проглаживаю с двух сторон, и ведь все хорошо проглаживается!! С обычным утюгом я гладила постельное белье минут 20 точно.. Вещь хорошая!!!!</t>
  </si>
  <si>
    <t>2205</t>
  </si>
  <si>
    <t>Интересная штука эта пароварка :) У блюд совсем другой вкус. Пользуемся давно. Наверное уже больше года. Работает вроде исправно. Правда, в конце готовки обычно "лампочка нагрева" отключается, издается звуковой сигнал "the end", а таймер еще будет некоторое время продолжать тикать. Но лично мне это не мешает.  Удобна еще тем, что кастрюльки компактно складываются друг в дружку.</t>
  </si>
  <si>
    <t>Поработала год всего, хотя ее регулярно чистили, промывали и засыпали только рекомендуемый кофе для кофемашин. Жужит, трясется, но кофе не льется :) После ремонта проработала еще 3 месяца... и опять такая же поломка.</t>
  </si>
  <si>
    <t>Пользуюсь более 4 лет, стрижка 2-3 раза в месяц. Отличное качество. Был приятно удивлен увидев её в продаже.</t>
  </si>
  <si>
    <t>2069</t>
  </si>
  <si>
    <t>Бритва хорошая,многофункциональная.Меня вполне устраивает.Но возникла проблема приобретения сетки,поврежденной мной в результате неаккуратного обращения.Поиски в М.Видио не увенчались успехом.Продавцы магазина пожимают плечами и посоветовать ничего не могут.Бритву приобретал в 2008году.Без проблем пользовался бритвой 6 месяцев и 6 месяцев безуспешно ищу сетку.Товар рекомендую,при условии наличия в продаже сменных элементов.</t>
  </si>
  <si>
    <t>2012-09-20</t>
  </si>
  <si>
    <t>Купили машину 2недели назад. Устраивает полностью. Есть табло с отсчетом времени стирки, что очень удобно, особенно, если какие-то другие дела. Стираем на семью из трёх человек, фактически не шумит и хорошо простирывает бельё(нет порошка на белье и всего такого прочего). Очень удобно, что присутствует быстрая стирка. В общем и целом - Рекомендую!&amp;nbsp;</t>
  </si>
  <si>
    <t>1330</t>
  </si>
  <si>
    <t>К покупке вытяжки отнеслась более, чем серьезно. Надоела старая тарахтелка на кухне, которая не давала никакого эффекта и выглядела как крышка деревянного домика.  Искала плоскую, бесшумную модель.  И теперь хочу поделиться впечатлениями от приобретения. Эта вытяжка от Кроны "келли" – обалденный агрегат! Работает относительно тихо (практически бесшумно, если сравнивать с прежней вытяжкой советского образца), управляется кнопками, нет никаких запахов приготавливаемой пищи по всей квартире и прочего. Удивил такой момент – поглощает влагу. Никаких паров, капель на стенах и прочего. Да и смотрится она довольно симпатично. В общем покупка удалась и по деньгам экономно.</t>
  </si>
  <si>
    <t>744</t>
  </si>
  <si>
    <t>2013-12-19</t>
  </si>
  <si>
    <t>Отличная бритва, очистительной жидкости хватает на полгода, бреет чисто без раздражения даже в трудно доступных местах, пользуюсь уже почти год. Лезвия не затупились, система очистки прекрасная с кучей интересных функций. Верный помощник в командировках, очень качественная сборка и все детали надежные. Тример хороший, просто нужно держать перпендикулярно висков. Очень доволен, рекомендую.</t>
  </si>
  <si>
    <t>2104</t>
  </si>
  <si>
    <t>Купил данный штатив совсем недавно! Впечатления от покупки весьма хорошие! Сборка качественная! Тяжелую зеркалку держит хорошо... Высота конечно не большая, но это и заявлено в характеристиках. Кому высота не важна берите, не пожалеете, тем более, что цена не большая... А я вообще за бонусы приобретал! Красота!</t>
  </si>
  <si>
    <t>Да, кстати совсем забыл, никакой регулировки крепости там нет, обычная кофеварка без лишних наворотов.</t>
  </si>
  <si>
    <t>Выбрала себе именно этот аппарат по характеристикам. Купила. Далее начала привыкать к нему и под себя настраивать как обнаружила, что драйвер для перепрошивки не ставится. Ни в какую. Ни с офф сайта, ни тот, который в наборе. Не ставится и всё. Перепрошить его не получится. далее: кнопки очень не удобные, чтобы переключить песню - нужно очень сильно изловчиться. Удалять песни напрямую из него нельзя. Есть ряд багов в менюшке. В общем филипс меня очень разочаровал...</t>
  </si>
  <si>
    <t>1762</t>
  </si>
  <si>
    <t>Здравствуйте, Привезли во-время,за час позвонили. Спасибо М.видео! Отличный пылесос,мощность достаточная,имеется регулятор.</t>
  </si>
  <si>
    <t>Машина отличная работает уже более двух лет! Главное не забывайте чистить фильтры, особенно поралоновый! Очень довольны приобретением, да еще не надо никаких мешков выбивать-вытряхивать, снял - высыпал - поставил и действуй!</t>
  </si>
  <si>
    <t>Пользовался телеком 2 мес. наслаждался ! Очень понравился, а в сравнении с филипсом42" жк , который у сестры стоит (он дороже) - ваще шедевр! Наверно у многих бывают моменты, когда гнев выплескивается наружу...... и попадает ногой прям в экран. Я думал нога с другой стороны вылезет(парень я не слабый). Лобовое стекло выдержало удар !!! Матрица конечно треснула , под гарантию не попадает, а стоимость озвучивают нереальную. Поставил в сарае - пусть ждет своего часа, может достану матрицу за разумные деньги. Кстати, был телек 42"с11 теперь (на днях) возьму  Panasonic TX-PR42 U10 .</t>
  </si>
  <si>
    <t>Не удобен</t>
  </si>
  <si>
    <t>ХорошиЙ, сначала хотел купить асер, но той модели в наличии не было,сначала опасался, но все-таки взял Леново и не жалею.  Работает отлично, хороший звук, винду 7 правда не оставил,  денег сразу на внешний двд не хватило, ХР ставил  с флешки, сейчас все просто летает. Работает от батареи у меня  5 часов, не тормозит  в простых гонках, и работе в фотошопе, для чего в принципе и покупалсЯ, драйвера на другие системы  на сайте производителя,и проблем с установкой нет. Вэбка тоже хорошего качества, правда иногда малость греетсЯ, но несильно все в пределах нормы.  Это  у меня не первый ноут,  да и часто помогаю другим в покупке и мелком ремонте,так что советую, хороший аппарат за такую цену</t>
  </si>
  <si>
    <t>Очень не удобна в использовании, постоянно забивается и в итоге плохо натирает продукты. Обычная терка оказалась эффективнее, а эта пылится в шкафу.</t>
  </si>
  <si>
    <t>Приобрел данный флеш диск сегодня для музыки в авто ! Цена, объём и качество вполне устраивает!</t>
  </si>
  <si>
    <t>Вторую неделю работает отлично.До этого он проработал пару месяцев в магазине на полке. Сейчас проверил работу с ноутбуком, ДВД-плеером по разъему HDMI, с фотоаппаратом, с акустикой 5-1. Четко слушается настроек. Единственно, бывает небольшое неудобство - приходится менять размер изображения. Но это уже не его вина.</t>
  </si>
  <si>
    <t>Отличный чайник.Я люблю  хороший травянной чай. Для меня этот чайник просто находка.Завариваю зверобой,мелиссу,мяту.Стеклянная колба легко позволяет проконтролировать  степень заваривания.  P.s советую корзину мыть в посудомойке, становиться как новая.</t>
  </si>
  <si>
    <t>Нормальный дорожный фен, без каких либо изысков. Голову посушить можно)) Компактный, легкий, что важно при поездке, 2 температурных режима.</t>
  </si>
  <si>
    <t>Я советую приобретать технику Hansa. Пользуюсь уже не первый год и качеством и работой ее довольна. Работает четко, не ломалась ттф. Считаю, что сегодня в наше время надо пользоваться именно стеклокерамикой-это современность, конфорки-это уже прошлое. Стеклокерамика и нагревается быстро, и ничего не пригорает на ней, посуду можно ставить разных размеров, и в уходе не привередлива, усилий не надо, достаточно протереть влажной тряпкой. Духовка-тоже отлично работает, нагревается быстро,держит температуру, равномерно, все ок. А по дизайну думаю видите сами - красиво смотрится, а ручки утапливаемые-что тоже прикольно и удобно.</t>
  </si>
  <si>
    <t>2014-02-21</t>
  </si>
  <si>
    <t>Для своей цены вообще отлично! Подключен на три канала - саб и две колонки. Качает будь здоров! Всем советую.  Усилителем доволен полностью!</t>
  </si>
  <si>
    <t>1714</t>
  </si>
  <si>
    <t>по соотношению цена-качество вполне приемлемо, если приноровиться, то можно можно делать нормальные стрижки дома :)</t>
  </si>
  <si>
    <t>1577</t>
  </si>
  <si>
    <t>Один из лучших эксклюзивов для Playstation 3, игра просто супер, не предсказуемый финал. Графика выше всяких похвал. Quanticdream команда талантливых разработчиков. Всем обладателям PS3 к покупке обязательна!!!</t>
  </si>
  <si>
    <t>нет крепления для хранения /закрепления,шнура.</t>
  </si>
  <si>
    <t>166</t>
  </si>
  <si>
    <t>берите и не думайте! Супер вещь! Оливье за 1 мин. Пюре за 30 сек. куча насадок для резки и мыть все это удобно и быстро! Единственный недостаток - шумноват двигатель и привод, поздно ночью не особо повключаешь.</t>
  </si>
  <si>
    <t>Отличные весы всем рекомендую.  Можно вставать хоть 10 раз подряд - вес будет один.  Цена+  Не капризны к поверхности+  Большие символы на табло+  Быстро включаются+  Вставали вместе с женой+ (прочные)  Заявленным хорактеристикам соответствуют.</t>
  </si>
  <si>
    <t>466</t>
  </si>
  <si>
    <t>Пользуюсь им более 3 лет...Жду пока \"коньки отбросит\</t>
  </si>
  <si>
    <t>474</t>
  </si>
  <si>
    <t>телефон хороший и не дорогой, все отлично работает!громкий, дизайн симпатичный, удобен в использовании. мне очень все нравилось, пока его у меня не украли..(((((((((</t>
  </si>
  <si>
    <t>Игра воооооооообще просто!!! АССАСИНЫ  СУШЕСТВЮТ!!!!!!!</t>
  </si>
  <si>
    <t>Пылесосит хорошо, воздух после уборки чистейший. Работает тихо, пропылесосил вытряхнул из контейнера пыль и все. Моющийся фильтр НЕРА, отлично собирает самую мелкую пыль и очищает воздух. Насадки только нужные, радиус 10 м, парковка, автоматически сматывающийся шнур, система оповещения, которая показывает что фильтр нужно чистить. Уборка в радость, а не как необходимость.</t>
  </si>
  <si>
    <t>2015-12-24</t>
  </si>
  <si>
    <t>Долго искали к бритве Braun 9 серии,а именно Pulsonik сетку и режущий блок.Нашли только в МВидео.Очень муж доволен,что все подошло,а особенно цена удивила.</t>
  </si>
  <si>
    <t>1618</t>
  </si>
  <si>
    <t>Эта машинка у меня первая, так что сравнивать не с чем, но машиной доволен (пользуюсь месяц). Хорошее соотношение цена-качество, отлично отмывает и сушит тарелки, кружки и т.п., сильно присохшую посуду и пригоревшие сковороды не берет (с первого раза и без помощи ручной мойки), но я думаю, что не возьмет и самая дорогая машинка. Так что я думаю, если посуду не запускать, то машина будет радовать чистотой посуды. Хорошая быстрая программа мойки - 30 мин.</t>
  </si>
  <si>
    <t>2015-02-10</t>
  </si>
  <si>
    <t>Отличный водонагреватель, чтобы помыть посуду. Греет хорошо, но вода заканчивается через 8-10 мин. Прослужил нам 8 лет без проблем, только сейчас подтекать стал</t>
  </si>
  <si>
    <t>Купил ее родителям, очень довольны, варили и баранину, и рыбу делали, все проваривается. Очень полезная функция для специй.</t>
  </si>
  <si>
    <t>Отвратительная машинка, гипершумная, реальнопугающая, когда делает первый всплеск, находится в кухне не реально... По этой причине в принципе хотел ее менять  Немногим больше чем через год,  сгорел тэн, при этом всю электроветку гробила это чудомашинка, УЗО без конца отрубалось, в общем на помойку, чтоб я больше этого не видел  Купил Бош, небо и земля по шуму и ваще..</t>
  </si>
  <si>
    <t>3203</t>
  </si>
  <si>
    <t>Шустрый, эргономичный, минус-тупой конект с Se7en, смена раскладки клавиатуры ток через меню, плеер невидит русские теги, но это не критично, флип советую тонировать пленкой</t>
  </si>
  <si>
    <t>1493</t>
  </si>
  <si>
    <t>Полная фигня!!! Я бы сказала даже хуже.... Вчера купила, пульт не работал на руле сразу, его как бы просто не существует (пару тройку раз срабатывал, ну очень долго и настырно надо нажимать)! Во время переключению песни очень громко слышны помехи! Обычный пульт работает! И это с флешки, а сегодня с утреца подключилась через аудио выход, так вообще полный ужас, ни один пульт не работает, ни как! Периодически вырубалась музыка и начинало играть радио! Подъезжая к работе перестал работать и сам модулятор, а точнее кнопки переключения, пришлось его просто вырубить, но и повторное включение не помогло, кнопки так и не заработали! На счет HandsFree, скажу так: Ты слышишь, тебя очень плохо!!!! Ни кому не советую покупать!!!</t>
  </si>
  <si>
    <t>Очень довольна радионяней. Имеется световой индикатор, иногда ребенок просыпается и просто начинает ворочиться, не кричит и няня сигнализирует об этом. Очень удобно, спокойно можно выйти с ней во двор. Пользуюсь с 2011 года, уже со вторым ребенком, нареканий нет!!!</t>
  </si>
  <si>
    <t>Классная машинка, а для меня еще главное компактная. Я много разъезжаю по работе, в сумке места практически не занимает. Хорошая мощность, но при этом она не жужжит как трактор, качественный пластик и без зарядки работает минут тридцать точно.</t>
  </si>
  <si>
    <t>241</t>
  </si>
  <si>
    <t>Соглашусь с Алексеем из Магнитогорска  насчет патрубков, надеюсь в следующих моделях исправят недостаток. Насчет отсутствия кабеля: купил сразу необходимой длины и спокойно подключил; знакомый, купивший водонагреватель с готовым шнуром питания, вынужден был докупать удлинитель. Игорю из Саратова: предохранительный клапан находится под защитной крышкой и легко находится при подключении проводки.</t>
  </si>
  <si>
    <t>2014-02-26</t>
  </si>
  <si>
    <t>Купили в 2011 году, поначалу все устраивало: работала в меру тихо, в конце программы - музыкальное сопровождение в китайском стиле, быстрая стирка. Через год начались проблемы: уплотнительная резина стала жесткой, крышка сливного отверстия сломалась - состоит из двух частей, стала прыгать, на второй год полетел сальник и соответственно подшипник - благо разборный и еще по гарантии поменяли, но через год все повторилось. Гарантия закончилась, ремонт дорогой от 5 до 7 тысяч руб. Выходит лучше взять новую. Цена говорит о качестве.</t>
  </si>
  <si>
    <t>Наушники класс ! Чистый чёткий звук , хорошая шумоизоляция ! Советую всем !</t>
  </si>
  <si>
    <t>Отличный плеер, вот уже полгода пользуюсь, никаких глюков не было, вот только прошивка была старая встроенная пришлось менять.</t>
  </si>
  <si>
    <t>компактный размер</t>
  </si>
  <si>
    <t>Купил оборудование ТРИКОЛОР для загородного дома, очень неприятные впечатления о работе компании. Утомительная процедура регистрации и активации карты.  После установки и регистрации оборудования прыгаем уже сутки вокруг ресивера по шаманской инструкции техподдержки,  каналы не могут раскодироваться. В службу техподдержки  дозвониться просто не реально, а если повезет, минут пять будете слушать чудесную рекламу за собственный счет по межгороду! Не советую, впечатления о компании ужасные!</t>
  </si>
  <si>
    <t>Пользуемся примерно месяц.   +Хорошо пылесосит, жена довольна.  +Управление на ручке. Три режима мощности.  +Удобный и большой контейнер.  +Дизайн, немаловажный фактор.   +Труба металлическая, телескопическая.  +Легкий.  +/-Только одна дополнительная насадка (щелевая)  -Сильно шумит на максимальной мощности, но там такая мощь!</t>
  </si>
  <si>
    <t>Утюг на 4+, доступная цена и французкое качество, а так он прост!</t>
  </si>
  <si>
    <t>Телефон отличный можно сказать великолепный :)   Только вчеа его купил :)   При такой цене  телефон невероятно крут</t>
  </si>
  <si>
    <t>1575</t>
  </si>
  <si>
    <t>Классный телек. Берите, не пожалеете. И денег не жалко. Смотришь и наслаждаешься. А если еще и домашний кинотеатр подключить, то просто супер. Вещь - супер.</t>
  </si>
  <si>
    <t>хорошая модель..единственный минус-это звук ..иногда не слышишь,когда звонит..до этого был 3110с ,он был громче.</t>
  </si>
  <si>
    <t>Обалденный пылесос,мощность сумасшедшая,чистка ковра на все 100%!  Работает от всех розеток(евро)  Турбощетка классная!</t>
  </si>
  <si>
    <t>3008</t>
  </si>
  <si>
    <t>Давно хотели попробовать печку с конвектором. Так вот, не знаю, как другие, но эта модель реально заменяет электрическую духовку+гриль хорошо подрумянивает. В первый же вечер попробовала сделать куриные ножки и шашлычки из свинины, на следующий - испекла маффины. Моя старая газовая духовка не в пример хуже.Сейчас переезжаем, в новую квартиру не буду брать обычный духовой шкаф, лучше купим посудомойку. Довольны до невозможности, надеюсь, проработает долго.    Да, и чистится на ура, хотя особых брызг пока не было - наконец, без масла готовлю!</t>
  </si>
  <si>
    <t>Наушники понравились,очень удобные,громкость достаточная.</t>
  </si>
  <si>
    <t>2462</t>
  </si>
  <si>
    <t>Купил 27.09.2009 весь день "развлекался" с ним, аппарат определенно хорош, цена правда, на мой взгляд, завышена (потому и 4-ка). Работает шустро, стабильно. Все "красоты" и добавки программные к системе от Asus (AnytimeLauncher, Asus Today и прочее) отключил. Относительно памяти устройства - все дело в том, что все остальное место, которое мы не видим "съедает" прошивка.</t>
  </si>
  <si>
    <t>2805</t>
  </si>
  <si>
    <t>Купил 20 сентября по обмену на старую. Наладил, проверил на нескольких режимах. Стирал хлопок, синтетику, шелковые изделия. Отлично работает.</t>
  </si>
  <si>
    <t>469</t>
  </si>
  <si>
    <t>2009-09-17</t>
  </si>
  <si>
    <t>действительно заставляющий вздрагивать ужастик с превосходной графикой и по истине впечатляющем звуковым сопровождением.</t>
  </si>
  <si>
    <t>Взяла его в сентябре! Довольна! Не сильно в них разбираюсь. Но он не первый ноут бук в моих руках так что ... . Единственно помоему немного тихий он.По звучанию.Динамики тихие.Кто согласен?</t>
  </si>
  <si>
    <t>Класный ноутбук- вот только бы цену поменьше!!!</t>
  </si>
  <si>
    <t>Как и обещал пишу о результатах. Крутил мясо, курицу и печень, все пролетает на ура. Совет тем у кого выходил пластилин, покупайте мясо не ограничивайте себя пластилином. Насадка для колбасы то же протестирована колбаски получаются просо чудо. За эти деньги это лучшее предложение. Так что, кто ищет для себя мясорубку за адекватные деньги, берите не раздумывая.</t>
  </si>
  <si>
    <t>Купили духовку пол года назад. Не могу нарадоваться ей. Выглядит стильно и работает отлично. На режиме автомат готовит блюдо так как надо. Пицца получается отменно. Очень проста и понятна в использовании. Если бы кто спросил совета, какую купить духовку, рекомендовала бы однозначно Samsung BF68CDB!</t>
  </si>
  <si>
    <t>точно hp хлам. ни у меня ни у знакомых не один нр бук нормально до конца гарантии не дожил. у всех висит на веревке (неисправности зарядки аккумуляторов), перегрев процессоров и  тупо отваливаются смд детали - раз в месяц потрясешь - 1-2 сопротивления или кондер вывалятся.</t>
  </si>
  <si>
    <t xml:space="preserve">Быстрое обслуживание </t>
  </si>
  <si>
    <t>Эту игру ждал три года. Этой игрой интересовался три года. За эту игру волновался три года, и вот она уже на прилавках. Как время быстро летит. Это гениально. Mafia II - это что-то новое в жанре Action. Это не попсовая GTA4, где можно с геймплеем обращаться настолько похабно, насколько тебе захочется. Это нечто новое, нечто серьёзное, нечто более кинематографичное. Одним словом, Mafia II - это шедевр. Это то, что должно лежать на полке каждого уважающего себя геймпера. На эту игру не жалко нисколько. И в уважение 2K Czech, я предзаказал Mafia II (иными словами уже - купил) на свой РС, и куплю сразу же, как только выйдет на свою консоль PS3. И, спасибо Вам, дорогие ребята из бывшей Illusion Softworks, что вложили кучу своих сил в эту игровую роскошь. Безусловно всем советую, а сам уже играю и получаю удовольствие, которое не испытывал уже давно от игр! :)</t>
  </si>
  <si>
    <t>Отличный пылесос,в работе лет 5, бесшумный, мощность высокая, многоразовый мешок, удобная щетка.Рекомендовала друзьям, кто купил остались довольны.</t>
  </si>
  <si>
    <t>Устраивают во всем: не подводят с весом, удобно хранить (я на кронштейн вешаю), нет кнопочек, которые вечно грязь собирают, все сенсорное. И красивые)) Мне глаз радует невероятно, поэтому и не прячу)</t>
  </si>
  <si>
    <t>с разрешением в играх тож столкнулся, поставил в настройках видеокарты растягивать на весь экран :) и полосы по бокам ушли, бук хороши шустрый, сталкер на максимальных настройках пару раз заикнулся, в метро сразу минимальные настройки поставил, все летает, альфа протокол на максимальных настройках тож отлично :)</t>
  </si>
  <si>
    <t>Пользуюсь 2 года. Все хорошо, но есть 2 минуса:  1. краска на бордюрах около стеклокерамической поверхности потрескалась в мелкую сеточку.  2. между стеклами в дверце духовки заливается вода и всякая грязь во время готовки и во время чистки плиты. Как ее там промыть не знаю. Снимать всю дверцу, наверное.    Эти 2 минуса влияют на эстетический вид. Но сама плита отличная.</t>
  </si>
  <si>
    <t>1496</t>
  </si>
  <si>
    <t>были и нокии и HTC, HP! Наконец-то все-таки осознал для себя, что нужен айфон, удобный, практичный, быстрый! последний был HTC 4max! и кто бы что не говорил с афонов лучше, проще, удобней и быстрее работать!</t>
  </si>
  <si>
    <t>Нормальная флешка.Свои функции выполняет на все 100%.</t>
  </si>
  <si>
    <t>Более 2 лет пользуемся этой машинкой. Всё это время она пашет как папа Карло. Обрабатывает семью из 4х человек, а в праздники моет в 3 смены. Конечно же пресловутая ошибка E3 частый гость, ну так ведь по другому и быть не может! Как ещё заставить хозяев почистить фильтры?? У меня сейчас этим ребёнок занимается, после чего ошибка снова на неделю пропадает, до следующего засора фильтров. В работе с этой машинкой главное правильно разложить посуду и аппарат вас порадует. Пользуемся солью, блеском и порошком.</t>
  </si>
  <si>
    <t>Я тоже оказался в числе счастливцев ! Хочу сказать, что покупая такую вещь или подобную, вы оцениваете еще по каким-то критериям ! Мне первое бросился в глаза его оригинальный вид и конечно компактность, начинка очень стоящая и работает все отлично! Игры на примере Section 8, Prototype, Bionic commando оставляют неизгладимые впечатления от графики!</t>
  </si>
  <si>
    <t>Фен просто отличный, если научиться правильно им пользоваться. Придает объем коротким волосам и закручивает длинные. Очень понравилось, хочу еще и маме теперь такой купить.</t>
  </si>
  <si>
    <t>Купили в январе 2011, не могли нарадоваться, вкуснейший хлеб, все получилось с 1 раза, только нужны весы электронные, ровно через год стерлась резинка на ведерке и стало протекать вода, скрипит ужасно.</t>
  </si>
  <si>
    <t>2015-01-21</t>
  </si>
  <si>
    <t>Эта плойка не для кудрей, а для укладки волос. Для укладки подходит идеально, держится весь день. Для кудрей нужна плойка другого типа в принципе</t>
  </si>
  <si>
    <t>Эта машина просто супер!!! Теперь приходя с работы я не трачу время на мытье посуды, а провожу его с дочей. Вся посуда сверкает как новая. Кастрюли и сковородки (даже чугунные!) отмылись от многолетнего нагара. Очень вместительная машина, работает тихо и экономно. Всем рекомендую, не пожалеете.</t>
  </si>
  <si>
    <t>2017-06-08</t>
  </si>
  <si>
    <t xml:space="preserve">Много режимов, хорошо качество стирки, приемлемая цена </t>
  </si>
  <si>
    <t>Пользовалась утюгом месяц, на пятый раз начала обсыпаться подошва утюга и плюс не понравилось, что пар идет только из носика утюга, не рекомендую.</t>
  </si>
  <si>
    <t>Действительно телек классный, но к 3D не имеющий никакого отношения, если только вот с этим перепутали:   Philips 3D-LED TV | 58PFL9955, ждем к новому году.</t>
  </si>
  <si>
    <t>только цена</t>
  </si>
  <si>
    <t>2990</t>
  </si>
  <si>
    <t>Взял плеер за 890, звук неплохой даже с родными ушами (был удивлен), но вещица глючная до невозможности. Постоянно зависает при извлечении из компа, при переключении трэка. Часто перестает работать кнопка старт/плей.   При попытке перевода в режим диктофона выдает значок зарядки, и намертво виснет.   Пока подожду новую прошивку, если не поможет придется везти в сервис.</t>
  </si>
  <si>
    <t>Купили в подарок маме, она осталась очень довольна. Долго выбирали. Сейчас понимаю, что выбор правильный. Планируем покупать такой же себе. Контейнер очень удобный, с лопастью для пыли. Так, что советую.</t>
  </si>
  <si>
    <t>Доброго здоровья всем. Купил бритву 2 недели назад, после прочтения положительных отзывов о ней. До этого брился топовыми бритвами Philips, Panasonic. Покупкой остался очень доволен. Бреет мягко, чисто, заряд аккумулятор держит долго, дней 10 точно, довольно тихая, раздражение от бритья, несмотря на очень чувствительную кожу, минимальное, проходит быстро. Брат, глядя на меня, сам побежал и купил себе точно такую же, говорит, что в восторге. Единственная проблема, что в наличие осталось мало бритв и пришлось объездить несколько магазинов, чтобы приобрести её (витринные экземпляры не рассматривал по гигиеническим соображениям). Рекомендую к покупке.</t>
  </si>
  <si>
    <t>Через пол года после покупки чайника я решила его помыть с антинакипином, но забыла фильтр вытащить - нагревательный элемент почернел, думала больше работать не будет, нет работает))) Прошел еще год кот скинул чайник со  стола, в итоге треснула крышшка и ручка. В итоге чайник уже как четыре года служит верой и правдой. Ничего не течет.  Единственный недостаток - крышка очень узкая мыть не удобно.</t>
  </si>
  <si>
    <t>Подключал через кабель 2.5, греется сильно, но ничего страшного минут  за 15 с ним не случится. Вода горячая, напор мощный. На время отключения воды идеально...Вообще даже и не думал, что проточный так может успевать нагревать холодную воду.</t>
  </si>
  <si>
    <t>1352</t>
  </si>
  <si>
    <t>С самого начала что,то в нём дребезжало ,как ни устанавливали.А сегодня он умер-перестал морозить и холодить,горит только свет и зелёная лампочка.И ещё он с самого начала постоянно внутри что,то громко переливает.</t>
  </si>
  <si>
    <t>Компьютер хорош!  Процессор летает, а не работает!  В общем всё отлично, не считая небольшого дребезжания после включения компьютера</t>
  </si>
  <si>
    <t>Первый чайник отработал 2 года, после трещинка на одном из индикаторов воды, а после и вообще лопнул. Через месяц купил такой же на дачу, в эксплуатации через три месяца  не стала открываться крышка, в итоге открылась, но затем перестала закрываться. Вывод Tefal не думает о нас, во всяком случае обо мне, ну и я о нем больше думать не буду и другим советую не думайте, а думайте о хорошем.</t>
  </si>
  <si>
    <t>Примерно через 2 месяца после использования перегорела большая горелка. Слава Богу, в магазине по гарантии сделали обмен. Взяла по обмену такую же, т.к. нужны 2 горелки. Так в новой большая горелка так сильно нагревает, что кастрюли подгорают! Гарантия на новую началась заново. Спасибо магазину.</t>
  </si>
  <si>
    <t>Машинка супер!!! Купил в марте месяце. За время эксплуатации косяков не было,но недавно всплыла проблемка...нчал перегреваться процессор и ноут самопоизвольно стал выключаться(думаю косяк сборки). Отнес в рмонт-жду с нетерпением его возвращения домой!!  МАШИНА ЗВЕРЬ!!!!</t>
  </si>
  <si>
    <t>Взял такую, выбрав по скорости обмена, но другие вкусности обнаружил после вскрытия коробки.  Выдвижной разьем изначально прикрыт крышкой. Открытие его напоминает передергивание оружейного затвора. Прикольно! И практично - контакты не только задвигаются в корпус, но и прикрываются крышкой. Это еще не все, на флешке имеется раздел, который определяется как CD и на нем софт, который можно пополнять. В составе софта есть программа шифрования основного раздела, который после введения пароля уже будет монтироваться после введения пароля. О как!</t>
  </si>
  <si>
    <t>Всем доброго дня!  Очень долго анализировала рынок кухонной техники и выбирая себе мясорубку. Прочитала много отзывов, общалась со многими консультантами. Долго выбирала между Панасоником и Мулинексом.   Консультанты М-видео убедили меня приобрести именно Панасоник.  Придя домой, прокрутила 6 килограмм мяса и осталась очень довольна.  Мясо было жилистое, мясорубка справилась с ним отлично. Мощности 1300 вполне достаточно.   Недостатки: отсутствие дизайна. ощущение что мясорубку топором вырубили из полена))), порезалась об детальки, больно однако.   Достоинства: медленно, но исправно делает свою работу, очень простой механизм сборки, все ломающиеся детали металлические. Я довольна.  Спасибо консультантам М-видео Казань ТЦ Мега за хорошую работу.</t>
  </si>
  <si>
    <t>Уппарат ужасный. Задняя крышка бастро царапается, аккумулятор еле-еле держит до обеда, слабый процессор - пара программ - третья уже тормозит, когда заряжается - нагревается очень сильно. Из плюсов только Windows Mobile 6.5 и HTC Sense</t>
  </si>
  <si>
    <t>Купил его неделю назад.Плеер хорош.Зарядил один раз и до сих пор батарея не села,хотя слушаю его часами,это радует...  Большой минус это тупое включение.Сперва надо вкл кнопку ON потом удерживать PLAY\PAUSE и только тогда он вкл...Очень тупо сделано,разработчики протупили по страшному((((</t>
  </si>
  <si>
    <t>купил вчера, ждал именно с move, классно стрелять по гангстерам и играть в теннис....</t>
  </si>
  <si>
    <t>Подарили года 2 назад, на тот момент еще не понимала, что именно хочу: тостер (с вертикальной загрузкой) или сэндвич-тостер.   Плюсы: приятный цвет. На этом, пожалуй, все)  По минусам: первое, что вызвало сомнение в качестве - сильный запах пластика,он не исчез и после готовки, второе - занимает много места, компактным его не назовешь, третье -готовить в нем тосты крайне не удобно, если брать в расчет стандартные кирпичики хлеба, замучаешься обрезать кусочки, чтобы они влезли в ячейки, плюс ко всему они подгорают. Уехал на дачу за полной ненадобностью</t>
  </si>
  <si>
    <t>Купил, записал песни, чуть чуть послушал и он сломался не проработав даже сутки: перестал включаться и комп его не находит. Если бы не это, то вполне нормальный плеер, буду менять.</t>
  </si>
  <si>
    <t>эксплуатируем около недели . купили за 11тр.         Плюсы:  1.Сборка Словения, 1200 оборотов - за 11т.р.!!!  2.Качество пластика на 5 баллов.  3.Большой люк (33см)-удобно!Открывается легким нажатием мизинца!!!  4.Отбалансирована хорошо- не трясется, не скачет.(подрегулировал одну ножку, стоит на кафеле)).  5.Внятное, простое, интуитивно понятное управление.     Минусы:  1.Шумная.(сравниваю с предыдущей ВЕКО из такой же ценовой категории).Причем самый неприятный шум издает не отжим, не реле и не откачивающий насос , а что то другое.Но если машина стоит за закрытой дверью то это не важно.  2.На отжим одной шмотки постиранной на руках уходит 15 мин.Контроль дисбаланса долго пытается отбалансировать.  3.Дисплей отсчитывает время не точно.Реальное время стирки получается на 10-15 мин больше. Производители объясняют это тем что электроника учитывает температуру заливаемой воды и т.д.     По надежности - время покажет.  Вывод - за эти деньги неплохой аппарат.</t>
  </si>
  <si>
    <t>Очень хорошая соковыжималка,купила для Кухонной машины KENWOOD KM080.Легко устанавливается и моется.Делала сок из яблок,моркови,а также апельсина(с мякотью получается). Советую всем у кого есть кухонные машины типа Шеф и Мажор.</t>
  </si>
  <si>
    <t>Работает более 8 лет. Цена одна из самых низких.</t>
  </si>
  <si>
    <t>3210</t>
  </si>
  <si>
    <t>Включил в первый раз, как и написано в инструкции, воспользовался программой № 1 вес 1000г., ни чего не заклеивал, не накрывал. По истечению 3ч.18мин., как и говорилось раньше, корочка в самом деле была белой. Я сделал так: После сигнала окончания программы, нажал кнопку  "power" лампочка включения погасла, кнопкой "menu" выбрал программу № 12 кнопками "+" или "-" установил 20 мин., нажал "power", процесс продлился ещё 20 минут но зато результат ОТЛИЧНЫЙ!!!!!!!! Попробуйте!</t>
  </si>
  <si>
    <t>1919</t>
  </si>
  <si>
    <t>2013-05-12</t>
  </si>
  <si>
    <t>Купил на днях после того, как сгорел мой китайский пылесос из Ашана. Решил сразу взять модель посерьезнее, чтобы ее хватило на верняка. Нигде в инструкции не нашел упоминания об ограничении времени непрерывной работы, что косвенно поддверждает надежность модели. 4ку ставлю только потому что мощьность при таком размере у него могла быть и побольше, хотя бы чуть-чуть. По этому параметру он не отличается от большинства обычных авто-пылесосов. Но в остальном супер. Длинный провод питания. Удобный пылесборник. Конструкция со шлангом тоже добавляет свободы, можно пропылесосить труднодоступные места.</t>
  </si>
  <si>
    <t>Купила 2 года назад маме. Мясо крутит хорошо, недостаток - очень шумная.Вообще неплохая мясорубка!</t>
  </si>
  <si>
    <t>2016-05-03</t>
  </si>
  <si>
    <t>Уже 6 лет без нареканий пашет. удобное информационное табло и режимы стирки.   Да, легкая, по ванной скакала в начале)) мы постелили под нее кусок толстой резины скакать перестала и шума стало меньше.</t>
  </si>
  <si>
    <t>На домашнем кинотеатре DVD смотрел, картинка не очень. Думаю если была бы возможность смотреть в Blue-Ray, впечатление усилилось. Со звуком проблем не было, пару раз между сценами были паузы 0.5 секунды(возможно плеер глюканул). Открывал на компе, приостанавливал картинку для интереса. Выяснилось что чётких кадров очень мало. В магазине показывали фильм в Blue-Ray, вот там качество! Если у вас есть телик FullHD и ресивер с поддержкой Blue-Ray, думаю вам стоит потратить 990 рублей</t>
  </si>
  <si>
    <t>186</t>
  </si>
  <si>
    <t>Купила чайник недавно, давно хотела купить что-нибудь небольшое для дачи, чтобы пару раз в день выпить чашку чая быстро и без хлопот, полностью оправдал ожидания, тихий,в комплекте сразу и чашки и ложки, провод удобно сматывается, мечта, а не чайник, всем советую!!!</t>
  </si>
  <si>
    <t>307</t>
  </si>
  <si>
    <t>Купила эти щипцы начитавшись положительных отзывов,что сказать первое впечатление не понравились.Локоны не получались,а если и завивались,то быстро распускались (У меня очень тяжелые густые волосы). Я стала эспереминтировать с укладкой, нашла для себя отличный вариант,при котором меня устраивает получившийся локон и то сколько он держится.Это хорошая плойка особено если волосы не такие густые и тяжелые.</t>
  </si>
  <si>
    <t>Прошивка на официальном сайте, впрочем, как всегда.  http://org.downloadcenter.samsung.com/downloadfile/ContentsFile.aspx?CDSite=RU&amp;CttFileID=2244280&amp;CDCttType=FM&amp;ModelType=N&amp;ModelName=LE40B530P7W&amp;VPath=FM/201009/20100909162319593/T-CRLPEUFC.exe  Проще чем прошить - только не прошивать.    В USB порт на телевизоре необходимо вставить носитель с файлом T-CRLPEUFC.exe, выбрать последний пункт меню с сервисными операциями и выпрать обновить ПО (ну или как то очень похоже на то).ю Интуитивно все понятно.    Если Вас все устраивает - НЕ ПРОШИВАЙТЕ.</t>
  </si>
  <si>
    <t>2014-01-04</t>
  </si>
  <si>
    <t>Слабая мощность, не справляется со своей обязанностью. Не берите, разочарован.</t>
  </si>
  <si>
    <t>3049</t>
  </si>
  <si>
    <t>Подарили на День рождения. Решил перепрошить, всё сделал по инструкции на сайте kodak. Но после перезагрузки рамка виснет на заставке.</t>
  </si>
  <si>
    <t>Отличный утюг!!!Девчонки, если выбираете - берите его и не пожалеете))Пользуюсь каждый день, никаких претензий нет...просто идеально...У мужа пиджак в машине мнется, так что бы отгладить, достаточно двух нажатий на подачу пара и все гладко)))))от шелковых блузок до джинсов всего лишь температуру сменить...и никаких усилий больше..Подошва утюга потрясающая-никогда ничего не прилипает!!!У мамы день рождения в сентябре-уже знаю что подарить)))))))</t>
  </si>
  <si>
    <t>1103</t>
  </si>
  <si>
    <t>Кто нибудь скажите мне пожалуйста сколько длится работа в автономном режиме...плиз мне это очень важно.</t>
  </si>
  <si>
    <t>Купил год назад, показывал себя с лучшей стороны достаточно долго. А теперь лежит пылится в углу. мошности ноль. Выбираю другой тщательнее чтоб не влипнуть так же.</t>
  </si>
  <si>
    <t>Хороший телевизор. Купил совсем недавно - не жалею. Подключил к нему всё, что мог: компьютер через HDMI, кинотеатр через компонентный, через "скарт" видик, всё отлично работает. Пока наше телевидение отстаёт от мировых стандартов этот телевизор самый подходящий вариант. (За диагональ не скажу, я эту брал по размеру комнаты)</t>
  </si>
  <si>
    <t>Магнитола активно используется две недели.  Привод читает все диски какие были в машине без нареканий,те и cdr cdrw поцарапанные.Радио ловит достаточно уверенно даже за городом.Телевизор- только стоя и поближе к телебашне.СД карточка 2 гига читается без проблем.Флешка на 1 гиг тоже.Звук нормальный, во всяком случае мне нравится.  Из минусов . Если приглядеться то на экране видно дрожание когда выводится меню.При заводке двигателя аппарат долго перезагружается 1-2 минуты.При установке возникли трудности изза нестандартной величины панельки.Неудобно выполнено меню переключения между радио тв ДВД.  В целом аппаратом доволен.</t>
  </si>
  <si>
    <t>Очень хороший блендер, покупала его 3 года назад, до сих пор довольна. Делаю на нем все: от фарша до детских пюрешек. Незаменимый помощник на кухне!</t>
  </si>
  <si>
    <t>дочь 9 лет первая его тестировала, очень мы довольны. цена-оптимальная, вес-легкий-, дизайн-очень для девченок, 3 скорости.длинный шнур.</t>
  </si>
  <si>
    <t>1809</t>
  </si>
  <si>
    <t>Год уже пользуемся этим тостером! Очень нравится,по утрам всегда с семьёй делаем тосты,получается очень вкусно,особенно с зерновым хлебом.</t>
  </si>
  <si>
    <t>2479</t>
  </si>
  <si>
    <t>2012-01-16</t>
  </si>
  <si>
    <t>Отличная машина. Нам нравится очень. Моет отлично, руками так не отмоешь, сушит превосходно. И самая главное- нам другой габарит не подходил, спасибо  Electrolux!</t>
  </si>
  <si>
    <t>Покупая данную модель, больше года назад, переживала, что первое время буду пользоваться, а потом будет стоять без дела. Ничего подобного! Продолжаю ей пользоваться и по сей день. Хлеб разных сортов, кекс, тесто, варенье....много всего. В книге рецептов достаточно легкие рецепты, в магазинах можно купить все ингредиенты. Хлеб получается свеженький, вкусный. Включаешь таймер на утро, и пробуждаешься от запаха свежего хлебушка....так приятно:) Покупайте, не пожалеете! Это хлебопечка, достойная модель! +5</t>
  </si>
  <si>
    <t>Купил, был рад, что можно смотреть телек, но увы через 3 недели перестал заряжаться, сейчас не знаю что делать, наверное понесу туда, где купил.</t>
  </si>
  <si>
    <t>Ноут супер! Производительность на высоте. Игры летают. Удобная клавиатура, сенсорная панель без лишних кнопок - все просто и удобно.Система охлаждения особо не шумит. Дизайн выше всех похвал:) Правда порой напрягают некоторые предустановленные программы HP слишком частым напоминанием о себе, впрочем все это можно удалить или настроить.  Так что пока только положительные эмоции:)</t>
  </si>
  <si>
    <t>2377</t>
  </si>
  <si>
    <t>Уникальная вытяжка! Она и убирает все запахи практически мгновенно, и не шумит так, чтобы было не слышно телевизор. Долго сомневалась, нужна ли она нам вообще, но с аппетитом мужа и детей я по полдня провожу на кухне, зимой окно не откроешь, пришлось выкручиваться, иначе голова раскалывалась. Мне нравится, как она выглядит, ничего аляпистого в дизайне нет, строгие линии, красивый цвет. Если есть пространство в 60 см для ее установки, то от всего сердца советую ее брать. Подключили ее быстро, никаких сбоев в работе не было. Учитывая, что корпус не пластмассовый, а металлический, думаю, что срок службы у нее очень долгим будет. Заодно скажу, что очень хорошо, что на механике она, электроника все же чаще выходит из строя.</t>
  </si>
  <si>
    <t>249</t>
  </si>
  <si>
    <t>Телефон хороший, но есть и недостатки. Вибросигнал либо вкл. для всего (звонок, смс, будильник), либо вообще выкл. Фото звонящего при звонке не во весь экран, а крошечная в уголке. А так неплохой телефон.</t>
  </si>
  <si>
    <t>Мама из Индии привезла кофе в зернах, а кофемолка в доме была древнейшая. Как-то на удачу выбор мой пал именно на эту модель. И стоит три копейки, и выглядит прилично, и работает уже полтора года без нареканий, мама довольна крайне - утро без настоящего кофе для нее это не утро))</t>
  </si>
  <si>
    <t>Телефон отличный - фото, музыка, картинки....единственное, что портит картину, это батарея(((очень быстро садится.</t>
  </si>
  <si>
    <t>2016-06-10</t>
  </si>
  <si>
    <t>Нда, за такие деньги могли бы включить и барабаны для шинковки. Без них цена не обоснованная и покупателем сего устройства я становиться не буду. 4 Звезды ставлю заочно (это средний рейтинг устройства на сайте)</t>
  </si>
  <si>
    <t>Всем бы чайник хорош, но закипает при полном объеме за 12 минут, на пару чашей требуется от 5 до 6 минут, это очень долго, если живете в хорошем темпе - не советую.</t>
  </si>
  <si>
    <t>Отличная вещь, удобный, эргономичный, лёгкий.</t>
  </si>
  <si>
    <t>Удобная и приятная вешь на кухне. Хлеб, ветчина, сыр и у вас горячие поджареные "пирожки" к чаю. Можно взять с собой для вылазки на природу, либо подкрепиться с утра перед работой. Времени приготовления занимает минимум. Уход минимальный, просто протереть.</t>
  </si>
  <si>
    <t>Купил жене и дочке на Новый год. Первое время отжимали только яблоки, все были в восторге - не надо разрезать,очищать от косточек, палочек, только помыть и ВСЁ! Сок получался очень чистым. Потом попробывали апельсины и груши - результат превзошел все ожидания: много сока, а жмых сухой.  Главное не засоряется сито - очищается легко. Недостатков не нашли, всё нравится. Всем рекомендую!</t>
  </si>
  <si>
    <t>2014-05-16</t>
  </si>
  <si>
    <t>Бреет так себе , слабый аккумулятор, нет индикации, сломалась через 2 года работы.</t>
  </si>
  <si>
    <t>Пользуюсь 4 месяца, практически ежедневно глажу детское белье и не только. Утюг справляется, выход пара отличный, глажу в основном на 2, в 3 даже нет необходимости, и так отглаживает все. Сделан во Франции, что немаловажно.</t>
  </si>
  <si>
    <t>2578</t>
  </si>
  <si>
    <t>Купил недавно, советую тем, кому необходимо "все в одном", для кухни самое то, или дачи. Все диски читает, пока проблем не было, с флэшек тоже.  Не очень понравился звук - много средних частот, которые никак невозможно отрегулировать (лучше внешнюю акустику к нему подключить - звук значительно улучшается), а также изображение "краснит" (говорят особенность азиатских телевизоров), но как-то более-менее можно скомпенсировать настройками.</t>
  </si>
  <si>
    <t xml:space="preserve">Цена и дизайн </t>
  </si>
  <si>
    <t>Отличные уши.  Описанные выше шумы полностью исчезают если выкрутить на самый максимум громкость источника звука, т.е. чтобы была максимальная мощность на входе наушников, а громкость звука в наушниках регулировать ползунком на самих ушах.  Недостатков за 7 месяцев использования не нашел.</t>
  </si>
  <si>
    <t>2013-11-08</t>
  </si>
  <si>
    <t>Надписи в виде лейбла и скоростей со значком освещения стираются, в буквальном смысле, если провести мокрым пальцем, случайно заметил, хотя на технические характеристики не влияет)))</t>
  </si>
  <si>
    <t>756</t>
  </si>
  <si>
    <t>После кручения обруча бёдра болели.( Хорошая игра, многие знакомые не хотели покупать потому что обложка простенькая, думали ерунда, а когда я купила и показала сразу у меня диск взяли поиграть). Понравилось что там показывают сколько калорий скинул за упражнение. По утрам занимаюсь,вроде бы худею)))</t>
  </si>
  <si>
    <t>464</t>
  </si>
  <si>
    <t>за свою цену хорошие  твитера</t>
  </si>
  <si>
    <t>2016-12-16</t>
  </si>
  <si>
    <t>Прекрасно работает !!! Охлаждает отлично, греет просто супер. Внутренний блок бесшумный...слышно только поток воздуха при максимальной скорости вентилятора... Наружный блок работает шумновато при обогреве, но это не доставляет неудобств. Короче я доволен на все 100.</t>
  </si>
  <si>
    <t>Да, все, что написано положительного, могу подтвердить, у меня 2 года, никаких проблем не было (если не считать, что первые раз 10 надо было кипятить, чтобы просто избавиться от запаха пластмассы). Единственное, что в нем неудобно - заливать воду из фильтра - крышка мешает. Да и из крана тоже не очень. Но, если хотите красивую и качественную вещь, то рекомендую.</t>
  </si>
  <si>
    <t>Отличный прибор, несмотря на его небольшую мощность, но сломался шнур для зарядки. Перегнулся в месте соединения с адаптером и не работает...</t>
  </si>
  <si>
    <t>Раньше я остерегалась Сонек, потому что китайский. Но один раз попробовав купив Соньку, другой телефон больше не захочется. Звук супер, дизайн, качество на высоте! Этим телефоном я очень довольна, пользуюсь 5 месяцев и не могу нарадоваться. Есть только незначительные минусы. Камера при фотографировании на 1,2,3 Мгп не увеличивает изображение. Функция масштабирования изображения при фотосъемке предусмотрена только для фотографий формата VGA. И еще один минус, камера без вспышки. А телефончик очень рекомендую.</t>
  </si>
  <si>
    <t>2528</t>
  </si>
  <si>
    <t>Хорошая игра,только жалко что нет заснеженных трасс.</t>
  </si>
  <si>
    <t>Красивый футуристичный дизайн</t>
  </si>
  <si>
    <t>Отличненький такой плеер!=)Вот только да,зарядки действительно мало(((И ещё вот никак не могу найти, где скачать на него игр=( А насчёт зарядника Ксения не права. Можно просто купить вилку, в которую вставляется USBшник,стоит она недорого..</t>
  </si>
  <si>
    <t>Купил два года назад,искал именно Philips,потому что предыдущие были тоже этой же фирмы.Отличительная черта - отличное звучание низких частот,так что басы и глубокий звук ощутимы.Из достоинств так же следует отметить то что за 2 года мучительного использования и проверок,они до сих пор работают как в первый день...  Падали каждый день не меньше чем по 5 раз,запинался и выдергивал штекер еще чаще,но из самих наушников провода не вылезли,так же следует отметить что никаких проблем с перегибом больной части наушников-штекер,тоже нет,кабель сделан на все 100.  Один минус есть-длинный провод,но,это минус,если носить их с плеером по улице,а для дома,особенно кино,игры,музыка,в ночное время ИДЕАЛЬНЫЙ вариант.Так же из звука,есть плюс,то что при максимальной громкости,можно слушать не одевая наушники,звук как у среднего мобильного телефона,и при этом мембрана наушников-НЕ УБИВАЕТСЯ.  В целом,доволен выбором,и всем советую.</t>
  </si>
  <si>
    <t>Это самый удачный телефон,рекомендую.</t>
  </si>
  <si>
    <t>2949</t>
  </si>
  <si>
    <t>Время в режиме разговора до 10 часов   Время в режиме ожидания до 300 часов...    Какая чушь!!!!!   Батарейка у него живёт какой-то самостоятельной жизнью.  Она ООООООчень быстро садится, это учитывая то, что я не копаюсь в нём постоянно, как обезьяна.  Даже в режиме ожидания едва-едва хватает меньше чем на сутки. А про режим разговора вообще молчу. Тогда надо просто на зарядке жить.  С конкретным изделием не связываю, т.к. в семье не один iphon.  Но это единственный его минус.  А по поводу реплик некоторых "кулибиных" про отсутствие ММS и иже с ним, то хочу сказать следущее - купите телефон за 1000 рублей и обММSтесь.   iphon - это Вещь с большой буквы. Удобный, понятный и просто (банально) стильный и красивый. А у кого нет, так и не обс...те.  По отзывам наглядно понятно, у кого он есть, а кто просто желчь исторгает от невозможности его приобрести.</t>
  </si>
  <si>
    <t>Недорогой, компактный, простой в обслуживании.</t>
  </si>
  <si>
    <t>Хочу сказать спасибо за сделанную у вас покупку. Более года пользую водонагреватель Ariston Velis 80, в условиях, когда отсутствует центральная горячая вода. Показал себя очень неплохо. Большие плюсы по сравнению с другими моделями и производителями &amp;ndash; вывод текущей температуры на дисплей, 2 настраиваемые программы и конечно, режим fast &amp;ndash; если уметь ими пользоваться. можно существенно сократить расходы электроэнергии на работу водонагревателя. В результате экспериментов с настройками вышел на потребление 6 кВт в рабочий день при трех пользователях. При этом моемся в душе, перерыв между двумя моющимися нужно делать минут 30-40, чтобы осталось на другие бытовые нужды. Если с утра перед работой и не важно, останется ли горячая вода &amp;ndash; можно помыться всем троим подряд, но быстро. Агрета хвалю!</t>
  </si>
  <si>
    <t>Повторно приобрела этот фен. Первый проработал 9 лет. Перетерся шнур питания у ввода в ручку. Эксплуатировался пять дней в неделю. Рекомендую.</t>
  </si>
  <si>
    <t>Ноут действительно хорош, особенно то ,что он собран на новой платформе с поддержкой DD3 и  новейшего процессора i3 и стоит недорого.Винду "сносить" не буду, она вполне функциональна, а отсутствие возможности поменять фоновый рисунок можно компенсировать установкой сторонних прог, например PUSH.Entertainment.DreamScene.Video.Wallpaper, которая использует любой видеофайл в качестве фона.При установке "пиратки" операционки большая вероятность, что Вы "слетите" с гарантии.</t>
  </si>
  <si>
    <t>купил 20.01.10г на третий день не работает гриль.Теперь не найдешь виновного.В документах нет номеров телефонов сервисных мастерских.Не солидно!!!!</t>
  </si>
  <si>
    <t>Несмотря на все преимущества в скорости и цене, все-таки хотел бы отметить, что поставляемый товар должен быть в рабочем состоянии, а не как у большинства.   В том числе и у меня. Виснет при первом включении минут через 10. Полазив по Интернету, убедился, что проблема такая у многих именно этой серии блоков.  Как говорят "знающие люди", надо 1. обновить биос до последней версии. 2. Заменить мышь и клавиатуру на свои, чтобы не было конфликтов и ошибок в конфигурации. Сам еще не пробовал.  Наверное сдам его обратно.  Если есть у кого готовое решение по исправлению этой "маленькой" недоработки производителей, прошу поделиться.</t>
  </si>
  <si>
    <t>2766</t>
  </si>
  <si>
    <t>Купил сегодня в КС. Качество нормальное, не щумит, винт слегка поскрипывает, клавиши F1 и т.д. хлипковаты. На винте один раздел, что не слишком удобно, но дело поправимое. Продавец сказал, что в городе нет сервисцентров Packard Bell, что огорчает. Камера показывает сносно.</t>
  </si>
  <si>
    <t>2016-07-10</t>
  </si>
  <si>
    <t>Отличный чайник. Кипятит быстро, не сильно шумный, если со временем зашумел - нужно очистить от накипи и снова все в порядке. А про тех, у кого лопается стекло на крышке, скажу, что не нужно было наливать и кипятиь воду выше максимальной отметки 1,7 литра!!! Чайнику 4 года, всегда наливаем воду чуть меньше максимальной отметки и все в порядке, стекло крепкое , специально постучал сегодня по нему пальцем - как новое. Вообщем рекомендую!</t>
  </si>
  <si>
    <t>Согласен с Виталием. Отличный аппарат. Насчёт Индезита с Бошем - чистая правда. Сам пользовался топовым итальянским Whirlpool 2года и был доволен, а потом поменял на флагманскую модель Gorenje и стал счастлив. Машины одного ценового диапазона кардинально отличаются качеством стирки. Там есть ВСЁ. И может отстирать ВСЁ. Знакомая,которой продал модель 63101 тоже довольна. Жаль не продают серию Premium - недорого, а оснащение на высоте. Насчёт Бошей я вообще не уверен что они умеют стирать, ну хлопок, синтетику можно а остальное не думаю(кроме самых дорогих версий).   Про оцинкованные корпуса,бесшумность работы,океан режимов и многое другое отдельная длинннная история.  С уважением   Андрей  продавец,стаж 5 лет.</t>
  </si>
  <si>
    <t>297</t>
  </si>
  <si>
    <t>2011-04-29</t>
  </si>
  <si>
    <t>Обалденный бук. Быстрый. Стильный. Красивый. Когда достаёшь из сумки на совещании, все взоры направлены на него и на меня. В самолете очень удобно - ставишь на столик и кино смотришь. Как раз хватает на 5 часов полета. Доволен.</t>
  </si>
  <si>
    <t>Стандартные размеры, что очень хорошо стирать большие вещи, новый инверторный двигатель полная тишина + экономия электричества, новый барабан, защиту от протечек корпуса и шланга, взвешивание белья и программа сама посчитает сколько времени стирать, стирает бесшумно, только слышно отжим, расход порошка очень маленький, стоит датчик пены если много порошка запустит дополнительное полоскание и ещё много дополнительных функций, пошел третий год машинке, довольны на все 100%</t>
  </si>
  <si>
    <t>2002</t>
  </si>
  <si>
    <t>Хорошая посудомоечная машина, управление удобное - на дверце, работает тихо и моет нормально, до нее у нас была другой марки, поменяли вот на эту, потому что не мыла она практически. С подключением проблем не было. Что еще добавить? Внутри вроде как есть какаято система защиты от протечек воды.</t>
  </si>
  <si>
    <t>Достаточно хорошие наушники. Очень хорошо облегают уши. как раз для зимы! Частоты берет хорошо басы тоже)))) Единственный недостаток это длина кабеля слишком длинный.</t>
  </si>
  <si>
    <t>1263</t>
  </si>
  <si>
    <t>2011-05-13</t>
  </si>
  <si>
    <t>Неплохая стирался. В первый раз при отжиме проскакал сантиметров 15, чуть раковину не снес. Посмотрел по уровню, был небольшой наклон. Отрегулировал ножки, проблема исчезла. Практически не слышно, как дребезжит.  Советую купить резиновый пружинки под ножки, они реально уменьшают уровень шума аппарата.</t>
  </si>
  <si>
    <t>Мы очень долго и основательно выбирали пылесос, так как маленький появился в доме, боялись, чтобы не испугался. Пылесос ответил всем нашим требованиям, тихо работает (даже пылесошу, когда спит ребенок), большая сила всасываемости. Очень хорошая и надежная техника.</t>
  </si>
  <si>
    <t>1.есть ли плэйлист?  2.на сколько хватает?  3.где громкость регулировать?  заранее спасибо)</t>
  </si>
  <si>
    <t>Работает уже почти 2 года как часы! Ничего лишнего, все просто и понятно! Покупал по акции за 7000р. Всем доволен!</t>
  </si>
  <si>
    <t>Пользуюсь этим феном примерно год. Никаких нареканий по его работе нет. Хорошо просушивает волосы. Одна насадка, но очень удобная. Волосы действительно не электрилизуются, благодаря ионизатору и не пересушиваются. Удобная ручка и расположение кнопок. Всем рекомендую данную модель.</t>
  </si>
  <si>
    <t>Аналогичная проблема. Подтекает в районе окошка и нижней окантовки. Буду менять.</t>
  </si>
  <si>
    <t>Купила весы. Около года была довольна, но когда истек срок гарантии, начались проблемы (судя по отзывам как у всех). Когда с проблемой обратилась в магазин, предложили адреса сервисных центров, в которых сказали, что весы ремонту не подлежат. Не дороговато-ли для одноразовой вещи?</t>
  </si>
  <si>
    <t>Вчера приобрел данную магнитолу в обмен на сломанную. Функционал одинаковый с предыдущей моей моделью,но немного попроще (нет режима наклона панели, сама панель не автоматизирована на закрытие, меньше дисплей). Но самое главное не могу настроить русское меню (на сайте в спецификации написано что есть?!). Тюнера, радиои ТV почувствительней предыдущей модели.</t>
  </si>
  <si>
    <t>Посудомойку приобрели месяц назад, долго сомневались, нужна ли она(семья из трех человек),но теперь радости нет придела!Особенно когда ребенок маленький, времени ни на что не хватает!а так за день посуду копим, вечером включаем и идем спать, работает бесшумно, слышно только как воду набирает и сливает! и в размерах не ошиблась влазят кастрюли, сковороды и протвени!Цена тоже устроила, не уступает дорогим бошевским! так что если нет времени мыть посуду-берите, техника хорошая!</t>
  </si>
  <si>
    <t>Хорошая цена за такой функционал,качество сборки и комплектующих,высокая мощность,красивый внешний вид,регулируемая мощность по позициям,гарантия 4 года</t>
  </si>
  <si>
    <t>2538</t>
  </si>
  <si>
    <t>Купили такой на дачу, пока все устраивает. А насчет бесшумности, по мне так полностью бесшумных чайников (и пылесосов) не бывает...</t>
  </si>
  <si>
    <t>плеер хорошего качества воспроизводит все форматы единственное чтение с жесткого диска только в формате FAT 32 тоесть читает информацию до 4 ГБ</t>
  </si>
  <si>
    <t>1703</t>
  </si>
  <si>
    <t>Телефон просто super,наушники в комплекте отличные.  Очень функциональный аппарат,я доволен!</t>
  </si>
  <si>
    <t>Вытяжка классная, минус что на последней  скорости шумновата. а так пользуюсь 2 года и не жалею. Очень стильная.</t>
  </si>
  <si>
    <t>Вынужден не согласиться с вами по поводу батареи. Сам юзаю сей девайс (только на 2 гб), купил 31 декабря 2009 (сделал подарок себе любимому), 3 дня назад ездил в Тюмень, плеер на максимальной громкости проработал в общей сложности порядка 22 часов. Если ставить громкость на 15, и зря не включать дисплей, около 40 часов спокойно выдерживает. Вообще плеер устраивает, из минусов - царапается сильно, и нет блютуза (очень привык к нему на старом плеере YP-T10)</t>
  </si>
  <si>
    <t>Помогите активировать порт USB на телеке 26LG4000 для просмотров фильмов через флешку и DVD диски с разными форматами avi, mp4 и др.! Так телек в целом хорош. Какую прошивку использовать и как?</t>
  </si>
  <si>
    <t>3212</t>
  </si>
  <si>
    <t>Брал в 2009 г., ловит на расстоянии в два метра от машины только два канала и слабо.Не рекомендую</t>
  </si>
  <si>
    <t>Хорошие наушники!Год или полтора назад купила сестра. Недавно сломались. Была приятно удивлена когда увидела их в магазине. Купила не раздумывая, потому что они уже проверенные, а остальные кто их знает что там со звуком и качеством)</t>
  </si>
  <si>
    <t>2015-07-18</t>
  </si>
  <si>
    <t>Обычная сушка, пользуемся 2 года - нареканий нет. Сушили грибы, яблоки, вишню и зелень. Два режима мощности (первый - для сухих продуктов, второй - для более сочных). Высокие поддоны (для грибов - самое то), во время сушки иногда меняем местами для более равномерного просушивания, хотя и верхний поддон просыхает неплохо. Приятное дополнение в виде двухлетней гарантии. В общем, рекомендую.</t>
  </si>
  <si>
    <t>2014-11-23</t>
  </si>
  <si>
    <t>Нормальные, качественные "уши" за относительно небольшие деньги.  Я не меломан - для компа и телевизора хватает за глаза. Свою цену отыгрывают на все 100%.  На голове садятся очень удобно - практически не чувствуются.</t>
  </si>
  <si>
    <t>2082</t>
  </si>
  <si>
    <t>Купил машину 3 дня назад! Честно говоря, не ожидал такого восторга! Эспрессо просто супер с нежной пенкой! Капучино нужно немного наловчиться и все ОК! Для меня один минус (если его можно считать минусом)-это близкое расположение носика из которого выливается кофе к корпусу агрегата! Это немного мешает при "рисовании" на молочной пенке! А в целом машина СУПЕР!</t>
  </si>
  <si>
    <t>398</t>
  </si>
  <si>
    <t>Данную модель купили в середине 2009 года. Муж к ней докупил обычный резиновый шланг нужной длинны и подцепил в гараже к баку с водой, приподнял его на 30-40 см от пола и этого давления достаточно для отличной работы. И ни какого водопровода не надо!!! Расход воды на машину облить с шампунем 5-6 литров и чтоб смыть еще где-то 10-15литров, очень экономично. Мы полностью довольны своим выбором.</t>
  </si>
  <si>
    <t>Дизайн, качественная сборка, приятная подсветка</t>
  </si>
  <si>
    <t>742</t>
  </si>
  <si>
    <t>А я куплю только этот телефон-просто супер</t>
  </si>
  <si>
    <t>2477</t>
  </si>
  <si>
    <t>2014-02-25</t>
  </si>
  <si>
    <t>Прекрасная покупка! Он действительно бесшумный!  Мощный даже на минимуме своих возможностей, компактный, красивый современный дизайн. Блеск! Очень довольна покупкой. Спасибо, М.видео!</t>
  </si>
  <si>
    <t>Отличный аппарат! Своих денег стоит! Качество супер изображения СУПЕР! Даже в аналоговом просмотре телевидения лучше, чем на старых телеках! Плюсы все право уже ниже описали поэтому остается добавить ещё ряд плюсов:  1. Хоть внутренние колонки не ахти (для просмотра телека вполне, а для фильмов нужно что-то пободрее)лучше подключать через скарт-скарт кабель к домашнему кинотеатру или дивидишнику с колонками.  2. Аналоговое телевидение вполне приличное (если вы смотрели ранее ламповый телек, которому более 5-10 лет)даже можно сказать очень хорошее - за счет контрастности и 100Гц.    Подводя итог, можно сказать ещё раз, что телек своих денег стоит - если вам нужен телевизор будущего - даже не телевизор, а настоящий компьютер функциональность отличная, качество изображения аналоговое - Full HD отличное, дизайн отличный! Твердая 5+ :)</t>
  </si>
  <si>
    <t>2014-04-09</t>
  </si>
  <si>
    <t>Фен объемен не в меру и вообще не эргономичен: в руке не лежит, буквально выпрыгивает из пальцев, при эксплуатации, либо ладонью закрываешь воздухозаборное отверстие, либо нажимаешь на кнопку, при которой щетка отваливается от фена. Шнур короткий, не адаптивный. Главное мощность-она не регулируется!!!! регулируется здесь только нагрев. Сильный поток воздуха сдувает не только волоски (об укладке а,ля одуван!!! я уже считаю излишним упоминать), но и самого человека. Деньги можно было просто спустить в унитаз, нежели покупать этот китайский волососос</t>
  </si>
  <si>
    <t>Машинка очень даже ничего!!!! За такую цену, можно сказать вообще подарок!!! А про сборку, считаю, что в России собирают ни чуть не лучше чем в Китае (если даже не хуже)...(достаточно привести в пример автомобили).Наличие дисплея - огромный плюс. Стирает не шумно, отличие барабана от простых пока не заметили! Не вибрирует, не прыгает!!! И размеры очень даже компактные для 6 кг! Вообщем, пока радует всё!</t>
  </si>
  <si>
    <t>Отличная качественная вещь!!! ))))))))))))))))))))))</t>
  </si>
  <si>
    <t>Отличный утюг.Купил жене.Коробку распаковывайте в магазине обязательно.</t>
  </si>
  <si>
    <t>2847</t>
  </si>
  <si>
    <t>Купили камеру летом 2010г. Снимали и дома и на природе. Цвета отличные, картинка яркая. На звук от выдвижения объектива не жалуюсь. Даже не замечала его, пока не прочитала отзывы тут. ))  Фото да, не очень. Но это же не фотоаппарат. А свою функцию она выполняет на отлично. Компактная, быстро включается, что немаловажно, когда в семье есть маленькие дети)))   Быстро запечатлеть момент - это она может!!!    Про батарею не скажу, т.к. купили сразу же к ней аккумулятор, и полгода снимаем без всякой подзарядки.  Так что рекомендую!</t>
  </si>
  <si>
    <t>жаль, что не читает видео, и не прошивается как например ЛЖ. Не очень качественный звук</t>
  </si>
  <si>
    <t>достаточно тихий, долгожитель</t>
  </si>
  <si>
    <t>Прикольная консоль, 2 игры в комплекте, прошивка 6.30.  Покупкой доволен, советую всем, берите, не пожалеете!</t>
  </si>
  <si>
    <t>Купил 1марта раздумывал между мулинекс и панасоник выбрал панасоник подумал головой панасоник в три раза меньше раходует эл.энергии 500вт. мулинекс 1500вт.  Всем советую покупать  Хлебопечка Panasonic SD-255  Алексей ПЕРМЬ  11.03.2010</t>
  </si>
  <si>
    <t>Да, телевизор неплохой, но ...  Есть одно но. Проблема шлейфа (остаточного изображения или «кадра-призрака»). Я думала, что на этой модели такой проблемы уже не будет.</t>
  </si>
  <si>
    <t>Хорошее звучание,стильный и удобные кнопки.</t>
  </si>
  <si>
    <t>Данной вытяжкой пользуюсь 3 года ( варочная панель электрическая, стеклокерамика), купила по совету родственников ( варочная поверхность газовая),она у них уже 5 лет. Вытяжка отличная, тянет прекрасно, учитывая, что у нас кухня объединена с гостиной, запахов никаких нет. По сравнению с маминой  очень тихая, на второй скорости ощущение, что чайник закипает.Устанавливали самостоятельно без помощи специалистов, гофрированную трубу, идущую в комплекте ,заменили на пластиковую(. На стекло и давили, и сколько раз я ложками его била, все прекрасно. Рекомендую.</t>
  </si>
  <si>
    <t>Отличный аппарат, вчера купил жене, счастья без границ... с удовольствием пропылесосил сам, действительно "тихий", удобное управление на ручке трубы, понравилась функция автомат, и провод 6 м с легкостью достает до любой точки комнаты!</t>
  </si>
  <si>
    <t>Отличный пылесос с хоботком, везде залезет и всё достанет, доставит удовольствие</t>
  </si>
  <si>
    <t>Утюг хороший,довольна его работой.Только чуть-чуть шумит при выпуске пара.</t>
  </si>
  <si>
    <t>Разжился сегодня такими наушниками. Звук глуховат, но басс имеется. Удивила эргономика: очень приятный и гибкий провод, уши не устают. Звучание не удивило, не хватает детальности СЧ и ВЧ диапазону. Возможно со временем разиграются.  В целом - покупкой доволен. За свои деньги играют адекватно.</t>
  </si>
  <si>
    <t>Действтительно помогло избавить холодильник от неприятных запахов.</t>
  </si>
  <si>
    <t>Очень хорошие щипцы, я довольна, самое главное перед каждым применением их вытирать влажной тряпочкой иначе волосы становятся грязными.</t>
  </si>
  <si>
    <t>Духовой шкаф просто замечательный. Печет со всех сторон равномерно. Стенки шкафа очищаются сами, протирать нужно только низ шкафа и то не всегда. Очень довольна. Советую всем.</t>
  </si>
  <si>
    <t>Блок бесшумный, не считаю редкого дребезжания, для геймера самое то. Цена-качество.</t>
  </si>
  <si>
    <t>Хороший ТВ для небольшой комнаты. Эфирный сигнал, конечно, ничем не "вылечить", кроме старушек ЭЛТ. А цифровой материал идет весьма неплохо для этой ценовой категории.  Есть ошибка в описании: функция "Картинка в картинке (PiP)" в этой модели отсутствует</t>
  </si>
  <si>
    <t>Аккумулятор держит отвратно, корпус скользкий, в руке держать может только человек у которого ладонь как у бастекболиста. Скорость работы как у С3, зря потратил деньги, купился на рекламные трюки. Своих денег не стоит.&amp;nbsp;</t>
  </si>
  <si>
    <t>1222</t>
  </si>
  <si>
    <t>Классная! Работает на меня уже 3 года. Какой кайф не мыть посуду! Шумит, правда, довольно сильно.</t>
  </si>
  <si>
    <t>Жду от ПЕС всего наилучшего=)  Завтра пойду покупать.Разработчики обещали,что игра будет по-настоящему реалистичной.</t>
  </si>
  <si>
    <t>Это уже наш второй холодильник Шарп. Первому уже 11 лет и он перехал в другую квартиру(кстати работает великолепно). Выбор брэнда особо не стоял, ибо Шарп делает знает толк в данном деле. Ноуфрост, ионизатор, лед подстветка и т.д. и т.п. все это присутствует в данном изделии. Но главное это надежность. Работает уже почти год и мы уверенны, что он нас не разочарует. Рекомендую!</t>
  </si>
  <si>
    <t>Купила с витрины по минимальной цене без упаковки. Состояние идеальное, работают все горелки. Немного нагревается стеновая панель из-за большой горелки, поэтому использую ее редко. Моется панелька быстро и даже без спец.средств. Все же "Сименс" держит марку. Чугунная решетка надежно держит кастрюльки, сковородки. С С "Индезита" иногда слетали, если чуть зацепишь, тк решетка была гладкой с закругленными краями. Вполне достойная недорогая стильная кухонная принадлежность.</t>
  </si>
  <si>
    <t>Купил пол года назад. Сейчас взял бы модель постарше(на 32LH5000 пожалел денег, а других не было).   Перечислю что есть, например, в LH3000 и чего НЕ хватает в моём:  -Дизайн, дело вкуса(в 32lf2510 начинка 2009 модельного года, а корпус 2008), уже привык :)  -Датчик освещённости, регулирующий подсветку. Ночью 100% подсветка ни к чему, а энергопотребление к подсветке - практически линейная зависимость, 100% - ~130Вт, 50% - ~75Вт, так что автоматическая регулировка была бы кстати.  -Механический выключатель питания, для консервативного/пожилого человека, например для родителей - плюс.  Теперь о самом ТВ. Хорошая матрица, отличные углы обзора, только уровень черного немного хромает. (При просмотре контента через hdmi или компонентный входы, можно в настройках изображения выбрать "Уровень черного" не "Авто", а "Низкий", изображение в целом будет темнее)  Удобный пульт и в целом управление. Встроенный мультимедиа-проигрыватель звёзд с неба не хватает, но пользоваться можно.     LG не без основания считает что в России цифрового эфирного вещания нет, но в нашем городе уже несколько лет вещают несколько каналов DVB-T, что бы они нашлись нужно выбрать в настройках другую страну.   Часы не работают. Раз есть цифровые каналы, телевизор пытается синронизировать часы с ними, но видимо, время передаётся не корректно, а ручной ввод блокируется.  При подключение к компьютеру через hdmi или VGA в родном для телевизора разрешении, можно "поколдовать" немного с частотой обновления экрана и настройками в тв, что бы он верно "вписал" картинку и отключил(включил если вам нравиться) обработку изображения как для эфирного сигнала.    При подключении к ПК по hdmi покачатель "качество" сигнала DVB-T падает до 0 и картинка на цифровых каналах рассыпается, (при этом показатель "уровень сигнала" не меняется), интересно что это происходит даже тогда, когда штеккер hdmi кабеля подносишь на несколько сантиметров к входам телевизора. При определённой укладке hdmi кабеля - всё работает.  Что за "хитрые" наводки, кто виноват? :) кабель, ТВ - пока неясно.    Как монитор - отлично. Картинка с источников сигнала высокого разрешения и даже цифрового вещания впечатляет. К приёму эфирного аналогового вещания претензий нет.  Управление телевизором через последовательный порт -  функция, применима для гостиничного телевизора, встраивания в систему безопасности или умного дома.</t>
  </si>
  <si>
    <t>Мощный, моющиеся фильтры, удобно регулировать мощность кнопками прямо с ручки</t>
  </si>
  <si>
    <t>955</t>
  </si>
  <si>
    <t>Через две недели обнаружился скрытый дефект - концевой вкл/выключатель не срабатывает в фиксированном положении - поменял обратно на деньги.</t>
  </si>
  <si>
    <t>&amp;nbsp;Отличная вещь! Наконец-то я по утрам ем яйца всмятку, сваренные именно так, как нужно, а не так, как получилось. Удивляюсь только - почему я ее не купила раньше?!</t>
  </si>
  <si>
    <t>Хороший выпрямитель по низкой цене. Моментально нагревается. Провод не заламывается.</t>
  </si>
  <si>
    <t>Кофеварку Moulinex BCA1L4 брала в М Видео на Балканской пл.5. Три года отработала без каких либо проблем и нареканий. Сломался выключатель. Ремонтировать не стоит. За эту цену она своё отслужила по полной. Хочется как была тёмного цвета, прошлась по магазинам, везде они белые. Зашла на сайт М Видео, есть чёрненькие. Завтра куплю обязательно. Очень ей довольна. Удобна, компактна.</t>
  </si>
  <si>
    <t>Пользуюсь больше года!Нравится качество аппарата, кол-во сока, вкус сока...вообщем все!Очень люблю томатный сок!Жмет все подряд!</t>
  </si>
  <si>
    <t>Мелет все, что попадается на пути=)</t>
  </si>
  <si>
    <t>Телефон хороший. Он всегда зависает когда от компа отсоедияешь это у почти все модоли сонни эриксон.   Хорошая камера и звук .  Телефон очень хорош в разговоре и использовании.</t>
  </si>
  <si>
    <t>Превосходные наушники! Отличный и чистый звук, передача непосредственно в ухо, а не в сторону, как у некоторых моделей внутриканальных наушников. Удобные, идеально прилегают к ушной раковине, не спадают. Длина провода оптимальна, провод качественный, не расходится, возле штекера не перегибается и не разрывается. Срок службы на данный момент уже два года. Да еще и по такой цене - эти наушники просто ценная находка.</t>
  </si>
  <si>
    <t>Кому как,а мне дизаин понравился,дешёвой пластмассой не воняет Установка несложная.Воду греет относительно быстро.Единственная заморочка-резьба на предохранительном клапане короткая и, если не сточить гайку(примерно на 3 мм) на гибкой подводке,не будет плотности соединения-потечёт. Неделя полёт нормальный.</t>
  </si>
  <si>
    <t>Вентилятор настольный Scarlett SC-1170 White идеален для дома и офиса. Компактный эргономичный дизайн, достаточно одной скорости, мощно работает даже на первой скорости, поэтому на второй я и не пользуюсь.</t>
  </si>
  <si>
    <t>Покупали год назад, прошлое лето отработал хорошо, без каких- либо сбоев. В это лето тоже включаем, все нормально перезимовал хорошо. Большое значение имеет качественная установка самого кондиционера, (квалифицированными специалистами) на этом не стоит экономить. И тогда у любого кондиционера будет полет нормальный. Берите с запасом по квадратуре комнаты. Мы такой взяли на комнату в 16 кв.м. + совмещенная кухня 6 кв. м.</t>
  </si>
  <si>
    <t>2015-06-19</t>
  </si>
  <si>
    <t>При выборе вытяжки для нас с мужем было важно наличие угольного фильтра, т.к. вентиляция расположена в другом углу кухни.  Выбирали, сравнивали с аналогами, и решили остановиться на  вытяжке Shindo Metida 60 W. С выбором не ошиблись, несмотря на то, что вытяжка самая простая, у нее очень хорошая мощность всасывания, при этом незначительный шум.   Сочетание цена качество на отлично , рекомендую!!!</t>
  </si>
  <si>
    <t>1139</t>
  </si>
  <si>
    <t>Дня 3 назад преобрёл этот товар. Остался очень доволен!Эта акустика оправдала все мои ожидания...даже более!В общем звук отличный без искажения!Отличные низкие чистоты.Сабвуфер выдаёт мягкий и мощный бас!Громкость тоже очень порадовала.50% громкости вполне хватает на помещение 15 квадратов.Так же порадовала качественная сборка и дизайн!В общем берите не пожалеете!</t>
  </si>
  <si>
    <t>2015-01-12</t>
  </si>
  <si>
    <t>Вода закипает за 30 мин, макс мощность 700 ватт. Сознательно купил термопот по соображениям  пожарной безопасности, для дачи сос старой проводкой. Этот термопот японский собран в Таиланде. Вода закипает и остывает до 98 градусов,  получить воду можно только по окончании программы. Лампочка готовности горячей воды красная. Зеленая лампочка только на кнопке насоса. Без электричества воду получить нельзя, нет механического насоса. Дорогой и качественный термопот.</t>
  </si>
  <si>
    <t>2011-05-21</t>
  </si>
  <si>
    <t>Купила себе эту расческу. Многого не ожидала, просто интересно было попробовать. У меня длинные, темные, не крашенные волосы смешанного типа (на концах совсем сухие), очень непослушные и постоянно путаются и электризуются, даже в хвосте. Сразу по прибытию домой попробовала эту расческу- сразу было заметно, что волосы расчесываются гораздо легче, через минуту причесывания возникло приятное чувство, легкость, как будто кожа головы "успокоилась", да и хвост получилось сделать гораздо быстрее- волосы стали послушные. Сюрприз жал меня в ванной, при ярком свете - мои волосы, собранные в хвост просто сияли, хотя я не использовала никаких средств для укладки. Так что покупкой я очень довольна!</t>
  </si>
  <si>
    <t>Я купила машинку 2 недели назад.Стирала по инструкции.Понемножку.Купила даже шарик от извести.Сегодня отлетела одна из 3 пластмассовых деталей в барабане.Что это?Люди стирают годами.У меня никогда не было машины.Вот купила.Знала бы .купила подороже.Но без пластмассовых деталей.</t>
  </si>
  <si>
    <t>Не плохая машина, игра метро 2033 идет без тормозов, не понравилась виста хом бейсик, снес, поставил ХР , стало все летать, кино в HD отлично, подключен к ЖК Филипс 5604 42 дюйма.</t>
  </si>
  <si>
    <t>Чайник подбирала по дизайну. Смотрится симпатично, нагрев идет не очень шумно, терпимо, в отличие от предыдущего чайника. Единственный недостаток - крышка сильно нагревается.</t>
  </si>
  <si>
    <t>Компактный,приемлемый по цене и работает на совесть.Я очень довольна.Быстро трет овощи, взбивает тесто и коктейли. Не подводил ни разу!</t>
  </si>
  <si>
    <t>2311</t>
  </si>
  <si>
    <t>До этого приобретения стоял другой комплект. Честно говоря сомнения были что этот 10 дюймовый переплюнет тот 13 дюймовый, был удивлён.. Насчёт короба согласен.. пересчитать неплохо-бы... а вот фазик.. да без него играет мягче, но нагрузка на дин идёт сильнее.. ибо он рассчитан как раз под фазоинверторный корпус...</t>
  </si>
  <si>
    <t>Про плюсы говорить очень долго, так как их очень много. Но клавиатуру с подсветкой отмечу обязательно. Работа в темноте превратилась в праздник.  Скажу и про минусы, которых нашёл пока что два.  Первый минус - кнопки включения и отключения Bluetooth, WiFi и запуска Backup на этой модели есть. Но в отличии от Acer 5942, где они выполнены обычными кнопками, на этой модели они сенсорные, что не очень удобно. Иногда случайно нажимаю их левой рукой.  Второй минус - ноутбук тяжеловат. Понимаю, что при таких размерах экрана и подобной начинке (два жестких диска), легким он быть не может, но носить его с собой целый день может быть утомительно. Запасайтесь хорошей сумкой с крепким ремнём.  Качество матрицы гораздо лучше, чем на 5942. Углы обзора неплохие, цветопередача, на мой взгляд, вполне нормальная, плюс Full HD разрешение.  Боялся, что GDDR3 видеопамять не позволит играть в Сталкер Зов Припяти на максимальных настройках. Опасения не подтвердились. Видеокарта медленной не кажется. Выдаёт от 25 до 30 FPS.  Брал ноутбук для обработки и просмотра HD-видео. Кодирует быстро. Просмотр без рывков и задержек.  Субъективно, ноутбук уже неделю вызывает чувство лёгкого восторга.</t>
  </si>
  <si>
    <t>Мне нужен был телек в качестве второго монитора. Выбирал 2 недели, по отзывам в Яндекс Маркет, и МВидео. Подобрал 2 модели Panasonic. Но в последний момент выбор склонился в пользу LG, т.к. прочитал, что ЖК для картинки с компьютера подходит лучше. Купил LG 42LD555. Подключил его к ПК через кабель DVI to HDMI. И вот что обнаружил: при просмотре фильма картинка тормозит через каждые 5-7 секунд. Частота кадров пляшет как хочет. Качество картинки отвратительное, напомнило мне картинку с видака из 90-х годов. С флешки вроде не так тормозит, но картинка всё таже - цвета врёт, где-то сильно затемняет, где-то сильно ярко. ТВ каналы 50% с помехами(несмотря на то, что шумоподавление стоит на всю катушку), про цвета даже не говорю. Сначала, с оптимизмом думал всё дело в настройках. Проделал все возможные комбинации с настройками цвета, яркости контрастности, и т.д. Не помогло. От тормозов пытался избавиться регулировкой функции TruMotion. Но проделав все возможные варианты, от полного выключения TruMotion, до его максимальных величин, оставил эти попытки, не добившись приемлемых результатов. Ну, думаю, может он хоть под игры заточен. Запускаю NFS Hot Pursuit. Друзья мои, хуже зрелища я не видел, графика выглядит какой-то рваной, цвета убогими, текст почти не читаем (размазан). Перебрав все варианты разрешения и частоты в игре и настройках Windows я никчему не пришёл. Хотя видяха ATI HD4860 на мониторе, с топовыми настройками, тянет на всю катушку. На следующий день, поэкспериментировав ещё часа 3 с настройками телевизора, я плюнул на всё это, собрал телек в коробку, отвёз в магазин и обменял его на другую марку. Когда я его подключил к компу с того же кабеля и включил те же фильмы, и ту же игру, был в восторге. Яркие сочные цвета, картинка без тормозов, всё выглядит чётко, почти не менял настройки. ТВ программы 100% в отличном качестве. Почему по LG 42LD555 много восторженных отзывов для меня остаётся загадкой.</t>
  </si>
  <si>
    <t>Показывают точный вес, не сбиваются, дизайн просто великолепный (такие зеленые листочки на белом фоне). Очень удобно и легко протираются мокрой тряпочкой, на работу никак не влияет.</t>
  </si>
  <si>
    <t>Как по мне, эта плита Hansa хорошая. Когда купили, заметили, как широко открывается дверца у духовки, из прошлой плиты протвени было доставать с трудом. У этой все в порядке, трудностей не было, плюс стекло у шкафа не нагревается.</t>
  </si>
  <si>
    <t>2030501</t>
  </si>
  <si>
    <t>Уже более 1 года работает нормально, стабильно винда не летела правда антивирус(слепой) и офис(демо) пришлось заменить не советую держать его сжимая в ладони (как пиво) там где веб камера крышка прогибается и нажимает на кнопки мышки они со временем дееспособствуются и на крышке стирается краска еще совет обтянуть пленкой карбон или просто защитной т.к. поверхность зарифленная и сложно чистить да и царапин не будет в общем я доволен</t>
  </si>
  <si>
    <t>пылесос "зверюга" мощность на 5, но просит 230в. Работает только от разетки, которую провели для установки стиральной машины, от других не включается!!!! потребляет 1800 вт. Для сравнения чайник 2400вт работает от любой розетки. Делайте выводы.</t>
  </si>
  <si>
    <t>Мне очень нравится. Работает год. Справляется она и со свежим мясом, не знаю, почему у кого-то с этим возникли проблемы.  Работает год.  Фарш крутит быстро, дольше нарезаю куски))) Кстати, там три вида решетки, которые используются  в зависимости от вида мяса. Главное, хорошо инструкцию прочитать и проблем не будет.</t>
  </si>
  <si>
    <t>Интересный дизайн, защита от детей, постоянно горячая вода под рукой, большой объём воды.</t>
  </si>
  <si>
    <t>Тостер просто супер!Дизайн очень нравится,такой клевый пузатенький,не как все!Тосты поджаривает супер,первый раз сразу целиком буханку хлеба изжарили!Удобная регулировка,кнопки стоп и разморозка!Покупкой доволен!</t>
  </si>
  <si>
    <t>2509</t>
  </si>
  <si>
    <t>Отличный аппарат! Равных ему нет! пользуюсь 4 месяца-просто в восторге! Как ни падал,все работает отлично,никаких нареканий. Советую всем.</t>
  </si>
  <si>
    <t>2010-12-05</t>
  </si>
  <si>
    <t>Купил себе на новый год приставку с 2 дисками.   Во время работы проблем не обнаружено, Вайфай прекрасно подцепляется к ноутбуку. На винт качаю демки с лайфа. Многие игры тоже переписываю сразу на винт.  Выбором доволен!</t>
  </si>
  <si>
    <t>Очень удобная и стильная флешечка, хороший дизайн и внешний вид, крышечка удобно открывается и её не потеряешь. Скорости тоже неплохие, не подкачали) Можно смело рассчитывать, что и качество не хуже, чем у других флех этой фирмы! В общем-рекомендую!</t>
  </si>
  <si>
    <t>Класс!!!!!  Можно камеру подключить к  ps3</t>
  </si>
  <si>
    <t>Недавно купил данный телевизор, настроил, показывает кабельное тв отлично, радует, что есть цифровое шумоподавление. Но он меня очень разочаровал, каждый день я слышу, как он сам включается и сразу же выключается, картинка даже не успевает появиться. В общем буду оформлять возврат.</t>
  </si>
  <si>
    <t>Сегодня стал его обладателем!  Но не все характеристики изучил!!!думал, что динамик присутствует,но его нету!!!  Еще не понятно, вставлял Micro SD,но не видит, завтра еще попробую, если что обменяю))    06.05.2010   Иван   (Санкт-Петербург)  Esc-это одна единственная круглая кнопка:))А балокировку в настройках можно поставить, но она автоматическая  А вот насчет встряхивания я еще сам не освоился,как ету функцию отключать, но сколько лазил ни чего подобного не нашел!:)</t>
  </si>
  <si>
    <t>стакан из очень хрупкого пластика! Через месяц использования весь полопался и раскрошился!</t>
  </si>
  <si>
    <t>Пользуюсь блендером 2 год и восторге. Незаменимая вещь, когда дома маленький ребенок. Всем советую))))))))))</t>
  </si>
  <si>
    <t>2016-01-26</t>
  </si>
  <si>
    <t>Покупкой очень доволен. Прибор мягко стрижет волосы в носу и ушах. Отличное сочетание цена-качество. Удобен как дома, так и в путешествиях. Солевой батарейки не хватает надолго, так что лучше использовать алкалиновые.</t>
  </si>
  <si>
    <t>Месяц назад я купил этот пылесос для уборки офиса, 3 этажа холлы и кабинеты с ковролином. Брал по совету продавца-консультанта. Прошло два месяца, задал вопрос уборщице, как мол, пылесос в работе, она говорит - супер! Прочитал всё, что вы сейчас прочтёте ниже и точно, понял что отличная вещь! Плинтуса на самом деле проверяет на прочность, ковёр если небольшого размера, он его всасывает не оторвёшь! Я давненько так не убирался в кваритире, но на самом деле этот монстрик справляется на отлично!</t>
  </si>
  <si>
    <t>Если в квартире нет заземления (старые дома, хрущевки, двухпроводная проводка) не берите. Очень сильно бъет током. Сервисный центр отвечает, что это не гарантийный случай. Качество обслуживания фирмы Индезит тоже оставляет желать лучшего.</t>
  </si>
  <si>
    <t>Приобрел данный тв больше недели и безумно рад и картинка отличная и звук громкий, даже кабельное тв выдает отличное качество, а dvd и hd формат просто сказка. Купил Philips 32 PFL 5604H/12 долго ждал эту модель, была только российская. Видео и с флешки читает,и комп через кабель vga подключил, тоже фильмы смотрю, а звук вывел через кинотеатр.  Минусов мало, но они есть - греется, причем довольно сильно, но потом вроде остывает(надо проследить еще), инструкция ужасно неудобная и непонятная, но это все мелочь, к этому можно привыкнуть.  Вобщем я доволен за такую-то цену, посмотрим как он себя дальше покажет.</t>
  </si>
  <si>
    <t>Игра отличная!</t>
  </si>
  <si>
    <t>Сегодня приобрели Комбаин понравился и дизайн и функции надеюсь что не разочирует</t>
  </si>
  <si>
    <t>Панель понравилась, очень гармонично вписалась в новую кухню. Четырехконтурная комфорка -супер, быстро закипает чайник или большая кастрюля. Ухаживать за плитой тоже удобно, использую специальные средства для нержавейки и никаких разводов не остается. Есть единственный недостаток: если на большой комфорке стоит большая кастрюля, то за ней уже можно поставить только маленькую кастюльку. Но я считаю,что это не существенный недостаток. Кстати, ручки включения газа вообще не нагреваются как у других панелей. Нагревается только сама панель перед большой комфоркой.</t>
  </si>
  <si>
    <t>Пользуюсь телефоном почти год. Работает нормально. НО!!! Камера на троечку.</t>
  </si>
  <si>
    <t>Достоинства;  1 - внешний вид  Недостатки;  1 - очень громко шумит  2 - сломалась крышка (спустя пару месяцев после покупки)</t>
  </si>
  <si>
    <t>Отлично! Купил радуюсь. Всё хорошо работает. Нет никаких лагов и этим всё сказано!</t>
  </si>
  <si>
    <t>Покупал в августе 2010. Суперская камера по нормальной цене. учитывая что это Sony. А Sony и в Африке Sony. Доволен практически всем. за исключением сенсорного экрана, пачкается от пальцев, но все равно это круто для камеры сенсорный экран. Небольшие размеры, компактна, большой HDD. Доволен. Советую ВСЕМ!!!</t>
  </si>
  <si>
    <t>подарили на день рождение. через год сломалась кнопка включения чайника. хоть мы и пользовались очень аккуратно. нашему старому чайнику тефалевскому уже 10 лет. до сих пор работает. так что радовал нас этот чайник не долго(((  еще он очень шумный. но это у всех чайников с дисковым нагревателем.</t>
  </si>
  <si>
    <t>пользуюсь всего неделю, но очень нравится. предпосылок к поломке никаких нет. все функции работают отлично! волосы не пересушивает, сам фен не нагревается.</t>
  </si>
  <si>
    <t>Единственный его недостаток заключается в том, что на нем стоит 32 битная система..., можно было бы и 64 сразу поставить</t>
  </si>
  <si>
    <t>За полтора года ломалась два раза. Каждый раз летит электроника. Стоимость ремонта сопоставима со стоимостью новой машины. Думайте крепко, прежде чем покупать Indesit.</t>
  </si>
  <si>
    <t>Действительно удобная штука. В связи с рождением ребенка встал вопрос о выборе подходящего обогревателя. В этом увлажнитель воздуха оказался очень кстати. Плюс автоматическое отключение при падении или долго работы (на случай, если забыли отключить).   Тоже столкнулись с тем, что после нагрева комнаты до 26 градусов перестает греть дальше, а снова включается только при ее падении ниже 22. Тогда стали повышать процент влажности - он в этом случае гоняет горячий воздух. Так что климат в комнате можно довести практически до тропического)))  В общем, мы довольны.</t>
  </si>
  <si>
    <t>2013-12-10</t>
  </si>
  <si>
    <t>Служила полтора года верой и правдой - никаких вопросов, красивая, стильная, мощная, в меру шумная. Но три дня назад разлетелось вдребезги защитное стекло-козырек, причем самопроизвольно. Жена в шоке. Оценка 1 балл по пятибалльной системе!</t>
  </si>
  <si>
    <t>Купила его недавно, пару месяцев как. Все устраивает)) единственный минус - Китайская сборка, камера плохая, но я ей никогда в телефоне и не пользовалалсь!)Тач не глючит, быстрый отклик. Из минусов еще: мало памяти в телефоне (чтобы поставить музыку на звонок, он ее копирует с карты в память).   Что касается ввода Т9 в сообщениях - меня например радует)))  Вобщем советую этот телефон тем, кто не хочет выбрасывать деньги за ненужные функции..  Кстати, еще он поддерживает чтение документов word и есть встроенный переводчик с английского)))</t>
  </si>
  <si>
    <t>Уважаемый Radik! Если вы ничего в железе не смыслите, то лучше и не пишите.  Для начала Crysis и на 4х ядерных процессорах порой тормозит, а тут два ядра - да и проц не самый мощный.  А для того чтобы GTA 4 шла на максимальных настройках, нужна видеокарта на 1200+ мегабайт или хотя бы на один гигабайт. И уж тем более не такой старой модели как тут.  В остальном системник на 4. Для тех, кому нужен вполне нормальный домашний комп сойдет.</t>
  </si>
  <si>
    <t>товар понравился,нагревается быстро и хорошо выпрямляет волосы!)</t>
  </si>
  <si>
    <t>Добрый день, приобрели вчера этот чуто обогреватель вентелятор. Я, муж и кошка без ума от него. Греет мощно, быстро нагревает 24км.м., есть пульт, а так же есть режим поворота в разные стороны. Таймер времени есть. Единственный минус, после первого дня надписи на кнопках стерлись. А так очень достойный.</t>
  </si>
  <si>
    <t>1479</t>
  </si>
  <si>
    <t>семёрка супер - всё работает, всё листает,  не зависает (если зависает меняйте железо), одно но "ПРОГРАММА ДОРОГАЯ".</t>
  </si>
  <si>
    <t>Юзаю уже с неделю, сборка - барахло. Греется прилично. Acer есть acer.</t>
  </si>
  <si>
    <t>Чайнику 6,5 лет, всем довольны, но не давно потёк. Протекает индикатор уровня воды. Теперь ищем чайник потише и скорее стеклянный.</t>
  </si>
  <si>
    <t>Купил данную машинку неделю назад, главным критерием выбора послужило что про канди никогда ничего плохого не слышал, приемлимая цена, да и по дизайну очень симпатична!!! в первый же день прошла жесткий тест-драйв (4 стирки подряд на разных функциях... перестирали всю квартиру!) на отлично! белье отстирывает хорошо, хоть не много вибрирует (ну а какая машинка не трясется при отжиме) ну с места ни ни, и по звуку не шумная (по сравнению с ней- индезит и аристон куда шумнее). минусов выделю парочку, и то считаю их не значительными: немного оставляет порошка в лотке (хотя при наборе воды на полоскание этот остаток всё равно смоется), и то что в инструкции не указано время продолжительности стирки на той или иной функции! всем советую Candy, удачных вам покупок!</t>
  </si>
  <si>
    <t>Потек через 10 мес. Опять же, как уже писали, появился известковый налет на шкале. Хотя воду используем только бутилированную.</t>
  </si>
  <si>
    <t>Мне очень нравится эта пароварка, пользуемся уже больше года и очень довольны</t>
  </si>
  <si>
    <t>Очень рада такому приобретению! Здорово помогает в уходе за ножками.</t>
  </si>
  <si>
    <t>Машина устраивает. Слабым оказался задний подшипник, приходилось несколько раз затягивать (уже через 4 мес эксплуатации) и ремень один раз слетал. Так - все устраивает. Тем более, что стирает она 1-3 раза в день.... очень часто. Надеюсь пятилетку продержит :)</t>
  </si>
  <si>
    <t>Буфер просто класс звучание отличное удобный пульт управления советую всем не пожилеете!!!</t>
  </si>
  <si>
    <t>Трудно, конечно, понять в полном объеме у кого что &amp;quot;подтекает,..., капает и в каком месте облезает&amp;quot;, но как показывает практика использования одного из экземпляров данной модели, который работает исправно уже 3-й год - видимо, есть исключения как с одной, так и с другой стороны. В данном случае все выключается вовремя, пока ничего не капает, шумит, если накипи скопилось много (как и любой чайник), без нее работает достаточно комфортно для уха, облезли только метки уровня воды из-за чистки агрегата. Если бы сейчас выбирал, пожалуй, купил бы такой же, так как если не нужно изысков, таких как регулятор и поддержание температуры, градусник, прозрачность корпуса, подсветка внутри и т.д., думаю, это было бы самым правильным вариантом.</t>
  </si>
  <si>
    <t>Про эту панель нашла кучу комментариев и 99 процентов - положительные. Поэтому долго при покупке не думала. Плита оправдала мои ожидания полностью! Две зоны расширения это очень удобно, а круглая зона расширения еще и ускоряет процесс приготовления пищи. На овальную можно поставить утятницу и прочие посудины нестандартного размера. Есть блокировка от детей, которые норовят залезть туда, куда их не просят.</t>
  </si>
  <si>
    <t>Машинка неплохая,пользуюсь с марта 2010.Есть не большие проблемки : пару раз протекала дверца снизу,исправили протиркой дверцы в круговую каждый раз после стирки;проблема с отжимом,не всегда само балансируеться-приходиться перераскладывать мокрое бельё по барабану;громко набирает и сливает воду,что-то внутри постукивает.  Достаточно устойчивая,иногда при максимальной загрузке вздрагивает,очень экономичная,хорошо стирает-но это и нужно от стиральной машины!</t>
  </si>
  <si>
    <t>2620</t>
  </si>
  <si>
    <t>Купил это чудо три недели назад. Не верьте что тут живая картинка, яркие краски и отдых для глаз. За такие деньги получил сплошную головную боль в виде 4-х поездок в сервис. По моему его лучше смотреть в черно-белом формате. Полный отстой. Не берите ЭТО!</t>
  </si>
  <si>
    <t>2046</t>
  </si>
  <si>
    <t>В описании на сайте не указаны габариты, и написано,что размещение напольное (хотел бы увидеть его на полу). Даже не сразу нашел его в магазине.Размер с банку пива.</t>
  </si>
  <si>
    <t>Это мой первый водонагреватель, поэтому сравнивать не с чем. Для меня основным минусом оказалось подключение воды, т.к. кран нужно устанавливать перед входом, а не после. Поэтому просто в систему его не установишь. Почему? Потому что он включается от напора воды, а точнее от давления. Поэтому если установить в систему он просто не будет выключаться. Для установки мне посоветовали в магазине электротоваров кабель 3*4, но как оказалось хватило бы и 3*2,5. Подключал в ванной к розетке.(нам недавно поменяли проводку 3*2,5) провода греются незначительно. При подключении обычного душа нагреватель мало эффективен, а если из комплекта, то вполне нормально, т.к. у него очень маленькие сопла прохода воды. Пробовал набрать ванну воды в общем-то удалось, но 3 раза сработало УЗО (очень старое, вечером буду меня на новое более мощное)набрал примерно за 1:00-1:20 час теплой воды. Отлично подходит для душа, умывания, посуду мыть. Для набора ванны всё-таки надо что-то помощнее.(увы наша проводка не позволяет более мощное)</t>
  </si>
  <si>
    <t>Стиральную машинку  Siemens WS 10 X 45 AOE купили недавно. Работает очень тихо, даже при отжиме. По качеству стирки претензий нет.</t>
  </si>
  <si>
    <t>купил 30 декабря  абсолютно всё устраивает, но сегодня появилась красная вертикальная полоса на мониторе(((  не ронял, ничего не делал...  включил с ночи и вот те на(</t>
  </si>
  <si>
    <t>пылесос по дизайну неплохой, шнур длинный, штекер не выпадает. Однако мощность слабовата.</t>
  </si>
  <si>
    <t>Хороший звук, амбушюры в комплекте, качественный, но коротковатый провод. Реально хороший и заметный бас! В этой ценовой категории такого больше нигде не слышал. Амбушюры - вроде бы мелочь, а сколько плюсов: сидят хорошо, наушники с ними не давят и вообще не чувствуются в ухе, зимой опять же когда вставляешь, ухам не холодно :) ходил с ними каждый день на протяжении года, потом потерял. Купил ещё одни, хожу уже год - никаких нареканий и дефектов.</t>
  </si>
  <si>
    <t>Отличный ЖК, всем доволен, звук, картинка, переключение каналов (не нужно переключать в режим двух цифр и обратно), пульт удобный, цвета очень нравятся, прием ТВ отличный, простое меню. В общем за полтора года использования недостатков не нашел. Ну может басов маловато, но я ни разу не влезал в настройки звука... Для кухни 16 кв.м. идеальный вариант. Звук громче 28 (из 100) никогда не включал. Отличный ЖК рекомендую.   P.S.: Решил написать т.к. смотрел телевизор в спальню, ну и решил черкануть о своем (об этом), все таки к чужим отзывам прислушиваюсь. Вот подумываю и в спальню взять асер, только побольше.</t>
  </si>
  <si>
    <t>Мощный, компактный, убирает качественно, легко чистится.воздух свежий после уборки. Никаких претензий.  Когда покупали, была мысль,, что все-таки переплачиваем. Но сейчас никаких сомнений не осталось, пылесос окупает свою стоимость:)</t>
  </si>
  <si>
    <t>Знакомому подарили данный ТВ. Висит на стене. Более отвратительного аппарата пока не встречал. Приемлемо смотреть только под углом 90 град.! Угол обзора по горизонтали на 3, по вертикали на 1-. Ужас!!!</t>
  </si>
  <si>
    <t>1721</t>
  </si>
  <si>
    <t>Кстати цена у мвидео более чем адекватная ! Молодцы! Сравнивал с ино-ценами... Ещё бы на базе Иона эту же модельку начали бы продавать поскорее с виндой 7 за 18 тыр - я б тогда 1ый в очереди был бы! )</t>
  </si>
  <si>
    <t>купили данный аппарат, принесли домой, установили и сразу упаковали обратно, завтра повезем возвращать. наше кабельное тв показывает отвратно, шлейфы, рябь, дерганье какое-то... картинка невнятная, расплывчатая. рядом стоит купленный год назад в том же магазине тв другйо марки модель 3406 на 32" -  показывает отлично с той же антенной, прям придраться не к чему! так что сонька меня конкретно разочаровала, не берите эту модель!</t>
  </si>
  <si>
    <t>Это действительно самая важная игра за последние годы, я купил ПС3 специально, скоро куплю и игру, это спасение для думающих и сопереживающих игроков которые неимоверно устали от ежемесячно клепающихся шутеров на анриал инджен 3, кому надоело валить толпы "существ", ЭТО не попса, это не мэйнстримовый проэкт, и огорчает, что зарубежные игровые издания, критики не все по достоинству оценивают её (по-моему какое-то издание присудило 7,5)  это огорчает, но радует наше, отечественное гейм комьюнити, в России она приобрела огромную популярность, особенно кто любит читать великие детективы, да и вообще кто не интересуется играми, они спокойно могут прийти к другу, у которого есть PS3 и он пройдет её на ваших глазах (хоть это займет и не мало времени) и вы получите не меньше удовольствия чем игрок. QTE реализованы на высочайшем уровне, подобных игр с такой механикой еще не было. Уууух... думаю хватит, просто это игра, о которой хочется говорить, рассуждать, и это прекрасно, это отбрасывает нас назад, когда выход каждой новой игры был значимым, его долго ждали, томились, не было конвеера</t>
  </si>
  <si>
    <t>Неделю назад приобрел данный девайс.    Из плюсов, конечно же, качество звука! Оно намного лучше, чем у всяких самсунгов и айриверов, по мне так и Cowon переплюнет за счет более бархатистого, почти "лампового" тембра.   Впервые слышу плеер, у которого при прибавлении "низов" не заваливаются высокие (и наоборот, соответственно). Любой стиль музыки звучит отлично, особенно отмечу, что классика здесь вообще поражает: ощущение пространства и живости звука завораживающие.   Сегодня по дороге слушал концерт для квартета Чайковского, не заметил как час пролетел) Впервые классику на плеере слушать не только приятно, но и ИНТЕРЕСНО.  Металл рубит неплохо, четко разделяя партии баса и гитары. Блюз очень зажигательно. Джаз детально и живо. Акустическую гитару превращает вообще в оркестр. Попсу не слушал, уж извините)  Еще порадовали: качество сборки, экран, батарейка (если не злоупотреблять улучшайзерами), внешний динамик (его я использую, когда слушаю аудиокниги дома).    Из минусов все стандартно для Сони: отсутствие поддержки FLAC (хотя нафиг он нужен когда плеер простые mp3 играет лучше, чем многие плееры воспроизводят lossless) и минимальная функциональность в немузыкальной сфере: тут тебе ни видео толком не посмотришь, ни книжки не почитаешь (зато глаза сбережете). Что реально расстроило так это то, что убрали функцию "Подкасты", слушать аудиокниги без закладок не так удобно.    В целом покупкой очень доволен, ибо во главе угла стояло качество звучания, а с Сони в этом плане не может тягаться практически никто. Рекомендую ценителям мягкого и объемного звука.</t>
  </si>
  <si>
    <t>2514</t>
  </si>
  <si>
    <t>супер!!!</t>
  </si>
  <si>
    <t>Супер акустика!  Долго искал в компактном исполнении и нашёл!</t>
  </si>
  <si>
    <t>Пресс ситечко воняет какой-то резиной. Это видимо пластмассовые черное оформление. Чайник купила давно, думала запах со временем уйдет, но напрасно. Так и не завариваю чай.</t>
  </si>
  <si>
    <t>Купил по акции в январе за 20 тысяч, за такую конфигурацию это совсем не дорого тогда было. Очень доволен, самое главное для меня то, что он почти бесшумный. Только корпусу жесткости не хватает. Но это даже наверное не плохо, так как более элластичный корпус не треснет от удара.</t>
  </si>
  <si>
    <t>1064</t>
  </si>
  <si>
    <t>Купили в апреле 2011г. Все нормально работало. В конце мая перестал охлаждать. Пока делали заявку на ремонт, приезжал мастер прошло еще 2 недели. Мастер валит на усановщиков, те говорят, что дело во внешнем блоке. Наверное, так оно и есть. Короче до м.видео сервиса кондер доехал в середине июня. До сих пор ремонтируется. На улице жара, дома душно. Зря потраченные деньги.</t>
  </si>
  <si>
    <t>Посмотрел в интернете отзывы и пошел купил.У меня были и другие бритвы,эта по сравнению с другими,небо и земля.Бритьё чистое,звук тихий.В общем оценка чистая 5ка.</t>
  </si>
  <si>
    <t>2072</t>
  </si>
  <si>
    <t>Благодаря отзыву подруги приобрела себе такой утюжок, ни капли не жалею, выпрямляет волосы при низкой температуре, удобен в использовании, так же делает хорошие локоны, довольна выбором!</t>
  </si>
  <si>
    <t>1897</t>
  </si>
  <si>
    <t>Тепловентилятор нас здорово выручил на работе в межсезонье. Очень удобный и компактный колорифер!</t>
  </si>
  <si>
    <t>Сегодня приобрёл в МВидео данный аппарат. Очень доволен. Высочайшая мощность всасывания и регулятор на ручке, которым как оказалось мощность имеет смысл уменьшать чтобы не поднимались ковры. Мощность по мере заполнения контейнера не уменьшается и именно эта модель пыль эффективно прессует. Превращая в аккуратный комок.  Модель нравится именно этими фишками. Потому как старый пылесос с мешком очень сильно терял мощность всасывания по мере заполнения. И вытряхивать мешок было неудобно. Пылесос был старый и без фильтра на выхлопе.   Надо заметить консультанты "сватали" модель от Dyson утверждая, что именно они прессуют пыль. И что контейнера LG не хватит на уборку квартиры.   Сейчас ознакомился с Дайсоновскими моделями. Действительно ёмкость крупная у них. Но мощность всасывания гораздо меньше. При в 3 раза большей цене. Они имеют мотор менее мощный при бОльшем весе.   Возможно негатив консультантов относительно циклонных пылесосов LG связан с предыдущими моделями, где ёмкость была с крышками на тоненьких защёлках. Такой включали - он и шумнее намного. И вытряхивать пыль из него должно быть сложнее. Без прессования пыли. Возможно жаль, что в магазине не оказалось ещё более новой модели VK8828HQ. Возможно она ещё лучше. На фото здесь изображён другой пылесос. У V-K8728 H выхлоп с обратной стороны от шланга. А на картинке с двух сторон от контейнера.</t>
  </si>
  <si>
    <t>пользуюсь уже больше года. Чаще делаю сухарики, небольшой объем позволяет делать небольшие порции, запеканки хорошо получаются, в фольге и рукаве тоже хорошо печь, в общем нравится и удобна в эксплуатации, тьфу, тьфу пока ничего не отвалилось. Удобен таймер и громкий звук приотключении</t>
  </si>
  <si>
    <t>2014-01-18</t>
  </si>
  <si>
    <t>Купили пылесос LG VC42201YHTP в 2013г., отлично работает и по настоящее время, хорошо собирает пыль, удобен в использовании, мытье, мощный.</t>
  </si>
  <si>
    <t>Соотношение цена-качество)жмых нормальный, не совсем чтобы уж сухой. Но сок выжимает. У нас работает нормально.</t>
  </si>
  <si>
    <t>Чайник проработал 2 года , стал протекать в уровне воды !!!   И вообще тежеловат, качество товара так себе, производства КИТАЙ. Буду покупать только браун , на работе уже 5 лет , хоть бы что!!!</t>
  </si>
  <si>
    <t>игра действительно КЛАССНАЯ!!! Но на XBOX 360 играть трудно! а о графике тут и говорить не надо просто захватывает!:))) xD</t>
  </si>
  <si>
    <t>2014-07-18</t>
  </si>
  <si>
    <t>Настройки - выставила вначале 3ку, потом снизила до 2ки. Но морозил все равно слишком конкретно. Почитала отзывы - народ вообще на единице его гоняет))) Поставила 1,5) Нормуль. Второй момент - уронила яйцо на корпус - вблизи контейнера для овощей, осталась вмятина))) так что осторожнее! И запах в морозилке уже 2й месяц(( Все кладу в двойные мешочки! Продукты так не пахнут :) Ну и шумииит))) Пользуемся, но осматриваю часто - как морозит, чем пахнет и тп. Сервис в М-Видео при заказе супер. Спасибо!</t>
  </si>
  <si>
    <t>Хорошая бритва, главный недостаток работает только от аккумулятора и не работает от сети.</t>
  </si>
  <si>
    <t>Камера мне понравилась с первого взгляда, а я обычно не ошибаюсь в выборе! От качества изображения просто балдеешь, всё-таки 3,1 мпикс и не стоит размениваться на меньшее разрешение! Два микрофона очень улучшают звук, можно говорить почти шёпотом и всё будет отлично слышно! Размер и вес камеры просто прелесть, легко ложится в ладонь и совсем не напрягает, можно даже не заметить, что в руке камера! Дизайн очень красивый! Обнаружение улыбок и мгновенное их запечатление, радует и удивляет необычными даже уникальными фотографиями! Но МИНУС есть, это короткое время работы, а также БОЛЬШОЙ МИНУС - невозможность снимать в темноте, нет подсветки. Но это очень маленькие минусы при великолепном качестве записи!!!    На комментарий Андрея из Магнитогорска скажу, что формат на видео 720-576 пикселей никак не выражается, видео при записи и просмотре полноценного размера и качества. Я всем советую порадовать себя!!!</t>
  </si>
  <si>
    <t>27.01.2010 года купили сей ноутбук в М-Видео Архангельск.  Сразу скажу - очень понравился. Машина очень мощная. Стоит "Семёрка" Домашняя, расширенная. 64 битная.  Экран большой,подсветка LED обеспечивает очень качественное изображение и цвета на экране. Клавиатура очень удобная. Непривычно то, что двд привод находится справа компьютера на боковой панели. Вообщем перечислять все плюсы - долго.Теперь о минусе: Вентилятор,который находится сзади корпуса, когда находится в среднем режиме охлаждения "свистит". То есть издаёт постоянный высокочастотный пищащий звук. Это особо не напрягает. Но определённый дискомфорт всё-таки присутствует.  Когда пытался создать рекавери-диски (их всего 3) и 4-й с программами, то приобрёл DVD+R диски там же в М-Видео. 10 шт за 375 руб.VERBATIME. При создании первого диска комп его "запорол".Выдал ошибку проверки диска после записи.То же самое произошло и со второй болванкой.Однако затем удалось записать все 4 диска без проблем.Из-за чего был этот сбой - я не знаю.  В общем и целом машина очень даже не плохая.33000 рублей стоит.</t>
  </si>
  <si>
    <t>Купил себе данный товар, очень доволен. Пластик хороший, кожанные вставки долго служат. Берите, не пожалеете</t>
  </si>
  <si>
    <t>2854</t>
  </si>
  <si>
    <t>очень мощный, мне даже попался магазин OVI, жаль, что он платный</t>
  </si>
  <si>
    <t>Приобрел 2 месяца назад, ни капли не жалею, ноутбук супер. Игры идут на максимум, правда дрова долго искал на XP, но кто ищет тот всегда найдет =) Хороший бук</t>
  </si>
  <si>
    <t>пол месяца работал на средней скорости нормально(для уборки линолеума,ковролин не берёт на этой скорости).Потом этой мощности почему то не стало хватать,для того чтобы убрать шерсть(кошачью), сделала почти на максимум мощность, не прошло и 1 мунуты как он заглох,наверно перегрелся.Даже после часа "отдыха" он не включился. Через 2 дня удалось включить,но всё сново повторилось. Лучше наверно купить хороший,а следовательно дорогой пылесос.</t>
  </si>
  <si>
    <t>Может конечно мне отдельно не повезло.   Врет метеостанция по всем, абсолютно всем, параметрам!Врет не только про погоду,но даже время точно не может показать.Такое впечатление, что там своя китайская схемка, он и гоняет по кругу. День отличается от ночи, но не имеет ничего общего с реальностью.</t>
  </si>
  <si>
    <t>Купил для безопасного подключения аудиоаппаратуры к бензогенератору. Результат: отказывается работать - диод мигает красным и ток не идет ( , хотя на выходе генератор выдает 225...235 В. Жалко тыщу триста рублей!</t>
  </si>
  <si>
    <t>По своему роду игра:  Плюсы: передает всю атмосферу UFC чемпионата, удары, клинчи, борьба....неожиданные повороты в поединке. Хорошо прорисованная графика, Довольно неплохой мануал обучения (без него делать нечего)  Минусы: Корявый русский перевод (наверное переводили гуглом), В карьере надо каждый раз качать все характеристики (если даже они на максимуме), а не то они пропадут.   PS: В игре столько много тонкостей в схватках, что на нормальное обучение уйдет не одна неделя!</t>
  </si>
  <si>
    <t>Подарили такую маме, очень довольны, кач-во отличное. дизайн супер, очень нравится!  Рекомендую, нужная и стильная вещь на кухне))</t>
  </si>
  <si>
    <t>Совсем недавно купили эту мясорубку, около месяца назад, несколько раз в ней уже прокручивала, теперь при включении из мясорубки раздаются странные звуки похожие на визг, крутит мясо при этом не равномерно а рывками. Мясо при этом налипает. Качество этого изделия, извините, никакущее!!!</t>
  </si>
  <si>
    <t>аппарат рульный. советую только тем кто действительно будет пользовать на все 100. в остальных случаях:    +ы 1. Очень шустрый, (см. обзор на хоботе и видео на майле)    2. Экран достоин отдельных похвал. В меру чувствителен. (правда с защитной пленкой стало чуть менее ...) Можно даже большим пальцем печатать на виртуальной qwerty клавиатуре (аппаратно не предусмотрена)    3. Функциональность    4. Качество связи на уровне    5. Богатое оснащение разнородными приблудами в комплекте.    6. Интерфейс USB-mini. Плюс тем кто и так без внешнего винта никуда не ходит.    -ы 1. При интенсивном использовании быстро садится аккум - будучи за ночь полностью заряженная на редкость хорошая батарея тухнет как от холеры ближе к вечеру при не интенсивном использовании    2. Требует нежного обращения из-за хлипкого корпуса - как и любой подобный гаджет    3. Камера не ахти. Это даже не минус, аппарат не для этого предназначен.    Не работает с вильверкард-мультисим @. Пришлось начать пользоваться старой симкой. Это проблема мультисим, а не асуса - надо новую прошивку. 6.01 не катит.</t>
  </si>
  <si>
    <t>пользуюсь неделю, хлеб получается хороший. Единственное, что мерный стакан,подходит только для жидкости,а хлеб на самом деле хороший.</t>
  </si>
  <si>
    <t>Как его подключать к розетке?там нету не одного провода!!!не ужели его нужно разбирать и самому туда провода приделывать????</t>
  </si>
  <si>
    <t>Купил включил, работает нормально не шумит, качество сборки нормальное. Всем советую кому нужен простой вентилятор.</t>
  </si>
  <si>
    <t>Функционал на 100% - воздух и воду измеряет. Огромный +, что он в прорезиненном корпусе - может и плавать, и служить игрушкой для ловли в воде. И даже для "пожевать" подходит)</t>
  </si>
  <si>
    <t>Поддерживаю Руслана, хороший стоящий фильм, расширенная версия стоит своих денег, вообщем, и вырезанные сцены довольна таки в большом кол-ве, и за эксклюзивность плата разумная, да и в сравнении с самым дорогим фильмом \"Джон Картер\" (именно он дороже \"Аватара\</t>
  </si>
  <si>
    <t>Пользуюсь пылесосом практически 20 лет ( купили в 1996 году ),никаких нареканий нет и не было.Уже тошнит от него , а он все работает и работает хорошо !</t>
  </si>
  <si>
    <t>Отличные весы, показывают один и тот же вес (если взвешиваться несколько раз подряд), работают без погрешностей. Сами по себе имеют красивый дизайн, лёгкие и не маркие. Хорошие недорогие весы, рекомендую.</t>
  </si>
  <si>
    <t>Приобрел пользуюсь почти уже год, вообще никаких нареканий на данное оборудование.Антенна перенесла и сильные морозы до -35 и Сильную жару до +44 ни одного глюка ни одного сбоя</t>
  </si>
  <si>
    <t>Закупили больше десятка аппаратов в офис. Всё работает стабильно больше года. Подключили через оператора (Билайн) CallerID. Всё определяется. То, что батарейки, так это даже плюс: нет ещё громоздког адаптера и провода питания. 3 батареек хватает на 3-6 мес. А сильная громкость на столе не нужна - и так слышно. Но можно сделать и громко. Есть замечания к видимости инфы на дисплее - она хорошо видна только с определённого угла, но можно прибавить контрастность, и видимость несколько исправляется.</t>
  </si>
  <si>
    <t>Со своими функциональными обязанностями справляется отлично. Как говорится цена - качество, золотая середина, для своего ценового сегмента.</t>
  </si>
  <si>
    <t>Этот водонагреватель я купил по совету друга, у него дома тоже прибор этой марки, только модель с большим объемом. Он помог мне определиться с выбором, сказал, что этот водонагреватель надежный в эксплуатации, мощный и экономный в энергопотреблении, что тоже немаловажно. Еще мне понравилась форма и размеры, так как из-за небольшой площади ванной комнаты водогрей стандартных размеров не мог себе позволить. Нагревает воду быстро, при этом она долго остается теплой. Для меня важно, что в нем все доступно для понимания и не надо три дня учить инструкцию, подсоединил и пользуйся. В общем и целом со своим назначением он справляется, нареканий нет, доволен.</t>
  </si>
  <si>
    <t>Проводка отдельная, сразу на щиток, можно и через розетку на собственный страх и риск. Я подключил через розетку. Выводил специально под стиральную машину на отдельный автомат 16 ампер, провод медный, розетка с запасом, вилка тоже, при работе греется, но не сильно, за 30 минут нагрелась градусов на 40 С . Приемлемо! Первые 10 минут в горячей воде и.... вырубило автомат . Бюджетный вариант не прокатил. 25 ампер в комплекте поставить сразу не получилось, пришлось выкинуть из советской хрущевки, штуку, отключающую квартиру от электричества и сгнившие провода, заново подключаться и ставить два автомата 40 ампер на квартиру и уже в комплекте 25 на водонагреватель. Вилку с розеткой по традиции оставил. Всем совет - автоматическое выключение при отключении воды - это защита от дурака, а не дополнительная опция, не сокращайте жизнь своему прибору!!! Пользуюсь, пока без нареканий. Не экономьте на электрике и будет вам счастье!</t>
  </si>
  <si>
    <t>2988</t>
  </si>
  <si>
    <t>Выбирал телефон как рабочую лошадку,а не имиджевый аксессуар.Вполне доволен качеством связи,приема.  Купил из-за функции:  1 "черный список"!  2 Мощной батареи, после покупки еще не заряжал,неделю использовал трубку, а там еще 50%!!!Естественно, вес немного больше обычной трубки.  Истинно мужской телефон!  ну и + Цена-дизайн-качество исполнения.Я доволен.</t>
  </si>
  <si>
    <t>Мне чайник тоже не понравился, шумит, закипает долго, уровень воды видно плохо, купили в конце лета, сейчас март, сломалась крышка, не закрывается, а брали из расчета, что металл и прослужит долго</t>
  </si>
  <si>
    <t>426</t>
  </si>
  <si>
    <t>Очень понравился, прост и удобен, включил и пропылесосил, вытащил и выбросил. Никакой мороки с мешками, сменный фильтр в комплекте. Не сильно шумит, нет свиста, плавный запуск. Всем советую, правда покупали по акции за 2900, а так все супер.</t>
  </si>
  <si>
    <t>Скоро в отпуск! Купила вот такой утюг, уже примерила в чемодан. Места занимает меньше, чем косметичка )) И веса не прибавляет много, что очень важно с нынешними ценами на багаж в самолетах. А на отели надеется не приходится. Утюжок проверила на длинном сильно мятом пляжном платье. Все хорошо прогладил</t>
  </si>
  <si>
    <t>Не плохой усилитель,но слабоват за свои деньги. При нагрузке 4 Ом в мостовом режиме выдает максимум 200 Вт... На фронт 55-60.</t>
  </si>
  <si>
    <t>В целом не плохой, но есть одна, похоже, традиционная особенность к которой нужно быть готовым - как и в штативе  RT-D3N так и в этом  существует важный ИМХО недостаток. Головка штатива изготовлена с браком, который заключается в том, что при съемке в горизонтальном положении до упора камера завалена по часовой стрелке на 3-7 градусов. Конечно, если площадку приподнять, то камера выравнивается, но площадка висит и держится только на винте не упираясь на основание. И если камера тяжелая (у меня зеркалка) при работе идут лишние вибрации. Не долго расстраиваясь  я выровнил ее термоклеем и все ок!  А осадок остался :(</t>
  </si>
  <si>
    <t>Можно, наверное найти пылесос и похуже этого, но я пока не видела. Достоинств практически нет, а недостатков полно. Не хочется повторяться, но пылесос действительно тяжелый и неповоротливый (оббила им уже все новые двери в квартире, чтобы убрать трехкомнатную квартиру надо положить все свои силы на это, а кроме уборки дел еще достаточно). Шланг вокруг своей оси вообще не поворачивается, постоянно приходится прерываться и раскручиваться. Работать как моющим можно только предварительно пропылесосив сухой чисткой, т.к. моющая щетка и вода не позволяют засосать никакой мусор, за каждой соринкой приходится наклоняться и собирать вручную. Мощность очень недостаточная даже на самой большой, засасывает по-моему только пыль. До этого был обычный сименс - по мощности несравнимы. Ну и работа после уборки, т.е. чистка пылесоса надоест всем очень быстро. Начиная с того, что не очень хочется возиться в этой грязи, заканчивая тем, что помыть там надо все, вплоть до верхней крышки и шланга, и соответственно потом туалет, раковину и ванну. Да, крышка верхняя на ладан уже дышит, сделана очень некачественно. М.б. если делать дома нечего, так можно все вышеперечисленное и пережить, но только ни тем у кого работа, дети, и другие заботы. Вообщем, убираться хочется чаще, но, как это ни странно, пылесос не дает.</t>
  </si>
  <si>
    <t>1521</t>
  </si>
  <si>
    <t>нельзя свернуть приложение и не спорить!! интернет норм, но очень тяжело его правильно настроить!!! темы не поддерживает!!камера норм, но не приближает!! пользуюсь 1 год и не очень рад покупкой!</t>
  </si>
  <si>
    <t>Купила неделю назад и не могу нарадоваться - очень приятный объемный звук, симпатичный дизайн, компактные - занимают мало места. Минусов пока не заметила.</t>
  </si>
  <si>
    <t>Бигуди хорошие, оформление радует глаз, нагреваются быстро. Все хорошо. Но никак не могу сообразить, как пользоваться металлическими зажимами.</t>
  </si>
  <si>
    <t>+ малошумный, очень прост в обслуживании и мойке фильтра, все понятно интуитивно, собрал-разобрал-работай.Были сомнения по поводу мощности в 200 вт (хотел купить ариэт 480, но открыв крышку и посмотрев фильтр, решил не рисковать + КНР. Отдал предпочтение корейцу)тянет прилично, напольное покрытие приподнимает. Удивился количеству всякой дряни собранной после одной 5 минутной пробной чистке и, что радует, вся пыль осталась в воде, что при наличии ребенка и кошек в доме весьма актуально. Достаточно продуман с точки зрения эргономики и дизайна, все на своих местах. Мощная турбо-щетка.    - ИК управление не совсем удачно расположено. Отключается если нечаянно задел руками. Тяжеловат, но, слоновость пылесоса компенсируется колесиками, весьма шустро продвигается.    Пользовался впервые, тест-драйв длился 30 минут, возможно позже обнаружатся другие недостатки, но пока покупкой доволен.</t>
  </si>
  <si>
    <t>Телефон просто замечательный, я влюбилась с первого взгляда!!!Звук просто слов нет, в восторге от телефона!!!!!  Единственное почему только написано, что есть автофокус???Его там и не было никогда!!!!!!</t>
  </si>
  <si>
    <t>Машинкой пользуюсь не так долго. Выбирал по параметрам: не менее 4,5 кг загрузки, 1000 об/мин. и до 45 см в глубину. Также понравился дизайн. Стирает качественно. После правильной установке, (делал сам, используя уровень) не вибрирует. Уровень шума низкий, а если закрыть дверь в ванную комнату, то слышно немного только в режиме отжима. Соглашусь с отзывом от 17.12.2009 Игорь (Москва) - не почувствовал особой разницы между отжимом на 800 и 1000 об/мин. Но отжимает все равно хорошо. Постирав вещи в обед, вечером ими уже можно пользоваться.</t>
  </si>
  <si>
    <t>608</t>
  </si>
  <si>
    <t>Увлажнитель просто бомба. Пользуемся уже 3-й год. Не гудит, увлажняет быстро. покупали для ребенка. Всем довольны, всем советуем! Оправдывает свои деньги.</t>
  </si>
  <si>
    <t>В игре очень мелкие шрифты, поэтому диалоги не читабельны. Ни одна диагональ ТВ от этой напасти не спасает, либо учим английский и делаем звук по громче, либо к концу игры берем талон к окулисту.</t>
  </si>
  <si>
    <t>Супер! Курочка зажарилась и быстро и вкусно! Удобно готовить! Не пожалела ни разу, а это моя третья духовка.</t>
  </si>
  <si>
    <t>Купила сплит 3 недели назад, как раз накануне августовской жары +37 в тени. Площадь комнаты-18  м2 + коридор 6 м2, т.е. 24 м2 - на самой границе возможности. Именно этим я объясняю то, что комната у нас этим сплитом так и не охлаждалась. Ставлю на максимальную мощность и 23 градуса - все шумит и дует,поток воздуха достаточно сильный и достаточно прохладный (если стоять прямо под ним),но... в комнате очень душно. Внутренний блок всё-таки шумный, но не гул или вибрация, а сильный шелест, вроде как от потока воздуха,но для меня слышно. Ставила на ночной режим,тогда становится действительно тихо,но ИМХО температура вообще не падает, буквально в метре от направленного потока воздуха очень душно. Чтобы была более-менее нормальная температура, бедолага у меня работает всегда, в т.ч. ночью. Опять-таки,возможно,это связано с лично моим пределом мощности, но моё дело-предупредить остальных))</t>
  </si>
  <si>
    <t>Я пользуюсь мясорубкой 2 года, очень довольна, корпус всегда стоит у меня на кухонном гарнитуре (занимает очень мало места), при необходимости достаю только насадки, пользуюсь почти ежедневно, т.к. готовим каждый день и порой не один раз, а ее можно использовать и как комбайн. Эта модель как раз для тех кто не любит пользоваться теркой на кухне.Правда ни разу не использовала насадки для домашней колбасы и «кеббе» для сосисок, а цитрусовой соковыжималкой пользуюсь редко. Удобная и простая в эксплуатации, легко и быстро мыть)))</t>
  </si>
  <si>
    <t>2121</t>
  </si>
  <si>
    <t>раздражений нет,бреет отлично,не шумная,долго держит заряд,отличная система самоочистки!одним словом не пожалеете!</t>
  </si>
  <si>
    <t>У Remedy получился действительно один из самых лучших игровых триллеров последних лет. Игра обладает отличной атмосферой, сюжет в лучших традициях творчества Стивена Кинга, а графика просто превосходна! Саундтрек так же на высоте. Игра по праву может считаться одним из главных эксклюзивов Xbox 360. Советую приобретать не раздумывая!!))</t>
  </si>
  <si>
    <t>Данным товаром пользуюсь относительно недавно. При продаже его,консультант магазина показал его с хорошей стороны,показал плюсы и минусы данной модели. Хоть пользуюсь недолго им,но минусов так и не увидел. Только один,маленький,это его покрытие,нержавеющая сталь...требует ухода.  ДАнную модель тостера,я порекомендовал бы, особенно людям,которые по утрам пьют свежесваренный кофе,для них он будит наверняка незаменим!  Спасибо компании МВидео и ее сотрудником,за помощь в выборе данного товара.</t>
  </si>
  <si>
    <t>Пользуемся машинкой уже 4 года, отличная, ни разу за этот период не выходила из строя, работает как часы.</t>
  </si>
  <si>
    <t>Утюг гладит хорошо, мощность парового удара устраивает. Длинный шнур, не скручивается и не путается. Чистить приходится чаще, чем хотелось бы, но это не минус утюга, просто вода плохая. А вот то что течет их него периодически самое ужасное.  Особенно когда торопишься, а он на и подлость маленькая. Подошва утюга классная не пригорает ничего и всегда чистая. Подошву ни разу за два года не чистила. Носик узкий все складочки ему под силу.</t>
  </si>
  <si>
    <t>Купил пару месяцев назад и остался доволен: звук за эти деньги отличный и окружающим не мешаешь.</t>
  </si>
  <si>
    <t>Купила его почти 1,5 года назад в подарок маме, основными критериями были покрытие, ионизация и диаметр, пользуюсь вместе с мамой у нее короткая прическа у меня длинные волосы, отлично завивает. Регулируемая температура и покрытие, уж не знаю из какого материала, полностью исключают сжигание волос даже со средствами для укладки, а если включить ионизацию то и электризации волос не будет. Быстро нагревается и остывает. У меня волосы тонкие, так что диаметр самый подходящий, в общем если купите не пожалеете.</t>
  </si>
  <si>
    <t>Заказывал по телефону - все хорошо.На проводе была милая девушка.Правда курьер оказался нервным - ну да ладно.О тепловентиляторе Bork.Вентилятор оказался современным ,красивым,бесшумным и удобным.    Недостаток только один.Когда включаешь на вторую мощность нагрева: 2.8кВт ,выключается сетевой фильтр ,так что нужно покупать новый фильтр мощнее.    Так всем доволен ,спасибо магазину М Видео!</t>
  </si>
  <si>
    <t>В насадках, металлическая часть очень плохо соединена с пластмассой, посредством заклепок. После 4 использования, между металлом и пластмассой стали забиваться овощи. До конца ножи не дорезают, а просто отламывают продукты. Не советую тратить на нее деньги!</t>
  </si>
  <si>
    <t>Купил, очень понравилась! Через Steam проблем не возникло, вот только написано: игра полностью на русском языке. А на деле на английском. А так я вполне доволен!</t>
  </si>
  <si>
    <t>3060</t>
  </si>
  <si>
    <t>купил - доволен, если вы на счёт игрушек, то это ноутбук для вас, тут очень сильная видюха, сам пробовал запускал gta 4 летает и stalker воще летает.</t>
  </si>
  <si>
    <t>Интересна сама функция заваривания чая.</t>
  </si>
  <si>
    <t>713</t>
  </si>
  <si>
    <t>Вчера вечером купил жене и дочери в подарок машинку. Выбирал по принципу: достаточно большое кол-во функций и приемлемая цена. Данная модель из имеющихся в наличии подходила. Смущал не очень раскрученный бренд. Решил рискнуть.Дома сразу сел её испытывать. Просмотрел бегло инструкцию и за дело. Первое впечатление весьма приятное: механизм работает тихо,строчки ровные,рисунок соответствует образцам,петли делает хорошо, натяжение нити регулируется нормально (на 3-оптимально), нитковдеватель экономит время и бережет нервы. Но после двух часов испытаний в шпуледержателе застряла верхняя нить.Машина категорически отказывалась работать.Заправил нитку по новой - результат тот же.Была мысль утром вернуть товар в магазин. За полночь не без труда справился с устранением неисправности: несколько раз снимал металлическую накладку,все без толку, оказалось, что главное - это надо правильно установить шпуледержатель. Для себя сделал вывод - читай внимательно инструкцию,там есть ответы на все вопросы! Если серьёзных поломок в дальнейшем не будет, машинку можно похвалить.</t>
  </si>
  <si>
    <t>данный плеер был приобретён недавно,всё отлично,да кнопки не блокируются,ну и что,это малая часть проблем,на некоторых треках плохое,просто ужасное звучание,но это легко решить,достаточно просто обновить прошивку на 4ю,и всё,он преображается сразу,никаких проблем глюков и задержит,плеером доволен.</t>
  </si>
  <si>
    <t>616</t>
  </si>
  <si>
    <t>Работает уже очень давно, больше 2-х лет. Ни разу никаких нареканий не вызвал.Ни одной поломки, даже после того, как тёща под краном помыла, просушился и дальше работает. Изначально был против покупки, но сейчас своё мнение изменил). Очень удобный, практичный и надежный. Без дела стоять не будет...</t>
  </si>
  <si>
    <t>Контейнер для пыли можете даже из магазина не забирать - плохой. В остальном при использовании с мешками - весьма приличная модель. Мощности хватает. Вообще на данный момент пылесос устраивает, но второй раз я такой не купил бы.</t>
  </si>
  <si>
    <t>2016-03-07</t>
  </si>
  <si>
    <t>готовлю не часто поэтому с выбором особо не заморачивался.знаю что бош делает качественные вещи.здесь все по последнему слову техники - сенсорное управление с точной настройкой мощности нагрева,блокировка от случайных нажатий, сенсор наличия посуды, таймер, контроль закипания,два большие расширяемые зоны, на ближней удобно готовить плов в жаровне, простая в уходе.</t>
  </si>
  <si>
    <t>733</t>
  </si>
  <si>
    <t>Очень прост в работе, удобная ручка, что позволяет руке не скользить. С ним легко можно приготовить выпечку для всей семьи. Мощности прибора в 350 Вт достаточно для того чтобы смешать или взбить жидкие продукты, а также замесить мягкое тесто. Это удобное и надежное устройство экономит время и силы. Отличный, просто не замененный на кухне помощник. Купила его год назад, долго выбирала и рада что остановилось именно на нем.</t>
  </si>
  <si>
    <t>Одна из самых красивых и интерейснейших игр(Из гонок)</t>
  </si>
  <si>
    <t>2825</t>
  </si>
  <si>
    <t>Отличный телефон,нравится что две трубки,удобный в пользовании,советую купить- не пожалеете!</t>
  </si>
  <si>
    <t>2765</t>
  </si>
  <si>
    <t>Сами наушники довольно большие, поэтому не каждомы человеку они подойдут-у некоторых динамики будут не на ушах, а на щеках. В целом же очень порадовали. Звук чистый, очень хорошие басы, высокие частоты тоже хороши, а ещё и за такие деньги это для меня оказался идеальный вариант.</t>
  </si>
  <si>
    <t>отличные колонки, звучат хорошо.</t>
  </si>
  <si>
    <t>Достаточно низкие цены, возможность заказать товар с самовывозом из магазина в шаговой доступности от дома. Малое время ожидания при выкупе зарезервированного заказа. Особых недостатков не обнаружил. Просто APC лучшая фирма на рынке.</t>
  </si>
  <si>
    <t>Купили машинку полгода назад. Все классно, никаких нареканий, кроме сильной вибрации, особенно при отжиме постельного белья. Всем рекомендую</t>
  </si>
  <si>
    <t>Поменял свой старенький mystery mjb-120 (250/500 вт) на этот девайс, ну что можно сказать... Этот саб "поет", мистери во многих этих же моментах просто гудит, джибиэль же отыгрывает абсолютно четко все "короткие" бухи. Это по началу прям ухо резало, но очень быстро понимаешь, что в музыке деталей низкочастотных становится значительно больше. Насчет давления...ну не знаю, не шибко сильнее он давит чем мистери, а именно вот качественней, это да. Авто - седан, акцент. Усилок хеликс, мостои дает номинал около 320 вт. В целом очень неплохой бюджетный саб, не для того, чтобы сигналки припаркованных авто включать, а для приятного и четкого баса внутри.</t>
  </si>
  <si>
    <t>Достаточно быстро удаляет волоски</t>
  </si>
  <si>
    <t>1494</t>
  </si>
  <si>
    <t>купил этот ноутбук недавно,и доволен этим  игрушки тянет ваще ништяк)))но братишка удалил случайно веб камеру,теперь не могу найти эту прогруху(((кто нибудь знает откуда можно найти?</t>
  </si>
  <si>
    <t>В целом устраивала, но быстро сломалась! Через три года эксплуатации зашумел подшипник</t>
  </si>
  <si>
    <t>Наушники купил 3 месяца назад. Выбирал по характеристикам. Первое впечатление от звука было не очень хорошим - слишком низкий звук, но изрядно поработав эквалайзером в конечном итоге на выходе получил очень приятный чистый звук. Особенно сильно вся прелесть звучания ощущается в играх. Пожалуй, одно из лучших сочетаний цена/звук. Лучшее сочетание, наверное, только у 150-рублевого Диалога М461.</t>
  </si>
  <si>
    <t>2013-11-26</t>
  </si>
  <si>
    <t>Водонагреватель отличный пользуемся неделю, ничего нигде не капает и не течет! За такие деньги отличный вариант!</t>
  </si>
  <si>
    <t>Жмых получается ооочень сухим!! Из двух яблок делает стакан натурального сока</t>
  </si>
  <si>
    <t>2101</t>
  </si>
  <si>
    <t>Подарили печку маме. Очень нравится. Пироги получаются восхитительные!</t>
  </si>
  <si>
    <t>2842</t>
  </si>
  <si>
    <t>Купила плеер Texet T-590. Сначала всё устроило, но на второй день перестал включаться (отключился сам во время работы), комп его тоже не распознавал. В итоге, даже не успела попользоваться плеером. Пришлось отнести в магазин и поменять на другого производителя. Причём, очередь на обмен товаров в "М.Видео" была огромной. Всем надо было что-то вернуть или обменять. Из персонала работал только один человек, поэтому ждать обмена пришлось около 2-х часов. Кстати, пока ждала, видела женщину, тоже с плеером Texet. Плеер у неё тоже глючил. Поэтому не рекомендую Texet, чтобы вот так вот потом не "париться" в очередях на обмен товара (или возврат денег) и не мотать себе нервы...</t>
  </si>
  <si>
    <t>Синий нокия классный у меня он был 3 года пока он не разбился   недавно купила серый такая ерунлда -  месец отходила экран стал плохо показывать и блитоз не работать стал   Купила красный как и синий хорошо работает и главное во всех телефона флеш карта бесплатно  И он сейчас продается в любом городе мегафон магази с колонкой бесплатно</t>
  </si>
  <si>
    <t>2016-07-06</t>
  </si>
  <si>
    <t>Поначалу хотел купить колонник от тефаль положившись на именитую фирму, но ,придя в магазин и включив его понял что тефаль не дует даже на 3 скорости.решил попробовать другие колонник и ,включив данную модель был очень удивлен какой он мощный. Даже на 1 скорости он дует достаточно мощно чтобы освежить комнату. Кроме того был сражен его органомикой. Всем рекомендую.</t>
  </si>
  <si>
    <t>Пароварка очень удобна своими 3-мя раздельными частями. Но качество прозрачных контейнеров ужасное, быстро появляются трещины, и с каждым разом их становится все больше. У одной из крышек отвалилась ручка. Не стоит покупать.</t>
  </si>
  <si>
    <t>584</t>
  </si>
  <si>
    <t>Недорогой вентилятор, прикупили, чтобы летом спасаться от возможной жары и смога, а то в том году летом цены были такие, что жадность задушила. Заранее-то неизвестно, будет ли тепло-то, год на год не приходится, так что покупать что-то супердорогое из-за трех жарких дней ни к чему, ИМХО. Вентилятор устойчиво стоит, даже когда лопасти вертятся на самой высокой скорости. Не накреняется ни в одну сторону, не шатается, ножка крепкая. При этом ее можно отрегулировать до нужной высоты – повыше-пониже, я люблю, когда сплю, чтобы меня прям сверху обдувало конкретно, вентилятор можно как раз наклонить под углом в 30 градусов.</t>
  </si>
  <si>
    <t>Ну вот и всё. Поработала 6 дней и перестала греть. Как знал, что надо гарантию покупать. Вот на днях поеду менять, пока работала не жаловались и тут бац.</t>
  </si>
  <si>
    <t>1366</t>
  </si>
  <si>
    <t>Ну вот и решился на покупку большого телика.))(до этого был лупатый 72см Панасоник)  Выбирал именно большую диагональ, с максимальным разрешением и чтоб не дорого было.  Скорее всего основную роль сыграла цена на данную модель, поэтому её и взял.  Тестировал просмотром НТВ+, HD,Blu-Ray рипами с макисмальным разрешением.  Качество картинки супер.)))  Из недостатков, могу выделить низкую громкость звука при максимальной настройке.Старый телик в ~два раза больше орал.  А так очень доволен.))</t>
  </si>
  <si>
    <t>Очень удачный выбор, для тех кто живёт в маленькой квартире. Недорогой и в тоже время очень удобный фильтр для воды. Его можно поставить в дверцу в холодильнике и пить холодненькую водичку. У меня такой уже полгода и я очень доволен!</t>
  </si>
  <si>
    <t>Брал по акции пользуюсь уже 3 месяца, как печь хлеб не разобрался до сих пор. Но вот кексы и бисквиты получаются на ура. Отмечал день рождения жарил мясо, получилось почти шашлык только без дымка. Самое главное, что можно печь пироги и торты, и не надо брать духовку, и микроволновку, чтоб разогревать еду.</t>
  </si>
  <si>
    <t>1545</t>
  </si>
  <si>
    <t>Мощный по параметрам, красивый дизайн корпуса, яркий экран, windows 7, удобный пульт в комплекте!Купил вчера,всем советую приобрести!</t>
  </si>
  <si>
    <t>2014-08-31</t>
  </si>
  <si>
    <t>купил вчера подключили как по инструкции, первая мойка и потекла, затопил соседей......</t>
  </si>
  <si>
    <t>Уже больше года пользуемся такой йогуртницей. Отличный продукт получается. От перегрева положила картонку на дно под банки. Делаю из молока 3,2% + активиа без добавок упаковочка+3 ст.л сухого молока. На 8 часов и готово. 4-ку  ставлю только из-за отсутствия авт.откл. Но это уже другая цена. Без этого прибора уже жить не можем. Спасиб.</t>
  </si>
  <si>
    <t>Телевизор купил 9 января 2010. В целом таксебешный ящик. Каналы от антенны показывают хреновенько - картинка смазанная. ДВД получше, но тоже не фонтан. Вообщем средненький аппарат для просмотра новостей и экономии места в квартире.</t>
  </si>
  <si>
    <t>&amp;nbsp;Крепления ужасные, все сломалось в первую неделю! Чаша стала течь, заказала новую чашу. Ждала 2 месяца. И в этом крепления сломались очень быстро! Не берите!</t>
  </si>
  <si>
    <t>2016-08-27</t>
  </si>
  <si>
    <t>шумный. воздушный поток слабый. лучше уж взять напольный</t>
  </si>
  <si>
    <t>Причем тут отечественный комп, когда все детали китайские?  только сборка, так все компы в россии собираются.  По комплектации нормальный комп   как раз минимум для full hd</t>
  </si>
  <si>
    <t>2013-07-29</t>
  </si>
  <si>
    <t>Хороший тостер пользовались два года на днях сгорел,буду покупать новый.Отличный тостер, за исключением одного минуса на режиме №3 получаются одни угольки,а на 2-ом режиме получаются отличные тосты. Советую купить.</t>
  </si>
  <si>
    <t>2570</t>
  </si>
  <si>
    <t>Покупал его случайно - метился на 42PFL7404, но он оказался Российского производства и последний в городе, соответственно, с витрины. Поэтому выбор пал на Philips 42 PFL 8694H/12. Очень оценил функцию Ambilight!!! В магазине не поймешь ее прелесть, т.к. требуется темная комната! :) Очень понравилась картинка - телевизоры Samsung, на мой взгляд, очень превирают цвета...... Хотя здесь через USB не читает DivX, только MPEG4, но мне не критично, т.к. подключил телевизор к ноутбуку через HDMI и все показывает без проблем :) В будущем планирую подключить его к sony PS3 в качестве Blue-Ray проигрывателя :)Всем удачных покупок!</t>
  </si>
  <si>
    <t>2015-04-21</t>
  </si>
  <si>
    <t>Отличный фен!!! Купила подруге на день рождения, она им жутко довольна) фен очень легкий и удобный в использовании. И при этом недорого стоит, так что всем рекомендую!!!-)</t>
  </si>
  <si>
    <t>191</t>
  </si>
  <si>
    <t>Купил этот чайник неделю назад. Неисправностей не обнаружено. Работает превосходно. Посторонних запахов и привкусов вскипячённая вода не имеет. Если не наклонять его чрезмерно, то вода наливается в чашку аккуратно и никакого пара при этом не выходит...  Шнур и вилка вовсе не нагреваются, как это было подмечено ниже.  Единственное, что бросилось в глаза, а точнее - в уши, так это шум. По сравнению с чайником с открытым нагревательным элементом, этот шумит громко. Крышка фиксируется очень слабо, но это никак не влияет на удобство пользования.</t>
  </si>
  <si>
    <t>Отличное применение для ютуберства - он стабилизирует съёмку, есть чехол в комплекте, отстёгивается камера</t>
  </si>
  <si>
    <t>2013-12-15</t>
  </si>
  <si>
    <t>Купила эту плойку очень давно, но она слабо нагревается и ничего не накручивает, у меня послушные волосы, тонкие и немного вьющиеся. Как её купила, ни одного раза не удалось мне ничего завить, даже на дочке пробовала, бесполезно. Так и лежит без дела, недавно решила её кому-нибудь отдать, залезла в коробку, а ручка вся липнет, хранилась в комоде, при комнатной температуре. Никому не советую брать эту плойку.</t>
  </si>
  <si>
    <t>Хороший TV, радует четкость изображения и насыщенная цветопередача. Отменная глубина черных тонов, сравнивал с рядом стоящим тв с Led-подсветкой (самсунг 6 серии), разницы не почуствовал. Цена была одинакова(в соседнем отделе), все решили дополнительные плюсы:  -полная функциональность (перечеслять нет смысла,как говорят водилы-весь фарш)  -отличный дизайн и эргономика.  На счет коментов об аналоговом вещании, не парьтесь. Всяко лучше чем, на "луповом" телевизоре.  Отдельно порадовала содержательность и простота меню, вариация настроек. Может это и есть и в других тв, не по крайне мере не попала в недостатки этой модели, что очень часто бывает.  В развитии функициональности телевизоров в ближайшее время значимых скачков не предвидется. Поэтому тем, кто не заморачивается на ультра модных новых версий всяких мифических улучшайзеров изображения картинки, покупайте этот класс телевизора и не переплачивайте (другого отличия в новых сериях нет, все это реклама для продвижения спроса. А через несколько лет уже можно будет купить уже недорогой, но на основе современной технологии будущих лет 3D-телевизор. Сейчас эти технологии пока обкатываются, а мы со стороны понаблюдаем, может это еще вредно для глаз.</t>
  </si>
  <si>
    <t>1747</t>
  </si>
  <si>
    <t>Эксплуатирую плеер второй месяц. Тщательно выбирал, перечитал огромное количество отзывов и решил остановиться на этой модели и не жалею.  Хотел купить с 4Гб, но на тот момент в продаже такого не было и взял с 2Гб, думал будет маловато, но в итоге и этого обьема памяти хватает с лихвой.  Плюсы модели:  -компактный(как зажигалка)  -стильный дизайн  -удобное и понятное управление  -хороший звук  -ОЧЕНЬ ДОЛГО ДЕРЖИТ ЗАРЯДка!!!!!  -радио  -диктофон  Минусы модели:(к сожалению без них не обошлось)  -неудобные штатные наушники, после долгого прослушивания болят ушные раковины(может только у меня)  -отсутствие функции перемотки, что не очень удобно при прослушивании длинного файла, т.к. поставив плеер на паузу, он через некоторое время отключается (или просто выключив плеер), а включив его, файл начинает проигрываться с начала  -отсутствие в комплекте зарядки от сети(продается отдельно 250р.)  ИТОГ:  Советую тем, кому нужен плеер с хорошей батарейкой, качественным звуком и низкой ценой без переплаты за дополнительные функции.</t>
  </si>
  <si>
    <t>1973</t>
  </si>
  <si>
    <t>У меня маленькая кухня и для меня важно было найти не очень дорогую вытяжку, но современную!!! Эта вытяжка отлично подошла для моей  маленькой кухни!!! Она элегантная и практичная.Я не пожалела за свой выбор .Да,еще  дополнительно получила в подарок угольный фильтр в комплекте! Очень рекомендую всем, кто хочет получить сочетание цена-качество в одном!!!</t>
  </si>
  <si>
    <t>Купили данный чайник, и все не как у людей потом стала читать отзывы. И могу сказать что большинство о чем тут пишут это чисто субъективные личные мнения, я например очень рада что не прочитала их до покупки. Так как в основном тут пишут чисто придирки про кнопку включения, я например привыкла сразу в первый день! Крышка пишут открывается не полностью, это тоже бред, очень даже хорошо она открывается и наливать можно без проблем воду! Единственный конструктивный отзыв можно отнести к тому что пишут что ломается крышка, но опять таки как пользоваться! На счет этого пока не могу ни чего сказать. В итоге могу сказать если пользоваться аккуратно любая вещь вам прослужит долго и в удовольствие! Чайник просто загляденье, без запаха, подсветка, и очень удобно наливать в чашки! Еще часто писали что сразу не включается пока не остынет, не знаю, у меня включается, кипятили несколько раз подряд и все супер!</t>
  </si>
  <si>
    <t>Жена пользуется уже несколько месяцев и очень довольна!  Прибор работает отлично, без нареканий.  Вместо батареек использую пальчиковые аккумуляторы, так что проблем с мощностью нет!</t>
  </si>
  <si>
    <t>Купила этот увлажнитель год назад во время беременности, т.к. стала очень реагировать на излишнюю сухость в доме. Попользовалась пару раз и убрала. С появление ребенка вопрос увлажнения стал снова актуальным. Сейчас влажность в детской комнате около 24%, за всю ночь работы увлажнитель поднимает влажность до 40% (комната 8 кв.м.). Я переживала, что при подаче горячего пара будет жарко - ничего подобного, наоборот в комнате становится прохладно, а если струю пара направить на себя, то даже как-то прохладно становится. Из минусов, неудобно заливать воду (надо перевернуть бак для воды и получается, что все вокруг забрызгивается). При использовании функции горячего пара сразу появляется накипь (хотя это может только у нас вода такая. Я наливаю бачок из под крана). Еще он булькает, но к этомсу быстро привыкаешь - ребенок не просыпается, а для меня это главный аргумент. Резюме: второй раз такую модель не купила бы. Теперь присматриваюсь к мойкам воздуха.</t>
  </si>
  <si>
    <t>Фильтр хороший,надежный.  Работает 2 года и нареканий нет</t>
  </si>
  <si>
    <t>Приобрел данную модель на кухню около года назад. Рад несказанно, отлично показывает картинку под любым углом, просто идеальное решение! Всем советую!</t>
  </si>
  <si>
    <t>858</t>
  </si>
  <si>
    <t>Есть Dyson и могу сравнивать.  Лёгкий, не очень сильно шумит, тянет практически как Dyson, трубка металл - что есть гут!  Как будет везти в эксплуатации - поглядим, но вряд ли разочарует. А уж ежели что - то проще купить новый :)  Рядом стоял продавался сетевой фильтр Pilot за те же 1500р - ну так пылесос - оно вроде интереснее! :)))</t>
  </si>
  <si>
    <t>Через полгода эксплуатации перегорел один мотор из двух, по гарантии запчасть ждали месяц...только пришел заказанный моторчик, как сгорел 2-й)))...сейчас опять, говорят месяц ждать)))...буду походу требовать замену вытяжки.</t>
  </si>
  <si>
    <t>2460</t>
  </si>
  <si>
    <t>Выглядит плита симпатично, я бы даже сказала стильно - интересный серебристый цвет. Переключатели удобные и часы совсем не лишние на плите. А еще есть таймер, который очень выручает и спас уже не одно мое блюдо! Четыре конфорки у нее разного диаметра и мощности, всегда можно подобрать подходящую под любой размер кастрюли. Размер пламени регулируется плавно. Духовка отлично пропекает все - и мясо пробовала готовить в ней и пироги регулярно пеку - все получается очень вкусно! Сразу два протвиня и решетка были в комплекте, мне этого как раз достаточно и не пришлось докупать еще. И еще одно приятное дополнение что духовка сама очищается.</t>
  </si>
  <si>
    <t>Пользуюсь им уже 2 года, рада до безумия)))) 5+</t>
  </si>
  <si>
    <t>507</t>
  </si>
  <si>
    <t>Уже 2 года пользуюсь этой машинкой, шьет отлично, если руки из нужного места растут. Для начала, нужно хорошенько ознакомиться с инструкцией, т.к. большинство неполадок возникают из-за того, что неправильно заправлена нитка, неправильно вставлен челнок, неверно выбрана иголка, нитка или штырек для намотки шпульки сдвинут вправо. Лапки и иголки также ломаются обычно по причине неправильной работы со швейной машинкой, причем с любой, не важно какой марки.</t>
  </si>
  <si>
    <t>Под 7 работает все нормально, стоит 64-битная, поставилась без проблем и вопросов, на сайте производителя есть все дрова, переключение карт работает без всякой перепрошивки, правда Yota выпала, но и ладно - все равно поддержки пока нет. Единственное, что заметил, что при подключении Мегафон - модема процессор грузится на 100%, но это проблема драйверов модема, на 32 битной такого нет. Машина отличная.</t>
  </si>
  <si>
    <t>2332</t>
  </si>
  <si>
    <t>отличный плеер!!ну не знаю почему сток критики в его адрес!!хорошо ловит телик,у нас 14 каналов эфирных в городе и все 14 есть на плеере.</t>
  </si>
  <si>
    <t>Заказала в М-Видео по интернету с доставкой на дом. Всё привезли в лучшем виде, спасибо! Плиту эксплуатирую 3 недели. Испробовала духовку, печёт прекрасно. Таймером довольна, слышу его через две комнаты. В инструкции написано, что можно выбрать из трёх видов звонка, так и есть. Единственное, не заметила, чтоб плита нагревала посуду быстрей, чем старая. Была Лысьва с блинами. Дизайн очень нравится, аккуратная. Внизу ящик.</t>
  </si>
  <si>
    <t>2390</t>
  </si>
  <si>
    <t>Ребят, кто знает эта плазма поддерживает HDTV? на нем самом написано, что есть такая функция, да и входы HDMI есть, значит, должен по идее. ответьте, пожалуйста)</t>
  </si>
  <si>
    <t>Долго думал какой блендер покупать и в конечном итоге выбрал 1366, очень доволен его работой и миксы взбивает и супы-пюре делает так что настроение поднимается,а при желании можно и салаты нарубить!!! Я счастлив этому приобретению супер!!!</t>
  </si>
  <si>
    <t>Мне понравился очень радует. Карта на два гига тянет отлично. У меня работает все двадцать четыре часа.</t>
  </si>
  <si>
    <t>Замечательный мини-утюг! Пользоваться можно хоть дома, хоть в дороге - он и компактный, и гладит хорошо. Но надо учитывать, что изначально он дорожный, то есть для чего-то типа постельного белья не предназначен.</t>
  </si>
  <si>
    <t>1759</t>
  </si>
  <si>
    <t>Отличный пылесос уже пользуюсь 4 месяца,прост в пользовании, правда по началу крышка плохо закрывалась когда вытаскиваешь мусор, но потом всё встало на место =)  один раз мыл только фильтр.</t>
  </si>
  <si>
    <t>Купил этот аппарат неделю назад и нарадоваться не могу. Конечно, что то он может и не тянет, где то притормаживает (немного), но он себя оправдывает. Ответ Анатолию-Звук у моего тоже тихий,наушники решают эту проблему)).Батареи хватало на 6 часов,сидел в инете, скайп и аська (большего мне от него и не надо). В целом Отличный аппарат.</t>
  </si>
  <si>
    <t>Странно что так дешево стоит.  У них сабвуфер только 5000 руб стоил</t>
  </si>
  <si>
    <t>Не плохой вентилятор, не шумит, для небольшой комнаты в самый раз, легко собирается, на вид хлипкий, кнопка вращения трещит когда включена, а так за эти деньги подойдет, можно брать</t>
  </si>
  <si>
    <t>Покупал два года назад. Ничего хорошего, ничего плохого... Если не в ту сторону крутануть, то ломается и ремонту не подлежит. Если не крутить куда не надо, то не ломается. Помол рубленный, от мелкого до крупного, но всё равно он рубленный кусками, в общем не очень хорошая. Хлопьями должно приминать (мять, примять) жерновами а не кусками рубить, это же не ножи! Короче грубый помол получается, сравнивал с ЛавАццей Тиеррой в железной банке, молотый кофе 250 гр. которая, там правда была мука... Ну ладно это пример не правильный, привожу другой Паульг молотый, там помол был на много тоньше, не сказал бы что мельче, но тоньше - частицы кофе тонкие и длинноватые, вот так должно быть, а не кусками многогранными, а в этой кофемолки получаются куски именно многогранные. Не знаю на что менять её буду, лучше найти не смог.</t>
  </si>
  <si>
    <t>717</t>
  </si>
  <si>
    <t>Отличный фен. Первый мой бытовой прибор, о котором захотелось написать отзыв. У меня достаточно длинные (ниже плеч), непослушные волосы. Раньше укладывала их по 30-40 мин, используя специальные средства и расческу для выпрямления. C новым феном забыла обо всех проблемах, на минимальной мощности и температуре укладываю за 15 мин без дополнительных средств, волосы гладкие и ровные. Это лучший мой фен, хотя до этого использовала более дорогую модель. Очень советую этот товар всем женщинам, которые как и я любят утром подольше поспать и в спешке собираются на работу)</t>
  </si>
  <si>
    <t>Дешёвый и функциональный плеер. Всё что было заявлено я в нём обнаружил.  Единственная проблема с недостаточной чувствительностью сенсора, а в остальном всё прекрасно:)</t>
  </si>
  <si>
    <t>А пойдёт на этот компьютер gtaIV?</t>
  </si>
  <si>
    <t>1012</t>
  </si>
  <si>
    <t>+Всё нормально. Звук на твёрдую четвёрку. Радио хоть и шипит, но очень редко. В основном когда дёргаешь шнур.  Приятно удивило то, что после покупки я не заряжал его 20 часов, а он всёравно работал.  -1.Не пашет эквалайзер. Конечно рок и т.п работают нормально, но специальная функция MS PlayFx изрядно тупит. Никогда не сохраняется после выключения.Хотел обновить прошивку, но увы её не оказалось. Будем надеется что скоро выйдет!  2.Если закачиваешь песню MP3 320 Kbs то плеер начинает серьезно подтормаживать, и поэтому медленно мотает её.      Несмотря на минусы плеер рекомендую всем тем, кто просто хочет сунуть плеер в карман, наушник в ухо, и наслаждаться музыкой, не обламываясь)</t>
  </si>
  <si>
    <t>Лигу КХЛ не нашел как играть, а вот лигу НХЛ можно запустить зайдя в "Режимы игры" =&gt; "DYNASTE MODE" =&gt; "Создать".    Игра в целом на 5, но за отсутствием лиги КХЛ, только 4.</t>
  </si>
  <si>
    <t>Купил зимой эту плазму, но флешка не идёт!!! как его разлочить не пойму... может кто подскажет??? с диодами вообще непонятно, как это делается!! кто-то говорит на пульте есть кнопки, но что-то ничего не получается??!?! люди плиз, очень надо!</t>
  </si>
  <si>
    <t>Приобрел в подарок, увы жаль потраченных денег. "Сенсорные" кнопки на лицевой панели нажать сложно, быстрее сломаешь пальцы. Часто виснут при определении веса, замена батареек на свежие не помогает. Кроме "понтов", что это самые дорогие весы, которые все же иногда работают, больше никаких преимуществ.</t>
  </si>
  <si>
    <t>Телик нормальный, по каналам изображение так себе, а с двд супер, лёгкий в управлении</t>
  </si>
  <si>
    <t>2481</t>
  </si>
  <si>
    <t>Уже года три пашет, так что вещь хорошая!!</t>
  </si>
  <si>
    <t>3174</t>
  </si>
  <si>
    <t>Супер машинка, муж подарил на день рожденья, моет отлично. Пользуюсь в основном 2 программой, т.к. весь день туда посуду складываю, а на ночь включаю, отмывает всё, ложки прям блестят.</t>
  </si>
  <si>
    <t>Пылесос отличный! Мощность такая, что щетку от пола еле отрываю. Турбощетка миниатюрная, но работает на все 5+. У кого в доме животные, даже не раздумывайте- этот пылесос то, что нужно.</t>
  </si>
  <si>
    <t>Телефон великолепен! Не айфон конечно, но он и стоит в 2 раза меньше))) Соотношение цена-качество ИМХО оооочень близко к идеалу... если бы на тысячу дешевле тогда бы можно было с руками отрывать!   неделю отходил с чёрным всё устраивает кроме цвета и небольшого люфта задней крышки...  ЗЫ минус только один! Не могу найти бело-синий(((</t>
  </si>
  <si>
    <t>Купили мобильный Кондей DeLonhi PAC № 120 для городской квартиры! Очень довольны! В квартире становится холодно через 10 минут, далее он сам поддерживает заданную температуру. Есть функция увлажнения- что очень важно для города! Труба выбрасывается в форточку и нет проблем! Зато можно возить его в разные комнаты или на кухню, когда готовлю или жарко от печки!(он на колесиках!) Супер! А навесные нужно устанавливать в каждую комнату, это в 3 раза дороже! Моя семья очень довольна. Спасибо!</t>
  </si>
  <si>
    <t>Купила хлебопечь месяц назад и готовлю в ней почти через день, то булки, то хлеб. Особенно хорошо получается получается Французский сырный хлеб. При приготовлении теста для кренделей, на дне осталось немного муки,которая не перемешалась. При любой выпечки, флажок, которым мешается тесто, всегда остается в выпечке и его приходится вытаскивать из приготовленного хлеба.</t>
  </si>
  <si>
    <t>купила 4 года назад наушники, только сейчас сломались. Может просто повезло)))))</t>
  </si>
  <si>
    <t>1922</t>
  </si>
  <si>
    <t>купил ноут 16.08.10 ноут просто бомба нивиснет негреется хотя в квартире очень жарко всё работает хорошо тьфу тьфу все игры прут на максималке советую всем пока минусов ненаходил надеюсь их и небудет</t>
  </si>
  <si>
    <t>Фритюрница просто супер, картофель фри делает замечательно , расход масла просто удивительный, на не большую семью самое то.</t>
  </si>
  <si>
    <t>Все нравиться!!! Правда в первые 4ре дня здох правый динамик(как и у ребят).Проблема в том, что на него не  найти чехла или сумки!</t>
  </si>
  <si>
    <t>Вместительная, многофункциональная, не шумит</t>
  </si>
  <si>
    <t>В графе спецификация указано, что освещение у нее спереди, но на самом деле оно у данной вытяжки позади т.е. у стены. Даже на изображениях видно. А так замечательная модель, чтобы не стукаться головой если сложить, в маленькой кухне самое оно. И тихо и мощно. Я рад.</t>
  </si>
  <si>
    <t>Ноутбук супер, Всё отлично, но неудобен регулятор громкости, слишком близок к правой руке.</t>
  </si>
  <si>
    <t>(( выдает ошибку 2H при 3 режимах, время не показывает. Что за ошибка не понятно, в инструкции ничего про нее не написано.ЭТО НЕ ОШИБКА,дисплей двух цифровой может показать только 99 мин.при большем времени показывает 2н пока не останется до конца стирки 99мин и дальше обратный отсчет.</t>
  </si>
  <si>
    <t>Прочитав предыдущий отзыв(от Алексея), почти передумала покупать данный чайник, но все ж купила. И не пожалела! Модель очень понравилась. И дизайн, и функциональность! Никакой влаги на крышке при закипании нет, терморегулятор работает отлично. Особенно актуален выбор температуры с утра, когда каждая минута на счету и ждать, когда остынет кипяток - времени нет, приходилось разбавлять холодной водой до просто горячего состояния. В-общем, всем советую. Кроме того, он достаточно тихий, в отличие от моего предыдущего металлического Тефаля, который заглушал телевизор на кухне. Да, и еще один плюс данного чайника - не маркий!</t>
  </si>
  <si>
    <t>2013-11-12</t>
  </si>
  <si>
    <t>Купили, поставили и забыли! Работает больше полугода и никаких проблем не было. Стирает может раз, иногда больше в неделю. При отжиме вибрирует, но устойчиво стоит на месте, что касается шума, то вполне сносно, а если закрыть дверь то и вообще не слышно! Для тех, кто ограничен в финансах, советую брать.</t>
  </si>
  <si>
    <t>Вытяжка - обалденная! если ваша встраиваемая техника на кухне имеет утапливаемые кнопки, то вытяжка станет прекрасным её дополнением. очень гармонично смотрится, обладает достаточной мощностью, чтобы очистить воздух в 9-метровой кухне в считанные минуты. Я как хозяйка ею довольна. Единственный минус - ляпки от пальцев, которые имеют свойство оставаться на поверхности, но достаточно легко удаляются.</t>
  </si>
  <si>
    <t>Всем хорош, только не нашел возможности отключить опредилитель номера. Все время срабатывает после 4-го гудка.  А в остальном на 5 !!!</t>
  </si>
  <si>
    <t>Наушники отличные, берите все!сначала долго думал брать или не брать, и все таки взял и теперь не жалею; слушаю я драм и дабстеп, если вставить наушники правильно то все басы слышно отлично, в школе ничего не слышно на перемене, они очень громкие и качественно сделаны, что очень сильно порадовало, тк родные наушники от плеера Samsung YP-U6 сломались уже на 5 месяц; так что берите, не пожалеете, пользуюсь ими чуть больше недели.</t>
  </si>
  <si>
    <t>2795</t>
  </si>
  <si>
    <t>Давно хотел купить PB, увидел этот бук - влюбился! Специально ездил в М-Видео, понажимал по кнопочкам - всё хорошо. Заказал в интернет-магазине (цена 29990, ОС-Win 7 Pro. остальная начинка та же). на днях привезут.</t>
  </si>
  <si>
    <t>Пользуюсь фонарём Fenix TK40 MC-E J покупал осенью 2009 года с ЗУ и аккумами, очень доволен, первый режим в 13 люмен полностью забивает этот девайс, а в турбо на 630 люмен \ 23000 люкс, светит прожектором и всё это в корпусе не больше этого</t>
  </si>
  <si>
    <t>2014-09-17</t>
  </si>
  <si>
    <t>Мне не очень понравилась, пользуюсь 3 мес., отстирывает плохо, и ваниш добавляла и порошки меняла - бесполезно, процесс отжима громкий, свистящий, машинка оставляет желать лучшего....</t>
  </si>
  <si>
    <t>Простое и понятное управление.</t>
  </si>
  <si>
    <t>Простой и надежный аппарат. Недостатков не выявлено</t>
  </si>
  <si>
    <t>полезная и незаметная помощница</t>
  </si>
  <si>
    <t>отжимает великолепно все что в нее кладешь!!!</t>
  </si>
  <si>
    <t>Я в принципе отдаю предпочтение ТК, как оператору. Пользуюсь уже 4 года, и все устраивает. Единственное, что касается непосредственно этого комплекта, на мой взгляд, он несколько устарел. Если брать, то посоветовал бы Старт/1.</t>
  </si>
  <si>
    <t>Пользуемся уже второй год - отличная мясорубка, для дома - в самый раз, всем рекомендую, фарш получается великолепный, быстро справляется с нашими объемами, когда нужно сделать котлеты или люля-кебаб...</t>
  </si>
  <si>
    <t>67</t>
  </si>
  <si>
    <t>Великолепная игра для вечеринок, фестов и просто для того, чтобы развеселить себя!     Поиграв в DEMO, вы убедитесь в этом!</t>
  </si>
  <si>
    <t>Вообще Супер!! Родители купили на окончание 5-го класса играю...Игра супер!!Спасибо кампании Sony за такую прекрасную вещь</t>
  </si>
  <si>
    <t>1138</t>
  </si>
  <si>
    <t>Изысканный и утонченный полет инженерной мысли создал это совершенство!!!С таким количеством плюсов за время его использования до минусов ход не дойдет!это ВАША икона и смотреть Вам на нее каждый вечер, а может быть, и день всю оставшуюся жизнь, ибо ресурс его не ограничен и дизайн актуален во все временна!!!Богатый выбор настроек, удобное меню и дружественный интерфейс позволит подключить его даже к гвоздю, ведь у него есть возможность для подключения всех СОВРЕМЕННЫХ устройств воспроизведения!!!!        если были бы деньги обязательно купил, а так это все лишь моя выдумка)))</t>
  </si>
  <si>
    <t>Я тоже осталась довольна! Устраивает всё: и качество, и цена ;) Советую!</t>
  </si>
  <si>
    <t>Перед покупкой как и все разрывался в выборе. Сначала рассматривал безмешковые, но понял, что с фильтрами с их постоянной промывкой прям беда. Потом привлек внимание проекты с аквафильтром, вроде бы красота, но спасибо консультанту- подсказал о геморрое с промывкой шлангов. Остановился на классике- с мешком. Данная модель: + за такие деньги не найдете конкурента с такой мощностью всасывания, она более чем достаточна, у меня работает на среднем уровне, вполне хватает; очень низкий уровень шума - приятная неожиданность; удобная щетка- захватывает все уголки; длинный эл.кабель. - расплата за низкий шум- внутри двигло зашит войлоком, поэтому желательно долго пылесос не гонять, хотя мне на двушку все комнаты в самый раз, думаю, у кого квадратура большая- сделает перерыв в мин 5-7 это не критично; наличие расходника, фильтра, но опять же он на два года, так что не критично. Работает месяц-не нарадуюсь, все что хотел- получил.рекомендую всем</t>
  </si>
  <si>
    <t>2011-02-14</t>
  </si>
  <si>
    <t>Сломался переключатель режимов ровно через 1 год. После ремонта  еще через месяц - сгорел мотор...</t>
  </si>
  <si>
    <t>Купил хлебопечку и получился хлеб с первого раза, 3 часа и вкусный хлеб. Советую.</t>
  </si>
  <si>
    <t>Отличный звук, особенно низкие частоты. Слушаю музыку как через ноутбук, так и через мобильный телефон, Nokia 5130. Покупкой остался доволен</t>
  </si>
  <si>
    <t>3109</t>
  </si>
  <si>
    <t>На сайте продавца заявлен максимальный объем 1,2 л, на самом деле всего 1 литр, больше воды наливать нельзя, так сказано в инструкции. И еще обращайте внимание на отметку внутри чайника о максимальном уровне воды, она пластмассовая, мне доставили со сломанной отметкой. Заметила только после того как приняла товар. Обидно. Заказывала в подарок.</t>
  </si>
  <si>
    <t>Ноут супер, есть и недостатки, конечно, но в общем, по сравнению цена и качество - это лучший вариант среднего класса.  Недостатки: нет ПО на дисках, ПО только для Vista, но при желании на XP можно скачать с оф.сайта тошибы, нет HDMI это плохо.  Комплектация конечно смешная, можно сказать, что её ВООБЩЕ НЕТ.  А так: работает тихо, нет всяких там лампочек мигающих, которые сильно отвлекают, звук отличный, ролик управления звуком старит, но практичнее кнопок,удобно открывать, надписи на клаве хорошо видны вечером без освещения и русские и латинские.  Игрушки прут все даже последние без зависаний.    Но зачем портить VISTой такую машину</t>
  </si>
  <si>
    <t>У нас такая проблема, жесткая вода и когда наливаешь чай или кофе, сверху какая то пленка, я такой чай пить не могу, и для меня это все время проблема, поэтому  приходится покупать воду отдельно для чая. Пару дней как купили этот фильтр, воду очищает хорошо, пленки ни какой нет, запаха у воды тоже нет. Надеюсь что будет хватать одного фильтра на месяц.</t>
  </si>
  <si>
    <t>Меняю периодически щетки. В этот раз остановился на этой. Претензий нет. После процедуры чувствуются вычищенные зубы.</t>
  </si>
  <si>
    <t>2013-08-16</t>
  </si>
  <si>
    <t>Отличный саб. За такие деньги вполне себя оправдывает. Сегодня поставил в Форд Фокус 2 седан, отличная слышимость и отлично прокачивает. Ставлю +5.</t>
  </si>
  <si>
    <t>Пользуюсь духовкой пока месяц, но очень часто! Конкурентов при выборе не было! Подкупила комплектация: вертел, направляющие, а также низкое потребление энергии - 2500квт. Готовит шикарно! Много функций, все даже еще не изучили! Вообщем одни плюсы! Но есть и минусы: до сих пор при готовке выделяется специфичный запах (в инструкции написано что только при первом прогреве он должен быть), и иногда слегка заедает утапливаемая ручка управления температурой, вторая ручка идеально утапливается и выдвигается!</t>
  </si>
  <si>
    <t>Выбирал между Bosch TWK 6801, Philips HD4654(64), Vitek VT-1106 и Moulinex BY500130. Почитал отзывы по данным моделям и купил Moulinex BY500130, так как он имел наименьшее кол-во негативных отзывов, и скажу вам, что выбором я доволен. Чайник не шумный, но первое время по утрам, в абсолютной тишине, казалось, что он разбудит всех спящих членов семьи. Крышка открывается под углом 70 град., заливать воду первое время было неудобно. 1,7 литра воды кипятит ~за 5 минут. Лично меня после покупки волновало одно: будут ли проблемы с автоматическим отключением чайника после закипания воды и чтобы чайник не потек через пару дней использования. За 3 месяца использования чайник 3 раза автоматически не отключался после закипания воды, причем чайник был как полон (1,7 л) так и заполнен наполовину (~1 л). Других существенных проблем обнаружено не было. В целом покупкой доволен.</t>
  </si>
  <si>
    <t>Замечательный набор особенно для своей цены. 3 года назад увидела его на сайте магазина, правда, стоил он тогда около 800 рублей, попросила мужа подарить мне его. Ни разу не пожалела. Аккумулятор, конечно, слабоват, но ведь им можно пользоваться не отключая от сети. И тогда то, что надо. Конечно, для тех, кто при процессе маникюра хочет подчистую спилить себе всю ногтевую пластину и оставить только кожу, этот прибор слабоват. А для нормальной бережной обработки замечательная вещь!!!</t>
  </si>
  <si>
    <t>2014-07-10</t>
  </si>
  <si>
    <t>Водичка бежит теплая, приятная. Сегодня опробовал, с комфортом принял душ. Напор нормальный, даже вставил второе кольцо в лейку, т. к. с самым маленьким прям горячая была! В общем доволен, монтируется элементарно, дом у меня новый, напряжение и мощность на нужном уровне, дело происходит летом)))</t>
  </si>
  <si>
    <t>Подключил вместо раковины шлангами, горячая к горячей, холодная к холодной. Перекрыл стояк горячей воды (чтоб не снабжать весь подъезд). Получилась подача горячей воды на смеситель в ванну. Нагревается довольно быстро, очень хорошо держит температуру, при этом корпус холодный. При нагреве совершенно не шумит. При первом наборе потрескивал бак от давления. Всем доволен, все устраивает.</t>
  </si>
  <si>
    <t>купила 2 мес назад. Телефон очень хороший. за такие деньги просто замечательный аппарат. Камера на 5+. Недавно потеряла(( буду покупать опять ЕГО!!!! всем советую!</t>
  </si>
  <si>
    <t>Приобрёл вчера данный вентилятор. Счастлив! Работает тихо. Пульт и таймер крайне полезные вещи. Рекомендую.</t>
  </si>
  <si>
    <t>Недавно приобрел такой комплект, проблем с установкой не было. Включил компас на смартфоне (есть на любом смартфоне с акселлерометром) нашел нужный азимут (есть на сайте нтв+) и буквально за 10 минут добился 100% качества. Подключился на 941 канал, активировал договор на сайте и всё начало показывать. Ресивер Humax va-4sd сразу обновился и качество сигнала слегка упало 10%, а также сбились все каналы, их стало на 1000+ а всего 200. Пошел подстроил и затянул болты, с тех пор всё отлично показывает на телевизоре philips 40 дюймов. Всем советую!  Из минусов для себя считаю только смещение во времени, в Тюмени часовой пояс GMT +6 (+2 к московскому времени), а все каналы на спутнике eutelsat w4 показывают по московскому времени и более никак. Как новый год встречать буду пока незнаю :)</t>
  </si>
  <si>
    <t>Пользуюсь год. Мощный, но тяжеловат. Тупой регулятор мощности. Проблема со смоткой шнура (не оставляйте надолго с вытянутым шнуром). Дважды прочищал шланг: просвет его сужен трубкой подачи воды, забивается (дочкины длинные волосы). Фильтры менял - комплект 300р. Мыть после уборки не трудно.</t>
  </si>
  <si>
    <t>Купил сегодня игру!И оказалась полным разочарованием для меня!  Такое впечатления,что разработчик под конец выпускал ее в попыхах!В итоге-очень сырой продукт,который к тому же периодически "глючит".Единственное,что заставляет в нее играть это наличие чемпионптп России.Если бы я снова стоял перед выбором,то он бы завершился бы явно не в пользу данного продукта от EA sports.Игра откровенно разочаровала.</t>
  </si>
  <si>
    <t>Хороший подогреватель питания, необходимый атрибут для родителей. Смеси и детское питание (пюре) не рекомендуют греть в микроволновых печах, поэтому данный аксессуар очень пригодиться молодым родителям. Так же в нем подогреваются не только бутылочки, но и контейнеры VIA от Philips Avent с едой (кашами, пюре...)</t>
  </si>
  <si>
    <t>Комплектную сетку разломал по неосторожности, думал что бритву теперь придется выкинуть, потому что без сетки ее нельзя использовать.Случайно наткнулся в мвидео на расходники. Для ES8043 была только эта. Но она мне понравилась. Устанавливается так же легко как и родная. По ощущениям чуть тоньше, не греется при работе, волоски пропускает все до одного. Бритье субъективно стало чище.</t>
  </si>
  <si>
    <t>у меня сейчас такая. мне не нравится. волосы сожженные,на долго не хватает. где то через три часа волосы опять вьются. так что берите что-нибудь покачественнее. не жалейте денег</t>
  </si>
  <si>
    <t>Всех частот в меру, сидят удобно, не напрягают. Искал именно с длинным кабелем для подключения к тв. Очень доволен покупкой</t>
  </si>
  <si>
    <t>Привезли сегодня 20.08.2010г.(с опозданием).  Машину выбирал долго на замену Ariston AVSL109 (проработала 5 лет, сгорела плата).Сузив выбор,остановился на двух машинах:   LG F1068LD1 и Samsung WF 8590NFW. Основные критерии:1) глубина 45см;2)1000 об./мин.; 3) легкая глажка; 4) детские вещи; 5) не более 15 т.р.  В пользу выбора Samsung сыграли следующие "фишки": 1) керамический нагревательный элемент (на долго не смотря на накипь -вода у нас жёсткая);2) система VoltControl (не знаю, есть ли она в этой модели - продавец сказал, что она есть у более дорогих);3)китайская,а на российская сборка (как у LG).  В пользу выбора машины в М.видео сыграл Сертификат на 5 лет (что бы ни случилось), хотя по пути у другого Продавца эта машина была дешевле, и доставить обещали   в этот же день или на следующий до обеда + ранее покупал различную технику в М.видео (сертификат работает).    Первое отличие от той, что была раньше - звук. Такое  ощущение, что к двигателю подвели электричество, но его не хватает, двигатель гудит, но "не работает" - находится в "напряженном" состоянии.  При начале отжима звук напоминает звук самолета собирающегося на взлёт, при завершении - звук приземлившегося самолета, останавливающего двигатели.  Касательно качества стирки и эффективности режимов (в т.ч. интересующего меня "легкая глажка") напишу позже, попользовав машину побольше и подольше.</t>
  </si>
  <si>
    <t>хороший аппарат!!!!!!!</t>
  </si>
  <si>
    <t>Очень удобен в использовании,многофункционален!</t>
  </si>
  <si>
    <t>супер,шумноват правда,как "Бошевские"но пользую в пух и гриву.  терморегулятор надо устанавливать четко по делению,иначе кмпятит а не подогревает</t>
  </si>
  <si>
    <t>Отличный аппарат по функциям! Но есть деффект- достаточно быстро царапается экран стилусом и происходит "раскалибровка" экрана. Поменяла 2 аппарата по гарантии</t>
  </si>
  <si>
    <t>отжимает отлично, от моркови жмых - сухие опилки.моется легко и быстро, компактная.</t>
  </si>
  <si>
    <t>1461</t>
  </si>
  <si>
    <t>найдите подобный аппарат в пределах 10 тыс))))если ставить глючные проги? то любой аппарат повиснет, драивера от shkoder и slabnoff регулируют частоту процессора. Дополнительная антенна не требуется, спутники ловит через 4 минуты и не отпускает. А какой правке реестра вы говорите, даже после перепрошивки этого не требуется, вы видимо перепутали аппарат CHANt</t>
  </si>
  <si>
    <t>335</t>
  </si>
  <si>
    <t>Достоинства:  Реальная регулировка мощности - три раздельных нагревательных элемента в каждой конфорке.    Недостатки:  Короткий шнур - 95см.  Нет индикатора остаточного тепла.  Нет зон расширения.    Подробно:  В отличие от всех картинок в интернете (в том числе на сайте производителя), в реальности ручки совсем другие и шесть положений ручек помечены цифрами.  Из плиты торчит кабель без вилки длиной 95см. Если розетка у пола, этого кабеля, увы не хватит.  Удобно что из положения "0" ручку можно крутить в любую сторону - и на "1" и сразу на максимум "6".  Поверхность имеет спиральные нагревательные элементы, причём в каждой конфорке их три. Ручка коммутирует их последовательно и параллельно. Таким образом получаются шесть разных мощностей каждой конфорки.  Скорость разогрева около 10 секунд.  Думаю, что раздельные спирали значительно лучше, чем Hilight, где одна спираль периодически включается и выключается для регулировки мощности. Особенно для дачи, ведь нет постоянного включения-выключения большой нагрузки. При включении не на полную мощность плита потребляет меньшую мощность.</t>
  </si>
  <si>
    <t>Поработав недельку на 32 бита опять начал виснуть. Поставил обратно WIN7HP 64 бит, обновил биос, обновил винду работает на славу!!!! зависал, когда установил кодеки K-lite(32 бит), удалил и пока без зависания!!!</t>
  </si>
  <si>
    <t>1016</t>
  </si>
  <si>
    <t>Бритва хорошая, но плохо бреет подбородок и под подбородком, приходиться проходить несколько раз. По соотношению цена и качество супер.</t>
  </si>
  <si>
    <t>Машинкой пользовалась 3,5 года, на ровном полу вибрировала так, что соседи вздрагивали наверное. Контейнер для кондиционера запаян, что приводит к своего рода неудобствам. Через год перестал порошок выбираться из контейнера, а вчера потекла и сгорела. При покупке посоветовали знакомому, у него сегодня машинка потекла и сгорела. Очень сильно обидно, что у техники, которая стоит не 1000 рублей такой маленький период эксплуатации.</t>
  </si>
  <si>
    <t>Купил месяц назад эту пароварку. Очень доволен. Дизайнеру 5 баллов за модель. Теперь вся техника, которую буду покупать, будет носить марку только BORK.</t>
  </si>
  <si>
    <t>Чайник ужасно шумит. Выбирала специально тихий чайник для небольшой квартиры с двумя маленькими детьми. Первые три кипячения работал хорошо. Потом стал шуметь на жалобу в магазине посоветовали очистить от накипи и поменять воду. Почистила и воду заливаю только бутилированную. Результата ноль. Плюс стал подтекать снизу где пластмассовое дно по стыку. И это за полгода использования. За такие деньги это конечно кошмар.</t>
  </si>
  <si>
    <t>148</t>
  </si>
  <si>
    <t>На мой взгляд кисточка жестковата, пользуюсь ею редко, боюсь поцарапать стекло.</t>
  </si>
  <si>
    <t>Подарили на день рождения, пользуюсь уже 2 месяца, нареканий нет. После ручной я просто в восторге, крутит все, очень быстро, без лишних усилий. Ещё один плюс ко всему, классная книга с рецептами блюд из мяса.</t>
  </si>
  <si>
    <t>2058</t>
  </si>
  <si>
    <t>Скажите пожайлуста, я в технике не очень, что такое люфт задней крышки? А ещё6 что лучше 5530, 5800 или Х6? А то меня терзают сомнения, что брать...  Не удобны цвета:   красныйй плюс чёрный - гробик,  Бело-голубой - грязниться будет,  розовый - вообще молчу ^_^.  Люблю голубой цвеТ но вот с белым... Эх...</t>
  </si>
  <si>
    <t>Что радостно   1. Цена   2. Бош  3. Компактен  4. Стальные трубки  Что нерадостно  1. Цвет - только синий  2. Дополнительных нет щеток-насадок  Итого   Взял 2 штуки ))))))))</t>
  </si>
  <si>
    <t>При выборе мультиварки были 2 самых важных критерия: простота в использовании и надежность производителя. В итоге остановились на этой модели, так как действительно большое количество положительных отзывов как здесь, так и на проф форумах. Да и консультант в магазине абсолютно поддержал в выборе, хотя бюджет могли себе позволить и больший. В общем, скоро нашему девайсу уже пол года, и пока никаких проблем в использовании не всплывало - довольны покупкой, пользуемся регулярно. Единственный косячок, как тут уже выше обсуждали - не полностью открываемая крышка, которая придает некоторый дискомфорт при мытье после всяких супчиков. В остальном, что хотели, то и получили на 100%</t>
  </si>
  <si>
    <t>712</t>
  </si>
  <si>
    <t>&amp;nbsp;Все исправно работает. Вначале меня такая не высокая цена насторожила, а потом когда я ее купила и приготовила на ней, я успокоилась и расслабилась. Все работает хорошо.</t>
  </si>
  <si>
    <t>254</t>
  </si>
  <si>
    <t>Жуткая пароварка, не понравилась! В большом отделении пара мало, еду не готовит. Включается через раз. В общем, выкинула новую пароварку в помойку.</t>
  </si>
  <si>
    <t>Получила щипцы в подарок от мужа. Ну и как любой мужчина (особенно технарь) к процессу покупки он подошел предельно серьезно – сравнил пару десяток моделей, узнал всё об их мощности, покрытии, температуры нагрева. Выбирал по трем им же определенным и важным критериям: мощность нагрева, покрытие, цена. В итоге выбрал щипцы, которые не портят волосы и воздействуют на них максимально щадящее. Не понимаю претензий, когда про щипцы говорят, что они медленно формирую локоны. Ну а вы хотели чтобы было как? Чтобы пахло смоленой курицей и уже через месяц у вас волосы начали пачками отпадать? Чем дольше время формирования локонов, тем меньше вреда для структуры волос – это аксиома. Многие специалисты вон вообще даже волосы не рекомендуют феном сушить ну или сушить на холодном режиме, без нагрева. Да и я бы не сказала, что надо как-то сильно долго ждать. Главный секрет – не захватывайте много волос, пусть локоны будут потоньше. Тогда и времени на их закрепление получится меньше,  и держаться они будут дольше. Так что именно эта модель щипцов - идеальный вариант для тех, кто заботится о своих волосах.</t>
  </si>
  <si>
    <t>2015-11-20</t>
  </si>
  <si>
    <t>Потёк через 15 мес.</t>
  </si>
  <si>
    <t>Классная вещь!Выполнен качественно. После установки полностью пропали посторонние шумы. Питающий кабель тоже заменил на КГ35 - не стало просадки напряжения. Теперь полностью доволен.</t>
  </si>
  <si>
    <t>Очень довольна! Удобный в применении, легкий, компактный, греется за 30 сек. Температура нагрева до 200 градусов, так что справится и с вьющимися и с "толстыми" волосами. Использую щадящий режим 155 С, для волнистых мелированных волос самое то! Есть индикатор температуры, ионизатор, плавающие керамические пластины (что очень удобно, т.к. если возьмешь прядь потолще,щипцы не "застревают" на волосах, а скользят плавно, автоматическое отключение через 30 мин., но можно продолжить нажав кнопку on/off, есть быстрый максимальный нагрев до 200 С для непослушных прядей.</t>
  </si>
  <si>
    <t>купил их ровно год назад, сейчас вот зашёл проверить цену - не изменилась. звук вполне, очень даже. думал через месяца три развалятся, однако при совершенно варварском отношении к ним с моей стороны держатся до сих пор. Советую в общем.</t>
  </si>
  <si>
    <t>Купил в м видео, телек супер, цвета насыщенные лица не растянуты, вообщем всем доволен.</t>
  </si>
  <si>
    <t>1989</t>
  </si>
  <si>
    <t>купили эту стиралку из за традиционной немецкой надежности,вот только надежность подвела. при первой стирки машина дала течь,но оказалось ничего страшного,приехал мастер и устранил течь. вот теперь она у нас 6 месяцев и нареканий больше нет. стирает отлично. я довольна.</t>
  </si>
  <si>
    <t>Отличный духовой шкаф. Все функции нужные и полезные, всеми приходилось пользоваться. К сожалению нет защиты от детей, но тогда стоимость была бы больше. Берите, не пожалеете.</t>
  </si>
  <si>
    <t>462</t>
  </si>
  <si>
    <t>Очень хороший компьютер,за такие деньги! Тянет новые игры игровой индустрии. Я его приобрел пользуюсь с удовольствием,он не громкий. Я ЗА!</t>
  </si>
  <si>
    <t>У меня 2 таких вентилятора. Первый купила 2 года назад, понравился, тем летом купила второй такой же, для другой комнаты. Довольна очень. Достоинства: наличие пульта, удобная опора (маленькая, круглая, а не палки-растопырки), компактность и аккуратность, довольно хороший поток воздуха (3 скорости), эстетичная внешность :-) Недостатки: нашла только один - на третьей скорости шумновато работает, но это недостаток многих вентиляторов.</t>
  </si>
  <si>
    <t>861</t>
  </si>
  <si>
    <t>Очень нравится. Выпрямитель удобен в обращении. Укладка волос занимает 5 (максимум 10) минут. Волосы выглядят красиво, словно только что из салона. Феном я не могла так уложить и много времени тратила. Волосы не пушаться.Очень рекомендую.</t>
  </si>
  <si>
    <t>Я поклонник SONY но ASUS взял верх над моим представлением  экономичностью, дизайнерством, эргономичностью и своим немецким превосходством в области качества. Это сообщение я пишу с этого превосходного ноутбука...</t>
  </si>
  <si>
    <t>Купил почти год назад. ДВД с видео не пробовал а так отлично всё, нареканий нет.</t>
  </si>
  <si>
    <t>2449</t>
  </si>
  <si>
    <t>Пылесос за свою цену хорош! К шуму привыкли, мешки всегда в наличии, также прикупили универсальную турбощетку для него, теперь ковер как новый.</t>
  </si>
  <si>
    <t>1262</t>
  </si>
  <si>
    <t>2016-04-18</t>
  </si>
  <si>
    <t>пользовалась 2 лета,пока очень довольна.</t>
  </si>
  <si>
    <t>Утюг супер. Первое впечатление - на гладилке пересохшие джинсы, ожидания скептические, тем более что утюг не едет по ткани, а летит. И, о чудо, за ним остается отлично выглаженный след. То же касается и всего остального белья. Плюс отличный паровой удар. Я очень доволен.</t>
  </si>
  <si>
    <t>1418</t>
  </si>
  <si>
    <t>Пылесос отличный! Мощность всасывания очень хорошая,Но мне не понравилась главная насадка для пола! Она не качественная,потом решил купить отдельную насадку для пылесосов за 300рублей и все проблемы исчезли.Главное что основание телескопической трубки сделано из металла!(а не из пластмассы!).Нера фильтр очень хороший!  Так значит если пылесосиш,да ешё чистится воздух в квартире!Я бы конечно купил пылесос BORK но стоит нормальный уже под 3 000 руб,Собственно для повседневного пылесоса я считаю его нормальным!Но не престижным...</t>
  </si>
  <si>
    <t>Купил в м видео, телек супер, цвета насыщенные лица не растянуты, в общем всем доволен.</t>
  </si>
  <si>
    <t>Купили в сентябре. Пользуемся каждые выходные! Очень нравится!!! Мясо получается практически так же, как и на костре. Очень хорошая вещь для любителей шашлыков, курицы и рыбы гриль)))</t>
  </si>
  <si>
    <t>Ну только купил думал понесу менять, потому что только включил не работает,менял розетки вертел всяко разно-ну никак не хочет и всё тут. дальше интересней=) дома стоит такой же чайник один в один только без регулятора температуры, ставлю новый чайник в старую подставку и о чудо! -заработал! ставлю старый чайник в новую подставку тоже работает, вскипел новый, ( пластиком пахло как от китайских кроссовок) сливаю воду ставлю всё как должно быть и всё работает=) в общем если сказать, регулятор работает исправно,не заметил косяков, стекло уровня воды стало тоньше в сравнении со старой версией и поэтому четко видно пар и как бегают пузыри, тут на любителя. крышка не мокрая. нагревается сильно, но ручка не горячая. 4 ставлю, мог бы 5 если бы не такая ерунда с заменой подставок=(</t>
  </si>
  <si>
    <t>хороший плеер за такие деньги, звук очень громкий, максимум слушаю на 15 из 32. наушники сразу купил другие. видео читает без проблем. берите не пожалеете.</t>
  </si>
  <si>
    <t>Очень хороший ноутбук!!!! Если вы ищите стильный,функциональный и удобный ноутбук, то Hp pavilion dv6-2116er просто создан для вас!!!!</t>
  </si>
  <si>
    <t>Удобный, шустрый, безопасный электрочайник</t>
  </si>
  <si>
    <t>1811</t>
  </si>
  <si>
    <t>Обалденный штатив. Снимаем в лесу, парке, везде, где есть возможность зацепить за какое-либо крепление. Держится прочно, все довольны.</t>
  </si>
  <si>
    <t>и, главное, ТИХИЙ!!  не мешает спать, когда муж читает на соседней подушке )))</t>
  </si>
  <si>
    <t>Это шедевр! матов не хватает описать насколько это выносит.    на самом деле эта игра заставляет задуматься: А как далеко ты готов зайти чтобы спасти того, кого любишь?  Очень мощный сюжет, и история, которая задевает до глубины души.  Если честно у меня чуть слеза не потекла. Рекомендую всем.</t>
  </si>
  <si>
    <t>Купили её 2 дня назад и влюбились. Сначала покорил дизайн - белая и отличная от других. Дома включив показалась немного шумной, но к этому быстро привыкаешь, так как шумит только пока готовит - минут 5. Но зато кофе получается очень вкусный, особенно если немного постоит. Емкость колбы, как и писали выше немного не удобная (чтобы вылить всю воду нужно полностью перевернуть колбу), но существенным минусом не считаю, так как наливая последние капли кофе, при наличии осадка, он как-раз там и остается. Никакие фильтры в комплекте не идут - сразу взяли одноразовые (многоразовые и не рекомендуется пользоваться, так как рам могут оставаться частицы предыдущего кофе и разводится микробы). Одноразовый фильтр использовал, выкинул и она внутри чистая и почти сухая. Протираю после каждого удаления фильтра только для своего спокойствия - салфетка немного влажная, но чистая. Пока довольны и надеюсь она будет радовать нас ещё долго.</t>
  </si>
  <si>
    <t>Купил данную модель по акции с бесплатной установкой. Выбирал долго и тщательно. В результате не пожалел!) Был немного расстроен тем, что кнопки на пульте, которые отвечают за выбор положения горизонтальных жалюзи, включение режимов ионизации и приток свежего воздуха, а также тихий режим, абсолютно не нужны для данной сплит-системы, так как этих функций в ней на самом деле нет! Но меня успокоило то, что горизонтальные жалюзи регулируются хотя бы вручную, тихий режим этому кондиционеру и не нужен, потому что ни внутреннего, ни внешнего блоков не слышно вообще, а функцию ионизации я вообще в любой технике считаю сомнительной! Порадовала информация об энергопотреблении, указанная в инструкции - 800 вт/ч, а не 2000, как указано на сайте. Ещё в комплекте были какие-то цветные губки, типа фильтров, но я так и не понял куда именно их ставить.) Возможности увидеть как работает система разморозки блоков и автодиагностика пока не было. В общем, если вам нужен компактный (а внутренний блок реально меньше остальных девяток) и качественный кондиционер на 25 квадратных метров, то эта модель для вас!)</t>
  </si>
  <si>
    <t>Пользователь Е-101 2 месяца поэтому расскажу всю правду  Минусы:  1.Плохая камера (ужасные снимки)  2.Некоректное отрабатывание ТАЧскрина (решаетсся с новой прошивкой)  3.Постоянно рвется связь со спутниками при работе с GPS (GPS API 2 раза в минуту, а через COM7 через каждые 5 сек).  Плюсы:  1. Самая низкая цена для КПК такого уровня (CPU-528MGZ, RAM-256, ROM512)    PS. WIFI который установливают  в КПК ничего не умеет в отличие от WIFI установленного в ПК поэтому его отсутствие это только плюс потому что не нужно устанавливать дополнительную антену, а это место использовать увеличив GSM антену т.е. увеличить чувствительность приема GSM модуля.  Почему не выбрал АНДРОИД? Потомучто 60% установленного софта заточено под интернет сервисы, а КПК это не только Internet Explorer.  Если помог при выборе ткни в "ДА"</t>
  </si>
  <si>
    <t>Великолепная консоль!!!Минус разве что в том,что если протирать приставку обыкновенной тряпкой на корпусе останутся маленькие но не приятные царапины =(</t>
  </si>
  <si>
    <t>Отвратительное качество изделия. Первая же стирка не удалась. Машина не нагревает воду, после каждого цикла начинают моргать все индикаторы, в это время ни одна кнопка не реагирует на нажатие. Более чем неприятно удивлена.</t>
  </si>
  <si>
    <t>Очень понравилась, делает всё как написано, цена отличная. Минусы: Не яркий дисплей, и плохо видна градуировка на мерном стакане.</t>
  </si>
  <si>
    <t>Ноутом доволен, за свои деньги лучшей в своей линейке, есть конечно и минусы но незначительные, дам совет меняйте код на БИОСе или отключайте, а то можно попасть в неприятную ситуацию.  Подскажите, где можно докупить пульт ДУ, уж очень нужен?</t>
  </si>
  <si>
    <t>1604</t>
  </si>
  <si>
    <t>В игры не играю больше, что бы время не тратить. В остальном, работает отлично. Винду пока не сносил, пользуюсь около трёх недель, брал с собой в поездку на Вологодчину. Тихий, удобный, оригинальный корпус! Хорошая встроенная камера с возможностью "кривых зеркал" очень порадовала меня и моих друзей в скайпе:)</t>
  </si>
  <si>
    <t>Купил соньку месяц назад.До сих пор радуюсь покупке.Отличный плеер.Качество как всегда на самом высоком уровне.Единственный минус-панель быстро царапается,но это ничто по сравнению с качеством звука.Если выбирать себе плеер то только сони.Не пожалеете!Только не забудьте приобрести к нему чехол.</t>
  </si>
  <si>
    <t>Пылесос служит верой и правдой без чистки двигателя уже 3 года, и, представьте, без потери мощности всасывания. Уж я такой поклонник фирмы Samsung (в моём доме телевизоры, телефоны радио- и мобильные, и прочее этой фирмы, но эта модель просто КЛАСС) - не тяжелый, симпатичный, неприхотливый.</t>
  </si>
  <si>
    <t>Основное достоинство этой кофемолки в том, что она перемалывает зёрна жерновами. Можно регулировать степень помола. В обычных типичных кофемолках я такой функции не встречал. Мало того, очень у многих знакомых выходил из строя мотор из-за перегрева. Здесь же жернова, перегреть мотор гораздо сложнее. Верхний жернов достаётся, по ощущениям как какой-то камень, на самом деле. У кофемолки есть таймер на заданное кол-во кружек (ложек кофе) - от 2 до 12. Я проверял, если положить 2 полных столовых ложки зернового кофе с горкой, а указатель поставить на цифру 2, то в самом деле, столько времени и потребуется. После этого кофемолка отключается. Можно отключить и раньше, нажав кнопку Вкл\\Выкл. Если отключилась, а зёрна остались неперемолотыми, можно снова её включить. На самом деле это совершенно не требуется, можно оставлять зёрна неперемолотыми в верхнем отсеке для зёрен. Когда соберётесь приготовить пару кружек кофе, а нижний контейнер с перемолотыми зёрнами пуст, включаете кофемолку на 2 кружки, ровно столько и получите перемолотого кофе в нижнем контейнере. Очень удобно. Конечно, рекомендуется перемалывать кофе ровно столько, сколько нужно, чтобы он не терял аромат. Оба отсека выглядят достаточно герметичными. Качественный пластик, красивый дизайн, лишняя длина шнура убирается под низ кофемолки. Ножки резиновые. Можно держать всё время включённой. Только досыпайте зёрна сверху и забирайте нужное кол-во перемолотого кофе снизу. Супер!</t>
  </si>
  <si>
    <t>Пользуемся этой соковыжималкой уже год, очень довольны. Хорошо отжимает овощи и фрукты. Только ягоды отжимает не очень хорошо, жмых влажный и остатки ягод попадают в сок.</t>
  </si>
  <si>
    <t>Антенна хорошо, ловит все радиостанции отлично. Работает уже более года без каких либо нареканий. Очень компактная и незаметная.</t>
  </si>
  <si>
    <t>3002</t>
  </si>
  <si>
    <t>Начитавшись отзывов, загорелась идеей приобрести этот чудо-аппарат. Думала, в аптеке куплю Эвиталию, на ночь буду ставить, утром - в холодильник, и все супер! Читала, что, бывает, перегревает, но не настолько же! Обжигает руки! Картон под баночками не спасает. Может, мне просто не повезло. Советы в интернете про танцы с бубнами вокруг простого аппарата (термореле, термометр, эксперименты по кол-ву часов)- даже читать уже не хочу. В итоге - попытаюсь вернуть в магазин.</t>
  </si>
  <si>
    <t>Я купила эту плойку и не пожелела, достойная вещь!!!правда завивка плохая, кудри недолговечны, тут же расплетаются!</t>
  </si>
  <si>
    <t>Только сегодня преобрел сей телевизор, но насладится качеством изображения и звука удалось ровно в течение 20 минут. После чего телек издал ужасный писк\треск и перезагрузился. Проработал еще пару минут и сделал то же самое. Отключил из его сетевого фильтра другие приборы - не помогло. Наверное придется ташить в СЦ...А жаль, вроде бы хороший телевизор.</t>
  </si>
  <si>
    <t>Наушники отличные! Покупал их года 3-4 назад. Качество звука и сборки на высоте! Отличные низкие частоты. Хороший шнур. Хорошо сидят на голове и плотно прижаты к ушам.   Рекомендую!</t>
  </si>
  <si>
    <t>На мой взгляд это самый эффективный кондиционер в данном ценовом сегменте. Очень мощная охлаждающая способность, разницу которую даже просто рукой можно ощутить по сравнению с аналогами. Очень прост в управлении, и очень быстро готов к работе. Уже через несколько секунд после включения полноценно охлаждает. Советую!</t>
  </si>
  <si>
    <t>1958</t>
  </si>
  <si>
    <t>Купили соньку 27 февраля, до сих пор терзаюсь мыслью отвезти и поменять на тошибу, утешает одно, что висеть будет на кухне, может для данного помещения и сойдет.Полностью присоединяюсь ко всем отрицательным отзывам, кроме дизайна плюсов нет.Изображение ужасное,четкости нет, четыре дня пыталась настроить.Надеюсь, что от спутниковой тарелки качество будет лучше.Большая пауза при переключении каналов, для любителей щелкать кнопки весьма нервозное занятие.Плюс ко всему купили за 19т.р У знакомых филипс,не заметила никаких изъянов изображения.</t>
  </si>
  <si>
    <t>535</t>
  </si>
  <si>
    <t>Замечательный конвектор,работает абсолютно бесшумно,дома было ужасно холодно и самое главное была влажность,за ночь работы стало жарко так что мы даже вылезли из под одеяла,влажность пропала,раньше с утра одевали влажные вещи,сейчас абсолютно нормально,никакого постороннего запаха не было,довольно мощная штука 25 квадратов берет с легкостью.Минус конечно в его объеме, но он легко крепится на стену и вообщемто уже не мешает.Так же смотрите что вам дают на кассе так как наш был слегка с внутренний стороны помят,но вмятина видно заводская так как краска лежит на ней очень аккуратно.Вообщем и в целом покупкой очень довольны.</t>
  </si>
  <si>
    <t>2014-03-27</t>
  </si>
  <si>
    <t>Хороший утюжок, прослужил больше 5 лет, соприкосновение пластика плотное, нагревается быстро, советую брать</t>
  </si>
  <si>
    <t>Басов вообще нет((( Пищалки какие-то... Не оправдывают свою цену... Не советую брать, поищите что-нибудь другое... Сдуру взял, повёлся на положительные коменты(((</t>
  </si>
  <si>
    <t>пользовались месяц,не моет, а только грязь размазывает, не советую никому приобретать это ЧУДО...</t>
  </si>
  <si>
    <t>Купила.С виду вроде ничего. Ну да,тонкий,звонкий)).Прямо в магазине предложили настроить интернет и ммс.Оплатила 300р,довольная,что все будет сразу.Через 15 минут сказали-извините,с этой фирмой очень сложно работать,телефон не настраивается.И вернули деньги.Через день телефон стал глючить на прием смс от оператора.Причем интересно так,смс приходит,но не то,а по десятому разу последний текст( от подруги например) хотя она ничего не шлет.А если все смски удалить,то приходит только сигнал,а во входящих пусто.Ну,на интернет я забила,а вот с смсками буду разбираться.Благо в Билайне дали телефон поддержки клиентов непосредственно фирмы-производителя.Вот сижу и думаю,что же мне мой новый телефон завтра преподнесет?</t>
  </si>
  <si>
    <t>2013-09-28</t>
  </si>
  <si>
    <t>Хороший телефон, только звонок писклявый</t>
  </si>
  <si>
    <t>1685</t>
  </si>
  <si>
    <t>Сразу после первого кипячения появились мелкие пятна на дне типа ржавчины. Вот тебе и нержавеющая сталь... Кстати такая же проблема возникла у других покупателей с другими моделями чайников Dekok (и не только Dekok). Благо, что товар приняли обратно и деньги вернули.</t>
  </si>
  <si>
    <t>Пользуюсь и не могу нарадоваться,все не работает,а летает. Очень доволен новой ОС,майкрософтовской "семёркой",всё,что было на XP,здесь замечательно запускается. Во всех играх максимальные настройки,полёт нормальный. Рекомендую как достойную замену домашнему ПК.</t>
  </si>
  <si>
    <t>593</t>
  </si>
  <si>
    <t>Очень жалею о покупке данной модели и выборе этой фирмы. Недостатки: мощность всасывания оставляет желать лучшего, шумит, большой, не удобно хранить, мыть после уборки.</t>
  </si>
  <si>
    <t>893</t>
  </si>
  <si>
    <t>Хороший ноут! Я поставил на него Vistу Ultimate X64 , так как 4Гб - этого достаточно для 64-битной системы. Купил Bluetooth-адаптер. Всё мне нравится в этом ноуте.  А особенно - надпись acer , на крышке ноута :-) Я не сразу обратил на это внимание. Только дома , ночью уже случайно увидел. Но если честно , то процессор - вроде не очень. Или я ошибаюсь. Вообщем - я не жалею , что купил этот ноут.</t>
  </si>
  <si>
    <t>Классная вещь! Бутерброды получаются быстро и ооочень вкусно, особенно когда сыр внутри плавится… Никакого пластикового запаха нет, и поверхность чистится легко и просто. Главное - браться только за ручку, когда машинка включена, иначе можно обжечься.</t>
  </si>
  <si>
    <t>Купила сегодня два эпилятора - один себе,другой подруге. второй - филипс  6400. Для интереса сравнила. филипсом больнее, но брауном ушло времени больше, пропускает волоски. в общем-то ни с тем,ни с другим идеальной гладкости добиться не удалось. но покупкой очень довольна. за такую цену вариант отличный!</t>
  </si>
  <si>
    <t>1650</t>
  </si>
  <si>
    <t>Проблем с телевизором не было! Просто достаточно вовремя менять прошивку! Предыдущий отзыв это полная ерунда! Этот телевизор является оптимальной моделью за эти деньги! В связке с PS3 просто супер!!! Всем советую!</t>
  </si>
  <si>
    <t>Очень маленький выбор электрокаминов!</t>
  </si>
  <si>
    <t>1438</t>
  </si>
  <si>
    <t>Я смотрю на отзывы и становится ясно, что есть большая разница между моделями 32PFL 5604/60 и 32PFL5604/H12. У меня последняя. В моем ТВ все отлично работает. Даже USB вход считывает видео и музыкальный файлы со съемного диска. Хотя в обычных ДВД-плейерах не получилось. В общем я доволен своим ТВ.</t>
  </si>
  <si>
    <t>324</t>
  </si>
  <si>
    <t>2013-12-02</t>
  </si>
  <si>
    <t>Очень бережно относились к форме, но начало отслаиваться тефлоновое покрытие, после 7-8 раза использования</t>
  </si>
  <si>
    <t>2003</t>
  </si>
  <si>
    <t>Бюджетный конвектор и, как уже показывает практика использования техники Витэк, имеет приличное общее качество. У меня он установлен на даче в проходной комнате, свои 12 квадратов он прогревает буквально за пол часа, при этом "дух" расходится и на соседние комнаты. Мобильный, я не стал его вешать стационарно, на колесиках есть возможность свободно перемещать его по всему дому. Работает тихо, дышится в комнате легко, воздух не пересушивает, есть термостат, с помощью которого в комнате поддерживается постоянная температура. Повторюсь, что стоимость не высокая, и за год гарантии конвектор уже себя проявит.</t>
  </si>
  <si>
    <t>Купили отработала 2 дня. И задняя комфортка заискрила.  Очень расстроены.Не советую!</t>
  </si>
  <si>
    <t>Пару месяцев назад приобрел данную модель телефона, ...круто, до сих пор работает в моих корявых руках!  В целом телефон отличный, но есть ряд минусов:   немного тормозной! до этого был самсунг е200, работал куда быстрее!  плохо что в комплект не входит кабель и дровишки!  телефон сильно ориентирован на инет!  Хотя есть и плюсы:  очень понравился яркий дисплей! и возможность создать свою неповторимую тему! ...оригинально!  хороший громкий и чистый звук, благодаря дополнительному динамику!  Хорошо реализована работа с двумя симками! (правда батарея держит 2-3 дня)  Очень много различных полей в книге контактов! ...прям досье можно написать на каждый контакт)))  2 месяца таскаю в кармане - корпус пока держит, без потертостей!  В целом телефон отличный</t>
  </si>
  <si>
    <t>2085</t>
  </si>
  <si>
    <t>Обогреватель понравился - стильный,небольшой, функции все работают, есть фильтр от пыли. Нравится щелкать пульт не вставая из кресла. Но странно и не логично, на пульте нет кнопки таймера - только на панели обогревателя.</t>
  </si>
  <si>
    <t>Два раза покупала этот флэш-диск, польстилась на внешний вид. В первый раз заглючил через пару месяцев использования, по гарантии обращаться не стала, подумала моя вина. Купила этот флэш-диск во второй раз, обращалась очень бережно, но так же, через месяц-два перестал работать, по заключениям специалиста восстановлению не подлежал.</t>
  </si>
  <si>
    <t>Купил две недели назад-замечаний нет,все что совместимо с 7-й виндой идет в лет!Не тормозит,не греется,гонял по 10-14 часов в сутки-нареканий нет - техника отличная!</t>
  </si>
  <si>
    <t>1072</t>
  </si>
  <si>
    <t>Купил эту антенну, смонтировал её на стекле своего авто в течении 15 минут, аккуратно проложил кабель, подключив её к магнитолле, а вот разъем пришлось на телевизор заменить на другой, впечатления положительные, советую тем кто думает, что то брать для авто, сигнал по городу в радиусе 15 км отличный, имеется удобный регулятор усиления сигнала и на радио и на тв я доволен!</t>
  </si>
  <si>
    <t>2164</t>
  </si>
  <si>
    <t>проработали год, потом начале скрипеть и сломались( вернее стали показывать разницу в 10 кг( обидно.</t>
  </si>
  <si>
    <t>Купили пол года назад весы,очень хорошие!!мне очень понравились..но вот на днях почему то сломались((и дело не в батарейке...эх а они мне так нравились:-((</t>
  </si>
  <si>
    <t>Был хороший пылесос, пока через месяц после покупки не сгорел двигатель (появился шум, вибрация и горелый запах). Несем в ремонт :(((</t>
  </si>
  <si>
    <t>отличная машинка, тихая, не скачет и море функций!</t>
  </si>
  <si>
    <t>В общем, для тех, у кого руки не из того места растут. так и скажу, не стоит вообще пользоваться техникой! Это хлебопечка супеР! Сколько не пробовала рецептов за месяц использования =- все получается! И очень вкусно!</t>
  </si>
  <si>
    <t>ХОРОШАЯ ВЕЩЬ !</t>
  </si>
  <si>
    <t>Печь просто великолепна. Хлеб разных сортов и тесто получаются просто идеально. Очень удобна в эксплуатации, простое доступное меню. Изделия получаются воздушными, текстура однородная. На Пасху сделали несколько куличей и угощали соседей. Все были в восторге от неповторимого вкуса, пышности и внешней красоты полученного продукта. Часто делаем тесто для пиццы, мясного и капустного пирога.Попробуйте сделать кулич, получается нечто изумительное!!!! Мы очень довольны, хлеб из магазина теперь не для нас!</t>
  </si>
  <si>
    <t>Покупала пылесос в конце 2016 года. За семь  месяцев использования оказал себя с отличной стороны.</t>
  </si>
  <si>
    <t>Итак.Поехал в Мвидио,купил мобилу очень понравилась не зависает, не перезагружается.Покупкой даволен советую</t>
  </si>
  <si>
    <t>Много полезных насадок</t>
  </si>
  <si>
    <t>Отличное изделие.  Приготовление всегда предсказуемо.   Жарит и печет равномерно .  Помимо противня умещает не хилую круглую сковороду (26 или 28 см кажется) за счет улубления в задней стенке.  Из минусов .. стальной корпус вечно в пятнах ))  Возможно занимает чуть многовато места на столе.</t>
  </si>
  <si>
    <t>Купил, установил. Отлично работает. Блок не шумит. очень доволен.</t>
  </si>
  <si>
    <t>647</t>
  </si>
  <si>
    <t>ПОКУПАЛ В 2009, ВСЕ ОТЛИЧНО РАБОТАЮТ ПО СЕЙ ДЕНЬ. БЕЗ НАРЕКАНИЙ.</t>
  </si>
  <si>
    <t>Михаил, вы не правы((....бош! стиралки номер один в мире, в соответствии цены и качества, хоть она и без наворотов ну зато смело прослужит до 15 лет!  плюс и производство и сборка-всё в германии, да и сборка частично ручная! советую всем эту машинку, да и вообще бошики))))! удачи всем в выборе</t>
  </si>
  <si>
    <t>твердая 4...неплохие колонки воспроизводят широкий диапазон частот. сабвуфер отличный если грамотно настроить эквалайзер то будет все ок.</t>
  </si>
  <si>
    <t>В целом, пылесос оправдал ожидания, но в описании указано, что 5 мешков сменных, а по факту оказалось всего 2. Знала бы это - заказала сразу дополнительные мешки...</t>
  </si>
  <si>
    <t>Газконтроль - всю жизнь люди жили без этой системы безопасности и ничего. Приходится каждый раз 3 секунды  ждать, чтобы зажечь конфорки, а духовку аж 30 !!! секунд. Кажется совсем недолго, но на нервы действует. Есть аналогичная модель, без газконтроля, дешевле и имеет освещение духовки. Жалею, что ее не купил. Ножки, кстати, нерегулируемые.</t>
  </si>
  <si>
    <t>Полностью согласен с предыдущими отзывами :) Машинка просто великолепна!:) При такой усиленной конфигурации ( процессор, оперативная память, жесткий диск, 6-cell батарея (!)) аппарат абсолютно не уступает новейшему N450 Mini 210. Поставил, Ultimate, не удержался, на стандартной винде по сравнению со стандартной конфигурацией (Starter+HP soft) производительность и отзывчивость системы по ощущениям процентов на 30 возрасла, что просто замечательно ! Можно смело рекомендовать к покупке, как и новичкам, так и продвинутым пользователям, учитывая такого замечательного производителя и такую отличную стоимость )</t>
  </si>
  <si>
    <t>Вчера купила данный плеер.Отличный дизайн,хорошая память.Осталась довольна.  Но есть бооольшой минус-после первой зарядки перестал распознаваться компьютером.как будто я его и не подключала вовсе..</t>
  </si>
  <si>
    <t>Мой первый комбайн. Раньше когда ел традиционную еду, даже не задумывался о комбайне. А сейчас когда перешел на сыроедение, первый вопрос, как будем шиковать овощи. Поэтому купил данный агрегат, попробовал перетер капусту -отлично, морковь-отлично, лук - хорошо. Сделал сок из цитрусовых-отлично. Хороший агрегат, многофункциональный. Думаю своих денег стоит, сбережет зубы и время.</t>
  </si>
  <si>
    <t>После увлажнения воздуха данным прибором вокруг сплошной туман,а после того,как все это осело и кругом сплошной белый налет..Везде..На мебели,на полу,на теле-видео-аудио технике..Везде..Так вот и в легких будет тоже самое...</t>
  </si>
  <si>
    <t>2016-09-13</t>
  </si>
  <si>
    <t>Это мой первый эпилятор, долго не решалась покупать или нет. Наконец-то решилась. Эпилятор в целом оправдал мои ожидания - убирает даже короткие волоски, правда сначала появляются покраснения, но потом проходят постепенно. Когда эпилировала ноги чувствовалось только легкое покалывание, но подмышки эпилировать конечно больно) В целом покупкой довольна)</t>
  </si>
  <si>
    <t>362</t>
  </si>
  <si>
    <t>крутая вещь скоро куплю только на xbox live наверное не хватит.</t>
  </si>
  <si>
    <t>Пользуемся этой моделью уже наверное третий год!Работает отлично!Продукты не разу не пропадали!Один минус если открыл и закрыр морозилку, то она присасывается намертво!Приходится поддевать, хотя минут через 5-10 можно и так открыть!Всем советую</t>
  </si>
  <si>
    <t>Пересмотрел кучу видео, прочитал много описаний и тестов по этой мобилке. Есть небольшие отрицательные моменты в плане звука и мелкие недоделки. Но цена и качество на высоте, а баги я уверен решаются софтово, поэтому надо срочно брать. Вот к декабрю себе подарочек сделаю :)</t>
  </si>
  <si>
    <t>Приобрели в июне 2011г. Вполне довольны. Жмых влажный, но не мокрый. Для пюре суховато. Сока давит много и быстро, прекрасно давит овощи - морковь, капусту, свеклу, огурцы, сельдерей и помидоры. Не слишком шумная. Стоит на ножках крепко, т.к. имеются присоски. Не подпрыгивает и не особо вибрирует.   Моется быстро, самое неудобное промывка сеточки (но в комплекте есть удобная щеточка), остальное моется легко.</t>
  </si>
  <si>
    <t>Телефончик вполне неплохой!!! Но есть минусы: люфт задней крышки, кнопка блокировки трясется страшно, ну сами понимаете экран большой царапается быстро, аккум быстро садится приходится яркость уменьшать, ставить на беззвучный режим и с малым вибро!!!   Потом у меня через неделю после покупки (не в МВидео покупал А ЗРЯ) сломался громик (когда мне звонят я не слышу только на громкой связи если). Громики (их 2!!) не плохие, но не слишком громкие!!! Телефон тормозит иногда, приходится перезагружать!!!   Зимой не удобно им пользоваться я вам честно скажу лучше на таком кнопки в перчатках набивать, чем без перчаток на экран пальцами тыкать!! Ща он у меня на эспертизе, возможно поменяю!   Ну а так, очень блатной телефон, все так и шарахаются, думая что это Айфон! :D     Короче телефон для молодежи и для ЛЕТА!!!! Подробную информацию кому что надо могу написать дополнительно, описать все!!!</t>
  </si>
  <si>
    <t>Купил это корейское чудо... Доволен как слон. Все четко работает, лагов нет ни в играх, ни в самом интерфейсе. Экран четкий, цвета насыщенные, и яркий. Батареи хватает на 10-12 часов работы. А камера - это чудо, лучше чем у фотоаппарата. Но больше всего удивило ПО. Это самый лучший флагман.&amp;nbsp;</t>
  </si>
  <si>
    <t>2013-05-15</t>
  </si>
  <si>
    <t>Недавно купила такую стиральную машину, результатом осталась довольна, мало места занимает и очень легкая в переноске. Стирает отлично, белье не скручивает. Всем рекомендую такую машину.</t>
  </si>
  <si>
    <t>Купил S12 год назад. За время использования никаких нареканий не вызывал. Единственный минус - заряда батареи не хватает даже на час работы в интернете с внешним 3G модемом. Правда пользовал я его каждый день - может емкость уже снизилась. Да, и греется сильно, если нагружать (особенно в жару и с 3G модемом).     Радует   цена,   дизайн (правда верхняя крышка всегда заляяпана, т.к. глянцевая),   качественная сборка,   полноразмерная клава, относительно большой тачпад,   наличие синего зуба,   отсутствие тормозов (при работе в инете и с офисными приложениями).     Отличный нетбук - свои задачи выполняет на 5.    По поводу восстановления - нет проблем. До заводских установок восстанавливает нажатием одной кнопки за несколько минут. Можно создать свою точку восстановления.    Перед покупкой надо задать себе вопрос: нужен ли вам 12" нетбук? Потому что носить его везде с собой не так легко: нужна отдельная сумка, а в сумме с зарядкой, мышкой и порочими девайсами весит больше 2 кг точно. Готовы ли вы каждый день носить их с собой.</t>
  </si>
  <si>
    <t>3214</t>
  </si>
  <si>
    <t>Плеер хороший,звук нормальный,наушники не знаю не пользовался ими,и плюсов могу отметить что:  1.не тормозит при проигрывании FLAC или видео  2.есть слот для карточки MicroSD  3.Батареи хватает для просмотра 4-5 фильмов по 45 мин,при яркости экрана не больше 5,чего достаточно при любом освещении главное что бы солнечного света не было  А из минусов:  1.Не удобно расположено гнездо для наушников  2.Верхний правый угол греется не естественно сильно при просмотре видео  3.Не удобная шкала которая показывает сколько прошло времени при просмотре видео или аудио (тоненькая белая полоска и на неё наползает голубая!!! днём на улице её не видно вообще(( может потом когда прошивку выпустят новую это исправят,а так очень доволен хотя это и не идеал</t>
  </si>
  <si>
    <t>Он великолепен, особенно в своей ценовой категории. Ставлю 5. Но видеокарта ужас. Не знаю что с ней делать. Толку от 4 гигов оперативы и 4-х ядер по 2.2 Ггц, если все относительно современные игры тормозят на минималках? Может я что-то не так делаю? Знаю, не по теме, но может кто-нибудь знает почему я часто в инете натыкаюсь на информацию, что все современные (2009 год) на нём летают на максималках, а у меня лагают на минималках?</t>
  </si>
  <si>
    <t>2016-10-15</t>
  </si>
  <si>
    <t>Не до конца понимала все плюсы термопота, пока не отключили горячую воду дома. То есть, к тому, что постоянно есть горячий чай - мы быстро как-то привыкли и ничем особенным это уже не считали. А вот когда торопишься по делам и понимаешь, что горячей воды нет... В общем, ценить термопот мы стали тогда еще больше. И два с половиной года уже он нас радует.</t>
  </si>
  <si>
    <t>Фен со своими функциями справляется. Не нагревается, не дребезжит. Пластик жесткий, приятный на ощупь. Длины шнура хватает. Есть подача холодного воздуха. Лично мне в нем не понравились несколько моментов:   1. Тяжеловат. Я- женщина миниатюрная и ручки у меня маленькие, долго держать фен в руках для меня ощутимо.  2. Кнопка переключения скоростей на внешней стороне ручки. Мне неудобно переключать.  3. Хоть мощность и заявлена 1600Вт, но терзают смутные сомнения, что по факту она гораздо ниже. Есть с чем сравнить.</t>
  </si>
  <si>
    <t>Это чудо чайник подкупил своим видом и чешской сборкой. Проливающийся носик - это пустяк. Главное принаровиться! А вот после 4 месяцев работы он стал кипятить воду раза так с 5, - сам отключался. И накипь в нем моментально образовывается и хлопьями в чашку...</t>
  </si>
  <si>
    <t>2015-05-03</t>
  </si>
  <si>
    <t>Очень-очень шумная. Даже на первой скорости сильно шумит, про 3-ю скорость я промолчу!! Заглушает даже радио. За такие деньги могли бы поставить двигатель потише.    Покупать не рекомендую!!</t>
  </si>
  <si>
    <t>Сегодня вечером приобрёл эту бритву. Сразу же принес её домой, зарядил немного и побрился. Вообще не чувствуется бритьё. Вот думаю, что же раньше не купил. Ведь и пены не надо. А система очистки это тут как бы дополнение. Можно и под струёй воды почистить - ничего сложного!!! Рекомендую ВСЕМ!!!    С П А С И Б О   М - В И Д Е О ! ! !</t>
  </si>
  <si>
    <t>Отличный чайник, до этого был чайник другого бренда, так за год дважды менял. А этот красавчик, уже третий год пошел. Кипятит быстро, есть подсветка, этот факт вообще порадовал, мне нравится. Запах пластика был, но выветрился очень быстро)))   Рекомендую!</t>
  </si>
  <si>
    <t>2014-08-18</t>
  </si>
  <si>
    <t>Купили 12 модель данного ряда кондиков в июле 2013, уже год как пользуемся, дом панельный, 70-х годов постройки... Блок в квартире, все функции работают отлично... Достаточно тихо. Про внешний блок даже не вспоминала после установки, пока тут не прочитала, что может быть шум и вибрация,  включила, проверила. Внешний блок висит прямо под окном кухни на кронштейнах. При вертикальном открытом окне не слышно, при полном открытии окна слышно гул. Но кондик работает обычно при закрытых окнах-априори! Соседи снизу не жалуются на шум. Вибраций нет. Внешний блок абсолютно не беспокоит.</t>
  </si>
  <si>
    <t>1689</t>
  </si>
  <si>
    <t>В городе устойчивая связь до 500 метров. На трассе при расстоянии между машинами более 1 км появляются значительные помехи.  Покупал с кейсом, все есть - два автомобильных зарядных устройства, две гарнитуры и два зарядных устройства от сети 220в.  Подойдет для использования на небольших расстояниях.</t>
  </si>
  <si>
    <t>2015-05-27</t>
  </si>
  <si>
    <t>Утюг идеальный из множества проверенных вариантов.   В небольшой студии по пошиву одежды, поверьте, уже испробовали много вариантов и последние 2 года пользуемся только этой моделью. Также покупали для домашнего пользования и рекомендовали друзьям! Все довольны.  Главное достоинство в том, что утюг немного тяжёлый, что помогает в наилучшем отглаживании вещей. Без нареканий! Лучший утюг!</t>
  </si>
  <si>
    <t>купил 2 недели назад, всё устраивает, но есть небольшая проблема когда кому-нибудь звоню или мне звонят и выставляю максимальную громкость динамика, слышен небольшой звон когда звучат гудки или слова. Думал с динамиком что-то, съездил в магазин, мне сбросили настройки до заводских и стало лучше, но вчера опять заметил, что звон появился даже громче, чем обычно, также скинул настройки и стало лучше, у кого-нибудь есть такое? помогите устранить :(</t>
  </si>
  <si>
    <t>Брал для бытовой простой эспрессо машины, поставил самую мелкую фракцию - идеальный результат при правельном подборе силы прессования,влажности,жирности и размера помола кофе. Можно добиться идеальной пенки и соответственно вкуса. Сравнивать с обычной центробежной кофемолкой бесполезно. В центробежной кофе мололся на пыль и гранулы до 2 мм. Для эспрессо аппарата это недопустимо. Пыль почти не продавливается и вкус горький. Крупные гранулы не успевают под давлением отдать весь аромат. В жерновой идеальная фракция(размер помола) и сразу в аппарат. Закон получения максимального аромата это помолол и сразу заваривай.</t>
  </si>
  <si>
    <t>Купила его месяц назад. К эпиляции никаких нареканий. Эпилятор у меня первый, волосы удаляет отлично! Особой боли не чувствую, эпилирую и ноги, и подмышки, и линию бикини. Но....бритвенная насадка сломалась...</t>
  </si>
  <si>
    <t>Просто отличный телефон,удобен в обращении.</t>
  </si>
  <si>
    <t>Электронные да подешевле - такие мне и были нужны.  P.S.: батарейку в комплекте не нашла, пришлось покупать отдельно.</t>
  </si>
  <si>
    <t>Работает штатно правда кофе получается не горячее придется подливать кипяток , на 4 с минусом потянет</t>
  </si>
  <si>
    <t>Очень хороший монитор, купил пару недель назад очень нравиться приятная голубая подсветка, глаза не напрягает. Большой всё видно. Покупайте не пожалеете.</t>
  </si>
  <si>
    <t>2254</t>
  </si>
  <si>
    <t>20 миллионов долларов не ушли в никуда игра очень динамична , графика отлична , сюжет хоть и не нов но достаточно интересен на большом телевизоре играть словно кино про Индиано Джонса смотреть ( стоящая вещь ).</t>
  </si>
  <si>
    <t>Купил себе Эту ПСП. Очень доволен, не глючит, цвет замечательный. Всем советую!!!!</t>
  </si>
  <si>
    <t>613</t>
  </si>
  <si>
    <t>штука прям норм, сначала сомневался покупать, но когда купил испробовал, даже не жалею что приобрел, всем советую!!!!!</t>
  </si>
  <si>
    <t>2484</t>
  </si>
  <si>
    <t>Уже давно хотели приобрести на кухню вытяжку. Надоели неприятные запахи, скопление пара и прочей ерунды, сопровождающей процесс приготовления еды. К тому же готовить я люблю и на кухне провожу много времени. Готовка – мое хобби, а значит, и кухня для этого должна быть соответствующая. Вот с этими мыслями я и отправилась на поиски достойной вытяжки. Мой выбор остановился на вытяжке Крона. Это плоская модель и занимает мало места, по сравнению с остальными. Моя кухня выполнена в светлых тонах, поэтому белый цвет вытяжки подошел как нельзя лучше). Эта модель выглядит вполне классически, что меня полностью устраивает. Управлять ей легко и просто с помощью кнопок, к тому же есть цифровой дисплей, помогающий следить за рабочим процессом аппарата. Плюсом этой техники является наличие таймера). Мне кажется это очень удобная функция. Она вполне эффективно  работает как в режиме отвода воздуха, так и в режиме его рециркуляции. Уровень шума, я считаю, не высокий. Так что я не жалею о своей покупке.</t>
  </si>
  <si>
    <t>Отличная кофемолка, очень довольны. Покупала мужу в подарок. Сначала хотела деревянную ручную, но ни сколько не жалею. Помол выбирается. Все супер!!!!!</t>
  </si>
  <si>
    <t>Всем привет!  Николай(Пенза)- это косяк надо менять    Сергей (Ленск), Вячеслав(Йошкар-Ола)и все остальные  авто вкл/выкл (отключите автоматическое обновление ПО, все пройдет, читайте инструкцию)    Андрей (Чайковский) дефект power нужно менять, флешка только для обновления ПО    Александр (Москва)не делайте решения на основе отзывов, проверяйте все в магазине перед покупкой, делайте выводы</t>
  </si>
  <si>
    <t>Пользуюсь ими 3 месяца. В принципе, для простого пользователя они неплохи. Единственное, чего не хватает, так это басов. Точнее их почти нет. Зато высокие частоты передаются хорошо.  p.s. поменяю как только будет возможность.</t>
  </si>
  <si>
    <t>Купили ее 2 мес назад. Выжимаем сок раза 3-4 в неделю, а первые дни - каждый день и ничего у нас не перегорело и не ломалось. Жмет отлично морковь, апельсин, яблоко...жмых пытались прокрутить еще раз, но сока в жмыхе нет больше. Значит, справляется!  минусы: чуток разбрызгивает сок...  моется легко, компактна. Цена за такой вполне качественный отжим - отличная!  Рекомендую купить сертификат доп.обслуживания (на 2 г.вроде стоил 490 р.) в случаем поломки - сразу вам её заменят без экспертизы, т.к. цена небольшая. А по обычной гарантии, если у вас перегорела она -обращайтесь к производителю (агарнтия у него тоже 2 года вроде), срок экспертизы макс.45 дней. Потом починят или откажут, если ваша вина есть.</t>
  </si>
  <si>
    <t>всем привет, хочу оставить свой отзыв в данную колонку.  Данную приставку покупал в М.Видео в комплекте 2 игры Alan Wake и Forza Motorsport 3. Сами игры на русском языке (только тест). Насчет приставки, симпотичный вид,  хорошее и тихое охлаждение, джостик без провода на пальчиковых батарейках работает довольно долго, игры не тормозят, графика с HDMI кабелем и ЖК или плазменным телевизором действительно впечатляет. Возможность подключения флешек, просмотр двд дисков, насчет подключения к интернету, у кого провайдер (билайн по старинке корбина телеком) подключается через другой компьютер, лично у меня приставка подключена через WI-FI к ноутбуку а ноутбук к интернету. Насчет пиратских дисков, если кто решил купить и попробывать вставить пиратский диск а точнее (копию диска, либо скаченного с интернета) то приставка автоматически блокируется и выставляется БАН что не даст в будущем играть с другими играками через интернет либо скачивать игры в том числе и бесплатные демо. Диски действительно дорогие, но есть не совсем законный способ скачивать с официального ресурса лицензионные игры себе на приставку и играть без страха и риска причем в 4 раза дешевле заявленной стоимости.</t>
  </si>
  <si>
    <t>Машинка очень хорошая, уже 5 лет работает и ни каких проблем!!! советую так как не дорогая и стирает хорошо!</t>
  </si>
  <si>
    <t>Продержался недолго, сгорел.</t>
  </si>
  <si>
    <t>2681</t>
  </si>
  <si>
    <t>супер телевизор, видео разблокировал за минуту.</t>
  </si>
  <si>
    <t>424</t>
  </si>
  <si>
    <t>Купила аналогичный пылесос еще в 1995 году. Такие пылесосы тогда только появились на рынке. И он до сих пор прекрасно работает. И мощность всасывания практически не уменьшилась. Правда щетку пришлось заменить - износилась за 15 лет. Замечательный пылесос.</t>
  </si>
  <si>
    <t>Мама долго выбирала стиральную машину, после поломки старой, отработавшей 16 лет! Замучили консультанта вопросами! Спасибо ему большое, час объяснял, что и как! Не хотела брать Самсунг из за того, что производство Китай, и что есть информационное окно, "где все будет сложно, не понятно, и вообще". В итоге купили именно ее, и все оказалось очень и очень просто! Эргономика отличная, стирает хорошо, и вообще все замечательно! Спасибо М-видео!</t>
  </si>
  <si>
    <t>Пользуюсь уже год, пару дней назад появилось пятно из битых пикселей.В Целом телефон отличный</t>
  </si>
  <si>
    <t>Достоинствами данной флэшки является ее объем и стоимость, скорость передачи данных в целом хорошая.</t>
  </si>
  <si>
    <t>Чайник неплохой, но на пятерку не тянет. Резко начинает шуметь. До этого был Эленберг. Конечно, прослужил не так долго - года полтора, но работал тише.</t>
  </si>
  <si>
    <t>Купил в М-Видео 2 года назад.  Отлично отсекают внешний шум (можно запросто под машину или трамвай попасть), но требуется привыкание к способу ношения.  Крепкая конструкция, басы.  Нужно периодически чистить.</t>
  </si>
  <si>
    <t>1480</t>
  </si>
  <si>
    <t>Купила год назад.  Удобное, элементарное, интуитивное использование, без заморочек.  НО: сразу периодически при наборе номера перестало набираться с первого раза; через год - стала пропадать связь с базой.  Не рекомендую.</t>
  </si>
  <si>
    <t>Очень сомневаюсь... Нагревательный элемент достаточно большой и уже через 15 минут варки начинает оголяться... что делать? Можно ли использовать пароварку, если нагревательный элемент не полностью погружен в воду?</t>
  </si>
  <si>
    <t>Вчера купил данный девайс, очень доволен, Ноут сделан качественно, порадовала клавиатура, правда к навигационным клавишам придется привыкать, достаточно быстрая машинка за эти деньги. Выбор сразу упал на него, т.к. других производителей даже не рассматривал. Пока все только радует)))</t>
  </si>
  <si>
    <t>Здравствуйте.Я хочу спросить ,игра cs  go пойдёт на этот пк ,если да ,то на каких требоманиях игры.Зарание спасибо.▶▶▶ОТВЕТ ЭКСПЕРТА «М.ВИДЕО»◀◀◀Иван, Системные требования игр представлены на сайте производителя, Вы можете ознакомиться с ними и сопоставить с характеристиками с\блока.</t>
  </si>
  <si>
    <t>Выбрал эту мясорубку исключительно, по отзывам, и не ошибся!!! Для проверки купил 2 кг говядины с кучей жилистых прослоек, в итоге фарш через 2 минуты. Супер 5+.</t>
  </si>
  <si>
    <t>Купили её в декабре 2009. Продавец советовал взять Борк, но мы, на свою беду, решили взять проверенный бренд. Отжимает ужасно. С  2 килограмм яблок получилось 150 мл сока и ДВА стакана пены. Сетка очень сильно забивается, нужно часто мыть. По инструкции при отжиме твёрдых продуктов нужно делать перерыв через каждые 40 секунд!!! Это же бред! Написали заявление в магазин и вернули её обратно (поменяли на борк). Уф, никому не советую.</t>
  </si>
  <si>
    <t>Фен через год начал плавиться, а потом случилось страшное - он сжег мне половину волос, так, что они повыпадали, остался ежик 2 см, а остальные волосы где-то 55 см((. Единственное, удобная выпрямляющая насадка, я ею укладывала челку, но вчера фен расплавил и ее. Так что сейчас сижу выбираю новый фен, явно не этот же.</t>
  </si>
  <si>
    <t>Один из первых эксклюзивов для PS 3 явился полным провалом и получил низкие оценки игровых журналов со всего мира. Очень скучная и неоптимизированная игра.  К тому же это напрасная трата денег,так как игра очень низкого качества как в плане интересности сюжета так и в увлекательности геймплея.</t>
  </si>
  <si>
    <t>2009</t>
  </si>
  <si>
    <t>зря потратил деньки!!! Не бреет совсем!!! НЕ БЕРИТЕ!!! А еще и комплект лезвие+сетка ровно по цене бритвы...</t>
  </si>
  <si>
    <t>купил данный набор.  набор очень понравился.  как раз нужный размер сковородок.  нагревание происходит равномерно по площади, отличный стильный дизайн, из-за прозрачности крышки видно как приготавливается еда.  всем советую.</t>
  </si>
  <si>
    <t>Активация ЮСБ. Берем два любых обычных светодиода красного свечения (не обязательно ИК-диоды), скручиваем их параллельно друг к другу разными полюсами прикручиваем к ним провод, для тех кто любит аккуратность можете припаять, но не обязательно и втыкаете на выход усилка, я подсоединял к компьютерной акустике, к штекеру идущему из активной колонки на вторую колонку, вместо нее.  Выход на наушники не пойдет, мощности не хватит чтобы раскачать обычные диоды.  Подносим диоды к телевизору, воспроизводим циклично файл, который вам надо будет скачать с форума(к сожалению не могу дать ссылку, ее удалят модераторы), подбирая медленно громкость ждем появления на экране приглашения на ввод пароля, вводим 0000 и мы в EZ ADJUST меню. а дальше разберитесь если понимаете англ.яз.  Этот метод работает с ЛЮБОЙ прошивкой, настроенные каналы и прочие настройки не сбрасываются.  НЕЙЧ АЛЕКСАНДР   ПГТ АХТЫРСКИЙ.  P/S Данное описание не полностью мое, но воспользовался им, и все сработало,только использовал не 2 светодиода, а один. УДАЧИ!!!</t>
  </si>
  <si>
    <t>1218</t>
  </si>
  <si>
    <t>Купил 1.5 года назад, пользовался редко. Включил, через некоторое время слетели лопасти с вала, как оказалось после разборки лопасти на валу ничем не закреплены. /p&gt;</t>
  </si>
  <si>
    <t>2016-12-06</t>
  </si>
  <si>
    <t>Удобная, не перегревает</t>
  </si>
  <si>
    <t>Хороший телевизор, с приличным функционалом. Спокойно читает видео с флэшки, имеется цифровой тюнер, довольно четкая картинка, понятное меню. Есть 4 минуса, звук с колонок не очень хороший, по hdmi с ПС макс. разрешение 1280х1024, но с PC IN  FullHD, нет кнопки возврата на предыдущий канал, что очень напрягает, так как на старом была, и нет картинки в картинке.</t>
  </si>
  <si>
    <t>Все гениальное- просто. Много лет пользуемся чайниками этой фирмы, уже страшненькие, а все работают и выкинуть жалко.</t>
  </si>
  <si>
    <t>Купил ноутбук 2 месяца назад. Устраивает буквально все. Кроме конечно же шума от турбин, когда играешь 3 часа в GTA4. На счёт производительности. Тайминги на оперативной памяти можно понизить программой OverDrive. Разогнать видеокарту можно с помощью AMD GPU Clock Tools. Мои максимальные частоты 601 по ядру и 801 по памяти. Этого хватает, чтобы игры на максимальных настройках просто летали. В общем покупкой доволен.</t>
  </si>
  <si>
    <t>870</t>
  </si>
  <si>
    <t>Длинный шнур</t>
  </si>
  <si>
    <t>Пользуюсь им с января 2011. Довольна. Выбрала за чудесный цвет (у меня холодильник такой же), но осталась довольна всем.</t>
  </si>
  <si>
    <t>Отличный увлажнитель! У меня уже 4года, хорошо увлажняет, дышать легче, можно регулировать подачу пара! Но как любой прибор нужно мыть, протирать и очищать, тогда будет служить долго и качественно!!! Рекомендую!!!5+</t>
  </si>
  <si>
    <t>через 2 недели пользования начала шуметь и перестала нормально работать. похоже на то, что она потеряла мощность и теперь только гудит.</t>
  </si>
  <si>
    <t>Мощность всасывания,занимает мало место</t>
  </si>
  <si>
    <t>цена</t>
  </si>
  <si>
    <t>2015-08-09</t>
  </si>
  <si>
    <t>Купил сегодня пылесос, оставил только положительные эмоции. Очень, очень тихий. Даже не ожидал что пылесос может так тихо работать.  Как оказалось если снять хепа фильтр, то в районе мотора есть шумоизоляция как в автомобилях. Очень мощный, чуть ли линолеум от пола не отрывает на максимальной мощности) Мешки удобно менять, дорогие правда, но почитал отзывы мол надолго хватает. Время покажет. В общем всем советую, очень классный пылесос.</t>
  </si>
  <si>
    <t>Добрый вечер.  Купил я 30 сентября 2010 года пылесос, первым делом испытал дома, тяга очень хорошая,работает изумительно, легко моется. Правда есть 2 маленьких минуса, это вторая крышка с трудом открывается, правда это не страшно, так как легко открывается первая.</t>
  </si>
  <si>
    <t>Простота и результат</t>
  </si>
  <si>
    <t>C основной своей функцией машинка справляется неплохо. На заливной шланг плюнул сразу, ибо заточен он строго на тонкие гусаки советского типа. Проще с большого ведра пару-тройку раз воду потаскать. Пока трудно судить о надежности (срок не тот), но есть пара очень важных моментов: не проворачивайте таймер против часовой стрелки (типа побыстрее выключить) - навернется, и не гоняйте,  её без передыха  - двигатель сгорит. 3-4 прогона, и хотя бы полчаса дайте ей отдохнуть. Не поленитесь, проштудируйте мануал (благо, там читать почти нечего), где все особенности эксплуатации русским по белому.</t>
  </si>
  <si>
    <t>2987</t>
  </si>
  <si>
    <t>Я не пожалела, что купила этот сониериксон,наоборот,я не могу расстаться с ним ни на секунду.Красивый дизайн,Фотоаппарат,ну просто прелесть.MP3 плеер-ОБАЛДЕТЬ-о таком помечтать.В общем СУППЕРрррр.....Всем советую!!!</t>
  </si>
  <si>
    <t>Друзья, кто собирается купить этот пылесос, остановитесь. В спецификации указана сила всасывания 220 Вт, что должно радовать, т.к. величина достойная. Но нет там такой силы. Даже приложив руку к щетке не ощущается вакуум. Во-вторых очень короткий шнур. Приходится перетыкать три раза в однокомнатной квартире. Обязательно обратите внимание при покупке. Через год эксплуатации появились посторонние металлические призвуки в моторе, озадачился неторопливой покупкой нового, пока этот не сдох. И еще, орет он как сумасшедший, тому кто пылесосит не слышно даже сильного окрика с 5 метров. Думайте, прежде чем купить.</t>
  </si>
  <si>
    <t>Купил фотик на последние деньги и очень счастлив,снимаю всё подряд,благо очень компактен,был очень удивлён,просмотрев качество на компе,покупайте,не пожалеете,за такие деньги - просто находка!</t>
  </si>
  <si>
    <t>Машина отличная, проблема только в х64 разрядной системе: имеющийся принтер не работает и работать не будет. Нет х64 драйвера. Игры: RE 5 тянет на любых настройках.</t>
  </si>
  <si>
    <t>Телефон отличный!  В характеристиках не указано следующие и самое важное:  - работает без батареек, от тел. сети;  - показывает дату;  - кабель трубки отсоединяется</t>
  </si>
  <si>
    <t>приобрела около 2-х месяцев назад - не нарадуюсь. Качество звука отличное, управление удобное, можно записывать радио-трансляции.  Зарядку держит хорошо - каждый день слушаю около 2-х часов, одной зарядки хватает больше, чем на неделю.  Быстро затерся и поцарапался экран и задняя панель, но это не так страшно. В общем, всем советую!</t>
  </si>
  <si>
    <t>2424</t>
  </si>
  <si>
    <t>У меня L18.Хороший не дорогой фот.Яркие снимки,хорошее видео со звуком,удобное меню.Я доволен!!!</t>
  </si>
  <si>
    <t>плазма - нормуль! все гуд! hdtv-имеется.</t>
  </si>
  <si>
    <t>Компьютер - хороший. Но одна вещь не понятна - в характеристиках указано, что оперативная память может быть расширена до 4Gb, но при этом только один слот под память...., а 4-х Gb модуль памяти как-то проблематично найти.</t>
  </si>
  <si>
    <t>Блендер просто восторг,любой коктель,варенье,майонез за несколько минут!  Он не заменим!</t>
  </si>
  <si>
    <t>Усил слабенький и греется очень сильно! Качество с виду хорошее, звук приятный, есть с чем сравнивать.</t>
  </si>
  <si>
    <t>998</t>
  </si>
  <si>
    <t>Нашей мясорубки год. Постоянно ломаеться шнекер. Сало если, то все, срузу летит. Полная фигня, отдали такие деньги, а толку нет. Хуже не видела. Еле еле перемалывает. Лучше по дешевле взять, зато вешь. А не это чудо в перьях. Не советую никому!!!!!!!!!!</t>
  </si>
  <si>
    <t>Мясорубка отличная. Работает тихо. Мясо прокручивает отлично. Пользуюсь уже год.</t>
  </si>
  <si>
    <t>телефон не очень, бывает глючит, лучше всего айфон</t>
  </si>
  <si>
    <t>Купил его за 28 000.Ноутбук вполне мощный,экран довольно большой,в играх не разу не расстроился!За такую сумму советую его!Есть пару незначительных минусов, но ничего страшного !</t>
  </si>
  <si>
    <t>Вчера купила соковыжималку. В принципе не плохая. Сок томатный выжимает за несколько секунд.Легко моется, а самое главное мало занимает места.</t>
  </si>
  <si>
    <t>Отличная кофемолка, по идеи выбора было много в магазине, по чему остановился на этой модели, просто когда я смотрел размер резервуара что бы был побольше я заметил во многих брендах очень едкий химический запах самого пластика исходил, и как раз у делонги этого я и не заметил не кого запаха там не было, так что кто думает о здоровье стоит призадуматься. De Longhi KG 40 Black -молодец:)</t>
  </si>
  <si>
    <t>Одноразовый. Если хотите на каждую съемку покупать новый, то покупайте. Резьба в креплении пластмассовая, 2 уже вышли из стоя, использовал штатив раз 7 примерно. Не стоит экономить на этом, лучше купить подороже, я уже выбираю новый, этот на свалку.</t>
  </si>
  <si>
    <t>Хорошее соотношение цены и качества. Очень долго выбирал и читал отзывы - остановился на этой модели. Не требует постоянного приобретения средств для чистки (как в остальных марках) за счет съемного блока приготовления, сама автоматически промывается и кофе готовит вкусный, ароматный и быстро. Те же самые характеристики, что и у моделей с электронным управлением и цена подкупает. В общем отличная бюджетная модель!</t>
  </si>
  <si>
    <t>Машину купила летом, очень довольна ее работой, во-первых, стирает отлично,во-вторых, очень тихая, в-третьих, это дизайн, который, честно говоря, и подкупил в начале. Всем своим знакомым всегда советовала и советую технику аристон, очень практичная техника.Советую, мне очень нравится!</t>
  </si>
  <si>
    <t>175</t>
  </si>
  <si>
    <t>Так повелось, что из поездок всегда домой везем местное вино) И друзья, зная нашу такую сильную любовь к этому напитку, постоянно все привозят и привозят нам новые бутылочки из разных мест. А это же вам не магнитики на холодильник, вино нужно правильно хранить и оно объемное достаточно, даже если брать емкости по 750 мл. Вот такой шкаф стал для нас отличным приобретением. И вроде бы все бутылки на виду, сразу можно увидеть, что чей-то подарок на месте или открыть бутылочку из определенной страны по заказу гостей. Но при это они в правильных условиях пребывают, чтобы не портилось содержимое!</t>
  </si>
  <si>
    <t>Удобный, красивый, мощный, всем хорош, но срок его службы мал. Сгорел не отслужив и года :(</t>
  </si>
  <si>
    <t>Сегодня купил его, нравится всё. Звук отличный,(купил наушники от Sony за 1150 руб.) удобный, зарядка занимает не много времени. Не знаю насчёт долголетия, но пока я доволен покупкой.</t>
  </si>
  <si>
    <t>2935</t>
  </si>
  <si>
    <t>2012-09-16</t>
  </si>
  <si>
    <t>Не люблю такие. Голова болеть начинает. Но других нету. Пришлось такие брать. Звук отличный, чистый ,бассы есть (не ожидал от них такого). Слушаю на YP-U5 (старые наушники погибли при исполнение служебных обязанностей). Ну а надёжность покажет время (хотя проводки хлипкие какие-то).</t>
  </si>
  <si>
    <t>Первая кофеварка такого типа. Отлично, на мой взгляд, готовит кофе. Без всяких излишних функций и прочих наворотов. Кофе получается горячий и крепкий (смотря сколько насыпать кофе конечно - вначале насыпал на 4 больших чашки две чайные ложки - получилась не очень, а насыпав 4 с горкой - отличный, крепкий и ароматный кофе).  Надо отметить хороший, качественный пластик. Сменные фильтры считаю плюсом - меньше мороки мыть и чистить.</t>
  </si>
  <si>
    <t>2012-12-02</t>
  </si>
  <si>
    <t>Начнем с того, что я прочитала отзывы здесь и решилась его купить. Я купила именно этот пылесос. Я не сожалею: пылесос хороший. Конечно у него есть недостатки, но идеально на свете ничего нет. За 3 недели после покупки мощность осталась та же. Результат на лицо, точнее в воде =) К нему прилагаются несколько щеток, что очень хорошо. Если убираетесь дома не каждый день, то потратить пару минут на споласкивание контейнера, я думаю, Вам не составит труда. Да он великоват и тяжеловат, но если у Вас квартира, я не думаю, что для Вас это проблема. Он легко и мягко передвигается. Фильтр (который не в воде) моется, на это указывает и надпись на нем и в магазине на ценике было написано (хотя этот же продавец нам сказал что с ним у нас будут проблемы). Итог: цена-качество, все хорошо! Купила выбранный пылесос, о чем не пожалела.</t>
  </si>
  <si>
    <t>1117</t>
  </si>
  <si>
    <t>Замечательная соковыжималка! Трудится на моей кухне с 2009 года и сбоев не дает. Двух человек обслуживает не напрягаясь. Разбирается, собирается и моется в считанные минуты. Если учесть еще и цену этого устройства, то просто одни плюсы ))</t>
  </si>
  <si>
    <t>Купил месяц назад.Телефон отличный камера супер!Большой и яркий экран!Никаких нареканий на сборку!!Программ и игр в инете море!Очень солидный в руке лежит и смотрится отлично!Мне нравится!</t>
  </si>
  <si>
    <t>Эта машинка отлично отстирывала, пока через три года практически ежедневной эксплуатации не остановилась... Совсем (двигатель издает гудящий звук, но не крутится активатор, причем при разборке ременная передача была исправна. Пока гудит двигатель, если активатор вручную сдвинуть, то заработает, но при переходе в реверс, снова встает, что случилось - не понятно). Использовали как второй автомат, полоскал в ней же. Стирал даже не длинные зимние пуховики! Если шланг для слива воды заткнуть, например, пробкой от вина, то воды можно налить литров на 10 больше (но я так делал редко, как раз при стирке объемных вещей), стирал даже спортивную обувь, 2 пары джинсов за раз - все прекрасно, НО не поворачивайте таймер в обратную сторону! Большинство механизмов в реле состоят из тонкой пластмассы!</t>
  </si>
  <si>
    <t>2242</t>
  </si>
  <si>
    <t>Отличный телик! Филипс отдыхает!</t>
  </si>
  <si>
    <t>Купил плиту 10 дней назад. Все отлично. Только при поджиге гриля огонь постоянно гаснет. Долго держишь все равно гаснет. Коробку спичек перевел на гриль. И нет автоподжига духовки и гриля...</t>
  </si>
  <si>
    <t>243</t>
  </si>
  <si>
    <t>Всё супер, просто, быстро и аккумулятор мощный, только дорого.</t>
  </si>
  <si>
    <t>Только сегодня купил звучание отличное,всё работает нормально,подушечки мягкие,пусть не сильно громкие,но басс-просто бомба.Так что берите,не пожалеете!</t>
  </si>
  <si>
    <t>1092</t>
  </si>
  <si>
    <t>Посмотреть можно. Не напрягает.</t>
  </si>
  <si>
    <t>Купил сынишке с игрой Праздник спорта. Обнаружил побочный эффект. Играю вечером в большой теннис по 1 часу 2 раза в неделю с утяжелителями на руках. Результат - 15 кило за полгода. Всем советую.</t>
  </si>
  <si>
    <t>2016-11-30</t>
  </si>
  <si>
    <t>компактный,много насадок -вообщем очень понравился!</t>
  </si>
  <si>
    <t>Небольшой запах был при первом включении.</t>
  </si>
  <si>
    <t>171</t>
  </si>
  <si>
    <t>Отличный выбор - всем советую. Оригинальный дизайн, высочайшее качество, мощная начинка - вот что я получил приобретя этого друга...</t>
  </si>
  <si>
    <t>Привет всем, хочу оставить хороший отзыв на етот прибор. Во первых - цена уже о многом говорит, расход воды и электроэнергии для проточного водонагревателя низкие, а главное установите прибор сразу к стене, а то я первый спалил положив горизонтально.  Сейчас пользую в дни когда отключают горячую воду, Однозначно пользоваться прибором выгодней, чем греть кастрюли!</t>
  </si>
  <si>
    <t>Недавно купила этот утюг своим родителям, так как старый приказал долго жить. Я поклонница марки Тефаль, у самой дома утюг этой марки (правда другой модели, подешевле). Жалею лишь об одном, что не подождала немного и не попала под акцию.  Утюг очень удобный, отличное качество сборки,прекрасно гладит, замечательное вертикальное отпаривание. Родители в восторге, как и я, погладив им пару раз, тоже. Сейчас подумываю купить такую же модель родителям мужа, пока идёт скидка.  Рекомендую всем. Возможно, когда мне понадобится новый утюг, возьму себе именно эту модель, если не найду ничего получше.</t>
  </si>
  <si>
    <t>Узкая, режим экономной стирки, отложенный старт</t>
  </si>
  <si>
    <t>Купил маме в подарок, при выборе обратил внимание: на металлический корпус и достаточное большой выход фарша за минуту, а также на мощный шнек. Мама довольна.</t>
  </si>
  <si>
    <t>2014-10-10</t>
  </si>
  <si>
    <t>Стиральную машину приобрели в феврале 2010 года, к сожалению в сентябре этого года сломалась, проблема оказалась в барабане.:( Но машинка была просто отличная! За период работы обстирала двух детей, порой работала и по 3, и по 4 раза в сутки! Все режимы программ отстирывали хорошо! Отслужила как год за три. И сейчас купили такую же!</t>
  </si>
  <si>
    <t>Хуже машины нет, моет очень плохо постоянные ошибки. У знакомых тоже отработала 2 месяца и превратилась в мучения - сервисный цент - кухня - сервисный центр. Пришлось покупать новую.</t>
  </si>
  <si>
    <t>337</t>
  </si>
  <si>
    <t>Приобрел я этот дивайс...  Брал по акции "обмен без проблем" в придачу к навигатору, чтобы чек вышел не меньше предыдущего. особо к ней не присматривался...  как присмотрелся - ужас  Звук: полностью согласен с отзывами других людей, что как будто в туалете магнитофон поставили. средние частоты вообще никакие. после долгих настроек эквалайзеров ну чуть лучше, но все равно не айс.  Но и это не самое ужасное. Панель! Дубовые кнопки, нажатие нужно сильное до характерного щелчка, маленькая ручка для громкости, как то туповато снимается и вставляется панель. Дубьё.  А тут еще и радости появились: пару раз за один день при установке панели врубался звук на полную. Эффект неожиданности + саб с усилком чуть сердце не остановили. Один раз все настройки на радио слетели. Пришлось заново заполнять. Что тоже не есть гуд.  Ну было бы не честно не сказать и про достоинства: читает все на свете: как по форматам, так и по качеству поверхности дисков (в магазине на ней игрался диск, который походу шлифовальной машинкой обработали, такой он был царапаный); USB для флешки не на передней панели, а в виде шнурка выводится в бардачек, что очень удобно; маленький телек с возможностью подключить камеру заднего вида.  В общем пролоджи, и эта модель особенно - для любителей всеформатных наворотов и комбайнов все в одном, но не для меломанов с абсолютным слухом ...</t>
  </si>
  <si>
    <t>Покупал в подарок, получатель остался недоволен из-за сильного раздражения... А стоит бритва дорого...</t>
  </si>
  <si>
    <t>Отличный пылесос, тем более достался он нам по цене 3990р по акции! Мощность всасывания такая, что с трудом отрывается щетка от пола, тем более мощность регулируется. Недостатков почти нет, кроме одного, на щетке колесико засоряется и трудно двигать щетку.</t>
  </si>
  <si>
    <t>2016-04-04</t>
  </si>
  <si>
    <t>Пользуюсь кофемашиной месяц, брала по акции. Кофе варит отличный. Сразу же научились взбивать молоко капучинатором, пенка густая, молоко горячее.  Кофе выходит горячий!!! Кто то писал про холодный кофе.... Можно предварительно пролить систему и вообще выходит кипяток, в инструкции все  написано. В комплекте нет инструкции на русском языке. Позвонила на официальный сайт этой фирмы, звонок Бесплатный через 8800 и сразу скинули инструкцию на почту.  Единственное не получается загружать у меня молотый кофе!!!  Ни как не дойду, отпишите кто нибудь как там загружать, просыпается и все тут. Приходится все промывать.  кофемашиной хочень довольны!</t>
  </si>
  <si>
    <t>Больше года пользуемся каждый день в офисе. Вода привозная, от накипи ни разу не мыли. На дне что-то виднеется.Стал шуметь сильнее и дольше отключаться. Наверное помыть его нужно.</t>
  </si>
  <si>
    <t>Достался мне такой межблочный кабель. Сигнал то пропадает, то вновь появляется, а то вдруг вообще тюльпан отвалится. Проводил ревизию с перепайкой - помогло ненадолго. Фуфло полное. От него больше мучений, чем толку.</t>
  </si>
  <si>
    <t>Чайник великолепный три года работает, и все как новый</t>
  </si>
  <si>
    <t>Не покупайте эти чайники! Покупал в крупной супермаркете, со стенда не вонял, но когда распаковал коробку дома аж дыхание от химической вони перехватило. Кипятил и сливал воду раз 10, никакого улучшения, думал пусть постоит несколько месяцев открытый, может вывоняется. Через 2 месяца действительно вроде уже не вонял, но когда закрыл крышку, буквально через пару часов вонь вернулась, т.е. пластмасса всё время источает зловоние, которое накапливается внутри при закрытой крышке. Пить такую вонючую воду не даёт инстинкт самосохранения, Думаю чайник прийдётся просто выкинуть.</t>
  </si>
  <si>
    <t>1551</t>
  </si>
  <si>
    <t>Не знаю у кого,чего отваливается, пользуюсь им два месяца и ни разу ничего не отвалилось, телефон качественный, набор функций что надо, цена более чем пристойная, аккумулятор держит на уровне!</t>
  </si>
  <si>
    <t>589</t>
  </si>
  <si>
    <t>Панель выбирал муж, который забацал ремонт в квартире, пока я лежала в роддоме, чтобы облегчить мне жизнь по выходу) Да, панель отменного качества, сначала с непривычки думала, что разбить ее можно, если что-то тяжелое уронить, но ошибалась, выяснилось, что ей ничего не угрожает даже при падении казана с пловом. Большие конфорки, одна (дальняя левая) как раз и под казан идеально подходит. Конфорки быстро нагреваются, ну буквально за несколько секунд, да и вообще процесс готовки теперь стал в разы быстрее, чем на старой обычной плите. В первое время даже что-то убегало у меня постоянно, пока я к ее скорости не привыкла! Теперь по поводу безопасности домашних. У нас уже двое детей, так что вся предусмотренная тут защита очень нужна - и от детей и автоматическое отключение и индикация тепла и мощности, - старший уже понимает, что класть руку на красное поле нельзя. Плюс есть самодиагностика любых проблем в работе. Тут все сделано по первому классу. Единственное, чего мой муж не смог учесть - это то, что на стеклокерамике постоянно остаются разводы. Если б брала я, то сразу эту тему просекла бы... Мыть приходится панель постоянно, но зато она всегда блестит от чистоты!</t>
  </si>
  <si>
    <t>Сегодня купил в подарок, утюг шикарный мало того что провод длинный, гладит шикарно, удобный  так еще и с вертикальным отпариванием, близким понравилось! всем советую!</t>
  </si>
  <si>
    <t>купил TEXET T-799,привлек внешний вид, как оказалось потом - зря. Во-первых долго мучался пока пытался закинуть музыку, а потом плеер завис на первой фотке и даже никак не выключается ни одна кнопка не реагирует на действие.</t>
  </si>
  <si>
    <t>Купил эту приставку сегодня, просто в восторге от неё! Изображение супер, ничего не тормозит, простое меню, удобный геймпад. Лучшая вещь для геймера! Не пропустите возможнсть купить эту приставку!</t>
  </si>
  <si>
    <t>Купил сегодня данный товар! Проработал буквально 10 сек и сломался. Кнопка не нажималась, скорости не переключались. Блендер было невозможно остановить. Только вытащив его из розетки он успокоился.</t>
  </si>
  <si>
    <t>3087</t>
  </si>
  <si>
    <t>даная модель мне не понравилась, поначалу засасывал хорошо, была довольна. ну вот пользуюсь третий месяц и очень разочаровалась, не могу элементарно собрать мусор с ковра, а турбо щётка вообще не крутиться. даже не знаю что с ним теперь делать. один плюс не надо мешки для мусора покупать.</t>
  </si>
  <si>
    <t>У меня такое ощущение, что про сухой жмых пишут те, кто впервые воспользовался соковыжималкой. Все познается в сравнении. У мамы друга соковыжималка. Так вот там жмых сухой, он сыплется, а не как пластилин!! Купили себе борк из-за бренда. Только бренд и получили ((.</t>
  </si>
  <si>
    <t>Девочки, абсолютно согласна с предыдущими отзывами! Сама выбирала в магазине, пользуюсь редко! Выпрямляет ужасно, волосы жжет, они не блестят после него, плойка плохо завивает, треугольной насадкой вообще не пользовалась, не знаю кто ее придумал, но точно не для завивки! Мне еще не весь набор пластмассок положили! Еще он очень долго нагревается, забудешь уйдешь-приходишь он раскаленный, и долго остывает, автоматически не выключается! (в этом наборе мне понравились только заколочки))) Девочки не берите!</t>
  </si>
  <si>
    <t>Купил 14.06.2011  Очень доволен телевизором: звук, картинка, воспроизведение флэшки, внешнего харда (931ГБ = 1Тб), фоток,все отлично.  К недостаткам я бы отнес следующее:  1) При подключении флэхи и харда названия на непонятном ебипетском языке.  2) Медленное прокручивание фильмов и видео все тем же медиаплеером.  Короче Медиаплеер слабоват.  Перед покупкой ориентировался на отзывы с этого сайта. По этому поводу хочу отметить, что замечания по поводу черной полосы, таймера, неудобности пульта, имеют место быть но далеко не критичны.  Поэтому моя оценка твердая 5.</t>
  </si>
  <si>
    <t>Два дня назад купил себе этот аппарат. Пока работает отлично, оптимальное соотношение цены и качества. Потрясающая эргономичность и функциональность. Всем рекомендую.  А если что-то случиться, то гарантия аж 2 года.......</t>
  </si>
  <si>
    <t>2740</t>
  </si>
  <si>
    <t>Офигенский ноут! пользуюсь правда всего 2-ой день. но по цене и качеству удовлетворяет полностью. отличное предложение!!!правда в комплекте сумки не обнаружила(((</t>
  </si>
  <si>
    <t>Настоящее качество!    Приобрели эту модель вытяжки еще в 2008 году (сейчас 2011)), до сих пор даже лампочки не меняли! Все работает превосходно, не говоря уже о дизайне - такую стильную вещь спокойно можно не прятать за встроенными шкафами. Запахи тоже устраняются нормально, если включать за пару минут до начала жарки/закипания супа (и прочих температурно-кулинарных манипуляций).    Сертификат дополнительного обслуживания - на полочку положили и забыли.</t>
  </si>
  <si>
    <t>Хорошо пылесосит, мощность классная, очень довольна покупкой</t>
  </si>
  <si>
    <t>Девушка, минеральная вода из скважины это смерть любому чайнику ) изучите процессы окисления) сам чайником пользуюсь почти два года! Идеальный аппарат! Заваривает правильно, а заваривает на утро так вообще шик! А то что железка потемнела,это из-за чайного осадка и плохой воды! В чистить лимонной кислотой опасно, вы неправильно используйте прибор ))</t>
  </si>
  <si>
    <t>Бритва достойная. Покупайте и не сомневайтесь! WES9011PC - комплект сетки и ножей.</t>
  </si>
  <si>
    <t>Произвела огромное впечатление. После неё даже Uncharted 3 уже не выглядела каким-то прорывом среди игр.</t>
  </si>
  <si>
    <t>1960</t>
  </si>
  <si>
    <t>Уже год проработал.Слышно хорошо,сбоев нет.Из минусов крышка закрывающая аккамуляторы,неудачная конструкция защелки,слетает при сильном нажатии.</t>
  </si>
  <si>
    <t>2998</t>
  </si>
  <si>
    <t>Стиралка отличная!!! Купил по акции всего за 10000 руб.!!! Очень доволен!!!</t>
  </si>
  <si>
    <t>Купили плитку недели две назад, мы все время что-нибудь готовим. Плитка готовит замечательно! Очень быстро разогревает, и остывает тоже быстро. В итоге скорость уменьшения и увеличения огня, как на газу. Температурный режим широкий. Можно не спеша подогреть, можно жарить на очень высокой температуре. В итоге - вариант оказался лучший! Не очень удобно, что одна комфорка - но она себя оправдывает, поскольку работает от обычной розетки. Стоимость тоже - себя оправдывает. По сравнению с чугунными электроплитами - эта плитка - несравненно лучше и меньше ээ тратит, поскольку очень быстро поднимает температуру. Имеется подогрев с таймером. Если для дачи - вариант из двух таких плиток - идеальнейший, если для дома в качестве временного варианта или для одного человека - тоже очень хороший. Правда посуда нужна с дном, которое магнитится. Придется перебрать ту, которая у вас есть, или что-то докупить. Мы остались очень довольны покупкой.</t>
  </si>
  <si>
    <t>Во первых,качество сборки оставляет желать  лучшего.   Во вторых треснул корпус через три месяца,от постоянных нагревов пластик потерял свою гибкость и треснул.  Добавьте немного и купите другой.</t>
  </si>
  <si>
    <t>427</t>
  </si>
  <si>
    <t>Это самая крутая игра в которую я играл на ПСП, на компе эта серия тоже великолепна. Всем советую!</t>
  </si>
  <si>
    <t>всем,у кого будут проблемы со снятием задней крышки!!!  ВНИМАНИЕ!!! Она цельная!!! Только кажется разделенной на две части!  Читайте инструкцию-и аккуратно без лишних усилий сдвигайте в направлении стрелки!!!  удачи!</t>
  </si>
  <si>
    <t>после покупки данного товара,через 3 месяца начал сам выключаться,щелкать каналы.при подключении HDMI в порт 1,2,4 через некоторое время изображение становится разноцветным переливаясь всеми цветами радуги.в итоге УЖАСНАЯ модель за ОГРОМНЫЕ ДЕНЬГИ.</t>
  </si>
  <si>
    <t>В общем панель устраивает!  Пользуюсь месяц, критичных недостатков не выявил.  Замечания:  -нагревается кнопка выключения при готовке более часа на конфорке рядом с ней;  -иногда некоторые пятна тяжело отмываются;  Достоинства:  -быстро нагревается;  -готовить легко, после газовой разницы почти не заметил;</t>
  </si>
  <si>
    <t>Купили соковыжималку неделю назад.Дома валяются еще две соковыжималки, приобретенные раннее, но дешевые! Так вот - я к тому, что есть с чем сравнить! Лишний раз убеждаюсь,   лучше "поднатужиться" и купить дорогую и качественную вещь! Получила истинное удовольствие от самого процесса, хотя раньше за собой этого не замечала! Взяли исключительно для того, чтобы поить сынулю и постараться укрепить иммунитет подобным образом!В сок добавляла петрушку, сельдерей (правда, в небольших количествах), затем банан (его правда лучше разбить блендером, но если не хотите мыть еще одно устройство, прогоняйте в соковыжималке, просто, жмых влажноватый), морковку, апельсин, грейпфрут, лимон - жмых выходит сухой!Что мне нравиться, что яблоко можно кидать целое, не пытаясь избавиться от косточек, то же самое и с лимоном! Сока действительно получается много, правда, в стакане 200 граммовом - 1/3 пены, но она отлично пьется,сок с пеной выглядит очень аппетитно! Во общем, не разочарована и осмелюсь всем рекомендовать эту модель! ВСЕМ ЗДОРОВЬЯ!!!</t>
  </si>
  <si>
    <t>631</t>
  </si>
  <si>
    <t>Реально парни лучшие уши для игр типа CSS, Cs 1.6. или COD4, в которую играю, очень качественный звук и сильные басы без каких-либо искажений,слушаю музыку реально чувствуется, что прямо вживую поют, кстати, качайте фильмы HD и слушайте звук в наушниках этих.  Короче наушники супер, по такой цене к тому же!!!</t>
  </si>
  <si>
    <t>Купил Электрочайник Bork K 711, говорили бесшумный - ОБМАН! С первого же дня шумит как и старый.</t>
  </si>
  <si>
    <t>Скорая помощь для дамской гигиены,рекоменндую, супер!</t>
  </si>
  <si>
    <t>Ноут и правда отличный.))  Советую всем:)</t>
  </si>
  <si>
    <t>1942</t>
  </si>
  <si>
    <t>Никаких проблем не возникает, показывает точно, выглядит мило, удобно мыть</t>
  </si>
  <si>
    <t>Купил себе для работы с ноутом, просмотра фильмов и игр. Выбрал ЖК, так как плазмы подороже, плюс для компа лучше подходят. Качество неплохое, немного жмет эфир, и маловато разъемов. В остальном все отлично, денег своих стоит.</t>
  </si>
  <si>
    <t>Сломался через несколько месяцев довольно неинтенсивного использования. Причём сломался так, что в сервис-центре даже не смогли починить.</t>
  </si>
  <si>
    <t>2016-10-04</t>
  </si>
  <si>
    <t>Установили спустя год после покупки в силу ряда причин. Гарантия естественно кончилась.  Панель хранилась в прохладном темном месте :D  А один из кранов не держит и с него и с конфорки в выключенном состоянии идет газ.   Вот такая вот новая панелька Bosch.  Разумеется, к покупке не рекомендую.</t>
  </si>
  <si>
    <t>897</t>
  </si>
  <si>
    <t>телефон хороший, но не советую его разряжать до выключения</t>
  </si>
  <si>
    <t>684</t>
  </si>
  <si>
    <t>Друг купил в начале лета!!!зверь а не ноут!!!Тоже с начало думал что 4 ядра!!!В общем советую всем кому нравиться играть в современные игры на высоких параметрах!!!Был только 1 минус проблема с directx 10!!!Вроде поправили потос!!!</t>
  </si>
  <si>
    <t>Приобрел пару дней назад данную машинку. Расписывать долго не буду, а скажу что со своими функциями справляется неплохо, но довольно сильно гремит при отжиме(установлена правильно) и движок издает странные звуки а-ля трансофрматор. Пообщавшись в сети понял, что ни у одного меня такое и это в рамках правил.&amp;nbsp;</t>
  </si>
  <si>
    <t>По моему это самая лучшая из всех psp  стильная,удобная,быстрая мультимедийная и суперская вещь.</t>
  </si>
  <si>
    <t>971</t>
  </si>
  <si>
    <t>Это вообще старая модель, у меня 3 года. За это время пережала 2 урожая яблок на участке, работает до сих пор. Плюсы: отжимает отлично. Помните, что сырье бывает разное. Очень грамотно сделана электрическая часть - не перегревается, не заливается, удобно мыть. Недостатки: при больших объемах без конца нужно снимать и вычищать круглый контейнер для жмыха, примерно раз на литр. Есть внутренние полости, которые промыть невозможно, там накапливается жмых.</t>
  </si>
  <si>
    <t>Телик выбирал под SP3. Когда стал выбор в покупке,сначала выбрал Соньку (50 герц), продавец сказал, что для SP3 лучше телик стогерцовый, купил Philips 32 PFL 7404H/60. Прикупил ещё кабель HDMI. Всё это подключил, и о чудо- первый раз меня всё в технике устраивает. с маленьким, но очень важным НО! Теперь будущие владельцы SP3 внимание! Столкнулся с такой проблемкой: при включении SP3 через HDMI появилась рябь (мерцающие точки). Эта проблема возникает при использование дешевого кабеля HDMI. И решается это очень просто: в настройках ставим "подавление помех", выбираем "средний" уровень -и картинка идеальная.</t>
  </si>
  <si>
    <t>2015-02-13</t>
  </si>
  <si>
    <t>Классная машинка! Если даже поставить её на 29 минут (45 градусов), отмоет  всю посуду, оставиив  без разводов и накипи.</t>
  </si>
  <si>
    <t>Был у меня на работе такой,сама работаю поваром,осталось очень довольно им.Прослужил года 4,в интенсивном пользовании.Заказала в интернете правда и на много дешевле.)Жду когда придет)  Так что считаю что отличная вещь)</t>
  </si>
  <si>
    <t>Сказать что машина - отличная, ничего не сказать. Стоит новый надежный бесшумный двигатель.Стирает очень тихо, шума двигателя практически не слышно, только хлюпание вещей. Воды тратится на стирку крайне мало и к тому же она сама смотрит сколько надо добавить, в то же время выполаскивает отлично.Кондиционером не пользуемся, в то же время белье получается мягким. Порошка добавляем совсем немного. Качество стирки отличное. Отжимает как зверь, в то же время очень деликатно. В процессе отжима происходит балансировка белья, за счет чего машина не скачет на макс оборотах. Да и еще много плюсов. По сравнению со старой небо и земля. Берите - не пожалеете.</t>
  </si>
  <si>
    <t>Привет всем пользователям этого ТВ. У меня 2 вопроса, прошу вашей помощи!( Когда мы его покупали, нам сказали, что он поддерживает цифровое ТВ, так вот я посмотрела - и правда цифровой тюнер есть, DVB-T (ТАКОЙ!), а оператор нашего кабельного перешёл в режим цифрового, для которого нужет цыф.тюнер DVB-C! Как теперь быть? Не посмотреть нам цифровое ТВ что ли?( И ещё вопрос в описаниях есть функция "картинка в картинке"... не вижу в инструкции такого... как это делается? Не просто ли ли эта "лишняя реклама" для введения покупателей в заблуждение? Так же у меня не работает телетекст и есть вопросы по прошивке... знающих людей прошу стукнуть мне в ICQ. Большое спасибо если такие найдуться! :* А в целом телевизор для своих денег хороший :) Спасибо за внимание.</t>
  </si>
  <si>
    <t>Ноут очень понравился,только никак не пойму,почему не смотрит DVD диски - пишет что-то на английском языке, что-то надо активировать, ввести какой-то ключ или код - не понимаю, может кто-нибудь поможет, откуда его взять?</t>
  </si>
  <si>
    <t>Прекрасный водонагреватель, пользуемся им уже не один год и вся семья остается довольной из года в год! Главное не забывать спускать воду из бака в конце пользования водонагревателем и тогда никаких проблем с ним не будет. У нас семья из 4х человек и нам его хватает за глаза, он довольно быстро нагревается и долго хранит температуру. В общем мы очень довольны этим аппаратом и на другой вряд ли согласимся!!!</t>
  </si>
  <si>
    <t>Через  год пользования, а использовали мы не часто,нижний нагревательный элемент постепенно перестал нагреваться - оказалось перегорел, также отсутствовала лампочка термостата, это мы слишком поздно обнаружили, был муляж. Неприятный запах издавал всегда при готовке (даже вытяжка не помогала). Очень пожалели о покупке.</t>
  </si>
  <si>
    <t>1179</t>
  </si>
  <si>
    <t>Седня купила, сок жмет хорошо, бесшумная. Покупкой пока довольна, доставили быстро.</t>
  </si>
  <si>
    <t>Не самый лучший выбор в моей жизни! Купила, собрала, работал ровно 4 дня, потом просто не включился и все. Пошла обменивать,взяли без проблем, деньги на карточку. Не советую данный товар!</t>
  </si>
  <si>
    <t>с дровами на все идет тока zver cd\dvd лучше его установить, но больше оперативы жрать будет</t>
  </si>
  <si>
    <t>1677</t>
  </si>
  <si>
    <t>Стильный телефон, но не доработан. Плохо кнопки нажимаются, скрипят. Иногда приходится давить, чтобы прослушать сообщения на автоответчике. Через год сел аккумулятор, которого тоже нигде не купить, надо топать в сервис.</t>
  </si>
  <si>
    <t>2658</t>
  </si>
  <si>
    <t>2 Сергей. В ноутбуке есть разъем, называется SATA 2, он универсальный, туда можно вставлять и обычный USB, так что все 4 разъема USB на месте.</t>
  </si>
  <si>
    <t>Классная вещь!!!!!!бысро красиво вкусно!!!!рекомендую всем</t>
  </si>
  <si>
    <t>Отличный радиатор! Симпатичный дизайн, очень мощный, бесшумный. Покупайте не пожалеете!</t>
  </si>
  <si>
    <t>Красивый и стильный. На этом все его достоинства заканчиваются. Начну с того, что оч. неудобно заливать в чайник воду - неудачная конструкция крышки. Не очень хорошо виден уровень воды через окошко, т.к. пластик окошка не совсем прозрачный, а матовый. Ну и самое главное это то, что чайник потёк спустя 1,5 года эксплуатации, для Боша - это просто непростительно. Не рекомендую</t>
  </si>
  <si>
    <t>Очень довольна! использую ежедневно на протяжении 8 лет. У меня средняя длина волос, использую сначала обычный фен с мощностью 2000, потом укладываю щеткой. Использую только одну насадку, остальные действительно бестолковые!!! со временем насадка стала плавиться и немного деформироваться у основания(( Жалко, что нельзя купить насадку отдельно. Привыкла к нему очень, буду покупать новый!</t>
  </si>
  <si>
    <t>Кому как, а для меня главным была длина 5 метров кабеля, ну а звук в добавку просто супер!!!</t>
  </si>
  <si>
    <t>Долго выбирали модель пылесоса из этой марки, остановились на данном агрегате. Вот только сегодня купили и сразу испробовали. Пользовались пока только обычной щёткой для ковра, поэтому про турбощётку пока ничего сказать не могу. Сила всасывания (несмотря на то, что  370 Вт по сравнению с такими же у которых 420 Вт) очень хорошая - если пылесосить на полной мощности - щётку действительно трудно оторвать от ковра! Пыли и грязи собрал очень много, ну и конечно по сравнению с пылесосами старых моделей собираемую пыль не выбрасывает обратно в воздух. Очень компактный, удобный в использовании, красивый дизайн. Собран ДЕЙСТВИТЕЛЬНО В КОРЕЕ - не  Китай. Прикольно собирает пыль и мусор в спрессованные комки, издаёт звук при включении и когда переполнен контейнер для мусора. Очень довольны покупкой, всем советую!</t>
  </si>
  <si>
    <t>Кофемолка по помолу отличная. По шуму тихая. Ставлю 4 только за герметичность крышки- в щель попадает кофе.</t>
  </si>
  <si>
    <t>1903</t>
  </si>
  <si>
    <t>Купила Indesit 6105 по программе утилизации 1мая 2011, получила на неё скидку 2000р!!! Довольна, стирает отлично,нешумная.</t>
  </si>
  <si>
    <t>Отличный прибор для волос! Пользуюсь с удовольствием - вытягивает сразу даже большие пряди волос, нет нужды проводить по многу раз по одной и той же пряди, а значит не пережигает волосы! Для длинных волос отличный эффект! Всем советую! Хочу купить второй (хранить в другой квартире).</t>
  </si>
  <si>
    <t>Шла в магазин с целью купить хорошие и качественные щипцы. Долго подбирала, смутила конечно сначала цена, но решила не скупиться, а купить стоящее и качественное. Очень довольна выбором, хотя хотела купить с ионизатором, чтобы волосы не электризовались. Хочу сказать, что и без ионизатора эти щипцы прекрасно справляются. Очень быстро нагревается керамическая пластина. Щипцы у меня наверное уже больше года и до сих пор не подводят, пользуюсь ими очень часто. Так же радует что можно регулировать температурный режим, спалить волосы естественно не хочется =)  Довольна выбором, и если предстоит когда-то покупать новый, то наверняка куплю такой же.</t>
  </si>
  <si>
    <t>3162</t>
  </si>
  <si>
    <t>артур, gts240 это уже много,бува "s" много о чем говорит  gts240 - это игровая видеокарта и игры, которые требуют высокие цифры от системы будут на этой видюхе просто летать=)Да и к тому же память многое значит))уж я то знаю</t>
  </si>
  <si>
    <t>Купили ребенку для планшета. Очень удобные: широкий обод на голове, очень мягкие. Недостатков не выявили пока.</t>
  </si>
  <si>
    <t>Неплохие наушники, звук чистый, вот только громкости не хватает, когда в транспорте едешь.</t>
  </si>
  <si>
    <t>Если кратко:пользуюсь больше года: коктейли на УРА, если знать рецепты, то можно делать очень много вкуснейших соусов, измельчает все вплоть до рубленного мяса. Очень мощный, очень стильный, занимает мало места! Не разу не пожалел о покупке!</t>
  </si>
  <si>
    <t>26</t>
  </si>
  <si>
    <t>всё перепрошил, всё кажет. Илья поправь немного инструкцию....      Обращайтесь помогу!</t>
  </si>
  <si>
    <t>2840</t>
  </si>
  <si>
    <t>Хорошие настольные часы. не занимают много времени, но приносят не малую пользу. и будильник в них, и термометер. отлично по качеству. нам доченька подарила уже давненько, вот пользуемся и другим советуем.</t>
  </si>
  <si>
    <t>Машинка хорошая, приобрел 10.10.2009, перед этим глаз положил на Acer? но так как из рук прям вырвали и не успел купить, то искал близкий по параметрам, который и оказался Toshiba. Характеристики очень порадовали, для ноута хорошо справляется с современными играми, система охлаждения работает как часы, что положительно сказывается на производительности. Ноут сделан для людей следящих за своим стилем и выглядит как машинка для состоятельного руководителя, единственно приходится его протирать почаще.  Матрица очень четкая и с хорошим откликом, чем почти уступает новой светодиодной матрице по контрастности цветов. Вес в отличии от Acer самый оптимальный, на целый кг легче, что намного удобнее при работе на коленках. А главное сделан этично и эргономично, ничего лишнего.   Очень хорошо показала себя звуковая система которая способна воспроизводить широкополосные композиции.</t>
  </si>
  <si>
    <t>Пользовались им с 2007 года и горя не знали, пока по нелепой случайности не упал с гладильной доски. После этого стал подтекать. Иду покупать такой же новый.</t>
  </si>
  <si>
    <t>С таким качеством и характеристикой нет дешевле 7000 рублей, а тут такая цена !</t>
  </si>
  <si>
    <t>2386</t>
  </si>
  <si>
    <t>Отличный ноут бесспорно!!! купил как только эта модель вышла-параметры и характеристика оправдали своё ожидание!!!всем советую!!!  Seven-идеальная платформа для него, поэтому не советую менять на xp!!!  Гармония мощности с мультимедийным центром!!!Кому батарея покажется слабой,на этот вариант есть эконом режим!!!  советую!!!</t>
  </si>
  <si>
    <t>Видимо вам просто везёт ))   Как говорится раз на раз не приходится.</t>
  </si>
  <si>
    <t>2012-02-02</t>
  </si>
  <si>
    <t>Купила этот чайник 1 месяц назад.Выбирала долго, не знала какой купить, хотела что-нибудь интересное. Очень понравился по дизайну, и подсветка радует, теперь на кухне за место светильника.Работает отлично,вода быстро кипятится.   В целом чайник нравится.</t>
  </si>
  <si>
    <t>качает что надо...мне оч понравилось звучание! стоит своих денег на 100%!!!!</t>
  </si>
  <si>
    <t>Сегодня купил, смотрю целый день! Смотрю IP-TV, качество порадовало - картинка прям отличная, хочется еще вот соединиться с компом, чтобы фильмы смотреть, DVD нет пока у меня. Очень порадовали пропорции - лица не растянутые, но вот только на некоторых каналах переключает автоматически на 4:3, как отключить пока не разобрался. К звуку я не прихотлив: звук как звук - ничего волшебного... Понравилось качество исполнения корпуса - не к чему придраться, а уж иллюминация Toshiba так меня вообще в восторг приводит... Не понравилось расположение клавиш управления на самом ТВ - пользоваться ими практически не реально, если их не видишь - Samsung у матери, например, обладает хорошо выраженными и интуитивно понятными кнопками, даже если их не видишь. но это мелочи. В общем, телевизором доволен, как слон!! Кстати, когда покупал, выбирал 40 дюймов, взгляд упал на Toshiba, только дома заметил что диагональ 106.6, обрадовался, конечно, покупке)))</t>
  </si>
  <si>
    <t>После года эксплуатации сгорела обмотка тягового двигателя.Качество отвратительное</t>
  </si>
  <si>
    <t>Купил пылесос сегодня, взял последний. Что сказать отличный аппарат, качественная сборка внешний вид суперский, детали тоже все качественные, до этого были лыжи сайкинг так по сравнению с этим просто небо и земля. Пылесосит превосходно. Фильтр думаю только надо сразу прикупить запасной (пусть будет). А так покупкой доволен. Да катается он по квартире действительно легко и не переворачивается. Вес большой и места займет в квартире немало но это не страшно.</t>
  </si>
  <si>
    <t>Недорогой моющий пылесос,  с богатой  комплектацией, гарантия 4 года - что тоже очень даже хорошо )))</t>
  </si>
  <si>
    <t>Купил по акции. Сравнивал с другими моделями этой фирмы и других производителей, у данной максимальный функционал, близкий к самым дорогим моделям, только автокапучинатора не хватает. Есть настройка уровня жесткости воды, температуры конечного продукта, объема конечного продукта и крепость - все перечисленные функции практически не встречаются у кофемашин и в ценовом сегменте до 30 тыс!!! По поводу помпы, при первом включении машина отказалась качать воду, два часа бился с ней. Звонил даже на горячую линию Delonghi, где вежливая девушка посоветовала вернуть кофеварку в магазин.  И все таки победил помпу самостоятельно!!! Видимо, при первом запуске в помпе воздух, и она не может прокачать воду (хотя слышно, что помпа цокает). Сделал следующее - в момент, когда начинает работать помпа, в режиме подачи горячей воды из капучинатора, осторожными движениями вставлял/вытаскивал контейнер с водой. В результате чего в один прекрасный момент водичка побежала как надо (пробка воздушная ушла, вода попала в систему). С тех пор все работает отлично! Кофе варит замечательно и быстро. Максимальный фунционал за минимальные деньги!!! Советую!</t>
  </si>
  <si>
    <t>Печка на твердую четвёрку, и то потому что выглядит бюджетно! Действительно, все основные функции есть, даже что то готовила в ней по-быстрому.</t>
  </si>
  <si>
    <t>Сгорел после 4 месяцев аккуратного использования. Не рекомендую. Очень капризный.</t>
  </si>
  <si>
    <t>Если флешку перестал видеть - сбросьте настройки телевизора на заводские. У меня подобная проблема была после подключения hdd (без отдельного питания) - и винт не определялся и флешку телек переставал видеть. После сброса настроек флешку снова видел. Hdd на 1,5 ТБ со своим питанием видит без проблем.</t>
  </si>
  <si>
    <t>491</t>
  </si>
  <si>
    <t>Купил 2 месяца назад.игры пашут все, но некоторые лагают из отсутствия драйверов на Radeon. Советую всем купить! Если кто- нибудь знает где достать драйвера напишите пожалуйста.</t>
  </si>
  <si>
    <t>Обьем у этого фильтра просто огромный - 4 литра. Купили его в общагу, чтобы пользоваться всей комнатой. Дизайн у него заметно выделяется по сравнению с остальными кувшинами. Но главное преимущество у барьера не в этом, а в качестве очистки. Консультант в магазине сразу предупредил, что если водопроводная вода не айс, лучше докупить более “прокаченную” модель кассеты. В итоге, приобрела модель “жесткость” тк чайник у нас постоянно в белых хлопьях, сколько его не мой. В целом, фильром осталась очень довольна.</t>
  </si>
  <si>
    <t>Утюжок действительно отличный, выпрямлял быстро, не пережигал и волосы блестели. Жаль сломался, стал вырывать волосы, плохо выпрямлять, и перестал скользить НО прослужил почти 6 лет!!!</t>
  </si>
  <si>
    <t>Когда выбирала фен, обращала внимание на мощность, температурные режимы, наличие ионизации, т.к. укладываюсь каждый день.  Хотела купить Philips, его в магазине не оказалось. Консультант посоветовала Remington, который, по ее словам, гораздо лучше. Сначала я подумала, что не стоит, но тем не менее, купила. Оказалась весьма довольна результатом, спасибо, не обманули.</t>
  </si>
  <si>
    <t>Чайником довольна. Чтоб он как то шумел громче предыдущих не заметила. Закипает хорошо.Дизайн просто подкупил-особенно носик -капли не роняет.Так что твердая 5</t>
  </si>
  <si>
    <t>видно в окошко только</t>
  </si>
  <si>
    <t>Холодильник отличный, пользуемся 2 года (тьфу чтоб не сглазить)</t>
  </si>
  <si>
    <t>1552</t>
  </si>
  <si>
    <t>Посуда замечательная. Только печь в ней нельзя)главное не царапается металлическими приборами.</t>
  </si>
  <si>
    <t>Монитор просто класс</t>
  </si>
  <si>
    <t>Любимый муж подарил на Новый год этот горшок-робот. Первое же, что мы сделали в ней - манник. Отлично! По степени готовности - никаких нареканий нет, хотелось всего лишь корочку потемнее. Потом были и шарлотка, и гороховый суп с копченостями, и курица в мёде. В общем, нет предела фантазии, а пищей для нее - огромное количество рецептов в интернете. Очень радует, что в ней ничего не пригорает, не перекипает, мыть кастрюлю проще простого.</t>
  </si>
  <si>
    <t>Не знаю такого.</t>
  </si>
  <si>
    <t>Плюсы:   Стабильность (такой оптимизации вы не найдёте ни в одном ноутбуке или десктопе (PC), вот что значит поработать над сборкой, а не количеством гигабайт. Даже винда установленная на этот ноут работает гораздо "прямее")    Экран (не только разрешение и диагональ, ещё и светодиодная подсветка, качество 'зерна', контраст и особенно цветопередача, это лучшая цветопередача, которую я видел в ноутбуках такой цены)    Корпус (Отлично выточен из алюминия, никаких швов и клея, никакой скрипящей пластмассы, приятен на ощупь, престижно выглядит. Экран закрыт глянцевым стеклом, не замутняющим изображение)    Операционная система (Разобравшись с MacOS просто влюбился в эту ОСь, если вы покупаете ноут для игрушек (или работы в стиле "нИ знаю как ползАватсА кАмпъютером, где тут кАсынка?") то эта операционка для вас) и вам лучше собрать (именно собрать!) какой-нибудь десктоп с видео Dx11)    Мульти-Тач-Пад (если купите, то узнаете что это такое))    Минусы:  Нужно привыкать к новой ОС. Если вы не желаете учиться работать не в Windows или Linux (хотя с пингвинами спорный вопрос, эти везде научатся работать!)) то вам лучше взять не 'Mac' (на Mac можно поставить Винду, но это выйдет очень дорого))    Цена (На такое денег не жалко, но копить пришлось долго)    Итог:  Советую этот ноут всем дизайнерам, людям ценящим имидж и стиль, заколебавшимся от глюков Винды, желающим попробовать что-то новое, людям ценящим качество и просто людям, у которых основное время у компа - не набивание очередного уровня в линейке или раскладывание пасьянса с Exel в 'параллели', а просмотр фильмов, сёрфинг в интернете, фотошоп или Draw и прочее.</t>
  </si>
  <si>
    <t>Машинка очень хороша для тех, кто начинает шить и тех, кто занимается этим для себя. Все необходимые функции у неё присутствуют: шьет прямую строчку и зигзаг, есть реверс, пришивает пуговицы, вшивает молнии, даже можно делать вышивку (если знать как). Не сильно шумная, относительно легкая, в пользовании доступна даже новичкам. Если купить оверлочную лапку, то и эта функция будет выполняться. Покупкой очень довольны!</t>
  </si>
  <si>
    <t>Увесистый утюжок приятного молочного цвета.  Мощный пар, удобный длинный шнур, все кнопки и регуляторы работают легко, без усилий.  Производит солидное впечатление. Надеюсь, поработает ни один год.  Купил жене в подарок. У неё одна претензия, что тяжелый.  Но настоящий утюг и должен таким быть.  Помню еще бабушкин утюг из чугуна на углях. Вот, тот точно годился в качестве гантели!</t>
  </si>
  <si>
    <t>С новым мешком вообще не тянет толком. Щетка к паласу даже не пытается прилипнуть. Вроде бы подсоса воздуха незаметно. Может какой-то дефект или пониженное напряжение в сети... Но факт-не тянет совершенно.</t>
  </si>
  <si>
    <t>3077</t>
  </si>
  <si>
    <t>Между ними почти нет большой разницы? это как сказать, если вы думаете что вся разница в расходуемой мощности это зря, техпроцесс видеочипа уменьшен за счет этого меньше выделение тепла и потребление мощности, т.е. приставка дольше проживет в отличие от Falcon, который максимум по 1,5 года живет,а потом E74! Не знаете толком о модификациях нечего и говорить только о тех. данных и разнице в мощности, т.к. главная проблема приставки до Jasper был перегрев видеочипа</t>
  </si>
  <si>
    <t>Телефон для пожилых неплохой,альтернативы пока нет,но пара просчетов всеже естоь  1.мелкий шрифт всех текстовых сообщений,т.ч. не расчитывайте что  смогут пользоваться записной книжкой,смс и тп...  реально используются только 3 кнопки М1,М2,М3.  2.Громкость разговора могли б и погромче для пожилых-то,если человек плохо слышит,собеседника слышать тоже не будет  3.Звонок обычный,опять же могли б погромче...  но подчеркну,доступной альтернативы для пожилых людей нет,мой дедушка 80лет пользуется,терпимо...</t>
  </si>
  <si>
    <t>Искал подарок жене на день рожденья. Цацки ... банально. Хотелось поберечь её время на создание уюта в доме... его порой так не хватает, правда, мужики! Готов был купить ткой который делает всё сам. Думал моющий. И жена вроде думала о моющем. Но друзья отговорили. Сказали купи хороший, удобный,мошный и ... Купил Bork V7011. Теперь дома очередь чтоб пылесосить. Это Формула1 для меня и сына, уборка сократилась на 78,9%(это я так по приблизительным подсчетам). Жена скучает по швабре, но рада...Вообщем поверьте простому потребителю. Только сразу покупайте дополнительные мешки... Не знаю они малы или пыли которой мы не ждали так много. Но пылесос это факт, хороший. Гарантию дополнительную не оформил, но мой болид уже 2 года как... болид!И теперь дома... при свечах... на чистом ковре...РЕКОМЕНДУЮ!!!!!!</t>
  </si>
  <si>
    <t>У меня такой 3 месяца. Подключил внешний HHD 1,5 Тб со своим питанием, все идет на ура. Думаю потянет и больше. Кое-какие кодеки не читает. Недавно узнал, что можно поменять звуковые дорожки в MKV.(русский,английский пр.)По первости удалял фильмы, не зная что можно переключить.</t>
  </si>
  <si>
    <t>Пару месяцев купила кофемашину Jura 61848. Через определенное время возникла проблема как ее почистить и чем. Пробовала все возможные средства. Особых результатов не увидела. Потом услышала, что ее чистить чем попало нельзя, что есть специальное средство для чистки. Порылась в интернете и нашла чистящее средство специально для моей марки машины. Это таблетка для декальцинации. Оказалось эффективное средство. Весь налет ушел. Рекомендую.</t>
  </si>
  <si>
    <t>2016-08-28</t>
  </si>
  <si>
    <t>Купили этот пылесос после того как испортился старый, был довольно-таки неудобный и не качественный, в этот раз решили взять что-то более надежное. Остановились на этом от LG.  Могу сказать, что пылесос с уборкой справляется на все сто процентов, мотор мощный и любой мусор и пыль всасывается легко. Пыли у нас кстати дома значительно меньше стало. Есть индикатор, который оповещает о том, что контейнер уже полный и его нужно чистить.  В комплекте есть целых пять насадок. Очень обрадовалась когда узнала, что есть и спец насадка для ковров и мебели. На старом пылесосе таких не было и их дико не хватало. В целом намного лучше, чем то что у нас было раньше. остались очень довольны.</t>
  </si>
  <si>
    <t>Всем рекомендую! Нужная вещица в быту! Нудную работу по затачиванию ножей выполняет на раз-два. Консервные банки открывает тоже хорошо, без усилий, а самое главное травм. Даже не оставляет острых заусенций по краям банки, абсолютно гладко и ровно.</t>
  </si>
  <si>
    <t>Я купил эту игру,установлял целый час!!!Еще пришлось пере устанавливать....Впрочем запустил игру и.... Она не на русском языке! Кажется на Чешском мне на это пришлось не обращать внимания. Играл играл и игра зависла. Стояла на одном месте  даже не выходила в виндоус пришлось выключать и включать компьютер. Завтра пойду возвращать деньги.</t>
  </si>
  <si>
    <t>Купил на прошлой неделе, оцениваю как человек который практически ничего не гладит, аппарат классный разглаживает все и без особых проблем, особенно с паром,так что рекомендую!</t>
  </si>
  <si>
    <t>180</t>
  </si>
  <si>
    <t>Хлебопечкой пользуемся уже почти год. Особенно нравится наличие программ для различных видов теста (пельменное, для пиццы, сдобное). Недостатков пока не заментили. Хлеб получается отличный. Всем рекомендуем.</t>
  </si>
  <si>
    <t>Пару месяцев назад приобрел данную мясорубку, за время использования накопилась некоторая информация. Фарш делает отменно!!! Сделал 10кг мяса разом, ничего не перегрелось и не отключалось. Полностью металический корпус это нуу очень удобно, от рук вмясе ничего не остается, тряпочкой протер и все, ничего никуда не вьедается! Книга резептом маленький бонус, экономим на приобритении за деньги)) Советую.</t>
  </si>
  <si>
    <t>Приобретен этот пылесос около 2-х лет назад. Абсолютно ничем не отличается от обычного среднего пылесоса. 2 насадки сломались. у одной отлетели колеса, у второй порвалась трубка для подачи воды.  На корпусе тоже почему то отлетела панелька. Сгорел моторчик какой-то(сказали везти в сервис, но скорее всего это не гарантийный случай, т.е. придется ремонтировать за свой счет. Говорят, что это частая проблема у них из-за перепада напряжения) Хорошо, что муж мастер на все руки и очень быстренько все сделал сам.  Очень громоздкий и неудобно выливать воду. Все время перекручивается трубка для подачи воды на шланге и приходиться поправлять периодически. Следующий наш пылесос(я подозреваю, что этому недолго осталось жить) будет самым обычным и скорее всего не моющий, потому что считаю эту процедуру(по опыту с этим пылесосом) очень сложной и ненужной!</t>
  </si>
  <si>
    <t>Утюг и в правду шикарный разглаживает даже пересохшее белье очень легко. Быстро нагревается (у меня одна минута десять секунд) до максимального нагрева, хороший паровой удар и очень нужная функция ионизации пара. Подошва утюга прекрасно скользит не заминая белье и легко моется. Больше всего порадовала функция авто отключения можно совсем не вытаскивать из розетки. Мне утюг очень нравится.</t>
  </si>
  <si>
    <t>В целом игра неплохая, одна из моих первых игр на PSP. Если играть долго, то становится скучно, т.к. в игре одни перестрелки и ничего больше, что конечно быстро надоедает. Если и играть в нее, то не часто, чтоб не надоела и не разочароваться в ней после этого. Графика для PSP приемлемая, сюжет так себе. Поиграть стоит, но не переигрывать</t>
  </si>
  <si>
    <t>2015-04-10</t>
  </si>
  <si>
    <t>Чайник в целом хороший! Нагревает отлично, единственное, что раздражает - это крышка!!! При закипании она постоянно открывается, да и закрывается не с первого раза!)   За такие деньги такого не ожидали!</t>
  </si>
  <si>
    <t>2017-07-11</t>
  </si>
  <si>
    <t>Те кто пишут о ней плохо-просто готовьте по рецепту и обязательно весы ！без них никак )  Все прожаривает и промешивает, моя семья очень довольна！  Надежная и простая в пользовании, а что еще надо？</t>
  </si>
  <si>
    <t>Слишком хорошо, чтобы было хорошо. Даже придраться не к чему. Так и ждешь какой-нибудь дырки в машинке, но она (дырка) почему-то упорно не всплывает. Машинка стирает и отжимает замечательно, это однозначно. Машинка средне-тихая.</t>
  </si>
  <si>
    <t>Свой выбор в пользу этого ноутбука я сделал дважды: сначала заочно, сравнивая характеристики и стоимость компьютеров в интернете, а потом в магазине, «щупая» отобранные на первом этапе аппараты.  Мне нужен был мощный ноутбук с большим монитором в качестве замены настольного компьютера. Такой я себе и нашел.  К качеству придраться не могу: всё аккуратно собрано, не болтается. Только крышка ноутбука иногда поскрипывает в районе камеры при открывании компьютера.  Клавиатура понравилась: она и выглядит здорово и печатать на ней в удовольствие, как только привыкнешь к ноутбучным клавишам. Нравится шрифт разметки клавиш.  Экран этой модели, пожалуй, один из самых лучших в ноутбуках. Обратите внимание на его разрешение и сравните то, как он показывает черный цвет — свойственного ноутбучным экранам «серого» свечения в нем не так много как в большинстве современных одноклассников этой модели. Яркость экрана вообще поражает: его можно вместо лампы в комнате использовать :-).  Завершая, скажу, что я долго и придирчиво выбирал себе подходящий ноутбук и в итоге выбрал эту модель.</t>
  </si>
  <si>
    <t>Компактный и недорогой, удобно, что естьдва варианта установновки (на подставке и на прищепке)</t>
  </si>
  <si>
    <t>Хороший ноутбук. Работает отлично. Очень довольна покупкой. В частности тем, что на нем не остается следов от пальцев.</t>
  </si>
  <si>
    <t>Покупала фен в дорогу , очень мощный и не портит волосы очень приятная складная ручка</t>
  </si>
  <si>
    <t>Не согласна с плохими отзывами,машинка отличная все свои функции она исполняет, по поводу громкости не заметила, работает отлично, я очень довольна, в ней есть все что нужно.Очень рекомендую!Отличная модель!</t>
  </si>
  <si>
    <t>купил этот ноутбук, работал на нем, все нормально,все устраивало, по прошествии 2 недель во время работы выключился экран и ноутбук. На следующий день я отнес его в сервисный центр и отдал по гарантии. Через пару дней я пришел за ним и мне сказали что в ноутбуке был брак, вышел из строя винчестер, так как ноутбуки чинят в москве, мне предложили обмен товара на аналогичный. пока думаю брать такой же или марку проверенную временем.</t>
  </si>
  <si>
    <t>1803</t>
  </si>
  <si>
    <t>Выбор был только среди самсунгов. В итоге - до этого был тоже самс Le32. Что понравилось в номом телевизоре: диагональ - теперь зал похож на маленький кинотеатр. Что не понравилось - изображение размытое при сравнеии с led моделями. Сам выключенный экран ни черного, а серого цвета. Греется)) В целом очень доволен. А, ещё одна проблема - еле затолкал его в авто)) В общем - советую!</t>
  </si>
  <si>
    <t>422</t>
  </si>
  <si>
    <t>Приобретённый у Вас тел.Panasonic KX-TS2358 RU-B -  оказался самым надёжным и безукоризненно работающим из всех тел. аппаратов, имеющихся у нас в квартире.   Смело можно приобретать, и без колебаний.     Удач,    М.М.</t>
  </si>
  <si>
    <t>Тихая, отлично простирывает белье</t>
  </si>
  <si>
    <t>2793</t>
  </si>
  <si>
    <t>Очень расстраивает этот звук от выдвижения объектива.. Выезжали на природу, снимали: птички поют и звук этот тзззззззз((((  А так ничего камера. Фото с нее делать не рекомендую - плохое качество. А вот к качеству самой картинки видео претензий нет, да и с экранов все хорошо, четко)</t>
  </si>
  <si>
    <t>SONY умеет делать технику и данная модель тому яркое подтверждение. Великолепное качество изображения, прекрасное и удобное меню, безупречный внешний вид. Одним словом качественная вещь, которая вас будет очень долго радовать. Берите - не пожалеете! Рекомендую с чистой совестью!</t>
  </si>
  <si>
    <t>2015-01-31</t>
  </si>
  <si>
    <t>У меня она уже 5 лет.  Работает отлично, компактная,  простая в использовании. Нареканий нет, стирает хорошо. Рекомендую.</t>
  </si>
  <si>
    <t>Картридж удобно устанавливать. Сразу готов к работе. Увеличен ресурс по с равнению со старыми B100. Дороговато, но другой альтернативы нет.  Качеством воды доволен.</t>
  </si>
  <si>
    <t>1271</t>
  </si>
  <si>
    <t>Купила вчера,опробовала и мне не понравился. Много волос ломает. Мелкие волоски чтобы захватил,нужно несколько раз по одному и тому же месту водить,в зоне бикини и в подмышечных впадинах из-за насадки вообще до волосков не достает,нужно сильно прижимать,что приводит к повреждению кожи. В общем много минусов. Из плюсов цена, гарантия, охлаждающий поток и подсветка</t>
  </si>
  <si>
    <t>купили в мае, вчера сломался, сегодня понес в магазин принимать-обменять отказались т.к нет сервиса в Сочи, послали на независимую экспертизу,хотя не вооруженным глазом видно заводской брак, отстоял в очередь по браку два часа, народу как в Мавзолей.  p/s. в Мвидео больше ни ногой</t>
  </si>
  <si>
    <t>Как только купил, сразу же приступил к тестированию на линолеуме. Погрешность доходила до 10!!! кг. Открыл инструкцию, написано, что на мягких поверхностях таких как ковры точность измерения снижается. Проверил работу на твердой поверхности (поверхность табуретки), заявленную точность подтвердили. Что же это за весы, если даже на линолеуме не могут измерять. Завтра буду стелить ламинат. В общем весы отвратительные, обязательно берите весы со встроенной нижней опорой. У тефаля вроде все такие весы.</t>
  </si>
  <si>
    <t>Вещь просто супер!!Удобный в использовании.Выпрямляет моментально и главное ровно.У меня длинные волосы средней вьючести :)Раньше был дешевый(что был, что не был)После этой покупки с удовольствием от него избавилась.Советую!</t>
  </si>
  <si>
    <t>Купил M8 плеер конечно отличный но зарядки зватает часов на 7</t>
  </si>
  <si>
    <t>общая оценка: "5".  плюсы: большое отверстие для загрузки - не нужно многие фрукты разрезать, жмых сухой остается - больше с него ничего не выжмешь, сок делается за секунды.  присоски надежные - по столу во время работы не прыгает. порадовала функция автоотброса жмыха - не нужно останавливаться каждую минуту.   мыть нужно четыре детали: 3 пластиковые - легко и быстро (если сразу после отжима, то струей воды все смывает) и сито, для которого есть спец.щеточка  минусы: сито вымывается подольше - после цитрусовых, но это сомнительный минус - всего лишь лишние минуты 2-3, всего лишь вопрос привычки.</t>
  </si>
  <si>
    <t>Не знаю кому какие попались и кто как их подключал, но в моем случае все замечательно! Особенно порадовало как они сидят на гАлЯвА :)) Сидят плотно, но не давят. Звук - это SONY! Добавить нечего. Единственный недостаток (хотя это не недостаток скорее, а просто не предусмотренно за такую то цену) - это необходимость их нахождения в зоне приемника ИК. То есть выходя в другую комнату теряешь звук в ушах, приходя - находишь!.. :)) Думаю ещё прикупить. В любом случае пригодятся.</t>
  </si>
  <si>
    <t>Пользуюсь таким пылесосом уже более 5 лет, пережил два ремонта, и не потерял своих качеств. Достаточно раз в полгода промывать все фильтра с мылом в теплой воде и он пылесосит как новенький!</t>
  </si>
  <si>
    <t>Пытаюсь пользоваться этой бритвой уже пол года. Лично мне она не понравилась, бреет плохо, чистится в самоотчистке плохо. Короче зря потраченные деньги. Буду пробовать Панасоник или уйду обратно на станок.</t>
  </si>
  <si>
    <t>Подарили такой пылесос, мощность очень слабая. Чтобы действительно хорошо пропылесосить машину потребуется часов 8. Не рекомендую покупать данную модель, очень разочарует</t>
  </si>
  <si>
    <t>Купил 2 недели назад данную машинку. Доволен ею практически полностью. Замечательный дисплей, очень удобная клавиатура, правильный картридер, громкие динамики с весьма пристойным звуком. У данной модели по сравнению со всеми другими нетбуками за данную цену, несколько расширены графические возможности (об этом даже символизирует специальная наклейка Nano by VIA =)), но максимум что он нормально тянет это игры вроде Need For Speed Porsche или (NFS 5). Несомненно его возможностей хватает для работы в Photoshop, CorelDRAW, офисных приложениях и даже несложной работы в КОМПАСе. Вполне справляется фильмами HD качества. Но безусловно надо адекватно принимать возможности этого малыша. За такую цену едва ли есть что-нибудь лучше среди нового.  У него есть дублирующая операционка "квикстарт". Думаю единственный её плюс в том, что с состояния выключенного компа, не загружая Винду, можно оказаться в нете примерно через 10 секунд если есть WiFi доступ.  Изначально минус в том что винчестер разбит очень неправильно на мой взгляд. 100Gb отдано под систему, 40Gb по всякую всячину на ваше усмотрение, и примерно 15Gb спрятано под резервное копирование системы(Этот раздел занят резервной копией винды в заводском состоянии весом примерно 3,5Gb). Эта небрежность легко исправляется переразбивкой дисков соответствующей программой, например "Акронис". И самое главное отсутствие встроенного оптического привода совсем не проблема если у вас он есть на обычном ПК. Выковыриваете его и подключаете при помощи мобильного шасси (стоит оно порядка 800руб) и нетбук видит и пользует этот привод без проблем хоть из-под винды хоть в биосе.  Только вот для меня остаётся большим вопросом то стоит ли на этом малыше расширять ОЗУ.....!!!!!  Стоящая машинка! РЕКОМЕНДУЮ!!!=0</t>
  </si>
  <si>
    <t>Приобрела данную посудомоечную машину в магазине м.видео на гоголя,15.Сначала сомневалась,выбирала между BOSCH и SIEMENS(ELECTROLUX вообще не рассматривала как вариант!!!!)но пообщавшись с замечательным специалистом,консультантом Натальей,остановила свой выбор на этой модели посудомоечной машины -и не жалею о своем выборе!Посудомойка отличная!Работает практически бесшумно,не нужно подходить и смотреть,закончилась ли программа-горит индикатор.Посуда кристально чистая,без подтеков и разводов!Всем рекомендую!!</t>
  </si>
  <si>
    <t xml:space="preserve">Красивый дизайн, формы которые легко мыть , приятные и красивые ручки . </t>
  </si>
  <si>
    <t>Хорошо убирает, моет мягкую мебель.</t>
  </si>
  <si>
    <t>Взял, потому что это универсальная вещь – она и охлаждает, и нагревает, и сушит. Со всеми перечисленными пунктами справляется просто отлично! нравится хорошая производительность и мощность этой системы. При этом она совсем не шумная! Есть антибактериальный фильтр, что приятно. Есть несколько режимов, в том числе, ночной – она работает ещё тише и постепенно понижает температуру понемногу. Пульт в комплекте, управлять системой легко. по повышенной влажности в комнате сразу соображает, что к чему, и врубает сушку. Просто отлично продумана система безопасности. Есть самодиагностика неисправностей, которая выдаёт код – в случае внезапной поломки всегда можно узнать, что же именно произошло.</t>
  </si>
  <si>
    <t>Не чего стоящего, стартовая линейка кошмар. Играть не во что, графа дотянула до уровня псп. 3 д не чего впечетляещего, а от е3 одни казусы нинтедо неипический марио 100500 и зельда 32184321 нинтендо сливает...</t>
  </si>
  <si>
    <t>Купил только вчера. Быбирал между ним и масленными.   Начал собирать и выяснил, что болтов, которые крепят сам тепловентилятор к основанию-подставке нет в комплекте. Очень грустно. Пришлось первый пуск проводить в сурогатном варианте ( прислоним к стене). Спальню в 18 квадратов нагрел очень быстро. Сегодня вечером соберу и поэксплуатирую в полную силу.</t>
  </si>
  <si>
    <t>2017-01-08</t>
  </si>
  <si>
    <t>Узкая - отлично вписалась в маленькой ванной комнате 2х2, легкая в установке и подключении к коммуникациям. При правильной установке по уровню - машина при отжиме не прыгает даже на голом кафеле.</t>
  </si>
  <si>
    <t>Не дорогая цена, для объема функций</t>
  </si>
  <si>
    <t>2152</t>
  </si>
  <si>
    <t>Вещь конечно очень крутая</t>
  </si>
  <si>
    <t>3137</t>
  </si>
  <si>
    <t>Сегодня купила данную модель. опробовала. очень нравится!!!за такую цену очень довольна! из недостатков могу сказать - не очень удобно, что нельзя работать на ней больше 1 минуты без перерыва. но стакан сока можно получить меньше чем за минуту, поэтому особо на него внимания не обращаю. В остальном - отличная соковыжималка, надеюсь прослужит долго.   рекомендую</t>
  </si>
  <si>
    <t>отличный ноут ,тихий, до этого был MSI S300, так после него- сказка, звук хороший, всё устраивает, в руках один месяц и винд 7 - приятно удивила! не сравнить с вистой. Единственное что немножко огорчило нет блютуза, но это мелочь. советую, кто располагает такой суммой, это лучший выбор.</t>
  </si>
  <si>
    <t>Купил утюг 1 сентября 2011 г. работает без нареканий, глажу рубашки каждый день с эффектом отпаривания, быстро нагревается, хорошая гладящая поверхность, которая легко чистится,легкий и удобный!</t>
  </si>
  <si>
    <t>Вытягивает, приятный внешний вид, соотношение цена-качества</t>
  </si>
  <si>
    <t>быстро закипает, надежен</t>
  </si>
  <si>
    <t>Маленькая, легкая, удобная. Цена тоже в приемлемой политике.</t>
  </si>
  <si>
    <t>Пользуюсь недавно,но результатом ОЧЕНЬ довольна!!!После выпрямления волосы блестят,как в рекламе ))) Цена тоже порадовала,да и качество тоже.Рекомендую!</t>
  </si>
  <si>
    <t>Купил на этой неделе, пользовался один раз пока. Но, остался доволен. Особенно понравилось, что чашка сама крутится во время замеса и не надо миксер держать. Можно другими делами заниматься.</t>
  </si>
  <si>
    <t>1321</t>
  </si>
  <si>
    <t>хороший пылесос с высокой мощностью втягивания и фильтрацией  - дешевая сборка (пластиковые колеса, щетка пол-ковёр)   стоит свой денег</t>
  </si>
  <si>
    <t>Модель хорошая, удобная, работает тоже без проблем, отдельное спасибо разработчикам за 8 часовую батарею, единственное что плохо, при сносе винды,  не находит интегрированную видеокарту и память показывает 2.89гб вместо 4 и почему-то видео в диспетчере написано не 4330 а 4300. Кто смог переустановить на xp без проблем отпишитесь, может я что-то не так делаю. А общий вывод: модель порадовала, не пожалел потраченные деньги.</t>
  </si>
  <si>
    <t>По моему мнению, эта часть раскрыла все прелести своей серии игр, прошел я ее 100 лет назад на ps2 самая крутая игра на эту консоль.</t>
  </si>
  <si>
    <t>Подарил сам себе на Н.Г.Первый подобный аппарат,помыслил с настройками чуть-чуть,а так то все устраивает и звучок и картинка.В машине стоит на штатной акустике(японавто) без усилков, но с качественными проводами.</t>
  </si>
  <si>
    <t>2017-02-01</t>
  </si>
  <si>
    <t>недорогой, эффективный, компактный</t>
  </si>
  <si>
    <t>Пользуюсь уже полгода. аппарат действительно удобный. И, что для меня действительно важно - заряда батареи хватает реально на часов 26-27 (при среднем уровне громкости), а заряжается всего минут за 25 - 30. И менюшка простая и удобная. Топил его разок - просушил и как ни в чем не бывало, Наушники родные - так себе, но все получше, чем многие другие комплектуют. Вывод: если нужен относительно простой в использовании, надежный и хорошо звучащий плеерок по разумной цене - то это он.</t>
  </si>
  <si>
    <t>Советую всем, очень хороший антивирус. Пользуюсь сама уже 2 года очень довольна. Ловит почти все вирусы. Но есть 2 минуса: весит много и орет как потерпевший если поймает вирус.</t>
  </si>
  <si>
    <t>Смеритесь с тем, что качественных FM-модуляторов нет и никогда не будет. Все модуляторы по качеству передачи сигнала на магнитолу одинаково убогие. Купите любою магнитолу с USB  и будет Вам счастье.</t>
  </si>
  <si>
    <t>Это третий термопот, предыдущие работали по 5 лет, были большого объема по 6 литров. Всегда горячая вода, не нужно ждать, когда вскипит вода. Очень красивый, видно в темноте, сколько нужно налить, на двоих объем 3,3 литра хватает надолго.</t>
  </si>
  <si>
    <t>2015-04-02</t>
  </si>
  <si>
    <t>Пересмотрела много кофемолок из недорогих вариантов. Эта понравилась больше других даже более дорогих. Удобно держать в руках, что, оказывается, немаловажно, не скользкий пластик, как в многих, которые не знаешь, как ухватить, когда высыпаешь размолотый кофе.  Не шумная и помол хороший. Я очень довольна. Правда, первая оказалась с браком. Поменяли без проблем. Спасибо, очень внимательные, вежливые, аккуратные ребята и девушки на кассе)))</t>
  </si>
  <si>
    <t>Плита замечательная! Духовка печет отлично, легкая в применении, простая в настройках. Поджиг работает как надо. Проблем за полтора года эксплуатации нет. Вся семья очень довольна. Инструкция вполне понятная, рецептов нет, смотрите в интернете. После газовой духовки (даже хорошей) понимаешь, что электрическая - как день и ночь. Всем советуем.</t>
  </si>
  <si>
    <t>Купил сегодня, сказать что доволен, ничего не сказать. Превосходная моделька от LG. Настроил и подключил всё быстро, качество контента в формате HD СУПЕР!!! Хотя конечно и avi тоже ничего. Смотрю с компа MKV и рипы в Full HD качестве - картинка просто поражает своей детализированностью. ОГРОМНОЕ СПАСИБО М. ВИДЕО за такую цену на этот телевизор! ВЫ ЛУЧШИЕ!!!</t>
  </si>
  <si>
    <t>Уже год машина отработала - никаких нареканий. Не нравится только то, что после завершения цикла она долго-долго сигналит. А так отличная машинка.</t>
  </si>
  <si>
    <t>У меня до термопота был чайник этой же фирмы, работал лет 10,так и не сломался.Термопот этой фирмы у меня уже 7 лет работает, его нужно периодически чистить,тогда будет долго служить вам.Я раз в месяц засыпаю 100гр.лимонной кислоты и ставлю на очистку и он как новенький!</t>
  </si>
  <si>
    <t>1099</t>
  </si>
  <si>
    <t>Это самое замечательное портативное устройство!В нём есть, что нужно для дальних поездок!Улучшенный экран по сравнению с предыдущей версией,а также появился микрофон для общеня в сети Skypе!</t>
  </si>
  <si>
    <t>Купил в январе 2010 года. За небольшую цену - отличный телевизор. Показывает здорово как кабельное, так и кинотеатр и к буку цепляли - все здорово... недопонял про USB, но в кинотеатре  USB есть, поэтому по этому вопросу как то и не заморачиваюсь.....  Всем советую...</t>
  </si>
  <si>
    <t>553</t>
  </si>
  <si>
    <t>Звучание для меня довольно приличное(по громкости и чистоты звука), но единственное для меня малец неудобные.Цену свою они  оправдывают, так что у кого небольшой бюджет самое оно...</t>
  </si>
  <si>
    <t>Плита хорошая, пользуюсь уже не первый год, гарантия давно закончилась, но тоже проблемы с эмалью, возникли сразу как закончилась гарантия(((</t>
  </si>
  <si>
    <t>Хорошая вытяжка, легко моется, немного шумновата, но это не критично, соотношение цена/качество на 5</t>
  </si>
  <si>
    <t>я выбирая из плееров купила именно его. бегаю по утрам и его компактный размер+дисплей меня покорили:) не болтается грузом на шее или мешается в кармане:)  корпус алюминиевый - это вообще супер! послушала звучание - мне понравилось больше чем у эппл (у меня он у мужа).   да и работает весьма продолжительно.</t>
  </si>
  <si>
    <t>2789</t>
  </si>
  <si>
    <t>Отличный блендер, почти каждый день готовлю с его помощью! Целый год служил мне верную службу, пока не упал и не разбился, решила купить такой-же.</t>
  </si>
  <si>
    <t>Замечательный блендер. При такой цене- качество просто отличное...да и все необходимые к нему аксессуары идутв комплекте! Очень довольна</t>
  </si>
  <si>
    <t>2012-08-01</t>
  </si>
  <si>
    <t>Отличная кофемашина, могу Вам точно сказать. Если честно выбирал по внешнему виду - очень понравилась по дизайну, интересно сделаны переключатели, кнопочки, ну и в общем тоже класс. Консультант в магазине долго объяснял про какой то супер заварочный блок, но я так ничего и не понял, а как купил - не могу нарадоваться: он съёмный, компактный, вытащил раз в месяц - помыл, и никаких расходников не надо (только от накипи иногда чистить), и уверен, что не сломается через год из-за того, что там что-нибудь засорится. Пользуюсь уже полгода - вкуснейший эспрессо, капуччино можно приготовить без проблем, в общем рекомендую - отличный аппарат!</t>
  </si>
  <si>
    <t>Свои деньги отыгрывает,только ему бы усилок помощнее, а так ничего!!!</t>
  </si>
  <si>
    <t>2014-12-16</t>
  </si>
  <si>
    <t>Основные его плюсы: 1. цена (брал по акции). 2. стильный внешний вид (подойдет под любую кухню). 3. Высокая мощность 2200 Вт (нагревается быстро, по сравнению с мои старым). 3. достаточно тихий.  Минусы таковы: 1. маленький диаметр горловины (неудобно мыть). 2. специфический вкус "железа" (слава богу прошел через неделю, после того как помыл специальным средством). 3. на корпусе чайника остаются пальчики.  Пользуюсь им уже полгода и хоть бы хны - работает замечательно, нагревается махом. За все время ни разу не пожалел. Если Вам нужен стильный, надежный чайник  по приемлемой цене из нержавейки,  берите обязательно.</t>
  </si>
  <si>
    <t>2214</t>
  </si>
  <si>
    <t>Наушники по качеству звучания хорошие, но вот не порадовало качество сборки - видны следы клея, вмятины на железной защите мембраны. Но раздосадовал один момент - сначала начал потрескивать правый наушник, а потом и вовсе стал отключаться. Смотрите сами, стоит ли брать такие за 200р? думаю лучше доплатить и взять большие :)</t>
  </si>
  <si>
    <t>Хороший выбор. Никаких батареек, в комплекте идут 2 аккумулятора, которые заряжаются прямо в наушниках при подключении к док базе. База отключается (актуально, если у вас много беспроводной электронники)не создает помех для других устройств. Прыгать, бегать, лежать можно все, главное, чтобы вы были в прямой видимости от излучателя, никакой разницы в звучании. Басы слабоваты.</t>
  </si>
  <si>
    <t>Превосходная соковыжималка. Сначала она может показаться не мощной, но фрукты отжимает до последней капельки. Легко моется, проста в обращении. Довольна этим выбором.</t>
  </si>
  <si>
    <t>Дизайн и качество телевизора отличное,все очень нравится,единственное как сохранить настройки изображения?Выключаешь телевизор и настройки сбрасываются,не сохраняются.</t>
  </si>
  <si>
    <t>Ну вот попробовали с женой сегодня наш новый пылесос ZELMER Aquawelt 919.0 ST.  Прочитали инструкцию там всего 3 листика, все подробно описано, все в картинках. Взяли шланг (кстати очень прочный армированный, я за него без проблем таскал пылесос при работе), подсоединили к пылесосу (тоже надежно крепится). С другого конца прицепили трубу телескопическую, подключили турбощетку, в бак налили воды и начали делать сухую уборку. Мощность управляется кнопками на корпусе пылесоса, по умолчанию включилась средняя мощность, мне она показалась достаточной, но первый раз вычистить квартиру решил все же на максимальной. Достаточно быстро я пропылесосил 3 ковра и 7-ми метровую дорожку в прихожей. На взгляд пылесос собрал все что можно было, никаких пропущенных ниток, перьев, мусора не обнаружил (мой старый дешевый LG вечно отказывался всасывать все что больше пыли  ) Посмотрев на то болото, которое образовалось в баке мы с женой афигели, ну никак мы такого не ожидали увидеть, потому что убираемся раз в две недели капитально и полностью (да и кстати сказать квартире и коврам всего один год). Обрадовались очередной раз своей покупке.  Дальше решили помыть ковры. Налили 1,5л раствора в специальный бачок, большой бак по инструкции должен был быть пустым мы так и сделали. К шлангу подцепили трубочку для подачи раствора, она крепится клипсами, кнопка подачи раствора находится на рукоятке, которая приделана к трубочке и крепится к основной рукоятке снизу. Одели насадку для распыления и снова включили питание, включил насос, мощность я снова поставил максимальную. Начали распылять раствор на ковер на площадь примерно 0,5 м2, потом уже без подачи раствора начали движениями на себя собирать жидкость, потом снова распылять и так пока не кончился ковер. Затем одели насадку для сбора жидкости и снова прошлись по всему ковру. Остаточная влажность очень низкая, через 1 час уже все была сухо. Я вот сейчас пишу и задумался что может не надо было собирать жидкость насадкой для распыления а собрать потом ее со всей поверхности ковра насадкой для сбора жидкости. А вдруг тогда ковер сильно промокнет??? В общем не знаю. После 3 ковров раствор кончился и пришлось сделать еще 1,5л. Вымыли прихожую и остатками раствора решили помыть диван. Когда уже заканчивали диван, пылесос вдруг описался и сделал на полу лужу. Я быстро его выключил, испугался, ведь этого быть не должно было. Вода вытекла из отсека, где расположен хепа фильтр. Посмотрели на лужу, включили пылесос, собрали эту лужу и решили что впредь обязательно надо добавлять антипенную жидкость (подумали что изза ее отсутствия произошла утечка).  Настало время пылик отмыть. включил пылесос и промыл шланги и насадки. В баке опять оказалось много грязи слили, вымыли, промыли бак, промыли все фильтры какие только нашли (можно было и не все, но всеж помыли) и оставили все сушится.  В итоге уборка нам понравилась, все чисто, воздух свежий, пыли не летало в воздухе никакой, мощности достаточно, в эксплуатации все просто (жена сразу со всем разобралась), размер пылика не сказать что большой, моется просто и легко. Немного показался шумноват, но это терпимо. Покупкой пока довольны, минусов пока тоже не нашли. Если чтото случится обязательно поделюсь.  Кстати гарантия 4 года распространяется только на двигатель, все остальное как я понял негарантийное.</t>
  </si>
  <si>
    <t>Сам набор неплохой но 1. не удобно мыть, т.к. болты которыми крепится ручка к поверхности, выпирают на внутренней части посуды. 2. не удобно хранить т.к. крышки с широкими бортами, друг в друга кастрюли ставятся , а крышки нет в итоге набор занимает очень много места . 3.под борт крышки постоянно попадает грязь, которую очень сложно отмыть. 4. при варке в обычной воде (из крана) тат же появляются пятна, которые довольно сложно отмыть. Но зато воду можно слить без дуршлага.</t>
  </si>
  <si>
    <t>2009-09-10</t>
  </si>
  <si>
    <t>Пользуюсь около года, очень доволен!</t>
  </si>
  <si>
    <t>Очень выручает когда отключают горячую воду. И посуду помыть можно и умыться. Воду нагревает быстро, максимум до 75 градусов. Бак внутри эмалевый. Крепить такой нагреватель к стене можно вертикально, что очень удобно. И размер у него небольшой. Имеется функция индикатора включения. Из за того, что он электрический, я сначала переживал и боялись, хотя и говорили что 100% защита, а теперь сомнения все отпали. Не пожалели, что купили именно его, ведь воду у нас частенько отключают. Рекомендую, тем у кого часто нет горячей воды и есть маленькие деть, реально выручает!</t>
  </si>
  <si>
    <t>Сегодня купили, завтра ждем!  Надеемся на лучшие результаты...  Долго выбирали, на внешний вид ничего, да и говорят что хороша для жесткой воды.    Надеюсь на лучший отзов от себя после проверки)))</t>
  </si>
  <si>
    <t>Купили такую в декабре 2012 г., установили после ремонта в ванной 02.02.2013 г. Стирала так себе, даже хваленые 1200 об./мин. особо не отличались от 500 об./мин. (на старой машинке). И это не эконом-класс с итальянской сборкой! Проработала 3 месяца и... сломался блок управления. Сейчас уже месяц в ремонте. Если не уложатся в 45 дней, однозначно возврат и покупка другой модели.</t>
  </si>
  <si>
    <t>Купила сегодня. цена соответсвует качеству - идеальной гладкости добиться так и не удалось. Боль терпимая, шум тоже. посмотрим через какое время потребуется повтор процедуры) В ОБЩЕМ - эпилятор понравился.</t>
  </si>
  <si>
    <t>Супер-вещь! Пользуемся такой электроблинницей года четыре. Блинчики получаются тонкие, кружевные! Нравятся всей семье. За короткий промежуток времени получается приличная стопка блинчиков!</t>
  </si>
  <si>
    <t>330</t>
  </si>
  <si>
    <t>Уже не первый раз покупаю эти наушники, очень нравится звучание басов в них, хорошо изолируют уши от шума, тепло зимой )) Удобно носить и дизайн очень стильный. В этой ценовой категории-фаворит. Давно не видела их в продаже в Брянске, хотелось бы еще купить их, старые пришли в негодность</t>
  </si>
  <si>
    <t>Нормальная кофемолка, помол на минимальном уровне вполне себе мелкий, но если нужно прямо в пыль, то в интернетах есть множество руководств по допиливанию механизма. Уровней регулирования помола много, это весьма радует. Сам помол равномерный, что бы там ни говорили. Эргономика и дизайн хорошие, но ничего сверхъестественного. Покупал за счет бонусных баллов, но цена в целом приемлемая , хорошие жерновые кофемолки найти сложно.</t>
  </si>
  <si>
    <t>Михаил не прав - игра самf предлагает на выбор - будете вы играть с одним или с двумя контроллерами!</t>
  </si>
  <si>
    <t>2014-01-03</t>
  </si>
  <si>
    <t>Купил в декабре 2012. Остановился на Boneco, так как они специализируются на климатической технике, давно на рынке, значит богатый опыт. Из вcех выбрал 7135, так как в этой ценовой категории у него у единственного была медная мембрана с каким-то спец двойным охлаждением и покрытием. Продавец мне рассказал, что медная самая долговечная, остальные на сезон, но на них и цена, не жалко, до 3000 тыс. примерно. По акции взял. Смущал дисплей, так как думал, что ночью раздражать будет (дисплей и днем хорошо видно и ночью не раздражает, приятный зеленоватый). Достоинства: качество сборки, пластик хороший не воняет, не шумный, тише ноута, дисплей не раздражает, кнопки не торчат как попало, собрано хорошо, как снаружи так и внутри, белого налета нет, но я пропускаю воду через фильтр перед тем как заливать, плюс свой у него фильтр, увлажняет с 30% до 50% за два часа 20кв. метров, но самое, что интересное купил специально аналоговый гигрометр и повесил в другой конец комнаты, на нем показывает 60%(аналоговый 100% корректно работает) при том что на увлажнителе 50%, так что может он и все 60 нагоняет во всей комнате, а производитель, так как встроенный гигрометр в увлажнителе, специально занизил показания встроенного. Недостатков: не обнаружил, очень доволен, в комнате свежо, хорошо, за компом сидишь не устаешь, ночью правда высыпаться стал, как люди пишут на форумах. Только не ждите, что вы купили увлажнитель, он нагнал 60% влажность такая и останется, нет, для этого нужно, чтобы мебель, обои пропитались, это не только к этому увл. За ночь в первые дни влажность возвращается к той, какая была до него. В дальнейшем от ежедневной работы выравнивается. Цена качество, доволен, взял еще доп гарантию на два года, которая подразумевает неограниченное количество обменов при поломке, и вообще забил, если там что-то сломается)))</t>
  </si>
  <si>
    <t>call of duty mw2 летает просто на максах , DAO тоже на максах, ноут просто шикарен</t>
  </si>
  <si>
    <t>2717</t>
  </si>
  <si>
    <t>2016-02-29</t>
  </si>
  <si>
    <t>Выбираю подарок младшей сестре на 8 марта. Набрела на этот набор по такой невероятной низкой стоимости! У меня был раньше такой и покупала я его дороже. При этом он же замечательный, просто незамысловатый и без каких-то особенно крутых функций. Думаю приобрету сестре именно его – отличный старт в обращении с такими аппаратами для маникюра</t>
  </si>
  <si>
    <t>Купил сегодня (05.09.2010)У неё просто гигантское отверстие для загрузки,очень хорошая мощность,приятный дизайн,её легко мыть,жмёт изумительно за 2 минуты справляется с 3-мя килограммами яблок,ничего не перегревается и работает изумительно.</t>
  </si>
  <si>
    <t>Тоже пользуюсь более 5 лет. Шумит не намного громче других. Проблем с ним нет. Единственный минус это пластиковая насадка и колеса - если прилипает острый мусор царапает пол (паркет пока везеш его). Ест все - строительный мусор и тд. вплоть до маленьких резиновых мячиков.</t>
  </si>
  <si>
    <t>Отличный телефон,пользовался им 2 года, все устраивало. Перешел на 3Gs - еще лучше. Тут и возможность снимать видео и мультизадачность и быстродействие, куча разного софта, а главное достаточно мощная батарея, но и у 3G тоже не слабая.</t>
  </si>
  <si>
    <t>Купил год назад,прошла огонь и воду-ни разу не подвела СУПЕР!!! Всем просто рекомендую,спасибо м-видео за качественный подукт.</t>
  </si>
  <si>
    <t>Купила фен, сравнила с мощностью предыдущего и выяснила - дрянь, больше нечего сказать.</t>
  </si>
  <si>
    <t>Купила эту стиральную машину осенью 2008 года, до сих пор работает отлично! Никаких проблем за это время не было. Занимает мало места, очень удобная в управлении!</t>
  </si>
  <si>
    <t>387</t>
  </si>
  <si>
    <t>Купила штатив, принесла домой- отлетело крепление у одной ножки. Обменяла на такую же модель- и снова брак: трещина на ножных креплениях. Забрала деньги. Советую брать модель по-дороже.</t>
  </si>
  <si>
    <t>Купила 8 марта 2012 года в магазине мвидео своего города этот \"чудо-блендер\". Парень-консультант расхваливал его. Могу сказать, он только бананы и молоко смешивает нормально, остальное не молит абсолютно! при этом от движка исходит ужасный запах гари спаленного двигателя; в инструкции написано что после первого применения может исходить специфический запах, но не после 20-го же применения! К тому же после первого применения ножи откручивались, а сейчас вообще не откручиваются, как будто бы застряли, сломались! качество-ужасное. Заявленных денег не стоит.я бы даже тысячу не отдала за него.Вот поеду возвращать! Не советую категорически.</t>
  </si>
  <si>
    <t>Очень довольна печью!Уже "обожглась" с LG!по этому решила купить panasonic.Благодаря инвертору действительно меньше электроэнергии потребляется!А гриль просто сказка!Легко моется!И дизайн то,что надо!</t>
  </si>
  <si>
    <t>Простой в обращении, зарядка аккумулятора действительно держится указанное время, хорошее звучание и небольшой размер - основные качества хорошего плеера, которыми обладает данный. Я доволен своей покупкой.</t>
  </si>
  <si>
    <t>Пользуюсь этим чайником 3 года... Через 2,5 года пользования иногда сам не выключался. А через 3 года стала западать кнопка открывания крышки. Я считаю, что 2,5 года для чайника - это нормальный срок.</t>
  </si>
  <si>
    <t>Отличная панель,звук,изображение на отлично.Хотел взять филипс но качество тв сигнала плохое(пока не сравнил с данной панелью).Не сколько не пожалел что взял именно эту модель,да и цена приемлема.</t>
  </si>
  <si>
    <t>Хорошие наушники. Звук отличный и носить удобно. Продержались около 8 месяцев. Можно рекомендовать к покупке.</t>
  </si>
  <si>
    <t>Покупали чайник как бесшумный ,но оказалась полная противоположность !!!  Не советую. После месяца пользования сдали нервы! Шумит очень сильно . Ощущение такое,что ты не дома ,а в аэропорту на взлетной площадке!</t>
  </si>
  <si>
    <t>Купил себе такую камеру!По моему мнению - это супер. Хорошее качество видео, удобная в пользовании. Ну есть некоторые минусы.</t>
  </si>
  <si>
    <t>Ужасный утюг(( совсем не гладит. Вода кстати при отпаривании вытекает и еще как</t>
  </si>
  <si>
    <t>мне очень понравились, хоть и не дорогие, но точность как в аптеке =))память на скольких пользователей, сразу показывают, сколько скинул, а сколько набрал, они у меня полгода, на весах я каждое утро стою =) и батарейка жива еще. да и на вид красивые! но осторожно! читайте инструкцию ВНИМАТЕЛЬНО. ни в коем случае не вставайте на них после душа мокрыми ногами. скользкие смертельно ! =))</t>
  </si>
  <si>
    <t>Полгода отслушал - никаких нареканий. Низы выдают хорошо, как ни странно. Приятно удивился такому качеству звучания!</t>
  </si>
  <si>
    <t>2016-11-23</t>
  </si>
  <si>
    <t>Эргономичен,легко моется,приятен как внешне,так и на ощупь</t>
  </si>
  <si>
    <t>Купил его за такие деньги, а он еще не проигрывает альбомы, читает наугад песни с флешки, и проигрывает всего 511 песен, что только не делали .. просто ужас..за 800 руб. лучше.</t>
  </si>
  <si>
    <t>Плюсы: Достаточно мощный.Длина волос до пояса,густые,тонкие.Сушит на полной мощности при "тёплом" режиме за 10 минут.В руке держать удобно,не тяжело.Действительно ли работает функция ионизации-не знаю,всегда пользуюсь бальзамом поэтому волосы и так хорошо расчёсывались,но возможно действительно больше блестят:-)  Минусы:при использовании в первый раз был лёгкий запах пластика,но при дальнейшем использовании пропал.  Срок эксплуатации: 1 месяц.Отличный фен по отличной цене!</t>
  </si>
  <si>
    <t>Почему всем нравится ps3?Мне например  PSP нравится.Он у меня есть.PSP тоже самое что и ps3,только переносной.Да и к телевизору можно подключить.Только насчёт "эксклюзивного" все на ps3 помешались.Вот почему Assassin`s creed 2 вышел только на ps3?А как же PSP и ps2?Спасибо хоть что Little big planet и Modnation racers на PSP выпустили.</t>
  </si>
  <si>
    <t>Наш продержался почти год, после чего - протёк всё в том же месте. Видимо, производственный брак.    Плюс - дизайн. Очень симпатичный.</t>
  </si>
  <si>
    <t>недели три назад купил себе такую,что скажу - удобство (ни пены.ни раздражения,ни отпаривания),весь процесс около 2х минут,советую, если решили идти в ногу с техноллгиями!</t>
  </si>
  <si>
    <t>Безотказность. Приятное и понятное управление.</t>
  </si>
  <si>
    <t>Купили с мужем пылесос неделю назад. Выбирали по отзывам в Интернете. И дизайн очень понравился. После первой уборки сразу заметили разницу этого пылесоса с предыдущим (HOOVER). Пылесос собрал всю пыль, все волосы с ковров. Я осталась очень довольна своим пылесосом! Всем рекомендую. Не пожалеете!!!</t>
  </si>
  <si>
    <t>Приобрела пылесос на днях. Пылесос на 4+ по пятибалльной шкале. +: пылесос очень мощный, даже с избыточной мощностью. Пожалуй единственный из пылесосов где действительно необходим регулятор мощности. Двигатель работает достаточно тихо. Муж доволен, может смотреть телевизор пока я занимаюсь уборкой. -: шум всасываемого воздуха на максимальной мощности напрягает. Тяжеловата металлическая телескопическая штанга. Вывод: классный мощный и тихий пылесос. Дизайн выше любых похвал.</t>
  </si>
  <si>
    <t>Вкусный кофе, машина делает кофе быстро, есть капуччинатор, можно включить экономный режим и при этом мало расходовать воды и электроэнергии, машина проста в использовании.</t>
  </si>
  <si>
    <t>Купила эту мясорубку в сентябре месяце. Пару раз шинковала на ней марковку, а когда дело дошло до мяся перестала крутить.Отнесла в ремонт, заменили шестеренку и мастер сказал, что в вних постоянно летят шестеренки. Видимо что-то не доработали при производстве этой модели. Не покупайте эту модель, она не стоит таких денег.</t>
  </si>
  <si>
    <t>Приобрел именно данную модель только из-за проекции. Впечатления положительные. Картинка хорошая, фокусировка работает. К сожалению, отсутствует возможность изменения направления луча. К управлению надо немного привыкнуть, зато без кучи кнопок на панели. Датчик внешний работает прекрасно, батарейки отслужили всю зиму без проблем, даже -34 С.</t>
  </si>
  <si>
    <t xml:space="preserve">Качественное внешнее исполнение </t>
  </si>
  <si>
    <t>2012-10-22</t>
  </si>
  <si>
    <t>Работал геодезистом, купили года 3 назад таких 8 шт.Рация просто супер, на открытой местности берет ориентировочно на 8км, ездили в командос в Аганск(Север), Лес густой высота до 20метров Хвойный+болото на 5,5км берет проверяли! Рацией очень доволен, в городе не работал врать не буду, может быть, как говорят через 2 дома не прострелит. Функции(VOX) -распознавания голоса вообще выручает, снег, дождь, рацию в карман, наушник в ухо и попедалил работать! Единственный в этом минус - чихнешь, кашленешь, да и не только...все по рации слышат!)</t>
  </si>
  <si>
    <t>Шикарный телефон, взял себе такой в августе, до сих пор хожу радуюсь!!!)) качество звука очень хорошее, да и разъем 3,5 самый удобный, как то на репетиции, когда ноута под рукой не оказалось, подцепили мой телефон  к колонке и все было супер!! Одна проблема помер один наушник (как я понял от мороза, а может и нет) но тем не менее это ж "пробные" уши, ща купил себе более крутые...</t>
  </si>
  <si>
    <t>Купил, подключил. Включил, выставил регулятор примерно на половину температуры, нагрел, вода горяченная, решил использовать на четверти температуры, всё равно надо разбавлять холодной. Покупал для дачи, чтоб не заморачиваться с разбавлением, видимо придётся разбавлять. Бесшумный, даже реле почти не слышно (в электрокотле отопления магнитное реле на весь дом стучит). Особенно порадовало качество утепления самого бака, вода горяченная - корпус снаружи абсолютно холодный и вода в баке продержала температуру больше часа, так и не включившись на подогрев, что экономит электроэнергию. Может и дольше будет держать температуру, я просто устал ждать и пошёл мыться. На давление в 2,5 атмосферы ничего не травит из клапана, а большее давление на даче я не вижу смысла держать, и то уже опустил до 2,3 и наверно до 2-х опущу. Пока я доволен ценой и качеством, посмотрим на сколько его хватит в моих дачно-полевых условиях. Советовать ничего не могу, так как не знаю, сколько он проработает, но пока мне всё нравится. Установка кстати простейшая, а вот крепление на стену мне показалось каким-то слабоватым, а может, это и предрассудки, но я два дополнительных уголка под него прикрутил и теперь сплю спокойно/p&gt;</t>
  </si>
  <si>
    <t>Мощный, легко мыть и чистить, внешне красивый.</t>
  </si>
  <si>
    <t>Купил, и рудуюсь. Отличная вещь, мувик вообще отдельная тема, подключил + акк &amp;nbsp;3й день игры бесплатно качаю =D . И в отличии от бокса почти не греется, хотя, как уже сказал, 3 дня не вырубаю. Играю и игры качаю.</t>
  </si>
  <si>
    <t>Пользуюсь почти всеми фукциями на протяжении 3-х лет. Нареканий нет. Отличный помощник в кухонных делах)Соотношение цены и качества очевидно. Рекомендую.</t>
  </si>
  <si>
    <t>Простая и незатейливая вещь без лишних функций. Кто придерживается такого принципа, покупайте. Но этот холодильник максимум для семьи из 2 человек. Камера отдельная, морозит прекрасно в среднем -14С. Использую 2 недели.</t>
  </si>
  <si>
    <t>Купил вчера по акции "Меняй старое на новое". Принёс чайник, получил скидку 500 рублей.  До этого всегда пользовался станком - надоело.  Побрился на данный момент брауном два раза. Очень понравился процесс бритья, хорошо скользит по коже, сбривает почти сразу в зависимости от того как проводить.  Советую желающим!</t>
  </si>
  <si>
    <t>580</t>
  </si>
  <si>
    <t>Нормальный плеер, если разработать джойстик, то не придется тыкать по 200 раз, чтобы переключить песню. Звук отличный, единственное, конвертер хрень, постоянные несовпадения картинки и болтовни. Удобное меню, и достаточно памяти, чтобы закачать любимые песни. Не знаю как остальным, но мне нравится.</t>
  </si>
  <si>
    <t>1476</t>
  </si>
  <si>
    <t>Купил бритву, с сеткой - сказали что лучше роторных. Побрился один раз, очень не доволен качеством бритья. Надо по несколько раз проводить по одному месту бритья, не стрижет с одного раза все волоски, раздражает кожу лица. В итоге пришлось добривать станком. Не ожидал такое качество бритья.</t>
  </si>
  <si>
    <t>2017-05-22</t>
  </si>
  <si>
    <t>Приятный звук, соотношение цены и качества приятно удивило.</t>
  </si>
  <si>
    <t>Плита просто супер, особенно если говорить о духовке! Выпечка отличная, конвекция - это самая нужная функция для хорошей хозяйки! Единственный маленький минус - это ширина плиты 50 см, маловато все-таки, особенно когда большие кастрюли ставишь, то постоянно страх что кастрюли все полетят, ну и жир из-за этого разбрызгивается на кухонный гарнитур. Правда ее достоинства перекрывают этот маленький недостаток!</t>
  </si>
  <si>
    <t>Использую год, теперь полностью заряженной батареи хватает на 10мин!</t>
  </si>
  <si>
    <t>2014-11-04</t>
  </si>
  <si>
    <t>Набор очень классный, аккумулятор долго держится, насадки отлично полируют, всем советую)</t>
  </si>
  <si>
    <t>Отличный вариант для домашнего пользования! Абсолютно не слышно как он работает, достаточно производителен для своих габаритов и начинки! Да и Windows 7 отлично работает по сравнению с предыдущей версией. Единственное, при работе с Wi-Fi очень странные треск и щелканье в этом крохотном системнике. Такое впечатление, что Wi-Fi работает на каких-то реле. Для меня это оказалось странным обстоятельством. При том что постоянно пользуюсь Wi-Fi, это начинает напрягать. А в целом отличный аппарат для работы с Инетом, офисом, корелом и даже игрушки можно играть)</t>
  </si>
  <si>
    <t>Очень понравился, болевые ощущения терпимые.</t>
  </si>
  <si>
    <t>2861</t>
  </si>
  <si>
    <t>Данный блендер приобрела для себя, но разочаровалась! Проработал месяц и сгорел моторчик.</t>
  </si>
  <si>
    <t>Купили с супругой перед новым годом этот тостер. Что можно сказать современный девайс и внешне и внутри. Нет рычагов, никаких какие были в старых. Управление очень легкое , остается только кнопки нажимать. Подал звук, вылез тост, знаешь когда приготовился. Обладаю еще и чайником этой фирмы, у них даже кнопки одинаково светятся. Рад, что есть единый стиль приборов.</t>
  </si>
  <si>
    <t>Утюг хороший, быстро гладит в следствии высокой мощности. Длинный и гнущийся во все стороны провод, что также удобно (не нужен удлинитель). Все хорошо, вот только сильно шипит, но это видать из-за того, что очень сильно старается :)  Берите, не пожалеете!</t>
  </si>
  <si>
    <t>хочу такой очень!</t>
  </si>
  <si>
    <t>купил жене в подарок,посмотрел перед этим отзывы,вроде понравилось  жена попробовала,пока не очень поняла!  мне в санатории ванна жемчужная нравилась,ей тоже,а эта ванночка-мини джакузи,жемчужная ванна для ног  за такую цену нормально,дороже покупать наверно не стоит</t>
  </si>
  <si>
    <t>Купил NEO R1000 неделю назад, подключил дома, нагрузку не превышал, все проверил. Сгорел через 10 минут. Не рекомендую. Отвратительное качество.</t>
  </si>
  <si>
    <t>В своем классе лучшие уши по звучанию, а их у меня было много. Цена на аналогичные у других, марок выше раза в 2 (как минимум).  Пару лет назад сломал такие же. Сейчас случайно обнаружил, взял не задумываясь.</t>
  </si>
  <si>
    <t>Пол месяца назад купил, и не жалею..надёжная машина с хорошей производительностью за столь низкую цену это улёт, если вы не собираетесь конечно насиловать его сутками не разгружая..есть не большой пролёт с экраном, при нормальном освещении мало что увидишь если смотреть на дисплей с боку, но вспоминая про цену и забывая про этот маленький недостаток смотрим на экран прямо!..В общем это лучший вариант среди ноутов с большим экраном по цене и качеству..</t>
  </si>
  <si>
    <t>Купила утюг в замен сгоревшему KRUPS - 20 лет отработал и дальше бы работал, если бы я не решила влить антинакипин и включить в сеть. Утюг Philips GC 3630 понравился ценой - скинули 1000 рублей, а это деньги. Но вот держит ли он правильно температуру - проверить сложно - глажу на max полиэстер и он не плавиться, а на старом утюге сразу плавился. Мне нужно дублерин приклеить утюгом к ткани - клей на дублерине не плавится, даже на max. Может он не подходит для "шитья"? Разглаживает вещи отлично, удобная ручка, шнур 3 метра порадовал - мне это нужно, подошва не нержавейка. Утюг соответствует нынешней цене и качеству.</t>
  </si>
  <si>
    <t>Сегодня коротнула и сгорела. Отработала чуть больше года</t>
  </si>
  <si>
    <t>Заказали мульти по инету. Пользуемся месяц, оооооочень довольны!! Действительно, крупу так на плите не сваришь... А люди, которые пишут что рецептов нет, пластиком пахнет и т.д. - это типичные придирки! Мне кажется, что это самый оптимальный вариант среди предлагаемых мультиварок)) Покупайте, не пожалеете))</t>
  </si>
  <si>
    <t xml:space="preserve">моет полы очень хорошо </t>
  </si>
  <si>
    <t>пользуюсь четвертый год, ни каких замечаний, ни чего не ломается, волосы не жжет. очень нравится. видимо когда то их делали качественнее чем в последний год.</t>
  </si>
  <si>
    <t>Пользуюсь ими уже лет пять, много перепробовала других приборов для укладки. Вывод: либо в салон укладываться, либо бигуди. Накрутить волосы утром: 10 минут - засекала, минут 5-10 походить, пока одеться/накраситься/позавтракать, одна минута снять. Отличные локоны и главное, объем на весь день!, что для тонких (как у меня) волос, оч важно и слабо достижимо. Очень удобно, что они бархатные - отлично держат локон и не портят волосы, не горячо накручивать. Но! Многое зависит от типа волос и влажности: свежевымытые и высушенные волосы отлично завиваются и держат, чуть влажные - совсем не держат, вчера помытые - еще хуже))) у подруги толстый волос - держат завивку час, для нее бигуди - выброшенные деньги. На бигуди не нарадуюсь уже много лет. Ни один из других приборов так не радует)</t>
  </si>
  <si>
    <t>Машинка у нас  уже почти 2 года. Мне нравится. Не капризная. Удобная. Громко пищит, когда постирает. Точно не забудешь!  Единственное - немного шумноватая, когда выжимает. Но это очень маленький минус по сравнению с достоинствами.</t>
  </si>
  <si>
    <t>2017-06-23</t>
  </si>
  <si>
    <t>Отличный ПК, стильный дизайн, маленький размер, тихо работает  С дровами всё отлично - система сразу при первом запуске рекомендует сделать диски резевных копий винды и драйверов  Внушительная начинка-надо тока будет через год(если потребуется)видюху поменять  Одна проблема была - не мог понять как нажимается кнопка включения на блоке - по 5 минут ковырял кнопку чтобы включить - оказалось всё просто:  от края нужно провести пальцем к центру+надавить   Что касается цены - да,можно съекономить 1.5к руб если собирать самому - тока, нада ж заранее знать совместимость всего и довольно много времени потратить  З.Ы.: всем советую эту модель (за 16к)  за эту сумму пока не вижу конкурентов</t>
  </si>
  <si>
    <t>В принципе, самый оптимальный вариант цены и качества, ибо мой второй выбор падал на санхайзер HD 201 стоят они 1090 деревянных, а эти 690, при этом ни чем не уступают и даже лучше их, очень понравились басы ибо они хороши, но при Hard Rock немного поскрипывают=)) С помощью эквалайзера давлю из них все. Запас громкости просто обалденный,  очень понравился классический "круглый" дизайн наушников.  НЕ прогадаете в любом случае=)</t>
  </si>
  <si>
    <t>отличная плита,три месяца эксплуатации и никаких нареканий,но будьте внимательны,духовка греет именно на количество указанных градусов,нужна привычка ибо пару блюд поначалу пришлось выкинуть,подгорели,ну а керемика выше всяких похвал,тьфу-тьфу-тьфу.</t>
  </si>
  <si>
    <t>2900</t>
  </si>
  <si>
    <t>2017-04-16</t>
  </si>
  <si>
    <t>Простая в использовании , компактная и  тихо работает.</t>
  </si>
  <si>
    <t>Машинку купили ровно 6 лет назад. Работает безотказно все шесть лет! Детей у меня четверо, поэтому стираем ежедневно, да не по одной закладке. Шумит, это да, как самолет на взлете. Насос слышно. Но мы закрываем дверь в кухню и её шум не напргает. НЕ ПРЫГАЕТ, стоит как вкопанная!  Ремонтировали последний год 2 раза, раз - электронный модуль почистили, два - угольные щетки поменяли, ВСЁ  На 90 град. стираю очень часто, отстирывает неплохо, но что может быть лучше бабушкиного кипячения))))  Встал вопрос о покупке новой машины, альтернативы в данном ценовом диапазоне не вижу, купим опять её же</t>
  </si>
  <si>
    <t>Тостер отличный, тосты прожариваются равномерно, есть функция подогрева булочек и разморозки. Единственный минус - большой размер, если бы ознакомился с ним на полке в магазине, то наверное взял бы поменьше.</t>
  </si>
  <si>
    <t>Какую ось ставить на него x32/x86 или 64 битную?</t>
  </si>
  <si>
    <t>Великолепная мясорубка!Справляется на "ура" с любым мясом. Мощный мотор...правда не знаю зачем там сделан реверс, ведь рубит любое мясо, даже свинину с жилками! Советую!</t>
  </si>
  <si>
    <t>Я думала, он только у нас потек... Вот вам и фирма... До этого Витёк был, качество даже у него лучше.</t>
  </si>
  <si>
    <t>2014-01-28</t>
  </si>
  <si>
    <t>Хороший, но не более того. Нам его очень разрекламировал консультант, вот и взяли. Но мое мнение - он не стоит этих денег, за которые его продают. Согласна с Анной из Барнаула - некоторые продукты (с сухофруктами, например, так) размазывает по стенкам и ножи крутятся впустую</t>
  </si>
  <si>
    <t>Сбивается настройка Часов</t>
  </si>
  <si>
    <t>Отличная мясорубка. Всем, кто думает приобрести, советую именно эту!</t>
  </si>
  <si>
    <t>машинке 13 лет, работает отлично ,используем по полной.дома дети,поэтому стирка практически каждодневно.недавно стала подтекать,мастер устранил неполадку.сказал еще лет на 5 точно хватит)).</t>
  </si>
  <si>
    <t>Покупал компьютер в декабре 2009,тоже такая же проблема была,вроде перестала но вот на днях отвез в сервисный центр на таганку по той причине что стала перегревается видеокарта до 115 градусов это очень много в играх стали появляться артифакты и бывал черный экран на секунду,думаю что проблема не в видео карте,а в несовместимости каких-то комплектующих,а каких это хотелось бы узнать.</t>
  </si>
  <si>
    <t>Игра очень интересная и больше похожа на серию Gtа( свободой действий), в игре находится просто море оружия(любой предмет) и конечно же куча прожорливых мертвецов, которые не будут давать вам прохода,единственный минус в том что на PC игра на русском языке( полностью) а на Xbox 360 как всегда на английском.</t>
  </si>
  <si>
    <t>3040204</t>
  </si>
  <si>
    <t>Прочный в плане материалов, явно не хрупкий и собран тщательно. Подогнано все аккуратно.  Швы и спайки идеальные. Кнопки не шатаются, упругие, резво реагируют на нажатие. от аккума работает по 30 часов, марафон игровой на сутки выдерживает только в путь.</t>
  </si>
  <si>
    <t>3163</t>
  </si>
  <si>
    <t>Купил уже месяца два как назад и не жалуюсь, при своей цене качество изображения, энергопотребляемость и все прочие характеристики очень хороши,HD летает даже 1920х1080р  В общем если нужен дешевый, отличный монитор, берите этот</t>
  </si>
  <si>
    <t>Приобрели этот пылесос не так давно,но довольны настолько сильно,что просто советуем всем!! Удобный,тихий,мощный, качественный!Очень прост при уборке! Абсолютно не разочаровала эта фирма!! Спасибо большое!</t>
  </si>
  <si>
    <t>Очень неудобно снимать с него на длинных выдержках, т.к. снимок получается размазанным, даже если поставить на таймер до 10-ти секунд в большинтсве случаев тоже все размазано. Неудачня модель.</t>
  </si>
  <si>
    <t>обычная сеточная бритва, как все остальные подобные,  бреет неплохо,  недостаток - аккумулятора хватает только на несколько раз, заряжаю раз-два в неделю</t>
  </si>
  <si>
    <t>933</t>
  </si>
  <si>
    <t>Пользуемся уже три месяца. Есть три режима скорости. Кнопка вкл/выкл подсветки. При выдвижении вытяжки она включается. Когда готовим на трёх конфорках и включаем скорость вытяжки на тройку, то по истечению некоторого времени вытяжка сама выключается т.к. сильно нагревается от испарений и от работы мотора.(не очень приятно) Сразу как купил заменил лампы накаливания 2х25Ватт на 2*9Ватт энергосберегающую в виде свечи. Сделано это было для того чтобы пластиковые прозрачные крышки под лампами не оплавились и не потемнели как на предыдущей вытяжке. Советую всем так сделать.</t>
  </si>
  <si>
    <t>Отличная машинка для стрижки волос! В комплекте 2 регулируемых насадки, итого длину срезаемого волоса можно регулировать в диапазоне 3-41 мм, плюс съёмная насадка 1.6мм - для бритья "наголо". Еще этой машинкой просто шикарно подрезать бороду - ни один триммер не сравнится, я их кучу перепробовал, один ужаснее другого. С этой машинкой на подравнивание бороды и усов уходит порядка 2х минут.  Смазки не требует, волосами не забивается. Шнур гибкий и достаточно длинный.</t>
  </si>
  <si>
    <t>805</t>
  </si>
  <si>
    <t>Никогда не думала, что буду оставлять негативный отзыв об этом ноуте.   Когда впервые увидела этот ноут влюбилась беспамятно! Этот огромный экран, звук - просто чудо! ну и что что тяжелый(4кг) - хочу и все!   А сейчас расстроена.   Очень долго включается =2-3 мин, сенсорная клавиатура - не работает;  колонка, когда долго слушаешь музыку при громкости 70, начинает хрипеть!   Не работает клавиатура "бухгалтера" - она так нужна. При таком разрешении экрана многие картинки становятся просто уродливыми(это маловажно, но иногда раздражает).  ПЛЮСЫ - классно смотреть фильмы - просто кинотеатр!  Звук обьемный,полный. Классный дизайн, клавиатура - приятная в работе.   320 Гиг - люблю,когда много памяти!! В общем для тех, кто собрался его покупать скажу - хороший ноутбук, достойный восхищения!     А мне наверное просто бракованный попался(как обычно), завтра в ремонт по гарантии отнесу. :(</t>
  </si>
  <si>
    <t>Нам на годовщину свадьбы подарли йогуртницу Tefal. Я купила закваску Наринэ, сделала все по инструкции. Получился замечательный йогурт, мне чень понравился. Теперь буду экспериментровать с добавками! Всем рекомендую! Главное, что йогурты очень полезны!</t>
  </si>
  <si>
    <t>Печь нравилась, пока сегодня не сломалась, проработав два года. Увы.</t>
  </si>
  <si>
    <t>Хорошо справляется со своей работой</t>
  </si>
  <si>
    <t>2015-10-30</t>
  </si>
  <si>
    <t>хорошая. почти два года. корпус внушающий доверия. ничего лишнего. мощность достаточная. перемолола более 3 кг кофе. за раз перерабатываю по пол кг минимум. со своей функцией справляется на отлично! полет нормальный)</t>
  </si>
  <si>
    <t>Приличная терморегуляция, компактная, достаточно надежная.</t>
  </si>
  <si>
    <t>Замечательный коммуникатор,недорогой, а wi-fi и не нужен, при помощи bluetooth на компьютере и ActiveSync(он бесплатный на сайте майкрософт). На белом варианте меньше остаются отпечатки пальцев.</t>
  </si>
  <si>
    <t>Быстро сломался разъём под наушники,а так всё норм!</t>
  </si>
  <si>
    <t>Купил совсем недавно. Покупкой доволен, тихая, много режимов, загрузка маловата, да и машинка небольшая. До этого была ARDO за 16000руб. две поломки за 4 года стоимостью 4000руб толкнули меня на покупку новой простой стиралки. М-видео сделало супер предложение по цене и я определился с выбором. Взял ПДС на 3 года и пользуюсь на здоровье. советую всем</t>
  </si>
  <si>
    <t>Пользуюсь щеткой уже год, недостатков не замечено. По соотношению цена/качество, пожалуй, лучшее предложение на рынке. После нее обычные мануальные щетки - каменный век.</t>
  </si>
  <si>
    <t>Отличный ноутбук. Виста не тормозит, установилась нормально и с первого раза. Звук потрясный, но сразу же подключил большие обычные колонки SVEN. Call of Duty 4 летает на родном разрешении 1600*900 с максимальными параметрами. Почти не греется и не шумит система охлаждения. Ноутбуком полностью доволен!</t>
  </si>
  <si>
    <t>В дополнение к своему предыдущему отзыву. У штатива нет инструкции, поэтому разбираться, что чем регулируется приходится методом проб и ошибок. Этим методом было выяснено, что рукоятка, с помощью которой перемещается головка, вращается, в результате чего движения головки вверх-вниз становятся более плавными. Так что теперь претензий к штативу не имею. Для новичка - самое то. Спасибо консультантам магазина  за хорошую рекомендацию.</t>
  </si>
  <si>
    <t>Качественная и удобная</t>
  </si>
  <si>
    <t>1886</t>
  </si>
  <si>
    <t>Купил в выходные, естественно пока не пользовал.    Радует наличие мощной 3кВт горелки - чайник должен быстро закипать.</t>
  </si>
  <si>
    <t>Подскажите можно ли будет разогнать процессор.</t>
  </si>
  <si>
    <t>2013-08-20</t>
  </si>
  <si>
    <t>За такую цену вполне достойная ванночка! Брала себе, ноги в последнее время очень болят, прихожу вечером расслабляюсь только с ней. Все отлично работает, кроме, пожалуй подогрева (когда брала уже знала, что не будет работать), я так полагаю, что температура не держится из-за малой мощности, поэтому просто наливаю водичку погорячее (за 15 минут она не успевает стать холодной).</t>
  </si>
  <si>
    <t>Немецкое качество: выполнен из качественных материалов. Двери выполнены из нержавейки, боковины выкрашены под "нержавейку". Компрессор на морозильной камере установлен австрийский, на холодильной камере итальянский, если кому интересно. Работают оба тихо, надо прислушиваться. Охлаждение и заморозка отличная. Очень вместителен и функционален; морозильная камера "бомба" по сравнению с "самсунгами и лж" данной ценовой категории. Простота монтажа холодильников в схеме сайд-бай-сайд. Рекомендую, не смотря на цену,  сравните с аналогами других производителей и убедитесь что Liebher лучше!!!!!</t>
  </si>
  <si>
    <t>Я бы сдал такой плеер, т.к. продолжительность работы - это оченьважный параметр</t>
  </si>
  <si>
    <t>У данной модели есть проблема с кнопкой [ENTER].  Будете покупать берите с собой 3 пальчиковые батарейки для проверки работы кнопок настройки и в т. ч. вышеуказанной! Данная модель работает при наличии указанных элементов питания (установка часов и т.д.) Кнопочки продавливаются, надежды ,что прослужит долго, нет.</t>
  </si>
  <si>
    <t>в целом плита неплохая, качественная, но не конца продуманная.. меня расстроило дома то, что самая большая конфорка находится сзади, а само расстояние до конца панели очень короткое, поэтому на этой конфорке не могу варить. Еще решетки не совсем удобные, непонятно, зачем сместили их во внешние стороны, посуда не особо держится.. В общем, сойдет так...</t>
  </si>
  <si>
    <t>2342</t>
  </si>
  <si>
    <t>Отработал ровно один год и один месяц, с начало начал гудеть как самолёт, потом запахло обмоткой двигателя, итог: ремонту не подлежит!!!</t>
  </si>
  <si>
    <t>2142</t>
  </si>
  <si>
    <t>Лучший моющий пылесос по соотношению цена-качество. Максимально простой в использовании, а качество уборки соответствует заявленной - ААА ( высший класс).   Советую покупать именно в М-Видео, там продавцы досконально знают товар, сразу сказали, что в комплекте идут 2 бесплатных фирменных средства для мытья полов и ковровых покрытий. А в интернет-магазинах этого пылесоса либо нет, либо доставляют в то время, когда я на работе, а в выходные сами не работают.</t>
  </si>
  <si>
    <t>Техника - класс. Отличная! Имеет много плюсов, включая необычный и яркий дизайн. Пользуюсь 8 месяцев и думаю, что плита прослужит еще долгое время. Стеклокерамика - вещь, быстро нагревается и не пригорает, еще и чистится легко и просто. Советую всем! Не сомневайтесь в выборе!</t>
  </si>
  <si>
    <t>На большой плазме пойдет отлично только будет необходимо HDMI провод приобрести,и на его стоимости экономить не советую,хотите идеального качества то придется за него заплатить!</t>
  </si>
  <si>
    <t>Отличная кофеварка! Служит уже больше 2х лет. Быстро варит кофе, размер колбы хватает на 2-3 человек. Очень довольна. Только антикапельная система капельки не держит :( одна капля да упадет на подогревочный диск, но это для меня не минус.</t>
  </si>
  <si>
    <t>573</t>
  </si>
  <si>
    <t>Стираем на ней ,уже больше года с учетом стирки детских вещей. Никаких проблем не было, стирает хорошо, есть удобный режим быстрой стирки, довольно тихая, словом, нам нравится ))</t>
  </si>
  <si>
    <t>Очень классный ЖК!!! Отличная картинка от предшественника отличается:контрастом 100000:1 и технологией 100 Гц. С нетерпением жду в Омске!</t>
  </si>
  <si>
    <t>Начал немного протекать через пару месяцев эксплуатации, а через полгода вообще потек так, что эксплуатировать стало опасно.   Взяли чайник из-за керамики, типа экологично, но качество исполнения оставляет желать лучшего. Теперь, не попользовавшись даже год,  вынуждены покупать другой чайник :(</t>
  </si>
  <si>
    <t>Товар не плохой,ток правдо очень сильно нагревается,игры тянет хорошо Общая оценка товара 4!</t>
  </si>
  <si>
    <t>Выбрала этот эпилятор из-за большого количества насадок и приятного цвета. Вибрирующие шарики и холодный обдув избавляют от боли. Пользуюсь всеми насадками, кроме бикини-триммера. Благодаря подсветке видно все волоски. Насадка пилинг помогает предотвратить вросшие волоски и делает кожу очень гладкой. Насадки можно промывать, но помимо этого обрабатываю их хлорогексидином.</t>
  </si>
  <si>
    <t>2016-02-15</t>
  </si>
  <si>
    <t>Весь последний год пользуюсь бритвой панасоник es rw 805. Все прекрасно, но регулярно приходится менять ее режущие блоки. Первое время думал, что с этим могут возникать проблемы, но потом понял что они довольно постоянно продаются в этом интернет магазине. И цена вполне приемлемая на них. И переставляются очень легко. Причем сама бритва продолжает прекрасно работать, так что при наличии в продаже режущих блоков, модно надеяться что покупать новую бритву долго еще не придется.</t>
  </si>
  <si>
    <t>2968</t>
  </si>
  <si>
    <t>Хороший переходник:) Подошёл:) Качественный:)</t>
  </si>
  <si>
    <t>711</t>
  </si>
  <si>
    <t>Подобным товаром еще не пользовался.Хочу собрать довольно таки мощный компьютер и решил начать с главного - с подборки системного блока.После сравнения нескольких экземпляров различных фирм и производителей,пришел к выводу,что "Системный блок Acer Aspire M3202 M7A.R7B" является идеальным соотношением цены и качества.По всем основным характеристикам "Системный блок Acer Aspire M3202 M7A.R7B" практически ничем не уступает другим аналогичным дорогостоящим товарам.Цена и качество идеально гармонируют в данном товаре,что является существенным положительным моментом при выборе данного вида товаров,чем и предопределяет изначальный выбор покупателя.Советую обратить внимание на данный товар если собрались в ближайшее время приобрести ПК.  Впрочем,свой выбор я решил остановить на системном блоке "Acer Aspire M3202 M7A.R7B" и очень надеюсь вскором времени стать его счастливым обладателем))))))</t>
  </si>
  <si>
    <t>3101</t>
  </si>
  <si>
    <t>Покупкой очень довольны , не большой , симпотичный , тихий , охлождает комнату за считанные минуты!</t>
  </si>
  <si>
    <t>2013-05-24</t>
  </si>
  <si>
    <t>Купила в марте, специально для отпуска в апреле, брала с собой вещи мятые после зимы, в отпуске все отгладила, нагревается быстро, гладит хорошо, гладила даже шелк. Рекомендую )))</t>
  </si>
  <si>
    <t>Купила его со скидкой и очень довольна, волосы после него выглядят очень ухоженными, мягкими и блестящими. А вот кисточки действительно были, и коробочка очень красивая)))</t>
  </si>
  <si>
    <t>Соотношение цена-качество, хороший набор видов строчек, вертикальный челнок</t>
  </si>
  <si>
    <t>i8000 - это отличный смартфон он стоит этих денег, в отличии от новинки gt-s8500</t>
  </si>
  <si>
    <t>149</t>
  </si>
  <si>
    <t>Такая же беда с этой Windows 7! Лучше бы в конце концов поставили XP! А так ноут приличный, сижу теперь ищу драйвера под XP!</t>
  </si>
  <si>
    <t>Отличная пароварка. Все необходимое есть. проста и удобна в использовании. По поводу постоянно мигающего светодиода REFILL и прерывисто пищащего сигнала могу сказать, что проблема не в пароварке, а в качестве нашей воды. Сама столкнулась с этой проблемой после 1 месяца использования. Но после очистки от накипи проблема исчезла. Теперь ничего не мигает и не пищит. Так что не торопитесь сразу сдавать пароварку назад.</t>
  </si>
  <si>
    <t>прекрасный телевизор во всех отношениях четкая и яркая картинка без размытостей дрожаний и т/д. видео не читает даже кодированое, только с камер панасоник. выбор 100% только из-за картинки. мнение: качество соответствует бренду. всем предлагаю воспользоваться акцией "Ваша цена"</t>
  </si>
  <si>
    <t>У меня эта машинка около 10 лет.  И только сейчас начали ломаться зубчики на насадке. Машинка проста в работе, идеальный вариант для дома.</t>
  </si>
  <si>
    <t>Очень удобное устройство, кому нужна горячая вода и нет времени бегать на кухню и ставить чайник. Удобно у кого есть маленький ребенок, в этой модели есть выбор температуры и есть блокировка подачи горячей воды.</t>
  </si>
  <si>
    <t>Моделька уже не новая, такой цене надо брать PR42G10.</t>
  </si>
  <si>
    <t>2243</t>
  </si>
  <si>
    <t>Являюсь обладателем данного плеера 4 дня, всё никак не могу прекратить радоваться, с каждым днём плеер меня удивляет своей простотой и хорошим качеством звука. Берите не пожалеете!</t>
  </si>
  <si>
    <t>Захотелось поддержать белорусского производителя, поэтому купил микроволновку этого производителя. Микроволновкой очень доволен, очень удобный интерфейс, не смотря что дверца с ручкой, а не открывается клавишей - микроволновку не приходится придерживать, как многие экземпляры с ручкой, открывается дверца легко, крутилкой очень удобно устанавливать часы и выбирать что нужно разогреть/разморозить. Абсолютно не хуже сенсорных по удобству ничем! Греет всё тоже отлично, никаких нареканий, а автору первого отзыва рекомендую ознакомиться с инструкцией и настроить мощность микроволн и гриля. У меня тарелка второго греется не больше 1 минуты.</t>
  </si>
  <si>
    <t>Отличная стирка и классная музыка</t>
  </si>
  <si>
    <t>КУПИЛ ПЫЛЕСОС МЕСЯЦЕВ 7 НАЗАД  И ОЧЕНЬ ДОВОЛЕН. ПЫЛЕСОС ТИХИЙ И МОЩНЫЙ, И ДИЗАЙН ЖЕНЕ ОЧЕНЬ ПОНРАВИЛСЯ.Что больше всего порадовало что мешки есть в каждом магазине,что не могу сказать о самсунге который был до этого.</t>
  </si>
  <si>
    <t>Лучший в своей категории!!!     Согласен с вышеупомянутым недостатком, а он только один - достаточно шумный.     Но все же этот незначительный минус меркнет на фоне всех плюсов этой машинки.</t>
  </si>
  <si>
    <t>Офигенный комп.Не очень дорогой и хороший.Всем советую)))</t>
  </si>
  <si>
    <t>Купил почти год назад, выбирал, честно говоря, что подешевле.  Лучше бы я купил что угодно с мешком для мусора.  Фильтры забиваются мгновенно, мойка фильтров практически не помогает, вся мелкая пыль летит наружу. Шумит как истребитель на взлете.  Считаю, что это - неудачно сконструированная модель. У меня до этого был один из первых Самсунгов с контейнером - VC-8715, не мог нарадоваться на него, но он свое уже отслужил.</t>
  </si>
  <si>
    <t>Начал сильно тупить данный аппарат уже после нескольких недель эксплуатации, затем вообще вырубился и больше не включался. В горячке разбил молотком. Аппарат плохой или просто мне с ним так повезло не знаю,но больше никогда ничего подобного брать не буду.</t>
  </si>
  <si>
    <t>Всем рекомендую! Очень удобный, прост в обращении, функционален. Пользуюсь 2 месяца!</t>
  </si>
  <si>
    <t>Машина недавно, после 10-12 стирок все в порядке, не сломалась, тьфу-тьфу-тьфу)) При отжиме вибрация совсем небольшая, о том, чтобы машинка "ходуном ходила" не может быть и речи. Успел купить по акции еще за 6 тыс. и очень доволен. По крайней мере мне кажется стирает она совсем не хуже, чем машинки в ценовой категории 10-15 тыс.  Надеюсь все и дальше будет в порядке</t>
  </si>
  <si>
    <t>484</t>
  </si>
  <si>
    <t>Купила в феврале 2009 года по рекомендации врача. Моя дочка часто болела ОРЗ. Стали делать ингаляцию и очень помогло... Замечательная вещь! К сожалению, хотела купить ещё одну для своей мамы, но в магазине "М.Видео" в Нальчике их уже не было. :-(</t>
  </si>
  <si>
    <t>1122</t>
  </si>
  <si>
    <t>Ох и красиво же она смотрится, внешний вид просто шикарный - ретро-стиль в сочетании с современным дизайном! Никогда раньше не пользовалась кухонной техникой от Вирлпул, почему то думала, что этот производитель только стиралками известный, но когда эту плиту купила, свое мнение быстро поменяла, качество у нее на высоте)) Отсутствие автоподжига считаю только плюсом, никаких выжиманий ручек и долгого ожидания, все сразу же зажигается без усилий) Поверхность по тактильным ощущениям скользкая, так что с нее очень легко отмывается жир и прочие пятна. А еще вокруг конфорок тряпочкой легко водить туда-сюда, они слегка приподняты над поверхностью, вариант, что внутрь прольется жидкость очень маловероятен. Считаю, что эта плита себя неплохо окупает!</t>
  </si>
  <si>
    <t>Пользуюсь фильтрами BRITA уже 10 лет,  качество очень высокое. Может быть, это не самый дешевый фильтр, но здоровье дороже. Фильтруется до 3-4 л воды в день, семья из двух человек, фильтр меняю через месяц. Выгодно покупать упаковку из двух штук.</t>
  </si>
  <si>
    <t>Не компьютер, а что-то невероятное. Экран удивительно яркий и большой. К Mac OS X привык уже на следующий день.Очень удобная система, на которую НЕТ ВИРУСОВ. И мышь, и клавиатура очень порадовали-менять на другие не хочется совсем.    Очень часто, когда хочешь включить компьютер, видишь что он уже работает, просто его совсем не слышно. Нет фирменного компьютерного жужжания. АйМак работает так же тихо, как мобильный телефон.  Колонки достаточно небольшие, но звучат, как крутая стереосистема, которую ставят в дорогие автомобили. Производительность на высоте, для двухъядерного процессора это как-то много, обычно такая производительность на четырёхъядерных бывает.  Видеокарта стоит достаточно средняя, но как и процессор, демонстрирует сверхпроизводительность.    Рядом с этим АйМаком стоял моноблок Сони-с меньшей диагональю экрана, слабым процессором и видеокартой, и стоило такое удовольствие 85 000 рублей.    Единственный недостаток компьютера-игр на Макось немного, но на часть жёсткого диска спокойно можно поставить Windows с помощью стандартной программы Boot Camp.    При работе с компьютером возникла одна проблема, и я позвонил в службу поддержки, где в течении трёх минут ответили на все мои вопросы и помогли решить проблему.    Берите этот компьютер без сомнений-он прослужит 4-5 лет и не устареет. Пока я пожалел только о том, что раньше Маками не пользовался</t>
  </si>
  <si>
    <t>Купила эту флешку и не жалуюсь, работает исправно, никаких глюков, скорости превзошли все мои ожидания, большой объем памяти. хватает на всё, что угодно, интересный дизайн. Жаль только, что крышечка не крепиться шнурком к корпусу, постоянно рискую её потерять. По цене тоже приемлемо, особенно для такого объёма. В общем, отличная флешка!</t>
  </si>
  <si>
    <t>Купили данную модель вчера. Конечно, покупая вещь за такую цену, понимаешь, что это товар не самый надежный. Но когда вещь перестала работать  уже в день покупки - это просто превзошло все ожидания !!  Просто плакать хочется:(</t>
  </si>
  <si>
    <t>Хорошо готовит,не пригорает,зеркальная</t>
  </si>
  <si>
    <t>Отличный телевизор! Очень долго выбирали между Philips и Samsung - в итоге взяли именно этот! Пока полностью довольны! Единственный минус - это ужасный пульт! Хорошо, что дома есть еще один тв самсунг с удобным пультом (более старый)! Всем советую!</t>
  </si>
  <si>
    <t>Отличный таймер</t>
  </si>
  <si>
    <t>Игра хорошая. Сюжет, графика, музыка. По сети вообще супер. Только минус в том, что как всегда надо играть против русских (не буду говорить про миссию в аэропорту). А так в принципе нормальная игра, за исключением этого.</t>
  </si>
  <si>
    <t>Наушники очень хорошие  + Хороший звук  +Длинный провод  +Цена очень хорошая,брал за 590  +++ Уши были завернуты в пакетик с лопающимися шариками!  - Может лично мне,может у всех такие,а может и у меня ухо такое:  На правое ухо очень сильно давит наушник,с левым никакого дискомфорта не происходит. Если думаете брать их или нет,То однозначно ДА! Здравые уши!</t>
  </si>
  <si>
    <t>Купила по акции сразу два, себе и матушке, нареканий нет совсем, нагревается быстро, отпаривает хорошо, разглаживает бывает не очень, в этом случае помогает паровой удар. Спрашивала у мамы - у нее проблем тоже не было.</t>
  </si>
  <si>
    <t>Тихая работа, качество</t>
  </si>
  <si>
    <t>Месяц назад купил Bosch WLX20462. Долго выбирал и читал отзывы. Для меня важны были критерии: немецкая сборка, быстрая стирка, отжим 1000 об. ну и желательно видеть режим стирки, а не зубрить, при каком режиме, к примеру, какая температура или скорость отжима.   С выбором не прогадал. У меня есть белое кимоно, у которого воротник давно потерял белый цвет.   Я стирал его с помощью риtоны, а потом сразу на максимальном режиме в Samsungе. Ворот стал лишь чуточку лучше. После покупке решил попробовать на BOSCH. Стирку поставил на хлопок, температуру на 90, 1000 оборотов отжим и + предварительную стирку! Результатом я был удивлен! Честно говоря не ожидал. Ворот стал таким же белым как и всё остальное! :)</t>
  </si>
  <si>
    <t>Миксеру около 3 лет. Сначала жена отнеслась настороженно. да и я тоже. Всё из пластмассы-долго ли прослужит. Но потом распробовали. Миксер отличный. Всё в него закинул и занимаешься своим делом. А на днях убедились что и безопасный. Не успели уследить, как внучка сунула пальчик между шестерёнок... Рёв конечно был с перепугу, но пальчик невредим. И миксер тоже цел. Рекомендую...</t>
  </si>
  <si>
    <t>1600</t>
  </si>
  <si>
    <t>Неплохой утюг! Стоит своих денег</t>
  </si>
  <si>
    <t>1848</t>
  </si>
  <si>
    <t>Пользуюсь 2 года  Вещь качественная, смахнуть и уронить не удастся- 9 кило  собирается просто  чистится тоже  из небольших недостатков- при самой высокой скорости разбалтываются в течение 2 -х часов винтики, надо сажать или на фиксатор, или подтягивать  аскетичный дизайн, ничего лишнего- ни таймера, ни пульта</t>
  </si>
  <si>
    <t>2027</t>
  </si>
  <si>
    <t>Чайник хороший: материал корпуса красивый, крепкий; нагревательный элемент очень отполирован, так что накипи на нём не появляется. Расцветка очень приятная и нестандартная - привносит яркие черты в интеръер на кухне. Только шумноват, но это, наверное, проблема всех чайников такого типа. Советую купить.</t>
  </si>
  <si>
    <t>даже не думайте брать!их вообще не слышно,у меня телефон громче играет!</t>
  </si>
  <si>
    <t>2147</t>
  </si>
  <si>
    <t>Пользуюсь крышкой уже два года, единственный недостаток - ручка сделана из непрочного карболита, уронил ее на пол и у нее откололся кусок. Плотно садится только на родные сковороды, стекло практически не нагревается даже при длительной жарке.</t>
  </si>
  <si>
    <t>2015-10-14</t>
  </si>
  <si>
    <t>Проработал всего пол года , замешивала тесто на хлеб он задымился и перестал работать!!!  Венчик для взбития отвратительный!!! Прутья у венчика отошли ,видимо запояли плохо! Несоветую!</t>
  </si>
  <si>
    <t>Купили с женой этот ноутбук в МВидео, не жалеем ни о чём! Он у нас уже 2 недели работает как швейцарские часы! Классный бук!!! Очень мощный! Сначала хотели ещё навороченее за 54000р. там проц i7 был и видюха получше, но я более менее разбираюсь в железе, не стал обманывать себя и запудриваться на лишней мощности и сказал ОН НАШ!!! Только один минус нашёл: Экран морасит (мерцание) под углом более 90 градусов, может у меня так!.. Но а так всем доволен!</t>
  </si>
  <si>
    <t>2187</t>
  </si>
  <si>
    <t>Пользуюсь феном уже больше двух лет, отличный фен без преувеличений. Очень легкий, хорошо сушит волосы. Перепробовала почти все фирмы , но вот нашла наконец свое. Удачи всем!!!</t>
  </si>
  <si>
    <t>Мясорубка прикольная, молотит на раз-два, только один минус- шумит. Но учитывая гарантию 2 года, а также дополнительные возможности, то - рекомендую!</t>
  </si>
  <si>
    <t>Игра очень динамичная и адреналиновая с кучами трупов и кровавыми ошметками :). Всем советую купить, тем более за такую цену :)</t>
  </si>
  <si>
    <t>Насадка для кухонного комбайна Kenwood AT641 отлично подойдёт для приготовления соков из овощей, фруктов и зелени. Диаметр отверстия составляет 75 мм, что позволит вам легко добавлять крупные продукты, например яблоко. Насадка сделана из прочных материалов, которые продлевают срок её службы. Устройство имеет защиту от случайного включения. Установка насадки осуществляется быстро и не требует усилий. Составные части насадки легко можно мыть в посудомоечной машине. Насадка Kenwood AT641 делает приготовление напитков простым и доступным.</t>
  </si>
  <si>
    <t>Пользуемся второй год, достаточно регулярно. Довольны. Ни разу не возникало никаких проблем. Выполняет свою работу быстро и качественно!</t>
  </si>
  <si>
    <t>1200</t>
  </si>
  <si>
    <t>2012-08-09</t>
  </si>
  <si>
    <t>Пользуемся плитой с октября 2011 года,жена довольна очень.Шнур оставили от старой плиты российской,при подключении сложностей не возникло,знаком с электрикой немного,духовка работает ,когда установлено время на дисплее.Мелкое неудобство:отключают электричество,время надо заново устанавливать.Утапливаемые "ручки" не портят вид.За стеклокерамикой нужен более тщательный уход,да и посуда не вся подходит.Нужен скребок для стеклокерамики обязательно,чистящие средства не всегда помогут удалить пригоревшие продукты с поверхности плиты.Зато энергию расходует заметно меньше,чем плита с блинами.Программ для приготовления еды в духовке достаточно.Внешний вид плиты супер.</t>
  </si>
  <si>
    <t>796</t>
  </si>
  <si>
    <t>Вместительность (50гр.  кофе за один раз )  защита от включения при открытой/или не плотно закрытой крышке- дети просто так не включат,отсек для хранения шнура, прорезиненные ножки.</t>
  </si>
  <si>
    <t>Купил полгода назад. В сравнении с ЖК теликами что я видел (тоже HD), небо и земля! Картинка, конечно, чуть менее "цветастая", чем на ЖК, но ведь не только мультики смотреть на нем?) Смотрю HD и обычные каналы с тарелки и немного эфирное, эфирное кажет не хуже, чем бывший 32-дюймовый стеклянный Ролсен, с тарелки качество выше всех похвал, HD каналы аж "звенят". Самый большой минус на мой взгляд - это то, что он по совместительству работает батареей отопления: после 3-4 часового просмотра в комнате становится заметно теплее. С грустью жду лета...</t>
  </si>
  <si>
    <t>Машинка для стрижки волос Panasonic ER131H 520 полный отстой.....дерёт при стрижке, не успевает стричь...одним словом не доволен покупкой своей. Думаю взять теперь моузер.</t>
  </si>
  <si>
    <t>Чайник достаточно шумный работал вроде ничего, но с недавнего времени начал течь.  Отработал пол года.</t>
  </si>
  <si>
    <t>523</t>
  </si>
  <si>
    <t>нет в нем хорошего ничего,там пластмасса умудряется нагреваться, а если подождать, то кажется может и оплавиться , запах пластмассы стоит в кухне при его работе, скорость вентилятора не меняется, поэтому рыба сохнет и подгорает, он весь какой-то бракованный - китай он и в китае китай )))</t>
  </si>
  <si>
    <t>2014-03-05</t>
  </si>
  <si>
    <t>Пользуюсь устройством уже более года, за это время он показал себя только с лучшей стороны. Выбрала эту модель из-за двух видов сбора пыли (мешок и контейнер). Прост в использовании, неприхотлив в обслуживании, быстро собирается, разбирается и моется. Поставила 4-ку лишь потому что на текущий момент при включении полной мощности индикатор показывает полный мешок для мусора, хотя при этом мешок пуст. Возможно пора уже менять фильтра. :)</t>
  </si>
  <si>
    <t>Для путешествий просто прелесть! Вода перед первым использованием кипятилась трижды и выливалась. Запаха пластика нет! В наборе два пластиковых стаканчика и ложечки. В общем миниатюрная (в сравнении с обычным чайником) милая полезная вещица. Я довольна!</t>
  </si>
  <si>
    <t>Мощность всасывания, щетки и дизайн</t>
  </si>
  <si>
    <t>Не довольна, привыкаю к нему тяжело, уже 2 мес. а всё привыкнуть никак...</t>
  </si>
  <si>
    <t>У меня телефон уже год живёт. Камера хорошая, 2МПикс и вполне достаточно. Батарея тоже нормальная. Советую.  =)</t>
  </si>
  <si>
    <t>Купила недавно себе этот пылесос. Пока очень довольна покупкой, всасывает хорошо, не особо шумит, в отличие от предыдущего. Минусов пока для себя не обнаружила. Цена порадовала)</t>
  </si>
  <si>
    <t>Брал в сентябре 2011 года. Этот пылесос &amp;mdash; просто какое-то недоразумение. Настолько плох, что жуть. Быстро забивается; мощность всасывания чрезвычайно низкая; шум от него такой, что реактивный двигатель не услышишь. Регулятора мощности нет. Красная цена ему &amp;mdash; 500 рублей. Я, конечно, понимал, что это будет низкосортный продукт за такую цену, но не до такой степени. Ну хотя бы регулятор мощности установили!</t>
  </si>
  <si>
    <t>Люди берите, не пожалеете. За эти деньги лучшая покупка, к тому же путем нехитрых манипуляций можно активировать сервисный usb и смотреть с флэхи видео в хд</t>
  </si>
  <si>
    <t>Управление очень простое и понятное, всего 2 кнопки - включение\выключение, режим 1 и режим 2. Стоит отметить, что уже на режиме 1 вентилятор отлично справляется с разгоном духоты и нормально обдувает, так что во втором режиме практически нет необходимости. Работает не совсем бесшумно, просто очень тихо.</t>
  </si>
  <si>
    <t>компактная</t>
  </si>
  <si>
    <t>Пользуюсь примерно 1.5 года,  сделана в Германии, вот только свистит громко при отжиме, если планируете ставить стирку на ночь, то эта машинка не для вас. А вообщем отличная машинка. Рекомендую.</t>
  </si>
  <si>
    <t>На этой неделе во вторник нам привезли машинку.  Дизайн отличный, по функциям тоже хороша.  Вот есть одно "НО", как должна открываться крышка, тяжело или легко. Например мне нужно прилагать усилия чтобы закрыть машинку,а  моему мужу не в легкость конечно, но тоже не просто. Вчера стирала белье, 1 стирка в режиме "ручная стирка", все очень хорошо постирала. а 2 стирка, была "деликатный режим", то слышался какой-то скрежет. От чего это помогло быть? Помогите пожалуйста. Заранее спасибо!</t>
  </si>
  <si>
    <t>2635</t>
  </si>
  <si>
    <t>1571</t>
  </si>
  <si>
    <t>Машинка работает уже четыре года. Правда она собрана в Италии - тогда российской сборки не было. Очень тихая. Управление без наворотов, но все есть. Недостатки: не всегда полностью смывает засыпанный в приемник порошок; громкий щелчок при разблокировке дверцы в конце программы. Первое-надо приноровиться и не засыпать как попало (полнота смыва зависит от давления воды).Второй недостаток несущественный.Мне даже нравится: сразу слышно, что закончила программу. Все остальное отлично.Рекомендую!  Для тех, у кого машинка шумит: главное отрегулировать машинку в горизонт и задействовать ВСЕ четыре ножки. Опять лучшее основание пола - плитка.  Очень доверяю этому бренду. Предыдущая машинка Ariston отработала 12 лет и была в рабочем состоянии отправлена на пенсию по причине износа подшипников (стала очень шуметь при отжиме)и нецелесообразности ремонта. До сих пор иногда включаем на даче. Даже выбрасывать жалко.</t>
  </si>
  <si>
    <t>Пользуюсь этой плитой 4 месяца.   1. Нет шнура в комплекте как и у всех плит. Так что шнур надо предварительно купить или снять со старой плиты.  2. Бош требует что бы плиту подключал мастер,вызвал - дали гарантию на подключение.  3. Мастер который подключал сказал, что такие плиты служат без поломок как минимум лет 10. Варочная панель имеет преимущество перед встроенной потому что управление не сенсерное ( это +), еще ни кто лучше механики ни чего не придумал.  Нагрев очень быстрый. Функция остаточное тепло на 5+.  Действительно вещь хорошая.</t>
  </si>
  <si>
    <t>2014-12-21</t>
  </si>
  <si>
    <t>Пользуемся этим утюгом около 5лет. Очень довольны. Гладит хорошо, проблем не было. В комплекте нет стаканчика для воды.</t>
  </si>
  <si>
    <t>покупала этот телефон, продавцы сказали, что всё, что мне нужно есть, вообщем что супер телефон. придя домой убедилась, что не все функции нормально работают, а именно: приложения не сворачиваются, приближает не как нормальный сонник на боковой клавише, а через функции и только в определённом месте... в общем телефон ужасный! Советую такой не приобретать!!</t>
  </si>
  <si>
    <t>Пользуюсь сковородой третий год. Дно на месте, покрытие тоже. Продукты к сковороде не прилипают.</t>
  </si>
  <si>
    <t>купила в апреле месяце! Работает на Ура (тьфу тьфу тьфу) и игры идут, и фильмы! В интернет выхожу через модем! антивирусник поставила и забыла, сбоев нет! В общем, довольна! единственное экран маловат! :)</t>
  </si>
  <si>
    <t>Только сама расстроилась и мужа расстроила. Пылесос совершенно не тянет, под резиновыми ковриками вы грязь никогда не соберете. Не покупайтесь на марку и не думайте, что высокая (для такого агрегата) цена пылесоса - гарантия его качества. Еле вернула товар в магазин, потому что даже после 10 секунд работы его кипельно-белый фильтр притянул тонкий слой пыли между его бумажными гофрами и посерел.</t>
  </si>
  <si>
    <t>Прибор очень хороший.Темп. показывает корректно.Использую 2 года, батарейки не менял. Прогноз погоды действительно попадает 50/50.Смело можно покупать.</t>
  </si>
  <si>
    <t>всё что здесь писали до меня НЕПРАВДА , плеер классный, просто супер!!!!!!  всё читает, качество отличное!!!!!!!!!!!!</t>
  </si>
  <si>
    <t>купила йогуртницу неделю назад, пробовала делать 2 раза на сухой закваске Нарине, получалось, что в 5 часов ставили, и к 11 вечера еще не было готово, ставили будильник, чобы ночью проверять, в итоге к 6 утра что вроде было похоже на йогурт, но так как там сыворотки почти половина, есть не хотелось никому из семьи, ничего густого и вкусного мы там не нашли., думаем теперь поменять ее.</t>
  </si>
  <si>
    <t>стиль.качество,</t>
  </si>
  <si>
    <t>Купила недавно, но пока все устраивает: и мощный, и небольшой, и контейнер легко мыть, и за мной по полу легко катается при уборке, и всасывает хорошо любую грязь (пыль, песок, нитки, волосы), и управление на ручке удобное. Кстати, ручка удобна и тем, что при работе с пылесосом можно не наклоняться - спина не устает.</t>
  </si>
  <si>
    <t>У этого аппарата операционная система давно уже 6.5,а не 6.1,переставят "HTC-Care".  Сам аппарат на 5 +.Батарею держит очень долго,очень удобный интерфейс.Абсолютно не "глючный".     Илья     Ты не прав.аппарат действительно идет с операционной системой WM 6.1, а не как ранее заявлялось WM 6.5, но есть возможность обновить операционную систему!</t>
  </si>
  <si>
    <t>Купили недавно. Стоит на кухне, где пол дощатый, рядом с газовой плитой. Ставил по уровню, никуда она не бегает и не прыгает. Но вот при отжиме, особенно при максимальной загрузке, начинает "прыгать" газовая плита, кастрюли, конечно, не падают, но вместе с конфорками сильно гремят. Да и сама машина вибрировать начинает и все, что на ней стоит, убегает. Что посоветуете? Распилить пол и зацементировать?  ЗЫ: машинка супер, пока все устраивает и ничего не барахлит =))</t>
  </si>
  <si>
    <t>2015-11-25</t>
  </si>
  <si>
    <t>Плюсы:  -Довольно внушительный вес позволяет гладить без нажима.  -Достаточно длинный шнур  -Заливное отверстие для воды широкое  Минус:  - Утюг НУЖНО ТОЛКАТЬ С ПРИЛОЖЕНИЕМ НЕИМОВЕРНЫХ УСИЛИЙ. Подошва утюга шершавая и совсем не скользит. Только  глажение с паром хоть как то уменьшает торможение утюга.  До этого интенсивно пользовался утюгом той же фирмы, купленным 19 лет назад, и он до сих пор исправен и гладит как по маслу даже без пара, но у него покрытие подошвы  AzurExcel.  А этот утюг приобретался для подстраховки от поломки старого. Покупкой сильно не доволен. Если уж моя мужская рука не выдерживает часовой глажки без пара, то что уж  о женской руке говорить.   В итоге - не рекомендую к покупке, кроме как в подарок врагу.</t>
  </si>
  <si>
    <t>2014-02-28</t>
  </si>
  <si>
    <t>Купила мужу в подарок,он очень доволен! За такие деньги,довольно много полезных функций, маленький удобный, пока ничего не ломается, насадки держатся прекрасно!</t>
  </si>
  <si>
    <t>2013-05-22</t>
  </si>
  <si>
    <t>Я пользовалась недолго, около месяца пока эта мясорубка не двинула кони. В процессе что-то крякнуло - и всё, не крутит. Муж разобрал - сломалась какая-то шестерёнка. В общем качество соответствующее, я смотрю тут у людей разные проблемы с ней :( Брать не рекомендую, сама уже обожглась.</t>
  </si>
  <si>
    <t>Утюг отработал 3-и года без проблем! Потом начал самоочищаться сам. Накипь вылетала кусками. Отвалился переключатель мощности пара. Никакие кнопки не работали.</t>
  </si>
  <si>
    <t>Мясорубка очень хорошая,у меня уже 3 года(тьфу-тьфу), всем рекомендую, ну правда хорошая,насадками не пользуюсь за ненадобностью. тут писали, что накручивает жилы, ничего подобного она как танк - все перемолотит. А на счет шума, в мясорубке это не главное, а если надо бесшумную, есть РУЧНАЯ вот и крутите.</t>
  </si>
  <si>
    <t>Самому аппарату 5+ за качество видео и звука.  Наличие 7.1 аналогового выхода позволяет использовать старую звуковую аппаратуру.    Но вот есть проблема.  Периодически теряет видеосигнал с HDMI :(  При это сам девайс телек видит.  Исправляется покачиванием шнура в разъёме. Шнур переворачивал -- тжс. Другого шнурка нет, а покупать ещё один как-то пока жаба душит, взять на тест негде.  Печально, если причина окажется в разъёме, придётся поменять, но только на такой же.</t>
  </si>
  <si>
    <t>Купили сауну для лица а она еще имеет и функцию ингалятора!!! Супруга в восторге купили сразу 2 в одном и для красоты и для здоровья!!! Рекомендую всем мужчинам как подарок жене или подруге!!!</t>
  </si>
  <si>
    <t>В ноут влюбился с первого взгляда - лед экран трехядерный проц, батарею держит около 3 часов.</t>
  </si>
  <si>
    <t>Плеер действительно отличный, функциональный, поддержка почти всех форматов делает его использование более удобным, благодаря широкому дисплею с ним удобно готовить какие либо текстовые подсказки для себя + поддерживает изменение шрифта, встроенная память 8Гб позволяет забить на плеере много любимых фильмов и музыки, а также хорошо то что можно импортировать флешкарту на 4Гб что ещё более улучшает плеер, я купил и сейчас советую друзьям купить, а также советую покупать и вам этот отличный плеер он вас никогда не расстроит а простота его пользования всё облегчит</t>
  </si>
  <si>
    <t>хорошая соковыжималка, работает хорошо</t>
  </si>
  <si>
    <t>2731</t>
  </si>
  <si>
    <t>2011-11-09</t>
  </si>
  <si>
    <t>Купили, пользуемся постоянно уже месяц. Мясо гриль - чудесное, не сухое, а именно сочное и с корочкой! Картофель, каши, все быстро и удобно! А главное - почистил, поставил, и забыл. Через 20-30 минут прекрасный ужин готов! Я довольна! А что до поломок, то на 1000 по-любому, штук 15 будет бракованных приборов. Так везде. Сама долго занималась поставками электроники, так что знаю о чем говорю. И это от производителя зависит в меньшей степени. Родители блендером Браун три года пользуются, у меня через полгода сломался, по закону подлости, гарантийку не найти, а за деньги починить нельзя - не разборный корпус, однако! Так что если что-то сломалось - значит, просто не повезло. А микроволновка шикарная! Советую!</t>
  </si>
  <si>
    <t>Сенсорный экран с разрешением 640х360 16 млн. цветов. Но на самом деле экран имеет чуть больший размер где-то 720х420. Телефон поразил своей отзывчивостью к нажатию. Чёткость сенсора ничем не отличается от айфона, экран по моему мнению не имеет аналогов вообще. - Камера 12 мпикс. Это самый важный достаток телефона, фотографии в среднем весят до 30 мбайт). Все навороты Здесь присутствуют - панорама (дада та самая 360 градусов), Bestpic, Cybershot, съёмка касанием и многое другое. Разрешение фото ~ 4000х3000. Видео снимается тоже очень даже ничего. Любая видеокамера с такой же матрицей позавидует.  Разрешение видеосъёмки 640х480, но даже на моём 22 дюймовом мониторе в полный экран видео не потеряло своего качество. - Операционная сисема Simbion 9.5. - Gps навигация Google. Здесь 2 карты. 1 предназначена для просмотра возможных полётов на самолёте из 1 страны в другую (т.е. мировой навигатор) и обычный навигатор по России. Немного странно, что карта не была загружена по умолчанию, приходится загружать за свой счёт интернет трафика, зато карта очень подробная, не ожидал что в моём городе все почти все дома будут пронумированы. Вид можно переключать как со спутника, так и в виде схемы. Только вот жаль что в больших случаях маршрут приходится задавать вручную, т.к. многие маршруты моего города навигатор к сожалению не знает. - WiFi. Очень серьёзный встроенный маршрутизатор. У меня почти во всех кафе, где есть WiFi скорость загрузки составляет 500 кбайт/сек. - Bluetooth. Буквально 2 слова - скорость приёма и отправки достигает 469 кбайт\сек. - HD Игры. Это новое поколение игр, портированных с PSP на телефон. Нашёл к сожалению в интернете только 1 такую - Ferrari GT Evoluthion. Игра весит около 50 мбайт, графика просто потрясает. Нормально опять же идёт только на Aino, Satio, Vivaz. На аналоговых Нокия и Айфоне даже подтормаживает (проверял лично). - Динамик. Очень чистый звук, хотя немного тихий. Есть встроенный активный саббуфер (мини саббуфер 2 кват, значительно усиливает басы, особенно в наушниках). - Софт. Он немного сыроват, ну и понятно, телефон то ещё новенький только вышедший. Как я уже сказал тут немного сыроватый навигатор. Зато есть Microsoft Office и Adobe Reader. Но к сожалению они платные, стоят по 550 рублей каждый. А так я полностью доволен софтом, особенно очень интересный проигрыватель. - Комлектация. Тут самое интересное. - HD Флэшка 16 гбайт (У меня точный размер 15,25 гбайт). Micro HD - новое поколение флэшек, схожих уже с настоящими Жёсткими дисками. Скорость работы с ней очень быстрая. Та же игра Ferrari весом 50 мбайт устанавливалась мне на флэшку всего 1 минуту. - Bluetooth гарнитура VH310. Довольно дешёвый вариант, порожка громкости нет, поначалу орало слишком сильно, но потом привык. Всё равно очень доволен ей. - Стерео Вакумные наушники. Здесь вообще нареканий нет. Не слышал такого звука нигде ещё.  Батарейка. Держит 11 часов. То есть я зарядил её полностью, посмотрел 4 фильма, поиграл ещё 2 часа и только потом телефон написал, что так так не могу больше работать, устал. В среднем свои 11 часов он отработал. - Намагниченный резиновый стилус. Такая очень удобная штука, которая намагничена специально для сенсора. Выпускается исключительно Сони. - Кожаный чехол. Настоящая кожа...</t>
  </si>
  <si>
    <t>телевизор просто отличный,все радует и понятное меню и звук и изображение,огромное колво входов(подключить можно все на свете)качество видео (особенно через HDMI вход) просто поражает своей четкостью.единственное что лично меня расстроило так это то,что через USB вход нельзя смотреть видео накаченное на флешку(телек не читает эти файлы),только фото.</t>
  </si>
  <si>
    <t>Пользуюсь уже месяц,устраивает все.  Стоит в ванной,свист от эл.двигателя почти не слышен.</t>
  </si>
  <si>
    <t>Плюсы: высочайшее качество графики, высокая частота кадров даже со сглаживанием 8х, большое пространство для военных действий, красочные взрывы, реалистичные разрушения, качественные озвучка и музыка,разнообразные задачи  Минусы: однотипные города и военные базы, мало диалогов и слов главного героя, тупая полиция, нереалистичные звуки стрельбы</t>
  </si>
  <si>
    <t>На нем просто супер в Xbox-360 играть (кстати в М.видео и купил его) !всем советую берите теличек для комнаты для себя самое-то</t>
  </si>
  <si>
    <t>(+)Плюсы:  Очень легко моется! Если в поддон для жмыха вложить мешочек, то время на мытье сокращается вдвое, просто выбросил  и все. Отлично жмет все фрукты и овощи. Дети просто обожают апельсиновый сок из этой выжималки, из давилки не любят)))) Сок получается очень вкусный! Стакан при наливании сока фильтрует пену, при выжимании отводит воздух - в общем все очень продуманно!    (-)Минусы: Не было большого опыта с другими выжималками, кроме комбайна)) кажется, что жмых слишком быстро выбрасывается... получается, что в минусах пишу плюсы!</t>
  </si>
  <si>
    <t>Согласен, у меня раньше был Р750, не привычно без клавиатуры телефонной, зато, порадовал дизайн и мощность  коммуникаторы рулят. Модель супер!</t>
  </si>
  <si>
    <t>Нет ничего не пропущена, у них различие в диагонали.  Если выбирать ноутбук для игр - предпочтительнее будет 17" - играть будет более комфортно   аналогично с фильмами</t>
  </si>
  <si>
    <t>Хороший фильтр да. Пользуюсь 10 лет или около того. Пользовался конечно и покупной водой, но как-то вот нравится мне эта марка. Нормально очищает и от хлора (нет никаких запахов) и смягчает воду  - накипи нет (если картридж менять раз в месяц или чаще).   Меня вот как-то цена приятно удивила это ведь не здесь сделан картридж  в Англии (иногда в Германии, но этот экземпляр в Англии)  Инфляция высокая а как-то вот удалось им где-то дешево их достать ))   - Последние-то несколько лет я брал как раз прямо в Англии, но вот теперь оказалось здесь дешевле брать как раз в 2 раза примерно. Ну и кроме того приятно удивило что М-Видео таки держит слово - и если объявили программу - "найди дешевле и мы снизим цену" то выполняют - чем приятно меня удивили (не все компании слово-то своё держат, в том числе и их конкуренты из "утвержденного списка". Вот сегодня мне позвонили, не буду называть кто именно, но у них тоже есть такая же программа - я нашел картридж дешевле, М-Видео прислала купон на разницу в цене моментально, а вот конкурент только позвонил, извинился и сказал что их менеджеры подумали и решили что не смогут снизить.. позорники ))   А М-Видео - молодцы, респект. Пообещали - значит сделали. разница не очень большая, но мне было просто интересно работает эта программа на практике или нет, поэтому и нажал кнопочку. СМС с купоном на разницу в цене пришел минут через 10. То есть работают, молодцы. Да и вот в прошлый раз мне один из магазинов сети М-Видео не понравился, я написал неважный отзыв. А сегодня был в другом - в другом совсем другая картина - очень любезный персонал, вежливый, шустрый грамотный, невероятно доброжелательный. - Выбрал этот магазин в качестве любимого.  Ну а насчет картриджей - берите, не пожалеете, я их уже проверил сегодня, хорошее качество - не поддельные, настоящие.</t>
  </si>
  <si>
    <t>Купя этот аппарат,полностью оправдал мои ожидания.До этого было три пылесоса,в основном схожи друг  на друга от 400 до 1200 р.Но т.к я люблю чистоту в машине меня цена не остановила и я до брался до совершенства и сейчас наслаждаюсь уборкой.Немного о плюсах аппарата : Мощность у него похожа на 500 Вт.если равнять с моим домашним на 1400 Вт,это без шуток.Удобная ручка и резиновый шланг,в отличие от другой модели 1205 там он пластмассовый и мощность гораздо меньше,да и рука быстро устаёт от него водя туда сюда его,а тут держишь удобную ручку со шлангом,ещё плюс что щетина откидывается на вверх,не надо её вечно вынимать и искать потом,где её положил.В общем решать вам,если любите чистоту то он ваш.А если нет то по проще берите.!!!</t>
  </si>
  <si>
    <t>Прекрасное средство. Удалило отпечатки пальцев с поверхности вытяжки из нержавеющей стали.На поверхности образовалась пленка, которая защищает от появления новых отпечатков. Были отпечатки пальцев на кухонной мойке, средство Electrolux их убрало,новые отпечатки не образуются. Так же улучшился внешний вид, вещь заблестела по-новому. Средство экономичное. Рекомендую!</t>
  </si>
  <si>
    <t>Стильный, удобный, мощный пылесос. Самый большой плюс-это то, что он моющий. Вообщем здесь включены и ярко выражены все плюсы от разницы моющего и обычного пылесоса.</t>
  </si>
  <si>
    <t>Купил вентилятор в мае, качество сборки получше, чем аналогичный товар другого недорогого бренда (правда и тот пашет уже 5 лет, все вентиляторы беру только с пультом-не пожалел. Шум минимальный+, дизайн+, отлично принимает от пульта, качество+. Имеется Обогреватель горизонтальный, с пультом -у них полная взаимозаменяемость пультов! Сигналы на кнопки (функции) одинаковые. Один раз разбирал, так как стал с трудом вращаться, смазал, сейчас крутится только так!</t>
  </si>
  <si>
    <t>Сегодня приобрёл данные уши)Качество сборки порадовало...На голове сидят отлично.  Звук очень качественный,а,что главное живой.Наушники подойдут как для дома,так и за его пределами(Но я покупал именно для дома).Шнур достаточно прочный.В комплекте удобная катушка для намотки провода.  Покупкой доволен,эти наушники стоят своих денег...=*</t>
  </si>
  <si>
    <t>3190</t>
  </si>
  <si>
    <t>Никаких проблем абсолютно нет!!! единственное, что сделал - это WINDOWS установил, не домашняя как была, а максимальная версия!!! Идеальный нетбук!!</t>
  </si>
  <si>
    <t>Этой плитой пользуюсь больше 3-х лет, ни разу не ломалась, работает отлично.</t>
  </si>
  <si>
    <t>Приобрели эту печку уже давно. Очень простое и доступное меню, достаточно мощная. Никаких недостатков при использовании не обнаружили. Всем советуем!</t>
  </si>
  <si>
    <t>Компактный хороший пылесос. Прост в эксплуатации. Удобный шланг, моющий фильтр .Служит уже 5 лет. Правда уже всасывает пыль не так эффективно как раньше.За такие деньги лучшего помочника в хозяйстве вам не найти.</t>
  </si>
  <si>
    <t>Отличная плита! Не пожалела о потраченных деньгах. Радуюсь своему выбору при каждой готовке! Покупайте, не пожалеете.</t>
  </si>
  <si>
    <t>Чайник супер!!! Ни разу не подвёл с 2008 года служит уже по 2013, шумит да, но не больше других, что касается пятен да зависит от воды и её качества и количества, что касаемо минимального объёма, зачем покупать такие чайники, пользуйтесь кипятильником!!</t>
  </si>
  <si>
    <t>назвать машинкой для стрижки можно чисто по внешним отличительным признакам! По своим ощющениям - Мне показалось что какое-то "неадекватное существо" или огромное злое ,временами ,"насекомое" копошится в моих волосах...</t>
  </si>
  <si>
    <t xml:space="preserve">Плюсов много всех и не перечислить </t>
  </si>
  <si>
    <t>Этот чайник для тех кто ценит чай. Вкус чая в нем получается оригинальным, благодаря установки нужной температуры при заваривании. Качество чайника на высоте, все-таки это bork. Рекомендую тем, кто любит чай.</t>
  </si>
  <si>
    <t>Тоже покупали его давно под маркой Bork. Пылесосит хорошо, со временем так же появилась проблема с втягиванием шнура обратно и кнопка эта западает, так же сломалось крепление на щётке и сама щётка. Огромный минус-в комплекте есть мешки для пыли, но когда они закончились началось самое интересное. Сколько раз интересовались в магазине-никогда нет таких мешков. Уже просили как-нибудь их заказать-нет, нету нигде!!! Предлагали подобные мешки-не подходят, и сос-мешки покупали-отваливаются в процессе уборки. Возникает вопрос к производителям-зачем делать такой пылесос и не позаботиться о наличии комплектующих. В общем, пылесос хороший, но если предпочитаете уборку с пылесборником-подумайте хорошенько!!! Или всё-таки попытайтесь их найти где-нибудь.</t>
  </si>
  <si>
    <t>Ошибся, стояли 220мкф, подключен к голове. Задумывалась как третья полоса вместо пластиковых пищалок. Странно что захрипел тока один, второй держит отлично. Поставил 100мкф и получил провалы в звуке. Так что хоть и звучат они классно, но без замены или выкидывания кондера, вы из них ничего путного не услышите, а замена (увеличение) кондера может повлечь их выход из строя.</t>
  </si>
  <si>
    <t>Рекомендую посмотреть всем мужчинам, несмотря на то, что фильм с первого взгляда для девчонок! Меня поразил взгляд главной героини, такой проникновенный, я честно говоря сошел с ума от такого взгляда! Даниэль такая красивая!</t>
  </si>
  <si>
    <t>Хорошая духовка, стильная, пропекает равномерно! Всем радует, вот только часы действительно бегут на минуту в неделю, надоело корректировать. Похоже эта проблема сидит в контроллере, самсунгу за это минус.</t>
  </si>
  <si>
    <t>Отличный вентилятор, качественное изготовление и сборка, сбалансированный винт, малошумный. Легбо разбирается (для промывки). Был куплен больше пяти лет назад, до сих пор как новый, хотя поработать ему пришлось очень много.</t>
  </si>
  <si>
    <t>2874</t>
  </si>
  <si>
    <t>2013-12-31</t>
  </si>
  <si>
    <t>У кого чайник медленно и долго закипает - читайте инструкцию внимательно! В каком положении находится у вас переключатель напряжения? А те, кто пишет, что вода переливается - читайте, до какой риски надо наливать воду. А те, кому надо второй раз срочно кипятить жидкость - читайте, через какое время его можно повторно включать! Если пользоваться им правильно, то все будет ОК. Отличный чайник!</t>
  </si>
  <si>
    <t>83</t>
  </si>
  <si>
    <t>Отличный телевизор для небольшой комнаты. Эфир тянет вполне достойно. Особенно порадовало разрешение 16:10, для просмотра эфира опять же лучше чем 16:9. Звук громкий и четкий для такой мощности. Меню разбирается за 5 минут. Рекомендую</t>
  </si>
  <si>
    <t>Плюсы:  1. Очень красивый, стильный дизайн  2. Ничем не пахнет, вкус воды не портит  3. Тихий по сравнению с другими чайниками    Минусы:  1. Чтобы вылить из него воду, нужно перевернуть вертикально вверх ногами, колба-шарик держит воду до последнего и не пускает её к носику. К этому привыкаешь, но те кто любит наливать воду лёгким наклоном чайничка, будут недовольны.  2. Кипятит он до победного, особенно когда воды мало налито (может вообще не отключиться). Лучше сидеть рядом и выключать вручную, если не хочешь, чтобы вода перекипячёная была. Жалко, что нет регулятора температуры нагрева воды. Был бы идеальный чайник.  3. Детали, которые кажутся металлическими, на самом деле крашеный пластик. Скорее всего обдерётся.  4. Нагревательный диск не стальной и полированый, а покрыт каким-то антпригарным покрытием. Не знаю, правда, плюс это или минус...    Ещё при нагреве воды он покрывается изнутри конденсатом. Капли воды остаются на стенках даже когда чайник остывает. В принципе, это нормально, просто не думайте, что он будет радовать вас прозрачным чистым стёклышком. Есть подозрения, что со временем на стекле останутся следы накипи и прочих отложений от не очень качественной воды.</t>
  </si>
  <si>
    <t>Цена, качество</t>
  </si>
  <si>
    <t>Я тоже возила свой назад в магазин, но мне сказали, что пылесос рабочий, что это у меня что-то не в порядке. Менять не стали.  А вот по поводу подарочной карты на 3 000 руб., полная чушь! Все другие нормальные магазины такую отговорку не придумывают. В то же время, когда покупала пылесос, купила ноутбук в другом магазине, дали подарочную карту. После купив аксессуары по этой карте, пришла на обмен, мне заменили без проблем.</t>
  </si>
  <si>
    <t>Щипцы просто супер!!! Долго искала такие щипцы и наконец-то нашла я их.Я очень довольна этой покупкой!!!</t>
  </si>
  <si>
    <t>2611</t>
  </si>
  <si>
    <t>Нравится. Блютус тоже есть (тока включить надо)</t>
  </si>
  <si>
    <t>Выпрямляет хорошо, нагревается быстро, делать кудри удобно. Очень качественный термостойкий чехол. В комплекте прилогалось: набор кисточек и завивка для ресниц...ни разу не воспользовалась. Проработал 2 года (интенсивное пользование), затем стал отходить провод у основания, вскоре совсем перестал работать... Ремонту не подлежит(( Есть подозрения, что провод сломался из-за чехла...очень уж там ему тесно. Мне кажется, что цена завышена...из-за кисточек (которые мне не понадобились), буду покупать другой фирмы.</t>
  </si>
  <si>
    <t>2015-06-06</t>
  </si>
  <si>
    <t>Очень вкусно получаются сэндвичи)) У нас недавно, еще не разу нас не подводил, тем более цена не высокая . Очень рад что он у нас появился. Рекомендую !)</t>
  </si>
  <si>
    <t>Покупали ее 2 года назад. Спасибо производителю за качественную вещь. Работает каждый день и ни одного сбоя. Проста в управлении как дважды два, варит чудесный кофе</t>
  </si>
  <si>
    <t>Наверное каждый из вас знает, что помимо меню аппарата доступного всем пользователям, в телевизоре есть так называемое инженерное меню аппарата, которое вызывается нажатием определённой комбинации клавиш при выключенном состоянии аппарата.Это так называемые "тонкие" настройки телевизора.Которыми пользуются специалисты из сервис-центров.Вот и я покопавшись и интернете, нашёл способ как войтив это меню.Меня интересовало активация функции просмотра MKV видеофайлов с флешки.Увы, в этой серии аппарата такой функции нет.Вернее она есть, но только 1/3 из нужных команд.Но зато узнал для себя много чего интересного. Кстати активировать просмотр видео и прослушивание муз файлов через инженерное меню можно у телевизоров 6,7 серии.</t>
  </si>
  <si>
    <t>Кофемолка шумная. Перемалывает ровно один раз, даже при соблюдении правил пользования в инструкции: 30 секунд - работа, 1-2 минуты - отдых. Крышка негерметичная: когда перемалывает из неё идет порошок.  Ну и как я уже писала, одноразового использования.</t>
  </si>
  <si>
    <t>Не очень большой, манёвриный, легко передвигаеться по квартире, прост в уходе, относительно тихий</t>
  </si>
  <si>
    <t>Огромное спасибо консультантам мвидео! Знают что говорят! Посоветовали этот блендер, я очень рад что послушал совета и выбрал именно этот. Мелит все что туда загружаю. Мысо в фарш, лед в снег, а коктейли... обожаю смузи) сравнивали с продавцом остальные блендеры везде соединительные части таки что я побоялся бы в них что то тверже томатов ложить, у этого же серьезное металическое соединение и при этом мощность высокая! Покупкой остался доволен! Рекомендую всем!</t>
  </si>
  <si>
    <t>Пользуюсь этим блендером почти год. Работает отлично, особенно радует его возможности - практически мини комбайн, единственное замечание это не очень удобная кнопка, при длительном процессе её использования начинает болеть палец, а в целом отличная вещь!</t>
  </si>
  <si>
    <t>Владеем полгода.Очень неудобная ручка, нужно было брать с резиновыми накладками,а в общем неплохо, хотя отпаривателем практически не пользуемся.</t>
  </si>
  <si>
    <t>2017-03-06</t>
  </si>
  <si>
    <t>дизайн класс, выдвижные штуки, програмирвание вкл по времени, и выключение. сигнал о готовке</t>
  </si>
  <si>
    <t>Мы счастливые дети, воскликнул ребенок 7 лет за себя и за старшего 16-летнего брата, получив в подарок данную игровую приставку на Новый год! Все гости в восторге - тоже мечтают о такой игровой приставке. Во время игры и радость за успех и слезы за проигрыш. Качество и виртуальность невероятные. Много игр со скидкой! Спасибо!!!!!!</t>
  </si>
  <si>
    <t>Пользуемся уже 3 года, как для сухой, так и для влажной уборки. Очень удобно мыть ламинат – не надо предварительно подметать. Квартира в 50 квадратов моется за 30-40 минут, правда воду приходится  доливать. Пыль в воздух не поднимается, воздух становится увлажненным, неприятных запахов как от мешкового пылесоса нет. Отлично вымывает песок из ковров и дорожек. Удобная насадка подходит вплотную к плинтусам, за счет чего вымываются все уголки. Подойдет семьям с маленькими детьми. Главное не забывать вовремя менять фильтры, благо сейчас в М.видео продаются недорогие сменные комплекты фильтров.</t>
  </si>
  <si>
    <t>внешний вид. диспенсер.</t>
  </si>
  <si>
    <t>Хорошие твитеры, но мне показалось, что тиховатые т.е. в общем потоке звука я их не слышу, надо звук вперед перевести и высокие на всю выкрутить, а низы убрать и звук наболтать, тогда их слышно (ощущаются)!!! А так пищалки не плохие! Вот конечно крепления, при помощи которых они на стойки крепятся, очень хлипенькие защелки.</t>
  </si>
  <si>
    <t>675</t>
  </si>
  <si>
    <t>2013-03-06</t>
  </si>
  <si>
    <t>Купили, польстившись на функционал, и пожалели! Нельзя брать технику noname! С момента покупки прошло 3 недели, пользовалась за это время 5-6 раз с насадкой блендера и миксера, до остальных дело не дошло. Во-первых: греется до горячего меньше чем за минуту, следовательно - не рассчитан на работу более продолжительное время, следовательно - утрачивает свою основную функцию. Во-вторых: шумит ОЧЕНЬ сильно, и шум такой, будто скрежет металла. В-третьих: заржавели венчики. Мыли вручную сразу после использования, ничего не присыхало, в воде не замачивали, обычной поролоновой мягкой губкой. С пищей такие материалы контактировать не должны, поэтому понесем обратно в магазин.</t>
  </si>
  <si>
    <t>Купил месяца 4 назад, когда еще стоил 1990, выбирал по мощности всасывания, оправдал все ожидания.  Пятерку не поставлю по одной причине - был бы моющийся HEPA, а не сменный, была бы пятерка!</t>
  </si>
  <si>
    <t>Телевизор отличный. Картинка, звук всё в порядке, понятная менюшка,пока всё устраивает. Может кто знает, можно ли как-нибудь использовать Порт USB под флешку?</t>
  </si>
  <si>
    <t>Использую машину 4 месяца - качество стирки на 5, даже плюс хочу добавить!!!   Прочитала отзывы других и ,честно говоря, попахивает отсутствием объективности в оценках:-)   Специально, опять сходила на консультацию в магазин, где мне ребята хорошо объяснили(очередное спасибо высшему пилотажу М.Видео), что у машины есть класс стирки, который тестируется на загрязнениях "кофе и шоколад" - класс А высший, который у Аристона гарантирует полное удаление таких стойких пятен при обычной программе, а сам тест при этом проводит не производитель, а независимый институт, по моему из Швейцарии.   Так что, если качество стирки не соответствовало заявленному надо было в сервис обратиться - вдруг, что-то сама программа не правильно делала, а не "мучатся 2 года" и смотреть, как у "родителей" на машине с таким же классом стирки! получается "ДРУГОЙ" результат!:-)))</t>
  </si>
  <si>
    <t>Александра, для Ваших целей необходимо рассмотреть независимую  встраиваемую панель и независимый встраиваемый духовой шкаф, а данный комплект состоит из зависимых между собой  электрич. варочной панели и духового шкафа,  ручки управления конфорками варочной панели располагаются на панели управления духового шкафа.</t>
  </si>
  <si>
    <t>Согласитесь, беззвучных стиралок нет,но эту практически не слышно!!! Даже находясь в другой комнате, приходится вслушиваться, работает ли. Стирает изумительно! И вообще качественная и достойная стиральная машинка. Думаю, со мной многие согласятся. Рекомендую, вся семья в восторге!</t>
  </si>
  <si>
    <t>Отличная вытяжка использую ее в режиме отвода воздуха. Вытяжкой вполне доволен</t>
  </si>
  <si>
    <t>340</t>
  </si>
  <si>
    <t>Милые девочки, у кого перегревается фен через год-полтора и так далее, дело вовсе не в самой марке фена, и в том хороший он или плохой. Нужно его просто почистить, захватывая воздух, он захватывает с собой и пыль, пыль оседает на фильтре и втягивать воздух. Ему попросту становится тяжело, поэтому он выключается, это решаемая проблема, а вы говорите, что фен плохой...</t>
  </si>
  <si>
    <t>хорошая вытяжка,моется действительно отлично.купили в дополнение средство для мытья жира Оптима,побрызгали сетку вытяжки и тут же промыли горячей водой-вытяжка как новая!запахи устраняет хорошо,на большой скорости шумновата,но это совершенно не мешает.а на счет кнопок и высоты,так это зависит от того,как вы ее высоко повесите,у меня  ростом 160см.проблем с этим вообще нет!прекрасная модель!советую!</t>
  </si>
  <si>
    <t>Купила их лет 7 назад. Работают отлично по сей день, но долго нагреваются. Я принаровилась - ставлю их греться и иду заниматься делами минут на 10, потом завиваюсь</t>
  </si>
  <si>
    <t>Этот коммуникатор - лучшее, что я использовал! Настоящая рабочая лошадка. Аппарат настолько хорош и удобен в использовании, что отсутствие WEB-камеры действительно вызывает досаду. Однако даже с этим минусом, что-то лучшее найти сложно. Купил уже три штуки, один - себе и два на подарки.</t>
  </si>
  <si>
    <t>Отвратительный чайник! Налить воду в чашку нормально не возможно, заливается все вокруг, видимо, неправильно сконструирован. Крышка через полгода перестала плотно прилегать, и чайник самостоятельно не выключается, из-за этого приходилось ставить сверху что-то тяжелое. Слава богу, этой зимой забыли на даче вылить из него воду и он "покончил жизнь самоубийством"! Ура!!!     Вчера покупала новый чайник и была в шоке, что эту модель до сих пор не сняли с продажи, красуется, поганка, на полках, безобразие!</t>
  </si>
  <si>
    <t>Взял Виту 1108 в подарочном наборе с KillZone. Через день вылез битый пиксель. Сегодня постараюсь обменять на аналогичную по цене. А так машинка - супер ,можно использовать в разных направлениях (скайп, чаты, видео, карты)</t>
  </si>
  <si>
    <t>Купила уже очень давно, но работает он и по сей день отлично, ничего плохого про эту вещь сказать не могу. Всем советую!</t>
  </si>
  <si>
    <t>Сегодня купил точно такую же камеру Samsung SMX-C10 Red,целый день тестировал и всё меня в ней устроило, только есть одно но.. Поставил самое высокое разрешение и 16:9 - всё ок, сьёмка прошла супер, так как я и хотел и опять но.. Когда скинул видео в (комп) и начал просматривать его, то получилась такая картина, а снимал в 16:9 показывает почему то 4:3 и всё вытянуто вверх (голова человека получилась яйцом) хотя должно быть нормально 16:9. Вот такая беда. В остальном мне нравится, то что я и хотел. PS: всегда пишу без ошибок ;)))</t>
  </si>
  <si>
    <t>Нормальный телек за такую цену,хотя при выборе канала мог бы соображать быстрее. Во всём остальном, я им доволен!</t>
  </si>
  <si>
    <t>Подруга купила такой. Рассматривали. Оч.понравился. Расположение и размер клавиш, то, что у тачпэда кнопочка отключения прямо на нём. Звук для ноутовых колонок весьма неплох. Когда открывается - экран как бы сдвигается назад - т.е "правильно" расположен. Пробовали приложения, инет, фильмы - всё летает.   Недостаток: угол обзора экрана слегка заужен, если сравнивать с  обычными ЖК мониками.  Достоинства: кроме перечисленных - большой 17" экран! "Большой" для такой цены-комплектации конечно.))  Я вообще не поклонник ноутов - больше нравятся полноценные игровые компы.   Но если буду брать ноут для инета и фильмов - однозначно этот.</t>
  </si>
  <si>
    <t>Ноутбук вполне хорош но есть маленькие недостатки и то которые из-за ошибок в спецификации как на сайте М-Видео так и многих других: 1. В данной модели отсутствует Bluetooth хотя это можно узнать посмотрев на наклеечку под клавиатурой, но продавец как и сайт уверяют что он должен быть ?  2. USB 3.0 порт один и 2 USB 2.0 на сайте указано 3 USB 3.0  Так что уважаемые сотрудники исправьте ошибки в спецификации ну а так вполне себе хороший ноутбук</t>
  </si>
  <si>
    <t>Отличное качество звука, прочный корпус. Рекомендую!</t>
  </si>
  <si>
    <t>Пользуюсь уже 2 месяца!, нареканий никаких, всё летает,....реальная альтернатива стационарному ПК, мощи за глаза хватает!.....Очень доволен!!!...рекомендую!!!</t>
  </si>
  <si>
    <t>цена,компактность и качество!</t>
  </si>
  <si>
    <t>С расстояния 3-4 метров появляется шум, который особенно заметен при просмотре телевизора, в паузах (которых в фильмах предостаточно). При прослушивании музыки - малозаметен.  Что бы убедиться в этом, можете подключить к любому устройству, на котором необходимо воспроизведение поставить на паузу или, если на телевизоре - использовать кнопочку "MUTE", и, выкрутив громкость наушников на максимум, отойти на указанное расстояние.</t>
  </si>
  <si>
    <t>Муж был очень доволен покупкой. Стрижет замечательно. Уже очень долго пользуемся и все довольны.</t>
  </si>
  <si>
    <t>9</t>
  </si>
  <si>
    <t>1. Плюсы дует отлично,за такие деньги  2. минусов пока не обнаружил</t>
  </si>
  <si>
    <t>Отличный утюг. Гладит, отпаривает, готов к работе через две секунды после включения. Оригинальное цветовое решение корпуса. Все остальные функции для утюга лишние. 5 баллов</t>
  </si>
  <si>
    <t>Компактный и полезный набор, таскаю с собой постоянно в сумочке на всякий случай. Это, конечно, не профессиональный набор и такого функционала, как в более дорогих от него не стоит ждать, но за такую цену в нем все же много полезных вещиц и для домашнего легкого маникюра-педикюра, чтобы сохранять в приличном виде ноготки, его вполне достаточно.</t>
  </si>
  <si>
    <t>Вчера привезли чайник. Дизайн отличный, но уже сегодня сломалась кнопка включения. Прочитав выше отзывы, поняла, что это заводской брак. Обидно, если обмен или возврат придется делать в розничном магазине. Ехать до него ой-ёй-ёй..</t>
  </si>
  <si>
    <t>для тех, кто просто разогревает, размораживает и готовит на скорую руку - просто идеально! очень довольна!</t>
  </si>
  <si>
    <t>Купил телевизор отцу на юбилей, понравился очень ему, смотрит и не нарадуется. Вот только качество сигнала со спутника не очень четкое бывает, если предмет вблизи показывают, то отлично, а если что-то мелкое или отводит задний план видны маленькие кубики. А так все устраивает.</t>
  </si>
  <si>
    <t>Вчера купила этот утюг для пользования на даче, сегодня попыталась погладить... такое ощущение что он вообще не гладит. Поеду сегодня и попробую поменять на более дорогой.</t>
  </si>
  <si>
    <t>Быстро и чисто очищает-несколько минут и свитер как из магазина!</t>
  </si>
  <si>
    <t>Полностью поддерживаю! Наушники отличные! Когда покупала, в основном ориентировалась на цену, купила самые дешевые. Пользуюсь ими около 2-х лет. Оценила их, когда приобрела Philips SHE3590WT/10 почти в 3 раза дороже, а особой разницы не услышала. Panasonic RP-HV094GU-K лучше!</t>
  </si>
  <si>
    <t>Напишу кратко. Телефон в целом не плохой. Имеет 1 динамик, он не очень громкий, но в кармане звонок будет отчетливо слышно. qwerty клавиатура - текст набирать удобно и после привыкания довольно быстро, но не более. Если вам особо не нужна это qwerty клавиатура и вы привыкли к обычной, то не стоит останавливать взгляд на данном телефоне. Лучше будет выбрать например тот же н78 + вы с экономите пару тысяч.</t>
  </si>
  <si>
    <t>Чайник очень хороший, светится красивым голубым огоньком. Закипает быстро. Но шумноват. Рекомендую для большой компании.</t>
  </si>
  <si>
    <t>983</t>
  </si>
  <si>
    <t>Духовкой очень довольна. Красивая, простая в эксплуатации, печет отлично. Нормальная цена. Рекомндую.</t>
  </si>
  <si>
    <t>После часа игры сложилось ощущение, что игра сильно напоминает смесь двух других игр: The Suffering и Alone in the Dark (2008). Сюжет линеен, по крайне мере до сих пор был таковым. Рельсовость происходящего слегка завуалирована некой иллюзией свободы из-за довольно хорошо проработанного до мелочей леса, но все равно, погулять где попало не получится, с тропы сойти далеко не дадут.  Конечно же до сих пор приводит в некоторое недоумение тот факт, что приставка 5-ти летней давности с начинкой чуть более плохой чем захудалый офисный компьютер, умудряется выдавать без тормозов картинку сопоставимую с топовыми видеокартами с поддержками всяких там новомодных DX 11 и т.п.</t>
  </si>
  <si>
    <t>Не покупайте этот компьютер ни в коем случае! у меня он год и нервов мне истрепал немерено! Во первых: да он регулярно зависает особенно во время использования Видео игр, даже не зависает а просто останавливается(без перезагрузки никак), т.е. пройти ни одну игру нервов не хватит. Так же само если видео файлы подряд кидать в проигрыватель через минуту он зависнет так же. Плюс ко всему он безумно шумный, работает как мини-пылесос, т.е. варианты оставить работать на ночь отпадают полностью! Детали хоть и Корейски но ручонки то собирают русские... м.б. просто корпуса оч корявые делают, что он регулярно перегревается. Н</t>
  </si>
  <si>
    <t>Не знаю как у остальных , но крепления к стене идут в комплектации, а вот крышки точно нет, да и она не очень сильно нужна.</t>
  </si>
  <si>
    <t>1283</t>
  </si>
  <si>
    <t>Звучание у этих ушек просто обалденное!!!  Хочется сказать, что звучат они явно "дороже", чем стоят. За 2 рубля, такой шикарный звук выдают.  М.Видео респект, только у вас в Омске нашел их в наличии =)  Легкие, удобные - несколько часов сидел в них, даже не устал нифига, как будто их нет вовсе, как пушинка. Звук яркий, красочный, приятный мощный насыщенный и отчетливый бас.  Выбор ушек, как известно дело сугубо индивидуальное, и удобство также немаловажный факт, так вот в них, мне очень удобно и комфортно, еще когда в магазине брал, заметил, как в них уютно будет.  Однозначно рекомендую!</t>
  </si>
  <si>
    <t>Купил данный телефон неделю назад. Смотрится хорошо, аккумулятор очень долго держит, качество связи хорошее.  Покупкой полностью доволен!</t>
  </si>
  <si>
    <t>Отличнейший ноут за свои деньги. Поставил Win 7 64 bit  все отлично, единственное никак вайфай установить не удается. Производительность отличная, сразу поставил HDD Seagate 320GB 7200rpm. Обмен данными даже на глаз побыстрее происходит</t>
  </si>
  <si>
    <t>Отличная духовка. Пользовался правда, пока, один раз. Делал пирог с треской. Получился идеально. Пропёкся и подрумянился равномерно и даже по бокам.</t>
  </si>
  <si>
    <t>Не работает подсветка, но чайник действительно не шумит</t>
  </si>
  <si>
    <t>Как же так, столько хороших отзывов, а у меня еле крутит? Не готовка, а одно мучение - лишний раз подумаешь делать фарш или нет.</t>
  </si>
  <si>
    <t>шипцы плохие, никаких локонов не получается.</t>
  </si>
  <si>
    <t>Вчера купили, уже постирали три раза, проблем нет, отстирывает, отжимает как положено, шумит когда отжимает, купили взамен старой , которая прослужила 8 лет, не жалею.</t>
  </si>
  <si>
    <t>по данным инструкции, цитирую:  "Формат данных NTFS (New Technology File System)  не поддерживается"</t>
  </si>
  <si>
    <t>Качество стали режущего блока оставляет желать лучшего, сама же электробритва удобная</t>
  </si>
  <si>
    <t>За четыре года сгорели два таких фильтра. В следующий раз возьму другого производителя.</t>
  </si>
  <si>
    <t>2872</t>
  </si>
  <si>
    <t>Брал его 4 года назад, жутко садит АКБ, если оставить его на 5 дней без запуска двигателя, пойдете пешком, у него очень сильный ток утечки, больше в 5 раз заявленного, а так он работает отлично, только АКБ надо покупать каждый год новый, проверено на двух авто новых разных марок, теперь его выкину и куплю др. более качественный.</t>
  </si>
  <si>
    <t>Андрей, хорошие новости! Обещают ломануть 6.20 к новому году</t>
  </si>
  <si>
    <t>на днях купил телефон. одним словом привзашел мои ожидания...</t>
  </si>
  <si>
    <t>Не читайте те комменты, в которых пишут не очень и так далее!!! Саб крут, и давление дает такое, что просто едешь и балдеешь (при правильной настройке норм усилка, а не хлама) всем советую, не обломаетесь с качеством басса)))</t>
  </si>
  <si>
    <t>Купил за 29990, очень доволен приятный, быстрый, а с сенсорным добавлением звука можно играться весь день =)</t>
  </si>
  <si>
    <t>компактный</t>
  </si>
  <si>
    <t>Отличная игра. Хорошая графика. Великолепный звук. Денамичный геймплей. Советую всем.</t>
  </si>
  <si>
    <t>Водонагреватель работает отлично. Помучились немного с установкой.А в остальном все устраивает и цена и качество и простота использования!</t>
  </si>
  <si>
    <t>Звук неплохой, но прижимы так быстро ослабли, что запомнились мне они постоянными спадами с ушей. Использовал в офисе, нравились тем, что они не изолировали от окружающей среды, можно было быстро снять, когда заходил директор :) А закончили свой век тем, что отвалился штекер, причем век был недолог, может, пару лет. Мне конструкция не показалась надежной, хотя цене соответствует. Еще раз такие брать не буду, нужен держак получше.</t>
  </si>
  <si>
    <t>3200</t>
  </si>
  <si>
    <t>Купил в сентябре 2010, камерой доволен. Качеством изображения и звука тоже вполне. Заряда батареи мне хватает надолго, в поездках на 3-4 суток при среднем по времени использовании хватало вполне, оставалось более половины заряда, захваченное с собою з/у. не понадобилось. Дома лежит заряженная больше месяца, смело беру с собой в поездку не дозаряжая.</t>
  </si>
  <si>
    <t>За все время пользования проблем не возникало.По поводу шума не согласна, стирает она как и все другие модели если правильно выставить положение ножек (по уровню). Если машина загружена большим количеством белья, то ничего из нее не выпадает, а просто она не начинает процесс стирки, что позволяет уменьшить количество загружаемого белья.Единственный минус, заключается в том, что в процессе стирки в отделе для кондиционера скапливается вода, вот как с этим бороться пока не разобралась.Так что я считаю, что она ни чуть не уступает по качеству другим более популярным стиральным машинам.</t>
  </si>
  <si>
    <t>2453</t>
  </si>
  <si>
    <t>А у меня вообще саб не работает, обновляй не обновляй драйвера, его не слышно...похоже брак какой-то.. ((( все четко слышат свой сабвуфер??? или у меня только такое?</t>
  </si>
  <si>
    <t>Штука жуткая. У меня он лет 5 уже.  Подходит только для ног. Подмышки и прочие чувствительные зоны с ним - это из разряда пыток. Да и на одни только ноги уходит в среднем 1,5-2 часа, потому как много раз приходится обрабатывать одно и то же место.  В общем, лучше не надо.</t>
  </si>
  <si>
    <t>Хочу отметить, что капли на задней стенке -это капельная система разморозки, конденсат по стенке стекает через канал на компрессор,откуда испаряется.эта система разморозки лучше чем no-frost, т.к. в холодильнике поддерживается естесственная влажность продуктов.</t>
  </si>
  <si>
    <t>Преабрел данный апарат, все радует, качество картинки супер, вот только по усб не понятно!  Можно ли прошить его чтобы с усб можно было видео смотреть????  Если да то подскажите как это сделать!!!</t>
  </si>
  <si>
    <t>2942</t>
  </si>
  <si>
    <t>Из за отсутствия пиар акций и неоднократного переноса релиза, об этой игре практически никому неизвестно.    Но это действительно ЭПИЧНАЯ игра.     рекомендую всем людям имеющим чувство юмора    Геймерам к прохождению обязательна.</t>
  </si>
  <si>
    <t>У меня Philips - можно сделать нормальное изображение без обрезания краев, даже оригинальное "квадратом".</t>
  </si>
  <si>
    <t>1967</t>
  </si>
  <si>
    <t>Пылесосы этой серии мощнейшие и думаю, пока что нет каких-либо циклонников, конкурирующих с ними.  Пылесосом пользуюсь уже больше полугода. Доволен невероятно как.  Плюсы:  1) НЕреально мощный. Обычно пылесосим только на 2-ой мощности, а их 5!!   2) Решили проверить насколько хватит емкости. Не очищали пока не зазвенит. Пылесосили раз в неделю 3-х комнатную квартиру. Не выкидывали пыль из него месяца 3-4 !!!  3) Очень удобен и легко моются все компоненты.    Минус (возможно лишь в этой модели) - турбощётка не продумана =(    И практические замечания:  1) Выдает достаточно нагретый (но чистый) воздух, это пылесос не с аквафильтром.  2) НЕРА 13 фильтр не моющийся, но его и не надо мыть!!! До него долетают микро частицы пыли, и он забьется только лет через 5 интенсивного использования!!    НО!!! НО:    Создатели не продумали один из фильтров и из-за этого пылесос перегревался очень быстро и вообще перестал пылесосить!!! ВЫХОД ЕСТЬ!!!    Инструкция:   1) Выньте все фильтры.  2) В пластиковой коробке с сеточкой (где находится паралоновый фильтр) нужно аккуратно оторвать верхнюю часть сетки (она двухслойная). Это можно сделать скальпилем или ещё чем-то острым или иным способом.  3) После этого пылесос вернётся в прежнее состояние!!!!    Надеюсь вам поможет данный отзыв в выборе пылесоса!! Если циклонник - то только - этот (этой серии и чем дороже тем лучше ;) )!!!</t>
  </si>
  <si>
    <t>Отличный холодильник. Замечательно сохраняет продукты, очень удобный для хозяйки. тихий и красивый. Я в него влюблена...</t>
  </si>
  <si>
    <t>781</t>
  </si>
  <si>
    <t>Купил, пользуюсь неделю, когда в доме кот и собака, пылесос с мощностью всасывания 550w просто незаменим, по этому критерию и выбирал. После уборки немного вспотел, а у жены пресс заболел))) сложновато пылесосить ковёр на максимальной скорости)).   Вопрос! Зачем переключатель на самой турбощётки? Визуально он дублирует режимы как и на корпусе пылесоса (паркет, ковёр и.т.д.), но при переключении ничего визуально не меняется. И менеджеры в магазине не смогли это объяснить, никто не знает. Кто в курсе, подскажите. Может у меня щётка бракованная!? :(</t>
  </si>
  <si>
    <t>Пользуемся этой моделью около двух меясцев. В целом модель хорошая, если правильно располагать посуду, как указано в инструкции, а не стараться напихать посуды побольше и в другом порядке, т.е. не класть кастрюли вначале машины у двери, то проблем не возникает, все отлично отмывается, пользуемся средствами 3 в 1.    из минусов: расположение противней из духовки-влезают с трудом в широкие ячейки для тарелок, в общем, ячейки раздвигаются и лист помещается, но ячейки могут, наверное, со временем сломаться, насадку для противней использовали, моет с ней отлично.     на счет ее бесшумности, это громко сказано, наша старая стиральная машика, которой лет 5, так та на много тише, хоть и квартира у нас не маленькая, но посудомойка эта очень громкая, обычно ставим мыть посуду на ночь, так заснуть невозмножно, если она работает, используем отсрочку запуска, очень помогает.  Еще тарелки с большим диааметром и глубиной в ячейки для обычных тарелок не помещаются, так что их приходиться мыть отдельно, т.е. запускать машину на половину пустой.  также цикл мытья посуды достаточно долгий, если мыть в  автоматическом режиме, то это минут 140, т.е. больше 2-х часов. если поставить режим быстрой мойки, то посуда плохо промывается, может это от средства для мытья зависит, но пока другие не пробовали.  еще бывает посуда не до конца просыхает, капельки остаются, но для меня это не критично.  НО САМОЕ ГЛАВНОЕ, что все эти минусы заполняет один большой плюс, что мыть посуду не руками и экономится масса времени, и посуда стала намного чище, особенно кастрюли и сковородки с накопленным нагаром за многие годы, чем раньше!!!</t>
  </si>
  <si>
    <t>Игра супер!!! захватывающий сюжет, неожиданные повороты, хорошо проработанные персонажи и отличный геймплей делают игру лучшей и неповторимой! Покупайте, не пожалеете!</t>
  </si>
  <si>
    <t>Отличные наушники, переслушал много вариантов. Звук четкий, мягкий. Сами ракушки удобные, что немаловажно, они очень легкие.</t>
  </si>
  <si>
    <t>Играет, проблем не доставляет</t>
  </si>
  <si>
    <t>Работает тихо, крутит в обе стороны (что позволяет наиболее полно выжимать сок), легко разбирается и моется. В общем отличное сочетание цена-качество.</t>
  </si>
  <si>
    <t>Купил позавчера. На 46-дюймовом телевизоре samsung даже windows с тормозами. Фильмы в HD-формате смотреть невозможно. Не знаю, как там в Хабаровске, но когда пошел в магазин обменивать на стационарный компьютер, продавцы удивились, зачем я приобрел Revo. Сказали процессор Atom вообще с HD не справляется!</t>
  </si>
  <si>
    <t>1190</t>
  </si>
  <si>
    <t>Заказала по акции, привезли домой сегодня. Пока меня все устраивает! отличая мощность всасывания!!красивый! удобно извлекается контейнер!и еще бюджетный!довольна на все 100!</t>
  </si>
  <si>
    <t>Холодильник купили на съемную квартиру, основным критерием конечно была цена плюс еще скидку сделали. Вообщем не пожалели, работает отлично, места не много занимает на кухне, вместительный. Короче, проблем с ним нет, думаю, что и на новую квартиру поедит с нами))</t>
  </si>
  <si>
    <t>Стоит своих денег: красивый, хоть это и не самое главное, хорошо скользит, хорошо парит, оптимальный вес, крышка для залива воды  слабовата, но при условии бережного отношения прослужит как и сам утюг. Мощный, устойчиво стоит вертикально. Шаровое крепление шнура не мешает. Вертикальное отпаривание - неудовлетворительное, не знаю, что им можно отпарить. В целом это лучшее за эти деньги!</t>
  </si>
  <si>
    <t>35</t>
  </si>
  <si>
    <t>Вчера купил на Чонгарском этот ноут.  Просто великолепный ноут! Тем более за такие деньги.  Очень удобный тачпад.   В игры я не играю, но сегодня детки попробуют что-нибудь- обязательно отпишусь.  Успел попробовать фотошоп (CS1) и корел. Работать комфортно.   Из недостатков (для меня лично)- отсутствует IEEE1394 и слот ExpressCard. Но это может быть критично только для тех, кто собирается видео с цифровой камеры закачивать.</t>
  </si>
  <si>
    <t>Взял себе такие наушники, очень доволен. До этого были Panasonic RP-HJE170 (~900р, сгорело левое ухо), на компьютере пользуюсь Sennheiser HD 215 (~3000р), поэтому есть с чем сравнивать. Бас держат хорошо, с высокими всё в порядке, не знаю уж что там Павла из Севастополя не устроило)Конечно это не AKG и не Shure какие-нибудь, но свою цену оправдывают, даже более чем. Единственное что "родные" двойные резинки мягко говоря не очень, с ними звук какой-то не естественный, пластмассовый, но в комплекте идет еще 3 пары одинарных резинок, поэтому это не проблема. Очень доволен, всем советую) Берите, не пожалеете)</t>
  </si>
  <si>
    <t>Менеджер магазина посоветовал купить Bosch. Пришли домой и сразу разочаровались. Не пропечатываются цифры. Думали дело в батарейке. Купили, ситуация оставалась прежней. Поедем обменивать.</t>
  </si>
  <si>
    <t>Печкой довольны! Очень компактная. Прекрасно получаются в ней запеканки, горячие бутерброды. Удобно, что можно выбрать три режима: печь сверху, снизу и со всех сторон. Правда объем маленький, большой противень не влезает, но для небольшой семьи в самый раз. А еще когда первый раз готовили, она задымилась и завоняла. Но потом все было отлично.</t>
  </si>
  <si>
    <t>Отличная хлебопечка!!!! Только у меня модель BM350. Пользуюсь почти 2 года. Пропекает и допекает отлично. А мерным стаканчиком я только воду наливаю. Весами же не пользуюсь вообще. Я привыкла на глаз, а если не досыпаю, то смотрю по комочку. Чтоб мука не оставалась пользуйтесь лопаточкой.  И я полностью согласна с Татьяной про руки не из того места!!! Если они не от туда, то никакая другая модель не поможет!!!</t>
  </si>
  <si>
    <t>Аппарат отличный, пришлось поковыряться с неделю, что бы разобраться с настройками и возможностями, но когда разберёшься со всеми примочками, то аппаратом только наслаждаешься. Нормальный такой, я бы даже сказал "брутальный" дизайн. Наличие wi-fi, очень необходимо, когда выбирал, то была дилемма Acer101 взять или Rover v7. В Acer101 нет wi-fi, выбор пал на Rover. За 2 месяца пока пользуюсь не разу ни "глюкнул и не завис". Тем, кто думает, рекомендую, за такие деньги аналогов просто нет!!!</t>
  </si>
  <si>
    <t>При переезде на новую квартиру,он потек при установке,отдали на гарантийный ремонт,оказалось техническая неисправность,обменяли на новый после 2-х лет использования,новый дали с сенсорной панелью и пультом управления,замечаний никаких нет,работает отлично уже 6 лет.Друзья тоже купили этой же фирмы только на 30л,тоже довольны,советую всем.</t>
  </si>
  <si>
    <t>Пользуемся на работе уже года 2, претензий нет :)</t>
  </si>
  <si>
    <t>Пользовался этим телевизором чуть больше года. Как только закончилась гарантия сгорел. Ремонт стоит примерно 17000 рублей (14000плата + работа). Почитал на форкмах, оказалось что у них это болезнь.   Не покупайте!!! очень плохой телевизор!!</t>
  </si>
  <si>
    <t>Отличная покупка, всем советую. Пользуюсь пол года, нареканий нет. Большой плюс - мойка при 70-ти градусах. Отмывает практически все, что может отмыть посудомоечная машина. Сушит тоже на уровне. Важно только наловчиться укладывать посуду правильно, чтобы все хорошо отмывалось и сохло. Мою в ней практически все - одни плюсы: свободное время, идеально чистая посуда, все время чистая кухня без видимого скопления грязной посуды. Проста и удобна в использовании. Всем сомневающимся один совет - берите не пожалеете.</t>
  </si>
  <si>
    <t>2015-06-26</t>
  </si>
  <si>
    <t>Вентилятор,действительно,почти похож  на кондиционер,если его направить прямо,а если когда вращается, то обдувает менее прохладно,то есть как вентилятор уже.На 2-ой и 3-ей скорости можно охладиться,даже,во время обморока, так как жара в Волгограде, как в Африке.Супер-вентилятор! Работает более 2-х лет.</t>
  </si>
  <si>
    <t>стильная вещичка,которая ещё и вес показывает)) пользуемся 3 года,пока не сломали))</t>
  </si>
  <si>
    <t>Очень довольна покупкой! Места занимает мало, мыть легко, работает быстро! Рекомендую!</t>
  </si>
  <si>
    <t>2013-11-29</t>
  </si>
  <si>
    <t>Пользуюсь чайником уже несколько лет, нравится, что поворачивается на 360*, удобно брать любой свободной рукой, нагревается быстро, шум совершенно не беспокоит - не скажу, что он такой уж шумный, удобная ручка - даже для моей небольшой руки, накипь появилась только через год, легко отчистилась стоило лишь его вскипятить с ложкой лимонной кислоты и оставить на 2 часа - вновь блестящий нагревательный элемент и белоснежный внутри, лично я работой его довольна. И с весом тоже все в полном порядке. Собираюсь купить такой же на подарок. Единственное у меня с одной стороны поехала краска на буквах Philips - но это так незначительно, когда все остальное хорошо. Запаха пластмассы нет, даже если оставить воду на ночь. Лично я советую цена-качество - все есть. А индикатор включения и ни к чему - ведь на кнопке указано (0)или(I)- все понятно, когда включен, а когда нет.</t>
  </si>
  <si>
    <t>Купил щетку. Дома обнаружил неполную комплектацию, не было насадки. Хотя в комплекте она числится. И продавцы уверяют что весь товар проверен. Проверяйте комплектацию. А в остальном неплохое качество за небольшие деньги.</t>
  </si>
  <si>
    <t>Сегодня купили этот чайник по акции. С первого взгляда понравился. НО: У него такой короткий провод, что мужу пришлось вырезать другую дырку в подставке, чтобы провод не так был натянут. Это у нас далеко не первый чайник - такого короткого провода я еще не встречала. Очень неудобный момент.</t>
  </si>
  <si>
    <t>Проработал примерно 20 минут. Дольше вообще ни на что не реагирует. Не перегревался, не вскрывался, тупо включил я его в розетку, прошло 20 минут и теперь не работает. Scarlett такой Scarlett... Не берите даже под дулом пистолета, всё равно скоро пойдёте менять или сдавать в ремонт.</t>
  </si>
  <si>
    <t>тихая и не вибрирует</t>
  </si>
  <si>
    <t>Спустя год, после покупки сего агрегата, решили написать отзыв.   Пылесосом пользуемся год, влажную уборку делаем (моем ковер), раз в месяц(маленький ребенок, поэтому часто). Очень довольны, ковер белеет на глазах, насчет сухой уборки, как и все обычные пылесосы, разницу не заметили, но это не важно так как для сухой уборки есть маленький бытовой. В целом советуем берите не пожелеете. Особенно если есть маленький ребенок.  Из недостатков на наш взгляд, маленький резервуар для чистой воды, хватает только на один ковер. И нет электро выбивалки как у борка, даже не возможно купить его отдельно.</t>
  </si>
  <si>
    <t>Очень доволен покупке! Комплект хороший - супер игра + карта 8Gb, управление отличное, время работы аккумулятора радует! Не жалею потраченных денег!</t>
  </si>
  <si>
    <t>вещь супер!!!!!! пользуюсь сама 4-й год, даже вчера купила в подарок родителям, вот только в комплектации отсутствует крепление на стену и крышка к стакану!!!! хотя на сайте написано что должно быть!</t>
  </si>
  <si>
    <t>Печет отвратительно. Хлеб получается через раз. Делаю строго по рецепту. Даже купили электронные весы - все до грамма взвешиваем. Меняли дрожжи - без результата. Я не довольна. Этих денег она не стоит.</t>
  </si>
  <si>
    <t>Очень хороший экземпляр. Эфир показывает на честные 4+, 4+ потому что бюджетный вариант, а в своем классе чистая 5, но опять же у меня хороший сигнал с антенны...  С компа просто замечательно! теперь надо беспроводную периферию покупать и на диван в инете серфить...    В целом я больше, чем доволен, видел соньку бюджетную - она даже ни в какое сравнение не идет с этим агрегатом!    Если кто выбирает в данном ценовом диапазоне - то, на мой взгляд, это лучший вариант, а у М.Видео и ценник замечательный, аналогичные в др. магах на 3-5 тыров дороже.</t>
  </si>
  <si>
    <t>Отличная машинка, за такую цену!) Хорошо справляется со своей задачей!))</t>
  </si>
  <si>
    <t>Пользуюсь больше 1,5 лет, очень довольна. К этой Зуб. щетке подходят разные насадки. Маленькой насадкой очень удобно чистить труднодоступные места. После чистки ощущение, что забки чистенькие и блестят!</t>
  </si>
  <si>
    <t>3149</t>
  </si>
  <si>
    <t>Вобщем телевизор хороший, купил его полтора месяца назад, пульт удобный, настройки тоже интуитивно понятны, а отключить звук при включении и отключении можно из основного меню, почти в конце спика. Я тоже, когда первый раз включил его, напрягал звук. Потом нашел настройку и отключил его. Фильмы от ноутбука смотрю, звук вывел на ресивер через дополнительный выходы аудио. Скоро подцеплю спутниковое телевидение, чтобы качество каналов радовало. А то на обычной антенне "снег и въюга"  Телек советую прикупить - и дизайн и функционал устраивает.</t>
  </si>
  <si>
    <t>Пользуюсь уже 1,5 года работают идеально. Использую постоянно. Случайно один раз упали в воду,я думала все сломались, но через сутки включаю, они как ни в чем не бывало, работают.</t>
  </si>
  <si>
    <t>Отличный аппарат, стильный и элегантный дизайн,приличная функциональность. Для дома и офиса - идеальный вариант.    Из недостатков, только то, что далеко не всегда можно подключить АОН и передачу СМС, в этом случае предпочтительней более простые и дешевые модели.</t>
  </si>
  <si>
    <t>Я брал только из-за понравившегося корпуса и металлического ободка</t>
  </si>
  <si>
    <t>Ужасное качество.После монтажа пишет-ошибка Ф6(не работает внутренний вентилятор).Не известно-сколько мучиться с гарантийкой.Так как я понимаю-эта модель снята с производства.Урок мне-то что дешево-так и работает.</t>
  </si>
  <si>
    <t>Низких частоты практически не слышно.(очень слабый бас). Лучше не экономить, добавить рублей 200 и купить что-то более качественное.</t>
  </si>
  <si>
    <t>458</t>
  </si>
  <si>
    <t>Устав протирать футболкой или другой тканью линзу фотоаппарата (видеокамеры), решил приобрести этот Чистящий карандаш. Чистит качественно, удаляет грязь, пыль, жирные пятна. Линзу не царапает. Я доволен.</t>
  </si>
  <si>
    <t>Чайник не понравился, термостат работает отвратительно, если нужно вскипятить воду несколько раз подряд, подливая холодную воду, чайник не включается. Через 5 месяцев чайник сдох окончательно.</t>
  </si>
  <si>
    <t>2489</t>
  </si>
  <si>
    <t>Красота! Скоро год, как мы ее купили и вытяжка только радует своей производительностью)) Ее очень просто использовать, в управлении отсутствуют всякие ненужные навороты, все предельно ясно и даже без мануала можно понять принцип ее работы. Хорошо вписывается в любой интерьер, в нашем случае покупалась под деревянную кухню и выглядит в ансамбле с ней очень красиво))) Заметила, что реже стала протирать кафельные стены вокруг рабочей поверхности плиты - жир просто улетучивается после приготовления еды, кроме этого запахи тоже убирает на ура, особенно после жарки рыбы или мяса. Шум на первой скорости не беспокоит, но двойка и тройка уже громче работают, впрочем, звук вполне терпимый. Из недостатков только отпечатки пальцев на самой поверхности вытяжки беспокоят, но кроме этого все отлично))</t>
  </si>
  <si>
    <t>Купила и сразу подумала, что она бракованная. Меняла средства-результат тот же. Мыла плохо, остатки порошка, крышки от суповых кастрюль - все в налете. Т.к.брать в магазине на экспертизу отказались, сдала сама. Результат экспертизы-исправна. Так вот и стоит уже 2 года, пользуюсь очень редко, потом споласкиваю повторно. До сих пор горечь от выброшенных денег на ветер!</t>
  </si>
  <si>
    <t>Отзыв - все очень просто, как этот нож. Годится ровно на 1 раз. Убил 2 ножа с верой в теорию вероятности, но чудес не бывает.  Итог - не рекомендую покупать, нож низкого качества.</t>
  </si>
  <si>
    <t>3029</t>
  </si>
  <si>
    <t>Для K-7 с 50-135 пришлось переделать нижний отсек, сверху уместился макрик.  Этот рюкзак подходит больше для раздельной транспортировки тушки и объективов.</t>
  </si>
  <si>
    <t>2938</t>
  </si>
  <si>
    <t>Покупали эту стиралку в подарок брату на свадьбу отличная машинка,ему с женой очень понравилась она у них уже пол года ни каких поломок не было!</t>
  </si>
  <si>
    <t>163</t>
  </si>
  <si>
    <t>Почти бесшумный, 1, 2 и 3-я скорости почти ничем не отличаются при повороте влево до конца слышен небольшой щелчок, вправо щелчка нету, может собрал неправильно? Если без поворота пользоваться, то можно спокойно под него спать, не заметите шума никакого!</t>
  </si>
  <si>
    <t>Купил данный девайс в феврале, пользовался не часто, но когда пользовался, то впечатление супер, на ДР пару батонов колбасы, полкило грудинки, пару батонов хлеба и еще сыр были нарезаны очень быстро, без лишних крошек и тд, притом кусочки все ровные. Разбирается быстро, моется тоже.</t>
  </si>
  <si>
    <t>Кто нибудь знает про разъем на задней панели WIRELESS CONTROL?  что это такое и для чего он?</t>
  </si>
  <si>
    <t>1120</t>
  </si>
  <si>
    <t>После ремонта кухни решили непременно обустроить ее вытяжкой, чтобы свежевыбеленные стены не темнели из-за гари, меня лично эта модель привлекла дизайном - смотрится богато и красиво, ничем не хуже дорогущих вытяжек от раскрученных брендов! Козырек стильный и отлично покрывает рабочую поверхность плиты, протестировала покупку жаркой котлет - в кухне запах практически не чувствуется, а дыма вообще нет))) Со своей задачей однозначно справляется на отлично, скорости у нее очень мощные - единички обычно достаточно, чтобы пар с кипящих кастрюль вытягивать, а двойку и тройку включаю всегда при жарке. Гудит она не очень тихо, но меня этот шум вполне устраивает, главное, что на кухне с ней чисто и запахи уходят)) Единственное, лучше ее не протирать мокрой тряпкой - мгновенно остаются разводы, но еле влажной в самый раз, тогда аккуратней смотрится.</t>
  </si>
  <si>
    <t>Купила на День рождения маме в придачу к кофеварке. Великолепная вещь для всех любителей и ценителей кофе! Кофе помолола просто великолепно! Что самое важное, можно самим выставить степень помола: мелкий-средний-крупный. Нажал на кнопку и все готово!  Покупкой довольны, советую всем!</t>
  </si>
  <si>
    <t>Не понравилась, хочу побыстрее поменять.  Минусы:   1) Нагреваются ручки, кто-то писал что не возможно обжечься это не правда! я обожглась, а если есть дети вообще легко могут обжечься.  2) Большая комфорка расположена ближе к стене, у нас пластиковая панель начала плавиться.  3) Кастрюли действительно не помещаются.  4) После 5 мес использования стал заедать поджиг.  5) Чугунные панели мою постоянно.Приходится тереть спец. средствами.</t>
  </si>
  <si>
    <t>Печет отлично, есть звонок через определенное время и таймер, который сам включает и отключает духовку. Удобны также телескопические направляющие-когда проверяешь готовность не нужно ставить на стол. Получили все, что хотели за хорошие деньги!</t>
  </si>
  <si>
    <t>Конечно всем понятно, что за бренд HP ты уже платишь больше, чем, допустим, за Самсунг. Я очень рада, что купила за 19900 такой ноут (сравнить  с другими брендами - на данный момент даже Е-Машинс не купить с такими параметрами, хотя Е-Машинс рядом не лежал с НР).  Но НР давно пора подумать о дизайне своих компов - не стоит засыпать на своих лаврах, всегда найдется более прыткий соперник.    Людмиле из Пушкино:  продавцы правду никогда не скажут, т.к. они ее не знают - они такие же как мы с тобой простые ЮЗЕРЫ. и ты права, сначала проконсультируйся с профами. У НР с дровами всегда проблемы. НР на дровах делают дополнительный приработок.</t>
  </si>
  <si>
    <t>В целом хороший светильник ,минус пластиковая ножка, которая немножко кажется не устойчивым ,остальное цена комфорт все хорошо.</t>
  </si>
  <si>
    <t>2856</t>
  </si>
  <si>
    <t>у меня обе консоли ... так что завидуйте все))))</t>
  </si>
  <si>
    <t>Хорошая флешка, качеством доволен.</t>
  </si>
  <si>
    <t>3220</t>
  </si>
  <si>
    <t>нормальный системник для инета и офиса..маленький тихий..не греется..</t>
  </si>
  <si>
    <t>2235</t>
  </si>
  <si>
    <t>плеер отличный звук ОК! только наушники не очень но так всё ОК!</t>
  </si>
  <si>
    <t>Пользуюсь этим феном более 3 лет,всем довольна,собираюсь дарить маме на новый год!</t>
  </si>
  <si>
    <t>у меня тоже до этого был сесорный телефон,но я с удовольствием поменяла его на этот.этот аппарат у меня уже полгода и ни разу не подвел.GT-S3600 - отличная модель!!!</t>
  </si>
  <si>
    <t>2015-09-16</t>
  </si>
  <si>
    <t>Приобрел данный аппарат по причине выхода из строя старого утюга с парогенератором (тоже тефаль был).  Плюсы: удобная съемная ёмкость, понравилось что шнур убирается внутрь корпуса, пар выдаёт хорошо, достаточно тихий (прежний утюг был гораздо шумнее).  Минусы: всетаки шнур бы немного подлиннее, а так все в норме</t>
  </si>
  <si>
    <t>Купил сегодня этот ноут, сам правда не очень разбираюсь, хотел купить lenovo y450 оказался последний и тот образец.) По всему городу не было, увидел этот образец, тестирую, через неделю напишу.</t>
  </si>
  <si>
    <t>Купил неделю назад. Очень доволен. Тюнер хороший, работает от антенны. Цветопередача отличная, больше всего нравится большой угол обзора.</t>
  </si>
  <si>
    <t>Приобрел недавно себе этот Десктоп.  Очень доволен, идеальное соотношение цены и качества. Все игры идут на Максиме и не тормозят. Просто замечательная видео карта, Nvidia  как всегда порадовала.  Что касается работы тянет очень много процессов и не глючит. Просто идеален для просмотра фильмов с поддержкой звук Dolby Digital. Даже на самых старых колонках выдает очень качественный звук благодаря Dolby Home Theatr.  Плюсы: Отличный процессор, новейший тип Оперативной памяти DDR3, Dolby home theatr, Карт ридер, читающий самые популярный форматы Флешек, бесшумные куллера и отличная система охлаждения.Гигантский объем видео памяти.  Минусы: Видеокарта-DDR2,Windows Vista, с которой несовместимо ни одно приложение, из-за чего происходит много конфликтов.  P.S Пожелания Асеr. Дорогая компания, НИКОГДА больше не ставьте на свои Дестктопы ВИСТУ!! Поставьте СЕМЕРКУ сделайте людям приятное!!    С Se®gio не согласен. Десктоп совсем не слышно.</t>
  </si>
  <si>
    <t>2630</t>
  </si>
  <si>
    <t>Подарили чайник сегодня. Крышка не фиксируется, на дне после первого кипячения появились точки ржавчины. И вроде присутствует запах. Жалко, придется покупать новый!</t>
  </si>
  <si>
    <t>3164</t>
  </si>
  <si>
    <t>Стирает и отжимает отлично,в работе почти не слышна.Да плюс прямой привод на электродвигатель.До этого была стиралка LG intellowasher отработала почти 10 лет и работает до сих пор меняли только нагревательный элемент, т.к. вода слишком жесткая, а антинакипин не добавляли. Исходя из этого и при покупке выбрали снова  LG.</t>
  </si>
  <si>
    <t>Тихая, узкая, недорогая. грузоподьёмная-5кг, что ещё надо для дома. Я доволен...</t>
  </si>
  <si>
    <t>При первом включении гриля расплавилась дверца с внутренней стороны.</t>
  </si>
  <si>
    <t>2587</t>
  </si>
  <si>
    <t>сегодня купили, очень легкий, красивый, а главное мощный, но мешков в комплекте правда всего два оказалось, но это не беда, главное пылесос хороший!!!!</t>
  </si>
  <si>
    <t>Буфер просто прекрасен слушаю его уже 3 месяц нечего не ломается все держится отлично. Соседи жалуются))Буфер на максимум ставить боюсь, но колонки могли бы сделать получше, а буфер отличный!! в общем 5+</t>
  </si>
  <si>
    <t>цена-качество, сенсорный экран с индикацией режима работы и температуры воды, встроенный таймер,часы, зуммер. 2тэна. Внешний вид, плоская форма. Автоматически поддерживает заданную температуру</t>
  </si>
  <si>
    <t>Купил, установила другая фирма, так как в М.Видео нет установки (по крайней мере в нашем городе). Кондиционер суперский, свою работу выполняет отлично, внутренний блок тихий, в спальне стоит Электролюкс-он почему-то громче работает, хотя 7-ка по мощности. Внешний блок пластмассовый, жалко, что экран на пульте не имеет подсветки.Установщики сказали, что аппарат с лихвой прослужит лет 5</t>
  </si>
  <si>
    <t>Был приобретен 15 лет назад. И до сих пор как новый, хотя эксплуатировался много и долго (везде в квартире ковролин и плитка). Только сейчас муж от видимо большого старания сломал (треснул по ребру жесткости) патрубок. Воды действительно многовато, но сохнет за одну ночь весь ковролин. Шумноват. Коментарий Арсена просто рассмешил - это как же надо "актывно" пылесосить квартиру, чтобы такая тушка заваливался на бок)</t>
  </si>
  <si>
    <t>Коммуникатор ужасный. Памяти мало. Если открыта аська, то стоит запустить навител или браузер, то аська закрывается. Всего 2 прошивки от производителя. Камера - лажа, связь неустойчивая, ловит сеть плохо, часто пропускает вызовы, слышно плохо, очень тихий динамик, корпус из отходов - менял уже дважды. клавиатура стирается через 6 месяцев, всё что блестит - облазит через месяц, встроенный софт глючный, будильник иногда зависает и отключить его можно только вынув аккумулятор. Боюсь места не хватит чтобы все глюки перечислить.</t>
  </si>
  <si>
    <t>машинкой пользуюсь около двух лет. Один раз глюканула и не открыласькрышка под порошок ,во время работы.если у вас позволяют размеры кухни ,то купите лучше полноразмерную машину,влезет гораздо больше посуды за одну мойку.за всё время эксплуатации так и не разу не пользовались насадкой для противней,хотя выбирал именно с этой насадкой.</t>
  </si>
  <si>
    <t>пылесос очень хороший,для дома больше и не надо.Купила себе,посоветовала всем родным и они тоже приобрели.Всем очень понравился.Советую всем!!!</t>
  </si>
  <si>
    <t>ноут просто супер</t>
  </si>
  <si>
    <t>Классный утюг,очень нравится! Глажу детские вещи.Маленький,легкий и удобный! Берите,не пожалеете!!!</t>
  </si>
  <si>
    <t>Сегодня прикупила. Уже опробовала. Мне очень понравилось. Действительно волосы как после парикмахера! Хотя у меня и длинные. думаю что для каре вообще не заменимы! Да и цена сейчас радует! Еще и маме нужно прикупить!</t>
  </si>
  <si>
    <t>У меня ножик не треснул. Но затупился за год. В принципе при моем активном использовании это нормально. Обычные ножи на кухне за это время тоже превращаются в нечто...</t>
  </si>
  <si>
    <t>в общем говорю всем сразу, этот телефон для ВИП-персон, но он стоит своих денег, все в нём отлично, только динамики похрипывают, (но это нормально, у всех современных телефонов всегда не очень хорошие динамики,) ну а вот на аккумуляторе производители не сэкономили!    советую всем, кто может купить телефон за эти деньги!</t>
  </si>
  <si>
    <t>Шикарная вещь.</t>
  </si>
  <si>
    <t>Месяц как купил,очень даже доволен.(метро 2033 просто летает,call of duty не пробовал)</t>
  </si>
  <si>
    <t>2016</t>
  </si>
  <si>
    <t>Тоже взял себе недавно. ТОлько 1 проблемка. При запуске bluetooth, ничего видимого не происходит, но процесс появляется в оперативной памяти. Дрова вроде как стоят(вообщем ничего не менял с момента покупки). Что-то неправильно работает или я просто делаю что-то не так?</t>
  </si>
  <si>
    <t>Тихая, Хорошо стирает, Удобное управление, Двигатель, Вместимость.</t>
  </si>
  <si>
    <t>683</t>
  </si>
  <si>
    <t>Сам я пользуюсь смартом уже порядко больше 1,5 года и никаких нареканий, ну если только что заряд батареи держит слабовато. Обновился до 5.0 стало  на пару плюсов лучше, НО! изменилась привычная тёмная тема на более светлые тона. Фотокамера супер, если руки заточены под фото, если под рукой нету зеркалки, то сфоткать можно. Игры бегают на отлично без тормозов и всяких багов. Так что советую всем брать, тем кто решился брать именно эту модель.</t>
  </si>
  <si>
    <t>Купил такую бритву месяц назад.Супер,всем доволен.</t>
  </si>
  <si>
    <t>Купили 1,5 года назад, все устраивает, температуру и влажность измеряет отлично. Прогноз погоды конечно больше маркетинговый ход, чем работающая функция, совпадает 50 на 50. Кстати, о батарейках, читал, что внешний датчик не будет работать на морозе с обычными батарейками, купил первые попавшиеся в МВидео, приятно удивлен: пережили 2 зимы без проблем, при том, что месяца 3 температура стояла -35, -40 градусов. А светодиод "Ice alert" ничего особенного не делает, он просто моргает в диапазоне от +2 до -2, так и в инструкции написано</t>
  </si>
  <si>
    <t>Самый мощный из компактных фенов, которые были представлены: купила, руководствуясь именно этим, плюс в комплекте сумочка для переноски, также оснащен отключением при перегреве, предыдущий фен сгорел именно потому, что этой функции не было.</t>
  </si>
  <si>
    <t>2684</t>
  </si>
  <si>
    <t>месяц выбирала машинку, так намучалась : все сайты облазила, все отзывы прочла, замучила всех продавцов в городе (меня уже в лицо узнавать стали)))и все почему?хотелось выбрать машинку так чтобы надолго, так чтобы функций был оптимальный набор и чтоб цена не запредельная... остановилась на самсунге и лыже..Лыжа, ну та которая с прямым приводом, у многих знакомых стоит, все счастливы и довольны, в один голос твердят - покупай не пожалеешь...но вот как-то насчет нее меня все равно сомнения мучали - а что ждать от этого прямого привода? а вот  электроники многовато напичкано для корейской-то машинки..вообщем решила, что разница в машинках не стоит 4-х тысяч и взяла самсунг)))(пусть конечно, в лыже и больше режимов,но согласитесь,ведь большинством из них никто не пользуется). моя первая стиралочка, моя подружка самая любимая, я осталась довольна! проста в управлении, все можно отрегулировать,большой объем загрузки,ну и всякие там керамические нагреватели, защита от скачков напряжения,и протечек вроде) ах,да, и супер-пупер барабан)))))))))))</t>
  </si>
  <si>
    <t>2622</t>
  </si>
  <si>
    <t>Купила недавно, но уже считаю это лучшим изобретением человечества. На счет мощности - у меня короткие волосы (каре), даже на 2 сушит за 10 минут. Укладка получается воздушной, держится весь день. Пока использовала только 3 насадки, и они себя оправдали.</t>
  </si>
  <si>
    <t>Телефончик очень приятный, только не определяет номера... ))) Все манипуляции проделала по инструкции, но результат никакого. Может надо какую то секретную кнопку нажать...</t>
  </si>
  <si>
    <t>Супер вещь!!!!всем советую!о коробке даже не думайте!все за плойкой3!!!!!!!!!!</t>
  </si>
  <si>
    <t>Очень хороший телефон купил год назад прекрасно работает  динамики супер орёт на всю квартиру когда дома единственный из минусов только то что пропал куда-то калькулятор но это ернда т.к его можно скачать</t>
  </si>
  <si>
    <t>Не очень...Корпус хлипкий,кнопки трещат.При одном нажатии на кнопку-вылазят аж три символа.Экран очень маркий.Зависает.Камера плохая.После восьми месяцев захрипел динамик.Девять месяцев-начал сам отключатся при обновлении страниц в нэте.  Не советую.</t>
  </si>
  <si>
    <t>2017-01-03</t>
  </si>
  <si>
    <t>Хорошо стирает, чистое белье</t>
  </si>
  <si>
    <t>1070911</t>
  </si>
  <si>
    <t>Ужасная картинка, что DVD, что кабельное ТВ. Без HD MOTION этот телек отдыхает. Берите лучше Philips 52 PFL 7203H/10, или который 100 гц седьмой серии</t>
  </si>
  <si>
    <t>2013-06-25</t>
  </si>
  <si>
    <t>У меня мультиварка полгода на 4,5 л. Все в ней устраивает ! Хорошо,что не взяли на 2,5л. Каши получаются отличные. Плов первый раз не получился- вышла размазня. В следующий раз налила меньше воды и добавила масла больше,чем написано в инструкции-получилось отлично!Сейчас все рецепты беру с интернета и очень довольна. Готовила рыбу на пару (заворачивала в фольгу)-быстро и вкусно. Тушила капусту с рисом; делала рыбу с картофелем, жаркое с мясом и грибами, мясо по-французски. Все получается очень вкусно! В общем, для всех мультиварка полезная и нужная вещь-и для тех,у кого маленькие дети,и для тех,кто нуждается в диетическом питании,и кому некогда стоять у плиты. А когда ожидаете гостей,то лучше иметь мультиварку на 4,5л. Не пожалеете !</t>
  </si>
  <si>
    <t>Отличный плеер, купила это чудо очень давно,наверно был у меня 2 года или чуть больше,все было прекрасно ничего не ломалось все работало на 5+ но к большом сожалению он у меня упал с большой высоты одна кнопка выпала, корпус стал спокойно сниматься, я его оставила как то в сумке, и мама его постирала вот и настал ему конец.Самый лучший, планирую еше раз купить.Никогда ничего не ломалось и не глючило, в отличии у некоторых!!!</t>
  </si>
  <si>
    <t>788</t>
  </si>
  <si>
    <t>Игра для ценителей игр о ниндзя. Must have. Отличный экшн, много разного оружия. Некоторым приёмам позавидует и мортал комбат.</t>
  </si>
  <si>
    <t>В основном пылесос хороший, но не могу найти запасной фильтр для него!!!! Где только ни смотрел, нигде нет!!!</t>
  </si>
  <si>
    <t>Стирает великолепно, но шумит при отжиме и полоскании словно самолёт идет на взлёт! Очень шумная, хотя установлена на 100% правильно!</t>
  </si>
  <si>
    <t>159</t>
  </si>
  <si>
    <t>Да и ещё! 0.6л хватает на 2 большие кружки! или на 3 стаканчика... На 3-х человек самое то.</t>
  </si>
  <si>
    <t>1361</t>
  </si>
  <si>
    <t>Хорошая машинка, довольна соотношением цена-качество. Правда в первый год использования резинка на барабане растянулась и запуталась (как позже выяснилось- заводской брак), поменяла на такую же новую. Работает как часы уже пару лет. С шумом при отжиме согласна - боюсь взлетит:) Больше нареканий нет. Всем советуют ее, если нет денег на Miele:))</t>
  </si>
  <si>
    <t>Как зеркалку с объективом туда затолкала автор предыдущего отзыва - не понимаю. Сanon SX50 не влез никаким боком. Внутренние размеры оказались меньше, чем написано в характеристиках. Без примерки - не покупать</t>
  </si>
  <si>
    <t>Взял в начале ноября, пока очень даже доволен. Только вот VGA вход так и не заработал, и не работает автоматическая подстройка размера экрана. До этого был PHILIPS 5404, там все с этим было хорошо. Но это мелочи, картинка изумительная особенно красиво прорисовывается природа. DVD показывает на 4+ (хотя опять же зависит от записи и плеера) А вот Блюрей нареканий не вызывает никаких. С FULL HD телевизор справляется на все 5+. Понравился звук, вполне достойная система. Фильм можно смотреть и не включая систему ДК, только вот на громкости больше половины звук немного искажается на низких частотах. Но это опять на при повышенных настройках баса. В линейном режиме эквалайзера таких проблем нет. Я доволен покупкой!!! только для комнаты в 22 к.м. телевизор великоват, ночью устают глаза и освещает все как днем. Даже в режиме экономии энергии.((</t>
  </si>
  <si>
    <t>Сносила таких уже 4 штуки. Меняю не потому, что с наушниками, что-то не так, а потому, что очень активно ими пользуюсь. А прослушивание совмещаю с разными видами деятельности))), словом, САМА ВСЕГДА была виновата в поломках, другие, на их месте, не выдерживают и половины срока.    Наушники просто отличные!!! Совершенно не жаль денег отданных за них, и не к чему придраться.</t>
  </si>
  <si>
    <t>2032</t>
  </si>
  <si>
    <t>Вчера купили такой телефон,вполне достойная модель.Симпатичный, в руке удобный, слышно отлично.</t>
  </si>
  <si>
    <t>За такие деньга печь идеальна!!!! Очень нравится!</t>
  </si>
  <si>
    <t>1537</t>
  </si>
  <si>
    <t>Полностья согласна - эта соковыжималка достойна называться лучшей!!! Радует качество сока, ее внешний вид, а самое главное то, что ее не нужно отключать через какое-то время, чтоб она не перегревалась, в отличии от Филипсов, Муленексов и т.д.! Супер! Я довольна! Спасибо компании Борк за продукт.... и за представителей, опытных и граммотных, в магазинах М.Видео!</t>
  </si>
  <si>
    <t>Пользуюсь каждый день для приготовления пюре ребенку. Удобный, никаких проблем не возникало.</t>
  </si>
  <si>
    <t>1633</t>
  </si>
  <si>
    <t>Купил плеер, думал, что нормальный, классная цена, а вот вам и облом. Музыку слушать можно, а вот видео нет, чтобы что-то переключить надо как минимум 2 раза или сильно нажать. Удалять можно только с компа, заряд маленький, на морозе отрубает звук или совсем вырубается. Звук то из нормального становится слишком тихим, то из нормального слишком громким. В общем не советую.</t>
  </si>
  <si>
    <t>Решили с женой купить хлебопечку. Выбирали долго, но остановились на этой модели. Прочитали отзывы, всем нравится. Приехали в магазин посмотрели, оценили так же внешний вид, функциональность и остановили выбор на ней. Купили вчера и сразу же испекли белый хлеб по первой программе. Хлеб получился поджаристый, хрустящий, ароматный и ОЧЕНЬ ВКУСНЫЙ!!!Аромат был на весь дом!!! Мы очень довольны покупкой. Советуем всем эту СУПЕР ХлебоПечь))))</t>
  </si>
  <si>
    <t>Купил ноут, и был очень этому рад.  Ноут уже около месяца, проблем нету, классный дизайн и содержание</t>
  </si>
  <si>
    <t>2014-09-09</t>
  </si>
  <si>
    <t>Купила данную посудомоечную машину около 2-х месяцев назад. Качество мойки просто отличное!  Но я обязательно засыпаю соль и заливаю кондиционер!!! А что касается сушки, то конечно бывают капли. Но это не критично.</t>
  </si>
  <si>
    <t>В нашей семье этот чайник прослужил 5 (!!!) лет, за это время нареканий не было, воду кипятил, отключался при закипании, ничего не ломалось и не отваливалось. В общем очень надежный чайник))) Пришлось его в этом году заменить, т.к. корпус поизносился слегка, пожелтел, пластмасса всё таки, но этого следовало ожидать за столько лет непрерывной эксплуатации.</t>
  </si>
  <si>
    <t>Купила такой выпрямитель год назад, пользуюсь постоянно и очень довольна, выпрямляют волосы очень быстро и практически их не портит, вообщем всем советую.</t>
  </si>
  <si>
    <t>Духовка очень понравилась. Во-первых, размер внутри. Печет хорошо. Ничего не подгорает.  Недостатки: Во-первых, мелочь, а неприятно. На некоторых сайтах написано, что должны быть 3 противня. А мы купили там два. Стеклянного нет.  Во-вторых, меня очень огорчило то, что я приготовила рыбу (горбушу), в процессе готовки, начал брызгать жир, потом потек по стенке. В итоге он намертво прилип, что никакими средствами его теперь не смыть. И самое обидное, что мыть я ее начала сразу, как только она остыла, а такое ощущение, что не мыла ее год.</t>
  </si>
  <si>
    <t>6 990 руб. для данного аппарата хорошая цена. Работает тихо. Белого налета не замечаем. Воду льем из крана. Фильтр перед первым использованием сутки держали в воде. Не знаю насколько эффективен серебряный стержень, но он есть. Конденсат после некоторого времени действительно сверху образуется, но думаю ничего страшного в этом нет. Сделан довольно качественно.</t>
  </si>
  <si>
    <t>Год назад купил в М-видео ноутбук с тошибой. (Процессор АМД 2,2гГц, ОЗУ=3 гига, двухядерный). Была предустановлена винда домашняя расширенная 7 на 64. Я ее потерял, пытаясь поставить икспи, родной такой и привычный:).Но оказывается размер кластера жестких дисков ноута не поддерживает ХР. Пришлось ставить с диска реаниматора обратно семерочку, но она уже 32 битной оказалась. Потом совсем обвыкся, нашел все программы, которыми работал на икспи, и которые теперь работают и на семерке. Решил поставить 64 битную максимальную. И вот беда, ноут сам по себе время от времени дохнет и обратно врубается. Подозреваю, что АМД перегревается, ибо кулер работает почти всегда на боольших оборотах. У соседа процессор интел, тож 2 ядерный, но оперативки поменьше на гиг. Так я ему полгода назад поставил - он доволен как слон:) Вре работает и дышит жизнью. Так что, те, кто говорит о том, что плохо робит, то скорее всего АМД стоит (хотя, не факт). А те, кто покупают по 14 с половиной кило рублей, я их не понимать:). Интернет завален и сборками и оригинальными версиями и активаторами и все бесплатно. Винда успешно получает обновления, точно так же, как и лицензионная.  P/S: Нет, я не призываю нарушать закон о правах на ПО, но зачем же задирать такие цены на них:). Разве стали бы вылезать пиратские версии на свет, будь майкрософт чуть пощедрее)</t>
  </si>
  <si>
    <t>1760</t>
  </si>
  <si>
    <t>Отличный принтер. Пользуюсь им уже на протяжении месяца почти каждый день. По работе приходится распечатывать большие объемы документов, в том числе и файлы c полихромным наполнением в формате PDF. Из плюсов могу отметить производительность и качество печати, а также достаточно экономное расходование картриджей, особенно если выставлять соответствующий режим в настройках. Бумагу аппарат не «зажевывает». К производителю бумаги непривередлив, хотя я стараюсь использовать хорошую.Значимых недостатков в данном принтере не нашел. Покупкой доволен.</t>
  </si>
  <si>
    <t>Пользуюсь около полугода. Выбрал, потому как привлек дизайн в большей мере, и его характеристики. Недостатков в самом мониторе не обнаружил. Недостаток обнаружился дома в том, что магазине М-Видео(Кузьминки)-не положили никакой инструкции.  А так, всё отлично - рекомендую!</t>
  </si>
  <si>
    <t>Хороший ноут. Шикарная клавиатура. Один из немногих нетбуков с диагональю 12 дюймов, что делает его очень привлекательным. Цена оставляет вне конкуренции.   Время работы скромное: 1.5 - 2 часа, большего требовать с такой батареей невозможно. В остальном - шоколадка.</t>
  </si>
  <si>
    <t>Купил этот телевизор около года назад.  Принёс домой, включил и сразу разочаровался.  Изображение бледное, малоконтрастное, звук моно с одним динамиком - пищалкой, хотя на сайте написано: NICAM стерео, АС 2 x 3 Вт.  Немножко поработал и сразу сломался, полетел блок питания. Починил по гарантии, правда сделали быстро.   До этого был Polar 37CTV4415 (кинескопный),  то же часто ломался, пока была гарантия чинил, а сейчас стоит как не нужный чемодан: то работает - то нет. Временами сам по себе выключается.  Написал письмо на hotline@polartv.ru, не ответа ни привета, полное равнодушие.  Аналогичный телевизор Филипс работает уже 10 лет,  просто включаешь и работает, включаешь и работает!  Как ПРОСТО!</t>
  </si>
  <si>
    <t>Отличный тв.Перепрошил,всё показывает.</t>
  </si>
  <si>
    <t>Купила неделю назад, но уже не подсвечиваются сенсорные кнопки, хотя и работают. а в остальном очень даже устраивает.</t>
  </si>
  <si>
    <t>1364</t>
  </si>
  <si>
    <t>это не Китай, а Корея вообще-то, а Корея в данный  момент хорошие вещи делает. Системник бомба +5</t>
  </si>
  <si>
    <t>Пользуюсь уже полгода. Удобный, компактный, не нагревается и после него нет раздражения на коже.</t>
  </si>
  <si>
    <t>Пользуюсь этой хлебопечкой уже почти полтора года и за это время никаких нареканий не было. Тесто дрожжевое  получается воздушным,а варенье какое...Хлеб  замечательный, правда пришлось подкорректировать пару рецептов. Кто-то тут говорил, что тесто для пельменей получается жидковатым, я с этим не согласна, всё зависит от муки, я наоборот всегда добавляю воды побольше, чтобы не мучить мою помощницу. У некоторых знакомых есть хлебопечки других марок, но они не пекут в них хлеб часто, потому что он им не нравится. Поэтому если решитесь на покупку, то берите эту хлебопечку, не пожалеете!!!</t>
  </si>
  <si>
    <t>2914</t>
  </si>
  <si>
    <t>Взяла подруге на подарок,ей нравится.Подходит для ЛЮБИТЕЛЕЙ. Для профи лучше мощные агрегаты. Любитель мощной штукой и пораниться может,а эта-в самый раз.</t>
  </si>
  <si>
    <t>2014-07-07</t>
  </si>
  <si>
    <t>Вытяжка мощная, но через месяц сгорел мотор...жду ремонта, сижу без вытяжки :(</t>
  </si>
  <si>
    <t>2119</t>
  </si>
  <si>
    <t>Неделю искал бук и это самое хорошое что нашел ... я хотел бы узнать от вас как на ней идут игры к примеру как crysis stalker gat4  и остальные топовые игры</t>
  </si>
  <si>
    <t>симпатяга, много срочек, 5 лапок</t>
  </si>
  <si>
    <t>Плита отличная!!!!!!!!!</t>
  </si>
  <si>
    <t>Фен просто супер. Муж подарил где то год назад. Работает отлично. После сушки волосы шикарные, отлично расчесываются. Не смотря на то, что волосы длинные и густые высушивает достаточно быстро.</t>
  </si>
  <si>
    <t>Всем рекомендую.    Лучший вариант из капельных кофеварок. Прослужила два года. Стала древней и была заменена на новую такую же точно.    Всем рекомендую.    Пейте кофе.</t>
  </si>
  <si>
    <t>Очень мощный аппарат.Тестировал по всем показателям.Ничем не уступает средним ноутбукам.Единственный минус,что нет дисковода.Все имеется.Все работает.Всем доволен.С него пишу.Идут даже игры со средними характеристиками.</t>
  </si>
  <si>
    <t>Низка цена, быстрый нагрев.</t>
  </si>
  <si>
    <t>Из 25 дисков 2 бракованных</t>
  </si>
  <si>
    <t>726</t>
  </si>
  <si>
    <t>Достоинства: Огромный объем, гриль, конвекция, куча автоматических функций.  Недостатки: Размер, придется городить отдельную полку. Также вес, 20 с лишним килограммов.  Печка отличная, греет супер, объем обалденный, очень хорошо для приготовления пицц. Пробовали готовить, кура получилась вкусней чем в мультиварке! Всем советую.</t>
  </si>
  <si>
    <t>Мне тоже не понравилась. Ребенок должен уже разрываться от крика, чтоб на блоке для родителей что-то услышать.. Я разочарована.</t>
  </si>
  <si>
    <t>2011-03-29</t>
  </si>
  <si>
    <t>при просмотре фильмов с внешенго жёсткого диска виснет не реагирует на кнопки приходится выключать из розетки - жалею что купил</t>
  </si>
  <si>
    <t>Популярная модель, у нескольких моих знакомых такая же, нормально готовит, чаша большая, сенсорное приготовление, каши очень вкусные, долго время только их на ней и готовили, но потом освоили и другие блюда, ни разу ничего не пригорало</t>
  </si>
  <si>
    <t>2764</t>
  </si>
  <si>
    <t>Жир и капли легко попадают в отсек с водой, тем самым могут забить водозаборник. В итоге в отсеке с водой плавает жир и кусочки пиши. Поддон для капель не помогает, т. к. в нем есть зазор в центре откуда и попадает жир в водоотсек. Следовательно надо либо размещать пищу таким образом, чтобы центр чашки для варки был не заполнен, либо варить только яйца или т.п.</t>
  </si>
  <si>
    <t>5лет в эксплуатации нет нарекнарнарекание,хром облетел на крышке и шуметь немного начал,а так работаетработает,буду брать такой же</t>
  </si>
  <si>
    <t>Это лучшая на данный момент игра во вселенной Final Fantasy!</t>
  </si>
  <si>
    <t>Очень шумная машинка!!! Это надо быть полностью глухим чтоб нечего не слышать!</t>
  </si>
  <si>
    <t>Купили год назад. Моем плитку в загородном доме. Со своими обязанностями справляется на 5. Качественная уборка без разводов. Очень простая и надежная конструкция (хотя есть нюансы в плане надежности некоторых соединений). Отсутствуют дорогостоящие хитрые фильтры. После уборки моется чрезвычайно просто в отличии от Томасов. Для сухой уборки с аквафильтром последний приобретается отдельно.  Для тех, кто пишет, что оставляет много воды: читайте инструкцию, там написано как правильно пользоваться пылесосом. Участок поверхности необходимо проходить 2 раза: первый с включенной подачей воды, второй с выключенной (сушка).</t>
  </si>
  <si>
    <t>купили печь полгода назад, всем довольны) качество супер!!!советуем всем!</t>
  </si>
  <si>
    <t>Сегодня ровно год как мы купили эту вытяжку. Модель высокого качества. Мне очень нравится что все фильтры в том числе и жироулавливащий можно мыть самостоятельно, кстати они легко извлекаются. Лампочки тоже могу сама поменять, с момента покупки это пришлось сделать только один раз., купили чуть поярче.Вытяжку не могу назвать полностью бесшумной, на второй мощности уже слышен небольшой гул, но он совсем не мешает, а выше поднимать мощность я не вижу смысла. зимой когда не готовлю то включаю ее на режим церкуляции чтобы в кухне было теплее.удачная покупка!родители тоже купили себе такую же модель. надеюсь что прослужит долго.</t>
  </si>
  <si>
    <t>Пользуюсь устройством шесть месяцев. При покупке приятно порадовало количество аксессуаров в комплекте: футляр, две батареи, две зарядки, присоска на стекло, дата кабель, гарнитура, три сменных панельки. Телефон достаточно крепкий, корпус похоже металлический, в руках держать удобно, а задние крышки пластиковые. Падения с высоты метр на асфальт выдержал, ни царапинки. Хорошая громкая связь, очень удобно в машине разговаривать тебя прекрасно слышно. Навигатор выручает, что тоже можно отнести к плюсам. На этом пожалуй все. По части софта это просто беда: очень часто зависает, дня не проходит чтоб не возникали проблемы приходится делать перезагрузку – а это потеря времени. Замучился настраивать режим подсветки там так намудрили, ставишь одни настройки, а он не реагирует. Подсветку экрана яркой можно назвать с большой натяжкой в машине, в помещении видно экран хорошо, но на солнце очень плохо. Навигатор работает не везде. На лобовом стекле нет вопросов, а вот стоит снять и взять его в руки начинаются проблемы, тоже и в зданиях. Есть еще моменты: если берешь его влажными руками то палец попадает на разъем контактов и автоматически происходит включение громкой связи, уже не раз такое было. Иногда громкая связь включается самопроизвольно.  В общем не советую брать такой аппарат, так как недостатков у него гораздо больше чем достоинств.</t>
  </si>
  <si>
    <t>2012-11-01</t>
  </si>
  <si>
    <t>Выжималка ужасная-трещит вибрирует, шумит-от вибрации выскакивают отсеки для сока и отжимок, через неделю отвалилось крепление мотора к корпусу(сделал сам т. к. не хотелось везти в магазин), через 2 недели полностью сломалась! В гарантию даже не повез-так как смысла не вижу-оно опять сломается, полностью пластиковая модель-ни одной металл детали!</t>
  </si>
  <si>
    <t>Вентилятор не стоит этих денег. Заглушки на ножки развалились при сборке. Те которые не развалились пришлось просто снять, так как они не держаться на своих местах. Очень шумит. Если днем шум терпимый, то ночью с ним не поспишь.   Не рекомендую.   Время пользования вентилятором - 1 день.</t>
  </si>
  <si>
    <t>Очень рад, что купил, приставка просто супер, единственный недостаток: жаль что в комплекте не идёт кабель для компьютера.</t>
  </si>
  <si>
    <t>Взял себе сие чудо, народоваться не могу...всем советую !</t>
  </si>
  <si>
    <t>141</t>
  </si>
  <si>
    <t>Обнаружил, что центральный процессор Т6500 2,1 ГГц, а не Т6400 2,0 ГГц и как почитал здесь отзывы, не у меня одного. Конечно я не в обиде, Т6500 немного лучше чем Т6400, но всё-таки как-то странно, что на коробке и на наклейке ноутбука написано одно, а в действительности другое. А ноутбук действительно очень хорош! Успел взять ещё за 28 т.р.</t>
  </si>
  <si>
    <t>Мария, по поводу ICQ не пробовал, но вроде бы все должно быть нормально. На всякий в самом телефоне есть предустановленный менеджер, который поддерживает разные клиенты (в том числе ICQ), uTalk называется. А по поводу различий телефона - в 5620 есть GPS приемник, имеется более "продвинутый" емкостный сенсорный экран, но нет виртуальной "qwerty" клавиатуры. Так же камера всего 3.2, в 5560 5мп. В остальном они максимально идентичны.</t>
  </si>
  <si>
    <t>Купил наушники лет так 4-5. Они мне понравились тем что так долго прослужили,но есть один мину за эти несколько лет один наушник сломался, всё же мне понравились эти наушники и я советую вам брать их.</t>
  </si>
  <si>
    <t>1625</t>
  </si>
  <si>
    <t>сегодня взял эти ушки , очень доволен , они стоят того .</t>
  </si>
  <si>
    <t>2946</t>
  </si>
  <si>
    <t>мясо этот агрегат нормально крутит но вот для овощей, приставка пластиковая не хочет крутить постоянно заедает и вылетает звездочка с оси которая находится в пластиковой приставке, и по поводу 2,5 килограмм я честно не замечаю, 1 кг у меня крутит минут5-7. сожалею что купил такую. единственный плюс хорошо перекрутил "хрен"(корни растения) для приправы.</t>
  </si>
  <si>
    <t>2485</t>
  </si>
  <si>
    <t>Несколько лет назад установил простенькую 5тиканальную систему пионер, но вот беда - саб не выдержал моих испытаний и сгорел. Все менять в планы не входило, потому решил купить саб от Cambridge . Цена на момент покупки была более чем демократичной, еще он по мощности подходил, у меня система на 200вт, не самая мощная, но мне пока хватает. Сабик по размеру совсем небольшой, но низкие частоты воспроизводит на ура. Никаких особых огрехов за ним я не заметил. Слушал тяжелый рок, включал для теста несколько фильмов, саб отлично вливается в общую картину звучания. Экспертом в анализе звука меня сложно назвать, потому ничего плохого сказать не могу. Звук где надо чистый, где надо басы зашкаливают. В общем замена для меня оказалась очень удачной!</t>
  </si>
  <si>
    <t>Если собираетесь приобрести данный прибор для использования, то очень рекомендую!!!Тихо,быстро!Для мам маленьких деток очень подходит!!!</t>
  </si>
  <si>
    <t>Пользуюсь месяц. Выбирала с флэш, зумом для записи детских утренников.Зум достойный, интелл.режим очень удобен; аккумулятор слабый, разрешение слишком мало.Для непривередливых к размеру изображения, народных любителей скрытой съемки - камера люкс!</t>
  </si>
  <si>
    <t>Отличный утюг и внешне смотрится отлично и по функциональности на 5+!А то что пишет Женя видимо просто брак попался у меня лично все работает как надо!</t>
  </si>
  <si>
    <t>Подарили маме на 8 марта, пицца получается шикарная! Не пригорает, моется легко. Единственное, если тесто получилось жидковатым, будет протекать, а еще не очень удобно выкладывать пиццу, в результате образуются пупырышки.</t>
  </si>
  <si>
    <t>Эта игра просто отличная! Интересный сюжет, много новых, проработанных квестов, нового оружия и интересных персонажей (причем даже есть из предыдущих частей!). Вобщем советую всем поклонникам Fallout - думаю теперь раздоры между поклонниками первых двух частей и поклонниками третьей немного поутихнут =).</t>
  </si>
  <si>
    <t>Alexxxan (Москва)  Отличия в дисплеях огромны - в пользу LJ75-JO-101, это и более высокое разрешение, более качественное покрытие экрана. Более продвинутая акустическая система. WEB-камера 1.3 вместо 0.3.  В остальном это полные аналоги. За исключением габаритов и веса.   Насчет комплектации, аналогичны.  Комплектация самая минимальная - руководство пользователя, гарантийный талон и еще несколько бумажек.</t>
  </si>
  <si>
    <t>ФЛешка хороша в деле, никаких минусов в рабте нет!  НО! съемная крышечка частенько теряется :(</t>
  </si>
  <si>
    <t>Машинка класс. Полностью отвечает всем ожиданиям и требованиям. Побольше акций М-Видео!</t>
  </si>
  <si>
    <t>2399</t>
  </si>
  <si>
    <t>Плеер хороший! пользуюсь уже почти год. Один раз глюкнул, когда домой привезла и подключила к компу не правильно. По началу наушники отходили, но потом как выяснилось их надо было глубже засовывать. Просто побоялась, что поломаю. А так всё супер... Правда иногда так не хватает на плеере функций телефона, но для того он и плеер, что бы музыку воспроизводить. За видео сразу говорю, хорошо. Но сначала была проблема, что не шло, просто формат не подходил, тогда научилась пользоваться программой,и всё супер пупер!   В общем! Я как опытная пользовательница советую. телефон прошёл  "огонь" и "воду"</t>
  </si>
  <si>
    <t>2548</t>
  </si>
  <si>
    <t>Купил себе недавно, снес винду, поставил максималку... Всё летает, вот только родных дров нет, пришлось брать от аналогичных моделей, CU-024.   Плюсы: не греется как кипятильник(работает целый день, а клавиатура не прогрелась), отличный экран, чистый и громкий звук, достоинств уйма...  Недостатки: когда включаешь ноут автоматически включается Wi-Fi (я его редко использую), не стандартного разрешения экран (16:9), но со всем этим можно что-нибудь сделать, так что можно считать что недостатков нет...</t>
  </si>
  <si>
    <t>2604</t>
  </si>
  <si>
    <t>Купила вентилятор 28 мая. Весь этот конструктор прекрасно собирается,благо он уже не первый. Пользоваться им не могу из-за сильного запаха пластмассы, даже на первой скорости. Буквально через 10 минут в комнате нельзя находиться, очень обидно.</t>
  </si>
  <si>
    <t>Покупал год назад. Отличная вещь! Bork одним словоМ.  Автоматичнский режим. 4 степени интесивности увлажнения. Антибактериальный фильтр. Стильный. С сенсорным управлением. Минусов не нашел! Работает на ура.</t>
  </si>
  <si>
    <t>4130908</t>
  </si>
  <si>
    <t>285</t>
  </si>
  <si>
    <t>2016-11-04</t>
  </si>
  <si>
    <t>Очень качественно очищает кожу. Удаляет все шелушения, ороговевшие чешуйки. Сейчас отопление включено уже, кожа сохнет и постоянно шелушится. Видок не айс. После умывания такой насадкой реально выглядишь лучше. Кожа чистая. И кислорож лучше проникает естественно.</t>
  </si>
  <si>
    <t>2015-08-31</t>
  </si>
  <si>
    <t>Мощность, у этой модели очень высокая, у меня дома  длинношёрстный кот,  так что шерсть у нас каждый день новая, но даже в таких условиях пылесосить одно удовольствие, волосинки прям вылетают в щетку, так что не нужно возюкать на одном месте сто раз. Во вторых все комплектующие к пылесосу сделаны качественно и из прочных материалов, после 3 лет использования все детали как новые и это не может не радовать. Ещё в данной модели мне очень нравится щетка треугольной формы, с её помощью очень удобно пылесосить в углах. У пылесоса хорошая система фильтрации, благодаря которой после уборки в квартире нет запаха пыли. Так же мне нравится что шнур у модели достаточно длинный и при уборке не нужно через каждых полтора метра искать новую розетку. Так что в итоге я могу сказать что пылесосом я очень доволен, и ни разу не пожалел о его приобретении, и конечно же советую его к покупке.</t>
  </si>
  <si>
    <t>А мне понравились! На психоактивных программах прошибает. И стоят недорого - отличный вариант за эти деньги!</t>
  </si>
  <si>
    <t>У меня машинка 2005 года выпуска сварила 12000 чашек, в настоящее время все работает как надо, за весь срок службы обращался в сервис, только один раз и то по своей неосторожности, (пролил воду в бункер для кофе) сделали быстро и недорого.</t>
  </si>
  <si>
    <t>1199</t>
  </si>
  <si>
    <t>относительно недолго я пользуюсь этим товаром.  я выбираю из моделей ДЭУ, т.к.цена и качество корейца меня удовлетворяет.  он маленький и удобный,не занимает много места,а недостатков в нём я не замечаю.  конечно, у всех разные вкусы и запросы,но как бюджетный вариант-рекомендую</t>
  </si>
  <si>
    <t>2140</t>
  </si>
  <si>
    <t>Купил вчера - супер! Быстро нагревает комнату и не сушит воздух, плюс защита от опрокидывания и перегрева.</t>
  </si>
  <si>
    <t>Хорошая вещь, быстро и тихо молит достаточно большое количество кофе.</t>
  </si>
  <si>
    <t>Вот только что купил, собрал и проверил. О покупке ничуть не жалею. Хороший вентилятор. Конструкция достаточно надежная для дома. При аккуратном использовании прослужит годы. Совсем тихим не назовешь но и не раздражает, тихо гудит. Мотор почти не греется, регулировки положения контрятся надежно. За такие деньги однозначно стоит внимания.   (собирайте аккуратно - лишняя сила здесь не нужна).  Учтена даже лемпочка чтобы ночью на него не наткнуться.</t>
  </si>
  <si>
    <t>Крепкие насадки, тихая работа, удобство использования</t>
  </si>
  <si>
    <t>2016-01-16</t>
  </si>
  <si>
    <t>Наушники очень понравились звук хороший мне понравилось,так же понравился BASS его достаточно он не такой уж и плохой ну в общем басы тут просто супер.  Но вот есть один минус это как мне кажется то что он мне на уши жмёт сильно, ну я думаю это лично моя проблема т.к у меня уши большие.  А если просто всю оценку этого товара то он тянет на твёрдую 4. Звук хороший и очень лёгкие.И не слушайте те отзывы то что звук как и бочки и т.п это всё обман.А и ещё понравилось то что гарантия целый 1 год.ПУльзуюсь уже 1 месяц.</t>
  </si>
  <si>
    <t>Вообще то как пользователь PlayStation 3 могу сказать, что он очень плохой blu-ray плеер, да и пульт нужно на него прикупать, единственно то, что жесткий диск тоже есть.  А данный аппарат очень хорош, у брата такой же.  Плюс практический лучший CD источник в своем ценовом диапазоне.</t>
  </si>
  <si>
    <t>Купили такую соковыжималку года 2 назад. Никаких нареканий. Большая производительность, выжимаем по 70 литров сока в садовый сезон. Отжим сухой, проста в применении.</t>
  </si>
  <si>
    <t>Пользуюсь этим феном 4 года! Очень удобный! Для обычной сушки использую режим двойку, для укладки тройку. Турбо и через 3-5 минут причёска готова! Корпус, конечно, уже весь убитый, но фен исправно работает! Рекомендую именно его!</t>
  </si>
  <si>
    <t>Хорошая рация! Достаточно дальнобойная. Лучшее соотношение цена качество дальнобойность, есть комплектации с пластиковым кейсом. Один маленький недостаток который можно не учитывать, но знать необходимо - при зарядке блокируется передача голоса. То есть вы будете слышать - а вас нет.. Чтобы отвечать нужно выдергивать с зарядки.</t>
  </si>
  <si>
    <t>Моя мать пользуется им уже почти 3 года. Нареканий нет, гладит отлично. Вещи к нему не прилипают. А то что накипь на вещах оставляет, так это изза воды, надо заливать либо дистиллированную, либо кипяченую воду. То что у некоторых вода вытекает через отверстия на подошве, так прежде чем залить туда воду, надо его разогреть, включив в сеть. Корче говоря, хороший утюг и цена приемлемая. Собираюсь такой же подарить своей любимой!</t>
  </si>
  <si>
    <t>449</t>
  </si>
  <si>
    <t>телек супер!!! подключил к нему спутник и комп и все отлично показывает! подскажите пожалуста- почему начили появляться красные пятна и пикселя моргают красным, но видно это на черном фоне!???</t>
  </si>
  <si>
    <t>Телефон брал года два назад за 10 500, пользуюсь по сей день и очень доволен, неубиваемый, поцарапать или сломать сложно.  Пережил и водные процедуры летом и -30 зимой.  Сейчас возьму наверно W995, так как мой W760i уже староват.  Если кто то хочет брать - советую, камера (если учитывать что без автофокуса и вспышки) делает отличные снимки а звук в динамиках не может не радовать.  Так же очень приятно наличие высокоскоростного интернета 3G, легко прошивается или перепрошивается, можно поставить множество полезных приложений.  И еще, чуть не забыл, навигация, с яндекс картами поможет найти дорогу.  Sony Ericsson - ЛУЧШИЕ ТЕЛЕФОНЫ!</t>
  </si>
  <si>
    <t>1340</t>
  </si>
  <si>
    <t>Фритюрница очень хорошая. Проста в управлении, удобна. Легко моется, нет запаха и чада. Пользуемся около месяца. Картофель фри получается не хрустящий, но очень вкусный. Приготовление очень быстрое всех продуктов. Покупайте, одна из лучших моделей!</t>
  </si>
  <si>
    <t>Очень полезная штука. Разные уровни нагрузки и подготовленности. Занимаюсь сама и так как есть варианты не только занятия фитнесом, но и игровые виды- дочка 7 лет играет с удовольствием. Так же есть бокс и дзен гимнастика, вобщем советую.</t>
  </si>
  <si>
    <t>Игра классная, пройти можно за 1-2 дня, конечно плохо то, что третья часть игры идёт только на PS3.</t>
  </si>
  <si>
    <t>По поводу "хрюка"! Все таки хрюкает HDD. Отписал в саппорт HP, отвечают быстро, но кажется, что там сидит человек не особо компетентный в этих вопросах. Саппорт сказал, что это проблемы с системой охлаждения, это чушь! При всех проблемах саппорт отправляет в сервис центр. Отдавать туда значит потерять как минимум товарный вид ноутбука (поцарапают крышку это за спасибо). Поставил программу HDDLife for Notebooks слежу за "пульсом" ноутбушного HDD (благо HDD ноута поддерживает технологию S.M.A.R.T.). За 29 т.р. я бы посмотрел в пользу другого ноута, но я купил по акции со скидкой.    Скажу насчет еще одного минуса в системе охлаждения - при работе в пыльной среде довольно быстро забивается кулер и радиатор, чистить его проблематично самому (придется снимать всю нижнюю крышку) + гарантия отваливается естественно.</t>
  </si>
  <si>
    <t>Фильтр классный,вода чистая.</t>
  </si>
  <si>
    <t>Удобный и качественный стайлер, который хорошо и с завидной легкостью справляется с моими непослушными волосами. Укладки получаются на славу, никто и не верит, что это я самостоятельно дома так смогла)) Он делает мою прическу объемной и мне это очень нравится, от природы волосы не слишком густые.</t>
  </si>
  <si>
    <t>Пользуюсь этой магнитолой полгода.  Недоволен. Пожалел о покупке уже на 3 день. Работает не стабильно. Часто виснет при чтении с флешки, порой виснет при сканировании флешки, иногда виснет сенсорный экран, в режиме блютуза дисплей, почему то, мерцает.   Сам дисплей большой, но неудобный и бестолковый. На нем не отражается ни длительность трека, ни битрейт и т.д. Качество звука посредственное. Пульт очень неудобен:все кнопки одинаковые и расположены рядами.Я минуту искал, где же там регулируется громкость.  А вот видео воспроизводится ,в принципе, неплохо, замечаний нет.  Вывод:очередная китайская мыльница.Может кинофилам она и понравится, но для аудиофилов....никак...не стоит этих денег</t>
  </si>
  <si>
    <t>Дизайн, прост в обращение.</t>
  </si>
  <si>
    <t>Ребята, не вздумайте брать этот прибор! УЖАС И КОШМАР! Крутит фарш отвратительно, делая из него пластилин. После опускание в отверстия несколько кусочков мяса, его начинает выталкивать. Мыть ее вообще отдельная песня. Все налипает, так, что даже под горячей водой приходится стоять у раковины около 20 минут, чтобы благополучно это отодрать.   Хотите испытать удовольствие от приготовление домашних котлет - не экономьте и не приобретайте этот агрегат!    Удачных покупок!</t>
  </si>
  <si>
    <t>Плеер прекрасный, на счет шейкера, все можно прочитать в инструкции, заблокируй и радуйся музыке!  Можно создавать папки - это вообще круто!</t>
  </si>
  <si>
    <t>В целом претензий нет, ручки не плавятся, если не ставить большие сковороды или кастрюли на передние конфорки. Дизайн 8 из 10, качество сборки 8 из 10, решётка 7 из 10 (хотелось бы потолще), мойка поверхности не составляет особого труда, 8 из 10. Минус на данный момент 1, при подключении от газового баллона регулировка пламени минимальна, хотя плита что стояла до этого (годов СССР) работала в этом плане лучше. Вывод: томиться что-то ставить не резон, да и в обычном процессе не отойти, но привыкли) P.S как работает не от баллона не знаю, данный вид описания применим в моём случае с баллоном.</t>
  </si>
  <si>
    <t>Да я покупала этот телефон 2,5 года назад! дизайн мне очень понравился, Не глючит,звук хороший! мне нравится!!!!</t>
  </si>
  <si>
    <t>898</t>
  </si>
  <si>
    <t>Вытяжкой остался в целом доволен. + Добротно сделана, угольный фильтр в комплекте. - Не было в комплекте дюбелей и саморезов, через минуту перегорела лампочка, выбив пробки.</t>
  </si>
  <si>
    <t>Массажер отличный, в этот же вечер он меня порадовал. Замечательно расслабляет, массирует отлично те места, когда много времени находишься в положении сидя, офисный синдром. Массаж волшебный, правда гудит, но быстро привыкаешь в принципе. Мне очень понравился!!</t>
  </si>
  <si>
    <t>1124</t>
  </si>
  <si>
    <t>Так, хороший плеер за разумные деньги.</t>
  </si>
  <si>
    <t>540</t>
  </si>
  <si>
    <t>Не верьте плохим отзывам.Я приобрел айфон по случаю до этого пользовался коммуникаторами.Сейчас у меня дома айфон айпад и шафл к осени приобрету мак бук.айфон на сегодня лучший мультимедийный телефон в мире.Никакую другую трубку я больше брать не буду.Очень жаль денег, которые я потратил до этого на различных флагманов.</t>
  </si>
  <si>
    <t>Спустя 2 недели использования  расплавилась пластмасса рядом с нагревательными элементами, в результате деформации тостер не закрывается. Конечно, вещь очень дешевая, но, учитывая качество, крайне много. Это ужас. Купите дороже модель, но не это.</t>
  </si>
  <si>
    <t>Вполне нормальная машинка! =))        Не прыгает по ванной. Компактная и понятная в обращение, недавно купил и поставил. Пока жалоб нет! Посмотрим, что дальше...     С уважением, Сергей</t>
  </si>
  <si>
    <t>1642</t>
  </si>
  <si>
    <t>Покупал 2 года назад, сломались (встали на приём и не сместа, что то перегорело сказали в мастерской) + аккумуляторы просели. худьшая рация из всех возможных безделушек, надо брать Vertex Standart как у инкосаторов будит хоть с кем по говорить...</t>
  </si>
  <si>
    <t xml:space="preserve">тихая, есть все необходимые отделения для всех видов посуды, вместительность (не смотря на ширину всего лишь 45 см), прекрасно отмывает все кастрюли и самые грязные сковородки </t>
  </si>
  <si>
    <t>Одна из самых любимых и востребованных мной на сегодняшний день насадок. Удобна тем, что можно измельчают небольшое количество продуктов. Пользуюсь несколько раз в день , протираю еду для маленького ребёнка, готовлю разнообразные творожные массы. Все 4 стеклянные баночки постоянно в работе.</t>
  </si>
  <si>
    <t>Все отлично, только мощности ему не хватает. Мужской маникюр уже не сделать, ногти сильно твердые.</t>
  </si>
  <si>
    <t>Купили перед новым годом. Стирали несколько раз, все в норме, только при отжиме немнго шумновата. На счет малого набора воды не заметил этого недостатка.Стирал рабочую зимнюю куртку, отстиралась нормально.</t>
  </si>
  <si>
    <t>Есть все необходимые функции, хорошо стирает, тихо работает, красивый внешний вид.</t>
  </si>
  <si>
    <t>Удобная вещица)))</t>
  </si>
  <si>
    <t>Отличный режущий блок и сетка.</t>
  </si>
  <si>
    <t>Телефон полностью оправдывает свои деньги!!! как по функционалу так и по качеству!!!и не чего от него требовать не возможного!!!!!!!Хороший звук,полифония и ни чего лишнего!!!!Я доволен 5+++++</t>
  </si>
  <si>
    <t>Тем, кто любит покататься на скейте, берите сразу. Не пожалеете. Такого я еще не видел, детализация трюков просто шикарная. Весь город заточен для скейтера.</t>
  </si>
  <si>
    <t>2064</t>
  </si>
  <si>
    <t>Метеостанцию Oregon Sciencific BAR206 мне подарили на день рождения 2 года назад.Работает здорово.Даже удивительно, но прогноз погоды на 24 часа совпадает не хуже Гидрометцентра.Единственно, с коллегами ждём, когда же покажет заморозки.Так как мы метрологи, то у нас регулярно проходят дебаты, при каких же условиях загорается светодиод "Ice alert"(Заморозки).Так что ждём-с!</t>
  </si>
  <si>
    <t>Купил плейер в конце октября 2008 г. Почти год эксплуатации. Имеющиеся на сегодняшний день траблы:  1) Примерно через 4 месяца сгорело штатное ЗУ. Сейчас использую ЗУ от другого плейера.  2)Уменьшается емкость аккумулятора с более чем 5 часов у нового до 4,5 часов сейчас в режиме видео.  3) Кнопка уменьшения звука (самая левая) с недавних пор работает через раз.  4) В режиме радио с полностью заряженным аккумулятором вырубается минут через 40. После этого нужно заряжать аккумулятор. В остальных режимах работает нормально.  5) Под стекло каким-то образом попало несколько крупных соринок, хотя в общем-то сильно они не мешают.  Это все недостатки почти за год работы. В остальном впечатления положительные. Считаю аппарат очень достойным за свои деньги. Единственное, что хотелось бы, так это увеличить емкость аккумулятора.</t>
  </si>
  <si>
    <t>Купили с женой, этот пылесос. Попробовали пропылесосить после старого (самсунг 1300W),понятно что не сравнимые вещи, но визуально столько пыли набралось в пылесборнике ужас! Первые впечатления положительные, мне только не понравилось, что есть люфт в соединении между ручкой и штангой, хотя в магазине заверили, что все это надежно. Поживем увидим. Подкупило то, что в данном пылесосе нет расходных!</t>
  </si>
  <si>
    <t>Очень большое спасибо фирме БРАУН, за такое простое решение в приготовлении салатов, соусов, десертов и конечно же отличные контейнеры для хронения зелени и мариновки мяса-рыбы! Очень довольны, от души рекомендую- особенно семьям с маленькими детишками, любое пюре за секунду!</t>
  </si>
  <si>
    <t>Чайник всем хорош, кроме одного - он разливает воду после каждого наклона... Очень расстроен тем, что придется после каждого налива выполнять ненужную работу... пусть жена радуется дизайну, а я устал искать нормальное изделие с объемом в районе 1л - куплю турку.</t>
  </si>
  <si>
    <t>Тихая и мощная корейская вытяжка. Когда я говорю мощная, я не шучу, на режиме турбо, у меня на кухне прямо таки тайфун начинается! Но нужно открывать окно, чтобы вытяжка отсаживала свежий воздух, а не вонь из канализационного отверстия или еще откуда :)))) Обычно при готовке используем на первых двух скоростях, а всего их четыре. лампы можно регулировать по углу наклона, при готовке очень удобно. Вытяжка красивая и на кухне смотрится реально круто, особенно если кухня новая и современная. На мой взгляд собрана идеально, да и работает на совесть.</t>
  </si>
  <si>
    <t>Тостер подарили на день рождения. Сразу подкупил внешним видом - выглядит очень стильно. Порадовал разными функциями. Поджаривает равномерно, корпус не греется, запахов посторонних нет! Немного шумноват, но ко всему привыкаешь ))) Подарком довольна вся семья!</t>
  </si>
  <si>
    <t>Покупала электробритву Braun Series 7 790cc брату в подарок на День Рождения. Выбирала по цене и техническим характеристикам, также понравился стильный дизайн бритвы. Огромным плюсом бритвы является прибор для чистки, который идет в комплекте.  Брат доволен гладкостью бритья)</t>
  </si>
  <si>
    <t>Приобрёл этот товар 14 09 2011 г.Выбирал его исключительно по отзывам владельцев ,триммер действительно очень хорош ,безболезненно удаляет волосы в носу и ушах.До его покупки удалял волосы в ушах при помощи депиляционного крема, жены после этой процедуры уши горели около часа,так что покупайте триммер, не пожалеете.</t>
  </si>
  <si>
    <t>Купил себе такой аппарат, т.к. родился малыш, хотелось здоровья ему поприбавить. Первые месяца 3 все было нормально, работал без перерыва, тихий, воду доливал ему 1 раз в день. Затем стал издавать звуки приближающегося вертолета, потом стал стучать так что ночью просыпались. 3 раза я его возил по гарантии в сервис, ничего с ним сделать так и не смогли и вернули деньги. Вердикт: аппарат полностью разочаровал. Не советую никому брать.</t>
  </si>
  <si>
    <t>Купил я этот монструозный бук 8 июля по цене 42,900 руб. в ТЦ "БОШЕ"  Сразу он мне очень понравился по соотношению цена / качество  Но качество, конечно не исполнения,а производительности.  Меня в нём все полностью устраивает, кроме одного: у меня, например начала подниматься волной панелька с левой стороны, видимо от нагрева.  Лично у меня редко, когда греется выше 50 градусов, слегка разве что греется видеокарта - 53-56 градусов.  Производительность прекрасная, вполне можно играть в современные игрушки.Немного раздражало по началу только 60-дневная пробная версия офиса и 60-дневная версия антивируса Нортона, работа которого, вызывает большие нарекания.  Порадовала встроенная HD-веб камера, качество видео для бука очень приличное.  Но, минус у этой модели один - УЖАСНАЯ МАРКОСТЬ КОРПУСА!!! Производитель напичкал глянец везде, где это только можно, от сюда и появление царапин, уже через 2-3 дня бережного (!) использования. Это на мой взгляд только один минус.  Зарядку держит пока долго, а именно от 5 до 6 часов (но это пока).  Все ресурсоёмкие программы просто летают на этом буке - огромный плюс.  Немного раздражает маленький тачпад - для такого огромного ноута можно было сделать и побольше, но есть поддержка мульти-тач.  Также немного раздражают сенсорные кнопки по бокам корпуса - опять сплошной глянец. Кнопочки маленькие и я постоянно задеваю их рукой - бесит нереально, но я их начал выключать сам, чтобы не беспокоили особо.  Ко всему этому можно вполне привыкнуть.  За такую заманчивую цену - этот ноут, самое сладкое предложение. Приятного аппетита! :-)</t>
  </si>
  <si>
    <t>Пользуюсь такой уже три года, довольна очень, покупала немецкую сборку, отстирывает очень хорошо, не шумит, не скачет, не глючит. В общем машина на 5+</t>
  </si>
  <si>
    <t>663</t>
  </si>
  <si>
    <t>У меня глаза на лоб полезли когда Крайзис на выше средних полетел как сокол.</t>
  </si>
  <si>
    <t>Та же ситуация, что и у Павла, позавчера приобрела данный вентилятор, правда отломалась лопасть не через час, а через минуту после включения! Был страшный треск и повалил дым изнутри, видимо из-за плавящейся лопасти. Спасибо мвидео, приняли без проблем, обменяла на bimatek ht301.</t>
  </si>
  <si>
    <t>3081</t>
  </si>
  <si>
    <t>Станция вполне хорошая.   Использую более 3-х лет. Индикация - самая хорошая из всех виденных в продаже, всё и всегда отлично видно, "жать" ничего не надо. Очень удобно.  Точность - на зависть Московскому Гидромету. Влажность и давлений меряет отлично, сверялось неоднократно с обычными приборами (не электронными). Для выставления "высоты" нужно немного подумать, посчитать и подобрать поточнее (и всё будек Ok).  Внешний датчик работает прекрасно, только нужно защитить от прямого солнца (что вполне естественно), перестает мерить при температуре ниже -25С. Но такая температура для наших районов - не частая.   Доволен очень.</t>
  </si>
  <si>
    <t>Мы с подругой решили подарить нашей общей подруге на день рождения :фен и этот выпрямитель.Очень долго определялись и все таки остановили выбор на этой модели.Она очень довольна, так как у неё тонкие и непослушные волосы и регулировка температуры для неё большой плюс.Подруга пользуется им почти каждый день.Я тоже им раза два пользовалась, для своей стоимости не плохой,но кнопки постоянно нажимаются.Так выпрямитель хороший, но рекомендую купить что-то получше и подороже.</t>
  </si>
  <si>
    <t>2832</t>
  </si>
  <si>
    <t>при покупке ноутбука оказался неисправным. поменяли на другой, на нем, когда начинаю играть, кулер ужасно гудит. пишут, что может кулер засорился. но я думаю за два дня нереально. нести в магазин второй раз нет смысла, все равно не поменяют, не знаю что делать?</t>
  </si>
  <si>
    <t>Отличный подарок ребенку на новый год.</t>
  </si>
  <si>
    <t>Вкусный и ароматный кофе с разной крепостью и быстрым приготовлением. Очень простая в обслуживании.</t>
  </si>
  <si>
    <t>Телевизор отличный, я очень доволен. FullHD работает на ура. PS3 тоже хорошо идет. Читает почти все форматы. Что касается 100Hz то они работают при включенной опции TruMotion (если не ошибаюсь). Вообщем телевизор хороший, советую всем.</t>
  </si>
  <si>
    <t>2137</t>
  </si>
  <si>
    <t>Два года назад покупала выпрямитель маме в подарок. Она так и не смогла к нему приспособится. Из недостатков: - В процессе выпрямления волос постоянно пальцем нажимаешь кнопки переключения температуры. - Выдирает волосы клоками, а потому застревает на волосах в процессе выпрямления. Как минимум это неприятно и не позволяет сделать прядь прямой и гладкой. Из достоинств: ничего. Покупать не советую.</t>
  </si>
  <si>
    <t>2015-10-16</t>
  </si>
  <si>
    <t>Массажер проявил себя хорошо. Реально расслабляет ноги и снимает усталость особенно после трудового дня. Есть три режима: вибрация, нагрев + вибрация и нагрев.  Сборка качественная так, что можно смело запихивать ноги в этот тазик наливать воду и включать в розетку. )). Перед покупкой проконсультируйтесь с лечащим  врачом, просто эффект может быть наоборот отрицательный. Прибор работает тихо, прост в использовании, в комплекте идет подробная инструкция на русском языке. Рекомендую.</t>
  </si>
  <si>
    <t>классный</t>
  </si>
  <si>
    <t>Покупала в Питере года 3 назад  в Мвидео. Нормальный. Все еще работает, Но не пользуюсь, рвет волосы. Лучше купите подороже на туже тысячу.</t>
  </si>
  <si>
    <t>Пользуюсь уже год. Идеальное сочетание цены и качества! Волосы выпрямляет хорошо :)  Порадовало наличие термо-чехла в комплекте, это настолько удобно! Не нужно ждать пока выпрямитель станет холодным, время экономит :)  + что сам выключается через час, т.к. я частенько забываю его утром!  Греется реально за 30сек, повторюсь - сплошная экономия времени!  Если пользоваться средством хорошим, то можете не боясь выпрямлять регулярно :) удачи</t>
  </si>
  <si>
    <t>1904</t>
  </si>
  <si>
    <t>мой самый любимый и неповторимый) интерфейс просто очень удобный, много полезного софта для него (как для учебы и работы, так и просто для развлечений), + радует,что на таком экране вполне себе можно смотреть фильмы в самолете.   Твердая 5!</t>
  </si>
  <si>
    <t>Купил недавно это телевизор и был приятно удивлен, не ожидал, что так четко будет показывать через простой аналоговый сигнал. Классный телевизор всем советую!</t>
  </si>
  <si>
    <t>Купил месяц назад и решил сразу опробовать, доволен на 100%, мясо рубит быстро и качественно, работает не шумно, удобно разбирается. Едим всей семьёй настоящие котлеты. Отличная модель можно смело покупать!</t>
  </si>
  <si>
    <t>Елена, жировой фильтр это специальная круглая как бы крышечка которая крепится на вентилятор, чтобы туда внутрь не попадал жир, комплектуется во всех Электролюксах</t>
  </si>
  <si>
    <t>Телефончик подарил муж.Спасибо тебе милый!Я в восторге цветов дисплея! Все фотки чёткие,красивые.Спокойно загружаю через Nokia PC Suite мелодии,картинки,игры. Нравиться!У него красивый дизайн-керамическое покрытие.Кроме того прилагается карта 512Мб,в общем классный телефон!Покупайте!Спасибо,Денис.</t>
  </si>
  <si>
    <t>стирает хорошо, но очень шумит, стараюсь от нее подальше держаться, и ещё- хорошо стирается надпись "Electrolux" впереди наверху, по-моему, так не должно быть...раньше была французская Brand- мы так её любили, она такая тихенькая была...</t>
  </si>
  <si>
    <t>Работает громко и хватило его на год: кончилась втулка - подшипник ножей.</t>
  </si>
  <si>
    <t>Простая, компактная, симпатичная на вид кофемолка с прозрачной крышкой. Понравилось качество пластика, удобное управление, хороший нож, равномерное измельчение. Кофе получается как раз на один раз сварить эспрессо на две чашки. Не признаю кофе, помолотый заранее и впрок его не заготавливаю – только свежий помол, никакой другой по ароматам с ним не сравнится. Поэтому кофемолка стоит всегда на столе, рядом с кофеваркой. Пользуюсь ею часто, много, уже четвертый месяц. Никаких нареканий к качеству не появилось, работает как в первый день. Единственное, что сейчас, наверное, купила бы с регулятором помола, но те, что мне нравятся, идут уже подороже и обычно побольше объемом. А большой объем мне как раз совсем не нужен. Поэтому эта модель самый оптимальный вариант.</t>
  </si>
  <si>
    <t>Купил месяц назад Whirpool 6314/1 -вертикалку.Подключил недавно. Расстройство еще то.Отжим практически нельзя использовать.Вибрация жуткая.За эти деньги можно было бы купить отличную машинку.Теперь не знаю что с ней делать.Кто ее хвалит или плохо слышащий человек,или вирполовский агент.Ни в коем случае не покупайте..</t>
  </si>
  <si>
    <t>Купил в январе, на день рождение, себе в подарок за  30 000.  Этих денег по любому стоит !!!!  берите не пожалеете.  До него пользовался асус,тошиба,MSI.  Этот лучший.Динамики, графика,дизайн все на высоте.</t>
  </si>
  <si>
    <t>Колонки оправдали себя на все 200% - для PC лучшей акустики 2.1 и не придумать: мощный упругий бас, небольшой завал на верхах все же имеется, но я использую X-Fi Titanium и звук просто ласкает слух. Как уже отмечалось колонки имеют просто колоссальный запас по мощности. Можно бы было к сабвуферу подключить другие сателлиты - цены бы ему не было!</t>
  </si>
  <si>
    <t>машинка отличная:   Достоинства: Очень проста в обращении. Работает тихо. Соответствие цены и качества. Есть звуковой сигнал о окончании стирки.(можно отключать и менять громкость)    Недостатки: Пока что не обнаружено.    Комментарий: До этого была SIEMENS умерла спустя 7 лет. По сравнению работают одинаково, только в Bosch добавились дополнительные и удобные функции, что порадовало.</t>
  </si>
  <si>
    <t>2014-04-16</t>
  </si>
  <si>
    <t>Купила увлажнитель 8.04.2014, перед этим читала отзывы и комментарии. Видимо, надо было читать внимательнее. Техника действительно не стоит тех денег, которые я заплатила. Увлажнитель работает уже неделю, результата нет. Фразы типа комната должна пропитаться звучат не убедительно, т.к. комната 18 кв.м. должна была пропитаться уже 5 раз, поскольку увлажнитель рассчитан на 60 квадратов. Воду нужно заливать либо после действительно хорошей фильтрации, либо дистиллированную, иначе все вокруг покроется белым налетом, в том числе и сам увлажнитель )) Сегодня ночью он еще и гудеть начал. Когда выбирали увлажнитель один из консультантов сказал, что эффект будет как в тропическом лесу, хаххха-хаа, не знаю, сам он это придумал или кто подсказал... Так что подумайте еще раз, нужна ли Вам такая покупка за эти деньги.</t>
  </si>
  <si>
    <t>Пользуюсь уже с год. Показала себя просто отлично. И топил, и об стену швырял, и ногой в слоте задевал. И ниче. Жива. Это меня действительно удивило. Живучая качественная дивайсина. Рекомендую</t>
  </si>
  <si>
    <t>Автомобильная антенна Prology TVA-200 более полугода отлично работает в обоих режимах и без проблем, имеет раздельные выходы на ТВ-тюнер и FM, регулируется коэффициент усиления.</t>
  </si>
  <si>
    <t>Пылесос шикарный, удобный, комфортный, компактный, лёгкий, мощный... Был у меня лет 5. Потом подарил, думал купить лучше..!?! Лучше не нашел. Благодарю М Видео, что у них есть. Купил - дАволен!!! :)))</t>
  </si>
  <si>
    <t>телевизор хороший, но вот такая проблема. что с флешки что с карты музыка с фотками воспроизводится а видео нет. пишет что "нет файлов для воспроизведения" я и форматировал всё, и видео кодировал ничего не помогает</t>
  </si>
  <si>
    <t>Отличная машинка, стоит своих денег. Пользовались почти год, потом купили автомат, ее же в прекрасном рабочем состоянии отдали на пользование родственникам. Отстирывает хорошо, 2 режима, что важно при стирке деликатных вещей. Стирали абсолютно все: от занавесок, постельного белья, до мелких предметов - носочки и пр</t>
  </si>
  <si>
    <t>Пользуюсь два месяца. Теперь хлеб только через тостер пропускаю! И так, раскрываю всем глаза (для всех тостеров): Тостер отличный, все-таки фирма (на это делал акцент). Никаких лишних кнопок - стиль и простота. Поджаривает хлеб равномерно, только время в зависимости от толщины надо выбирать (приходит с опытом). Не советую хлеб типа Калач, он грубый и не очень подходит для тостов. Решеткой ни разу не пользовался, в принципе ни к чему. Вот маленькие кусочки вытаскиваешь с трудом. (TEFAL металлический, который с чипчиками для хлеба просто идеал). Поддоны у всех тостеров одинаковые, а любой хлеб способен крошиться или отламываться (если что), так что, уважаемые, потрудитесь - вытащите поддон и потрясите тостер над раковиной в разных положениях и координатах! По-другому, их (крошки) не извлечешь! Всем удачи!!!</t>
  </si>
  <si>
    <t>1011</t>
  </si>
  <si>
    <t>Это один из лучших на сегодняшний день керамических тепловентиляторов.Вы не найдёте их в Москве ни в одном магазине М.Видео(быстро раскупают).Есть только в единственном магазине М.Видео у метро Войковская.Он стоит у меня на работе в торговом комплексе и у меня там тепло и уютно.</t>
  </si>
  <si>
    <t>Действительно хороший обогреватель, в эти дикие морозы реально спас от замерзания всю семью, до него чуть ли не в куртках ходили по квартире. Решил не экономить и взял именно этот обогреватель, продавец не зря хвалил и рассказывал о нём. Ни капли не пожалел о покупке, дома тепло и уютно.</t>
  </si>
  <si>
    <t>Недавно приобрела себе выпрямитель скарлет данной модели... Очень понравилось...   Можно изменять температуру нагрева, т.к. обычные модели греют сразу до 200С и при использовании могут жечь волосы.. А на этой даже при температуре 160, прекрасно выпрямляются волосы...  Раньше пользовалась Мультистайлером Valera 611.01, после долгого использования, она начал скрипеть, пружины в выпрямители не держат, волосы не выпрямляются...  Моя оценка скарлету +5...</t>
  </si>
  <si>
    <t>супер слов нет Ноутбук Packard Bell EASYNOTELJ65</t>
  </si>
  <si>
    <t>Классная вещь! Всем советую, покупайте-никогда не пожалеете. Просто незаменимая вещь на кухне!  Купила полгода назад. Очень довольна. Не помешало бы крепление к стене и крышка для мерного стакана. Но и без них вещь супер! Куплю такой же в подарок маме на день рождения.</t>
  </si>
  <si>
    <t>1668</t>
  </si>
  <si>
    <t>Отличный телефон, дезайн. Особенно если учесть цену! Просто супер!</t>
  </si>
  <si>
    <t>После 12 лет службы верой и правдой ,Сломалась.Даже мои маленькие чудо-маль чишки (5 лет и 2 г.)умеют в ней разогревать.И она выдерживала все их выкрутасы.я в трансе. Как я теперь буду  без нее?! Другую не хочу!</t>
  </si>
  <si>
    <t>покупали 5 лет назад....если б отзывы знала заранее не купила бы НИКОГДА. Моет отвратно,ошибки замучили, а ровно через год начались походы по сервисным центрам. Вбухали в ремонты почти стоимость машинки. Стоит в гараже сломанная ( чемодан без ручки ,блин,  и толку нет и выбросить жалко)))   Купили Сименс - вот это вещь .</t>
  </si>
  <si>
    <t>Телевизор приобрёл сегодня, до этого был Panasonic Viera II, сразу заметно что качество изображения при приёме на антенну лучше, шумов меньше, шумоподавление работает на 5+, хоть и заметно теряется резкость, зато шума в виде красных точек практически нет.   Понравилось множество настроек, при максимальной яркости ненамного отличается от плазмы. При подключении к компьютеру проблем нет. Настройки изображения сохраняются для каждого режима отдельно. При присоединении флэшки удобно одновременно слушать музыку и смотреть фотографии.  Единственный минус - это неудобный пульт, очень толстый и клавиши неудобно расположены. Но это возможно чисто субъективное мнение.</t>
  </si>
  <si>
    <t>Пользуюсь данным ноутом уже примерно пять месяцев. По большому счету остался доволен. Как и у всех моделей есть минусы,особенно не нравится маленькое время работы от аккумулятора, из-за этого теряется основной принцип ноутбука, автономная работа. Данная модель предоставляет мало времени вдалеке от розетки, в среднем два часа. Так же напрягала установленная виста, пришлось снести. Поставил семерку и оказалось, что в том, что ноут иногда притормаживал виновата эта виста. С семеркой ноут работает как часики! А в остальном по большому счету мелочи, соотношение цены и качества оптимальное. Нормальный ноутбук.</t>
  </si>
  <si>
    <t>Наушники средние по качеству... с плеером ритмикс терпимо но... - нормально звучать начинают где то через пару дней... (или просто привыкаешь?)... ну в общем басы тоже - неплохие, единственное что сказать дк это тем кто переходит на них с фирменных - жесть... Кароче отличное соотношение цена-качество...</t>
  </si>
  <si>
    <t>10.03.2010  "В целом машинкой доволен, надеюсь новая будет без всяких сюрпризов."  -----  Поменяли на точно такую же, с таким же дефектом!!! 15-и минутная программа занимает 28 мин.</t>
  </si>
  <si>
    <t>Отзыв февраля: чайник супер, привлекает своим дизайном. У нас почти вся техника этой фирмы. С таким чайником приятно попить чайку или кофейку! Всем рекомендую!</t>
  </si>
  <si>
    <t>Самый бесполезный кондиционер! На площади в 20 кв. добиться температуры воздуха в 18-20 градусов можно только если засыпать все вокруг льдом! Перед тем как брать подумайте!</t>
  </si>
  <si>
    <t>мясо прокручивается очень быстро и легко</t>
  </si>
  <si>
    <t>Почитав отзывы и увидев этот пылесос за копейки, сразу поехал покупать. Ничего сложного в сборке нет, все понятно написано в инструкции, простой как автомат Калашникова. Воду лишнюю не льет, в общем на светлом ковре после специально тщательной уборки обычным пылесосом этот аппарат легко показал, что он нужен - емкость для грязной воды была реально с грязной водой. После этого я даже не стал напрягаться, что его нужно после использования помыть и т.д. - берется он как второй пылесос для серьезной уборки. Поставил 4 так как при втором включении что-то случилось у чудо коробки и она умерла. Поеду менять на такой же. Видно подкачано то, что изготовлен он в Китае.</t>
  </si>
  <si>
    <t>2016-10-18</t>
  </si>
  <si>
    <t>Хороший, "пузатый" чайник! Живет у меня чуть меньше года, но за это время только радовал. Первое время, правда, был запах не то пластика, не то еще чего - но он выветрился буквально через пару-тройку кипячений, и с тех пор о себе даже не напоминал.</t>
  </si>
  <si>
    <t>Купил телефон более 1.5 года назад  с рук привезен из италии. долго выбирал между нокиа и ближайшим конкурентом.в своей катигории лучший телефон чтобы кто не говорил лучше нет. люфт крышки и кнопки блокировки это мелочи и совсем не заметны. у телефона нет минусов очень хорошо работает быстро и качественно хороший дисплей привосходный звук наушники отличные удобные. за все время был один глюк кнопка блокировки при нажати  будено несколько раз жалась всето одного приходилось по раз пять жать обновил по все изчезло рабоать тал еше быстрее и тот глюк исчез. пользуйтесь с умом и все будет работать отлично. советую всем покупать стоит своих денег</t>
  </si>
  <si>
    <t>купил 8800 карбон вместо 8600 луна.телефон классный!очень достойно выглядит, отличный дисплей (но на солнце ни хрена не видно!), звучание хорошее,динамик достаточно громкий.очень хорошая "громкая связь".батарейку держит получше, чем "Луна".стоит небюджетно, но себя в вобщем-то оправдывает.для истиных ценителей "нокиа" рекомендую!!)))))</t>
  </si>
  <si>
    <t>Что могу сказать про данный увлажнитель, вот уже пол года радует. Но, есть одна большая проблема. Банальное отсутствие фильтра в магазине.</t>
  </si>
  <si>
    <t>1568</t>
  </si>
  <si>
    <t>Ноут просто супер, настоящая рабочая лошадка со всем необходимым, вдобавок двухядерным процессором,и неплохой встоенной видюхой! за такие деньги лучше не найти!</t>
  </si>
  <si>
    <t>2015-05-18</t>
  </si>
  <si>
    <t>Вытяжка Krona JANNA 500 White была приобретена на кухню вместе с новой электроплитой. В комплекте с вытяжкой идет весь необходимый крепеж. Она очень хорошо вписалась в интерьер моей небольшой (6 кв.м) кухни. Вытяжка отлично справляется со своей задачей на всех режимах работы, на 3-ей скорости она, конечно, немного шумновата, но зато при этом абсолютно все запахи уходят с кухни через вытяжку, а не через дверь. Вытяжка имеет отдельно выключаемую подсветку (мощность лампы 40Вт). Алюминиевый жироулавливающий фильтр легко снимается простым нажатием кнопки, после чего его можно легко отмыть. Корпус вытяжки тоже легко отмывается при необходимости. С этой вытяжкой «рабочее место» на кухне стало выглядеть солиднее. Рекомендую эту вытяжку как доступный и выгодный вариант.</t>
  </si>
  <si>
    <t>Плитой пользуемся уже пару лет, покупали в мвидео. И с тех пор она не перестаёт радовать.   + газовая плита очень удобна, хорошо горят конфликт, работает газ-контроль  + электрическая духовка позволяет идеально готовить любое блюдо, большой набор программ.  - не обнаружено.</t>
  </si>
  <si>
    <t>Чайник проработал 2 года, шумный ужасно. Шумит как электродрель, у меня ребенок его пугался. Через 1,5 года работы перестал выключаться- может кипеть до бесконечности, периодически, правда, срабатывал и выключался. А через 2 года стал протекать в месте, где прозрачная шкала объема.</t>
  </si>
  <si>
    <t>Ребята, эта мясорубка для тех, у кого куча времени (хотя им и механическая тогда подойдет). У меня его мало. Мясо кладу часто полуразмороженное. С ним зелмер наш не справляется. Или спарвляется но так, что лучше б из него вообще ничего не вылезало, чем ЭТО. Плюс ножи проржавели через месяц. Хотя вроде бы нержавейка. Короче, не повезло мне.</t>
  </si>
  <si>
    <t>Купил по акции 3 дня назад. Цена со скидкой получилась хорошая. Выбирал ТВ с USB для просмотра фильмов с накопителя на 320Gb. Читает практически все видео-форматы (avi,mkv). Кабельное показывает очень хорошо, меня устраивает. Оптимальный вариант цена/качество.</t>
  </si>
  <si>
    <t>Большинство консервных банок открывает быстро и без проблем, главное приноровиться их правильно подставлять. Электроточилка помогает быстро наточить дешевые кухонные ножи, естественно дорогие ножи надо точить вручную.</t>
  </si>
  <si>
    <t>Купили вчера. В комплекте идет держатель для лейки, сама лейка, гибкая подводка, пара резиновых уплотнительных колец для неё. Сетевой шнур есть, достаточно короткий, примерно метр. Больше в общем-то докупать ничего не надо, если только удлинитель. Немного озадачился, как его крепить на стену - в инструкции не написано толком. Для этого нужно открутить по 2 винта сверху и снизу и снять крышку - тогда будут доступны крепежные отверстия. Никаких пломб там нет. Лейка отличается от той, что в 3Д-просмотре. В центре лейки винт, который туго прижимает к основанию лейки 3 концентрических окружности из пластмассы. Самая малая с отверстиями по бокам, 2 других - нет. В комплекте есть 2 аналогичных круга с отверстиями, т.е. можно выбирать из 3 вариантов сборки - от тонкой мощной струи до толстой и более производительной. Повозился с тем, чтобы заменить эти круги на лейке. Сидят они очень плотно и выглядят как монолитное литье. Для замены кругов нужно выкрутить винт, вместе с ним выйдет центральный круг, а 2 других можно аккуратно подцепить отверткой через получившееся отверстие. Остановился на 2 кругах с дырочками - центральный и второй, третий оставил сплошной. Если оставлять только центральный - струи такие острые, что больно коже. При трех кругах с отверстиями либо напор слабый, либо вода холодная. В целом аппарат очень порадовал, установка очень простая, напор достаточный, чтобы нормально помыться под душем, хотя и воды идет заметно меньше в целом. Не жалею, что купил. Естественно, его надо использовать только с родной лейкой и подобрать для себя оптимальное количество кругов с отверстиями в ней.</t>
  </si>
  <si>
    <t>Пылесос, на мой взгляд, хороший, просто надо понимать для чего вы его берете и чем ради этого готовы жертвовать. Он не подходит если ваша квартира меньше 80м.(просто в ней он не вместится ни при уборке, ни в режиме ожидания), его НУЖНО обязательно мыть, но при сноровке и некоторых усилиях это все равно занимает меньше времени, чем регулярное беганье с ведром и шваброй, дабы не растирать грязную воду по дому и не устранять разводы пола, с ним ваш пол чист после первого раза. Да, воду нужно будет доливать, а фильтр выливать, но после него реально чисто, моет ли он воздух - не знаю, но пыли садится на мебель значительно меньше. Точно необходим для генеральной уборки, особенно тем у кого много светлых вещей в доме, он тяжелый, но мудрые немцы придумали колесики, если много волос длинношерстных, наверное, не справится, у меня кошка, шерсти не много, потому проблем не испытываю. Восторг вцелом был, хотя омрачен, тем, что сразу потекла помпа,(под ним образовалась лужица) вот думаю к вам ехать за гарантийным ремонтом, встречайте, привыкла я уже к своему помощнику и от него не откажусь ни за что. P.S. материалы качественные, собран достойно, но цена могла бы быть и пониже.</t>
  </si>
  <si>
    <t>Купил данный чайник в 2009 году и сразу понравился. Работает до сих пор! Вода прелесть. Время подогрева осталось прежним. Взял сразу же 2-ой на запас. Гарантия на 3 года купленная - не пригодилась!</t>
  </si>
  <si>
    <t>Хорошее качество звука, прочная конструкция.</t>
  </si>
  <si>
    <t>Купила выпрямитель года 2 назад. Пользуюсь конечно не каждый день. Но мне все в нем нравится. Нагревается быстро, волосы особо не жгет, достаточно быстро выпрямляет. В общем я довольна. Считаю что его  цена м качество соответствуют функциям.</t>
  </si>
  <si>
    <t>Судя по откликам телевидение стоит того чтобы к ниму подключиться.</t>
  </si>
  <si>
    <t>1)PSP не работает 6 часов без подзарядки!  2)Карты памяти нет.  3)USB-провода нет!  5)В интернет не всегда выходит ((глючит))!!!</t>
  </si>
  <si>
    <t>Считаю замечательные наушники. В интенсивной эксплуатации 8 лет (в основном телевизор) и только сейчас сломались (инфрокрасные излучатели).  Цена, качество и заявленные технические характеристики оптимальны. Иду покупать такие же, но уже с индексом 140.</t>
  </si>
  <si>
    <t>Купили более года назад, за год 3 раза сдавали в гарантийный ремонт (не грела). Проработала с перебоями 1,5 года, зашумела и задымилась. Никакими функциями мы не пользовались, кроме разогрева. Купили из за дизайна. Никогда продукцию этой фирмы покупать не буду.</t>
  </si>
  <si>
    <t>1945</t>
  </si>
  <si>
    <t>Не покупайте!  Качество звука отвратительное, низов нет вообще, громкость чуть добавишь (на мп3 плэйере) уже хрипят. Сопротивление 16 ом вместо 32 заявленных, т.е. мощности берут вдвое больше (и при этом тише звучат). Все это я пишу в сравнении со штатными ушами от дешевого плэйера самсунг yp-u5. Единственный момент, из-за чего брал, это крепление. Сидят как влитые (я в них бегаю).</t>
  </si>
  <si>
    <t>Просто в этой модели и блютуза не предусмотрено, но есть еще аналогичная модель и продается она заграницей, там hdd 310 гб и блютуз есть! разница в этих числах 314G25, там что то другое, с блютузом модель в Россию не поставляется</t>
  </si>
  <si>
    <t>2011-08-12</t>
  </si>
  <si>
    <t>Отличная станция. За 2 года не было ни одной проблемы, только батарейки меняю раз в год. Тонкая, показывает все, что нужно - температура и влажность внутри и снаружи, прогноз - ничего лишнего. После покупки был приятно удивлен, что станция принимает сигнал точного времени (хотя мне говорили, что сигнал до Москвы не доходит). Хотя поначалу не мог понять, почему часы все время сбиваются на 2 часа. Оказалось надо было установить правильно временную зону. Установил +2, и с тех пор у меня абсолютно точные часы. Теперь вот купил такую же и родителям. Им тоже нравится.</t>
  </si>
  <si>
    <t>Изображение очень объемное, чувствуется глубина цвета. Но при этом ничего неестественного не бросается в глаза, легкая картинка. Шумодавы прекрасно работают, растягивается картина меньшего разрешения качественно. 32-дюймовая диагональ ))) Удобное меню тоже отмечу, гораздо лучше, чем у многих. Жидкокристаллическим монитором Panasonic TX-LR32 C10 полностью довольна :)</t>
  </si>
  <si>
    <t>1261</t>
  </si>
  <si>
    <t>Игра просто класс!!!</t>
  </si>
  <si>
    <t>НЕ плохой тостер, но единственный минус тостеры почему то приходится вытаскивать оттуда руками,хотя консультант говорил в магазине что они сами оттуда выскаикавают и еще маленький ребенок и я пугаемся как он щелкает, когда хлеб поджарился!</t>
  </si>
  <si>
    <t>275</t>
  </si>
  <si>
    <t>Купил еще в ноябре! Отличный ноутбук. Памяти достаточно. За пять месяцев никаких сбоев. Игры сужает, что дает отличное качество. В общем ноут супер. За такие деньги, сейчас таких как он не найдешь!Покупайте не пожалеете.</t>
  </si>
  <si>
    <t>2160</t>
  </si>
  <si>
    <t>После того, что было, эта плита просто чудо. Единственное, в первый же день покупки убежала каша, и осталось не смываемое пятно, может быть специальным средством очистится, но я думаю, что это общая проблема стеклокерамической поверхности. В целом доволен. Нагревает быстро, остывает не долго.</t>
  </si>
  <si>
    <t>2015-11-28</t>
  </si>
  <si>
    <t>Купил 2,08,15 работал до 26,11,15. Перестал определять номера совсем. Мне этот аппарат пришлось заменить другим. Больше такое барахло брать не буду.</t>
  </si>
  <si>
    <t>Купила такую машинку домой своих мальчиков стричь. Форма компактная, в руке удобно держать, работает быстро, особых усилий вовремя стрижки прикладывать не нужно, с помощью рычажка удобно настраивать длину. Сейчас летом она особенно актуально так как с длинными волосами никто ходить не хочет жарко))</t>
  </si>
  <si>
    <t>Выбирали для дочки. Сначала по внешним данным. Технические данные тоже, говорят,что хорошие. Но!Такой изящный,на первый взгляд,ноутбук весит 3кг.Тяжеловат!</t>
  </si>
  <si>
    <t>3104</t>
  </si>
  <si>
    <t>Шикарная вещь! Готовить можно практически все! Заменяет много электро приборов кухонных! Все получается вкуснее чем в духовке.</t>
  </si>
  <si>
    <t>Вытяжка мне понравиласт за свой интересный внешний вид. На нашей кухне смотрится очень круто!!! Особенности - автоотключение, очень тихая работа даже на максимальной мощности., работа в режиме отвода или церкуляции воздуха, жироулавливающий фильтр, сенсорное управление, яркие галогеновые лампочки (холодный фильтр), благодаря темному покрытию практически не собирает отпечатки пальцев и не пачкается.</t>
  </si>
  <si>
    <t>Деньги на ветер, прибор ни о чем, это тупо фен с пятью насадками, который ни на что больше не способен!!!</t>
  </si>
  <si>
    <t>Пылесос должен пыль сосать, что он и делает идеально. Я очень довольна, там и турбощетка, и пыль прессуется, и контейнер не мешковой!!! Все прекрасно моется! Главное после каждой уборки квартиры все мыть и будет вам счастье! Я свое уже нашла)))</t>
  </si>
  <si>
    <t>Из всех представленных жк-телевизоров в магазине этот лучше всех отображал мелкий текст, а так как я его купила на кухню, то для меня этот параметр очень важный, даже с расстояния в 4 метра достаточно приличная четкость. Очень большим плюсом отметила то факт, что в настройках телевизора доступен параметр регулировки отдельных цветов.</t>
  </si>
  <si>
    <t>Нет запаха, быстро закипает</t>
  </si>
  <si>
    <t>1587</t>
  </si>
  <si>
    <t>купили 8 месяцев назад ни разу не пожалели соответствует своей стоимости</t>
  </si>
  <si>
    <t>Настоятельно рекомендую не тратить деньги на эту игру!!! Красиво расписанная на диске, на деле оказывается третьесортным шутером. Кроме ужасной устаревшей графики, оптимизация самой игры не поддается описанию. Имея на своей машине Core i7 и видео GTX 280 на 1 Гб, с 6 Гб оперативки загрузка уровней может занимать до 5 минут!!! Crysis на максимальных настройках грузится 15-30 секунд. Плюс глупейший AI, уровни можно проходит с пистолетом и 100% хедшотами (статистика в конце уровня). Если интересны джунгли, наемники и пальба, то Ваш выбор - Far Cry.</t>
  </si>
  <si>
    <t>А я давно уже протираю эту панель  салфетками из микрофибры (сначала влажной, потом сухой) - тоже никаких разводов. Ну и, конечно, периодически со специальными средствами для нержавейки. У панели очень удобный электроподжиг - легкий, быстрый. Панель нагревается, но не сильно. По поводу отзыва от Анны: со всем согласна, а что касается невозможности поставить рядом две большие кастрюли - это верно, но у меня и на плите Indesit было так же. Кстати, нужно быть осторожными - царапается очень легко, но эти маленькие царапинки не особенно и видны.</t>
  </si>
  <si>
    <t>Купил 20.02.2010, доволен: равномерно разогревает, хороший гриль, достаточно мощная, стильная.   Из недостатков: значок на кнопке "СТОП\СБРОС" полностью слез на 2 день, очень маленькое окошко, слабая подсветка.</t>
  </si>
  <si>
    <t>Неделю как купили-полёт нормальный, операционка прелесть, очень удобный виндус, сам ноут тихий, греется в меру (не напрягает), удобная клавиатура, специально привыкать не надо. Начинка простая, без наворотов. Батарейка попалась слабая в комплекте с пультом, заменили на новую, всё ОК. Направляйте к ИК порту поточнее, не очень резво берет сигнал. Для эстетичных пользователей, могу сказать, что удовлетворил полностью))))Очень красивый, даже нет...стильный. Серебро металла по черному очень красиво смотрится. И вправду можно влюбиться, как Катя)))Свою технику надо любить, она так дольше служит)))))Вывод: соответствует своей стоимости.</t>
  </si>
  <si>
    <t>Только плюсы со всех сторон.</t>
  </si>
  <si>
    <t>Просто рекомендую, дорого но это вещь за которую можно заплатить уже три года и я доволен. Не остается никакого налета от заварки и кофе. Использую регулярно... СПАСИБО за продукт</t>
  </si>
  <si>
    <t>Цена-качество. На 3-й скорости трясётся и вибрирует,но это исправимо с помощью бумажки)) подложить в нужное место и порядок.</t>
  </si>
  <si>
    <t>Телефон не плохой даже очень хороший,но не поддерживает icg!</t>
  </si>
  <si>
    <t>2497</t>
  </si>
  <si>
    <t>Покупал такой водонагреватель через интернет магазин. В целом работой Мвидео остался очень доволен, но вот бойлер ariston оказался очень низкого качества. Сначала начал подкапывать около предохранительного клпана. Вызвли сервисных мастеров, сказали что отказал термодатчик, и температура нагревалась свыше нормы, отсюда избыточно давление и кран начал капать. Вроде заменили все по гранатии, но не прошло и пары месяцев и загнулася ТЭН. Вообще мороки за эти 4 месяца предостаточно было с этой штуковиной.</t>
  </si>
  <si>
    <t>не нашел</t>
  </si>
  <si>
    <t>Приобрели пароварку 2 года назад. По моим личным наблюдениям она вообще не удобна! Другими пароварками не пользовался. Минусы у этой: 1. Поддон для капель очень быстро заполняется!!! Готовили котлеты на пару. время их приготовления по рецепту около 30 минут. За эти 30 минут нужно слить жидкость из поддона около 6ти раз!!! А слить жидкость из поддона это значит: выключить пароварку (уже нужно запомнить время сколько вы готовили), снять все чаши, взять до краев заполненный поддон, и слить оттуда всю жидкость. Если вам повезло и вы раньше времени заметили наполнение чаши, то жирный бульон из чаши не попадет в резервуар для чистой воды. Такую процедуру повторять нужно не однократно, одно мучение. 2. Отсутствие кнопки паузы, и неудобная установка времени. 3. Связано с 1ым пунктом. Воду (или если жир попадет в резервуар для воды то это еще хуже) вообще неудобно сливать из нее. Все течет по краям, заливается в стыки корпуса. В общем пароварка в плане удобства использования категорически не понравилась!!</t>
  </si>
  <si>
    <t>786</t>
  </si>
  <si>
    <t>От обычной бритвы раздражение. Когда брал Браун боялся что от него так же будет раздражение, но ошибался. Пользуюсь уже почти 2 года. Бреет чисто, аккумулятора хватает надолго, есть индикатор зарядки. В комплекте идёт маленькая кисточка, которой удобно чистить кассету. Вполне доволен.</t>
  </si>
  <si>
    <t>Купили этот чайник 3 недели назад, остались в полном восторге. Очень хороший чайник. Металлический вкус присутствовал в первую неделю использования, сейчас все в порядке. По поводу того, что некоторые пишут -противно пищит, неправда-обыкновенный сигнал, как у современной свч(он нам привычен), так что не раздражает, скорее этот сигнал можно отнести к плюсам-когда находишься в другой части квартиры,очень кстати слышать оповещение о закипани и воды в чайнике. Кипятит воду быстро, про шумность хочу сказать, что чайник нетихий, хотя сравнить не с чем(до этого был термопот). Вообщем шум не напрягает. Зато есть очень удобная функция поддержания температуры, которой часто пользуемся. Удобный 2х сторонний индикатор уровня воды. Вообщем по нашим потребностям чайник идеально подошел, и минусов в нем не нашли.</t>
  </si>
  <si>
    <t>1013</t>
  </si>
  <si>
    <t>Ноут хорош, резвый весьма..HD летает, игры не пробовал, так как девушке в подарок покупал! Правда иногда действительно не срабатывает тачпад..видимо из-за технологии против случайного касания...и бывает посвистывает проц..когда работает от батареи или когда подрублена мышка справа. И хотелось бы конечно хоме премиум, а не базик...потом что базик глючит бывает...бесит, когда расставишь все ярлычки на столе, а после перезагрузки вперемежку как лежат, не смотря на то, что все настройки упорядочивания отрублены.</t>
  </si>
  <si>
    <t>43</t>
  </si>
  <si>
    <t>Купили с мужем этот нотик месяц назад, безумно довольны. Windows 7 тоже приятно порадовала, пока не возникло никаких проблем с установкой программ, либо игр. Клавиатура мягкая, печатать одно удовольствие, в целом самый симпатичный нотик из тех, которые были в магазине!!!!!!! :)) не пожалеете!</t>
  </si>
  <si>
    <t>2017-02-24</t>
  </si>
  <si>
    <t>Чайник выходит из строя за полгода, если 2-3 раза в день кипятить полный чайник. Проверено на трех чайниках. Перестает закрываться крышка чайника и из-за этого чайник перестает отключаться и кипятит воду до бесконечности. Проблема связана с тем то в крышке чайника механизм закрывания крышки сделан из пластмассы и что самое страшное - пластмассовые детали скреплены с помощью клея.  Набирая полный чайник возникает мощное нагревание крышки, клей плавится и чайник выходит из строя. Надеюсь производитель когда-нибудь исправит проблему... :-(</t>
  </si>
  <si>
    <t>Отлично справляется с небольшой площадью в 12кв.м.  С 35 градусов жары в помещении за 10 мин. температура падает до 22.  Из недостатков немного шумный внешний блок.</t>
  </si>
  <si>
    <t>Купил недавно этого малыша. На вскидку - нетбук неплох, но не могу активировать bluetoot, хотя везде пишут, что он должен быть в этой модели. Драйвера стоят нормально. Перепробовал все варианты включения по инструкции - никаких результатов. В технике я не "чайник". Компьютерами занимаюсь с 1995 года.</t>
  </si>
  <si>
    <t>2511</t>
  </si>
  <si>
    <t>Отличный усилитель, всем рекоммендовал, работает четко, проблем с ним за 1,5 года не было.</t>
  </si>
  <si>
    <t>2663</t>
  </si>
  <si>
    <t>Замечательный ноутбук, редкая находка.  Производительность на высоте.  Если бы кнопки FN с CTRL(слева) поменять местами, вообще бы цены не было, до сих пор не пойму зачем так сделали, в новых моделях все как положено, но ведь эта модель из всего ряда (включая новые) самая производительная вроде, внимание надо было акцентировать на ней я считаю.</t>
  </si>
  <si>
    <t>Не соглашусь с предыдущим отзывом. По сравнению с другими машинами(как Самсунг, так и других производителей) 8590 достаточно тихо работает, и на полоскании и на отжиме. Смущает немного "свистящий" призвук,но это,наверное,бесщёточный двигатель. Качество стирки отменное, функция разрыхления - это вообще супер, отжим на 1000 оборотов, правда, не намного лучше, чем на 800.  P.S. Кстати, может Сергей забыл таки вывернуть транспортировочные болты?  Самая распространённая ошибка при установке, даже если устанавливал Сервис-центр.</t>
  </si>
  <si>
    <t>Всё было супер. Пока была гарантия. Через 3 месяца после её окончания - у него съехали мозги...стал сам выключаться ровно через 1 секунду после включения. Причём эксплуатация его была более чем щадящая... В сервисе обрадовали.. ..примерно 5000 и примерно 2 месяца..плата управления в сборе.... Негодная фирма &amp;quot;BORK&amp;quot;...за эти деньги он должен вечно работать....</t>
  </si>
  <si>
    <t>1402</t>
  </si>
  <si>
    <t>Купил такой маме. Не знаю, что тут пишут о его ненадёжности, у нас он уже больше года исправно служит. Ничего не скрипит, не отваливается. Звенит громко, фонарик светит, кнопки не стираются.</t>
  </si>
  <si>
    <t>311</t>
  </si>
  <si>
    <t>Расскажу пару минусов и пару плюсов, которые не вошли в предыдущее описание.  Плюсы:  1. Порадовало наличие LAN. Подключить все получилось. Как я понял, интернет нужен только для скачивания виджетов и не более. Больше не заметил, для чего он еще нужен. Но на этом использование LAN не заканчивается. Запускаем на компе так называемый media-server, который работает как флэшка: т.е. можно просматривать расшаренные папки, слушать музыку, смотреть фотки, смотреть видио. Есть еще некая функция Render, с которой еще не разобрался.  2. При проигрывании файлов с описанного выше media-servera можно использовать пульт от телевизора, как пульт от DVD проигрывателя: т.е. мотать видео, делать паузу при воспроизведении (на пульте есть соответствующие кнопки).  3. Повторю предыдущий отзыв: отличная картинка.    Минусы:  1. Отвратительный звук. Проблему решил подключением калонок от компа с сабом. Теперь все отлично.  2. Неудобная навигация по внешним носителям информации. Так для того чтобы смотреть фотки нужно выбрать просмотр фоток. Для видео - просмотр видео. Удобней было б так: заходишь на внешний носитель и выбираешь файл, а телевизор по содержимому файла сам определяет что это такое (фото, видео или музыка) и воспроизводит его. Как собственно и сделано во всех компьютерных операционных системах.  3. Поддерживает мало типов видеофайлов: VOB и MPG. AVI не воспроизводит. Налицо недоработка программного обеспечения.  4. Неудобная навигация по media-server`у. Было пару раз, что захожу в паку, а в ответ соощение типа "не могу прочитать содержимое" и происходит выход из меню обзора содержимого сервера. Так же недоработка ПО.  5. Может я еще не разобрался, но при отключении питания (из розетки) время сбрасывается. Т.е. нет батарейки для независимого питания часов.  6. Функция картинка в картинке. Опять же, может быть еще не до конца разобрался, но выглядит это так. Сморишь фильм с внешнего носителя, а в углу в маленьком окошке можно смотреть телевизионную программу. И никак иначе. Нельзя сделать телевизионную программу на весь экран, а в углу смотреть, например, фильм с DVD. Нельзя смотреть одновременно две телевизионные программы, хотя в описании два TV-тюнера (хотя, возможно их кол-во тут ни при чем).  7. Продавец попался обманщик. В том плане, что незнающий менеджер. Сказал, что телек со 100 герцами ))). А в описании ничего про 100 герц не сказано.     Ну вроде все. Моя оценка - 4 балла из 5.</t>
  </si>
  <si>
    <t>2401</t>
  </si>
  <si>
    <t>Купил этот ноут с женой 7.10.09 г.  довольно хороший ноутбук в соотношении цена качество мощность!   по сравнении с другими брендами ! отличается от предыдущих моделей 250 гб жесткого диска 3 гб оперативы и процессором 2100 Мг 512 видео NVIDIA, хочу сказать что для любителей компьютерных игр таких как гонок и стерялок идет на на 5+!!!   Проблем с установкой программ на windows 7 home basic не встречал с момента появление 7, просто надо сразу знать, что у тебя 64, а не 32)))   темы и конки иконки Мой компьютер и.т.п ставятся нормально просто надо инструкцию сначала прочесть, если что не получается в первую очередь, а не писать свои недочеты образования))))  Недостатков пока не заметил....    P.S Так что, кому нужен бюджетный ноут советую! Можно как поработать, так и поиграть!</t>
  </si>
  <si>
    <t>Отличный телефон! Пользоваться им одно удовольствие - все удобно, красиво и понятно.  Из минусов: Немного разочаровал калькулятор - по функциям напоминает счеты, из доступных операций + - * / и ВСЕ!  А так же возникли проблемы с сервисными смс оператора.  Но плюсы безусловно перекрывают все минусы, и владение таким телефоном доставляет истинную радость.</t>
  </si>
  <si>
    <t>Мне этот триммер понравился тем, что у него много насадок и все это можно поставить на специальную подставку, чтоб не терялось по квартире. Цена устроила, посмотрел и купил. Дома уже опробовал на своей бороде, бакенбардах. Все работает нормально, легкий - рука не устает, пока я свои волосы в порядок привожу. Работает тихо, еще бы заряжался быстрее, а так остальное все ок.</t>
  </si>
  <si>
    <t>Подарила этот выпрямитель сестре, просто отличная вещь. Про кисточки Елена, действительно такое может быть. Зашла в один магазин - там кисточек не было. Спросила у консультанта, та на меня смотрит бегающими глазами и говорит, что у них на складе наверное вытащили. Короче там я покупать не стала. Поехала в другой М видео. Там все отлично. Упаковано и кисточки на месте.</t>
  </si>
  <si>
    <t>Офигенные наушники! мне очень понравились. и бас отличный (особенно когда слушаешь R&amp;B или драм ), звук чистый, никаких проблем с этим не было. Дизайн интересный. двойные эти вкладыши хорошо звукоизолируют. плеер у меня creative zen mozaic в сочетании с наушниками все просто великолепно! стоят они своих денег.</t>
  </si>
  <si>
    <t>покупкой очень довольна,много насадок с помощью которых укладка укладка  получается разнообразная красивая,очень понравилась насадка для выпрямления-это находка,рекомендую этот фен кто хочет выглядеть красиво быстро и разнообразно</t>
  </si>
  <si>
    <t>Купили не так давно, я его просто обожаю!!! Полы моет суперски! Диван, ковер чистит не напрягаясь.</t>
  </si>
  <si>
    <t>2013-11-27</t>
  </si>
  <si>
    <t>И так... Начнем с хорошего) В общем при его покупке были только плюсы). Не сажался так быстро аккумулятор при прослушке саба с заглушенным двигателем. Перестали прыгать подсветка приборов и магнитолы на больших громкостях. Раньше было даже выключался и перезагружался майфун без него. Купил я как-то новый акб, но он пал смертью храбрых. Но подводные камни всплыли. Стал я замечать, день постоит авто, еще норм, вместо заявленных 12.8 В стало появляться только 12. И вот однажды машинка простояла на улице при t 0,-5 градусов 3 дня, и что я вижу? Напряжение 9.8В. Короче, это самый прожорливый кондер из всех наверное) Я расстроен, либо на него ставить выключатель какой, либо на помойку. Зимой я думаю вы не захотите толкать авто на морозе, а так штука хорошая. Мой совет: возьмите другого производителя.</t>
  </si>
  <si>
    <t>Люди! Так эта модель,как раз для приготовления толстых вафель. Желаете тонкие ,покупайте другие модели вафельниц. Нужно внимательно читать инструкцию и всё будет чудесненько!!!</t>
  </si>
  <si>
    <t>Вообщем приобрел я неделю назад этот ноут,вещь классная,для игр и всего прочего подходит просто прекрасно.КОРОЧЕ ОТЦЕНКА 5+!!!</t>
  </si>
  <si>
    <t>лучший слэшер из всех, в которые я когда-либо играл)</t>
  </si>
  <si>
    <t>1059</t>
  </si>
  <si>
    <t>Очень сильно выручает. Всем рекомендую!</t>
  </si>
  <si>
    <t>1547</t>
  </si>
  <si>
    <t>Полностью согласен с другими отзывами, качество превосходное. Оцифровывал видео - летает, работает тихо, нет раздражающих шумов, загрузка 30 секунд и ты уже в интернете. Недостатков пока не заметил.</t>
  </si>
  <si>
    <t>Искала чайник из нержавейки по приемлемой цене,нашла. Покупка не разочаровала. Из недостатков - снаружи не видно уровень воды и крышка не фиксируется в открытом положении,в остальном всё отлично.</t>
  </si>
  <si>
    <t>Плеер отличный, телевизор ловит в Петербурге все каналы как и на простом телеке (17 каналов)отлично показывает, кабельные не ловит. 2 динамика. Сенсор хорошо работает. Он у меня второй день. Плеер суперский. В комплект кроме зарядки, наушников и кабеля есть отличный и удобный футляр. Если без футляра любите носить, то купите защитную пелёнку рублей 200 стоит. Одеть самому сложно пелёнку пузырики везде получаются и отклеивается, поэтому в магазине попросите. Мне в футляре нравится носить.</t>
  </si>
  <si>
    <t>Купил подсоединил два шланга, в розетку и вперёд !  Выглядит очень просто и также просто обращаться с ней!  Стирает тихо!   И воды не много ушло за 2-х часовой цикл (а сейчас же счётчики везде - это важно!)  Доволен в-общем!</t>
  </si>
  <si>
    <t>1800</t>
  </si>
  <si>
    <t>Пластмассовая игрушка. Дешевый, утопленный звук без намека на детализацию. Очень неприятное звучание. Кто слушал нормальные уши, тот меня поймет. Этот девайс ни в коем случае не для Ди джеев (смех да и только)! Не берите!</t>
  </si>
  <si>
    <t>Ребята у него очень зернистый экран, просто возьмите в руки "младшую" модельку Rover V7 и вы сразу все поймете! в глаза очень сильно бросается... а на счет видовз 6.5, так она с легкостью ставится на V7.... а стоит он дешевле</t>
  </si>
  <si>
    <t>Отличная модель. Пользуюсь почти год. Басс отличный, но в тоже время не глушит.</t>
  </si>
  <si>
    <t>1047</t>
  </si>
  <si>
    <t>Плеер удобный, согласен, но некоторые модели ненадёжные. У меня на 3 недели полностью завис, не фурычит никак, компом не распознаётся, перезагрузки не помогают.  Мой совет такой: нужно ооочень хорошо посмотреть на другие модели.</t>
  </si>
  <si>
    <t>Пылесос действительно мощный. Но если использовать контейнер, мощность заметно падает к концу уборки. Я убираю три комнаты, кухню, туалет, ванную, и 2 прихожие, везде паласы. Начиная уборку, приходится придерживать края паласа, т.к. пылесос их поднимает от пола, к концу уборки пылесошу свободно.  Ручка кажется какой-то хлипкой, надеюсь, это только кажется.  Чистка контейнера занимает, буквально, три минуты.  Пылесос не переезжает препятствия, даже собственный шнур или край паласа, приходится его переносить.  Пылесос достаточно шумный, из-него сильно дует теплый воздух, запаха пыли нет.  Качеством уборки довольна. После замены старого пылесоса на этот, заметила, что и на мебели пыли стало появляться намного меньше, видимо, из-за фильтрации, которая не выпускает пыль из пылесоса обратно в комнату.</t>
  </si>
  <si>
    <t>Чайник прикольный, вода закипает не очень быстро, но и недолго, по звуковым характеристикам могли бы сделать не как ракета, взлетающая с Байконура. В полете две недели - полет нормальный пока. Всем советую этот чайник, во всяком случаи у меня все работает!!!</t>
  </si>
  <si>
    <t>Просто замечательный ноутбук,очень красив удобен в использовании незаменим в учёбе и различных сферах деятельности.</t>
  </si>
  <si>
    <t>Поменял три таких чайника. Оба раза ломалась кнопка включения. На третий день взял деньги, ведь три раза - это уже не случайность, а закономерность.</t>
  </si>
  <si>
    <t>600</t>
  </si>
  <si>
    <t>полтора месяца и давитель поломался. Пластмассовая часть на которую надевается ситечко протерлась. Сервисный отдел не имеет информации ни по стоимости ни по сроком поставки комплектующих. при этом просит предоплату</t>
  </si>
  <si>
    <t>Игру приобрел две недели назад. Обычно игры беру тщательно просмотрев отзывы. По игре  «Схватка» отзывов или не было совсем или написаны были так коряво что понять что-либо не было возможности. Заинтриговала возможность порубится через мув, в итоги взял. Первое впечатление разочарование... нет точности в работе мува, приходится постоянно  калибровать, движения замедленные, корявые с непонятными траекториями и физикой ударов. О графике промолчу... на любителя. Теперь самое интересное промучившись часа два я вдруг  понял… что мне начинает нравится, пусть удары и не получается и руки у персонажа  иногда живут своей жизнью да и с настоящем боем  по технике мало общего, но игра захватывает.  Выкладываться приходится на все сто, проведя один спарринг выкладываешься как в настоящем бою, реально чувствуешь нагрузки. Повторюсь с техникой в игре проблемы, хотя сейчас кое-что уже начинает получатся, видно привыкаю к физики мува,в игре надо просто рубится!  В итоге если вы хотите улучшить   свою технику боя, то с этой игрой это будет проблематично. Но выпустить пар и скинуть несколько килограмм не выходя из дома всегда сможете.  Да, и еще важный момент, для боя лучше всего иметь два контролера движения.</t>
  </si>
  <si>
    <t>Купили пылесос 10 июля.   В первый же день решили испробовать - и очень удивились. С ковра, уже пропылесошенного старым агрегатом, LG собрал ну очень много грязи.  Так же отлично собирает кошачью шерсть.   Пока использовали только обычную и турбо щетки. Причем, сила всасывания настолько большая, что щетку приходится проталкивать по ковру - это что касается минусов.   Больше нареканий никаких - разбирается легко, можно не мыть, а просто протереть влажной тряпкой.   Рекомендую к использованию.</t>
  </si>
  <si>
    <t>Купили 2 дня назад. Очень нравится, греет отлично. До этого покупали керамический обогреватель другой фирмы, так сдали на след.день обратно в магазин и поменяли на этот, о чем ни сколько не жалеем. Покупайте,не пожалеете!</t>
  </si>
  <si>
    <t>2209</t>
  </si>
  <si>
    <t>Качественный китай</t>
  </si>
  <si>
    <t>Все прелести только в корпусе и в 24 каналах. Качество связи хорошее только на 300м и то не в городе. Брали на работу 10 шт, но так как не отвечает заявленным требованиям.</t>
  </si>
  <si>
    <t>Щипцы ужасные. Нагреваются медленно. Очень сильно жгут волосы. Не стоят своих денег.</t>
  </si>
  <si>
    <t>Кофеварка ужасная. Кофе, приготовленный в ней имеет не только запах, но и вкус пластмассы. Никакие промывки и проветривания не помогли, товар не качественный, зря выброшенные деньги.</t>
  </si>
  <si>
    <t>Пользуюсь таким почти год.  Шикарный термос, по тому, как держит тепло - сравним со старыми советскими ваккуумными термосами со стеклянной колбой, но металлическая колба, конечно же, имеет свои неоспоримые преимущества - прочность.  Крышка очень удобная, легко разбирается и моется, пищевой пластик держит температуру примерно до 250 градусов (проверял паяльной станцией ;),  бред про "выделение вредных веществ" можете смело игнорировать :)  Кто любит китайский чай (особенно зеленые и белые - там вкус воды критичен) - оценит особенно, поскольку покрытие внутри колбы изолирует жидкость от контакта с металлом и нет мерзкого железного привкуса, как в обычных стальных термосах.  Ну а для традиционного чаепития с гайванью (да и с easypot-ом тоже) такой термос просто незаменим.   В общем, крайне рекомендую - как для "чайных людей", так и просто для тех, кто понимает, что такое хороший термос :)</t>
  </si>
  <si>
    <t>Вчера приобрели машинку.Отстирала одну стирку.Качеством стирки довольна.Правда у меня до этого были 2 машинки с верхней загрузкой.Но боковая вроде ничего, тоже удобно.Да и барабан на 4,5кг боюсь немного маловат(ранее был на5кг).Но слово "Эконом" написано правильно!!!</t>
  </si>
  <si>
    <t>Я думаю две видеокарты на нем не для того, чтобы одна другой помогала, а одна когда ты подключен к сети, и играешься, а вторая - когда ты на аккумуляторе, она наверное не такая прожорливая. :) Иначе тогда почему при отключении -включении в сеть, он переходит с одной видеокарты на другую.  А так компьютер хороший, большой экран, игрушки таскает, единственное готика забытые боги клинит, остальные, такие как CoD 4, сталкер, Ассасин - таскает на максимальных настройках.  Сегодня еще попробую Кризис, если и его хотя бы на средних будет таскать - значит стоящая штука. Ведь говорят, если у вас компьютер тянет Кризис на максимальных настройках, значит он не устареет в ближайшие года три. :)   Кнопки тачпада вот только не очень удобные и блютуса нет, при том, что кнопка для него есть.</t>
  </si>
  <si>
    <t>Подарили такой утюг на свадьбу:) очень довольна, особенно функцией автоотключения. Постоянно раньше сомневалась выключила ли я утюг, а сейчас даже и не думаю об этом. Утюг для таких как я - рассеянных и вечно спешащих девушек. Гладит идеально благодаря суперотпариванию.   5 баллов.</t>
  </si>
  <si>
    <t>Светящийся чайник - это аходка для интерьера. Смотрится очень стильно, впишется в любо интерьер, особенно в хайтек) На качество не жалуюсь.</t>
  </si>
  <si>
    <t>В наличии два: один на даче, второй в Москве. Нареканий по работе нет, греют оба отлично. На одном есть вмятина после сильного падения, работает.</t>
  </si>
  <si>
    <t>Отличный утюг, я его даже со скидкой взял, стоит своих денег!</t>
  </si>
  <si>
    <t>2015-09-19</t>
  </si>
  <si>
    <t>Брал данный телефон на замену старому. Именно "Panasonic" из-за громкости динамиков, что бы хорошо было слышно звонящего. Телефон полностью оправдал ожидания. Собеседника слышно отлично, батарея тоже соответствует заявленным данным (170 часов в режиме ожидания). Проверял специально. Главное помнить, что это никель-металлогидридные аккумуляторы, которые для правильной долгой работы требуют полной разрядки ( до само отключения)и последующей полной зарядки (не менее 8-10 часов). Особенно важны первые три-четыре цикла. Из недостатков можно выделить, пожалуй, только очень бедный набор мелодий звонка. Хотелось бы по разнообразней, что бы было из чего выбирать. АОН не проверял, мне он не принципиален. Во общем простой рабочий телефон без лишних "наворотов" для активного использования.</t>
  </si>
  <si>
    <t>Очень удивило, что размер данного нагревателя меньше чем 2 предыдущих-точно таких же (бочка 50 литров).. Беспокоился, что плохая  термоизоляция бака..ан нет-лучше чем было! Ничего не могу сказать о долговечности сего изделия, т.к эксплуатирую 3-й день..первый водонагреватель (питерский Фэйс) прослужил 10 лет..второй ..их же-4 года (ужас)! Рисковать не стал-купил доп.гарантию на 3 года за 1000 рублей-старый нагреватель успешно продал за сутки через известный сайт-честно сказал, что начал иногда капать..(900 р.)... Читал предыдущие отзывы-видел ересь..типа термостат крутится на 360 град...или типа "я устанавливаю температуру комфортную для себя, а для жены -другую".. Рекомендую ставить, как минимум на 70 проц...3 деление..-и пользоваться обычным путем-СМЕСИТЕЛЕМ! Рисковать не стал-поставил обратный клапан от старого (4 года) нагревателя-начитался комментов, что мол брызгает.. (пружинка в новом реально в 2 раза "слабее") Удачи!  "Дешево-не значит -плохо! Учите матчасть :-)</t>
  </si>
  <si>
    <t>Товар в общем хороший. Но только долго закипает. И когда закипел горячий как утюг.</t>
  </si>
  <si>
    <t>минусы ноутбука : сильно греется левая сторона, от перегрева начинает хрипеть низко частотный динамик, звук для ноутбука очень хорош, но не настолько на сколько его здесь расхваливают =) от перегрева отклеилась сеточка динамиков на верхней части панели и немного вздулась =) ноуту примерно 6 месяцев... пипл не перегревайте его , он у меня бедняга работал в 36 градусов летом ... без стороннего охлаждения советую в такую теплую погоду не использовать!!!!  плюсы: отличная производительность процессора, хорошая видео карта без излишеств =) то есть убираешь швейдеры и фильтрацию на минимум а все остальное на максимум =) идет без проблем . Порадовало что можно добавить оперативы.    На мой взгляд ноутбук ТОЛЬКО для домашнего использования и свои деньги он отрабатывает на отлично!!!!!  Из игр на отлично идет стар крафт2 и болдерлендс =) это то на чем пробовал я =D</t>
  </si>
  <si>
    <t>Покупала много машинок для удаления катышков, но нужного результата не могла добиться ни от одной.  Приобрела машинку Maxwell MW-3101 W, она полностью справляется со своим назначением. Рекомендую.</t>
  </si>
  <si>
    <t>844</t>
  </si>
  <si>
    <t>Недорого , от известного производителя</t>
  </si>
  <si>
    <t>Отличный плеер! Наушники правда новые пришлось купить,А в целом ставлю 5. На работе вообще удобно с ним,миниатюрный. Уже больше года работает и всё устраивает!!!</t>
  </si>
  <si>
    <t>Очень сочные краски,прекрасный внешний вид,немного напрягает размытость изображения в динамических сценах,при 100 герцах изображение иногда подтормаживает, как впрочем на многих самсунгах!смотреть фильмы на нём самое лучшее,игры смотрятся менее хорошо!!!Вобщем довольно неплохой аппарат!моё скромное мнение!)))</t>
  </si>
  <si>
    <t>919</t>
  </si>
  <si>
    <t>Потрясающе классный плеер. Я в восторге. Очень удобный. Качество звучания превзошло мои ожидания спустя некоторое время мною его использования.   Рекомендую всем!!!</t>
  </si>
  <si>
    <t>Купил эту машинку, зря просто ужассс...  Она у меня стояла ну уж так получилось на полке специальной сделанной под машинку...  до этого стоя больше и другая, чтобы не делать рекламу не называю...  так вот она у меня слетела на бачок и разбила его(((</t>
  </si>
  <si>
    <t>самая ужасная антенна какую я когда либо покупал телевидение на 3,а радио у меня родная антенна лучше ловит чем эта,не ловит вообще и это с родным приёмником пролоджи.вообщем за приём радио в ярославле 1 единица с минусом.кстати нет переключателя.никому не советую эту чушь только деньги выкините на ветер.</t>
  </si>
  <si>
    <t>Купили в офис. комнату 24м охладил за 20-30мин. Шумит конечно, но не так сильно как сотрудники при жаре.   Если Ваше руководство отказывается покупать Вам кондиционер принесите ему нехитрый расчет:  В комнате 24м сидит 5 человек, средняя з\п 30000руб. При температуре в помещении 30 градусов рабочий день сокращается до 5-ти часов! 1 рабочий час сотрудников этого помещения стоит 852,27руб умножаем на 3 часа (на которые вам должны сократить рабочий день) = 2556,82р ДЕНЬГИ ЗАТРАЧЕННЫЕ НА КОНДИЦИОНЕР ОТОБЬЮТСЯ И НАЧНУТ ПРИНОСИТ ПРИБЫЛЬ ЧЕРЕЗ 4 ДНЯ! :)</t>
  </si>
  <si>
    <t>Хотел кофемашину</t>
  </si>
  <si>
    <t>Купили данный пылесос, потому что консультант уверил, что без проблем можно мыть ламинат. На практике же оказалось все совсем не так. для ламината слишком много воды. Но не буду обижать данную модель и всасывает воду которую он льет очень даже не плохо. Но из недостатков могу отметить, что подтекает трубка, которая подает воду, и для помывки квартиры площадью 40 кв.м. пришлось 3 раза наливать воду. Поэтому если в вашем доме из напольных покрытий плитка и/или линолиум - ваш пол будет чистым. Про остальные насадки ничего сказать не могу - т.к. не пользовались и решили обменять данный пылесос.</t>
  </si>
  <si>
    <t>2253</t>
  </si>
  <si>
    <t>Приставка высший класс!!! Я лично пользуюсь ей 2 года без замены чего либо!!</t>
  </si>
  <si>
    <t>Работает уже год,проблем нет,очень удобное меню,качество изображения хорошее  При определённой прошивке,можно с флэшки USB смотреть видео,фото, формат MKV воспроизводит  По сути получается ещё и встроенный проигрыватель любого видео</t>
  </si>
  <si>
    <t>Отличный телевизор в своем классе! Качество на высоте!После покупки, телевизор оправдал все ожидания Качество изображения отличное. Встроенный FM-тюнер! Удобное управление с пульта! В СОНИ ценю дизайн!Используем его в качестве монитора, все супер! Всем советую!</t>
  </si>
  <si>
    <t>3099</t>
  </si>
  <si>
    <t>хороший телик. у меня вот только одна беда, когда звук на минимуме гудит очень. а так все хорошо</t>
  </si>
  <si>
    <t>Пользуемся антенной уже 2 года,единственное в плохую погоду может заглючить,а так всё устраивает.Советую покупать!</t>
  </si>
  <si>
    <t>asd если не знашь , зачем писать! Будущее не за этим а за 16 гб это во 1 , во 2 стоимость велика из за вида ( зря переплачивать), в 3  зачем 8 гб , только если сервера делать , в 4 комп для задротов в игры онлайн и тп .  Нормальный и здраво мыслящий человек не екпит такое...</t>
  </si>
  <si>
    <t>Бреет хорошо !!! НО ., станок есть станок ,очень удобна для поездок .</t>
  </si>
  <si>
    <t>Пылесос проработал ровно 3 месяца, после чего работать перестал. Пришлось обратиться в магазин. В целом негативное впечатление от покупки техники скрасило приятное и клиентоориентированное обслуживание менеджеров М.Видео, которые пошли нам на встречу и предложили обмен на другую модель, хотя 2 недели давно прошли. Кроме того, хочу заметить, что на хваленую технику Миеле очень трудно найти расходники (мешки и фильтры. В общем - обычная переплата за красивое название, и не более того. Не рекомендую!</t>
  </si>
  <si>
    <t>Заказала машинку в субботу, в воскресение привезли, раскрыли показала, пол дня развлекалась с машинкой, пробовала все возможности. Очень понравилось При том что на электрических ни разу не шила, а тут ... ход мягкий, педаль послушная. Я в восторге. Честное слово. Инструкция тоже очень понятная, единственное что немного расстроило, это то что набор № 2 где есть очень нужные лапки не входят в набор и их нет в Аксессуарах.  А таак очень машинкой довольна. СПАСИБО.</t>
  </si>
  <si>
    <t>2013-06-15</t>
  </si>
  <si>
    <t>Пользуюсь уже неделю данной соковыжималкой. Покупать за такую цену даже не думала, планировалась покупка другой. Но продавец отговорил. Плюс в том что у нее плавный запуск, соковыжималка не пытается никуда убежать так сказать. Сок выжимается отлично, мякоти нет вовсе от твердых овощей и фруктов, от мягких яблок, груш и спелых ананасов совсем чуть и это даже хорошо.</t>
  </si>
  <si>
    <t>Пылесос хороший,мощность тоже.Только сейчас поняла, что надо следить за лампочкой-красный,стирать фильтр.У меня он прекратил работу,я подумала, что ему конец, или перегрелся.Час простоял - без толку, только потом дошло,что надо посмотреть фильтр,а сейчас еще дошло,что загорается не синяя, а красная лампочка.Я инструкцию читала, но бегло и не акцентировала внимание,так что запомните.Пыль высасывает замечательно, и удобно чистить.</t>
  </si>
  <si>
    <t>Нормальный вентилятор-греет.Никакой системы от опрокидывания нет.Замутный термостат.</t>
  </si>
  <si>
    <t>Купили эту модель (только в стальном варианте) еще в 2007 году. За весь период эксплуатации не выявлено ни одного недостатка.    По поводу "хрупких" полочек - вообще не представляю, что такого надо было с ними делать, чтобы они развалились... :)</t>
  </si>
  <si>
    <t>Машинка хорошая по функциям. НО...... Как только купили, возникла проблема с запуском. Моргал индикатор и не начинала стирать. Выяснил, что не до конца закрывается крышка. И это заводской брак. Приходится сильно прижимать, чтоб начать стирку. Проработала год. Начала течь. Сняв верхнюю крышку выяснил, что течёт из зазора загрузочного лотка для порошка. А в самом отсеке обнаружил кусок паралона, который непонятным образом расположен и непонятно для чего он там. Проблему до сих пор не решил.</t>
  </si>
  <si>
    <t>В целом претензий нет отрабатывает свою стоимость по полной. Однако есть один недостаток раздражающий именно меня. При жарке семечек после пяти минут работы сильно нагревается и перестает работать пока не остынет. С другими продуктами, как это не странно, такого не бывает, хоть на 20 минут ставь.</t>
  </si>
  <si>
    <t>Данной моделью пользуемся больше месяца, когда купили влажность больше 30 не поднималась, но после недельной работы влажность поднялась и сохраняется. Запах был впервые часы после работы, потом исчез. В комнате стало как после дождя, да и пыли оседает гораздо меньше чем раньше. Конечно воздух засасывает никак в пылесосе, но со временем со своей функцией справляется, но зато выдувает влажный прохладный воздух(но можно и теплый) Ночной режим вообще бесшумный. Так что рекомендую эту модель, особенно тем кто хочет дышать комфортно в отопительный сезон</t>
  </si>
  <si>
    <t>Тоже выбирал долго между жк разными и тут наткнулся на эту модель. И отзывы хорошие, и так читал про плюсы плазмы.  Всем доволен, НО... тут писали, что шума нет т.к. охлаждение пассивное, но свистит эта панель ужас как! днем еще ладно, ее почти не слышно: отовсюду звуки посторонние и звук на 20 включен. Садишься поздним вечером, когда уже везде тишина, звук включаешь не громкий.. 7-8, и понеслось. Свист перебивает звук(( а включение динамического контраста в ярких сценах делает этот свист еще громче, что делает просмотр в ночное время просто невозможным(( может мне просто такой экземпляр попался, хотя погуглив на эту тему, нашел отзывы что у данной модели такой минус действительно присутствует</t>
  </si>
  <si>
    <t>1430</t>
  </si>
  <si>
    <t>Скучно- вот единственная мысль, которая приходит при игре в НБА Лайв 09 на ПСП. При взгляде на графику вообще хочется плакать. Электроник Артс на удивление бездарно отнеслись к изданию этой игры на ПСП.</t>
  </si>
  <si>
    <t>На счёт неприятного пластмассового запаха и вправду первый раз слышу. При покупке возьму доп обслуживание на 2 года, если такое будет долгое время-поменяю товар. Настораживает правда запах. А вообще отзывы только положительные. буду брать. потом отпишусь. В нашем то грязном городе - само то.  Барнаул</t>
  </si>
  <si>
    <t>1335</t>
  </si>
  <si>
    <t>телефон супер, за те деньги что его продают, аккумулятор просто сказка за четверо суток использования по полной программе музыка, аська, радио,просмотр видео, разговоры убавилось только одно деление. Связь держит очень хорошо, уверенно. Покупайте не пожалеете, голова о зарядке телефона вообще не болит.</t>
  </si>
  <si>
    <t>Выбирал под фильмы и музыку на ноутбуке.Читал отзывы,спрашивал друзей.Купил сегодня. Дужки не скрипят,сверхудобно сидят на голове,звук-супер!!! Море положительных эмоций!</t>
  </si>
  <si>
    <t>всё работает там с флэшки, не слушайте никого.</t>
  </si>
  <si>
    <t>Недавно приобрел, хорошая кофемолка</t>
  </si>
  <si>
    <t>Кто-нибудь играл на нем в playstation 3? Интересно узнать как картинка, четкая?</t>
  </si>
  <si>
    <t>Вентилятор издает скрежещущий звук. Разницы между 1 и 2 скоростями почти нет. Едва дует. Возможно, что попался бракованный.  Сдам обратно.</t>
  </si>
  <si>
    <t>Купила Ровента. Отличный утюг, маленький-но полностью полноценный. Надеюсь далее сюрпризов не будет. Отлично гладит, пар на ура.... Не экономьте, берите его сразу, если вы не хотите испортить свои любимые вещи....</t>
  </si>
  <si>
    <t>Для Blue-Ray 3D надо отдельный плеер либо жертвовать многоканальным звуком. Т.к PS3 поддерживает 3D BD с новой прошивкой, но тогда без многоканального звука, у приставки не хватает мощи.</t>
  </si>
  <si>
    <t>2061</t>
  </si>
  <si>
    <t>Подарили на Новый год этот фен. Очень довольна, раньше я сушила волосы обычным феном,а потом еще выпрямляла утюжком,конечно от такой укладки волосы мои страдали. Сначала сомневалась,что получиться нормально уложить волосы этим феном,но после первого раза была приятно удивлена,времени на укладу ушло очень мало,фен мощный,у меня волосы не сильно кудрявые,скорей волнистые,но на 2 режиме,очень хорошо выпрямились, да еще и с объемом. От простого утюжка такого не дождешься, да и портит волосы этот фен меньше. Так что кому надоело долго заниматься укладкой своих волос с приданием объема -советую. Я очень довольна!!!!</t>
  </si>
  <si>
    <t>нормальная стиралка, у меня она не давно пока проблем ни каких не было</t>
  </si>
  <si>
    <t>День добрый! Все кто сомневаются в выборе,могу сказать берите. Если все подключить и настроить по уму,то будет играть очень хорошо. Стоит комплект в Toyota Yaris 5d,играет на ура,настроен так чтобы на максимуме г.у, воздух просто не гонялся.</t>
  </si>
  <si>
    <t>У меня сломался мой верный уже много лет - фен и как обычно в самый не подходящий момент, когда особо не распологала финансовыми возможностями купить достойную замену...но без него я не могла, т.к. пользуюсь феном каждый день. Мне пришлось приобрести на время какую-нибудь недорогую модель... и на мое удивление он оказался на столько хорошим, он очень удобен в использовании: легкий, хорошая мощность, отлично укладывает, не травмирует волосы горячим потоком, т.к. есть несколько уровней температуры для подачи воздуха и еще много разных достоинств.... Вообщем это приобретение стало для меня неажиданной радостью!) Всем советую!</t>
  </si>
  <si>
    <t>Хочу поделится своим опытом:)  Приобрела данную паровую систему в январе месяце и очень им довольна!  Отпаривает все вещи на ура. Так как я глажу в основном детские вещи и на это уходил почти весь день, то сейчас вся процедура занимает 2-3 часа. Хочу сказать огромное  спасибо продавцу магазина за совет при покупке. К сожалению имени не помню, но все то о чем рассказывала девушка все работает. Всем советую:)</t>
  </si>
  <si>
    <t>2015-12-04</t>
  </si>
  <si>
    <t>Заказывал здесь, основываясь на отзывах. работает уже неделю. разницы особо не заметил, но детям стало лучше спать по ночам. Специальных замеров не делал, но на утро вокруг увлажнителя довольно много конденсата, белого налета, как писали некоторые, не обнаружил (вода из фильтра забирается). Советую попробовать.</t>
  </si>
  <si>
    <t>1067</t>
  </si>
  <si>
    <t>Revo 3610 c 4-мя гигами оперативной памяти - мой второй неттоп Acer. Первым был 3600 под брендом Packard Bell, в комплекте с которым шел беспроводной гиро-контроллер, заменяющий мышь и игровой манипулятор. 3600 перекочевал в спальню, 3610 остался в зале.     Оба неттопа на 5 справляются с тремя основными своими задачами: офисные приложения, интернет-серфинг и просмотр HD-контента.    Пара слов по поводу такого спорного момента как воспроизведение HD и, якобы, недостаточная производительность процессора Atom. Выше уже писали, что эту задачу берет на себя и с блеском выполняет чипсет ION. Единственное "но" - нужно установить кодек CoreAVC последней версии (сейчас это 1.9.5). и дать ему приоритет при проигрывании HD материалов. После этого крошечный Рево с легкостью справляется с любым разрешением и любым битрейтом во все равно каком контейнере. Мне даже показалось, что 1080р BR-ремуксы размером по 30gb выглядят на экране лучше чем такие же рипы.    Единственным и огромным для меня преимуществом 3610 перед 3600 является наличие у первого оптического выхода S/PDIF. Кому это так же важно, как и мне - возьмите на заметку.    Сравнивая 3610 и Asus Eee Box, я выбрал Acer из-за более низкой цены. Отсутствие оптического привода в этом случае для меня преимущество, так как, помимо цены, уменьшается объем устройства. Фильмы и музыка добываются на торрентах, установка Windows7 возможна с USB-носителя. Для всех остальных редких сценариев есть возможность подключения внешнего привода по все тому же USB или через новомодный разъемчик eSATA.    Игры: в игры не играю. Подозреваю, что лучше и не играть, это все же неттоп.    Вывод: никогда еще за такие небольшие деньги я не покупал так много компьютера.</t>
  </si>
  <si>
    <t>Оправдала все надежды, отличная машина!</t>
  </si>
  <si>
    <t>Все-таки шумит, в закрытой ванной не слышно, но если дверь открыть, то звуки вполне конкретные, особенно при отжиме. После стирки настойчиво пищит об окончании.  до этого стоял аристон avsl 1090, очень тихий, но за три года белье после стирки стало с пятнами от ржавчины - думать долго не стал - купил как альтернативу эту, к тому же за вполне вменяемые деньги.</t>
  </si>
  <si>
    <t>Купил год назад, всё устраивает! Рекомендую!</t>
  </si>
  <si>
    <t>Пользуюсь давно, правда сломался венчик, но это за 3 года частого использования, а все остальное в норме. Выбирала руководствуясь тем, что на тот момент у него была богатая комплектация по доступной цене. Удобная регулировка мощности, есть еще подставка для хранения, но она у нас не вошла в обиход. Вообщем не плохой блендер!</t>
  </si>
  <si>
    <t>Купил данный плеер, остался очень доволен начинкой, поддерживает практически все форматы видео, при чем может проигрывать файлы без сжатия (единственное немного притормаживает) отличный дизайн. Но есть огромный минус-вход для наушников и USB не совпадает со штекерами т.е. при движении пропадает звук в наушниках из за того что штекер ходит из стороны в сторону. Проще говоря болтается как карандаш в стакане</t>
  </si>
  <si>
    <t>558</t>
  </si>
  <si>
    <t>Купил сие "чудо" супруге, других слов на это нет...сенс работает только на определенные функции, т.е. только там, где сказал производитель.  Камера "О,да 12,1 Мпкс!!!" фурор, но что можно добиться от матрицы в полдюйма с таким разрешением...ответ ничего хорошего...  Звук: что-то тут не так...чистый(спору нет,сони тут молодцы),но он тихий, даже в кармане рубашки его не слышно.  По поводу софтовой части тоже не сильно много радостных вестей: как всегда,много "сырого" софта, плеер старый,проверенный конечно,но так и не доведенный до ума...  В общем через неделю супруга сказала,что больше это "УЁ" (прошу прощения) видеть не хочет. После чего я всеми правдами и не правдами пытался добиться от телефон вменяемой работы, чего я так и не получил. Сейчас оно лежит на полке и периодически дается друзьям "помажорить",правда от этого мажорства только худшие впечатления.  Лучше взять Motorola Dext или Nokia X6. Но это сугубо мое мнение.Так что решать вам.</t>
  </si>
  <si>
    <t>Блендер очень хорош! Пользуемся уже 1 год, нареканий нет! Удобен в использовании, много функций! Пользуюсь им довольно таки часто, можно сказать постоянно! Готовила коктейли-очень вкусно! Измельчала овощи-очень быстро! Не ломался никогда! Вобщем кому нужен блендер, берите именно этот! Всем советую!</t>
  </si>
  <si>
    <t>Купила эту кофеварку в сентябре 2010 г. Не посмотрела габариты и сначала расстроилась. Но после использования все сомнения прошли.   Моется хорошо, все вытаскивается.  Единственное смущает громкое фырчание, когда заканчивается вода и кофеварка переходит в режим подогрева на нижней пластине.  Один раз забыли выключить и кофе всё выпили...  После 8 часов работы графин не треснул (хотя не думала застать ее целой)  В общем и целом кофеваркой довольна.</t>
  </si>
  <si>
    <t>2013-08-07</t>
  </si>
  <si>
    <t>Вышла с кухни на 5 минут, слышим хлопок сильный, козырек стеклянный разлетелся на мелкие кусочки по всей кухне, разбита панель варочная индукционная,само стекло, где лампочки тоже треснуло. Плиту устанавливали в соответствии с инструкцией, пользовались всего 3 мес. Вытяжка работала на минимальном режиме, комфорка работала у стены левая, тушила салат с закрытой крышкой, теперь думаем хорошо никого не было.</t>
  </si>
  <si>
    <t>2011-03-01</t>
  </si>
  <si>
    <t>Купили духовой шкаф месяц назад, очень довольны покупкой! Тройное стекло себя оправдывает, при 200 градусах шкаф снаружи не очень горячий, рукой можно прикоснуться, не обожжешься. Программ достаточно, больше и не надо, все равно выберите для себя 2-3 программы и будете готовить на них. Мясо получается сочным, не сухим. Все готовится очень быстро и с постоянно включенной подсветкой. Очень удобна дополнительная боковая лампочка, когда готовите одновременно на 2-х противнях все просматривается. Термощуп еще не пробовала!</t>
  </si>
  <si>
    <t>Пользуемся около месяца, нагреватель отличный, то что из клапана вода не сочится, а бежит "ручьем", так радуйтесь, что у вас давление есть в трубах, а если б еще и читать научиться, то в инструкции написано, что в таком случае надо  ставить трубку и вести ее в канализацию, это кстати обязательно и никаких "танцев" не надо устраивать, и во вторых поставить регулятор давления, что, кстати важно, если стоят счетчики для воды. Народ,   мы моемся ГОРЯЧЕЙ водой, без тазиков, "танцев" и нагрева на плите.</t>
  </si>
  <si>
    <t>Купил сразу как увидел параметры, даже не загонялся по поводу шумов и блютузов.Очень классный ноут, плюну в рожу тому кто скажет, что за эти деньги мощнее возьмет. Висту не сносил, все работает ок. Кучу игр прошел, видюха дает гари...тока подбрасывай. Единственно напрягает кнопка открывания привода, уж очень утоплена, но когда рядом любопытный малыш, это становится плюсом.Да и еще, нет ieee 1394, камеру не подсоединить.</t>
  </si>
  <si>
    <t>Вполне стоит своих денег, + ещё и подогрев!</t>
  </si>
  <si>
    <t>Приставка выглядит заманчиво,хочу купить это чудо,уж тем более вайфай появился,очень важная штука в боксе.Скажите а все таки нужно обязательно покупать ЖК,или Плазменный теливизор? И 1 выход в боксе похож на S-CART,это и есть С-карт? или это какой то другой выход? RCA композит,а что это за выход?и для каких входов на аналоговом,не ЖК телевизоре,а уж тем более не плазменном.Т.е. у меня в телевизоре есть только разъем с-карт,аналоговый,где для аудио 2 гнезда,и для видео одно желтое гнездо,больше входов нет.На ноутбуке есть HDMI ну я думаю,что это только вывод изображения. Помогите плиз.</t>
  </si>
  <si>
    <t>Плита просто ужасно нравится, такая удобная модель! На рынке не так много узких панелей, так что повезло, что выбрали такую удачную. Из полезных функций: есть таймер на каждую конфорку (!!!), можно выставить нужное время приготовления и уйти, не боясь, что что-то переварится. Две конфорки - с зоной расширения для более объемной посуды. Еще есть индикатор остаточного тепла и защита от детей для каждой конфорки. Выставлять все очень просто, управление простое и грамотное. Красиво смотрится на нашей кухне ( а главное необычно), многие спрашивают тип модели. Мою довольно часто из-за черного цвета, но я просто тот еще аккуратист!</t>
  </si>
  <si>
    <t>Долговечность</t>
  </si>
  <si>
    <t>3192</t>
  </si>
  <si>
    <t>Долго выбирала мясорубку. Просмотрела все бренды, остановилось на этой. Занимает мало места на кухне, нет ненужных функций (за которые переплачиваешь), хорошая японская сборка. Когда пришла домой - сразу прокрутила 10 кг мяса за 5 минут. Жилки не застревают. В общем, я рекомендую её! Всем удачи!</t>
  </si>
  <si>
    <t>Непонятно за что такая цена? У меня моментально поржавела ось шнека и нож! Рубит мясо еле еле, чуть жилка попадется заедает. Никакой радости пожилому человеку, одни траты, можно сказать - коту под хвост треть пенсии.</t>
  </si>
  <si>
    <t>Плеер просто супер не на радуюсь на него!!!!!!!!</t>
  </si>
  <si>
    <t>Купил недавно IPhone 3g 16 Gb сам активировал и обновил прошивку до 3.1.2 аппарат суперский после обновления появилась новая фишь Voice Memory, дополнительные вкладки, поисковик на вкладке, Safary улучшилась и т.д.   Если у вас аппарат белый, то прошивайте через iTunes не боясь, если серый, то настоятельно не рекомендую этого делать (будет Г). Если белый с jailbreak после прошивки jailbreak слетает. В принципе и без jailbreak аппарат способен удовлетворить самого взыскательного пользователя. jailbreak просто позволяет проводить запись не только в пользовательскую часть файловой системы.   Просто многие привыкли юзать как в Windows везде, а MAC с kernel UNIX-BSD это не позволяет без суперпользователя и это классно для безопасности самой системы. А так покупайте, наслаждайтесь.</t>
  </si>
  <si>
    <t>тянет даже самые требовательные игры на разумных настройках. пол года его гоняю в экстриме и никаких проблем. не желею о покупке</t>
  </si>
  <si>
    <t>мне она вполне подошла. хорошо мелит семя льна , прям в муку.</t>
  </si>
  <si>
    <t>пользуюсь год мне, нравиться....жалко фильтры на нее не многоразовые...</t>
  </si>
  <si>
    <t>Твёрдая 5!</t>
  </si>
  <si>
    <t>Классный телевизор по всем параметрам, сборка нормальная!!!Польская!!намного лучше, чем наша Калининградская!!Цвет Яркость контрастность на 5</t>
  </si>
  <si>
    <t>Сгорел сегодня бедняжка, после 8 лет безупречной службы. Сижу выбираю новый, вот думаю, может снова такой же взять?</t>
  </si>
  <si>
    <t>Если вы любите Бэтмена - не смейте проходить мимо. Если вы любите слэшеры, и спокойно относитесь к Бэтмену - обратите внимание. На высоте всё (из того, что видел, ибо игра ещё не закончилась) - главный герой, харизматичные и классические противники, отличная графика, хороший геймплей. Игра не о супер герое, а о летучей мыши. Атака из темноты, тихий спуск на тросе за спину жертвы, удар бумерангом из-за угла. Очень качественные бои, с интересными идеями вроде ухода от удара и мгновенной ответной атакой, комбо и эффектным FATALITY!!! Ну и понимание того, насколько нам мало известно о Бэтмене, поскольку 6-ти фильмов очень мало, чтобы вместить всё из комиксов с 40-х годов (если не ошибаюсь).</t>
  </si>
  <si>
    <t>2014-08-17</t>
  </si>
  <si>
    <t>Пользуемся год. Стираем примерно 2 раза в неделю. Все устраивает. Немного шумит (свистит) при отжиме, но думаю, для машинки за эту цену нормально.</t>
  </si>
  <si>
    <t>1399</t>
  </si>
  <si>
    <t>Достоинства: Простое и удобное управление.  Недостатки: Качество видео и цветопередачи сравнимо с телефоном, дома картинка получается с шумами что смотреть не захочешь.  Комментарий: Просто не мог поверить, что современная техника так может снимать. Попробую сдать обратно.</t>
  </si>
  <si>
    <t>2010-12-13</t>
  </si>
  <si>
    <t>Пользуюсь данным аппаратом уже не первый год. Ни разу не ломался! Пыль собирает отлично! И волосы (у меня они больше метра длиной) жесткой щеткой собирает все! Не нужно ползать и вручную их собирать)   советую всем! отличный пылесос!</t>
  </si>
  <si>
    <t>890</t>
  </si>
  <si>
    <t>У моего мужа постепенно начиналось недовольство его предыдущей бритвой - то брила она не равномерно, то кожу раздражала, то еще чего.. В обещм, не поулчалось нормально ничего быстро сделать!!! А он у меян деловой очень, работа, спортзал, конференции всякие... Решила так его обрадовать и получилось))) За это кстати отдельное спасибо консультантам!! Бритва мужу ооочень понравилась, получается у него по-быстрому побриться по утрам без лишних трат нервов и времени!) Говорит бреет очень бережно, гладко, получается задать нужную длинну волос. Все классно!!!</t>
  </si>
  <si>
    <t>самые обычные механические весы. Стоят у мамы, работают нормально, погрешностей не замечала, возможно те, кто худеет - у них вес колеблется, у нас всегда всё более-менее стабильно. Когда покупали, руководствовались тем что хотели механические и самые недорогие, купили - с выбором не прогадали. Работают уже год и не подводят. Конечно, электронные были бы тоньше, но и эти хранить не накладно и разобраться с ними легче человеку в возрасте чем с электронными, к примеру - мои электронные весы мама не любит и доверяет только своим.</t>
  </si>
  <si>
    <t>1389</t>
  </si>
  <si>
    <t>Вопрос к купившим, как подставка?  И каков угол наклона?</t>
  </si>
  <si>
    <t>Хорошая печь. Большая. На максимальной мощности 1000 Вт микроволнами разогревает очень быстро. Удобное управление, хороший дисплей. У меня плохо работает сенсорный разогрев (сенсор по пару), но это, наверное, из-за того, что пар выходит через щель неплотно прилегающей дверцы. А вообще надо обязательно смотреть, чтобы дверца по всему периметру плотно прилегала к печи, чтобы излучение не выходило наружу. Если бы не этот недостаток моего экземпляра, печи оценка отлично</t>
  </si>
  <si>
    <t>Оказывается я не одна такая. Покупала терку 2 года назад, на сайте еще не было отзывов. Консультант в магазине сказала, что она первоклассная - для шеф поваров, очень удобная. Купила, начала пользоваться, оказалась не качественной. Овощи все до единого мнет, ножи кривые и тупые.</t>
  </si>
  <si>
    <t>Никому не пожелаю такую систему приобрести! Внешний блок так гудит, что включать страшно. Гудит именно компрессор. По вопросу его замены в мастерской посоветовали - легче купить новый блок.</t>
  </si>
  <si>
    <t>безотказная работа</t>
  </si>
  <si>
    <t>2015-08-18</t>
  </si>
  <si>
    <t>Давно хотел написать, да руки не доходили.  Отличный проточник за свои деньги, использую два колечка, в лейке хватает с головой, жене ставлю одно колечко, так как любит вариться в кипятке.  Порадовало, что он укомплектован проводом, не нужно подводить линию к нему или покупать кабель с розеткой, использую мощный удлинитель включаю в розетки подготовленные для использования крупной техники,благо они у меня почти везде.  Повесил на стену на двусторонний скотч-липучки 3М держится отлично, так как легкий.  Резюмируя вышесказанное, если вы не привереда и не будете требовать алмазов из пятой точки, мощной струи кипятка потоком в 15 литров в минуту, то этот нагреватель позволит вам просто и с комфортом помыться в периоды отключения горячей воды.  К слову, детскую ванночку наливает за 4-5 минут, мне нравится, дочке тоже, куда лучше чем опускаться до каменного века с тазиками и кастрюлями.</t>
  </si>
  <si>
    <t>Пользуюсь утюгом почти 4 месяца, никаких нареканий нет, отглаживает отлично, паровой удар вообще радует! Хотела утюг с парогенератором, но нисколько не жалею, что взяла именно этот - компактный, дешевле и вполне эффективный!) Даже пересохшее белье отглаживает без проблем) Кнопку ионизации тоже иногда задеваю, но в этом нет ничего страшного, тут же выключаю. В общем советую всем))</t>
  </si>
  <si>
    <t>Классный выпрямитель, всем советую. Быстро нагревается, есть функция регулировки температуры, хорошее покрытие, волосы не портит.</t>
  </si>
  <si>
    <t>Вчера купил данный телевизор изображение мне понравилось, а звук на троечку с минусом, как и писали, есть треск в колонках на большой громкости, но для просмотра фильмов я считаю, что нужно брать отдельные колонки, по этому звук меня не сильно беспокоит. Смотрю от компьютера по ХДМИ, изображение передает четко, ни каких проблем с настройкой не возникло. Ставлю ему твердую 4</t>
  </si>
  <si>
    <t>нормальный аппарат</t>
  </si>
  <si>
    <t>мне очень нравится этот телефон,дизайн,да и внутреннее содержание тоже не подводит я скажу)  советую купить тому у кого стоит выбор над несколькими телефонами в списке которых есть Nokia 5310 red!</t>
  </si>
  <si>
    <t>"Комбиком" доволен. Пока, тьфу, тьфу Тошиба не подводила.</t>
  </si>
  <si>
    <t>Большой объём</t>
  </si>
  <si>
    <t>Машина очень понравилась, работает плавно, нитку не рвет. Работа с ней вызывает одни только положительные эмоции. Количества строчек хватает, отлично шьет как тонкий материал так и полотный, трикотаж не тянет. В общем берите - не пожалеете. Всем удачи!</t>
  </si>
  <si>
    <t>2012-03-08</t>
  </si>
  <si>
    <t>Куплена она у нас уже давно, никаких минусов не замечено, за исключением -    - не продумана система крепления чехла...завязки отвязываются на следующий же день, либо чехол перекашивается из-за нетугой натяжки.</t>
  </si>
  <si>
    <t>Звук хороший. С телевизором  LG с одного пульта работать не хочет, только с пультом LG Magic, хотя консультанты обещали что будет работать и с основного пульта. Но это так просто, неудобные мелочи, к которым через два дня привыкаешь. Диски читает замечательно. 3Д звук тоже на уровне. Соседи снизу стали стучать по батареям во время просмотра фильма) Но нам нравится!</t>
  </si>
  <si>
    <t>1874</t>
  </si>
  <si>
    <t>Очень мощное всасывание, щетка присасывается к полу, что ее кое как отрываешь. К тому же есть специальная турбощетка, которая прекрасно собирает кошачью шерсть и подымает ворс ковра - смотрится как новый.</t>
  </si>
  <si>
    <t>Чайник куплен 7 мес назад.  Недавно выявились следующие особенности:  1.после закипания отключается через раз  2.во время закипания ручка раскаливается до предела, рукой не дотронуться, чайник вскипел, а не налить голой рукой.  3.самопроизвольно включается режим закипания, поэтому приходится выключать его из розетки.    Хочу сдать в ремонт, пока гарантия есть.</t>
  </si>
  <si>
    <t>Хороший аппарат. Лучше чем 32". Совсем другое ощущение. Даже показалось, что тюнер лучше и картинка мягче. Юзаю HDMI для компа. В магазине слышал, что звук следует пускать на HDMI 1, а картинку на HDMI 2 или 3. Если таким способом подключен к ноутбуку HP Pavilion 6000 серии, загружать его следует с выключенным телевизором (выключить и немного подождать пока разрядится остаточное напряжение), иначе выпадает в синий экран на стадии инициализации устройств при загрузке системы, но это скорее всего недоработка видеоадаптера HP. Если вам знакомы общие недостатки этих устройств, будете весьма довольны покупкой за эти деньги(24400). Рекомендую.</t>
  </si>
  <si>
    <t>2012-04-29</t>
  </si>
  <si>
    <t>Пользуюсь печкой второй год,никаких претензий.Печет отлично все.Не занимает много места,очень удобна в обращении.Рекомендую</t>
  </si>
  <si>
    <t>1) компактный 2) насадка для уменьшения площади эпиляции 3) подробная инструкция 4) 20 пинцетов, как и в более дорогих моделях</t>
  </si>
  <si>
    <t>Очень хорошие наушниники тем-более для людей использующихпродукцию Apple iPod,iPhone,iPad и ценитилей качественной музыки формата EAC,FLAC,ALAC,ну и винила,  хочу заметить что провод выполнен из какого-то чудо материала,  который не превращается в бетон на морозе, именно поэтому   на проводе нет изломов, в чём очень большой плюс, тк можно пользоваться на морозе;  упаковка действительно с приколом и чехлом для мобильного или как в моём случае для iPod. Все  рекомендую.</t>
  </si>
  <si>
    <t>1815</t>
  </si>
  <si>
    <t>Аппарат хорош. Минус один - своя собственная ось, в связи с чем не поставишь приложений, написанных под симбу или вм. Для меня минус огромный, ибо стандартный софт для навигации - ужас. -)</t>
  </si>
  <si>
    <t>Взяли такой чайник в офис года полтора назад. Ориентировались на объем жидкости, чтобы по сто раз в день не кипятить, и недорогую цену. Чайник работает до сих пор. Со временем будто стал сильнее шуметь, но для офисного чайника вообще не самый важный вопрос. Главное, что быстро нагревает, в принципе долго держит тепло, да и держать его удобно. Простенькая модель, а еще красиво светится</t>
  </si>
  <si>
    <t>Очень интересна еще одна деталь, обратите внимание на ноутбук Acer AS5942G-434G50Mi http://krasnodar.mvideo.ru/products/30011674.html  В чем принципиальное отличие? Почему разница почти 10 тыс.?  Неужели буковки на крышке все решают?  Александр, не удивлюсь, если через какое-то время с прилавков исчезнет этот ноутбук, а взамен появится нечто, еще более навороченное, по схожей цене:)</t>
  </si>
  <si>
    <t>Мультистайлер оказался отвратным. Если ставить оценку  по пятибальной шкале, то минус 3. В общем согласна с отрицательными отзывами, положительных вообще нет. Причем отнесла обратно в магазин с претензией, отправили в сервисный центр, в котором меня уверили, что я не умею им пользоваться, а на самом деле он чуть ли не самый лучший. Теперь не знаю, что с ним делавть, муж потратил почти 3 тысячи мне на новогодний подарок, а получилось ......Сто раз подумайте, прежде чем его покупать</t>
  </si>
  <si>
    <t>Купила щетку в подарок мужу на 23 февраля со скидкой, у него была тоже Браун, но одна из самых дешевых и уже практически не чистила. Из минусов слабый заряд, не удобная смена режимов (чтобы выключить надо нажать 3 раза на кнопку - бред какой-то), цена (если без скидки), нет чехла. Из плюсов: чистит хорошо, есть разные насадки и режимы.    У самой щетка Philips Sonicare FlexCare HX6902/02, нравится она мне больше и по функциям и заряд гораздо лучше держит. Но для любителей Брауна щетка хорошая.</t>
  </si>
  <si>
    <t>Я не смотрю на внешний вид товара, мне главное цена и качество. За эту микроволновку могу сказать, что она крутая! Это уже третья, но зато прослужила дольше всех, уже 2 года стоит у нас, и хоть бы что ей, и готовим каждый день и греем часто. Короче вещь отличная, а цена – просто смешная!</t>
  </si>
  <si>
    <t>после годовалого обращения с телом от нокиа н79, начал присматривать что-то еще лучшее. думал что это все напрасное занятие пока не увидел это чудо, купил за наличку, первое мое удивление было когда я вышел с ним на улицу на солнце глядя на экран картинка оставалась такая же насыщенная, я не верил своим глазам, что это возможно и судил по нокии, ведь я давний поклонник нокии, так года 4!звук поразил не ожидал, всегда слышал тока тихие звуки от самца. в обращении пока что 2 дня, конечно малый срок, но после я еще напишу, где-то через месяц! покупкой пока что доволен! хотя по началу сомневался, живем один раз так что надо все попробовать!!!!! советую!</t>
  </si>
  <si>
    <t>Вещь замечательная. К качеству претензий нет. Для тех, кто жалуется на пятна и следы, если попадает пища на панель при убегании из кастрюли или разбрызгивании, могу посоветовать пользоваться хорошими чистящими средствами. Господа, не пожалейте средств, а они не такие уж большие, на брендовые чистящие средства для стеклокерамики и все следы исчезнут как по мановению волшебной палочки. Пятна и следы это просто неочищенная поверхность. Из минусов. Круги в общем-то небольшого диаметра и две приличные по размеру кастрюли-сковородки одновременно использовать не получится.</t>
  </si>
  <si>
    <t>Если у одного крышка отвалилась это еще не означает что весь товар плохой. Я очень довольна покупкой, пользуюсь уже полгода и никаких проблем. Антипригарное покрытие даже выдерживает скребки ложкой. Класс, пойду еще сковороду покупать.</t>
  </si>
  <si>
    <t>Почти год прошел, когда мы подружились с НЕОТачем.  аппарат шустрый, вагон на него прошивок под любой вкус, цвет и задачи .</t>
  </si>
  <si>
    <t>Приобрел недавно себе эту модельку и скажу, что очень хороший аппарат за такие деньги. Единственное, что не устраивает - это плохие наушники в комплекте. Купил себе их отдельно и теперь наслушаться не могу. Плюс довольно много настроек звука, что немаловажно. А видео это вообще песня =)   Так что советую брать...</t>
  </si>
  <si>
    <t>Обнавление програмного обеспечения, делается через флешку. По времени занимает 30 минут с поиском инфы.</t>
  </si>
  <si>
    <t>Мне очень понравился! Нагревается быстро, держать долго не нужно. Ни разу не пожалела, что купила.</t>
  </si>
  <si>
    <t>839</t>
  </si>
  <si>
    <t>Машина сама смалывает, варит и наливает кофе. А еще она имеет ingle portion cleaning, чтобы промывать подводящие трубки перед приготовлением чашечки кофе и одну универсальную программу для чистки и удаления накипи Calc n clean, поэтому сама и отчищается. Я только наслаждаюсь обалденным кофе, покупая перед этим разные зерна, регулируя крепость его приготовления и температуру.</t>
  </si>
  <si>
    <t>Наушники просто ЧУМОВЫЕ. Приятный басс,четкий звук,и ценой был приятно удивлен. Советую</t>
  </si>
  <si>
    <t>Посмотрел на хорошие отзывы, купил эту модель, не повторяйте этой ошибки!    1. Температуру ставит неправильно (ставлю 27 градусов делает 27, ставлю 26 делает 25)    2. Нельзя поставить, чтобы дул вверх, нельзя даже поставить чтобы дул горизонтально - нельзя устанавливать над собой.</t>
  </si>
  <si>
    <t>Пользую более года, бритва качественная, оч. доволен!</t>
  </si>
  <si>
    <t>2554</t>
  </si>
  <si>
    <t>Недостатки:  1.Нет в комплекте карты памяти  2.Разъем для карты памяти под аккумулятором(!)  3.Кнопка перезагрузки под крышкой задней(!)  4.Фотокамера плохая  5.Нет в комплекте з/у для автомобиля</t>
  </si>
  <si>
    <t>Чайник мне лично не понравился по причине того, что вода после него отдаёт пластиком. Пользуюсь уже пару месяцев. каждый день. Купил на работу. Пью чай стабильно три раза в день. Вода пахнет до сих пор. По части эксплуатации очень удобный. Работает достаточно тихо нагревается долго, но мне всё равно. Сам отключается. Даже только что скипевший за ручку можно брать, она холодная</t>
  </si>
  <si>
    <t>В целом и общем устраивает. В комплектации нет крышки для мерного стаканчика и крепления на стену - ну это мелочи. Что расстроило - режим работу по принципу - удерживаешь кнопку - работает, отпускаешь - не работает. Бывает трудновато держать, но, думаю, привыкнуть можно.</t>
  </si>
  <si>
    <t>Моей кофемолке уже больше 5 лет. Очень ею довольна. Удобная крышка, кофе из-под неё не летит. Аппарат безопасен - если крышку плохо закрутить, то кофемолка просто не включится (соответственно, с открытой крышкой не включится вовсе). Мелит мелко, если нужен средний или крупный помол, то этого можно достичь импульсным нажиманием кнопки включения. Снизила на одну звезду из-за шума. Но это я , наверное, уже придираюсь - думаю, что совсем уж безшумно кофе невозможно помолоть. Так что я этот аппарат рекомендую</t>
  </si>
  <si>
    <t>Сломался через месяц.В режиме ожидания мигает индикатор.Не включается</t>
  </si>
  <si>
    <t>2907</t>
  </si>
  <si>
    <t>оценка 1!  причина - экран!  в использовании 4 месяца, а экран как кошки дикие драли!, весь исцарапался.....  более менее удобный.... на любителя нокии...</t>
  </si>
  <si>
    <t>Отличный духовой шкаф, начиная от внешнего вида и заканчивая функциональностью.   Многие к минусам отнесут следующее: отсутствие возможности программировать свои рецепты, отсутствие термощупа, отсутствие самоочистки. Может конечно кому-то и нужна функция программирования готовки собственных рецептов, но уверен это очень редко, ведь в основном время приготовления зависит от многих факторов и одно и тоже блюдо может готовиться в разном временном интервале, всегда требуется проверка на готовность в процессе.   Отсутствие терощупа сложнее процесс приготовления тоже не делает. Ну а насчет самоочистки, в любом случае подносы мыть в ручную придется, а стенки хорошо и тут отмываются.   Значит из преимуществ: 1.На лицевой панели не остаются отпечатки пальцев (это технология Электролюкс) у многих внешний вид уже в магазине заляпан, а тут как ни старайся....   2.Три стекла, реальная защита от ожегов.   3.Защита вентилятора от брызг жира. Вообще у нас стоял выбор или АЕГ или Электролюк, аналогичных по цене, у Электролюкса даже термощуп был, но внешний вид сыграл в пользу этого шкафа, как никак это тоже лицо кухни!!!   Вообщем рекомендую всем, ценящим стильность, чистоту и качество!!!!</t>
  </si>
  <si>
    <t>Ноут отличный, только вот в комплектации драйверов нет.</t>
  </si>
  <si>
    <t>421</t>
  </si>
  <si>
    <t>Игра супер. Отличный сюжет, герои, квесты. Подойдет возрасту от 10 лет. Проходил много раз. Три разные концовки, в зависимости от характера прохождения.</t>
  </si>
  <si>
    <t>Пользуюсь около полугода - очень удобная. Пицца пропекается хорошо, не пригорает, легко снимается с формы. К самой форме ничего не липнет, покрытие антипригарное не портится, моется легко! Готовить одно удовольствие! (Тем более, что купила на накопленные баллы - спасибо М.видео!)</t>
  </si>
  <si>
    <t>Мы с мужем купили эту плазму в Мвидео неделю назад. Довольны покупкой на все 100 процентов. С таким большим экраном у нас такой первый телевизор, до этого был ЖК с 32 диагональю, разница конечно ощутима сразу. Хочу похвалить и поблагодарить продавцов-консультантов этого замечательного магазина, грамотные в своём деле, без них мы бы ещё долго выбирали себе телевизор)) Из всех предложенный моделей в этой ценовой категории эта плазма понравилась больше всех по качеству изображения - мягкое, очень кинематографичное. Консультант помог разобраться в функциях и меню, показал всё наглядно - оказалось всё очень просто при внешней сложности. Хотя дома производили автоматическую настройку, пока боимся экспериментировать))) Да и цена довольна невысока для такого качества, что и сыграло решающую роль при покупке.</t>
  </si>
  <si>
    <t>Купила мужу в подарок,остался очень доволен.За небольшие деньги в нем есть все необходимое для современного телефона.Качество фотографий хорошее,только нет вспышки.В остальном,просто супер!Недорогой и надежный!</t>
  </si>
  <si>
    <t>2673</t>
  </si>
  <si>
    <t>Всех сомневающихся в подключении 1ТБ жесткого диска по USB заверяю- работает! Единственный недостаток, нет каких-либо настроек изображения, т.е яркости добавить нельзя, изображение не в формате 16:9, расширить до полного экрана нельзя, будет с черными полосками по краям. И звук в режиме медиаплеера слишком тихий, но я готов закрыть на это глаза, т.к действительно очень удобно.</t>
  </si>
  <si>
    <t>Купил вчера этот холодильник и за один вечер испытал кучу неприятных впечатлений! Во - первых при закрытии морозильной камеры он издает воющий рев, неизвестно во сколько ДБ, во - вторых платформа, на которой держится компрессор очень скрипучая и требует доработки и в - третьих неизвестно от чего в определенные моменты времени издает звук, напоминающий бульканье! В общем завтра иду менять на холодильник другой фирмы!!!</t>
  </si>
  <si>
    <t>качественный товар, удобный в обращении, красивый дизайн.</t>
  </si>
  <si>
    <t>супер модель...и отличная скидка!</t>
  </si>
  <si>
    <t>Являюсь счастливым обладателем нетбука Lenovo S10-2 Mickey Cl!  Штука потрясная! Есть несколько советов:  1) чтобы ускорить работу, убейте злощастный антивирус McAffe, тормозит работу жутко!  2) насчет того, что сумка не подходит - товарищи, выбор сумок в М.Видео не маленький, есть очень хорошие варианты, просто некоторые не хотят тратить больше на более дорогую сумку! У меня отлично помещается и с батареей и без батареи  3) на удивление отличная камера, в скайпе работает отлично!  4) батарея вообще порадовала, как заявлено до 6 часов, так и работает! :)))  В целом Lenovo оставил приятное впечатление! Как никак IBM! :)))</t>
  </si>
  <si>
    <t>Муж год назад подарил такой фен и я осталась очень довольна. Мои длинные и густые волосы сушит быстро. Работает отлично. После сушки волосы хорошо расчесываются и совсем не повреждаются если правильно сушить. Отличный вариант и стоит своих денег.</t>
  </si>
  <si>
    <t>932</t>
  </si>
  <si>
    <t>достоинства- выполнил свою работу на пять! палас не хуже нового стал!    недостатки-инструкцию не сразу разобрал  Алексей (казань)-После 3 ковров раствор кончился и пришлось сделать еще 1,5л. У меня на один тока хватило у тебя по ходу дела маленькие коврики были!!!  ХОРОШО вспеньте раствор, а то  пены ваще не увидите!!!</t>
  </si>
  <si>
    <t>827</t>
  </si>
  <si>
    <t>Панель управления как у пульта управления корабля хищников, видимо поэтому она так отвратительно стирает, хищники судя по фильму не очень страдали чистоплотностью!  Нет замачивания!  Нет предварительной стирки!  Нет экспресс-стирки!  Нет замка от детей (точнее есть, но от очень глупых детей)!  Нет программы легкой глажки!  Нет каких-либо специальных программ!  Замок люка был разработан видимо последним, и видимо дорисовала его уборщица, увидев заснувшим на чертежах пьяного инженера, поэтому получился он крайне ненадежным!  Машинка-Эмо: крышку во время отжима лучше открывать, иначе она сама себя очень истерично об нее разобьет!  Может почувствоавть сбя Тузиком и порвать белье, оно попадает между барабаном и баком и при проворачивании жестоко кромсает на нитки!  Во время стирки может почувствовать небоскребом Манхеттена открыть люк и сделать небольшой Гудзонский залив и потом гордо возвышаться над ним!  Видимо пьяный дух инженера передался и его творению, во время стирки может сама переключить режим, или остановиться заблокировав или наоборот открыв люк при полном баке, сделав "под себя".  Качество стирки ужасное, мало того что не отстирывает даже обычные загрязнения, не говоря о больших пятнах крови (как указано в инструкции, у ее разработчика видимо очень тяжелая судьба была), но и лохматит белье об острый край барабана.  Отжимает плохо, выше 700 скорость не поднимается, такое ошущение, что деления для выбора большей скорости резервные!  ТЭН включается через раз, видимо по желанию.  Кстати бобила мировой рекорд по прыжкам в высоту, среди стиральных машин, до этого он принадлежал бытовому адронному коллайдеру под названием Вятка-Мария 722 и составлял 1,5 см, эта прыгает на более чем на 2 см, и это при 70 кг веса, соседям снизу вечная память.  Штуцер для подключения шланга сделан очень неудобно, может пропускать воду!  Зато ее можно показывать студентам машиностроительных факультетов, так как в ней собраны все возможные ошибки при разработке стиральных машин!</t>
  </si>
  <si>
    <t>Недавно приобрели данную печку-в целом очень довольны.Печёт отлично, что пирожки, кексы, мясо, курочку, картофель- всё получается очень вкусным с аппетитной зажаристой корочкой!</t>
  </si>
  <si>
    <t>2944</t>
  </si>
  <si>
    <t>Отличный девайис!  Юзал долго и счастливо. Наушники заменил на более качественные, т.к. критично отношусь к качеству звука. Радовало всё, кроме не совсем удобного переключения между альбомами - двойной клик не всегда срабатывал. Звук хороший, усиление басов достойное. Однажды подключил к компу, скопировал музыку с плеера и..... Больше он не включался :(</t>
  </si>
  <si>
    <t>2013-09-29</t>
  </si>
  <si>
    <t>Машинка просто супер! И как без такой помощницы обходилась!!!????? Отмывает посуду безупречно! Моет тихо, сушит вообще бесшумно (слышен только слив воды). Я очень довольна! Рекомендую!!!</t>
  </si>
  <si>
    <t>Жена купила себе эту модель, понравилась. Удобный интерфейс, сворачивать приложения. Короче симпатичный и быстрый.</t>
  </si>
  <si>
    <t>С тех пор как купили пользуемся постоянно, выключаем только на ночь. Очень довольны. Металлический запах был первые два-три дня, потом полностью исчез. Пьем очень вкусный чай.</t>
  </si>
  <si>
    <t>Понравился. Волосы не пересушивает, мощность достаточная. Укладку им делаю без каких-либо проблем. У моей родственницы такой же, она собственно им тоже вполне довольна.</t>
  </si>
  <si>
    <t>Купил данную модель и выяснилось: дверца стоит криво, шкив для вращения гриля не совподает с отверстием на 1,5 см. Неужели и Италия стала халтурить?</t>
  </si>
  <si>
    <t>Покупал 1,5 года назад, сегодня уронил и сломалась насадка, самая ходовая на 3 мм. Какая жаль! Работала хорошо. Если хорошо зарядить на полчаса работы хватает. Тут все говорят, что волосы рвёт - у меня тоже сначала не получалось подстричься с насадкой, но... Выломал на насадке зубья через один, чтобы реже стали, и слала нормально стричь. Если бы в парикмахерских подстригался, за полтора года потратил бы тысяч 5, а тут всего 900 рублей и всегда под рукой.</t>
  </si>
  <si>
    <t>Оставляла положительный отзыв о данной модели спустя 2 дня после покупки. Сейчас же моё мнение кардинально изменилось. Недавно обменяла вообще на другой телефон и даже не Nokia.  Кнопочные телефоны Nokia были гораздо лучше сенсорных.  В данной же модели я обнаружила очень много недостатков:  1.спустя 2 недели перестал появляться проигрыватель на главном экране (и это телефон Express music )  2. когда открываешь приложение интернет и работаешь более получаса в нём, при открытии раскладки символов, телефон зависает, войти в эту раскладку можно только нажав на красную кнопку и через приложения заново зайти. Иногда же просто непросто самостоятельно закрывал все приложения при открытии раскладки символов.  3.(и самое основное) Самостоятельно блокировал исходящие звонки и исходящие смс (при положительном балансе), помогала только перезагрузка телефона и то не всегда с первого раза.  4. Самостоятельно пропадала сеть. Идёшь например по улице показывает все деления, шаг сделаешь, телефон пишет о том, что возможны только экстренные вызовы. Помогала опять же только перезагрузка телефона.  5. спустя 5 месяцев эксплуатации перестал видеть сим-карту (любую абсолютно), более  менее спасла перепрошивка, но после нее, спустя 2 недели, выдавал ошибку подключения зарядного устройства.   6. Остальное по мелочи: сам уходил в перезагрузку, при ярком освещении (например от солнца) сенсоры иногда не срабатывали, спустя месяца 2 использования иногда не срабатывала кнопка блокировки, иногда срабатывала дважды, что тоже не лучше.   Обменяла данный телефон спустя почти полгода...Считаю, что столько недостатков всего за полгода использования слишком много.</t>
  </si>
  <si>
    <t>2219</t>
  </si>
  <si>
    <t>Самый удобный набор из всех, среди которых я выбирала. Загорелась идеей необрезного маникюра уже давно, и вот недавно успешно ее воплотила. Набором полностью довольна. Комплект насадок – именно то, что нужно и для маникюра, и для педикюра. Очень удобно, что есть сушка. Все насадки удобно в коробочке разложены, чтобы удобно их было в процессе брать и менять. У всех насадок сапфировое напыление, поэтому долгий срок службы им обеспечен даже при интенсивном использовании.</t>
  </si>
  <si>
    <t>Привет всем , кто читает мой отзыв, с детства гладить не любила, но с этим парогенератором не надо разглаживать рубашки, а как он отпаривает мех! &amp;nbsp;Я просто в шоке от простоты и удовольствия. Долго шла к покупки, купила и не пожелела!</t>
  </si>
  <si>
    <t>45</t>
  </si>
  <si>
    <t>Хороша духовка, все отлично, но запах остался, уже много раз в ней готовили, каждый раз приходится включать вытяжку, поскольку запах очень заметный, особенно, если время готовки достаточно продолжительное. И это при соблюдении рекомендаций по первоначальному прогреву, промывала её не раз, но...</t>
  </si>
  <si>
    <t>Бигуди в целом понравились. Быстро нагреваются, быстро накручивают. Единственный минус состоит в том, что металлические зажимы слабо держат даже длинные волосы. Было бы лучше,если бы все зажимы были в виде прищепок.</t>
  </si>
  <si>
    <t>Ноутбук и вправду отличный: производительный и стильный.  О плюсах говорить не буду их море.  Минус: нет оптического цифрового аудио выхода SPDIF. Только HDMI</t>
  </si>
  <si>
    <t>Купила на той неделе. Довольно быстро собрала(сама! хотя обычно у меня с этим проблемы). Не очень шумный. Короче, не пожалела! :)</t>
  </si>
  <si>
    <t>Более щадящая, позволяет завить, но при этом максимально бережно.  Так что советую ее как хорошую альтернативу бигудям.</t>
  </si>
  <si>
    <t>1451</t>
  </si>
  <si>
    <t>убирает даже коротенькие волоски, Оптимальное соотношение цены и качества, прост в использовании.</t>
  </si>
  <si>
    <t>Отличный пылесос. За свои деньги, идеальный выбор.</t>
  </si>
  <si>
    <t>Купили 17.09.09., пользуюсь 20дней, пока все устраивает. Стирает отлично. Преимущества: наличие функции "быстрая стирка" 30 и 15 минут(очень удобно), наличие дисплея,полностью вынимается отделение для порошка (редкая возможность даже в дорогих машинах) работает тихо.Вибрации нет абсолютно. Вызывали установщика из М.Видео, установил грамотно и быстро.</t>
  </si>
  <si>
    <t>Купили в декабре 2009г. Пользуемся часто - для стирки как взрослого, так и детского белья. Пока не подводит. Спасибо ей :)  Единственное, поняла, что мне не хватает режима быстрой стирки - минут на 20.</t>
  </si>
  <si>
    <t>1238</t>
  </si>
  <si>
    <t>Отличный термос, налил в него чай, 95 градусов, поставил термос на балкон на снег при - 30гр мороза, через 6ч - t87гр, через 12ч t 77 гр была.</t>
  </si>
  <si>
    <t>Я пользуюсь этой замечательной вещью уже год. Она меня приводит в полный восторг!  Простота, удобство в использовании - этот фен просто супер!!!  Но мне кажется, что людям с вьющимися волосами он не очень подойдет.   Рекомендую особенно тем девушкам, у которых (как и у меня) гладкие, прямые волосы.</t>
  </si>
  <si>
    <t>пользуюсь плеером полтора месяца. сначала была очень им довольна!действительно отличный плеер за такие деньги. но у меня расшатался разъём для наушников при ОЧЕНЬ(!!!) аккуратном использовании, что самое обидное(( отнесла по гарантии в магазин-забрали на обмен..вот думаю теперь что взять..надеюсь Вам повезёт больше и прослужит он Вам дольше)но всё равно я бы посоветовала брать эту модель! на ритмиксы даже не смотрите, они вечно глючат!личный опыт.</t>
  </si>
  <si>
    <t>Я их купила и очень довольна! Нагреваются моментально! Делаю кудри без помощи разных косметических средств- держутся несколько суток! А до этого были электрощипцы- отвратительные! Вообще волосы не накручивали! Довольна покупкой!</t>
  </si>
  <si>
    <t>Мультистайлер Rowenta получила в подарок 2 года назад. До сих пор пользуюсь и нарадоваться не могу! Греется за минуту, насадки удобные и хранятся в чехле- это очень удобно. Очень довольна стайлером!!!</t>
  </si>
  <si>
    <t>В целом мне нравится, выпрямляет хорошо,пользуюсь почти год, но стала замечать, что волосы стали какие-то жесткие, непослушные,но может быть это от всех выпрямителей они такие становятся.</t>
  </si>
  <si>
    <t>купили данную хлебопечь. хлеб получился замечательный попробовали еще не все но первые впечатления положительные.  один минус это мерный стаканчик, идущий в комплекте не куда не годится...</t>
  </si>
  <si>
    <t>Купил данный девайс) Доволен...всё как надо играет нормально!!! Достаточно четкий и глубокий бас....да и сателиты норм играют!!! Я ДОВОЛЕН И ВСЕМ СОВЕТУЮ!!!</t>
  </si>
  <si>
    <t>Пользовалась 2 дня.  Достоинства: чехол, быстрый нагрев,упругий завиток. автоотключение.</t>
  </si>
  <si>
    <t>Купила триммер другу на 23 февраля.Шикарная вещь.Тихий моторчик, аккуратно безболезненно и немножко щекотно убирает все волоски.покупкой довольна. Вернулась в магазин в тот же день и купила триммер папе remington-с насадками для усов и бровей..папе еще не дарила, но чтото по характеристикам мне нравится меньше, шумный, не состригает усы(пробовала на дуге).так что, надо было наверно 2 валеры покупать!</t>
  </si>
  <si>
    <t>Очень хорошие наушники за свою цену.... Уже пользуюсь около 8 месяцев... И все ОК...</t>
  </si>
  <si>
    <t>За 3 часа работы температура в комнате (11 кв) упала на 1 градус. Нет режима бриз! Нельзя менять поток воздуха!</t>
  </si>
  <si>
    <t>Я - один из счастливчиков-обладателей данной машинки=))) Доволен как удав на солнышке! Приобрел как замену настольному мощному и громоздкому пк, а сей чудо-девайс - миниатюрный и.. СВЕРХМОЩНЫЙ! (для своего класса конечно же).  Такие игры на Source небезывестной компании-клапана как серия Half-Life 2, Dark Messiah, Portal, Team-Fortress 2,  а также FallOut3 с Havok идут на средних-максимальных настройках качества и разрешений с fps в районе 20-30 с проседанием в особо тяжелых сценах до 10. Играбельно!  Я уже приступаю к FallOut 3, оставив позади вселенную Half-Life=)))  Говорить о менее требовательных играх и программах не имеет смысла - все запустится и побежит на ура.  Проблемами стали лишь маркая глянцевая крышка и недружелюбная к играм 64-битная ось.  А так - рекомендую друзья!;-)</t>
  </si>
  <si>
    <t>2012-10-07</t>
  </si>
  <si>
    <t>Нормальный бытовой прибор, без замечаний, даже имеется режим размораживания для хлеба, решает проблему сохранности хлеба (для меня во всяком случае).</t>
  </si>
  <si>
    <t>2013-11-21</t>
  </si>
  <si>
    <t>Купила недавно пылесос, распаковала его только что... решила проверить в действии. Хороший! Мощный, компактный, красивый. Не знаю, как дальше, но пока меня все устраивает. Это - именно то, что я искала. Единственный совет - проверяйте комплектность товара на месте. У меня вместо 3 щеток, только 2... Хотя убедили не проверять, т.к. он запакован и уже, якобы, проверялся - обманули...</t>
  </si>
  <si>
    <t>Оценка - твердая четверка. Хлеб, кекc, тесто получается вкусным.  Что мне не понравилось:  1) при замешивании очень шумит, есть с чем сравнить (ее точно не поставишь для выпечки хлеба ночью),  2) издает очень громкие сигналы (засыпать ингредиенты, вынимать лопатку и готовность).</t>
  </si>
  <si>
    <t>Данный водонагреватель купил и установил 3-года назад.   Идеально подошел под цвет смесителей в санузлы. Нагревает воду достаточно быстро. Вполне хватает на семью из 3-х человек.  Серьёзным недостатком является постоянное стравливание воды после нагрева, через предохранительный клапан. Пришлось повесить на него шланг от медецинской капельницы и спускать на слив в раковину, во время включения.</t>
  </si>
  <si>
    <t>Сегодня приобрела данный агрегат, кое-как сгорая от нетерпения приехала домой, где меня ждала куча постиранного белья, засекла время глажки - 35 минут, на три комплекта постельного белья, детской одежды, мужниных футболок-рубашек, я в полном восторге, а финальной точкой моей радости от обладания этим чудом, стал кожанный плащь, который висел в шкафу и приобрел неприглядные складки-заломы - несколько движений вверх-вниз немного задержавшись на особо мятых местах и ... вещь как новая!!! Спасибо Tefal за удовольствие!!!</t>
  </si>
  <si>
    <t>1850</t>
  </si>
  <si>
    <t>Отличный чайник! Работает пять лет. Нареканий нет. Шумит, когда кипит, но мы не прислушиваемся. Быстрый, удобный, комфортный, практичный, дизайн симпатичный. Систему самоотключения без воды не проверяли - относимся трепетно и бережно, как к бриллиантовому))</t>
  </si>
  <si>
    <t>Купила 9 мая, хоть и пользуюсь недавно, но так уже привыкла к нему, очень удобный, а гладит просто отлично, очень сильно греет на "тройке", поэтому даже сильно пересушенное белье отлично отпаривает и проглаживает. Всем советую.</t>
  </si>
  <si>
    <t>Эти весы у меня 8 месяцев.   Первые недостатки появлились сразу же через несколько дней использования. Начали гореть одновременно все сигменты, приходилось ждать несколько минут, либо вытаскивать батарейки.  Затем, через несколько месяцев, начал показывать неправильный вес, т.е. при повторном взвешивании через несколько минут показывал погрешность в 300-500 гр.  Ну и на данный момент: в течении 2х месяцев с периодичностью в 2 дня скидывает минус 2кг. Мы даже начали пугаться что так быстро худеем)))   Оказывается вот такие они веселые)))  на помойку!!!</t>
  </si>
  <si>
    <t>2199</t>
  </si>
  <si>
    <t>Корпус и детали металлические</t>
  </si>
  <si>
    <t>До покупки этой машины, была стандарт Аристон Диалоджик (только из-за добрых наслаждений этой машины замахнулся на AQSL 109).   Новая машина помешана на экономии воды, стирает очень плохо. Порошок не растворяет и не выполаскивает. Жидкими стиральными средствами не отстирывает ничего. Таблетками тоже плохо. Приходится включать дополнительное полоскание, полный бред - экономия! Не покупайте! Одно мучение. Буду продавать и брать другую, наверное Бошш. Намучался за 1 год, ни кому не желаю!   Аристон - никогда!</t>
  </si>
  <si>
    <t>Отличный телевизор, купил по акционной цене, очень доволен, время использования конечно маленькое, но недостатков пока замечено не было, да и не ищу я их в принципе, судя по отзывам хорошая плазма, я тоже так считаю, картинка супер, звук громкий и чистый, экран средних размеров, вписался в в интерьер очень даже, совместим со многими устройствами, много разъёмов. Мне всё нравится!</t>
  </si>
  <si>
    <t>Купили белую лаковую горку и искали телевизор в светлом корпусе. Как раз были скидки на эту модель сразу взяли. И еще ни разу не пожалели. Качество обалдеть. Особенно в высоком разрешении. Советую брать не задумываясь!</t>
  </si>
  <si>
    <t>Машинка-чудо! Теперь я женщина, а не посудомойка! Работает без проблем, управление простое и понятное, бесшумная, экономит кучу времени! Много плюсов - минусов ни одного! Я очень довольна и всем рекомендую.</t>
  </si>
  <si>
    <t>Дома ребенок аллергик , живу в однушке . Искал небольшой пылесос с аква-фильтром , меньше чем мне не знакомый Ариете не нашел ,попробывал и купил ! Теперь так могу сказать- дешевый ,качественный пылесос , занимает мало места , а главное моет воздух !!!!</t>
  </si>
  <si>
    <t>851</t>
  </si>
  <si>
    <t>Когда мы переехали с женой жить в загородный дом, то заканчивая ремонт на кухне, мы решили, что вытяжка нам не пригодится. В итоге после того, как на потолке и гарнитуре появился налет, а в комнатах пахло едой, пришлось резко поменять свое мнение по поводу наличия вытяжки на наше загородной кухне. Мы купили вытяжку с привлекательным дизайном, которая  прекрасно вписалась к нашему кухонному интерьеру! Работа вытяжки сразу дала понять, что мы сделали правильный выбор)) Она справляется даже, если готовка происходит на всех четырех конфорках благодаря наличию нескольких режимов, которые реально мощно работают! Очень удобна и проста в использовании. Подсветка хорошо подсвечивает варочную поверхность. Больше никакой копоти, запахов ни на кухне, ни в комнатах вообще! Одним словом, чудесная и удобная вытяжка..)</t>
  </si>
  <si>
    <t>2934</t>
  </si>
  <si>
    <t>Отличный аппарат, поставил драивера на ускорения проца, все летает. Аппарат не виснет. Главное преимущество - разрешение экрана смотрится великолепно. А по цене аппарата с такой начинкой не найдете. Главный для меня недостаток - слабый аккумулятор.</t>
  </si>
  <si>
    <t>Купила варочную панель 8 мес. назад.В целом довольны.Все готовится быстро,чистится легко.Но через 6 месяцев сенсоры сгорели,заменили, но через 2 мес.все повторилось, пришли уже с другого сервиса тут же все заменили и все работает пока как часы.</t>
  </si>
  <si>
    <t>За неделю до окончания гарантии водонагреватель потек, экспертиза показала заводской брак..</t>
  </si>
  <si>
    <t>1234</t>
  </si>
  <si>
    <t>Одни плюсы</t>
  </si>
  <si>
    <t>купил его месяц назад.ноутбуком очень доволен никаких проблем!!!(всем советую)</t>
  </si>
  <si>
    <t>Радио слабовато ловит, а ТВ вообще не показывает! в городе по простой антенне можно поймать 12 каналов, даже с проволочной антенной, а в автомагнитоле пролоджи 1715  она поймала 2 канала и то с сильной рябью! буду искать новые антенны!</t>
  </si>
  <si>
    <t>Пользуемся чайником более 5-и лет. Работает исправно, никаких проблем с ним не возникало. Удобный, надёжный, стильный - самый-самый!</t>
  </si>
  <si>
    <t>Купил эту модель месяц назад, пользуюсь на 110%. Гоняет за свои деньги супер. Одно НО игры Sims 3 и Call of Duty 5, они идут но периодически через час компьютер зависает намертво(PS из отзывов: видюхе не хватает охлаждения). Планирую на днях поставить видюху через СЦ, мощнее чтоб была. Но эта не тормозит только виснет сразу комп когда она перегревается :) а в общем отзыв хороший!!!. Только хотелось бы чтобы и диск с виндой в комплекте был, пускай комп и дороже бы стоил. Всем советую.</t>
  </si>
  <si>
    <t>Купила блендер около года назад, пользуюсь им очень часто. Делаю пюре, фарш, коктейли. Отличная вещь, о покупке не жалею!</t>
  </si>
  <si>
    <t>61</t>
  </si>
  <si>
    <t>Пользуюсь вентилятором два месяца.  Просто хороший бренд.  Недостатка нет.                         Всем рекомендую покупать этот товар.</t>
  </si>
  <si>
    <t>Присоединяюсь ко всем отзывам, вещь СУПЕР!!! курица такая вкусная получается.......... а корочка.... просто наслаждение, а не еда в ней получается.Очень понравилось готовить в ней купаты. Одним словом, БЕРИТЕ НЕ ПОЖАЛЕЕТЕ!!!</t>
  </si>
  <si>
    <t>Купил в ноябре 2009 для жены. Самый адекватный аппарат за такую стоимость с полноразмерной клавиатурой и web камерой. Аналогов просто нет. Умеет практически все. Покупался как дополнительный компьютер к основному стационарному для Интернет серфинга. В итоге комплектация данного ноута настолько хороша, что позволяет не только использовать беспроводное соединение по Wifi к Интернету, но и слушать музыку (очень достойные встроенные динамики), смотреть фильмы (включая разрешения AVHD без тормозов)и играть в современные игры (The Sims 3 на максимальных настройках). Операционка конечно слабовата (Win7 Home)и некоторые настройки системы отсутствуют, но мне кажется эта операционка для данной комплектации оптимальна. Win7 Ultimate скорее всего будет подтармаживать, но не особо значительно, а опускаться до установки XP я бы не советовал - эта операционка уже давно вчерашний день. Некоторые недостатки также отмечены: небольшие углы обзора экрана (впрочем как у большинства ноутов), батарея разряжается на раз (часа 2 максимум, но если рядом эл.розетка, то вообще нет проблем), при соединении болтается коннектор блока питания в разъеме ноута (можно было бы и получше сделать соединение). В целом очень достойный аппарат, а смена операционки и установка дополнительных программ это уже дело каждого. Кому, что нужно. Рекомендую.</t>
  </si>
  <si>
    <t>Пользуемся этой моделью с 2006 г. ни одного изъяна, все нормально размораживается(если переворачиваете, когда подает сигнал), ни одной кнопки ни разу не заело, все работает с первого раза. Отличная вещь, из всех марок посоветовала бы только ее.</t>
  </si>
  <si>
    <t>3057</t>
  </si>
  <si>
    <t>отличный телефон, уже год пользуюсь только кнопка боковая глючит, телефон КЛАСС</t>
  </si>
  <si>
    <t>В общем и в целом наушники свою цену оправдывают.    Основной минус - слабое крепление самих ушей к дуге. Может я сиволапый, а может нажал "как нужно и где нужно", но одно ухо на моем экземпляре отлетело напрочь. Сейчас намертво прикручено к дуге, что на качество звука, слава богу, не влияет =)</t>
  </si>
  <si>
    <t>2016-11-15</t>
  </si>
  <si>
    <t>Классный инструмент для укладки</t>
  </si>
  <si>
    <t>Купили для семьи из 4-х человек. Отличный водонагреватель за эти деньги!</t>
  </si>
  <si>
    <t>Все просто отлично, но у меня проблема с закачкой книг. Качаю через программу, но на плеере выводятся иероглифы.</t>
  </si>
  <si>
    <t>Кофеваркой пользуюсь больше полугода. Довольна! Работать с ней приятно, результат  радует, легко добиться желаемой степени помола кофе (для других продуктов не использую). Единственное, что оставляет легкое сожаление - это скользкая крышечка, иногда ее откручивание доставляет некоторое неудобство. И шнур не фиксируется в пазу на донышке, все время вылезает. В общем, кофемолку рекомендую к приобретению: эстетика и надежность.</t>
  </si>
  <si>
    <t>Брала для поездок, но пользуюсь и дома, если надо прогладить мелкие складки или рюшки, оборки. Очень удобный, легкий и подошва не прилипает к одежде.</t>
  </si>
  <si>
    <t>2637</t>
  </si>
  <si>
    <t>Пользовался такой штучкой около года). Плеер очень понравился, но есть пару недочетов. Во-первых не проработана блокировка...когда кладешь в карман(в забл. состоянии) от прикосновений он все время загорается, что отрицательно на зарядке сказывается...Ну через пол года разболтался вход под наушники и начала двигаться панелька относительно экрана. В остальном он идеален). Стильный, под любой костюмчик подойдет ;), качество звука улетное, комплектные наушники дадут фору любым дорогим...перечислять можно долго). Короче говоря если вы не спортсмен и не собираетесь с ним бегать(кнопки сенсорные неудобно тыкать на ходу), то это ваш вариант))))</t>
  </si>
  <si>
    <t>2015-10-26</t>
  </si>
  <si>
    <t>После покупки данного увлажнителя были им очень довольны, эксплуатировали часто, согласно рекомендациям производителя, воду набирали из фильтра. Увлажнял комнату достаточно быстро, никакого налёта или конденсата на мебели не наблюдалось. Было обидно, когда после двух лет активной работы, он сломался: перестал выводить пар во всех режимах.</t>
  </si>
  <si>
    <t>Хорошая вещь.Одни плюсы: маленький размер не занимает много места в шкафу. Цена хорошая. Колличесво масла 0.5 л масла при вместимости 0.4 кг картошки. Получается вкусный, хрустящий картофель фри. Чипсы тоже получаются только загружать надо в половину меньше картофеля, чтобы не слипались. Да обязательно картфель надо промакивать полотенцем ,чтобы убрать влагу.</t>
  </si>
  <si>
    <t>Взяла этот блендер, поскольку надо делать пюре второму ребенку. Первый вырос с блендером другой фирмы, такой же по ценовой категории, таким же простым на вид. Но он прослужил ровно 1,5 года, потом раскрошилась насадка в месте закручивания, пластик не выдержал. Так мне он больше и не требовался. Зато Скарлет вообще не порадовал! Все целое, работает, гудит от всей души, но не измельчает ничего!!! При этом летит пища во все стороны, все заляпано, а отварные овощи все целые. Я, думаю, все дело в ноже и глубине насадки. Никому не советую брать!!! Одно мучение от него, толка нет.</t>
  </si>
  <si>
    <t>монитор хороший никаких мерцаний не замечал ,но я им пользуюсь всего год а вчера он перестал включаться!показывает лого компании и резко отключается !завтра поеду в сервис центр мож чё и починят</t>
  </si>
  <si>
    <t>Пылесос моющий Zelmer 919.0SP купили в январе этого года. Очень понравился!  Действительно, ничего сложного нет, чтобы после уборки вымыть все детали (предпочитаем пользоваться аквафильтром).   Правда, функцию "мытья ковров" еще не использовали, т. к. не было пока необходимости, но всем остальным очень довольны.  Думаю, "Томасу" он совсем не уступает. Габариты - вполне приличные, не тяжелый, удобный и качественный (только колёсики на основной щетке подводят, но без них тоже можно пылесосить.)   Купите Zelmer 919.0SP - не пожалеете!!!:)))))))</t>
  </si>
  <si>
    <t>очень хороший набор!! утюжок великолепный!!!! единствен минус немного неудобно держать фен..ну это дело привычки))</t>
  </si>
  <si>
    <t>Увидав на сайте цену обрадовалась - не дорого.  В четверг купила 2 таких вентилятора. Из 2 два оказались не рабочими. Пришлось в пятницу отвозить сдавать, а это еще потраченное время...</t>
  </si>
  <si>
    <t>Пользуюсь 5 лет. Отличная модель, легкая по весу и в обращении. Между ножом и крышкой минимальное расстояние, при котором совершенно нет отходов - все перетирается, не надо открывать и вынимать недорезанные овощи, которые забиваются между крышкой и ножом, и мешают работе ножа, что у меня было в предыдущем комбайне.  Мощности и качества стали вполне достаточно, чтобы протереть очень толстые морковки. Я настолько довольно этим комбайном, что собираюсь подарить его моей подруге и рекламирую всем!</t>
  </si>
  <si>
    <t>Первый плеер у меня. Купил, чтоб в командировках в транспорте время чем-то занять. Пока всё устраивает. Единственное, немного радио некоторые станции принимает с помехами, но мож это от станции зависит. Погонял аккумулятор. Первые 2 зарядки часов по 12-14 работал без перерыва. Точно не скажу. Заряжен был часов в 14. Вырубался ночью в шкафу, когда я спал. Сейчас будет третья зарядка.  На сайте производителя заявлено, что в комплектацию должна входить клипса для ношения на одежде. Однако в купленном экземпляре она отсутствовала. Да и в инструкции в разделе комплектации она не упомянута. Похоже в последних партиях Samsung решил сэкономить. Интересно, можно ли её приобрести отдельно? Удобная штука.</t>
  </si>
  <si>
    <t>Да комп СУПЕР!!! Индекс производительности 5,9 (если не брать в счет индекс производительности жесткого диска, то он составляет 6,7), но есть, одна проблема он постоянно зависает в течение 15-20 минут при первом входе в Windows, и это не единичные случаи. Потом его принудительно выключаешь и снова включаешь, и после этого он работает без зависаний.</t>
  </si>
  <si>
    <t>Красивый дизайн, очень функциональный, компактный, работает от батарейки</t>
  </si>
  <si>
    <t>1791</t>
  </si>
  <si>
    <t>мое мнение что вопрос цена качество здесь просто можно оценить по пятибальной системе на отлично. такая же на рынке продается за 13 тысяч. купил в М-видео, не жалею, предыдущая магнитола была тоже неплохая, только экран монитора был поменьше.  Эта выглядит стильно и не приметно для злоумышленников, что тоже немаловажно. Впечатления от просмотра остались хорошие, звучание тоже наплохое. МЕНЮ почти полностью на русском языке, что тоже хорошо.</t>
  </si>
  <si>
    <t>Купил несколько недель назад.Сразу запустил в работу по мощным приложениям и программам на предмет тормозов.Все прошло отлично,без глюков и зависаний .Без сети на батарее работал около 3 часов(точнее 2 часа 40 минут).Очень тихий, отличная полноразмерная клавиатура, неплохой дизайн, матовое покрытие со стороны тачпада, хороший LED-экран. По производительности: отличный процессор с хорошей шиной, отличная оперативка DDR3 + можно расширить до 8гб.Качество сборки на высоте. Горячий воздух выходит с тыльной стороны.Минусов не обнаружил,все устраивает.Берите, не пожалеете. За такую цену - лучше не возьмете.</t>
  </si>
  <si>
    <t>Отличный телефон, зарядка держит замечательно, а также лучшей открывашки для пива не придумаешь !!!!!!</t>
  </si>
  <si>
    <t>Привет, вот решил брать этот компьютер судил по цене\качество, смущают размеры....  И интересно как там железкам не жарко в таком маленьком шкафчике? и интересуюсь какой балл оценки дает vista?</t>
  </si>
  <si>
    <t>Достаточно сильно утюг воняет пластмассой. После получасовой глажки у меня от него начинает болеть голова. Не рекомендую его к покупке, если заботитесь о своем здоровье!</t>
  </si>
  <si>
    <t>Пользовался этими наушниками 3 года. Восторг не передоваем и безграничен. К сожалению, недавно развалилась пластмасса одного уха и динаик там перестал работать. Ищу новые такие же.  Модель супер</t>
  </si>
  <si>
    <t>2354</t>
  </si>
  <si>
    <t>Хороший набор. Очень понравился. Много насадок и все используются. Экономит время в разы. Рекомендую.</t>
  </si>
  <si>
    <t>Купил впервые электромясорубку Panasonic MK-G1300PWTQ до этого была ручная мясорубка.  Выбирали из всех брендов, которые были в продаже, но выбрали этот бренд, потому что у него в обзоре на сайте сказано, что шестерни редуктора внутри корпуса сделаны из металла, а не из пластмассы.  Первые впечатления: проста в сборке-разборке. За пять минут перемололи 1,5 кг мяса. нарезанного кусками не более входного отверстия. Мяса в шнеке почти не остается, легко моется. Очень довольны покупкой. Всем рекомендуем.</t>
  </si>
  <si>
    <t>2015-04-12</t>
  </si>
  <si>
    <t>Кофеварка хорошая, правда, цена за нее высоковата. Кофе получается хороший, но только если варишь как минимум на троих человек. Если варить на одного - кофе выходит  совсем жидкий - как подкрашенная вода, во всяком случае на мой вкус. В остальном кофеварка отличная. Раньше стояла дома, потом отнес на работу - пьем кофе всем коллективом, завариваем сразу на 4 человек - в таком случае все достоинства кофеварки раскрываются полностью).</t>
  </si>
  <si>
    <t>2016-07-22</t>
  </si>
  <si>
    <t>Мой набор был куплен еще в 2008 году, за смешные деньги))))) поначалу пользовалась активно,все насадки использовала. Потом при переезде коробку с ним куда то убрала и благополучно забыла на 5 лет, а сейчас снова отыскала на антресоли))) все работает так же как и раньше. только со временем пришла в негодность насадка с полировкой, диск скатался к центру комком ваты...  мощности конечно не хватает чтобы прям полноценный салонный маникюр сделать, но для поддержания в порядке рук и ног подходит на все сто, удалять кутикулу проще простого))))))))</t>
  </si>
  <si>
    <t>Александр (Абинск)  больше так не пишите (а дальше разберитесь, если понимаете англ.яз.), а то люди скоро свои телеки повезут в сервис центр.    надо зайти в В тул опшинс в юсб тайп вместо 0 поставить 2    телек очень классный, не пожалел что взял, только у меня на 50</t>
  </si>
  <si>
    <t>2540</t>
  </si>
  <si>
    <t>Очень удобная, быстрая, достаточно тихая.   Красивый дизайн, все крышечки-контейнеры удобны и тактильно приятны.</t>
  </si>
  <si>
    <t>Пользуюсь больше года  покупал в автомобиль на панель приклеил двусторонним скотчем,смотриться элегантно,а ночью переливающаяся всеми цветами радуги подсветка просто радует глаз...  Я всегда в курсе не отвлекаясь от дороги сколько время,какое число,день недели и температура в салоне...</t>
  </si>
  <si>
    <t>Купил полное издание 10 февраля этого года. Без танцев с бубном не обошлось, но в итоге игру запустил. Когда прошел игру, решил что сюжет плохой, а пройдя пару миссий в эпизодах вообще разочаровался и забросил на какое-то время, но потом решил пройти эпизоды и по ходу прохождения все дыры в истории Нико заполнились, получилась единая картинка. Очень круто проходить одни и те же миссии с разных сторон.  Безусловно нужно проходить GTA4 и EFLC вместе, это одна история. Кстати Винда 7, проблем нет. При регистрация в XBOX Live, можно указывать Россию, теперь игра по сети есть и у нас. Игра на 4+.</t>
  </si>
  <si>
    <t>2017-06-18</t>
  </si>
  <si>
    <t>Функциональность и простота в купе с дешевизной</t>
  </si>
  <si>
    <t>Пылесос отличный. Лучший из лучших. Рекомендую. Мощности хватает. Купите его и узнаете сколько у Вас дома на полу и в коврах волос!</t>
  </si>
  <si>
    <t>Сразу после покупки раздражало расхождение реальности с рекламой. Режим всего один, кипячение не отключить, блокировку кнопки включения насоса (зачем она вообще нужна?) тоже, теплопотери огромные (корпус всегда горячий), при кратковременном отключении электричества приходится включать кипячение, чтобы снова заработал, при отключении от сети (поездка на дачу, например) через час-другой вода уже чуть тёплая (в китайском термосе с помпой остаётся горячей и через сутки). То есть, термоизоляции внутри никакой нет. А значит, ест он электричество постоянно, как радиатор, и летом его пришлось вообще выключить, чтобы не отапливал комнату в такую жару. Насос слабый, вода чуть каплет, когда остаётся литра два-полтора - напора вообще не хватает и приходится помогать ручной помпой. Последние месяцы после того, как отпустишь кнопку насоса, продолжал капать, при чём не пять секунд по паре капель, а можно было стоять с кружкой минуту, а капли падают и падают. Если кто не понял, в чём проблема - уберёшь кружку - на стол накапает целая лужа. Куплен был в апреле. И вот пару дней назад электрический насос перестал подавать признаки жизни. Никакого ремонта по гарантии, только возврат. Гарантия всего год, хорошо, что не кончилась.</t>
  </si>
  <si>
    <t>Простой плеер без всяких лишних функций. Компактный, удобный, качественный звук, простой интерфейс. Памяти хватает сполна. К тому же, это плеер Sony, что обещает качество на высоком уровне.</t>
  </si>
  <si>
    <t>Трижды покупал ее, сейчас снова переехал и стал перед выбором. Ничего достойней выбрать не могу. Буду брать ее. Сплошное стекло, без окантовок, удобно при уходе. Нагревается быстро, ничего не горит. Удобные две зоны нагрева.</t>
  </si>
  <si>
    <t>Режим "Программа эконом" написано "Программа економ",  т.е. вместо буквы "Э" написали "Е". Для бренда горения данная ошибка не допустима, вызывает сомнение в происхождении данной стиральной машинки!</t>
  </si>
  <si>
    <t>Купили недавно, отлично убирает катышки на одежде, очень понравилась, советую</t>
  </si>
  <si>
    <t>2713</t>
  </si>
  <si>
    <t>Хорошие колонки уже 2 года пользуюсь, звук мощный, цена -качество,правда 2 года назад я их брал в 2 раза дешевле!</t>
  </si>
  <si>
    <t>Купили месяц назад. Нам нравится по всем показателям. Есть небольшие минусы - внутри собираются крошки, несмотря на специальный поддон. И иногда (причина непонятна) прожаривает неравномерно. Но это все некритично. Соотношение цена-качество нас устраивает</t>
  </si>
  <si>
    <t>Купил на днях эти чудесные весы. Работают на ура! С весом не обманывают!!! Есть память это радует!!! Вообщем товар отличный, рекомендую!</t>
  </si>
  <si>
    <t>Купила вчера.Камера так себе,а сам телефон мне нравится!</t>
  </si>
  <si>
    <t>Купила пару месяцев назад и хочу сказать, что машинка отличная! стиль, функциональность  - все, что нужно!  стоят счетчики воды дома, поэтому стираю ночью - работает действительно тихо (у меня грудной ребенок, спит очень чутко и стиралка его совершенно не беспокоит).  опять же есть режим стирки детской одежды, что для меня и малыша актуально:) а муж в восторге от режима стирки рубашек - на 5 с плюсом стирает воротнички.  Так что всем советую!</t>
  </si>
  <si>
    <t>Куплен в 2007 году. Ни разу не подводил, запаха пластмассы при кипячении не было - сделан был в Германии ( сейчас делают кажется в Словении). Но вот недавно появилась трещинка в одной из прозрачных вставке.</t>
  </si>
  <si>
    <t>Без проблем на ней готовлю, с нагреванием никогда сложностей не возникало, нагревается быстро… из 4 зон есть одна с двойным нагреванием и одна расширенная под большие сковородки)  я к ней уже привыкла, так что отлично понимаю на каком из 9 уровней нагрева готовить. Удобно, что есть автозакипание (сбавляет температуру через какое-то время) и автоотключение и защита от детей. Сам дизайн конечно очень приятный, стеклокерамика все-таки.... моется спецсредством быстро и легко...</t>
  </si>
  <si>
    <t>Покупала этот триммер мужу на день рождения, вот уже полгода прошло и все работает исправно. Иметь триммер дома, это очень удобно, муж выглядит всегда ухоженно. Но вот сразу нужно предупредить, что использовать этот триммер можно только для сухого бритья, что тоже не плохо, муж например именно так и привык. Зарядки хватает на 3-4 раза пользования, потом снова необходимо подзаряжать.</t>
  </si>
  <si>
    <t>Достоинства: 1. Пластины с покрытием. 2. Мгновенный нагрев. 3. Температурное табло и выбор режимов нагрева. 4. Вращающийся шнур. 5. Качество. 6. Дизайн. 7. Замок от случайного раскрывания.  Недостатки: нет  ля каждой девушки важно выглядеть красиво и ухоженно. Поэтому за помощью мы обращаемся к различным приборам, которые помогают нам всегда выглядеть красиво и быть на высоте. Выбор таких выпрямителей огромен. А выбрала я себе именно такой. Привлекло то, что можно устанавливать температурный режим от 130 до 230 град. И пластины в нем с покрытием, которое защищает волосы, есть вращающийся шнур, благодаря чему, не надо его постоянно вертеть и распутывать.</t>
  </si>
  <si>
    <t>530</t>
  </si>
  <si>
    <t>Фен полностью соответствует качеством цене. Идеально сушит густые длинные волосы.Рекомендую.</t>
  </si>
  <si>
    <t>1264</t>
  </si>
  <si>
    <t>Замечательный прибор, очень удобно пользоваться. Быстро нагревается, укладка долго держится. Очень порадовал вращающийся шнур.</t>
  </si>
  <si>
    <t>Покупала фен на море, думала на месяц хватит да и ладно... оказалось, фен очень хороший, пользуюсь почти каждый день... воздух не горячий, мощный... очень нравится)))</t>
  </si>
  <si>
    <t>Потрясающий!волосы не портит,хорошо выпрямляет и завивает ))</t>
  </si>
  <si>
    <t>Покупал телевизор специально для PS3,могу сказать только одно,телик офигенный,очень насыщенные цвета,качественная матрица,как у Sony.Фильмы тоже,одно удовольствие смотреть!!</t>
  </si>
  <si>
    <t>Жена довольна!</t>
  </si>
  <si>
    <t>Пользуюсь больше года. Нареканий нет. Надёжный, хороший тостер.</t>
  </si>
  <si>
    <t>на новый год получил в подарок Exply T7 4 GB, поначалу, как и многие, радовался подарку, но вскоре начал замечать:  -Сенсорные клавиши, мягко говоря, тормозят  -Анимация на плеере, к примеру зрительный образ при прослушивании музыкальных файлов, тормозит, также тормозят больше половины функций всего плеера.  -Даже из инструкции не разобрался как правильно сохранять закладки в книге, приходится долго щелкать на одну и туже клавишу, чтобы высветилось сохранение, а не загрузка.  -еще не разу не получилось посмотреть видео на плеере, даже после конвертации в AVI-формат ничего не вышло.  -Как не прискорбно, но картинки в формате JPEG не открывает, только одну картинку открыл и все, более не в какую...</t>
  </si>
  <si>
    <t>Купила миксер в 2006году, прослужил 6 лет, сейчас сгорел. Мне очень нравился, сейчас опять хочу купить эту модель. Надеюсь, что прослужет также долго, как и старый миксер. Я довольна этой техникой!</t>
  </si>
  <si>
    <t>Довольно хороший тостер....красивый дизайн...возможность подогрева и разморозки.  За такую цену я доволен</t>
  </si>
  <si>
    <t>Купила этот пылесос 3 года назад. Понравился новый дизайн, думала что с контейнером будет удобнее, чем с мешком. Ага щас прям..... Фильтры к этому пылесосу выискиваю по пол года в магазинах города и стоят они космических денег... одна фирма сказала, что закажет и привезет за это я должна заплатить 1600,0 руб. Последний раз покупала фильтр за 659,0 руб. Сейчас занимаюсь поисками следующего.... но в городе ни у кого нет. Жду. Мож кто подвезет на продажу эти дефицитные фильтры.Вот и купила пылесос по дешевке...</t>
  </si>
  <si>
    <t>Купили чайник благодаря дизайну: красненький, яркий, красивый. Но с функциями он тоже не подвел - греется быстро, не протекает ничего. Ручка удобная, подставка устойчивая. Фирма bosh не подводит, хорошая сборка.</t>
  </si>
  <si>
    <t>Компактный набор для заботы о ногтях. Насадки хорошие, полезные. А вот батарейки надо сразу поменять, чтобы не было потом недоразумений. Важный момент - при работе не нужно сильно нажимать насадкой на ноготь, иначе приборчик либо замедлится, либо и вовсе остановится, если прям сильно прижимать.</t>
  </si>
  <si>
    <t>Плеер просто великолепный, видео форматы читает вобще круто, я даже кабельные каналы поймал, музыку слушать это просто класс, для меломанов подойдет.</t>
  </si>
  <si>
    <t>Утюг отличный, долго выбирала, теперь жалею, что столько времени мучилась и не покупала. Гладит замечательно, очень длинный шнур, теперь не нужны переноски.</t>
  </si>
  <si>
    <t>Много читали в нете перед покупкой, какой лучше, пришли к выводу что по цене и качеству его собрат самсунг 4330. А когда пришли в магазин обнаружили вот этот самсунг 4350, он такой же, но с турбощеткой и немного мощнее! а дороже на 300 р всего! Так что нам очень по душе!</t>
  </si>
  <si>
    <t>Решили купить его сегодня.. благо магазин не далеко! Качество видео настолько жуткое, что если бы не смотрели в кинотеатре, то при просмотре диска фильм бы точно не понравился.. То квадратит, то цвет смазанный и постоянный шум изображения.. Лучше пойдем качать творение пиратов) и бесплатно и качество лучше! Диск вернули в магазин.</t>
  </si>
  <si>
    <t>Купил 2 штуки. Общие впечатления - удобно сделано крепление, хороший приятный выключатель. Угол вертикального отклонения могли бы сделать и побольше. На сайте написано 120 непонятно каких единиц. Если это градусы, то реально между крайними положениями вдвое меньше.    Один работает уже несколько дней. Шумноват. Основной шум - вал двигателя. Такое ощущение, что со временем может разболтаться окончательно. Второй через 2 часа работы заскрежетал и стал медленно крутится.    Резюме - по задумке вентилятор неплохой, но за такое качество 420 руб. многовато.</t>
  </si>
  <si>
    <t>Покупкой очень довольна. Локоны просто отпад хотя мои волосы с трудом поддаются накрутке. И прищепки очень удобные, надо только научиться ими пользоваться, держат намертво. В общем я очень рада.</t>
  </si>
  <si>
    <t>Лопнул предохранитель. Кипили это. Работает... Пока... Дороговато но выхода и аналогов увы нет. Между прочем к слову о том чтоб сделать этот предохранитель из металла нельзя! Иначе следующим сломается двигатель мясорубки. Видимо вам просто не повезло и вам попался брак.</t>
  </si>
  <si>
    <t>Самый Coolьный телефон по всей планете!</t>
  </si>
  <si>
    <t>Пользуюсь несколько месяцев. Появились пятна около горелки с тройным пламенем. Пятна - отслоение черной краски с обратной стороны стекла, т.е. изнутри. Позвонил на горячую линию Samsung - оформили заявку, придет мастер посмотрит. Но при этом сказали, что отслоение могло произойти, если при кипении из кастрюли, например, втекла жидкость и попала на стекло. Странно, это все-таки плита, такие вещи иногда происходят, если она этого не выдерживает, то тогда непонятно, для чего вообще такая плита. Посмотрим, что скажет мастер из сервиса.</t>
  </si>
  <si>
    <t>Самая не удачная из PSP если уж брать то 3008, во-первых, не спорю Go почти в половину меньше и легче чем Slim, и при этом она довольно удобна по эргономике, но есть один момент в файтинги вы на ней играть не сможете, ибо кнопки уменьшились вместе с корпусом и посажены более глубоко, чем на старых моделях. Учитывая, что почти в каждом файтинге требуется нажатие комбинаций из двух кнопок, это становится весьма затруднительной задачей. Во-вторых, это естественно отсуцтвие кармана для UMD, а скачивать игры со Stor'а это бред. Данный способ приобретения игр удобен в Японии, Америке, где WiFi есть в каждом Макдоналдсе, но у нас в России это весьма и весьма затруднительно (особенно в провинции). В-третьих, это зарядка, которая одновременно является шнуром подключения к компьютеру, если вы потеряете его, следовательно, лишаетесь и зарядки и шнура, ранее же использовавшийся miniUSB был куда более удобен. По мне так у каждого в доме найдется шнур miniUSB от плеера и прочей приблуды. Ну и в последнюю по количеству, но не по значению это, конечно же, ее форм-фактор, всем прикрасно известно, чем проще конструкция, тем она долговечнее, впоследствии Go банально повторит судьбу любого мобильника-слайдера, у нее разболтается экран. Из плюсов могу выделить только 16Gb встроенной памяти, но и на Slim можно точно так, же взять стандартную сонивскую Memory Stick Duo которая стоит не боле 2500 тысяч и в итоге вы получите точно такой же объем памяти как у Go и за теже деньги, но при этом вы будите иметь более практичную и удобную в использовании портативную консоль.</t>
  </si>
  <si>
    <t>Купил по совету знакомого в декабре 2009 за 26 тр. До этого знакомый покупал за 34 тр.  Игры тянет ВСЕ и в максимальном качестве. Гонял автао на максималке - греется, аж палец левой руки жжот и начал тормозить - подложил подставки под задние ножки и все ОК!!! Экран по цветопередаче - супер, звук - супер!! Все зависит от файлов которые воспроизводите.  У кого не так - просто не повезло.  Все остальные минусы как - пачкается, тяжелый, нет блю туз - лично для меня не критичны. А пользуюсь уже более полугода.</t>
  </si>
  <si>
    <t>1951</t>
  </si>
  <si>
    <t>усилок ничего :))))</t>
  </si>
  <si>
    <t>Через четыре (!) месяца использования у чайника перестал отключаться тумблер выключения при закипании! При попытке отключать чайник вручную - выключатель сломался окончательно и чайник пришлось вернуть!</t>
  </si>
  <si>
    <t>Хваленая технология "Root Cyclone + Core Separator" на деле оказалась обычным мыльным пузырем. После 10 минут работы по уборке квартиры был осмотрен фильтр тонкой очистки. На стороне фильтра где сеточка (вероятно, это вход фильтра)были обнаружены сотни частиц песка как просто лежащие на материале фильтра, так и запутавшиеся в его поверхностных слоях. На выходе фильрта частиц песка не обнаружено. Вывод: циклон не задерживает весь песок.</t>
  </si>
  <si>
    <t>Купили два дня назад, при переключении на второй режим выбивает предохранитель, либо сам выключается! Ставим только на первый режим, функции обогрева с каждым днем падают, с левой стороны начал дуть холодным воздухом, получается не обогрев а охлождение какое-то, буду менять на более дорогую модель и качественную! Скупой платит дважды, не рекомендую!</t>
  </si>
  <si>
    <t>Очень неплохой пылесос за эти деньги...;)</t>
  </si>
  <si>
    <t>Купил эти наушники в магазине в Марьино. Правое ухо не работает - заводской брак. Не советую.    Так же хочу сказать, что перед динамиком провод имеет жесткую "обмотку", видимо для прочности. Если хотите носить их в куртке или бегать по утрам с ними в худи с копюшоном, то приготовьтесь к тому, что обмотка постоянно цепляется за одежду, от этого дискомфорт.</t>
  </si>
  <si>
    <t>купила данный плеер, удобный красивый.. все хорошо, но на второй день перестал включаться... без проблем заменили, но вот и второй через две недели перестал включаться.... причем заряд был, я его отключила.. и включить больше не смогла и не заряжается... вот.. попробую сегодня вернуть и взять что нибудь другое...  а пока работал нареканий нет... кстати первый тоже подвисал...</t>
  </si>
  <si>
    <t>Отличный комплект.Купил и не могу оторваться.Всем советую!</t>
  </si>
  <si>
    <t>Первый моющийся Панасоник у меня был лет 7-8. Тогда еще вроде бы никто не делал моющихся бритв кроме них. Аппарат радовал много лет. И продолжал бы, если б не упал однажды. Сломалась кнопка, стала попадать вода и потихоньку аппарат загнулся.   Взамен появился 8807. Достойная вещь, рекомендую. Не хочется тратить более 4000рублей - покупайте любой аппарат марки (только с NiMh или LiIon аккумулятором. Они все весьма неплохи. А 8807 вообще классный. Моющаяся электробритва рулит!</t>
  </si>
  <si>
    <t>358</t>
  </si>
  <si>
    <t>Вот недавно прикупила у вас эти щипцы, сначала немного смутила цена (т.к. есть и дешевле), но все-таки продавец-консультант убедила. Так вот сейчас не могу нарадоваться ими, быстрый нагрев щипцов,буквально менее 1 минуты, хорошо выпрямляет волосы с 1-го раза, удобно сидит в руке, не соскальзывает в общем вообще не могу нарадоваться, и нисколько не пожалела, что купила.</t>
  </si>
  <si>
    <t>Залил водой. Поставил гнется. Закипел и потек из под кнопки включения и дниша! Завтра пойду возвращать! Отличное качество ... мне два пжлста :-)</t>
  </si>
  <si>
    <t>за два года свч проработала без проблем( не смотря на пониженное напряжение - что приводит к тому что свч либо слабо греет,либо вообщне не греет).вообщем как специалист по ремонту свч скажу честно свч у bork хорошие!!!!всем советую!</t>
  </si>
  <si>
    <t>Регул. направ.возд. потока отсутствует. Режим Бриз отсутствует. Охлаждает не плохо, но градусов 20 добиться мне не удалось. Шумит, но спать не мешает.</t>
  </si>
  <si>
    <t>Позволяет прекрасно провести время в поездках, очередях, при выключенной электроэнергии и прочих ситуациях, когда выбор развлечений невелик. Богатая библиотека игр, от платформеров до ролевых и логических. "Тёплая ламповая" графика, неожиданные игровые решения (как, например, симулятор хирурга, совмещенный с визуальной новеллой). В общем, куча удовольствия за такие деньги. Нельзя смотреть видео и использовать как плейер (если не ставить только специализированные оболочки и мириться с низким качеством), но для небольших и хороших игр - самое то. Иногда использую и как читалку книг. Компактный размер - легко прячется в карман.</t>
  </si>
  <si>
    <t>Видео с флешки читает, но в формате mpeg 2 и mpeg 1. Конвертер вам в помощь, сергей :)</t>
  </si>
  <si>
    <t>1529</t>
  </si>
  <si>
    <t>Купил сегодня бритву. Попробовал. В принципе что ожидал, то и получил. Бритва по качеству достойная. Щеки бреет хорошо. В вот шею где щетина растет параллельно сбривает не сразу. А в общем бритвой доволен!</t>
  </si>
  <si>
    <t>Пока практически не пользовался работал нормально вроде,как только началось много разьездов и стал постоянно его с собой брать начались проблемы. То когда музыку закидываешь зависнет на обновлении, то вообще повиснет ни с того ни с чего. А недавно звук начал шипеть и прерываться, думал наушники, купил хорошие пионеровские без толку, думал наушники плохие продали пошёл в магазин они дали другие при мне открыли и проверили на всё работает, тут же втыкаю эти же наушники себе в плеер та же история, хрипит, шипит и вообще пропадает звук. Завтра понесу по гарантии наверно если ещё осталась.Кстати покупал в М видео на широтной.</t>
  </si>
  <si>
    <t>У меня не было проблем с дисбалансом. Тоже отжимала 1 вещь. Просто она ее долго пыталась раскидать по барабану, а потом в итоге "осознав" безуспешность - сдалась и отжала как есть :).  Да у нее и в инструкции написано, что если ей не удастся с какого-то раза раскидать белье так, как ей хочется, она все равно отожмет, но попутно снизив обороты.  Почитайте инструкцию, в ней должно быть.</t>
  </si>
  <si>
    <t>Поставил на днях себе этот комплект, очень доволен, играет достойно за такие деньги отыгравает на все 10 + ... Правда может играть не вовсю свою силу из-за головного устройства (магнитолы), так как очень сильно зависит глубокий бас из-зи магнитолы (подключать вообще  лучше к CD - магнитоле)... Берите не пожалеете!!!</t>
  </si>
  <si>
    <t>3159</t>
  </si>
  <si>
    <t>Пользуюсь ими год, за это время уже и котенок кабель сгрыз (заменил на акустический pc-ofc, кстати отметил прирост в динамике звука), и падали много раз, и разбирал я их... Живучие. По началу скрипят, да, но проблему можно решить смазав WD-40 скрипучий пластик.  Что касается звука - басы и верха чуть приподняты, по сравнению с мониторными AKG 271MKII. Конечно же сравнивать не совсем уместно, лавсановый капсюль не даст студийной детальности, и на низах часто происходит каша, но в зависимости от жанра музыки, что Вы слушаете, результат может быть вполне приемлемым. Электростили они отыгрывают на ура. В стиле метал по низам хрип. Слушаю их на E-MU 0404USB, в целом звуком доволен, и в ценовой категории до 2 000 рублей конкурентов по качеству звучания им нет.  И да - не судите об этих наушниках сразу после приобретения, дайте им прогреться недели 2, лавсан особенно чувствителен к прогреву.</t>
  </si>
  <si>
    <t>Вот подогрев правда не очень=( заливаю воду тепленькую, а к окончанию процедуры она уже холодная=(((  Насадки тоже разочаровали=)  Но в целом ванна хорошая, отличные массажоры на дне.   Только, внимание! Не добавляйте в ванночку не растворимые компоненты или что-то с крупными частицами! Вода из ванночки качается насосом и выходит струйками. Трубочки тонкие ,могут засориться!!!</t>
  </si>
  <si>
    <t>Мой тоже продержался только пол года.(((Хотя этой марке всегда доверяла.</t>
  </si>
  <si>
    <t>369</t>
  </si>
  <si>
    <t xml:space="preserve">Все </t>
  </si>
  <si>
    <t>Обязательно иметь в коллекций эту игру, она лучшая игра про скейт на консолях, еле нашел где купить, плохо что она только эксклюзив на диске и в psn ее нет. Если найдете, то покупайте, не пожалеете=)</t>
  </si>
  <si>
    <t>Посудомойка очень хорошая! пользуемся уже второй год. Большой плюс - практически бесшумная - очень важно для тех, у кого небольшие квартиры. Работает четко. вовремя показывает, когда заканчивается соль или там ополаскиватель. Эффективно моет и на таблетках и порошком. Суперр отмывает старый хрусталь - достаешь его из посудомойки - он как новый, все грани сияют!!! Вообщем хороший выбор.</t>
  </si>
  <si>
    <t>Отличный смартфон!!! Пользуюсь две недели пока все отлично) Берите, не пожалеете.</t>
  </si>
  <si>
    <t>Очень замечательное сочетание цена-качество... А вот турбощетка это вещь которую надо иметь,и не заменять.</t>
  </si>
  <si>
    <t>Отличная микроволновая печь,  соотношение цена-качество, удобная панель управления, все кнопки понятны. Понравилась функция Конвекция.  Из минусов можно отметить только  программу разморозки, неравномерно размораживает,немного" поджариваются " края продукта.   Все остальное очень  нравится. Незаменимая  вещь для семей с маленькими детьми</t>
  </si>
  <si>
    <t>1816</t>
  </si>
  <si>
    <t>Отличный блендер, по акции совсем недорого купила. Техника bosch у нас дома очень хорошо себя зарекомендовала. Венчик для блендера можно приобрести отдельно, я и без него справляюсь, а тесто для блинов получается за 5 секунд, теперь и твёрдый сыр не надо тереть на тёрке. Вообщем, с этой покупкой время на приготовление пищи затрачивается меньше.</t>
  </si>
  <si>
    <t>Искал не дорогие с хорошим звучанием наушники. Нашел, послушал и купил)))Басы - мягкие , высокие - четкие и без шумов! Соотношение цены и качества!</t>
  </si>
  <si>
    <t>Поверхность просто великолепная. Во-первых, стильно смотрится, во-вторых, удобная в эксплуатации, конфорки расположены на достаточном расстоянии, что позволяет ставить большую посуда рядом, чайник действительно закипает быстро на большой конфорке, ручки поджига не нагреваются, т.к. тоже удачно расположены. Небольшой минус в том, что на черном все брызги очень видны, но тот факт, что все это убирается легким движением руки (конечно со спец средством для стеклокерамики)минус сразу исчезает.</t>
  </si>
  <si>
    <t>Купили этот обогреватель в период холодов. Теперь периодически, когда не хватает обогрева центрального отопления включаем обогреватель. Работает исправно на всех режимах, нагревается относительно быстро.</t>
  </si>
  <si>
    <t>3013</t>
  </si>
  <si>
    <t>Неплохой телевизор. Есть USB, можно с флешки смотреть фото и проигрывать музыку. Фильмы в HD показывает отлично, а вот с аналоговой антенны качество не очень, много помех.</t>
  </si>
  <si>
    <t>752</t>
  </si>
  <si>
    <t>Купила этот замечательный тостер полгода назад. И с тех пор он меня только радует.  Эта фирма мне давно уже нравится надежностью, простотой управления и дизайном.      За время использования отрицательных сторон не заметила.      Работает бесшумно и точно. Можно регулировать уровень корочки, есть решетка для булочек, поддон для крошек и кнопка "стоп". Еще есть функция разморозки, но я ею пока не пользовалась. Все гениально и просто. Управление механическое, что на мой взгляд еще надежнее.  На кухне есть техника этой фирмы поэтому смотрится гармонично, дизайн полностью устраивает. Как и другие изделия bosh этот тостер нисколько не вонял даже при первом использовании, это говорит о  хорошем качестве материалов.</t>
  </si>
  <si>
    <t>Телефон отличный. тормозить начал через год. корпус трескается по серебряной полосе. у меня через пол года было около 5 гаризонтальных трещин. у моей подруги через месяцев 6-7 появились трещины. не мешают они. но вид уже другой. все остальное вполне устраивает.</t>
  </si>
  <si>
    <t>Ну что пришло время, когда мой монитор в 19" стал казаться маленьким.Поэтому захотелось чего-то большего.Купил  LG и честно скажу не пожалел, очень доволен. Картинка яркая, сочная все функции по оптимизации изображения классные и удобные. Поэтому свои деньги этот монитор оправдывает. Берите не пожалеете.</t>
  </si>
  <si>
    <t>пользуюсь больше полгода. ни разу не зависла, играл во все что только можно...</t>
  </si>
  <si>
    <t>Улыбают отзывы на три страницы о чайнике за 1000руб., наверняка и сам производитель не уделял столько внимания сему творению ))).   О чайнике. Нужен был оч. маленький чайник, без пластика внутри. Собственно с первой задачей справляется. После покупки выяснилось что нет кнопки включения, но есть кнопка "reset",  в мануале говорится о том что нужна она для повторного кипячения воды. Я так понимаю включать и выключать придется вилкой. В остальном кипятильник нормальный.</t>
  </si>
  <si>
    <t>Отличная модель. Стильный дизайн, большое количество вариантов стирки, низкое потребление порошка, тихая.   После окончания стирки подаётся звуковой сигнал, сразу 3 контейнера для чистящих средств, не вибрирует в ванной как другие машинки при отжиме. Очень обширные варианты составления самостоятельной программы стирки.  Большая загрузка позволяет постирать больше белья, сэкономив порошок и электричество. Порадуются и те у кого счётчики на воду, полный цикл стирки потребляет всего 44 литра воды, а если прибавить класс энергопотребления А - выгодная экономия.  Всем советую.</t>
  </si>
  <si>
    <t>бери 17 тоже самое</t>
  </si>
  <si>
    <t>Телефон у меня около 2х недель,очень им доволен, считаю что это отличный телефон за такую сумму,рекомендую эту модель тем, кому нужен недорогой многофункциональный телефон</t>
  </si>
  <si>
    <t>Хорошая вещица, особенно летом. Крепление удобное - прищепка за стол держится крепко, не слетает никуда. Ветерок приятный, по мощности ровно так, как надо. И не трещит!</t>
  </si>
  <si>
    <t>Купил данную модель ноутбука в 2008 году. Приобретением очень доволен!!! Загод работы проблем с данной моделью не возникало ни разу!!! Чему очень рад!!! Единственный не достаток на мой взгляд моло памяти на жестком 160г всего. При активном скачивании различных разностей память бысро забивается!!! Приходится чистить!!!</t>
  </si>
  <si>
    <t>Эксплуатировал данное устройство полгода, как в один злой день запахло проводкой в салоне,я в шоке заглушил авто, снял клему с аккумулятора... стал искать источник запаха... оказалось вот эта супра! Отдал знакомому электрику посмотреть, чтобы подлечить, а он мне посоветовал выбросить эту железяку на помойку!</t>
  </si>
  <si>
    <t>Узенькая очень удобная малышка, она специально к нашей ванне будто бы. У нас места мало, а она идеально встала. Стирает очень хорошо, не шумит и не гремит, мне нравится очень. Есть короткие программы буквально на 15 и 30 минут - это круто, если нужно сполоснуть вещь.</t>
  </si>
  <si>
    <t>1447</t>
  </si>
  <si>
    <t>У меня этот телефон давно,почти с того самого момента когда он только появился, ни разу не пожалела, потрясный телефон, отличного качества и дизайна, правда пару раз его самого по себе перегружало, но это редко и не так значительно. Если думаете брать или не брать, то определенно брать!</t>
  </si>
  <si>
    <t>А он еще и прекрасно распознает карты памяти до 8Гб!!! А может даже и больше, но нет возможности проверить. Жаль...</t>
  </si>
  <si>
    <t>+ Стильно, смотрится - сильно шумит. При монтаже зафиксировал лепестки в открытом состоянии(переходник от вытяжки к гофрированному воздуховоду) , таким образом не теряется мощность на их раскрытие (меньше нагрузка на мотор,соответственно меньше шума!)</t>
  </si>
  <si>
    <t>2017-05-28</t>
  </si>
  <si>
    <t>Действительно быстро.</t>
  </si>
  <si>
    <t>Прибор легкий и компактный, удобен в использовании, все просто и понятно, никаких лишних функций, работает стабильно. Никакого неприятного запаха не наблюдается! Очень понравилась функция интеллектуальной работы: как только помещение уже достаточно прогрелось, т.е. температура в комнате превысила на 3 градуса заданную мной при включении, тепловентилятор автоматически отключается. Вобщем, умный приборчик! )) Приятный современный дизайн, синяя подсветка дисплея хорошо смотрится. Довольна приобретением, рекомендую!</t>
  </si>
  <si>
    <t>Купил 15.06.2010г этот пылесос. По приходу домой сразу побежал пылесосить ковер. По тому сколько мусора осталось в колбе после уборки, а особенно очень мелкой пыли  ужаснулся - КАК Я МОГ ДЫШАТЬ ЭТИМ 3 ГОДА. ЛЮДИ НЕ СКУПИТЕСЬ - покупайте. не пожалеете. Сам пылесос выбирал я на сайтах по отзывам. Так что читайте.</t>
  </si>
  <si>
    <t>2016-11-21</t>
  </si>
  <si>
    <t xml:space="preserve">замечательная машинка </t>
  </si>
  <si>
    <t>2014-07-19</t>
  </si>
  <si>
    <t>Почитав отзывы, решили купить этот вентилятор. И не прогадали!!! Обдувает замечательно, не шумит, не гремит. Порадовало соотношение дизайна, цены и качества! Все супер!</t>
  </si>
  <si>
    <t>2290</t>
  </si>
  <si>
    <t>Флэшка классная! Более двух лет пользуюсь - проблем нет.</t>
  </si>
  <si>
    <t>Купила ванночку. К сожалению температуру воды не поддерживает, вода быстро охлаждается,так что теплая вода должна быть под рукой всегда. Стопы хорошо расслабляются, после массажной ванночки чувство как будто стопы полегчали килограмма на три. Неплохая вещь.</t>
  </si>
  <si>
    <t>Купила кофеварку в подарок маме. Кофе варит отлично! 2 минуты и вкусный кофе готов. Нет никаких посторонних запахов пластика и тд...также удобна в использовании! в общем мы всем довольны!</t>
  </si>
  <si>
    <t>Замечательная йогуртница! Получилось все с певого раза.Пользуюсь уже месяц - никаких нареканий. Удобно то, что молоко не нужно подогревать, поставила баночки на ночь, утром (через 8 ч) все готово. Йогуртница сама отключается через 45 мин после нажатия кнопочки "старт", не нужно вынимать вилку из розетки и помнить об этом.</t>
  </si>
  <si>
    <t>Купила MFQ 3555 в первую очередь из-за того, что это Bosch, уверена в этой технике на 100%. Очень понравилось, что миксер идет с подставкой, что позволяет параллельно со взбиванием заниматься и другими делами. Очень классные венчики, мощность высокая, есть крючки для замеса теста. Еще большой плюс для меня то, что собран  в Европе. Доступная цена. С покупкой не прогадала.</t>
  </si>
  <si>
    <t>Этим утюгом я пользуюсь уже 5 лет,всем довольна.Ни разу с ним не было проблем.Рекомендую всем,не пожалеете.</t>
  </si>
  <si>
    <t>Плюсы:   1) Чистит воду. Вода последнее время пошла особенно грязная. Количество накипи просто огромнейшее. Без фильтра никак. После прогона воды через фильтр накипь не замечена.    Минусы:  1) Хоть он и четыре литра, эффективного пространства там всё-таки на два. Надо воды на кастрюлю, на 4 литра, сиди фильтруй в два захода.  2) В собраном состоянии перелить отфильтрованную воду не реально, прниходиться вынимать внутренюю чашу. Зачем у внутреней чаши для неотфильтрованной воды делать наклон такой-же как и у внешней, для отфильтрованной, остаётся для меня загадкой. Особенно актуален вопрос если учесть что в большинстве случаев во внутреней части не вся вода проходит через фильтр. Жаль, но это проблема всех кувшинов, а не только этого.    Как итог: Воду фильтрует и ладно. Как люди живут с кувшинами на 2 литра(а по факту на 1 литр) ума не приложу. При всех минусах это лучший кувшин из имеющихся в продаже в этом магазине.</t>
  </si>
  <si>
    <t>Сегодня первый раз стирала новой машинкой, стирает неплохо. Стоит у нас под столешницей на кухне, не прыгает. Очень важно правильно установить машинку, тогда все будет в порядке. Нам нравится, машинка хорошая.</t>
  </si>
  <si>
    <t>803</t>
  </si>
  <si>
    <t>Ноутбук хорош всем, однако у меня проблемы с тоучпадом не работает, когда надо ведет себя по настроению</t>
  </si>
  <si>
    <t>Купили 8 месяцев назад эти весы. Очень сомневались из-за цены. Но отзывы порадовали, и решили рискнуть. Да, дешевый пластик, да быстро выключается. Но! За такие деньги меряют они очень даже точно. Используем для хлебопечки, и для того чтобы муки отмерять времени работы вполне достаточно. Кнопка выключения там есть - это кнопка включения, ее просто надо подержать подольше. И чаша у них довольно крепкая - ребенок на нее опирается и в качестве ходунков использует, и пока (ттт) ни трещинки. Еще плюс - они компактные очень, что в условиях наших 5,5кв.м. на кухне очень даже актуально. Так что даже если по прошествие года они сломаются, обязательно такие же куплю, и не пожалею ни капли.</t>
  </si>
  <si>
    <t>445</t>
  </si>
  <si>
    <t>Телефон?!Да не смешите меня, это камера-фон:  1. Камера с автофокусом...за 5900р такое навряд ли где встретишь  2. Мощное ядро обработки изображения.  3. Хороший дисплей  4. Автоориентация, привязанная под горизонтальные снимки    минус только один заметил, в мультимедии, при проигрывании треков, если есть 2 трека по 7 и более минут подряд идущие, то при переключении на 2ой трек(автоматически плеером) телефон выдает ошибку, приходится запускать самостоятельно=)    А телефон Бомба=) Очень понравилась система распознавания лиц.    P.S. Я случайно удалил из мультимедии ссылки на новости, пипл подскажите мне их=)</t>
  </si>
  <si>
    <t>задержка при переключении каналов составляет около 2-х с, кабель питания в комплекте коротковат (где-то полтора м). остальное пока нормально, звук хороший.</t>
  </si>
  <si>
    <t>2015-06-02</t>
  </si>
  <si>
    <t>Купили этот увлажнитель 15.03.2015г, посоветовали как один из эффективных в своей ценовой категории, дизайн красивый, решили взять его, работает хорошо, удобные режимы, авто отключение по таймеру и нижнему уровню воду, все есть, ничего лишнего. Если бы не одно но, хваленный Bork спустя полтора месяца перестал выделять пар, гудел вхолостую и только! По гарантии без проблем поменяли его на новый такой же модели, и он прослужил всего месяц, поломка та же!Работал в сутки максимум часа 3-4 (этого хватало для поддержания влажности 50% в комнате 15кв.м.) воду использовали только фильтрованную ! Очень огорчены качеством этого товара!</t>
  </si>
  <si>
    <t>Ужасссс! Отвратный стайлер!!!!! Насадка слетает, зажимы сломались в первый же день,локоны распадаются через 30 минут,но самое ужасное это утюжки,они даже волосы младенца с трудом выпрямят, и вообше не пойму зачем треугольная насадка и еще какой-то непонятной формы,вид от них как-будто волосы сожгли.Этот стайлер лежит у меня уже год, а пользовалась им я всего ОДИН раз((((((((((</t>
  </si>
  <si>
    <t>Купил из-за возможности контролировать влажность в помещении, т.к. есть ребенок, да и самим было интересно узнавать, когда необходимо принимать меры для комфортного "существования" в квартире. Однозначный зачет по всем техническим характеристикам.  Есть и недостатки: всего 3 канала для датчиков(если поблизости будут еще датчики-работать все будет от того, который успел сконнектиться быстрее), нет подсветки экрана, нельзя вешать на стену, ну все остальное можно считать не существенным.</t>
  </si>
  <si>
    <t>Стальной, закрытая спираль, гарантия 3 года</t>
  </si>
  <si>
    <t>Про плюсы многое написано,поэтому напишу про минусы. В нашем случае, автоматическая мойка не подстраивается под тип, количество и загрязненность. Пробовали разную посуду, даже практически чистую и в небольшом колчестве, результат один, моет больше 2-х часов(!!!).Пользуемся только 30-минутной мойкой, остальные режимы неоправданно длинные. До этой машины у нас была посудомойка марки "Аристон", быстрой мойки не было, но самая длинная была порядка 1.5 часов (здесь, чуть ли не 3). В сравнении с предыдущей машиной, неудобные корзины для посуды. В верхней корзине практически ничего невозможно установить на откидные полки - они узкие и скользкие. Да и в самой верхней корзине неудобные отсеки для тарелок. В этом данная машина уступает "Аристону". Как ни странно, по габаритам машины одинаковые, но в Аристон посуды помещалось больше. У нас семья из 3- человек и этой машины нам порой не хватает.</t>
  </si>
  <si>
    <t>Фен достаточно надежный, у меня прослужил долго, лет 6-7. Обломился провод у основания, как у всех, оставивших отзывы. Починить не получилось. Пользовалась только насадкой для объема и небольшой круглой щеткой. Контейнер для воды вообще не нужен, попробовала один раз - не понравилось. Холодный воздух дует, но недостаточно, чтобы остудить локон.</t>
  </si>
  <si>
    <t>Пылесос хороший. Мощность всасывания 300 Вт - хватает,  все равно используем не на максимальной. Простой качественный пылесос (ранее был такой же - 7 лет, работает до сих пор, сломалось крепление мешка).    Из минусов - скудная комплектация (1 одноразовый синтетический мошек, 7 лет назад в комплектации было - 1 многоразовый мешок и 5 бумажных одноразовых).</t>
  </si>
  <si>
    <t>Купили 2 недели назад с женой сей агрегат,лично я доволен как слон!!! Подключил HDD 500GB кино, в формате MKV показывает!!! Хотим купить еще один такой-же точно,вот только нет их больше в нашем городе!!! ДАЕШЬ БОЛЬШОЙ ЗАВОЗ!?!?!?!?"</t>
  </si>
  <si>
    <t>Хотели купить вентилятор, но посмотрели прогноз погоды до конца месяца и приобрели кондиционер. Стоит недорого, устанавливается легко (и не надо платить кучу денег за установку сплит-системы). Просто вставили его в форточку под наклоном (это важно, чтобы вода стекала), закрыли дырки по краям - и все, идеально работает, отлично охлаждает. За такие деньги идеальный вариант спасения от жары. Правда, шумит сильно, но когда дома +35, смиришься с шумом, только чтобы снизить температуру до комфортной.</t>
  </si>
  <si>
    <t>Муж подарил на день рождения два месяца назад, с тех пор посудомоечная машина нещадно эксплуатируется каждый день! Очень хорошо отмывает посуду. Привезла с дачи закоптившиеся кастрюли и крышки - за 3 раза отмыла начисто! Супер! Всем советую!!!</t>
  </si>
  <si>
    <t>2910</t>
  </si>
  <si>
    <t>Знаете, я долго думал какую приставку купить, что и как, ну вот для себя я сделал несколько выводов))    Что говорят про XBOX?)))    Во первых - сильно греется, ломается из-за перегрева ( Плавится мать ) Это сопровождается тремя красными лампочками.    Ну что сказать, бред. У друга стоял XBOX 360 arcade, целый год, Причём по жизни валялся обмотанный в одеяле у него на кровати.. Ха и не разу эти три так называемые лампочки не загорались. Так что на счёт лампочек не стоит беспокоиться, первая волна приставок прошла, все недочёты исправлены.    И к тому же как ни согласиться, даже компьютерные комплектующие зачастую горят, а ведь икс бокс - это почти пк!    Что выбрать XBOX или PS3..    Не буду говорит ни за ни против, т.к. у меня самого стоит бокс, но и PS я уважаю, у меня до сих пор лежит 1 и 2 PS. Ну так всё же немножко о приставках, все плюсы и минусы:    Xbox 360 ( от аркады до элита )    Перечисляем плюсы:     Приставка менее дорогая, чем её конкуренты. (Аркадная версия 8 тыщ)     Приставка довольно живучая, если не утопить в ванной или не кинуть с балкона.    Если прошить дисковод игры будут стоить буквально копейки, а то и вообще бесплатно с торент трейкеров.  ( единственный расход денег болванки двд 9)    Перечисляем Минусы:    Бывает небольшой перегрев, который не приводит к сгоранию платы! Этот перегрев совершенно нормален, не верите - залезьте в компьютер, который работает и потрогайте радиатор процессора))) ( в другом случае, если вас не устраивает, купите доп куллеры и всё будет ок )    Маленькая комплектация ( Я бы всё понял, но не дать зарядку для джостика это жесть :) ) Ладно считайте вы попали ещё на тыщу рублей)    PS 3 - Все плюсы и минусы:    Плюсы:    Скажем так Блюрей привод это один из огромнейших плюсов.    Приставка оснащена всем, что нужно геймеру для старта игры ( зарядное устройство и другие прибамбасы )    Довольно качественная сборка    Минусы:    Первый и самый страшный технедочёт это частые поломки блюрей привода, возможно, сейчас уже исправили, но на этом хромала первую волну.    ОЧЕНЬ НУ ОЧЕНЬ дорогие диски.. Такие дорогие, что когда я смотрю на цену, зубы сводит_)), не ну, конечно, если ты зарабатываешь тыщ по 60 в месяц можешь себе даже на 10 тыщ 5 дисков купить)))))) Гг  Такое иногда ощущение, что эта приставка рассчитана не на нас с вами, а на олигархов каких-то..    Я ничего никому не советую, на каждую аудиторию есть своя публика, мне нравится и PS3 и XBOX, но не всегда получается брать то, что хочешь.)) Я взял xbox только потому, что не хочу платить много денег. Вот и всё, что я хотел вам сказать!</t>
  </si>
  <si>
    <t>Вообще претензий нет! но могли бы запихнуть камерку то, 0,3 хотя бы, даже в самых дешевых моделях они есть :)  Насчёт греется, дак не больше по-моему, чем остальные acer ноуты, хотя летом в 30 градусов лучше в игрухи долга не играть :)))) тестировал на играх "NFS Undercover", "Collapse" И Wolfenstein 2009. Первые 2 идут на полных настройках ваще без тормозов!Ё а вульфа пришлось ставить разрешение 5:4, на широкоформатном притормаживает</t>
  </si>
  <si>
    <t>Ни в коем случае не берите эту модель. За два года - только и делает, что ломается.</t>
  </si>
  <si>
    <t>Этот плеер довольно работоспособный,прост в использование,функционален.Если вам нужен плеер только для музыки-лучше по такой цене вам не найти!</t>
  </si>
  <si>
    <t>Приобрел в прошлом году, привлекла цена и характеристики. Въехали в новую квартиру, а здесь рядом стройка идет, так воду отключают с завидным постоянством, почти каждую неделю. Надоело... Теперь не зависим от гвс, вода есть всегда! Водогрей работает отлично, воду нагревает быстро. На панели на дисплее все хорошо видно (время, температуру), цифры крупные. В нашем санузле агрегат разместился без проблем - узкий и компактный, все сам подключал. Отличный водонагреватель!</t>
  </si>
  <si>
    <t>Ну обладаю сем аппаратом уже ни много ни мало пол года...и скажу - ноутбук хороший есть много плюсов: 1)Высокая производительность(в моём случае проц М500),видеокарточка то же мощная,тестировал во многих очень ресурсоёмких играх и мягко говоря был приятно удивлён(конечно в GTA4 или Krysis не ждите заоблачное кол-во кадров и наивысших настроек но для ноутбука очень прилично=)  2)Очень интересный дизайн, клавиатура удобна,экран достаточно качественный,отделочный материал в виде дерева(как заявляет производитель) очень добротно смотрится да и о царапинпх думать не приидётся=)  Ну а теперь минусы: 1)Самым главным минусом отмечу(и минус всех ноутбуков) это конечно система охлаждени,нет нет я не говорю что она плохо работает или не выполняет свою функцию, её просто не достаточно...поэтому заядлым геймерам при покупке ноутбука советую приобрести охлаждающую подставку(настоятельно рекомендую вентилируемую)  2)Ещё один минус это отсутствие Bluetoth разочаровало.....  3)Ну и последний минус - это бедная комплектация от производителя-кроме самого ноубука,инструкции,блока питания и драйверов я ничего не увидел...пришлось докупать мышку и сумку...  Вывод: скажу несомненно хороший аппарат за хорошие деньги но не без доп.затрат...а так в целом очень да же доволен и всем его рекомендую.</t>
  </si>
  <si>
    <t>Ихмо неплохой такой плеер, все в нем идеально, только 1 минус пока нашел - батареи надолго не хватает. Видео тока часа 3-4 посмотреть, что в принципе тоже неплохо, но неудобно что когда слушаешь музыку дисплей так же работает, и , следовательно, нет экономии батарей...часов 6-7 музыки и все...беги к компу и заряжай.</t>
  </si>
  <si>
    <t>Очень понравились наушники - звук чистый и без искажений. Для любителей "затычек" есть сменные амбушюры, которые превращают обычные наушники в вакуумные. В общем покупкой доволен, и вам советую</t>
  </si>
  <si>
    <t>Минусов нет! Цена и качество не уступают! Сама пользуюсь 2 года, завтра иду покупать маме. Прост в обращении и отличная укладка!</t>
  </si>
  <si>
    <t>Покупкой телевизора очень доволен, отличное изображение, фильмы смотрим как в кинотеатре, очень помогает подсветка AmbiLight. Очень простое управление. Телевизор супер! Спасибо компании Philips, и М.видео.</t>
  </si>
  <si>
    <t>Игра просто супер! Надеюсь, что будут русские субтитры.</t>
  </si>
  <si>
    <t>Телефон в целом хороший, но иногда зависает в галерее или проигрывателе.</t>
  </si>
  <si>
    <t>Долго выбирал ноут до 21р, купил К50 и очень доволен своим выбором,Линукс сразу снес, поставил 7ку с 64, все летает на ура.   По играм претензий нет, практически все идут, новые на мин или на сред настройках, жаль что HDMI нет .  Уровень шума очень низкий, клава не греется + удобная цифровая клава.  Вывод : отличный ноут в своей ценовой категории для различных задач !!!</t>
  </si>
  <si>
    <t>Хорошая плазма за эти деньги.  из всех минусов, довольно громко пищит во время работы... ночью не удобно слушать.    А так... подключил к ПК и не знаю проблем.</t>
  </si>
  <si>
    <t>Купил на днях данный ноутбук. Одни положительные эмоции.  Качество сборки отличное,железо мощное,один винт на 500 гигов чего стоит для данной ценовой категории.  Так же хочу отметить огромный плюс данного ноута перед его чёрными собратьями.У этого корпус матовый и безумно приятный на ощупь,намного меньше пачкается чем чёрный глянец.  Недостатков пока что нет.Абсолютно доволен.</t>
  </si>
  <si>
    <t>Заинтересовала функция ионизации пара. Как оказалось, я не ошиблась. Очень удобный, с мощным паром, подошва очень легко скользит, и ничего не прилипает. Гладит очень быстро и качественно. В сравнении с моим старым утюгом, это предел мечтаний! Всем, кто хочет получать удовольствие от глажки рекомендую именно этот утюг</t>
  </si>
  <si>
    <t>Эксперт месяца. У нас в доме сломался старый пылесос, он тоже был фирмы Samsung, прослужил 10 лет и при покупке нового мы выбирали тоже именно данную фирму. Наш взгляд сразу пал на данную модель, продавец-консультант зарекомендовал его как надежный, и качественный пылесос.   Пользуемся уже пол года и качество уборки радует глаз, в доме кошка и собака, а от них много шерсти и пыли. После уборки  в доме чистота на полу и в воздухе, отлично прочищает палас от шерсти и волос.  Удобно, удалять пыль из контейнера, это намного лучше мешков. Мы товаром довольны и еще ни разу не пожалели о своем выборе.</t>
  </si>
  <si>
    <t>Не люблю ходить по салонам, поэтому либо стригусь сам, либо прошу жену меня подстричь. Это для меня лучший вариант за приемлемую цену. Простота использования, есть разные насадки, к тому же и волосы лица удобно ровнять.</t>
  </si>
  <si>
    <t>Купили с мужем вчера, очень довольны! Никаких недочетов нет. Соглашусь с комментарием выше, очень тихая, быстро разогревает, проста в управлении, множество функций. Так что очень рады новому приобретению.</t>
  </si>
  <si>
    <t>Искала недорогую модель электрокофемолки на дачу.  Выбрала эту модель из-за металлического корпуса. Внешне понравилась, в руках удобная. Со своими функциями вполне справляется,  пока. Единственное, по моему мнению, крышка как-то мелковата. При высыпании кофе попадает в резьбу, и крышка потом не очень хорошо закручивается.</t>
  </si>
  <si>
    <t>Выбирал, что купить дома для моего нового телевизора Samsung UE-46 C7000 WW из спутникового тв. Приглядывался конечно к известной марке НТВ плюс. Но очень дорого что-то всё получается за 20 тысяч, да и еще в месяц чтобы смотреть HD нужно выложить 850 рубликов. Очень дорогое удовольствие вообщем. Раздумал приобретать.  Но по совету купил платформу - дешевле и каналов больше, да тот же мой любимый HD Спорт от НТВ есть - и за все надо платить в два раза меньше! Да и еще - у платформы уже есть для моего 3D ТВ у платформы 3D канал - смотрю не нарадуюсь!     Плохой продукт - вот бы подешевела бы стоимость оплаты в месяц и да и ресивер убогий какой то - ничего кроме нтв каналов на нем не поймать - не дает...</t>
  </si>
  <si>
    <t>В данном телефоне меня всё устраивает. Телефон очень хорош!!Очень удобное переключение между сим-картами, качественно выполненный корпус,большой дисплей,понятный нтерфейс вооющем простой функциональный, а что ещё нужно?))</t>
  </si>
  <si>
    <t>Покупал магнитолу, продавцы предложили преобрести этот разъем. Вещь хорошая и нужная на упаковке сразу все написано, что и куда подключать.</t>
  </si>
  <si>
    <t>Купила и в тот же день сшила 3 комплекта постельного белья!Набор функций достаточный для домашнего использования.Нитка заправляется очень просто,машинка уже отрегулирована,так что можно шить сразу.Из недостатков-сильно шумит(ночью пошить не удастся!),лампочка нагревается...но в целом я довольна покупкой!</t>
  </si>
  <si>
    <t>Не прошло и двух месяцев как сломался дешевый тостер. Решил больше не экономить и купил вещь приличную и по цене и по внешнему виду. Тостер-супер! Функциональность отличная, хлеб жарит идеально, дизайн, как раз для моей кухни. Претензий к данной модели никаких. На Новый Год хочу такой же подарить родителям.</t>
  </si>
  <si>
    <t>Ужасный мультистайлер...нагревается долго и еле теплый..Щипцы у выпрямителя совсем не держат и ничего не выпрямляют...Купила по инэту,еще и не могу вернуть...Ни разу не пользовалась..Как купила так и лежит....пожалела сто раз уже...Только деньги зря выкинула</t>
  </si>
  <si>
    <t>Пользуемся уже второй год. Никакого запаха. Да, шум есть, но не критичный. Нагревает 12 кв.м бысро. Успешно в наше отсутствие поддерживает на даче в помещении температуру +5.</t>
  </si>
  <si>
    <t>За свои деньги очень даже отлично! Частотная характеристика совпадает с заявленной, единственное: зажат диапазон средних частот, но это лечится эйквалазером.</t>
  </si>
  <si>
    <t>мне такая вещь не понравилась! два раза закипел-третий сдох!!!как так можно такое производить!</t>
  </si>
  <si>
    <t>Отличный фен. Пользуюсь уже 4 года минимум 1 раз в неделю. Никаких претензий. Мощность нормальная, горячий-холодный - вполне достаточно для домашнего пользования.</t>
  </si>
  <si>
    <t>Хлебопечка очень хорошая купил в подарок жене она очень довольна, советую хорошее качество за не большие деньги!!!</t>
  </si>
  <si>
    <t>Отличный выпрямитель!!! Волосы ослепительно блестят (хотя после моих испытаний над волосами они выглядят тускло). Нагревается быстро, 30 сек. Рекомендую!</t>
  </si>
  <si>
    <t>Пользуюсь мультиваркой  более 2-х лет, вещь! Незаменимая помощница. Пшенная каша как из чугунного горшочка из печи; курочку запекает до корочки; бисквиты, плов, на пару манты, пельмени; ароматная наваристая солянка-суп, и мн. многие другие блюда.</t>
  </si>
  <si>
    <t>Мне подарил муж эту модель.Оценка 5+++.Прошивку сделали в магазине-читает многие форматы,раньше приходилось их форматировать,да ещё и записывать на диски чтобы смотреть на ДВД(просто ад),а сейчас сплошное удовольствие-качаешь на флешку ,вставляешь и наслаждаешься.Дизайн СУПЕР!!!!!Да включается долговато(5 сек.)но это такая мелочь.Изображение отличное.А чего стоит ножка которая поворачивается.За эти деньги - это самый лучший телевизор-моё твёрдое убеждение.</t>
  </si>
  <si>
    <t>Пылесос для для малогабаритных квартир! маленький, легкий. Удобно чистить контейнер и т.п.. У меня паркет - поверхность убирает хорошо. Даже странная щетка, которая меня смутила, когда я впервые увидела, справляется. Шумный- да! но с задачей справляется, во время работы пыль не кружит по квартире, хорошо собирает кошачью шерсть. На данный момент-довольна. Но, цена для такого пылесоса завешена.</t>
  </si>
  <si>
    <t>1245</t>
  </si>
  <si>
    <t>Заказывал данный ноут - шум действительно оч раздражает, я сдал его, получил назад деньги и купил лучшей конфигурации acer - так что 52JR не советую. В остальном быстрая машинка, если не волнует писк!</t>
  </si>
  <si>
    <t>1129</t>
  </si>
  <si>
    <t>Не поверите,но взял с первого взгляда.Телевизор отличный,качество показа кабельного хорошее,но главная его черта показ с флешки фильмов формата .mkv-а это значит что некакой Блюрей проигрыватель даром не нужен.С инета скачал фильм и всё.Всем советую.</t>
  </si>
  <si>
    <t>2015-05-07</t>
  </si>
  <si>
    <t>Покупала в М.Видео еще до нового года, конечно дешевле чем сейчас. Установили только недавно. Из недостатков: 1.немного маркая, но это компенсируется легкой очисткой, прошелся влажной тряпочкой и готово. 2. Немного долго приходится ждать при поджоге, пока сработает датчик, может пару секунд, но со временем стало лучше. В общем я довольна, оптимальное соотношение цены и качества.</t>
  </si>
  <si>
    <t>Нормальная машинка за такие деньги. Купили в ноябре 2009, пока довольны.</t>
  </si>
  <si>
    <t>Замечательный термопот. Японский. Рекомендую</t>
  </si>
  <si>
    <t>Уже пользуюсь около месяца, по прежнему все нравится. Начинает греться когда играешь игры, но если приподнять на 2-3 см холодный как холодильник))) Никаких посторонних шумов не замечено. ГТА4 идет на средних параметрах, а если поставить максимальные параметры при повороте мышки подтормаживает, но идет))) Так и не нашел способ отключить Вай-Фай при запуске.</t>
  </si>
  <si>
    <t>Хороший плеер тем более за такую цену, качество звука хорошее, с родными ушами не пробовал. Но подключил ушки с телефона Sony Ericsson, через переходники и прочее (как мы знаем чем больше провод - тем хуже передача сигнала и т.д) и даже в этом случае звук довольно таки хороший. + ко всему на диске в комплекте есть конвертер видео - конвертирует без особых помех для этого плеера, видео не глючит, не виснет - удобно. Пока радует, посмотрим как будет вести себя дальше. :)</t>
  </si>
  <si>
    <t>Цена, удобство, высота и качество</t>
  </si>
  <si>
    <t>Всем Доброго времени суток! Купил этот телевизор полгода назад и очень доволен.Телевизор функциональный.Только есть одно но... при просмотре футбольных матчей, появляются вертикальные тёмные полоски,при динамичных сценах. Если кто знает в чём дело и как их устранить подскажите. Пульт немного неудобный,но уже привык. Использую цифровое телевидение АКАДО.</t>
  </si>
  <si>
    <t>2010-11-28</t>
  </si>
  <si>
    <t>Отличный телевизор. Картинка четкая. Звук нормальный. Угол обзора отличный. Цена приятная!</t>
  </si>
  <si>
    <t>Легко моется, занимает мало места, многофункциональный. Очень нравится. Моя мама то же им не нарадуется, до него комбайны не любила, говорила проще вручную, дольше мыть. Был период, пришлось жить с мамой, отдала по доброте душевной свой попользоваться, теперь бывшие родственники не отдают. Буду покупать однозначно такой же.</t>
  </si>
  <si>
    <t>Игра замечательная! Хорошие текстуры и персонажи, замечательно создана техника и оружие; советую, покупайте!</t>
  </si>
  <si>
    <t>Такая хорошая пароварка! Удобная мало занимает место на кухни. Вкусно получаются блюда. Но пыхтит! Звук работы! мне понравилось и моей бабушке.</t>
  </si>
  <si>
    <t>Подарили такой коммуникатор на 18 лет. Вообще супер просто, всё что нужно)</t>
  </si>
  <si>
    <t>Стиральную машину приобрела осенью 2013 года, данной покупке была несказанно рада, была акция и я получила такой хороший товар  за небольшую стоимость. В этой машине много программ для разного вида белья и тканей и несмотря на то что она узкая, в нее вмещается даже плед или пуховик, даже место еще остается, работает не очень громко,при закрытой двери почти не слышно, громче становится только при отжимании. Сбоев в работе не было. Покупка полностью себя оправдала и я ничуть не жалею об этом приобретении.</t>
  </si>
  <si>
    <t>1671</t>
  </si>
  <si>
    <t>521</t>
  </si>
  <si>
    <t>очень шустрый комп</t>
  </si>
  <si>
    <t>Всем советую,эту модель.Когда покупала не знала,что останусь довольна.Пеку хлеб каждый день(быстро съедается) :))),получается очень-очень вкусно!</t>
  </si>
  <si>
    <t>2012-09-22</t>
  </si>
  <si>
    <t>Не советую брать!3 месяца отработала и сгорела.</t>
  </si>
  <si>
    <t>2012-03-10</t>
  </si>
  <si>
    <t>Потрясающие наушники. Цена приемлемая, не кусается, а звук просто шикарный. Служат долго, проводки не рвутся после активного использования даже на морозе. Как вижу - покупаю (хотя бывают редко). Считаю незаменимыми, ибо пользуюсь каждыми месяцев по восемь.</t>
  </si>
  <si>
    <t>Хороший чайник, но после полутора лет использования он потёк.</t>
  </si>
  <si>
    <t>я жду....</t>
  </si>
  <si>
    <t>После монтажа прошло около месяца и козырек на вытяжке взорвался сам по себе. Хорошо, что рядом никого не было. Можно было очень сильно пораниться. Никому не посоветую приобрести данную модель! Большой стресс получила, не считая материального ущерба.</t>
  </si>
  <si>
    <t>при нагревании насос не работает. как можно отремонтировать самому?  все контакты целые.</t>
  </si>
  <si>
    <t>Подарили на день рождение в октябре,в первое же включение увидила что внутри искрит при переключении,обратилась в магазин,мне пояснили что не примут так как он работает. А 2 февраля заискрил и перестал работать. Вернула в магазин.</t>
  </si>
  <si>
    <t>Купили эту мойку воздуха пару лет назад!Работает исправно!пыли заметно меньше!</t>
  </si>
  <si>
    <t>Мойка стала дурить уже буквально после месяца использования. Очень шумная, тарахтит как трактор. Быстро тухнет вода, особенно летом, хотя мыли каждый день. Замучаешься промывать диски (их надо раз в три месяца все раскручивать и промывать) Образуется ничем не счищаемый налет от воды, хотя производители уверяют, что можно использовать обычную водопроводную воду. На данный момент уже не работает функция теплый пар, понесем в сервис. Пользуемся около года, может немного больше. Не стоит она таких денег!!</t>
  </si>
  <si>
    <t>Очень удобный, мощный, есть ароматизатор, длинный шнур, долгий срок службы</t>
  </si>
  <si>
    <t>производилельность хорошая, для программиста отличная машина, игры, наверное, летают (не проверял). цена/качество - очень хорошее соотношение. из минусов отсутствие драйверов, а также ошибка фирмы, которая забыла встроить блютус, установка дров - не лечит</t>
  </si>
  <si>
    <t>509</t>
  </si>
  <si>
    <t>2013-06-03</t>
  </si>
  <si>
    <t>Очень нравится, пользуемся 2 года. Легко ухаживать и красивая!!!</t>
  </si>
  <si>
    <t>Купили в другом магазине. Но вибрация и шум от внешнего блока просто ужасный!!! В комнате вибрируют и гудят все стены и даже пластиковое окно!!! Закладывает уши! Путем долгих экспертиз выяснили что это действительно брак производителя!!! Делали возврат денег. Пока ещё ничего не купили взамен.</t>
  </si>
  <si>
    <t>Купили несколько месяцев назад, пока всем довольны. Ухаживать за ней просто, электроподжиг работает на Ура, газконтроль не глючит. Спасибо за хорошую панель.</t>
  </si>
  <si>
    <t>Взяли на дачу такую пол года назад так как для дачи я считаю слишком дорого ставить полноценные духовые шкафы. Не разочаровала, полет нормальный; пропекает все хорошо, курицу, пирог итд.  По поводу предыдущего отзыва, Все духовые шкафы первое время выделяют запах, им просто нужно дать обгореть как следует, а потом вымыть и запаха никакого не будет, у меня дома плита ханса первое время тоже воняла китайскими проводами.  В общем вещь достойная, рекомендую к покупке.</t>
  </si>
  <si>
    <t>У нас в семье трое детей,постоянно нужно не только кормить,но и удивлять.Соглашусь с выше написавшими что ни жара ни копоти нет,в отличии от жарки на газу. За пол часа печем 2 стопки тоненьких кружевных блинчиков,ребятишки их съедают с удовольствием,нравится не обыкновенный размер. Сначала пекла как написано: выливала по половничку,но блинчики получились толстыми как большие оладушки,потом стала выливать чуть меньше и разравнивать двумя круговыми движениями,так стали получатся суперские блинчики. Отмывается замечательно,точнее протираю остывшую влажной салфеткой. Всем советую,кто любит печь и есть блины.</t>
  </si>
  <si>
    <t>1578</t>
  </si>
  <si>
    <t>Эта новая серия телевизоров SONY. Эти телевизоры отличаются низкой стоимостью, но Чёткость изображения этих телевизоров оставляет желать лучшего и это мягко сказано. Матрицы на телевизорах отвратительные. Я советую вам при выборе взять серию KDL она хоть и дороже, но у них качество изображения гораздо лучше. Это лучше чем сначала сэкономить, а бежать в сервис с жалобой на изображение. Советую обратить внимание X или W.</t>
  </si>
  <si>
    <t>791</t>
  </si>
  <si>
    <t>Обожаю домашнюю выпечку,поэтому решил остановиться на этой модели миксера...добротный миксер,который замешивает все,особенно когда неправильно выберете режим,то он сам наберет нужные обороты в зависимости от густоты теста,белковый крем -Класс!!!мы с девушкой рады покупке,на очереди покупка насадки для мороженого!советую,дамы и господа!</t>
  </si>
  <si>
    <t>Печь очень хороша и для выпечки и для гриля.Пользуюсь 2 месяца. Разморозка равномерная, выпечка чудо, разогревает быстро и равномерно. Панель удобна и понятна.Спасибо,очень довольна!</t>
  </si>
  <si>
    <t>Термопот удобней чайника по нескольким причинам. не нужно кипятить по сто раз - первая, больше объем - два, меньше энергии кушает - 3. Этот красавец на нашей кухне уже год красуется, не могу сказать, что работа его идеальная, но не жалуемся. Нас все устраивает.</t>
  </si>
  <si>
    <t>Стираю этой машинкой уже 8 лет!!! выбирала между этой и малюткой обычной! загрузка белья одинаковая, но Принцесса меньше и легче в 2 раза! взяла ее так как живу на съемной квартире и приходится часто переезжать. Очень удобная! стираю в ней даже постельное белье!</t>
  </si>
  <si>
    <t>Понравился с первого взгляда. Стильный дизайн, удобное управление, идеально вписался в интерьер. Но все это мелочи по сравнению с его работой. Быстро справился со своей задачей, влажность в комнате теперь держится на уровне 50 процентов. Дети перестали кашлять и утром встают выспавшимися. Отличный увлажнитель, тихо работает.</t>
  </si>
  <si>
    <t>Телефон удобный в использование,приятно держать в руках...камера чёткая...грокий динамик,одним словом классный телефон!)Берите даже не сомневайтесь)</t>
  </si>
  <si>
    <t>Модулятор в целом работает неплохо, пульт не работает вообще. При подключении провода к приемнику не воспроизводит звук? На модели Ritmix FMT-A750 при соединении  звучание было еще лучше, жаль сгорел.</t>
  </si>
  <si>
    <t>2016-08-20</t>
  </si>
  <si>
    <t>Плюсы: дешево, просто, качество сборки хорошее.   Минусы: слабенький. Для текущей жары (август 2016) не годится.</t>
  </si>
  <si>
    <t>По соотношению цена/функции - оптимальный выбор. Машинка без наворотов, но с основной задачей - стирка/отжим справляется на отлично. Бытовая техника должна подключаться к электрощитку отдельным трехпроводным кабелем, а не через бытовую розетку и бытовой удлинитель. В электрощитках (даже в хрущевках) шина заземления есть. Её не может не быть. Все вопросы к тем спецам, кто подключал машинку. 4 звезды ставлю лишь потому, что у неё нет прямого привода на вал двигателя. Хотя, по совести, к классу эконом эта претензия не корректна.</t>
  </si>
  <si>
    <t>По плюсам:  1. Недорогой  2. Просто устанавливается  Это пожалуй все.  Минусы:  1.При нагреве ужасно воняет, причем этот запах не проходит.  2. Нагревает очень долго.  3.Проработав два месяца сломался ТЭН. Заменили, слава богу по гарантии, но осадок остался.</t>
  </si>
  <si>
    <t>Единственный минус это непонятная работа вентилятора при включении особенно в мороз -25, как-то странно он жужжит.  Глюкнуло только пару раз, станции автоматически находит и переключается на них, когда с флешки например музыка играет, из-за чего так происходит непонятно.  gps не подключишь, ибо непредусмотренно конструкцией!</t>
  </si>
  <si>
    <t>354</t>
  </si>
  <si>
    <t>Ноутбук замечательный для работы, но один минус нет микрофона.</t>
  </si>
  <si>
    <t>2111</t>
  </si>
  <si>
    <t>Тут все о кисточках, да о кисточках, а я покупала выпрямитель не ради них. Так вот о самом выпрямителе. Волосы цепляет, меня это маловолнует, но этот минус всё таки есть. Волосы электризуются немного. Долго охлаждается.</t>
  </si>
  <si>
    <t>2086</t>
  </si>
  <si>
    <t>Ноутбук просто прекрасен. Единственный недостаток - ноутбук крутится с бешеной скоростью, не успеваю нажать на кнопки!</t>
  </si>
  <si>
    <t>Купив, чайник за 500 рублей, т.к. предыдущий вариант за 1300 сломался через пару месяце, особо не на что не раcсчитывала. Однако, чайник оказался вполне пригодным для использования. Если отбросить китайские особенности, то греет он быстро, не сильно шумит и очень удобный эргономичный дизайн.  Рекомендую тем, кто хочет купить прибор для быстрого нагрева воды.</t>
  </si>
  <si>
    <t>Приобрел пылесос самсунг5915. аппарат хороший мощный.. Расстроился когда порвался бумажный мешок,весь отсек засорился. чистить очень не удобно. С металлическим мусором типа монетки шурупы и т. д.надо быть осторожней.</t>
  </si>
  <si>
    <t>1628</t>
  </si>
  <si>
    <t>Купил совсем недавно.   Из достоинств:  - дизайн  - материал  - сборка (на первый взгляд, по крайней мере, все сделано просто и надежно)  - бренд  Из недостатков:  - цена  - место производства.  Что касается уровня шума. Да, чайник шумит при нагреве, как и все прочие электрочайники за приблизительно эти деньги. Я бы не сказал, что шумит он уж очень сильно. О качестве пластмассы и сборки пока ничего не могу сказать, слишком мал срок эксплуатации.   Короче, на данный момент товар меня радует, ставлю "пятерку".</t>
  </si>
  <si>
    <t>классные наушники) чистый и басовый звук) только одни впечатления, берите не пожалеете!</t>
  </si>
  <si>
    <t>Сначала мне очень нравился этот телефон, но где-то через 6 месяцев страшно заглючил, сам отключается.</t>
  </si>
  <si>
    <t>Машине уже как 7 дней, работает нормально. По сравнению с полноразмерной 60-ка, эту надо устанавливать точно по уровню и без каких либо продающихся подставок для ножек, иначе сильная вибрация вам обеспечена. Если ставить идеально по уровню то вибрации почти не ощущается. Машинка шумновата, но это такой двигатель и ничего с этим не поделать. По поводу стирки, стирает отлично, единственное НО несколько раз после стирки, на одеже оставались крупинки нерастворимого порошка, возможно это из за подъема крышки и слива остатков воды из отсека куда засыпается порошок. В целом программ для стирки предостаточно, при окончании стирки через некоторое время машина сама выключается, что экономит электричество. Также в барабане предусмотрен спец отсек, который можно открыть и проверить в каком состоянии нагревательный элемент (тэн), либо достать упавшую мелочь между барабаном. В дальнейшем поживём увидим как поведёт себя эта машина.</t>
  </si>
  <si>
    <t>лучше чем 6300 у меня телефона не было! телефон очень надёжный, отличный металлический корпус, хороший звук. я уверена- это мой идеальный телефон!</t>
  </si>
  <si>
    <t>Прошло 2 недели, телефон мне понравился, радует  браузер , удобно входить в инет, очень громкий динамик, удобная гарнитура с прокруткой радио и заглушкой от пыли. Из недостатков маленький объем памяти, хотя  как было заявлено 32 метра (много видео не влезет). Не видно зарядку в фоновом режиме (тускло).  Ну, пока только вот эти недостатки.</t>
  </si>
  <si>
    <t>Щипцы классные: быстро нагреваются, кудри долго держатся. Супер! Всем рекомендую.</t>
  </si>
  <si>
    <t>очень хороший ноут советую всем</t>
  </si>
  <si>
    <t>Покупал его три года назад вместе с колонками на 16 тоже JBL, играет отлично, и цена не падает,качество. И в багажнике нашел свое место. Всем советую</t>
  </si>
  <si>
    <t>2089</t>
  </si>
  <si>
    <t>Druid, превосходят потомучто они ломаются и приходится их снова покупать))) Хотя против нового X-box'а ничего не имею. Вещь хорошая</t>
  </si>
  <si>
    <t>На следующий день после покупки сломалась проекция часов. У всех одна и та же проблема с проектором - у кого-то через месяц, у кого-то через неделю, а у меня через день!</t>
  </si>
  <si>
    <t>мощный , тихий , расходных материалов нет ,куча насадок в комплекте , даже насадка для сверления есть , кстати если фильтр засоряется -сразу же загорается красная кнопка,которая предупреждает ,о том ,что нужно почистить фильтр перед двигателем ,мне пылесос очень нравится ,сделан очень качественно , если думаете какой пылесос взять ,то не сомневайтесь ,берите именно Bosch , устроил на все 100%</t>
  </si>
  <si>
    <t>Купил бритву сегодня по совету "бывалых" приятелей :) и после прочтения отзывов. Побрился. Ощущения пока неоднозначные: бреет вроде ничего, проблемные зоны под подбородком и кадык; раздражение на шее и над верхней губой (возможно пока с непривычки). Советовать сложно.  Перед покупкой, по возможности сравнить хотя бы с бритвами приятелей, пусть негигиенично, но зато позволит ВАМ сделать более правильный выбор.  Удачи.</t>
  </si>
  <si>
    <t>Это просто металлолом. На ровной поверхности немного не так встал - вес плюс 10 кг по другому встал - минус 10 кг, постоянно надо выставлять на 0. Для измерения веса не подходят никак.</t>
  </si>
  <si>
    <t>Простенький утюжок!</t>
  </si>
  <si>
    <t>Вчера братик рассыпал муку и без задней мысли воспользовался пылесосом. НИ в коем случае не делайте этого!!! В результате внутри получается большой кусок теста, везде, в фильтрах, в шланге. Хепа фильтр убило на раз. Да что там говорить, все пришлось очищать от теста, кто пробовал, тот знает, а кто не пробовал, лучше и не пробовать.</t>
  </si>
  <si>
    <t>хороший фильтр с светодиодом</t>
  </si>
  <si>
    <t>лучшая игра, в которую я когда-либо играл, супер! обязательна к приобретению.</t>
  </si>
  <si>
    <t>Подарил такой телевизор любимой жене! ЛЮБИМАЯ в восторге!народ! честно, берите не пожалеете! это лучшее, что есть до 20 тысяч рублей. Изображение радует!  В данном телевизоре USB только сервисное, но перепрошив его, вы смотрите видео, фото и слушаете музыку</t>
  </si>
  <si>
    <t>вот Этот ТЕЛЕФОН я думаю должен быть образцом!!! Самый надежный аппарат из нокиа, у меня такая модель была и новая и с пробегом, но ни один не подвел ни разу и отличное соотношение цена-качество</t>
  </si>
  <si>
    <t>Дурацкий чайник - через пол года такой шум, что слышат соседи снизу ( шум, как у стиральной машины при выжимке). И вкус воды немного металлический.</t>
  </si>
  <si>
    <t>Приобрел сей девайс, прекрасно себя зарекомендовал. Дешевый, с маленькими габаритами, прекрасно гладит вещи, меня не подвел.</t>
  </si>
  <si>
    <t>Термос очень понравился. Отлично держит тепло. Компактный и легкий. Удобный клапан подачи воды. Рекомендую.</t>
  </si>
  <si>
    <t>Купили.Очень понравилось обслуживание в магазине и сервис по доставке. Купили дополнительно стабилизатор и ножки. Стираем неделю.  Удобно, что есть табло показывающее время до окончания стирки. Маленькая, компактная и на 5 кг!!! Набор функций устраивает. Хотелось бы, чтоб нельзя было покрутить реле во время стирки (т.к. в доме ребенок). По качеству стирки пока не разобрались, могла б стирать и лучше, но возможно, что это из-за того, что экономит воду. Использую дополнительное полоскание. Хотя цена и качество соответственно затратам.</t>
  </si>
  <si>
    <t>При подсоединении плеера к Windows XP3, он автоматически прописывается как MTP устройство. Чтобы перевести его в режим usb-флешки, достаточно в диспетчере устройств сменить("обновить") драйвер, указав что вы самостоятельно выберите драйвер и выбрав в списке драйверов usb-диск.    А в целом отличный плеер, использую для прослушивания аудиокниг. Не хватает возможности ставить закладки, но текущее место сохраняет.</t>
  </si>
  <si>
    <t>Для того чтобы сменить файловую систему как юсб флэш нужно в диспетчере задач снести драйвер этого плеера а затем снова вручную, повторяю ВРУЧНУЮ(там будет выбор способа, автоматически или вручную) отыскать драйвер, далее он и предложит MTP или USB, естесственно выбираем USB и наслаждаемся как флешкой!=)</t>
  </si>
  <si>
    <t>У меня странная особенность обнаружилась, после и во время кипячения сильно нагревается шнур, особенно в месте соединения с подставкой. У меня у утюга двухкиловатного шнур вообще не нагревается, а у чайника такой косяк, я по образованию электрик, поэтому мне страшновато, так быть не должно. Это значит внутри шнура тонкий проводник, кто-то сэкономил на меди.</t>
  </si>
  <si>
    <t>в ноутах, всё равно микрофоны беспонтовые, + гул от кулера передают, не мне машинка понравилась, брал как второй ноут, для работы, не маркий, ОЧЕНЬ НЕ МАРКИЙ)))  вот, что плохо так это то, что гнёзд USB всего 2 и нет выхода HDMI, а также отсутствие дисков с дровами, хотя система любезно попросила 4 болванки для всех дров и Recovery, ну, а так абсолютно всё устраивает, видеокарта не игровая, так ведь и ноут не геймерский, хотя на низах тянет</t>
  </si>
  <si>
    <t>Звук отличный!!!Особенно хорошо звучит на Nokia. Учитываю цену и качество звука оценка 5)</t>
  </si>
  <si>
    <t>Работает очень хорошо! Даже на первой скорости!  Внешне красивая, стильная.  Работает шумновато, но в принципе как и любая другая вытяжка.  Мы довольны.</t>
  </si>
  <si>
    <t>Начитался отзывов и решил не брать этот чайник, приехал в М-видео и увидел, что на чайник хорошая скидка. Всё ж решил купить. В общем, прошёл уже ГОД, чайник не потёк, сам выключается. Из минусов отмечу вот что, остаются отпечатки пальцев, ну оно и понятно на такой поверхности. Заливаю чайник только чистой водой после фильтра, видимо поэтому и не потёк, что нету накипи. Ещё один минус-появилась какая-то коррозия на дне чайника. Первый раз такое встречаю. До этого был старый, который и по сей день работает и без каких либо коррозий.</t>
  </si>
  <si>
    <t>557</t>
  </si>
  <si>
    <t>Ну очень хороший ноутбук! Купил себе и жене, маленький,мощный да очень красивый. Оценка 5+  Самое оптимальное соотношение цены и качества!</t>
  </si>
  <si>
    <t>Данный водонагреватель проработал ровно два года и потек, хорошо, что ничего не замкнуло. Никому не рекомендую, так как с подобной проблемой столкнулась не я одна!</t>
  </si>
  <si>
    <t>Свою функцию выполняет</t>
  </si>
  <si>
    <t>Самый лучший фен из всех, что у меня были, мощный и работает уже года 2-3 без проблем, несколько раз падал, но все в порядке. просто идеален для меня) еще бы шнур побольше был)</t>
  </si>
  <si>
    <t>Не слушайте, кто говорит, что плохой звук у этих наушников. При первом прослушивании мне они не понравились, но я залез в эквалайзер, и настроил его так, что все звучит четко. Да, и прикольная коробка и инструкция, ну и чехол конечно же для телефона</t>
  </si>
  <si>
    <t>Отличный блендер! Нет нареканий вообще! Прорезиненная ручка, не дает скользить влажной руке. Кнопочки мягкие. Заменяет кухонный комбаин.</t>
  </si>
  <si>
    <t>1766</t>
  </si>
  <si>
    <t>Вещь просто супер!!!  Очень доволен покупкой!!!</t>
  </si>
  <si>
    <t>Плиту приобрели месяц назад. В Уфе большого выбора электроплит сейчас нет, особенно которые можно посмотреть "живьем". Из наличия остановились на этой модели.  Привлекло, в том числе, отсутствие механического таймера на выключение варочной поверхности и духовки. Плита очень понравилась. Духовка печет очень быстро, времени на выпечку требуется даже меньше, чем в прилагаемой инструкции. Варочная поверхность готовит хорошо, регулировка нагрева мягкая. Только после каждой готовки нужно мыть плиту специальным моющим средством для стеклокерамики или обычным моющим средством для посуды.  Как и у многих современных подобных устройств, теперь в комплекте нет кабеля электропитания.</t>
  </si>
  <si>
    <t>Пробный пуск прошёл нормально.Немного настораживает небольшая цена.Буду надеется свой гарантийный срок прослужит.Покупал чтобы использовать максимум один месяц в году,- летом,надоело кипятильником в тазике....</t>
  </si>
  <si>
    <t>Покупал по акции. Шкаф классный. Работает отлично. Смотрится очень стильно. Наличие глубокого противня.</t>
  </si>
  <si>
    <t>Качество звука просто неприемлемо, неважно даже на каких наушниках, покупка - просто деньги на ветер</t>
  </si>
  <si>
    <t>При покупке я сомневался брать его или нет.Через неделю после покупки я понял, что сделал лучший выбор за такие деньги))))Очень доволен им, и мне не мешает этот светодиод вкл/откл...</t>
  </si>
  <si>
    <t>Мне очень понравилась эта пароварка. Проста в использовании, удобна. Котлетки в ней получаются отменные!</t>
  </si>
  <si>
    <t>2042</t>
  </si>
  <si>
    <t>Увидела у подруги этот выпрямитель,очень понравился. Потом другая подруга купила такой же-осталась в восторге. Уже у трех моих подруг они есть,все хвалят,и я прекрасно знаю, что очень хорошие и долговечные!Так что прямо сейчас еду покупать!:)</t>
  </si>
  <si>
    <t>2013-08-24</t>
  </si>
  <si>
    <t>Купила этот утюг, тк был самый дешевый и маленький. Оказался отличный утюг, с предыдущим оратором согласна. Один минус-плохо проглаживает плотные ткани или постельное белье во много сложений. Пользуюсь, уже 4 года, работает как часы. Плюсы-глажу все, разводов не оставляет, дорогие и тонкие ткани гладит- идеально.</t>
  </si>
  <si>
    <t>1917</t>
  </si>
  <si>
    <t>Пользуюсь этим Компьютером 2 недели. Выбрал эту модель, т.к. она подходит для моих задач - обработка (постобработка) видео высокой четкости. Очень тихий (по шуму) и производительный компьютер, с очень качественным дисплеем. Недостаток только один - не все программы для Apple локализованы, для меня это не критично. Остальное все - достоинства: удобный и быстрый интерфейс, суперудобная мышь (шла в комплекте) и клавиатура (после Windows PC нужно привыкнуть к расположению точки и запятой в русской раскладке). Не пожалел, что взял iMac и рекомендую - не пожалеете.</t>
  </si>
  <si>
    <t>Не собирался писать но прочитал отрицательный отзыв и возмутился. Пылесос справляется со своим назначением на 5+ баллов, тянет прекрасно. Тихий режим, удобство расположения насадок, всё устаивает. Лично меня очень напрягае только один нюанс, кнопки включения и затягивания шнура часто путаю, они помечены почти одинаково. Нет никакой переплаты за Миле, Миле это гарантия высоких качественных и потребительских свойств, а то что можно и на тойоте в первый день сломаться это ещё не конец света.</t>
  </si>
  <si>
    <t>Легкая, почти безшумная, вибрация не чувствуется. Соотношение цены и качества.. на 5 балловߑ͢ class=</t>
  </si>
  <si>
    <t>После месяца использования на нагревательном элементе появилась ржавчина, вот так, а как в целом чайник хороший,</t>
  </si>
  <si>
    <t>За такие деньги лучшего fullHD вы нигде не найдете  Цветопередача просто идеальная, да и контрастность хорошая, 1080р, HDMI,  вообщем берите не раздумывая.</t>
  </si>
  <si>
    <t>671</t>
  </si>
  <si>
    <t>мощность заявленная выдаеться только при минимуме 5% линейных искажений когда максимум должен быть 0.1% )))))))))))))))))</t>
  </si>
  <si>
    <t>1052</t>
  </si>
  <si>
    <t>Мощность супер, ее можно регулировать с помощью ручки на панели. Всасывает хорошо, даже ковер приподнимается. Для водяного пылесоса относительно легкий и компактный. Все насадки на колесиках,что просто супер. Нашей семье очень понравился, все в восторге!!!</t>
  </si>
  <si>
    <t>Купили с мужем полгода назад, проверила все функции, все работает как часы! Покупала без гриля, специально для 8-летней дочери.Хорошо и быстро размораживает и ягоды и масло и мясо, инструкция оч.подробно написана.Пользовалась функциями и поваренок, испробовали все.Оч.довольна</t>
  </si>
  <si>
    <t>2015-11-04</t>
  </si>
  <si>
    <t>+ Хорошо чистит, не раздрожает десна  - дороговато</t>
  </si>
  <si>
    <t>1882</t>
  </si>
  <si>
    <t>Недорогой вариант, чтобы ваш Мак смог распознавать документы, составные в MS Office.</t>
  </si>
  <si>
    <t>Купили вытяжку в феврале по акции. Вытяжка супер. Современный дизайн, подсветка класс. Кухня 10 метров - вытяжка на 1 или 2 скорости легко справляется со всеми запахами. Очень мощная. Очень довольны покупкой. Ничего не сломалось. Всем советуем. За такие небольшие деньги такая удачная покупка.</t>
  </si>
  <si>
    <t>Первое когда запускаешь игру, это шок! Просто не верится в подобный уровень детализации большинства машин и в правдоподобность поведения на трассе! Плюс ко-всему, можно устраивать целые чемпионаты Он-лайн, соревноваться с игроками по всему миру.  Самый большой недостаток для меня лично - плохая детализация Стандартных машин!  Игра только на прохождение потребует долгие месяцы (если играть в день примерно часа 2-3), а чтобы полностью раскрыть весь потенциал игры лично мне потребуется около года!  Только разработка игры заняла около 5-и лет, так что можно рассчитывать на постоянную поддержку со стороны производителя(проведение мировых чемпионатов, кстати всероссийский уже объявлен, пополнение автопарка, новые режимы и т.п).  Всем советую, достойный PS3 эксклюзив!</t>
  </si>
  <si>
    <t>Брал года 3 назад, сразу заметил полное отсутствие басов при воспроизведении. Из минусов можно отметить жесткую душку, после часа носки голова начинает побаливать, а так в целом очень удачные наушники.</t>
  </si>
  <si>
    <t>Отличный пылесос. После того, как пропылесосил 3 комнаты, коридор, я ужаснулся тому количеству пыли, которым мы дышим. Весь стакан заполнился пылью !!! Хотя до этого пылесосил мешковым пылесосом, там пыли было - кот наплакал. Пылесос уже 2 месяца как куплен, раз в месяц мою фильтры, они легко чистятся и сушатся, контейнер легко очищается, потом его просто промыть и высушить. Легкая трубка, колесики щётки внутри трубки (а не снаружи - тоже +), отличная мощность всасывания. Единственный недостаток - шланг легко перегибается - но для этого просто надо держать пылесос подальше от себя - на максимально вытянутом шланге. Качество сборки очень хорошее - без щелей, заусенцев, сборка Корея, а не Китай. К тому же пылесос лёгкий и маленький :) Не видел только в продаже моторных фильтров для него, хотя его можно изготовить самому - просто вырезать кусок ткани от фильтра для вытяжки.    Отличный пылесос ! Советую :) До этого были советские всех видов и форм, потом немецкие с мешками для пыли, теперь этот :)</t>
  </si>
  <si>
    <t>В целом аппаратик весьма достойный. При своих малых размерах достаточно эффективен: струя пара (а точнее тумана) плотная, "идет" достаточно далеко. Но всё-таки "заточка" под бутылку 0.5 - это скорее недостаток, т.к. вода слишком быстро заканчивается. На ночь такой бутылки не хватает. Зимой с комнатой 14 кв.м. не справляется, пришлось докупить еще один увлажнитель. У него хотя бы резервуар для воды 4 литра. Должно хватить почти на сутки.</t>
  </si>
  <si>
    <t>Машиной пользуюсь 10 месяцев по 7-10 циклов в неделю.  ++++  простое, интуитивно понятное управление  удобная функция дополнительного полоскания  работает тихо, без вибрации при отжиме  ни единой проблемы за весь период  -  при стирке/полоскании в отсек для моющих средств попадает немного воды :( Когда после стирки открываешь крышку, эти 2 столовые ложки стекают прямо в барабан с отжатым бельём. Мелочь, а неприятно :(</t>
  </si>
  <si>
    <t>Неделю назад купила этот чайник. И очень этому рада. Мне он в первую очередь понравился потому, что можно поддерживать температуры воды в заданном значении, это очень удобно. Воду согревает достаточно быстро. В общем я довольна.</t>
  </si>
  <si>
    <t>36</t>
  </si>
  <si>
    <t>Хороший увлажнитель. Пользуемся около месяца. Ночной режим впечатляет, слышны только бульки. Когда принесли в комнату гигрометр показывал не больше 33%. Через 2 недели догнал до 47. Комната 20 квадратов, соединена через дверь еще с одной в 16 м, включаем только на ночь. Один балл сняла за белый налет на технике (на мебели кстати нет). Наливала воду из под крана (на входе в дом стоят два фильтра) и из кувшина аквафор - налет все равно остается, а вот внутренности увлажнителя гораздо реже приходится щеточкой чистить после воды из кувшина. Результатом довольна, динамика на лицо, дышать легче.</t>
  </si>
  <si>
    <t>2318</t>
  </si>
  <si>
    <t>2015-04-15</t>
  </si>
  <si>
    <t>Очень рада внешнему виду: безупречный   дизайн, блеск, пользоваться удобно. Т.к. крышка перфорированная можно сливать  воду без доп. предметов. Особенно радуют прорезинованные ручки, на стеклокерамике не нагреваются. Можно готовить даже плов, ничего не подгорело! Набор вышел дешевле, чем покупать такие же кастрюли по отдельности. Спасибо продавцам  за совет! В свою очередь рекомендую всем!!</t>
  </si>
  <si>
    <t>414</t>
  </si>
  <si>
    <t>Один наушник, когда ходишь с плеером, в него не слышно.   Ну, а так музыка звучит довольно громко,когда снимаешь можно на полной громкости слушать и не одевать их.   Моя оценка 4</t>
  </si>
  <si>
    <t>Машинка класс,стригёт отлично,удобная,рекомендую,были другие марки,но с этой не сравнить,меня подстригает жена,говорит небо и земля,я и са вижу машинка стрижёт легко и качественно,берите не пожалеете.Всем хорошего настроения.</t>
  </si>
  <si>
    <t>Не ожидал честно такого чистого и приятного бритья! Абсолютно не сравнимо с аналогичными по цене моделями ( к нему в свое время не смог привыкнуть -  дерет кожу и шея красная и горит). Очень нравятся микровибрации, абсолютно НЕТ раздражения!</t>
  </si>
  <si>
    <t>Выбирал долго, но рад, что попал в точку. Очень полезная вещица, а главное, что работает года два и без нареканий, даже батарейки в датчиках ещё не менял, а их три, в разных комнатах. Через стены, двери и оконные стеклопакеты сигнал к основному устройству проходит без проблем. Доволен, как слон!</t>
  </si>
  <si>
    <t>Утюг так себе... при первом использовании пахло как-будто что-то подгорело, думала каратить начнет, всё обошлось...конечно за такие деньги от этого утюша ждать нечего, но всё ж таки..есть и дешевле и то лучше работают...через полгода полностью подгорела подошва утюга, пришлось выкинуть на помойку...одноразовая вещь в общем...лучше добавить и купить нормальный..скупой платит дваджы...</t>
  </si>
  <si>
    <t>Нашему зверю уже почти три года, довольна полностью, и влажность набирает достаточно быстро, комната 20 кв.м, бесшумный, резервуар для воды достаточно большой 6 л, что немаловажно! От проточной воды никакого налета, картриджи и фильтры всегда в продаже есть, правда не дешевые... Отличный аппарат!</t>
  </si>
  <si>
    <t>Пользовалась сегодня первый раз этим эпилятором. Очень довольна! благодаря разным насадкам смогла проэпилировать ноги, зону бикини и даже подмышки. На мой взгляд, это один из лучших эпиляторов. Рекомендую!</t>
  </si>
  <si>
    <t>Кофемолка отличная, со своей функцией справляется. Единственный недостаток это яйцевидная крышка. Прежде чем купить, попробуйте ее в магазине открыть. Лично я ее открываю с легкостью, а вот для моего мужа это целая проблема. Он полностью согласен с отзывом Елены из Москвы (3 звезды).</t>
  </si>
  <si>
    <t>качество</t>
  </si>
  <si>
    <t>Благодаря HD Natural Motion телек выхватывает картинку (движущийся объект), и она как живая.   Пятого поколения Philips 52 PFL 5604H/60 в этом смысле отдыхает.   А если честно, то я бы теперь взял самсунг LED с технологией 100 гц, 46", он гораздо круче, хоть и меньше</t>
  </si>
  <si>
    <t>Купила месяц назад, часто пеку вафли. Очень довольна, вафли не прилипают, поджариваются хорошо.</t>
  </si>
  <si>
    <t>2014-12-24</t>
  </si>
  <si>
    <t>Кастрюля готовит практически сама. В ковшике варю овсянку на молоке - ничего не пригорает. Нравятся дырочки на крышках - не стучат по кастрюле, если закипает что-то. Правда, силиконовые ручки съехали в стороны после нагревания. Они не сильно и помогали.. все равно горячо было. Рис и гречка отлично готовятся в кастрюле. За счет того, что дно долго не остывает - каша "доходит" до нужного состояния. Готовлю на газу, немножко дно загрязнилось из-за мелких канальчиков на  дне, закоптилось.  Набор дороговат, но крутой презент!</t>
  </si>
  <si>
    <t xml:space="preserve"> дизайн</t>
  </si>
  <si>
    <t>Отличная вещь: цена=качество. Доставка оперативна. Воспользуюсь Вашим интернет-магазином еще. Спасибо!</t>
  </si>
  <si>
    <t>Всем привет!я купила себе фильтр для воды.Вода у меня хоть и без хлорки, но ужасно жесткая, накипь на чайнике за неделю появляется очень сильная, приходится постоянно его чистить.Фильтр покупала в основном для очищения воды от примесей, которые дают эту накипь.А вот, после нескольких дней использования фильтра «Барьер» могу сказать, что с этой задачей он справляется на «Ура».</t>
  </si>
  <si>
    <t>Шикарная бритва,до неё маялся раздражением после станков,пользуюсь около 5 лет,ничего не менял,года 3 вообще без нареканий,сейчас  хватает на 1 бритьё,собираюсь взять такую же.Рекомендую!</t>
  </si>
  <si>
    <t>Замечательный вариант при правильном подключении и настройках на магнитоле. Долбит так, что багажник и бампер и фары жаль становится. Стоит в ваз 2110 советую всем.</t>
  </si>
  <si>
    <t>На НГ мне подарили Samsung GALAXY S4 mini, моей радости не было предела. Через шесть дней мой новенький Samsung GALAXY S4 mini прекратил отвечать мне на любые попытки с ним пообщаться))) И только несколько вспышек экрана говорили мне о том, что он еще жив! Никаких механических повреждений (ударов, падений)  не успела с ним проделать. Приехав в сервисный центр Samsung на Марксистской д.3, мне сообщили, что на моем экране трещина!! Оказывается, мой телефон с супер HD AMOLTD дисплеем  не обязательно ронять или ударять  при малейшем скручивании экрана, ваш супер HD AMOLTD трескается и подлежит замене за 6500руб.!!! т.е., достаточно просто вставить микро СД и ваш телефон в помойке!!! И еще меня предупредили, что лучше его не носить в сумочке, в кармане брюк и т.д.!!!!!! так как малейшая деформация супер HD AMOLTD приводит к трещине и замене дисплея!!!! Кошмар!p&gt;</t>
  </si>
  <si>
    <t>5080105</t>
  </si>
  <si>
    <t>покупала браслет мужу в подарок, отличная вещь для людей у которых мало времени на сон,просыпаться действительно легче...удобно при сидячей работе напоминает,что давно не двигался...батарея держит 9-10 дней.</t>
  </si>
  <si>
    <t>Приобрел 2 недели назад. В общем всем доволен. Но есть несколько неприятных моментов: тормозит при воспроизведении фильмов в HD качестве(правда не всех); как уже писал Александр из Краснодара действительно какой-то глюк в BIOS, особенно при работе в "ворде" напрягает, что жесткий диск "засыпает" через несколько минут простоя, когда необходимо быстро сделать какой-либо документ; в солнечную погоду, находясь например на улице или в автомобиле приходиться делать яркость глянцевого экрана на полную, чтобы что-нибудь увидеть (в помещении это не проблема) с другой стороны в этом есть плюс - картинка выглядит более красивее и реалистичнее.   В целом неплохой нетбук за такие-то деньги. Да еще порадовало, то, что у него процессор еще и двухядерный, чем и объясняется быстрая работа в совокупности с 1 ГБ оперативной памяти.   Хорошая машинка для документов, интернета и DVD RIP фильмов. Рекомендую.</t>
  </si>
  <si>
    <t>Фен очень хороший,сушит волосы прекрасно,очень удобный, компактный, мне очень нравится!</t>
  </si>
  <si>
    <t>2748</t>
  </si>
  <si>
    <t>Александру из москвы повезло купить Пылесос автомобильный Bork VC SMN 6303 GY производства Германии. На самом деле они производятся в Китае.  Пылесос страшно гудит.  Гребенка механизма изменяющего наклон пылесборника очень не надёжна. 2 месяца пролежал без работы и смазка двигателя "застыла" (вероятно смазан подсолнечным маслом). Пылесос стал. Попытка смазать двигатель не увенчалась успехом, крыльчатка насоса запрессована на ось двигателя намертво. А, знают ли в Германии о Борке?</t>
  </si>
  <si>
    <t>ногти у меня всегда плохие были,но перепадами,то хорошо растут,то слоями сходят.  купила наборчик чтоб и за кутикулой было проще ухаживать и маникюрчик аккуратней получается.  но пользоваться есть смысл только 3-мя насадками,остальные мне по крайней мере не к чему.  мощный ,хороший,удобный)</t>
  </si>
  <si>
    <t>2730</t>
  </si>
  <si>
    <t>Клевый ноутбук читает все игры и можно смотреть HD фильмы</t>
  </si>
  <si>
    <t>1948</t>
  </si>
  <si>
    <t>полностью не соглашусь с мнением предыдущего человека!   -нормально она стоит и без резиновых ножек.  -ели нужно отжать не 1 минуту, то просто ставите на отжим  после стирки и она отжимает 8 минут ))  -все отстирывает просто замечательно (зависит еще от воды и качества порошка )А плюсов хватает за эти деньги!   Брали ее в Мвидео без всяких акций за нормальные деньги. примерно пол года назад..   P.S. Люди, а зачем же вы ее брали - раз говорите, что она "не очень" -вы просто пытаетесь придраться к чему угодно!! Смотрите машинки за 30 000р.- там недостатков нет!!! А эта машинка свои деньги отрабатывает!!!</t>
  </si>
  <si>
    <t>Пользуюсь вторую неделю, выбирала между циклонным пылесосом и пылесосом с пылесборником,в итоге остановилась на этой модели и не ошиблась. Очень тихий, легкий пылесос. Убирать им одно удовольствие. Мощность тоже на высоте, удобно регулируется ручка, ну и конечно же длинный шнур.</t>
  </si>
  <si>
    <t>Хорошая цена, мощный, легкий, но неудобное расположение переключателей скорости обдува и обогрева воздуха, когда перехватываешься за ручку, задеваешь их, но привыкнуть можно. Через 4 месяца сломался обогрев воздуха.</t>
  </si>
  <si>
    <t>2274</t>
  </si>
  <si>
    <t>Взорвался через неделю после покупки. Еле квартиру от пожара спасли. Теперь вот еще ремонт соседям делать из-за протечек.</t>
  </si>
  <si>
    <t>Купил недавно, пока просто супер, по-моему есть все что надо: звук хороший,через USB можно просматривать все, за такие небольшие деньги просто здорово.</t>
  </si>
  <si>
    <t>Подскажите: Может ли эта машинка прострачивать вязаные вещи?    ▶▶▶ОТВЕТ ЭКСПЕРТА «М.ВИДЕО»◀◀◀  Да, может. Используется игла №16</t>
  </si>
  <si>
    <t>Сначала хотел приобрести Филипс ЖК на 32”, но решил посмотреть диагональ побольше, наткнулся на него, купил, и не жалею!  Отличный телевизор за свои деньги, подключил к компьютеру и смотрю фильмы на большом экране с хорошим качеством + колонки 2.1 обеспечивают хороший звук(колонки ранее куплены).</t>
  </si>
  <si>
    <t>Навигации в DVS-1450T нет и ни когда небыло и ни как её нельзя активировать. Не пытайтесь активировать в аппарате то, чего там нет.  А в остальном пользуюсь, очень доволен.</t>
  </si>
  <si>
    <t>При загрузке овощей и фруктов соковыжималка производит звук небольшого взрыва и всю её аж подбрасывает. К счастью вскоре она поперхнулась при попытке перетереть хрен (советская до сих пор справляется:) и кажется умерла, теперь куплю наконец-то Борк :)</t>
  </si>
  <si>
    <t>Долгое время выбирала ноутбук, который подошёл бы как для работы (имеются в виду офисные приложения), так и для развлечений (насчёт игр - не знаю, имею в виду фильмы, музыку и т.д.). Купила 2 недели назад. Очень довольна. Лёгкий, не сильно греется (на столе - так вообще не чувствуется), тихий, не шумит (для меня был очень важный показатель), быстрый. Пока что не могу нарадоваться. Ноутбук, в котором все параметры хорошо сбалансированы. Это точно.</t>
  </si>
  <si>
    <t>Купив этот диск и пройдя GTA4 был разочарован сюжетом,а когда начал проходить эпизоды, показалось что к GTA они не имеют никакого отношения. НО, немного поиграв налось объединение сюжетов! Из эпизодов стали понятными многие вещи, происходившие в GTA4. Игра очень понравилась!  Так что необходимо проходить ГТА4 вместе с эпизодами, только тогда она будет полноценной.  Играл на вин7-32, при установке нужно отметить совместимость с хр, а после установки скачать и установить обновление с сайта гамес1с (например). Обновлять через гамесфорвиндоузлайв - бесполезно.</t>
  </si>
  <si>
    <t>778</t>
  </si>
  <si>
    <t>Отличные аппараты! Мощи около 0.5 Вт, связь на 8 баллов была обеспечена на прямой видимости Новороссийск-Кабардинка через бухту. Замерил расстояние между конкретными точками через яндекс-карты или гугл-карты и вышло 11 км. Один существенный минус - нет автоматического отключения зарядки аккумулятора. Надо  контролировать заряд вручную. Если необходимость в этих станциях эпизодическая - то это самое то, а если постоянная - они совершенно не подходят по указанной выше причине. Поставил высшую оценку, потому что меня они полностью устраивают. В профессиональной эксплуатации - не выше 3 баллов или замена зарядного устройства, тогда будет 5 баллов.</t>
  </si>
  <si>
    <t>Я купил этот набор год назад за 10.500 и я разочаровался, что отдал такие деньги за посуду. На этой посуде все пригорает и очень тяжело ее отмыть.</t>
  </si>
  <si>
    <t>2302</t>
  </si>
  <si>
    <t>Уже три недели наслаждаюсь качеством за такие деньги... Перепрошивать не решился, USB разлочил ИК-диодами и колонками от компа (спасибо за подсказки). Подключаю внешний жесткий диск-качество HD супер! DVD убрал в коробку. Кабельное показывает отменно. В общем остался ОЧЕНЬ доволен!!! Единственное, что не понял-как на телике включить сабвуфер (а может это и не надо). Прошивка 3,65.</t>
  </si>
  <si>
    <t>Достоинства: Женская модель.Купили жене, очень довольна.Очень нравится наличие внешнего дисплея,который показывает время и входящий вызов.  Батарейки хватает на 6-7 дней очень активных разговоров.Из других функций пользуется немного смс и каждый день будильником.Другие функции не использует.    Да, чтобы батарея работала на всю полноту своего заряда,после покупки полностью его разрядите. Затем выключите и заряжайте строго в выключенном состоянии 3 часа. И так каждый раз.Когда батарейка сядет - заряжайте только в выключенном состоянии.    Недостатки: Чуть больше чем модель PHILIPS 9@9Q CHIK RED.И немного скользкий (в руках нужно держать крепче)    Комментарии: Отличный женский телефон.</t>
  </si>
  <si>
    <t>Подарил любимый, очень довольна, выпрямляю челку, идеально прямая, держится весь день, добавляет блеска!!Советую</t>
  </si>
  <si>
    <t>2015-09-22</t>
  </si>
  <si>
    <t>Мои отзывы про эту плиту 1 и 2, так вот вроде бы и не плохая плита, но проработала всего 4 года, купили в июне 2011 года, сегодня сентябрь 2015 - выкинули. Сломалась одна конфорка, вторая - тоже начала барахлить. Так вот в Мосгазе сказали, что они не чинят, надо вызывать на дом сервисную службу и за починку уйдет полстоимости новой плиты. Поэтому купила новую, пришел мастер из Мосгаза и очень удивлялся, что эта плита Ханса, сказал, что скорее всего Грета</t>
  </si>
  <si>
    <t>Отработал около 2х лет без претензий, сейчас начал громко жужжать и дожевывать волоски. Наверно скоро сломается. В нормально рабочем состоянии со своей задачей справляется отлично.</t>
  </si>
  <si>
    <t>3155</t>
  </si>
  <si>
    <t>Купили сегодня эту микроволновку, когда включили дома, оказалось, что она вообще не подогревает пищу. Придется опять ее тащить в магазин.&amp;nbsp;</t>
  </si>
  <si>
    <t>Щипцами для завивки пользуюсь нечасто (волосы очень тонкие, поэтому мой парикмахер регулярно пользоваться ими не рекомендует). Но самые красивые прически всё равно получаются только с ними. Пробовала и разные фены с насадками – всё равно не тот эффект. Эти щипцы выбрала благодаря низкой цене и керамическому покрытию. Кто-то в отзывах писал, что поверхность не сильно нагревается – люди, радуйтесь, что так происходит (тем более что тут температуру нагрева можно регулировать). Я когда посмотрела на результат – поняла, что пользоваться ими буду почти каждый день. Пришла на днях к своему парикмахеру – она не поверила, что я постоянно пользуюсь щипцами, потому что волосы абсолютно не высушенные и не поврежденные. Поэтому смело рекомендую! Особенно тем, у кого проблемные волосы.</t>
  </si>
  <si>
    <t>2038</t>
  </si>
  <si>
    <t>зверь рулит, купил, рад, но камера отстой это факт</t>
  </si>
  <si>
    <t>Купил пароварку пол года назад. Она нам по дизайну подходила, и с тех пор мы ей пользуемся каждый день. Безотказная пароварка. Готовит быстро и энергии по минимуму затрачивает. Очень довольны. Всем рекомендую!</t>
  </si>
  <si>
    <t>Очень доволен. Хорошо показывает эфир. Наверно потому что не фул ХД а ХД рэди. С флешки все читает. Картинка полностью устраивает.</t>
  </si>
  <si>
    <t>2172</t>
  </si>
  <si>
    <t>Быстро вышел из строя подшипник чаши. Меняется целиком с чашей.  Не рекомендую.</t>
  </si>
  <si>
    <t>Пользуемся всей семьёй 3 недели. Эффект - потрясающий. Зубы, дёсна - все дела. Ставлю 4-ку только за громкость работы.</t>
  </si>
  <si>
    <t>1083</t>
  </si>
  <si>
    <t>2015-06-12</t>
  </si>
  <si>
    <t>Не советую, сигнал пропадает часто, а в техподдержке на форуме сайта нтв+ нормально ответить не могут. Очень дорого, а каналы не соответствуют этим деньгам.</t>
  </si>
  <si>
    <t>Телефон отличный: приличная камера, режим дом\бизнес, батарея на уровне, сенсоры!!! В целом набор приложений весьма большой. OVI магазин предлагает кучу удобных бесплатных гаджетов. Например поставил Opera Mobile, Skype и т.д. Навигация теперь бесплатна. E-серия в целом очень достойная, 11 000 отличная цена.   По мере использования\знакомства только положительные эмоции.  Пользовал Nokia E50, N78, HTC Touch Diamond 2. E52 - достойней.</t>
  </si>
  <si>
    <t>Телефон купила в ноябре 2009 и очень им довольна.Лёгкий в обращении, удобно лежит в руке, скорость интернета и передачи файлов приятно порадовала=)Порадовала и  цена)))похожий телефон др. производителей дороже примерно на 4-5 тыс. Долго держит зарядку,хотя и музыку люблю послушать да и киношку на работке посмотреть, держит минимум 3 дня)))Вообщем телефон на твёрдую пятёрку.</t>
  </si>
  <si>
    <t>В целом выпрямитель хороший, волосы после него идеально прямые. Но точно также, как и у других, через 10 месяцев сломался переключатель, все задымилось и т.д. Я сдала в гарантийный ремонт, мне все отремонтировали. Вот теперь пользуюсь уже 6 месяцев, пока ничего больше не сломалось, надеюсь еще прослужит долго!</t>
  </si>
  <si>
    <t>Сушилка отличная, по-моему. Обувь сушит быстро и работает у меня уже года 2, пока ни разу не ломалась. Не хватает конечно дезинфекции.</t>
  </si>
  <si>
    <t>666</t>
  </si>
  <si>
    <t>Вытяжка отличная, в магазине долго выбирали, послушали как работают все вытяжки, эта модель устроила и по цене и по качеству.Работает тихо, только после выключения слышно как падают заслонки возвратного клапана.По сравнению с нашей старой вытяжкой просто небо и земля.Звук старой вытяжки был похож на реактивный двигатель, а эта шелестит по тихоньку как будто чайник закипает.Слух не напрягает. На первой скорости практически не слышно. Ну и вытягивает все отлично никаких посторонних запахов в комнате не наблюдается.Рекомендую.</t>
  </si>
  <si>
    <t>2839</t>
  </si>
  <si>
    <t>В меру тихий. / мотор не слышно вообще / Спать не мешает. Дует на 1 скорости - уже достаточно, выше - сдувает. Подсветка - полезна. Мог его уронить в первую же ночь. Собрал за 5 минут.</t>
  </si>
  <si>
    <t xml:space="preserve">Надежный, экологичный., сам заваривает чай, прост в эксплуатации, стильный. </t>
  </si>
  <si>
    <t>Да шумная, но за такие деньги просто отличная. С  мясом справляется очень быстро, 1кг, за полминуты сделал. Соединения все из метала, что очень порадовало при покупке, в комплекте есть насдки для кеббе, сосисок и колбасок, не у каждой такой большой комплект, служит уже около полугода, жалоб нет, а те кто пишет что-то, перед использованием читайте внимательно инструкцию, мыть нельзя ни одну мясорубку!!! В общем по 10 бальной шкале ставлю 9, из-за шума, поскольку со всем остальным она справляется на УРА!!</t>
  </si>
  <si>
    <t>2645</t>
  </si>
  <si>
    <t>Аппарат очень хорош.   Работает идеально. Тормозов не наблюдаеться.  GPS Отлично ловит спутники.  Функции телефона исполняет на все 100%.  Отличная комплектация.      Но все эту прекрасную картину портит корпус.  Первый скол через 4 месяца эксплуатации. потом все хуже и хуже, сейчас лежит на полке. Жду новый корпус, а то этот развалился полностью.</t>
  </si>
  <si>
    <t>Этой панелью пользуемся около 4 лет. Безупречное качество.  Совет для тех, у кого остаются пятна. Покупайте надлежащие чистящие средства и панель будет как новая долгие годы</t>
  </si>
  <si>
    <t>Не хотелось бы сеять панику, но, кажется, восстание машин уже близко и моя кофе-машина "De Longhi ESAM 3000В" начала проходить тестовый период, подключившись к  SkyNet. Нет, ну серьезно... Пользуюсь этой моделью с февраля 2016, приобретя по акции в М.видео. Не вызывала нареканий, но! С недавних пор, начала время-от-времени самопроизвольно включаться и тут же выключаться, щелкнувши механизмом сбрасывателя таблеток жмыха. Постоит, помолчит, и снова... Приходилось гасить сии чудаковатые порывы клавишей выключения на задней стенке.   Теперь, она иногда проделывает всё то же самое, но уже с предварительной прокачкой воды (как это и положено при включении), выдержкой установленного времени (у меня это 15 мин.), финальная прокачка воды и выключение. Жду, когда к циклу подключится операция помола кофе и тестирование в SkyNet завершено!</t>
  </si>
  <si>
    <t>Отличный комбайн, не хватает средней терки и насадки для нарезки кубиками. Но, говорят, комплектующие можно заказать и приобрести. А качество полностью устраивает.</t>
  </si>
  <si>
    <t>Чумовая игра, отличная графика. Приобретал детям, а самого не оторвать</t>
  </si>
  <si>
    <t>Замечательные наушники, надежные невероятно, в течении года пользовался и ни разу даже малейшего треска не было. И сейчас бы носил, если бы случайно не оторвало один из наушников.</t>
  </si>
  <si>
    <t>Купил плеер по совету друга и не жалею. Плеер отличный, главное простой, без особых наворотов, единственное что показалось лишним, так это "фича" - кнопочка Заппин, абсолютно, на мой взгляд, ненужная.   З.Ы: для тех, у кого проблемы с подключением к компьютеру: я решил проблему путём нажатия кнопки Reset на плеере.</t>
  </si>
  <si>
    <t>Купил вчера камеру Samsung SMX-C10 Red. ,Тянет максимум 16 гигов памяти. Своей памяти практически нет. Вставил на 4 гига - показал время записи по объему 119 минут. Неплохо. Снимает хорошо, в темноте - не видит. Экран не сенсорный!</t>
  </si>
  <si>
    <t>Пользовался 5 месяцев, нареканий нет, картинка хорошая, медиаплейер почти всеядный, пульт удобный, подключил спутниковое ТВ Континент, купил HDD на 500GB - набил фильмами - смотрел......, кайф закончился в одночасье...                                                  Дети разбили экран обычным CD диском - удар - трещина - ШОК - сервисный центр - отвратителен...       p.s. - дети выжили!</t>
  </si>
  <si>
    <t>После чистки всей квартиры в режиме мойка - воздух и сама квартира нереально свежие и чистые. У нас дома полы апокрытые коврами и ламинатом - справляеться отлично!</t>
  </si>
  <si>
    <t>Купил на днях по акции матери. Она осталась очень довольной. Относительно бюджетной соковыжималки другой фирмы эта и выжимает лучше и сброс выжатого у нее работает нормально и цена по акции весьма конкурентна.</t>
  </si>
  <si>
    <t>Чайником пользуемся более года. Как уже многие писали, он очень шумный. При открытии крышки, конденсат скопившийся на ней течёт по наружным стенкам корпуса под подставку. В общем неудачная модель.</t>
  </si>
  <si>
    <t>Купили этот чайник 1,5 года назад. Как так получилось, не знаю. Хотела другой, но консультант ненавязчиво остановил мой выбор на этом. Красивый- да. И все. Как написано уже во многих отзывах, все остальное минусы: ручка, кнопка, накипь, долгое кипение. Со всем этим мы смирились. Но сегодня и у нас сломалась крышка. Ни кому не советую эту модель.</t>
  </si>
  <si>
    <t>Покупал для любимого человечка  8марта 2009 (по акции) Весы супер +5!!!</t>
  </si>
  <si>
    <t>Малошумный, регулировка и поддержание температуры, указание необходимой температуры при нагревании воды для каждого вида чая, запах отсутствует.</t>
  </si>
  <si>
    <t>1634</t>
  </si>
  <si>
    <t>Купила в марте,все хорошо...но постоянная пробл. с  фото и видео...фото сделать почти невозможно,видео включить еще можно,но отключить только когда вытащишь батарею.</t>
  </si>
  <si>
    <t>Вроде ничего себе, бюджетненько...Вот только есть небольшая странность: после установки часов в 24 часовой режим и переключении на станцию с RDS часы переключатся в 12 часовой формат..Что за фишка?!</t>
  </si>
  <si>
    <t>Недорогая</t>
  </si>
  <si>
    <t>Покупке очень рада.   Для Меня был важен размер, легкость мытья, и конечно же качество сока, которым Я осталась довольна. Встав с утра выжать без проблем сок - это Супер! М.б. для большого объёма она и не очень подойдёт, но для семьи по стакану сока сделает прекрасно.</t>
  </si>
  <si>
    <t>Отличные наушники! Стабильно покупала эту модель несколько лет, но сейчас не могу в своем городе найти их. Может кто подскажет аналогичные по звуку наушники? Буду очень благодарна!  ▶▶▶ОТВЕТ ЭКСПЕРТА «М.ВИДЕО»◀◀◀  Может быть вот эти - Наушники внутриканальные Sennheiser MX-170?</t>
  </si>
  <si>
    <t>2792</t>
  </si>
  <si>
    <t>Плеером пользуюсь уже 4 дня слушаю почти без остановке и батарея еще не разрядилась, меня это поразило! Плеер замечательный, в конце первого дня уже пользовалась им как будто он у меня уже лет 100! Но он включается и выключается очень странно(В смысле то, что то на кнопку нужно держать и он выкл\вкл.. а то бывает просто нужно нажать и отпустить и он уже выкл\вкл) И бывает так что песня пока до конца не проиграет - он не будет выходить в меню, перещелкивать на другую песню. Ну а так плеер хороший, 5  минусом! Рекомендую всем эту модель.</t>
  </si>
  <si>
    <t>Купил жене в подарок, заряд кончился через 20 минут, и заряжаться больше не стал. Двое суток заряжался и без результата.</t>
  </si>
  <si>
    <t>Хорошие наушники, удобно сидят в ушах, уши не устают, звукоизоляция порадовала. Звук тоже на уровне - чистый, низкие частоты звучат приятно, высокие тоже слышно довольно разборчиво. Единственное, что не нравится - провод у наушников выглядит довольно хрупким, но это, мне кажется, недостаток всех наушников данной ценовой категории.</t>
  </si>
  <si>
    <t>378</t>
  </si>
  <si>
    <t>Данным "агрегатом" пользуюсь относительно недавно... В магазине привлек внешний вид и функциональность. НО:  1) Инструкция, которая была в комплекте, НЕ ПЕРЕВЕДЕНА ПОЛНОСТЬЮ на русский язык, в том числе отсутствует описание режимов на русском языке  2) Что более парадоксально, инструкция, которая выложена на сайте, переведена НЕПРАВИЛЬНО!    Вывод: если вы не знаете английский (или любой другой язык, на котором написана инструкция), лучше не приобретайте себе эту "головную боль".</t>
  </si>
  <si>
    <t>1144</t>
  </si>
  <si>
    <t>Неприлично дешевый ценник для такого похвального чайника. Хорошая мощность, быстро и не шибко громко закипает, ручка не нагревается, так что сразу после закипания можно и разливать. По форме отличный, при розливе хватает ручки, не нужно ничего придерживать, дополнительно наклонять и т.д. Материалы изготовления вроде неплохие</t>
  </si>
  <si>
    <t>729</t>
  </si>
  <si>
    <t>Отличная кофемолка,купили в октябре 2012г. Помол равномерный. Удобная крышка,так же можно молоть сахар,а то во многих кофемолках нельзя. Одним словом очень довольны покупкой.</t>
  </si>
  <si>
    <t>у меня только модель MCM 5529, нарезает кубиками, пользуюсь 7 мес, очень нравится я с помощью этой помощницы делаю все - шинкую, режу, замешиваю, сбиваю и многое др., а какая экономия, советую.</t>
  </si>
  <si>
    <t>Вчера купил данный шедевр, дома решил постричься (стригусь сам на самой короткой насадке 3 мм.) машинка состригла волосы полосками и клоками!!! в магазине поменяли на Philips QC5045 без проблем. сегодня буду ее тестить.</t>
  </si>
  <si>
    <t>Из-за того, что у меня две длинношерстные таксы, которые дома категорически не любят оставаться, всюду со мной ездят, в салоне автомобиля полно шерсти, все сиденья покрыты ими, как ковром. Так как собаки линяют, а стричь их нельзя, то я сильно измучилась. Удаляются шерстинки очень плохо – это из-за того, что сиденья у меня не с кожаной обивкой, а с тканевой, синтетика, которая еще и электризуется. Своими силами не получалось хорошо все очистить, так что я и приобрела такой вот небольшой по габаритам пылесос для автомобиля. Он, несмотря на такой форм-фактор, вполне себе мощный, засасывает в себя всю эту шерсть, оставляя сиденья совершенно чистыми. Теперь в любом пальто или свитере, в том числе из тканей, к которым все прилипает,  могу ездить спокойно – все остается в первозданном виде. Еще и чехол есть для хранения, удобно.</t>
  </si>
  <si>
    <t>Хороший фен, красивый дизайн. Есть кнопка турбо, но ни разу пока ей не пользовалась - хватает обычной мощности. Укладываю волосы минут 20 - за это время не перегревается. Покупкой довольна.</t>
  </si>
  <si>
    <t>922</t>
  </si>
  <si>
    <t>Я мама троих деток, а значит каждый день глажки немеренно! Пользуюсь этим утюгом пятый год и очень довольна. Его беднягу роняли, на нем рисовали и тд, ему нипочем! И только пару дней как он потек,надо менять. Но брать буду такой же. И вам советую от души!</t>
  </si>
  <si>
    <t>Я решил поставить туда оперативную память 8 гигов(2чипа по 4гига)и после этого GTA4 и Test drive Ulimited летела без всяких небольших и больших тормозов!!!Я был очень доволен!  Рекомендую сделать это всем!!!</t>
  </si>
  <si>
    <t>Купили год назад,очень довольны ,все работает без проблем. Автоподжиг,газконтроль,гриль с вертелом, таймер-будильник - очень удобно.Всем советую!</t>
  </si>
  <si>
    <t>Как монитор телик не работает с разрешением 1680x1050 Пикс - может есть прошивка???</t>
  </si>
  <si>
    <t>1923</t>
  </si>
  <si>
    <t>Очень понравилась фритюрница. Маленькая ,легкая ,компактная . Если хочешь большую порцию- то каждому надо отдельно готовить. Корзинка небольшая ,но готовится довольно быстро и не проблема закинуть ее несколько раз подряд,что мы и делаем. Картошечка очень вкусная получается.Так что одни плюсы-компактная ,легко мыть и все очень вкусно получается.Советую!</t>
  </si>
  <si>
    <t>2745</t>
  </si>
  <si>
    <t>перемотка есть, просто надо уметь нажимать нормально. зарядки хватает надолго. встроенный юзби это для меня плюс. минус- купила в июне, (сейчас август,) так вот когда ставишь на зарядку в комп всё зарежается и песни видет, потом как отк. не включается. чё с ним не знаю. пойду менять.</t>
  </si>
  <si>
    <t>3197</t>
  </si>
  <si>
    <t>Хорошее соотношения цены и качества  Для 2-х человек - отличный вариант - необходимо не много масла, быстро нагревает масло, и все в ней получаеться очень вкусно!   единственный недочет - как уже тут было сказано - неудобно мыть</t>
  </si>
  <si>
    <t>Отличный товар  Производительность на уровне,правда пришлось увеличить обороты кулера видеокарты,так как довольно сильно нагревается(Увеличивал программой MSI Afterburner)  &gt;&gt;&gt;&gt;&gt;&gt;Ничего хорошего сказать я в принципе не могу. если бы знала, то не покупала б вообще. Когда я его купила, не прошло недели как начала слетать Винда. работает он слабо. вызывала мастера,он тоже ничего понять не может в чём причина. комп теряет все данные, стал шуметь достаточно сильно, хотя нет и месяца.&gt;&gt;&gt;&gt;&gt;&gt;  А гарантийный ремонт собственно говоря для чего нужен?В течении двух недель можно поменять неисправный товар на исправный,без особого труда</t>
  </si>
  <si>
    <t>Плохой чайник. Через месяц работы отвалилась крышка и работает как реактивный самолет.</t>
  </si>
  <si>
    <t>Из достоинств:   1. Чистит хорошо;   2. Шумит не сильнее, чем остальные    Из недостатков:   1. Большие габариты,   2. Невозможность вертикальной парковки  3. Слишком уж "кривоватенький" контейнер для воды и мусора (с первого раза полностью не ополоснешь, при мытье что-то где-то все время застревает)</t>
  </si>
  <si>
    <t>У нас уже 2-ой такой тостер,один на даче а другой дома... Тосты получаются очень вкусными,хлеб не пригорает...Очень практичная модель а еще за такие деньги советую всем брать=)</t>
  </si>
  <si>
    <t>2161</t>
  </si>
  <si>
    <t>Отличный нетбук!  Единственный в данном классе у кого память расширяется до 3 Гб. Сразу после покупки купил модуль на 2 Гб, теперь стоит максимум, что поддерживает WinXP    Видео в формате HD воспроизводит без всяких тормозов. Яркость и насыщенность цветов экрана просто на высоте.    Кроме того, в отличии от одноклассников, поддерживает блютус.    Очень лёгкий. Клавиатура стандартного размера, кнопки не уменьшены как у 10-дюймовых моделей.    Лучшего нетбука за эту цену не найти. Работаю 3 месяца - ненарадуюсь.</t>
  </si>
  <si>
    <t>2539</t>
  </si>
  <si>
    <t>Сборка не КНР, а Россия.</t>
  </si>
  <si>
    <t>Отличный телефончик, хороший дизайн, громко пиликает, 10 мелодий и все веселенькие, особенно мне нравится 1 и 10. Покупайте, не пожалеете</t>
  </si>
  <si>
    <t>267</t>
  </si>
  <si>
    <t>Хороший ноутбук за не большие деньги, в других магазинах он на несколько тысяч дороже.</t>
  </si>
  <si>
    <t>телефон супер!!!</t>
  </si>
  <si>
    <t>2348</t>
  </si>
  <si>
    <t>Пользуюсь бритвой браун уже около года , долго время никаких проблем не было , только вот в последнее время начала как то плохо брить. А у меня должность такая , что не позволяет отпускать щетину , я должен быть каждый день чисто и гладко выбрит, а то получил бы выговор и тд , а это мне сто лет не надо.. Посоветовался с друзьями , они сказали что скорее всего уже износился сетка для бриться и ее нужно менять. Подумал что это мне обойдется в копеечку и будет прилично стоить, но все таки пошел покупать . В вашем магазине нашел подходящую сетку , да еще и с режущим блоком.  Оказалось что стоит всего то тысячу рублей , я думал цена будет в три -четыре раза выше. Ну я и купил. С заменой тоже никаких проблем совсем не было , все очень легко поменялось , справился за пять десять-минут. Сейчас бритва бреет также хорошо как и раньше, никаких проблем нет. Каждое утро бреюсь и снова имею красивый презентабельный вид.</t>
  </si>
  <si>
    <t>Выбирал себе наушники с регулятором громкости, эти были самые подающие надежду среди наушников с регулятором. Купил и не пожалел. Возможно, более дорогие модели будут играть гораздо лучше, но как человек, у которого за жизнь было полно разных наушников, могу сказать, что качество данной модели на высоте. Звук приятный, чувствуется бас, удобная развилка при расходе проводов к ушам. Напрягает прорезиненный провод - когда линейным движением пальца до динамиков начинаешь распутывать сплетённые провода, то резина этому сильно препятствует. Регулятор громкости до нуля её не снижает, жаль, но так на всех таких наушниках. (( Кому нужны наушники с контролем громкости - берите смело.</t>
  </si>
  <si>
    <t>Звук хороший, становится лучше если отойти от колонок на 2 метра, тогда бас становится сочнее. Рекомендую ставить по дальше от компьютера т.к. вблизи съедается бас.    +Компактные  +Достаточно мощные  +Внешний вид    -Это не дерево, прессованный картон или опилки  -Очень простая база элементов   -Всего 4 года эксплуатации</t>
  </si>
  <si>
    <t>Данная соковыжималка очень качественная. Данную модель рекомендую. Купив данную соковыжималку решил выжать яблочный сок,в итоге я смог выжать 300 мл сока.Она работает не шумно,хорошо отжимает. Не засариваеться.</t>
  </si>
  <si>
    <t>1856</t>
  </si>
  <si>
    <t>Прикупил на выходных этот вполне симпатичный обогреватель. Прост в обращении, не занимает много места, да и комнату согрел очень быстро. Порадовало, что работает не шумно, как предыдущий наш обогреватель неизвестной марки. В целом доволен, что решил отзыв оставить.</t>
  </si>
  <si>
    <t>Собран аккуратно, есть чехол, но мощность такая же как и у 600-700 рублевых самопалов китайских...</t>
  </si>
  <si>
    <t>1725</t>
  </si>
  <si>
    <t>Игра захватывает с первых минут!!! Интересные, запоминающиеся персонажи и очень увлекательная история в постапокалиптическом, заросшем сочной зеленью, нью-йорке!!!  Всем поклонникам приключений рекомендую!!!</t>
  </si>
  <si>
    <t>1365</t>
  </si>
  <si>
    <t>Буковка D означает наличие 4х отверстий под крепление VESA. Смотрите на маркировку при покупке - в модели AT2355 такая возможность отсутствует.  ТЕЛЕВИЗОР ОТЛИЧНЫЙ. Но при креплении на стену остается рудиментарная ножка - т.е. аппарат не до конца эволюционировал из монитора в телевизор. Смотрится странно.</t>
  </si>
  <si>
    <t>Аналогичная ситуация, поставил, поключил, горит светодиод и все, дисплея как будто и нет:( в чем причина не пойму, устанавливал строго по инструкции, хотя советовали подключать первый раз через лампочку. может конечно в этом причина?</t>
  </si>
  <si>
    <t>192</t>
  </si>
  <si>
    <t>мне пришлось на днях побывать в м - видео, я искал себе стиральную машину и тут ,гуляя по магазину наткнулся на этот шедевр.вообще я поклоннкик качества, и посмотрел мультик через очки....я был ошеломлен качеством картинки и испугался когда на экране подали пирожки , что они вывалятся из телевизора)))</t>
  </si>
  <si>
    <t>Я ранее оставлял отзыв о том, что через месяц сдох мотор. Уже прошло больше года после ремонта (поменяли на месте мотор в сборе), все работает тьфу тьфу тьфу. Очень мощная, пока рады...</t>
  </si>
  <si>
    <t>Просто отличная удобная практичная посуда. 10 лет пользуемся и ни каких проблем.</t>
  </si>
  <si>
    <t>Цена, объем, удобный - напрочь забываешь о том что надо ставить кипятить чайник)</t>
  </si>
  <si>
    <t>Проработала три года, затем короткое замыкание и дым, вызвал мастера из авторизованного сервисного центра, не хотел он браться за ремонт т.к. винтики прикипели и он не мог ее разобрать, разобрал сам, провели диагностику вышел из строя блок розжига, а обратно собрать так и не смогли. Винтики обратно не вкручиваются, один при заворачивании вообще сломался. Вывод неутешительный: вещь одноразовая, кому как повезет.</t>
  </si>
  <si>
    <t>Прекрасный аппарат. На сто процентов отрабатывает свои характеристики и стоимость.</t>
  </si>
  <si>
    <t>2322</t>
  </si>
  <si>
    <t>Над преобретением подобной панельки задумывалась давно, но все никак не могла найти то что мне нравится. Прочитав кучу отзывов поняла что сначала надо остановиться на бренде, это Бош. В нашем магазине было только 3 модели. Эта понравилась продуманным управлением.Для каждой комфорки есть 9 степеней мощности, я пока готовила максимум на 6. а вот чайник закипятить лучше конечно на максимальной. В уходе никаких проблем, просто протираю влажной целлюлозной салфеткой.Поверхность не царапается но для надежности посуду предпочитаю переставлять.Края без рамки, столешница не греется.</t>
  </si>
  <si>
    <t>купили для мамы такую. она в восторге)</t>
  </si>
  <si>
    <t>3204</t>
  </si>
  <si>
    <t>Люди, очень хороший плеер, качество звука - супер! Наушники очень громкие и качественные. Аккумулятора хватает на дня четыре. Покупайте - не пожалеете. Если у вас пиратская ОС, то придётся попарится с установкой.</t>
  </si>
  <si>
    <t>Просто супер! 5 лет робят звук чистый, сначала с плеером гонял потом с телефоном сейчас на буке, через карту x-fi surround 5.1 pro creative можно оглохнуть, на пол громкости слушаю, а то голова разлетится.</t>
  </si>
  <si>
    <t>купил, ставил сам там нет ничего сложного, тихий мощный в комнате(19м2) при 16 градусах, 30 мин. потом замерзнуть можно.</t>
  </si>
  <si>
    <t>3108</t>
  </si>
  <si>
    <t>HD надо брать! да дорого, ну и что а качество зато</t>
  </si>
  <si>
    <t>958</t>
  </si>
  <si>
    <t>Добрый вечер!Вот и я решила себя побаловать и стала счастливой обладательницей щётки Oral-B Pro 500,Теперь мы всегда вместе(2 минуты утром и 2 минуты перед сном)!Это как раз та подруга,которая обещала(7600 направленных движений в минуту, 20000 пульсаций в минуту) и выполнила,я правда чувствую её быструю и верную работу!Как было заявлено,что зарядка через сеть,время работы 30 минут,так и работает после подзарядки 7 дней и ещё одну утреннюю чистку!У меня достаточно чувствительные дёсна,но и тут не подвела.Спасибо тебе,моя любимая,а теперь и единственная,щёточка.</t>
  </si>
  <si>
    <t>2026</t>
  </si>
  <si>
    <t>Телек отличный. У меня уже год. Особенно хорошо показывает фильмы FullHD, смотрю с флешки 16Г, никакого DVD не надо, тем более, DVD будет показывать хуже, чем с флешки. За год я так распустился, что перестал смотреть фильмы не FullHD.  Единственный не большой недостаток - уровень черного.  Я сначала купил Филипс, но потом поменял на лыжу.  Кто собирается разблокировать USB, то на lh5000 он и так работает.</t>
  </si>
  <si>
    <t>Класс, компактный, дует хорошо, довольно тихий! оч довольна! цена вообще супер!</t>
  </si>
  <si>
    <t>телефон обалденный всем рекомендую</t>
  </si>
  <si>
    <t>Пользовалась им 5,5 лет, ни разу не подвел, ни разу не ремонтировала, только сегодня перегорел, поэтому ищу новый, посовременнее что ли... Наитвердейшая пятерка!</t>
  </si>
  <si>
    <t>Заказывали этот термопот по безналу как юрлицо для своего семейного мини-отеля. На шведский стол – именно то, что нужно. Сами понимаете, что исходя из условий эксплуатации, нужна была функциональная, крепкая и долговечная модель. Ну и максимально простая и безопасная. Тут как раз всё соединилось в одном. Были опасения по поводу работы помпы, но они не подтвердились – всё работает как часы, все гости довольны, разбираются в том, где и какие кнопки нажать, в считанные секунды. Управление удобное, понятное. Помпа и клапан работают без сбоев.</t>
  </si>
  <si>
    <t>1801</t>
  </si>
  <si>
    <t>Наушники прекрасные, хорошо лежат в ушах(благо 4 вида насадок).  Правда, стандартные я поменял, мне кажется они слишком глубоко в ухо заходят, мне больновато (ну это особенность ушей), а с большими из комплекта очень даже здорово.  Звук прекрасен, слушаю losslessы в них, все передается на уровне.  У друга Sennheiserы за 1200, звук хуже, басы похрипывают на максимуме, в отличие от этих.</t>
  </si>
  <si>
    <t>Простота в управлении и обслуживании, температура на выходе , эстетичность.</t>
  </si>
  <si>
    <t>734</t>
  </si>
  <si>
    <t>Чайник отличный, закипает не громко! Кстати у него ещё подсветка воды синяя)))</t>
  </si>
  <si>
    <t>1736</t>
  </si>
  <si>
    <t>С ограниченным бюджетом все же удалось купить хорошую вытяжку, мощную и привлекательную на вид. Не очень склонна была покупать куполообразную модель, но эта по сравнению с другими очень симпатично смотрелась и по размеру не такая уж громоздкая. Воздухоотвод убрали в нишу кухонной стенки, купол полностью покрывает варочную поверхность и эффективно убирает любые запахи при приготовлении. работает так же на очистку воздуха, просто прогоняя его через фильтр и выпуская обратно в комнату. Кухня у меня большая, на 17 квадратах ее мощности придостаточно. Я довольна ею на 100%.</t>
  </si>
  <si>
    <t>3051</t>
  </si>
  <si>
    <t>Игруха круть! мультиплеер очень удачный. Спасибо</t>
  </si>
  <si>
    <t>подарили деньги сотрудники я сразу пошла покупать весы, т.к. мне они были очень нужны, сотрудник взвешивался сам и показывали весы всегда разный вес, сотрудник магазина уверил, что все весы показывают погрешность. погрешность в кг. ну я не привередливый покупатель и решила что это нормально для весов, придя домой я столкнулась с проблемой в разницу в весе от 3 до 30кг, обошла всю квартиру и нигде не нашла место, чтобы точно взвесить свой вес. Вставая на весы вес меняется, вставая на весы через одну минуту вес уже другой и за весь вечер я так и нашла ни место ни точного веса.</t>
  </si>
  <si>
    <t>Дизайн красивый, подсветка приятная. Первое время все работало отлично. Через полгода стали замечать, что он иногда не выключается сам. Кипит себе и кипит, надо самой его выключать. А через год он просто перестал кипеть. Синяя подсветка не горит, а когда включаешь его, горит красная подсветка, но вода не греется. Теперь и не знаю какой чайник покупать. У всех есть плохие отзывы.</t>
  </si>
  <si>
    <t>Через неделю загудел, через 3 месяца перестал парить. Проходите мимо bork.</t>
  </si>
  <si>
    <t>Купили пароварку несколько месяцев назад, мне очень нравится, готовит быстро, простая в использовании, легко все моется а самое главное что все очень вкусно</t>
  </si>
  <si>
    <t>Не выжигает кислород-да плюс,из минусов немного шумноват(но это ведь не масленный радиатор,работать без шума).По сравнению с тепловентилятором(спираль нихрома,не помню марку производителя) прибивать к полу ненадо:)))</t>
  </si>
  <si>
    <t>Товар  у меня  уже 2 месяца. Отличное соотношение цены и качества. Очень мощная видеокарта и процессор. Выбирал из всех ноутбуков и нигде больше нет  такой халявы.</t>
  </si>
  <si>
    <t>Ровно год прошел, как взяли эту машинку. Ни разу не подвела. Еще ни разу не чистили, моет отлично. Используем в основном 4 режим. У наших знакомых такая уже веко - 5 лет работает. Так что берите. И тем кто сомневается, нужна посудомойка или нет, говорю, - покупайте, не пожалеете. Во-первых, время экономит, во вторых, тепловая обработка посуды.</t>
  </si>
  <si>
    <t>Приобрели штатив в магазине М-Видео. Очень понравился подробный каталог товаров на сайте, благодаря которому за аксессуарами для своего фотоаппарата поехали именно в этот магазин. Что касается штатива: очень легкий, компактный и удобный в эксплуатации. Это именно то, что мы искали )))</t>
  </si>
  <si>
    <t>Офигенная игра во всех отношениях!  Мультиплеер улёт  В эту игру действительно интересно играть всё больше и больше</t>
  </si>
  <si>
    <t>+ паром "МОЧИТ КАК ХОЧЕТ"! прикольный дизайн. воду наливать удобно. клавиши (переключатели и кнопки) расположены удачно, вертикальное отпаривание- МОГЁТ, тяжеловатый (давить не нужно, просто води по ткани), длинный шнур. нагревается быстро, регулятор температуры легко вращается, индикация температуры отображается на дисплее (вид ткани - хлопок, лен и тд).  - воду жрет как алкаш после пьянки (результат первого плюса), тяжеловат для вертикального отпаривания (опять же для глажки это плюс и для этого утюга это второстепенная функция), без воды начинает "хрюкать", просить воды, не пугайтесь. как таковые это НЕ недостатки а особенности этого утюга, так шо это "на любителя".   военную форму гладит хорошо (а это, кто знает, еще та головная боль). пользуюсь около месяца,  доволен. 4 звезды- ну, не всем подойдет.</t>
  </si>
  <si>
    <t>Отличная модель</t>
  </si>
  <si>
    <t>1684</t>
  </si>
  <si>
    <t>Philips GC 2510. Проработал один год. Сломался. Не греет, оранжевая лампа не горит.</t>
  </si>
  <si>
    <t>2309</t>
  </si>
  <si>
    <t>Реальный аппарат!!! Сегодня только взял. Вторую булку выпекаю!!! Даж не знаю чё сказать! СУПЕР!!!!</t>
  </si>
  <si>
    <t>Фен купила не так давно. Я от него в восторге! У меня сложные, непослушные волосы, которые очень сложно уложить. Этот фен справляется на ОТЛИЧНО! Советую!</t>
  </si>
  <si>
    <t>Системный блок качественный и хорошо сбалансированный для своих задач. Достоинства: Цена, производительность, качество сборки, бесшумность, лицензионная Windows 7 домашняя расширенная, для поклонников Windows XP на сайте есть драйвера, возможность восстановления заводских настроек, клавиатура и мышь в комплекте. Недостатки: Могут возникнуть трудности при установке дополнительного жесткого диска (нужен кронштейн для крепления в отсеке 5.25'), мощность блока питания не большая (с точки зрения экономии это даже достоинство).  Пользуюсь около 3 недель, пока выбором доволен.</t>
  </si>
  <si>
    <t>Замучался менять ТЭН, хватает на один сезон (есть анод или нет не имеет значения) да и цена на ТЭНы ого-го</t>
  </si>
  <si>
    <t>Работает нормально.</t>
  </si>
  <si>
    <t>2011-02-09</t>
  </si>
  <si>
    <t>микроволновку взяли в начале декабря 2010г. нужна была компактная и с сенсорными кнопками. выбор тогда был небольшой, мы даже удивились и взяли эту печь. меня в ней все устраивает! готовит, размораживает, разогревает. особого шума от нее нет, обычный шумок как и у всех микроволновок! единственный минус для меня-цвет! но другого тогда не было. в целом отличная печь!</t>
  </si>
  <si>
    <t>Купила сегодня телефон в качестве подарка к 8 марта - муж дал денег. Был телефон Сони эриксон К700I(Старая модель). По сравнению с  Сони  у Нокиа- огромное количество функций. Телефон приятно брать в руки  - дамский телефончик. Есть карта памяти(входит в комплект), колонка прикладывалась, как внешний динамик. Мне понравилось то, что наушники любые можно подключить( у Сони эриксон только их, да к каждому телефону свои разъёмы).  Блокировка клавиатуры понравилась. Стоимость его - 4290  - очень отличная. Вот дочке 10 лет он очень приглянулся  как плеер: мигают клавиши, музыка звучит чисто.  USB шнур есть в комплекте, а ПО можно скачать с сайта под ХР и Виста.</t>
  </si>
  <si>
    <t>2552</t>
  </si>
  <si>
    <t>Купил, доволен,&amp;nbsp; норм цена, норм качество. Наверное, лучше за такие деньги не найти. Мне нравится и настроек хватает.</t>
  </si>
  <si>
    <t>2916</t>
  </si>
  <si>
    <t>Компактный, что сразу привлекло внимание - хотел небольшой винный шкаф на дачу, чтобы летом не забивать холодильник бутылками, этот как раз подошел! Собран аккуратно, ничего не болтается, без брака и вмятин на корпусе. Стекло дверцы не запотевает, при включении охлаждает бутылки достаточно быстро - через часик уже можно вино открывать, оно как раз будет нужно температуры! Если температура опустилась ниже выставленной - сразу подает сигнал, еще и лампочка загорается. К производителю не имею никаких претензий, шкаф пока только радует - отслужил уже один летний сезон на славу!</t>
  </si>
  <si>
    <t>Пользуюсь уже год и теперь не представляю как обходилась без неё. Почти все блюда готовлю в ней, кроме супа (на плите больше нравится). Каши получаются намного вкуснее и не нужно следить чтобы не пригорела, не выкипела, включил и занимаешься своими делами. Запеканки, плов, гарниры, рагу, рыба всё очень вкусно. А еще и пароварка, каждый день ребенку отвариваю овощи на пару. Ну и огромный плюс всех мультиварок, включил и ушел. У кого маленький ребенок это просто палочка-выручалочка!</t>
  </si>
  <si>
    <t>Никаких проблем с этим тостером. Хороший регулятор - хочешь слабоподжаренный, хочешь с черной корочкой. Как поджарит, хлебушек сам выпрыгивает. Внизу есть удобная вставка, чтобы крошки удалять.  Тостер яркий и красивый, использую года три уже (или четыре, не помню точно).</t>
  </si>
  <si>
    <t>Хорошая, продуманная конструкция, на голове сидят достаточно удобно, звук отличный ) По соотношению цена-качество - стоят своих денег.</t>
  </si>
  <si>
    <t>недавно взял, не сильно шумит, даже не по уровню стоит(не смог настроить по уровню, т.к. нет места для сдвига), стирает почти хорошо(крупную вещь не может отстирать, если вещь заполняет весь барабан), обычно в конце после отжима на последней минуте показывает ошибку, что белье не равномерно загружено(конечно после отжима такое реально), проблем нет пока, подключал сам(в магазине 2000р стоит),</t>
  </si>
  <si>
    <t>Купил ноутбук может месяц назад, очень и очень доволен.   Все тянет, и цена устроила, в общем ноут на 5 с плюсом!</t>
  </si>
  <si>
    <t>Мы тоже долго сомневались: надо, не надо... все-таки недешевое удовольствие. Да еще и места в ванной не много, а нам нужен объем побольше, а они все такие здоровые. Потом увидели узкий (диаметр корпуса всего 37 см) водонагреватель Haier ES80V-R1(H)на 80 литров и купили, муж сам повесил, подключил все, он у меня с руками. У него сверхпрочный эмалированный бак и тэна из нержавеющей стали, думаю при таком раскладе его на долгие годы хватит. Работает тихо, внешне смотрится симпатично, мне нравится.</t>
  </si>
  <si>
    <t>Машинка шумновата, но не настолько как более бюджетные модели. Сравнивать с Бош помоеиу неуместно разные ценовые категории. Борьба с шумом элементарна - отсрочка запуска и мытье по ночам, плюс экономия по электричеству (при двух тарифном счетчике). Моет прекрасно если с головой или по инструкции ее загружать. Пользовались только таблетками три в одном. Используем уже 4 года. Помимо шумноватости из минусов: используются не очень качественные прокладки, через 2 года развалилась в верхнем разбрызгивателе, следом между задней стенкой и верхней корзиной. Резинки стоят 150-200 руб. Учитывая опыт использования на дачу купил вторую, такую же.</t>
  </si>
  <si>
    <t>Отличный утюг. Качество глажки отменное. Сократилось время глажки, особенно пастельного белья и пеленок. Предыдущий утюг тоже хороший - паровой (последняя модель), но он проигрывает намного с утюгом с парогенератором. Покупайте - не пожалеете!!!</t>
  </si>
  <si>
    <t>Воду греет за 2-3 часа, причем, такое чувство, будто не до 75 градусов нагревает, а до всех 100! Хватает на 2-3 человека спокойно искупаться! Пользуемся каждый день, и в сравнении с ценами на горячую воду, эксплуатировать данный прибор куда дешевле. С утра, когда потечет горячая вода из крана, вместо холодной(за которую тоже платишь), ждать больше не надо!</t>
  </si>
  <si>
    <t>Я менял эту плитку четыре раза, первый раз проработала пять месяцев, это для неё рекорд, второй 1месяц, третий 3, а 4й полтара месяца. Я так скажу это не плитка, а ерунда.</t>
  </si>
  <si>
    <t>Купила на днях, рада безумно, сушит быстро.Волосики не портит.</t>
  </si>
  <si>
    <t>Купили на дачу взамен аналогичной. Предыдущая была той же фирмы. Проработала больше 13 лет.  Функционал такой же. Уже опробовали. Замечаний нет.  По соотношению цены и качества - отлично. Рекомендуем.</t>
  </si>
  <si>
    <t>Отличная машинка!!!отпахала лет 15 правда вибрирует при отжиме на больших оборотах. Очень сильно,но нас это не очень смущало т.к. живем в частном доме</t>
  </si>
  <si>
    <t>2670</t>
  </si>
  <si>
    <t>Купил сегодня плеер. Хочу сказать сразу не ведитесь на tv-тюнер. Показывать будет разве что если лечь под теле вышкой. Нет эквалайзера что существенный минус. Наушники в комплекте плохого качества и короткие. Размер самого плеера как то великоват. Вот если бы как для портативного телевизора то в принципе потянет но еще раз повторяю показывать будет разве что в чистом поле и рядом с теле вышкой. Думаю что цена не вписывается в функциональность. Не советую покупать</t>
  </si>
  <si>
    <t>Сама по себе плитка неплохая, но регулятор температуры отвратный. Посадочное отверстие на барашке по диаметру значительно больше регулировочного штырька, из-за чего регулировка сползает. Дошло до того, что при вращении барашка ничего не происходит и только в конце хода плитка включается (на минимальную мощность естественно), а дальше провернуть уже никак, т.к. крайние положения жестко фиксированы. Пришлось ремонтировать..</t>
  </si>
  <si>
    <t>В общем плеер....хороший.  Из плюсов:хороший звук,удобно читать книги(можно менять размер шрифта),качественный дисплей,есть файловый менеджер(непонятно зачем).  Из минусов:скрипучие кнопки (очень раздражает при переключении),конвертирование видео(программа идущая в комплекте бесполезна-пришлось скачивать другую прогу(iriverter-советую)),динамик вообще не нужен,т.к.толку от него мало-очень тихий и писклявый,наушники в комплекте тоже не обрадовали,ПО не обновляется через прогу (на диске).</t>
  </si>
  <si>
    <t>Хорошая мощная печь, советую приобрести.</t>
  </si>
  <si>
    <t>Формой пользуюсь где-то пол года, купила из-за того, что в небольшую духовку квадратные не подходили по размеру. Эта подошла идеально. Вообще у меня еще была другой фирмы. Но эта отличается антипригарным слоем, на ней не остается следов от масла, выпечка не пригорает. Чаще пеку пиццу, пропекается намного лучше и быстрее чем на обычном противне без дырочек, легко снимается с формы. Недостатков в своем случае не нашла.</t>
  </si>
  <si>
    <t>Купил ещё в мае. Серьёзных проблем за всё это время не возникало. Даже возникло ощущение, что со временем работает только лучше. С другой стороны, у меня телефон корейской сборки. Батареи вполне хватает на день. С учетом игрушек, интернета, музыки и фильмов. В крайнем случае, сменная батарея - большой плюс. Естественно, ожидал чуть большего от 2600, но и так вполне устраивает. Корпус. Много раз телефон падал, и ничего кроме мелких царапин и отодранной краски не случилось. Заднюю крышку можно легко сменить, а вот по бокам внешний вид немного испорчен. Камера. Если честно, от фронтальной ожидал большего. Но для того же скайпа вполне хватает и её. Экран. Полностью оправдал ожидания. Но защитную пленку всё-таки стоит наклеить;) Быстродействие/вылетания/зависания. Ничего критичного не было. Так что тут тоже ожидания полностью оправданы. Интернет. Всё работает прекрасно. Немного печалит отсутствие LTE.А LTE ох как не везде есть. Купил бы сейчас? Скорее да, чем нет.</t>
  </si>
  <si>
    <t>Дополнение к моему отзыву: только не подумайте, что утюг Tefal FV 9240Е2 каждый раз при глажении выдает такие кренделя("плюется" желтой водой с примесью накипи)- это скорее исключение, чем правило, но, к сожалению, такое имеет место быть.</t>
  </si>
  <si>
    <t>2285</t>
  </si>
  <si>
    <t>Купил карту и она не работает!Пишет что не правильно введен код активации.</t>
  </si>
  <si>
    <t>Судя по характеристикам и отзывам на других сайтах, неплохой ноут. Частота оперативки 800 мгц - большой +, видюха тоже неплоха, жалко что ДДР2, её характеристики:  Частота ядра - 500 Mhz;  Частота шейдеров - 1250 Mhz;  Частота памяти - 800 Mhz;  Если сравнить с GF 9600GT DDR3 (в зависимости от производителя, брал в пример Sparkle, коей сейчас обладаю):  Частота ядра - 650 МГц;  Частота шейдеров - 1625 МГц;  Частота памяти - 1800 МГц;  Частота памяти видюхи ноута в почти в 2 с лишним раза медленнее, но для ноутбука сойдёт.  Процессор за такую цену тоже неплох, жаль кэш всего 1 мб, но, думаю, хватит.   Ещё хотелось бы отметить Windows 7 - ну на фига сырую операционку пихать? И ведь, наверняка, не снесешь её, а то гарантия кончится.   Собственно, считаю, что ноут не для тех, кто собирается на нем играть в суперсовременные игры.     Взвесив все + и -, собрался в ближайшую субботу брать. Став владельцем, отпишусь ещё.</t>
  </si>
  <si>
    <t>1362</t>
  </si>
  <si>
    <t>Очень довольны покупкой. Мощная, выносливая, надёжная.  3 вида сеточек для фарша, насадка для колбас, и терки шинковки (замена кухонному комбайну).. полуфабрикатами больше не пользуемся, всё готовим сами.</t>
  </si>
  <si>
    <t>Добрый день!!!  Пылесос использую уже три года. Единственное, неудобно организована система фильтров, пока разберешь, пока вымоешь целый процесс. Но очень понравилось качество, которое дает пылесос при мытье окон - супер!!!  И самое главное, закупите заранее комплект запасной всех 4 фильтров - очень пригодится.</t>
  </si>
  <si>
    <t>Хороший телевизор, но купил внешний HDD, и телек его не увидел, обменял на другой HDD, небольшие файлы 250Мб стал читать, с горем пополам, а при выборе например MKV, происходит разрыв USB соединения, с последующей загрузкой, может быть диск надо какой-то особый, или прошивка кривая, HELP? помогите.</t>
  </si>
  <si>
    <t>1544</t>
  </si>
  <si>
    <t>2016-02-28</t>
  </si>
  <si>
    <t>Как раньше я жила без вытяжки просто не представляю!!! Вечер стандартно заканчивался головной болью так как приходилось готовить ужин на несколько человек, а в жару никакой прохлады с улице не идет. Воздух и атмосфера в кухне сразу улучшились и это все при том, что я всегда (или почти всегда) включаю минимальную скорость, она за минуту избавляется от запахов готовки на кухне. Особенно это актуально для нашего папы, который на диете по состоянию здоровья и аппетитные запахи его только раздражают. Вытяжка прекрасно вписалась в нашу кухню, очень маленькую. Я довольна несказанно, можно спокойно дышать свежим воздухом, никаких тебе запахов!!</t>
  </si>
  <si>
    <t xml:space="preserve">Симпатичный,недорогой  водогрей с быстрым нагревом воды </t>
  </si>
  <si>
    <t>первый раз купила,прослужил год.сломался включатель и пах паленым,потом купила его же и такая же ситуация через 10 месяцев,так же сломался включатель и начал пахнуть паленым.выпрямлял хорошо,но покупать не советую....сломается</t>
  </si>
  <si>
    <t>Купили и не пожалели, дома в комнатах-паркет, на кухне-плитка, время на уборку занимает 20 минут!!! Проводила -эксперимент, помыла пол во всей квартире, потом прошлась пылесосом- Контейнер в песку!Покупкой очень довольны!!!</t>
  </si>
  <si>
    <t>Пользуюсь кофемолкой года 2, все отлично, нравится.</t>
  </si>
  <si>
    <t>радости от покупки не было предела,но на следующий же день возникли проблемы с эквалайзером,звуком и воспроизведением а затем и вовсе появились искажения в радиоFM и Музыке.Обменять на другой такой же не получается.Твердо не рекомендую покупать!</t>
  </si>
  <si>
    <t>Оооочень плохие наушники!Им,дай бог,2 недели,аа правый уже трещит...вобщем мне они не нравятся!</t>
  </si>
  <si>
    <t>Стоит три недели, комната 17 м2 выходит как раз на сторону заката 5 этаж, всегда очень жарко и душно было, работает отлично, охлаждает за минут 15, в самом слабом режиме, на самом деле тихий(при качественном монтаже), температуру держит почти точно +-1,2 градуса, сушка работает как надо, воздух не пересушивает, наверно в этой ценовой категории лучший вариант, очень долго выбирал и сравнивал кондиционеры с тонкой очисткой воздуха.</t>
  </si>
  <si>
    <t>Приобрел ноутбук три дня назад и понял, что лучшего выбора за эти деньги просто и нет.   Плюсы:   1.Отличный большой экран  2.Хорошая операционная система Windows 7HP,а не Windows 7HB где все что только можно порезали.  3.Шустро работает, без тормозов и глюков.  4.Наличие 4гб оперативной памяти.  5.Неплохие (для ноута) процессор и видео карта.  Минус:  1.Тяжеловат (4,1кг), но если использовать как альтернативу обычному ПК, то этот вес превращается в плюс.  Вывод: если намечена покупка ноутбука для дома (а не таскать постоянно с собой)как альтернатива домашнему ПК и есть в наличии 29т.р., то это Ваш выбор, я альтернативы не нашел. Доволен безмерно!!! Всем удачного выбора!</t>
  </si>
  <si>
    <t>всем хорош чайник(не ожидал от  Scarlett....).но одна особенность подпортила впечатление.всё дело в том,что когда после кипячения или даже через продолжительное время вы открываете крышку чайника,то конденсат(капли воды,после кипячения-горячие)с крышки сливаются не в чайник,а вам на руки,на стол или стекают по корпусу чайника в электрическую подставку.а так-добротный,претензий нет</t>
  </si>
  <si>
    <t>Цена - понять немогу почему если она должна стоить столько. Нинтендо афециально заявили что снижают цены на эту кансоль . 3D это вообще ненужная вещь ? Если в телевизорах непользуется папулярностью зачем в карманной кансоли . Графика у неё ужасная ! Чуть лучше чем у psp .  Я вообще непонимаю зачем это убогая кансоль !   Скоро уже выййдет ngp (ps vita) и 3DS здесь вообще невидится . NGP стоит своиз денег. У неё только нет 3D и возможности фотграфировать в 3D и всё!</t>
  </si>
  <si>
    <t>отличная модель, пользуюсь почти год, после того как начал использовать данную модель пыли в квартире на мебели стало гораздо меньше. всем рекомендую.</t>
  </si>
  <si>
    <t>2627</t>
  </si>
  <si>
    <t>Машинка очень хорошая - тихая, много программ. Стирает хорошо. И программа есть чтоб вещи при отжиме не мялись сильно - очень помогает т.к. гладить не люблю :) Рекомендую!</t>
  </si>
  <si>
    <t>Пользуюсь уже пол года радости ни какой, вонь такая от него, если плохо помоешь и ковралин не очень чистит, шампунь который к нему идёт класс конечно, но его не приобретёшь нигде,а что предлагают не очень.</t>
  </si>
  <si>
    <t>2512</t>
  </si>
  <si>
    <t xml:space="preserve">цена </t>
  </si>
  <si>
    <t>вчера купила этот выпрямитель,сам он ничего особенного да и к тому же открываю коробку, а никаких кистей и щётки для завивки ресниц там нет..</t>
  </si>
  <si>
    <t>Купили неделю назад данную модель... смотрим теперь ТВ с удовольствием... все нравится в нем... а пульт как раз с эргономичным дизайном.. удобно держать в руках.</t>
  </si>
  <si>
    <t>812</t>
  </si>
  <si>
    <t>Плеер воспроизводит видео так что звук не состыковывается с изображением! Даже если конвертировать с помощью конвертора, который идет в комплекте! Управление не адекватное: кнопки реагируют с 3 раза!</t>
  </si>
  <si>
    <t>Средство  посоветовал консультант  при покупке бытовой техники. Средство очень экономное, несколько капель хватает чтобы удалить грязь и отпечатки с плиты, вытяжки и холодильника. Пузырька хватило на 2 года,  при частом применении.</t>
  </si>
  <si>
    <t>Купили 2 года назад,были рады,что много программ, но потом по ходу пользования поняли: Стирает не очень, мало воды наливает, каждый раз приходилось доливать. Постельное белье только один комплект можно стирать и то с трудом, плохо в конце полоскала и оставляла в пене. Не отжимает совсем, когда мало вещей 1-2 вещи, белье вынимаешь мокрое, отжимать приходилось в ручную! А до этого у нас была Вирпол машинка, та отжимало все и много и мало вещей.  Сейчас индезит -машинка сломалась, подшибник полетел, белье пачкает черной мазью и при отжиме гремит оргромный грохот.  Покупали с гарантией 1+2года, вызывали мастера 3 раза,обещают прийти, но но так и никто не идет и не приезжает ремонтировать или менять! Видно халтурчики какие-то с машинками и гарантиями!  Не советую такую машину, хороша маленькая,с виду красивая аккуратная,а плохо для стирки малой не отжимает и мало воды налевает. И ремонт не делают.  Придется покупать новую! Жаль!</t>
  </si>
  <si>
    <t>2305</t>
  </si>
  <si>
    <t>Не сомневалась давно в качестве Электролюкс, так что из-за бренда покупала эту стиральную машину. Мы разместили ее у нас на кухне, хорошо вписалась, к тому же у нее есть собственная дверца. Мне очень понравились функции ручной стирки шерсти и шелка, одежда совершенно не портится и не растягивается. Часто пользуюсь разрыхлением после отжима, так намного легче потом доставать одежду и развешивать ее, а то отжим тут приличный, одежда после него быстро сушится. Система безопасности тут хорошо продумана, есть и защита от детей, и контроль дисбаланса и самодиагностика неисправностей.</t>
  </si>
  <si>
    <t>Ну во-первых, цена приемлемая (16 тыс. со скидкой, покупали в феврале этого года) сыграла немаловажную роль, качество картинки не разочаровало, я в основном смотрю фильмы, обычные каналы практически не смотрю, но фильмы именно ДВД-качества, а не те, где по 10 фильмов записано на один диск. Кстати очень понравилось меню, понятное, в магазине нам демонстрировали ещё самсунг, так там в меню чёрт голову сломит, а тут как-то всё понятно сразу было. Муж пристрастился играть на нём, подключает к компу, за уши не оттащишь. Цветовая палитра богатая, большой угол обзора, никто не обижен))) Звук также неплохой, места много не занимает. Пока всё нравится, а там посмотрим:)</t>
  </si>
  <si>
    <t>Нормальный, обычный телефон. Качество соответствует цене. Из недостатков - тише чем ожидали.</t>
  </si>
  <si>
    <t>1715</t>
  </si>
  <si>
    <t>Народ купил такой себе в декабре 2009 года! рад пипец,качество изображение супер! У тёщи стоит ЖК-Samsung 50'   видны артефакты! ТАК ЧТО ПЛАЗМА ЕСТЬ ПЛАЗМА!</t>
  </si>
  <si>
    <t>2015-07-26</t>
  </si>
  <si>
    <t>Катаюсь с такой супрой почти год, стоит чв с 12уралом, блины пионеры и компонентные киксы через кроссовер. До установки киксов усь радовал, тянул отлично и колонки и саб мостом, пару раз по моей вине уходил в клип из-за перегрева ( остановился а звук не убавил, итого через 5 минут перегрев), безкотказный, работает всегда и везде. После установки киксов его стало немного не хватать на саб, как первый бюджетный усь всем советую, не пожалеете.</t>
  </si>
  <si>
    <t>Через полтора месяца эксплуатации в углублении заливной горловины появилась и стала прогрессировать РЖАВЧИНА (!!!). Я готов был смириться с шумностью и с тем, что через год-два эксплуатации что-то сломается, но такого не ожидал. Нужно отдать должное гарантийной службе - поменяли без нареканий.</t>
  </si>
  <si>
    <t>Трижды покупала эту модель - нравилась, но всякий раз трескалось пластиковое окошко индикатора уровня воды. первые 2 раза решили, может ребенок "постарался" во время нашего отсутствия. Но с третьим вышло то же самое. Хватает на 3 года - это плохо.</t>
  </si>
  <si>
    <t>у нас эта йогуртница уже почти год, довольны. температуру не замеряла, но йогурт получается всегда - если молоко хорошее, и закваску используем не сухую, а сначала на 6-8 часов молоко с сухой закваской в йогуртнице оставляем, а потом уже стаканчик этой закваски на литр молока - и вуаля, за 4-6 часов готов хороший, густой йогурт.</t>
  </si>
  <si>
    <t>Тоже приобрели этот чайник. Те же проблемы что и  у всех. Через полгода стала заедать крышка. Лечится несколькими ударами по крышке чайника, помогает на непродолжительное время. Уровень воды в чайнике не видно, наливаешь на глаз, про то что он шумит уже на это не обращаешь внимания, хотя шумит как паровоз на старте. Не советую брать данную модель, поищите что нибудь другое.</t>
  </si>
  <si>
    <t>Отличный бойлер. Быстрый нагрев, хорошая теплоизоляция, абсолютно бесшумный. Вес 21 кг говорит за себя о толщине и качестве металла и изоляции - в отличие от конкурентов 12-14 кг.</t>
  </si>
  <si>
    <t>189</t>
  </si>
  <si>
    <t>Пароварку использую часто, в управлении проста и удобна. Есть функция отложенного старта, пользуюсь практически всегда. Всегда можно долить воду, если нужно. Места много не занимает, компактная.</t>
  </si>
  <si>
    <t>Классный телефон, батарею держит долго и камера отличная, звук динамиков чистый</t>
  </si>
  <si>
    <t>Классная машина, нового поколения, стоит защита от перепадов напряжения, в комплекте шланг от протечек воды. Полностью электронное управление, индикатор отображает только оставшееся время</t>
  </si>
  <si>
    <t>Оч классный монитор, купил, не могу нарадоваться...Картинка оч чёткая, оч хорошо, что поддерживается высокое разрешение...Порой бывает теряешься от размера...За такую цену вряд ли можно найти что то лучше)Покупайте без сомнения)</t>
  </si>
  <si>
    <t>В этой параварке все делается очень быстро, продукты все вкусные, удобная в обращении, используем каждый день и детям очень нравится пища!</t>
  </si>
  <si>
    <t>Хороший саб за свои деньги! Давление неплохое, понравился.</t>
  </si>
  <si>
    <t>После свадьбы купили стиральную машинку вестел в м.видео, она у нас первую неделю круглые сутки проработала, проверку на прочность прошла, стирает хорошо, устанавливали сами.</t>
  </si>
  <si>
    <t>У меня большой дом. Купил сразу 8 штук таких увлажнителей, по совету продавца самый эффективный, самый надёжный, бесшумный, долговечный. Через две недели надрывного гудения они начали умирать по одному. Последний долгожитель скончался пробулькав два месяца. Сказать, что они эффективно увлажняют можно с большой натяжкой. В пределах 1.5 -2 метров вокруг увлажнителя более или менее повышается влажность, но не выше 45%. При обращении в гарантийную мастерскую получил ответ - необходимо использовать дистиллированную воду, иначе работать не будет. Почистили, поменяли излучатели. После этого они умерли практически в одно время... Ясен перец, что производить для них дистиллят не стал, да и нет этого в инструкции. Полная ерунда. Не покупайте.</t>
  </si>
  <si>
    <t>Телевизор просто отличный. И это мягко сказано. Активизировал USB в 2 счета, с помощью диода. Спасибо комментарию Юрия из Москвы. С USB-портом ему нет цены. Качество изображения хорошее, цвета яркие. Звук просто идеальный. Удобное и простое меню. Красивый внешний дизайн и т.д. и т.п.. Единственный минус - USB не очень удобно расположен, сзади у телевизора. В общем берите! Не пожалеете!</t>
  </si>
  <si>
    <t>нет у этой модели есть массирующая насадка , такая модель у меня 4года почти</t>
  </si>
  <si>
    <t>по поводу blue screen of dead ничего подобного...семерка работает нормально... А очень большой минус ноута - очень шумный(((</t>
  </si>
  <si>
    <t>1636</t>
  </si>
  <si>
    <t>Пользуюсь года 3, мне оч понравился, не жалею что приобрела. Боль терпимая, волоски в основном все захватывает. В общем оценка 5+ из 5)</t>
  </si>
  <si>
    <t>2015-11-03</t>
  </si>
  <si>
    <t>Удобный и безопасный в пользовании термометр, с красивым дизайном. Достаточно быстро измеряет температуру воды.</t>
  </si>
  <si>
    <t>1359</t>
  </si>
  <si>
    <t>Привысило только за счет пиратских игр, често у самого есть коробка и недавно взял плойку, плойка реально выигрывает... но посмотрим что будет с мувом и кинектом). А сей девайс возьму, уж больно старая коробка шумит, эта говорят почти как плойка бесшумна</t>
  </si>
  <si>
    <t>Купил  сегодня! Лучше чем обычный вентилятор) дует довольно очень хорошо, даже более) шумный, но это не минус! Шум  из за мощного потока воздуха)) советую к покупке! Конечно не кондер, но за эти деньги лучше не придумаешь)</t>
  </si>
  <si>
    <t>Пользуюсь данным аппаратом около 4 месяцев. Изначально хотел приобрести простой ультразвуковой увлажнитель, но потом (уже в магазине) узнал, что есть прибор, который помимо увлажнения еще и очищает воздух от пыли и всяких бактерий. Покупкой оказался весьма доволен, действительно, спустя некоторое время, в комнате стало гораздо легче дышать!     Достоинства:  Сравнить в принципе не с чем, другими мойками не пользовался, но чем выделяется эта модель от других - компактность, дизайн (аппарат выглядит, как модный гаджет какой то). Да и в целом, хорошая качественная вещь корейской сборки, делающая климат в комнате комфортным.  Минусы:   Не очень подробная инструкция! Первое время из мойки шел запах, как в больнице. Думал брак, но решил все таки позвонить в справочную. Девушка подробно объяснила, что внутри установлен специальный картридж (белая кассетка), который убивает вирусы, клещей и прочую органику. Перед использованием следует вымочить этот картридж в теплой воде около часа, чтоб запаха не было. А в инструкции об этом ни слова!</t>
  </si>
  <si>
    <t>Хороший звук, удобное крепление, вот только габариты несколько показались неудобными (уши торчат) и при ветре на малой громкости ничего не слышно...</t>
  </si>
  <si>
    <t>Почитав отзывы и в принципе не будучи стесненным в денежных средствах выбрал все-таки эту модель. И, удивительно, об этом не жалею. Качество мойки по отзывам отличное и я это подтверждаю. У тех у кого не моют - не знают как раскладывать посуду. Надо соблюдать рекомендации. Посуды вмещает  много.</t>
  </si>
  <si>
    <t>Отличный телевизор.купил 2 месяца назад и пока придраться ни к чему абсолютно не могу.Устраивает абсолютно всё.Изображение идеальное!!</t>
  </si>
  <si>
    <t>Плеер достаточно хороший! 25 ноября будет 3 месяца, как приобрел его. Пару раз зависал, и то оттого, что на несколько кнопок сразу понажимал)) а так устраивает вполне.качество и цена приемлимы! Берите - не пожалеете. А наушники то нормальные в принципе. Слушать через родные можно! Меня все устраивает. И дизайн не строгий. Вобщем,вечеринка,отличная вечеринка, просто супер))</t>
  </si>
  <si>
    <t>Купил вчера по акции за 19990 рубликов. Кабельное ТВ показывает на отлично, никаких помех и смазываний. Ноут Asus X55Sv подключил через обычный кабель для монитора - разрешение 1920*1080 вообще улет, поиграл в игруху - никаких тормозов. Запустил Эксель - кайф в квадрате!!! На таком разрешении очень много ячеек по горизонтали убирается. Фильм в mkv формате рипаный с блю-рея смотрел - фулл хд рулит. В общем за эти денюжки даже и искать ничего не надо, да и просто не найдете.   Чем мне нравится Мвидео, так это если акция - так действительно снижение цены, а не переписывание ценников!!! Молодцы!!!</t>
  </si>
  <si>
    <t>Отличный пылесос, очень мощный, единственное - обязательно нужно использовать разовые пылесборники, с контейнером, и правда, слабоват.  Пользуемся 1,5 года и очень довольны.</t>
  </si>
  <si>
    <t>вчера купили bosch5525 долго мучились, чтоб влючить.трудно защелкивается основная чаша,а стакан блендера течет снизу.явный брак .поехали сдавать.жаль потраченого времени.одно название bosch</t>
  </si>
  <si>
    <t>Ого, зашла написать отзыв о данной модели посудомоечной машины, а была неприятно удивлена последними двумя отзывами((( В марте будет год, как пользуюсь посудомойкой Электролюкс 63021, нареканий нет, отмывает все и идеально. Надеюсь, что через пару месяцев с ней не начнется никаких неприятностей, как у других владельцев. Она реальная помощница в быту, особенно если семья большая и есть ребенок! Если какие-то особо сильные загрязнения или остатки пищи на посуде подсохли, то я использую холодное ополаскивание перед мойкой и затем еще минут 15 даю просто постоять - и все отмывается. Программу на 30 мин можно, кст, без использования средства использовать как предварительное горячее полоскание) для противней, например, или стеклянной посуды для духовки. Фильтр чищу раз в 1-2 недели, потому что много жирной посуды приходится мыть, и, если этого не делать, на фильтре образуется неприятно пахнущая пленка. Но это занимает ровно 5 мин и никаких неудобств не вызывает. Это моя первая посудомойка, я долго не могла выбрать модель, все сомневалась. Но теперь понимаю, что выбор был сделан правильно. А теперь, после прочитанных отзывов, переживаю, чтобы не было никаких сбоев. Единственный минус, что нет сигнала окончания мойки, и после окончания мойки, тк управление механическое, машинка так и стоит в режиме ожидания, сама не отключается. Но это не принципиально, просто было бы удобнее))</t>
  </si>
  <si>
    <t>Филипсами пользуюсь лет 6-7. но на 830 через 5 месяцев захрипел динамик(музыку я на нём не слушаю),очень обидно!Слабо держится краска,но это было на всех филах и не только у меня.А в остальном телефон класс!Главное держит заряд 2 недели при том что много говорю.Никакой другой на филипс не поменяю!</t>
  </si>
  <si>
    <t>Это первый мой чайник, который отслужил более 8 лет, а то и более. Потом хотелось купить более современное, но оказалось что не надолго выкинула деньги, следующие 2 чайника дай бог продержались по году. Вот опять вернулась к этой модели и всем советую, простой и надежный, не могу сказать что шумный, греет быстро, чуть -чуть тяжелее от остальных чайников, но к этому быстро привыкаешь.</t>
  </si>
  <si>
    <t>2017-01-01</t>
  </si>
  <si>
    <t>Никаких порезов. Комфортное бритье. Быстро заряжается.</t>
  </si>
  <si>
    <t>Купили по акции(2 мес назад).Нареканий нет.Шнур достаточно длинный,удобный.Есть кнопка вкл\выкл+кнопка сматывания шнура.Покупайте,если нужет пылесос.Не хуже дорогих.  Минус:маленькие мешки для сбора пыли(но эта проблема разрешима).</t>
  </si>
  <si>
    <t>Красивая, аккуратно смотрится, хорошо готовит</t>
  </si>
  <si>
    <t>Удобный, компактный, длинный провод, не дорогой</t>
  </si>
  <si>
    <t>612</t>
  </si>
  <si>
    <t>Отличный аппарат. Перечислю только недостатки, которые не слишком доставляют неудобства:  - этой зимой не хватило нижнего предела температуры :)  - при отрицательных температурах замерзает датчик влажности (показывает состояние перед замерзанием)  - крепление выносного датчика слабовато, надо укрепить понадежней, чем просто в захваты крепления.</t>
  </si>
  <si>
    <t>Купила блинницу Tefal  в прошлом году, как раз к масленице. Думала испеку немного блинчиков, но оказалось, что печь на ней одно удовольствие. Хоть каждый день можно делать блины с разной начинкой, а точнее сразу 6 штук. Специально для этого купила блинную смесь. Потрясающе - не могу нарадоваться.</t>
  </si>
  <si>
    <t>Сколько ни мели, не получится тонкий помол, появляется запах гари из мотора. Очень неудобная крышка, кофе и на столе, и внутри под чашей! Нет герметичности! Не рекомендую.</t>
  </si>
  <si>
    <t>Функциональность, доступная цена.</t>
  </si>
  <si>
    <t>1614</t>
  </si>
  <si>
    <t>купила эту флеш-карту 2 года назад только одни положительные комментарии) отличная флешка</t>
  </si>
  <si>
    <t>1761</t>
  </si>
  <si>
    <t>Очень хороший плеер, на 5, сенсорный дисплей отзывчивый, памяти много, стандартные наушники тоже хорошие, полные басы, чёткость звука,  высокое разрешение экрана...</t>
  </si>
  <si>
    <t>2016-09-15</t>
  </si>
  <si>
    <t>Хорошая штука,мужу очень нравится. Только жаль,что она быстро заканчивается и стоит для расходника дороговато)</t>
  </si>
  <si>
    <t>Мощьная, стальной корпус, внутри металл, надёжная</t>
  </si>
  <si>
    <t>2017-01-09</t>
  </si>
  <si>
    <t>Отличный чайник, до этого были чайники других брендов, из недорогих пластиковых - год/полтора и ломались/сгорали. Этот при трех годах ежедневной работы все еще жив. К сожалений пластик у крышки уже выкипятился/стал хрупким и при очередной чистке внутренностей, крышка была выломана. Кипятил быстро, немного шумноват, есть подсветка. Запах пластика был, но выветрился достаточно быстро. Подумываю о повторной покупке.</t>
  </si>
  <si>
    <t>Пользуюсь более 2-ух месяцев - все просто супер! Шикарная трех контурная горелка! Но есть одно НО из-за которого я больше никогда бы не взял газовую стальную панель! После каждого приготовления надо её мыть и не просто мыть, а натирать и даже специальные средства для нержавеющей стали не помогают, остаются разводы, появились мелкие царапины, хотя мыли только жидкими средствами и мягкими тряпками! Лучше брать стекло-керамическую поверхность без выпирающих частей и ручек - её мыть на много легче!</t>
  </si>
  <si>
    <t>Шумный не для дома только для офиса ,неудобно устанавливать подводку для горячего воздуха,скорость на охлаждение кондиционирование одна и высокая,поэтому еще раз подчеркиваю шумит и никуда от негго не денешься!  Обязательно продам этого уродца и куплю сплит,правильно говорят что скупой платит дважды.Покупал его в 2011 в апреле за 16 000р и еше в магазине скидку дали 2000р на карту.</t>
  </si>
  <si>
    <t>Суперская приставка и с собой можно носить и к телевизору можно подключить.У меня самого она есть полгода.Мне очень нравится,претензий нет.</t>
  </si>
  <si>
    <t>Модель отличная!Играл на PSP 3008, 2008, 1008.Что хочу сказать?  PSPgo гораздо практичней, удобней(Хотя тут у кого какой взгляд), красивее и интересней нежели чем PSP 1000,2000,3000.   Хотелось бы выделить плюсы и минусы.  Плюсы:  +16 гб встроенной памяти.(Ещё можно купить Memory Stick M2 на 16 гб, и у вас будет 30 гб чистыми(2 гб памяти заблокированы программно))  +Конечно же компактность(Влезает в карман узких джинс спокойно)  +Дизайн (Когда едешь в автобусе, все на неё смотрят =3)  +Более четкий и яркий экран (Да да, я сравнивал со всеми моделями)  +Удобность (Но и 3000/2000/1000 удобны.)  +Более быстрая загрузка игр(Т.к. экран меньше, на масштабирование требуется гораздо меньше времени, нежели на других моделях(Да, сравнивал))  +Более хороший вывод изображения на экран телевизора  +BlueTooth(Можно поиграть на DualShock 3, или же соединить её с PS3)  +Прикольный звук открытия слайдера =3  Минусы:  -Слайдер(Но мне не сложно раз в год-два отдать 1000-2000 рублей на починку слайдера, это тоже самое, елси бы я купил игру на неё)  -Более меньший экран по сравнению с прошлыми моделями, но это является и плюсом  Вот вроде и все.Покупке рад.Советую покупать тем, у кого нет PSP, но если у вас уже есть PSP 1000/2000/3000, то брать не советую.(Смысл?)</t>
  </si>
  <si>
    <t>Кондиционер за свои деньги отличный, лучше многих современных моделей даже инверторного типа. Пластик качественный, работает тихо как внутренний блок, так и наружный. У данной модели кабель от внутреннего блока к наружному - это не сюрприз, а такова особенность модели кондиционера - эта модель разработана в 2009 году и снята с производства в 2012 г. Но на складах такая техника ещё есть и качество её никто не отменял - Малазийская сборка.  Советую кто ещё не приобрёл кондиционер рассмотреть данную модель.</t>
  </si>
  <si>
    <t>1857</t>
  </si>
  <si>
    <t>Игра супер и графика тоже покупайте</t>
  </si>
  <si>
    <t>Соковыжималка очень понравилась. Купили по акции. Отличный выбор. Хорошо отжимает, легко моется. Однозначно советую.</t>
  </si>
  <si>
    <t>Хорошая игра, достойная графика и сюжет.</t>
  </si>
  <si>
    <t>Это наш первый водонагреватель, уже три года работает каждое лето на время отключения горячей воды + выручает на других мелких авариях. То есть эксплуатация редкая, но всё же есть. Претензий никаких, рабочая лошадка, на семью из трёх взрослых людей - самое то. И помыться, и посуду помыть.   Решил написать отзыв, т.к. увидел, что он ещё в продаже.    Минусы:  1. Первые два года висел на стене с водой, потому что не знали, что её можно слить.  2. Нет датчика уровня, как и температуры. Иногда хочется знать, сколько воды и в каком она состоянии.    Плюсы:  1. Быстро нагревается. Пользоваться можно уже через час после включения, а через два даёт кипяточку.   2. Держит тепло. После нагрева полного бака не меньше трёх часов точно, а тёпленькая и чуть дольше.  3. Он ещё жив. Тьфу-тьфу-тьфу :) Не ожидал от "какого-то там Эталона", что он протянет столько времени.    Опять же к 2016му году проложил проводку через ванную и в туалет от автомата, т.к. раньше бросали в туалет удлинитель. Теперь пользоваться стало водонагревателем комфортнее.</t>
  </si>
  <si>
    <t>После первого же кипячения на дне чайника появились пятна, похожие на ржавчину</t>
  </si>
  <si>
    <t>Долго выбирали - сравнивали, в итоге выбрали данную модель.Очень достойный вариант. Жмет на ура.</t>
  </si>
  <si>
    <t>Купил данную модель 2 дня назад. Еще в магазине обратил внимание, на слишком небыстрый процессор. Я быстро разбираюсь в функциях техники и люблю когда программы понятно реагируют на нажатие кнопок пульта ДУ, в данной модели чувствуется явная задержка при перемещении по меню. обрадовало, что есть поддержка воспроизведения с USB устройств (также нормально работает с внешними HDD  без доп питания (см.пред. пост)), но и тут не все так хорошо, не поддерживается формат *.mkv и файлы большого размера, больше 4Gb (а где вы видели фильм в HD качестве меньшего размера?). Это что касается критики. А вообще за данную цену, приобретение стоящее, но решать все-равно каждый будет сам:). Удачи.</t>
  </si>
  <si>
    <t>298</t>
  </si>
  <si>
    <t>Я уже думал что лучше assassins creed 2 игры не придумают , но assassins creed brotherhood мне понравилась еще больше! Сюжет еще лучьше , графика примерно такая же . на 5!</t>
  </si>
  <si>
    <t>Моим наушникам уже лет 10. Много всяких пробовал, это - единственные которые отлично держатся, не сваливаются и ни чего ни где не трет и не давит при беге. Но при длительном использовании (несколько часов) все же появляется дискомфорт от ободка за ушами.  Не смотря на то что это Philips звук очень хороший.   Так же радует качество паралона на амбриушах - за 10 лет ни порвались, не начали  рассыпаться как удругих.  Качество повода и разъема очень хорошее - синтетическая оплетка на проводе - большой плюс, провод не высыхает, не дубеет  и не перетирается как на других... Проблемы с разольем  возникли только лет через 8, и то не провод перетерся а пайка отошла - срезал оплетку на разъеме, пропаял, склеил все назад - прослужили еще пару лет.   Юзал бы и дальше, но затерлись уже все... Если все так же их  делают из материалов того же качества - однозначно брать!</t>
  </si>
  <si>
    <t>Отличное качество, у меня уже две такие кастрюли.Крышки стеклянные и не могут ржаветь,а кастрюля с 5 слойным дном ,работает как чугун, швов и соединений никаких нет.Я говорю именно о кастрюлях этой фирмы.Отличное качество. Пользуюсь уже 3 года.</t>
  </si>
  <si>
    <t>Хорошая мойка ,я с женой остался доволен,вода через день внутри была вся в пыли одним словом эффект есть,если надумали то своих денег оправдывает модель</t>
  </si>
  <si>
    <t>1910</t>
  </si>
  <si>
    <t>Полностью согласен с предыдущим высказыванием!!!!очень классный телефон!</t>
  </si>
  <si>
    <t>Приобрела пылесос 2 нед назад. Из плюсов могу отнести только легкость. А минусов много. Мощность всасывания оч. слабая, хотя в хар-ке указана 370 Вт. У меня до этого сгорел другой пылесос LG с меньшей мощностью и то он сильнее всасывал. Ручку открывания корпуса легко случайно открыть, когда берешь за ручку, чтобы перенести. В принципе я его брала на дачу. И то я его бы сейчас даже туда не купила. Разница между советским и этим-легкость. и все. Хотя выбирала пылесос, чтобы мощность всасывания была большой, на замен советскому. Сменила шило на мыло. Себе выбрала другой пылесос, а этот на дачу. Дачный сезон начался.</t>
  </si>
  <si>
    <t>Этот телевизор пользую почти год.  Плюсы:  1) хорошая картинка, живые цвета, неплохой звук; конкурентов нет))  2) множество настроек и опций, качественный пульт;  3) отлично работающее шумопонижение, без которого просмотр эфирного ТВ неприятен;  Минусы:  1)"сырое" меню - настройки запрятаны далеко, часто алогично, изменить часовой пояс на внутренних часах не получается, выход из меню - настоящее мучение - четыре нажатия;  2) таймерами пользоваться крайне неудобно - НЕТ кнопки на пульте, и когда засыпаешь надо копаться в меню ОЧЕНЬ долго, а отменить/ добавить установку невозможно - это фатально!!!;  3) USB-порт сделан, но он бесполезен, видео не воспроизводит (из-за "принципиальности" Сони - борются с пиратами)));  4) динамический контраст просто бесит - изображение "плавает", бледнеет от сцены к сцене, особенно жутко на титрах, темных кадрах; и это не отключить;  5) функция Тру Синема поражает - это пресет очень "бледных" настроек изображения и ничего более;  6) выбранный ранее формат экрана телек не запоминает, и вы будете на каждом канале вновь его устанавливать - это воще ни в какие ворота !!!;  7) крайне необходим отдельный антенный вход для приема цифрового ТВ, ведь при работе от кабельного ТВ и просмотре цифры с эфира приходится каждый раз перетыкать их кабели - как инженеры не подумали об этом?!</t>
  </si>
  <si>
    <t>впервые увидел эту модель году в 2002 у знакомых и тогда мне очень понравился, потом маме подарил такую же модель потом себе купил, работал супер без нареканий и протечек, правда мне его сломали...(умышленно) потом были тефали и филипсы - горели и текли, сейчас опять спустя много лет хочу такую же модель, хоть и древняя, но простая и надежная, берите и не жалейте.. ведь не зря эта модель так долго в производстве...</t>
  </si>
  <si>
    <t>Здравствуйте всем! Хочу сказать что купил этот магнитофон месяц назад поставил сам на акустику Pionner! Ребята лично для меня больше и ничего не надо. Магнитофон отличный, за такую цену все есть, читает любые форматы. Едешь в пробке и смотришь DVD, я кайфую. В магазине продавец не то чтобы отговаривал, но говорил, что Pionner или JVC лучше. Ну, конечно, может они и лучше, но они были на порядок дороже. Единственным его аргументом, чем они лучше Supra, он сказал, что Supra через 3 месяца сдохнет и играть не будет как прежде. Я в душе посмеялся, потому что скорее всего у меня быстрее машина сдохнет, чем магнитофон!)))В общем даже не парьтесь, берите этот магнитофон и наслаждайтесь.))) Не забывайте нужный разъем и читать инструкцию при самостоятельной установке.</t>
  </si>
  <si>
    <t>Удобный, простой в обращении прибор. Контейнер для сбора пыли - снял, помыл, не выходя из дома. И мешки для сбора пыли тоже есть, для разнообразия. Очень мощный!</t>
  </si>
  <si>
    <t>2016-09-12</t>
  </si>
  <si>
    <t>1) Стоит дешево - работает хорошо. Это главное качество данного прибора. Молю на ней не только кофе - делаю муку (из семян льна, из орехов, из овсянки) - быстро и в меру мелко. Тоже самое с сахарной пудрой. Плюс - очень правильно "ложится в руку" - благодаря изогнутой форме и покрытию - не выскальзывает, даже если руки влажные. Не шумит как перфоратор :)  2) Если не ожидаете, что бюджетная кофемолка будет творить чудеса как профессиональный аппарат за десятки тысяч - то недостатков нет.  3) Цена = качество.</t>
  </si>
  <si>
    <t>Хорошая игра, графика так себе, геймплей напоминает 2 и 3 части Call of Duty. Игра на любителя, некоторым понравится, некоторым нет.</t>
  </si>
  <si>
    <t>2015-06-05</t>
  </si>
  <si>
    <t>Отличная плита! Качество изготовления, дизайн радуют. Ощущение качественной вещи во всех деталях.  Огромный плюс этой плиты-  продвинутая духовка. Огромное количество режимов. Выпечка, мясо, запеченая картошка, пицца, - все получается здорово. Печет равномерно. Таймер выключения духовки- очень удобно. Варочную поверхность специально выбирали без индукции чтобы не заморачиваться с посудой, без изысков конечно, но все что нужно есть. И еще один очень важный для нас момент- после часа работы духовки при максимальной температуре, стекло остается теплым, т.е. за ребенка можно не переживать!!!!</t>
  </si>
  <si>
    <t>Купили чайник пол года назад. Чай пить любим, поэтому работает постоянно. Никаких проблем за это время не было. Считаю, что за такую цену отличный выбор и внешне и функционально.</t>
  </si>
  <si>
    <t>Дополнение красивое, вполне годится для разнообразия пред выходом BF3.</t>
  </si>
  <si>
    <t>Проработал чуть больше 2 месяцев. В момент приготовления бутербродов- щелчок- и нижняя ручка уже отдельная деталь тостера. Приобретать новый желания не возникло.</t>
  </si>
  <si>
    <t>отличный чайник у нас на работе 5 лет, уже немного мы его ушатали, но он работает. я поражаюсь, ладно бы дома столько работать, так на работе нас 16 человек. Супер живучий. Правда не уверен, что качество с тех пор не упало.</t>
  </si>
  <si>
    <t>Всем доброго дня! Мой отзыв, скорее предостережение перед покупкой данного агрегата! Пользуюсь таким пылесосом около трех лет и минусов в нем больше, чем плюсов. 1) очень тяжелый, не слишком маневренный, 2) после сухой чистки одного ковра приходится промывать около 10 минут, 3) в самом начале использования мощность всасывания была хорошей, поднимал угол ковра, а сейчас такое ощущение, что просто гладишь, 4) плохо стал сматывать шнур, 5) влажной уборкой вообще перестала пользоваться, легче тряпку отполоскать, чем собирать пылесос, а потом промывать все фильтры, щетку и шланги, 6) а еще его после каждого использования необходимо хорошо просушить иначе появится затхлость, 7) занимает слишком много места. По моему мнению качество оставляет желать лучшего, особенно для немецкого пылесоса. Ни за что не стала бы его покупать, особенно за такие деньги.</t>
  </si>
  <si>
    <t>Очень удобный штатив. Высокий, если я 170 см, то он делается выше еще см так на 10 точно. Порадовал дизайн и коричневый цвет. Устойчивый, сразу видно качественно сделано.</t>
  </si>
  <si>
    <t>Удобная кисточка</t>
  </si>
  <si>
    <t>Рис готовит 3 часа. Очень слабая. Манты делал 1 час - не готовы. Мыть - очень трудно и долго. Категорически - не рекомендую.</t>
  </si>
  <si>
    <t>Пользуюсь мультей не так давно, но уже успела попробовать все функции. Нравится всё. А как она печет бисквиииит.. И готовит суп!!!) Словами не передать! Работает идеально. Советую всем.</t>
  </si>
  <si>
    <t>1131</t>
  </si>
  <si>
    <t>Приобрёл телефон для работы на смену старому, морально устаревшему аппарату. После включения в сеть автоматически установилась дата, время.  Определитель работает на УРА (определяет не только номера сторонних организаций, но и внутренние добавочные). Имеется такая же проблема как и у отзыва от 16.01.2010 из Москвы. + Есть не большая проблема в плане диалога с собеседником ведущего разговор на громкой связи, а именно появляется эхо, что искажает весь разговор. В остальном телефон с моей стороны нареканий не имеет. Железно - 4 балла за товар.</t>
  </si>
  <si>
    <t>Пользуемся около трёх месяцев , нареканий пока нет . Хороший функциональный и стильный тостер , оценили обжарку с одной стороны ( при выборе в магазине эта функция была только у этой модели ) . Обжаривает равномерно , тосты получаются хрустящие и вкусные . Цена конечно не дешёвая , но я не жалею о покупке.</t>
  </si>
  <si>
    <t>Чайник супер, нареканий нет, смотрится красиво, работает безотказно. Своих денег стоит!</t>
  </si>
  <si>
    <t>2014-08-03</t>
  </si>
  <si>
    <t>Говорят, главное правило при выборе, это цена-качество. В случае этого холодильника качество многократно превосходит цену. Пользуюсь три месяца, ничего не разочаровало: удобно, красиво, стильно, вместимо и тихо!</t>
  </si>
  <si>
    <t>Купила себе на день рождения в январе 2011. Для телевизора просто супер, на голове сидят отлично, не падают, уши не жмут. Из всех что у меня были раньше - эти самые лучшие. Аккумуляторов хватает на два дня, и это при том, что я почти целый день их не выключаю.</t>
  </si>
  <si>
    <t>TV супер!Если можно почаще обновления ПО.Спасибо!</t>
  </si>
  <si>
    <t>Кофемолка отличная! Работает тихо! Можно выставлять необходимый помол. Все просто и понятно. Легко чистится. Для дома оптимальный вариант.</t>
  </si>
  <si>
    <t>1424</t>
  </si>
  <si>
    <t>КЛАСНАЯ      ИГРА</t>
  </si>
  <si>
    <t>Простой в использовании и не запариваешься в приготовлении. Очень вкусные получаются сэндвичи, готовлю утром мужу с удовольствием:)</t>
  </si>
  <si>
    <t>1892</t>
  </si>
  <si>
    <t>Друзья мы переплачиваем только за то что это Apple.Была бы это Nokia она бы стоила не больше 15.000 рублей</t>
  </si>
  <si>
    <t>Шумит сильно. На тене образовалась ржавчина.</t>
  </si>
  <si>
    <t>869</t>
  </si>
  <si>
    <t>Я на форуме парикмахеров узнала о стригущей машинке бэйбилис. Девочки отзывались хорошо, говорили что безупречно работает. Решила я помониторить, узнать где сколько стоит. Самую низкую цена нашла здесь на сайте, плюс какие-то бонусы капают на счет. В общем еще два месяца назад купила. С тех пор подстригла мужа три раза, качество стрижки только радует, никаких антенн не остается, шум минимальный. Лезвия можно свободно промывать под водой, к тому же еще и самозатачивающиеся, можно не переживать, что затупятся. Парикмахеры были правы, машинка действительно классная. Узенький корпус, легусенькая.</t>
  </si>
  <si>
    <t>Прочитал отзывы, ранее ничем подобным не пользовался, приобрел и за вечер почти 3 кг апельсинов с женой трамбанули путем перегонки их в сок, выход более 50 %, почти 60. Остались очень довольны, рекомендую. Имеется реверс, 2 насадки, несколько шумновата. О надежности говорить пока рано.</t>
  </si>
  <si>
    <t>Лучший товар 2016 года для меня – это Электрочайник Bork K711 он привлек меня своим оригинальным дизайном.  Хороший компактный чайник,без посторонних запахов,довольно быстро закипает. Давольна покупкой советую. кто муже это 2 такой чайник первый покупали как только он поступил в продажу уже непомню сколько лет назад..</t>
  </si>
  <si>
    <t>Удобна в управлении, быстро нагревает воду, шумит не сильнее стационарного ПК и то при работе на 7-9 позиции. Отлично вписалась в интерьер маленькой кухни.  Единственный недостаток - в комплекте не было инструкции на русском языке, пришлось искать в интернете.</t>
  </si>
  <si>
    <t>Комплектация супер,сразу и гонки опробовал и палкой-джойстиком помахал.В общем доволен. Порадовал открывающийся привод,игры на уровне,не виснет,сильно не греется даже после 5 часов игры. Джойстики качественные,заряд держат отлично,заряжаю редко. Советую сразу докупить дополнительные move джойстики и танцевалку ( Just Dance например)-вечеринка всей семьей обеспечена.</t>
  </si>
  <si>
    <t>3168</t>
  </si>
  <si>
    <t>прикольный ноутник,все работает четко и тихо,брал год назад,для такой цены самое то,единственное когда хочеться по играть в какую нить игрушку то приходиться искать годик по древнее)))а для интернета фильмов для работы итд самое то!!!</t>
  </si>
  <si>
    <t>А мне понравились весы. Дизайн стильный, ненавязчивый. Включаются легко, вес показывают точно. Надо только на ровную поверхность установить и не таскать их по всему дому. Ничего лишнего нет. Замечательная вещь, очень довольна!</t>
  </si>
  <si>
    <t>Телефон Nokia 1680c для своей стоимости примерно 2000рублей в общем не плохой телефон . При звонке слышимость хорошая , на другом конце линии кому звонишь тоже никто не жаловался на шум и прочие звуки . А вот динамик для мелодий громкий но не очень хороший , если сделать на полную громкость то давит на слух ! если часто звонишь , то мне лично хватает на 3-4 дня . Не хватает функции Bluetouth чтобы передать мелодию или фотку , но это бюджетный телефон и по идее предназначение его для звоноков , а это за можно поставить оценку 5 баллов из 5-ти! Пользуюсь 3 месяца глюков не наблюдал пока ещё! громкая связь неплохо , оценка 4 балла из 5ти за резкзсть динамика ! в общем кому нужен телефон только чтобы звонить , 1680 как раз подойдёт для этого !</t>
  </si>
  <si>
    <t>2565</t>
  </si>
  <si>
    <t>Самсунги плееры делать не научились.  У меня более младшей модели через 9 месяцев сдох. На некоторых песнях заедал и не всегда включался.  Отдала по гарантии. Сделали. Сейчас при нажатии кнопки блокировки шипит и вырубается.  Да и аккумика стало хватать на 2 часа максимум при полной зарядке.  Так что не советую такой плеер покупать.</t>
  </si>
  <si>
    <t>Телефон хороший, динамик неплохой, звук хороший и слышно хорошо, этот телефон для непродолжительного пользования   если покупать, то только ребенку в школу</t>
  </si>
  <si>
    <t>В мобильном телефоне Samsung La Fleur S7070,учтены все потребности,девушки/женщины ХХI века.</t>
  </si>
  <si>
    <t>Купил вчера плеер, звук хороший, люди, у кого шипит радио, возьмите родные наушники и поднимите провод повыше, радио отличное!</t>
  </si>
  <si>
    <t>Качество отличное. Долго сомневалась покупать ли, но купив не пожалела. Для семьи из 3-4 человек самое что надо, объем 10 л. Гусятница + Крышка-сковорода может использоваться отдельно для жарки на плите и для запекания в духовке. А в гусятнице получается отменная курица, плов, соус,фаршированный перец и множество других блюд. Мне повезло, купила по акции. Цена кусается, но эта вещь 2 в 1 того стоит!</t>
  </si>
  <si>
    <t>Быстрая,качественная укладка. Даже, если ты не профессионал в этом деле.  Мощный, удобный. Тяжеловат, по сравнению с обычным феном, но довольно быстро привыкаешь.</t>
  </si>
  <si>
    <t>Это все же полноценная духовка, а потом уже микроволновка.Духовка и микроволновка в одном лице! Этим она меня и подкупила. Ощутимо экономит место на кухне и в то же время у меня есть оба необходимых прибора. Для того чтобы микроволновка превратилась в духовку нужно всего лишь поменять поддон. Поддоны выполнены из разных материалов – 2 для духовки и один для микроволновки. Удобные утапливаемые ручки регулировки. Окончил готовку, вдавил регуляторы и красота! Духовка и микроволновка регулируются раздельно, это удобно и уж точно ничего не попутаешь. Лучше, чем когда кучу функций вешают на одну кнопку. Внутри много места. Сюда влезет не только курица, но и большой гусь, которого можно быстренько запечь в микроволновке, а потом сделать румяную корочку в духовке! Понравилось что максимум у микроволновки 900 ватт (это мощная микроволновка). У духовки тоже много удобных режимов, быстрый разогрев. Очень хорошая подсветка внутри, действительно всё видно. Конечно же, удобнейшая вещь часы и таймер (и для микроволновки и для духовки). Прибор полезный, красивый и с ним легко управляться даже тем, кто боится новомодной техники.</t>
  </si>
  <si>
    <t>669</t>
  </si>
  <si>
    <t>аппарат - супер, то что доктор прописал...</t>
  </si>
  <si>
    <t>Подарила мч на 23 февраля год назад,никаких нареканий.работает отлично,ничего не ломалось!!!за такие деньги лучше не найти!</t>
  </si>
  <si>
    <t>1651</t>
  </si>
  <si>
    <t>Купил эту антенну, заплатил за установку (сам не стал ставить). Так он не ловит ни одного канала! Пробовал подъезжать ближе к телебашне, так там пару каналов ловит, но качество никакое. Не советую покупать, не стоит она этих денег. Знакомый купил обычную китайскую за 400р и подарил мне, чтоб я не расстраивался. Так китайская ловит!</t>
  </si>
  <si>
    <t>Очень хороший чайник. И главное стильный, всем нравится. О потраченных деньгах не жалею.</t>
  </si>
  <si>
    <t>Монитор понравился,хорошие углы обзора,контраст высокий цвета насыщенные,берите не пожалеете.</t>
  </si>
  <si>
    <t>1163</t>
  </si>
  <si>
    <t>Все радует,не глючит. Минуса нашла два: 1) кнопка блокировки; 2) флешка глубоко. Что касается функционала,тут у каждого свои требования. Скажу только,что все функции работают прекрасно!</t>
  </si>
  <si>
    <t>Через пол года с начала эксплуатации (пекли правда часто, раз в 2-3 дня) при вращении лопасти возник скрип. Через год сгорел двигатель, вращающий лопасть. Т.к.. эксплуатировать после покупки начали не сразу, гарантия уже прошла.  Цена дорогая, дизайн хороший, а качество среднее.</t>
  </si>
  <si>
    <t>Не давит вообще, играет хорошо, долбит хорошо, но давления нет. Дал на него 350 rms трясется все норм, хочу давки!</t>
  </si>
  <si>
    <t>Недостатки: нет указателя температуры воды на корпусе</t>
  </si>
  <si>
    <t>Купил для подарка. Действительно лучшее соотношение цена-качество. Получается выгоднее купить эту рамку и карту памяти, чем аналог со встроенной памятью. При покупке взял с собой в магазин SD с фотографиями для проверки. Прочитав отзыв Сергея не стал перепрошивать))) Кстати, в ближайшем магазине взял последнюю.</t>
  </si>
  <si>
    <t>Щетка супер, чистит здорово, вначале чистила с отбеливающей пастой, но потом стало очень больно, чувствительность повысилась. Пасту поменяла. Взяла для чувствительных зубов и стало все прекрасно)))</t>
  </si>
  <si>
    <t>811</t>
  </si>
  <si>
    <t>всем рекомендую</t>
  </si>
  <si>
    <t>1774</t>
  </si>
  <si>
    <t>Компьютер шустрый, слов нет, но дополнительно присутствует только одна ячейка на материнской плате для подключения доп. устройств, не за что закрепить второй жесткий диск.</t>
  </si>
  <si>
    <t>Телевизор приобрел несколько месяцев назад.   Недостатков в функционале не вижу. Немного неудобный пульт (громоздкая клавиша меню, которая так и норовит нажаться).  В целом вполне достойная покупка.  Огорчил правда тот факт, что указанные в описании функции "Картинка в картинке" и "Картинка и картинка" отсутствуют!</t>
  </si>
  <si>
    <t>Купил сегодня данное издание, начитавшийся комментариев решил проверить достал а там хвост поломан в 1 месте, как уже и было написано, что хвост сделан из очень плохого материала, благо сразу поменяли решил открыть при продавце там хвост сломан в двух местах.Деньги вернули сразу, моё мнение не покупайте это издание, потому что там коробка устроена так, что под хвост места толком нет и он обязательно сломается. Содержание само порадовало, но вот лицехват своими поломками нет</t>
  </si>
  <si>
    <t>Всем привет!Теликом доволен,единственный минус для меня-USB только для сервиса.Но я слышал,что есть какие-то программы,которые устанавливаешь и пользуешься USB также для просмотра видео.Может кто-то что-то конкретное знает и может проконсультировать?Заранее благодарен!</t>
  </si>
  <si>
    <t>Довольно оригинальная по дизайну модель. Из-за этого ее и взяли. Красивый цвет панели, ручки сделаны по старину и расположены сбоку. Удобное расположение конфорок нестандартного размера - впереди. К положению рукояток сбоку как и к механическому розжигу некоторое время пришлось в начале привыкать, но это нельзя назвать каким-то недостатком, так как при покупке данные моменты изначально были понятны. В целом все работает очень хорошо, придраться не к чему.</t>
  </si>
  <si>
    <t>Покупали году в 2012 в М-видео, как недорогой вариант на съемную квартиру.Холодильник достаточно тихий, вместительный, очень большой и вместительный ящик для овощей и фруктов, морозильную камеру размораживала не чаще раза в год. До настоящего времени работает  на отлично. Хороший, недорогой вариант без всяких наворотов.</t>
  </si>
  <si>
    <t>834</t>
  </si>
  <si>
    <t>Фену сто лет в обед)) как говорится....покупала лет 7 назад точно....работает на ура и помоему здаваться не собирается.  правда 7 лет назад покупала его</t>
  </si>
  <si>
    <t>Могу сказать, что о покупке совсем не пожалела...Windows 7 для меня-новинка, раньше пользовалась XP, но сейчас вполне довольна!  Сам ноут- не дорогой и вполне мощный для своей ценовой категории...  Единственное, что сильно расстроило меня-отсутствие Bluetooth и Web-камеры :( В остальном всё устраивает!   Диагональ дисплея тоже удобная, но я лично хотела еще меньше... Но и 14.0"- это нормально (не много и не мало!).  Купила Yota Jingle-очень удобно и комфортно, скорость- почти как на домашнем интернете.  В общем- ноутбук хороший! Если нет возможности купите более дорогой, то этот-лучший вариант!</t>
  </si>
  <si>
    <t>только ПЛЮС !!!!!</t>
  </si>
  <si>
    <t>Купил себе эту плазму совсем не давно,пользуюсь не долго но плазма уже успела себя проявить с хорошей стороны,показывает красивую картинку краски не сливаются,кабельным не пользовался пока,только фильмы по Блю-Рею смотрел.  Удобный и красивый,хорошо влился в интерьер комнаты.  Доволен своим телеком вполне.</t>
  </si>
  <si>
    <t>Купила такой пару недель назад. очень довольна. Единственное, на 64 бита не все программы устанавливаются, приходится искать подходящие.</t>
  </si>
  <si>
    <t>Да... первое впечатление-не очень..., но спустя 10 минут хватает даже просто пузырьков!!! С каждым разом замечаешь новые плюсы, отлично расслабляет.    И насчет насадок. Да они не вращаются, но это не минус, потому, что для того чтобы обработать кожу нужны большие обороты (в салонах педикюра), а в домашних условиях небезопасно, и хватит просто пошеркать распаренную мозоль))).   Пользовались 6 человек, всем понравилось. Твердая Пятерка!!!</t>
  </si>
  <si>
    <t>Купили 11 августа 2009 года на Ленина в Кемерово этот аппарат. Одним из требования к аппарату было наличие отечественного стандарта АОН. Продавец нас заверил, что такая функция в телефоне имеется. Однако телефон никакие номера не определяет. АТС достаточно новая, цифровая. До Моторолы стоял Тексет. Номера определял. За функцию определения номера я плачу владельцу АТС, так что она подключена. Возможно, необходимо настроить АОН. Но никаких сведений о настройке АОН в инструкции к телефону не имеется. В линию телефон привычных сигналов отечественных определителей не посылает.</t>
  </si>
  <si>
    <t>Купила плеер 2 года назад и до сих пор пользуюсь с удовольствием.  При покупке сразу же остановилась на фирме Explay,  хотелось воспроизведения видео, графических и текстовых файлов, достаточного объема памяти, сенсор тоже был в плюс. Поэтому данный плеер меня вполне устроил.  Да, многие говорили, что он долго не продержится, будет зависать..А вот и нет. Глючил крайне редко, пару раз в год, в основном при перемотке видео. Сейчас стала замечать, что стал садиться быстрее. Но звук, изображение не ухудшились.  Так что, извини уж, качество работы плеера зависит и от вас..</t>
  </si>
  <si>
    <t>Электрическая варочная панель от Bosch оборудована конфорками супер-быстрого нагрева, которые помогут существенно сократить время приготовления ваших любимых блюд. Удобное сенсорное управление с уровнем нагрева от 0 до 9 (с шагом 0,5) позволит точно и чётко выставлять оптимальную температуру приготовления. На варочной панели используются две двухконтурные конфорки, под разные типы посуды. Стеклокерамическая поверхность легко очищается от налёта в процессе приготовления. Такие функции, как защита от детей и таймер, позволят вам максимально эффективно и безопасно эксплуатировать эту панель.</t>
  </si>
  <si>
    <t>А вообще то покопавшись в телеке и почитав в течении 10 мин. инструкцию, я понял, что это вовсе не глюк. После 45 мин. начинается обновление ПО в режиме ожидания. Действительно ровно после 45 мин телек включается, происходит поиск нового ПО в "эфире" и если найдено начинается установка, а если не найдено, то телек выключается. Чтобы избавиться сделайте следующее. Нажмите Меню, выберете Поддержка, далее - обновление ПО. Далее - обновление в реж. ожидания. И выберите - Выкл. И все. Так что перед тем как везти в гарантийку - читайте инструкции. Удачи!</t>
  </si>
  <si>
    <t>Михаил, в Windows XP нет поддержки DirectX 10 и 11 версий.  Значит новейшие игры поддерживающие DirectX 10/11 не будут использовать вершинные шейдеры 5 версии и аппаратную теселерацию.</t>
  </si>
  <si>
    <t>Куплен сегодня. Дизайн супер! Качество изготовления на отлично. Полный чайник кипит 6,5 минут,а это 1,8-1,9 литра воды. Шумит не сильно! Из минусов не очень удобная кнопка включения.</t>
  </si>
  <si>
    <t>2016-10-31</t>
  </si>
  <si>
    <t>пока не нашла</t>
  </si>
  <si>
    <t>Пользуюсь ей уже больше года, все устраивает, чистит в сто раз лучше обычных щеток, никогда больше не перейду на обычную, ну, только если вдруг электричество отключат не дай Бог )))</t>
  </si>
  <si>
    <t>2801</t>
  </si>
  <si>
    <t>купил этот кондиционер неделю назад, мне его установили, а он не включается.</t>
  </si>
  <si>
    <t>Телефон неплохой, НО через 2 месяца использования появились глюки. Сильное искажение звука при разговоре, ни я ничего не слышу ни меня не слышно. Прерывается связь во время разговора,  стал часто теряет сеть. Пробывал менять симку, тоже самое. Поеду менять!</t>
  </si>
  <si>
    <t>1172</t>
  </si>
  <si>
    <t>Это - замечательный шутер. Отличное времяпровождение. В этой игре гармонично сочетается все. Графика 10/10. Игра сделана очень отлично. ОНА АБСОЛЮТНО НЕ ТОРМОЗИТ НА МОЕМ КОМПЬЮТЕРЕ! Наконец-то отечественный разработчик научился делать, по-настоящему хорошие игры. 10/10  P.S. Музыка в этой игре превосходна</t>
  </si>
  <si>
    <t>Приобрёл сравнительно недавно, сразу же переустановил операционную систему на Windows Seven, что повлекло за собой поиск адекватных драйверов для видеокарты, коих на официальном сайте для этой модели не было и в помине. Драйвера для похожих машин просто отказывались устанавливаться. После определённых "танцев с бубном", драйвера-таки удалось нарыть на каком-то из буржуйских сайтов и установить. Качество изображения порадовало, так же как и скорость работы ноутбука. Устройство вообще производило приятное впечатление пока не перестало включаться. Первой время перед "смертью", устройство, которое работало абсолютно неслышно до этого, стало издавать непонятный свистящий звук, исходящий от кулера в задней части корпуса. Как по мановению волшебной палочки, через несколько дней стал трещать винчестер, после чего устройство благополучно издохло. Диагностика показала, что благополучно сгорел северный мост на материнской плате, один из основных элементов чипсета компьютера, отвечающий за работу с процессором, памятью и видеоадаптером. Отличный ноутбук. Жалко только, пал смертью храбрых очень быстро.</t>
  </si>
  <si>
    <t>Отлично, быстро режит, измельчает .</t>
  </si>
  <si>
    <t>3083</t>
  </si>
  <si>
    <t>Вытяжка стильная, мы её встроили прямо под шкаф. Вытягивает очень хорошо.&amp;nbsp;</t>
  </si>
  <si>
    <t>вчера полазил.  все замечательно. как ни странно-стоит семерка. хом.х64.  из минусов: действительно угол обзора небольшой. но это ноутбук. отсутствие блютуса и камеры не считаю за какой-то минус(все равно не пользуюсь).   с семеркой небольшие проблемы. онлайн игры некоторые не идут. но можно решить скачав ХР мод или просто почитав форумы. всякие даймонтулз и прочее тоже не совместимы, но, думаю, надо просто поискать лучше. нагрева не заметил, хотя был включен всего часа три.  плюсов много. начиная от полной раскладки(это все-таки удобно) и хорошей видюхи, до удобства в переноске (16:9 формат по-моему). удобно, приятно, быстро.  в общем, достойный аппарат(несмотря на то, что это aser). да еще и за такую цену!</t>
  </si>
  <si>
    <t>купил водонагреватель проточный Etalon 500 душ+кран установил как положено (подвел отдельную линию электропроводки). На время летних отключений он очень хорошо подходит, воду нагревает хорошо при нормальном напоре!!! помыться можно как раз для таких случаев.</t>
  </si>
  <si>
    <t>Отличный телевизор! Оказалось, в этом телевизоре есть преобразование изображения 2D в 3D. А также там есть технология SMART TV !!!</t>
  </si>
  <si>
    <t>Недавно приобрели посудомоечную машину Electrolux, очень довольна! Столовую посуду и приборы моет отлично, быстро, чисто. Шума машинки не слышу. Весь день копится грязная посуда, ложусь спать и включаю посудомойку, вообще не слышно!</t>
  </si>
  <si>
    <t>Купил ее месяц назад, хлеб получается отличный, не в сравнение с магазинным, с тех пор в магазине хлеб еще не покупал. Хорошая вещь, советую.</t>
  </si>
  <si>
    <t>2017-02-09</t>
  </si>
  <si>
    <t>Качественные наушники. Чистый звук. Удобно слушать музыку с компьютера. Особенно нравится шнур. Он из ткани, очень надежен, уверен не порвется.</t>
  </si>
  <si>
    <t>Покупали 6 лет назад. До сих пор работает без каких-либо нареканий. Отлично морозит, что для нас важно, тк в конце лета в сезон заготовок приходится очень много замораживать продуктов (ягоды, зелень, грибы). НЕ требует частой разморозки. Единственно не так давно порвалась резинка, но это все решаемо.</t>
  </si>
  <si>
    <t>Пока в нём воду с лимоном не прокипятила, запах противный не ушёл. В пользовании не удобный. Налёт внутри смывается тряпкой тяжело. Дважды было, что без причины отключался, набираю воду, полный объём. Ставлю включаю, а он выключается. Ситечко плохое..сборка не качественная, подтекает вода.</t>
  </si>
  <si>
    <t>Купил этот кондиционер, установили ребята, которых в М-Видео посоветовали. Всё прекрасно!!! У меня уже был сплит Самсунг семёрка корейской сборки. Но маловато было, А этого хватает на комнату в 16 метров с потолками 3.2 метра (сталинка). Очень доволен !!!</t>
  </si>
  <si>
    <t>Ноут очень надёжен.Но ,для начала,ставится W7 и дрова с оф.сайта.Работает всё отлично.По поводу камеры-лечится элементарно установкой дров по коду камеры.</t>
  </si>
  <si>
    <t>это коммуникатор, а не телефон, поэтому не забывайте снимать задачи в диспетчере перестанет зависать.</t>
  </si>
  <si>
    <t>Вместимость хорошая для воды.Закипает быстро.</t>
  </si>
  <si>
    <t>Купили только вчера. Сделала пюре за 1 минуту. Пока все нравится, буду смотреть дальше. Надеюсь, что разочарований не будет.  Понравилось, что большая чаша и есть насадки для терок.</t>
  </si>
  <si>
    <t>магнитола у меня 2-ой год, отвалилось почти все, осталось радио и usb... подключить магнитолу к сотовому телефону изначально вообще не удалось...больше никогда себе не куплю магнитолы этой фирмы...</t>
  </si>
  <si>
    <t>На мой взгляд игра развивает скорости реакции и сама по себе очень увлекательная. Сама не заметила как прошла до конца и в последствии не отказываю себе в удовольствии отдыхать играя в нее по новой.</t>
  </si>
  <si>
    <t>Абсолютно не понравился! Присоединяюсь ко всем вышеописанным минусам. Плюс ко всему в процессе работы постоянно вылетает насадка! Да и сами насадки неудобные! Это какой-то ужас!</t>
  </si>
  <si>
    <t>Используется уже второй месяц. Делаю с ним коктейли, измельчаю овощи для супов, салатов, рагу. Никогда еще приготовление борща не было таким быстрым. А эта вечная проблема с луком (есть у нас в семье его противники) вообще отпала, потому что лук измельчается так мелко, что его присутствие в еде никому не мешает.  Я очень довольна приобретением.</t>
  </si>
  <si>
    <t>Приобрел вчера.... и вчера же пожалел об этом. В принципе - уже имеется несколько штативов для разных целей, в т.ч. и весьма "серьёзные". Но нужен был именно такой - для конкретной цели: чтобы иногда ставить мыльницу в режим видео, при этом - высота не менее 140 и вес - как можно легче. Всё вроде совпало. И цена. Но...    Головка штатива спроектирована и отштампована с заложенным браком. При съёмке, камера всегда будет под наклоном 3-5 градусов по часовой стрелке!. Это происходит из-за площадки, откидывающейся на 90 градусов - при фиксации её осевого винта, неправильно нанесённые "зубчики" не дают ей возможности встать полностью горизонтально. "Не айс!"</t>
  </si>
  <si>
    <t>2498</t>
  </si>
  <si>
    <t>Игра просто мега взрыв!!!Покупать всем срочно, тем более она только на плойке, на других платформах вы её не найдёте, эта игра должна быть у каждого в коллекции!!!  Графика: 5  Сюжет: 5  Управление: 5</t>
  </si>
  <si>
    <t>1748</t>
  </si>
  <si>
    <t>Замечательная вещь, которая подходит и взрослым и детям. Очень удобна в применении, те кто думаю что это обычная приставка для "игрулек в игры" очень сильно ошибаются. Это тот же самый компьютер, в миниатюре. Проигрыватель музыки, видео , фото и т.д. Очень удобный интернет для приставки. Можно написать много чудесного о этом чуде. Так что покупайте себе и детям, будете очень довольны ну и дети скажут вам спасибо.</t>
  </si>
  <si>
    <t>1112</t>
  </si>
  <si>
    <t>Вот как уже 3 года являюсь обладателем этой консоли и до сих пор не нарадуюсь.В ней у меня и музыка и видео,и,конечно же,игры.Вот только жесткий диск давно пора уже сменить,ведь он только на 80 гигов у меня.Берите.</t>
  </si>
  <si>
    <t>Стирает действительно тихо и очень качественно.</t>
  </si>
  <si>
    <t>Качественный товар</t>
  </si>
  <si>
    <t>Купили телефон около месяца назад, особых нареканий не вызвал, но...  во-первых смутил динамик, точнее качество звучания звука,нету чистоты, с каким-то сипением, после соньки это особо ощутимо), хотя громкость теперь действительно стал хорошей.  во-вторых не очень удобная навигационная клавиша, но со временем пальцы привыкают.  из плюсов - отличный строгий дизайн, приятно и удобно лежит в руке.  итого - хороший телефон для людей без особых претензий.</t>
  </si>
  <si>
    <t>904</t>
  </si>
  <si>
    <t>мощный, тихий, достаточно легкий и маневренный</t>
  </si>
  <si>
    <t>Именно стильно! А часы там и ненужны. в кухне уже столько техники и везде часы! и все идут не синхронно...</t>
  </si>
  <si>
    <t>Один раз подстриглись и поняли что с ней только нервы тратить, т.к. забивается насадка и после каждой проводки надо выковыривать волосы из нее.</t>
  </si>
  <si>
    <t>618</t>
  </si>
  <si>
    <t>Завтра собираюсь купить такой плеер.Хотелось простой и дешёвый.И вот нашёлся кандидат,мне кажется отличная модель,комментарии в основном хорошие.Надеюсь не подведёт!!!И расцветки просто супер!!!</t>
  </si>
  <si>
    <t>Купили в офис 5 штук, надо будет ещё, всем сотрудникам теперь такой захотелось. Хорошая записная книжка, ввод по-русски, поиск тоже по-русски. Латиницей тоже можно. Очень простое управление. А главное - есть кнопа Redial - дозвон в самую занятую контору не проблема.</t>
  </si>
  <si>
    <t xml:space="preserve">Дизайн, мощность, </t>
  </si>
  <si>
    <t>Бесшумный(почти не слышно) НО плохо охлаждает, за ночь он охладил помещение с 32'С до 27'С градусов при работе на 3-ей скорости вентилятора и температуре 16'С советую подумать прежде чем купить</t>
  </si>
  <si>
    <t>Телевизор шикарный, смотришь как будто находишься в кинотеатре, а из-за выбора сцен футбол и концерт смотреть одно удовольствие</t>
  </si>
  <si>
    <t>Через 2 года потек и крышка развалилсь, собрана по кусочкам и больше не открывается. Течь устранена следующим образом: берется болтик маленький из нержавейки 4мм, наматывается нить сантехническая и закручивается изнутри чайника в отверстие крепление смотрового стекла на полгода хватает. Крышку не трогаем, объем воды определяется по весу, шумит как самолет.</t>
  </si>
  <si>
    <t>2228</t>
  </si>
  <si>
    <t>Камера снимает четко, экран четкий, звук чистый, никаких косяков нет Берите, реальный телефон</t>
  </si>
  <si>
    <t>2544</t>
  </si>
  <si>
    <t>Описание товара не соотвествует самому товару.  Продается карта оплаты, а в описании об этом ни слова. Желательно удалить всю ту ахинею, что там написано (т.к. покупающий карту оплаты для игры уже знает, что это за игра), и написать РЕАЛЬНОЕ описание товара - на сколько дней карта, к каким серверам она подходит и т.д. и т.п.    P.s. В комплекте карточка на 60 дней доступа online - в комплекте чего? Вы её продаете. Это всё остальное *в комплекте*, а карта - это основной товар.</t>
  </si>
  <si>
    <t>1420</t>
  </si>
  <si>
    <t>Так и думал что фигня. Спасибо тебе добрый человек за отзыв - уберег!</t>
  </si>
  <si>
    <t>Пароварка Philips HD 9140, поначалу работала хорошо, теперь при включении постоянно мигает светодиод REFILL и прерывисто пищит звуковой сигнал, при этом сам пароварка работает, то есть пар нагревается и программы функционируют.  Пароварка куплена в М Видео полтора месяца назад. В мануале по пароварке ничего к сожалению путного не написано.</t>
  </si>
  <si>
    <t>Пользуемся более года. Постоянно протекает вода. Из не нагретого просто течет ручьем. При глажке постоянно оставляет мокрые пятна. Воду приходиться набирать каждые пять минут.</t>
  </si>
  <si>
    <t>Блендер супер!Купила три месяца назад-очень довольна!!!Немного огорчает то,что в комплекте нет крепления на стену,хотя на сайте пишут,что есть.Но это мелочи.Советую покупать.</t>
  </si>
  <si>
    <t>174</t>
  </si>
  <si>
    <t>Приобрёл вчера  Он неметаллический, вопреки описанию. Пластмасса чёрная, покрыта легко сдирающейся серебристой краской. "Резиновый" пластик на ножках и площадке под камеру сильно воняют, как это свойственно для многих китайских изделий из мягких пластиков. После контакта с руками - пальцы тоже воняют... В остальном - функционален в соответствии с предназначением. Покупкой разочарован.</t>
  </si>
  <si>
    <t>854</t>
  </si>
  <si>
    <t>Мнение в целом положительное, порадовали замечательные темы, отличный экран и толщина с дизайном. Минусы тоже есть, это тихий звук, глюки базовой прошивки и неважное откровенно говоря качестсво музыки (с 16и омными наушниками телефон нормально работать не хочет, слышны шумы, не смотря на то, что он позиционируется как музыкальный).</t>
  </si>
  <si>
    <t>Машина отличная, стирает идеально, очень хорошо отжимает, очень удобна стирка 15 минут, при отжиме отлично выравнивает дисбаланс, абсолютно нет вибрации, стирает тихо, при отжиме имеется характерный для всех машин серии бош и сименс свист, но он не мешает. До этой машины была AEG Lavamat 88840 прослужила 8.5 лет, надеюсь что эта прослужит не меньше))) Всем удачных покупок в магазинах м-видео! 4 года приобретаем в м видео бытовую технику, нет никаких претензий!</t>
  </si>
  <si>
    <t>Нормальный чайник, простой без наворотов. Пластмассой не пахнет. Плохо что отсутствует индикатора работы. После 1,5 лет эксплуатации потек винт внизу ручки, пришлось чайник выкинуть.</t>
  </si>
  <si>
    <t>Чайник хороший, не шумный.</t>
  </si>
  <si>
    <t>3063</t>
  </si>
  <si>
    <t>Отличный фоторюкзак средних размеров. Удобные отсеки для оптики и вспышек с возможностью индивидуальной конфигурации. отличное место для самой камеры. Наличие отсеков для мелочей. Жесткое дно. В целом хорошая ударозащищенность. Ну и качество вполне отличное! Очень доволен покупкой!</t>
  </si>
  <si>
    <t>Прочитали отзывы, купили. Сначала мне крышка не понравилась, как-то туго открывалась, но теперь всё отлично. Чайник лёгкий и вместительный. Спасибо за совет!</t>
  </si>
  <si>
    <t>Дорогой Женя из Воркуты!  Установи на компьютер какую-нибудь программу-конвертер. Могу посоветовать простую и в то же время многофункциональную, бесплатную в отличие от других, русифицированную Format Fаctory.   Отконвертируй искомый файл в MPEG. Это займет немного времени. Скопируй полученное на флэшку. Оную вставь в соответствующий ей разъем на корпусе ТВ. Войди в меню. И зри.</t>
  </si>
  <si>
    <t>5 месяцев назад купил консоль,вешь хорошая и я вам советую скачать игру god of war очень интересная игра и пару стрелялок</t>
  </si>
  <si>
    <t>Шикарный вентилятор, пользуюсь уже 4 месяца,только он и спасает в такую жару, думаю о покупке второго в другую комнату.   Стильный, мощный, очень тихий, удобный таймер, ионизатор воздуха.</t>
  </si>
  <si>
    <t>Купил эту модель 2 месяца назад. Я доволен. Тихий, компактный, симпатичный. Все летит! Обращаюсь к человеку написавшему, что тормозит Call of Duty 4 - у меня на полных полетел 5-й!!! Не на полных идут старые хорошие игры (типа Crysis), так как, на сколько я понимаю, не видят 4-х ядер!   Лично меня смущает одно - не будет ли в дальнейшем проблем с апгрейдом. Поживем увидим! А кто-нибудь уже разберал?? Видео интегрированное??</t>
  </si>
  <si>
    <t>1196</t>
  </si>
  <si>
    <t>2014-09-11</t>
  </si>
  <si>
    <t>Купила буквально на днях. Греет хорошо, только вот кудрявым не посоветовала бы . А те у кого волосы прямые и немного вьются на концах , как у меня, не плохой вариант. И цена отличная!</t>
  </si>
  <si>
    <t>Аппарат ИМХО хороший.  Картинка четкая, яркая, а через HDMI вообще прекрасно.  а вот дизайн - мда. могли бы и построже сделать.  из объективных минусов - хваленые сенсорные кнопки абсолютно не видны на фоне рамки. могли бы подсветку придумать, что ли...  только за это - четверка.  И эфир смотреть на нем - издевательство. Но, впрочем, это беда всех ЖК телевизоров. Хотя тюнер в нем хороший.  Короче - зачет.</t>
  </si>
  <si>
    <t>Купил себе аппарат в июне 2009 года, проблем слава богу нет, кроме самовключения. А вот по поводу вопроса, что нет звука при подключении с компьютера через HDMI DVI так вот, с видеокарты компьютера выходит только картинка, звука там никогда и не было!!! Только на акустике компа!!</t>
  </si>
  <si>
    <t>Шикарный чайник, прослужил 10 лет верой и правдой, ищу такой же, шустрый и тихий. Очень довольна</t>
  </si>
  <si>
    <t>Знаете Иван, за такую цену грех жаловаться, а я очень довольна и купила за бонусы, вполне достаточно первой скорости.</t>
  </si>
  <si>
    <t>Телевизор отличный с Флэшки читает даже MKV... Иногда сам по себе включается но изображение не показывает наверное проверяет обновление по антенне или просто прогревается</t>
  </si>
  <si>
    <t>Это лучшее, что предложили Microsoft...  Служба поддержки всегда готова решить любые проблемы... Молодцы постарались мелкософтовцы... Мне очень нравится как работает домен в связке 2008 r2 и windows 7</t>
  </si>
  <si>
    <t>Гарантированное качество уборки пыли</t>
  </si>
  <si>
    <t>2529</t>
  </si>
  <si>
    <t>Хорошая инсталляция и удешевение кухни за любую стоимость</t>
  </si>
  <si>
    <t>Купил два месяца назад. Выбор связан  с её глубиной. Машинка при глубине 35см стирает 5кг. Плюс к этому небольшая цена, симпатичный дизайн и класс энергопотребления А+. Не знаю с чем это связано, но она не вымывает порошок из лотка полностью. И уровень шума мне кажется у неё немного больше, чем у других. Может, это связано с загрузкой 5кг. А в целом аппарат неплохой.</t>
  </si>
  <si>
    <t>Чайник поработал 6 месяцев после чего сломался,отнесли в сервис, где мне сказали, что ремонту не подлежит, дали справку и я отправилась в магазин, где мне вернули деньги.</t>
  </si>
  <si>
    <t>119</t>
  </si>
  <si>
    <t>Очень понравился, удобно пылесосить и чистить, особенно понравилась насадка для паркета, подлазить можно в любое место, хорошее соотношение цены и качества.Покупайте если нужен мощный пылесос.</t>
  </si>
  <si>
    <t>1397</t>
  </si>
  <si>
    <t>2016-04-14</t>
  </si>
  <si>
    <t>Простояла 5 лет. Вообще никаких претензий. Ничего не гудит, ничего не отказывало. Классно печет. Жаль, что придется отдавать - переезжаем в высотку</t>
  </si>
  <si>
    <t>Отличный пылесос у меня уже более двух лет и мощность не падает. До этого был моющий пылесос, фильтр забился, нового такой модели не купишь, так еле-еле пылесосил, пришлось этот купить.</t>
  </si>
  <si>
    <t>Купила 5230.нравиться..  музыка играет не плохо..но когда мне звонят музыка на звонке играет тихо..что делать?</t>
  </si>
  <si>
    <t>Отличный нагреватель.Быстро нагревает воду,хорошая теплоизоляция между баком и корпусом.Но нет запасных частей в свободной продаже,нужно заказывать.</t>
  </si>
  <si>
    <t>Отличная варочная панель, выглядит очень стильно. Как выглядит так и работает. Чугунные решетки очень удобны посуду можно поставить любую.</t>
  </si>
  <si>
    <t>Пользую больше года - нареканий нет. Стильный, удобный простой. В настройках и меню разберется даже пенсионерка. Фотки приличные, поставила на абонентов фотки, сделаные профессиональной камерой - показывает супер. Напихала в дополнительную флешку весь музон, который люблю, теперь использую как плеер. За год пользования ничего не сломалось, не отвалилось, не облезло. Кстати, с компом синхронизируется без проблем, и именно с  WinXp. Яркий большой экран.   Из недостатков могу отметить только три несущественных ерунды -1)остаются отпечатки пальцев на экране - лечится вытиранием тряпочкой, 2)нет подсветки клавиш, но только на верхней крышке слайдера, зато джойстик подствечивается, равно как и основная клава, 3)нет дырочки для брелка или ремешка на руку. Зато к качеству сборки, связи, медиа претензий никаких.    Рекомендую всем, особенно противникам сенсорных клавиш.</t>
  </si>
  <si>
    <t>Купил этот пылесос 1,5 года назад. Через полгода пришлось сдать его в ремонт. Сейчас, через год после ремонта пылесос не может работать на максимальной мощности - автоматически переключается на самую низкую мощность (видимо, мотор скоро накроется).  Шумит очень сильно, всасывания никакого: из-за заявленных 7 ступеней фильтрации достичь мощности всасывания 400 Вт при потреблении в 1800 Вт - нереально. Жена этот пылесос просто ненавидит. От использования аквафильтра преимущества нет - свежести после уборки не чувствуется, пахнет горелой пылью. На корпусе постоянно скапливается статическое электричество - при выключении меня всегда било током. Приходилось выключать пылесос ногой в тапке и не трогать его минут 10, тогда током не било. Присоединяюсь к Александру из Гомеля - с удовольствием выбросил бы этот пылесос с балкона.</t>
  </si>
  <si>
    <t>Хотели покупать напольный вентилятор. Но случайно обратили внимание на данный вид. Теперь нисколько не жалеем о сделанной покупке.</t>
  </si>
  <si>
    <t>Пользуюсь чайником уже 2 года, вполне устраивает. Единственный маленький недостаток - шумит немного.</t>
  </si>
  <si>
    <t>Телевизор просто супер. Единственное напрягает звук издаваемый при включении и выключении.</t>
  </si>
  <si>
    <t>3207</t>
  </si>
  <si>
    <t>Подарил муж,чему очень рада вся семья! Практически бесшумный,практичный. Разнообразие насадок-просто чудо. Коктели изумительные. Соки из цитрусовых-супер! А вот из твёрдых овощей и фруктов-увы,разочаровали. И почему-то не продумал производитель техники, что при включении блендера совместно работает второй механизм- чаша. А так нравится!!!</t>
  </si>
  <si>
    <t>Солидарен с Сергеем из Сургута, пропадает картинка и все,  надо менять...</t>
  </si>
  <si>
    <t>Решили приобрести кофемолку с жерновами, для разного помола (под турку, френч и т.п.)  Отличный выбор, т.к. засыпается необходимое кол-во и сразу молится на нудное кол-во чашек и нет необходимости стоять и ждать, сама выключится когда помолот.  Рекомендую кто любит брать кофе в зернах и необходимо помолот много и под себя.</t>
  </si>
  <si>
    <t>1207</t>
  </si>
  <si>
    <t>Вчера купила и опробовала мясорубку Zelmer 986.87 Whit. Очень расстроилась. Размороженное мясо не прокручивает, а мнет, жует, пленки и жилки накручивает на нож. Решетка и нож, если их насухо не вытереть после мытья покрываются ржавчиной. Что делать с такой мясорубкой? Цена вполне не маленькая, а функции свои совсем не выполняет.</t>
  </si>
  <si>
    <t>Хороший ноутбук за свою цену.  Но предустановленная ОС - не Linux, а Vista HB.</t>
  </si>
  <si>
    <t>Очень удачная модель. Продержались больше года, несмотря на тоненькие провода и мое достаточно небрежное отношение к ним. Хорошо сидят в ушах. Музыку слушала спокойно на трети громкости даже в общественном транспорте. И цена хорошая. Жалко, что одно \"ухо\" перестало работать, но на замену куплю эти же.</t>
  </si>
  <si>
    <t>934</t>
  </si>
  <si>
    <t>Купила этой фирмы мультиварку, думала буду пользоваться очень долго. Но надежды мои не оправдались.... После шести приготовлений она стала пощелкивать , а потом и вовсе перестала отключаться. Я очень разочарована.</t>
  </si>
  <si>
    <t>Настраиваю изображение,выключаю телевизор и все настройки сбиваются.</t>
  </si>
  <si>
    <t>2013-08-06</t>
  </si>
  <si>
    <t>Не соглашусь с предыдущим оратором. Пользуюсь лампой год, но кнопка, как все остальные детали на месте. Ничего в ней не сломалось. Более того, боюсь предположить, что нужно делать для того чтобы кнопка включения просто развалилась на две части. )))</t>
  </si>
  <si>
    <t>Машина оправдывает все вложенные в нее деньги на 100 проц, проста как 2 пальца, проблем не возникло</t>
  </si>
  <si>
    <t>Отличный телевизор для HD-ready, купил дочке в комнату, с расстояния 2-х метров картинка идеальная, единственный недостаток угол обзора по вертикали: если уровень глаз будет ниже нижнего края телевизора, то картинка становиться темной (чем ниже тем темнее), потому подвесил на стену нижний край телевизора чуть ниже уровня глаз и наклонил вперед на угол 7 градусов - в итоге с любого места, даже с пола картинка смотрится идеально. По функционалу удовлетворяет полностью, это уже второй филипс в нашей семье, первый 37" FullHD приютился в зале. Вообще эта серия радует - хорошее качество за приемлемые деньги. Следующий будет LED, когда подешевеет.</t>
  </si>
  <si>
    <t>2013-05-31</t>
  </si>
  <si>
    <t>Комнлектом доволен. Стоит в хендай акцент уже пол года. Все работает и ничего не отклеилось и не сломалось. А насчет проводов, которых нехватило для подключения от усилителя к сабу сделал так - усилок прикутил к задней стенке саба, а провода отрезал от плюсового (так как были очень длинные) 2-е штуки по 20-ть сантиметров.</t>
  </si>
  <si>
    <t>Через 3 недели кнопка выключения на боковой панели стала работать как и кнопка "POWER" на пульте ДУ - либо переводит телевизор в режим ожидания, либо включает, но не отрубает питание - искрит розетка при включении в сеть.  Недавно вырубился во время просмотра, никакой реакции ни на какие мои действия, ушел смотреть в другую комнату, а телик через полчаса сам включился и заработал в обычном режиме.  Соединение на задней панели провода питания и TV- как у системного блока - разъем нестабильный, у Philips лучше.  Читал, что USB можно прошить, чтобы читал видео - подскажите где и как это сделать на данную модель?</t>
  </si>
  <si>
    <t>Купила данную модель, вполне довольна за такие деньги, почти не шумит, обдувает великолепно, устойчив, за такие деньги это просто шикарнейший вентилятор,хотя многие не советовали брать. Но я больше чем довольна. Качество намного превышает мизерную цену,всем советую!</t>
  </si>
  <si>
    <t>240</t>
  </si>
  <si>
    <t>Первое впечатление о машинке не очень, большие щели, зазоры, качество сборки соответствует России.  Дверца на внешний вид хлюпкая, вообще думали что вода через неё побежит. Когда закрываешь, замок защелкивается, но ещё дверца поддается вперед на 1 см.  Сверху крышка отходит от машинки.  Создается впечатление что делали "кривыми руками" дяди Васи.  Во время работы шумновата.  Стирает нормально, и при отжиме 1000 оборотов не скачет.  Нда...я конечно понимаю, что машинку покупали на за 20т.р но всё же...хотелось бы получше качества сборки...  По акции её ещё можно купить, но никак не за 12590.</t>
  </si>
  <si>
    <t>Покупала пылесос лет шесть назад и он ни разу меня не подвел.Очень мощный,хорошо всасывает.Спасибо производителям,действительно очень качественный пылесос.</t>
  </si>
  <si>
    <t>Игра хорошая и увлекателькая понравиться как детям так и взрослым. Сами с женой играем наперебой даже второй джостик ради этого взяли. У кого есть дети советую.да и у кого нет тоже веселая игра.</t>
  </si>
  <si>
    <t>Приставка постоянно зависает, диски царапает и не всегда включается.</t>
  </si>
  <si>
    <t>Машина отработала с большой нагрузкой (в приёмной) 6 лет. Обращалась я с ней очень аккуратно. На предприятии есть своя техническая служба, которая обслуживала машину. Недавно машина сломалась. При вскрытии оказалось, что механические части все сделаны из пластмассы и износились.</t>
  </si>
  <si>
    <t>246</t>
  </si>
  <si>
    <t>думаю предыдуший автор (Сергей) не разобрался, проблемы у него именно в подключамемой переферии.    На данный момент времени ставлю продукту 5 и это реально....  все работает: телевизор реально смотрю Full HD НTV блеск правда не много каналов еще но это не вина моника, как монитор фору даст любому конкуренту все интерфейсы функциональны на 100% DVI HDMi ну и стандарнтый Dsub. Величина зерна: 0.248 мм это говорит о том что это монитор с высоко качественной матрицей...   Ps попробуйте найти за меншие деньги моник с тв с зерном 0.248 с разрешением Full HD.   согласен революционный продукт на данный момент..</t>
  </si>
  <si>
    <t>Красивый внешне, удобно держать, длинный шнур, утюг быстро нагревается, сама довольна и всем советую.</t>
  </si>
  <si>
    <t>Не заню как насчет первой и второй части, я в них не играл, но это единственная игра за которой я и моя жена проводили десятки часов подряд...очень увлекательная, захватывает и играется на одном дыхании. Причем я не являюсь поклонником данного вида жанра. Рекомендую.</t>
  </si>
  <si>
    <t>Несколько лет пользовались, пока не сломали. Буду покупать такой же. Красивый дизайн, хорошая мощность, и главное - складывающаяся ручка, очень удобно для хранения, + в комплекте чехол с замочком для хранения (типа большой черной косметички).</t>
  </si>
  <si>
    <t>Приобрела 3 месяца назад. Встроенных часов нет, после завершения программы пищит ужасно...Ожидала большего..вроде и дизайн приличный.</t>
  </si>
  <si>
    <t>Пользуюсь этим эпилятором уже 6 лет,проблем с ним никогда не возникало. Со своей основной задачей модель Braun SilkEpil 1 1170 справляется хорошо, ножки выглядят гладкими и ухоженными.В комплекте нет никаких дополнительных насадок, но мне они и не нужны, есть удобная щеточка для чистки. У эпилятора одна скорость, и одна основная насадка с  20 маленькими пинцетиками, можно использовать для удаления нежелательных волос на ногах, зоне бикини и подмышками. Весь процесс раньше занимал примерно 30-40 минут, использовала эпилятор 1-2 раз в неделю, через несколько лет трачу всего 15-20 минут и повторяю процедуру 1-2 раза в месяц. При отрастании волос, нет эффекта "щетины", волоски более мягкие, отрастают медленнее. Чтобы предотвратить  врастание волосков, пользуюсь скрабом для тела. Хорошая и надежная модель за приемлемые деньги. Кто любит экономить-данная модель для Вас!</t>
  </si>
  <si>
    <t>Да, действительно, слов нет, бритва хороша, выбривает труднодосягаемые места, до тех пор, пока не затупился режущий блок или не вышла из строя сетка. На удивление в 21 веке столкнулся с проблемой дефицита комплектующих электробритвы. Даже в Интернет магазине на официальном сайте Panasonic данные аксессуары если и появляются, то не чаще одного раза в 2 месяца, а если и появляются, то в малых количествах. В данной ситуации оригинальность бритвы встает ее пользователю боком. Как-то жалко выкидывать электробритву, за которую год назад отдал около 5 тыс. р.</t>
  </si>
  <si>
    <t>весы отличные   тефаль это самые точные весы</t>
  </si>
  <si>
    <t>Плеер отличный!   Звук потрясающий; памяти лично для меня - за глаза; прекрасная цветоотдача при просмотре фото/видео. Доволен полностью.</t>
  </si>
  <si>
    <t>Купила вчера и не могу нарадоваться ) Уехала в деревню и там tv показывал лучше, чем обычный телевизор! Это порадовало. Графика очень хорошая и звук из динамика тоже. Из минусов: включила радио и обнаружила, что если не выдвигать антенну, радио работает с помехами, а иногда не ловит. Не буду же я его нести в сумке например с выдвинутой антенной. Надеюсь с наушниками будет лучше. А так плеер хороший, советую!</t>
  </si>
  <si>
    <t>Люди вы что говорите! Ради этой игры уж точно ПС3 не кокупается :) Какая там графика????? Люди квадратные))))  Постоянно тут покрути тут потряси чуш какаято! В Uncharted 2 поиграйте! Вы че других игр не видели шде действительно графика, асасины например! Много игр за которые нге жалко отдать 2500 рублей! А за этот извеняюсь шедевр не больше 1000 рублей!  И если играть в него как я например после работы то это так скучно что уж лучше просто телек посмотреть! Короче моно купить если тебе вообще делать нечего!</t>
  </si>
  <si>
    <t>Купила по рекомендации продавца, т.к. выбранного лопастного не оказалось.Огромный минус, который просто убивает все остальные потребительские характеристики - очень шумный. Уснуть под него крайне сложно (если оставить включенным на таймере на час). Звук на телевизоре приходится делать очень громкий, иначе ничего не слышно...Работает чуть тише, если дефлектор максимально вверх, но тогда не попадает поток воздуха на диван... Расстроена покупкой дальше некуда. На демонстрации в магазине при наличии кучи других шумов такой шумности вентилятора не слышно, но дома...У родителей лопастной-вообще не слышно.</t>
  </si>
  <si>
    <t>Очень долгое время ходила в салон красоты на процедуры для удаления волос, но всегда хотелось попробовать эту процедуру эпилятором. И вот мне муж купил, так сказать на пробу, достаточно бюджетную модель. Дёшево не значит плохо, тем более, когда речь идёт о продукции Браун. Этот маленький эпилятор просто чудо! Он отлично справляется со своей работой. Волосы с ножек удаляет на ура. Однажды, я решила почитать про него, и на одном из сайтов, увидела отзыв, что данной моделью хорошо эпилировать подмышки. Любопытство и интерес были слишком велики и я, конечно же, решилась. Первый раз было больно и неприятно, но эффект в 2 недели заглушил эти чувства, а второй и последующие разы было уже не так ужасно, как в первый. Ещё одно несомненное достоинство  - это длинный шнур. Могу с уверенностью сказать, что данная модель отличная. Кто ещё сомневается - отбросьте все сомнения. Я полностью довольна этой моделью и на другую менять пока не собираюсь!</t>
  </si>
  <si>
    <t>3036</t>
  </si>
  <si>
    <t xml:space="preserve">Очень яркая и забавная. Головоломки есть как легкие так и сложные. Если не любите пиксельную графику то не переживайте вы об этом забудете после первого уровня. Затягивает нереально, кажется, что поиграл пять минут, а прошел уже час. </t>
  </si>
  <si>
    <t>2029</t>
  </si>
  <si>
    <t>Купил. Устраивает. Имел неосторожность поменять прошивку заводскую 3.44 на скачаную из инета 3.55. Качество кабеля заметно улучшилось, но при этом пропали возможности читать некоторые файлы mkv и даже avi. Знающие люди подсказали про кривую прошивку с видеодровами от лихих польских хакеров. Что делать? Как быть? Сейчас не читает прошлые файлы.... и avi через один......Я в панике!!!!</t>
  </si>
  <si>
    <t>Приобрела ломтерезку по акции,сделана в Польше, лаконичный дизайн и с своей задачей справляется на пять с плюсом! Кто ценит своё время и любит уют можно рекомендовать.</t>
  </si>
  <si>
    <t>Очень плохая машинка. Не кидайте денег на ветер! Лучше доплатить и купить качественную вещь. Машинка проработала меньше года! Спустя два года мучений с ее ремонтом она покоится на мусорке!</t>
  </si>
  <si>
    <t>Отличный тихий,  мощный, качественный пылесос. Из недостатков - нет ручки для переноса.</t>
  </si>
  <si>
    <t>Недавно приобрел эту модель тв sony. Некоторое из того о чем здесь писали до меня правда. В частности качественный прием аналогового сигнала (встроен. цифр тв-тюнер). Из минусов, иногда пропадает звук, даже при просмотре аналог. каналов без исп. тюнера. Твердая четверка)</t>
  </si>
  <si>
    <t>Отличная, действительно гладкая подошва</t>
  </si>
  <si>
    <t>Швейной машиной  Astralux 150 пользуюсь более года. Модель удобна в эксплуатации, простое управление. Имеет простую строчку и зигзаг. Зигзагом обрабатываю срезы швов, т.к. шью для себя, в оверлоке необходимость отпадает. С отрицательным отзывом не соглашусь, проблема с натяжением нити возникает, в случае неверного выбора цифры натяжения в среднем это режим 4. Инструкция подробная, ознакомившись с ней, можно настроить машинку для себя. Однозначно рекомендую.</t>
  </si>
  <si>
    <t>Машина отлично справляется с мытьем столовой посуды (фарфоровых и фаянсовых тарелок, блюдец, чашек, стеклянных стаканов) и столовых приборов (стальных ложек, вилок, ножей). Если мыть посуду сразу после еды, то вполне достаточно короткой 30-минутной программы.  Кастрюли и сковороды отмываются гораздо хуже, чем тарелки, даже с применением программы интенсивной мойки и после предварительного замачивания. Чтобы хорошо отмыть кастрюли и сковороды, приходится предварительно обрабатывать пригоревшие и прикипевшие загрязнения губкой и лишь затем начисто отмывать их в машине.  Другие недостатки машины:  1) конструкция корзины позволяет устойчиво размещать только столовую посуду (тарелки и блюдца), при этом кастрюли, сковороды и их крышки фиксируются плохо или вообще не фиксируются;  2) подставка для столовых приборов имеет очень маленькие отверстия, куда входят только узкие ручки чайных ложек, а широкие ручки столовых ложек, вилок и ножей в них не помещаются, их приходится вставлять в большие боковые отверстия, где они стоят вперемешку и соприкасаются друг с другом (видимо, надо покупать другие столовые приборы, подходящие именно к этой машине);  3) большие тарелки диаметром более 27 см в машину не помещаются из-за малой высоты моечной камеры;  4) специальная откидная подставка для чашек не позволяет устанавливать на нее предметы высотой более 10 см (опять же из-за малой высоты моечной камеры), поэтому большие чайные чашки приходится ставить на дно корзины, отнимая место у тарелок и кастрюль.</t>
  </si>
  <si>
    <t>Офигенный саб, стоит в ваз 2115, играет нормально, но хочу сейчас взять такой же</t>
  </si>
  <si>
    <t>Купил плеер дочери в подарок, полгода практически не выпускает из рук, всем довольна, единственное - заявленное время 50 ч., мягко говоря преувеличенное, от силы 8- 10 часов , как и всех остальных моделей. (При выборе модели эти заявленные 50 часов и определили выбор)</t>
  </si>
  <si>
    <t>Пользуюсь ей больше 4х месяцев и не нарадуюсь. Газ шумит - первые два дня меня это действительно напрягало, но сейчас уже не обращаю на это внимания, привыкла. Газ долго не зажигается - достаточно нажать на ручку до упора (как сказано в инструкции), потом сами почувствуете, как ручка возвращается в первоначальное положение. Духовка печёт изумительно. Интересный момент, когда датчик температуры нагревается, газ автоматически убавляется и не надо следить за подачей газа в духовку, всё регулируется автоматикой без участия человека. Ящик для посуды вместительный, очень удобный и просто классный.</t>
  </si>
  <si>
    <t>Купила 3,5 года назад. Работает превосходно, нет никаких минусов. Кто хочет приобрести качественную и недорогую  модель, то это идеальный вариант. Очень довольна.</t>
  </si>
  <si>
    <t>Отличный пылесос! На 50 кв.м. уходит 10 литров воды и 30 минут времени. Хорошо чистит мягкую мебель и отмывает пол! Рекомендую!</t>
  </si>
  <si>
    <t>Отличная вытяжка Ни сколько не жалею, отлично втягивает жир и запах, я всем советую</t>
  </si>
  <si>
    <t>Лилия, брейтесь и дальше бритвами=) по мне то эта модель устраивает вполне, берет волосы даже очень короткие, консультант девушка сказала что волосы берет от 0,5 мм. Проблем не испытывала. Да и к тому же этот эпилятор действительно охлаждает кожу, а до этого был другой, покупала салфетки охлаждающие, спрашивается, зачем такие заморочки, когда в этой модели они уже не нужны. И что важно, цена адекватная. Я вообще не понимаю, за что платят люди покупая дорогие эпиляторы?! 40 пинцетов, и здесь в два раза меньше, а качество эпиляции тоже. Мне кажется это больше маркейтинговый ход. Что купить решать вам, я то свой выбор сделала.</t>
  </si>
  <si>
    <t>Подарила папе на день рождения данную электробритву, оказалось что она вообще отказывается брить, мощности вообще никакой, головки не работают, вот так подарок оказался ((((( никогда не покупайте эту ерунду, поеду менять, надеюсь заберут обратно.</t>
  </si>
  <si>
    <t>Купила месяц назад, стал просто супер помощником на кухне. Отличный комбайн-это мало сказано.На винегрет уходит  не больше минуты, тесто замешивает за 2 мин.  Моется очень быстро, и еще не мало важная деталь ко всем своим прекрасным характеристикам, относительно  не большой размер. На моей маленькой кухне стоит на столешнице и не мешает.Рекомендую всем, минусов я не нашла.</t>
  </si>
  <si>
    <t>Проработал 11 месяцев без проблем, пока не стала плохо работать нижняя кнопка на джойстике.Отдал в гарантийный,вернули, через полторы недели умерла совсем. Сдал в магазин.</t>
  </si>
  <si>
    <t>Купили давно, почти не пользуемся из-за того что очень плохо перемалывает, постоянно приходиться разбирать. Проще перекрутить на ручной мясорубке!</t>
  </si>
  <si>
    <t>2566</t>
  </si>
  <si>
    <t>Отличный саб для любителй звукового давления..</t>
  </si>
  <si>
    <t>Приобрела пару дней назад, при одном ее взгляде видно, что дизайн хорош а ее функции превосходят все ожидания. Машина эта шикарна, стирает без шумно и качественно. По крайней мере я довольна своим приобретение.</t>
  </si>
  <si>
    <t>Купили данную посудомойку 6 мес. назад и не  можем нарадоваться, замечательно моет, разводов не оставляет, моет тихо почти не слышно. Рекомендуем, не пожалеете.</t>
  </si>
  <si>
    <t>Купила 2 дня назад, безумно им довольна!Давольно умный телефон, не глючит (по крайней мере пока), хотя предпочитаю nokia давно и могу быть уверена, что проблем быть не должно!!! всем советую не думать и покупать данную модель.</t>
  </si>
  <si>
    <t>848</t>
  </si>
  <si>
    <t>2014-01-26</t>
  </si>
  <si>
    <t>Покупала ее для того, что бы вить себе легкие локоны на праздники. Что бы быстро и красиво. В итоге у меня все получилось. p&gt;</t>
  </si>
  <si>
    <t>Работает прекрасно, установили за 1 час с копейками, причем какое-то время ругались с соседями, т.к. установка пришлась аккурат в 13 часов выходного дня. Но что поделаешь, личный комфорт важнее. Советую следить за акциями М-видео, иногда можно значительно сэкономить!</t>
  </si>
  <si>
    <t>С учетом подарочных карт от предновогодней акции приобрел этот телевизор. Показывает отлично, прием замечательный. Пока замечен один недостаток. Когда включаешь наушники на программе с приемом Nicam Stereo - наушники не работают. Моно - пожалуйста, но тут ВООБЩЕ НИКАКОГО звука нет в наушниках НИ СТЕРЕО НИ МОНО. Но думаю не буду заморачиваться ибо все равно просто потестил работу с наушниками и пользоваться вряд ли буду.</t>
  </si>
  <si>
    <t>Материалы выглядят недорого, зато не ломкие, гибкие. Шланг коротковат, но вращается, это исправляет положение. Порадовала телескопическая труба, фиксируется хорошо. Пропылесосил квартиру и был приятно удивлён. Мощь серьёзная, забивается не быстро. Турбовая щётка привела в восторг, а пыль вытряхивается без проблем. Пока отлично. А ломающиеся двигатели бывают везде, это другая история, не жалуйтесь, а идите в гарантийку, если срок не истёк.</t>
  </si>
  <si>
    <t>Купил! Доволен! Проблем нет! Цена + качество на высоте! Единственное, не привык чистить такую поверхность! А так все отлично всем советую! Плита по оценке 10 из 10!</t>
  </si>
  <si>
    <t>Купил 5 июля 2010. Здоровский нетбук, дизайн вообще отпад всё устраивает, в интернете сижу постоянно всё работает хорошо никаких багов. )))</t>
  </si>
  <si>
    <t>на прошлой неделе муж подарил этот миксер. При первом же использовании я испытала восторг от него...так всё стало просто теперь, готовить всякие пироги, торты которые обожают дети, сил я больше не трачу, а получаю удовольствие от процесса)) Спасибо мужу за шикарный подарок!!!</t>
  </si>
  <si>
    <t>909</t>
  </si>
  <si>
    <t>Брать надо ик-диод.Подключив к колонке, проверить, что он моргает через фотокамеру.  Запускать надо файлик srvc-menu-menu  а дальше зайти в тул опшинс как и говорилось выше    Единственный минус: телик не крутит формат mkv , только  DVD и avi</t>
  </si>
  <si>
    <t>шумит сильно  крышка закрывается сложно а через 3 года отвалилась эта крышка!!!!</t>
  </si>
  <si>
    <t>Купил 10 месяцев назад. Полностью доволен! Смотрю цифровое телевидение, картинка отличная, звук тоже. Один минус долго переключает каналы, но это не существенно. Привык. USB разлочил с помощью диодов. За свои деньги отличный телевизор, правда уже малость устаревает.</t>
  </si>
  <si>
    <t>Замечательный, красивый, продуманный вестерн-экшн. Обязан к ознакомлению к каждому, уважающему себя, геймеру! (С Red Dead Redemption не сравнивать!!!)  И отдельная благодарность за классную цену на игру. :)</t>
  </si>
  <si>
    <t>Штатив отличный, если разобрать, очень большой. Имеется сумка для хранения, удобно для переноски, так как складывается в маленькую сумку. советую)</t>
  </si>
  <si>
    <t>3000</t>
  </si>
  <si>
    <t>Долго выбирал и купил этот ноут. Очень понравился внешне и по производительности, правда греется слишком. Проработал полтора месяца и начал мерцать монитор. Потом вообще половина экрана была видна только. Отдал в сервисный центр. Теперь жду третью неделю когда шлейф привезут.</t>
  </si>
  <si>
    <t>Фен мне очень понравился, 3 режима подачи воздуха и 3 режима температуры. В турбо-режиме сушит волосы быстро и выглядят они лучше)Удобный и компактный, много фенов сменила, но этот лучше всех!!!</t>
  </si>
  <si>
    <t>В общих чертах блок отличный, но есть один минус на маем блоке, при покупке на него не было драйверов и это меня огорчило! Вот уже третий день сижу в инете ищу драйвера на него! Если кто то сможет помочь буду очень признателен! вот мои контакты nartemij@yandex.ru  400105346</t>
  </si>
  <si>
    <t>Все в нем хорошо,вот только у меня кнопка холда,т.е.блокировки дисплея западать рано начала..</t>
  </si>
  <si>
    <t>Первое впечатление вау через пару дней проходит, и начинаешь замечать зазор между экраном и рамкой куда попадает грязь, не плотно закрывающуюся заднюю крышку, хлипкую и кривую, не ровно стоящую камеру и зазор вокруг неё. Но начинка хороша всё нравится, куча функций и правильно делают каждый сам решит, что полезно, а что нет, был бы выбор. Говорят аппарат сильно греется, что значит сильно? я не обжигаюсь, а в играх это естественно процессоры все греются. Многие глюки ПО исправили с android 4.3. но ещё есть что оптимизировать, касается всех брэндов. Про батарею. made in china через четыре месяца вздулась да так что крышка телефона перестала закрываться, по гарантии сдавать не стал, долго ждать, заказал сам с Кореи, made in Korea обошлась 780 р. OEM все как положено, пришла за 12 дней, время покажет её живучесть, в России продают только китайские.</t>
  </si>
  <si>
    <t>Только одно нарекание - не видно цифры на ручке управления.</t>
  </si>
  <si>
    <t>Купил его 3 дня назад. Отличный ноутбук: не греется, изобр. и звук прекрасные. Шустрая машина. Минусы: отсутствует Bluetooth, но мне и не нужно; небол. кол-во портов, только необходимые и поддержка не всех типов карт. В остальном, еще раз повторюсь, отличный ноутбук.</t>
  </si>
  <si>
    <t>Отличный плеер.Доволен им процентов этак на 95.К минусам можно отнести разве что нестандартный разьем для подключения плеера к компу.Звук отличный с моим стареньким exlay m3 не сравнить.Только неплохо сразу прикупить хорошие наушники.На маленьких пукалках всего удовольствия не получишь.</t>
  </si>
  <si>
    <t>902</t>
  </si>
  <si>
    <t>Игра очень крутая, советую играть</t>
  </si>
  <si>
    <t>Классная вещь! Работает 2 год,в работе очень удобная и легкая.  Гарантия на неё 2 года,сервис отличный!</t>
  </si>
  <si>
    <t>Надеюсь будет радовать меня, а то при покупке ее, меня чуть не задавили)))Все рвались ее по акции купить</t>
  </si>
  <si>
    <t>люди контроллер супер...не желейте эти деньги.  очень удобная крестовина!!</t>
  </si>
  <si>
    <t>С 17 июля '16г. этот вентилятор как включили на 3-ью скорость так он и работал до 12 августа - дома всегда кто-то находится, крутясь без остановки с поворотами (пока прохладно не стало на улице). За всё время было только два перерыва минут на 30. Мотор не грелся, шума - никакого. Стоит прочно, не шелохнувшись.    Много разных покупали и собирали вентилей (и кондишен есть, в этом году почти не включали, потому как в прошлом году все переболели из-за него) и про VITEK говорить, что кривой-расшатанный, - это странно, не верится. Полностью металлических вентилей нет уже, всё - пластмасса, частично немного металла.  У витека сборка - чёткая и простая, нигде ничего не люфтит и не раскачивается. Из-за отсутствия  люфтов он и работает бесшумно. VITEK - лучший в своем ценовом ряду. Это не Скарлет,  который только с пятого раза можно нормальный без косяков купить... Хотя цены, что на витек, что на скарлет, что на борк… и др.  – завышены. Пора снижать.</t>
  </si>
  <si>
    <t>2519</t>
  </si>
  <si>
    <t>Наушники просто классные. Баланс басов и высоких частот - на высоте. К комплекте идет чехольчик (не понял еще кожа или кожзам) и органайзер провода. Плюс пара поролоновых амбюшур. Комплектация порадовала. Прорезиненный провод - только в плюс к долговечности. На плеере ipod nano 5G звук круче еще чем с "родными" ушами. Регулятор конечно лишнее для моего плеера, но терпеть можно (просто не пользуюсь) Как попса не знаю, но Iron Maiden слушать очень приятно.</t>
  </si>
  <si>
    <t>2618</t>
  </si>
  <si>
    <t>Телефон нормальный, но глючит сим-карта</t>
  </si>
  <si>
    <t>265</t>
  </si>
  <si>
    <t>Этой игре надо давать золото! Действия разворачиваются в будущем: куча прибамбасов, оружие, устройства, особенно корабль. Игра ближе к концу становится просто отпад. Я в конце даже прослезился. Кстати, обратите внимание на Хранителей: потом обалдеете что они сделают =)  Если 1 часть пройдете - уже не оторветесь, захотите узнать что все-таки произошло дальше. А продолжение самое необычное =)  Вот теперь мучайтесь=)  (Перенесите последние сохранение первой части во вторую часть история будет развиваться точнее)</t>
  </si>
  <si>
    <t>вещь просто супер!!!! ни капельки не пожалела, выпрямляет отлично и волосы не портит ни капельки, блестят и мягкие, всем советую!!! не пожалеете и относительно недорого</t>
  </si>
  <si>
    <t>В данном пылесосе HEPA фильтр отсутствует, все фильтры промывные. Турбощетка отлично убирает волосы и шерсть. После первой эксплуатации была приятно удивлена: контейнер наполовину заполнился пылью. Работает от всех розеток.  Посмотрю, как будет работать через 2-3 месяца, и обязательно оставлю еще один отзыв, который станет объективнее.</t>
  </si>
  <si>
    <t>2034</t>
  </si>
  <si>
    <t>Здравствуйте,купила эту машинку пару дней назад,очень удачно,по акции.Очень удобняя в настройку, много функций,еще не опробовала все,но пока что все устраивает,шьет тихо,удобно для тех у кого есть маленький ребенок,шью пока он спит.Всем советую</t>
  </si>
  <si>
    <t>Долго выбирала,основным показателем послужил размер, то что нужно для маленькой квартиры. Хотя колбы для мусора и мощности хватило бы и на большую квартиру. Компактный, мощный, пыль не вылетает из места где воздух выдувается, никаких сменных фильтров докупать не надо. Единственный минус, это его щетка, не совсем удобная, не такая как у всех других моделей Dyson.</t>
  </si>
  <si>
    <t>Пользуюсь около месяца. Что могу сказать:  хороший матовый экран, отличные углы обзора по горизонтали, по вертикали похуже  нет аппаратной кнопки отключения тачпада, но программная доступность в "четыре клика", много дополнительных настроек тачпада (в т.ч. горизонтальный скроллинг, хотя на самом тачпаде нарисована только вертикальная полоска)  большие кнопки клавиатуры, стандартная раскладка, в т.ч. выделенные клавиши курсора, большой Shift и Enter. Странно только, что нижний ряд клавиш (пробел  и иже с ним) немного больше по высоте, чем все остальные, зато функциональные клавиши довольно сильно урезаны. Еще ужаты по ширине Ё и 1, всегда промахиваюсь :(  ощутимо греется с левой стороны снизу, зато работает почти бесшумно  все порты разведены по боковым сторонам, на передней ничего нет, кроме ползунков включения. Особенность - совмещенный 3,5 мм разъем для наушников+микрофона - такую гарнитуру придется поискать  Wi-Fi и Bluetooth включаются одним рычажком в одно нажатие, чтобы оставить работать только один интерфейс надо лезть в программы настройки (фирменная утилита HP всегда висит в трее)  Windows 7 Starter очень порезанная версия, но все же это самая удачная и новая винда :)  Из предустановленного софта - MS Office 2007 (60-дневная пробная версия), MS Works, NIS 2009, CyberLink Power2Go, много утилит от HP, из которых самая полезная - HP Instant Web - оболочка, запускаемая до старта ОС и включающая: браузер, пейджер, мультимедия плеер, просмотрщик картинок, скайп  аппаратная конфигурация - полный фарш для нетбука  HD-видео идет не идеально, но Хауса смотреть можно :)  веб-камера паршивенькая, но для скайпа в самый раз. Есть фирменная программка для настройки и записи с нее видео :)  6-ячеистая батарея! До полной разрядки пока не доходило, но, думаю, часов 6-8 она вытягивает.  Выводы: отличная машинка, имхо цена высоковата для нетбука, но объективно с учетом конфигурации (и особенно мощной батареи) получается, что она могла быть и еще выше. 5 из 5!</t>
  </si>
  <si>
    <t>Пользуюсь около полугода. Куплена по акции со скидкой. За такие деньги - очень хорошая машинка. После того как была выставлена по уровню, работает тихо. Вещи стирает хорошо, много функций, главное правильно выбрать программу.</t>
  </si>
  <si>
    <t>Отличная фен-щетка: заменила и выпрямитель, и фен, и расческу, очень довольна покупкой.</t>
  </si>
  <si>
    <t>имеем 6 сплитов данной фирмы,из них 4 штуки в офисе работают два года без нареканий, два ставил прошлым летом у себя в квартире с проблемами не сталкивался, надеюсь не столкнусь и впредь! Покупались все на распродаже по отличным ценам. По соотношению цена качество-отличный продукт!</t>
  </si>
  <si>
    <t>Пользуюсь этим прибором 5 лет в периоды отключения горячей водой.  Вполне достойный аппарат. Полностью решает поставленную задачу.</t>
  </si>
  <si>
    <t>Отвратилельный не кому не советую. Купили Вал клинет что  что там трещит не стоит потраченных денег.</t>
  </si>
  <si>
    <t>Елена, не вводите людей в заблуждение автоподжига в этой плите нет! Но в целом достойная плита за такие деньги. Доставили в срок.</t>
  </si>
  <si>
    <t>Хорош всем ругать телефон. Что вам всем не нравится - классный телефон, ничего не глючит, зачем к мелочам придираетесь, и кнопки удобные. Зачем вы расстраиваете человека, который желает купить этот классный телефон, заранее расстраивается ....от ваших ничтожных неудобств вроде (неудобных кнопок .) ...Телефон супер!!!!!!!!</t>
  </si>
  <si>
    <t>При покупке ориентировалась на удобство для диджеинга и написания музыки и нашла действительно то, что нужно! Эргономика ушей отличная, хорошо фиксируется оголовник,сами чашки большие, полностью охватывают уши (огромный плюс этой модели по сравнению с HD-205), не ощущается никакого давления на голову даже после длительного использования. Звукоизоляция хорошая, радуют такие решения, как поворотная чашка и витой кабель.  Звук чистый (легко проверяется при прослушивании треков с атмосферными и вокальными "ямами"), сначала могут быть потрескивание на высоких частотах и шипение на басах, но это скорее зависит от качества записи самих треков, к тому же все легко регулируется эквалайзером, лично я уменьшила высокие и низкие, сделав акцент на чистоте средних (для хауса, прогрессива и техно). При написании музыки абсолютно никаких нареканий не возникает.  Вердикт: настоящее качество за разумные деньги, советую!</t>
  </si>
  <si>
    <t>Недавно приобрели эту пароварку, пока что все нравиться)Единственное шумновато когда вода греется и вот мыть ее немного надоедает!  Но зато гурманы оценят, еда на пару просто шедевр, вкусно и очень полезно!</t>
  </si>
  <si>
    <t>1772</t>
  </si>
  <si>
    <t>Много держит!</t>
  </si>
  <si>
    <t>Картинка и картинка (PaP) в этой модели нет !!!! Хотя в прайсе указано что он есть ! A  в остальном - телевизор отличный ! Я уже обновил программное обеспечение через Фронт. порт USB 1.1 Тип А !!! Звук и изображение на отлично !! Хочу повториться , телевизор отличный !!!!!!!!!!!!!!!!!!!</t>
  </si>
  <si>
    <t>Включить вытяжку удалось только один раз. При повторном включении загорелась только подсветка, при этом яркость света постоянно меняется и выключить её можно только вынув вилку из сети.</t>
  </si>
  <si>
    <t>Свой сад, брал для отжима сока из яблок. На профи не тянет, но и стоимость не профи) В итоге отжал 50 литров сока. Справляется отлично, только приходится чистить сетку очень часто.</t>
  </si>
  <si>
    <t>Просто ОТЛИЧНАЯ 3D Arcade! А c PS-Movе играть одно удовольствие!!! Не проходите мимо этой игры!</t>
  </si>
  <si>
    <t>выглядит красиво, но поначалу был запах пластмасса, но со временем прошел и теперь пользуемся запаха нет ,кипятит быстро  .</t>
  </si>
  <si>
    <t>Отличный моноблок, через месяц будет год, как он развлекает нас на кухне. Из недостатков только один: не хватает на пульте кнопки "Меню диска", а всем остальным телевизор очень нравится.</t>
  </si>
  <si>
    <t>Отличный помощник в глажении и приведении в порядок вещей после стирки.Очень хорошо гладит любую ткань,воды можно долго не заливать. В общем мне повезло с ним!</t>
  </si>
  <si>
    <t>Купил 2 дня назад. Шумная, с трудом стартует. На оборотах её просто колбасит. Поменял на аналогичную. Сильно отличается, шьет тихо, мягко. По всей видимости предыдущая с заводским браком. Лучше сразу проверяйте в магазине при покупке!</t>
  </si>
  <si>
    <t>538</t>
  </si>
  <si>
    <t>Купили метеостанцию Oregon Sciencific BAR206 24.05.2013. При сравнении показаний температур с дистанционного датчика и самого прибора разница варьирует от 0,5 до 1,5 гр. С. 2.06.2013 сдали и заменили на такой же, который в магазине на 2-ом диапазоне показал вроде точно, но постояв в домашних условиях во всех диапазонах опять показывает с погрешностью с одной точки наблюдения!!! Остальные параметры физически проверить нет возможности. Кроме того по удобству размещения дистанционного датчика, а точнее по неудобству - как его безопасно, в смысле с гарантией, что он не упадет вниз, либо сам не вывалишься при креплении, прикрепить к наружной стене? Неплохо было бы производителям изготовить пластмассовый спец.карман, который можно просто посадить снаружи на клей.</t>
  </si>
  <si>
    <t>2501</t>
  </si>
  <si>
    <t>Вполне нормальная кофемолка по качеству помола. Единственный, существенный для меня, недостаток - очень неточный регулятор порций. Ручка настройки времени помола - от 0 до 30 сек... реально невозможно что-то настроить, задаешь 1-2 сек. Мелет минимум 5-7 сек, т.е. сделать одну порцию невозможно, приходится останавливать помол принудительно (кнопкой выключения), но из-за этого каждый раз порция получается разная, как следствие, кофе то очень крепкий (перебор), то слабый (недобор).</t>
  </si>
  <si>
    <t>Купила по акции, со скидкой, повесила на кухне, очень довольна, за маленькие деньги хорошее качество.</t>
  </si>
  <si>
    <t>Висту при покупке грохнул сразу, лишние тормоза не нужны. С 7 идет на ура, производительность добавила значительно. Еще ко всему частоту памяти у видюхи повысил с 500 до 580 (температура поднялась лишь на 8-10 градусов).   Сталкер Тени Чернобыля- полностью на максимуме (на висте тока статичное освещение).  У кого батарея держится тока 1,5 часа- первые три зарядки нужно было правильно проводить (каждая не менее 10 часов). Скорее всего это ошибка продавца-консультанта, который толком не объяснил. А при работе из сети лучше вынимать батарею из ноута- зачем лишний раз её ресурсы тратить?...  Синий экран не видел (тьфу-тьфу-тьфу!). Эта проблема явно сидит на оси или прогах, небось еще вирусы поработали. Но то что он греется... Мда-а-а.... Дырок под вентилятором и жестким диском нет!!! Китайцы-бракоделы! Что джинсы, что компы- все делают на букву "Х", тока явно не "хорошо".  Придется ручную доводку проводить.    Плюс из плюсов- это цена!  Спросите брать его? Конечно нет! Не хочу чтоб кто-нить еще кроме меня хвастался приобретением:) шучу!</t>
  </si>
  <si>
    <t>75</t>
  </si>
  <si>
    <t>отличная игра))) заставляет потеть пальцы</t>
  </si>
  <si>
    <t>Здравствуйте! Поставил Windows 7 64 bit! Очень отличный агрегат стал! быстро думает! видеокарта, конечно, не очень, можно сказать вообще никакая!( Но у меня проблема с драйвером для КартРидера! Никак не могу найти!   Ещё сильно шумит дисковод! Кулер хороший мне нравится! Хоть и алюминий, но охлаждает хорошо, но идёт сильный нагрев на 4 ядро! Он очень невместительный, хотел поставить дополнительный винтилятор, но он не влезает туда! А потом посмотрел на материнку и вообще не нашёл разъёма под доп. вентилятор!  Ну в принципе хорошая цена! Качество+ Цена! 1 год прошёл, ни одной поломки не было вообще!  Ну в общей сложности компьютер хороший меня порадовал! но вот видеокарта меня расстроила! СТАВЬТЕ ТУДА GeForce GTX 260 хотя бы! тогда компьютер будет вообще супер!     Кто знает где скачать драйвер для КартРидера, напишите сюда же пожалуйста!)</t>
  </si>
  <si>
    <t>я удовлетворён!!!</t>
  </si>
  <si>
    <t>Пользуемся 2 года. Не подводил, не ломался. Наверное единственный минус - быстро забивается. Когда чистый сосёт очень хорошо, но после 3-4 уборок 2-х комнат мощность всасывания падает существенно. Нужно промывать фильтр. Хотя и так можно ещё 3-4 раза квартиру убрать (конечно вытряхивая контейнер), но качество будет уже не то.      Если сверлить стены перфоратором и этим пылесосом засасывать летящую пыль, то фильтр забивается мгновенно. Дырки сверлить можно продолжить, но пылесосить ковры уже не получится, только на промывку.     Короче в целом аппаратом довольны, по своему прямому назначению он работает нормально.</t>
  </si>
  <si>
    <t>1821</t>
  </si>
  <si>
    <t>купила  . ужаснулась и сдала обратно   подача пара слабая сам себя не очищает а на днях искры посыпались , хорошо что без воды был</t>
  </si>
  <si>
    <t>Пользуюсь уже почти год. Волосы от природы очень вьющиеся - если не укладываю обычно спрашивают не химия ли у меня. Фен помогает значительно быстрее и с меньшим вредом для волос самостоятельно их уложить в объемную прическу. Может я не научилась, но получить объемную прическу из ровных волос только при помощи этого фена не получится. Все равно верхние волосы будут пушиться немного. Поэтому высушиваю до полусухого состояния самостоятельно без фена, потом на холодном воздухе феном укладываю, и потом поверх немного с термозащитным спреем на минимальной температуре утюжком проглаживаю от пушистости. В целом очень довольна феном, но есть два минуса: немного тяжеловат - на вытянутой руке долго не подержишь (привыкаешь со временем), и дорого стоит для таких мощностных характеристик. Вот сейчас по акции &amp;nbsp;- самая его цена. Да, из недостатков, которые ранее писали - ни разу у меня не выпала насадка когда я ее до щелчка одеваю, и ни разу не перегрелся еще.</t>
  </si>
  <si>
    <t>2876</t>
  </si>
  <si>
    <t>Машинка не самая тихая, но зато очень хорошо отстирывает. Даже те пятна, которые я не могла отстирать на руках! И даже на быстрой стирке. Наверное, из-за необычного барабана: он с какими-то крупными пупырышками. Программ много, сушит хорошо. Не прыгает во время сушки, может потому, что установили хорошо. Минус лишь в том, что не очень видно цифры, стекло можно было бы сделать потемнее. И врет со временем. Показывает больше, чем на самом деле ему понадобится, но не всегда.</t>
  </si>
  <si>
    <t>Нормальная печь. Доволен. Гриль обнаружил чуть позже, ибо без надобности был. В целом устраивает вполне. Не пожалеете.</t>
  </si>
  <si>
    <t>2011-08-05</t>
  </si>
  <si>
    <t>У меня эти весы более 3-лет. Очень точные, компактные - незаменимая вещь на кухне. Всем советую!</t>
  </si>
  <si>
    <t>Прекрасное средство. Отличные маркеры. Сначала были сомнения, брать или нет, но результат превзошел ожидания: все великолепно отчищается. Порадовала груша в наборе: достаточно удобная и небольшая. Однозначно полезное приобретение.</t>
  </si>
  <si>
    <t>Кофемолка хорошая, единственный минус - довольно быстро нагревается и долго остывает. А в остальном всё устраивает. 100 гр. кофе перемолола за три раза на ура!</t>
  </si>
  <si>
    <t>2558</t>
  </si>
  <si>
    <t>Прошло 6 месяцев с момента приобретения телефона. Брал из расчета цена - качество. Качество звука очень хорошее. Он прост в использовании. В нем не много настроек, но все они нужные и с ними легко разобраться. Функция АОН (автоматическое определение номера) работает - удобно. Мне в нем не понравились две вещи: 1) нет подсветки клавиатуры (не удобно номер в темноте набирать); 2) аккумуляторы (слабые - может болезнь такая у них) сразу брал доп. аккумуляторы GP 70AAAHC-UC2 (тоже слабые - держат макс 5 дней). Ну а в целом телефон мне понравился. Выбор за вами ?)</t>
  </si>
  <si>
    <t>2423</t>
  </si>
  <si>
    <t>Купили приблизительно 2 месяца назад, стираем каждый день, иногда по 2 раза в день, качество стирки отличное. Все заявленные характеристики машинка исполняет: класс стирки - А, отжима - D, шум отжима из ванной с закрытой дверью в комнатах не слышен. Неплохой набор программ стирки, есть даже так называемое "легкое отглаживание" как особенность для этой сверхбюджетной модели. Так что машинка подходит для стирки всех типов вещей, которые вообще предназначены для стирки. Белье практически не перекручивается.  Есть только странности с дверью - она по окончании стирки автоматически разблокируется только через 2 минуты, однако замок двери вызывает большие опасения. Даже рука, за которую тянешь для открытия, кажется слишком хлипкой. Больше никаких замечаний и неудобств нет.</t>
  </si>
  <si>
    <t>Купил 3 дня назад, пока норм! Очень хорошее железо! К тому же модненько, молодежненько и стильно!))))))))</t>
  </si>
  <si>
    <t>Прекрасный фен. Подарили 1,5 года назад перед НГ. Очень довольна. Мощный, волосы не пересушивает и не выскальзывает из рук, очень удобно держать и даже приятно. У мамы фен дороже,сменила уже три таких приблизительно за 4 года! Так что за такую цену прекрасная вещь!</t>
  </si>
  <si>
    <t>Данная соковыжималка очень не качественная.  Данную модель не рекомендую.  Купив данную соковыжималку решила выжать морковный сок, в итоге я не смогла даже израсходовать 1 морковь. Она очень громко шумит, ужасно отжимает,сразу засорилась.  Сегодня пойду сдавать.</t>
  </si>
  <si>
    <t>1415</t>
  </si>
  <si>
    <t>2016-12-28</t>
  </si>
  <si>
    <t>мощная</t>
  </si>
  <si>
    <t>После "трубчатого" Шарпа 21' диагональю этот телек прям как монстр :) В хорошем смысле слова "монстр". Родители теперь без очков видят и даже читают бегущую строку или любой текст в передачах :) Хоккей смотреть - сплошь удовольствие, т.к. шайбу видно невооруженным глазом :)   С активацией ЮСБ диодиками (я делал одним) всё просто.   Главное, проверить камерой или сотовым телефоном, что сигнал с источника действительно идет на диод. Когда подгружается меню, наводим стрелками пульта на строку с Тул Опшнс и жмем стрелку "вправо". Появится подменю, в нижней части которого есть пунктик про ЮСБ. Наводим на него строку и жмем цифру 2 на пульте и ОК. Всё.   Через пару секунд севисное меню само исчезнет. А в главном меню телевизора, - вдобавок к Звуку, Времени и т.п. - появится квадратик с ЮСБ. Вставляем флэшку, выбираем тип данных (кино в DivX'e, мп3, фотки) и наслаждаемся. Всем привет, хорошего настроения, здоровья и благополучия ;)</t>
  </si>
  <si>
    <t>Отличная панель, но только при наличии хорошего сигнала(Цифра или кабельное).А так все супер, очень доволен!</t>
  </si>
  <si>
    <t>1985</t>
  </si>
  <si>
    <t xml:space="preserve">Стоит очень дешево  и еще, в отличие от других аккумуляторов тут дают специальный чехол для хранения, отлично подходит для тех ситуаций когда я беру этот аккумулятор с собой на всякий случай. </t>
  </si>
  <si>
    <t>Это просто чудо. Сама все готовит, не надо у плиты стоять. Печет, жарит, варит, тушит, еще и на пару готовит! Моется быстро и легко.  Единственный минус -подогрев после приготовления нельзя отключить, иногда он не нужен. Но это не существенно по сравнению с плюсами.</t>
  </si>
  <si>
    <t>занимает мало места, все понятно, имеется защита от детей</t>
  </si>
  <si>
    <t>Пользуемся 4 года, двойные стенки отлично держат температуру воды, ничего не сломалось,подсветка горит. Единственное последний раз много кислоты насыпала от накипи, она там все сожгла, потек. А так бы и дальше пользовались )))</t>
  </si>
  <si>
    <t>легкость в управлении, отлично готовит</t>
  </si>
  <si>
    <t>Что то я не понял , у меня эта модель Full HD,а здесь заявлена HD ready.Если за 15990 разрешение 1920 х 1080 пикс.,то это СУПЕР ДЁШЕВО.Я брал 1 месяц назад 19990.А то что с флешки не читает видеоформаты , то это мелочи.С флешки хорошего качестава видео ожидать не стоит,проще купить мультиформатный DVD-плеер за 2000 р. и смотреть без всяких глюков и проблем как то перекодировка видео,нарезка фильма на куски и т.д.</t>
  </si>
  <si>
    <t>Спасибо большое продавцам- консультантам из "РИО" на Черемушкинской. Ничуть не разочаровалась в покупке. Быстро разобралась с режимами приготовления. Пока просто разогреваю завтраки и ужины, но планирую приготовить что-нибудь в горшочке. Консультанты сразу порекомендовали приобрести  их, так как очень люблю это. В добавок взяла еще и чайник металлический Mystery для общего стиля на кухне.</t>
  </si>
  <si>
    <t>Чайник хороший. Разгон при включение довольно быстрый,скорость закипания на 1л. некипячёной воды - 2минуты  С подсветкой смотрится очень красиво(не знаю,надолго ли её хватит)</t>
  </si>
  <si>
    <t>1403</t>
  </si>
  <si>
    <t>Совсем недавно шли покупать какой-нибудь новый фильтр для нашей модели, заранее посмотрели все цены в интернете, поняли, что это не шибко затратно совсем. ПОсоветовались с консультантами, нам сказали выбрать именно эту модель, мол она прям актуальна летом , мол когда кондиционер включаешь, там какие-то бактерии появляются, а этот филттр борется с ними. Если честно, я как-то совсем в этом не разбираюсь, но фильтр мы купили и установили и в принципе все работает также хорошо как и раньше. Думаю что со своей задачей хорошо справляется.</t>
  </si>
  <si>
    <t>2 года пользования и вот какой отзыв - полная ерунда не стоящая своих денег.   1. Быстро потерял свою емкость аккумулятор. Заряжается но мощьности уже нет.   2. Проблема связанная с потерей мощьности - нет возможности подключить шнур питания к бритве для обхода аккумулятора.  3. Проблема связанная с первыми двумя (аккумулятор фигня и нет гнезда для шнура) - это ситуация когда при бритье садится аккумулятор вы тупо остаетесь с недобритым лицом тк надо ставить бритву на зарядку и ждать когда она полностью (40мин) зарядиться. Недозаряженная  батарея моментом садиться.  4. Бритва и настоящая щетина мужчины не совместимы! Ею брить только юношеский пушок! Будете ею елозить пока шкура на лице не запылает!   5. Так называемая головка 3D полная хрень. Ножи стоят в жесткой фиксированной плоскости и не выполняют своих функций. Их действие только по ровной поверхности! У качественных бритв каждый нож "плавает" и состригает. В данной бритве ни чего подобного!</t>
  </si>
  <si>
    <t>1017</t>
  </si>
  <si>
    <t>элитные наушники очень низкие частоты для любителей басов самый раз. правое чуть громче левого.  через полгода активного использования левое почти сдох, хотя правый в полном порядке</t>
  </si>
  <si>
    <t>духовой шкаф-просто ЧУДО!!!никак не нарадуюсь!!!!!!!!!!!!!!!готовить в радость,а какая выпечка!!!!</t>
  </si>
  <si>
    <t>Скачанные игры идут только на перепрошитой приставке.</t>
  </si>
  <si>
    <t>Телефон приобрела 8 месяцев назад, почти сразу, как он появился в продаже у нас в городе. Модель классная (на мой взгляд, чисто женская). Ничего плохого о нём сказать не могу. Стильный, бросается в глаза (у меня голубой), удобное меню, громкий динамик (особенно после Samsunga U600), удобно открывать телефон одной рукой. Единственное, как работает "управление жестами" до сих пор не могу понять. В большинстве случаев не срабатывает. В целом телефончик хороший, за всё время ни разу не глючил. Девушкам очень советую!</t>
  </si>
  <si>
    <t>В данной модели привлекательно все: акционная цена, необычный дизайн, удобное меню с большим количеством режимов, отличная цветопередача + Full HD и цифровой тюнер. В общем идеальный выбор для всех, кто ищет небольшой, привлекательный и интересный телевизор.</t>
  </si>
  <si>
    <t>Пользуемся почти полгода. За такую цену все устраивает. Машина работает, сок льется. Что еще нужно? От ананаса остается вкусное пюре)</t>
  </si>
  <si>
    <t>2904</t>
  </si>
  <si>
    <t>Заряд держит часов десять.  После полугода использования начал зависать. Причём, с какого-то момент нажатие резета уже не помогало: лечилось только втыканием в комп. Потом на больших файлах (около часа) при остановке и возобновлении прослушивания начал скидывать точку остановки на 10-15 минут назад.  Потом начались проблемы с определением компом плеера как съёмного устройства.  Потом после ночи в воткнутом в комп состоянии вдруг оказывалась полностью разряженная батарея. Ладно бы один раз, но тоже в систему превратилось. В сервис приехал - работает, претензии на глюкавость - извините.  Форматировал, прошивку перезаливал.  ПС: но звук качественный, не отнимешь.</t>
  </si>
  <si>
    <t>Пользуюсь уже 2 года и нареканий никаких нет! Вытягивает запахи просто супер, при том шум не велик! Цена-качество отличное. Выбирала из многих многих моделей,  остановилась именно на этой (спасибо менеджеру М.видео), чему очень рада! Прикупили данную модель и всем родственникам. ))))) Вписывается идеально в интерьер.  Очень рекомендую эту модель!</t>
  </si>
  <si>
    <t>Классный термос. Приятно и качественно сделанный до мелочей, хорошо держит тепло.</t>
  </si>
  <si>
    <t>стиральные машины аристон стали делать ужасного качества, до этого стояла тоже аристон, отработала 13 лет без нареканий, купили такой же фирмы, так как цена очень привлекательная, ну и по прошлому опыту! В итоге: вещи отстирывала плохо, по сравнению со старой, шумела, ну и главное через год уже столкнулись с первой поломкой!!!  Мастер починил ее, заменил какую то деталь, но сразу предупредил, что работать будет не долго, год-два, так как очень дешевые материалы используют для сборки таких машин (индезит, аристон)! Вообщем отвезли ее на дачу, купили новую, только теперь итальянской сборки другой фирмы, дороже, но за это стоит переплатить, если не хотите потом мучиться, каждый год вызывать мастера и т.д.! да и качество стирки реально разное, хоть пишут у всех класс А, но я поняла теперь на своем опыте, почему такие разные цены!не может дешевая техника быть хорошей, это заблуждение многих! за хорошее качество стоит немного переплатить!</t>
  </si>
  <si>
    <t>Даже не смотря на то, что пользуюсь наушниками чуть более года, считаю что то, что за это время ничего не ломалось, указывает на хорошее качество наушников. Ношу в основном дома, иногда мешается такой длинный провод, но звук всегда очень чистый и хороший. Мои наилучшие реккомендации</t>
  </si>
  <si>
    <t>Отличный, термос, широкое горлышко, удобно заливать суп. Долго держит тепло - через 6 часов суп горячий. Сам термос легкий, удобно носить с собой. Неудобный ремешок - сняла и не пользуюсь, лучше бы была небольшая ручка.</t>
  </si>
  <si>
    <t>Долго выбирала и остановилась на этой модели. Удобное расположение ручек,качественные чугунные решетки и классический вид решили выбор. Покупала около 3 лет назад. Нареканий нет.</t>
  </si>
  <si>
    <t>Картинка очень хорошая.  А функционально уже вчерашний день.  Режим автоподстройки яркости от освещённости - работает как-то не так хорошо, как ожидалось. Ступеньками какими-то.  Звук в ТВ не использую - вывел на ресивер и всё стало лучше. Встроенный медиаплеер не сильно хорош - много чего не понимает. А то, что понимает почему-то выводит не на полный экран, а как ему вздумается.  На 9-м месяце родил вертикальную красную полоску на весь экран. Тоненькую, но мерзкую. Ждём мастера по гарантии.</t>
  </si>
  <si>
    <t>Купила сегодня и опробовала. Очень понравилось. А делать кашки малышу очень просто и быстро.  Единственное шнур коротковат, а остальное просто класс.  Всем советую, особенно если у вас есть маленькие дети</t>
  </si>
  <si>
    <t>Очень прост в управлении. Все функции нужные, хотя пользуемся, в основном, авто или ночным режимом. Очень тихий. Если очень сухой воздух, приходится каждый день заливать воду.И проблема с запасными картриджами. Но есть способ продления их жизни (можно найти в поисковиках).Белый налет на окружающих предметах и мебели присутствует и на родных картриджах.(Надо правильно располагать увлажнитель).Пользуемся пятый год. Свою прямую функцию выполняет на 5+.</t>
  </si>
  <si>
    <t>Совершенно не согласен с предыдущим высказыванием. Ужасный чайник, эксплуатирую пару лет, в первый же месяц внутри отлетела какая-то белая фигня, через ещё три месяца треснула пластиковая окантовка мерной шкалы около ручки, через год стал тупить, не отключался при вскипании, пару раз не включался, перестала открываться/закрываться крышка, только если подковырнуть ножом, и наконец занавес, начала протекать!! И это за два года!! У меня на даче древний филипс уже лет 10 и хоть бы хрен!! Чтоб я ещё раз купил подобное от БОРК, да никогда!! Псевдобренд Борк, зареганый в германии, о котором там даже не знают))</t>
  </si>
  <si>
    <t>210</t>
  </si>
  <si>
    <t>Долго выбирал среди имеющихся моделей, читал отзывы, и выбрал Black and Decker PAD 1200-XK. Купил как обычно - нечаянно.. :)) Приехали на дачу, поехали в кино в Серпухов, и тут я вспомнил что хотел пылесос :) Зашел в Мвидео, бонусная карта была собой, в результате сэкономил. В этот же вечер опробовал. Отличная тяга! Перевозил на дачу попугаев - рассыпал кучу корма.. 5 минут и проблема решена :) Очень доволен покупкой! Хотя в гараже есть и обычный пылесос, но как-то сложилось, что уборкой в машине приходится заниматься на даче :) и разматывать переноску вечно лень.. А тут минутное дело - вжик и чисто :) Очень рекомендую всем в авто!</t>
  </si>
  <si>
    <t>Купила данную модель по рекомендации знакомой. Нравится очень. Эстетичный внешний вид, мощность, пульт ДУ и таймер, что очень удобно.Рекомендую.</t>
  </si>
  <si>
    <t>Когда купил сначала получалось не все, виной всему было не правильная загрузка продуктов. С третей попытки полностью разобрался печет все идеально. Рекомендую всем. Так же хочу отметить что в комплекте две чаши для разной выпечки что очень удобно.</t>
  </si>
  <si>
    <t>Фен прекрасный. Работает отлично. Привлекла простота. Посмотрим что будет через год ))</t>
  </si>
  <si>
    <t>Купила эту машинку только  потому что  у меня была подарочная карта М.видео и я очень долго не знала, на что ее потратить. В результате решила добавить немного и купить такую машинку.   В зале была выставлена только Радуга -1 , а она размера гораздо меньше, поэтому были сомнения в покупке.   Машинка покупалась в комнату в общежитии для стирки в основном постельного белья и больших полотенец.   Покупкой я довольна! За 1 раз можно постирать  достаточно много мелочевки, большие вещи как пододеяльники рекомендуется стирать по одиночке. Машинку опробовала пока 3 раза, нареканий нет.   Из плюсов: удобно хранить в комнате и переносить в постирочную, можно загрузить абсолютно любой бака: от мелочевки до 2кг белья, можно открыть и просмотреть как стирается все, добавить порошок или добавить вещей. Стирка плотного хлопка занимает 15 минут всего.   Производитель рекомендует использовать порошок, как для машин автоматов, чтобы  не было излишнего пенообразования - я следую его совету, хотя встречала много мнений по этому поводу.    Машинка, конечно, требует постоянного участия - влива и слива воды, завода таймера. Но за такие деньги - такая возможность: постирать и прополоскать! Отжимать надо руками. Но если учитывать, что раньше вообще полный цикл был стирки приходилось делать руками, а сейчас только отжимать, то цены нет такой маленькой помощнице!</t>
  </si>
  <si>
    <t>На Новый год решила сделать семье подарок... И не ошиблась в выборе!!! Прекрасная печка!!! По началу не получалось, но со временем всё освоили... Теперь балуем всех вкусным хлебом =)</t>
  </si>
  <si>
    <t>Сразу же сломалась гребенка у механизма. позволяющего изменять наклон пылесборника.  На второй день сгорело зарядное устройство.Специалисты в ремонтной мастерской сказали, что сгорела обмотка и провод на входе.  Я бы не доверяла портить имижд  BORK китайцам. Понятно, что никогда больше не куплю технику этой марки.</t>
  </si>
  <si>
    <t>233</t>
  </si>
  <si>
    <t>неплохой ноут. шумит правда как самолёт,даже в полном простое при подключённой зарядке кулер работает на 100%.  и вот ещё не ясно - в спецах пишут видео память ddr3, а на деле проги пишут ddr2 :(</t>
  </si>
  <si>
    <t>Волосы не стрижет, а рвет, быстро нагревается.  Ножи становятся просто кипяток и если стричь без насадки удовольствие будет не из приятных у того кого стригут.  Попользовались раз 5 и уже собираемся покупать другую. Это не машинка для стрижки волос. Моя оценка  - 0.</t>
  </si>
  <si>
    <t>Раньше не могла пользоваться "каплями" выпадали из ушей,или ничего не было слышно. Но отец порадовал подарком.   Удобные,отличный звук. Самое главное что они долго служат. У меня каждая пара прожила больше года. Сейчас собираюсь из снова приобрести.</t>
  </si>
  <si>
    <t>Эти весы мне подарили на 8-е марта. Я очень довольна. Взвешиваюсь несколько раз в день, точность соответствует действительности. Правда, если шевелиться на них, когда они в процессе измерения, то результат может колебаться от настоящего. Очень легкие, безопасные для детей. Цифры все видно даже с плохим зрением. Если что, результат задерживается на экране секунд на 5. И симпатичные очень:)</t>
  </si>
  <si>
    <t>Печка просто супер, всем рекомендую</t>
  </si>
  <si>
    <t>Выпрямитель просто отличный. Очень бережно относится к тонким окрашенным волосам. Волосы не портятся даже при ежедневном(!) использовании на протяжении долгого времени. Всем советую.</t>
  </si>
  <si>
    <t>Я эту игру покупал год назад &amp;nbsp;чисто ради кооперативного режима. Так себе.. но миссии отличаются от одиночного прохождения. В кооперации дело обстоит в России и враги разговаривают на.. английском естественно!:) но маты! русские. Это так убого.</t>
  </si>
  <si>
    <t>Печёт хорошо, тёще нравится. Только через 4 месяца эксплуатации при замесе протекла немного, износился сальник.</t>
  </si>
  <si>
    <t>После двух недель использования, палка, которая держит веревки сломалась, и ничего уже не сделаешь,  только выкинуть, даже пастельное белье не выдерживает, мокрый пододеяльник и им конец...качество никакое. Не советую!</t>
  </si>
  <si>
    <t>До него был такой же но только 12 не хватало,продал купил этот,отличный глубокий бас,отлично отыгрывает как и рок,так и клубняк. Всем советую.</t>
  </si>
  <si>
    <t>Только купила этот эпилятор. Он у меня первый. Думала будет намного больнее, но оказалось вполне терпимо. Покраснения быстро прошли. Захватывает даже маленькие и тонкие волоски, но чем длиннее волоски тем больнее. Поэтому совет: сильно не отращивайте, 1 мм вполне достаточно. Считаю что за такую цену волне замечательное качество...жаль что по 10-15 раз приходится по одному и тому же месту проводить, но считаю что это все из-за особенности роста и направления волос.</t>
  </si>
  <si>
    <t>Итак, вода переливается уже минут через 20 после начала приготовления. Слабо верю, что это какая-то неисправность. Т.е. она работает, мясо готовится нормально, но выходящая из берегов вода, заливающая пол, выглядит на мой неопытный и непрофессиональный взгляд как ошибка проектировки прибора... Звонил в борк - там как будто не слышали о такой проблеме, сказали привозить (хотя я вроде платил за борк больше как раз ради качества и компетенции сервиса... а судя по отзывам, описанная мной проблема - не редкое явление). Готовит все же неплохо) Но получить у борка новую, работающую лучше, не отказался бы)</t>
  </si>
  <si>
    <t>Купил жене в подарок,неожидал такого результата,печёт всё что можно,фантазия неограничена,дали попробовать друзьям и родственникам все загорелись желанием преобрести и уже приобрели!!!</t>
  </si>
  <si>
    <t>Работает пока 3 дня. Фирма - австрийская, хотя сборка, конечно, - Китай, но очень качественная. Оказался самым мощным (у нас есть и другие напольн.вентиляторы, которые также в М-видео покупали... - удобный магазин). И абсолютно бесшумный!!  Пока смотрела в инете, он мне не приглянулся (не нравится "перекрестье", предпочитаю только устойчивые круглые подставки, для комнат, из-за паласов...), увидела в торговом зале, посмотрела ещё раз технические характеристики и решилась. Выбор оказался удачным: работает мощнее других вентиляторов (мож, потому, что указанная мощн. в хар-ке  = 60вт) и это спасает от солнцепёка...   Смотрится очень красиво! Хотя рассматривала только технические качества. Весь хромированный, блестящий.  Брала на кухню (10м2). Поэтому отсутствие пульта у этой модели для нас не принципиально (и так куча эл/приборов с пультами...) Выдувает жару на "раз!". Теперь на кухне - рай, приятно находиться в прохладе.</t>
  </si>
  <si>
    <t>Хороший набор посуды и отличное качество для своей цены. Закипает все в буквальном смысле за секунды. Очень удобна в использовании! Советую, не пожалеете.</t>
  </si>
  <si>
    <t>2015-01-09</t>
  </si>
  <si>
    <t>Отличное, лёгкое кино с классными актёрами. Смотрится на одном дыхании. О диске: Картинка на 5+, звук на высоте. Рекомендую.</t>
  </si>
  <si>
    <t>Вчера купил, сегодня отнёс! Его перестал видеть комп. Офигенный плеер, купи и тут же отдай..............</t>
  </si>
  <si>
    <t>Выпрямитель очень хороший! но с моими густыми волосами пока не очень справляется! единственный минус: сильно нагревается, а защиты от ожога нет, купила по отзывам - не пожалела!</t>
  </si>
  <si>
    <t>1115</t>
  </si>
  <si>
    <t>Тихая, достаточно мощная, очень удобная, привлекательный дизайн.  Своё дело делает на 5+  Что ещё надо от кофемолки?    Из минусов, кабель коротковат, но это не критично.</t>
  </si>
  <si>
    <t>Чайник прожил 4.5 года верой и правдой. И дзынькал нормально, и ничего не подтекало, пластиком не пахло.  И прожил бы ещё наверняка, если бы не этот дурацкий антинакипин. Всегда пользовалась уксусом, как ни смешно, а тут засыпала.   Пойду такой же новый куплю.</t>
  </si>
  <si>
    <t>Я - не музыкальный критик, конечно, но музыку люблю, поэтому заметил, что басы у наушников несильные, хотя в общем звучание хорошее и даже лучше, что не слишком много низких частот; как говорится, "без каши", поэтому меня они вполне устраивают. Длины провода всегда хватает с запасом, особенно когда смотришь ТВ, сидя на диване. В общем кому хочется достойный вариант наушников, советую присмотреться.</t>
  </si>
  <si>
    <t>купили 5 лет назад- пользуемся до сих пор! ни разу не подводила! 1 конфорка греет чуть медленнее других- я подстроилась) чистится очень хорошо скребком и спец.средством! советую)!</t>
  </si>
  <si>
    <t>2647</t>
  </si>
  <si>
    <t>2 косяка из всего сплита: - китайский пульт, просто убогий, не информативный. Также не информативен внутренний блок, 2 лампочки и все. НО, я считаю, что это мелочи. Включил программу и работает на том режиме который тебе нужен. А сколько там температуры за бортом, влажность воздуха, степень разряженности воздуха и прочее - все это можно найти на китайских кондерах, его заведомо пичкают подобными игрульками, чтоб хоть как-то затянуть покупателя. (К примеру проф.музык.аппаратура - только кнопка вкл\\выкл и громкость, соответ, зачем что-то подкручивать еще..?!)</t>
  </si>
  <si>
    <t>Пользуюсь этим товаром в течение 3-х недель. Выбирал электрокофемолку малой мощности, небольшой загрузки кофе на размол и имеющую металлическую чашку</t>
  </si>
  <si>
    <t>1258</t>
  </si>
  <si>
    <t>Подарили на восьмое марта, пользуюсь! Все работает отлично, с зарядкой никаких проблем, все насадки использую!!! Великолепная машинка, советую покупать))</t>
  </si>
  <si>
    <t>Купили чуть больше года назад для уборки пыли с ламината (не ковры!). Постепенно падала мощность всасывания, на прошлой неделе замолчал совсем. Почистить двигатель невозможно, он не разбирается. Ремонтировать нет смысла, по цене равноценно покупке нового.</t>
  </si>
  <si>
    <t>Данная видеокамера работает на Full HD только на фоторежиме. На видео пользовательский формат -720-576 пикселей. Очень огорчён был был покупкой,хорошо,ребята из М.видео быстро исправили ситуацию,поменяли на PANASONIC.</t>
  </si>
  <si>
    <t>Долгое время была любимой, но постепенно стала меньше держать заряд. Увидел PRO-6000, тоже орал-би, но намного красивее внешне, решил купить ее. Она конечно лучше. Но до этого и 3000 вполне устраивала. Удаляет налет конечно просто на ура</t>
  </si>
  <si>
    <t>Преобретен 30.04 и испытан в путешествии в Беловежскую пущу с 1 по 5 мая семьей из 3-х человек (папа+мама+сын). Полностью оправдал свое предназначение - поить горячим чаем в нумерах, при отсутствии чайника в номерах белорусских д/о и гостиниц. Закипает быстро, никакого запаха пластмассы. В комплекте два стаканчика и две ложечки, но для 3-го с посудой никаких проблем не возникало :) Да, автоматика срабатывала без нареканий. Еще из нямок - фильтр-ситечко в носик (это фишка всех Тефалей, по-моему) и мешочек-чехольчик :) В, общем, проверено - рекомендуем.</t>
  </si>
  <si>
    <t>2975</t>
  </si>
  <si>
    <t>а вот и не правда, у нас 2-й год и пока никаких жалоб, прекрасно для минимум цены!</t>
  </si>
  <si>
    <t>Фотик просто класс особенно 10 кратное увеличение.Покупайте не пожалеете.</t>
  </si>
  <si>
    <t>Мне блендер очень понравился, за эти деньги отличная вещь!!! Делаю супчики пюре, замешиваю тесто, коктейли! Я 100% довольна, куплю еще один - подарю бабушке на Новый год)))</t>
  </si>
  <si>
    <t>Nokia 3720 на 5+ .</t>
  </si>
  <si>
    <t>2013-07-17</t>
  </si>
  <si>
    <t>Телефон катастрофа! На солнце произвольно просто сам по себе по экрану пошли трещины. Экран просто потек. Как сообщили специалисты, это вызвано нагревом самого аппарата. Разве это нормально? Выкинул деньги на ветер! Посмотрим, будет ли осуществлен гарантийный ремонт или замена! Выбирая этот аппарат серьезна задумайтесь! Дешевый пластик, экран который сам трескается и тормозящая операционная система за очень приличные деньги, нужен вам такой телефон? Не повторяйте мою ошибку!</t>
  </si>
  <si>
    <t>Купила машинку в сентябре, в апреле уже начало глючить электронное меню, пришлось воспользоваться ПДО, проблему устранили быстро, сейчас работает нормально, тьфу-тьфу. В целом машинка хорошая, правда, громковато шумит, но зато можно одеяло синтипоновое без проблем в ней постирать. Решайте сами! :)</t>
  </si>
  <si>
    <t>ноут класс, мощный и быстрый, мне пока нравится. Тока для меня один минус, клава не подсвечивается.</t>
  </si>
  <si>
    <t>Самый тупой телефон из NOKIА! Купил его в сентябре и через неделю сдал назад в магазин. Фильмы по сравнению с Iphone 3gs и 4 полное г*****, изображение тоже г*****. Берите Iphone 4, с ним вы будете счастливы!</t>
  </si>
  <si>
    <t>2814</t>
  </si>
  <si>
    <t>Твёрдая "четыре", но не больше, свои деньги отыграет, но картинка у BBK BD3000 - поинтереснее, хотя твёрдо можно ставить в ряд с Pioneer DV LX-50 по качеству картинки с DVD, в общем можно рекомендовать - берите !!</t>
  </si>
  <si>
    <t>Отличная стиральная машина, всё умеет, стирает быстро и качественно. Очень хорошо отжимает. Всем рекомендую!</t>
  </si>
  <si>
    <t>2083</t>
  </si>
  <si>
    <t>То что 288 гигов свободно, потому что на харде образ винды есть, и когда у тt,я винда слетит? ты сможешь воcстановить ее за 10 минут из этого образа! Увидеть этот раздел винды можно только через прогу спец.</t>
  </si>
  <si>
    <t>Купила недавно этот выпрямитель. Долго выбирала, но остановилась на нем. Это самый функциональный и надежный из всех, которые есть выпрямитель. Волосы у меня вьющиеся и он в определенном температурном режиме идеально их выпрямляет без повреждений. Советовала бы приобрести именно этот товар! Он очень удобный!!!</t>
  </si>
  <si>
    <t>Весной мы купили встраиваемый электрический духовой шкаф Samsung BF68CDB, а сейчас закончили ремонт в кухне. Не могу нарадоваться своей новой духовке! Дизайн без лишних кнопок смотрится великолепно и удивляет друзей. Пироги получаются очень хорошие и воздушные. Я думала, что сложно будет управлять духовкой, но разобралась с 1 раза - все очень просто! Функция очистки паром помогла мне легко избавиться от жира на стенках и стекле после приготовления запеченой курицы. Рекомендую этот духовой шкаф всем, кому нравится сочетание качества+легкость управления+стильный дизайн.</t>
  </si>
  <si>
    <t>Пока пробовал только без пены, очень понравились. Ни в какое сравнение не идет со станком. Бреет чисто, раздражения нет.</t>
  </si>
  <si>
    <t>1854</t>
  </si>
  <si>
    <t>Меня спасал этот кодёр 2 лета ))) и надеюсь на него в дальнейшем! есть некоторые неудобства но когда стоит ЖАРА на улице что сил нет - эти неудобства кажутся мелочью!!! )))</t>
  </si>
  <si>
    <t>2015-03-16</t>
  </si>
  <si>
    <t>Замечательная стиральная машина! все что нужно-это только самому залить воду, что, впрочем, совсем просто (я протягиваю душевой шланг и заливаю) и в конце стирки отжать белье перед определением на сушку, все ручные манипуляции занимают максимум 15 минут при полной загрузке. Живу в общежитии и имеются проблемы с подключением машины-автомата, решилась попробовать данную модель. Была приятно удивлена удобством, соотношением цена-качество и главное результатом! пользуюсь уже около 2 месяцев, перестирала все, включая пуховики, шторы, постельное белье! я в восторге</t>
  </si>
  <si>
    <t>2017-02-19</t>
  </si>
  <si>
    <t>Легка в руке и в обращении, насадки меняются легко и быстро, работает тихо и быстро</t>
  </si>
  <si>
    <t>Повторяюсь, но: шумит так громко, что заглушает не только телевизор, но и собеседника, если таковой имеется рядом; корпус сильно нагревается, не видно уровня воды, очень тяжелый, крышка стала не закрываться через месяц, накипь на дне появляется сразу же, но что больше всего меня шокирует, так это то что сеточка-фильтр пропускает накипь! У меня грудной ребенок, напрягает... А мне приходится до конца чай не допивать. Да еще сеточка порвалась (сама) на 2 мес. использования.</t>
  </si>
  <si>
    <t>Очень-очень-очень довольна! Фен мощный, корпус во время работы не греется, к расположению кнопок можно привыкнуть (я держу его чуть боком и ничего не переключаю в процессе использования), режимов работы хватает на все случаи жизни - можно регулировать и скорость воздушного потока и температуру. Отлично создает объем! Первое впечатление после использования было - вещь реально профессиональная.</t>
  </si>
  <si>
    <t>Чайник подарили нам на свадьбу ровно 8 лет назад. Я в жизни не видела чтобы электрочайники столько работали. Хороший не броский дизайн, отлично (быстро) греет, тихий, легко мыть. Чайник замечательный, до сих пор работает без каких-либо нареканий, собрались менять, т.к. чистящее средство (грешу на него) разъело пластмассу (где шкала уровня воды), теперь протекает. Думаю купить такой же!</t>
  </si>
  <si>
    <t>Подарил маме на Новый Год...За свои деньги очень хорошая вещь. Собрана качественно, не тяжелая, приятная на внешний вид.   Функции основные есть, но есть одно но:  Пузырьки отличные. Вибрация тоже хорошая, а вот подогрев... Он рассчитан на то, что если вы налили воду, например, 60 градусов, то не надейтесь что она такой и останется - из-за пузырьков она быстро остывает и подогрев рассчитан на поддержание температуры 36-40 градусов. Поэтому вода в общем-то остаётся действительно тёплой, но если кто-то хочет оставлять воду какой и была - ищите что-то другое, т.к это не кипятильник всё же. Да и если бы она смогла поддерживать температуру на первичном уровне - то это был бы уже какой-то чайник.     А так всё отлично, мама в восторге.</t>
  </si>
  <si>
    <t>2016-09-29</t>
  </si>
  <si>
    <t>Треснула и потом развалилась,пластик слабый,антипригарное покрытие стерлось,все плохо.</t>
  </si>
  <si>
    <t>Ставлю твёрдую четвёрку прекрасный ужастик неплохая цена отличная графика и очень хороший проработанный движок! Конечно за локализацию на бал ниже вторую часть можно было бы и русифицировать озвучку а так только титры! Удачной игры ирайте в Xbox!</t>
  </si>
  <si>
    <t>Выбирал хлебопечь, которая печет хлеб без клейковины, и кенвуд как раз обладает этой функцией, Проста в управление, еще в подарок дали книжку с рецептами.</t>
  </si>
  <si>
    <t>2398</t>
  </si>
  <si>
    <t>Купил недавно, очень доволен. Постоянно подключаюсь через HDMI&gt;HDMI с компьютером. Очень яркие и четкие изображение, даже лучше показывает чем глянцевый экран ноута. Смотрю 3D фильмы в очках, натуральный кинотеатр. С флешки отлично читает mp3 и jpeg. То что видео не воспроизводить, об этом честно написано. Насчет 2 тюнера, об этом даже не написано. Что за картина с графикой или внутри графика (Picture in graphics) не знаю. Но по-моему на этом агрегате тюнер цифровой, по этому с цифровом телевидением проблема не должно быть.  Прошить всего за 5 мин. Перед тем как качать, проверьте ПО телика, кнопка Home&gt;Установка&gt;Обновление ПО&gt;Установленный ПО. Качайте прошивку и распакуйте на флешку. Скопируйте autorun.upg на корень флешки. Выключите телик и ставьте флешку. Включите телик, после распознавание флешки на экране отобразиться меню. Выбираем Установка&gt;Обновление ПО&gt;Локальное обновление. Дальше сами все поймете.  P.S. если подключаетесь HDMI&gt;DVI, то обязательно надо иметь джек-джек для звука. А то звук будет только на компе.</t>
  </si>
  <si>
    <t>выбор фенов огромный. взгляд сразу упал на профессиональную форму фена. долго не разгдядывала.подумала - холодный режим есть да и ладно. всем довольна. качество хорошее. из недостатков могу отметить что немного тяжелый. руки устают, когда долго делаешь укладки.</t>
  </si>
  <si>
    <t>Пользуюсь им больше года. В последнее время сильно виснет, сам   выключается, сам включается...  А так телефон отличный.   Камера хорошая !!</t>
  </si>
  <si>
    <t>усядусь в кресло перед телевизором высокого разрешения 127 диагональ 100 герцовый  и прибьюсь по Kane &amp; Lynch 2:Dog Days... экшн сделали  реально  снятую под любительскую камеру со всеми деталями ,кровавая криминальная история для настоящих пацанов</t>
  </si>
  <si>
    <t>А мне всё нравится, купила примерно 2 месяца назад, всё супер. И кстати, любой телевизор, кроме ЖК, наверное, будет бликовать, обычный ЭЛТ и то бликует, выход нашёлся достаточно просто, у меня плазма расположена против источника цвета, и никаких бликов днём нет, правда пришлось сделать маленькую перестановочку, но это мелочи. А то, что кому-то не нравится эфирка, так это дело вкуса, по мне нормально, и в настройках особо не ковырялась. Да и за такую цену я особо не парилась по поводу недостатков :)</t>
  </si>
  <si>
    <t>977</t>
  </si>
  <si>
    <t>На счёт электроники сказать ничего не могу. Но с баком натерпелись. После сезона работы (за лето) побежал бак. Благо живем на первом этаже, а то были бы проблемы и с соседями (залились). После гарантийной замены (ладно хоть поменяли) бак потёк и с нового помененного водонагревателя. На ремонт уже не повезу, не хватает ни нервов, ни желания. Плохая техника.</t>
  </si>
  <si>
    <t>В общем аппарат хороший, настроек не очень много, но и не мало. Качество изображения, для экрана такого размера, на 5.  Качество звучания на 4.  Юзал бы и дальше, но вот спустя 4 месяца после установки,  начались проблемы с регулятором громкости. При добавлении громкости магнитола могла сама поднять на 3-5 делений и сразу же скинуть 5-6 ниже... Благо пульт в комплекте. Сдал в гарантию. При сдаче в гарантию меня заверили, что это разовый случай.  В остальном магнитолой я доволен.</t>
  </si>
  <si>
    <t>Пользуюсь щеткой 2735E около недели. Мне очень нравится! Мощная, волосы не пушатся, благодаря ионизации; щетина кабана на двух щетках, одна крутится в двух направлениях - очень удобно! Вторая щетка - как обычная круглая и из нее дует воздух, третья - как утюжок, четвертая - как обычный фен, выдувает из отверстия). Немного отходит насадка большая от ручки при сушки.  Вместо потраченного времени на фен и потом утюжок - пользуюсь этой щеткой 10 минут. Babyliss зарекомендовали себя как лучшие! советую!</t>
  </si>
  <si>
    <t>Купила утюг в М.Видео 2 месяца назад. Очень довольна покупкой! Утюг необычного дизайна, удобен в использовании: большой резервуар для воды, длинный шнур. Пара выдает много, соизмеримо с парогенератором. А также сборка немецкая, гарантия двухгодичная. Недостатков пока не обнаружила.</t>
  </si>
  <si>
    <t>Соковыжималка отличная! Жмых сухой, сок прозрачный! Радует малошумность и большой контейнер для жмыха. Рекомендую!!!</t>
  </si>
  <si>
    <t>2017-01-23</t>
  </si>
  <si>
    <t>цена, функциональность</t>
  </si>
  <si>
    <t>2014-01-24</t>
  </si>
  <si>
    <t>Покупал супруге на подарок. Очень довольна. Простое использование. Приятный внешний вид. Оптимальное соотношение \цена-качество-функционал\. Из минусов: нет маслёнки.</t>
  </si>
  <si>
    <t>Доброго времени суток! Мне эта микроволновка прослужила 1,5 года, затем вышел из строя блок управления - точнее шлейф наборного поля, вот сейчас пытаюсь найти на митинском радио-рынке.</t>
  </si>
  <si>
    <t>Покупкой доволен,прежде чем купить изучал иностранные топы по мобильным кондеям,именно эта модель занимает везде первые места (для разных стран ее делают с разными индексами и небольшими отличиями в характристиках),самый приятный дизайн из всего что я видел,работает вобщем как и все с ШуМоМ,но в том году был другой в офисе так гудел вообще как трактор, так что тут все получше имхо опять же,брал на всякий случай(вспоминая жуткое лето 2010),для дачи...но пока стоит дома,думаю это лето погоняю его в Москве ....проведем тксказать.."испытания" )))</t>
  </si>
  <si>
    <t>Пылесос просто супер. очень довольны!</t>
  </si>
  <si>
    <t>Пользуюсь месяц и не вижу ни каких проблем. Мощности на всё хватает, идеально собирает кошачью шерсть с ковра со средним ворсом. Более того пылесосит пол даже через циновку, так что не знаю чем там выше отписавшаяся мадам не довольна по поводу мощностей (скорее всего банальное не соблюдение инструкции). Не знаю на каком пылесосе за такие смешные деньги есть моющийся фильтр.     Итог: пылесос который пылесосит. 5 баллов</t>
  </si>
  <si>
    <t>Купил я этот телевизор Маме на день рождение. Вооот, предыдущий Александр написал, что телевизор супер и я решил купить. И чего-то я очень расстроился покупке! Качество изображения очень-очень среднее, указанных в характеристиках контрастности и яркости я что-то не ощутил. Если светит солнце изображение еле видно, всё отсвечивает, от плазмы я ожидал большего! Пульт д/у в смысле функционала очень не удобен. Например если нужно вкл. режим слип необходимо влезть в основное меню и там искать, какого это сделать пожилому человеку? Например на Панасонике достаточно нажать одну кнопку и всё готово. В итоге нет некоторых функций указаных в перечне. Например картинка в картинке, картинка и картинка. В общем ужасная покупка, кроме того, что он огромный нет ни  одного плюса. Теперь я жалею о своей покупке! Не сделайте ту же ошибку!</t>
  </si>
  <si>
    <t>Лучшего симулятора я ещё не встречал. Хорошая графика, отличная физика. Уйма трюков и их разновидностей. В ходе импровизации можно совмещать разные трюки. В игре много опасных мест там где можно только гриндовать, смотрится поразительно! Всем советую!</t>
  </si>
  <si>
    <t>Отработал честно 7 лет</t>
  </si>
  <si>
    <t>Подарили на День рождения. Не было духовки, а так хотела запеканки готовить, мясо в фольге, пирожки. Мечта сбылась! замечательнейшая вещь! Столько уже всего наготовила)Процесс приготовления виден, все великолепно пропекается, я мясо в горшочке какое! ну просто объеденье)  А рыба))) Сочная) Единственный недостаток: это съемная крышка. Поначалу обожглась несколько раз. Сейчас снимаю крышку рукавичкой.  Никакой пластмассой не воняет, не верьте, если нет изначального заводского брака, конечно.</t>
  </si>
  <si>
    <t>Это моя первая электробритва! Пользуюсь уже месяц, и у меня сложились только положительные впечатления!!!</t>
  </si>
  <si>
    <t>1274</t>
  </si>
  <si>
    <t>меня не подвел ни разу за год! соотношение цена-качество!особенно нравится измельчать лук!))) 3 секунды и готово!</t>
  </si>
  <si>
    <t>Купили год назад увлажнитель, не могли нарадоваться никак. Через 3 месяца сломалась мембрана. Отремонтировали по гарантии, через день опять сломался. Обменяли на новый, проработал новый чуть подольше. Пока гарантия есть еще, пойду сдавать.</t>
  </si>
  <si>
    <t>Отличный фен!!!!! Удобный дизайн, мощный поток горячего и холодного воздуха, ооочень довольна!!! Пользуюсь им уже 3 года КАЖДЫЙ ДЕНЬ, и надеюсь ещё долго использовать!!! В общем ВЕЩЬ есть ВЕЩЬ!</t>
  </si>
  <si>
    <t>вообще sony bravia одни из лучших телевизоров на рынке техники. Мой друг взял такой телевизор и не может нарадоваться ну и я решил  взять просто шедевр нарадоваться не могу!</t>
  </si>
  <si>
    <t>А можно узнать комплектацию данного товара? я купила расческу, но кроме нее в комплекте ничего нет. должно быть или нет? заранее спасибо.</t>
  </si>
  <si>
    <t>1356</t>
  </si>
  <si>
    <t>Удобный функционал, быстрое переключение с функции пара на приготовление кофе</t>
  </si>
  <si>
    <t>Отличный пылесос. Работает уже более двух лет, в принципе никаких проблем не возникало.  В комплекте очень удобный контейнер и необходимые для хорошей уборки насадки. Щёткой очень удобно чистить клавиатуру.    Из минусов: тяжело сматывается шнур, фильтры раз в 5 уборок хотя бы необходимо мыть, иначе будет плохо всасывать пыль.  Советую к покупке.</t>
  </si>
  <si>
    <t>1) Плюсы были только когда обратили внимание на внешний дизайн и доступная цена(при срочной покупке на время).   2) Минусы   -сильно греется корпус(очень сильно, даже нельзя дотронуться ни снизу ни сбоку). Стояла на временном деревянном столе на  толстой резиновой подставке, которую постоянно меняли т.к. она выгорала и сыпалась как песок, в этом месте и деревянный стол поврежден весь потрескался.  -регулятор температуры при установке от  1 до 3 первое время греет(методом нагревания до максимальной температуры), после чего отключается почти до полного остывания. Готовить так сложно приходилось вручную ставить максимум и при закипании выключать    -нагревательная панель первое время отмывалась с большим трудом от следов приготовления, а сейчас практически вся поверхность покрылась ржавчиной, т.к. верхний слой снимался с грязью.  -на дне новой посуды остаются темные пятна, от сильного накаливания на  max  Приобреталась 01.2015.  использовать такую плитку желания нет и так же не советую другим.</t>
  </si>
  <si>
    <t>Купил данный пылесос, но назывался он Ханса еще в 2007 году, никаких проблем вообще не было. Чистит все очень достойно, единственное что не устраивало, отсутствие в продаже сменного НЕРА-фильтра, тем более их там 2. А по поводу контейнера, мыть на самом деле сложновато.</t>
  </si>
  <si>
    <t>Вчера купила сей девайс. Естественно, придя домой сразу протестировала. Довольно шустрый для своих параметров. Я ему поставила задачу не зависнуть при выполнении установки антивирусника, просмотра клипа, закачки из интернета фильма, работая в это время в ворде. Со своей задачей он успешно справился, не задумавшись ни на минуту!  Очень понравился внешним видом, строгий, аккуратный, кнопочки удобные с большими буквами. Кроме того, наличие за такую стоимость веб-камеры, кард-ридера особенно приятно удивило :))  Да и марка e-Machines хотя и бюджетная, может у кого-то не вызывает доверия, но я могу сказать точно, что в моей семье я третий человек, который купил ноутбук этой марки. Причем первые два работают отлично, без всяких лагов, не тормозят :))    Так что, ставлю твердую 5, и советую тому, кто раздумывает купить или нет, ПОКУПАЙТЕ!!! :)))</t>
  </si>
  <si>
    <t>Всем довольна.</t>
  </si>
  <si>
    <t>купила три месяца назад этот телефон,пищу от восторга...все удобно и качественно)))в нем все устраивает никаких глюков,слайдер надежный,за такую цену телефон достойный))))Рекомендую))</t>
  </si>
  <si>
    <t>1472</t>
  </si>
  <si>
    <t>2013-08-28</t>
  </si>
  <si>
    <t>Вчера ходил менять в М-Видео купленный аккумулятор DU14 AcmePower, без проблем заменили, тут же ставлю его в камеру(взял с собой)и опять брак-аккумулятор не фиксируется в камере, выпадает, вернул деньги. Не советую покупать данный товар.</t>
  </si>
  <si>
    <t>1733</t>
  </si>
  <si>
    <t>Специально зашел на сайт, чтобы высказать свою благодарность продавцам магазина в Балашихе (Вертикаль), которые порекомендовали данную модель вентилятора. Все необходимые и требуемые функции имеются в данной модели. Это и бесшумность, и компактность, и стиль, и пульт дистанционного управления. Все что искал - нашел. Еще раз благодарю консультантов за рекомендации.</t>
  </si>
  <si>
    <t>Покупайте игра супер!Сюжет изумительный , да и сами действия в игре тоже на высоте!</t>
  </si>
  <si>
    <t>Проигрыватель видео с флешки есть, только нужно включить его через сервисное меню телевизора. Ищите информацию на форумах.</t>
  </si>
  <si>
    <t>2457</t>
  </si>
  <si>
    <t>была похожая проблема,уделите особое внимание антенне,купите хорошую антенну(что б у нее было подключение к питанию)с усилителем сигнала и я думаю все будет в порядке.</t>
  </si>
  <si>
    <t>Купила вчера. Сегодня отжала 3 морковки и соковыжималка испортилась. Вот Вам и BORK S800. Теперь меня ждет куча хлопот по ее возврату. Бесполезный кусок железа.</t>
  </si>
  <si>
    <t>Большой плюс, возможность подключения к горячей воде и отключение тенов, в таком режиме, машинка практически не потребляет электроэнергию. Хорошо и быстро моет по сравнению с др. машинками этого класса. Из минусов: очень далеко находится емкость для ополаскивателя.</t>
  </si>
  <si>
    <t>2470</t>
  </si>
  <si>
    <t>купил сие чудо чуть меньше недели назад и никак не мог нарадоваться. все отлично показывает, воспроизводит. телевизор у меня ловил плохо, но это не беда. Беда как раз случилась позже-вчера вечером плеер завис, экран светится, а реагировать отказывается. пробовал юзать ресет, но тщетно. девайс просто потрясающий, но вот не отвис спустя ночь =( подскажите, мб кто уже встречался с таким траблом, что делать?</t>
  </si>
  <si>
    <t>Газовая панель замечательная! Очень удобно пользоваться. Имею 4-х летний опыт приготовления пищи. Готовить приходилось на 3-х разных девайсах. Эта панель просто супер. Отвечает всем моим потребностям. Рекомендую всем!!! Удачной готовки!  P.S.: Если берёте с доставкой, не поленитесь, зайдите на офф. сайт и посмотрите комплектацию. Мне её доставили с 3-го раза.</t>
  </si>
  <si>
    <t>ребят он прошитый или нет ??????</t>
  </si>
  <si>
    <t>Отличные весы. Работают уже больше года, показывают правильно. Среди электронных весов очень много встречается глючных, не зависимо от фирмы. Тут видимо как повезёт.</t>
  </si>
  <si>
    <t>2014-10-15</t>
  </si>
  <si>
    <t>Приобретали в 2011 г, теперь переезжаем в новую квартиру, снова будем покупать эту же модель! Она красива и функциональна. И стоимость для такой шикарной вытяжки считаю приемлемой</t>
  </si>
  <si>
    <t>860</t>
  </si>
  <si>
    <t>Купили пылесос в декабре 2013г. Пылесосили максимум раз 15 - в марте 2014г. Аппарат стал ужасно гудеть, издавая пронзительный шум. Привезли в сервисный центр. В результате - акт выполненных работ с указанием фразы не гарантийный случай. В общем, думаю лучше купить более дорогой аппарат. А это -пустая трата денег!</t>
  </si>
  <si>
    <t>купил такой нетбук,а через полгода уже сломались колонки.  сдал в гарантийку.судите сами...</t>
  </si>
  <si>
    <t>Компьютер просто класс!!! Производительность отличная, экран супер, правда нужно привыкнуть к Mac OS, но для тех кто работал на маке до этого думаю это не проблема. Компьютер купила неделю назад (до этого был ПК с виндой), очень довольна, установила с помощью Parallels desktop Windows 7 , на нее офис 2007 и купила iWork(увы у меня комп с винды на печать не отправляет). Инет настроить без проблем интерфейс очень простой, все понятно. Те кто предпочтут этот вариант, думаю не пожалеет :))) Отдельная история с мышкой и клавиатурой, читала много разных отзывов, о своих могу сказать, работают отменно без нареканий, мышка очень удобная привыкаешь мгновенно!</t>
  </si>
  <si>
    <t>38</t>
  </si>
  <si>
    <t>Ноутбук очень мощный, но самое главное он очень тихий, +очень сильно порадовали встроенные программы и вебкамера (она очень четкая), куча полезных программ (Acer Acadoe Deluxe,Word 2007 и многое другое).  Но я поставил 4, так как зарядка садится очень быстро(возможно, это из-за размеров и мощности ноутбука).  Но в целом комп идеальный.</t>
  </si>
  <si>
    <t>2837</t>
  </si>
  <si>
    <t>Очень довольна покупкой. Приемлемая цена,быстрое нагревание, классное скольжение. У меня очень кучерявые волосы, но за 15 минут они прямые. Всем рекомендую не пожалеете!</t>
  </si>
  <si>
    <t>Работает уже 4 месяца. Проблем нет. Очень удобная.</t>
  </si>
  <si>
    <t>2014-05-12</t>
  </si>
  <si>
    <t>Написано стеклянный противень, его нет. Лично у меня, жарит только с одной стороны (слева) , справа ничего не пропекает , после 30 минут работы начинает звенеть, режим мойки (50 градусов и поставила 500 мл воды на противень ) через 20 минут вода потекла прямо на пол ...Возвращаю.</t>
  </si>
  <si>
    <t>Использую для включения утром электро-чайника.</t>
  </si>
  <si>
    <t>Дааа не ожидал поставил два таких и усилитель на 3500w так у меня в 2113 чуть стёкла не отпадывают, приходится открывать, очень хороший, слышно метров за 50 и я не шучю волосы на голове шевелятся и не только на голове вот на днях накопитель взял ну что могу сказать у меня слов нету, не у кого нету лутши саба как у меня.</t>
  </si>
  <si>
    <t>Игра просто супер. Я себе её такой и представлял, невероятно атмосферная, депрессивная, с лихо закрученным сюжетом и реальным правом выбора и выбор этот не пройдёт в пустую, а действительно что то изменит. Перевод отличный, актёры играю великолепно, действительно веришь в происходящее. Графика выполнена на все 100, и именно благодаря ей и игре актёров погружаешься в игру с головой, и испытываешь те же чувства, что и персонаж будь то страх или отчаяние.     P.S. Брать всем владельцам PS3 обязательно!</t>
  </si>
  <si>
    <t>Мне все понравилось! Девушки, если у вас вскоре после выпрямления появляются волны, это не значит что товар некачественный. Всё зависит от ваших волос и от влажности, в которой вы находитес, если она высокая, то волосы будут принимать естественное состояние.</t>
  </si>
  <si>
    <t>Легко устанавливается, быстро греет (15 минут и 8 литров горячей воды готово - думаю этого количества воды вполне достаточно, чтобы помыться когда отключат горячую воду летом), компактный - много места не занимает. Всем советую!!!</t>
  </si>
  <si>
    <t>Очень довольна, отличное качество.Советую.</t>
  </si>
  <si>
    <t>2155</t>
  </si>
  <si>
    <t>2014-10-31</t>
  </si>
  <si>
    <t>Звук в наушниках отличный, хорошие басы. На ушах держатся уверенно, за два года крепление не разболталось. Правда, я что-то на них поставила, и отломалось "ушко". На днях пойду покупать такие же, они чудесные!.. Особенно, если учесть цену.</t>
  </si>
  <si>
    <t>для такого набора цена явно завышена,разница с комплектом для 4 х канального усилителя 200р всего. а основной и жырный минус этому комплекту изза того, что силового кабеля (красного)мне нифига не хватило!прокладывал без лишних изгибов все как надо ,а его нормально не хватает из обшивки провод не торчит в багажнике!буду наращивать. авто Honda Civic 4D</t>
  </si>
  <si>
    <t>Пользуюсь телевизором 2 года, очень доволен, четкая картинка, хороший звук.</t>
  </si>
  <si>
    <t>телефон не очень, не советую брать тем людям, которым нужен громкий телефон , этот телефон очень тихий и фото камера у него галимая, у меня он уже 3 месяца, экран галимый, я с ним на морозе погулял где-то 5 часов, домой пришел - экран треснул !</t>
  </si>
  <si>
    <t>На многих сайтах встречаются отрицательные отзывы - мол, быстро и часто ломается. Не согласна. Отличный прибор, но у моего обнаружился один серьезный недостаток. Каким-то загадочным образом, после чистки от накипи он некоторое время не отрабатывает полный цикл - выключается сразу после закипания воды. "Лечится" эта проблема только настойчивым повторением - "слить-прополоскать-снова налить-включить-засечь сколько времени работает". Если снова рано выключается, то повторить все заново через 15 минут. Мне требуется несколько повторений, чтобы привести прибор "в чувство". С маленьким ребенком перерывы получаются побольше... так что уходит иногда полдня. В ремонт нести бессмысленно, там это не лечат, а пожимают плечами.    Но во всем остальном - отличная вещь, молокоотсосы и бутылки, соски и прочая ерунда - все влезает.</t>
  </si>
  <si>
    <t>1621</t>
  </si>
  <si>
    <t>Антивирус AVG просто супер. Пользуюсь им уже два года. Защищает практически от всего, что есть плохого в глобальной сети. Рекомендую всем именно его.</t>
  </si>
  <si>
    <t>Live будет запущен официально в России в этом году.  Jasper, который сейчас продаётся в Мвидео, он намного качественнее чем Slim версия (посмотрите ролик, где мужик её разбирал) и Slim версия не прошивается.</t>
  </si>
  <si>
    <t>Первое время было непривычно, что постоянно горит синяя подсветка. Через 3,5 мес. у чайника стал барахлить вкл/выкл.: включался раза с 10, несколько раз приходилось самой выключать, т.к. он кипел не выключаясь самостоятельно. В магазине нам его успешно обменяли на другой такой же и вот уже больше года он исправно работает. Может, какая-то партия была бракованной, не знаю. Но пока замечаний не наблюдаю.</t>
  </si>
  <si>
    <t>Работает</t>
  </si>
  <si>
    <t>Плюсов нет. Не работает.</t>
  </si>
  <si>
    <t>Сегодня купил её в М.Видео, но готовился к этому начиная с мая (т.е. копил деньги, искал как можно больше информации в Инете насчёт приставок седьмого поколения и т.п.)  Сам студент, имею немаломощный ноут, на котором играю в свободное время вот уже полгода... Но хотелось чего-то ярче, чего-то зрелищнее, да и в конце концов, проще (без этой бесконечной оптимизации игр "графа = фпс", за которой я проводил, наверное, большую часть "отдыха"). Нет, настройки-то удавались, но с каждой новой игрой было всё труднее...  Решено было приставку, но какую?  Нинтендо отбросил сразу, а вот противостояние Сони и Майкрософт пережил на собственной шкуре - слишком много уже было сказано, но скажу своё мнение...  Весь школьный период жизни прошёл под PlayStation 1 (такой серенький и большой). По идее, я сразу должен был отказаться от "приставки Билла Гейца" (по соображениям верности), но нужно было всё проверить... Я узнал о них почти всё, что нужно, а что и нет.  Почему PlayStation 3? Насчитал намного больше плюсов (в три раза, чем у Бокса), но скажу главные...  Купить Гроб 360, прошить его и писать самому диски или покупать где-то на Горбушке - неинтересно. Да, да! Взял специально старый Бокс у друга, тот что первый (прошитый) и понял это. Да и на ноуте всегда лицензия была лучше, как-то приятнее что-ли...  Отсутствие Вай-Фая (без доп.платы), Блю-Рэя и большого HDD на Боксе было не так смертельно, как его уровень шума, постоянные перегревы (сужу по отзывам моих знакомых) и неимение таких вещей как Heavy Rain, Gran Turismo 5 и Metal Gear Solid 4 или хотя бы достойных их аналогов просто ставило его ниже Нинтендо.  Не для кого уже не секрет, что в PSN Store игры, конечно, не все, но стоят в 2-3 раза дешевле, чем на дисках. И это лицензия! А дополнения, музон, темы и т.п. - вообще бесплатно.  Короче, советую всем, кому нужен полный мультимедийный центр со всеми удобствами, так сказать... Или тем, кто был счастливым обладателем Первой, Второй или Портативной Сони. Увидимся в PSN!</t>
  </si>
  <si>
    <t>Извиняюсь за дезинформацию. Батарею надо было "закалить". После второй зарядки держал 2 дня с редкими попытками посадить батарею. На сайте asusmobile написано до 6 циклов таких провернуть (с принудительной зарядкой длительностью 12 часов, и последующим саморазрядом)</t>
  </si>
  <si>
    <t>3177</t>
  </si>
  <si>
    <t>Советую всем недавно купил, оторваться не могу, да ещё и DLS прикольное</t>
  </si>
  <si>
    <t>Пользуюсь уже больше двух лет, как комбайн себя оправдывает отлично, можно приготовить все, что угодно, к качеству претензий нет</t>
  </si>
  <si>
    <t>ноут вообще отличный, все игры идут, но когда на коленях играю вообще сильно печет ноги, а так норм, купил в мае</t>
  </si>
  <si>
    <t>1439</t>
  </si>
  <si>
    <t>Красивый, быстро греет.</t>
  </si>
  <si>
    <t>2585</t>
  </si>
  <si>
    <t>Купил 2 дня назад, все устраивает, НО динамик никакой, на всю громкость дома еле слышно, а если в транспорте, то вообще говорить не стоит.  Буду дальше юзать!</t>
  </si>
  <si>
    <t>Купили полтора месяца назад, стираем каждый день. Очень нравится. Не пожалели, что выбрали именно эту модель.</t>
  </si>
  <si>
    <t>132</t>
  </si>
  <si>
    <t>телевизор хороший. Качество. Дизайн. Всё это безупречно.  есть изъяны по мелочи:     функция "картинка в картинке" отсутствует;    не видит флэшку;    функция "будильник" тоже отсутствует, хотя в тех. характеристики она тоже упомянута;    но это всё не критично, основную функцию - воспроизведение ТВ сигнала - выполняет на отлично.</t>
  </si>
  <si>
    <t>отличный Телевизор , цифровое телевидение показывает отлично, без каких либо искажений. Плюс к тому офигенный монитор, не нужно теперь смотреть в "маленькое окошко". Оценить все его достоинства еще не удалось из-за отсутствия проигрывателя фильмов в формате Full HD...</t>
  </si>
  <si>
    <t>Машинку использовала уже 2 раза. Очень компактная, у меня очень маленькая кухня. Не сказала бы что не шумная, при заборе воды очень даже шумно, но возможно это какой то дефект с шлангами или еще чем то, а не в машинке. При непосредственно самой мойке - не шумит. Много режимов! Довольна!</t>
  </si>
  <si>
    <t>Пока работает- хороший.  Включаем только, когда нет горячей воды.  За два года всего 1-1,5 месяца работы.  Тэн сгорел.  У родственников меняли уже два раза тэн за три года, включают максимум на месяц в год.  Тэны ужасного качества.  При такой цене такое качество.   Дополнительные расходы, потеря времени, нервов и отсутствие горячей воды.  Второй раз этого производителя не купил бы.</t>
  </si>
  <si>
    <t>Дома ни кого не было приехали стекло от вытяжки по всей кухне. И кошка как то смотрит жалобно, думали она на козырек прыгнула и сломала, хорошо что комментарии Ваши прочитал(на сайт зашел снова хотел такую же брать), кошка избежит кремации.</t>
  </si>
  <si>
    <t>Мне совершенно не помогает от электризации, волосы как были не послушные так и остались((. Пустая трата денег!</t>
  </si>
  <si>
    <t>Хорошо кгладит</t>
  </si>
  <si>
    <t>Купил такую модель телевизора на кухню. Очень остался доволен как качественно показывает от обычной антенны. Стоит своих денег 100%. Отличный вариант!!!</t>
  </si>
  <si>
    <t>1084</t>
  </si>
  <si>
    <t>Выбирал между "Philips" и остальным. В результате остановился на "Samsunge" и именно этой модели.  Дизайн - 5+, обсуждать и не стоит.  Очень удобен просмотр через USB. Интерфейс удобен в управлении, картинка супер. У меня Авангард ТВ, на этом телевизоре смотрится просто супер. В общем всем советую, телевизор стоит своих денег.  Из недостатков выделю только слабоватый звук, но на ряду со всеми плюсами этом минус стирается и не заметен. Берите - не пожалеете!</t>
  </si>
  <si>
    <t>Очень хорошоий выпрямитель, моментально нагревается, выпрямляет за считанные секунды и подкручивает. Единственно - не понятно как делать локоны....</t>
  </si>
  <si>
    <t>2148</t>
  </si>
  <si>
    <t>Хороший моник!!! Из всех предпочёл LG и думаю жалеть не придётся!  Тоже не нарадуюсь его качеством, сравнивая с другими монитошами.  Подключить бы к нему Playstation2 - и пределу наслаждений не будет!!:)  Удобен для работы в Photoshop и просто очень классно выглядит сам по-себе - чёрный и изящный!!!!!!!:)  Пару минусов конечно есть: он такой большой и яркий, что от белых окон на интернет страницах становится дискомфортно глазам, очень уж слепит.  И старенькие игры типа NFS U2 и пр. не имеют такого разрешения,приходится привыкать к вытянутому изображению.  Да и цифровое видео пока не такое уж качественное, чтобы при такой растяжке 1920х1080 доставляло море удовольствия,а HD пока есть не у всех.  Но это скорее оплошности не самого монитора, так что переживать особо не стоит.  Время конечно не стоит на месте, но пока LG 100%ПУДОВЫЙ ХИТ!!!ВСЕМ БРАТЬ!:)</t>
  </si>
  <si>
    <t>2013-07-05</t>
  </si>
  <si>
    <t>В принципе обычная магнитола. Для не меломана вполне подойдет, если бы не одно НО: энкодер на магнитоле (он же шатл, совсем просто - крутилка управления громкостью и другими функциями) накрывается буквально в первые 2-3 месяца. Купил одну-поменял через 3 месяца, купил вторую - через пол года та же история. Регулировка громкости, как уже писали, живет сама по себе. Тем кто пользуется пультом ДУ и эта крутилка не особо нужна, можете брать смело. Кто пультом не пользуется, категорически не рекомендую.</t>
  </si>
  <si>
    <t>Пользуюсь машинкой около двух лет. Выполаскивает хорошо, кроме такого порошка как тайд! Долго "думает", и не сделаешь все что захочешь касаемо отмены и добавления функций. Поэтому 4 звезды. Работает громко только при 1200 оборотов.</t>
  </si>
  <si>
    <t>Пользуюсь около 3 недель. Печет,месит всё хорошо.Нержавейка тоже +.Была бы подешевле). За такие деньги могли бы добавить ещё формочки, и рецептов в книге мало, искала ещё в инете.Мерный стакан не нужен, купили электронные весы VitekVT-1969Silver(удобная вещь). Хлеб вкуснейший.В общем, советую.</t>
  </si>
  <si>
    <t>2899</t>
  </si>
  <si>
    <t>Раньше я работал продавцом на элитной аудио-видео аппаратуре и в принципе могу сказать, что по соотношению цена-качество, это очень достойный телевизор. Цвета в порядке, дизайн тоже. Никогда бы не взял филипс, который берет практически всю начинку у LG.</t>
  </si>
  <si>
    <t>Удачная модель. Комплектация скромная, но эта щётка может чистить зубы разными насадками, а не только той, которая входит в первоначальный комплект. То есть при желании можно докупить комплектующие или использовать те, которые есть либо остались от других щёток. Эту модель приобретала в первый раз, но опыт использования электрических щёток уже был, и сами щётки в семье уже были и есть. Данный экземпляр предназначался для дочки подростка, которой хотелось иметь не только свою персональную сменную насадку, но и личную щётку. Это изделие удовлетворяло нашим общим запросам и возможностям.  По сравнению с аналогами размер не велик, стоит не дорого, но зубы чистит хорошо и со своим прямым назначением справляется на «отлично».</t>
  </si>
  <si>
    <t>Пользуюсь ими уже 4-5 лет и никаких недостатков не нашёл!Выгодная покупка!</t>
  </si>
  <si>
    <t>Когда брал показался очень хороший ноут, но придя домой обнаружил, что не читает и не пишет DVD, при том что CD работает нормально.  Не ожидал от ASUS-а!</t>
  </si>
  <si>
    <t>Ну, вообще, неплохие как издание, так и сама игра. Правда, 1С обещала всё оформить в пластиковый бокс, а здесь только картон... Ну да это ладно, эта компания надувать любит (особенно вспоминаем случай с коллекционкой Fallout 3). Да и вообще, можно припомнить, что из нашего коллекционного издания исчезли нашивка "Weyland-Yutani Corp", голографическая открытка и коврик для мыши, плюс в западном издание Лицехват был упакован в пластиковую упаковку, по форме представляющее яйцо (здесь схожесть с яйцом очень отдалённая). Да и неясно, будут ли доступны владельцам данного издания в России дополнительные скины и карты, как это сделано у во всём остальном мире. Короче, типичная клоунада, у нас не как у всех. Но игра хуже не становится от этого. Я купил коллекционку и не жалею ничуть. наоборот. Жаль, правда. игроков в "мульте" маловато пока... Надеюсь, что ситуация скоро изменится. Так что смело покупайте, выкидывайте ваши пиратки и увидимся в игре!</t>
  </si>
  <si>
    <t>2510</t>
  </si>
  <si>
    <t>Не слушайте никого! Наушники отличные и басы между прочим очень классные! Меня они порадовали, я пробывал даже и за 999р филипс по качеству не хуже и по звуку!</t>
  </si>
  <si>
    <t>779</t>
  </si>
  <si>
    <t>не ловит ничего, старая пассивная лучше ловит</t>
  </si>
  <si>
    <t>Чайник очень хороший. Работает намного тише всех моих бывших чайников, проблем в использовании никаких не было. Радует функциональность и дизайн. Вода наливается в кружку или стакан хорошо, по носику не стекает. Советую всем.</t>
  </si>
  <si>
    <t>За такие деньги - просто песня. А охрипшие динамики лечатся переустановкой звукового драйвера. И сдохшие динамики воскресают!</t>
  </si>
  <si>
    <t>2709</t>
  </si>
  <si>
    <t>класcный электрочайник.</t>
  </si>
  <si>
    <t>лена из москвы и дима из тюмени  веб камеры нет на этом ноуте))))вы что  пошел я значит в мвидео ноут покупать,после того как мне пришла газета ,там был самсунг, хотел его взять,но прийдя в магазин оказалось такого нет,раскупили,наверно или не было вообще,у меня было 20000 начал выбирать из имеющихся,в итоге положил глаз на 5541,и купил,асеру доверяю т.к.уже три года пользуюсь асером другой модели и все в поряде,  понравилось: экран 16:9,разрешение,лиц вин7 х64,3гб оперативки,внешний вид,вай фай,цена.  минусы:1)антивирус мсафе снес сразу этот тупой антивирь, поставил бесплатный микрософтовский спасибо лиц.виндоусу,  2)нет веб камеры и микрофона  3)и конечно же 2 порта усб только(но если подумать можно купить усб размножитель тоже наверняка стоит не дорого)  4)звук,как на мобиле,фильмы смотреть не слышно даже,качество плохое(купил кабель и подключил к муз центру ништяк!теперь)  в итоге все минусы ноута я решил.  Предлогали взять сертификат доп.сервиса,я отказался т.к.знаю не чего хорошего он не дает(считаю напрасной тратой денег),а так гарантия год,но вроде по закону должна быть 2 года на все.  за то мвидео обрадовало програмой мвидео бонус,в общем за покупку ноута за 20000 получил 500 бонусных рублей на покупку в мвидео,как раз можно вебку купить!)))  сегодня ровно 3месяца как купил ноут очень даволен не тормозит,игры все идут,до этого в мвидео ничего не покупал и даже не был там,теперь если стоит вопрос о покупке техники,обязательно сравниваю с мвидео и иду туда,нравится мне там все кроме програмы доп.сервиса,цены ,продавцы,месторасположение,товары!  ноут класс!тьфу! тьфу! тьфу! ура спасибо асер и мвидео!</t>
  </si>
  <si>
    <t>Утюг отличный, нагревается быстро, разглаживает все. Один недостаток хрипит когда его вертикально ставишь:(</t>
  </si>
  <si>
    <t>Чайник бессмертный! Больше 5 лет уже пашет как проклятый и никаких проблем! Не течет, пластиком не воняет, воду греет быстро. Отличный выбор!</t>
  </si>
  <si>
    <t>В конце июля купил себе этот телик. Вообще собирался покупать ЖК-32 дюйма. Но для игр все советовали плазму. Решил покупать плазму 32-дюйма. Залез в интернет посмотреть что да как. На сайте М-Видео увидел акцию, что при покупке этого телика они дарят карту на 5000 руб. на следующую покупку. А мне как раз приставка нужна x-box или ps3. То есть получается что либо телик купил за 19900 (24990-5000), либо xbox за 6990 (11990-5000). Так что предложение очень выгодное. Смущает конечно сборка Россия (наверно, Калининград),бренд LG и условия акции странные: скидкой можно воспользоваться только после окончания акции и оплатить ей можно не более 50% покупки. Тут главное, чтобы не кинули типа карты эти не действительны... Короче, на мой взгляд ход очень грамотный, телик тоже неплохой, но без акции не купил бы.</t>
  </si>
  <si>
    <t>Аппарат отличный. Памяти более чем достаточно. Все сделано для людей. Глюков нет. Разница в быстроте работы по сравнению с предыдущей моделью очень заметна.</t>
  </si>
  <si>
    <t>Доволен на все 100%. Хорошо пылесосит, шнур около 3 метров. Еще прикупил гарантии на 2 года.</t>
  </si>
  <si>
    <t>3017</t>
  </si>
  <si>
    <t>Вчера купил себе такую модель.Подбирал из самого дешевого,и чтобы был с подачей пара.Утюг просто супер,хорошая подача пара,отлично гладит и не оставляет следов на ткани. Из минусов только то,что когда наклоняешь в вертикальное положение иногда из заливной горловины подтекает вода,и еще как недостаток - отсутствие парового удара.Но за такую цену устраивает и так. В целом хороший компактный аппарат за приемлемую цену.</t>
  </si>
  <si>
    <t>1094</t>
  </si>
  <si>
    <t>Отличный агрегат!Стильный,почти бесшумный). Очень вместительный,влезает багажник из Ашана)) Нет неприятного запаха.Но-фрост.  +хорошая сборка,ни Кетай)) минусов не заметил.</t>
  </si>
  <si>
    <t>Отличная вещь! А шпильки надо втыкать перпендикулярно бигуди, а не вдоль:)</t>
  </si>
  <si>
    <t>heavy rain просто распиаренное фуфло,1 раз пройти и выкинуть хочется,очень жалко что выкинул деньги на ветер,кто собрался покупать не советую, если только рублей за 500.Геймплэй можно сказать отсутствует,как дурак джойстиком потряси туда потряси сюда, короче кино сидишь смотришь за 3 тысячи,с таким же успехом можно купить 3 крутейших блю-рей диска с фильмами и посмотреть.В демо-версию самые зрелищные эпизоды заткнули, народ повёлся как ослы в том числе и я, и купили.</t>
  </si>
  <si>
    <t>Купили мясорубку 3 недели назад. Почему-то сразу не додумались опробывать- понадеялись, что марка известная и проблем с ней не будет. Когда включили мясорубку она стала издавать такие звуки, что не передать словами. По всей видимости шнек задевал за что-то изнутри и не крутился. Будем менять её.</t>
  </si>
  <si>
    <t>Отличный аппарат!Пользую его 4 месяца. Выбирал тщательно из множества моделей всевозможных производителей, и не разочаровался в покупке. Выбирал по теххарактеристикам, а он к тому же и фейсом очень даже неплох. Мощный, стильный, черный! Среди недостатков выделяю не совсем удачное сопряжение подложки клавиатуры с панелью динамиков, но это скорее, недочет... Приятный сюрприз от производителя - добротная сумка в комплекте!</t>
  </si>
  <si>
    <t>Дизайн.</t>
  </si>
  <si>
    <t>выбирал из тв по стоимости до 18000 руб.  основным критерием было качество изображения,цветопередача.  на стенде как раз стояли включенные все ЖК, что на вкладке справа.  сигнал был от простой коллективной антенны (специально попросил эфирку)  сразу выделились Сонька  и Тошиба. у ЛДж и Самса цвета какие то неестественные... но и Сонька казала несколько хуже на фоне Тошибы,  единственное ещё колебался между LG фулкой и Тошибой. но всё-таки остановился на Тошибе.  единственным неприятным сюрпризом дома стал слабый тюнер ! хоть антенна и на крыше, но сигнал неважного качества.. и те программы, которые предыдущий кинескопный телек показывал более-менее сносно - ЖК казал намного хуже ! :(  один канал вообще категорически не хочет видеть.  но картинка на ДВД отличная - цвета сбалансированные,картинка хорошая.</t>
  </si>
  <si>
    <t>1963</t>
  </si>
  <si>
    <t>to антоХа,я не согласна с вами,TX-PR42 C10 поражает воображение-на dvd и blue rey точно!Хорошее разрешение,есть hdtv-от этого картинка с классной четкостью.Еще очень клевая деталь-сходила сегодня в киношку с друзьями на "2012",а дома включила "Послезавтра"-на телеке фильм смотрится очень похоже как в кинотеатре, этому,мне сказали,функция True Cinema способствует.Классный дизайн,повесила телевизор на стену,отлично смотрится со светлыми обоями.Вообще,плазма отличная</t>
  </si>
  <si>
    <t>М не очень нравится.Не воняет вообще,закипает быстро и сразу отключается.Проблем нет.У меня не греются ни провода ни пластмасса чайника,воду можно сразу кипятить.</t>
  </si>
  <si>
    <t>Сабж, приобрел сегодня этот товар, оценка по пятибальной шкале - пять.Из дешевеньких вариантов(800-2000), этот мне кажется - лучший.Удобен в использовании, не занимает много места в кармане, качество звучания порадовало очень, зарядка от USB, что для меня очень важно(не пришлось тратить лишние 200 рублей на зарядное устройство, так как этот малыш шел без него),  батарейки вам хватит на ого-го сколько.В общем одни плюсы пока я в нем вижу, посмотрим, что дальше будет.Всем советую...</t>
  </si>
  <si>
    <t>Представлял себе прекрасную, аккуратную бороду, а в итоге полный фэйл и фэйк. Согласен с предыдущими ораторами. Даже не думайте, мужики, берите обычную машинку для волос и ей ровняйте. А этот аппарат &amp;minus; только для носа и ушей годится.</t>
  </si>
  <si>
    <t>Хлебопечь эту мы брали, когда в м-видео на них были хорошие скидки. Брали с витрины и очень переживали, что товар может быть некондиционный. Прошло пол-года нареканий никаких. Печем свежий хлеб с отрубями, изюмом, крупой, т.е. какой душе пожелается. Тесто на пироги и пиццы выше  всяких похвал. А самое чудесное - это когда утром вся семья просыпается от обалденного запаха хлеба, чего и вам желаем!</t>
  </si>
  <si>
    <t>Аппарат был куплен незадолго до Нового 2010 года как семейный подарок. Поскольку акустики в гостиной уже давно нет, а есть лишь телевизор, решил - не Шмаранць же мне туда покупать! :))) Остановился на Sony - быть может и маркетинг сыграл роль, но на "корейцев", пусть они все и в Китае том же собираются, смотреть я особо не хотел и выбрал Sony. Изначально намеревался взять Blu-Ray плеер от Toshiba (ради дополнительной синхронизации с телевизором и прочих приятных "фишек") - но они нигде на территории России легально не продавались, да и поныне не продаются.    А теперь непосредственно к делу. Первое, что меня приятно удивило в агрегате - это меню. Отображается на полупрозрачном сером фоне, буквы и значки сглаженные. Я не специалист по воспроизведению Blu-Ray дисков - но качеством изображения с них остался очень доволен. Разница в сравнении с DVD видна невооружённым глазом с 5 метров при воспроизведении на 32-дюймовом экране. Да и с близкого расстояния никаких заметных следов видеокомпрессии не наблюдалось - а помехи в тёмных местах были в большей степени порождены собственными шумами современной профессиональной плёнки. Функция воспроизведения mp3 с дисков также имеется - часто нужна не будет, но на редкий случай какой-нибудь небольшой пьянки вполне сгодится. :)))    А теперь о недостатках - к сожалению, они имеются. Одни преследуют явно маркетинговую цель - другие же являются недоработкой техники на аппаратном и программном уровне. "Маркетинговые" недостатки тут следующие:   1) невозможность воспроизведения видеоконтента низкого уровня (типа DivX, XviD и прочей такой вот "грязи"),   2) невозможность чтения информации с USB-носителя. Нет, разъём USB там есть - но он предназначен для хранения на флешке служебной информации, но не для чтения медиафайлов, будь то фотографии, музыка или ещё не знаю что.  Недоработки на программном уровне я заметил такие. Наверно многие из нас замечали: если смотреть на компьютере фильм при установках по умолчанию - все лица актёров сиреневые, словно пластиковые пакеты, предлагаемые нам в магазинах. Лично меня это жутко раздражает, а в самом проигрывателе я не нашёл функции регулировки цвета, приходится почём зря напрягать телевизор по этой теме, благо настройки эти у него имеются. Ещё один недостаток - невозможность показа картинок в формате JPG, имеющих прогрессивную технологию сжатия, он их тупо не понимает, хотя внедрить это в прошивку, казалось бы, особого труда не составляет.  На аппаратном же уровне проблема лишь одна, и больше похожа на анекдот: нельзя... открыть и закрыть (без воспроизведения) привод непосредственно с пульта! Что их вдохновило убрать эту далеко не лишнюю возможность? Замашки на hi-fi класс, где аппаратуру делают "тупой как бревно" по функциям в угоду идеализации электронных компонентов для безупречного качества звука? Вроде и по фасону совсем не подходит, и по цене тоже. Потому мне совершенно непонятна их идеология - давить на неудобную кнопку и пачкать поверхность аппарата вместо того, чтобы аккуратно открыть привод с пульта.    Чтобы получить возможность воспроизведения видеоконтента, пережатого в DivX, с дисков или USB-накопителей, пришлось дополнительно покупать   DVD-плеер Sony DVP-NS728H. Но это уже совсем другая история.    Ставлю четыре звезды - оценка снижена в основном за отсутствие кнопки открытия привода на пульте. Остальное вполне можно принять как должное.</t>
  </si>
  <si>
    <t>не прошло и года как потек. жалко денег, которые на него потратила, за такие деньги могла купить два более дешевых и прослужили бы дольше. и согласна со всеми недостатками описанными здесь. абсолютное несоответствие цены и качества(( да и в целом эта марка не особо радует, так что буду искать что-нибудь более надежное...</t>
  </si>
  <si>
    <t>Купил два дня назад. Теперь жалею, серьезно. интерфес нравится, а батрарея рассчитана на 2 часа max для видео, на 4 часа для музыки. Тестил по времени специально. Четыре раза разряжал и заряжал батарею. Длительность работы не увеличилась. из 5 баллов - 2,5.</t>
  </si>
  <si>
    <t>2009-08-19</t>
  </si>
  <si>
    <t>Телевизор отличный. Вот только через 3 дня после приезда из магазина перестал показывать. :)) Но эти три дня отработал на все 100%. Очень классно показывает эфирный сигнал. Даже удивлен. Рекомендую приобретать :))</t>
  </si>
  <si>
    <t>2015-11-09</t>
  </si>
  <si>
    <t>Пользуюсь этим пылесосом 3 месяца. Очень доволен! Отличная изогнутая щетка с щетинками на концах, с много разовым мешком для сбора пыли который можно стирать, так же можно и бумажные использовать, идеальное соотношение цены и качества, мощный и удобный, шланг надежный.</t>
  </si>
  <si>
    <t>Приобрели в октябре машину для пожилого человека (82 года). Проста в обращении и доступна для  управления людям в возрасте. Нареканий в эксплуатации для стиральных машин такого класса нет.</t>
  </si>
  <si>
    <t>Пылесос - торнадо!!! Думал, что ковер пыльный, но чтоб собрать с него столько пыли и волос даже представить себе не мог! Турбощетка отличная. Есть второй пылик моющий с турбощеткой (брали за 12т.р.), но у этого лучше в разы!</t>
  </si>
  <si>
    <t>Неплохая замена нетбуку, и для работы хорошо и для отдыха. Вполне соответствует своему линейному ряду и цена соответствует модели.</t>
  </si>
  <si>
    <t>Купил этот чайник около месяца назад, всем доволен. Качество отличное. Цена немного завышена. Воду он кипятит очень долго, а именно 6 с небольшим минут и повторно можно его включить только через минуту после закипания, и в инструкции сказано, что индикатор должен гореть синим, а у меня он горит красным, но это не суть. В общем чайник отличный, рекомендую!</t>
  </si>
  <si>
    <t>Гарантия 2 года и это радует,иначе я бы деньги не вернул....  + дешёвый,простой  - нет силового кабеля в комплекте( это огромный минус),нет инструкции по подключению кабеля( на замененом электролюксе указан +- масса), на атморе вообще ничего не указано .... Не пережил 2 отключения воды в Москве( работа более чем щадящая для водонагревателя)..... В целом греет хуже конкурентов, использую только 2квт кнопку для нагрева, конкуренты лучше греют и больший напор воды можно дать.... Сменный электролюкс( дороже ), но на пару классов лучше по нагреву и качеству внутри..... Так что атмор к покупке не советую... У мамы дома  несколько лет ( с2008г) стоит поларис, так тот верой и правдой служит каждый сезон отключения воды....  К покупке не рекомендую</t>
  </si>
  <si>
    <t>Использую пол года, внешний вид - как новый! Но для этого надо прилагать усилия. На черной поверхности вся грязь и пыль очень хорошо видна. Поджиг срабатывает не сразу. Надо несколько секунд удерживать конфорки. Зато они хорошего качества и не плавятся. Покупайте, рекомендую!</t>
  </si>
  <si>
    <t>Самый мощный ноут в этой ценовой категории.(покупал в интернет магазине за 36000) Все летает. Выбирал долго и тщательно...по всем параметрам этот ноут впереди асусов и нр. Всем советую))))</t>
  </si>
  <si>
    <t>Шумность? А вы дверь в ванную закройте. Ни разу не подводила. Герметична на 100%, разряд аккумулятора легко прослеживается по уменьшению скорости оборотов. Зарядка - оставьте её на ночь и этого хватит. Пользуюсь 4 года - не было сменных насадок в продаже, купил новую щётку :) Основной недостаток - её надо ловить в продаже.</t>
  </si>
  <si>
    <t>Отличные наушники недавно купил ,в ушал сидят хорошо,отличный звук</t>
  </si>
  <si>
    <t>Есть все, просто куча разнообразных режимов, можно даже заменить духовку, но самое главное, что в ней есть гриль.   4 основных режима: микро (микроволны), гриль, комби (включает 2 режима одновременно); конвекция(использование печи в качестве духового шкафа). Также имеется ряд автоматических программ, например, "Жареная курица", "Крылья гриль", "Печёный картофель" и другие.  Есть замок от детей. Внутреннее покрытие микроволновки из нержавеющей стали с антибактериальным напылением. В комплекте идут две решетки для гриля и блюдо для хрустящей корочки. Управление сенсорное, меню понятное, на русском языке.  Есть книжка с рецептами.  Микроволновку рекомендую все</t>
  </si>
  <si>
    <t>Тоже скрипели при взвешивании. Сломались также через полгода, отломились пластиковые ножки, а так как датчики реагируют на нажатие именно этих ножек, то понятно, что взвешивание стало бессмысленным. По гарантии такие вряд ли примут.</t>
  </si>
  <si>
    <t>Тихий, мощный, запаха пластика не обнаружено</t>
  </si>
  <si>
    <t>Хочу рассказать о том, что сильно помогло мне в моем уходе за зубами. Уф… практически интимные подробности личной жизни, кому-то могут показаться неприятными некоторые моменты, но я буду говорить как есть.  Итак… Так случилось, что в детстве я как-то не особо заморачивался по поводу ухода за зубами, да и особых проблем (в плане боли зубов не испытывал), Зубы чистил в основном раз в день-ленивый ребенок, и достаточно недальновидный (сейчас я это понимаю). Пользование зубными нитями и ершиками у нас дома не было известно (максимум зубочистки, что весьма травматично на мой взгляд). Но отец у меня был счастливым обладателем хороших зубов, и не носил протезов до 54 лет, мама же напротив с зубами проблем огребла много еще в молодости,и к 45-50 годам, своих зубов у нее практически не осталось. Так что генетика у меня спорная, и сейчас я это понимаю, тогда мне было не до этого. Родителям же за гигиеной моего рта следить было некогда, ибо работали они, а я рос самостоятельным и ответственным человечком. Благо ел много яблок-может поэтому зубы не сгнили)))…Шучу. В итоге к 20 годам ситуация с зубами у меня обстояла следующим образом-некоторые были поражены кариесом (в основном коренные, где-то глубоким, где-то весьма поверхностным), имелся зубной налет-спасибо кофе и чаю, которые я употребляю в больших количествах, имелся зубной камень-в основном на внутренней стороне зубов(со стороны языка), часть зубов имела пломбы, зубной ряд не совсем ровный-но не критично кривой на мой взгляд (короче асимметрия, с одной стороны лица-зубки вполне себе ровные, с другой видны отчетливые смещения в основном во фронтальной части челюсти), парадонтит 1 степени (стадии???-не знаю как точно, короче начальный), периодически десна кровоточили, и в общем имелись забитые всякой гадостью карманы в деснах, плюс на одном из коренных коронка. Фу звучит ужасно, да? Но я одумался и решился взяться за себя. Пройдя курс у стоматолога, где мне просанировали рот, затем отправилась к парадонтологу, убрали все камни, провели курс аппликаций на челюсти, в итоге большая часть проблем была устранена (осталось только поддерживать в должном виде, и исправить ряд зубов «скученность» так сказать, на что я решился и уже собираю информацию что делать и как). Так вот-я решил перейти на другой уход за зубами. Во первых-обзавелся нитями, сменил зубные пасты, и купил другую щетку. Braun Oral-B Professional Care 500 – я долго ходил вокруг нее, было страшновато, казалось она расцарапает мне все и без того проблемные челюсти, и попортит эмаль, да и вообще что-то вибрирующее во рту держать - как-то это сомнительно на мой взгляд. Но я купил ее, прошло уже 2 года и теперь я могу с уверенностью сказать, что ничуть не пожалел в ее приобретении. Люблю горячей и нежной любовь мою помощницу.  По поводу количества вращательных и возвратно поступательных движений-тут сказать сложно, вы их точно посчитать не сможете и достоверность информации проверить тоже в бытовых условиях не получится. Таймер завершения чистки действительно 2 минуты. После каждых 30 секунд щетка как бы прерывается, подавая вам сигнал, что пора переходить к чистке другой зоны и вновь продолжает работать. Таймер не звуковой, а вибрационный. В целом у щетки приятный эргономичный дизайн, она предельно проста в управлении – имеет только одну кнопку, и индикатор заряда.  Аккумулятора, который мигает зеленым когда заряжается, перестает мигать – когда аккумулятор полностью заряжен, и мигает красным когда надо бы подзарядить устройство. Ручка устройства прорезинена, действительно водоустойчивая- я люблю пользоваться щеткой пока моюсь в душе. По поводу насадки - она представляет собой круглую головку с щетинками, которая вращается и совершает поступательные движения-такой интенсивности, что вы не сразу и поймете. О необходимости смены насадки нам подсказывают голубые щетинки-индикаторы, которые светлеют когда надо бы сменить насадку.  Минус для меня один, под насадку наливается вода... советую всем</t>
  </si>
  <si>
    <t>пользуюсь неделю,и думаю,ну как я раньше без него жила,с утра детям молочный коктейль,творожные десерты,за салаты так вообще ,тесто месит безупречно,пока не попробовала только насадку для цитрусовых не пробовала и для взбивания крема,комбайн на пять с плюсом и тем более за такую цену.Долго выбирала,и не ошиблась</t>
  </si>
  <si>
    <t>недорогой</t>
  </si>
  <si>
    <t>Вчера купил игру и могу поделиться  отзывом. В первую очередь начну с минусов  1. пластиковая гитара, со стороны выглядит как обычная детская игрушка  2. Работает от батареек. На сколько их хватает сказать не могу, но пока примерно 5 часов работают.  3. неудобно сделана кнопка "турбо" (те кто играл поймут). Она сделана не далеко от кнопки пауза.  4. работает от usb порта. То есть принимает сигнал эта гитара не от wifi или bluetooh, а от собственного устройства    теперь плюсы  1. Красивые наклейки в комплекте  2. Работает без лагов, глюков  3. удобно сделаны верхние кнопки (правда сперва не привычные)  4.классная музыка (но это в самой игре)  5. удобный ремешок в комплекте</t>
  </si>
  <si>
    <t>1111</t>
  </si>
  <si>
    <t>Стирка 15 минутная как и любая другая никогда не будет занимать указанное время, так машина в зависимости от белья его количества плотности может автоматически доливать воду в бак, контролировать количество полосканий, т.к. в ней есть датчик прополаскивания белья, соответственно, время стирки может варьироваться!!!</t>
  </si>
  <si>
    <t>Мне 56 лет. Только сейчас поняла, какое огромное счастье иметь дома такую помощницу. Зажили руки, нет повода думать, что "опять мыть посуду...."  Качество мытья не сравнить с ручным мытьем посуды. Перемыла все. Хотела соседей пригласить с грязной посудой, потом решила, что такая помощница должна быть у всех.  Восторг и самые положительные эмоции. На кухне санитарная чистота и блеск.</t>
  </si>
  <si>
    <t>1749</t>
  </si>
  <si>
    <t>Купил телефон в подарок жене к 8 Марта! Разочарованы и я и жена.  Самый главный минус-качество звука как на прием, так и на передачу. Постоянно приходится переспрашивать-речь неразборчивая, с какими запираниями и посторонними шумами. Обратились в центр "Nokia", через 5 дней вернули, но качество не улучшилось. Сейчас опять его отдали, чтобы поменять на другую модель. Ждём решение сервисного центра. Было много у меня телефонов этой фирмы-и дешёвых и дорогих-но с таким качеством звука, впервые. Кстати, в магазине звонил с другого такого же телефона-качество то же плохое. Быстрей всего неудачная модель.  И второе-очень маркий, постоянно остаются на корпусе следы от рук и приходится его постоянно вытирать.  Не рекомендую, своих денег не стоит.</t>
  </si>
  <si>
    <t>Через месяц работы (не очень интенсивно) прекратил отключаться, кипит и кипит - наверно хочет весь выкипеть, а потом выключиться.</t>
  </si>
  <si>
    <t>Это супер игровая консоль! Эту замечательную игрушку можно взять куда угодно, а также можно прошить и брать игры по дешёвки. Эх, у меня её нет, блин а как хочется)))</t>
  </si>
  <si>
    <t>1375</t>
  </si>
  <si>
    <t>очень хороший телефон, не понимаю, почему все жалуются. да, в нём есть минусы - но как и в каждом телефоне. согласна, батарея тут конечно слабоватая, мне на день хватает, но о покупке я не пожалела, т.к. хотела себе телефон с хорошим воспроизведением музыки. так оно и вышло :) звук очень хороший и чистый. при разговоре тебя отчётливо слышат - и ты слышишь прекрасно собеседника. часто жалуются, что мало памяти для приложений, аська не загружается, и что телефон говно и т.п. так если мало памяти - зачем покупаете, а потом ещё и говорите, что телефон плохой, меня в нём всё устраивает, правда Т9 ужасный. ну да ладно, я не часто смски пишу. так что вот что я скажу: если вам нужен телефон и Мр3 плеер вместе - покупайте телефон :) я очень им довольна, не смотря на все плохие комментарии. а что вы хотели, это бюджетный телефон :) надеюсь, мой комментарий был полезен :)</t>
  </si>
  <si>
    <t>1752</t>
  </si>
  <si>
    <t>Телефон просто"ЧУДО", что от него ожидать:  1. Поломоки-это можен случится надо быть готовым - у меня умер,  2. Ява игр- не будет (пробова-перепробовал)!  3. Фото камера - лучше не было(может без нее стоил бы на 400 руб. дешевле)!  4. Отпечатки всегда на корпусе - это для Жиглова их МВД самое то - не надо париться с просьбами сдачи пальчиков - дал телефон подержать вот и все!  5. МП3 - не для него с картой на 1 гектар тормазит вовсю, читае ее очень долго.  6. Радио - тупее не придумаешь, нет возможности слушать через динамик с подключенными ушами.  7. Гарячая замена карт - не для него - раз 10 выключался сам при замене карты.  8. Сам может выключится - это неисправность.  9. Держит заряд приерно 10-12 суток с учето 15-20 минут разговоров в сутки.  10. Тяжелый и монитор слепнит на солнце.  11.Ставил фото на быстрый набор - тормозит вовсю.  12. Главное это не Филипс их делпет Китайская фирма Ноль или Зерро непомню, вобщем через год в 2012 году у них кончается контракт на использование товарного знака.  ИТОГО: что флай что филипс телефоны - братья прошивки ставятся от одного на другой- если не парится и если нужен недорогой (ну уж если, что так нежалко в мусорку)телефон то берите флай, а если хотите нормальный тел из китая то это Алькатель -выпукает Китайская контора ТСТ класный вариант ОТ-800 глюков вобще нет- рекомендую.</t>
  </si>
  <si>
    <t>Качество фото ждал хуже, чем есть :)    Недостатков пока не обнаружил</t>
  </si>
  <si>
    <t>953</t>
  </si>
  <si>
    <t>2015-02-01</t>
  </si>
  <si>
    <t>Купили этот продукт фирмы Scarlett 2 года назад, работает как часы по сей день! Однозначно брать!</t>
  </si>
  <si>
    <t>Подарил муж на 8 марта, я была впечатлена ее размером,и дополнительными аксессуарами которые шли в комплекте. Чехол муж купил еще один в дополнение, очень красивый, пользуюсь уже 2 месяца нареканий нет вообще - пользуюсь паром луж никаких нет, под доской... Доску обычно устанавливаю везде - в коридоре , в зале и не шатается , плюс ко всему идет шнур с розеткой в комплекте удобно не нужны лишние провода и утюг свободен не привязан ни к чему. Так что на самом деле я очень даже довольна.</t>
  </si>
  <si>
    <t>Супер фритюрница! Очень понравилась! Быстро и вкусно. А если покупать готовый замороженный картофель, то получается еще вкуснее!</t>
  </si>
  <si>
    <t>Совершенно случайно прикупила этот вентилятор в "нагрузку" к МР3 плееру. Дело было весной. Тогда даже не могла предположить, что летом будет такое пекло! Витек просто спас нас. Работал просто супер. Никаких нареканий, только одни плюсы: мощный, тихий, компактный.</t>
  </si>
  <si>
    <t>Купила и разочеровалась.Через неделю использования,выгнулась середина. Теперь как неваляшка на плите.</t>
  </si>
  <si>
    <t>1783</t>
  </si>
  <si>
    <t>как купил, стал много кушать булок. Вкусно, хорошо, но поправился. Подарил худому другу - смотрю за результатами.</t>
  </si>
  <si>
    <t>993</t>
  </si>
  <si>
    <t>Работает замечательно с маленькими кастрюльками. С чугунной решёткой было бы интереснее, а то со стальной порой соскальзывает посуда - представьте себе кипящая кастрюля поехала на вас!</t>
  </si>
  <si>
    <t>Прожили полгода и издохли. Новые батарейки не помогли</t>
  </si>
  <si>
    <t>Нормальный аппарат. Брал чтоб пережить опрессовку труб без чайников и тазиков. 15 литров - чуть все равно не хватает чтоб помыться одному человеку. Ну это если подключать по временной схеме - вместо душа. А если греть до 70 градусов, а потом смешивать в смесителе с холодной водой, то еще останется. А так подключил в разрыв душа (15 мин работы) и пользуюсь уже 2 недели. Включат горячую воду - сниму и спрячу до следующего лета.</t>
  </si>
  <si>
    <t>приобрел данную модель 4 месяца назад. В первый день помыл диван (было много пятен от сока, молока и д.т. (маленький ребенок)) справился на отлично ни пятен ни запахов не осталось, правда процесс трудоемкий. Мощность всасывания на высоте особенно если сравнивать с обычными пылесосами. Следующий положительный момент это турбо щетка после нее ковры стали как новые. Единственный минус это отсутствие аква фильтра в комплекте. Моется после уборки быстро и легко.   Мне и жене очень нравится всем советую.</t>
  </si>
  <si>
    <t>296</t>
  </si>
  <si>
    <t>как писали выше в отзыве что тиховаты, это плейр млВт мало выдает, но а по звуку я согласен классные, насчет штепселя да немного неустойчив, но можно перепаять не обязательно выкидывать, в общем мне они нравятся</t>
  </si>
  <si>
    <t>Какое то время выжимала. Думаю литров 12 в совокупности выжала за всё время владения.В очередной раз при использовании мощность упала, так сказать на глазах. Естественно разобрал,посмотрел чему там ломаться. Двигатель ооочень маленький,в некоторых детских игрушках такие. Такой движок нормальные нагрузки не выдержит, вот и перегрелся по ходу. Вообщем сей девайс был уничтожен немедленно. Не рекомендую.</t>
  </si>
  <si>
    <t>Очень классная пароварка!!! Мы с женой очень довольны, что ее купили именно пароварку данной фирмы!!! Советую всем!!! Не пожалеете!!!</t>
  </si>
  <si>
    <t>2379</t>
  </si>
  <si>
    <t>Купил данный пылесос и остался доволен выбором. Понравилось компактность, удобные насадки, гибкий шланг, стильный дизайн. По мощности в принципе достаточно. Понятно, что это не домашний пылесос, но машину пропылесосил вполне хорошо, насадка залезает в любые щели. Вообще приятно брать  в руки и пылесосить одно удовольствие. В инструкции написано, что работать не более 30 минут, чтобы аккумулятор не разрядился и пылесосить нужно при выключенном двигателе.</t>
  </si>
  <si>
    <t>Проста как дважды два, нет лишних наворотов, может использовать и зерно и молотое кофе, гарантия по инструкции 5 лет, ну и цена конечно же</t>
  </si>
  <si>
    <t>Паровками пользуемся каждый день, так что ломаются они быстро. Эта пароварка - третья. Продержалась полгода.   1. нет долива воды во время приготовления, что неудобно.  2. глючный таймер - при включении надо контролировать, чтобы он начал работать  3. через некотрое время перестала выключаться - все время стояла теплая, если не выдергивать из сети.  Вердикт: одна из самых неудачных моделей Тефаля. Модель 100130 однозначно лучше как по удобству использования, так и по качеству изготовления.</t>
  </si>
  <si>
    <t>Знакомство с электрической щеткой Oral-B у меня было 2 года назад, когда я решила сделать себе приятный подарок на новый год. Искала розовую, но к сожалению в наш город таких не завозят.. НО! Я нисколько не огорчилась, купив другой цвет, ведь дело то совсем не в цвете, а в самой щетке.) Купив щетку и придя домой я тут же испробовала ее в деле. Это ЧУДО изобретение. Я человек, который спит до последнего и работает допоздна. Это щетка спасает меня как утром, когда с сонными глазами я стою перед зеркалом, а щетка делает все за меня, только навожу ее в нужное направление и все, так и вечером, когда сил у меня совсем не остается. После приобретения этого Чуда, я реже хожу к стоматологу! Щетка чистит в трудно доступных местах, а с использованием пасты blend-a-mend 3D white, это вообще Бомба! У меня зубы стали белее, хотя бы на пол тона!) Я ни одного раза не пожалела, что приобрела ее!! Спасибо, спасибо, спасибо производителям!</t>
  </si>
  <si>
    <t>Дизайн красивый, бигуди не жгут волосы, но и не держат укладку. Через пару часов, как и не накручивалась, при этом использую средства фиксации для волос (мусс, лак). Так что пылятся на полке.</t>
  </si>
  <si>
    <t>2725</t>
  </si>
  <si>
    <t>Чайник очень компактный, хотя и умещается в него 1,6-1,7л воды.   Кипятится полный примерно за 4 минуты, нажигая при этом на счетчике ровно 0,1 квт/ч.   Не понимаю тех, кто говорит, что электрические чайники - разорение на электричестве.  Если его кипятить 3-4 раза в день ежедневно, то за месяц нагорит максимум рублей на 30.   Понравилось, что он вообще без пластика - полностью металлический.   Неприятного запаха не было изначально (но прокипятил для верности пару раз, перед первой чашкой кофе).</t>
  </si>
  <si>
    <t>Хорошие, удобные,легкие, звук супер   бас отдельная тема, я в восторге от них. Многое  зависит от аппарата.  Я слушаю на explay m5 и на nokia 5130  играет супер.</t>
  </si>
  <si>
    <t>Хороший холодильник!  Отлично вписался в интерьер.  Работает тихо.  Лёгкий.  Без особых наворотов, надёжен, - то, что нужно.  Одним словом - немец.</t>
  </si>
  <si>
    <t>Всё печёт даже щи варит! Только отсутствует инструкция по эксплуатации  на русском языке!</t>
  </si>
  <si>
    <t>Пользуюсь неделю, в целом нормально, но есть нюансы. Сразу скажу, что высказанные выше претензии к креплению от человека, мясорубкой не пользовавшегося, бредовы - крепление хоть и пластиковое (как у 90% современных мясорубок вообще-то), но толстое и крепкое, ничего не шатается и не вылетает. Плюсы: 1. Мясо крутит вполне нормально, ничего не жуёт. Я, правда, крутила только вырезку порезав её кусочками, как написано в инструкции. 2. Достаточно удобная тёрка, морковь натирает очень быстро, состоит всего из 2 деталей, так что очень легко разбирается и моется. 3. Достаточно компактная, основной блок со снятой насадкой даже весьма компактный. Минусы: 1. Скорость вращения не регулируется, а лично мне иногда хочется, чтобы девайс крутился помедленнее. 2. Ревёт, как турбина самолёта. Даже мою абсолютно спокойную кошку при включении сдувает из кухни. 3. Если тереть много, тёрка начинает забиваться и желательно чем-то высвободить натёртое. Лично я это делаю просто пальцем, это не опасно, лезвия тёрки с другой стороны. И просто ремарки - пробовала насадку для котлет, оно забавно но сложно с её разборкой и мытьём - того не стоит, проще и быстрее лепить руками. Соковыжималкой пока не пользовалась.</t>
  </si>
  <si>
    <t>Отличный чайник, очень удобный и супер надежный. Пользуемся на работе 5 лет, за день раз по 20 включают. Реально бессмертный.</t>
  </si>
  <si>
    <t>Пользуюсь порядка 2-ух месяцев. Изображение замечательное, особенно при просмотре спутникового ТВ, а еще лучше при просмотре фильмов в совокупности с DVD-театром с напольной акустикой Sony DAV-DZ690M. Интересно, а почему нигде не упоминается, что телевизор поддерживает технологию Motionflow™ Technology-100 Hz.   Есть подозрения, что за рубежом сей девайс называется: KDL-40W5100, тк на родном сайте SONY и на российском сайте SONY модель KDL-40 W5710 Black нигде не фигурирует, а 7 видимо Россию обозначает.   Советую к приобретению однозначно!</t>
  </si>
  <si>
    <t>831</t>
  </si>
  <si>
    <t>имел возможность пользоваться 3 месяца. очень приятный интерфейс, качественные материалы, удобные клавиши, немного странная сенсорная клавиша, по которой потом начинаешь скучать.  НО. 6,5 - очень сырая винда. телефон может ооочень долго задумываться, переворот экрана может произойти не тогда, когда нужно, но, самое неприятное - он может просто зависнуть. причем не только, когда работаешь с ним, а, например, ночью, когда он заряжается, а ты ждешь звонка будильника. звонок не прозвенит. за 30000 такого счастья никому не пожелаю</t>
  </si>
  <si>
    <t>Номинальная мощность мясорубки 260 Вт, максимальная 650 Вт, некая пиковая-1500Вт. Редуктор понижающий- пластиковые шестерни,возможно капролон,но тогда странно наличие смазки. Мясо мелет отлично, шустро. Нож сделан двухсторонним, так что не важно какой стороной он установлен,следовательно и его ресурс до заточки выше. Можно докупить соковыжимальный конус для ягод и шинковочно-терочный набор. Работает достаточно тихо. Пока что доволен.</t>
  </si>
  <si>
    <t>Пользовалась этим феном около 8 лет (!), и вот только сегодня он сломался((. Перестала крутиться щетка(. Фен просто незаменим, подходит для волос любой длины (одно время у меня было каре по плечи, сейчас волосы ниже лопаток, так что сужу по собственному опыту). Мои волосы пористые и слегка вьющиеся - фен вытягивает их почти так же, как это делают в парикмахерской и занимает это минут 15-20. Так что рекомендую всем, научиться правильно им пользоваться можно за несколько дней. Сегодня поеду покупать новый такой же, т.к. не представляю, как без него жить))</t>
  </si>
  <si>
    <t>1787</t>
  </si>
  <si>
    <t>Хорошая вещь, отлично готовит !!! Главное рад за голодную &amp;nbsp;молодую семью из нижнего тагила, которые никак не могли приготовить курицу без аэрогриля, а потом прямо целиком, живую наверное. Ну вы даете!!!</t>
  </si>
  <si>
    <t>Очень здорово справляется со всем, что я ожидал приобретая именно эту модель. Подключено: игровой системник, монитор и система 2.1. При таком подключении стабилизатор практически не греется, точнее еле тёплый. И что не мало важно, весьма маленькие габариты. Довольно симпатичный внешний вид.</t>
  </si>
  <si>
    <t>3053</t>
  </si>
  <si>
    <t>Чайник чудо. Сегодня купили часа два назад, закипел и до сих пор вода в нем очень горячая, удобен, стилен, короче классный.</t>
  </si>
  <si>
    <t>1161</t>
  </si>
  <si>
    <t>Холодильник отличный! вот только перестал работать ионизатор воздуха в холодильнике! подскажите как отремонтировать!???</t>
  </si>
  <si>
    <t>Пользуюсь 2 года. Ни одной поломки. Соотношение цена-качество идеальное. Но в будущем куплю более мощный и более функциональный.</t>
  </si>
  <si>
    <t>Пользуюсь больше года, лезвия не затупились , аккум держит сколько заявлено производителем,  использую каждые три недели)) смазывайте лезвия и все будет отлично)))</t>
  </si>
  <si>
    <t>прикольна игруха берите не пожалеете</t>
  </si>
  <si>
    <t>2312</t>
  </si>
  <si>
    <t>Купил жене и не жалею) Отличная вещь! Бутерброды очень вкусные,слегка хрустящие. Как пирожки) Симпатичный внешний вид. Довольно качественная сборка. Готовит быстро и вкусно. Из минусов : не предусмотрена кнопка включения/выключения. Не предусмотрен таймер выключения.(приходится караулить бутерброды чтобы не сгорели) В целом покупкой очень доволен! Берите, не пожалеете!</t>
  </si>
  <si>
    <t>Вчера купила данную модель. Сегодня уже попробовала ее в деле. Результатом осталась довольна. Прекрасно готовит, проста в управлении, легко моется, удобная форма, красивый дизайн!!! Пока все устраивает) Планирую купить тостер и соковыжималку данной марки))) P.S. спасибо огромное продавцам-консультантам магазина М.Видео за хорошее отношение, общительность, внимательность, вежливость и за подробную информацию о товарах которые они предлагают!!!</t>
  </si>
  <si>
    <t>Являюсь обладателем ятелефона. Окончательно убив стандартные уши, озадачился покупкой новых. Выбирал между  Sennheiser CX-300-II Black и данной моделью. Остановился на наушниках от эппл. Пришлось пожертвовать качеством, отдав предпочтение удобству использования. Знаю что существует Sennheiser MM-50(аналог СХ-300-2 только с пультом), но в продаже найти не смог. Наушники оказались не лучше и не хуже гарнитуры идущей в комплекте с телом. Пульт выполняет стандартный набор функций(прием/завершение вызова, плей/стоп, переключение треков). К сожалению, из-за конструктивных особенностей ятелефона управление громкостью не поддерживается.</t>
  </si>
  <si>
    <t>По соотношению цена-качество этот саб просто отличный.  Бас четкий,без гудения.Саб очень компактный,поэтому удобно размещать в багажнике.</t>
  </si>
  <si>
    <t>Купил ноутбук 31.08.2009г. переустановил ОС на Win ХР. Для повседневной работы считаю самым оптимальным вариантом + соотношение цена-качество!</t>
  </si>
  <si>
    <t>2571</t>
  </si>
  <si>
    <t>Неприятного очень много от скрипов до царапин, плюшевого дисплея, но это мелочи. Спустя два месяца появились зависания, похоже только видюхи, звук остаётся, индикация тоже. Это через два часа игры и даже не в шутер, а в цивилку. Подумываю тоже как-нибудь организовать возврат денег((</t>
  </si>
  <si>
    <t>На мой взгляд - наилучшее соотношение цены и функциональности. Ручной капучинатор выбрала осознанно: необходимо промывать только внешнюю насадку-трубку, да и цена существенно ниже, чем с автоматическим. А капучино получается отменный! Дизайн меня вполне устраивает. Где-то прочитала отзыв, что некоторые марки кофемашин с заоваленными углами напоминают пылесосы 90-х годов - в точку сказано. У этой современный дизайн. Настроить можно тонкость помола, крепость кофе, количество воды на чашку. Пьем по 2-4 чашки в день, первая очистка от накипи понадобилась через месяц после начала использования. Средство купили за 250 руб. (отечественное, купили в Кофеinе), его хватит на 5-6 очисток.</t>
  </si>
  <si>
    <t>Работает уже 3 месяца, нареканий нет, сочетание цена/качество оптимальное. Довольны, спасибо.</t>
  </si>
  <si>
    <t>2012-12-01</t>
  </si>
  <si>
    <t>Купила данную ПМ - разочарована: моет плохо, посуда через одну не промыта, мокрая. Через 2 месяца работы начались странности: то пена после мойки в машинке, то вода на дне стоит после работы, через 4 месяца совсем сломалась - стала выдавать ошибку нагревательного элемента и не моет совсем. Все рекомендации строго соблюдала - соль, ополаскиватель, порошок для мойки. И еще очень шумная, даже в отдельной кухне с закрытой дверью!</t>
  </si>
  <si>
    <t>3113</t>
  </si>
  <si>
    <t>Доверил выбор жене) Вытяжку взяли по скидке меньше, чем за 7 тысяч и не прогадали. Каждый день что-то жарим и без вытяжки сильно чернели обои, запах стоял. Теперь такого нет, в квартире во время готовки не пахнет. Шумит умеренно, можно потерпеть, чтобы обои каждые полгода не менять). Устанавливал, кстати, самостоятельно, все делал по схеме и справился, чтобы не переплачивать.</t>
  </si>
  <si>
    <t>колонки отличные!  звук качественный, сабвуфер качает нормально.  минус в том, что через не которое время регулятор громкости на пульту начинает не много тупить.  а если у кого то звучание плохое, то здесь не мало важную роли играет и звуковая карточка вашего компьютера.</t>
  </si>
  <si>
    <t>Микроволновка очень хорошая за исключением что она сама по себе не маленькая, дак ещё и с задней стороны выпирают на см.10 её кишки(задний корпус),а так очень удобная и по дизайну подойдет для любой кухни =)</t>
  </si>
  <si>
    <t>Утюг хорош. Все что о нем написали - правда.  Но видимо попался бракованный экземпляр. В процессе глажки начинает мокнуть эл.шнур начиная от шарнира на длину 15-20 см.??? Купил перед самым Новым годом.</t>
  </si>
  <si>
    <t>Весьма удобный и качественный для своей цены штатив. Видео снимать без рывков не получается, но я сомневаюсь, что за такую цену вообще можно найти штатив, у которого голова двигалась бы идеально гладко.</t>
  </si>
  <si>
    <t>Ноутбуком доволен!Дизайн сногсшибательный!Правда стал скрипеть пробел,очень раздражает!Но Думаю привыкну)!Лучшая замена стационарника за такие деньги!Отмечу, что он практически не шумит и не греется!</t>
  </si>
  <si>
    <t>Ну не знаю, у меня ничего не подтекает. Чайник работает нормально, вскипает достаточно быстро, никакого запаха от него нет. И подсветка не может не радовать - своего рода кухонный декор, да еще и функциональный.</t>
  </si>
  <si>
    <t>Приобрела недавно, но очень довольна.</t>
  </si>
  <si>
    <t>Отличная игра, в которой совместили все плюсы первой и второй части, так что покупайте.</t>
  </si>
  <si>
    <t>Приобрел такой саб пару месяцев назад. Первое, что впечатлило, это ширина подвеса! Размеры саба, хоть он и в закрытом ящике, не маленькие, тут сказывается размер дина на 15. Качество исполнения не вызвало нареканий.  Играет изумительно!!! Размер дина и закрытый тип корпуса положительно сказываются на глубине баса, создается не шуточное давление, хотя, в целом, заявленная мощность не такая уж и высокая. Добиться гудения и посторонних шумов достаточно сложно. Короче я рад!</t>
  </si>
  <si>
    <t>Покупкой очень доволен, тосты получаются просто превосходные, не подгорают, отлично прожариваются. Сам тостер имеет очень привлекательный дизайн и при этом очень надёжен, т.к. пользуюсь им достаточно длительный срок. Из достоинств выделю: плавное погружение и подъём ломтиков хлеба, бесшумная работа, подсветка кнопок и звуковой сигнал о готовности приготовления. Рекомендую всем кто любит хорошо позавтракать.</t>
  </si>
  <si>
    <t>Обожаю его!</t>
  </si>
  <si>
    <t>2912</t>
  </si>
  <si>
    <t>Я бы данный товар не рекомендовала. Купила такие вчера в МВидео-Нальчик. Во-первых мне изначально забыли дать к ним батарейку (входящую в комплект), и мне пришлось ехать за ней второй раз, причем сотрудники магазина даже не извинились! Во-вторых весы нормально не включаются хотя должны включаться "легким нажатием ноги" как сказано в инструкции. Включить их можно только если потрясти или вновь вставить элемент питания!</t>
  </si>
  <si>
    <t>Меньше чем через пол года треснуло стекло ни с того ни с сего!   Постоянно выглядит грязным, весь в накипи уже через 5 дней после промывки, с закрытыми пьешь и не видишь, а тут все на виду, пьешь и моешь , пьешь и моешь.</t>
  </si>
  <si>
    <t>3211</t>
  </si>
  <si>
    <t>Нет голосового АОНа, нет подсветки клавиш. Буквы на  клавишах неудобочитаемые. Сдал обратно.</t>
  </si>
  <si>
    <t>Эту варочную панель покупали в январе месяце. Никому не советую покупать данный товар. Закипает всё очень долго, может выключиться в любой момент. Например, ставишь кастрюлю с водой - без крышки не закипит вообще. Каждый раз готовлю на ней и каждый раз мечтаю избавится. С мужем сначала решили что подключили неправильно, но с этим проблем нет. Не советую никому!!!</t>
  </si>
  <si>
    <t>Покупал за 1990 рублей, потратив 1500 бонусных рублей, итого наличкой заплатил 490 рублей. Кофемолка хорошая. Долго сомневался покупать ли её. Ведь в отзывах писали что раскалывается пластиковая крышка. Но рискнул и купил. Действительно, крышка в месте где она входит в корпус очень тонкая. Но! Думаю про лопнувшую крышку пишут те люди, кто молол в ней грецкие орехи, скорлупу, или еще что-то подобное, ибо когда в ней мелишь кофе, то крышка не трескается, и не лопается. Работает кофемолка тихо, особенно если не прижимать ее к столу, а просто держать в руках. Греется, потому что нет ни одного вентиляционного отверстия, но если соблюдать инструкцию, и после трех 25-ти секундных помолов давать ей отдыхать с пол часика, то думаю она прослужит долго. Сахар в ней молоть категорически нельзя, так как он может подплавиться, и залепить всю кофемолку, и шкив мотора, после чего мотор всегда будет работать под нагрузкой, об этом даже в инструкции написано и на крышке нарисован запрещающий знак. А вот такие вещи как овсянка и сухие травы из аптеки можно молоть в муку без проблем. И да, ее нельзя вытирать влажной тряпкой даже, а мыть тем более, я чищу её после каждого использования косметической кисточкой вроде акварельной только с более жесткой щетиной. Хорошая кофемолка, посмотрим как долго она протянет при бережном использовании в прямых руках.</t>
  </si>
  <si>
    <t>Купила в октябре 2011. Пылесосит хорошо, пока не забьется фильтр, а забивается он быстро. Фильтр конечно моется, но дело это хлопотное. Для разбора и сбора его технического образования не надо. У меня его нет, я разобралась быстро, хотя инструкции не было ))) наверно забыли положить. Шумный.........это не то слово! Но за те деньги которые я за него отдала, я ему прощаю все!!! Эта та техника которой хватает на 2-3 года, а потом просто его выкидываешь. За это время полностью себя оправдывает, ремонт делать не целесообразно, да и вообще не жалко выбросить.</t>
  </si>
  <si>
    <t>2015-10-21</t>
  </si>
  <si>
    <t>Сейчас для меня электрическая щетка - это уже как миксер или фен. Вроде раньше все жили без техники, но это же небо и земля)  Главное для меня было - перестать ее бояться и нормально чистить у десен, первое время только кончики зубов чистила)) но стоматолог объяснил ошибку, так что не нужно бояться. Ничего с деснами она не сделает, наоборот надо прям вдоль них чистить, тогда и они массируются заодно. А это оч полезно.</t>
  </si>
  <si>
    <t>2016-02-19</t>
  </si>
  <si>
    <t>Прибор маломощный. Скорее игрушка для детей, чем маникюрный набор. Для аппаратного маникюра совершенно не годится.</t>
  </si>
  <si>
    <t>Из минусов - медленное переключение каналов. В остальном - одни плюсы. Возможность просмотра видео с USB (нравится фильмы на флэшке таскать, оч. удобно), отличная цветопередача, хороший звук, удобное меню с широкими возможностями настройки "под себя", прикольный индикатор-капелька и, главное, ну очень привлекательный ценник относительно аналогов.</t>
  </si>
  <si>
    <t>2494</t>
  </si>
  <si>
    <t>Отличная вытяжка-стильный дизайн, очень низкий уровень шума, великолепное качество, удобное сенсорное управление, достаточно легко моется и самое главное, очень хорошо вытягивает.</t>
  </si>
  <si>
    <t>Если установить ICQ и включить сохранение истории, то ICQ сохраниться в память телефона или будет на карте памяти? очень нравится телефончик.... но не могу выбрать между 5560 и 5620. помогите с выбором пожалуйста)))</t>
  </si>
  <si>
    <t>+:при зуммировании очень четкая картинка и дальность потрясает...  -:качество видео-разочаровала нечеткость изображения...</t>
  </si>
  <si>
    <t>Телек супер! Две недели назад купил. Качаю фильм на флешку(USB) и вперед на просмотр фильма.</t>
  </si>
  <si>
    <t>Телефон совсем неплохой. В эксплуатации практически целый год уже. ПРи покупке советую обратить внимание на заднюю крышку, может быть зазор сбоку небольшой с одной из сторон, что может вам не понравиться, хотя технически зазор этот мешать не будет. Грязь через неё не попадает. Сама задняя крышка выполнена из алюминиево-магниевого сплава, что повышает её срок службы. Поверхность шершавая, защищает от царапин.Падения с высоты 2 метров в принципе, переносит нормально - на ковёр и линолеум - даже не зависнет. Передняя панель особо-таки не отходит, если не ковырять отвёрткой. Нижняя часть приподнимается пальцем, но чтобы оторвать, нужно будет уже приложить усилие. Пыль не доставляет хлопот, т.к. не попадает под кнопки. Управление клавишами удобное, но если будете часто играть, то пальцем попадать частенько можно на функциональную клавишу вызова электронной почты. Динамик хороший. Звучит громко. Есть минус только один. Если будильник поставить на утро и телефон положить на кровать кнопками кверху, то можно проспать заданное время, т.к. динамик глушится очень сильно таким образом. Клавиши постоянно мерцают раз в 10 секунд, можно отключить. Качество связи нормальное. Замечен неприятный момент только: бывает, что может зависнуть телефон (~ за год эксплуатации было раза 3-4), но как было описано выше - скорее всего из-за сырой прошивки. При максимальной нагрузке на телефон со всеми включёнными приложениями заводскими и парой установленный дополнительно телефон ведёт себя спокойно, зависаний не было, продолжал также шустро работать. Skype, ICQ и прочие приложения использовались (и используются) успешно и без сбоев. GPS-навигатор может иногда тупить из-за интернета и подтормаживать определение данного местоположения, а вообще работает на ура: отслеживание маршрута в реальном времени и движение не подводит. Чтение файлов, редактирование документов тоже приемлемое, изредка может глючить шрифты, когда переносятся файлы текстовые с компьютера на телефон с русскоязычными текстами. Камера неплохая, НО очень и очень не хватает автофокуса, из-за чего и портятся фотографии (к примеру, фотографирование текста из книг, тетрадей и прочих буквенно-цифровых данных). По поводу съёмки с включенной вспышкой: ЕСТЬ такая возможность и она работает. Проверял сам. Ночью на улице очень помогает, минус то, что непосредственно во время записи видео только подсветку включить можно, в качестве фонарика без съёмки вспышка не прокатит. Функций у телефона много, как писали выше, но это бизнес-модель, здесь это и должно быть.  Радует также такая деталь как сенсор у телефона, то есть при повороте на 90 градусов экран горизонтально растягивается, но работает только из вертикального положения и с поворотом телефона налево, но это всё-таки не сенсорный телефон, а моноблок кнопочный, запредельных чудес от него не требуйте уж :). Этот самый поворот будет полезен при просмотре фильмов на телефоне. пустячок, а приятно. Wi-Fi стабильный. 3G тоже. Звонки принимает, всё работает уверенно. Аккумулятор радует, даже когда уже совсем не остаётся ни одного деления зарядки, в режиме пониженного потребления энергии телефон продолжает жить ещё пару часов, как минимум и вы всегда сможете совершить пару важных звонков. Вывод: вполне себе хороший телефон. Может, разве что не хватает ему qwerty-клавиатуры, как в его улучшенной модельке E75, но это уже другой телефон.... :)</t>
  </si>
  <si>
    <t>внешний вид, функциональность</t>
  </si>
  <si>
    <t>Ковры пылесосить не удобно - не помешает специальную насадку купить.  В остальном пока всё норм.</t>
  </si>
  <si>
    <t>Изображения четкие и резкие, никаких размытостей нет, работает от общей домовой антенны что есть во всех многоэтажных домах.   Смотрел Фото и слушал музыку как с SD так и с USB все работает, главное чтобы файловая система была как на флэшке USB так и на SD FAT 32, пробовал флэшку с файловой системой просто FAT не работает, после чего флэшка была отформатирована на FAT 32 и все заработало.  Так что телевизор отличный, цвета и качество изображения просто радуют. В настройках, меню легкое и понятное, в принципе можно даже настроить не заглядывая в инструкцию все понятно но все же первоначально конечно лучше настраивать прибегнув к инструкции.  Что касается таймера включения и часов, то тоже не нашел. Хотя таймер включения может быть и есть но при подключении дополнительных устройств, сам пока не подключал. Вообщем нам понравился данный телевизор, советую не пожалеете.</t>
  </si>
  <si>
    <t>Данной  моделью чайника пользуемся лет пять,претензий нет,очень удобная вещь в дороге  и командировке.Просто замечательный подарок для людей в погонах!Поэтому купила его любимому зятю.</t>
  </si>
  <si>
    <t>Прошло 3 недели с момента покупки этого ноутбука. Ни малейшего косяка не найдено! Все супер! Блютуз,сенсорные кнопки и тачпад работают как часы. Наверное просто не повезло, писавшим ниже.. Из игр установлена только FIFA10. Пашет без проблем, но если на время игры воткнуть в розетку, то еще лучше. Радует Windows 7!!! А дизайн просто прелесть. Очень МНЕ нравиться всё!)))</t>
  </si>
  <si>
    <t>Используем такой блендер на профессиональной кухне(в ресторане). При жесточайшей эксплуатации держится уже полтора года. Это, кстати, рекорд. Другие "умирали" через 2-8 месяцев.  При бережном использовании дома проработает в три раза дольше, уверен.   Очень удобен, хорошая комплектация.   Мощности хватает за глаза - даже кубики льда превращает в кашу за секунды.</t>
  </si>
  <si>
    <t>Купил в ноябре 2010 года, покупкой очень доволен.качество картинки мне очень нравится и функциональный довольно.вещь которая стоит своих денег.купил вместо флэшки внешний жесткий на 500 гБ читает все отлично и без тормозов.!!!в начале января купил такой же родителям они тоже очень довольны!моя оценка +10 из 10.</t>
  </si>
  <si>
    <t>Скажу так, &amp;nbsp;у кого играет тихо телефон или плеер берите, очень чувствительные, покажется громче, своих денег стоят.</t>
  </si>
  <si>
    <t>Согласен с Рафом. Видимо тоже поторопился с dv6-2019er. Кто колеблется, покупать или нет этот ноутбук - берите не раздумывая.</t>
  </si>
  <si>
    <t>Батарея садится за 6 часов,если в кармане лежит.Постоянно корпус горячий. Не советую</t>
  </si>
  <si>
    <t>удобная , компактная , работает как от сети так и от аккумулятора !!! Одним словом Нравиться  )</t>
  </si>
  <si>
    <t>537</t>
  </si>
  <si>
    <t>Отличная машина!  Из недостатков пожалуй -  Windows 7  Отсутствие Wi-Fi 802.11n  Отсутствие камеры  Но всё с лихвой перебивается плюсами!    Стоит брать не задумываясь!!!     Только вот проблем с ним было ... попалась модель с нестабильной памятью ... ругаться не стал , в сервис не нёс. Поменял, теперь полёт отличный!)</t>
  </si>
  <si>
    <t>Для Samsung плеер отличный и свою стоимость полностью оправдывает, но есть и небольшие недостатки связанные с прошивкой... Нет прямой функции выхода из режима прослушивания радио и музыки, приходится совершать лишние действия необходимые для выхода( Звук хороший, но для моих HD215 кажется не слишком громкий даже на максимуме...хотелось бы погромче суток(... Большим плюсом явл. поддержка просмотра avi даже без предварительной конвертации и прослушивание FLAC, но для этого надо прикупить хорошие ушки)))+на будильник можно ставить любую свою мелодию и менять темы оформления на свой вкус)... В целом плеером доволен... За эти деньги лучше не найдешь!</t>
  </si>
  <si>
    <t>Включил на пустую максимальную стирку с порошком (промыть). Получил на отжиме тук-тук (а что вы хотите после перевозки в -30?)Из чайника кипятком налил в сливной шланг грамм 200-300.. включил на отжим, и о чудо... вода из шланга слива..)) ну дальше думаю экспериментировать по полной, 3 шерстяных свитера затолкал. Налив воды громче стирки.. отжим-со свистом.. но где вы видели машину на отжиме без свиста?? зазор до гарнитура кухонного как был 10 мм- так и до сих пор.. в общем доволен.. недостатков пока нет..  Искал именно супер-узкую..</t>
  </si>
  <si>
    <t>71</t>
  </si>
  <si>
    <t>Простая, хорошая сушилка, я довольна. Единственно что - если надо сушить сапоги с мягкими голенищами, следите, чтоб голенища не заваливались набок, нужен выход тёплого воздуха.</t>
  </si>
  <si>
    <t>Перелопатив весь интернет, лучшего не нашел, смущала только цена, хотелось конечно дешевле, но те кто выигрывали по цене проигрывали по всем параметрам, начиная с дизайна, заканчивая мощностью. Люблю пить коктейли и ранее пользовался погружным блендером, тратя уйму времени, сейчас просто сказка - отправляешь в него все желаемые ингредиенты и в результате получаешь отличный, идеально смешенный напиток. Второе открытие - это, то что он с успехом рубит мясо для бифштексов. Рекомендую тем кто любит качество в стильном дизайне и готов за это платить!</t>
  </si>
  <si>
    <t>1)Плохо отстирывает!( всё по инструкции) 2)Запах плавящейся проводки! при t40 (при тестовой t60 не было запаха) 3)Шумная! (щелкает,гудит, стучит, помпа ревет, свист при отжиме) 4)На программе Шерсть белье не выполаскивает! 5)По ощущениям обороты при выжимании не меняются в зависимости от программы, всегда около 800! Очень пожалела, что поменяли старую(20 лет!) на этот откровенный отстой!</t>
  </si>
  <si>
    <t>Ребят а флешка в комплекте идет??</t>
  </si>
  <si>
    <t>Пользуюсь около месяца. Намного удобнее чайника, вода всегда горячая. Нам, как молодой семье с ребенком просто незаменим - очень быстро можно сделать смесь и не ждать пока вскипит чайник. Мы очень довольны.</t>
  </si>
  <si>
    <t>самые хорошие и относительно не дорогие уши, через 3 года использования перегнулся провод, вот нашел их снова в продаже, щас пойду покупать... очень хороший звук</t>
  </si>
  <si>
    <t>Сначала приобрел Sony VAIO VPC-F11E1R /H , очень не понравился ... не тянул ничего !!! Пришел в магазин и поменял на эту модель .Отличный ноутбук на все случаи жизни ,единственный минус экран(под определенным углом мерцает)</t>
  </si>
  <si>
    <t>Наушники совершенно не понравились. Плохо сидят в ушах. Через минут пять прослушивания начинают раздражать. Звук неравномерный. Не под каждый плеер подходят (на одних плеерах играт тихо, на других черезчур громко). Так что не слушайте консультантов, которые их вам рекомендуют. Хотел поменять на другую фирму за такую же цену, но мне отказали в этом, даже не разобравшись в ситуации. Теперь  эти наушники лежат просто в столе и пылятся. Деньги на ветер. Фишер не берите вообще.</t>
  </si>
  <si>
    <t>Не покупайте этот утюг, пользовалась им год. Течет, воду не видно, кнопки не удобно расположены, тяжеловат,через 5 мес. парогенератор капризничать начал и сдох</t>
  </si>
  <si>
    <t>Хотел взять Panasonic TX-PR42 U20, но с расстояния 1,5м, различий изображения  с C10, в HD качестве- не нашел. Выбор оставил за последним. Он лучше с коллективной антенны показывает.  С вчерашнего дня- разочаровался в М.Видео. Дали пульт от другой модели, и чтоб его обменять предлагают привезти весь телевизор (прямо, как в анекдоте).</t>
  </si>
  <si>
    <t>По объему самый большой из серии Барьер, купила второй на подарок родителям. До этого пользовались аквафором, от него оставалась накипь.  В случае Барьера кассеты выбирать стандарт 4 , если есть хлорка в воде, если вода без хлорки и жесткая, то выбирать  кассету под номером 6.  Цвет себе  ранее брала  красный, смотрится лучше, чем синий.  По качеству все отлично, берите, не пожалеете ! в комплекте идет одна кассета в подарок.</t>
  </si>
  <si>
    <t>Готов с вами поспорить, ноутбук очень хороший. И цена для ноутбука с такой производительностью очень даже приемлемая! Скорее всего это вам попался такой ноутбук. Если бы это была у него вечная проблема, тогда бы ещё несколько таких людей нашлось, почему то по отзывам, не только на этом сайте, я такой проблемы ни у кого не встречал.  Сам имею этот ноутбук, всё устраивает. Единственное только, что windows 7 home basic стоит, но это мелочи, кому надо и переустановит. Навязывать другим этот ноутбук я не буду, но если кто-то решил его приобрести, уверяю, вы не пожалеете! Ну, а доп гарантию я всё же советую взять, т.к никто ни от чего не застрахован! Смело даю ему 5 баллов!</t>
  </si>
  <si>
    <t>SVEN всегда были на высоте! До этого лет 6 назад покупал себе колонки SVEN и теперь не изменю этой фирме. Соотношение цены и качества! Хорошо дополняют интерьер! Не пожалел!!!</t>
  </si>
  <si>
    <t>356</t>
  </si>
  <si>
    <t>Купил наушники два дня уже пользуюсь. Чуствительность отличная, слышно любой шорох. Нижняя частота воспроизведения начинается от 30Гц, если прижать к уху то от 20Гц. После длительного пользования уши не болят. В целом наушники хорошие, но на 5 не тянут.</t>
  </si>
  <si>
    <t>Муж подарил на новый год мне этот утюг,  ну в целом он мне очень нравится.  хотя особо много то я им еще и не погладила.  поверхность хорошая, отлично скользит.   авто отключение работает.</t>
  </si>
  <si>
    <t>Доброго вам времени суток.  Стал я месяц назад обладателем сего девайса.  Аккумы порадовали как никогда, не проверял до разрядки, но ни разу не оказался с посаженным аккумулятором, качество звука обсуждать не могу, в поезде или городском шуме его трудно оценить. Насчёт отказа кнопки...там два включения/выключения, читайте мануал и будет вам счастье.       В целом конечно глобальных претензий никаких, а вот маленькие недочеты есть.  первое: центральная кнопка подтверждения "М" иногда срабатывает как кнопка "вверх", причем только иногда )))  второе: в автоматической прокрутке текста  грубовата регулировка  4-6-8 сек  очень не хватает 5 ти секунд (или вообще плавной с шагом 0.25)...ибо за 6 надоедает ждать а за 4 не успеваешь осознать прочитанное.  третье: самое серьезное,  при сортировке файлов в папке, ПО девайса почему то считает, что "0" идет после "9" или как то так... в итоге аудиокниги слушать невозможно т.к файл 2 ставится после 19 а 01 и 02 помещается в конец списка после 78 79.    В общем продукт заслуживает твердой 4 ки с плюсом, а если не собираетесь книги читать или слушать - то 5 ки.</t>
  </si>
  <si>
    <t>Напрасно пишут , что дно тонкое, дно толстое</t>
  </si>
  <si>
    <t>Данный агрегат изумителен! Тосты в нем не готовлю, но сэндвичи получаются превосходные, румяные, аппетитные,  хлеб в меру хрустящий. Вафли - отличные вариант для десерта, пропекаются хорошо. Мыть съемные пластины-формы очень удобно. Советую.</t>
  </si>
  <si>
    <t>3191</t>
  </si>
  <si>
    <t>БЕРИТЕ!!! ДА ЕЩЁ С HALO:REACH!!! БЕРИТЕ!!!</t>
  </si>
  <si>
    <t>Хороший клапан, удобный конструктив. Температуру сохраняет очень даже неплохо!    Сейчас бы взял объёмом 1.2 - он чуть выше по высоте, зато хватит на кружку четвертому.</t>
  </si>
  <si>
    <t>609</t>
  </si>
  <si>
    <t>пользуюсь 2 года полет нормальный</t>
  </si>
  <si>
    <t>2995</t>
  </si>
  <si>
    <t>Выпрямитель отличный! Купила себе в подарок на 8 марта и не ошиблась. Соответствует всем положительным параметрам. Можно регулировать температурный режим, что важно для тех, кто следит за здоровьем волос, а функция ионизирования предает волосам блеск. Смело покупайте, получайте удовольствие от использования и дарите окружающим приятные впечатления от своих прекрасных причесок, сделанных при помощи данного утюжка!!!</t>
  </si>
  <si>
    <t>739</t>
  </si>
  <si>
    <t>После пользования плеером около года могу сказать, что если бы повернуть время обратно, то я бы его никогда не купила. Время работы около трех часов, но и заряжается он минут пятнадцать не более. Очень разочарована.Теперь хочу поменять его. Но теперь буду более придирчива.</t>
  </si>
  <si>
    <t>Перешел на эту зубную щетку с OralB. Первые ощущения прямо скажем не однозначные. За счет высокой амплитуды колебаний создается ощущения зуда в деснах, благо в инструкции вычитал про режим привыкания и этот режим очень помог. Потом десна адаптировались и больше дискомфорта щетка не доставляет. Чистит реально классно, можно даже зубную нить не использовать. Аккумулятора хватает на долго - недели полторы ежедневных чисток, тоже плюс. OralB быстрее разряжалась. В целом покупкой доволен. Рекомендую.</t>
  </si>
  <si>
    <t>771</t>
  </si>
  <si>
    <t>Прекрасная модель! Достоинств много, все что нужно все есть, почти не греется. Недостаток это виндоус 7, но я сделал двойную загрузку, поставил XP. В общем все супер! Покупайте не пожалеете)</t>
  </si>
  <si>
    <t>Решили с мужем купить новый агрегат. Долго выбирали, но эта модель сразу бросилась в глаза. Так-же решили проверить новую систему утрамбовки мусора.   С выбитого на улице и почищенного старым пылесосом ковра новый пылесос выудил столько грязи, что я была просто в шоке. Так что всем рекомендую преобрести такую модель-не пожалеете.</t>
  </si>
  <si>
    <t>стирает уже три месяца, никаких нареканий, все нравится. качественная вещь</t>
  </si>
  <si>
    <t>Проекция видна только ночью и только в красном цвете. В остальных цветах проекция четкая только в центре. Если же установить красный цвет проекции, то страшным красным цветом светится и дисплей часов.</t>
  </si>
  <si>
    <t>1647</t>
  </si>
  <si>
    <t>У меня есть такой...точнее был... Пластины просто вплавились, оставив обожженый клок волос... а зубчики постоянно цеплялись за волосы и выдирали их. Вообщем, девочки, не жалейте денег на выпрямитель - от этого зависит внешний вид ваших волос и их здоровье!</t>
  </si>
  <si>
    <t>2017-05-26</t>
  </si>
  <si>
    <t>Безшумная</t>
  </si>
  <si>
    <t>Отличный девайс! Пользую третий месяц, для плазмы и дом. кинотеатра - никаких нареканий. Цветом выключателя показывает какое у нас напряжение в сети - повышенное\пониженное\нормальное. Симпатичный дизайн, сборка - на хорошем уровне. Включается не сразу - но это специально так сделано. Не знаю откуда у предыдушего автора руки растут - что он умудрился спалить ПИЛОТовский фильтр! Отличная продукт российских, а не китайских, технологий.</t>
  </si>
  <si>
    <t>Тостер замечательный. Прост в обращении. В режиме 5 получаются отменные поджаристые тосктики, всем рекомендую.   Ставлю отметку 5+++</t>
  </si>
  <si>
    <t>Вот пользуюсь пока три дня, но работает хорошо, работает всё отлично, видеокарта вообще здоровская. Вообще всё здорово.</t>
  </si>
  <si>
    <t>1010</t>
  </si>
  <si>
    <t>На свою цену печка себя оправдала от и до. Самое главное - правильный рецепт с верными пропорциями и всё, вкусная булочка к завтраку или ужину вам гарантирована!</t>
  </si>
  <si>
    <t>Отлично справлялся со своими функциями</t>
  </si>
  <si>
    <t>В принципе все нравится, но есть один минус, на мой взгляд существенный - отсутствует блокнот, или функция "заметки" как на нокии. Если надо записать информацию, которая не привязана к какой-либо дате или человеку из твоего списка телефонов, то этого сделать не возможно! Не куда записывать. Вроде бы нашел выход: есть возможность читать электронные книги)) Создал документ "блокнот" с разрешением .тхт, закачал в телефон, но он не распознает буквы (хотя на первый взгляд проблем не должно быть, т.к. есть возможность смены кодировки) и вместо букв кириллицы выдает никому не известные иероглифы (кстати документы с разрешением .doc вообще не видит). Управление картой памяти в Нокии гораздо удобней,в Филипсе мелодию звонка почему-то можно устанавливать только из папки Musiс, куда тебя автоматом отсылает телефон. Чуть не проспал на работу из-за того, что будильник заставить "дремать" можно только 2 или 3 раза, потом он отключается. В калькуляторе отсутствует функция "проценты". Я понимаю, что проценты можно высчитать путем деления и умножения, но это же долго. Но в прочем цена соответствует качеству. Порадовала емкость батареи и дизайн. Если кто подскажет как решить проблему с блокнотом буду благодарен.</t>
  </si>
  <si>
    <t>TV отличный!!!Отвечает всем моим требованиям. Ещё бы MKV файлы читал с флэшки было вообще супер!!</t>
  </si>
  <si>
    <t>По поводу таблеток хочу добавить, что пользуюсь ими с самого начала покупки, Марина наверно не до конца разобралась после приобретения данной машины. В дверце есть специальный отдел для таблетки. В целом машина хорошая. Единственный на мой взгляд минус, это отсутствие защиты от протечек (были такие случаи в процессе эксплуатации)</t>
  </si>
  <si>
    <t>2017-03-30</t>
  </si>
  <si>
    <t>Выполняет свою работу - и хорошо.</t>
  </si>
  <si>
    <t>1333</t>
  </si>
  <si>
    <t>Купил бритву недавно. Покупкой доволен, бриться удобно. Заряда действительно хватает на долго и заряжается очень быстро.</t>
  </si>
  <si>
    <t>Долго присматривался к кофеваркам и все-таки выбрал эту модель... Да уж &amp;quot;Tefal&amp;quot; думает о нас. У меня есть другая кофеварка модель не помню. Работает 15 лет, но я решил купить еще одну кофеварку.Долго присматривался к кофеваркам и все-таки выбрал эту модель... Да уж &amp;quot;Tefal&amp;quot; думает о нас. Самый главный недостаток этой кофеварки - слишком быстро течет вода в кофейник. Как итог - вместо крепкого и ароматного кофе (используется кофе Lavazza Crema e Gusto) получается безликая жидкость темного цвета. Очень не рекомендую к покупке. Разочарован. Может быть, кто-нибудь знает модель, у которой вода медленно течет в кофейник?</t>
  </si>
  <si>
    <t>Уже 2 года этот тепловентилятор, греет хорошо 2 режима. Помогает в межсезонье когда отопление ещё не включили, а на улице прохладно. Но есть небольшой минус как и у всех тепловентиляторов на спирали. Они сжигают кислород поэтому если денег много желательно купить керамический тепловентилятор!</t>
  </si>
  <si>
    <t>3005</t>
  </si>
  <si>
    <t>телефон отличный. меня всё устраивает. а деньги не главное</t>
  </si>
  <si>
    <t>2194</t>
  </si>
  <si>
    <t>Очень рады что,купили.Пропылесосила везде,проходит во все щели,мощность очень хорошая, даже боковые вещи что-то тянет в себя и не оттянешь.Контейнер удобный,легко выложить.Труба-ручка  удлиняется специальной кнопкой,которая находиться на ней же и не надо стоять разбирать отдельные детали как в др..Насадки тоже,очень быстро по ходу работы меняются.Это точно что, воздух выходит просто чистый, там стоит моющийся фильтр.Цена качеству соответствует.Тяжеловатый немного,кнопка вкл.и вык. была бы в самой ручке,было бы отлично.</t>
  </si>
  <si>
    <t>искали газовый духовой шкаф именно белого цвета. из трех моделей выбрали эту и  не жалею, в кухне смотрится очень красиво. покупали полтора года назад и до сих пор не могу нарадоваться. еду пропекает очень хорошо, очень порадовало наличие гриля и то что он электрический. есть элекстроподжиг. ручки управления очень удобно расположены. чистится очень легко. с полной уверенностью могу сказать, что эту модель стоит покупать.</t>
  </si>
  <si>
    <t>Холодильник просто супер- давно о таком мечтали.Ожидания оправдались- красивущий, вместительный, достаточно тихий, уютный, холоднющий.Для семьи- то, что надо!!!</t>
  </si>
  <si>
    <t>в высоком качастве, благо USB поддерживает массу форматов видео. Фото и музыка тоже воспроизводятся, причем, можно запустить просмотр фото и музыку одновременно - приятно смотреть цифровые фотоальбомы! Вобщем, доволен всем!  Но без недостатков отзыв был бы не полным. Так что один недостаток всё же нашёл: включается долго! 3-5 секунд. Если не обращать внимание на эту мелочь, то моя оценка - 5+! Рекомендую!</t>
  </si>
  <si>
    <t>Красавица. А как она включается!!! А как она выключается!!! Нравица. Чехольчик... Плохо, что шнура для выи нет. Приспособил другой. Негативы возникнут, видимо позже. Да, и наушнички я естественно поменял. Штатные уж слишком "бесбасовые".</t>
  </si>
  <si>
    <t>Как по мне так очень даже хорошие наушники, у меня таких было 2 пары, одни достались с айфоном, а другие с айподом. Наушники от айфона проработали 1,5 года, после чего отказал правый наушник, а от айпода наушники работают и сейчас. Насчет того что они хрупкие, скажу так: если руки растут из правильного места всё всегда работает отлично. У меня айфону почти два года, а на задней крышке максимум 3-4 маленьких царапинки, а в яблоко я могу видеть своё отражение, а у моего друга айфон уже весь убитый, причём ему даже 1,5 лет ещё нету. Судите сами, надо аккуратнее относиться к вещам. Это моё мнение, хотя на вкус и цвет, не стоит об этом забывать.</t>
  </si>
  <si>
    <t>Простая и очень удобная кофеварка tefal варит действительно отличный кофе. Как и многие тут писали,важно соблюдать пропорции,сразу могу сказать,что на чашку уходит больше нерастворимого кофе,нежели растворимого из-за разных технологий приготовления. Однако,вкус и аромат этого напитка того стоит.</t>
  </si>
  <si>
    <t>Вчера приобрел данный чайник, никак не могу привыкнуть, что при выключенном чайнике включена голубая подсветка (надолго ли ее хватит?), будто чайник на подогреве...  А ночью как ночник, прикольно :)</t>
  </si>
  <si>
    <t>Прекрасно запекает. Читала, что от нее пахнет химическим запахом плохим, слава богу я с таким не столкнулась. Материалы приемлемые, нареканий нет. Очень люблю запекать картофель, получается с такой аппетитной корочкой.</t>
  </si>
  <si>
    <t>У меня такая блинница уже 15 лет! Только тогда дизайн корпуса был белый. Ни разу не подвела, пеку и большие и маленькие блины. Ни дыма, ни копоти, не надо около жаркой плиты стоять!</t>
  </si>
  <si>
    <t>1) Компактный 2) Неплохой дизайн</t>
  </si>
  <si>
    <t>2014-04-01</t>
  </si>
  <si>
    <t>Всем у кого выдает ошибку Е3 !!! Правильно установите сливной шланг как в стиральных машинах, он должен подниматься снизу вверх, а потом опускаться в канализацию. Сам сначала мучился с этой ошибкой, все сразу решилось. Моет отлично даже засохшую посуду, использую средство 3 в одном.</t>
  </si>
  <si>
    <t>Блендер хороший купили 2 года назад. Все устраивает. Удобно мыть удобно пользоваться. Только год назад насадка для взбивания начала при работе сильно "шуметь" видимо в механизм из шестеренок попало что-то или шестерня износилась, но он тем не менее работать продолжает.</t>
  </si>
  <si>
    <t>2017</t>
  </si>
  <si>
    <t>2013-10-04</t>
  </si>
  <si>
    <t>Купил месяц назад, покупка порадовала. Практически перестал пользоваться чайником. Вещь очень удобная!</t>
  </si>
  <si>
    <t>Он не стал хуже всасывать. Здесь кнопка включения крутится влево-вправо, этим регулируется мощность, многие ленятся заглянуть в инструкцию. Сам так попал ))) Расстроился очень, что он стал плохо работать. Пылесос отличный, я покупал его в М.Видео 3 года назад, только он тогда был красного цвета и гарантия на него была больше года.</t>
  </si>
  <si>
    <t>Всегда мечтала о стеклянном чайнике, 6 лет назад купила. Всем довольна до сих пор, но на днях сломались крепления на крышке (развалились), можно и дальше пользоваться, но не удобно, и облезла серебрянка на крышке. Чайник идеальный, поэтому иду покупать такой же снова))))</t>
  </si>
  <si>
    <t>Купили полгода назад. ни малейших нареканий по работе. отличный вариант!</t>
  </si>
  <si>
    <t>ТВ понравился по нескольким причинам, это хорошее качество изображения, хорошо передаваемый черный, картинка яркая красочная. Большая диагональ 32 дюйма, и все это по умеренной цене. ТВ очень понравился, пользую вместе с компом дома, как доп монитор, + в игры играю.</t>
  </si>
  <si>
    <t>Купила эту печь в 2011 году в Мвидео. Отлично справляется со своими задачами. Хлеб покупаем очень редко. А теперь, когда я в ней научилась печь бородинский хлеб, про магазинный можно вообще забыть. Пользуюсь ею, практически каждый день. Любимый рецепт белого хлеба - французский, он больше всего похож на простой белый хлеб, только вкуснее. Замешиваю в ней тесто на пирожки, лапшу, пельмени, пиццу, торт. Она может замесить очень крутое тесто, так, что потом с трудом раскатываю. Не в ней я делаю только жидкое тесто (блины, оладьи), со всем остальным она отлично справляется. Была проблема с ведерком, точнее с пластиковым сальником - растрескался он, пришлось ведерко менять. Произошло это скорее всего по моей вине, когда заливала горячее ведерко холодной водой, от перепада температур пластик потрескался. Теперь я так не делаю. Есть программы выпечки хлеба без глютена.</t>
  </si>
  <si>
    <t>801</t>
  </si>
  <si>
    <t>Купил этот плеер и не пожалел! Качество звучания хорошее в хороших наушниках. А то что в упаковке г...!!! Как телек - нормальный, если вы пользуетесь им в городе, а не где-нибудь в селе. В этом плеере все функции работают нормально. Эквалайзер есть. Читает всё без конвертации. Плеер работает на свои 3990 руб. Что насчёт качества - не хуже Sony, Ipod. Но и не лучше. Я считаю что за такие деньги вы ничего солидней не найдёте.         Хороший человек.</t>
  </si>
  <si>
    <t>1629</t>
  </si>
  <si>
    <t>Большой объем памяти, удобный дизайн. Эксплуатирую эту флешку каждый день где-то немножко больше полугода. Ни разу не глючила, открывается быстро. Скорость работы удовлетворительная.</t>
  </si>
  <si>
    <t>Недавно приобрели, отличная машинка, не шумная, удобная в управлении, красивый дизайн. За такую цену - просто чудо.</t>
  </si>
  <si>
    <t>2516</t>
  </si>
  <si>
    <t>купила эту машину в подарок с доставкой,увидела её лишь на следующий день, а то не приняла бы:пластик панели управления прилегает к корпусу неплотно, шумит при вибрации во время стирки,сломан один из скрытых элементов и 2 видимых самореза крепления верхней крышки-кривая сборка</t>
  </si>
  <si>
    <t>Легкий, компактный, удобно гладить мелкие детали, и с большими он отлично справляется!</t>
  </si>
  <si>
    <t>После того как поставил магнитолу Сони 660, появился громкий и качественный звук. Но вот единственный косяк - пропали высокие частоты. Щелковые пищалки добавляют качественный звук, но в моем случае я разочаровался, т.к. они реально классно играют, но не так как хотелось бы.</t>
  </si>
  <si>
    <t>При отжиме раздается громкий скрежет барабана. В конце стирки появился запах горелой пластмассы..  Хорошим оказался только большой люк)))  Будем менять машинку..</t>
  </si>
  <si>
    <t>Плюс во всем</t>
  </si>
  <si>
    <t>На второй стирке машина сломалась. Просто остановилась во время стирки.и дальше ничего. вода не сливается.   Плохо еще то, что во время стирки не видно на какой стадии находится, и сколько еще ждать.  больше за дешевизной не погонюсь.  намерена поменять марку.</t>
  </si>
  <si>
    <t>1826</t>
  </si>
  <si>
    <t>Раньше у нас дома был самый обычный кондиционер в виде такой коробочки, но летом он ел просто немерено энергии, поэтому было принято волевое решение купить сплит-систему для экономии энергии. Действительно, счет стал приходить в разы меньше (летом коней работает круглосуточно!). А кроме того значительно снизился уровень шума. Даже в режиме турбо эта модель шумит значительно меньше. Комната полностью охлаждается минут за 20, но если сидеть близко к воздушной струе, то прохладно станет сразу. Отличный удобный пульт с подсветкой, шторой можно менять направление струи. Охлаждает очень бережно, пока никто не свалился с температурой как это часто бывает при резком перепаде температур. Стоит своих денег!</t>
  </si>
  <si>
    <t>Купила монитор весной 2010г. Довольна работой монитора полностью. Берите не раздумывайте. Кстати кто знает как снимается  пластиковая крышка с задней стороны монитора для того чтобы ее снять и повесить монитор на стену. Куда нужно надавить на крышке и в какую сторону ее двигать, чтобы снять, а то снять никак не получается.</t>
  </si>
  <si>
    <t>Аппарат хороший, нареканий почти нет.  Единственное, надо загружать самому программы. Если их загрузить,то КПК просто чудо.</t>
  </si>
  <si>
    <t>Магнитола внешне очень даже симпатичная, первое время радовала, но потом: сама выключается, долго думает, внешний экран отходит и не работает...</t>
  </si>
  <si>
    <t>1511</t>
  </si>
  <si>
    <t>После зарядки аккумулятора хватает надолго, существенно надольше, чем аккумулятора, который был комплекте поставки моей Соньки изначально. Единственно что настораживает - это всего трехмесячная гарантия. Но я все-таки надежсь, что японский аккумулятор все-же окажется долговечным.</t>
  </si>
  <si>
    <t>не дорогой, дизайн подсветка, быстро кипятит</t>
  </si>
  <si>
    <t>Купил машинку родителям в подарок. Все настолько посто и логично,что себе захотелось купить такую. Машинка очень тихая, стирает тихо, при отжиме стоит ровно, но присутствует мелкая вибрация.</t>
  </si>
  <si>
    <t>315</t>
  </si>
  <si>
    <t>Через месяц эксплуатации , почему то "сел" звук динамика звонка.</t>
  </si>
  <si>
    <t>115</t>
  </si>
  <si>
    <t>Кондиционер в нашем климате вещь зачастую совершенно бесполезная, так что решили на случай аномальной жары прикупить вентилятор какой-нибудь. Не нужен он – убрал с глаз долой и все, с кондишном так не выйдет, уж крепить – так крепить навсегда. Из-за того, что он не низенький, легко им «проветрить», так сказать, комнату с высокими потолками, а уж отрегулировать вниз всегда можно. При этом он довольно-таки «стройный», так что критично много места не занимает, можно в углу разместить,  тогда он продувает на самой высокой третьей скорости всю комнату. Конструкция весьма надежной кажется, устойчивая ножка, даже при работе на самой большой мощности вентилятор не накреняется, не шатается. Материалы добротные, лопасти надежно скрыты за решеткой, дети не повредят себе ничего, а то любопытство-то зашкаливает.</t>
  </si>
  <si>
    <t>2138</t>
  </si>
  <si>
    <t>Купил матери в подарок, очень довольна. Особенно ей понравилось качество камеры и прикольное отображение цифр на втором дисплее.   Хороший женский телефон.</t>
  </si>
  <si>
    <t>Также как и предыдущий отписавшийся взяли данный огрегат после поломки тостера другой компании. Благо в Мвидео хороший сервис и поменяли без проблем. Правда пришлось прилично доплатить. Первое что производит впечатление это дизайн ! он просто шикарный ! Второе - плавный подъём тостов, просто прикольно нажимать в момент,когда они жарятся и смотреть как это происходит. Очень хорошая функция прожаривания с одной стороны - прожарил положил на неё ломтик сыра, очень вкусно ! В общем тостер отличный, всем советую ! Как говорится в старой поговорке - я не настолько богат, чтобы покупать дешёвую вещь !</t>
  </si>
  <si>
    <t>лично мне он не понравился. долго выпрямляет.</t>
  </si>
  <si>
    <t>нормальные весы, стоят они у меня правда на ламинате..показывают все четко.. хоть раз пять подряд встань..одно и тоже покажут..а на счет включения.. достаточно слегла хлопнуть по ним ногой и они включились...у меня вообще с этим проблем нет...</t>
  </si>
  <si>
    <t>Да вроде ничего такая - симпатичная и рабочая :-)</t>
  </si>
  <si>
    <t>Не знаю, что ей делать, но эта машинка явно не для стрижки волос. Если ей и подстригаться, то только под 0, так как даже 0.5 см не берет, тупо приглаживает волосы, отстригает несколько волосинок только тогда, когда ей 10 раз проведешь по одному и тому же участку.Забивается наглухо после того, как 1 раз ей проводишь, отстриженные волосы забивают лезвия, приходится каждый раз снимать насадку и мучиться, выковыривая их оттуда, так как забившиеся волосы эта машинка шинкует так, что не горюй. Мы в шоке от такой машинки, нет слов одни эмоции. Жалеем об одном, что заранее не прочитали о ней отзывы, так как каждый отзыв  - негативный (мягко говоря). Люди не тратьте деньги на такое ЧУДО-ИЗОБРЕТЕНИЕ!</t>
  </si>
  <si>
    <t>Жесткий но гибкий. Приятный при монтаже. Качественные тюльпаны. Не соскакивают. Сигнал идет без лишних помех.</t>
  </si>
  <si>
    <t>2373</t>
  </si>
  <si>
    <t>Яблки и морковку трёт в хлам. жмых влажный но не мокрый!  На стакан сока - 2-3 яблока.  Цена-качество полностью покрывают друг друга. Даже качество перекрывает сказал бы.  В интернете очень много именно ПОЛОЖИТЕЛЬНЫХ отзывов!  Рекомендую</t>
  </si>
  <si>
    <t>плеер хороший, читает внешний жесткий диск, как в fat и ntfs, mkv воспроизводит, а звуковые дорожки надо перекодировать и ставить скорость 448 кб/c, выше скорость будет тормозить</t>
  </si>
  <si>
    <t>1732</t>
  </si>
  <si>
    <t>По параметрам вполне приличный компьютер. Не жалею о покупке</t>
  </si>
  <si>
    <t>425</t>
  </si>
  <si>
    <t>так себе плеер, по началу радует, потом отказал аудио вход и отдал за ремонт 500 рублей. Лучше было взять плеер подороже и лажает с видео очень часто, т.е. зависает.</t>
  </si>
  <si>
    <t>Купили этот телевизор на дачу. Пару дней гоняли в городе, через кабельное твое-тв. Качество картинки эфирной - очень плохое. Изображение все артефактах. С обычной антенны артефакты те же. Углы обзора хорошие, матрица не TN. Подключал PlayStation3 - артефактов нету, но быстродвижущаяся картинка заметно мажется. Похоже, что время отклика у телевизора так себе. Не удобная подставка на винтах. Покупал по акции, в те деньги в этом размере лучше было не купить. 15к он определенно не стоит.</t>
  </si>
  <si>
    <t>627</t>
  </si>
  <si>
    <t>Нет фазоинвертора и маленький объем, поэтому хорошо использовать с мощным усилителем. Очень экономит место в багажнике.</t>
  </si>
  <si>
    <t>Аппарат хороший вот только пока не шьется((</t>
  </si>
  <si>
    <t>Месяц назад приобрела это чудо. Не могу нарадоваться. Спасибо всем кто оставлял отзывы - очень помогло в выборе машинки. Рекомендую всем, кто еще сомневается!</t>
  </si>
  <si>
    <t>перестал включаться на 3й день аккуратного использования. Вижу, что не одинока в этой проблеме. Завтра несу обратно в магазин на обмен.</t>
  </si>
  <si>
    <t>Заказывали через интернет, привезли на этой неделе. Уже активно пользуемся, никаких нареканий, управлять ею просто, тихая (по сравнению с нашей бывшей, которой уже 20 лет было!!!), стирает хорошо, мы очень довольны покупкой.</t>
  </si>
  <si>
    <t>Мне очень понравился этот аппарат))) В чаше с ножами измельчили сыр для пиццы, все просто отлично!!! Мощность хорошая!!! Самим блендером растерли мороженные фрукты, справился с этой задацей превосходно!</t>
  </si>
  <si>
    <t>Да что вы все про эту крышку заладили..гляньте на цену и успокойте свою душу..его технические характеристики просто отличны для любых нагрузок..вот на счет охлаждающей подставки полностью согласен..а у кого на неё чуть бабла не достаток, то советую при домашнем использовании хотя б поставить на крышки от бутылок чтоб создать промежуток от ноута до стола..греется мля!..  в общем долго будете думать что купить, то его в таргушках уже не наищите..сам из-за хорошего спроса из Анапы в Москву летал за ним..удачи!.</t>
  </si>
  <si>
    <t>Новый ТВ отлично вписался в интерьер, смотрится здорово, показывает отлично. Думали брать 42 дюйма, но и стоит дороже, и габариты квартиры не царские. Так что сошлись с женой на этом. Показывает хорошо, неплохо передает оттенки, подключать двд и колонки просто, выходов много, так что может еще что подрубим. Качеством довольны, косяков нет, и надеюсь не будет.</t>
  </si>
  <si>
    <t>Пользуюсь пароваркой полгода, доволен! Не думал, что продукты, приготовленные на пару, могут быть такими вкусными! В управлении F500 проще некуда, закинул продукты, выставил время, и вкусное и полезное блюдо готово! Советую!!!</t>
  </si>
  <si>
    <t>2014-09-24</t>
  </si>
  <si>
    <t>Купили его  полтора года назад! Дома было ужасно сухо. В течении двух дней влажность поднялась с 30% до 47%! Дышать стало легче,  с утра чувствуешь себя лучше, и такое ощущение, что даже когда мало спим, высыпаемся! Очень довольны!</t>
  </si>
  <si>
    <t>Собственно сравнивать не с чем...  В другой квартире пользовались газовыми плитами...  Купили эту "ЕКС" - жена довольна, курицу жарили с вентилятором: получилась, как гриль... пироги пекли все здорово...  Не знаю, как с дорогими плитами - первое знакомство и хорошее мнение о ней...  Удачи всем...</t>
  </si>
  <si>
    <t>Незаменимая вещь на кухне. Быстро измельчить луковицу, чеснок, зелень, орехи и т.д. Пользуюсь муленексом(похожей моделью) более десяти лет. Купила дочери в подарок эту модель, она тоже довольна.</t>
  </si>
  <si>
    <t xml:space="preserve">качество стирки отличное </t>
  </si>
  <si>
    <t>Вчера купил и не пожалел! Хотя пользуюсь всего ничего, он мне нравится! Использую затычки Ritmix RH-110, звук обалденный, как на автомобильной магнитоле! Смущает выдвижной USB-порт, но я думаю, что PHILIPS знает свое дело и все сделано качественно. Возможности удалять файлы здесь, по-видимому, нет, но плеер рассчитан на то, что у пользователя есть компьютер. Поэтому и зарядка USB в комплекте отсутствует.  Стандартные наушники звучат ничего, но на них лучше всего аудиокниги слушать. Для музыки они не очень...  Прост в управлении, легко освоить.  На самом деле, в плеере не 4 гига, а 3,67 если память мне не изменяет. Обычно это всегда так: объем памяти округляют в большую сторону до стандартного значения. Но за такие деньги + долгое время автономной работы + обалденное звучание... Покупайте, пока не поздно!</t>
  </si>
  <si>
    <t>Плюс:читает все видеоформаты прямо с внешнего жесткого диска(даже mkv !!!)</t>
  </si>
  <si>
    <t>Купила недавно этот фен. После первого же использования пришла в дикий восторг! Волосы живые и мягкие, как после парикмахерской! Предыдущий фен делал солому на голове, а это шикарная вещь! Очень довольна покупкой! Всем рекомендую!</t>
  </si>
  <si>
    <t>В эксплуатации более 2 лет. Надежный, удобный, цена соответствует качеству.</t>
  </si>
  <si>
    <t>А мне набор очень нравится. Насадки попробовала все, все понравилось, всем довольна. Вообще, М.Видео хороший магазин, весь товар отличного качества!</t>
  </si>
  <si>
    <t>Тихая и качественная</t>
  </si>
  <si>
    <t>мне очень понравился этот выпрямитель, великолепный, удобный и не очень большой. Всем советую)))))))))</t>
  </si>
  <si>
    <t xml:space="preserve">Мягкая окантовка корпуса, не повреждает поверхность мебели. Компактное размещение дополнительных насадок. </t>
  </si>
  <si>
    <t>Купила машину Indesit wisn 100 два года назад. До сих пор отлично работает. Правда очень сильно шумит во время отжима. Но учитывая что это Российское производство. Так что шум браком не считаю. У знакомых такая же и тоже сильно шумит.</t>
  </si>
  <si>
    <t>Отличные весы! Ни одного нарекания за два года. Советую всем!</t>
  </si>
  <si>
    <t>Отличный бук взял недельку назад нарадоватся немогу специально комп продал в отпуск взять ,один минус пальцы на корпусе остаются остальное все норм...</t>
  </si>
  <si>
    <t>Вот Он! Наконец то! За такие деньги такое качество и функционал! оБАЛДЕТЬ!</t>
  </si>
  <si>
    <t>Тонкий, стильный, лёгкий с ярким экраном и хорошим меню. На этом положительные отзывы оканчиваются. Плеер обладает склерозом, т.к. не помнит после выхода из сна на чём остановился и подгружает музыку совершенно в произвольном порядке. Слушать аудиокниги да и просто что -либо невозможно. Назвать кнопки управлением - язык не поворачивается, что бы поправить звук или сделать паузу нужно несколько секунд. И т.д. и т.п. Откровенно сырая прошивка, причём тема идёт с пошлого года, а разработчик сопли так и не подобрал. Поддержка как таковая - отсутствует.</t>
  </si>
  <si>
    <t>Работает уже почти 3 года, проблем не было. Кипятит быстро, шумит средне. Не хватает термометра, но это не самая важная вещь в чайнике.</t>
  </si>
  <si>
    <t>Купила для приготовления детского питания.При измельчении банана сломалась деталька,соединяющая часть с моторчиком и стакан.</t>
  </si>
  <si>
    <t>Кофемашина очень интересная! Очень интересный вспенивать, есть возможность готовить всевозможные напитки на основе молока. Капучино получается отменный! Черный кофе варит очень ароматный! Есть много настроек кофе, очень удобно! всем рекомендую эту кофемашину1</t>
  </si>
  <si>
    <t>819</t>
  </si>
  <si>
    <t>Хорошая машинка, современная, тихая, отжимает досуха, люк большой - удобно одеяла запихивать.</t>
  </si>
  <si>
    <t>Купил этот кондиционер, так как нет возможности установить настенный, сломался через неделю использования, забрали в сервисный центр, жду уже месяц (при этом у нас жара 40 C), подменный кондиционер в магазине не дают. Лучше бы винтелятор купил.</t>
  </si>
  <si>
    <t>Очень легко моется , нет лишних деталей</t>
  </si>
  <si>
    <t>2862</t>
  </si>
  <si>
    <t>Люди, не тратьте свои деньги!!!!Бесполезная вещь. Мощности нет. Не способен ничего сделать с ногтями. Стоит несколько лет в шкафу.</t>
  </si>
  <si>
    <t>Пылесос работает третий год. Вполне довольны. Не нравится то, что после каждого использования требуется мыть контейнер, но это особенность конструкции, о которой следует подумать непосредственно перед покупкой.  Из минусов можно отметить статическое напряжение на корпусе, но после того, как стали внимательнее следить за уровнем воды в контейнере, "дефект" исчез. Спустя год мощность всасывания стала меньше. Вылечилось промывкой фильтра.</t>
  </si>
  <si>
    <t>Этот телефон имеет плохое качество звука при установленом соединении. Причем плохо слышно как тебе, так и тому с кем говоришь. Идет посторонний фон и эхо. Покупать не рекомендую.</t>
  </si>
  <si>
    <t>2014-03-23</t>
  </si>
  <si>
    <t>Ели приноровиться, то все получится. Я и кудри делала, и выпрямляла, и объем. Просто надо использовать средства для укладки волос, и тогда на весь день продержится прическа, а то и на два. Подарили мне его 3 года назад и ничего не сломалось!</t>
  </si>
  <si>
    <t>Купил данную модель месяц назад.Достойный бюджетный ТВ,с хорошим приемом и изображением в различных режимах.Функции программирования телевизора вместо будильника(как сказано в описании выше)в нем нет,только есть таймер отключения от 15 до 90 мин.В общем приятный аппарат,оправдывает свою цену на 100%.</t>
  </si>
  <si>
    <t>Хороший чайник</t>
  </si>
  <si>
    <t>847</t>
  </si>
  <si>
    <t>Ребята, прикупил нагреватель, подключил его, протестировал, скажу так - МАСТ ХЭВ! За такие деньги я даже не ожидал, греет супер, больше и не нужно. Устанавливается очень просто, работает на все 100! Берите, не пожалеете. Друзьям уже посоветовал. Нужно только учесть один факт, во время работы нагревателя, не должно на линии висеть чайников либо посудомоек, иначе во время работы того и другого выбъет автомат. На своем опыте, при работе посудомойки выбивает автомат.</t>
  </si>
  <si>
    <t>при просмотре Тв с антенны иногда (особенно днем) пропадает изображение на 1-2 сек. причем часто. Panasonic 1995 года на ту же антенну ловит каналы гораздо лучше. Тюнер слабоват.</t>
  </si>
  <si>
    <t>1376</t>
  </si>
  <si>
    <t xml:space="preserve">Инетресная игра в жанре квест, думаю, одна из культовых игр нулевых, ну это мое субьективное мнение. </t>
  </si>
  <si>
    <t>Как ни странно, но телефончик меня очень порадовал - в нем есть все, что нужно от телефона:компактность, легкость, стильный дизайн, по сети летает свободно и не глючит, плюс к этому поддерживает микроSD и имеет сносный динамик. Единственное, что не порадовало - скачивал асю через wap  Ну а так шикарный телефон - отличная замена кирпичу Nokia)</t>
  </si>
  <si>
    <t>Привет всем кто ищет, выбирает!  Вот приобрёл эту модель SAMSUNGа по рекомендации друзей, в принципе всё устраивает, сочные цвета, причём на 50-процентных настройках!!Соответственно, большой запас+/-.Лёгкое меню и все понятно...Так как особо много времени у меня не было выбирать и смотреть (доверяю своим друзьям)решил плотно пообщаться с продавцом-консультантом по этой модели и в итоге либо взять,либо нет.  Плюсы перевесили минусы (которых в принципе не было)))- это и понятно...и решил взять. Уже потом выяснилось, что у этой модели нет функции PIP (картинка в картинке), хотя один из первых вопросов к продавцу был как раз про это и на которую мне ответили положительно!! Причём настроить их можно так, что одна будет активна другая без звука либо две активны, и т.д.((   И ещё, эта модель при включении издаёт сигнал-мелодию (как на телефонах)только вот в телефоне эту функцию можно отключить, а на этой модели нет, я думаю и на всех моделях тоже...  Видимо, это фирменная "фишка" SAMSUNGов, признаться честно - раздражает, об этом обязательно надо было упомянуть клиенту.   В принципе, всё вышесказанное не портит картину о качестве данного "агрегата", эта информация для таких как я, в свое время, когда искал...))надо было лучше искать информацию... по итогу, моя оценка 4+</t>
  </si>
  <si>
    <t>3037</t>
  </si>
  <si>
    <t>Совсем недавно приобрели с мужем этот пылесос,чему несказанно рады.Согласна полностью с описаниями Алексея и Дмитрия,поэтому повторяться и расхваливать его не буду,пылесос действительно хороший.У нас кругом ковролины,маленький ребенок,кот,да и мы сами любители покушать в зале,то чаек ненароком прольешь,то ребенок шоколадный сырок уронит,да и раздавит еще при этом.До этого изредка покупала порошок,усиленно терла по несколько часов при этом,потом сутки, а то и двое высыхало,потом пылесосила,вообщем отнимало кучу сил и времени.А теперь-уборка 30 минут и ковры чистейшие!!!  Мы своему пылесосу сначала устроили небольшой тест.Проделали влажную уборку в зале ровно на половину ковролина,причем было много въевшихся пятен,которые я планировала тщательно потереть руками сначала,но этого делать не стали,просто в местах сильного загрязнения чуть дольше держали распылитель-результат-идеальная чистота.В отличие от Алексея,насадку отдельно для сбора жидкости не одевали,просто обычную с распылителем и мощность была не максимальной,а предпоследней.Ковер был слегка влажный и я сначала расстроилась,я почему то ожидала совсем сухого результата,но через час он полностью высох.И разница со второй половиной ковра была конечно ощутимая.Еще мы сразу купили специальное жидкое средство в этом же магазине и пены собственно не было,а тот порошок, что шел с пылесосом в комплекте мы еще не пробовали,мне кажется, он то уж точно будет сильно пениться.Поэтому наш пылесос еще не разу не "писался".Но спасибо за заметку,на будущее буду знать,меня бы это напугало,теперь знаю,что ничего страшного.   Вообщем довольны очень!Всем рекомендуем!</t>
  </si>
  <si>
    <t>Данный эпилятор не понравился.  Боль. Достаточно ощутимая. Ее можно было бы потерпеть недолго. Но!!! На эпиляцию уходит около 25 минут на одну ногу.   Приятного мало.  Не понравился однозначно.</t>
  </si>
  <si>
    <t>Динамичный фильм. Лучшие рекомендации для домашнего кинотеатра! Берите не пожалеите!</t>
  </si>
  <si>
    <t>Фирмой Пилот пользуюсь очень давно. Недавно подумал, что пора поменять старые пилоты для всей имеющийся в доме аппаратуре (пилоты работают в нормальном режиме уже лет 10) на новые, в целях безопасности. Другую фирму даже не рассматривал выбирал только Пилот. Возможно у него и  бывает брак но думаю что в процентном соотношении, он мизерный. Всем рекомендую! Цена и надежность на хорошем уровне.</t>
  </si>
  <si>
    <t>Отличная игрушка!Уникальный мир и милейший главный герой, она просто не может надоесть!Единственная игра, из кучи дисков, которую я никому не отдам поиграть на время!Советую ВСЕМ! Покупайте и присоединяйтесь к игре в сети!</t>
  </si>
  <si>
    <t>Читала отзывы, сомневалась, но деньги не большие, а в доме всё холоднее, и я решилась купить. И очень довольна! За 20-30 минут температура в 12 квадратах заметно выше! Прямо тепло! Куда компактнее масляного, а эффект тот же, плюс экономия опять же. Короче, не жалею и советую.</t>
  </si>
  <si>
    <t>Отличная консоль.! Никаких проблем с перегревом не испытывал, а работает по 10-15 часов в день! Пользуюсь уже полтора года и всем советую! А если хотите ненужный формат блюрей, то можете переплачивать за PS3 которая уступает XBOX во многом! Кстати, шум от нее не больше чем от хорошего системного блока на ПК, абсолютно не мешает наслаждаться игровым процессом!</t>
  </si>
  <si>
    <t>Машину взял за 9 990 по акции. Конкурентов при такой цене на тот момент не было. В целом машина не плохая, но на мой взгляд шумная, пр макс. отжиме очень громко свистит. так же из-за м.б. неровного пола она вибрирует, но с места не сдвигается, т.к. я купил специальные силиконовые подставки. Удобный дисплей, показывает время до конца стирки. Не нравится что после того как программа закончена дверка заблокированной остается минут 5, мне кажется это долго. Но за ту цену это наилучший выбор!</t>
  </si>
  <si>
    <t>Этот водонагреватель уже второй в нашем доме, только с первым нам не повезло. Послушали консультантов, называется... вы же их видели - обычные студенты на подработке, которые в технике абсолютно не разбираются. Разрекламировали так, что даже муж поверил, а он через два месяца потек. В общем, второй водогрей выбирали уже более внимательно. Уж лучше самим все изучить и вникнуть или по советам знакомых. Haier порекомендовали наши друзья, у них просто моделька другая, а нам этот приглянулся. Решили, что 80 литров на четверых будет достаточно - так и есть. Мощность небольшая, но вода нагревается очень быстро и энергия расходуется экономно. Не было резкого скачка в платежах, это радует. Пользоваться им удобно, управление понятное, подключили сами - все отлично работает.</t>
  </si>
  <si>
    <t>Через полгода начал крошиться пластик на крышке, крышка развалилась,начал течь.....просто ужас, какая гадость...</t>
  </si>
  <si>
    <t>Даже в лес по грибы брали, согревает супер. Температуру долго поддерживает, и вместительность просто супер.</t>
  </si>
  <si>
    <t>Взял вчера, определяющим фактором в выборе стала цена. Плюсы: мощность достаточная, симпатичная внешность, малый вес, удобные большие кнопки и регулятор мощности, а также легкость смены мешков. Минусы: Коротковат шнур, нетелескопическая труба(просто составная), маловата основная щетка(правда для квартиры вполне хватит, если у вас не екатерининский дворец), насадок всего три - основная, средняя и узкая(на ней еще поворотная часть с щеткой), наверняка они имели ввиду, что узкая с щеткой и без нее - это две насадки, а не одна и та же), ну это не столь уж важно. Отмечу особенность, которая может быть плюсом и минусом - очень мощное сматывание шнура, одно касание кнопки, и вырвет провод вместе с розеткой. С одной стороны, провод не приходится запихивать вовнутрь, с другой - нужно быть осторожным при сматывании. Итого: берите смело, цена оправдает практически все минусы.</t>
  </si>
  <si>
    <t>Фен очень хороший, хорошо укладывает, но к сожалению портит волосы.</t>
  </si>
  <si>
    <t>Измерил влажность в новой квартире, в итоге 24%, купил, сейчас месяц работает, цветы зацвели на глазах! Минусы: разобрал полностью убрал писк(качество сборки низкое), просверлил с верху отверстие для воды! Стандартное наверное получилось, когда разработчиков не было в компании, датчик влажности врет безумно - не мудрено если разобрать и увидеть его. Итог очень хороший за такие деньги! Булькает тихо, спим без проблем. Рекомендую, Все у русских исправимо, такие Мы)</t>
  </si>
  <si>
    <t>Машинку купили весной 2010 г. Работает действительно тихо, посуду отмывает хорошо, но не полностью высушивает. Однако на 3й день работы машина в процессе мойки стала отключаться. Оказалось, что таким образом машина реагирует на перепады напряжения в сети. Пришлось к машине докупать еще стабилизатор напряжения (((.</t>
  </si>
  <si>
    <t>Машинкой очень довольна. Хорошо стирает и полоскает белье. Много нужных программ и доп.функций. Стирка и отжим практически не слышны даже при открытой двери в ванну. Очень радует программа Экспресс15. Самое главное, чтоб машинка не прыгала, не взлетала, не вышибала с места, нужно просто не забыть выкрутить фиксирующие болты на задней стенке, которые при траспортировки удерживают барабан.</t>
  </si>
  <si>
    <t>Мега шумный. нет регулировки скорости вентилятора. Завтра пойду сдавать обратно в магазин</t>
  </si>
  <si>
    <t>Стирка: 5 баллов  Шумность: 5 баллов  Дизайн: 5 баллов</t>
  </si>
  <si>
    <t>Очень рад был покупке hp pavilion dv6 2116er, правда недолго. Сразу после того как закончился год гарантии отвалился винчестер. Затем сгорел шлейф, потом северный мост. После умерла материнка. Почитайте отзывы специалистов pavilion - самая некачественная версия и жалоб на сборку очень много.</t>
  </si>
  <si>
    <t>Действительно качественная и хорошая вещь. Удобная в использовании благодаря ручкам. Пользуюсь уже больше пяти лет и только сейчас задумалась о замене, так как случайно поцарапала покрытие. Советую всем! Возьмите и не пожалеете.</t>
  </si>
  <si>
    <t>Бреет отлично,ни каких раздражений,плюс масса функций,правда на мой взгляд,есть то что не нужно.В целом,если честно,за такую сумму эту бритву брать не стоит.Есть дешевле варианты,а качество не уступает.Дело личное)))</t>
  </si>
  <si>
    <t>1346</t>
  </si>
  <si>
    <t>Достаточно обычный по мощности автопылесос. От других отличается наличием приличного чехла в комплекте и удобных насадок, особенно насадки-щетки. Зааряда вполне хватает по времени на чистку ковриков и сидений.</t>
  </si>
  <si>
    <t>купил плеер Explay M8(8Gb), мне понравился, почти все видео читает, только поставил флэш карту сразу стал тупить - убрал не тупит!!! записываю с радио - затупил и оставляю на целую ночь пока батарея не сядет!!! вобшем мне нравится, только с радио лучше не записывать и флэш карту на 2Gb не ставить!!</t>
  </si>
  <si>
    <t>2015-05-06</t>
  </si>
  <si>
    <t>Достоинства: Достаточно точное и быстрое измерение температуры,  Не тонет,  Мягкая оболочка (резина или каучук),  Ничего острого нет.  Недостатки: Плавал бы он всегда датчиком ко дну.  Комментарий: Пупсик первым делом охотится и набрасывается на этот термометр :)  Сам термометр после погружения медленно всплывает.  Развивается моторика и терпение: поначалу ему было сложно схватить (он «скрипел» от злости) вращающийся на поверхности воды термометр, потом научился :) Наблюдать за этим интересно</t>
  </si>
  <si>
    <t>Наушники просто великолепные! Качество звука - отличнейшее. Басы Otto Dix чувствовались великолепно! Но все же погибли, не прожив и трех месяцев. Сначала отломалось само ушко. Клеили - держалось. Потом переломилась стыковка (где два кабеля в один переходят), а затем уже и само основание. И, как все говорят, сами ушки разбалтываются, почти не держатся. Но наушники были просто отменные! Ни одни из своих я так не любила.</t>
  </si>
  <si>
    <t>2014-10-21</t>
  </si>
  <si>
    <t>Купили данную модель в октябре 2010 года. Выбирали компактную и недорогую стиральную машину. Остановились на данной модели. В придачу приобрели ПДО. Машинка работала без нареканий.  Плюсы: Управление удобное. Размер компактный. Цена приемлемая. Минус: немного шумная. Спустя 3 года, когда гарантия (1 год) истекла, машинка сломалась. Благодаря приобретению ПДО (программы дополнительного обслуживания) на 5 лет получилось вызвать мастера на дом бесплатно. Мастер поломку устранил, заменив детали. После этого она ещё проработала год и сломалась окончательно. Благодаря всё той же программе, по которой срок не истёк, вызвали мастера. Диагноз: сгорел модуль, ремонт нецелесообразен, необходима замена стиральной машины. Присматриваем теперь новый агрегат, другой. В целом, рекомендую.</t>
  </si>
  <si>
    <t>Нормальная машинка.Я новичек конечно,но разобралась быстро что да как.работает без проблем.даже джинс шьет.то не понравилось так это то ,что она была последней в мвидео ия ее с ветрины забрала.в комплекте нехватало некоторых деталей . кисточки и отпарывателя . может еще чего,но я не заметила.</t>
  </si>
  <si>
    <t>Увлажнитель заявлен как ультразвуковой и БЕСШУМНЫЙ! Но если ОН бесшумный, то что там за 3 тыс.рублей продается страшно представить. Так самое не понятное - он гудит всегда... Вода закончилась, нажимаешь кнопку &amp;quot;питание&amp;quot; на дисплее, все равно гудит, пока из розетки не выдернешь!Некоторые пишут &amp;quot;когда телек работает не слышно&amp;quot;, блин, а спать-то как? Мы, в общем привыкли, но на мой взгляд это не нормально. Ездили в Борк, переслушали все увлажнители примерно этой ценовой категории, все гудят как трансформаторы. Увлажняет шикарно, зимой показывал 67% влажности и дышалось отлично. Сейчас, при открытых настеж окнах, показывает 53%. Не ставьте на деревянную мебель, стоял у нас сначала на комоде, комод пупырями вздулся под ним... резюме: мне безумно нравится дизайн и КПД данной модели, но хочется по настоящему БЕСШУМНЫЙ...</t>
  </si>
  <si>
    <t>Телефон 7600 просто суперский, мне он очень нравится тем, что им легко управлять. Приятный дизайн, хороший звук, отличный динамик. В общем я очень довальна и рекомендую всем, кто остановил взгляд на эту модель! А то что пищут про плохие кнопки или динамик, ну значет им посунали что то не то.</t>
  </si>
  <si>
    <t>Компактность. Работа от батарейки (заряжать не нужно, главное иметь в запасе свежий "мизинчик" ААА).</t>
  </si>
  <si>
    <t>-</t>
  </si>
  <si>
    <t>Это просто сказка - маленький, прочный, мощный.</t>
  </si>
  <si>
    <t>2507</t>
  </si>
  <si>
    <t>Еще не успел попробовать в действии, но уже разочаровался: поставил копировать музыку - скорость копирования 60 килобайт в секунду. Я думал такой флэш-памяти не выпускают в принципе. Чтобы скопировать 2 Гб нужно 9 часов - кошмар. Просто отстой.</t>
  </si>
  <si>
    <t>Очень хороший блендер,пользуюсь 2 года,не заменимая вещь на кухне,кух.комбайн сложила в коробку и убрала за ненадобностью,так как теперь Браун делает все и не занимает много места.И мама моя купила себе такой же и тоже довольна.Из всех фирм эта самая надежная!!!теперь я фанат Браун.</t>
  </si>
  <si>
    <t>Мне очень нравится эта сэндвичница, готовить быстро и легко. Венсккие вафли очень вкусненькие, детишки очень любят. Бутерброды с сыром, с колбаской или сосисками не заменимы в дорогу, вкусные хрустящие корочки. Супер вещь!</t>
  </si>
  <si>
    <t>Первоклассная картинка (как сказала дочь:"Будто в зале сидишь."), хороший звук. Своих денег - стоит.</t>
  </si>
  <si>
    <t>950</t>
  </si>
  <si>
    <t>Ох, по начитался я здесь отзывов - "какие хорошие наушники", сегодня приобрел, подключил к плееру (Самсунг P3)и ..., звук ужас!!!! Моя оценка 2 из 10!!!</t>
  </si>
  <si>
    <t>990</t>
  </si>
  <si>
    <t>соглашусь с Александр (Екатеринбург),рация не заряжается вообще!!!!!  сперва брал другую модель,но у нее не оказалась аккумуляторов, поменял на это и опять разочеровался</t>
  </si>
  <si>
    <t>2016-08-14</t>
  </si>
  <si>
    <t>Отличная микроволновая печь! Купили почти полгода назад. Отлично подогревает и размораживает продукты. Легко смоется.  И вообще  очень удобна в использовании. Планирую купить такую же сестре.</t>
  </si>
  <si>
    <t>1503</t>
  </si>
  <si>
    <t>Покупал в декабре 2010г.(впечатления к марту 2011 здесь писал,см.выше). Странно читать,что у кого-то быстро потёк, а у кого-то хрупкая клавиша включения. Нечего не течёт! Часто чайник стоит на полу(розетка возле плинтуса)- включаю тапкой(но канешна акуратно, не со всей дури)и ничё не треснуло. Воду лью с кувшина Барьер(картридж Д-6). Периодически всёж появляется накипь - вскипячу воду с лимонной кислотой(примерно 1 ст.ложка не горкой на 1,2-1,5 литра воды) и всё как новьё чисто. p.s.Может мрачные отзывы пишут маркетологи конкуренты? Ведь за такую цену данная модель вне конкуренции. Куплю такой же в подарок(стыдно не будет).</t>
  </si>
  <si>
    <t xml:space="preserve">Хорошее качество </t>
  </si>
  <si>
    <t>Сегодня купили данную кофеварку капельного типа Tefal CM410530. И остались очень довольными вкусно приготовленным, а главное быстро кофе. Занимает не так уж много места, красивый дизайн. Советуем всем!!! Фильтры одноразовые 100 пакетов за 145 рублей очень удобно и недорого!!!</t>
  </si>
  <si>
    <t>Стирает действительно тихо,очень экономно расходует воду(смотрел по счётчику)и электроэнергию.Отстирывает сильно загрязнённое бельё без особых проблем,только правильно ставьте программу.Перед эксплуатацией установите машинку по уровню и подложите под ножки резиновый коврик или резиновые подставки(бывают в м-видео).В целом машиной доволен особенно центрифугой,которая не гремит как отбойник.</t>
  </si>
  <si>
    <t>2824</t>
  </si>
  <si>
    <t>Большой выбор разнообразных программ и множество функций. Отжим 1200 - вещи достаю почти сухие. Работает тихо, в других комнатах вообще не слышно. Хоть и дисплея у нее нет - индикация этапов программы даёт четко понять на каком этапе стирка. Барабан довольно вместительный, люк удобный, теперь я могу без проблем загрузить даже целый матрац!</t>
  </si>
  <si>
    <t>Настя (Москва),    Да, именно в этот нетбук нельзя вставить сим карту.    Но, некоторые нетбуки такой же марки Lenovo s10-2, поставляются со встроенными 3g модемами.     Спрашивайте у продавцов.</t>
  </si>
  <si>
    <t>Пользуюсь этой панелькой 3 дня. В полном восторге!!! Сразу поймала 21 канал от обычной антенны, замечательное качество. пробовал подключать к PS3 и ноутбуку все работает. Отличная универсальная панелька для маленьких комнат!</t>
  </si>
  <si>
    <t>Пользуюсь этим пылесосом уже 2 года и не могу налюбоваться!!! Отличный пылесос, мощность супер, даже ковер поднимает!!! Вот читаю отзывы, мол надо после каждой уборки мыть - это минус, а по-моему это не минус, а плюс!!!Пылесос всегда остается чистым, и запаха никакого. Это тот вариант, когда качество намного превосходит цену!!! В общем, пылесос-зверь, берите, не пожалеете!!!</t>
  </si>
  <si>
    <t>2281</t>
  </si>
  <si>
    <t>такой аккуратненький телек, красивишный :-)</t>
  </si>
  <si>
    <t>Купили данную модель в сентябре 2009г. Почти сразу начались проблемы с насадками- турбо насадка все время засоряется, а у второй насадки сразу стали отваливаться колеса, а через 2 м-ца использования она совсем сломалась...А пылесос не из самых дешевых...</t>
  </si>
  <si>
    <t>1990</t>
  </si>
  <si>
    <t>Я её изучил вдоль и поперёк. Буду брать N1008, потому что она с гарантией Сони.</t>
  </si>
  <si>
    <t>купила недавно. недорого. отличная подошва, приятный интерфейс, небольшая цена. довольна</t>
  </si>
  <si>
    <t>5 лет на одной термопасте, все пять лет шпилю в вов....хоспаде 10 из 10, 10 из 10!</t>
  </si>
  <si>
    <t>Atmor - отличные проточные водонагреватели. Хорошее качество, удобны в эксплуатации, просты.</t>
  </si>
  <si>
    <t>В феврале 2009 года купил Pavilion dv5. С самого начала куллер работал на полную мощность и грелся просто обжигающе. Через день окончания гарантии ноут стал выключаться. Установил программу Эверест - и ооо ужас - 100 градусов нагрева процессора. Обслуживание системы охлаждения и замены термопасты не помогло. Система охлаждения просто примитивное. И это для безбожно греющихся процессоров АМД. Призывы к HP ни к чему не привели....типа ешьте, что кидаем вам. Вот такие дела. Ноутбуки HP оказывается одноразовые, а раньше считал ее нормальной компанией.</t>
  </si>
  <si>
    <t>Долго выбирала по отзывам утюг и решила оставить свой выбор на этом, и не ошиблась. После старого утюга который долго нагревался и плохо гладил, я была поражена! Быстро нагревается. Вещи разглаживает одним движением. А с паром еще быстрее и все складочки разглаживает. И шнур правда длинный что очень удобно, теперь не нужны ни какие удлинители.Так что советую!!</t>
  </si>
  <si>
    <t>Раньше у меня не было электрических щеток. Но в один прекрасный момент я стала обладательницей данного чуда. Щетка превзошла все мои ожидания. Она очень мощная  и при этом аккумулятор держит очень долго (мне хватает минимум на 2 недели). Порадовало наличие таймера и защита от сильно нажима на зубы. В общем я довольна приобретением. Нравится,что к данной щетке подходят любые насадки.</t>
  </si>
  <si>
    <t>Ноутбук просто супер. Мощная машина по такой цене. Минус один, очень медленный винчестер и шумный (но это устраняется заменой винча на другой желательно большего объёма и скорости и другого производителя). А так на нем идет все (и все летает) у меня даже GTA 4 на средних пашет.</t>
  </si>
  <si>
    <t>Купили эту модель около года назад, не буду описывать его плюсы, они описаны выше, но есть один существенный минус, который с успехом перекрывает все плюсы. Этот минус - ржавые капли, постоянно льющиеся из отпарных отверстий в подошве. Каждая глажка превратилась в ужас от ожидания, испорчу ли я очередную белую майку или рубашку. Самое страшное то, что сделать с этим ничего нельзя.</t>
  </si>
  <si>
    <t>Работает отлично. Купил впервые электромясорубку, а до этого пользовался ручной и надоело крутить руками.  1,5 кг мяса перемолола быстро и качественно. Куски мяса надо нарезать не больше величины отверстия для прохода к шнеку, тогда и проталкивать не надо и двигатель работает без усиленной нагрузки, а значит и ремонтировать не придется.</t>
  </si>
  <si>
    <t>маленький барабан (((((</t>
  </si>
  <si>
    <t>2014-08-30</t>
  </si>
  <si>
    <t>Покупаю уже вторую 9-ку панасоника. Первая уже прекрасно работает семь лет в одной комнате. При одинаковой мощности с конкурентом панасоник сильнее подает воздух при охлаждении и обогреве, жалюзи - да не доделка всех панасоников, но если не над кроватью, то обдув не мешает. Оба стоят в комнатах 20кв.</t>
  </si>
  <si>
    <t>Качественная отличная крышка</t>
  </si>
  <si>
    <t>646</t>
  </si>
  <si>
    <t>Доволен покупкой. Удобные в использовании наушники- неприхотливые, и очень поражает что такие качественные наушникик за вовсе не завышенную цену! Пользуюсь пару месяцев, и пока ничего плохого сказать о них не могу. Звук у них чистый и хороший, не знаю почему говорят что "каша" и "не звучат"- по мне так еще и за такую цену- очень даже звучат)) Качественные Панасы)</t>
  </si>
  <si>
    <t>1457</t>
  </si>
  <si>
    <t>я уже купил второй, из-за того, что провода переламываются в 3х частях, первое, где штекер, второй под правым динамиком, а третье в левом. Сперва боялся открывать и чинить сам, но оказалась куда более просто...  Если использовать в нормальном режиме, то прослужит долго, а если жестоко (КАК Я) то всего на 9-12 месяцев...  лично я советую и даже предлагаю этот наушник. 5 баллов из 5ти.  Несмотря на минусы, ведь ничто и ничто не идеально. И между прочим у меня тоже iRiver. Ой чуть не забыл, подумайте еще о прическе, насколько она важна. Ну всем удачи.</t>
  </si>
  <si>
    <t>На днях купили данную мясорубку,перед покупкой сомневали, придя домой начали эксплуатировать, остались довольны. Посмотрим как дальше себя поведет.</t>
  </si>
  <si>
    <t>2352</t>
  </si>
  <si>
    <t>Купил сегодня данный аппарат. На свою антенну он в машине поймал 2 канала в ужаснейшем качестве. Такое ощущение, что тюнера в нём вообще нет. Чуть не повёлся на то, что надо к нему ещё внешнюю активную антенну покупать. Но вовремя вспомнил, что был у меня китайский телик автомобильный с кинескопом, который идеально ловил все каналы.     Единственный плюс модели - читает фильмы с SD карточки.</t>
  </si>
  <si>
    <t>2093</t>
  </si>
  <si>
    <t>В нашей семье принято дружить с Tefal. Все началось, когда я в конце 2003г. на новый год подарила родителям чайник Tefal, пластик, производства Франции. Он добросовестно проработал ровно 8 лет вплоть до конца декабря 2011. Потом у него буквально за одну неделю сломалась крышка, кнопка вкл., треснул пластик, и вообще он перестал работать. Поэтому на новый 2012 год подарила родителям Tefal BI 7625 Vitesse Inox из нержавейки. Новый чайник произведен в Китае. Пока нареканий никаких нет. Работает отлично. Крышка на месте. Шума не больше, чем от предыдущей модели. Ни трещин, ни царапин, ни иного брака нет. Все нравиться. Кстати, у нас с мужем тоже Tefal (BF 6621 VitesseS). Желтого цвета, пластик. Произведен в Китае. Когда выбирали, не задумываясь остановились на этой модели. Покупали, как ни странно, тоже на новый год. В использовании с января 2009. Пока без нареканий. Работает отлично.</t>
  </si>
  <si>
    <t>Купил сегодня её. Производительность хорошая, гула моторов нет, шумит только воздух в решетках (фильтрах). За свои деньги - отличная покупка. Есть только один минус - она в раздвинутом виде 44 см. То есть до полного покрытия плиты не хватает примерно 6 см. Но это можно компенсировать 6 см проставки из дерева между стеной и вытяжкой.</t>
  </si>
  <si>
    <t>Телевизор прикольный.Что купил не пожалел.Вот только что то функции картинка в картинке я так и не могу найти.</t>
  </si>
  <si>
    <t>Нам подарили это чудесное приобретение!)Пока осваиваю, но готовить в аэрогриле на много дольше, чем в духовке, а выпекать тоже надо приспособиться. Получается всё вкусно, муж доволен!)</t>
  </si>
  <si>
    <t>3009</t>
  </si>
  <si>
    <t>Простая с виду, и управление у нее без заморочек! Очень нравится, что можно за один раз много кофе сварить, тут колба вместительная, хватает нам с мужем по две чашки кофе утром выпить и еще даже остается)) После включения не забрызгивается кофе, как некоторые похожие по дизайну машинки, так что следить за чистотой легко. Здорово, что после готовки кофе его можно держать горячим благодаря подогреву, нереально удобно! И фильтры к ней идут обычные, в любом магазине продаются - не нужно носится по городу в поисках каких-то специальных на замену)) Меня она полностью устраивает, и по деньгам выгодно, а кофе на вкус ничем не хуже, чем в дорогих кофеварках))</t>
  </si>
  <si>
    <t>Большой объем удобен для семьи , обычный чайник  часто приходилось наполнять. Всегда под рукой горячая вода . Неплохой дизайн.</t>
  </si>
  <si>
    <t>Хороший выпрямитель, ничего не цепляет. Кисточки в наборе были, и кисточка для завивки ресниц работает (правда с помощью туши можно добиться такого же эффекта). Только волосы выпрямлять лучше на единичке или двойке, очень сильно нагревается.</t>
  </si>
  <si>
    <t>Купил муж 2 месяца назад подарок.Очень довольна.Прекрасная модель за не большие деньги.И для работы,и для инета,и для учебы думаю подойдет всем.</t>
  </si>
  <si>
    <t>2634</t>
  </si>
  <si>
    <t>Недавно купил эту видеокамеру. Теперь очень сожалею об этом. Фигня жуткая. Снимает чуть ли не хуже, чем на фотоаппарат. Съёмка при сумеречном освещении вообще ниже всякой критики. Да и при дневном не намного лучше. Изображение получается "сплюснутым" по бокам и вытянутым вверх. Не понимаю похвал тех, кто расписывает качество съёмки этой видеокамерой. на мой взгляд, даже многие (не очень "продвинутые" при этом) цифровые фотоаппараты-"мыльницы" снимают ГОРАЗДО лучше!</t>
  </si>
  <si>
    <t>472</t>
  </si>
  <si>
    <t>Недавно приобрёл этот плеер   всем очень доволен вот разве что наушники сбоку подсоединяются, что не очень удобно, а так всё отлично  звук даже в родных ушах громкий</t>
  </si>
  <si>
    <t>Отличная штука!!! Всем советую.</t>
  </si>
  <si>
    <t>Супер игра стоит мало</t>
  </si>
  <si>
    <t>Дарил друзьям на Новый год, что бы кататься на горнолыжке. Честно признаться, данная модель не оправдала моих ожиданий. Может для походов летом они и подойдут, но для горнолыжников не очень.   - Во первых тихие, в шлеме ничего не слышно.   - Во вторых слабый прием, небольшие препятствия мешают сигналу.  - В третьих неудобно, в перчатках совсем не удобно держать рацию.  Итог: Радиостанция Midland G5 для походов по лесу летом, для горнолыжки берить что нить посерьезнее.</t>
  </si>
  <si>
    <t>Я купил такую же модель, но со встроеной камерой и W7, только китайской сборки. В ноуте все отлично, кроме:    - неудобный тачпад;  - слабая батарея и это все недостатки, которые нашел за 3 мес.    Хочется отметить очень удобную клаву и набор встроенных программ, конечно, пришлось докинуть парочку.  Мощность на высоте и оперативку у меня можно увеличить до 8 гигов.     У этой модели много модификаций - обратите внимание!</t>
  </si>
  <si>
    <t>Купила эти весы для хлебопечения. Из плюсов у них только одно: цена. Весы врут: 200 г муки выдают за 400, и наоборот, сыпешь-сыпешь, они показывают 400, а перевесишь, грамм на 200 больше. Кроме того, не удобно отвешивать на них именно сыпучее, потому что под кнопки всё забивается.</t>
  </si>
  <si>
    <t>Для своей цены телевизор просто идеален!  Да матрица хуже чем у телевизоров более дорогих моделей но эта разница чувствуется только от цены 60000рублей.Опять же смотря какой Вы  подаёте на видео вход сигнал:спутниковый ресивер высокого качества или эфирный сигнал "полуживой" или другие цифровые источники.Телевизор достоин высочайшей похвалы исходя из показателя:цена - качество.    А закон - дороже платишь - получаешь лучше к сожалению срабатывает не всегда!Покупайте и не жалейте о покупке никогда!!!Приятных Вам покупок в М-Видео!!!С уважением Николай!</t>
  </si>
  <si>
    <t>Купил в ноябре 2010г. Хлеб печёт неплохой (в том числе и "серый" и "черный"). На "магазинный" - уже и смотреть не хочется. Через пару месяцев эксплуатации через день проявился серьёзный дефект контейнера. Началось отслоение тефлона. Дефект прогрессирует. Найти в продаже дополнительные контейнеры (круглый и прямоугольный) - невозможно. Сдать в гарантийный ремонт по дефекту контейнера не удалось - говорят что контейнер в гарантию не входит (наверняка врут).</t>
  </si>
  <si>
    <t>Выбрал эту модель именно из-за наличия цифрового тюнера, находит все цифровые каналы, но даёт от них только описания и звук без картинки  мануал ОЧЕНЬ лаконичный</t>
  </si>
  <si>
    <t>Вытяжка действительно мощная, но в тоже время тихая.  Дизайн современный, удобное и уютное освещение.    Один минус, человеку с невысоким ростом тяжело достать до кнопок управления.</t>
  </si>
  <si>
    <t>Хорошая плита, пользуюсь пару месяцев, нареканий не вызывает,   компактная, но при этом на ней все умещается. Хорошая духовка   с множеством функций, подходит для выпечки и готовки разных блюд.  Снизу есть ящик, что не сразу заметно, туда можно убирать к примеру  сковороду или противень. Дисплей в основном полезен только тем   что показывает время, больше у него особо функций нету .  Плюсы : Удобная .  Минусы : Дисплей мог бы показывать температуру в духовке .  Вывод : Покупкой доволен .</t>
  </si>
  <si>
    <t>пользуемся уже 3 месяца и все знакомые и родственники уже "подсели" на наш хлеб. Бесшумная, добротно сделанная. Пробовали печь все, все получилось великолепно. В процессе пользования появилось два совета для тех, кто выбирает:  1. Вес хлеба указывается 1200 гр. Имейте ввиду, что это большой размер хлеба с добавлениями (изюм, Орехи и т. д) Просто хлеб грамм 900.  2. Тесто для пельменей замешивает жидковатое. Нужно домешивать.  Все остальное без претензий.</t>
  </si>
  <si>
    <t>3150</t>
  </si>
  <si>
    <t>До этой бритвы 3 года пользовался Braun 5 серии. Меня устраивала, хотя иногда и возникало раздражение, если переусердствовал. Я заметил, что в этой модели они уменьшили ячейку бритвенной сетки, что снизило воздействие на кожу -&gt; реально меньше раздражение, точнее его вообще нет. Можно возить по морде сколько хочешь пока не будет идеально чисто. Нравится, что сетка и нож фиксированы (в предыдущих моделях они были отдельно) мне кажется, что это позволяет им идеально притираться, после некоторого использования стала получше брить. Думаю, что стакан лишний, особенно за такие деньги. Мою после каждого бритья под краном сетку и саму бритву. Если деньги есть, то берите эту эту, если хотите дешевле, то я думаю, что можно взять без пульсоника, но вот сетку+нож очень рекомендую такую как в этой модели.</t>
  </si>
  <si>
    <t>2015-08-17</t>
  </si>
  <si>
    <t>Приобрела с месяц назад, но уже очень довольна покупкой. В доме собака, пылесос с шерстью и песком справляется на ура. За первую уборку раза четыре меняла воду, даже не думала, что в ковре столько грязи. Использую в разных режимах, все устраивает. В других отзывах писали, что нет крышки от ведерка для воды, с этим согласна, она бы совсем не помешала, т.к. снимать и мыть каждый раз крышку от пылесоса страшно, ее крепление  с виду очень хлипкое. Всасывает отлично, линолеум аж приподнимает. Главное промывать шланг и все внутренности после каждой уборки. Пылесосом довольна, советую к покупке</t>
  </si>
  <si>
    <t>Приобрела этот сендвич - тостер по акции и по баллам. Нравится в нём то что есть съёмные насадки для вафель и тостов, это очень удобно. Вафли получаются вкусными, большими. Как тостер тоже замечательно справляется. Дети перед школой на завтрак кушают тосты. Хлеб поджаристый с наружи, а внутри расплавленный  сыр и ветчина, это нечто. Ещё делали с бананами и шоколадом, тоже вкуснятина. Можно любую начику положить, будет вкусно.  Кстати, когда гости на пороге и нет ничего к чаю , тостер выручает.  Вообщем берите, не пожалеете. Я сначала думала, что это вещь не первой необходимости, но любой прибор на моей кухне пригождается и этот сендвич - тостер не исключение.</t>
  </si>
  <si>
    <t>Купил по акции 05,12,2014 установил самостоятельно (не забыв снять транспортные болты) не бегает, не прыгает, перепробовал все программы, немного шумновата при отжиме 900 об/мин,   в целом супер рекомендую.</t>
  </si>
  <si>
    <t>Никаких лишних переплат.</t>
  </si>
  <si>
    <t>Отличная зубная щетка. Мы довольны приобретением и всем советуем.</t>
  </si>
  <si>
    <t>замечательный телефон: громкий, цветной, АОН, Автоответчик, что еще нужно?! мне очень нравится.</t>
  </si>
  <si>
    <t>1353</t>
  </si>
  <si>
    <t>Нормальный вентилятор. Не громче других работает (я в магазине прислушивался). Ножом ничего не надо дорабатывать, в заглушках пазы специальные есть, видимо не все присматриваются просто. Сделан хлипко, но это не помеха, всё собрал быстро, ничего не шатается, кнопки работают без проблем - короче нормальная ветродуйка.</t>
  </si>
  <si>
    <t>Чайник понравился, сильно не шумит, греет быстро, удобная ручка, небольшой вес.</t>
  </si>
  <si>
    <t>крутой плеер, покупайте и не пожалеете, он удобный,  простой, он понравится и тем, кто просто слушает музыку и тем, кому нужно нечто большее.но имейте ввиду часов нет(!) и кто может помогите, мой плеер не включился после нажатия Reset.</t>
  </si>
  <si>
    <t>Жалею, что купил, деньги на ветер.  Бреешься пол часа, а толку нет. Пропуски в бритье. Много волосинок оставляет. Получается бритьё как у лишайного. И на влажном и на сухом одинаково. Вобщем не советую.</t>
  </si>
  <si>
    <t>1656</t>
  </si>
  <si>
    <t>Кажется что сушка - это вещь на которой можно и нужно сэкономить, ну что в ней может быть особенного??Но посмотрите на эту, в ней сразу несколько существенных отличий от всех более дешевых аналогов.Во-первых, на ногах она "стоит ровно", они не перекрещиваются.Во-вторых, имеет пластиковые защитные части и ножки имеют ступор в сторону раскладывания.В-третьих, в ножки вмонтированы колесики, и даже если на сушке до 20 кг белья ее можно легко переместить в помещении.В-четвертых, она оснащена замечательными отстегивающимися "ушами",которые можно  приспособить к батарее,если нужна интенсивная сушка или количество белья невелико.И, в-последних, клип, на который она закрывается, предотвращая разваливание во время хранения.Это просто мечта!!!</t>
  </si>
  <si>
    <t>Вонючая пластмасса. Задний пылевой фильтр пахнет особенно сильно.  Хотел поставить на работу, но с такой вонищей в помещении ему не место.  "Обгорал" в течение суток, понятное дело не помогло, если пластмасса вонючая, то это вонь никуда не уйдет.</t>
  </si>
  <si>
    <t>2014-08-14</t>
  </si>
  <si>
    <t>Какие деньги- такой и товар.Скорость записи ужасная!!!Файл-2.53 гига, записывается на нее 6 минут!!! Лучше не записывать на нее большие файлы!!!!Можно под музыку использовать или фотографии. Единственное что хорошо - емкость флешки !!!</t>
  </si>
  <si>
    <t>Пользуемся уже год,всё хорошо что косаеться готовки,гриль на ура за 10 мин поджаривает)всё хорошо за исключением Протвиней,чем они их покрывают очень тяжело отмываються даже после мытья в посудомойке после нескольких раз всё равно остаються очень мелкие капельки приставшего жира.таймер крайне тихий да,но при этом есть в этом таймере удобная, функция выключения духовки или комфорок.</t>
  </si>
  <si>
    <t>При подключение жесткого(320гб) с питанием, выдает ошибку подключения Usb устройства. Жесткий Usb без питания(от ноутбука) вообще никаких сообщений не выдает. Только обычную флешку на 512мб определил и открылась прога для воспроизведения файлов с носителя. Может кто-нибудь знает какие по объему флешки поддерживает эта модель? и можно ли как-нибудь подключить внешний жесткий со своим питанием?</t>
  </si>
  <si>
    <t>264</t>
  </si>
  <si>
    <t>Вытяжку купили такую, чтоб просто дым вытягивала с нашей кухни, а то у меня муж постоянно курит, это мне ужасно мешает адекватно что-либо готовить.. Поэтому не искали с наворотами какими-то, а чтоб самая обычная, главное - чтоб работала адекватно. Эта модель конечно ценой привлекла, по сравнению с другими смотрится выгодно, вот и купили. В принципе не жалеем, потому что даже второй скорости хватает, чтобы весь этот дым курительный ушел в никуда. Спокойно готовлю себе, да и после готовки конечно же ее включаю, и никаких запахов от пригтовленной мной еды не остается. В принципе штука удобная оказалась.</t>
  </si>
  <si>
    <t>2013-10-07</t>
  </si>
  <si>
    <t>Приносил радость первые 8 месяцев... Дальше насадки все сплавились во время сушки, воздух такой гонит, что волосы дымятся((( Если больше 2х минут сушить и выключить, то только через 10 минут снова включится... Я пожалела, что этот фен взяла...</t>
  </si>
  <si>
    <t>1314</t>
  </si>
  <si>
    <t>Купила этот плеер и....была просто в небе от такого счастья, все идеально. Многие пишут, что ломается разьем под наушники. Это не так. Если вы выдергиваете неаккуратно, естественно он сломается. С вещами надо быть аккуратными и все будет ОК!</t>
  </si>
  <si>
    <t>Сегодня купила фен по акции со скидкой. Качеством довольна. Сушит хорошо!!! Рекомендую</t>
  </si>
  <si>
    <t>2000</t>
  </si>
  <si>
    <t>Купили водонагреватель в начале августа. дома подключили, провели успешные испытания. Пользуюсь активно, и очень довольна приобретением. на полную мощность не включаем, хватает вполне 3кВт, при среднем напоре воды. и кран и душ работает хорошо. Но надо учесть, что в дополнение к водонагревателю надо будет ещё шланг покупать и кран, ну и крепежи. При правильном подключении всё работать будет хорошо.</t>
  </si>
  <si>
    <t>1585</t>
  </si>
  <si>
    <t>Я на стиральных машинках, собаку съела, да не одну.Эта модель меня сразила.  1)Простота в обращении, на панели все понятно.  2)Сильно не шумит (если не стирать ночью у кого электросчетчик \"день-ночь\").  3)Если стирать бюстгальтер (не в спец-чехле),то косточка не застрянет в барабанной дырке и не будет шкрябать обогревающий тэн, чем и хорош сотовый барабан.  4)Я даже стираю в ней капроновые колготки, они не спутываются и не завязываются в узел.   5)Нет в ней дополнительных  функций, которые никому не нужны, только переплачивать приходиться. 6) Полоскает очень хорошо, не берите с/м с экономией воды, потратите воды больше на дополнительном полоскании, чтобы на вещах не оставались белые разводы. Стираю я порошком без цветных гранул, иногда с белизной или доместосом,  примитивно, но до сих пор работает. И запомните, это стиральная машинка, а не химчистка.</t>
  </si>
  <si>
    <t>Купил себе такую пару лет назад. Как мясорубка нормально, если не несколько но. Во-первых сборка не очень хорошая (зазоры между корпусом и ротором в моем случае). Когда начинаешь "крутить" рыбу, фарш, в общем что-то что воду содержит или сок, то в эти щели затекает жидкость и попадает на электрику -- это не безопасно. Пришлось сдать в ремонт после очередной порции пельменей. Там детали ржавые заменили, но зазор устранить не смогли. Пришлось скотчем заклеить -- теперь работает нормально. Шумит просто жуть... После работы долго в ушах звенит, лучше использовать беруши. Кнопка реверса в не очень удобном месте находится. Крепление металлической части мясорубки к корпусу не удачное (закручивается болтиком с большой шляпкой и все -- его видно на картинке). Считаю что крепление можно было получше сделать. В общем "удовольствия" от нее мало, другое дело, что когда выбирал лучше ничего не нашел. Мясорубки они как-то все такие с общими "проблемами".</t>
  </si>
  <si>
    <t>Ну наконец-то появился девайс сей в м-видео :) очень инетресный экземпляр. ждём снижения стоимости!!!))</t>
  </si>
  <si>
    <t>Вчера купил-пока из нареканий могу озвучить только откровенно дешевое качество материалов,с другой стороны от такого даже очень неплохого по характеристикам ноутбука за эти деньги ожидать просто невозможно.как отметил друг после покупки-"Это покупка продиктованная умом а не сердцем".Удобная клавиатура,производительность пока нареканий не вызывает (игры идут не плохо)), особо не шумит,не греется. так же один из явных минусов-очень тихий звук стандартных колонок, отсутствие микрофона и веб-камеры на мой взгляд заметит не каждый. Короче твердая 4+.</t>
  </si>
  <si>
    <t>Дизайн,Аквафильтр,Хорошая мощность</t>
  </si>
  <si>
    <t>Очень довольна.Убедилась на прошлом своём смартфоне , что многие опции мне просто не нужны или нужны не так часто.  Посему - только Nokia 3720 Grey .))  Компактный , лёгкий.В нём всё , что мне нужно.Без излишеств и ненужных украшений.С инетом, музыкой , хорошей полифонией...и проч.проч....  Рекомендую.</t>
  </si>
  <si>
    <t>простой, удобный в использовании, купила мужу, функции свои выполняет</t>
  </si>
  <si>
    <t>Подарили сыну на 23 февраля. Купили по акции. Сын  очень доволен, бреет чисто, нет раздражения. Есть  триммер для бритья висков и шеи. Красивый и удобный дизайн. Бритву можно чистить под струёй воды. В комплекте есть чехол для бритвы. Очень довольны покупкой.</t>
  </si>
  <si>
    <t>2014-04-21</t>
  </si>
  <si>
    <t>Пользуюсь больше года-доволен. Минусы. 1.Вряд ли подойдет для большой семьи(30 л). 2.Риск подключать к стандартной алюминиевой проводке сечением 2.5 мм2(можно пожечь если одновременно будут подключены еще потребители). 3.Поднята розничная цена. Плюсы. 1.Очень быстрый нагрев-через 10 мин можно уже пользоваться теплой водой(по паспорту полный нагрев 40 мин-супер). 2.Эмалированный бак даст фору многим из нержавейки(плохое качество сварных швов и экономия на толщине металла). 3.Очень хорошая теплоизоляция-при простое температура падает медленно.Не смотря на мощность ТЭНа в 2.5квт оказался достаточно экономичным. 4.Можно набирать ванну-на выходе порядка 70 литров теплой воды.Через 15 мин вода успевает нагреться для ополаскивания. 5.Неплохой дизайн+комплектация.</t>
  </si>
  <si>
    <t>Купила пылесос Электролюкс по акции, да еще были бонусные 200 руб., так что обошелся за 4200 руб. Давно хотела сменить старый пылесос с мешком на новый с контейнером. Небо и земля! Теперь процесс уборки - приятный и легкий процесс. Мощность большая, так что всасывает пыли предостаточно. Контейнер легко моется. Да и не надо его мыть после каждой уборки. Выходной фильтр - моющийся, это - серьезное преимущество( у большинства пылесосов он - сменный).  Так что всем рекомендую!</t>
  </si>
  <si>
    <t>497</t>
  </si>
  <si>
    <t>Особых достоинств пока не встретил. Всего третий день в нём ковыряюсь.    Начнём с SMS. Этот гад сам, без запроса решает смс или ммс будет твоё сообщение. Редактировать полученные SMS нельзя, в шаблоны добавить тоже, можно только переслать без редакции. Очевидно создатели руководствовались поговоркой: «из песни слова не выкинешь». Нет привычных для мня анимированных SMS смайликов. Мелочь, а противно! Смайлики MMS страшные как моя жизнь. Не знаю как у других, а у меня день рожденья контактов добавлялось в календарь со второго, третьего раза. Наверно производители тоже не любят чужие дни рождений. И наконец, БЛЮТУС. За 54 минуты передал 11файлов  4,50 МБ (4 724 639 байт). Что это за скорость вообще. Тише едешь дальше будешь что-ли? Ну а о переполненности изделия всякими твитерами и фейсбуками говорить не стану. Залили от души. Не знаю, может кому и надо, мне нет.    Либо я дурак и пользоваться ещё как следует не научился. Либо телефон неудачный. К750i в разы удобней! Эх, помню, говорила мне мама: «самсунг бери».     Сломается, плакать не стану.</t>
  </si>
  <si>
    <t>Покупаю только эту марку. Утюжок супер - выпрямляет качественно, но в любом случае волосы жжет как и любой другой.</t>
  </si>
  <si>
    <t>Отличный телик)Очень понравился,качество хорошо,прятный звук, порт юсб вобще класс)</t>
  </si>
  <si>
    <t>Купила себе, а потом и в подарок маме и подругам, всем советую, легко моется, не пригорает, быстро готовится в ней, круглая пицца все таки вкуснее ))</t>
  </si>
  <si>
    <t>Взял немецкий bosch т.к. первый пылесос с контейнером (ему около 8 лет, теперь работает у дочки), прекрасен. Спокойное, бережное отношение. После каждой уборки, надо вытряхивать контейнер и лучше в мыльной воде (для запаха) слегка ополаскивать микрофильтр. Хепа фильтр просто один рах в год окунуть в мыльную воду и потом обязательно высушить не менее суток. Пылесос отличный, т.к. я аллергик, то чувствую чистый воздух поле уборки. Главное заботится о пылесосе. И всё будет окей.</t>
  </si>
  <si>
    <t>Согласен с Ириной такого г... в жизни не видел. И еще это как оказалась пулесос не с аква фильтром, а с водой дпя очистки воздуха т.к. вода в нем не играет роль фильтра - его можно сравнить по принципу работы с пылесосом без мешка для сбора пыли только пыль в нем прибивает вода - а самого принципа аквафильтра в нем НЕТ! Вот такое вот Г...! Не берите его это выкинутые деньги</t>
  </si>
  <si>
    <t>2231</t>
  </si>
  <si>
    <t>Звук у М5 просто не повторимый! Помимо простого эквалейзера, есть настраиваемый режим Play FX, который может создавать действительно чистый и очень мощный бас.  очень удобное управление. в отличае от сенсорных модэлей не приходится тыкать пальцами по дисплею, тем самым, заляпывая его. Очень понравилось, что помимо стандартных игрушек, можно устанавливать ещё. Видео действительно DVD качества. При высоком битовом потоке никаких артефактов и прочих косяков. Правда говоря конвертер, который шёл в комплекте, видео конвертировать отказался, но я без труда нашёл рабочий. Причем, там версия более новая. Но чтобы действительно ощутить качество этого плеера, желательно докупить хорошие наушники т.к. в комплекте с ним, в прочем, как и со всеми, что я видел, идут наушники среднего качества. Я не считаю это минусом только этого плеера. Вообще, не понятно: почему плеер с таким звуком стоит так дёшево.</t>
  </si>
  <si>
    <t>1884</t>
  </si>
  <si>
    <t>Комп класс, не поспорю! пользуюсь почти пол года.:)  Но сейчас появилась проблема, перестал работать гаджет Turbo Boost monitor. И поэтому не могу просматреть как у меня работает ускорялка. Пробовал переустановить или хотя бы удалить...бесполезно. В инете решение проблемы найти не могу.</t>
  </si>
  <si>
    <t>Отличный ноут.  Повторюсь со всеми минус это сис. охлаждения....уж больно сильно греется и я сделал так, подставил 2 маленькие стёрки под задние ножки...вроде как стал меньше греется)</t>
  </si>
  <si>
    <t>Отличная машинка!!!</t>
  </si>
  <si>
    <t>1109</t>
  </si>
  <si>
    <t>Пользуюсь такой уже год, нареканий ни каких, крутит все подряд, жилки, кусочки побольше , все одним махом. Даже сырую морковь прокручивает без нареканий, у машины есть реверс, что тоже очень удобно, и хорошее качество ножей, за год ни разу не покупала, хотя к бывшей мясорубке BOSCH каждые три мясяца, соединение , где  шнековая часть , матлическое, на переходничках не раззоряюсь, как со старой, поэтому я сейчас в восторге.  Всем советую!</t>
  </si>
  <si>
    <t>купила, и поняла, что деньги выкинула на ветер. На ручную настройку перейти просто не реально, да и вообще кроме автонастройки ничего не поймать.</t>
  </si>
  <si>
    <t>пока всё хорошо и очень нравится! на вид выглядит дорого и стоит мало! хорошая рамка и часики там прикольные, но фотки ещё не пробовала загружать, не успела!</t>
  </si>
  <si>
    <t>Стираю уже 3,5 года, работает, стирает... Все устраивает!</t>
  </si>
  <si>
    <t>Игра щедевр. Уже купил леджендари эдишн.</t>
  </si>
  <si>
    <t>Наилучшее соотношение цена-качество!  Рабочая лошадка, легкий, мощный и доступный, батарея 6 ячей.  Минусы -не хватает входа для цифровой камеры, 1920*1080 не тянет(только HDTV), сломалась кнопка двд, теперь как в Macintosh приходиться диск доставать:)</t>
  </si>
  <si>
    <t>Разнообразие функций,был куплен в конце августа 2012,к этому моменту жара спала,так что на холод не проверил,но проверил в конце Сентября на тепло,этот кондиционер меня приятно удивил,не мерзли в квартире вообще и работал пока не дали отопление,но в минусовую температуру конечно не использавал.Работает практически без шума,как лето прийдет,тогда проверим и на холод его,а так пока оценка 5 !!!</t>
  </si>
  <si>
    <t>Прослужила 5 лет с половиной, никаких нареканий! Ничего лишнего в ней, ни одной функции, которая бы не использовалась в современном ритме жизни.</t>
  </si>
  <si>
    <t>Мощью своей пылесос приятно удивил, не ожидал, что за такую стоимость можно купить такого монстра - убирает куски грязи с пола, пыль нормально из щелей вытягивает и седушки им очень удобно чистить, к тому же насадок-щеток в комплекте две штуки идет, а не одна, как у многих похожих по характеристикам моделей. От прикуривателя работает на твердую пятерку, штекер в нем сидит плотно и не болтается, когда пылесос в работе. Удобно еще, что в набор чехол для его хранения входит, вожу пылесос теперь постоянно в багажнике с другими вещами и он не портится от соприкасания с ними. Из слабых сторон отмечу только то, что пыль он притягивает сильно, после уборки приходится весь корпус влажной тряпкой протирать, но это все равно незначительный минус, можно с ним смириться, я считаю.</t>
  </si>
  <si>
    <t>Начну с того, что долго выбирали между плазмой и ЖК, в итоге купил его... Хоть и пользуемся всего неделю, телевизором довольны. (плюсы) 1) Качество картинки при просмотр фильмов потрясающее (особенно в Full HD); 2)хороший дизайн, материалы и сборка (Чехия), сразу впечатление покупки качественного товара; 3) Удобный интерфейс и прогр. обеспечение, инструкцию даже не открывал, все познается интуитивно методом тыка. (минусы)Они не ужасающие и во многом аналогичные с иными современными телевизорами... 1) Пулеметом не назовешь, думает не спешно (при включении и переключении каналов цифрового ТВ); 2) эфир показывает чуть хуже, чем Sony ЖК (есть с чем сравнить). Меня уверяли, что плазма 42 дюйма, это извращение, мол надо брать 50 дюймов минимум (но ввиду маленького помещения спальни такого себе позволить не мог, не послушал и купил. :) В итоге телевизор оправдал мои ожидания, смотреть кино одно удовольствие!!! не греется и не шумит (возможно пока), о эффекте остаточного белого статичного изображение оказалось тоже муть, все идеально(возможно это было давным давно). Итог: Если берете телик на дачу, ну или из соображений постоянного просмотра эфирных каналов, не стоит... лучше взять ЖК и дешевле и качество изображения тоже норм. Однако если просмотр фильмов, мультиков и кино сериалов (скачиваемый и покупаемый контент) у вас зашкаливает за 50% времени проводимого за телевизором, этот аппарат вас точно не разочарует!) p.s. Panasonic потому, что они разработали и обладают технологией neoPlasma, у них лучшие плазменные панели... однако это первый плазменный телик в нашей семье, сравнивать могу только с ЖК.</t>
  </si>
  <si>
    <t>Компактный, мощный, удобный. По поводу надежности сказать ничего пока не могу - купил недавно. Но предыдущий похожий фен Rowenta Practic EK 70 1200 w купленный в Германии прослужил 25 лет.</t>
  </si>
  <si>
    <t>Очень понравился этот маникюрный набор. В нем одни плюсы и масса положительных эмоций при пользовании. Не надо идти к маникюрному мастеру-можно в домашних условиях пользоваться-много различных насадок и для маникюра и для педикюра. Удобен и легок в использовании. Советую -приобретайте и не пожалеете!!!</t>
  </si>
  <si>
    <t>2584</t>
  </si>
  <si>
    <t>Сломался старый утюг. Долго выбирала ему замену. Пока не попался Tefal GV 8461E0. Сомнений было много, да и цена для утюга не малая. Но при первом же использовании поняла, что сделала правильный выбор. Детские вещи гладит за секунды, с постельным бельем вообще проблем нет. Шнур сматывается, что для меня не мало важно.Скользит и отпаривает просто шикарно.Одним словом покупайте не пожалеете. Время на глажку белья сократилось ровно на половину.</t>
  </si>
  <si>
    <t>Купил месяц назад этот телефончик, мне нравится. Система навигации Мобильный Навигатор. Удобная штука. Показывает все пробки, всякие перегородки дорог, посты ГАИ и другие полезные отметки на дорогах. Я раньше и не думал, что с такими программами можно экономить 20-30 минут дороги, и всего 400р в месяц...  Ну и телефон удобный и стильный. Рад покупке.</t>
  </si>
  <si>
    <t>2744</t>
  </si>
  <si>
    <t>Очень хорошая машина-купили после нового года-работает безотказно.</t>
  </si>
  <si>
    <t>Купили эту посудомойку в прошлом году. И ...радость у жены закончилась. Сегодня стала бить током от машины. Заземление в розетке проверили(все ок). Вызов мастера для определения дефекта стоит 1000р+стоимость работ(примерно около 5 т р.). У Электролюкса последнее время реальные проблемы по качеству. Так что задумайтесь. Скорей всего будем подбирать новую машинку, а эту на свалку.</t>
  </si>
  <si>
    <t>Отличный телефон, очень удобно что есть и базовая станция и радио трубка. Работает хорошо, кнопки качественные, настройки, мелодии всё в норме.</t>
  </si>
  <si>
    <t>Купил в начале сентября 2015. Купил для бега. До этого бегал в вакуумных Панасониках. На голове держатся прекрасно. Провод сделан шнурком (мягкая тряпочная оплётка). На морозе не дубеет совсем. Звук ОЧЕНЬ порадовал. Слышны все басы. Панасоник отдыхают. Раньше Филипс даже не рассматривал. А зря. Всем рекомендую.  Из МЕЛКИХ минусов - в жару после 10 км сильно греют уши :)</t>
  </si>
  <si>
    <t>Телевизор приобретен 27.09.09.С аналоговым TV не дружит, не помогают ни сетевой фильтр, ни антенный, ни дорогой коаксикальный кабель. Старенькие, кинескопные 100 герцовый Томпсон 29'и 50герц.Тошиба и Филипс на этой же антенне переплевывают его на порядок.Просмотр DVD через HDMI c RDR AT100 Sony отличное, но приобретался телевизор, а не монитор для Д.К.- хочется знать, что творится в мире, да и футбол в онлайне интересней. С каждым днем усиливается преобладание сине-фиолетово-зеленых тонов не поддающиеся ни каким настройкам, видимо предстоит посещение Сервис-центра.По поводу "аналога"-проживая в центре города покупать спутниковое ТВ-обидно...</t>
  </si>
  <si>
    <t>очень отличная приставка покупайте все в комплекте идет все что надо жаль ее прошить покашто нельзя)))))!!!!!</t>
  </si>
  <si>
    <t>Отличная плита, очень нравится. Купили по подрарочным картамк 20-ти летию Мвидео, так она нам обошлась вообще недорого. Запекает все хорошо, не подгорает. Очень радует система очистки, даже удивляла маму таким новшеством. Всем советую.</t>
  </si>
  <si>
    <t>Телек просто отличный. не смотрите что не HD разрешение, то что имеется вполне достаточно и даже HD фильмы показывает на ура.  Очень качественный аппарат. Пользуюсь уже 7 месяцев и даже от кабельного телевидения получаю удовольствие.  Определенно советую всем!</t>
  </si>
  <si>
    <t>Никакой воды и пены, простота и безопасность использования,не даёт раздражения, щетина растет медленнее, удобство и комфорт налицо</t>
  </si>
  <si>
    <t>Волосы действительно не электриуются.</t>
  </si>
  <si>
    <t>Очень довольны пылесосом! Что касается неудобства при мытье контейнера для воды - так это мелочи.Управление как на самом пылесосе, так и на ручке, очень удобно!высокая мощность - просто класс!</t>
  </si>
  <si>
    <t>Купил неделю назад. Хорошо дует, тихий. Стоит на расстоянии вытянутой руки: на второй скорости даже не использую. Рекомендую</t>
  </si>
  <si>
    <t>А фильмы на нем смотреть можно?</t>
  </si>
  <si>
    <t>2316</t>
  </si>
  <si>
    <t>У меня Кенвудовский кухонный комбайн есть, для него она как раз и подошла. Ну невозможно стало фарш или уж тем более готовые котлеты в магазинах брать! Просто то воды нальют туда, то теста напихают больше, чем мяса! Лучше уж самой по старинке прокручивать мясо, хоть знать будешь, что ешь натуральное. Мясорубка замечательная, очень крепкая, иногда нет-нет, да и косточка небольшая попадется, а ей все равно - все перемалывает будь здоров! Сломать ее, мне так кажется, нереально просто. Очень быстро рубит мясо, несколько килограммов за пару минут. Мыть просто, в ней ничего не застревает.</t>
  </si>
  <si>
    <t>Приставка отличная, всё нормально, ничего пока что не поломалось, она реально долговечна. Всем советую купить !</t>
  </si>
  <si>
    <t>Машинка очень хорошая. Убирает катышки очень хорошо вещи как новые</t>
  </si>
  <si>
    <t>Ужасный набор, начнем с того что кабеля не полностью медные, большая часть алюминий, покрыт медью. Само качество изготавливания мягко говоря не очень. Один плюс - это большие сечения кабелей компенсируют плохой материал.</t>
  </si>
  <si>
    <t>Прослужил почти 8 лет, лампочка-индикатор уже через год перегорела, пару раз перегорал контакт в подставке (муж разбирал, чинил), фильтр от накипи - одно название, больше вываливается и мешает, чем фильтрует, но главный минус - строение носика, подтекает при наливании безбожно - из носика и по корпусу вниз. Пока не приноровилась, не раз себе ноги кипятком обдавала.</t>
  </si>
  <si>
    <t>Купил сегодня пылесос и испытал в работе. Мне он очень понравился. Первое - отличный дизайн, второе - удобство при разборе. В работе очень мощный, движок работает достаточно тихо при этом втягивает на все 100.  Покупкой очень доволен.</t>
  </si>
  <si>
    <t>Отличная вещь! Купила не смотря на все уговоры продавца-консультанта не покупать (и такие бывают...) Пришла домой, ждала разочарования, но получила только удовольствие и вкуснейший сок в кратчайшие сроки. Морковь жмет отлично, чего не обещал продавец, и жмых сухой, хотя говорили, что нужно будет руками додавливать, и сито не часто забивается, как обещали. В общем довольна, пусть даже места много занимает, и мыть много чего приходится, но достаточно только до воды поднести))</t>
  </si>
  <si>
    <t>Телефон оч классный!! Ничего лишнего, но есть все необходимое! Для тех у кого появляются трещины на серебряной части - совет: в каждом городе есть салоны, где подбирают наклейки для отдельных моделей, купите и непарьтесь!!!(для жителей Челябинска- это Мегаполис)</t>
  </si>
  <si>
    <t>1838</t>
  </si>
  <si>
    <t>Весы как весы,пользуюсь 4 месяца.Вроде верно показывают.Но честное слово им красная цена 250-300 рэ.</t>
  </si>
  <si>
    <t>Приобрела данный вентилятор в том году служит до сих пор и думаю прослужит и на следующий год, хороший обдув удобный, несколько скоростей, не занимает много места, цена нормальная для небольшой комнаты он подойдет вполне ,бюджетный вариант, цвет вполне приятный справляется со своими функциями отлично, из минусов долго собирать но это не страшно, цена также меня приятно порадовала</t>
  </si>
  <si>
    <t>Читала много отзывов, прежде чем купить эту кофемолку. Пользуюсь 2 месяца - все отлично. Молет хорошо, ничем посторонним при помоле не пахнет( горелое или жженая пластмасса, например), качество помола, на мой взгляд, хорошее. Довольна.</t>
  </si>
  <si>
    <t>300</t>
  </si>
  <si>
    <t>Хорошая сетка, стоит совсем недорого, но служит достаточно долго, я уже две штуки за год купил и полностью доволен. Под мою бритву (модель 4025) подошла в самый раз, не было никаких заморочек, чтобы ее прикрепить, держится достойно и не слетает во время бритья. Еще она легко чистится, в моем случае просто под водой ее ополаскиваю и потом не требуется каких-либо других манипуляций, сохнет тоже быстро. Итог - аксессуар для бритвы отличного качества, не разочарован!</t>
  </si>
  <si>
    <t>Сюжет хороший, но он-лайн хуже, чем в BC-2</t>
  </si>
  <si>
    <t>Красивый, тихий, очень быстро кипятит воду. Вода в него наливается через носик, что очень удобно. Не верьте,  что неудобно наливать из него в термос, даже в бутылку из него наливали воду. В общем очень советую. Купили его взамен желтого мулинекса у которого отвалилась крышка и вздохнули с облегчением, даже не понимали, что мы все слегка оглохли от старого чайника.</t>
  </si>
  <si>
    <t>1708</t>
  </si>
  <si>
    <t>плеер уже 2 года,просто отличный аппарат,держит зарядку долго,специальное покрытие не даёт плееру поцарапаться,шикарное меню,отличный дизайн.Очень хорошо подобранны программы к нему,вообщем классный,я музыку постоянно слушаю)насчёт наушников,да хорошие но у меня через 6 месяцев сломался вход,ну провод порвался,но это не значит что они плохие,просто я тягаю плеер туда сюда.Я даже до сих пор не разобралась во многих программах)и не знаю о них)вообщем,берите,не пожалете)</t>
  </si>
  <si>
    <t>Стильная, не шумная, мощная при небольних габаритах</t>
  </si>
  <si>
    <t>с первого раза моет ужасно. хоть с таблеткой, хоть отдельно. ошибок пока не показывает, но ужас. приходится домывать. пожалели сразу о покупке.&amp;nbsp;</t>
  </si>
  <si>
    <t>Купила эти щипцы в надежде на то, что буду себе крупные кудри крутить, типа как у Мадонны там или Шакиры )))  Но увы и ах: плойка эта либо совсем не нагревается, либо диаметр слишком большой, но волосы как были прямыми, так и остались... Хотя держала я очень долго, не жалея не сил, ни времени, ни средств для укладки, ни самих, собственно, волос...  Теперь лежит без дела. Если кому нужна - отдала бы бесплатно!</t>
  </si>
  <si>
    <t>Насадку нам подарили на нашу годовщину к нашему кухонному комбайну Kenwood. Мы очень любим настоящую пасту а тут специальная насадка, которая идеально делает тонкую, длинную, качественную пасту. Выполнена  очень добротно, из нержавейки - чувствуется сразу, что качественная. Рекомендуем!</t>
  </si>
  <si>
    <t>Отличный кухонный комбайн, пользуюсь почти год, мощный, много насадок, легко разбирать и собирать, удобный в использовании, я очень довольна своей покупкой! Рекомендую.</t>
  </si>
  <si>
    <t>Тем, у кого после перезагрузки сие чудо работает нормально еще повезло, на моего перезагрузка так благотворно не влияет, виснет столько раз, сколько раз я пытаюсь поиграть, но виснет только в играх. Блок приобретался главным образом для игр, ведь позиционируется как оптимизированная игровая станция. И, ладно еще когда играешь в синглплеере, но ведь перед соперниками в сети неудобно, когда вылетаешь из игры на самом интересном месте. В общем, пока радости мало, за исключением того, что большинство современных игр идут замечательно на максималках без намеков на тормоза, но длится удовольствие минут 15.  Поставил 4 с надеждой на устранение неполадки.  Может кто нашел способ решения проблемы, расскажите плиз в чем дело, как исправить?</t>
  </si>
  <si>
    <t>3112</t>
  </si>
  <si>
    <t>Телефончик нравится, купил пару дней назад!!! Можно использовать как игрушку, но в тоже время и для простого общения!!!!   Динамик действительно не силен, но для наушников хорошо играет!))))   Камера слабенькая!</t>
  </si>
  <si>
    <t>1824</t>
  </si>
  <si>
    <t>Разачарован. На 5кВт бежит всего-лишь тепленькая водичка, лопнула колба через 3 месяца после покупки и вода хлынула на пол - хорошо что мы были дома в этот момент.</t>
  </si>
  <si>
    <t>363</t>
  </si>
  <si>
    <t>Купил, попробовал - вроде бы хороший...  Но, вот не разберусь - как вынимается стержень для очистки?! Нажал кнопку, стержень чуть вылез... А как дальше? Его вынимать? Боюсь сломать, применяя чрезмерные усилия... :(((  Напрягло так же, что инструкция начинается не с русского языка, а с малоросского...</t>
  </si>
  <si>
    <t>Очень доволен покупкой. с таким ТТХ за такую цену это хорошее соотношение цена/начинка. неплохой процессор, 500 гигов на винте (который я за неделю уже забил всяким хламом) и  "видюха" очень порадовала.   ну а теперь минусы.  1) и основной. предустановленная 64-битная винда очень напрягает. хоть все приложения и работают. она все равно тормозит (работа с тяжелыми приложениями (Adobe Audition и пр.) немного доставляет дискомфорта. Ладно это не вина ноута (спишем на кривые руки гейтса =))   Теперь минусы ноута.  2) неудобно близкое расположение привода к порту USB, пару раз попадался на том что не мог вытащить диск из-за воткнутой флэшки.  3) очень хлипкая крышка монитора. при закрытии плотно не прилегает. если во время работы слегка нажать на крышку с другой стороны то можно увидеть как на мониторе весело плавают пиксели, что немного пугает когда хочешь пододвинуть к себе ноут.      все остальное очень порадовало.   со временем снесу винду и поставлю любимую Open Suse. надеюсь с ней производительность увеличится.</t>
  </si>
  <si>
    <t>Подарили на День рождения. В первую неделю сломался натяжитель шнура. То бишь, не держит вытянутый шнур, заматывается. Прицепили прищепку:)) Шоб держало! Не вытаскивается контейнер! Каждый раз боюсь, что сломаю! Фильтр один раз не помыл, на второй раз пылесос не тянет! Еще чуть-чуть и вывалился сзади фильтр и крышечка. Никак не ставится на место! Если бы не подарок - понесла бы обратно! Не покупайте!Ему еще года нет, а он весь раздолбанный! Лучше переплатить!</t>
  </si>
  <si>
    <t>Мне очень легко было сделать выбор в пользу данной модели стиральной машины. Во-первых это однозначно компания Electrolux (уже несколько лет пользуюсь духовым шкафом и варочной панелью данной фирмы, нареканий нет). Во-вторых, после ремонта в ванной комнате по габаритным размерам мне необходима была только машина с вертикальной загрузкой. В-третьих, удобство меню и простота чистки после стирки (в данной модели сливной насос находится внутри барабана - легко достается и чистится фильтр). Бесшумно стирает и отжимает. А то что нет таймера, к этому привыкаешь и примерно представляешь сколько длится та или иная программа. Тем более подаётся звуковой сигнал. В общем советую!</t>
  </si>
  <si>
    <t>1347</t>
  </si>
  <si>
    <t>Присоединяюсь к тому, что было написано ранее. Телевизор и в правду отличный. Смотреть фильмы в HD со встроенного медиаплеера самый кайф. Но при подключении PlayStation 3 сразу вылезли все недостатки плазменной технологии. Это статика, мерцание, отсутствие сглаживания и т.д. Сразу начали уставать глаза. Для игр - однозначно ЖК. Для фильмов - безусловно плазма.   Совет 1: Для того что-бы телевизор ночью сам не включался отключите функцию "Обновление ПО в режиме ожидания" пункт меню Поддержка-Обновление ПО.  Совет 2: При скачивании фильмов с торрентов следите за параметром High@L4.1 выше 4.1 телевизор читать не будет, проверенно)</t>
  </si>
  <si>
    <t>Максимальная нагрузка больше, чем в документах</t>
  </si>
  <si>
    <t>Приобрели себе такую мясорубку по случаю наступающих многочисленных весенних праздников, да и не привыкли питаться полуфабрикатами. Подошли к выбору очень серьёзно, провели ОПРОС среди знакомых, какие недостатки в своей технике их беспокоили, учли, и, исключая все их недовольства, наш выбор пал на эту мясорубку. По соотношению цены и качества - только 5 баллов. Добавляет надежности металический корпус и шнек, до этого у нас была мясорубка с пластиковым шнеком, шнек через полгода стерся.</t>
  </si>
  <si>
    <t>1901</t>
  </si>
  <si>
    <t>Классный ноутбук.  Всем советую</t>
  </si>
  <si>
    <t>Долго мечтала об этой модели,и вот 3 месяца назад муж преподнес на день рождение)  теперь каждое утро пьем сок!  из 2 яблок выход сока 200-250 мл!!!  это просто шикарно!!!  ничего не забивается,моется все шикарно)  жмет цитрусы и томаты на ура!</t>
  </si>
  <si>
    <t>2134</t>
  </si>
  <si>
    <t>купила чайник примерно 3 месяца назад!очень хороший,нареканий нет!я довольна)))</t>
  </si>
  <si>
    <t>2150</t>
  </si>
  <si>
    <t>Несомненно, одна из лучших игр в данном жанре! Square Enix молодцы! Долгих лет им жизни, и творческих успехов. А мы будем ждать Final Fantasy VII, в новой инкарнации.</t>
  </si>
  <si>
    <t>Посудомойкой пользуюсь полтора года. В целом нареканий нет. Просто надо внимательно читать инструкцию! Кастрюли отмывает не всегда,но все остальное просто блестит. Нужно правильно дозировать моющее средство(лучше порошок), и ополаскиватель. А сушит она не на всех режимах. Для ежедневного использования подходит 3. Раньше у меня была только одна помошница-стиралка,а теперь и посудомойка. Спасибо ей!</t>
  </si>
  <si>
    <t>Духовка супер!В комплекте 3 противня и решетка + термощуп для мяса.Готовили мясо,все вкусно и быстро.Отмывается очень легко.Очень довольна что приобрела!</t>
  </si>
  <si>
    <t>Мне понравился,нормальный пылесос. Не знаю как в дальнейшем,а пока всё устраивает.</t>
  </si>
  <si>
    <t>Отличные наушники, удобные, не напрягают, да и звучат отлично! Для своей цены просто на 5+ )))</t>
  </si>
  <si>
    <t>Обгорела нержавейка из-за огня на большой конфорке на второй день, аж черный нагар.</t>
  </si>
  <si>
    <t>Удобная и незаменимая вещь на кухне, сендвичи получаются очень вкусные.</t>
  </si>
  <si>
    <t>Пользуемся уже 5 месяцев каждый день круглосуточно, нужна вода для смеси, очень довольны! ничего не течет, клапан очень удобный, на улицу всегда берем и в жару и в холод! Немного тяжеловат конечно,но держит температуру отлично!</t>
  </si>
  <si>
    <t>Пользуюсь данной консолью уже 4 месяца. Впечатления только положительные. Графика, конечно, без особых изысков, но вполне на уровне, чтобы получать удовольствие от игры. Очень порадовало качество исполнения - хороший пластик, который, несмотря на глянцевую поверхность, не царапается даже при ношении консоли в кармане, а также практически не собирает отпечатков пальцев (исключение составляет рамка вокруг 3D экрана, на ней отпечатки заметны). Очень качественный сенсорный дисплей, реагирует быстро и точно. Что немаловажно, наличие второго экрана делает геймплей уникальным, а также позволяет консоли сочетать достоинства сенсорного и обычного кнопочного управления. В некоторых играх также используется управление с помощью датчика движения. К нему вопросов тоже не было - он мгновенно отслеживает малейшее изменение положения консоли. Интернет-браузер самый удобный из всех, которые я встречал на мобильных устройствах, но к сожалению, не поддерживает флеш. Недостаток для меня пока только один - консоль не поддерживает прямое подключение к ПК, и чтобы скинуть, например, фотографии, приходится вытаскивать карту памяти, так что кард-ридер обязателен.  В общем, вещь отличная, всем рекомендую к приобретению. Хочу также обратить внимание, что товарищи, которые поставили консоли самую низкую оценки НЕ являются ее владельцами, а значит не могут писать объективных отзывов (на самом деле одна звезда - это когда товар сделан из рук вон плохо, если оценивать консоль объективно по всем параметрам, то даже незаинтересованный человек не может поставить ей минимальную оценку). Те, кто купил и пользовался консолью, в основном оценили ее на "отлично".</t>
  </si>
  <si>
    <t>Я фанат яблочных маньяков, но реально цена завышена на все продукты, даже когда вышел четвертый, тройка упал в цене всего на две тысячи, или просто цена четвертого наши операторы определили мягко говоря "виньерической".  Машина хорошая бесспорно, (хотя на одной уже короткое замыкание на плате было, всего то в машине хотел зарядить) но очень это все раздуто и не должно столько стоить.  В пользу могу сказать одно, что весь интерфейс и функции внутри работают не через "задний проход", а так все тоже самое есть у других производителей.</t>
  </si>
  <si>
    <t>Купили такую перед Новым годом. Полностью устраивает, моется легко.</t>
  </si>
  <si>
    <t>Приобрел данный фильм сегодня у Вас, в сети М-Видео и очень рад этой покупке. Думал, что возникнут  некие трудности с воспроизведением   данного фильма на моей консоли   "Playstation3",  но как я и ожидал все работает гладко и качественно! Картинка поражает. Да и фильм очень хорош!Даже нахлынула легкая ностальгия, так как просматривал этот фильм в 2004 году в Сочи, на отдыхе...большое спасибо Вам за предоставленный товар! Являюсь частым гостем в сети ваших магазинов, буду рад являться им и дальше...еще раз спасибо!  Всем советую приобрести данный фильм!</t>
  </si>
  <si>
    <t>Ничего положительного не могу сказать. Полностью согласен с вышеописанными претензиями.  Такое "чудо" лучше не покупать. Убрать квартиру будет невозможно.</t>
  </si>
  <si>
    <t>Не знаю, у кого там чё расшатывается, пользуюсь 2 года, и с ключами в кармане трётся, как новая, ничего нигде не болтается, работает отлично! Использую часто в магнитоле, 16 Гб музыки читает быстро, ни разу не висла не отключалась! Всем советую!!!</t>
  </si>
  <si>
    <t>Очень хорошо выпрямляет при низких градусах.</t>
  </si>
  <si>
    <t>1106</t>
  </si>
  <si>
    <t>Сегодня приобрёл сей аппарат)) Долго выбирал, лазил по различным сайтам, всё сравнивал и в конце решил что этот самый самый! И не прогадал! Звук - ОТЛИЧНЕЙШИЙ, дизайн превосходный, управление простое и удобное, дисплей оптимального размера, все недостатки минимальны...  В общем за эти деньги окупает себя вполне. Не берите тексеты, роверы, эксплеи и прочую дешёвую ерунду, лучше переплатите, оно того стоит поверьте</t>
  </si>
  <si>
    <t>долго выбирал что купить эту модель или дайву, которая чуть подороже, в итоге взял дайву, товарищ взял эту модель - у него он чисто как вентилятор работает, под ним только если маленького ребёнка класть спать</t>
  </si>
  <si>
    <t>Это моя первая пароварка, прекрасно в ней готовлю, инструкция понятно написана - есть всё, что необходимо знать начинающим. Хочу ещё отметить, что корзины не взаимозаменяемы (разного размера), но это ни разу не принесло никаких неудобств.</t>
  </si>
  <si>
    <t>ему нужен короб побольше. буквально на 5-10 л. и фазик получше</t>
  </si>
  <si>
    <t>Отличный чайник!!! За год использования ничего не протекает. Правда тяжеловат но ничего терпимо. А качество хорошее. Пластмасса не высохла, ржавчины нет. Чтобы там там не писали у меня все отлично.</t>
  </si>
  <si>
    <t>Проработал более менее 2 года. Работал нормально первые полгода, потом стал плохо всасывать. Приходилось довольно часто чистить фильтры, все делал в соответствии с руководством по эксплуатации. После этого мощность увеличивалась, но все равно не как была сначала. А сейчас все прочистил - вообще не всасывает, хотя гудит. Вызвал сервисника, жду по программе доп гарантии.  Боша хватило на 2 года</t>
  </si>
  <si>
    <t>Откровенно тихий звук, совершенно не заглушаюший улицу. Какие там басы - проезжающую мимо машину лучше слышно, чем песню</t>
  </si>
  <si>
    <t>Судя по отрицательным отзывам, создается впечатление что людям продали подделку. У меня чайнику почти год,надписи не стерлись, шкала не течет,накипи на шкале нет. Однако считаю, что всё зависит от правильной эксплуатации. Раньше если надо было, сама всегда заливала холодную воду в ещё не остывший чайник. Однако это приводит к растрескиванию шкалы воды. Правильный совет дали в магазине, что очень порадовало. А ещё я сама заметила, что когда были проблемы с отключением после закипания, в этом также была моя вина. Просто при заливании воды, я вдобавок попадала на индикатор закипания, именно в эти разы он и не отключал кипящий чайник.  Теперь работает как часы.</t>
  </si>
  <si>
    <t>После того как наушники от ipod сломались, долго искал замену и нашел. Наушники устраивают полностью всем, особенно хорошие низкие частоты.</t>
  </si>
  <si>
    <t>Неделю назад купил себе эту акустику! Хочу сказать, что ни сколько не разочаровался, а даже наоборот порадовался. Собственно, этого я и ждал от неё и наконец-то дождался! Друзья мои, если кто-то собирается покупать себе что-то в этом роде, сразу могу сказать, даже не думайте - БЕРИТЕ, не пожалеете. Звук прекрасный, особенно для любителей электронной музыки, ну а если имеются предпочтения в сторону рока или вообще инструментала - то...сразу скажу, слышно будет далеко не всё, потому что у саба довольно таки мягкий бас, да сами посудите, что может дать два маленьких динамика, что находятся ровно по центру каждой из колонок, ведь верхний и нижний далеко не за это отвечают, как может показаться на первый взгляд, да я и сам думал, что тут по три полосы на каждой!!!  Короче, любителям всего электронного и от части инструментального - СОВЕТУЮ БРАТЬ, хоть ЦЕНА немножко КУСАЕТСЯ, но это стоит того!  А что касается дизайна, так это отдельное спасибо создателям этой штуки, смотрится просто замечательно, да и места занимает очень мало - я имею в виду сателлиты, а саб можно и спрятать!  P.S. Если вы всё еще думаете что взять, ну там подешевле может что найдете, наверняка найдете, но....точно не её. Выглядеть она будет по-другому да и звук будет другой!!! :-)</t>
  </si>
  <si>
    <t>Все исправно работает, удобно, что кнопочки переведены на русский.  Моя мама сразу разобралась.   Недостаток пока что обнаружили один: металлический запах.  Ну еще, нельзя полностью воду слить, если это необходимо, после минимума она начинает нагреваться. Приходится выключать из сети, и весь этот термопот тащить, чтобы вылить.. но в целом, мы довольны.. проверили, электричество почти не жрет ))</t>
  </si>
  <si>
    <t>Моя первая электробритва. В принципе всем доволен, брился 2 раза.</t>
  </si>
  <si>
    <t>Купил для учебы и очень доволен. В отличии от прежних версий - эта понятнее и удобнее.</t>
  </si>
  <si>
    <t>2597</t>
  </si>
  <si>
    <t>Служил 4 года прекрасно, воду нагревал давольно шустро. Потом как и у многих начало подтекать дно.</t>
  </si>
  <si>
    <t>Плеер отличный для прослушки музыки. Радио шипит. Держится уже 5 лет. 15 часов держится батарея. Глючит при режиме рок но с остальными работает хорошо.</t>
  </si>
  <si>
    <t>2049</t>
  </si>
  <si>
    <t>Звук-супер! Купил другие более классные наушники, но оказалось что штатные звучат не хуже. Слушаю метал и рок. Очень качественный живой звук. Аккумулятор держится заявленное время. Радио-качественное. Минусов- НЕТ!Все стильно и надежно.</t>
  </si>
  <si>
    <t>Приобрёл 23 марта 2010 г. MP3 Flash 4 GB Sony NWZ-E443 (4Gb)  Плюсы: аккуратный прочный корпус, разъёмы качественные, кнопки имеют чёткий ход, эргономичен, несмотря на маленький размер. Звук на отлично.  Минусы: маленький экран, отсутствие слота под карты расширения.    p/s: Выбирал из Explay M8 (8Gb), Samsung YP-Q2AB. У первого просто халявный корпус и кнопки - отсеял сразу, несмотря на чуть больший экран и слот расширения. Второго не было в том магазине, где я покупал, а поскольку они с Sony NWZ-E443 идентичны выбор пал на Sony дополнительным аргументом стало название линейки - вэлкман это всё-таки бренд с историей.</t>
  </si>
  <si>
    <t>В целом довольны. К сенсорным кнопкам привыкла, удобно пользоваться таймером, нагревается быстро, симпатичный дизайн.</t>
  </si>
  <si>
    <t>Хороший чайник.Деньги потрачены не зря.</t>
  </si>
  <si>
    <t>Второй год работает как швейцарские часы - в прошлом году 2 месяца не выключал его ваще ни на минуту,в этом году сделал нормальную заглушку в окно из оргстекла за 1200р. - и ваще отлично стало!!!Комната 17м. охлаждает до 25гр. - ниже не хватает силов.Но это вполне комфортная температура.Только вывел трубку в канистру 10л. для канденсата шоб ночью не выключался,а то в жару раза три бегал в день выливать бачок,а канистры хватает на 2 суток в среднем при забортных 35 а в комнате 25.И ещё надо следить чтоб пылью не забивалась сетка для забора воздуха - я её пылесосом снимаю раз в неделю.Он мне больше сплита нравиться потому что вечером когда открываешь окно очень хорошо проветривает комнату и быстро.У нас в соседней комнате сплит повесили в этом году - главный минус что он гоняет воздух внутри комнаты без проветривания.У каждого из них свои минусы и плюсы.</t>
  </si>
  <si>
    <t>Моей 6 лет, никаких претензий к ней не было, все меня устраивало, пользовались каждый день, иногда и по два раза.Но на днях полетел рециркуляционный насос - время пришло. Он стоит около 5000, еще и найти его нужно, плюс установка - лучше купить новую.</t>
  </si>
  <si>
    <t>Купил бритву в м видео недавно, брился пару раз, в общем бриться довольно приятно, но что касается бритья шеи, под челюстью-то волосики у которых рост волос практически параллелен коже сбриваются плоховато, хотя может это у меня от неопытности,  провод мешает, в общем - покупаете бритву только на аккумуляторе =))))</t>
  </si>
  <si>
    <t>Покупала данный фен более 2х лет назад, пользуюсь до сих пор, вот только сейчас стал давать сбои перегреваться на первой скорости. Но он уже итак довольно долго прослужил. Очень удобен в поездках, т.к. складывается ручка + есть режим переключения электропитания с 220 на 100В</t>
  </si>
  <si>
    <t>Девятый год полет нормальный. уже правда надоел... :)</t>
  </si>
  <si>
    <t>Пароварка супер, меню доступное, удобное. Котлеты по вкусу такие как и жареные. Манты супер, первый раз тоже прилипли, потом хорошенько смазала кисточкой корзины и каждый мант и все получилось. Рис теперь не успеваю покупать.</t>
  </si>
  <si>
    <t>Приятный внешний вид, стабильная работа, радует детей сиянием дисплея))</t>
  </si>
  <si>
    <t>Отвратительная плитка!Плохо регулировалась и сломалась спустя 8 месяцев бережной эксплуатации!Не берите!</t>
  </si>
  <si>
    <t>Потрясающие наушники..пользуюсь 4 года. Никаких проблем до сих пор нет. Потерлись конечно,но проблем со звуком никаких так и не появилось..как качали так и качают. Провод тоже жив здоров и штекер надежный(ничего не отходит не барахлит), в общем класс.</t>
  </si>
  <si>
    <t>Очень хороший триммер , лучшее что есть на рынке :D</t>
  </si>
  <si>
    <t>Мне подарили и хуже подарка я не получала. В тостере хлеб хотя бы с корочкой и хрустит, а тут довольно мягкий. Если сделаешь большой бутерброд, то не закрывается. Выключать только выдергивать из розетки ни каких переключателей нет. В микроволновке аналогичный горячий бутерброд получается с меньшими проблемами.</t>
  </si>
  <si>
    <t>Отличная вытяжка. Тихая на первой скорости, остальные редко пользуем из-за шумности. Радует что кнопки выше стекла и лампочки за стеклом... Не понимаю как в других вытяжках они сделаны снизу. Есть недокументированная функция проветривания. Если у вас работала вытяжка на первой скорости, а вам надо уйти, но не проветрилось еще... нажимаете 2 раза кнопку ВКЛ/ВЫКЛ и она включается только на 5 минут. При этом индикатор первой скорости мигает, а не горит. Через 5 минут сама отключится. Стекло ОЧЕНЬ легко моется (многие боятся брать со стеклом)</t>
  </si>
  <si>
    <t>Была необходимость выбрать мониторные наушники для домашнего использования, ограничившись ценовым диапазоном до 3х тысяч рублей. Были опробованы все существующие в наличии Мвидео наушники. В результате по соотношению удобства и качества звука этим ушам удалось перещеголять Сеннхайзеры за 2900 и прочие модели.   За эту цену выбор однозначно хорош. Рекомендую.</t>
  </si>
  <si>
    <t>Машинку купили полгода назад! Очень довольны! Всем советую, места занимает немного, не шумит, не прыгает. Очень нравится!</t>
  </si>
  <si>
    <t>2143</t>
  </si>
  <si>
    <t>Отличный комп!!  Очень мелкий и шустрый.Из магазина нес подмышкой))  Реально очень маленький такой)) чуть больше ноута))  Порадовало кроме всего прочего поддержка акустики 7.1!!  Ну и у меня он спокойно тянет сразу 2 монитора на 22 дюйма.  Очень мелкий и шустры. Очень рад ему. Его можно на бок класть или ставить.  занимает очень мало места.  Главный его плюс - это большая мощность при маленьких размерах.Ну и недорогой.</t>
  </si>
  <si>
    <t>610</t>
  </si>
  <si>
    <t>До этого пользовался брауном ... я не понимаю как до этого я жил)   Этот чайник сам заваривает все сорта Чая.... на крепости какой ВАМ нужно ... Отложенный старт очень удобен если вы хотите утром отведать чашку любимого чая  Берите - не пожалеете</t>
  </si>
  <si>
    <t>Классный ноут, мне очень понравился, греется но не смертельно, советую!</t>
  </si>
  <si>
    <t>Купил неделю назад. Поставил, подключил без проблем (только купил шланг подлиннее). Стирает супер. Тихая, даже при отжиме. Стоит на кафеле, вибрация еле заметна. Один недостаток, но он даже к машинке не относится - это плохая инструкция по использованию. Машинкой очень доволен!</t>
  </si>
  <si>
    <t>Спасибо за комментарий от "18.04.2010 1111111111111   (Киев)", как вылечить пылесос если тяга ослабла.  Приключилась такая же ерунда с Samsung SC6570, сегодня, так же удалил одну сетку и тяга вернулась. Я уже хотел выкидывать пылисос, по гарантии куда его тащить, желания не было. Спасибо.</t>
  </si>
  <si>
    <t>Кофеварка работает по настроению, иногда совсем не включатся. Хрустит, гремит громко,  кофе льется не совсем горячим, механические ручки переключатели ломаются быстро и поддон пластиковый. Дешевая кофеварка, приходится нервничать для того  чтобы по утрам попить кофе(((</t>
  </si>
  <si>
    <t>Легкая, быстро нагревается</t>
  </si>
  <si>
    <t>2707</t>
  </si>
  <si>
    <t>Отличная приставка, отличная графика, очень много возможностей!оправдывает свою цену. 5 баллов. СОВЕТУЮ приобрести, и наслаждаться!!!</t>
  </si>
  <si>
    <t>Battlefield Bad Company 2.  Что можно сказать об этом проекте EA Dice? Это, абсолютно точно, один из лучших боевиков, в которые я когда-либо играл... В ней есть все, чтобы Вы сидели у экрана монитора с открытым ртом. Во-первых, потрясающая воображение графика: в некоторых сценах игра выглядит, как фотография какой-нибудь турфирмы - Альпы, джунгли Боливии, какая-то красочная пустыня - не хватает только слогана "Турфирма приглашает Вас в самые удивительные уголки нашей планеты". Во-вторых, практически полная разрушаемость, и это не очередная заманчивая ложь разработчиков, все именно так и есть: рушатся целые здания, заборы, столбы, короче говоря, почти всё! На экране постоянно летят кирпичи, осколки, щепки, стекло, противники и их оружие... В-третьих, звук... Могу без зазрения совести сказать, что здесь лучшие звуковые эффекты, которые когда-либо доносились из моих наушников... Чего стоит тот момент, когда, пробираясь по джунглям Боливии и услышав писк комаров, я наяву стал отмахиваться, после чего долго смеялся над собой...  Одиночная кампания.  Сюжет у проекта - банальная "клюква" про злых русских и главного злодея Кириленко... Но играть при этом все равно интересно, никогда не знаешь, что учудит ваш отряд в следующей миссии. Здесь много юмора и глупых ситуаций... В общем, пройти сингл очень даже стоит.  Мультиплеер.  Ооо... Баталии такого масштаба нигде не найдешь (на ПК, на PS3 есть MAG). Каждую секунду в кадре что-то взрывается и рушится, падают вертолеты, снайпера не дают бегать по открытым пространствам и вызывают минометный обстрел, штурмовики и инженеры дырявят дома и вбегают в них с беспрестанной стрельбой, медики помогают товарищам...  Одним словом, вступайте в наши ряды, Бойцы... Мы ждем Вас...</t>
  </si>
  <si>
    <t>2394</t>
  </si>
  <si>
    <t>Мне понравился этот нетбук...но прежде чем купить его, мне интересно, какие у него недостатки??</t>
  </si>
  <si>
    <t>2017-07-04</t>
  </si>
  <si>
    <t>всё на 5</t>
  </si>
  <si>
    <t>2754</t>
  </si>
  <si>
    <t>Очень хороший увлажнитель! прост в управлении, налета никакого нет, так как заливаю воду из под фильтра, работает очень тихо и ночью его почти не слышно, много режимов работы. Единственное не сразу поняли что его нужно установить как можно дальше от стен и пола, т.к. это влияет на фактическую влажность воздуха, которую он измеряет, но после правильной его установки все работает отлично! всем советую, вещь хорошая!!!</t>
  </si>
  <si>
    <t>Вроде даже ничего)  Тока для менюхи инструкции нет, тыкаю на все кнопки подряд, чтоб включить...</t>
  </si>
  <si>
    <t>602</t>
  </si>
  <si>
    <t>Надежная нержавейка, внешний вид и форма (плоский)</t>
  </si>
  <si>
    <t>Купила этот выпрямитель себе на ДР и сразу же в него влюбилась. Пробовали подруги у всех разный тип волос, но все в полном восторге!!! Кто хочет забыть о проблеме выпрямления волос-это ваше спасение.</t>
  </si>
  <si>
    <t>Быстро закипает, малошумный, нет припаяного носика и окошек которые текут, качество материалов, удобная ручка, внешний вид.</t>
  </si>
  <si>
    <t>1296</t>
  </si>
  <si>
    <t>Подарила мужу на 23 февраля, после первого использования тост получился просто ужасный, вместо золотистого поджаривания- горелая корка и это на втором режиме. Обменяла на тостер другой фирмы в пределах такой же стоимости и забыла о предыдущем печальном опыте.</t>
  </si>
  <si>
    <t>2015-03-09</t>
  </si>
  <si>
    <t>Заказывал в ноябре 2014 через интернет. Достаточно тяжелый и занимает место, но он того стоит. Мощность отличная,  убирать им просто удовольствие.  Кто-то писал, что мыть фильтры и разбирать его  очень долго. Всё это ерунда. На промывку фильтра уходит 3-4 минуты. Шланг действительно перекручивается, но к этому быстро привыкаешь.</t>
  </si>
  <si>
    <t>2016-06-19</t>
  </si>
  <si>
    <t>Мясорубка отличная.Мы долго выбирали из множества брендов, остановили свой выбор на Kenwood. Она отвечает всем параметрам: компактная, удобная, функциональная а главное все сонденения металические. Отлично рубит мясо и перемалывает любые жилы. Продавец показал что можно преобрести ещё множество насадок, терки , шинковки , кубикорезки и Т.Д. Мы взяли кубикорезку и очень довольны. Всем советую!!!!! А продавцу огромное спасибо за грамотную консультацию!!!!!!!!</t>
  </si>
  <si>
    <t>Вот вы спорите,хорошие они или плохие... хорошие.но,чтоб они хорошо играли,их надо правильно подключить!а именно через кроссоверы!!!а не кричать,что они плохие!!!))знатоки,блин)))</t>
  </si>
  <si>
    <t>5030601</t>
  </si>
  <si>
    <t>Очень рекомендую! Квартиру охватывает без вопросов, а к Интернету подсоединен через Wi-Fi маршрутизатор аж через три стены! Уровень сигнала никогда не падал ниже 25%.</t>
  </si>
  <si>
    <t>Супер ноут, как для работы так и для игр. звук, видео, клавиатура все супер!!!  GTA4 не тормозит! ;)</t>
  </si>
  <si>
    <t>Пользуюсь более полутора лет. Великолепная машина! Можно выбрать любой режим мойки - от трех минут до четырех часов. Мало загрязненную посуду мою без таблеток. Мою противни из духовки, тарелки, хрустальные фужеры - любую посуду.Есть режим на котором мою пластмассовые тонкие контейнеры. Машина автоматически продлевает или укорачивает время мытья - есть датчики, которые следят за чистотой посуды. Сильно пригоревшую посуду за один раз не сможет отмыть, но можно положить на второй раз.Посуду в машину кладу "как есть", остатки пищи не счищаю, только крупные куски. Электричества берет мало. Кожа на руках стала мягкая - машина моет всю посуду за меня. Недостаток только один - на 14 комплектов, сейчас бы искала на 16 и более.</t>
  </si>
  <si>
    <t>"Хорошая, интересная, запоминающаяся"- так сказал мой сын, когда её всю прошёл. Графика и сюжет действительно хорошие. Если купите, не ошибётесь.</t>
  </si>
  <si>
    <t>306</t>
  </si>
  <si>
    <t>Утюг тестировала на джинсах-такими отглаженными они ещё не были!Вещи, которые раньше с трудом отпаривала паровым ударом, отглаживаются теперь просто на "Ура" без использования этой функции.Очень легкое глажение, отпариватель просто супер, даже супруг его оценил, т.к. помогает мне гладить пеленки и детские вещи.Экономия времени,т.к.нет необходимости проглаживать одно место несколько раз.Сухой глажкой так же довольна. Гладить теперь одно удовольствие. Прежде,чем купить, просмотрела все отзывы об этом утюге, не нашла ни одного отрицательного.Очень довольна покупкой!Спасибо всем,кто оставил свои положительные отзывы!</t>
  </si>
  <si>
    <t>Установили кондиционер все устраивало бесшумный,стильный,функциональный.Но когда решил почистить филтры с удивлением обнаружил что их там нет и непонятно куда они делись и должны ли они там быть,прочитав инструкцию так и не понял должны они там быть или нет.Но факт остается фактом что очистка воздуха нулевая,-что очень грустно.</t>
  </si>
  <si>
    <t>Чайник классный, пользуемся им давно, ни разу не подводил. Один минуc-очень шумный!</t>
  </si>
  <si>
    <t>44</t>
  </si>
  <si>
    <t>мне лично телевизор понравился</t>
  </si>
  <si>
    <t>У меня год в эксплуатации Воздухоочиститель Bork APRIH 3737WT. Безукоризненная техника.</t>
  </si>
  <si>
    <t>2016-05-09</t>
  </si>
  <si>
    <t>во-первых шьет очень шумно.   во-вторых частота стежков не очень маленькая, ставила на максимум   в-третьих трудно 3аправляется и все время нижняя нить путается</t>
  </si>
  <si>
    <t>Удобная, лёгкая, очень компактная (даже маленькая).  Понравилась сразу. Претензий никаких, хоть и делали в Китае. Рекомендую. Кстати, у нас только в "М-Видео" такие флэшки продаются.</t>
  </si>
  <si>
    <t>2196</t>
  </si>
  <si>
    <t>Эти щипцы просто класс! Очень удобные. Бережно относятся к волосам из-за керамического покрытия. Всем рекомендую только их!</t>
  </si>
  <si>
    <t>Сначала хотел купить ЖК,но продавцы спросили в качестве чего будет использоваться,сказал что сынишка смотрит DVD-мультики, я игры на компе, еще купил спутниковую тарелку,сказали плазма будет лучше.  Купил 42,все установил,включил и прибалдел от спутниковой антенны -  качество ОТЛИЧНОЕ!!Подключил комп NFS-SHIFT реализм просто класс!Рекомендую.</t>
  </si>
  <si>
    <t>Купила 2 месяца назад, полностью устраивает. Внешний вид на 5+, подогревает отлично, без проблем моется. Правда в режиме Авто повар курицу за положенное время хорошо не прожаривает, получается как тушёная, приходится увеличивать время, и тогда получается вкусно, с обоих сторон прожаренная и красивая на вид.</t>
  </si>
  <si>
    <t>Использовать данный триммер для стрижки волос в носу и ушах неудобно.  Очень плохой триммер. Я разочарован.</t>
  </si>
  <si>
    <t>2291</t>
  </si>
  <si>
    <t>Взял по акции в М видео за 19900, что могу сказать - телевизор отличный, как монитор для компа вообще выше всяких похвал, качество аналоговых каналов вообще-то могло бы быть и получше, но на 3+ тянет.  Видео в HD вообще - сказка. Минусов пока замечено не было.  В общем, брать не задумываясь !!!</t>
  </si>
  <si>
    <t>Супер игра. Прошёл всю.  Это коллекционное издание. Отличается всякими штучками и одеждой доля героя.</t>
  </si>
  <si>
    <t>2223</t>
  </si>
  <si>
    <t>2013-12-06</t>
  </si>
  <si>
    <t>1) Сильная вибрация в самой ручке, когда держишь 2) Очень слабый поток воздуха 3) Поток воздуха еле теплый, волосы совсем не подкручиваются. Обмену и возврату не подлежит, средство гигиены. Жаль потраченных зря денег</t>
  </si>
  <si>
    <t>Отличная система,  как для музыки и фильмов. Главное компактная , сделано добротно :)  только вот не хватает поворотных креплени на стену и в магазине почему-то нельзя купить</t>
  </si>
  <si>
    <t xml:space="preserve">Неплохая рабочая лошадка </t>
  </si>
  <si>
    <t>2782</t>
  </si>
  <si>
    <t>2012-06-26</t>
  </si>
  <si>
    <t>Кондер нормальный. В этом ценовом диапазоне по сравнению с другими моделями очень тихий. Охлаждает хорошо. Единственный минус - неудобный пульт управления: нет подсветки дисплея. Из-за этого ночью без включения света ничего не видно.</t>
  </si>
  <si>
    <t>Неожиданно порадовало качество звука за такие деньги. Обычно наушников хватало на 3-4 месяца, эти слушаю 8 месяц, еще не подводили. Дёшево и сердито.</t>
  </si>
  <si>
    <t>2014-06-20</t>
  </si>
  <si>
    <t>Волосы выпрямляю уже около трёх лет, т.к. короткая стрижка и иначе они не лежат. Опасения из-за слишком низкой цены  оказались напрасными. Очень нравится, что он тонкий, у меня прямо посередине чёлки небольшой вихор и её трудно уложить, всегда торчит вперёд, а с этим выпрямителем ложится хорошо. Волосы не жжет, пользуюсь термозащитным спреем. Быстро и хорошо нагревается. Твердая пять.</t>
  </si>
  <si>
    <t>2230</t>
  </si>
  <si>
    <t>Акустика - супер, Басс - 10+++   Высокие - 10+++</t>
  </si>
  <si>
    <t>Долго думала какой купить, читала тут отзывы. В итоге решилась и купила этот! Очень радует! Очень быстро нагрелся. Есть диск. И вообще согласна с Женечкой все, что она написала - правда) Советую!</t>
  </si>
  <si>
    <t>Отлично выпрямляет волосы. У меня волосы ниже плеч и я справляюсь меньше, чем за 5 минут! Нагревается быстро. Мне очень нравится!</t>
  </si>
  <si>
    <t>Саб и усил в зачёт сработанны, после настройки вообще кайф слушать!!! Советую всем приобретать, если бюджет не позволяет дороже!!!</t>
  </si>
  <si>
    <t>у меня телефон второй год, и я не жалуюсь, сколько раз падал ничего серьёзного только 4 царапинки, упал с 4 этажа появилась только вмятинка на металлической полосе и всё. Телефон вобщем очень хорош а если его ПО обновлять в соответствии с выпуском новой версии ПО то телефон станет ещё лучше и быстрее. Телефон оправдывает ожидания</t>
  </si>
  <si>
    <t>2504</t>
  </si>
  <si>
    <t>У нас печь уже больше года...  отличный помощник если ты торопишься, да и за ребенка меньше беспокойства. поставит еду в микроволновку и все она же предупреждает о том, когда будет готово...    Берите, не пожалеете =)</t>
  </si>
  <si>
    <t>После приобретения были переслушаны практически все CD, которые у меня были. По низам напольные колонки вместе с сабом были повержены, серединка и верха были очень похожи. Удивительное дело - надеваешь наушники, а музыка, в сравнении с напольными колонками не теряет насыщенности. Стало интересно и я провел тест на звучание в SpectraLab - оказалось, что на громкости ниже средней можно почувствовать инфразвук! в этих ушах герц примерно с 11-12. Потом была покупка shp8500, думал будет еще круче, но чуть больший завал на низах не понравился, серединка и верха были примерно одинаковые. Комфорт, при наличии немаленькой головы, офигенный - один раз просидел в наушниках часов 10 и ни какого дискомфорта не испытывал. Наушники имеют заметную на слух неравномерность скользящего тестового тона в диапазоне от 1,5 до 10КГц, видимо связанную с конструкцией самих человеческих ушей. Резонансные пики приходятся примерно на 3, 5, 6,5, 7,5 и 8,5КГц, и бороться с ними можно только параметрически эквалайзером. Идея выправить звук вынашивалась больше года и в конце концов была блестяще реализована при помощи 63 канального параметрического эквалайзера. Теперь, когда слушаю музыку и снимаю наушники для сравнения с напольными колонками, звук вообще практически не отличается от них, если не считать низов, так как КДП, на звучание колонок в низкочастотном спектре имеет очень большое влияние. Наушникам уже более 2х лет - состояние идеальное, несмотря на несколько падений с высоты стола.</t>
  </si>
  <si>
    <t>Очень довольна вентилятором, т.к. очень тихий (можно спокойно спать), достаточно мощный (диаметр 40 ощущается) и легко переносимый. Еще плюс, что ножки не пачкают стол и вполне устойчивы.</t>
  </si>
  <si>
    <t>купили больше полугода назад и нам очень нравится. Единственное время отклика чуть больше чем хотелось бы, но это мелочи.</t>
  </si>
  <si>
    <t>Пользуемся этой машинкой уже вторую неделю.Никаких нареканий нет,работает тихо,удобный индикатор времени,надеюсь,что так хорошо  будет работать и дальше..</t>
  </si>
  <si>
    <t>Вещь полезная, удобная,хорошо работает!    Для составителей описаний, поправьте описание, баночка реально объемом в 150 мл. а не 100мл, как указано у Вас в описании...</t>
  </si>
  <si>
    <t>1764</t>
  </si>
  <si>
    <t>Супер телевизор!!!почти 2 года у меня! Кстати-подставка поворачивается!)))))))))</t>
  </si>
  <si>
    <t>Телефон Nokia 3110c имеет главный и постоянный недостаток - глюк и баг, связанный с аудиоплеером. Переполняется база данных и плеер глючит. Программисты фирмы Nokia не предусмотрели полное обновление базы данных. И требуется прога для залезания в мозги - и вручную удаления. Я за 6 месяцев 2 раза чистил.</t>
  </si>
  <si>
    <t>Моет хорошо, чисто, посуду не бьет, если ставить ее в соответствии с инструкцией</t>
  </si>
  <si>
    <t>Купил пол года назад в М-Видео за 28000, ноут вполне достоин внимания и понимания. Из минусов только цена на сегодняшний день.</t>
  </si>
  <si>
    <t>Вся техника Philips  себя очень зарекомендовала,особенно в бытовой технике. Поэтому не жалейте,если её приобрели. Я сама пользуюсь техникой этой фирмы и очень довольна. Да все модели пылесосов Philips  себя оправдывают ,у них самая большая мощность всасывания, и самые удобные щётки,благодаря которым не единый уголок будет не замечен.</t>
  </si>
  <si>
    <t>2014-08-07</t>
  </si>
  <si>
    <t>Очень удобная штука на средние волосы</t>
  </si>
  <si>
    <t>Было много увлажнителей.  Сканирует влажность в помещении, можно задавать программы самому.но на мой взгляд отличительной особенностью этого прибора стала функция теплого пара, с помощью которой вода, прежде чем попасть на ультразвуковую мембрану, подвергается длительному нагреву до 80 С (пастеризация). В результате чего генерируемый пар очищается, а производительность увлажнителя возрастает до 550 г/час.Это ощущается когда находишься в квартире.плюс ночной режим, сам сканирует и работает - бесшумно!!! покупкой довольна.</t>
  </si>
  <si>
    <t>Сдох через неделю, уже полтора месяца в ремонте, зато красивый какой.</t>
  </si>
  <si>
    <t>2224</t>
  </si>
  <si>
    <t>Пользуемся данной моделью несколько месяцев. Купили, если честно, из-за дизайна, но ни разу о покупке не пожалели! Работает совсем бесшумно, влажность поднимает нормально, я выставляю на минимум, ставлю 40, он мне и поддерживает 40. Выставляла 60, со временем получила 60. А по поводу картриджей и антибактериальных фильтров, так они есть в фирменных магазинах борк! Я покупкой довольна!</t>
  </si>
  <si>
    <t>Печь отличная, несколько раз при выпекании отключался свет на несколько минут потом она продолжала программу и хлеб получался отменным</t>
  </si>
  <si>
    <t>Очень мощный,  длинный шнур,  удобная щетка, не шумный, есть ароматизатор воздуха</t>
  </si>
  <si>
    <t>Купили 6 мес назад удобная большая.Только вот мощность конвенции всего 240, приходится увеличивать время приготовления.С грилем та же беда, курица внутри сырая, как и все продукты, приготовленные в режиме авто.Да еще ко всему стала шуметь во время работы с каждым месяцем все сильнее. Ну а в довершение сломался механизм вращения(тарелка вращалась рывками).Короче если нужны громадные часы по среди кухни для подогрева чашки чая -это они</t>
  </si>
  <si>
    <t>Эти весы хорошо работают только первые полгода максимум. Потом у них начался жуткий глюк. Чтобы взвеситься, нужно потратить минут 15 минимум. Потому как все время выдают ошибку и показывают либо 114 кг:))))) либо 000 и все в кракозябрах. Ну..за эту цену ровно полгода хорошей работы и выбросить. не советую.</t>
  </si>
  <si>
    <t>Дополнение к отзыву от 02.08.2010 г.  Вчера автоматически обновилась прошивка до версии 2.1 Вообще стало все супер! Такого умного телефона я еще не видел! Советую всем! IPhone рядом не стоял, к тому же незачем переплачивать. Андроид минимум в 2,5 раза дешевле.</t>
  </si>
  <si>
    <t>Пользуюсь 2 года,хорошо моет,главное-ПРАВИЛЬНО расставить посуду!Винт не должен ни за что задевать и обязательно вовремя добавлять все расходники. Ни разу не пожалел,что купил.</t>
  </si>
  <si>
    <t>Приобрели машинку осенью 2006 г. Простая в обращении, я ее, кстати, даже сама подсоединила. Работает без сбоев и поломок. Единственно, через два года перестала "забирать" кондиционер для полоскания белья.</t>
  </si>
  <si>
    <t>купил эту машинку, в 2007 году, да в управлении очень проста и в принципе симпатична, но почему то через месяц накрылась электроника, пришел мастер, сказал что обычная история для этого производителя, и почему-то нет на складе этих деталей(хотя это обычная история !!)  пришлось стирать два месяца у родителей, прошло еще 4 месяца и 8 дней, опять накрылась электроника, опять пришел тот-же мастер и повторилось всё сначала, два месяца таскания белья к родителям,теперь сижу и жду когда снова накроется эта электроника</t>
  </si>
  <si>
    <t>Купили Bork в конце июня охлаждает нормально,шланг врезали в балконную дверь,к шуму привыкли сейчас уже его не замечаем. Зато спим хорошо,не знаю что бы мы без него делали в такую жару.Недостатки в том что приходится каждые 3-4 часа заливать воду и в трубе образуется налет похожий на никипь,раз в неделю приходится снимать и промывать трубу и фильтры.Сплит система конечно же лучше,но чтобы её установить сверлят дыру и не одну,так что сплит лучше устанавливать до ремонта и ждать ещё надо очень долго,от жары помрешь.Вообщем пока мобильный пойдет потом хоть куда можно будет поставить на обогрев также в холодную зиму пойдет.</t>
  </si>
  <si>
    <t>Гениальная игра, только найти её в продаже непросто.</t>
  </si>
  <si>
    <t>мафон хороший,работает год пока нормально,ничего не ломалось,видео долго грузится особенно после1 гига, а после двух вообще вечность,пришлось убрать переключатель обдува печки(ваз2114), мешает открыванию экрана,зимой при не прогретом салоне жужит куллер.</t>
  </si>
  <si>
    <t>Подарил жене данную ванночку. Жена очень довольна, сам тоже пробовал - очень понравилось. Цена приемлемая, качество хорошее, режимы оптимальные. Приятный массаж с пузырьками. Пусть вода из-за пузырьков остывает быстрее, чем просто при режиме массажа, но это совсем не главное. Советую.</t>
  </si>
  <si>
    <t>2461</t>
  </si>
  <si>
    <t>2016-06-02</t>
  </si>
  <si>
    <t>хотела прозрачный чайник и по совету продавца консультанта купила этот (знаю же нельзя их слушать, муж отговаривал, но я все же не устояла) у чайника очень неудобная кнопка включения, почти год в эксплуатации, я до сих пор не привыкла. не удобная ручка, не удобно брать чайник, когда он полон. Мне очень осложняет жизнь то, что если чайник вскипел, вы изпасзодовали всю воду, включить чайник не возможно какое-то время, надо ждать когда он остынет. и в довершение всего , менее чем через год у него сломалась крышка.  За такую цену это ужасный чайник. в очередной раз убедилась нельзя слушать продавцов консультанты!</t>
  </si>
  <si>
    <t>391</t>
  </si>
  <si>
    <t>Спираль сгорела через 2 месяца, крышка плохо закрывается.</t>
  </si>
  <si>
    <t>Купили ребенку по случаю дня рождения.Три дня ребенка не оторвать от приставки,с мувиком на лыжах,в тенис,с лука))).Ребенок в восторге,да и мы тоже. По WiFi сети подключили приставку к ноуту, теперь смотрим фильмы и мульты.</t>
  </si>
  <si>
    <t>2409</t>
  </si>
  <si>
    <t>Купили такую же микроволновку еще в 2002 году. До 2010 года работала дома, без всяких нареканий и претензий. Потом переехала на дачу, где зимовала в холодном доме. Но купленная взамен этой новая другой фирмы сломалась через год. И наша древняя подруга вернулась с дачи домой. Работает без проблем!Так что - старый друг лучше новых двух..</t>
  </si>
  <si>
    <t>Очень долго выбирала духовой шкаф. Остановилась на этом. Оправдал себя. Отличная духовка. Очистка паром хорошая вещь, но единственный минус - не очищается нижний тэн, так как за счет него и идет нагрев во время очистки. Но это дело поправимое. Дизайн хороший. В общем, отрицательного ничего нет, на мой взгляд. Крылышки на гриле превосходные. Выпечка замечательная. Рекомендую.</t>
  </si>
  <si>
    <t>Купил. Пока только могу сказать, что работает не шумно, тянет хорошо. Если включена на какую-нибудь скорость, то при выдвижении фильтра включается автоматически, а если задвинуть - выключается.  Минусов пока не обнаружил.  Заказывал через личный кабинет, получил СМС о том, что товар в магазине, приехал в магазин - получил и всё. Быстро и удобно.</t>
  </si>
  <si>
    <t>2741</t>
  </si>
  <si>
    <t>Работает отлично! Без нареканий! Есть два минуса: 1) немного шумноват 2) не рекомендуется перевешивать с отсоединением шлангов, начинает течь</t>
  </si>
  <si>
    <t>Нормальный кондиционер в своей ценовой категории. Я тоже попал на вибрацию (вчера установили), но сегодня уже все устранил. Смещается компрессор при транспортировке, и клапан касается крышки, которая вибрирует. Просто еще до установки нужно открыть крышку наружного блока и проверить.&amp;nbsp;</t>
  </si>
  <si>
    <t>2156</t>
  </si>
  <si>
    <t>Купила два дня назад, сначала не работали кнопки потом совсем перестал включаться..такая фигня</t>
  </si>
  <si>
    <t>3092</t>
  </si>
  <si>
    <t>Хлебопечка супер! Пользуемся уже два года. Рекомендуем всем! Всегда на столе свежий хлеб.Особенно нравится с добавлением кукурузной муки и овсянных хлопьев.Хотела бы испечь ржаной, но боюсь её испортить. Подскажите, можно ли в этой модели выпекать ржаной хлеб, подскажите рецепт.  Да, ещё хотела бы добавить, что бы получать хорошую выпечку, нужны хорошие электронные весы.</t>
  </si>
  <si>
    <t>Плюсы: Реально спасает в жаркий душный день,мощный,нормальная сборка,показывает температуру,хороший внешний вид,скрипа не слышал!   Минусы: Слишком шумный,спать мешает!</t>
  </si>
  <si>
    <t>Телек отличный! Не знаю какие там шлейфы увидела Елена, но у меня все ок, футбол идет на ура) Большие углы обзора тоже на ура.  Цифровое тв... ну в общем это нечто! Никак не ожидал, что буду смотреть ТВ с таким качеством, с 2-2,5 метров кажется, что это ДВД! На аналоговом сигнале те же каналы смотрятся не намного хуже(на 4+), но все-таки настоятельно рекомендую подключать цифру! Кстати, был приятно удивлен, что мой кабельный провайдер поддерживает тот же стандарт что и цифровой тюнер в этой модели, поэтому не пришлось покупать отдельный тюнер с пультом!(Хотя в магазе напугали что этот стандарт в России не катит!) Из недостатков заметил только невозможность проигрывания видео с флешки. Но это мелочи...  В общем очень доволен(уже как 3 месяца)</t>
  </si>
  <si>
    <t>Родители подарили меньше недели назад пока меня ВСЁ УСТРАИВАЕТ, но батарая ещё не разработалась, но это пройдёт!!! Покупайте не пожалеете!!!!!!! И совсем не перезагружается!!!!</t>
  </si>
  <si>
    <t>Пользуюсь мясорубкой неделю. Все устраивает. Очень качественно изготовлена. Муфта с металлической вставкой. Правда немного шумновата, но с учетом того, что поьзуюсь не каждый день вполне терпимо. Отличная мясорубка за такие деньги.</t>
  </si>
  <si>
    <t>1113</t>
  </si>
  <si>
    <t>плеер отличный! разве что разъём для наушников начал барахлить спустя пол года, но и это от неаккуратного использования!</t>
  </si>
  <si>
    <t>Перегревается и выключается. Долго не мог понять в чем дело. Все программы работают, фильмы крутит на высоком разрешении. Даже в сервисном центре Acer не сразу поняли в чем дело. Только когда провели стресс тест процессора, выяснилось, что процессор в течении 5 мин. доходит до критической температуры 100С и выключается. Причем проблема оказалась серьезной, потребовалась замена деталей.  Тест матрицы еще не делал, не успел. У меня на руках ноут. был несколько дней, а в сервисных центрах уже находится 2(два) месяца.   Конечно привлекает в этой модели цена, процессор, память, графическая карта. Было ощущение, что производитель на чем-то сэкономил, но соблазнился.  Так что советую при покупки и уже купившим проверить на на перегрев ЦП.</t>
  </si>
  <si>
    <t>Дмитрий (Ставрополь)  Насколько я знаю, здесь GDDR5</t>
  </si>
  <si>
    <t>Так же потек. Но гарантия к сожалению прошла.</t>
  </si>
  <si>
    <t>Приобрели данную модель месяц назад - очень довольны!  Вместительный, великолепно выглядит и отлично работает, практически бесшумный.  Не в первый раз пользуемся услугами интернет-магазина М-видео и обслуживание всегда на высоте! Спасибо!</t>
  </si>
  <si>
    <t>2454</t>
  </si>
  <si>
    <t>Купил 8 сентября 2010 года. С огромнейшей радостью пользуюсь по сей день. Волосы в носу выбривает очень ровно и не цепляет их как некоторые аналоги.</t>
  </si>
  <si>
    <t>2365</t>
  </si>
  <si>
    <t>Товар уникальный по соотношению цена-качество, аналоги с фото- каталитической очисткой других именитых фирм начинаются от 15 тысяч.  Со сменными фильтрами в Новосибирске нет проблем, собираюсь закупить парочку про запас...  Качество воздуха в квартирных условиях резко меняется к лучшему, покидать помещение просто не хочется, работает круглые сутки на ручном режиме и малой скорости, на слух едва шелестит. На ночь ионизацию отключаю кажется чрезмерной, ультрафиолетовые лампы, а значит фото-катализ, молотят круглые сутки пережигаю все неприятные запахи.  Первая неделя эксплуатации успешна, только положительные рецензии, весит Vitek VT-2342 на стенке и тихо делает своё дело. Ненавязчив и на мой взгляд весьма эффективен.</t>
  </si>
  <si>
    <t>Приобрёл сначала другую модель, начала тупить на 2-й день, поехал сдал, взял эту, работает замечательно, мощная умная немецкая пушка, не подвела ни разу, абсолютно не капризная в плане сенсора как ряд аналогов, у соседей такая же, вообще без нареканий. Не забивайте голову, кому нужна варочная панель, просто берите эту. Под неё вставил духовой шкаф тоже от Siemens (Siemens HB23GB540), реально доволен этой комбинацией.</t>
  </si>
  <si>
    <t>Средство немецкого производства, качество думаю понятно что крутое.  Ожидаемо работает по удалению жира с металлической поверхности плиты чрезвычайно эффективно.</t>
  </si>
  <si>
    <t>1294</t>
  </si>
  <si>
    <t>1.Дизайн-смотрится офигенно   2.Вес-как папка для документов   3.удобная клавиатура, чувствительный тачпад с хорошим откликом 4.Нормальный для нетбука экран,удобный для работы, а не мелкий   5. Встроенные блютуз,вай-фай, сд-кард-разъем   6.Шустрый в работе, если не загружать его обновлениями виндоус стандартными  Против   1. Два юсб порта по-хорошему-это мало, одного очень не хватает   2. Отсутствие привода,хотя это кому как плюс или минус-вес все-таки основной его плюс. а с приводом столько бы он не весил   3. бледноватые краски экрана,хотя это тоже субъективное</t>
  </si>
  <si>
    <t>Прошел год, а замечания есть. 1. Стирать лучше на 800 об иначе дребезжит. 2. Вещи по малу лучше не класть, стирает нормально, но как доходит до отжима и крутит и крутит пытается баланс поймать чтобы отжим начать. Может долго его ловить. 3. Порой набирает и сливает по нескольку раз, непонятно почему. Ну стирает вроде ничего и отжимает неплохо, ну это пока. Надеюсь свои три года гарантии проработает без поломок.</t>
  </si>
  <si>
    <t>Очень приятная вещь! Купила на подарок другу. Порадовало соотношение цены и качества. Дешевле пока не нашла. Конечно, качество изображения не очень хорошее, но, в принципе, очень даже приемлемое!   Единственное, что меня напрягло при покупке - продавец-консультант вообще не знал, что у этой рамки есть USB-разъем. И когда я его попросила включить рамку и  посмотреть на качество изображения, он сказал, что не может ничего мне показать, потому что карт SD c фотографиями в магазине нет. А у этой рамки нет встроенной памяти. То есть, получается, покупала я немного "кота в мешке".</t>
  </si>
  <si>
    <t>633</t>
  </si>
  <si>
    <t>Уже месяц пользуюсь этим буком. Производительность феноменальная. Практически не греется - очень грамотно сделан отвод тепла. Немного тормозная дисковая система, но после замены системного винта на SSD Corsair эта проблема перестала существовать. Огорчили углы обзора матрицы по вертикали. Приемлемое качество звука (лучше на буках не слышал). Очень легко пачкается и запыляется, требует аккуратного к себе отношения в связи с чем в качестве рабочей лошадки не очень подходит. Поставил оценку 4 только из-за медленных дисков и пачкающегося непрактичного корпуса.</t>
  </si>
  <si>
    <t>в целом добротный чайник,дизайн хороший</t>
  </si>
  <si>
    <t>Купила в июне 2010г. Тогда была акция 12500руб. Взяла последнюю с витрины Отличный дизайн, функциональность на 5 баллов!!! Часто печем, запекаем. Пироги готовит за 10 минут. Пропекает равномерно. Порадовало кол-во протвиней (3шт!!!).Есть щуп для мяса, но до него пока руки не дошли. Очень советую!!!</t>
  </si>
  <si>
    <t>согласен очень хорошая вещь    сегодня иду его покупать</t>
  </si>
  <si>
    <t>Прошел. С каждой минутой становилось все лучше и лучше!  Первая заставка шикарна! Следующие тоже супер. Каждую хочется пересмотреть по несколько раз.  Сначала обычная миссия, потом тебе дают машину... через пару часов игры ты уже наяриваешь в космосе... Безумие просто какое то!  Игра меняется когда у вас появляется Джетпак. Игра становиться абсолютно другой!  Новое оружие! Кстати стрельбу из 2 рук убрали или я просто не понял как брать 2 штуки?  Много интересных мелких деталей =) Одна из них:  - На верхней части брони левой ноги "KAT" интересная надпись типо - Warning xD.  Иногда возникает чувство дежавю. (Мне лично вспомнился Crysis и Star Wars: Battlefront 2, Half-Life 2).  В общем игра хороша. Играть обязательно!</t>
  </si>
  <si>
    <t>Купил такую метеостанцию, и никак не нарадуюсь.  Наружный датчик работает стабильно, сигнал чёткий. У меня даже работает подстройка часов по радиосигналу.  Барометр тоже пока не подводит.  Рекомендую, не пожалеете.</t>
  </si>
  <si>
    <t>Купил маме, за такие деньги ничего лучше не нашел.  Собран добротно, не люфтов ни скрипов, удобный плеер, поет с закрытой крышкой, показался более понятный интерфейс по сравнению со старыми моделями (SGH).  Мама довольна, разобралась во сем сама!    Минусы: нет флешки в комплекте (+300р), как всегда отвратные наушники.</t>
  </si>
  <si>
    <t>С появлением дома маленького ребенка задумались о блендере, как все нормальные люди - хотели купить недорогой, качественный и с хорошим функционалом и чтоб не только для малыша пригодился...и мы такой нашли. Не скажу что пользуюсь им каждый день, но раза 2-3 в неделю приходит ко мне на помощь. Чаще всего пользуюсь терками: и лучок потрешь, и морковочку, и свеколку - все же проще чем вручную, и без вреда для нежных женских ручек и маникюра. Для замеса теста и взбивания использую его всегда, когда это возможно. Пюре малышу пока не готовила, но скоро начну вводить прикорм - там будет видно. В общем данный агрегат на кухне мне упрощает готовку, я довольна покупкой. В магазине нам предложили купить доп.гарантию, сказали что там много пластиковых деталей и он не надежен, мы отказались. Сейчас к сожалению во всех блендерах куча пластика - если не снаружи, так внутри. Был конечно один неприятный инцидент, муж готовил суп-пюре...и он у него отключился. Но потом он остыл и снова заработал. С тех пор муж читает инструкции ко всей технике =) И другим я тоже советую перед эксплуатацией прочитать внимательно инструкцию, особенно раздел о рекомендуемом времени использовании разных насадок с разными продуктами и необходимыми перерывами в работе.</t>
  </si>
  <si>
    <t>Щипцы хорошие, правда нагреваются действительно очень медленно, но зато такими щипцами не сожжешь волосы, т.к. температура нагрева не превышает 150 градусов. Я думаю цена и качество соответствуют. Я очень ими довольна!!! Тем более что сам нагревательный элемент керамический.</t>
  </si>
  <si>
    <t>Очень шумный. Долго кипятит воду.</t>
  </si>
  <si>
    <t>плеер вполне понравился!текст в книге виден отлично. фото вполне хорошее для такой камеры. единственный минус- не контачит с хард драйвом</t>
  </si>
  <si>
    <t>Купил плиту год назад. Отличная плита! Долго выбирал и остановил свой выбор на этой модели.  Электророзжиг - очень удобный, уже забыл где в доме спички лежат :)  Гриль и вертел - отлично работают, птички на гриле получаются очень вкусные!  Духовка нареканий тоже не вызывает - хочешь пеки, хочешь запекай - всё получается!</t>
  </si>
  <si>
    <t>2367</t>
  </si>
  <si>
    <t>очень хороший набор! Не могла найти подходящую сумку для своего фотоаппарата H20-го. То слишком маленькая, то слишком большая...... Подошла к консультанту М-Видео, и он мне посоветовал этот набор. сначала отнеслась скептически, - зачем мне такой довесок впридачу, да еще и за штуку с лишним. Но потом все-таки решила купить. и ни разу еще не пожалела: сумка олтичная, тряпочка для экрана - слов нет, штатив - тоже вещь весьма полезная, особенно такой компактный. Для семейных фото - идеально. Вообщем: скупой платит дважды, а не скупой- сразу купит себе такой набор. Поверьте, он - то, что надо!)))))))</t>
  </si>
  <si>
    <t>Ерунда это полная. Межблочники так вообще некачественные! При вскрытии упаковки два тюльпана сразу отвалились. Два других в процессе установки! Советую все комплектующие покупать по отдельности!</t>
  </si>
  <si>
    <t>Машинка отличная, для меня как для новичка вообще находка. Строчки прокладывает ровные,порадовало количество лапок и количество строчек впечетляет.</t>
  </si>
  <si>
    <t>Весы хорошие, сборка и точность на пятерку. Слегка может грубоваты, если сравнивать с современными электронными тонкими, но эти у меня давно, устраивают, всегда точны, грех жаловаться. Выставила их в комнате по нулю в одном месте и они всегда четко показывают вес. Механика всегда прослужит дольше. Да и батарейки не надо менять постоянно) Легкие, занимают не так много места, имеют приятный дизайн. Нельзя не оценить их цену, она была на момент покупки весьма приемлема! Очень рекомендую, если для вас погрешность в 1 кг не играет особой роли и вы не гонитесь знать свой вес до граммов.</t>
  </si>
  <si>
    <t>372</t>
  </si>
  <si>
    <t>вообще-то неделя с понедельника начинается не только в филах, это американская система, просто видимо для нас ее только русифицировали и все, в моем прошлом симнсе тоже неделя начиналась с воскресенья</t>
  </si>
  <si>
    <t>Игру купил в октябре 2010 года, всю прошел, понравилась, все еще работает диск не царапается.</t>
  </si>
  <si>
    <t>Превосходная машина, HDD 2Tb NTFS на УРА, MKV без проблем.</t>
  </si>
  <si>
    <t>Показывают точный вес, особенно, если стоят на твердой поверхности. Пластиковый корпус позволяет их очень легко мыть, а кроме того, они легкие по весу. Красивый оригинальный дизайн, красный цвет с приятным принтом. Максимальный вес 130 килограмм, хорошо, что до максимума мне еще очень далеко. Стоят недорого, покупкой вполне довольна.</t>
  </si>
  <si>
    <t>Покупали перед поездкой на отдых. Консультант посоветовал эту модель, как отлично держащий температуру. На практике так и оказалось - держит тепло очень хорошо, даже по истечении суток. Очень удобный, компактный. Термос не дешевый, но свою стоимость полностью оправдал. Покупкой очень довольны.</t>
  </si>
  <si>
    <t>Очень довольна машинкой! Выбирали наиболее бесшумную, т.к. готовились к появлению малыша, и не ошиблись. Стирает и отжимает очень тихо, есть режим "Ночная стирка". А еще очень удобно наличие экспресс-циклов, когда белье не сильно загрязнено и долго его стирать нет смысла. В некоторых режимах есть удобная функция: если вы не успели после окончания стирки достать белье из машинки, она будет периодически прокручивать барабан до тех пор, пока вы ее не выключите.  Машинка у нас уже около полугода. Стираю очень часто - почти каждый день. И до сих пор никаких неполадок в ее работе не было.</t>
  </si>
  <si>
    <t>Замечательный комп. Работает тихо, без тормозов, причем работает круглосуточно и не особо греется. Поставил только вместо туповатой Висты Windows7 и форматнул винт (жалко отдавать 16 гигов под ненужный скрытый раздел). А если учитывать, что я комп успел купить по акции за 6990р. - то вообще предел мечтаний. Порубил монитор 22" через DVI, и для фильмов  протянул к телеку 37" HDMI и оптику на акустику. Теперь вообще супер!!!</t>
  </si>
  <si>
    <t>Очень интересная игра,есть режим на два игрока.Сам играл с братом.</t>
  </si>
  <si>
    <t>И еще по мимо зависаний, у меня они каждый день при первом запуске спустя 10-15 минут, так что теперь мы загружаемся и сразу перезагружаемся  да да бред конечно полный, но второй старт у меня без зависаний, после выхода компа из режима сна, кулер начинает раскручиваться все быстрее и быстрее, и опять же помогает только перезагрузка!!!</t>
  </si>
  <si>
    <t>Плита отличная, моется легко. Огромный плюс за чугунную решетку и ее резиновые ножки. Выбирал специально с боковым расположением ручек включения, т.к. холодильник стоит справа от панели (во избежания нагревания).</t>
  </si>
  <si>
    <t>Судя по характеристикам, отличный блок! Вот только, у тех кто собирал его, руки не решились поставить видео - карточку...С ней он был бы вообще шикарен! Но, всё же Видеокарта PCI - E, в наши дни стоит не дорого! Можно, и после установить, причём на своё усмотрение!..</t>
  </si>
  <si>
    <t>1666</t>
  </si>
  <si>
    <t>Отличный водонагреватель, только если у вас маленький санузел (как у меня), то обратите внимание, что он огроменный - 80 литров это не шутки :) Зато воды хватает надолго, мыться - не перемыться.</t>
  </si>
  <si>
    <t>Закончилась гарантия (2года)и утюг сломался,до этого был Тефаль работает до сих пор.</t>
  </si>
  <si>
    <t>Очень понравилась игра и мультиплеер, можно купить обычную игру а можно и эту, я купил эту  и не жалею, тут есть доп. 4 карты для зомби ну и прикольная медаль=)</t>
  </si>
  <si>
    <t>Приобрела данную машинку 3 года назад, правда по более привлекательной цене 7500 р. До этого была подобная модель, только без информационного окна (оставила ее на съемной квартире, продав арендодателю). Соглашусь с последним отзывом, что машинка шумная, но для меня это вообще не критично. Я ее слышу только при отжимании. Из за своего легко веса прыгает по ванной, ремонт там не очень и пол не ровный. Но опять же легким толчком бедра ставится на место. Сломался один раз насос откачивающий воду, по  моей вине. Засосало носок, поэтому мелкие вещи теперь стираю в мешках для стирка, впредь будет наука. Ничего лишнего нет. Нравятся режимы стирки дополнительные: джинсы, спорт, шерсть, 15 минутная стирка. Для колготок просто прелесть (не люблю стирать в ручную). Замена насоса обошлась в 3000 вместе с работой, причем стоимость насоса составляла меньшую часть суммы (если есть руки то можно починить самостоятельно, это оказывается довольно частая поломка у стиральных машин). После поломки хотела купить новую, но после кризиса цены сильно выросли, поэтому ремонт оказался целесообразнее.  Конечно, если возможность, лучше брать машинки потяжелее, но в моем случае это оказалось невозможным и данная модель хорошо помещается в ванной комнате размером 1,5 на 1,5 вместе с ванной и раковиной.</t>
  </si>
  <si>
    <t>отличный плеер, жаль только книги только в TXT, а FB2 не поддерживает.</t>
  </si>
  <si>
    <t>У нас такой чайник уже 7 лет, отличная вещь. Сейчас собираюсь приобрести точно такой же, потому что по прошествии 7 лет в прозрачной вставке появилась трещина, начал подтекать, а так нареканий вообще никаких, отличный чайник, прост в эксплуатации.</t>
  </si>
  <si>
    <t>Чайник проработал ровно год и умер.Мало того, что он шумел как реактивный двигатель.Потекла вода на хвостик-выключатель. Недоразумение, а не чайник. Буду покупать чайник другой фирмы. А такой чайник никому не советую приобретать.</t>
  </si>
  <si>
    <t>подарила своему отцу-пенсионеру этот чайник 3 года назад. Предупредила, что антинакипином нельзя чистить - только лимонной кислотой.  через 1,5 года он про это забыл и почистил ((   чайник стал барахлить, но грел  отец попросил другой чайник ему купить. Купила сначала железный красный - красивый-красивый на мой взгляд.  Он ему не подошел: уже привык, что в стеклянном чайнике уровень воды со всех сторон видно. Да и вес поменьше.  В общем, пришлось еще один такой же покупать.  ПыСы: никакого дурного привкуса у воды нет, запаха тоже. Крышка нормальная. Чайник хороший</t>
  </si>
  <si>
    <t>Вообще игра очень интересная,с хорошей графикой и увлекательной сюжетной линией.  Всем любителям игр такого типа и коллекционерам рекомендую!</t>
  </si>
  <si>
    <t>Этот телефончик стал моим буквально 3 часа назад. Телефон просто отличный, очень качественный корпус, никаких люфтов нет, четкая камера, классный тачскрин, хоть и перед айфоном проигрывает конечно, но явно выигрывает у моделей Nokia и LG того же класса, т.к он емкостный, а не резистивный. Скорость работы довольно хороша, по крайней мере имхо получше, чем на той же Нокии 5530. Т.к выбирал телефон я еще и по музыкальным возможностям, тут у 5560 все в порядке - довольно много эквалайзеров, но к сожалению, сами вы его настроить не сможете - просто никак. Тем не менее, лично я нашел подходящий под себя :) Звук довольно сочен даже на комплектных затычках, так что если собираетесь докупить хорошие наушники(sennheiser cx200, cx300) то точно останетесь довольны!  Еще очень понравился дизайн телефона, - он спокоен, без лишних понтов, в общем - класс!  Как итог, могу сказать, что телефон (по крайней мере по первым впечатлениям) просто идеальное соотношение цены\качества, чего не скажешь о многих других, более дорогих аппаратах. Так что если вы ищите как раз такой вариант, я думаю этот телефон вам без сомнений понравится!</t>
  </si>
  <si>
    <t>2016-09-23</t>
  </si>
  <si>
    <t>Хочу поделится своим отзывом,так как это до этого была мясорубка,ну она не справлялась с мясом и вечно перегревалась,купил эту модель очень нравится,с мясом справляется легко,кнопка реверс,что очень удобно.ну и конечно классный дизайн.кенвуд как всегда на высоте.</t>
  </si>
  <si>
    <t>Мне нравится, пользуюсь уже 2 года, в основном на охоте, хорошая функция радио-няня в ней очень чувствительный датчик к звуку. Расстояние нормальной связи за городом 2-3 км. Мне хватает.  Аккумуляторы тока купил помощнее.</t>
  </si>
  <si>
    <t>дешевый</t>
  </si>
  <si>
    <t>Отличный фен! Можно укладывать и  короткие, и длинные волосы. Волосы не секутся, за счет неметаллической расчески. Цена приемлемая.</t>
  </si>
  <si>
    <t>Качественная вещь. Зимой - чай, летом - лед, на второй день даже не растаял.  Всем советую.</t>
  </si>
  <si>
    <t>минус вытяжки в том, что всегда горит свет, когда, даже тебе он не нужен при работе вытяжки.</t>
  </si>
  <si>
    <t>Купила, чтобы делать ребенку пюрешки, а он сломался на второй день... Обидно!!!(((</t>
  </si>
  <si>
    <t>Подписываюсь под всеми положительными отзывами, изложенными ниже.Буду лаконичен - прекрасный ноутбук!    P.S.  Маленькая поправочка для недовольных:  объем кэша у  ASUS K70IC с процессором  Core2Duo P7450, который, собственно, и  составляет предмет  отзывов на данной страничке, -  3 Мб; 1 Мб кэш - это параметр моделей ASUS K70IC  c кодом процессора T6600 или T4400, а  уж  никак не P7450. Так что один из здешних отзывов - не совсем по адресу. С уважением...</t>
  </si>
  <si>
    <t>купил себе такую месяц назад-не нарадуюсь. работаю в мясном магазине-рога,копыта, хвосты, бивни перекручивает на УРА!!!))))) все покупатели нашего фарша довольны!!!!! не шумная и не требовательна к обслуживанию.</t>
  </si>
  <si>
    <t>Cегодня купил. Помол отличный, равномерный. Главное, удобная съемная чаша, легко пересыпать кофе и мыть после помола, не используя весь корпус. Сборка качественная, отличный дизайн. Работает без перегрева и запаха пластмассы. Недорого и качественно. Рекомендую.</t>
  </si>
  <si>
    <t>Пылесос просто отличный!!! Такого мощного пылесоса не было у нас никогда. А еще он стильный и удобный!</t>
  </si>
  <si>
    <t>1702</t>
  </si>
  <si>
    <t>Охлаждает обалденно. Функций оказалось намного больше, чем указано на сайте. Вобщем советую. За такую цену - отличный кондиционер.</t>
  </si>
  <si>
    <t>Купили этот пылесос, чтобы можно было быстренько собрать песок у порога и в квартире бегом с этим пылесосом по коврам пробежаться, есть Томас с аквафильтром, но пока его соберёшь, а потом еще и мыть после всего и сушить, то сума сойдешь, чтобы один ковер в прихожей почистить. Пылесос меня удивил, очень мощный!!! Правда оценку снизила за шум, я уже отвыкла от такой гудящей техники.</t>
  </si>
  <si>
    <t>Отличный увлажнитель!!! Очень тихо работает,много режимов, дышать стало в комнате явно легче,под утро нет заложенности и корочек в носу. Гости сразу заметили что воздух стал приятнее в комнате!+приятный дизайн! Всем советуем</t>
  </si>
  <si>
    <t>Чуть ниже я уже писал свой краткий отчет(ноут просто класс в своей ценовой категории), а во вторых мой знакомый возвращает уже третий ноут в магазин причем цена его покупок составляет минимум 40 000т.р. Я это к тому, что у любого производителя есть брак.Так что если кто еще не купил данную модель очень даже рекомендую, а если руки растут из того места, то и бук будет работать нормально.  P.S Сочувствую тем, кому попался товар с браком, но это не говорит, что HP которая на рынке с 1935 года выпускает фуфло и еще кто-то тут писал, что есть щели и т.д на буке, а куда же вы глядели уважаемый при покупке у меня допустим нет никаких щелей .</t>
  </si>
  <si>
    <t>3199</t>
  </si>
  <si>
    <t>Владею таким чайником уже 6 лет, ни одного нарекания.  Выручал где только возможно.  Малый вес и размеры - на одну чашку.</t>
  </si>
  <si>
    <t>Для пылесоса подходят пылесборники Menalux 5100 - длинная сторона держателя точно соответствует посадочному месту пылесоса, хотя мешок больше по размеру, при первом использовании он занимает весь объем отсека, и проблем не возникает. Плюс мощьность пылесоса с матерчатым пылесборником выше, чем с контейнером.</t>
  </si>
  <si>
    <t>Вся семья (4 человека) пользовались почти 3 года.</t>
  </si>
  <si>
    <t>2255</t>
  </si>
  <si>
    <t>2011-11-16</t>
  </si>
  <si>
    <t>-Пользуюсь месяц!  -Понравился и купил, в обычные дверные проходы не проходит (подъездная и квартирная) т.к. самая худая сторона 72 см, пришлось снимать дверцы и цифровой дисплей после съема 64-65 см (легко снялись и оделись).   -Уровень шума - как системный блок(компьютер), чуть потише.   -Тип освещения - радует в ночное время.   -Вроде всем хорош,... самое главное нужно учитывать его габаритные размеры, чтоб не попасть в неудобную ситуацию.</t>
  </si>
  <si>
    <t>Машина в общем и целом очень хорошая: и скорость работы и принцип управления - все здорово. Один существенный (или не очень, если никого им не тревожите) минус - шум... Уж больно тарахтит когда пропускает воду. В целом, за эти деньги очень хорошо.</t>
  </si>
  <si>
    <t>Пользуюсь устройством с сентября месяца. Из плюсов, это пульт (очень удобен), большой экран,разъем под микроSD, зарядка микроUSB (легко найти, а аккумулятор садится очень быстро). Из минусов Греется очень сильно при запуске простых игр, а иногда тупо от того что сидишь в интернете, сжигает микроSD карты (уже 2 выкинул), Вконтакте не отправляет сообщения, лечится только выключением/включением интернета (и то не всегда), скользкий, качество корпуса низкое, в первый месяц уже 3 скола, надпись самсунг на задней крышке отвалилась за 2 месяца, когда говоришь по телефону звук динамика отдается в палец, камера в слабоосвещенном помещении снимает ужасно,на мой взгляд не оправдал свою стоимость.</t>
  </si>
  <si>
    <t>На днях подарили данную кофеварку, кофемашиной назвать не могу! Эспрессо готовит, как в капельной кофеварке, кофемолка мелит плохо, помол получается крупным, как бы не менял настройки. Не рекомендую</t>
  </si>
  <si>
    <t>Мощный</t>
  </si>
  <si>
    <t>2011-08-19</t>
  </si>
  <si>
    <t>Пользуемся месяц, моет вполне хорошо и почти бесшумно. Машина проста в использовании. Поначалу пользуясь целыми таблетками, заметили что остается пена на дне машины даже после длительного цикла. Теперь одну таблетку делим на 2 раза и проблема исчезла. Чаще всего используем цикл №2 (нормальная мойка - также для кастрюль и сковородок подходит) и №5 (эко-мойка). Один небольшой недостаток - держатели посуды в нижней корзине не складываются, что усложняет раскладку посуды. Рекомендуем.</t>
  </si>
  <si>
    <t>2014-11-16</t>
  </si>
  <si>
    <t>Хорошая плита, все работает хоршо - часы-таймеры-автоподжиг-конфорки-подсветка. Есть даже запасные форсунки в комплекте. Выглядит хорошо, нержавейка (защищенная наклейками), собрано добротно, ровно. Однако есть мелкие конструкторские просчеты - кнопка включения и регуляторы газа слегка люфтят, поддоны и ящик для принадлежностей выезжают со скрипом и визгом. Если сравнивать с автомобилями, то это Шевроле на фоне Мерседеса. Ценник уже взрослый, а недочеты присутствуют и не в единичном количестве. В целом хорошая вещь, но придраться есть к чему.</t>
  </si>
  <si>
    <t>2012-12-26</t>
  </si>
  <si>
    <t>Только блендер Борк В800, и только он! Советую всем! Незаменимый помощник для любой хозяйки - поколоть лёд, порубить мясо, приготовить изумительные коктейли и пюре - всё сделает в лучшем виде! Вместительный кувшин 2 литра, очень легкий, качественные ножи - смело мельчит даже замороженные продукты. Скоростные режимы подсвечиваются, дизайн великолепен - подруги завидуют!</t>
  </si>
  <si>
    <t>Игра отличная на много лучше чем PES 11 ВСЕМ СОВЕТУЮ А PES 11 БРЕД ПОЛНЕЙШИЙ</t>
  </si>
  <si>
    <t>Прочла все отзывы и поняла - все зависит от хлеба! Мне тостер очень нравится! И реально - что-то не прожаривает и на 6, а что-то сгорает на 3. Надо приноровиться под разный хлебушек просто. А круассаны подогревает шикарно!</t>
  </si>
  <si>
    <t>2193</t>
  </si>
  <si>
    <t>Купила эту модель исключительно из-за хороших отзывов,несмотря на то,что сами продавцы все как один ее не рекомендовали,а впаривали,что на порядок дороже: elektrolux и bosch,можно подумать за такую цену,сколько они стоят, у них барабан золотой.  Главное,что требуется от посудомоечной машины,чтобы она хорошо мыла. Эта модель моет хорошо как на быстрой мойке,так и на остальных двух. А больше программ и не требуется. С первого раза отмывает почти весь жир с внешних частей кастрюль.Хорошо отмывает сковороды,противень. После мойки посуда чистая,сухая и без разводов.А что еще нужно?  Если не хотите переплачивать деньги за марку и ненужные навороты,приобретайте Indesit.    Недостатки:хотелось бы,конечно,чтобы работала потише,но я просто на кухню в это время прикрываю дверь.</t>
  </si>
  <si>
    <t>2016-06-28</t>
  </si>
  <si>
    <t>Мне очень нравится эта духовка. Все хорошо пропекается, причем реально со всех сторон. Очень удобно зажигать электроподжигом.</t>
  </si>
  <si>
    <t>Двигатель умер через два месяца, более 1ч не стирали.</t>
  </si>
  <si>
    <t>Год эксплуатации - потек!</t>
  </si>
  <si>
    <t>Этот пылесос сплошная заморочка, больше всего в нем мне не нравится:  1.  то что трубки для воды крепятся на телескопическую трубку, это очень не удобно;  2. шнур питания не втягивается его надо обматывать вокруг пылесоса;  3. очень шумный;  4. мыть его очень не удобно, пока отмоешь сам пылесос, в ванне опять нужна уборка.  Никому не советую покупать этот пылесос, очень неудобная вещь!</t>
  </si>
  <si>
    <t>Купили ровно три года назад такую машинку.Всё, теперь настирались, тормозит по полной,все кнопки моргают и стоит на месте,с водой и бельём!</t>
  </si>
  <si>
    <t>2013-11-22</t>
  </si>
  <si>
    <t>Плюсы: готовили фри и фондю, уже много раз, все получается вкусно и быстро. При приготовлении фри не требуется много масла. Минусы: 1)не очень удобная для мытья чаша; 2) достаточно короткий сетевой шнур (0.9 м). Так как в процессе приготовления и употребления фондю оно должно постоянно подогреваться, то нужна розетка прямо рядом со столом, впрочем электрический удлинитель решает эту проблему. Итог: за свою стоимость хорошая вещь</t>
  </si>
  <si>
    <t>Данная соковыжималка, не просто качественная, а идеальна, учитывая ее стоимость. Я выжимала в ней десять и больше килограммов яблок в осенний сезон для консервирования и она не только все выдержала, но и осталась как новенькая.</t>
  </si>
  <si>
    <t>Купил недавно, однако, уже смог ощутить все прелести данной модели.  ELECTROLUX -это марка с большой буквы убедился давно. Из минусов - жаль, что нет термометра.   Очень приятный дизайн.</t>
  </si>
  <si>
    <t>Модель, в целом, не плохая. Когда его покупали - то хотели именно пылесос с контейнером для сбора пыли, а не с мешками. На практике же всё вышло наоборот: для нормальной уборки с контейнером приходится выставлять регулятор мощности на максимум, а при использовании мешков достаточно и половинной мощности. Пользуемся мешками для сбора пыли.  Очень сложно найти HEPA фильтр H12 (сменный)в магазинах М. Видео. Уже полгода везде говорят, что "были, но закончились". Буду обращаться в СЦ Bosch.</t>
  </si>
  <si>
    <t>Пользуюсь уже около пяти лет, ни разу не ломался, отлично жарит тосты, а главное равномерно. Есть функция разморозки (когда хлеба много напеку в хлебопечке, часть храню в холодильнике). Только пластиковый кружок вокруг кнопок от постоянного нагрева раскрошился, но на производительность никак не повлияло. Нержавейка, конечно, ляпается, но для тостера пластик использовать никак нельзя!!! Очень довольна покупкой!!!</t>
  </si>
  <si>
    <t>Самое главное достоинство - цена, котел+гарантия на 3 года (очень полезно для подобной техники). Для особо одаренных на коробке есть разметка как вешать, где сверлить, куда ввинчивать (анкерные болты в комплект не входят), что так же очень предусмотрительно со стороны производителя, достаточно приложить к стене где решите его разместить - и ву-а-ля, сантиметр даже не понадобится. При режиме нагрева 2-вода горячая не требующая разбавления, комфортно мыть посуду, умываться, принимать душ; при 3 - хватает на ванну и душ; 4 и 5 практически не включаем. Семье из 3х человек вполне хватает. Пользуемся только месяц, но очень довольны - нагревает быстро, тепло держит долго, ничего нигде не протекает. Единственный минус - тумблер для выключения котла находится под крышкой - достаточно неудобно, если есть необходимость переодически выключать его от сети.</t>
  </si>
  <si>
    <t>давно хотел себе плеер с поддержкой текста)выпросил у друзей подарить мне на др именно тексетовский плеер.ппц сутки юзаю и по окончании этих суток(за которые я успел уже дважды его полностью разрядить и зарядить) он глюканул ничего не работало выключить не мог нажал на ресет..теперь не включается)но если этого косяка не учитывать на 4 с минусом потянет)</t>
  </si>
  <si>
    <t>3116</t>
  </si>
  <si>
    <t>звучанием удовлетворен более чем полностью, на среднего класса аппаратуре отыгрывают на все 100%. очень точный, иногда слегка "густой" бас, замечательная передача вч диапазона. отлично подходят для динамичной музыки, с классикой не очень.</t>
  </si>
  <si>
    <t>Чайник очень понравился - работал быстро, тихо, запаха пластика нет, но через 4 месяца перестал включаться. Поменял на другой такой же, так как он мне нравился. Но и новый через полгода перестал включаться.</t>
  </si>
  <si>
    <t>Отличный помощник, гладит все вещи, из любой ткани и с первого раза. Можно гладить долго без доливания воды. Я очень рада такому приобретению.</t>
  </si>
  <si>
    <t>Был braun 7921 хорошо работал, меня все устраивало. Но он упал и перестал работать. По мовету продавца взяла rowenta, и была удивлена. Боли при эпиляции на ногах стало гораздо меньше, можно сказать, что и нет ее. Зона бикини обрабатывается отлично, а главное холодный воздух от вмтроенного вентилятора в зоне бикини просто находка. Я в восторге!</t>
  </si>
  <si>
    <t>Мне понравилась!  И мощности достаточно даже для густых волос - самое главное не пересушивает и дает спокойно сделать укладку.</t>
  </si>
  <si>
    <t>Крышки на контейнерах пароварки , действительно, трескаются мелкими лучиками. Чем дальше, тем их больше. А самое неприятное , что их не заказать . По крайней мере, комплект сразу из 3 штук. В одном сервисе их нет в наличии, и нет на складе Москвы. В другом только большая крышка. Так что с наличием комплектующих товаров/деталей у BORK туго. Советую приобретать другую модель</t>
  </si>
  <si>
    <t>Простая в использовании, острые ножи, тихая работа</t>
  </si>
  <si>
    <t>Приобрела данную панель весной 2010г в магазине М.Видио. Установить удалось через месяц после покупки. Разочарована полностью. Во-первых покрытие оказалось не эмаль, а порошковая краска, на которой остаются пятна, а после чистки спец.средством проступают обратно. Во-вторых через несколько месяцев вышел из строя клапан автоподжига, по гарантийному талану вызывала мастера неоднократно.</t>
  </si>
  <si>
    <t>2015-08-01</t>
  </si>
  <si>
    <t>Брал не более месяца назад. Для рыбалки, с сыном любим поспинговать, иногда помощь требуется, приходилось кричать на всю округу. Проблем нет. Брал на Волгу. По воде до 3 км, дальше не пробовал. В комплекте было все. Не проверял в магазине, но явно что упаковка была нормальная. Не совсем понятно, как определить, что аккумуляторы зарядились. Просто горит красный и все. В инструкции ни слова. Все же стараюсь заряжать другой зарядкой, там все видно по индикаторам. Собираюсь прикупить аккумуляторы большей емкости. Все же 600 маловато. Да и запас на выездах не помешает. А вообще, по соотношению цена-качество поставлю пятерку. Получил абсолютно ожидаемый результат. И габариты минимальные.</t>
  </si>
  <si>
    <t>Очень красивый чайник,но через полгода пользования размахрилась металическая сетка поршня,поршень перестал резвинчиваться и невозможно стало его промыть,а там-травяной мусор.Это очень большие проблемы поршневых чайников,я думаю.Долго выбирала и поняла,что есть только один подходящий для меня Vinzer-69364 со стаканчиком из нержавейки. Больше года им пользуюсь,очень довольна!</t>
  </si>
  <si>
    <t>730</t>
  </si>
  <si>
    <t>Для холодильника за такую цену патологическое несовпадение фиксирующих крючков на задней стенке с полками в холодильной камере - полный позор. Сразу ощущается веяние Тайланда. Остальное вроде нормально.</t>
  </si>
  <si>
    <t>Телевизор отличный, звук хороший, цвета яркие, переключает с канала на канал примерно в течение 2 сек, ну это терпимо. Я очень довольна!  Твердая 5+</t>
  </si>
  <si>
    <t>305</t>
  </si>
  <si>
    <t>Купили недавно, супер ноут!!! За такую цену ноут с 3 гигами оперативы, мощной видюхой, винтом на 250гг и неплохим процем в одной шкурке найти сложно, мне кажется что покупка идеальна!</t>
  </si>
  <si>
    <t>121</t>
  </si>
  <si>
    <t>Пользуюсь ими уже 1.5 года, самые долговечные наушники которые у меня только были (а было у меня их огромное количество), звучание отличное. Сколько раз я их тянул, растягивал, садился на них и все равно работают. Пожалуй лучшие наушники из разряда "вкладышей".</t>
  </si>
  <si>
    <t>неделю назад приобрел этот телефон,покупкой очень доволен,конечно смущает немного цена,13500р,понравилась и комплектация,есть все...кабель,переходник для флэшки(8гигов),отличное звучание музыки,большой яркий дисплей,яркая вспышка.Ну и маленькие недостатки,нету оригинального кожанного чехла на него,и задняя крышка,чуть ли не скрипит,есть небольшой люфт.</t>
  </si>
  <si>
    <t>25</t>
  </si>
  <si>
    <t>Достоинства: Хорошо работает в целом, хорошая сборка, долго держит зарядку. Хорошая комплектация, возможность игры вдвоём.    Недостатки: Работают не все игры, в том числе Contra Hard Corps - очень жаль. Но некоторые игры чинятся принудительно.</t>
  </si>
  <si>
    <t>2013-03-12</t>
  </si>
  <si>
    <t>Незаменимый помощник на кухне!! Пользовалась им очень часто в течение 7 лет.Несколько дней назад он сгорел, завтра куплю такой же;-)</t>
  </si>
  <si>
    <t>Юзаю уже 10 месяцев, кроме обычных глюков Windows Mobile есть только пара недостатков - слабые хард-кнопки (центральная круглая у меня уже умерла, остальные неинформативны -не чувствую щелчка при нажатии, колесо прокрутки вообще живет собcтвенной жизнью).  Камера - отстой, чувствительность матрицы низкая, поэтому снимать более-менее пристойные кадры можно только на ярком солнце (вспышки, подсветки, автофокуса - нет).  Из плюсов - автокомплект (использую в качестве автонавигатора регулярно), хороший экран, запасной стилус в комплекте, немаркая матовая задняя крышка, хорошая сборка - люфтов нет вообще, 3G интернет, Wi-Fi, приличный аккум.</t>
  </si>
  <si>
    <t>Машинку купили недавно, и из минусов только то что не знаешь на каком этапе стирает, а так очень нравится. Поставили на кухню,совсем не пахнет порошком, шумит средне, отстирывает отлично. В общем за такую цену купили очень хорошую машинку. И кстати если почитать инструкцию повнимательнее, то там написано приблизительное время стирки.</t>
  </si>
  <si>
    <t xml:space="preserve">Плитка замечательная.Она у меня уже 5 лет, и разогревается быстро, и размеры небольшие. </t>
  </si>
  <si>
    <t>Пользуюсь полгода - полный восторг!! Так быстро делает супы-пюре и коктейли, особенно здорово измельчать лук и морковь для супов! Нет мороки и терок, маме подарила такой же! Берите, не пожалеете!!!</t>
  </si>
  <si>
    <t>Полная лажа. Блютуз не работает, после некоторого времени работы с диском отказывается читать и пишет об ошибке, в результате приходится полностью перезагружать что ведёт к полному сбросу всех параметров. Меню на русском только в ДВД и то несколько параметров. Все остальные настройки на английском. При воспроизведении музыки с диска прочитать название песен можно только имея с собой лупу. Очень неудобная навигация. Чтобы разобраться с пультом, нужно рядом иметь подробную инструкцию. Единственное что не вызывает нареканий- это работа радио</t>
  </si>
  <si>
    <t>3078</t>
  </si>
  <si>
    <t>Очень хорошие наушники довольно мощные для своего маленького размера.  Уже целый год с ними хожу и никаких проблем. Я очень доволен )))</t>
  </si>
  <si>
    <t>Машинкой довольна.Стирает тихо и можно регулировать режимы работы.Минусы тоже есть.Нет дополнительного полоскания.Куртки стирает плохо.</t>
  </si>
  <si>
    <t>Отличная плита, как было сказано выше-газ немного шумит,но к этому можно привыкнуть. Духовка печёт великолепно! И к тому же-очень симпатично смотриться. Наша Семья очень довольна,рекомендуем!!!</t>
  </si>
  <si>
    <t>Плюсы описывать не стану, их все видят сразу, а вот над минусами стоит подумать. Пользуюсь ноутом 2-ой день и вот что заметил: Если нажать Fn и кнопку право/лево, то есть яркость прибавлять/убавлять дисплей начинает подозрительно жужжать, гудеть или я не знаю, как это назвать.... если поставить среднюю яркость и опустить дисплей градусов на 25 относительно клавы, то это самое гудение становится ещё громче... Днем не слышно конечно, а вот вечером, когда вокруг полная тишина, начинает немного подбешивать. Попробуйте кто-нибудь тоже самое, может у меня только такой глюк.</t>
  </si>
  <si>
    <t>2015-04-08</t>
  </si>
  <si>
    <t>Купили этот сэндвич-тостер недавно.  Работает хорошо, все пропекается и прожаривается. Не подгорает. Пока вообще никаких проблем не возникало, вся семья довольна.</t>
  </si>
  <si>
    <t>Привет всем.   Пользуюсь недавно. Пока привыкаю. Системой очистки еще не пользовалась. Нравится, что три стекла, то есть невозможно обжечься. Дверца нагревается, но терпимо, удобно, у кого есть дети.  Покупала во время акции, с большой скидкой, очень торопилась, все думала, почему люди не расхватали с тремя стеклами, с системой самоочистки и за бесценок!!!</t>
  </si>
  <si>
    <t>хорошая производительность, качество сборки</t>
  </si>
  <si>
    <t>Читала об этой модели довольно таки неоднозначные отзывы – мол, при хорошем нагреве и долгом поддержании тепла некачественная пластмасса (быстро выходит из строя). Но цена, внешний вид и куча других достоинств перевесили. Но когда покупала – придирчиво смотрела, как там что работает и как пластмасса выглядит. В целом, хочу сказать, что всё очень достойно и поводов для беспокойства не нашла. В общем-то это подтвердилось и при эксплуатации. Термопот быстро нагревает воду, хорошо  поддерживает температуру, никаких посторонних запахов не появляется даже если вода долго стоит. Корпус не нагревается. Большой плюс – симпатичный дизайн и удобный налив воды. Помпа работает, клапан тоже, ничего не протекло и не сломалось … т-т-т…</t>
  </si>
  <si>
    <t>Панель нормальная, но у меня после помывки остаются пятна</t>
  </si>
  <si>
    <t>Хорошая и надежная модель! вчера только пылесборник очищал! отлично работает! советую всем покупать! Рекомендую</t>
  </si>
  <si>
    <t>2016-05-21</t>
  </si>
  <si>
    <t>Телефон сделан  качественно, простой и в тоже время функциональный, мягкие резиновые кнопки, сигнал звонка мелодичный, отлично впишется в любой интерьер. Пользуюсь данной моделью  телефона уже больше года, очень довольна. Рекомендую приобрести этот товар.</t>
  </si>
  <si>
    <t>Наушники хорошие. Пользуюсь 1,5 года никаких проблем, тьфу-тьфу-тьфу. Звук хороший, но мог бы быть и лучше. Провод, правда, слишком уж длинный. За такую цену идеальный вариант.</t>
  </si>
  <si>
    <t>Пользуюсь около года, все хорошо в нем пропекается, легко моется (протираю сырой тряпкой, пока еще не до конца остыл). Режимов хоть и не много, но их вполне хватает. Удобный таймер, симпатичный дизайн. Из недостатков - не очень понятные значки режимов, первое время постоянно приходилось лазить в инструкцию для их расшифровки.</t>
  </si>
  <si>
    <t xml:space="preserve">Качество,  дизайн, </t>
  </si>
  <si>
    <t>Отличный телек, читает практически все фидео файлы(прочел, причем без тормозов MKV 35gb), очень радует...</t>
  </si>
  <si>
    <t>Машинку купил месяц назад. Интерфейс логичный, доступный для быстрого понимания человеком, который абсолютно не знаком с техникой. Отстирывает все отлично, уровень шума низкий. Во время отжима стоит на месте, не вибрируя и не перемещаясь. Большой люк, удобный для загрузки, закрывается легко, без дополнительных прижимающих усилий и не смотря на это никаких протечек. Радует наличие таймера. Одним словом эргономика на высоте. Про эффективность сотового барабана мне трудно судить. Для 6 кг очень порадовали небольшие габаритные размеры. Визуально дизайн и качество сборки очень понравились. Единственное, что смущает, так это китайская сборка.</t>
  </si>
  <si>
    <t>Купили несколько дней назад, в обычный дверной проем прошел без проблем, очень приятно, что катается по полу легко во всех направлениях (конечно, если он с вкрученными ножками), с установкой даже женщина легко справится =) ощутимый нагрев боковых стенок наблюдался в течение примерно часа после включения, затем все выровнялось. В инструкции написано, что это в норме. Шум при включении был не больше обычного. Утром показалось, что зашумел сильнее, так мы опять же, согласно инструкции, чуток подкрутили ножки - шум ушел полностью. Красивый, большой, вместительный парень! =) Пока всё нравится, будем наблюдать дальше =)</t>
  </si>
  <si>
    <t>Пользовался электробритвами (роторными) раньше, всегда было раздражение. Жена где-то прочитала что для чувствительной кожи и ежедневного бритья нужно пользоваться сеточной битвой и сделала мне подарок. Я в восторге, бреет чисто( с пеной получилось даже лучше) Раздражения нет. Оценка 5+++</t>
  </si>
  <si>
    <t>прослужила машинка несколько лет,а на днях стирала 8 часов подряд...никому не советую приобретать!!</t>
  </si>
  <si>
    <t>1853</t>
  </si>
  <si>
    <t>Артём из Казани ,не вводи людей в заблуждение.crysis на этой видюхе ну уж никак не попрет на максимальных нормально,на сравнение мобильная 5870 с ddr5 вытягивает только 15 кадров на максе,про 5850 с ddr3 уже молчу.хотя я не  знаю,что ты подразумеваешь под такими настройками)))на высоких (но не на ультра!),возможно "скрепя" и пойдет...</t>
  </si>
  <si>
    <t>Неплохая четырехконфорная плита с электрической большой духовкой. 4 режима в духовке, в том числе гриль. Много рельс для противней и решеток, хотя в комплектации только 1 противень и 1 решетка. 1 из конфорок быстронагревающаяся, таймер с автоотключением механический, дверца в духовке съемная. Для своей стоимости вполне достойная плита.</t>
  </si>
  <si>
    <t>Рад был, только первые несколько уборок.  После двух уборок приходится тчательно мыть и сушить фильтр.</t>
  </si>
  <si>
    <t>на удивление, оказалась хорошей машинкой.  насадки крепко держатся, волосы не дерёт, ровно стрижет,   но у меня в комплекте не оказалось расчески. но это не беда,   главное что приобрёл хорошую вещь можно сказать чтоза копейки  (по акции).</t>
  </si>
  <si>
    <t>2888</t>
  </si>
  <si>
    <t>2015-12-15</t>
  </si>
  <si>
    <t>Хороший пылесос по приемлемой цене. Отличная мощность всасывания. Понравилось, что нет мешка для пыли, а есть отличная вместительная чаша. Очень качественная сборка. Работает довольно тихо, даже на максимальной мощности. Собирает пыль отлично, после уборки чистый и свежий воздух.</t>
  </si>
  <si>
    <t>После поломки предыдущего тостера приобрели с женой этот аппарат. Выбирали тщательно т.к пользоваться привыкли довольно часто. Сразу положили глаз на этот тостер, привлек дизайн и необычное управление с кнопок в добавок консультант рассказал про плавный подъем тостов. У детей теперь это любимый прибор на кухне ). Очень довольны покупкой, советую всем!</t>
  </si>
  <si>
    <t>Очень разочарована покупкой. Думала электронные, точные, оказалось, что разница доходит до 6-7 кг. Платформа не удобная, наклонная, вставать нужно только в определенном положении. Сколько раз не пробовала вставать на весы, каждый раз разные показания, причем разница не в 100-200 грамм, а порядка 2-4 кг. Цена не соответствует качеству, хотя марка довольно известная. Несколько лет пользуюсь феном, чайником VITEK, была довольна, а тут огромное разочарование. Пришлось вернуть обратно в магазин. Не рекомендую покупать!</t>
  </si>
  <si>
    <t>Купили плиту в семью. Пользуемся 2 месяца. Выбирали очень долго примерно 5 месяцев. Фирму смотрели исключительно gorenje. Когда выбрали думали что не впишется в нашу кухню, но это было напрасно.Плюсы: мощные конфорки, удобное(лёгкое) управление, удобный таймер, хороший цвет. Недостатков в этой плите нету. Товар просто на 5+, покупайте и не бойтесь ошибки в своём выборе. Рекомендую всем домохозяйкам!</t>
  </si>
  <si>
    <t>Основным критерием выбора стиралки была бесшумность, т.к. планировалась установка на кухне. Выбор пал на прямоприводную LG 1056 ND1. Естественно установили по уровню, естественно открутили пресловутые транспортные болты.  Из минусов: ожидаемой \"бесшумности\" не получилось. В момент отжима шум сносный, да свистит, гудит и завывает натужно мотор, но не смертельно. Момент стирки тоже особо не напрягает - слышно как бумкает белье, ударяясь о стенки, но при закрытой двери проблемы нет. А вот нервный, дерганый слив/залив воды, ополаскивание и разгон/торможение просто ужоссс! Машинка издает звуки сравнимые с реактивным самолетом, при этом вибрирует, раскачивается и дергается всем корпусом, хотя, нужно отдать должное - с места ни-ни (подкладки под ножки не покупали, на полу линолеум). Читала предыдущий отзыв про стакан с водой и изумлялась, в моем случае он уже в начале стирки весело заскакал по верхней панели на пол. Еще из минусов, - скапливается достаточное количество сомнительно чистой воды в резиновом ободе между люком и барабаном. Впрочем устраняется сухой тряпкой до выгрузки белья.  Плюсы: Действительно ХОРОШО стирает и отжимает - и это, пожалуй, самое главное. Множество режимов на все случаи жизни, хорош режим доп. полоскания, когда достаешь тепленькое белье. Удобное и понятное управление, нарядный внешний вид - все эти кнопочки, разноцветные огонечки - красиииво.  Резюме:При условии, что машинка отработает в таком же качестве лет 5, готова смирится с ее крупной дрожью и странноватыми шумами. И по соотношению цена-качество, она реально стОит того.</t>
  </si>
  <si>
    <t>Купил примерно месяц назад - начало сентября 2009 г.  Плюсы:  - Без тормозов тянет Windows Vista;  - При открытии нескольких приложений, MS Office, CorelDraw, PhotoshopElements и т.д. - тормазов также не замечано;  - Хороший набор программ от поставщика + оболочка для детей;  - Достаточно хороший экран    Минусы:  - Быстро садятся аккумулятор, примерно 1,5-2 часа автономной работы;  - Хотелось бы чтобы по умолчанию была предустановлена Vista Home Premium (Basic - не дает устанавливать средства виртуализации);  - Корпус очень маркий.</t>
  </si>
  <si>
    <t>Купил, вещь просто обалденная. Единственный минус, отсутствует bluetooth. А еще одна проблемка, не пойму как пользоваться Портом IrDa (инфракрасный). Если кто разобрался подскажите...</t>
  </si>
  <si>
    <t>Достойный плеер.   Жаль у меня уже есть Iconbit 4 дюймовый с сенсорным экраном за 4500 руб., который уже умеет читать mkv, воспроизводить через hdmi 1,3 фильмы на телек и является usb хабом.</t>
  </si>
  <si>
    <t>Мне очень он понравился в использовании. Правда не много шумноват. Да, кожа на ногах сильно краснеет но и с восковой эпиляцией тоже самое, но проходит очень быстро!</t>
  </si>
  <si>
    <t>2036</t>
  </si>
  <si>
    <t>Купили эту духовку и очень рады!!!За такую цену столько функций да ещё с конвекцией!Аналоги раскрученных брендов стоят от 13 тыс.Выбрали по Интернету, но в наличии их уже не было кроме выставочного экземпляра.Не зря мы "рванули" в ЕБург и забрали её из "Карнавала". Теперь постоянно жарим на гриле, запекаем всякие вкусняшки. Всем рекомендую эту супер-духовку!</t>
  </si>
  <si>
    <t>Сообщения про стоимость фильтров - полный бред! В М-Видео стоимость фильтров - 500 р. Всегда есть в продаже!</t>
  </si>
  <si>
    <t>Пользуюсь девайсом уже два месяца. Проблем не каких вообще. Ездил с ним в отпуск, использовал в качестве навигатора. 6000 км на лобовом стекле, жара страшная (ни чего не треснуло). Брак естественное дело у все производителей. Самсы продали данный девайс за 2 месяца 20 000 000. Так что читая отзывы, думайте своей головой.</t>
  </si>
  <si>
    <t>Хороший ноутбук за эти деньги. Не маркий корпус. Достойная производительность по современным критериям. Снес стандартную Win HB поставил win 7 64 bit Максимальная, летит на ура. Не все драйвера есть на сайте производителя. Некоторые пришлось ставить от висты.</t>
  </si>
  <si>
    <t>Купили её год назад по акции, дорогую брать не стали, т.к. только купили квартиру и с деньгами был напряг. Отлично отстирывает, шумит только при отжиме. Была одна проблемка, когда используешь режимы быстрой стирки (тайм фо ю), время останавливалось на 1 минуте, и машинка могла не выключаться час и больше. По гарантии сдавать не стали, нашли выход - пользуемся стандартными режимами.  Отличное соотношение цена-качество. Своих денег она стоит! Кстати, купили её до скачка доллара за 7990)))</t>
  </si>
  <si>
    <t>Не нарадуюсь на телек. долго мечтал о таком!!! после маленького экрана кажется не реально большим. смотреть футбол вообще супер!!!</t>
  </si>
  <si>
    <t>Обалденный!!!   Подарили маме на Новый год примерно два года назад.  Мама очень довольна миксером Bork E800! Соответственно, и мы очень рады!  Весь из нержавейки! Очень простой в управлении!  Спасибо Bork! Спасибо М.видео!!!</t>
  </si>
  <si>
    <t>Покупала такой в августе 2009,очень меня радовал,но в январе его украли=(куплю на днях себе опять такой же</t>
  </si>
  <si>
    <t>Купил давно ее, уже и не вспомнил бы, да вот наткнулся и решил предупредить остальных. Плитка уг. 3 недели отработала и сгорела.</t>
  </si>
  <si>
    <t>Полная ерунда. За неполных три года две замены двигателя. За свой счёт, поскольку гарантию - год, они работают. Цена двигателя - 4000руб. Шумная, плохо моется.&amp;nbsp;</t>
  </si>
  <si>
    <t>Пользуюсь полгода. Сломалась кнопка включения питания. "Залипла" на положении ВКЛ. Отремонтировали в сервисе за две недели.  Шланги мыть не удобно.</t>
  </si>
  <si>
    <t>Хорошая машина в своем ценовом сегменте, Асус с таким процессором дешевле не найти. Картинка супер.Игры идут на раз -два,интегрированной видеокарты вполне хватает.Ситема охлаждения отличная, ноутбук практически бесшумный. Пользуюсь месяц, пока только рад этой модели.</t>
  </si>
  <si>
    <t>Проработал около полугода, сначала стал выключаться после пары минут работы, даже не успевали принять душ, после совсем перестал включаться</t>
  </si>
  <si>
    <t>Работает уже год и никаких проблем - выставить ее ровно и все нормально работает</t>
  </si>
  <si>
    <t>Добрый день! приобрела данную плиту почти 2 года назад. Через 1,5 года на конфорке обнаружила трещину толщиной как волос. Сначала решила, что чем-то ударила или посудой поцарапала. Перестала пользоваться данной конфоркой, но сегодня обнаружила еще одну такую же на другой. Чем вызваны трещины - не понятно. Скорее всего брак. Трещины толщиной с волос явно не механический удар, да и посуда у меня специальная. Теперь боюсь пользоваться этой плитой даже. Придется покупать новую. В покрытии разочарована полностью. Лучше чугунных кружков ничего нет. Жаль, что перестали производить.</t>
  </si>
  <si>
    <t>Телик нормальный, при подключении к компу через компонентный разъем выдает разрешение 1920 х 1080, 1080i, а звук можно через комп на разные колонки пустить и получится 5.1.  В целом доволен покупкой.</t>
  </si>
  <si>
    <t>Да, снимаю свой предыдущий хороший отзыв. те наушники что у меня были (768vc) и эти просто как небо и земля. в этих наушниках вообще ничего не слышно, как сказал предыдущий несчастный обладатель - такое ощущение, что просто никаких частот нету, одни скрипят, другие шумят... эквалайзер ничего не вытянул...  понадеялась на дешевую фирму и зря.   сейчас купила клоны creative ep 630 за 720 - отлично!</t>
  </si>
  <si>
    <t>Приобрела плиту 2 месяца назад. Никаких проблем нет. Духовка работает отлично. Устанавливал сервис менеджер, отрегулировал подачу газа в духовку, объяснил, что необходимо при зажигании 10 сек нажимать на поджиг, не отнимая руки, и прогревать в течении 10 мин перед регулировкой температуры. Никаких проблем. Единственное, что хотела печь с конвекцией, говорили, что есть менеджеры, а оказалось-нет.</t>
  </si>
  <si>
    <t>Честно говоря, когда пришел в магазин, не ожидал увидеть на огромных 50-дюймовых экранах ценники с такой небольшой ценой=)То есть она не очень маленькая,но по сравнению с сони например - вообще цветочки)  Несмотря на недороговизну,плазма неплохая,вот уже юзаю телек. Перепробовал все на нем - тв,блю рей,dvd,спутниковое,подключил к компу. Все это работает оч хорошо,кроме эфира тв - не идеально.Зато dvd показывает четко и насыщенно, как в кинотеатре, картинка очень хороша,блю рей-без комментариев, это и так понятно, что круто. При работе с компом не тормозит, в играх хорошая динамика и никаких остаточных явлений.</t>
  </si>
  <si>
    <t>1792</t>
  </si>
  <si>
    <t>Мощный, отлично справляется своей работой. Пока скидка, надо брать Допустимый уровень шума, это же пылесос..бесшумных не бывает.</t>
  </si>
  <si>
    <t>Классная игрушка купила давно. Каждый день в неё играю. Она ни разу не заглючила (насчёт прошивки извините, не знаю. мне при покупке сразу сделали бесплатно).В общем покупайте, не пожалеете.</t>
  </si>
  <si>
    <t>Утюг хороший,гладит идеально,я довольна покупной,но есть один минус-шипит при поднятии из горизонтального в вертикальное положение.</t>
  </si>
  <si>
    <t>Подскажите кто ставил второй винт, какой? и как это делается?</t>
  </si>
  <si>
    <t>931</t>
  </si>
  <si>
    <t>Очень хорошая камера, отличные функции.</t>
  </si>
  <si>
    <t>Купил эти наушники, на вид неплохие, качество звука  хорошее и чистое.   Но басы передаются как-то слабо, да и "сидят" они на голове (у взрослого) как-то "не ровно".  Впрочем, неплохой товар.</t>
  </si>
  <si>
    <t>2014-03-19</t>
  </si>
  <si>
    <t>Купила вытяжку Вытяжка плоская 50 см Jetair FS301/50 1M Inox al: у меня на вытяжке одна решётка,а на сайте вытяжка показана другая с двумя решётками.</t>
  </si>
  <si>
    <t>охлаждает прекрасно. температура регулируется.  из минусов: шумный. Если у вас есть выбор между мобильным кондиционером и стационарным выбирайте стационарный.</t>
  </si>
  <si>
    <t>2014-07-09</t>
  </si>
  <si>
    <t>Купили мне миксер на 8 марта!!! Я оооочень довольна покупкой! Взбивает отлично и крема для тортов, и бисквиты для моей любимой семьи! Тихо работает. Я даже теперь тесто на блины там делаю! И маме своей купила такой же! Она тоже довольна</t>
  </si>
  <si>
    <t>Игра нормальная. Графика на высоте... просто наслаждение! Советую всем...</t>
  </si>
  <si>
    <t>весы у меня уже полгода, взвешиваюсь примерно 1 раз в 2 нед... вес показывают))) правда с другими весами я данные не сравнивала))  когда покупала (на выдаче товара)- их долго не могли включить... думала брак... но потом всё ок...  доп. функции (сохранение веса и т.п.) использовала пару раз... они тоже на любителя))</t>
  </si>
  <si>
    <t>Очередная забавная детская игрушка, в этот раз с леммингами. Сын тащится от них, поэтому в игру рубиться с удовольствием, ну и я с ним за компанию. Интересные прохождения, ничего заумного. Головоломки тоже вполне доступные не только для гениев. Куча эпизодов, разные природные зоны - короче, не скучно 100%!</t>
  </si>
  <si>
    <t>Купил сегодня, прошла испытания на яблоках и апельсинах, 5 яблок проглотила за считанные секунды, и одна апельсинка. Итого вышло чистых 600мл сока, хотелось бы чтоб был плавный пуск, ну а так вся семя довольна!</t>
  </si>
  <si>
    <t>Купила неделю назад. Пока очень нравиться. Готовила рыбу, мясо, пиццу. Все пропекается равномерно. Очень нужна вещь на кухне!</t>
  </si>
  <si>
    <t>Неплохой пылесос. Не очень шумный, лёгкий, компактный. Неплохо справляется как с обычной, повседневной пылью, так и со строительным мусором. Насколько он окажется живуч, судить не берусь, мы им только 3 месяца пользуемся. Пока впечатление ничто не портит.</t>
  </si>
  <si>
    <t>Безупречная техника! Отлично стирает! Довольно стойко себя ведёт в режиме отжима, даже на максимальных оборотах. Все доступные функции в наличии, ничего лишнего. Просто вещь! Пользуюсь уже 2 года. Машинка сбоев не даёт. Прекрасна во всех отношениях! Рекомендую всем!</t>
  </si>
  <si>
    <t>2015-03-30</t>
  </si>
  <si>
    <t>Плюсы:  1. Легкий, легче чем этот Velbon Ultra Lux i L  есть только Velbon Ultra Max i L .  2. Быстро собираются и разбираются ножки (хитрая фиксация)  3. Есть уровни по трем осям  4. Плавный ход, можно и видео снимать.  5. Металлическая голова, хорошо регклируется  6.  Центральный шток можно перевернуть и снимать внизу макро  7. Съемная площадка   8. Чехол в комплекте    Минус:  1. Чтобы вложить в чехол, придется открутить одну из 2 ручек. Полминуты делов, но все равно время.    Чтобы не повредить уровни, дополнительно заворачиваю их в пупырчатую пленку.    В целом покупкой доволен. Рекомендую.</t>
  </si>
  <si>
    <t>Машинка просто замечательная, но громкий пронзительный свист в самом конце, когда отжим. Хотя говорят что это фирменная болезнь этих машинок, так что на свист не обращаем внимания.</t>
  </si>
  <si>
    <t>Скептически относился к подобным гаджетам. После покупки ребенку и я и ребенок просто в восторге от этой приставки. Хорошая графика игр, большое разнообразие игр, возможность слушать закаченную музыку и смотреть фильмы и мультики(в том числе дороге) - все это только прибавляет плюсы! Это просто центр детских развлечений. Пробки на дороге ребенок переносит теперь замечательно! Приставка проста в обращении и полезна в использовании!</t>
  </si>
  <si>
    <t>Прекрасная плита за такую цену. Электроподжиг включается сразу. ТЭН супер,шашлычки в них сочные получаются, с корочкой! Есть функция мини-огонь и газ-контроль. К духовке тоже никаких претензий, все равномерно и хорошо печёт. Главное, что классно - это чугунные решётки и нержавейка сама плита. Красавица! Думаю, что у нас она надолго.</t>
  </si>
  <si>
    <t>Цена и качество</t>
  </si>
  <si>
    <t>Купил электролюкс привёз установил а она глючит стирает по три часа и не сливает не выжимает</t>
  </si>
  <si>
    <t>На 30 кв.м. хватает вполне,на ночь забыл выключить-замерз.Брал в начале сезона с установкой,для кого то минус,но установщики выгоняли воздух из системы естественным путем-фрионом системы.Работает, индикатор сервиса не загорался пока,как многие пишут это проблема,думаю исправили.</t>
  </si>
  <si>
    <t>Недавно купила,мне всё очень нравится.Хорошо выпрямляет,нагревается быстро,волосы не электризуются. Сами щипцы лёгкие и удобные.</t>
  </si>
  <si>
    <t>Чайник работает 5 лет, пойду завтра маме куплю в подарок. Люблю всё Philips!!!</t>
  </si>
  <si>
    <t>6 входов, предохранитель</t>
  </si>
  <si>
    <t>Прослужил 1,5 года и несу на помойку.  Через полгода по гарантии закачали хлад-агент.  Теперь, когда гарантия кончилась, холодильник сломался и нужен кап-ремонт стоимостью 15000 тыс.</t>
  </si>
  <si>
    <t>Отличная машина, ну гудит немного, а куда без этого!!! А чтобы не прыгала по углам во время отжима - установите по уровню!!!!! И счастья от такого чуда будет очень много!!!!  Соотношение цена-качество на высшем уровне!!!</t>
  </si>
  <si>
    <t>2012-04-18</t>
  </si>
  <si>
    <t>Долго выбирала щипцы.Очень красивая модель.Обалденная вещь.Волосы не сушит,шнур вращающийся.Недостатков не обнаружила.</t>
  </si>
  <si>
    <t>721</t>
  </si>
  <si>
    <t>У меня тоже насадка сломалась, а где взять новую кто знает?</t>
  </si>
  <si>
    <t>Очень неудобный (и как мне кажется ненадежный) механизм присоединения рабочей части к двигателю.  Сильное бинение шнека при работе (это не брак, пересмотрел 3 мясорубки - везде то же самое). В итоге выбрал Braun 1300.</t>
  </si>
  <si>
    <t>Плеер этот у меня месяца 2 уже,и вы знаете,он очень даже неплох.  Сразу оговорю минусы:дисплей при солнечном свете не читабельный,слепнет.Ну и всё:)  В остальном классная штука,лёгкий,тонкий,ушки родные лучше конечно поменять,но и с ними звук очень даже приемлем.НЕ забываем о том, что это МР3 плеер,ни видео ни картинки всякие там не заливал,да это и не нужно..Батарейка свои заявленные 52 часа может и не держит прям минута в минуту,но БЕЗ ПРЕУВЕЛИЧЕНИЯ скажу, что с момента покупки зарядил его всего один раз!!!!Первый под завязку,а потом как-то и нет нужды,пока музыку скидываю,ну минут 10 максимум,он подпитывается,слушаю каждый день по 2-3 часа.Держит на ура.  К меню быстро привыкаешь,с компьютером дружит хорошо,летает всё быстро. Короче рекомендую.Жалею, что не взял такой же на 4 гига:)</t>
  </si>
  <si>
    <t>2719</t>
  </si>
  <si>
    <t>Понравился сразу, и дизайном и начинкой.   Думаю на днях поеду приобретать.    Насчет перегрева.    Для любителей по играть это хороший выбор, но как все знают проблема AMD процессоров это большая температура.    Так вот, играть придется либо с таймингом, либо с дополнительным охлаждением.     Дома у меня есть маленький вентилятор так что проблем думаю не возникнет, а в универе играть времени много не будет, думаю за 2-3 часа он не взорвется, тем более если освободить вентиляционные каналы.</t>
  </si>
  <si>
    <t>2013-11-20</t>
  </si>
  <si>
    <t>Брала этот чайник два года назад исключительно для поездок! Ни разу не подвел! Быстро кипятит, никакого постороннего запаха не было и нет! Аксессуары (два стакана и два ложки) очень кстати! Отлично! Tefal, как всегда на высоте! Очень рекомендую!</t>
  </si>
  <si>
    <t>Печь просто супер!все рецепты можно использовать, изменяя не вес,а время приготовления. Прекрасные рецепты в кулинарной книге.Все функции просты и поняты,управление не вызывает затруднений. Я очень довольна "новой игрушкой"!</t>
  </si>
  <si>
    <t>Телефоном полностью доволен все есть и не глючит, единственный минус - музыка тихо играет и один динамик.</t>
  </si>
  <si>
    <t>176</t>
  </si>
  <si>
    <t>Достойно стрижет, но имеет кучу "минусов":  1. Насадка 3-21 мм имеет очень хрупкие зубья, как бы аккуратно Вы не пользовались- сломаются т.к. из оргстекла.  В РФ насадки отдельно не продаются, за рубежом дорого выходит- половина стоимости машинки.  2. Постоянно забиваются волосы в насадку и щель выше ножей.  3. Слабый аккумулятор- заряжается долго, заряд держит непродолжительное время.  4. Индикатор заряда просто постоянно горит, показывая только подключение ЗУ.  5. Насадки неудобно регулировать, нужно попасть в обе направляющие и поймать фиксатором нужную высоту, иначе возможен соскок и вследствии залысина).</t>
  </si>
  <si>
    <t>Даже не ожидал, что уборка автомобиля будет в удовольствие! Отличный пылесос: очень удобный, легкий, компактный. Насадок хватает, чтобы убрать все уголки салона, а длины шнура хватает на весь автомобиль.  Из недостатков (надо же к чему-нибудь придраться) отмечу, что шнур не сматывается автоматически и не очень удобно опустошать стакан с мусором.   Всем владельцам автомобилей рекомендую эту модель!</t>
  </si>
  <si>
    <t>Владею телефоном около 2-х недель,хотел Nokia N97,но Самсунг оказался по всем параметрам на голову впереди! О своем выборе не жалею,мега аппарат,лучшее что на данный момент есть из смартфонов.Все достоинства описаны в спецификации,от себя скажу что смотреть фильмы,особенно через наушники очень здорово! Для сомневающихся есть форум по телефону,можно всю информацию почитать там.</t>
  </si>
  <si>
    <t>Судила по отзывам, ожидала лучшего. Покупала в основном для создания кудрей. И хотела дополнительное покрытие, помимо керамики. Выпрямляет хорошо на 5+ (пробовала на маме, у нее очень жесткие волосы, типа афро). Кучеряшки тоже получились отличные. Минусы есть. 1) Очень нагревается корпус. 2) Волосы пушатся, электризуются (буду подбирать доп средство). 3)Дергает волосы немного (из-за термозащиты), но это не страшно на маме все было отлично. Цена завышена из-за кисточек. Кисточка для завивки ресниц не работает. О покупке не жалею, т.к. это лучшее что было в моем городе надеюсь тефлон перекроет все минусы.</t>
  </si>
  <si>
    <t>Хорошая мясорубка, купил для заготовки аджики, хрен перекручивает на ура, хотя с мясом справляется лучше. Пользуемся уже полгода, для мяса реверс не нужен, на твёрдых овощах - моркови, фейхоа пару раз понадобился, проблема решается за минуту разборкой мясорубки.</t>
  </si>
  <si>
    <t>1286</t>
  </si>
  <si>
    <t>Да,а как контакты синхронизировать-то?  А запасной аккумулятор где купить и почем?  Устойчив ли к падениям и ударам?</t>
  </si>
  <si>
    <t>Сделано в Германии, сухое и влажное бритье, функция самоочистки</t>
  </si>
  <si>
    <t>1215</t>
  </si>
  <si>
    <t>Чтобы не покупать отдельные составляющие, решили просто купить хорошую насадку к нашему кухонному комбайну с функцией мясорубки. Она очень надежная и функциональная. Прекрасно справляется с мясом, жилками, вместе с любыми овощами - получается просто отпад. Это намного полезнее, чем покупать готовое в магазине. Плюс специальные насадки, под кебе и колбаски - отличный плюс, который не имела ни одна мясорубка у нас... Очень рады приобретению.</t>
  </si>
  <si>
    <t>Отличный аппарат. Коммутационные и связные характеристики просто на высоте. Можно подключить и HDD 2.5' в обычной коробочке с питанием от usb, и любой другой внешний HDD с подключением по usb. Без проблем понимает и FAT и NTFS и если HDD разбит на несколько логических дисков, покажет их без проблем.   В родной прошивке очень скудные возможности по масштабированию экрана при просмотре видео, но это исправляется в модернизированной прошивке.  Особое удовольствие пользоваться пультом в темноте - он имеет мягкую подсветку, что значительно облегчает поиск нужной кнопки.</t>
  </si>
  <si>
    <t>Через пол года после покупки бук начинает греться. Сильно. Температура процессора и видеокарты под нагрузкой составляет до 95 градусов цельсия.</t>
  </si>
  <si>
    <t>Купил такой ноутбук 3 недели назад, все нормально, все нравится, только вот полностью заряженного аккумулятора не хватает даже на час при просмотре фильма, при этом яркость экрана ниже половины</t>
  </si>
  <si>
    <t>Записал уже почти пятьдесят шт. (две упаковки по 25) - ни одного брака. Не знаю из-за чего или диски действительно супер или привод такой, ну и прогу для записи тоже исключать из расчета нельзя. Тогда все OK!</t>
  </si>
  <si>
    <t>2013-12-30</t>
  </si>
  <si>
    <t>Купил этот замечательный телефон 3дня назад, остался довольным, все меня тут устраивает: экран,камера и всякие разные мелочи. Спасибо вам)))</t>
  </si>
  <si>
    <t>Очень рада своему выбору! Искала именно с ручками сбоку - это и удобнее и дети в будущем, может, меньше набедокурят из-за удаленности (+ газконтроль). Моется без проблем, никаких пятен лично у меня не остается. Влюблена в нее от и до! Всем советую!</t>
  </si>
  <si>
    <t>Привлек внешний вид пылесоса. Необычная форма. Почитал отзывы. В принципе нормально всё. Мощность всасывания хорошая. Удобные насадки. Для поддержание чистоты в салоне отлично подходит.</t>
  </si>
  <si>
    <t>Пользуюсь 4 месяца, проблем нет. Телефон стоит тех денег!</t>
  </si>
  <si>
    <t>Отличная модель! Все есть! Наконец-то отпал аналоговый модем! HDMI! Классный дизайн, батарею хватает на долго!  Очень удобная кнопка извлечения диска. Легкий! Светодиодная подсветка! Советую всем! Качество сборки! ничего не скрипит и не болтается, клавиши очень болшие и удобные! Видео впечатляет - можно гонять игры!</t>
  </si>
  <si>
    <t>Не знаю как так получилось, но у меня сломался уже второй подряд по счету плеер Sony этой модели. В первом плеере накрылась плата, сразу же после истечения гарантийного срока. Сервисники говорят ремонтировать нет смысла. Второй плеер модель Sony NWZ-E444 8Gb не отжыл и года - сначала бывало просто подвисал и не реагировал ни на что. А через полгода - потерял кнопку звука. Плеер носила в сумке, сильному механическому воздействию не подвергала. И еще наушники - провод в них отошел буквально за пару месяцев. Вот теперь и думаю, толи мне все время бракованные плееры попадапопадались, толи все плееры Sony одинаково плохие. Непонятно, что купить на замену.</t>
  </si>
  <si>
    <t>2167</t>
  </si>
  <si>
    <t>Да уж чего нет, того нет! Из специальных программ только шерсть и синтетика.  Но стирает она отлично, как и все машинки этой известной фирмы.  Замок на люке, если пользоваться аккуратно, достаточно надежный. А все остальные проблемы, такие как нарушение баланса, вибрации, прыжки, недостаточный отжим из-за неисправного контроллера. Если есть гарантия, нужно поменять.  И подключение шлангов лучше доверить опытному специалисту!</t>
  </si>
  <si>
    <t>В наборе много лапок (все нужные есть) . Челнок самый понятный и простой  - горизонтальный.  Приятного цвета.</t>
  </si>
  <si>
    <t>1645</t>
  </si>
  <si>
    <t>Купила эту вытяжку недавно. Она очень хорошего внешнего вида и нормальный функционал. Есть три скорости, две гаологеновых ярких лампочки, гудит не сильно даже на самой высокой скорости. Тягу создает очень хрошую. Для установки вызывала мастера-электрика, так как хочу быть уверенной в правильности ее подключения и не бояться, что от нее возникнет какое-нибудь короткое замыкание.</t>
  </si>
  <si>
    <t>2889</t>
  </si>
  <si>
    <t>Небольших габаритов микроволновая печь, очень хорошая, простое меню, легка в управлении. Работает отлично.</t>
  </si>
  <si>
    <t>Купили этот утюг. При нагреве очень сильно пахло какой то гарью, как будто плавится пластмасса.Даже начинала сразу болеть голова и приходилось проветривать комнату. Отдали на обмен.</t>
  </si>
  <si>
    <t>Собственно сабж))) Кто покупал скажите вот что:  1) Как сильно глушат? (живой мир вне наушников сильно слышен иль нет?))  2) Как сильно кричат и качество кричания на максимальной громкости?  3) Как удобно на голове и на ушах вообще сидят?  4) Качество пластика какое?)) Вопрос тупой конечно, прост брал свеновские и филипса по 650 рублей в среднем и у них прям у ушей пластик тупо ломался.</t>
  </si>
  <si>
    <t>Нашему телевизору 3 года, работает отлично, только 2 минуса USB нет и звук глуховат.</t>
  </si>
  <si>
    <t>аппарат хороший, пользуюсь уже год или больше, соглашусь с автором ниже, что фильтров много, фильтр что скрывает задняя крфшка чищу раз в месяц, а где вот остальные как сказали 7 шт не знаю, точнее где еще 4 фильтра прячится</t>
  </si>
  <si>
    <t>Звук хороший, на вид симпатичные. Довольна, что не купила наушники дороже- эти отличные :)</t>
  </si>
  <si>
    <t>У телевизоров данной марки есть небольшая особенность - это включение аппарата с пульта. У них стоит система от случайного нажатия, поэтому кнопку включения необходимо держать примерно 2 секунды. Моргающий индикатор(только у плазменных панелей)означает, что он видит сигнал пульта и сейчас включится. После выключения аппарата должно пройти примерно минута после того, как его можно снова включать, до этого он просто не включится. Это касается всех телевизоров данной марки.   И перед тем как пользоваться аппаратом, не поленитесь прочитать инструкцию, потому что бывают особенности, как эта. Это гораздо легче, чем бежать потом в сервис, а в итоге узнать, что аппарат исправен.</t>
  </si>
  <si>
    <t>Если Вам понравилась первая часть - очень рекомендую. Для остальных - игра на любителя. Главная отличительная особенность - непрямое управление (что это такое - лучше почитать на специзданиях). Неплохая графика, забавные герои, немного юмора. Была бы шкала 10-тибальная, поставил бы 9. Ну а так заслуженная 5-ка.</t>
  </si>
  <si>
    <t>Давно мечтала о парогенераторы!не могу подобрать нужных слов,чтобы описать теперь уже мой парарогенератор.скажу коротко-супер!я счастлива от своей покупки!</t>
  </si>
  <si>
    <t>183</t>
  </si>
  <si>
    <t>телефон тихий,кнопки стираются (я им не доволен)!</t>
  </si>
  <si>
    <t>хороший,легкий и маленький плеер)))</t>
  </si>
  <si>
    <t>2013-12-13</t>
  </si>
  <si>
    <t>В своей ценовой категории очень достойный представитель. Но! Воспользуетесь максимум двумя-тремя насадками и потом будете использовать только щетку, которая (к слову пластиковая) от воздействия высоких температур сломается у вас месяца через три-четыре. И останется использовать его в качестве фена, уже не совсем дешевого.</t>
  </si>
  <si>
    <t>Купили машинку, жена очень рада, мне тоже понравилась.</t>
  </si>
  <si>
    <t>Взяла себе такой полгода назад, не прошло и полгода, как звук стал пропадать, со всем остальным можно мириться и приноровиться, в частности к плавающей прокрутке, не воспроизведению некоторых заявленных форматов видео, крайне небольшой продолжительностью работы.  Вчера было в сервисном отделе, сказали, что разъем для наушников износился, но мне поменяют на любой другой товар.Только должна быть полная комплектация,у меня есть все, кроме какой-то заводской гарантийки.у вас она была?  P.S.:Ритмикс больше брать вообще не буду.Подумываю о Самсунге или Филипсе</t>
  </si>
  <si>
    <t>Понравился внешний вид, тем что от из металла. Цена нормальная, сам чайник легкий, крышка плотно прилегает и легко и удобно заливать воду.</t>
  </si>
  <si>
    <t>Нужно обязательно засыпать средства одной марки !!! И тогда моет отлично !!! а если плохо моет - значит действительно неисправна.</t>
  </si>
  <si>
    <t>Шумит в меру! Удобный носик. Очень быстро кипятит воду. Надо быть осторожной с внешней поверхностью чайника - горячая после выключения. Всем довольна!</t>
  </si>
  <si>
    <t>1444</t>
  </si>
  <si>
    <t>Отличная бритва, жена подарила на день рождения. Пользовался  Vitek VT-1372, но эта и в сравнение не одет. Хватает заряда почти на месяц, бреюсь раз в два дня. Заряжается очень быстро, минут 50-55. Хорошо бреет, очень приятно лежит в руке. Очень удобен индикатор разряда батареи. Оптимальное отношение цены к качеству продукта. В общем оценка на 5!</t>
  </si>
  <si>
    <t>2600</t>
  </si>
  <si>
    <t>Брал здесь в Мвидео, установил сам, докупил только конденсатор, качает отлично, за эти деньги лучше не найти!</t>
  </si>
  <si>
    <t>У нас такому чайнику уже больше 7 лет точно. Пользуемся каждый день по несколько раз, семья большая. И знаете, за все это время никаких намеков на поломку, вообще работает без нареканий. Для меня удивительно, что техника может так долго проработать! Всем советую!</t>
  </si>
  <si>
    <t>Оправдал себя только как увлажнитель. Пользуюсь более месяца, а эффекта пылеудаления почти нет.</t>
  </si>
  <si>
    <t>Отличный пылесос! Стоит своих денег! Фильтрация суперская!   Берите - не пожалеете!</t>
  </si>
  <si>
    <t>Прекрасная машина, не представляю как раньше жил без нее.</t>
  </si>
  <si>
    <t>Фену уже 5 лет - ежедневно им пользуется 3 члена семьи - нагрузка, согласитесь не маленькая. Легкий, компактный, есть все необходимые режимы, падал на пол неоднократно-все бывает:). Сбои пошли вот только сейчас - при перегреве не включается. Покупать буду такой же - главное,чтобы сборка не подвела!))</t>
  </si>
  <si>
    <t>2015-09-09</t>
  </si>
  <si>
    <t>купили первый чайник этой фирмы в 2008, в 2014 его случайно уронили, и естественно чайник перестал работать, решили приобрести такой же, но купили в другом магазине, не особо специализирующемся на бытовой технике, так вот у него стерлась надпись, стал протекать, а сейчас вообще перестал отключаться( так что попытаю судьбу снова, но теперь в нормальном магазине) надеюсь прослужит так же как первенец и даже дольше)</t>
  </si>
  <si>
    <t>Отменный аппарат который удобен и надежен.  Общаюсь с айфонами уже около двух лет,и точно могу сказать,что равным ему пока никого нету,многие по незнанию программы iTunes не открывают для себя всех его возможностей.Например сейчас вышла прошивка версии 3.0 ,которая открыла пользователям видеозапись,MMS,и много всего другого,цена на аппарат снизилась по причине появления у нас в России 9 августа нового iPhone 3Gs.Аппарат будет снабжет камерой на три мегапикселя(за место двух которые сейчас стоят) и еще небольшлими примочками,также этот аппарат будет немного мощнее чем простой 3G.Внешне они не отличаются,будут отличаться ценой.  Мой совет купить сейчас этот айфон который по закону маркетинга так упал в цене,чтобы понять для себя что это за вещь и с чем ее едят.Сейчас iPhone уже больше чем телефон,это уже и карманный компьтер,и интернет планшет,и игровая консоль.  Держит батарею аппарат долго,хотя если играть в игры то за три часа сядет(поскольку сильно задействуются ресурсы графического чипа и микропроцессора)  Так что мой вам совет - если вы не знаете что такое  iPhone проще купить его сейчас по такой цене,аппарат и прочен и надежен,его лицевую панель очень тяжело поцарапать,экран довольно прочен,он гермитично собран,так что если вы его "утопите" то после сушки он должен работать как и работал.  Если у кого есть какие вопросы касательно iPhone  обращайтесь на почту: shelldonies@gmail.com</t>
  </si>
  <si>
    <t>Купил месяц назад. Аппарат просто классный. До этого пользовался Rover PC S7, и Rover PC X7.  Из плюсов - размер экрана 16:9, прекрасная яркость и контрастность, звук из динамика качественный и громкий, камера делает отличные снимки, видео с нормальной скоростью только 240x320 а вот 640Х480 уже тормозит. Интернет работает быстро. GPS тоже работает быстро и стабильно. В руке аппарат лежит просто идеально.  Советую сразу купить автомобильную зарядку так как GPS аккумулятор съедает за 20 минут. Аккумулятора хватает на пару дней  если только пользоваться как телефоном.  Есть и небольшие минусы, ну очень малюсенькие - разрешение для такого большого экрана маловато, стилус отдельно от устройства в виде брелка, один разъём под наушники и зарядку, да к тому же оригинальный а не miniUSB.  Общяя оценка 5 баллов.</t>
  </si>
  <si>
    <t>Хочу сказать следующее. Был крайне удивлен, когда встроенный медиаплеер воспроизвел файлы с расширением avi. Хотя в технических параметрах это не указано. И вообще обслуживание в М-Видео удивило. Перед этим был куплен другой телевизор, но привезя домой он отказался искать каналы. Пришлось сдать. В магазине при мне была проведена диагностика. После чего сделали замену на LG и все без проблем! Спасибо за честность.</t>
  </si>
  <si>
    <t>Наушники отличные! Согласен с остальными, что басы просто очуметь.   Есть одно НО! Акустическое оформление к сожалению открытое. Так что в описании товара ошибка. Я планировал использовать наушники на работе (очень, знаете ли, люблю в середине рабочего дня послушать тяжеляк для разрядки), но как оказалось, что этот тяжеляк придётся слушать всем моим сослуживцам.    Если это НО не пугает, то берите - не пожалеете!</t>
  </si>
  <si>
    <t>Телефон красивый, мощный, но есть ряд проблем. Начну, пожалуй, с самой острой, отвратительный прием сигнала сотовой сети, очень часто при наборе номера сигнал вдруг пропадает в ноль, извне дозвониться тоже не просто, как минимум несколько людей в день жалуются на то, что мой телефон вне зоны действия. Также хочу отметить никудышную автономность, в режиме энергосбережения, с отключенными свистелками и вибрацией, телефон с большим трудом доживает до вечера, а если включить мобильный интернет и фоновые службы проверки почты, то уже к обеду требуется розетка. Также хочется отметить глюк с подсветкой нижних функциональных кнопок, в темноте во время чтения каждые насколько минут они самопроизвольно загораются. Отсутствие нормальной поддержки производителя, на телефонах I9500 без лте, прошивка уже давно обновилась до 4.4.4, и скоро планируется обновление до 5.0, но не на этой модели, у самсунга в планах нет обновлений. Это мой не первый андроид самсунг,  есть с чем сравнить, до этого чуда пользовался Ноте 2, так вот он, по всем параметрам автономности превосходит этот телефон в 3-4 раза. Есть о чем подумать.</t>
  </si>
  <si>
    <t>2014-02-24</t>
  </si>
  <si>
    <t>Штатив добротный и крепкий. Качество сборки достойное. Всё вращается без перекосов. Удобен в использовании. Пластик плотный, не ширпотребный.</t>
  </si>
  <si>
    <t>купил этот бук и все было хорошо, пока не поставил win7 64. После переустановки перестала работать комбинация Fn+f5, но bluetooth и wi-fi включался одновременно переключателем около ик-порта. Спустя 5 дней после переустановки и bluetooth i wi-fi отказались включаться. Ни переключателем, ни комбинацией клавиш, ни установлением energy mendagement (кстати так и не понял функцию данной программы и ее использования) ни чего не изменяется. Помогите, если у кого-нибудь было подобное.</t>
  </si>
  <si>
    <t>Давно хотела себе такую помощницу. Очень удобная в обращении, инструкция более чем понятна. Берите, не пожалеете.</t>
  </si>
  <si>
    <t>Эта электроплитка предназначена для небольших периодических приготовлений и быстрого одновременного разогрева двух блюд на 1-2 человек. Поэтому слабые ножки. Для небольших кастрюль. Плюсы - компактная, хороший термостойкий провод внутри, быстрый нагрев, дизайн. На отключенной от сети можно нагревать воду для подсобных нужд.</t>
  </si>
  <si>
    <t>очень хорошие весы! Простые в эксплуатации,чаша большая, в точности сомневаться не приходится. Берите не пожалеете, особенно ели у Вас есть хлебопечка.</t>
  </si>
  <si>
    <t>Купил, поставил быстро, единственное дефлектор мешает, пришлось немного в сторону сдвинуть, что создает небольшой дискомфорт при посадке через эту дверь. Прием сигнала уверенный, часто езжу по России, так лучше не встречал.</t>
  </si>
  <si>
    <t>Телефон у меня уже второй год. все в нем устраивает. Даже с камерой разобрался и мне ее возможностей хватает. Недостатки его следующие: слабая батарея (почти как у всех Самсунгов), выскальзывает из рук, почему пришлось купить к нему шнурок, и что очень раздражает - краска с металлических частей быстро стирается. Цвет моего телефона при покупке был черный, сейчас он представляет собой смесь полированного металла с отдельными черными вставками.</t>
  </si>
  <si>
    <t>плюсы - красивый дизайн, чугунные решетки, удобный ящик, подсветка духовки, небольшая цена  минусы - неудачная эргономика - малая и большая комфорки находятся на переднем ряду, а ими пользуешься гораздо реже чем средними. отсутствие электроподжига плиты. неравномерно печет - прям как старые советские плиты. хотя, нет...моя старая советская плита пекла лучше</t>
  </si>
  <si>
    <t>При установке вытяжки выяснилось, что в комплекте нет жироулавливающего фильтра. Его можно заказать через сервисный центр - цена 1400 р., но это еще плюс расходы!</t>
  </si>
  <si>
    <t>2014-04-26</t>
  </si>
  <si>
    <t>Отличный аппарат!!! Выбор пал именно на Goodwin Байкал TSV-2 с АОН. Выбор оправдан!!! Цена и качество!!! Все вполне устраивает, все работает от батареек и телефонной линии и не фонит!!! Всем рекомендую!!!</t>
  </si>
  <si>
    <t>Купил чуть больше недели назад.Выбирал между ASUS, Lenovo, Acer. ASUS дорого, Lenovo долго сомневался цена+ производительность+, но качество ?.ACER оказался золотой серединой. В общем доволен, единственное,что покупал за 25999 р, а через неделю уже 24690 р (обыдно).  Достоинства: высокая производительность, хорошее время работы от аккумулятора от 2 ч, удобная клавиатура и тачпад, красивый, тихий.  Недостатки: маркий экран, крышка, непонятный угол обзора экрана, русские и латинские буквы одним цветом белым.  ВООбЩеМ очень очень неплохой ноут за эти деньги. твердая 4++.</t>
  </si>
  <si>
    <t>Аппарат фактически два в одном:  Во первых это отличный mp3-плэер, реализованный на отдельном dsp, как во всей серии express music - что позволяет прослушивать музыку и радио в фоновом режиме. Поддерживает микро-sdhc карты (8Гб - проверено), имеет 3.5мм гнездо для наушников и достаточно качественный (для своего класса) отдельный встроенный динамик громкого воспроизведения. Радио - классически, без комментариев.  Во вторых - это современная мобила на платформе S40 пятого поколения, поддерживает J2ME MIDP 2.0  и имеет достойный экран 240x320. Из коммуникаций: поддержка EDGE, Bluetooch 2.0, многофункциональный USB порт. Вдобавок ко всему аппарат имеет камеру 2Мпикс, обеспечивающую достойные снимки (для устройства подобного класса).  Вдобавок к перечисленному телефон очень компактен, и что еще не маловажно - имеет очень привлекательную цену, фактически лучшее соотношение цена/функционал из всех представленных в продаже телефонов.</t>
  </si>
  <si>
    <t>Отличный звук, приятный дизайн, работает на ура! Пользуюсь уже полгода.</t>
  </si>
  <si>
    <t>Купил этот акум как дополнительный к основному. Снимаю теперь много и долго.3 часа в режиме 1080р держит свободно. Полностью доволен покупкой. Единственный минус-цена высоковата т.к сделано в Японии,Китай рядом не стоял. Рекомендую к покупке.</t>
  </si>
  <si>
    <t>597</t>
  </si>
  <si>
    <t>Купил сегодня телевизор - всем устраивает, только где-то в менюшке мелькал пункт "Радио"  уже все на десять раз обшарил не могу его найти... может кто подскажет?</t>
  </si>
  <si>
    <t>Пользуюсь им несколько лет, до этого был подобный Браун, но у него вышла из строя главная насадка - пришлось покупать новый. Браунами довольна, потому и купила новый той же фирмы.  Выбирала простой эпилятор без особых дорогостоящих и по сути бесполезных элементов типа охлаждающей насадки - к первому прилагалась "холодная" рукавица, я ею воспользовалась один раз и больше не стала - вещица бесполезная.  Здесь лишних "наворотов" нет. Эпилирующая головка и бреющая.  Удобны обе. Эпилирующую советую все же использовать с массажной или обычной насадкой сверху - иначе может "закусить" кожу. Нравится подсветка - сразу все видно. Две скорости тоже удобно.  Бреющей удобно пользоваться, и покупать дополнительно триммер не нужно: можно и подстричь волосы до 0,5-1 см, можно и "под ноль".  Из недостатков: как у любого другого эпилятора, на большой скорости может оборвать волоски, а не вытащить их.  Рекомендую.</t>
  </si>
  <si>
    <t>Шикарная посуда, очень нравится. Легко пользоваться и мыть. Но: разбилась стеклянная крышка и нигде пока не могу ее найти отдельно. В М Видео сказали, что даже на заказ не привезут.</t>
  </si>
  <si>
    <t>Вчера купила именно эту модель хлебопечки, испытала тем же вечером и осталась очень довольна. Очень простая в управлении (русское меню) пекла обычный хлеб - утром за завтраком я даже сказала "Прощай магазинный хлеб!))". Родные тоже одобрили, всем очень понравилось.</t>
  </si>
  <si>
    <t>Вчера купила данный вентилятор для родителей. Дешевый китайский пластик, конечно же, но смотрится вполне современно, если близко не приглядываться. Работает хорошо, очень удобная функция поворота в горизонтальной плоскости. Не слишком шумный даже на 3-й скорости, т.к. многие вентиляторы просто ревут. Единственное неудобство- низковат. Если сидеть в комнате на диване, к примеру,то вполне хватает зоны обдува, а если перенести его на кухню, где готовишь стоя - там уже хочется более высокую модель, чтобы дул не только до пояса, а повыше.</t>
  </si>
  <si>
    <t>Отличный чайник, удобная крышка, можно полностью открыть. Красивая голубая подсветка, никаких посторонних запахов из чайника нет, всегда видно сколько воды.</t>
  </si>
  <si>
    <t>Этот телефон у меня вторую неделю я тоже хотела Nokia N97 приобрести но после обзора сделала вывод Nokia отдыхает.По поводу зарядки не согласна лично у меня держит более двух суток при полном его использование.Может многим не мешало бы для начала первые разы нормально зарядить его....И ещё по поводу карты памяти, ни в одном описание не пишут о её наличии.</t>
  </si>
  <si>
    <t>Приобрели увлажнитель после рождения ребенка, функции свои выполняет на отлично. Влажность увеличивает в зависимости от заданных параметров. Ставим обычно на 60, в итоге 50-55 в комнате 30 кв.м. Покупкой довольна.</t>
  </si>
  <si>
    <t>Работает уже 4 года без всяких нареканий</t>
  </si>
  <si>
    <t>Это просто супер-термос! Отличное качество! У меня такой уже более 2-х лет и никаких проблем. Тепло держит отлично, открывать и наливать очень удобно. Использую исключительно для рыбалки (т.е. очень часто). За это время мои друзья - коллеги по рыбалке уже поменяли по два термоса других производителей.</t>
  </si>
  <si>
    <t>Аппарат работает нормально</t>
  </si>
  <si>
    <t>Дарили мне его на день рождения в 16 лет.  4 года назад.Мне очень он понравился, очень мощный выглядит хорошо, советую всем. Но я его раза 5 сильно раняла он треснул  по шву корпуса, но еще отлично работал. Насадка и задная сеточка защитная отлетели и вчера сушила волосы. И один волосок попал во внутрь и фен сгорел. Замкнуло. Щас думаю такой же брать. Надеюсь качество будет на 5)) а так 4 года отлично проработал. А сегодня уже на мусорку старый пошёл.)</t>
  </si>
  <si>
    <t>Моя любовь. Чистый кайф от прослушивания музыки и никакого дискомфорта для ушей. Использую в поездках и дома. Хорошие наушники с такой формой найти практически невозможно (не переношу вакуумные). Не профессионал, звук чистый, многогранный, никаких шумов, заглушает окружающий мир.</t>
  </si>
  <si>
    <t>Пользуюсь этим пылесосом полгода, мощностью абсолютно довольна, всасывает грязь, песок, пыль на ура! Фильтр удобно устроен, шнур длинный, насадки продуманные - в общем, крутой автопылесос!</t>
  </si>
  <si>
    <t>Купил месяц назад,устраивает целиком,регулировкой по содержанию мякоти не пользуюсь,т.к люблю густые соки.  Удобно мыть, качественно выжимает.</t>
  </si>
  <si>
    <t>2015-07-14</t>
  </si>
  <si>
    <t>Купила себе стиральную машина, очень довольна. Машина правда очень вместительная, легкая в управлении. Узенькая занимает мало пространства. За свою цену машинка просто супер,, хорошо стирает, полощет и отжимает, при это нет никаких вибраций. Много программ, маленький сливной шланг. У соседей сверху громче чем моя, тоесть когда стираем вместе - их громче слышно чем мою. Максимальная загрузка белья на 5 кг, для меня является существенной нормой. В общем и целом очень довольна этим "агрегатом". Посмотрю что будет через некоторое время пользования. Советую и Вам.</t>
  </si>
  <si>
    <t>Вентилятор очень хороший . Никакого шума . Замечательный просто .</t>
  </si>
  <si>
    <t>А у меня он крякнулся сразу после того как закончилась гарантия, обидно. Ремонт стоит почти столько же сколько купить новый. Причина - неизвестна(</t>
  </si>
  <si>
    <t>Очень хороший чайник для этой суммы))  купили его пару дней назад,пока нареканий  нет, запаха  нет,обычно когда чайник включён он очень громко греет,но это модель вообще не слышноразумная покупка за такую сумму)</t>
  </si>
  <si>
    <t>Покупала утюг перед отпуском летом, а теперь он как-то перекочевал на постоянное местообитание уже и в квартире - пользуюсь только им! Он небольшой и нетяжелый, удобная ручка, неприлипающая подошва. Имеется также функция вертикальной подачи пара, удобно гладить блузки и рубашки навесу. В общем, я довольна, что мы выбрали именно этот утюг.</t>
  </si>
  <si>
    <t>Купили по акции. Стирает-отлично,работает-тихо,  компактная,плохо что не видно времени окончания стирки.  КАЧЕСТВО - ОТЛИЧНО</t>
  </si>
  <si>
    <t>Хотя я пользуюсь этой фен-щеткой не так давно, но уже почувствовала разницу в использовании между обычным феном и круглой расчёской. Работает отлично, руки так не устают, насадка вращается сама в любую сторону. Радует подача холодного воздуха и мощность фена, который позволяет намного быстрее сделать укладку. еще вот заметила что ионизация, которая тут есть, очень хорошим образом на волосы повлияла, перестали электризоваться даже после капюшона и переливаются на свету теперь) очень довольна эффектом)</t>
  </si>
  <si>
    <t>Купила это стайлер давно, но всё никак не было времени поделиться впечатлениями. Девочки, стайлер просто супер! Огромное количество насадок и все они работают безукоризненно! Укладка сделанная этим агрегатом без помощи лаков и муссов держится в течение всего дня. Единственный маленький минус: неудобная смена пластин гафре и выпремителя, но это ,как говорится, &amp;quot;мелочи жизни&amp;quot;! На время давала попользоваться родственницы свой, она была в восторге - теперь знаю какой подарок подарим ей на день рождения! Всем очень рекомендую, вы не будете разочарованы!</t>
  </si>
  <si>
    <t>долго выбирала, читала отзывы и выбрала mystery.отличный чайник,нет запаха пластмассы, стильный,не шумный и подсветка приятная- берите не пожалеете!</t>
  </si>
  <si>
    <t>Не советую брать, качество отвратительное. Чтобы ее поставить пришлось перепаять все проводочки толщиной с волос на микросхемке, так как они порвались в первую минуту установки. После трех дней использования снял и выкинул. Прием слабый не стабильный.</t>
  </si>
  <si>
    <t>3047</t>
  </si>
  <si>
    <t>Плазма супер - соотношение цены и качества идеальное! Халява за такие деньги! Если важна большая диагональ - берите, не пожалеете!</t>
  </si>
  <si>
    <t>Купил сегодня в М-ВИДЕО. Звук отличный. Я сначала сомневался. А сейчас, я доволен. Качество+цена, суперские наушники.</t>
  </si>
  <si>
    <t>Хорошая вытяжка,работает на отлично.Цвет не белый (не маркий),дисплей,функции как у дорогих аналогов.Пользуемся  постоянно около года,без замечаний. Советую.</t>
  </si>
  <si>
    <t>Здравствуйте!  Однозначно - класный ноут..ведь всё-таки для портативности очень даже подходит..  Не проблема взять и "соню" - но явно подороже будет уж..  А тут есть практически всё..  USB-модем заменил отсутствующий кардридер (присутствует в моделе модема).  Я не гуру в комплектующих и точно не могу выяснить модель,у меня G550.Насколько понял их есть целая серия..  Тут пишут что проц на Celeron 1.8 Dual-Core - это 2 ядра что ли?  На офиц.сайте поддержки ввёл серийник,вот что выдало:  Liteon PA-1650-52LC NB adapter(EPS2.0) [1]   LINETEK LS15+H03VV-F+LP-34 card [1]   CPL G550 15BB W/Q-GL T [1]C  Cbt BCM4312 M 802.12G MOW NB WLAN [1]   TSST TS-L633B Tray in Rambo [1]   Hy HMT112S6BFR6C-G7 N0 DDR3 1066 1GB [2]   Hy HMT112S6BFR6C-G7 N0 DDR3 1066 1GB [2]   Intel ICPM 900 2.20G 1M R-0 PGA CPU [1]   Seagate ST9160314AS 160G 9NB HDD    Получается процессоры разные или как?  Благо 2 планки по 1 GB типа DDR3 полностью себя оправдываю...значит dual chanel работает.  Вообщем - я доволен..</t>
  </si>
  <si>
    <t>Мне не нравится, почему такой маленький дисплей, а вокруг толстые каемки лучше бы дисплей был на весь размер.</t>
  </si>
  <si>
    <t>Купили машинку 2,5 года назад. Конечно подкупил дизайн, большой барабан. По большей части пользуемся тремя программами. Первая поломка случилась через 1,5 года - вгорела основная плата управления. Вторая - через 1,7 года, опять плата. Третья и надеюсь последняя через 2,5 года коротнуло (непонятно от чего есть и стабилизатор и в помещении не влажно) замок блокировки двери загрузки. Так что вот так. Решайте сами , а я теперь куплю рублей за 10 тыс. и не буду парится когда она сломается.;))!!!!</t>
  </si>
  <si>
    <t>Мы купили этот холодильник в апреле 2013, и как-то раз в нем потекло мясо, и все стекло вниз в вышеуказанное отверстие. От холодильника пошел жуткий запах! Причем в большей степени от задней стенки. Когда залила туда чуть-чуть воды, запах прошел. А в целом за такую цену холодильник просто отличный, нареканий никаких!</t>
  </si>
  <si>
    <t>Несколько часов как пользуюсь, сегодня купил, собрал за 5 минут, очень им доволен! За такие небольшие деньги столько функций и приемлемое качество. Занимает мало места, отлично справляется со своими функциями. В общем хороший необычный вентилятор (не привычный напольный).  Теперь друзьям буду советовать именно эту модель. Спасибо Максиму Куликову (менеджер?) - обратился к ближайшему стоящему ко мне человеку - он и подсказал. Кстати такой большой выбор вентиляторов в Омске только в М-Видео (объехал весь город,полдня потратил - а магазин был в 5ти минутах от меня).</t>
  </si>
  <si>
    <t>Пользуюсь почти месяц. Телевизор за свои деньги на высшем уровне - цветопередача, функционал. Лично мне очень нравится функция авторегулировки звука - проблемы с "кричащей" рекламой теперь нет...Для тех, кто не разобрался, объясню - в этом телевизоре реальные 100 Гц. При нажатии кнопки "ОК" телевизор отображает параметры входного (!!!) сигнала, а 100 Гц получается на выходе (т.е. на экране) после его обработки. Опять-таки, 100 Гц не работает при использовании телевизора в качестве монитора, при этом все улучшайзеры выключаются. По поводу показа аналогового сигнала - нужен хороший источник (например, Триколор) и тогда будет все достойно (все-таки стандартный сигнал 720х576, а у телевизора разрешение 1920х1080). "Аватар" весом 25 Гб смотрел с наслаждением...  P.S. Внимательно читайте инструкцию!</t>
  </si>
  <si>
    <t>Модель 42LH2000 USB перешилась на ура! Смотрели Аватар BDrip - просто отлично. Мульт Маша и медведь качество FullHD - круче не видел картинки.  Одни плюсы - тюнер ловит максимум каналов. DVB-T не пробовал т.к. в Нефтеюганске его нет пока.  Советую всем.</t>
  </si>
  <si>
    <t>Потрясающий ноутбук! уже как 8 месяцев пользуюсь,никаких проблем..сам делает восстановления системы если что! удобная клавиатура, материал отличный, очень красивый дизайн, все работает как надо! сенсорная панель вообще классная! пульт есть, правда он у меня не работает из-за батарейки!  все в нем нравится! правда тяжелый!</t>
  </si>
  <si>
    <t>2648</t>
  </si>
  <si>
    <t>При беге сидят как влитые! Хороший шнур в тряпичной оболочке, не путается!</t>
  </si>
  <si>
    <t>Пользуюсь почти год - очень довольна. Пользуюсь не так часто, но на всякого рода праздниках и приёмах друзей - незаменимая помощница. Режет всё! для меня было всегда бедой порезать красную рыбу, теперь голова не болит....за минуту кусочки тонкие, ровненькие, один к одному - красота. Режет все и мясо-колбасы, домашняя буженина получается тоненькая и не разваливается, свежий хлеб, лук в шашлычок. Мощности предостаточно. Нож очень острый, палтус с хребтом - в один миг, форель на стейки с хребтом - тоже. Легко разбирается, моется. Единственная печалька - металлическое вертикальное основание слегка ржавеет. Муж говорит, нечего лимоны резать - металл окислился! Ооочень всем советую! Отличное соотношение цена-качество!!!</t>
  </si>
  <si>
    <t>2612</t>
  </si>
  <si>
    <t>Добрый день, хочу написать отзыв с призывом о том, что очень редко стоит доверять отзывам на сайте!!! Поверив одному из них, я с утра уже хотела бежать в магазин и менять плиту. Вчера в магазине купили плиту, нам очень понравился дизайн ( но больше всего устроила конечно оптимальная цена), маму вдохновила Польская сборка, пришла домой и залезла в интернет, прочитала отзыв о том что плита отвратительная, что некоторые дамы обпалили ей руки, что плитой просто невозможно пользоваться. Сегодня служба доставки привезла нашу плиту, и мы первым делом ее установили. Что я хочу вам сказать? Духовка великолепная, зажгли с первого раза, перед этим внимательно изучили инструкцию-к чему вас призываю, ничего не спалили и не повредили!!! Единственный минус, даже не совсем минус, шумят комфорки, но я считаю в этом нет ничего плохого. Электроподжиг работает замечательно, в духовке есть освещение.Подключили самостоятельно, без дополнительных усилий</t>
  </si>
  <si>
    <t>Печь супер берите!</t>
  </si>
  <si>
    <t>Компактный, идеален для установки в туалете.</t>
  </si>
  <si>
    <t>to Сергей Западный (Москва)  установил CoreAVC, фильмы HD в WMPlayer идут без тормозов, со звуком, правда, проблемы небольшие, но в CMPlayer тормоза огромные. В чем дело, кто знает?</t>
  </si>
  <si>
    <t>Отличный монитор - великолепная контрастность и насыщенная "глубокая" передача цвета, отлично подходит для игр и просмотра фильмов и фото, хорош для работы даже с мелкими текстовыми шрифтами. Благодаря глянцевому покрытию экрана цветопередача на порядок выше, чем у "матовых" экранов (например в сравнении с Samsung P2050), но из-за этого "бликует" - для кого-то это "минус". Если сравнивать эти оба монитора (у меня есть и тот и другой), то по моему мнению - Acer лучше.</t>
  </si>
  <si>
    <t>Великолепный аппарат. Плюс у меня еще и кабель HDMI в комплекте. Практически всеядный плеер, очень солидно выглядит. Апскейлинг DVD работает на пять с плюсом. Видео по домашней сети, mkv читает. Не знаю, что можно еще пожелать. Отлично!</t>
  </si>
  <si>
    <t>очень хороший утюг! паровой эфект просто отличный! 2 регулировки! просто супер!</t>
  </si>
  <si>
    <t>Купил неделю назад пока доволен. Радио неплохо ловит, хотя не хватает rds. неплохая опция что можно воткнуть 2 камеры заднего вида.(собираюсь поставить на днях) Из минусов не удобно вставлять панельку и уж тем более cd flash - придется каждый раз снимать панель магнитолы.</t>
  </si>
  <si>
    <t>Компактная, стильная, красивая, продумано все до мелочей. Выбор режима стирки прост и понятен. Все написано на русском языке и дублируется световой индикацией, можно приступать к стирке не читая паспорта по эксплуатации с дополнительной возможность корректировки времени стирки. Моя мечта сбылась!!!</t>
  </si>
  <si>
    <t>1750</t>
  </si>
  <si>
    <t>Полностью бесполезна, купил в феврале (не знаю почему, просто захотелось) воспользовался первый раз в марте по той же схеме, вот только бочку ставил на метр чтоб напор был сильней. Чтобы смыть грязь предварительно надо не менее 70 литров, а потом шампунь литров 10-15, ему нужно постоять чтобы шампунь грязь разъедать начал, но он вместо этого просто засыхает(на солнышке минуты за три) и что бы его смыть уходит ещё литров 70. я просто замучился воду в гараж возить. а то что она при всем при этом толком ещё и не отмывает, а оставляет грязевые разводы, я вообще промолчу. лучше губку с ведром купить или на мойку заехать.   Однозначно и не оспоримо.</t>
  </si>
  <si>
    <t>765</t>
  </si>
  <si>
    <t>У меня Томас уже почти год. Много времени занимает чистка самого пылесоса после использования, но это того стоит. Результаты уборки просто великолепные!!!! Очень довольна покупкой!!!!</t>
  </si>
  <si>
    <t>2292</t>
  </si>
  <si>
    <t>каждый рабочий день со мной, работает отлично уже на протяжение 5 лет, скорость отличная, советую всем!!!!</t>
  </si>
  <si>
    <t>Купила данную модель из-за прецизионного эпилятора. Была мечта о Бразильском бикини. Оправдал мои ожидания. Удобно, быстро, не больно (хотя порог чувствительности у всех разный). Волоски удаляет с корешком, раздражения не было. Хотя опять-таки у всех кожа разная. Мне понравилось. Рекомендую.</t>
  </si>
  <si>
    <t>Купила комбайн две недели назад. Все вроде хорошо, коктейли получаются замечательные, но не нравится нарезка кубиками из-за того что застревает много и не до конца нарезается.Очень не удобно чистить забитую кубиками терку, особенно после моркови. В остальном все хорошо! Ставлю оценку 4+.</t>
  </si>
  <si>
    <t>Прочитала все комментарии о панель и не много в шоке...  Панель купили в мае, все лето провела в Москве и она мне служит верой и правдой.  Во первых у нее красивый дизайн, отдельные решетки не ездят по панель, за счет бортов.  Хороший электроподжиг (безопасный для детей).  Легко и быстро можно протереть стеклянную поверхность после приготовления, а за счет отдельности решетки помыть их в раковине. Кто то писал что ржавеет, царапается и т.д, бред все зависит от людей, если после приготовления пищи убирать поверхность, не кидать на нее ни чего и не возить, ни каких царапен не будет.  Очень довольна панелью и доступной ценой!</t>
  </si>
  <si>
    <t>Уже пол-года пользуюсь этим нетбуком. Все нравится! Быстро загружается, очень удобен при работе в интернете. Для обычного пользователя подходит идеально, и внешне очень красиво смотрится.</t>
  </si>
  <si>
    <t>Долго выбирали и решили остановиться на ней. Взяли её и не прогодали,манты получились оч вкусные!!! Всем советую и рекомендую!!!P.S. моется оч легко и просто!!!</t>
  </si>
  <si>
    <t>Очень хороший коммуникатор! Главное положительное качество этого аппарата - цена! Практически все программные проблемы решаются установкой стороннего софта! Единственный минус, с которым я ПОКА не справился - тихий разговорный динамик! В итоге мощный и качественный коммуникатор, для тех, у кого руки откуда надо растут!</t>
  </si>
  <si>
    <t>Щетка стоит свои деньги. Больше бы никогда за нее не заплатила. Единственный минус-это долгая зарядка.</t>
  </si>
  <si>
    <t>Недавно купили йогуртницу TEFAL 8875, сколько я с ней намучилась, сколько перевела продуктов, методом проб и ошибок - вышел долгожданный вкуснейший домашний йогурт! Как я делаю: молоко 3,5-6% ,стерилизованное, совсем немного подогреваю, добавляю йогурт Активию, размешиваю хорошенько, под баночки ложу салфетки (чтобы не перегревалось), баночки ставлю в йогуртницу, включаю её на 35-40 мин. (не больше!), спустя указанное время - выключить из розетки, ВСЁ! Ставлю всегда на ночь, на 8 часов. Йогурт получается отличный всегда!</t>
  </si>
  <si>
    <t>1546</t>
  </si>
  <si>
    <t>Купил 6 мес назад. Даже в магазине на полке обратил внимание, что изображение по TV-сигналу менее четкое и "туманное" по сравнению с соседями. возможно из-за поддержки DVB-T или сборки в России. По видеовходам все нормально, звук нормально.</t>
  </si>
  <si>
    <t>Рекомендую эту соковыжималку. она мощная, отжим сока занимает секунды. жмых почти сухой. легко собирается и разбирается.</t>
  </si>
  <si>
    <t>Купили этим летом, великолепное сочетание цены и качества... Отжимает всё, что положишь. Всем советую!</t>
  </si>
  <si>
    <t>Стоит ли покупать этот телефон или подождать пока Nokia ещё выпустит какой-то дешёвый телефон с хорошим набором функций?</t>
  </si>
  <si>
    <t>Отличный пылесос, очень мощный, после одной уборки контейнер был полный, как будто и не пылесосили никогда. Чаша очень просто очищается, недорог  в эксплуатации, один раз в год нужно поменять фильтр, который стоит 400 руб. Берите, не пожалеете</t>
  </si>
  <si>
    <t>Великолепный пылесос, не надо менять и искать мешки, всегда можно посмотреть не запылисосил ли чего лишнего. Если не лень помыть контейнер рекомендую. Ну, а если лень можно ждать пока наполнится, как и с обычным пылесосом,  вытряхнуть и не мыть.</t>
  </si>
  <si>
    <t>Купили год назад, на даче урожай яблок отработала на ура.Эксплуатировали беспощадно но она выдержала.В этом году повторим подвиг.Выбирали надёжную,качественную,на большой объём продуктов.Спасибо продавцам М-Видео за качественную консультацию.Выбором очень доволен всем рекомендую.</t>
  </si>
  <si>
    <t>1724</t>
  </si>
  <si>
    <t>Вторая часть Naruto Shippuden Ultimate Ninja Storm 2 охватывает события аниме Naruto Shippunden с первой арки про спасение кадзекаге до битвы Наруто с Пейном. Опять же как и большинство подобных игр, она рассчитана в основном на фанатов или тех, кто хотя бы слышал об этой вселенной. Правда, сюжет не плохо рассказан в сюжетной компании, так что и тем, кто слыхом не слыхивал про Наруто, игра может прийтись по душе. Бои здесь по настоящему завораживают, все выглядит красиво и эпично, в частности в битвах с босами. Персонажей и арен достаточно много, так что есть кем и где разгуляться. В целом игра стоит своих денег, если вы конечно фанат, если же вы им не являетесь, то стоит, конечно, задуматься, хотя, как я и писал, игра красива и динамично. Один из лучших представителей файтингов в своей нише.</t>
  </si>
  <si>
    <t>Судя по прошедшей конференции E3, у Nintendo было самое удачное выступление. Новый марио, новые покемоны, новая зельда - что еще нужно для жизни?  Ну, конечно немного огорчило что PS Vita будет стоить $249, могли бы тогда 3DS дешевле сделать.</t>
  </si>
  <si>
    <t>Купил две недели назад.Работает отлично.Тв показывает хорошо,не только под телевышкой или в поле.Но в квартире похуже немного.Радио тоже работает нормально.Хорошо читает музыку,видео,фото.Можно ставить флэшку до 8 ГБ,собственная память 4 ГБ.Советую брать.Оценка 5!</t>
  </si>
  <si>
    <t>Пользуюсь таким феном более 10 лет, сама в шоке от такого.Сегодня в шнуре контакт отошел.Планирую покупку другого фена, вот думаю не взять ли снова такой, хотя мощность есть и побольше....Вообщем фен здоровский мне повезло.Прослужил на Славу!!</t>
  </si>
  <si>
    <t>Данная модель пылесоса очень тихая и мощная, что сокращает время на проведение уборки. Также можно регулировать мощность в зависимости от очищаемой поверхности. Нет проблем с мешком для пыли, а есть отличная чаша большого объёма, которая легко извлекается и очищается простой водой. В общем, я доволен приобретением.</t>
  </si>
  <si>
    <t>Подарили эту "прелесть" и Я, не нарадуюсь им уже 2 месяца, всем довольна,и дизайном и функциями,а камера вообще супер,...все что нужно в нем есть.</t>
  </si>
  <si>
    <t>2211</t>
  </si>
  <si>
    <t>Комната у меня небольшая и полноразмерную акустику не было смысла покупать, вот и выбрал поменьше. Но и эта полностью оправдала мои ожидания и я услышал именно тот звук, который хотел. Очень насыщенно они звучат и заполняют звуком всю комнату. С расстановкой и подключением я быстро разобрался, места они заняли не много, а вот удовольствия теперь доставляют много. И музыка звучит суперски, и фильмы смотреть приятно. Сабвуфер хоть и не сильно мощный, но басы звучат хорошо и не навязчиво.</t>
  </si>
  <si>
    <t>Телефон отличный! Все работает на ура! Звонки одновременно принимаются на 2 симки - это очень удобно. Звук отличный, очень громкий! Жаль только, что динамик находится сзади - это немного снижает уровень звука. Нечаянно упал на стол - ничего не откололось, что очень порадовало. Дальше работает нормально, без последствий. Удобное меню, отличный интернет! Супер экран. В общем - отличный телефон, не могу нарадоваться, рекомендую всем!!!</t>
  </si>
  <si>
    <t>Купила пару месяцев назад. Супер просто. Маленький, лёгкий, клавиатура натуральной величины. Веб камера, микрофон. И самое важное, заряд держится больше 6 часов!!!</t>
  </si>
  <si>
    <t>2443</t>
  </si>
  <si>
    <t>купил жене телефон, очень довольная.</t>
  </si>
  <si>
    <t>нормальный телефон, у меня Iphone 3gs а у папы 3g почти ничем не отличаються но все таки телефон супер, что касается моноблока-работает идиально, без косяков!!! хочу IPAD но еще не читал про не го отзывы да и нужуе он??</t>
  </si>
  <si>
    <t>Рекомендую этот пылесос! Мы очень довольны.</t>
  </si>
  <si>
    <t>Покупал данную кофеварку. Сама по себе неплохая, но со временем стал ослабевать насосик подачи воды. Через чуть меньше года после покупки он вообще работать перестал, а гарантия - год. Поменяли по гарантии на новую. проработала чуть больше года. В гарантийном сервисе сказали, что кофеварки мулинексы летят чаще других. Так что имейте в виду.</t>
  </si>
  <si>
    <t>Чайник умрет у вас через год примерно. 100%.  У него серьезный инженерный просчет - крепление ВНУТРИ крышки, которое держит механизм закрывания крышки. От нагрева примерно через год пластик "устаревает" и крепление просто "срезает".   У меня было 2 таких чайника (первый под брендом StadlerForm, второй - Kambrook), оба умерли примерно через одно время и с одинаковым диагнозом.  Ушел выбирать иную модель, чего и вам желаю .</t>
  </si>
  <si>
    <t>Полностью доволен сабом, качает так что волосы шевелятся на голове, так что советую, к нему усилок на 350 номиналом взял</t>
  </si>
  <si>
    <t>2157</t>
  </si>
  <si>
    <t>Для не дорогой акустики качество хорошее. Гудения нет. Использую с Пролоджи 2300. Сердцебиение не нарушается. Если в машине применить всякий виброматериал, то уверен, что низы улучшатся. Ещё не пробовал. Включен мостом. Автомобиль седан. Советую.</t>
  </si>
  <si>
    <t>Купил в мае в М-Видео по акции. Уполномоченная компания установила через 4 дня быстро (1,5 часа) и качественно. Холодит отлично, от внешнего блока никакого шума (даже при открытых окнах не слышно). Причем установили так (между окнами квартиры), что кабелей и шлангов не видно и короба не нужны. Спасибо установщикам и Daikin - достойное качество.</t>
  </si>
  <si>
    <t>1431</t>
  </si>
  <si>
    <t>Купили в сентябре 2011. Полёт нормальный. Работает тихо, морозит как надо. Все довольны. Вот только дверки жестко открываются, но это лучше, чем болтающиеся и со щелями.</t>
  </si>
  <si>
    <t>Удобно держатся на ушах - не давят! звук добротный на твёрдую 4-ку. И лёгкие!</t>
  </si>
  <si>
    <t xml:space="preserve"> Удобное управление с пульта.Быстро нагревает воду и долго держит температуру. Модный дизайн.</t>
  </si>
  <si>
    <t>2126</t>
  </si>
  <si>
    <t>Никаких замечаний. Именно те качества, которые ожидаешь. Даже нагревается без щелчков, как многие другие. Хотелось бы только шнур подлиннее.</t>
  </si>
  <si>
    <t>Коммуникатор неплохой, у меня уже две недели. Плюсы: стильный дизайн, большой экран, хороший набор функций для бюджетной модели и новая ОС 6,5. В минусах, естественно, отсутствие Wi-fi и не очень качественная камера. В общем коммуникатор неплохой. Лучше покупать белый вариант - на нём меньше остаются отпечатки пальцев.</t>
  </si>
  <si>
    <t>Лучший мультимедийный ноут! В т.ч. и для игр! Но... есть ряд недостатков. Хочу поделится опытом и опишу все по порядку.    Очень долго и внимательно изучал модели, чтобы выбрать себе полноценный мультимедийный ноутбук, а именно для просмотра HDTV, хорошая матрица, вывода HDTV на внешнюю панель, наличие оптики (S/PDIF), Возможность играть в классические и даже современные игры (Far Cry, Far Cry 2, HL2, F.E.A.R.) и с учетом принудительного засилья Vista - МНОГО памяти. В общем все это я нашел именно в этой модели - LJ65-DT-002RU! Но после недели эксплуатации вылезло несколько недостатков.    1) Матрица действительно с хорошей цветопередачей (для ноутбуков), с достаточной яркостью и равномерностью подсветки, но при малейшем отклонении от перпендикулярного расположения происходит "визуальное изменение гаммы", искажение цветов и даже уходит в негатив (при отклонение вниз на 25-30 градусов от перпендикуляра)! Особенно заметно при вертикальном перемещении, опустив или подняв крышку. Этот недостаток сыграет на руку в играх, когда захочется быстро рассмотреть детали в темноте :)   2) Предустановленная ОС была укомплектована относительно старыми и неполноценными драйверами видеокарты GeForce GT 130M (следует отметить, что в последние 3 года у NVIDIA постоянно идут какие-то проблемы с драйверами). Ситуация усугубилась тем, что на сайте производителя вообще нет драйверов ни на эту модель, ни на всю линейку.  Более того официальные драйвера от NVIDIA НЕ ПОДХОДЯТ!  В официальной службе поддержки эту информацию подтвердили и обещали, что в будущем выложат на сайт.  3) ПК поставляется забитый всяким хламом и из 250ГБ свободны только ~150Гб! Так что если этого мало, то придется занятся форматированием с учетом предыдущего пункта.  4) Отсутствие e-sata.  5) Vista ;)    Дополнительно обнаруженные во время эксплуатации плюсы:  + длительное время работы от батареи,  + нет перегрева даже при прогоне 3DMark 05,  + шустрый и абсолютно бесшумный HDD (даже по моим меркам),  + очень удобные сенсорные кнопки над F-клавишами (Громкость, Mute, режим энергосбережения и самое главное вкл/выкл Wi-Fi!)    Если вы заранtе готовы смерится с описанными выше недостатками, то не пожалеете о покупке.</t>
  </si>
  <si>
    <t>Потёк через 2 недели "щадящего" использования. Некачественно и сделан стык верхней и нижней частей. Если посмотреть из нутри на чайники других марок подобной конструкции сразу видна герметизирующая прокладка, а здесь непойми что.</t>
  </si>
  <si>
    <t>Чайник работал целый год отлично. Но через 2 недели как закончилась гарантия он сломался.</t>
  </si>
  <si>
    <t>Наушники хорошо подходят для домашних бытовых дел, когда хочется послушать радио или музыку. Звук довольно хороший, и хорошо сделана шумо-изоляция: даже пылесосить в наушниках можно, не слушая гул пылесоса. Очень рада таким хорошим звучанием, за такую цену, если честно ожидала что наушники будут намного хуже !</t>
  </si>
  <si>
    <t>Halo Reach это лучшее что случилось с индустрией видеоигр в этом году.  Проработанный игровой мир, одиночная и кооперативная кампании, и самый лучший соревновательный мультиплеер, который будут играть еще многие годы.    5 из 5</t>
  </si>
  <si>
    <t>2520</t>
  </si>
  <si>
    <t>Брали эту посудомоечную машину года 2 назад.Претензий к качеству мытья нет.Надо только чистить её регулярно .Один раз правда вода из заливного шланга попала куда не нужно (видно по гайке пластмассовой подтекала).Сработала защита от протечек.Гудела и не работала .Вызвали мастера (благо было доп обслуживание) всё сделал и денег не взял .Вобщем доволен и обслуживанием и машинкой.Планирую приобрести кухонную технику там же.</t>
  </si>
  <si>
    <t>У решетки диаметр намного меньше, чем должен быть. Из-за этого шнек "гуляет" во все стороны и трётся о стенки. Сразу же с них стесался металл, и фарш был с металлическими опилками. Кроме этого - фарш не крутит, а давит! При этом ревет как реактивный самолет и брызгает во все стороны.</t>
  </si>
  <si>
    <t>После тогого, как попал под дождь начали расходиться швы и ползти нитки. Молнии с первого дня плохо закрывались, а в последствии вообще пришли в негодность. Горе, а не рюкзак.</t>
  </si>
  <si>
    <t>У меня этот ноут еще 2 недели. Минусов пока особых не нашел, за исключением того, что виста долговато загружается, ну и довольно чувствительно нагревается, хотя это дискомфорта не вызывает. Порадовал тем, что без проблем воспроизводит full HD видео, ну и можно поиграть в довольно приличные игры(года 2006-7 правда :)). Пока что покупкой доволен.</t>
  </si>
  <si>
    <t>Купил более года назад, впечатление в принципе хорошее. Шерсть от собаки с ковра всю собирает))) Из плюсов - дизайн, мощность всасывания на высоте, очень удобная насадка. Из минусов - неудобно включать ногой, качество сборки - в месте, где стоит уплотнитель контейнера, пыль немного вылетает)) и когда открываешь, чтобы вытряхнуть при открывании остается на уплотнителе, а потом падает - не очень приятно)) Хороший пылесос, о покупке не жалею.</t>
  </si>
  <si>
    <t>Очень разочарована покупкой!  Изначально особо никакого эффекта от пара не было,  а потом пар и вовсе перестал выходить.  И в общем, перепробовав кучу утюжков, я могу сказать, что этот самый ужасный.  И волосы он ОЧЕНЬ сушит, несмотря на все свои рекламные лозунги о щадящем выпрямлении и, как выразилась ОЛЬГА, "восстановлении водного баланса волос".  Даже при использовании всевозможных защитных спреев, восстанавливающих масок и масел волосы были очень испорчены.  Кроме этого через некоторое время перестает отображаться температура на дисплее.</t>
  </si>
  <si>
    <t>Все устраивает,экран супер.Работает шустро.Единственный минус - одна колонка,тиховато звучит.Ну и качество материалов корпуса..А так отличный ноут за эту цену.</t>
  </si>
  <si>
    <t>Купили машинку год назад, пока никаких нареканий не вызывала. Большой барабан, загрузочный люк тоже большой, можно без проблем загрузить одеяло, очень приятный внешний вид, все необходимые программы для стирки (особенно порадовала программа на 30 минут). Удобная в управлении, проста в использовании, инструкцию даже не открывали, в режиме ночной стирки её почти не слышно!!!</t>
  </si>
  <si>
    <t>Нормальный системный блок</t>
  </si>
  <si>
    <t>2418</t>
  </si>
  <si>
    <t>Купила пылесос 4 месяца назад. Пылесос отлично себя зарекомендовал, на 3-й мощности от ковра не оторвать - так сильно всасывает.Единственное, что меня не устраивает - так это уровень шума, всё остальное на твёрдую 4-ку.Если бы сейчас был выбор в покупке пылесоса - взяла бы более компактный, с меньшим уровнем шума, а наличие аквафильтра, я думаю, - просто рекламный ход, разницы нет никакой.</t>
  </si>
  <si>
    <t>Владу из Липецка (7.01.2011)    10 назад вы купили скорее всего чайник, сделанный реально во Франции, поэтому такой достойный результат. А то, что продают сегодня - это все КИТАЙ, который долго не живет, ибо это невыгодно. Их миллиард, кушать тоже ведь хотят..</t>
  </si>
  <si>
    <t>Очень,ооочень плохие наушники</t>
  </si>
  <si>
    <t>1784</t>
  </si>
  <si>
    <t>Звук в плеере просто ужасный!!! Отвратительные высокие и невнятные еле заметные басы. Настраивать главный эквалайзер смысла нет, он ничего не меняет практически, а при включенном фирменном "улучшайзере" слушать становится невозможно. Использовал и родные уши, и фишер-аудио сильвер буллет, и сенхайзер мониторный, и еще несколько различных моделей - звук отвратительный везде. После плеера SONY и Cowon - это ...   НЕ СОВЕТУЮ НИКОМУ!!!</t>
  </si>
  <si>
    <t>За 1 день поменяли 3 машины в М.Видео, все машины оказались с заводским браком.Первая перестала шить на 2-й день,отнесли в магазин, вторая шила только с поднятой лапкой, третья после 5-и минутного нормального шитья стала путать нитки, верхней нитью вообще не шила, а нижняя петляла.</t>
  </si>
  <si>
    <t>Всем рекомендую. Легкая удобная, работает бесшумно. Стирает отлично! Есть 2 режима стирки - нормальный и деликатный. За счет  вращения активатора вещи не спутываются одним комком. Минусы- все же это короткий шланг. Купили родителям в деревню, чтобы не стирали полотенце и мелкие вещи руками, есть 2 стиральные машинки с центрифугай, отжимает вещи ей. Маме очень нравится что можно налить немного воды и стирать.</t>
  </si>
  <si>
    <t>Отличные наушники, сидят как влитые. Чистейщий бас и звук. Конструкция наушников ОЧЕНЬ удобна, нисколько не чувствуются в ушах. Покупкой очень доволен!</t>
  </si>
  <si>
    <t>Сразу был разочарован отсутствием цифрового дисплея, о котором написано в характеристиках - это обычный светодиодный индикатор. Испарение находит щель вблизи оси вращения верхней крышки, поэтому машинку ставить на кухне нельзя, иначе будешь дышать запахом стиральных порошков. Циклы стирки по времени абсолютно непонятны: не знаешь, на какой стадии находится стирка. Режим быстрая стирка длится полтора часа. Машинка сделана для стран СНГ и этим всё определено.</t>
  </si>
  <si>
    <t>Была такая проблема, проскальзывали горизонтальные линии в пиксель толщиной. Особенно это становилось заметно после выхода из режима гибернации. Проблема решилась заменой ноута. К чести персонала mvideo, никаких задержек и проволочек с этим не было.</t>
  </si>
  <si>
    <t>Ужасный товар. Решила сварить суп в 5л кастрюли, после часа работы этой варочной панели, поставила на соседнюю камфорку пережарку готовить, 2 средних луковицы и 1 морковь, жарилась до золотистого цвета на максимуме 40 минут. Стала тестить, за сколько минут закипит 1 литр воды. Первый раз (когда плита была остывшая) закипело за 7 мин., затем за 13 мин., затем 23 мин., четвертый раз первый пузырик всплыл через 36 мин. Я считаю, что данная варочная панель очень, очень сомнительного качества.</t>
  </si>
  <si>
    <t>Плойка просто супер!!! Быстро нагревается, и времени на завивку не много трачу! Достойно для такой цены!</t>
  </si>
  <si>
    <t>Пароварка непонравилась.</t>
  </si>
  <si>
    <t>Товар понравился как в магазине так и дома.Работает отлично ,3 положения скорости ,очень удобно кстати.подсветка.штопор вращения.оценил.Минусы тусклая подсветка!Товар хороший .всем доволен.</t>
  </si>
  <si>
    <t>Этот ноут у меня уже примерно 5 месяцев!Работает супер!Никаких проблем с ним не было тьфу тьфу))!Очень долго выбирал и просто счастлив что выбрал именно его, насчет того что сильно шумит не согласен!))может это у некоторых брак такой!лично у меня когда нагревается, тогда и кулер включается, что касается встроенного антивируса(что его не как не удалить)тоже не согласен))))удалил через установку и удаление программ)))Сейчас стоит нод32 и 3G модем от мегафона....В общем я очень доволен этим ноутом!!!Всем советую!!!!</t>
  </si>
  <si>
    <t>Отличное предложение. Игрушка чужого в комплекте и игра. То что надо для коллекции)))</t>
  </si>
  <si>
    <t>Купили перед новым годом,первое время работал без проблем,заправки хватало на 6 часов,переодически чистили его,с каждым месяцем воды хватало на большее время,хотя работал на одном и том же режиме... Фильтров в продаже нет,а с нашей водой он засоряется очень быстро,в итоге он просто перестал работать.При визуальном осмотре сам ультразвуковой элемент просто напросто лопнул,толи автомат отключения не сработал,толи сам по себе,и при заправке потекла вода...</t>
  </si>
  <si>
    <t>1136</t>
  </si>
  <si>
    <t>Пользуюсь уже год плеером и всё работает отлично.Я довольна))))</t>
  </si>
  <si>
    <t>Купила Ноутбук HP ProBook 4515s пару дней назад и расстроилась, говорят, что при переустановке Windows не найдешь драйверов. Совет: прежде чем покупать, нужно проконсультироваться у специалиста, потому, что продавец правды не скажут.</t>
  </si>
  <si>
    <t>смотрю 4 месяца,с апреля.  читал ,сравнивал, пришёл в магазин-  подключили понравился.  видео с DVD отличное.  подключил к компу через HDMI разрешение   1980*1080, смотрю видео в этом же разрешении - отлично, я даже не ожидал.  часы вручную не устанавливаются, только с эфира, если есть каналы с телетекстом.  Звук- для телика- супер.</t>
  </si>
  <si>
    <t>Сегодня с дочкой пошли покупать утюг . Понятия не имели что такое парогенератор. Консультант нам объяснил все преимущества, осталось только выбрать какой, попросили показать все в действии и конечно мощность пара у delonghi произвела большое впечатление. Мощный поток пара выпрямил ткань с первого раза в отличии от других. Вообщем купили его, теперь нарадоваться не можем, половину одежды точно отгладили, при чем легко и быстро.</t>
  </si>
  <si>
    <t>1921</t>
  </si>
  <si>
    <t>купил попробовал сначала четырёхдневную щетину побрить брился минут пятнадцать особенно на шею много времени ушло вроде чисто но несколько волосков на шее как не пытался сбрить не получилось пришлось станком добривать потом двухдневную щетину брил тут всё получше будет всё начисто и быстрее вышло короче так бреет чище чем станок но гораздо дольше раздражение на шее есть хоть и меньше чем от роторной бритвы но она тоже быстрее всё сбривает вообще я пока не могу понять чем лучше брится решайте сами вроде как первая бритва пойдёт</t>
  </si>
  <si>
    <t>Отличный фен, укладка выглядит хорошо, держится весь день, так же отличная альтернатива "утюжку". Из минусов только то, что довольно таки долго сушит волосы, но зато тем самым их не портит.</t>
  </si>
  <si>
    <t>Отличный утюг, мама пользуется уже четвёртый год, я решила купить такой же, и очень довольна. Подошва не прилипает, гладит идеально. Самое главное работает антикапельная система, а то мучилась с Тефалем.  В общем очень довольна.</t>
  </si>
  <si>
    <t>Хотели покупать напольный вентилятор. Но случайно обратили внимание на данные вид. Теперь нисколько не сожалеем о сделанной покупке.</t>
  </si>
  <si>
    <t>У меня все отлично чиститься, моется, поджигается! Конечно просто водой пятна не отмыть, а специальными средствами все отмывается и не возвращается и дизайн супер! я довольна!</t>
  </si>
  <si>
    <t>Купили неделю назад по акции за 10990. Машинка вроде неплохая, конечно не могу не согласиться с тем что действительно сильно утомляет звук помпы во время откачки воды, такое чувство, что в машинке что-то неисправно, но после прочтения отзывов стало ясно что это просто такая недоработка.   Еще очень удивило и возмутило то , что у машинки режим предварительной стирки доступен только при температуре стирки 60 градусов. Может я, конечно, что-то не понимаю, но по-моему такого не должно быть.   А если мне необходимо стирать грязное бельё при температуре 95 градусов? (Машинка так и будет его кипятить в грязной изначально залитой воде!!!). По-моему, это серьёзный недочет для этой модели.</t>
  </si>
  <si>
    <t>Очень занимательная игра. При очень средней графике сюжет может захватить очень сильно, и сев за комп на пару часиков  в 8 вечера, с удивление обнаружишь, что захватив очередной замок на часах уже 5 утра. Выбрав одно из государств и присягнув ему надо пройти путь от простого рыцаря-оборванца до маршала армии (забавно в роли маршала приезжать к Королю и говорить ему "следуйте за мной"). Минусов, правда, тоже хватает. Тут и отсутствие интересных квестов, нет какого-либо логичного завершения войны (уничтожить государство-врага нельзя, даже захватив все замки), нельзя стать королем или основать свое государство. Но в связи с тем, что скоро на прилавках появится add-он, где появится и огнестрельное оружие, и более развернутые возможности, купить эту игру (или хотя-бы скачать демо-версию) стоит.</t>
  </si>
  <si>
    <t>2133</t>
  </si>
  <si>
    <t>Отличные наушники. Покупал года 4 назад в синем корпусе. Хорошее качество звука. Слушал на них в основном рок, клуб и драм. Басы хороши. Недавно расшатался наушник, взял скотч, намотал на фиксатор с внутренней стороны, и теперь они мне еще столько же прослужат)</t>
  </si>
  <si>
    <t>Невозможно терпеть запах пластмассы, завтра пойду возвращать</t>
  </si>
  <si>
    <t>Купила весы 1,5 года назад, как забеременела. Погрешность составляет +-100 гр.Для того чтобы не было больших погрешностей (как у Марины), их надо использовать при комнатной температуре и твердой поверхности.Я очень довольна весами.</t>
  </si>
  <si>
    <t>Купил, доволен)) Подключал и к телевизору, и к монитору( с доп. кабелем). Приставка на 5+</t>
  </si>
  <si>
    <t>2054</t>
  </si>
  <si>
    <t>Цена, неплохо собран, придавил кнопку и наливается целая кружка, не нужно  давить несколько раз :), вода закипает за 16-18 минут,  вполне прилично для термопота, не шумный, с краника не капает :)</t>
  </si>
  <si>
    <t>2567</t>
  </si>
  <si>
    <t>Агрегат работает на пятерку.Внешний вид и качество деталей внушают доверие.Работает более 2 лет и довольно часто(я люблю котлетки,пельмешки,мантики и мн.др.))За это время не происходило ничего,что можно было бы назвать "нештатной" ситуацией.Книга рецептов+удобная ёмкость для сбора вываливающегося из мясорубки фарша делают данный аппарат наиболее выигрышным на фоне других.Да и внешний вид,на мой взгляд,довольно не плох...</t>
  </si>
  <si>
    <t>После установки обнаружила перекос дверцы - она закрывалась неплотно. Более детальный осмотр показал, что слева, где петли, здоровенная щель и такое ощущение, что отсутствует прокладка.  Когда включили, оказалось, что даже при закрытой дверце свет внутри горит и (!!!) тарелка движется (хотя не включали ничего, кроме кабеля в розетку). Посмотрела еще 2 такие же печки, у одной отваливалась передняя панель, детальней не стала рассматривать. Вторая на вид была нормальной, но я взяла аналогичную по функциям другого производителя.  Если вы все же решите приобрести эту модель, осмотрите ее сразу в магазине, а еще лучше - включите там в сеть))). Магазину М-Видео за беспроблемный и мгновенный обмен - спасибо</t>
  </si>
  <si>
    <t>Фен отличный, хорошая мощность, две насадки в одной, очень удобно. Пользуюсь с удовольствием.</t>
  </si>
  <si>
    <t>Машинка липецкая, неплохая по той цене, что за нее просят, твердая четверка. За два года эксплуатации замечено, что есть вибрация и чтобы ее снизить нужен абсолютно ровный пол лучше кафельный или паркет. Был один раз сбой в программе, но после повторного включения все пришло в норму. Так что вполне хорошая машина.</t>
  </si>
  <si>
    <t>Пользуюсь 5 мес. - очень нравится! Нагревается быстро, режим остаточного тепла - удобная вешь! Пригорали какао и каша, все отчистилось, панель не повредилась :) дизайн простой и лаконичный.</t>
  </si>
  <si>
    <t>Очень доволен приобретением. Вытяжка отлично справляется со своим назначением и даже чуть больше. Работает очень тихо даже на максимальных оборотах. Избавляет от всех неприятных запахов и как бонус очень яркие лампы - можно использовать как доп. освещение.</t>
  </si>
  <si>
    <t>Игрушка просто нереальная, на плейстейшн 2 проходил по несколько раз первую и вторую части. Как только взял плейстейшн 3, сразу же купил трилогию бога войны. Эта игра должна быть у всех, у кого есть ПС 3</t>
  </si>
  <si>
    <t>2012-10-04</t>
  </si>
  <si>
    <t>Ккрасивый, стильный, удобный чайник, закипает быстро, шумит не сильно, вода не имеет запахов. Минус сильно нагревается, но если быть осторожней то и это не проблема, я довольна покупкой.</t>
  </si>
  <si>
    <t>Купили сегодня,очень быстро и нормально перемололи мясо,не пластилин,вполне нормальный фарш.</t>
  </si>
  <si>
    <t>1984</t>
  </si>
  <si>
    <t>ноут просто супер!!! взял за 28000р. блютус мне и не нужен, даже не обратил внимание на его отсутствие... тем, кто еще не догадался почему кнопка запуска блютус есть, а толку нет. Это потому, что ноут собирается в различных комплектациях, а корпус у всех идентичен... с процессором согласен со всеми довольными пользователями... версия стоит более высокая, чем указано в характеристиках... архитектура процессора на сколько я понял тоже выше указанной, установлено не 32-разрядная система, а 64 и это меня приятно удивило... а так ноут меня не перестает радовать ...советую всем ... и хорошего пользования друзья!!!)))</t>
  </si>
  <si>
    <t>Достаточно хорошо бритва, очень проста и удобна в эксплуатации и чистки. Можно чистить под струей воды и не о чем не беспокоиться. Мне очень нравится!</t>
  </si>
  <si>
    <t>Всем привет!  Я купил себе этот телефон, в общем я очень доволен.  Телефон хороший, я даже бы сказал отличный!  Есть всё, что надо человеку !  В нём есть всё, блютуз,интернет,игры,камера,вспышка,и сам он сделан из металла!  Я очень доволен!!!!!!!!!!!!!!!!</t>
  </si>
  <si>
    <t>989</t>
  </si>
  <si>
    <t>Установлен с усилителем SONY Xplod XM-N502 в автомобиле Opel Astra J, штатная магнитола, линейный сигнал взят с задних колонок, без потери мощности самих колонок, усилитель установлен на половину, т.е., если верить показаниям производителя, половина мостовой максималки 500W = 250W, долбит так что звенит в ушах, трясутся брови и ресницы. Покупкой полностью доволен, рекомендую!! Конкуренты не выдают даже половины того что может Сонька!!!</t>
  </si>
  <si>
    <t>1155</t>
  </si>
  <si>
    <t>Несомненные плюсы - очень емкий аккумулятор, при уровня заряда один штрих играет на полной громкости еще часа полтора-два; удобное интуитивное меню.  Минус - единственный видео-формат для воспроизведения (*.mp4, и то не все).</t>
  </si>
  <si>
    <t>2015-05-10</t>
  </si>
  <si>
    <t>Лучшие наушники за свою цену!!</t>
  </si>
  <si>
    <t>Игра хорошая, отзывов о ней навалом. Но о товаре -  Зарегистрироваться в Интренете будет не просто. Game for Windows LIVE не поддерживается в России. Потратил несколько дней пока выяснил что регистрироваться надо как из другой страны. Соврал что я в США, и заработала! Не этого я ждал от лицензионной игры! :(</t>
  </si>
  <si>
    <t>2016-05-20</t>
  </si>
  <si>
    <t>Измельчает и перемешивает всё очень быстро</t>
  </si>
  <si>
    <t>один отработал почти 5 лет, неудачно упал на пол, сломалась кнопка включения, но в целом воду греет, сейчас берем такой же второй, другие варианты даже не рассматриваются, всем рекомендую</t>
  </si>
  <si>
    <t>Пользуюсь этой пароваркой неделю, замучилась выливать жидкость из поддона, хотя время приготовления всего 25 мин. А чтобы вылить из поддона, надо выключить пароварку, взять горячий поддон, залитый до верху. Быстро выкипает вода. И ещё минус этой пароварки - вода вытекает на стол. Одни неприятности.</t>
  </si>
  <si>
    <t>Мы купили этот утюг Rowenta от Чапурина несколько месяцев назад. Утюг тяжелый, поэтому разглаживает любые ткани с одного движения, даже джинсы! Платья и рубашки с легкостью разглаживаются на весу, потому что утюг выдает мощный пар. У этого утюга еще парогенератор встроенный, поэтому пар идет постоянно. Времени на глажку тратится меньше. А подошва из нержавейки с лазерной обработкой идеально скользит и не царапается, не страшны ни молнии, ни кнопки. Очень легко установить оптимальный температурный режим. А если забудете выключить, то утюг сам отключится. Я утюгом очень довольна. Всем рекомендую!</t>
  </si>
  <si>
    <t>У бритвы очень плохое крепление на открывающихся лезвиях. При мытье оно отвалилось и уплыло.Сейчас невозможно закрыть верхнюю крышку с лезвиями.</t>
  </si>
  <si>
    <t>Очень качественный продукт.  в комплекте есть всё необходимое для установки, необходимо купить только шланги подводки.  Объем 8 литров возможно покажется маловатым, но при отсутствии горячей воды в период профилактики-прекрасная альтернатива ковшику :-)  Нагревается очень быстро, почти кипяток за 15 минут.</t>
  </si>
  <si>
    <t>Классная игра!</t>
  </si>
  <si>
    <t>пылесос очень удобный,мощный,тихий,купила недавно,пока всё нравится,недостатков не нашла</t>
  </si>
  <si>
    <t>Нормальная печь. Доволен. Гриль обнаружил чуть позже, ибо без надобности был. А в целом устраивает вполне. Ждите скидок и берите.</t>
  </si>
  <si>
    <t>Вещь просто супер!!! Даже не ожидала такого результата. Потратила всего 15 минут на укладку, волосы замечательные, результат радовал аж три дня, хотя раньше к концу дня уже вся прическа на смарку. Всем советую, не пожалеете.</t>
  </si>
  <si>
    <t>Я клиент Microsoft Software Assurance Volume Licnse, я получил версию Microsoft Windows 7 Enterprise Корпоративная сразу после того как она вышла еще в сентябре этого года.   Могу сказать, что ОС очень красивая, стабильная, быстрая и надежная. Кстати, версия Корпоративная и Максимальная - это одно и то же, только первая для Спец-клиентов, а вторая для всех доступна. Но в любом случае могу сказать, что с большинством я не согласен, на мой взгляд, и Vista и Seven - каждая из них хороша по-своему.   У меня 2 системы стоят сейчас Windows Vista Ultimate и Windows 7 Enterprise, и первая за 3 с половиной года меня ничем не разочаровала. Vista также стабильна, и надежна, работает очень быстро на современном железе, а Windows 7 является ее логическим продолжением системой второго поколения, естественно, с некоторыми улучшениями, как это было и в случае с Windows 2000, а потом XP.</t>
  </si>
  <si>
    <t>Приобрели на днях этот чайник, чему очень рады. По рекомендации продавца выбрали именно эту модель. Понравилась подсветка воды голубого цвета и включателя. Также продавец указал на контактную группу, которая отключает чайник при снятии с подставки. Красивый дизайн, и не заметно пятен на металле, что важно. Довольны покупкой.</t>
  </si>
  <si>
    <t>подарили эти весы на 8 марта...через пол года отломалась ножка которая внизу весов показывают разные все время показатели встаешь 1 раз такой вес потом через несколько минут могут другой на 200-400 грамм больше показать или меньше. для меня это критично. теперь выбираю другие</t>
  </si>
  <si>
    <t>Электрочайник Kenwood JK 520 куплен сегодня, 21.04.2010.  При первом же закипании не выключается, хотя обязан по описанию.</t>
  </si>
  <si>
    <t>Хотим купить эту модель, качество-цена устраивает, останавливает только динамическое разрешение 15000:1 как у других моделей 30000:1 и интересует чем отличается матрица LCD-TFT от типа подсветки дисплея люминесцентной?</t>
  </si>
  <si>
    <t>Очень качественная бритва!!! Чистое бритье - по доступной цене!!! Braun держит марку))) По эксплуатации претензий тоже нет))))</t>
  </si>
  <si>
    <t>Стильный, устойчивый,бесшумный на 1и 2скор.  А двигатель действительно греется сильно...Взяла гарантию 2 года</t>
  </si>
  <si>
    <t>2013-10-24</t>
  </si>
  <si>
    <t>Пользуемся плитой уже второй год и выбором лично мы довольны. Стеклокерамика - отличная вещь: нагрев моментальный, уход легкий. Если что-то пригорело, достаточно после того как остынет, протереть тряпочкой и все, главное, не скрябайте ножами, так ведь и испортить можно)</t>
  </si>
  <si>
    <t>1969</t>
  </si>
  <si>
    <t>Плеер супер! в машине играет через AUX качество на высоте, настройки 3D и BASS делают свое дело! 5+</t>
  </si>
  <si>
    <t>Отличная вещь! пользуюсь ей давно и еще не разу не подводила=) Только бы еще было в ней автоподогрев колбы, то цены бы ей не было. 5 балов)</t>
  </si>
  <si>
    <t>По-моему вполне хороший пылесос за свои деньги, сравниваю с предыдущим мешковым - не воняет пылью при работе, шумит меньше при своих 1500, у того было 1600, а его чистка просто сказка -содержимое контейнера высыпается в унитаз, фильтр промывается. Если пылесосить 3к квартиру и еще пару диванов, контейнера как раз на раз)), по-моему это хорошо, потому что чистишь сразу, не оставляя пыль в пылесосе. Фильтр пока не меняла, хотя запасной купила сразу, не такие уж они и дорогие, порядка 500р</t>
  </si>
  <si>
    <t>2882</t>
  </si>
  <si>
    <t>Неудачный телефон, никому не советую.  Плохое качество приема и связи, постоянные обрывы, когда все свободно говорят, ты пытаешься найти сеть. Из-за этого интернет работает так же плохо. Изредка сам перезагружается, 1 раз у меня, когда подключил наушники, второй, когда включил Gps.   Плюсы меркнут перед этими минусами, потому что телефон должен еще и звонить. Качество сборки отвратительное, везде щели, как будто собирали специалисты с АВТО ВАЗа.</t>
  </si>
  <si>
    <t>Пользуюсь три дня. За эти деньги мало, что можно присмотреть, ноуты с процессором пентиум быстро разбирают, а в волгограде их вообще нет. С данной видюхой игры летают. В м-видео продавец хотел навязать другой комп с процессором пентиум и старой видюхой, но я был не приклонен, и не жалею. Чего и Вам желаю.</t>
  </si>
  <si>
    <t>Купила 2 недели назад в М.Видео, просто супер. Зарядки хватает на долго. Массаж десен, чистка зубов и экономия зубной пасты несказанно радуют. Шумит как стандартная электрическая зубная щетка. О покупке не пожалела</t>
  </si>
  <si>
    <t>Отличный телевизор,если у Вас есть 20 000 рублей и Вы хотите купить телевизор диагональю 32",то даже не думайте о выборе фирмы - Sharp  это качество,надежность и стиль. Берите не пожалеете.</t>
  </si>
  <si>
    <t>Лично у меня ничего подобного с этим компьютером не происходило, за месяц завис всего один раз, хотя работает он у меня порой по двое, трое суток не выключаясь, так что в целом я очень доволен стабильностью системы этого компьютера. Так что я бы не стал ругать отечественного производителя, а зависание WINDOWS7 может происходить по разным причинам (из-за всякого ПО, вирусов в конце концов, нестабильности электропитания и тп вещей) а не только из-за самого компьютера.</t>
  </si>
  <si>
    <t>Начитавшись отзывов купили. по первому рецепту получилось г.. она конечно печёт и электричество тратит. хлеб не поднимается, внутри непропеченный, вид ужасный (корка белая, мука налипшая). хотя продукты были свежие. в общем пробовали 4 рецепта, все то же самое. может кому-то это вкусно или у нас проблемы с печкой. в общем еле удалось вернуть по обмену в магазин.   подумайте, может проще купить хлеб и не ждать 3 часа неизвестно что.</t>
  </si>
  <si>
    <t>вошел с помощью диодов в меню, но пункт Tool Option 3 не открывается, а при нажатии OK перебрасывает на Tool Option 4, что делать? Телевизор LG 32LD320</t>
  </si>
  <si>
    <t>Плойка слабая очень плохо нагревается еле еле завивает ,если вы ходите кудри вы из не получите она делает слабую волну . Очень слабая плойка .</t>
  </si>
  <si>
    <t>морозит и холодит, а что еще надо.</t>
  </si>
  <si>
    <t>Увлажнителем пользуемся практически всю зиму.Зимой в квартире воздух очень сухой не смотря на то,что регулируем отопление(убавляем)и в квартире не жарко.Тем не менее,на мой взгляд,увлажнитель Bork не справляется.Его мощность рассчитана на квартиру площадью 60кв.м., у нас 67кв.м.Я уж не говорю про всю квартиру.В комнате 18кв.м. работает часа по 3 и показывает влажность 30%.Нужного уровня влажности 60% не набирается.Сейчас с наступлением весны,с открытыми форточками увлажнитель заметно "легче" увлажняет.Налет на корпусе есть,но появился он далеко не сразу,мы заливаем родниковую воду.Да это и не существенно,по-моему.Меня гораздо больше напрягает красный дисплей,который горит ночью.Ребенок точно испугается.Тешу себя мыслью,что этот увлажнитель лучше,чем если бы не было ничего.</t>
  </si>
  <si>
    <t>1 на счет блютуса, говорят неправду, если цензурно, брал с расчетом на него в магазине сайта, выносной блок доп. опция, и цена подрастает до 25 т. а здесь уже можно присмотреть и 4200 с встроенным ВТ и 7 дюймов матрица.  2 кнопки, думал удобны, обманчивое впечатление нажатие на экран, да, на высоте, ни разу не промазал, кнопки выкл., источника, выброса диска, приглушение (кстати до ноля и не регулируется по уровню) также удобны и легко нажимаются, а вот громкость и выбор трека требуют большего усилия, мне жутко не нравится.  3 защиты от съема нет ни какой, можно было бы хоть код предусмотреть...  4. подключение требует заводки на ключ зажигания, или тублер обрубающий АСС (кто сам ставил, знает о чем речь), даже выключенный ресивер с отключенным монитором за неделю простоя машины в 0 усадил батарейку.   5 звук супер, настроек много и они порадовали.   6 монитор яркий, контрастность на высоте, в солнечную погоду фильм можно смотреть легко (переднее не тонировано), ночью диммер конечно лучше на максимум - слепит.  Итог 4 балла, люблю эту фирму, а по сему готов мириться пока с пунктами 1-4.</t>
  </si>
  <si>
    <t>Хорошая графика вкупе с вменяемым сюжетом.</t>
  </si>
  <si>
    <t>Отличный фен, пользуюсь больше двух лет, завтра поеду покупать свекрови. Кнопки не мешают, поверхность противоскользящая - очень удобно класть в процессе сушки на стиральную машинку, например. Работает мощно, но не очень громко. Рекомендую к покупке. Производитель предоставляет гарантию, пожалуйста, пользуйтесь.</t>
  </si>
  <si>
    <t>Нареканий по работе за этот период не было, работает исправно, около месяца назад переехали в новую квартиру, тк варочную панель с духовкой не установили, приходиться готовить в микроволновке, а это не просто подогреть готовую еду, я курицу запекаю за 40 минут, голубцы за 20мин, супы максимум 30м готовятся и тд.,так что мою микропечь я раскрыла на все 100, агрегат по крайней мере мне попался ОТЛИЧНЫЙ!!!</t>
  </si>
  <si>
    <t>Выбирала долго... Хотелось оптимального соотношения цена-качество. Очень довольна, есть все необходимые функции (особенно ценны - экспресс-стирка и ежедневная стирка). Спасибо.</t>
  </si>
  <si>
    <t>НЕ БРАТЬ!!! Водонагреватель проточный Etalon Jet 350 душ+кран,вода чуть струится около литра в минуту при температуре +35,посуду не помыть а про душ забудьте, а кабель на 5 Квт нагревает в кипяток(ставил такую же как на зл. плите и то нагревает!!).  Категорически советую  НЕ БРАТЬ!!! -100</t>
  </si>
  <si>
    <t>Вытяжкой пользуемся три года, все работает идеально. Шумит не сильно, в управлении очень простая, на кухне смотрится стильно. В нашу космическую кухню подошла идеально))  Протирается тряпочкой, даже без средств и никаких разводов и загрязнений.</t>
  </si>
  <si>
    <t>Стоит ли брать psp данной комплектации.  Читал отзывы на сторонних сайтах, говорят очень хрупкая вещь - быстро перегревается и выходит из строя.  Проживёт ли она хоть год в средней полосе? Ну а лето?</t>
  </si>
  <si>
    <t>Отличный выбор для тех, кто часто переезжает. Телевизор занимает мало места и при этом очень приятный на ощупь. Работает у нас уже 1,5 года - нареканий нет, выдержал два переезда. Спасибо коту телевизор два раза падал с тумбы и ничего - живой!</t>
  </si>
  <si>
    <t>2919</t>
  </si>
  <si>
    <t>Купил себе в подарок на ДР почти год назад, долго выбирал чтобы недорого и функционально. Претензий к основным функциям нет, а вот вместо предсказания погоды на 12 часов вперед предпочел бы увидеть значения и динамику атмосферного давления. Все-таки это информативнее, чем несколько символов. Но главное - температуру показывает точно, выносной датчик не боится осадков.</t>
  </si>
  <si>
    <t>3032</t>
  </si>
  <si>
    <t>Отличный телевизор.</t>
  </si>
  <si>
    <t>Нам понравилось.  Делали из апельсинов (обязательно хорошо чистить), яблок, красного винограда (лучше без косточек, а то привкус появляется)  Мою сразу, просто водой споласкиваю, никаких проблем.  Другие не пробовали, но и сока много, и быстро, и с чисткой заморочек нет - рекомендую.</t>
  </si>
  <si>
    <t>Очень хороший блендер! Можно и фрукты-овощи измельчать, и яйца взбивать, и даже тесто месить, если не слишком густое. А особенно я люблю делать с ним всякие смуззи :)  Единственный недостаток - импульсная работа, т.е. когда рука устаёт 15 мин кнопку держать (например, когда сливки взбиваю), он прекращает работать. Если бы можно было включить и не держать палец на кнопке, вообще шикарно было бы!</t>
  </si>
  <si>
    <t>Ничего хорошего в этом чайнике нет, кроме цены и дизайна! Сразу после первого использования появилась накипь. Функция заварки чая избыточна! Два использования и про него забыли. Особенной заварки чая нет!!! Но дизайн и качество марки Борк отличные! Поэтому лучше купить простой обычный чайник этой марки и не тратить лишние деньги.</t>
  </si>
  <si>
    <t>Пылесос отстойный, проявились все болезни попорядку:  1. плохо вынимается контейнер  2. сломался натяжитель провода  3. постоянно вылетает задняя крышка, где фильтр  4. греется, пахнет пылью  5. насадки не фиксируются, постоянно отпадывают  6. морока с мытьем фильтров</t>
  </si>
  <si>
    <t>Вид и сборка хорошие, но гладить им совсем невозможно, он часто плюется какой-то желто-коричневой водой. Мы его и чистили, и вода специальная, и с водой после глажки не оставляли. Сейчас пойду куплю другой, простой, без наворотов, самый обычный и конечно не филипс :)</t>
  </si>
  <si>
    <t>купила этот замечательный штатив качество очень хорошее   мне штатив очень понравился спасибо</t>
  </si>
  <si>
    <t>Владею таким нетбуком с августа 2009 года, моделька бело-жемчужного цвета, выглядит здорово. модель U100-055RU.  Батарея родная стоит на 2200 mAh, у меня держит порядка 2ч 20 минут.  заказал себе усиленный аккумулятор на 7200 mAh. теперь тянет порядка 7 часов. Отличный выбор за эти деньги, рабочая лошадка, для постоянного скачивания контента с безлимитного интернета например. Ночью почти не слышно работу кулера.  На этот нетбук легко можно поставить Windows 7, драйвера есть в интернете без проблем.  Минус то что клавиша Fn и Ctrl расположены наоборот, не так как мы привыкли на клавиатуре ПК. путаешься постоянно. Матрица видать у этой модели дешевая, потому что в темноте на темной какой нибудь картинке видны по всем краям засветления(серые цвета), в итоге если включить черный фон, напоминает букву Х. В принципе ничего страшного, при комнатном свете ничего не заметно. Очень удобно использовать внешний монитор например на 22". всё летает.</t>
  </si>
  <si>
    <t>Просто супер утюг! Хоть и маленький, но гладит просто великолепно!!! За эти деньги это лучший дорожный утюг! Да и дома он потом он как пригодится! гладим гладим и еще раз гладим)))</t>
  </si>
  <si>
    <t>Выбирал пылесос для родителей жены, которые живут далеко в деревне. Выбор остановился на SC4520:  - недорогой  - не нужно бегать в поисках выходных фильтров, которые к тому же стоят 400-500 р.  - прост в разборе: просто нажал 1 кнопку и контейнер был у меня в руках  После приобретения решили испробовать на небольшом участке своей квартиры: пропылесосили ламинат и коврик и были шокированы. В контейнере было СТОЛЬКО пыли, что стало страшно чем мы дышим!!! При этом предмоторный фильтр практически не забился, не говоря о выходном. Выбросил собранный мусор в урну, помыл контейнер и ...  ... поехал за вторым пылесосом. Для себя конечно.  "+" простота в эксплуатации, хорошая втягивающая мощность, низкая цена, нет проблем с расходниками  "-" всего 2 щетки в комплекте, нет регулировки мощности (хотя если честно на предыдущем пылесосе никогда ей не пользовался :)).  После продолжительного использования обязательно напишу еще.</t>
  </si>
  <si>
    <t>Сомнительное устройство - моторчик с батарейкой и датчик движения, наверняка выполненный из двух проводов, которые при движении замыкаются и размыкаются! Цена этой поделки - 200-300 рублей! Да и программа в комплекте! Таких программ полно и бесплатно на store и в маркете, которое посчитает количество калорий и разбудит в нужную фазу сна! Всё у Вас есть уже на вашем iPhone и Android! В качестве красивого аксессуара могу порекомендовать золотой браслет, а не пружину, покрытую пластиком, за эти деньги!</t>
  </si>
  <si>
    <t>Тоже полностью доволен ноутбуком, вот только одна проблема возникла...  Никак не могу понять ЧТО ДЕЛАТЬ со звуком.. Втыкаю наушники, но звук всё-равно играет из колонок... В настройках... не ставится по умолчанию звук на наушники...  Зато когда звоню с телефонного модема.. звук идёт на наушники.</t>
  </si>
  <si>
    <t>2015-06-21</t>
  </si>
  <si>
    <t>Приобрел данную бритву и после месяца использования хочу сказать что это просто чудо.  Эта, новая бритва просто супер! Бреет очень чисто и быстро! Куча подвижных частей, которые движутся во всех плоскостях, бесконечный аккумулятор и прочие бонусы. Раздражения нет. Я более чем доволен. Отличная бритва и приличная комплектация.   P.S. щетина не грубая, бреюсь раз в 3 дня без пены (после месяца аккумулятор показывает 80%).  Советую!</t>
  </si>
  <si>
    <t>Согласен с Денисом, пыли при использовании пылесоса с аквафильтром стало гораздо меньше, так как на выходе её просто нет!!!     отличный пылесос уже пользуюсь более 1,5 лет. всем рекомендую</t>
  </si>
  <si>
    <t>Пользуюсь больше 10 лет! Отличный помол! Качественные ножи. Просто надо пользоваться по инструкции. Отличный подарок! Молол всё, что мелится, без нареканий, надо только приноровится.</t>
  </si>
  <si>
    <t>Этот пылесос мне посоветовал знакомый консультант. Не пожалел о своем выборе, отличный пылесос. Купил своей маме такой же. Хорошая мощность всасывания, удобная ручка регулятора мощности. Те кто пишет что плохая мощность- мойте почаще фильтр. (уж лучше вымыть фильтр, чем вытряхивать пыль из мешка для сбора пыли !!!) Я бы не сказал что он сильно шумный. Тем кто пишет что сильно шумный - наденьте себе наушники и пылесосьте ))) А тем кому не понравился этот пылесос - можете отдать кучу денег за Dyson. Хороший пылесос, стоит своих денег, рекомендую.</t>
  </si>
  <si>
    <t>Хороший чайник, прикольная синяя подсветка. Брал для использования на даче, всё отлично. 5 звёзд</t>
  </si>
  <si>
    <t>1126</t>
  </si>
  <si>
    <t>Стерео звук просто поражает !!!ПОЛГОДА эксплуатации- без нареканий апарат, единственный косяк это не много не удобное позиционирование джойстика влево вправо для моих больших пальцев но выход есть-пользоваться клавишами набора номера для перехода по опциям меню и так даже удобнее,да и смените родные уши,они не удобные,на зенхейзеры и вот тогда вообще рай!!! Прочитал много отзывов на форумах прежде чем брать и понял одно, что те кто их писал сталкнулись с разными проблемами но самое интересное ,где брали мобилу не пишут ,а что инструкцию по пользованию не читали это точно,если она вообще у них была?!И на последок,не гонитесь за халявными скидками в других "магазинах" и тем более на рынках дабы не схватить разочарования от покупки и не примкнуть к тем кто хреновые отзывы пишет!!!!!!!!!</t>
  </si>
  <si>
    <t>Только положительные эмоции, брал полтора года назад, правда ещё немецкой сборки. Единственное замечание, это снятие декоративной панели, если забыть как то легко сломать крепления.</t>
  </si>
  <si>
    <t>У обоих купленных устройств внутри редукторов стоят пластиковые детали. Они лупнули - пользоваться дальше невозможно. Покупали для родителей и для себя, в разное время и в разных городах, так что брак партии исключён.</t>
  </si>
  <si>
    <t>За 2 недели юзанья отвалилась задняя крышка, щели везде больше пыли в телефе чем мозгов. ужасная модель. не берите- разочарование неизбежно.</t>
  </si>
  <si>
    <t>Ну почему, почему я не купил ее раньше? Сколько терок из-за неправильно сваренных яиц происходит в семьях? А тут - идеальный мешочек без всякого гемора. Единственное на что можно посетовать, что при готовности она начинает орать, как подбитая курица, а не выключается. Но это мелочи.</t>
  </si>
  <si>
    <t>2427</t>
  </si>
  <si>
    <t>Хороший ноут! Купили, включили, а внутри оказался процессор Pentium Dualcore T4400, хотя по всем наклейкам, характеристикам, в том числе и тут - селерон :)</t>
  </si>
  <si>
    <t>2014-09-15</t>
  </si>
  <si>
    <t>Отличная игра. Графика супер. Рекомендую к покупке</t>
  </si>
  <si>
    <t>Идеальное сочетание цена-качество. Работает практически бесшумно.</t>
  </si>
  <si>
    <t>Отличный пылесос!Мощность убовляю почти на половину т.к. отрывает палас от пола и шума меньше. Советую всем.</t>
  </si>
  <si>
    <t>Купила год назад. Достоинств масса: занимает мало место на кухне, все насадки храню прямо в емкости комбайна. Не даром этот комбайн относится к классу "мини". Он и смешивает, и взбивает, и шинкует. Я часто готовлю салаты из сырых овощей. Раньше мучилась: надо резать капусту аккуратно, свеклу, чтобы не испачкаться, морковь. Теперь "вжик" и готово! Перемешиваю в чаше комбайна, пара минут и салат готов. Использую почти все насадки. Даже есть насадка для замеса теста, но ее я еще не ставила, привыкла тесто делать руками. Помыть же комбайн можно быстро, т.к. детали все небольшие и их не много. Вот такой помощник теперь живет на нашей кухне!</t>
  </si>
  <si>
    <t>Советую всем, очень хорошая встройка! Моется правда очень легко по сравнению с другими. Электророзжиг функционирует хорошо. Панелька - просто умничка!</t>
  </si>
  <si>
    <t>Отличная мясорубка, пропускали за раз 40 кг, неоднократно. Работает без нареканий 5 лет. Цена высокая, себя оправдала. Всем советую.</t>
  </si>
  <si>
    <t>Пользуюсь этой моделью несколько месяцев, как выше сказано в отношении цены и качества эта модель хороша, в первую очередь модель предназначено для интернета, работа с приложениями офис, и мультимедиа в не дома, однако что касается мультимедиа динамики у этой модели чуть слабоваты,хотелось бы чуть громче, в остальном модель соответствует своим требованиям.</t>
  </si>
  <si>
    <t>Купил его в июле как замену сгоревшего стационарного компа. До сих пор доволен. Да греется сильно но с этим ножно жить. Игры просто летают. За 20000 рекомендую всем.</t>
  </si>
  <si>
    <t>Греет отвратительно- требует постоянной настройки и точной дозировки воды для подогрева, которую необходимо каждый раз сливать.  Неудобен в настройке, требуется две руки для установки режима - с ребенком на руках это требует особой сноровки.  Электроника заглючила через месяц после покупки, сначала подогреватель через раз включался и моргал всеми лампочками, потом отказался включаться совсем.    Спасаемся хотпоттером-пару минут в кипятке с легкостью и простотой заменяют этот горе прибор.</t>
  </si>
  <si>
    <t>Крутая газовая панель.  Вообще если честно я просто таких панелей раньше не встречала , а именно речь о пяти конфорках.   Здесь целых 4 обычных конфорки , и в центе вок конфорка с  тройным пламенем. Сначала конечно удивилась увидев такое, но потом когда узнала что это Сименс , все таки решила купить. Сименс мне всегда нравился.  Что можно сказать , на самом деле пять конфорок оказалось вполне удобным решением , правда плита получилась немного шире чем аналоги.  Центральная Вок конфорка ( только после покупки узнала как это называется) вообще крутая штука. На тройном пламени все намного лучше готовится , часто ее использую.  Все остальные конфорки тоже отлично работают. Пламя на них легко регулируется , резких перепадов нету.  Электроподжиг всегда хорошо работает.  Панель на кухне очень круто смотрится,выглядит стильно. Еще очень понравилось что вместе с плитой была и инструкция на русском языке.   Еще раз скажу что очень крутая духовка , всем довольна , всем советую</t>
  </si>
  <si>
    <t>2319</t>
  </si>
  <si>
    <t>2014-12-04</t>
  </si>
  <si>
    <t>Самый удобный и довольно компактный в хранении миксер. Удобная прорезиненая ручка для держания миксера, пять скоростей и турборежим для взбивания разных масс. Также в комплекте идет вместительная вращающееся чаша и подставка, к тому же два венчика для взбивания, плюс крюки для замеса теста, которые одним нажатием кнопки вынимаются. Мыть его, после использования, просто и быстро, за время эксплуатации этого миксера ни проблем, ни поломок не было,  могу сказать о нем только хорошее и посоветовать.</t>
  </si>
  <si>
    <t>Отличный телефон!</t>
  </si>
  <si>
    <t>Щипцы подарил любимый! Перепробовала уже все возможные укладки, предложенные на диске. Я в восторге от этой вещицы!! Нагревается очень быстро и остывает тоже достаточно быстро, к тому же в комплекте есть термостойкий чехол. Волосы не электризуются, а укладка держится до тех пор, пока волосы не намочишь. Радует выбор оптимальной температуры и блокировка всех клавиш - это очень удобно! Еще хочу отметить хороший толстый шнур с суставчиком, что позволяет шнуру не завиваться вслед за щипцами.  Девочки, всем советую эту модель! Парни чаще делайте нам такие замечательные подарки!</t>
  </si>
  <si>
    <t>1146</t>
  </si>
  <si>
    <t>Пылесосов у меня много не было, так как были 2 гувера, чисто английских. Прожили по сей день, просто поменять захотелось. Пылесосом доволен на 150%! Мощный, лёгкий, симпатичный... Конечно за эти деньги могла бы быть и турбощётка. Но как раз оказалась у соседей, у которых бош как раз скончался прожив 11 лет. Приятно, что диаметр трубок прежний. Щётка подошла и работала на ура! Да ещё и досталась нахаляву))))) Описанных предыдущими ораторами недостатков не выявлено. Может им просто не повезло с конкретными экземплярами. Мой Бося крут и весел! всем рекомендую! Приятных покупок!</t>
  </si>
  <si>
    <t>Этот выпрямитель мне подарила подруга на день рождения. Отличная вещь! Пользовалась с удовольствием, каждый день. Хотя у меня тонкие волосы, но выпрямитель им не повредил. Очень быстро нагревается и качественно выпрямляет. Но он СЛОМАЛСЯ через год использования. Пыталась выяснить причину поломки - бесполезно: ремонтники и электрики только разводят руками.</t>
  </si>
  <si>
    <t>Хороший телевизор!Всё устраивает.Со спутниковой тарелкой стал показывать великолепно!Качество отменное!  Но есть одна не большая проблема:  1) телевизор очень сильно нагревается при 2 часах использования.  Я доволен очень своим теликом!</t>
  </si>
  <si>
    <t>Всем привет.Поверхность выбирала долго.Читала отзывы.Делала выводы.Когда пришли покупать то чего хотела в магазинах не оказалась.Надо было срочно потому что уже была назначена установка кухни.Короче взяли ее-сименс.....Установили.Попробовали.Ну поскольку другую я только хотела,а в работе не пробовала.Сравнить не могу,но скажу об этой поверхности.Не пачкается.Пятен не видно.Моется оч легко.Просто вытирается влажной тряпочкой и все.Самая большая горелка с двойным пламенем хорошая штука когда торопишься,но очень шумит.В принципе две средние меня вполне устраивают на них все готовиться достаточно быстро.В последнее время стала замечать, что не включается самая маленькая горелка когда горит любая другая.Напрягает.Поскольку приходится выключить работающую включить маленькую,а потом обратно включить которую работала.Еще понаблюдаю и наверное обратимся в магазин.Решетка чугунная на ней ничего не скользит.Кастрюли большая и маленькая помещаются хорошо.Друг о друга не труться.Так что в принципе я довольна за исключением вышеописанного недостатка.Но думаю в любой технике может быть сбой.</t>
  </si>
  <si>
    <t>2128</t>
  </si>
  <si>
    <t>Видимо действительно в программе этого увлажнителя есть ошибочка.  Если допустим нужна влажность 50%, то нужно на дисплее выставить 65%. То есть к желаемому значению влажности нужно всегда добавлять 15%. А в остальном отличный агрегат.  Мы купили по акции, очень довольны.</t>
  </si>
  <si>
    <t>Все</t>
  </si>
  <si>
    <t>2555</t>
  </si>
  <si>
    <t>Для тинейджеров! :)  Преамбула: Кто сказал, что дешевле на 10 тыс. руб. можно купить не доставляющий проблем агрегат?  К делу.  Достоинства:  1)высокая прошивкоустойчивость. Программистам прям раздолье.  2)Удобная клавиатура  Недостатки:  1)Любая доп. программа не гарантирует, что аппарат не зависнет. Особенно в  режиме "спячки".  2) При установке программ мультимедиа виснуть будет чаще.  3) Никакие доп. драйвера не ускорят работу процессора!  4) Встроенный графический процессор не поддерживается.  5) GPS работает только на улице, и лучше поставить дополнительную антенну.  6) Для людей с слабым зрением разрешение 800*420 слишком большое, читать мелкие буквы будет мучением  7) Чтоб включить интернет надо править реестр винды.  8) Слазит краска с корпуса.  9) Очень слабый аккумулятор  Резюме:  Китайский агрегат, с глюками и девственными багами. Но цена соответствует.</t>
  </si>
  <si>
    <t>741</t>
  </si>
  <si>
    <t>вещь полный улет!Достойный конкурент рс3.</t>
  </si>
  <si>
    <t>Купила этот эпилятор и расстроилась...( подходит для эпиляции только ног, для зоны бикини насадка, которая сбривает волоски((( какой же это эпилятор тогда? так можно любой бритвой брить! покупала с целью именно удалять волоски с корнем на зоне бикини, а этим эпилятором это сделать практически невозможно!!! зачем отдавать такие деньги только для эпиляции ног? так можно и дешевле купить... осталась крайне недовольна(((</t>
  </si>
  <si>
    <t>Месяц назад купил его. Очень нравится. Да Sony Ericsson-ы ЛУЧШИЕ телефоны.</t>
  </si>
  <si>
    <t>Купил себе не давно, думал не будит слышно из багажника, а оказалось на оборот долбит аж дома слышно, качественно. Советую покупать к комплекту еще кондер на 1ф, звук будит лутче и фары не будут моргать, советую этот комплект</t>
  </si>
  <si>
    <t>Купил данную модель стиральной машины в 2012 году, она проработала  1 год после чего была отдана (нареканий на её работу не было). Была куплена точно такая же модель, отработав 1 год и 2 месяца, стали замечать появление пятен, которые невозможно отстирать даже вручную с применением специальных моющих средств - как оказалось начала вытекать смазка из подшипника привода барабана. Гарантийный срок (который 1 год) закончился, поэтому оставалось только бесплатное сервисное обслуживание - машину отремонтировали. Ровно через год ситуация с пятнами повторилась. В данный момент ждем ремонта.</t>
  </si>
  <si>
    <t>Купил данную модель четыре дня назад. До этого был Samsung Galaxy Ace Plus GT-S7500 Dark. Новый более шустрый. В течении дня не уходит в перезагрузку и не выключается (были проблемы с прошлой моделью). Очень напичкан всякими настройками:). Разбираюсь в них с момента покупки:)). При работе в Яндекс пробках очень мелкий масштаб (увеличен на полную). На расстоянии вытянутой руки не видно название улиц и домов. Аппарат хороший. Инструкция к нему не очень.</t>
  </si>
  <si>
    <t>Данный аппарат намного тише (другая система подачи воды), пластик высокого качества (мы же потом этим дышим) большая площадь охвата. Нравится, что нет кварцевой очистки воды, не доверяю этой технологии. Цена на Бонеко повысилось не так сильно. Увлажнитель тихий, ночью не слышно, кнопки не пищат (ночью переключить без проблем), эстетически подходит практически к любой комнате.</t>
  </si>
  <si>
    <t>Привезли, распаковали, включили. Набрала воду, остановилась и замигала стоп-сигналом.((( Не работает, нас ждет беготня по сервис-центрам, по звонку никто не выезжает.(( С малышом на руках для меня это то еще развлечение, зря купила.</t>
  </si>
  <si>
    <t>я пользуюсь им уже год и никакого запаха пластмассы нет, чайник очень удобный и красивый...</t>
  </si>
  <si>
    <t>У этого аппарата операционная система давно уже 6.5,а не 6.1,переставят "HTC-Care".  Сам аппарат на 5 +.Батарею держит очень долго,очень удобный интерфейс.Абсолютно не "глючный".</t>
  </si>
  <si>
    <t>Термос отличный, &amp;nbsp;держит горячую воду до 20 часов, пользуемся уже год, с утра наливаем и пьём целый день горячий чай.</t>
  </si>
  <si>
    <t>Недавно купили. Отличная вещь! особенно если в доме есть ребёнок, милое дело. Мощная, не шумная и дизайн супер, большего и не надо! Советую.</t>
  </si>
  <si>
    <t>Приобрела увлажнитель неделю назад для комнаты 18кв.м. с двумя батареями, в целом покупкой довольна. Но есть ряд нюансов. Плюсы: +мощность; +тишина работы; +большой резервуар для воды; +удобное и интуитивно понятное использование, легко набирать воду, мыть, чистить прибор; +работает отлично даже с очень жёсткой водой, не требуется предварительно использовать фильтры +приятный дизайн. Минусы: -заявленные 60кв.м. увлажнить он не может даже после нескольких часов беспрерывной работы, в среднем за 3-4 часа влажность поднимается с 27% до 35-40%, но только в зоне непосредственно возле увлажнителя; -нельзя использовать ароматические вещества и эфирные масла в нём; -подогрев пара неэффективен в качестве защиты от понижения температуры в комнате. Для меня этот момент не принципиален, т.к. зимой даже при перекрытых батареях температура в комнате повышена, но факт - хоть подогревайте пар, хоть не подогревайте, температура в комнате немного понизится. Рекомендую данный товар, но не ждите чуда, оазис комфортной влажной неги вы почувствуете только в непосредственной близости от прибора, в противоположном конце комнаты, если она большая, всё равно будет пустыня Сахара.</t>
  </si>
  <si>
    <t>Купили эту плитку на время ремонта кухни ,не прошло и 2-х недель, перестала работать, единственный плюс, что обменяли данный товар без проблем.</t>
  </si>
  <si>
    <t>Gvisav (Йошкар-Ола) тряпочка в состав не должна была входить а скрепка прикреплена к крышке(где лежит паспорт)    пользуюсь телефоном 2 дня, пока что это лучшее что есть</t>
  </si>
  <si>
    <t>Миксер мне очень понравился, со своей работой справляется отлично, сделан из прочного пластика. Он просто суперский! Для взбивания жидких, легких, воздушных ингредиентов просто идеален.Если нужен миксер без пафоса и заморочек, рекомендую.</t>
  </si>
  <si>
    <t>нотик супер, только чтобы добраться до охлажд системы разобрать его нужно полностью, нехорошо получилось ...</t>
  </si>
  <si>
    <t>2978</t>
  </si>
  <si>
    <t>эти наушники несомненно лучшее, что вы сможете купить в этом ценовом диапазоне, да и с более дорогими наушниками они могут спокойно тягаться.))) Cначала предполагал купить немного подешевле уши, но той же фирмы, к счастью друг убедил взять эти ушки и я ни сколько не пожалел о покупке)))  покупал я их еще в 2008 году, спустя 1 год и сколько то месяцев, один наушник перестал работать (внутри провод порвался возле самого наушника, как раз там, где начинается сам наушник)по идее любые наушники сломаются рано или поздно, сколько бы они не стоили. Внутри кстати вместе с проводом проходит веревка для еще большей защиты провода от разрывов)   сейчас вот собираюсь еще такие же купить.      От ALEPH у меня остались только положительные эмоции. Качество сборки 10 из 10, кабель прочный, не твердеет на морозе, звук отличный, звукоизоляция просто супер, в автобусе кроме музыки ничего не слышишь)       Ну в общем советую, не разочаруетесь, если купите)))      И еще раз скажу спасибо Zoma))) что помог определится тогда с выбором.</t>
  </si>
  <si>
    <t>Машинка Candy Aqua 100F стала течь после второй стирки. Течет из под люка (внизу люка) течет капельками... они стекают... течет во время отжима, когда она безумно дергается и даже двигается по полу. Приходиться потом возвращаться на месте где её устанавливали... Завтра попробую написать заявление на обмен и вернуть эту... очень расстроен данным фактом... хотя машинка мне понравилось    1. Она так должна сильно дергаться, что переехала почти на середину ванной (ванная маленькая)  2. Течь из под люка во время отжима</t>
  </si>
  <si>
    <t>Цена=качество</t>
  </si>
  <si>
    <t>в целом хорошая приставка, она может похвастаться богатым арсеналом игр, в котором имеются много хитов, которые есть только на этой платформе.</t>
  </si>
  <si>
    <t>Вчера купил, данный плеер MP3 Flash 8 GB Ritmix RF-8800, сразу меня порадовал дисплей 2.8 а также память 8 GB с возможностью расширения. Могу с уверенностью говорить о соотношении цены и функциональности. Воспроизводит все основные видео файлы и даже рипы, что особенно важно для меня. Отличное звучание музыки, яркая картинка видео,в общем отличная находка для студента.</t>
  </si>
  <si>
    <t>Водонагреватель купили для дачи. Один поставили на душ, второй - мыть посуду. Воду нагревает примерно за 15 минут и этого объёма хватает, чтобы помыться ( при этом при намыливании надо перекрывать воду иначе горячей воды не хватит ополоснуться) или вымыть небольшую гору посуды (так же при намыливании воду надо перекрывать). Напор воды хороший, как из городского крана.</t>
  </si>
  <si>
    <t>Все отлично, но вот у наc в Тюмени нет нигде углового кабеля питания, а мне необходимо его подвесить на стену в кухне)</t>
  </si>
  <si>
    <t>Пользуюсь полгода. Впринципи, свою цену они оправдывают, хотя есть и свои минусы. Один из них регулятор объёма головы, наушники постоянно сползают, и поэтому в них неудобно кудато ходить.  А так, провод длинный, звук удовлетворяет мои потребности.  Для любителей самое оно!</t>
  </si>
  <si>
    <t>2015-04-06</t>
  </si>
  <si>
    <t>Купила эту кофеварку в феврале 2015г. Пользуемся каждый день и нас все устраивает. Однажды в кофеварке заваривала листовой чай, использовав фильтр-пакет, замечательный крепкий чай получился.</t>
  </si>
  <si>
    <t>2014-05-01</t>
  </si>
  <si>
    <t>Купил стиральную машинку INDESIT в 2006 году. Очень довольный, так как до сих пор работает. Но 3 года назад была небольшая поломка автоматики, ремонт обошелся дешево и был сделан на дому.</t>
  </si>
  <si>
    <t>Всегда записывают на "отлично"!</t>
  </si>
  <si>
    <t>Простой чайник для офиса</t>
  </si>
  <si>
    <t>Хорошая соковыжималка. Надежная. Купили 2 года назад. Никаких нареканий нет. Очень удобно и быстро мыть (можно в посудомойке). Рекомендую.</t>
  </si>
  <si>
    <t>Пользуюсь посудомоечной машиной Whirlpool ADG 175 3 года. Через 1,5 года стала значительно хуже промывать посуду. Было видно, что проблемы с верхним разбрызгивателем, т.к. он стал хуже вращаться (затруднения). Примерно через 3 года он вообще перестал вращаться, т.к. стали разрушаться (рассыпаться) его соединения. На самом разбрызгивателе маркировка указывает, что он выполнен из полипропилена, наполненного 20% талька. По характеру разрушений видно, что моющий раствор реагирует с частицами талька в полимере и постепенно растворяет их. В результате полимер становится пористым и рассыпается при небольших нагрузках. Таким образом полимер, примененный для изготовления верхнего разбрызгивателя, не предназначен для длительной (более 1-2 лет) эксплуатации в домашних условиях совместно с моющими средствами из существующей розничной сети хозяйственных товаров. Сервисный центр в г. Ханты-Мансийске не может найти, заказать и привезти новый разбрызгиватель для данной посудомойки. В результате из-за одной некачественной пластиковой детали становится не пригодным для эксплуатации все устройство и не важно, что оно вместительное, функциональное, доступное по цене и удобное в управлении.</t>
  </si>
  <si>
    <t>622</t>
  </si>
  <si>
    <t>плеер хороший батарея хватает на 9-10  ч  музыки 3ч фильма звук отпад но   есть недостаток неудобные кнопки</t>
  </si>
  <si>
    <t>Пользуюсь этим пылесосом уже где-то три месяца. Работаем отлично, чиститься тоже. Он нам настолько понравился,  что на свадьбу сестры подарили  такой же. Она тоже осталась довольна. Так что всем советую данную модель пылесоса.</t>
  </si>
  <si>
    <t>Ставлю отлично, закипает быстро (если подобрать соответствующую посуду - дно должно быть ровным, даже идеальным), чистится легко, после года использования как новая!!!</t>
  </si>
  <si>
    <t>Отличная сумка для фотоаппарата. Купил сегодня для своего 620-UZ. Благодаря внутренней снимаемой перемычки, можно настроить под свои размеры камеру хранения. Покупкой доволен.</t>
  </si>
  <si>
    <t>Тупо не включается, назад в магазин понесли, у них все отлично работает и включается. Перепробовали все 5 своих розеток+сетевые фильтры. Может такая же проблема была у кого-то?</t>
  </si>
  <si>
    <t>За такую цену колонки супер, поставил себе в ваз 2105, басс есть, но не очень уж мощный.</t>
  </si>
  <si>
    <t>Умер через полгода, сначала подсветка, потом перестал парить</t>
  </si>
  <si>
    <t>Машинка хорошая, единственно что огорчило - отсутствие оверлочной строчки, которая заявлена в описании.</t>
  </si>
  <si>
    <t>Отличная газовая плита, рекомендую всем!</t>
  </si>
  <si>
    <t>Купила печь 4 месяца назад. Качеством приготовления и разогрева довольна. Разморозка равномерная, выпечка чудо, разогревает быстро и равномерно. Панель удобна и понятна. Авто режимы очень удобны, а главное все получается вкусно! Делала мясо - очень вкусно и сочно. Мыть просто - влажной салфеткой протереть и все. Качеством работы печи осталась довольна, но вот подвело качество сборки. Ожидала от фирмы LG большей ответственности. Во время готовки внутри дверцы скапливался конденсат (не в камере, а прямо между стекол), и пока готовишь, сквозь дверь ничего не видно. На фирме сказали - брак, плохая изоляция двери - меняйте. Отвезла в магазин, заменили (хорошо печь была на двухнедельной проверке). Вторая стала запотевать больше, гремела при включении (плохо затянуты болты), менять не на что, поэтому отвезла в сервис. Размер печи достаточно громоздкий, возить туда-сюда - приятного мало. Но! Даже 3-х недельное ожидание заводской двери не помогло. Конденсат и в новой двери скапливается внутри дверцы, хоть и меньше. Больше не хочу ни менять, ни возить в сервис. Еще хочу отметить, что работой продавцов м-видео осталась недовольна. Консультантами их не назовешь, толком сказать ничего не могут, ни посоветовать, ни помочь с выбором. Создавалось впечатление, что я им просто "мешаю работать".</t>
  </si>
  <si>
    <t>Машинку  приобрела полгода назад. Очень довольна ей, отлично шьёт любые ткани, есть оверлочные строчки, что немаловажно, когда у тебя есть маленькие дети. Удобна в использовании, скорость достаточная. В общем машинка хорошая для любителей.</t>
  </si>
  <si>
    <t>телефон конечно класс!</t>
  </si>
  <si>
    <t>Купили в МВидио Отличную мультиварку! Готовит все блюда на отлично! Совет -после приготовления рыбы, остаётся запах, но я легко от него избавляюсь. Кладу пару пакетов чая и ставлю на тушение. Вообщем мы в восторге от мульти.</t>
  </si>
  <si>
    <t>Супер!Телефон отличный.</t>
  </si>
  <si>
    <t>Работает почти 4 года, как часы, ничего не переливается, все исправно и хорошо.  Что не нравится - мотор-то - работает, а запасных деталей - днем с огнем искать. Слабые места - пластиковый прозрачный остов - очень быстро появляются трещины, сколы, верхняя пластиковая чаша ужасна - к ней все липнет и с трудом отмывается, остаются следы, а если тереть - царапины, металические сетки - тяжело моются, царапают руки, И самое главное - не приспособлена для мытья в посудомойке - на минимальном режиме - не промывается, чуть более интенсивном - трескается. С трудом купила прозрачную чашу на замену, а верхнего отсека - так и не нашла.   Что неудобно - не каждый раз - полная загрузка, у пароварок многоярусных - лучше система - можно использовать одну чашу.  В следующий раз - куплю другую пароварку другой системы, и скорее всего - другой фирмы.</t>
  </si>
  <si>
    <t>После покупки на третий день подошва утюга начала портиться, и начали прилипать вещи.  Отчистить подошву утюга не удалось</t>
  </si>
  <si>
    <t>94</t>
  </si>
  <si>
    <t>Хорошая, кстати, игра: атмосферная, пугающая, интересная.  Немного похожа на Хоумкоминг.</t>
  </si>
  <si>
    <t>купил пол года назад, сейчас отдаю в ремонт: сломался сенсор...если бы не это обстоятельство - то очень не плохой телефон.Отдал предпочтение ему из-за камеры.Ещё минус-Philips  в России не очень популярен, поэтому если что-то выйдет из строя-проволочек не оберёшься.Знал,что иду на такие сложности)</t>
  </si>
  <si>
    <t>Плеер очень понравился большим и ярким экраном, качественными динамиками, качеством сборки и просто огромной ёмкостью батареи. Кому как, а меня наушники, идущие в комплекте, вполне устраивают. Если будете покупать, не повторяйте моих ошибок: сразу покупайте чехол или хотя бы плёнку для экрана. В кармане джинсов экран исцарапался буквально через неделю после покупки.   Дальше, разъём VM-PORT намного капризнее, чем miniUSB. К компьютеру подключается хорошо, но скорость передачи далеко не самая высокая. К ящику я его подключил, но ни музыки, ни картинок я открыть не смог. Дело в том, что с устройства данные сначала копируются во временную папку, а только после этого открываются. На моём ТВ временная папка просто не предусмотрена. Если хотите использовать устройство как флеш-диск это вызовет затруднения.</t>
  </si>
  <si>
    <t>1807</t>
  </si>
  <si>
    <t>пользуюсь майфуном уже три года, был первый теперь 3G. Как телефон устраивает на все сто, но самое главное в дополнительных возможностях, а их просто многоооооо. С применением доп программ телефон свободно передает и принимает файлы как все телефоны но немножко удобней. Самое главное надо понять, что концепция этого телефона не в моментальном исполнение команд пользователя ,а в качественном исполнение: поясню когда вы на windows устройстве запускаете приложение оно пытается запустится с глюками и тормозами, в iPhone сначало программа подумает а потом без дерганий откроется и плавно запустится-это здорово. телефон надёжный падал много раз(но не на экран)работает без проблем, аккумулятор держит оч хорошо, даже первый майфун ещё у сына работает без проблем несколько дней от одной зарядки. Музыка это что-то, удобно громко приятно, но надо другую гарнитуру у меня Senhaiser MM50 кайф!!!!!!! Бывают глюки но в основном на сторонних приложениях, всё родное работает без проблем. Скачал навигатор SUGIK езжу и обалдеваю такие дорог показывает которых не знал, ещё и голосом девушки по русски говорит и направление полос и поворотов в развязках. Вообщем девайс отличный но для владения им нужны мозги.</t>
  </si>
  <si>
    <t>2895</t>
  </si>
  <si>
    <t>Телефон понравился, очень лёгкий, самый раз иметь такой не боясь поцарапать, уронить... Плохо что нельзя мелодии загрузить по кабелю</t>
  </si>
  <si>
    <t>Отличное решение для дома, пользуюсь несколько месяцев, нареканий нет, посоветовал бы другу к покупке. Очень удобная, ухаживать за ней нет никаких проблем. Покупайте не пожалеете</t>
  </si>
  <si>
    <t>2017-06-15</t>
  </si>
  <si>
    <t>Имеется в наличии у меня.</t>
  </si>
  <si>
    <t>А если поискать по инету - куча сообщений о том, как эту "опцию" включить самому. Проверено - работает. С флешки потом можно смотреть кино.</t>
  </si>
  <si>
    <t>Цветной лазерный принтер HP Color LaserJet Pro CP5225 обладает возможностью как цветной, так и монохромной печати. Разрешение для обоих типов печати составляет 600 х 600 т/д со скоростью 20 стр/мин. Устройство обладает цифровым дисплеем для вывода различной информации и навигации по меню. Принтер может работать с компьютерами на всех актуальных операционных системах, а именно – Windows (Server 2003, Vista, 7, 8, 10), Mac OS (X 10.3 и выше) и  Linux. Всё необходимое для начала работы идёт в комплекте (4 картриджа, программное обеспечение и кабель USB).</t>
  </si>
  <si>
    <t>571</t>
  </si>
  <si>
    <t>Сегодня нашел вот что, попробовал всё работает  -Вчера активировал ЮСБ порт без всяких прошивок и светодиодов, с родного пульта, за две минуты. Теперь смотрю фильмы с флэхи, ДВД - не нужен, разве что с него звук получше будет. Если кому надо -вот алгоритм:  1) наводим на опции но в них не заходим, нажимаем 7 раз цифру 9. Он показывает две неопределенных прошивки и предлагает поменять на старую, соглашаемся, телик перегружается.  2)наводим на опции но не заходим в них, нажимаем семь раз кнопку FAV - смотрим, и о чудо! прошивка 3.12 ! Если 3.24 или 3.4 -повторите еще раз можно вместо 9-ки попробовать нажимать семерку.  3)выключаем телик,включаем, по черному экрану бегает табличка с предложением начать поиск программ, отказываемся, жмем ОК на пульте и на телике одновременно. появляется окошко с паролем, вводим четыре нуля.  4)появляется сервисное меню, заходим в "Ajust menu", в нем выбираем настройки 3 и меняем Jpeg на 1, Меdia на HD. Больше никуда не лезем!  5) можно еще активировать "ТНХ-кино" - появится настройка изображения ТНХ-кино с очень сочными цветами и глубоким черным цветом, но новости на ней смотреть не очень, темновато -зато фильмы -изумительно!для этого надо зайти в настройки 4, того же Ajust menu. для этого надо повторить пункт 3 и 4. Там видим внизу ТНХ-кино -ставим 1 вместо нуля и ТНХ-директор -тоже ставим 1.  6) перезагружаем телик, от настройки каналов опять отказываемся, заходим в меню -вуаля -два новых пункта -ЮСБ плеер и подключение"шнурок". Выходим из меню и повторяем пункт первый, с девятками., перегружаемся, смотрим прошивку(см.пункт 2) - должна быть 3.24 или выше.  7) Вот теперь настраиваем каналы.  Если кому-то показалось это сложным -значит я так написал, на самом деле все просто и занимает две минуты.  zyrjanov – хабаровск  Может кому пригодится.</t>
  </si>
  <si>
    <t>Очень понравилась посуда,  и симпатичная и удобная, кастрюль много, особенно порадовало сито для слива. Пользуюсь год и пока замечаний нет, надеюсь и не будет.</t>
  </si>
  <si>
    <t>мне очень понравился, но если б была блокировка кнопок вообще было бы прекрасно.</t>
  </si>
  <si>
    <t>К плюсам можно отнести, то что она компактная, много места в шкафу не занимает. Зерновой кофе перемалывает отлично.Минусов не обнаружила,только приобрела,но в работе уже проверила,отлично выполняет свою работу.Надеюсь и дальше не подведет.</t>
  </si>
  <si>
    <t>шумный . воздушный поток слабый. уж лучше взять обычный напольный.</t>
  </si>
  <si>
    <t>Александр, для игры вдвоем требуется одна камера и два/четыре Контролера для одного игра также требуется одна камера один/ два контролера</t>
  </si>
  <si>
    <t>запах</t>
  </si>
  <si>
    <t>вобщем телефон очень классный, но маленькое разрешения экрана и то, что он не поддерживает много форматов заставило меня поставить 4</t>
  </si>
  <si>
    <t>2015-02-03</t>
  </si>
  <si>
    <t>Отлично вписалась в дизаин белой кухни,  уровень шума соответствует заявленному в описании. При кипении одной кастрюли справляется даже на первой скорости, хороший выбор, пользуемся с декабря 2014г.</t>
  </si>
  <si>
    <t>Работает, нет не работает, а пашет у меня этот миксер уже 2 года, очень им довольна, работает сутками на пролет тк пеку торты на заказ))) Супер миксер</t>
  </si>
  <si>
    <t>удобна в использовании, соответствие цены качеству, хороший результат помола</t>
  </si>
  <si>
    <t>Сломался через 2 дня. Может мне не повезло, но он перестал включаться на 2-й день. Попробую ещё раз купить. Прошлый сменил в магазе на деньги. Замены не было.</t>
  </si>
  <si>
    <t>Купили данный пылесос 5 лет назад в связи с ремонтом квартиры. Квартиру после покраски-побелки он отмыл конечно на отлично. Но как ежедневный помощник он не понравился. Сложный, громоздкий. Пол мыла шваброй, подметала веником. Шумит довольно сильно, ребенка уложить спать и одновременно убираться невозможно. Ну и в итоге через год перегорел. В сервис не повезла,...довезла до помойки и там оставила со всеми насадками...</t>
  </si>
  <si>
    <t>Взяли по акции со скидкой, не смотря на отсутствие отзывов на тот момент - рискнули и не разочаровались. Из плюсов - совершенно неслышно как работает двигатель, много режимов, в т.ч. режим быстрой стирки 30 мин, режим очистки барабаны, симпатичная панелька. Из минусов - остаётся вода в уплотнители дверцы, очень сильно шумит при наборе воды, стоит в коридоре не отгороженном дверью от комнат, поэтому заметно, бывает легкая вибрация при плохом распределении белья, однако при этом она твердо стоит на месте и если на машинке сверху ничего не стоит, то и шума при этом нет.&amp;nbsp;</t>
  </si>
  <si>
    <t>купили машинку около месяца назад. все радовало до последней стирки: в середине стирки была обнаружена небольшая лужица и подтеки из дверки машинки. уплотнитель?! загрузка одежки была не очень большая. сегодня попробуем запустить ее вхолостую - без одежки - и посмотреть что будет, надеюсь течи не будет и проблема снимется легко!!!</t>
  </si>
  <si>
    <t>Эффект через двенедели</t>
  </si>
  <si>
    <t>Функция "картинка в картинке" работает только с внешними источниками (ПК), а не так, чтобы 2 телепрограммы одновременно смотреть. А так нормально, много настроек для своего изображения, радио есть (только непонятно зачем), USB работает. После того, как я его купил, он подорожал на 2 штуки. Мелочь, а приятно )))</t>
  </si>
  <si>
    <t>Мы тоже недавно купили,супер,филе рыбки на пару, молочные каши, да вообще-всё очень вкусно!</t>
  </si>
  <si>
    <t>Реально облегчает глажку рубашек. Лучшая покупка на свои деньги!</t>
  </si>
  <si>
    <t>Проблема с HDMI решилась!  Кабель 3м за 350р спас ситуацию :) (прошлый стоил 440 за 2м).  Так же подцепил внешний HDD. Жаль, что необходимо чтобы он был FAT32, в остальном порядок -- DVD с него кажет с upscaling`ом до 1080p.</t>
  </si>
  <si>
    <t>Купила плиту год назад для ежедневной готовки. Ни одного нарекания, все работает отлично! Большая конфорка греется очень быстро, маленькая, конечно, значительно медленнее. Но в целом очень довольна!</t>
  </si>
  <si>
    <t>Тихая и мощная + лаконичный дизайн + 2 года гарантии производителя</t>
  </si>
  <si>
    <t>Я не большой меломан и если Вы им тоже не являетесь-то не мучайтесь с выбором,а смело покупайте.Удобные,качественные,звук-О-е!За эти деньги-лучше не купить,а они и дорогим моделям фору дадут.</t>
  </si>
  <si>
    <t>Отличный телик : очень хорошая картинка , есть вход для usb , отличный дизайн . В общем твёрдая пятёрка !!!!!!!</t>
  </si>
  <si>
    <t>1753</t>
  </si>
  <si>
    <t>Наконецто нашёл!!! Оценка 100000 из 10!!!</t>
  </si>
  <si>
    <t>Отличная консоль! Купил девушке на выходных, что бы в метро развлекалась и сам же на нее подсел :) скоро придем за еще одной только черненькой )  Прекрасные игры, игр великое множество, помоему более 10 000 игр выпущено и все еще выходят. Два экрана + тач скрин - переворот в индустрии игр. Wi-Fi на борту (хоть сразу и не заметно). Долго держит заряд. Если почитать интернет можно без проблем заставить читать музыку, фильмы, книги. Серфинг в сети Интернет тоже поддерживается, как корп. Nintendo так и альтернативными методами. Пока нашел только два минуса - слабовата громкость звука, но стерео в целом качественное (если хочется громче, то наушники и вперед) и при подключении по Wi-Fi поддерживается только WEP шифрование - пришлось перенастраивать роутер.  В сравнении с PSP, Nintendo, для меня лучше. PSP Go вообще не порадовала.  Мвидео спасибо за очень привлекательную цену на консоль, только побольше бы аксессуаров к ней в продажу.    P.S. Ее немного пропиарить и продажи тоже будут на высоте как в Японии и европе.</t>
  </si>
  <si>
    <t>усилитель нормальный для колонок,хороший встроенный кроссовер,много настроек.но для сабвуфера он не пойдет,поищите что нибудь помощней!</t>
  </si>
  <si>
    <t>1474</t>
  </si>
  <si>
    <t>Купила его 2 года назад.Насчёт того что телефон маркий-что есть,то есть.НО!Лично у меня нет никаких глюков,зарядку держит 3-4 дня стабильно,при том,что ежедневно слушаю музыку,пользуюсь интернетом и т.д.  У сестры телефон такой же,и превосходно работает.  Вывод:Если нужен многофункциональный,надёжный телефон-то это ваша модель.</t>
  </si>
  <si>
    <t>мощный двигатель, пять скоростей, надежная конструкция</t>
  </si>
  <si>
    <t>В прошлом году мне подарили такую машинку для стрижки волос. В парикмахерскую с тех пор не хожу, прекрасно справляюсь сам. Если проявить фантазию, то можно интересные варианты стрижек получить за счет установки длины волос. лезвия сами затачиваются и их можно мыть под водой. Доволен устройством.</t>
  </si>
  <si>
    <t>через 2 года появился треск при регулировке громкости. в остальном все отлично уже 3 года</t>
  </si>
  <si>
    <t>Пользуюсь данной моделью уже 3 года. Этот аппарат видно и качественный, и сделан добротно. Работает как часы и нареканий к нему нет. Рекомендую!</t>
  </si>
  <si>
    <t>Купил несколько дней назад, полет отличный, ни каких проблем не возникло. Александру (Йошкар-Ола), хочу сказать, что в этом ноутбуке две видеокарты, одна работает при включенном сетевом питании(4330) и при работе от батареи (3200) и не выносите мозг продавцам М-видео (сами сначала разберитесь), кстати, с этим же связано агрессивное переключение режимов работы, на самом деле очень удобная и продуманная функция. Жесткий диск здесь 7200 об/м, наверное, поэтому Руслану показалось, что шумит, хотя у меня ни каких проблем нет с этим. Не понятно, зачем нужно ставить XP, если здесь стоит "семерка" премиум, которая вполне быстро работает. По поводу маркости, вот хоть убей не могу найти на нем ни одного отпечатка, поэтому считаю, модель хорошо подходит для использования в дороге. Отличная емкость аккумулятора для такого размера в режиме онлайн ТВ 3,5 часа, это с включенным Wi-Fi, а просто кино 4,5 часа, режим чтения около 7 часов. Отличный дисплей, хотя углы обзора не самые большие, но посмотреть вдвоем втроем получится. Клавиатура очень приятная на ощупь, размер клавиш большой. Из недостатков батарея в своем гнезде сидит не очень плотно (зазор около 1мм) и двигается при изменении положения ноутбука. Хотя сам корпус, очень жесткий и отлично собран.</t>
  </si>
  <si>
    <t>Фен очень понравился, 2 режима работы+подача холодного воздуха. Мощности достаточно даже при минимальной подаче воздуха, не пересушивает волосы,не греется и не выключается,советую купить)</t>
  </si>
  <si>
    <t>Внешний вид красивый, да размерами чуть по-меньше своих собратьев, но хлеб прожаривает не равномерно, приходится в два этапа это делать - переворачивать тост, оценка 3 ему за это.</t>
  </si>
  <si>
    <t>2234</t>
  </si>
  <si>
    <t>Хороший эпилятор. Я уже пользовалась эпилятором этой марки, только более ранней моделью, но этот гораздо лучше, волоски убирает достаточно хорошо. Аппарат замечательный!</t>
  </si>
  <si>
    <t>нормальный</t>
  </si>
  <si>
    <t>Отличный обогреватель, комнату 5*4 обогревает с 22 до 30 градусов за 30-45 минут, включается и отключается довольно таки тихо, возможность регулировки температуры, три режима работы 1,2,3, на 3 режиме кочегарит огого, за ночь на счетчике во 2 - м положении и положении термостата приблизительно половина, израсходовано 10,5 кВт/ч эл. энергии, за окном 10 градусов, дома 28 (в доме маленький ребенок) Когда покупал читал здесь отзывы, менеджер оказался туповат, предлагал купить другой менее мощный, его не послушал и купил именно этот, самым важным плюсом, воздух не сушит, утром просыпаешься и во рту не пересыхает! Советую всем у кого маленькие дети и мерзлявчикам!</t>
  </si>
  <si>
    <t>Отличный аппарат. Активно использую и как навигатор и как телефон. А так же как хранилище инфы. Фотоаппарат нормальный, проц довольно быстрый. Меня всё устроило.</t>
  </si>
  <si>
    <t>Этим должен обладать каждый владелец PS3!</t>
  </si>
  <si>
    <t>Купили. Поставили. Включили. Нарадоваться не могу!!! Практически бесшумная. При отжиме вибрирует еле заметно. Идеал для маленькой ванной комнаты. Очень рады, что взяли именно Electrolux EWS 10400W!!!</t>
  </si>
  <si>
    <t>Купили, опробовали, завтра идём сдавать:)))!!! Крышка не закрывается, индикатор уровня воды протекает! Вообщем никому не советую!!!</t>
  </si>
  <si>
    <t>Во всех отношениях аппарат не плох, но основная функция (связь) очень слаба. Как показало время, купил в декабре 2009, никто из "филипков" ничего исправлять не собирался. Прошивки новой не вышло, сервисы завалены всевозможными "ФИЛОГЛЮКАМИ". Вот сижу и думаю, кому продать. Давно купил самсунг кубик голд, да дороже, но это песня! Второй раз в жизни наступаю на Филипс и второй раз жалею. Кстати, аппарат снят с продаж во многих салонах, а ещё похоже и с производства. Прощайте 8000р!</t>
  </si>
  <si>
    <t>Купила 3 мес. назад, в принципе, довольна. Помпа, действительно немного шумновата (сравниваю с Бош), но и цена машинки гораздо ниже. Очень удобно большой люк для загрузки. А программа "Эконом" у меня тоже грамотно написана. :-)  Единственное, что мне доставляет дискомфорт - это отсутствие заслонки в отсеке для порошка. В инструкции указано, что для жидких средств надо опустить заслонку чтобы оно не вытекло до начала стирки, а у меня ее не было. Приходится жидкие ср-ва заливать прямо в барабан. Может в модели 40109 она и не предусмотрена, но вот такой "минус" у меня обнаружился. А в целом, относительно цены, очень неплохой вариант.</t>
  </si>
  <si>
    <t>Сергею (Самара): это нормально. 2-3 секунды нужно для корректного завершения работы софта (разновидность Linux) телевизора, затем реле обесточивает основные блоки. Щелчок последнего Вы и слышите.</t>
  </si>
  <si>
    <t>2182</t>
  </si>
  <si>
    <t>Достониства -  1.Красивый дизайн (3 разноцветные лампочки)  Недостатки -  1. Тормознутые - если в существующий объем подсыпать что-то, то междунепосредственным подсыпанием и обображением на экране цифровых значений - проходит секнда-две. Итог - если ошибся - приходиться отсыпать  2.Измерение объема ведется в непонятных величинах. Экспериметнальным методом было установлено что 1000 гр воды равнеялось 100 CL или 10.0 dl. Что это означает я не смог узнать, т.к :  3.Отсутсвует инструкция на русском языке.    вывод - весы краивые но неудобные. Оценка 2 с плюсом</t>
  </si>
  <si>
    <t>Отец купил себе такую. Бреет хорошо, но довольно часто бывает сильное раздражение.</t>
  </si>
  <si>
    <t>2015-05-15</t>
  </si>
  <si>
    <t>Пользуюсь ей каждодневно на протяжении почти 1-го года и вполне довольна.   Крышка частично прозрачна, поэтому в принципе видна степень помола, это важно, поскольку в нашей семье разные предпочтения насчет величины помола зерен кофе: мой  муж предпочитает более крупный, я более мелкий.    Легко очищается чашечка помола с помощью кисточки, правда в комплекте ее не оказалось, но дома без труда нашлась подходящая.   Также хорошо то, что электрический шнур можно смотать в дно кофемолки и поэтому много места на кухонной столешнице она не займет.   Зерна кофе мелет отлично, и еще некоторое, весьма продолжительное время я молола в ней гречку и рис сыночку на кашу – тоже результат отличный.   Если честно, я не была уверена, что подобную нагрузку она выдержит, но нет, нет никаких претензий к кофемолке до сих пор, хотя уже бы хотелось приобрести что-то новое, но жаль расставаться с такой совершенно замечательной помощницей.</t>
  </si>
  <si>
    <t>Используем около 1,5 месяцев данный пылесос.  Я доволен вполне, пыль, соринки собирает отлично. Кстати фильтр еще не меняли. Ручка эргономичная действительно - очень удобно держать. Хороший пылесос вполне!</t>
  </si>
  <si>
    <t>Купил устройство.Сначала дико обрадовался переключателю песен для руля, на этом радость моя закончилась.Проигрывать музыку он начал в ужасном качестве со скрипом, через 20 секунд музыка заканчивалась,оставался только скрип.Нет функции перемешивания трэков,с креплением для руля я тоже не разобрался,т.к. к тому моменту уже чётко решил вернуть устройство.</t>
  </si>
  <si>
    <t>Флешка просто супер. Очень оригинальна и отличается от всех пластмассовых товарищей. Единственный минус-как и подмечено выше-копачок немного растягивается. Не очень внимательные люди могут его легко потерять.</t>
  </si>
  <si>
    <t>Купил в ноябре 2009. Минусы:   - Большую щётку пришлось сразу сложить назад в коробку, пользуюсь малой (через неё тянет изумительно);  - Чистка акварезервуара после уборки потребует сноровки.  В всём остальном устраивает полностью.</t>
  </si>
  <si>
    <t>2013-10-14</t>
  </si>
  <si>
    <t>2,5 года работал, если не перегревать - то хороший фен, гарантия 2 вроде года, нормально</t>
  </si>
  <si>
    <t>Покупал маме в подарок.Маме понравилось.Вафли вкусные,но довольно толстые.Требуется время,чтобы освоить прибор.Первый блин,как говорится,комом:)</t>
  </si>
  <si>
    <t>Так уж случилось, что у меня непостижимым образом погиб блендер Браун. Заменить на такой же на месте покупки мне не смогли и я взяла себе Бош из этой серии. Хочу сказать: ЗАБУДЬТЕ про Браун - этот лучше (хотя и подозрительно дешевле).  Преимущества Брауна: есть кронштейн для подвешивания на стену, функциональность мелочей (типа резиновых подставок под колбы, которые волшебным движением превращаются в крышки), размер.   Преимущества Бошика: вес (на ощупь легче), в руку ложится как влитой - каждый пальчик на кнопочке (у Брауна переключение скоростей ОЧЕНЬ неудобное), суп-пюре взбил меньше, чем за минуту (Браун намного дольше), молочный коктейль взбил больше, чем в 2 раза в объёме (Браун этого не мог - получалось посредственно). Благодаря форме, действительно не разбрызгивает, не делает больших воронок и дотягивается до самого дна (у Брауна с этим проблемы).  Это то, что могу сказать после нескольких использований.  Честно говоря, чуть не плакала, везя домой Бош. А теперь - от радости. Очень и очень советую.</t>
  </si>
  <si>
    <t>На самом деле машинка супер, ненарадуемся. недостатков я не вижу.. да и цена радует.. не прогадаете..</t>
  </si>
  <si>
    <t>Добрый день! Купил эту чудо машинку пол года назад! Очень доволен!Вкусное кофе получается! Проблем вообще никаких нет! Сам себя чистит! Моет! И кофе готовит! Советую всем!</t>
  </si>
  <si>
    <t>Купила 3 месяца назад. Радует не только цена, но и качество. Заказала такой же для сестренки. Если после второй уборки мыть контейнер и фильтры, то мощность не падает. Убирает очень хорошо.</t>
  </si>
  <si>
    <t>Машинку для стрижки волос выбирала именно фирмы Бебилис, потому что мне самой эта марка нравится, покупала себе мультистайлер и термобигуди. Выбрала именно 796 модель машинки по соотношению цены и качества. Эта машинка была куплена в подарок, думаю, что именинник не был разочарован.</t>
  </si>
  <si>
    <t>1880</t>
  </si>
  <si>
    <t>Телефон хороший, конечно не айфон, но своих денег стоит и в нем все есть. Ну и конечно как всегда есть минусы, крышка батарейки болтается, батарейка тоже болтается, но лечится подложением с торца бумажки. Есть и еще один существенный недостаток, ровно через 2 недели перестал работать динамик, придется нести в СЦ по гарантии. Такая проблема была в первых партиях Нокии 5800.</t>
  </si>
  <si>
    <t>2</t>
  </si>
  <si>
    <t>За эти деньги с таким экран ничего лучше нет, странно что в м-видео их так мало, лучше пожалуй только MSI GX740 но у него жуткий экран слишком темный и греется он безумно, так что это идеальный вариант замены настольного ПК.    Прежде чем критиковать, надо все хорошенько отстроить</t>
  </si>
  <si>
    <t>купил провода на замену из набора,до этого стояли kikx из комплекта для установки,у них провод алюминий,честно говоря не думал что при замене проводов так улучшится звук,причём во всём диапазоне,самое главное появился голос,точнее середина,балансный провод крепится на корпус магнитолы,другой не трогать ,помех нету,я хотел купить дорогой провод,потому как музыка стоит на 100 000,но думаю меня всё устраивает,у кого музычка  до 50 000 ,я думаю замарачиватся не стоит,у более дорогих проводов звук по круче,но например у daxx,при чене в 2 раза больше звук по тэстам хуже</t>
  </si>
  <si>
    <t>Мощный для такого малыша. Работает месяц без проблем. Вначале поскрипывал но видимо притерся и теперь скрипов нету.Крепления хороше.Доволен</t>
  </si>
  <si>
    <t>Для «настольной» работы мощности хватает. От такой модели нельзя ожидать, что он охладит всю комнату, но сидящего за столом человека вполне нормально освежает. Лопасти не трещат, документы со стола не разлетаются. Для душного офисного лета подходит прекрасно.</t>
  </si>
  <si>
    <t>177</t>
  </si>
  <si>
    <t>По мне, так этот ноутбук лучшее, что можно выбрать за свои деньги. Покупкой доволен. Юзаю неделю. Пока никаких отрицательных моментов нет, да и думаю не будет. Оставляйте отзывы об этой машинке!!!</t>
  </si>
  <si>
    <t>мне очень понравился, за такую цену отличное качество, сейчас пользуется телевизором дедушка, которому почти 70, так за неделю пользования всё освоил))</t>
  </si>
  <si>
    <t>128</t>
  </si>
  <si>
    <t>Купили мы эту модель в сезон распродаж в середине января 2014. Долго лежала в квартире, ожидая момента, когда на улице будет хотя бы +5 по Цельсию и мы сможем пробить в стене толщиной 50 см обычной пятиэтажки из кирпича отверстие диаметром 130 см для вывода на улицу отработанного воздуха. Куплен был воздуховод 125 мм, обратный клапан двухстворчатый с алюминиевыми лопастями и цинкованным корпусом, подпружиненным пружинкой, колено 90 гр. и тройник 125 мм, колпак, чтоб дождик в трубу не капал. Утеплил вспененным полиуретаном с фольгой и улицу и домашнюю трубу. Сделал снизу отверстие в дне уличного воздуховода для слива конденсата зимой. Получилось так. Дома от вытяжки уходит вертикально труба, не доходя потолка уходит через стену на улицу, на улице через тройник поднимается не больше чем на метр. Вытяжка при такой конструкции справляется с двумя газовыми конфорками на первой, максимум 2-й скорости. Дверь на кухню при этом открыта. Перед алюминиевым жироуловителем установлен тонкий фильтр, для того чтоб не попадал жир на алюминиевый жироуловитель, ибо его нереально потом отмыть ничем вообще. Если будете покупать фильтр для вытяжки в М-видео, то не ошибитесь, как я, и не слушайте никого. Если вытягиваться будет на улицу, то нет никакой необходимости тратить около 500 рублей на те два фильтра, что продают в коробке. Угольный из того комплекта не нужен. Не, ну если Вы боретесь за экологию и ваши кухонные выбросы на улицу настолько токсичны, то тогда ставьте еще и угольный фильтр. Качество изготовления на уровне Китая, не фабричного, а кооперативного. Ищу сверчки, избавляюсь от некоторых из них наложением слоя санитарного герметика в местах, где от вибраций гремит место соприкосновения декоративного короба и корпуса. По поводу шума. Шумит умеренно на 1 скорости. Долго экспериментировал и пришел к выводу, что шум возникает из-за повышенного сопротивления воздуха в рез-те многих факторов. Поймите, что нельзя выводить вытяжку в вент канал для пассивной вытяжки в вашей кухне. Не будет эффекта никакого, и соседей потравите вашими запахами, особенно в старых кирпичных домах. Предыдущая вытяжка работала, к сожалению, по такому принципу.</t>
  </si>
  <si>
    <t>Фен отличный!Хорошая укладка за несколько минут!</t>
  </si>
  <si>
    <t>Мне машину подарили, но т.к. я новичок разобралась не сразу. Позвонила в М.видео, получила консультацию. Машиной очень довольна, есть все необходимые строчки, прекрасно шьет джинс и очень тихая. Рекомендую!!!!</t>
  </si>
  <si>
    <t>Отличный пылесос.</t>
  </si>
  <si>
    <t>Пользуюсь, и мне она нравится что сок светлый, чистый. Когда-то я сделал ошибку и отжал сок из мягких яблок, конечно же сок получился с мякотью, теперь покупаю только твёрдые яблоки и сок изумительный, жмых сухой.</t>
  </si>
  <si>
    <t>Отличная игра! Я любитель леталок, а от этой, аркадной, просто в восторге.</t>
  </si>
  <si>
    <t>221</t>
  </si>
  <si>
    <t>Михаил, просто установите русскую асю и оперу) скажите, как на нём аккумулятор? сколько держит ?</t>
  </si>
  <si>
    <t>2591</t>
  </si>
  <si>
    <t>купил вчера,по началу был шум,но потом настроил приемную станцию,зарядил как следует и все отлично.спасибо консультантам М видео очень вежливые все понятно объяснят и помогут с выбором.</t>
  </si>
  <si>
    <t>Пользуемся год,отличная магнитола,никаких проблем с флешкой  и дисками,так же пользуюся картой памяти все отлично читает.</t>
  </si>
  <si>
    <t>Слушаю На ДВД дисках МР3.  Раз 5 в день магнитофон зависает, то есть останавливается и пишет на дисплее ER4(Ошибка).   Пока не вытащишь диск и не перезагрузишь, не играет. При чём дисков перепробовал море.   Началось это с новья. Покупал здесь.</t>
  </si>
  <si>
    <t>псп го, не очень удобная, маленький экран и она отличается от slim только тем что у неё экран меньше, и есть блютуз!)) и это будет пустая трата денег! так-что, не советую!!)))</t>
  </si>
  <si>
    <t>1160</t>
  </si>
  <si>
    <t>Работает уже пол года нареканий особо нет, шумит сильно, но это не мешает, брала такой же только желтого цвета потек через пол года... Нагревается сильно, если детей нет то не напрягает, а если есть то лучше этот чайник не брать.</t>
  </si>
  <si>
    <t>Игра очень понравилась, по сравнению с первой частью. Да, она стала консольной, но это не делает её чем то хуже. Графика в целом выглядит немного получше чем в первой части, но опять же в игре нет открытого мира, что, собственно, не сильно меня огорчило. Очень много возможностей прохождения, можно использовать различную тактику, есть очень крутой стелс, впервые нормально реализованная невидимость, причем не какая то читерская, а реально нужно тактически думать. AI у противника очень хороший, даже интересно смотреть со стороны как они пытаются тебя найти, переговариваются, и т.п. Сюжет тоже интересный, не буду спойлерить. Игру очень советую.    PS: Жаль на клавиатуре+мышь игра играется просто отвратно, они что-то там с сенсой намудрили, поэтому целиться неудобно. Советую подключить геймпад от Xbox 360, на нем она играется очень приятно, особенно если вы предпочитаете стелс-прохождение. Так же понравилось как в игре работает обратная отдача геймпада. Целиться на геймпаде в игре очень удобно, разработчики постарались.</t>
  </si>
  <si>
    <t>Тихая, аккуратная, занимает мало места в шкафу. Мелет хорошо. Если периодически останавливать и встряхивать, то крупных кусков не остаётся.   Шнут прячется внутрь корпуса. Это и "плюс" и "минус". "Плюс" в экономии места, "минус" в трате времени на закручивание шнура внутрь.   Единственный серьёзный минус - маленький объем. Даже  на одну турку (2 чашки) одного помола не хватает.</t>
  </si>
  <si>
    <t>Монитор хороший особенно по акции как купила я, очень повезло с этой покупкой :-)</t>
  </si>
  <si>
    <t>Эксплуатирую с 2009г. - отличный х-к, солидный вид,большая вместимость и отличная ионизация.</t>
  </si>
  <si>
    <t>Купила данный эпилятор около года назад, работает супер, волосы выщипывает на ура, и совсем не больно. Шум есть, но не очень сильный) Лично я, всем советую)</t>
  </si>
  <si>
    <t>Очень хорошая стирка, купила домой. компактная, красивая, уже проверена в использовании. цена - просто замечательная, на рынке за такие деньги - такую стирку не найти.</t>
  </si>
  <si>
    <t>3140</t>
  </si>
  <si>
    <t>Флешка понравилась сразу. Компактная, легкая, веселой расцветки. Работает быстро, не стала глючить, даже когда в лужу уронил.</t>
  </si>
  <si>
    <t>Купил 2 года назад данный вентилятор, не жалею о покупке ни дня. Работает достаточно тихо, днем его совершенно не слышно, городской шум перебивает, а ночью включать на полную мощность нет необходимости. Для ночи достаточно работы на 2-ой скорости, проверенно суровыми условиями нынешней жары. Уровень  шума в таком режиме работы более, чем комфортный, вентилятор практически не слышно, спать не мешает.  Работает 24 часа 7 дней в неделю, нареканий нет.</t>
  </si>
  <si>
    <t>Неплохая модель телевизора. Приобретал под новый год. Рассматрвиал, как вариант по таким параметрам:  - Размер  - Цветопередача  - Защищенность от маленьких детей  - Исключение ненужных функций (интернет и т.д.)  Доволен всем, все устраивает.  Из минусов:  - Немного бликует экран (стекляный не матовый)  - С флеш карт читает, только формат АВИ.</t>
  </si>
  <si>
    <t>Недавно купила такой утюжок! Это просто прелесть! Выпрямляет на 5+! Советую всем! Покупайте, не пожалеете!</t>
  </si>
  <si>
    <t>Универсальность (Комбайн и Блендер!!!). Защита от включения с открытой крышкой (особенно удивила эта функция в блендере). Получаем: коктейли и смузи, тесто жидкое (диск для сливок) и густое (нож крыльчатка), шинковку (в том числе терка, и резка КУБИКАМИ!!!!!), соки. Хочу купить диск для картошки фри.</t>
  </si>
  <si>
    <t>не пригорает ничего и мыть одно удовольствие!</t>
  </si>
  <si>
    <t>Плюсы  1.Батареи хватает на два фильма или на 5 часов музыки.  2.Хорошее качество фотографий.  3.Без проблем подключается к любому компьютеру.    Минусы  1.Полусенсорные кнопки часто не срабатывают.  2.Тексты читать не удобно(к тому же документы из Office Word не читает.  3.Стандартные наушники ломаются через неделю.  4.В комплекте нет адаптера для розетки.    Вывод  Если вам хочется просто слушать музыку берите сразу, ну а если вам важно качество видео, текстов, фото поищите что-нибудь другое.  И ещё совет сразу купить адаптер и наушники!</t>
  </si>
  <si>
    <t>773</t>
  </si>
  <si>
    <t>Купили такую же 3 года назад и до сих пор не нарадуемся! Шумная при отжиме как и все! Не более! Отжимает хорошо, просто прелесть! За эти деньги мы довольны!</t>
  </si>
  <si>
    <t>2016-09-09</t>
  </si>
  <si>
    <t>Начала молоть помидоры и она взорвалась , я просто в шоке . На выходных пойду пробовать менять или отказываться от нее. За такие деньги одноразовая мясорубка. Хотя продавец говорил , что она подходит идеально как и для мяса так и для помидор и других овощей.</t>
  </si>
  <si>
    <t>Мне понравился. Идеальный выбор для сухих и ломких волос – выпрямитель Remington S9000, который помогает восстановить водный баланс волос, что делает волосы более мягкими, гладкими и здоровыми. Пар проникает в структуру волос и «запирается» там во время укладки, благодаря чему снижаются ломкость и сечение волос. Эксклюзивное нано-алмазное и тефлоновое покрытие обеспечивает непревзойденную защиту, а кроме того, гарантирует долговечность пластин, равномерное распределение тепла и отсутствие точек перегрева.</t>
  </si>
  <si>
    <t>1380</t>
  </si>
  <si>
    <t>Всем привет! Приобрел недавно такую щетка, очень понравилась. Раньше пользовался обычной - решил что то обновить, остановился на данной модели,  шикарный вариант, чистит быстро, а главное качественно.  Режим привыкания  тоже очень хорошая вещь, так как после обычной щетки ощущения весьма необычные.  Вообщем, покупкой остался доволен.</t>
  </si>
  <si>
    <t>Полностью согласен с предыдущими ответами. За такие деньги отличный комп. А проблема с зависанием у меня точно такая же и это сильно напрягает. В сервис везти очень не хочется. Может тут есть специалисты которые могут подсказать в чем проблема? или люди которые возили уже в сервис отпишитесь что там сказали...</t>
  </si>
  <si>
    <t>хорошо мелет</t>
  </si>
  <si>
    <t>Я купил этот телефон 1,5 года назад. Полное разочарование: по гарантии ремонтировал 3 раза - трубку, базу и, наконец, полная замена оборудования. Сейчас - постоянно глючит. Единственная радость - автоответчик.</t>
  </si>
  <si>
    <t>Все взбивает, измельчает, шинкует. Дети с ума сходят от коктейлей, младшему делаю пюре и фруктовые и овощные(после пароварки) и даже творог со свежими фруктами. Это просто ПУШКА, я очень довольна.</t>
  </si>
  <si>
    <t>Утюг хороший, даже процедуру глажения полюбила. Одно не получается- вытащить стержень для очистки от накипи. При покупке, попробуйте сразу, может это я такая,а не утюг.</t>
  </si>
  <si>
    <t>1280</t>
  </si>
  <si>
    <t>Слабый ноутбук брать не стоит, можно взять и не такой уж мощный, игры на нем мощные не поиграешь, на ноутбуке будет сильно греться, потому что вентиляторы маленькие</t>
  </si>
  <si>
    <t>Купил со скидулей этот сок, доволен очень!!! Жмёт отлично и жмых сухой!!! Моется легко!!! Всем советую!!!  Bork рулит!!!</t>
  </si>
  <si>
    <t>Очень тихий, не мешает смотреть тв, легкий, компактный</t>
  </si>
  <si>
    <t>Купил в марте 12-го года.Обращался бережно,чтоб не перегревать 5 мин через 5. К таким вещам без шуток!!!После 10 моек аппарат потёк,это через год и 5 мес.Заменили пластмассовую деталь(на высоком давлении не могли металлическую сделать (мастера говорят, что это расходный материал)Затем пару раз помыл и всё,развалился привод насоса и сгорел мотор.За что платил деньги не знаю - качество это модели отстой! Возможно мне такой экземпляр попался,но больше переплачивать за одно имя не буду.</t>
  </si>
  <si>
    <t>Этот фен САМЫЙ ЛУЧЩИЙ без всяких там сомнений!!!И цена соответствует качеству.</t>
  </si>
  <si>
    <t>Пробовал подключать по VGA кабелю - разрешение до 1440x900, что немного больше чем 1366x768. Отличная картинка, звук и дизайн за такую сумму. Функционирует и разъем USB. Читает огромное количество видео форматов. Особенно радует просмотр BD Remux формата в великолепном качестве на Винчестере(проигрывает без подтормаживания!), т.е. качай и смотри. Обидно только, что значок Blutooth есть, но самого устройство передачи нет. Вобщем очень рад своим выбором.</t>
  </si>
  <si>
    <t>Пользуюсь месяц все норма  работает! всё без проблем! советую пакопайте - непожалеете! Соотношение цена-качество думаю лучьше ненайти! сначала были проблемы с разбором нстроек по меню но 10 минут и великий "научный тык" и даже без инструкции можно разобратся лекго!</t>
  </si>
  <si>
    <t>Консоль просто супер!Я счастлив!Покупайте без вопросов,получше PS3</t>
  </si>
  <si>
    <t>Сушит очень долго, если все лотки заполнить. Сгорела ни стого ни с сего.   Нужно было её в сервис вести на другой конец москвы. В общем выкинули мы её.</t>
  </si>
  <si>
    <t>ТВ покупался 18.11.2010. Нареканий нет. Просто пришел, увидел, купил. Разбираться в магазине в функциях не стал. Как правило перед покупкой я очень тщательно изучаю товар в нете. Отзывы читаю. Но это была импульсивная покупка. Не жалею. Покупкой полностью доволен. Один нюанс: показалось, что шумновато работает, думал, что такие ТВ работают как мониторы, без звука.</t>
  </si>
  <si>
    <t>Отличный пылесос. У меня маленький ребенок, только начал ползать, убираться приходится через день. И каждый раз куча мусора (откуда только берется???). Сначала муж ворчал, что дорого, но после того, как посмотрел на результат уборки согласился, что он стоит тех денег. Во время уборки не пахнет пылью, а воздух кажется чище. Соседка попросила попробовать пропылесосить (у нее две собачки) и была в шоке от того, чем она дышит. Три раза мусор вытряхивала. И очень удивилась, что на полу не осталось шерсти. Заказала в тот же день! Мы очень довольны!</t>
  </si>
  <si>
    <t>Удобство и простота в использовании,  полная комплектация, приемлемая цена</t>
  </si>
  <si>
    <t>приобрел сегодня, версия официальной прошивки 6.2</t>
  </si>
  <si>
    <t>я тоже долго выбирал пылесос-облазил весь инет и остановился на такой же модели той же серии-8810 huv-т.к. он самый мощный и объём контейнера 2.2литра.я и моя жена очень довольны сделанной покупкой-пылесос просто супер!а по поводу брикетика-это отчасти правда,т.к.он не такой плотности как все ожидали,но нас это более чем устраивает!покупайте,не пожалеете!!!</t>
  </si>
  <si>
    <t>2438</t>
  </si>
  <si>
    <t>вот сегодня купил себе эту машинку очень доволен многофункциональный мощный компик тянет практически все игры,большой дисплей в общем всем советую берите не пожалеете за такие деньги лучшего и быть не может!</t>
  </si>
  <si>
    <t>Попался с прожжённой матрицей. по низу экрана полоса с нарушенной цветопередачей. меняю по гарантии, но буду брать такой же. аппарат в целом отличный. бывают подвисания при проигрывании с флеш накопителя на что телевизор просто перезагружается. вполне возможно вызваны битыми видео файлами. поддерживает цифровое тв. стоящий телек берите.</t>
  </si>
  <si>
    <t>Пользуемся этим чайником уже месяц. Покупали его в этом магазине. Работает стабильно, без нареканий. Воду нагревает достаточно быстро. Но мне он по большей части нравится тем, что есть циферблат, где указывается температура воды в настоящий момент. Весьма полезная функция.</t>
  </si>
  <si>
    <t>Вообще мне по душе обычные чайники, но получила в подарок я термопот, гораздо вместительнее чайника. Меня в принципе запах пластмассы вообще не сильно задевает, но от него и не пахло пластиком. Кипятит дольше чем чайник, но при этом поддерживает температуру долго. Подарили год назад и я очень рада. Хотя мне кажется, что больше для офиса, но у нас в семье 5 человек, свой мини-офис.)</t>
  </si>
  <si>
    <t>Искал наушники на замену оригинальным от SE, т.е. для телефона. Полгода сурового использования (я в них и днем и ночью можно сказать, засыпаю во всяком случае с ними) и никаких проблем ни с левым, ни с правым наушником тьфу-тьфу-тьфу не обнаружил... Звук хороший за эту цену. Единственное из недостатков в нижней части, рядом с креплением для шнурка материал, которым покрыты провода. начал пушиться, что не очень красиво смотрится)) В целом наушниками доволен.</t>
  </si>
  <si>
    <t>Недорогой, компактный</t>
  </si>
  <si>
    <t>Купили месяц назад взвешивают правильно,хоть и дешёвые.Покупайте не пожалеете.</t>
  </si>
  <si>
    <t>2011-12-19</t>
  </si>
  <si>
    <t>Замечательная электромясорубка, за среднюю цену, качество превосходное. Прекрасно крутит фарш, без всякого надрыва, шум средний, очень довольна покупкой!Чтобы детали не окиcлялись, сразу мыть и вытирать насухо! Рекомендую!</t>
  </si>
  <si>
    <t>Покупаю эту модель второй раз. Первая прослужила лет 15, правда один раз перегорел тен и пришлось менять. Стоит под раковиной, не мешается. Эта более усовершенствована.   Мне очень нравится.</t>
  </si>
  <si>
    <t>Купил вчера. доволен как слон. Надоело на сотик щёлкать. компактный, удобный, понятные настройки. Покупать, кому не хочется заниматься всякими многочисленными настройками и качество хорошее.</t>
  </si>
  <si>
    <t>Купили эту модель, очень пожалели, очень шумный, вылетает пыль, сломался быстро. Не советую покупать.</t>
  </si>
  <si>
    <t>Долго не знал стоит ли покупать и какой, но остановился на данном девайсе, доволен на все 100, звук глубокий, басы отменные, помех и шипения не обнаружил ни на низкой ни на высокой громкости, + ещё подсветка дисплея Красного цвета что отлично подходит к красной подсветке салона моего бумера!</t>
  </si>
  <si>
    <t>Для моих волос, выпрямитель космос! Цена сначала смутила, но все же рискнула купить, и ни капли не пожалела!</t>
  </si>
  <si>
    <t>У меня вопрос - какой внутренний размер центрального отверстия и сама длина ножа с лезвиями?▶▶▶ОТВЕТ ЭКСПЕРТА «М.ВИДЕО»◀◀◀Яна, данная информация не заявляется производителем, в связи с тем, что имеется четкий перечень моделей мясорубок, с которыми будет совместим данный нож, и он следующий: Scarlett SC-149; PANASONIC MK-G1500P, MK-G1800WTR, MK-G1500PWTR, MK-G1300PWT, MK-G38, MK-G20, MK-G30, MK-G8710; ELENBERG MG-2501; Verloni VL-549; Daewoo DI-1920S, Dl-9180, DI-9182. С другими моделями этот аксессуар совместим не будет.</t>
  </si>
  <si>
    <t>2989</t>
  </si>
  <si>
    <t>Чайник хороший, спору нет. Но, видимо, раньше делали более качественней, т.к. купленный 4 года назад оказался надежней и практичней купленного в прошлом году (хотели старый поменять на новый, а он года не прослужил и потек).</t>
  </si>
  <si>
    <t>В целом плита за 6 мес использования оставляет положительное впечатление.  Радует конвекция в духовке, например пицца при 180гр выпекается 12 мин на своем спец противне (покупали отдельно, тефлоновое покрытие, дно с отверстиями). Имеется нижний выдвижной ящик для хранения например сковородок.  Рабочая поверхность с газовыми конфорками моется легко, пока проблем нет. То что металлическая решетка на газ.конфорках, а не чугунная - на наш взгляд не принципиально.  Из минусов:  - нанесение картинок на ручках, скорее всего сотрется со временем  (после использования духовки не нужно ее держать открытой, влияет на ручки - но это у всех газ.плит)  - короткий эл.шнур от духовки, в принципе у нас розетка рядом хватает, но недалеко есть еще одна и до нее уже не дотягивается. Иногда бывает нужно для др.эл.приборов.  - сгорела лампочка в духовке, заменил купив аналог, ничего сложного. Отнести конкретно к прибору не могу, т.к. лампочки по всей квартире перегорают регулярно.</t>
  </si>
  <si>
    <t>Телефон очень классный, но для него очень мало тем и игр, особенно прошивок.</t>
  </si>
  <si>
    <t>3068</t>
  </si>
  <si>
    <t>Очень хороший нетбук, рекомендую, хорошая клавиатура, батарея хватает примерно на 6,5 часов.</t>
  </si>
  <si>
    <t>У наушников есть один минус, они немного тихие. Но в плане удобства на 1 месте - нигде не жмут, не трут, уши не потеют так, как у них ткань, а не кожа. В общем за такие деньги лучшие в М.видео</t>
  </si>
  <si>
    <t>я купил, все игры тянет, gta4</t>
  </si>
  <si>
    <t>2668</t>
  </si>
  <si>
    <t>Отличный нет-бук со всеми необходимыми функциями. недавно приобрели - очень нравится. Удобный, лёгкий и занимает мало места.</t>
  </si>
  <si>
    <t>Чайнику нет месяца, НО  1) Ржавчина (а чайник, из нержавейки)  2) Крышка открывания заедает.  3) Начинает трескаться пластиковое окно контроля воды.  Так что делайте вывод, дамы и господа.  Завтра еду менять, а скорей всего деньги буду возвращать.</t>
  </si>
  <si>
    <t>2017-07-17</t>
  </si>
  <si>
    <t>Тянет нормально.</t>
  </si>
  <si>
    <t>2025</t>
  </si>
  <si>
    <t>2013-10-25</t>
  </si>
  <si>
    <t>Йогурты получаются очень вкусные, но есть один недостаток, через 6 месяцев йогуртница стала перегревать. Хорошо есть знакомый электрик, он что-то сделал в ней и она, нагреваясь до 40 градусов, стала отключаться!!!!</t>
  </si>
  <si>
    <t>Суперская вещь! Сколько раз бывало, поставишь яйца варить в кастрюле и забудешь, прибегаешь, а там либо вода уже выкипела, либо яйца по кухне летают. А сейчас варить яйца одно удовольствие, не надо кастрюли марать и о готовности она оповестит. Очень рекомендую.</t>
  </si>
  <si>
    <t>Присоединяюсь к выше сказанному. Как купили, радости не было предела. И мощный и рабочая поверхность широкая (не надо рукой 20 раз махать). Но через 3 недели после покупки сгорела плата. Отремонтировали по гарантии. Прошел год, опять тоже самое: сгорела плата. Мало того, что ремонтировать будут 3 недели, так еще и цену объявили 3000 руб. А за эти деньги можно новый утюг купить. Вывод: утюг ужасно ненадежный, хоть и стоит почти 5000руб. Покупать не советую.</t>
  </si>
  <si>
    <t>Хоть с виду  сабвуфер и маленький, такой неприметный даже можно сказать. Но выдает звук то что надо. Производители умудрились уместить в этот маленький кубик целых двести Ват мощности, чем даже обычные большие сабвуферы похвастаться не могут.  То как этот монстр улучшает качество звука , это конечно сложно описать словами. Все звучит прям очень круто , звук громкий , но четкий и ясный. Бассы валят так , что аж стекла тресутся , качает нереально .  Главное только немного отрегулировать звук на самом сабвуфере , там есть специальные регуляторы громкости и  частоты среза.  Сабвуфер подключить легко ,в се нужные разьемы на нем есть.  Для размещения тоже идеально подходит, очень маленький по размерам , всего- то двадцать сантиметров в высоту и ширину. Установил его на полу рядом с подставкой для телевизора, смотрится красиво . Саб вообще качественно сделать , из приятного мдф . Материал ,который покрывает сам динамик ,довольно таки прочная ткань , думаю со временем не порвется. Ставлю этому сабу все пять баллов из пяти. За качество, мощность и красивый дизайн.</t>
  </si>
  <si>
    <t>Купила пароварку в подарок маме. Сначала хотела купить Тефаль, но увидев пластиковые основания, механическое управление, сразу оставила эту мысль.Увидела Борк, сразу понравился дизайн, металлический корпус, эл.управление. Мама и я довольна выбором, нареканий на работу нет.Советую всем.</t>
  </si>
  <si>
    <t>Плеер вполне достойный. Отличный поиск по диску - очень быстрый, учитывая объем BD-диска. Хотя есть и минус - относительно высокий шум (свист) при раскрутке диска. Из недостатков - отсутствие русифицированного меню (хотя все интуитивно понятно и на английском). При активации функции QuickStart (быстрый старт) полностью не отключается, остается работать вентилятор, что не очень приятно слушать, поэтому пользоваться функцией вряд ли придется. Но в принципе, это мелочи. В остальном все прекрасно - качество на твердую пятерку, совместимость с ТВ (даже другого бренда) - полная. Управление ТВ с пульта плеера, через шнур HDMI - автоматическая настройка формата изображения. Мой совет - покупайте, не пожалеете. Pioneer - он и есть Pioneer.</t>
  </si>
  <si>
    <t>Пылесос той же серии, только 6650, но и внешне и внутренне одно и тоже. Выдержать уборку в 3-х комнатной квартире не мог из-за перегрева, хотя работал всегда на средней мощности. Через год при включении начала вылетать задняя крышка, а за ней вдогонку и HEPA фильтр, который меняли минимум раз в 3 месяца. Через 14-15 месяцев оплавилась воздуходувка и пришлось менять мотор, а заодно и заднюю крышку. Но история повторилась вновь... Снова начала вылетать крышка и фильтр из-за температурных деформаций. И я не выдержал. Выбросил его на помойку как есть. Достал старый LG Storm (10 лет, однако) и пользуемся им. У знакомой такая же модель вела себя идентично. Лучше всего его исползовать как тепловую пушку или фен.</t>
  </si>
  <si>
    <t>советую всем....Бук чёткий соответственно за ту сумму, которую предлагает М видео. объехал почти все магазины города за эту сумму лучшего не нашёл.очень удобный за исключением юсби портов потому что провод мышки тянуть не в кайф. в интернете летает. в игрушки не пробовал играть но думаю легко потянет...так что советую)))</t>
  </si>
  <si>
    <t>Купила вчера в цвет своей кухни!! Работает отлично.Хорошо поджаривает.Советую.</t>
  </si>
  <si>
    <t>После приобретения прошло 1,5 года, внезапно отключился при кипячении, при повторном его включении не кипятит, при этом горит красная подсветка, а в выключеном состоянии синяя подсветка не горит.</t>
  </si>
  <si>
    <t>Забегая вперед сообщаю: холодильник хороший. работает тихо. нареканий нет. понравилось большое кол-во полок и "автодоводчик" закрытия дверцы - для детей очень актуально.    Убило то, что грузчики занесли холодильник на этаж, а он оказывается в дверном проеме не проходит. Даже без коробки.  Пришлось за доплату снимать дверцы, и собирать уже в квартире.    не считая проблем при доставке - отличный холодильник.</t>
  </si>
  <si>
    <t>Приобрел этот телевизор, подключил к компьютеру через кабель HDMI - DVI.  Через несколько часов телевизор в районе подсоединения кабеля заискрился и задымился. В итоге кабель полностью выгорел, видеокарта на компьютере сгорела, телевизор весь покрылся сзади гарью.  Кто подскажет, что могло послужить причиной такого ЧП?  В чем была проблема - в кабеле или в телевизоре?</t>
  </si>
  <si>
    <t>1. Изображение лучшее в аналогичном ряде телевизоров за эту цену.  2. Читает все форматы видео, перемотка на всех форматах работает (читал в форумах, что на *.mkv не работает - у меня всё работает), подцепил винт на 1Тб не нашёл ни одного нечитаемого формата.  3. С очень плохой, старой погнутой антенной с одним из двух усов, нашёл все каналы - прям чудо, на обычном телике работали только 3 :)  4. Законектил с компом без проблем через Wi-Fi... 2 минуты... в общем пока одни плюсы, это третий мой ЖК-ТВ до этого были только Sony, вот теперь и думаю, зачем платил по 140 т.р., если этот во всех отношениях лучше... Компьютер, а не ТВ.</t>
  </si>
  <si>
    <t>Нормальный такой триммер. Насадок можно было сделать меньше, но надеюсь что они мне пригодятся. Мощность хорошая, более дорогим моделям, на мой взгляд, он ничем не уступает. Пластик качественный, ножи острые и волос не жует, работать может самостоятельно , зарядки хватает на полчаса.</t>
  </si>
  <si>
    <t>Мультистайлер не плохой. Гафре и всякие кудряшки получаются замечательные, а вот выпрямитель толком не выпрямляет. Поэтому 4</t>
  </si>
  <si>
    <t>838</t>
  </si>
  <si>
    <t>Не работает. Нету части деталей. в коробке детали валяются как попало. И вообще он в пыли. Не советую. Так и не смог попользоваться.</t>
  </si>
  <si>
    <t>Купили сегодня пылесос... Просто суперский: легкий, компактный... Ну очень хороший... А всасывает просто замечательно.... Тут говорили про шумность... Ничего он не шумный... Вообщем берите и не задумывайтесь... Я вам советую....</t>
  </si>
  <si>
    <t>Первая моя электробритва,бреет чисто,зарядки хватает очень на долго,даже трудно сказать на сколько.Доволен выбором и всем советую!</t>
  </si>
  <si>
    <t>Купили неделю назад. Машинка хорошая, не шумная, но при отжиме хорошо вибрирует. Отстирывает прекрасно, программ очень много, на любой вкус. Есть небольшой минус - в отсеке для "Калгона" не всё смывает.</t>
  </si>
  <si>
    <t>Мультик детям понравился. Только высидеть 1,5 часа в бумажных анаглифных очках (к тому же не слишком то и удобных) оказалось трудно. При просмотре частенько очки приподнимаются на лоб (местами 3D эффект минимален).</t>
  </si>
  <si>
    <t>Купил недавно эту бритву. В целом бритва произвела положительное (но не восторженное) впечатление. Бреет довольно неплохо, очень мягко, не оставляет раздражения на коже.Однако чтобы добиться высокого качества бритья приходится несколько раз проводить по коже. Шумит в меру. Брить надо исключительно сухую кожу. Добиться гладкой кожи после бритья можно, но все же приходиться добривать станком. Однако время затрачиваемое на бритье сократилось (до этого использовал Браун 1-ой серии)  и это очень хорошо.В целом можно поставить твердую 4-ку.  Неудобный захват, нужно приспособиться правильно держать, чтобы брить было удобно. В целом можно покупать, но чуда не ждать. Если ожидаете чего то особенного от бритвы, то рекомендую поискать что-то подороже.</t>
  </si>
  <si>
    <t>2011-10-06</t>
  </si>
  <si>
    <t>Купили сегодня и не пожалели. Долго искали такую соковыжималку, которая без проблем выжимает сок из черноплодки. НАШЛИ! Жена в восторге!    Рекомендую.</t>
  </si>
  <si>
    <t>2014-07-08</t>
  </si>
  <si>
    <t>Мария, да, должен, если он включен. Присутствие скрипа в данной модели тепловентилятора допускается. На качество работы это не влияет.</t>
  </si>
  <si>
    <t>Наушники вполне отличные.  только есть одна проблема....  данное крепление от "усталости пластика" отваливается и наушники выдвигаются, но не вываливаются...</t>
  </si>
  <si>
    <t>Приобрел пылесос около месяца назад.  Пылесосит лучше предыдущего циклона. Не супер-пупер, конечно, но объективно пылесосит лучше предыдущих моих пылесосов. Собирается и разбирается быстро. За месяц мешок, который был в комплекте, до сих пор не заполнил. Приобрел одноразовые. Говорят, что с одноразовыми мешками пылесос работает еще эффективнее.   Пока без претензий</t>
  </si>
  <si>
    <t>прикупил данную модель около месяца назад, впринципи доволен. огорчило отсутствие вывода звука, даже под наушники разъема нет. мкв не показывает, но зато показывает 1,37гб фильмы. с обычной аналоговой антеной лучше даже не смотреть, а сразу брать цифровой рессивер.</t>
  </si>
  <si>
    <t>Чайник отличный, средне шумит при нагреве, не протекает, нет привкуса пластика от воды как в некоторых моделях, объем хороший, и работает уже 5 лет без проблем и перебоев. Только в красном цвете у меня.</t>
  </si>
  <si>
    <t>Стандартная сеточная бритва, но по соотношению цена/качество лучшая.  Бреет, как все сеточные бритвы, т.е. только короткие волосы.  Зарядка за ночь - в самый раз.  Идеальна для ежедневного бритья</t>
  </si>
  <si>
    <t>Не знаю почему все пишут завис, не может включиться и т. д. когда у меня завис он сильно пищал, но потом выключался.Потом я сходила в мвидео мне показали кнопку перезагрузки reset (сзади ее нажимают иголкой) и больше не зависал.ну на 5 с минусом потянет!</t>
  </si>
  <si>
    <t>2015-03-10</t>
  </si>
  <si>
    <t>Владею данной машинкой около 4 лет.  Никаких поломок и нареканий по работе нет, со своими обязанностями справляется на ура. Рекомендую.</t>
  </si>
  <si>
    <t>Когда покупал отзывы были плохие, что ломаются и перегреваются. 3-й сезон пользуюсь - все хорошо! Главное не забывайте выключать сначала его, потом воду! Готов покупать каждый сезон новый - лишь бы с ковшиками не бегать :) Кто пишет про врезку в сеть, заземление и прочую ересь - у меня сразу с нормальной вилкой в розетку шел, не пугайте людей :)</t>
  </si>
  <si>
    <t>2016-05-11</t>
  </si>
  <si>
    <t>1) плюсы: прочно сидят на голове-не свалятся точно при езде на велосипеде или катании на лыжах и коньках. шнур не спутывается.  2) минусы: как я их не надевал- низов не услышал. звука по громкости не хватает. может мне не удачный экземпляр попался.  3) вывод: для активного отдыха сойдет.</t>
  </si>
  <si>
    <t>пока что не знаю,только сегодня купила,есть одно но...нет отсека для сока!</t>
  </si>
  <si>
    <t>Хорошая "штучка". Приобрел совсем недавно в "М-видео" на Университетском. Первое использование очень порадовало: готовили в нижнем ярусе рыбу, в верхнем - овощи (морковь, картошка, кабачок, помидоры, свекла). Все очень вкусно и полезно! Пока одни плюсы :-), но есть один небольшой недостаток: помывка-протирка нижнего поддона, в который заливается вода, не очень удобно.</t>
  </si>
  <si>
    <t>В первую очередь привлек металлический дизайн. Во вторую, наличие терок и шинковок (тоже металлических). Прекрасно рубит мясо, трет и шинкует овощи. Экономит место на кухне и заменяет несколько приборов. Удобно и быстро делать заготовки на зиму. Советую!</t>
  </si>
  <si>
    <t>Отличный ноут!   За те 28 тыс. руб за которые взял, аналогов просто нет.   Винт сразу поделил как нужно.   Винду поменял на Windows 7 32-битную. Невидимый в результате этого 1Gb ОЗУ смонтировал в RAM-диск и перевел на него все кэши и темпы.  Нигде не указано точно, поэтому сообщаю, что кард-ридер читает и SDHC карты.  Экран - окровенное фуфло, но это не принципиально, поэтому приобретением доволен.</t>
  </si>
  <si>
    <t>сейчас смысла брать фифу 09 нет ведь уже есть в продаже фифа 10! хотя они не очень сильно отличаются и можно взять 09 за 990р</t>
  </si>
  <si>
    <t>Покупкой очень доволен. Качество звука порадовало. По поводу соединения с телефоном, у меня получилось не сразу(инструкцию не читал), но буквально через 1.5 минуты все заработало, да действительно микрофон слабоват. Почему то ни слова в описании не было, что она может выполнять функцию JPS навигатора, достаточно вставить карту памяти с необходимым ПО.</t>
  </si>
  <si>
    <t>Ноут хороший, функциональный. Только очень сильно греется даже без нагрузки. Говорят может помочь профилактика системы охлаждения (замена термопасты), но нести новый комп в сервисный центр не хочется. Своих денег стоит.</t>
  </si>
  <si>
    <t>Купил плеер, к нему колонку, плеер вообще супер подключается к телику имеет встроенную память 8 gb, покупайте не пожалеете, смотрю видео, слушаю музыку в отличном качестве, вообще плеер от души, советую брать!!!!!!</t>
  </si>
  <si>
    <t>Хороший, качественный пылесос. Доволен.</t>
  </si>
  <si>
    <t>Купил недавно рад) только усилок слабоватый взял на 300 ватт( буду брать kicx kap-27) потом отпишу)</t>
  </si>
  <si>
    <t>Купил 21 декабря 2009 года эту модель нетбука, обнаружилась проблема как в первом отзыве, то есть мерцание изображения, сдал в сервис, сначала проблему не признавали, но после запроса в Московский офис Acer, подтвердили брак материнской платы и замену ее, на аналогичную.</t>
  </si>
  <si>
    <t>Это не весы, абсолютно бесполезная вещь. Погрешность 400 грамм на килограмм! А сенсорное управление-это вообще "гроб с музыкой". Непредсказуемое реагирование на прикосновение. Никому не советую.</t>
  </si>
  <si>
    <t>Похоже эта плойка подходит для волос до плеч максимум, длинные волосы она не может завить , хоть 10 минут стой , а локон не закрутит. Покупала года 2-3 назад, так и валяется ((</t>
  </si>
  <si>
    <t>купил данный ТВ месяц назад. доволен. сборка февраль 2010 прошивка 3,55. активировал USB с помощью диодов появились иконки, но ни одну флэшку, жёсткий, да вообще ничего не видит как будто питание не подается... "недостаточн. места..." Кто нибудь сталкивался? или быть может брак?</t>
  </si>
  <si>
    <t>прослужил 2 года, счас холодильник вообще не охлаждает, хотя ручку регулировки холода  поставил даже на максимум. Морозильник более менее еще как то морозит, но для мороженного уже маловато</t>
  </si>
  <si>
    <t>Отличный пылесос. С легкостью выполняет свою работу. Ковры чистые, приятно. Очень нравится, что в щетке встроена резиновая щеточка, которая позволяет убирать с ковров шерсть и волосы. Всем рекомендую. Отличный выбор для уборки. За 6 лет ни разу не подвел.</t>
  </si>
  <si>
    <t>в эксплуатации  год ровно. полностью доволен. пользуемся очень часто. никаких нареканий</t>
  </si>
  <si>
    <t>Игра классная! берите все! И действительно  Стоимость диска на 100% оправдана! Assassin's Creed 2 намного лучше во всём, чем первая часть. Графика лучше, чем в первой, и музыка намного лучше. А движения контратаки и возможности во время боя так завораживают, что и не хочется отрываться. Минусов я не заметил только при малейшем разрыве с интернетом игра вылетает. Разработчики действительно потратили много времени и сил на эту игру, но она полностью оправдала себя и показала себя с лучшей стороны. И я уверен, что Assassin's Creed 3 не за горами.</t>
  </si>
  <si>
    <t>просто лучшая приставка даже ПС3 в ауте.его прошить и будет счастье сам диски себе делать или пиратки покупать за 300р..нежели брать в магазине от 500 до 5тр игры</t>
  </si>
  <si>
    <t>После моих старых наушников Philips за 300р. эти просто небо и земля! Великолепный мягкий, глубокий и насыщенный бас, прекрасные средние частоты! Шумоизоляция очень порадовала - наслаждаешься только своей любимой музыкой и всё! Покупкой доволен и очень даже.</t>
  </si>
  <si>
    <t>Долго разглядывал и тестил (со своим медиа-плейером этот телевизор), но купить не успел. Купил LG, но модель 3010. Сравнивал с Филиппсом и Самсунгом. Выбор остался за LG – значительно лучше картинка, чем у Филиппса (5604), и больше диагональ, чем у Самсунга (модель не помню, 42 против 40). И ДЕШЕВЛЕ их обоих. Дома весь излазил. Перешивать еще не пробовал. Смотрел – кабельное (4 – медленно переключаются каналы), медиа-плейер (5-, проблема похоже с самим плейером, у него только HDMI 1.2, когда смотришь FullHD кадры чуток рваные, но вполне терпимо, а я привередлив), компьютер (5, видеокарта с HDMI выходом, картинка живая и натуральная и в фильмах, и в играх). Телеком ОЧЕНЬ доволен.</t>
  </si>
  <si>
    <t>Я недавно купила машинку Indesit WIN 102.... Это просто сказка!!! Очень проста в применении, не шумная. Наслышана о дорогих машинках, напичканных всякой электроникой, не очень хорошие мнения. Эта же машинка просто СУПЕР!!! И по цене и по качеству.</t>
  </si>
  <si>
    <t>офигенная игра не глючит не тормозит всё по вышему класу а ещё камера я так рад покупке много возможнастей в игре можно с помощью камеры фоткать и снимать видео я в полном васторге</t>
  </si>
  <si>
    <t>имхо трудно найти что-то лучшее.  Отличный яркий монитор, громкие динамики - кинотеатр дома. Тока нужно устанавливать дополнительно кодеки, например k-lite 5.20.  Сегодня сталкера на максимальных настройках играл. Завтра попоробую ГТА4.  Пластик среднего качества, вполне приятный на ощупь. Да и выглядит добротно и качественно, в отличие от Паккард Белла, которого чуть не взял.</t>
  </si>
  <si>
    <t>2890</t>
  </si>
  <si>
    <t>отличные наушники, цена оправдана. прослужили больше года, в принципе и сейчас работают, но провод стал огаляться и такое чувство, что вот вот провод порвется=((( до этого у меня наушники и месяца не выживали, а эти прям бьют все рекорды=)</t>
  </si>
  <si>
    <t>Купил месяц назад, первое впечатление весьма не плохое. Стильный и функциональный телефон. Внешне понравился с первого взгляда!</t>
  </si>
  <si>
    <t>1181</t>
  </si>
  <si>
    <t>Согласна с Анастасией из Волжского. Никого не слушайте, берите не задумываясь. Оч хороший плеер. Подарили 2 года назад. Работает отлично.Не знаю как у других , но лично у меня с сенсероми пока все нармально. А если что-то уж не так то сдайте по гарантии, вам  другой дадут.</t>
  </si>
  <si>
    <t>1478</t>
  </si>
  <si>
    <t>чайник супер, работает тихо по сравнению с BRAUN wk210. нет запаха пластика,дизайн оригинальный, закипает быстро,отключается не сразу, это не очень хорошо,вода немного перекипает, но тоже самое было и у предыдущего чайника,не понятно почему не высокая цена по сравнению с аналогичными моделями этой фирмы и страна производитель не очень, а так всё клево.</t>
  </si>
  <si>
    <t>кто живет на съемной квартире без стиральной машинки-автомат,либо у кого ограниченная площадь-очень полезная и удобная вещь.У меня просто бюджет ограниченный -машинкой довольна.Стирает хорошо!Советую и рекомендую данную машинку.</t>
  </si>
  <si>
    <t>2014-08-26</t>
  </si>
  <si>
    <t>Мне нравятся, как работают эти щипцы, менять на другие не собираюсь. Перед работой буквально 10 минут, и щипцы нагрелись, и кудри деланы. Держаться с лаком весь день.</t>
  </si>
  <si>
    <t>Ноут классный!Взял за 25990 акция была.Характеристики с такой ценой улёт.Из минусов только нагревания и шум при игре на почти макс. настройках gta iv.Рекомендую!</t>
  </si>
  <si>
    <t>Плита действительно превосходная! В ней присутствует всё необходимое и ничего лишнего и самое главное простота пользования. Один только минус нет шнура в комплекте, но я думаю эта не проблема.</t>
  </si>
  <si>
    <t>1193</t>
  </si>
  <si>
    <t>Купила парню в подарок. Уже как 8 месяцев пользуемся оба :)  Хорошая, притензий нет .</t>
  </si>
  <si>
    <t>2652</t>
  </si>
  <si>
    <t>2016-12-03</t>
  </si>
  <si>
    <t>Подогреватель Chicco- это быстро,удобно и надежно! В подогреватели Chicco можно подогревать грудное молоко,смесь,сок,детское питание в банках и пакетах. Сам подогреватель универсальный,подойдет для любого типа бутылочек.  Внешний вид:,небольшого размера, прочный и качественный пластик,без запаха,безопасный и подойдет под любой интерьер кухни.</t>
  </si>
  <si>
    <t>Мощность, количество насадок, аквафильтр</t>
  </si>
  <si>
    <t>надежность</t>
  </si>
  <si>
    <t>Купила этот фен 3 месяца назад. Пользуюсь им и не нарадуюсь. Очень удобный! Сушка и укладка волос с этим феном из долгой и нудной  процедуры превратилась в удовольствие!!!  Из недостатков могу отметить - неудобное крепление насадок. Но я их не меняю обычно, поэтому меня все устраивает.  Очень рада, что выбрала именно фен Braun BC 1400 S2!</t>
  </si>
  <si>
    <t>Фен просто супер, пользуюсь им уже 6 лет, и он только сейчас начал нагреваться и отключаться. Собираюсь поменять на такой же.</t>
  </si>
  <si>
    <t>Хорошо вписалась в небольшой сан узел, приятный вид, объем подходит прекрасно для молодой семьи из трех-четырех человек. Приятный понятный дисплей, ночью заменяет ночное освещение</t>
  </si>
  <si>
    <t>Отзыв очень положительный,спас компьютер с набором компонентов и оборудования от дикого скачка напряжения до 360 вольт по халатности ремонтников эксплуатационной организации дома. Светлая память ему,его уже не восстановить. К примеру телефон,аккустика и лампы энергосберегающие вышли из строя,т.к.были включены в сеть в других комнатах. Но судом я заставлю заплатить за него.</t>
  </si>
  <si>
    <t>Купил пол года назад за бонусы с карточки. И очень удивился качеству агрегата в данной ценовой категории.  Все что нужно есть (пар, вертикальный пар, широкий спектор температур, рассеиватель воды, самоочистка сопел). К тому же достаточно тяжелый и не требует больших усилий при глажке, быстро нагревается и долго остывает. Подошва достаточно устойчивая к царапинам (если специально не скебсти). Удобная резиновая ручка. Сборка внушает доверие.  Советую всем.</t>
  </si>
  <si>
    <t>я ждала его выхода около 5 месяцев сейчас нисколько не сожалею были разные модели ну очень много нареканий Diamond2 у меня с мая месяца никаких нареканий и заряд отлично держит и функционал весьма достойный поднакачала прог разных докупила карточку на 16 гб в общем отличная вещь всем рекомендую и для души и для работы</t>
  </si>
  <si>
    <t>* К прошлому комментарию...  купил 2 аккумулятора дюрасел, 1000 мАч, ситуация изменилась кардинально. Несколько часов разговора и индикатор не падает ни на одно деление.</t>
  </si>
  <si>
    <t>отличная штука!играл у друга очень понравилась,но у неё быстро царапается экран лучше купить защитную плёнку.в поездки её брать самое то,зарядки хватало примерно на 3 часа.скоро куплю себе её!!!</t>
  </si>
  <si>
    <t>Игра класс) Особенно понравилось то, что можно играть вдвоем друг против друга или за одну команду) понравились матчи в режимах firefight, rocket... Игра твердая 5+</t>
  </si>
  <si>
    <t>2013-02-25</t>
  </si>
  <si>
    <t>Пользуемся уже лет 5. Никаких нареканий, кроме, пожалуй, того, что на корпусе практически стерлось название. Но это от частого использования. Удобный поддон для крошек, решеточка для разогрева булочек, тостер не захватывает хлеб, если не включен в сеть, при выключении ломтики хлеба не разлетаются по кухне (был такой печальный опыт с другой моделью). Всем советую</t>
  </si>
  <si>
    <t>Отличный фен, пользуюсь 2 года, никаких нареканий</t>
  </si>
  <si>
    <t>Стоящая вещь! Очень нравится!!! На мой взгляд, оптимальный набор функций.</t>
  </si>
  <si>
    <t>1235</t>
  </si>
  <si>
    <t>Игра шикарна, своих денег не то, что стоит, а даже дешево. Resident Evil 5 прямо создана для игры в кооперативе, с соседом по комнате несколько раз проходили на разных уровнях сложности в различных режимах. Правда спойлер в описании игры хотелось бы не видеть...</t>
  </si>
  <si>
    <t>Взял в замен, сломавшегося чайника...тоже был приятно удивлён качеством данного товара за такую цену...сторонних запахов нет..работал 2 месяца, без нареканий...Теперь убрал на полку, на случай, если каждодневный выйдет из строя)</t>
  </si>
  <si>
    <t>купила набор валера. можно смело выбросить ножницы и довериться валере! очень клёвый набор! сравнить не с чем, сужу по пальчикам.</t>
  </si>
  <si>
    <t>Две недели назад покупали дешевле))) Как обычно - М.Видео выдает проверенный товар, да не допроверенный!!!! Клапан с заводским браком!!! Купили новый клапан, так как возить туда-сюда нет возможности(</t>
  </si>
  <si>
    <t>Влажность начинает подниматься через несколько дней, т.к. помещение набирает влагу эти дни, я имею ввиду стены, мебель и т.д.   Мы купили неделю назад данный увлажнитель, работает довольно тихо, дизайн не плохой, поставили в спальню (~30 м.кв.), ночью спать не мешает, влажность подросла с 35% до 45-50% и это с учетом постоянно открытого окна в комнате, что довольно не плохо, есть еще несколько увлажнителей-очистителей, есть с чем сравнивать. Воды расходует много, как все ультразвуковые, бачка на 6-7 литров не хватает и на сутки в режиме максимальном. Налетов белых на технике нет. Из минусов очень острые края пластмассы на бачке для воды снизу.</t>
  </si>
  <si>
    <t>Рабочая штука...    Но много всего лишнего... не то это... рецепты русский повар вообще не знаю зачем%( корректировать вес нельзя можно приготовить именно килограмм крылышек гриль и все тут....)    В остальном, и греет и грилирует отлично как положено... но кнопки лишние... лучше бы батарейку сделали, что бы часы не сбивались при отключении электричества...     иными словами на 1,5 т.р. можно взять дешевле и тоже самое....</t>
  </si>
  <si>
    <t>ещё Gears Of War 1-2 норм эксклюзив. кооператив на 5 с + . Плойка тоже офигенная приставка там слэшеры красивые, а так почти все игры одни и те же. А x box 360 не надо сильно критиковать, он на год старше.</t>
  </si>
  <si>
    <t>В общем и в целом хорошие наушники, очень нравились, вторые уже беру. Но есть у них проблема, нутрянка пластиковая и крепление наушника к душке не шибко надежное. В итоге на первые я лег и сломал, а у вторых через полтора года стерлись внутренние крепления. Так что ищу что-то другое.</t>
  </si>
  <si>
    <t>Очень долго читал, думал, но все же пошел и купил данный аппарат. Хотя честно говоря очень многие меня отговаривали, утверждая что ЭТО не может нормально работать.  Первые впечатления таковы. Вес очень приятный. Клавиатура нормальная. Дисплей на удивление не напрягает своим размером, хотя я привык работать на 19". Работает тихо, пока его не напрягаешь. Из напрягов пока обнаружил только один - в момент установки обновлений от Windows проц загружается полностью и соответственно повышается температура и активность вентилятора.  Учитывая то, что брал исключительно для работы в сети - устраивает полностью. Хотя при работе в Skype, принимаемая видеокартинка работает нормально, а моя (отдаваемая) почему-то тормозит...</t>
  </si>
  <si>
    <t>Вентилятор работает 4 месяца без остановки, без перебоев, без шума! За такие деньги - идеально.</t>
  </si>
  <si>
    <t>2016-02-03</t>
  </si>
  <si>
    <t>Товаром довольна. Старый утюжок был с широкими пластинами, у этого утюжка почти в два раза уже, но длинее, думала будет трудно выпрямить, но разницы не заметила, выпрямила первый раз минут за 15 без проблем, старым утюжком приходилось иногда по несколько раз проводить по волосам, хотя выпрямляла при той же температуре 180 град., этим утюжком достаточно провести один раз - волосы идеально прямые, гладкие и не пушатся (держится эффект до следующей помывки), а вот локоны крутить не получается пока)) Единственный недостаток - очень сильно нагреваются бока, можно сильно обжечься, но верх не нагревается, поэтому нужно быть аккуратной. Для меня большой плюс в том, что можно отрегулировать температуру по желанию от 130 до 230 град.</t>
  </si>
  <si>
    <t>Стильный, мощный, удобный</t>
  </si>
  <si>
    <t>2246</t>
  </si>
  <si>
    <t>Взял себе этот монитор, в принципе монитор хороший, одно только не правится то что с разных ракурсов меняется цветопередача, был до этого samsung T220 таких проблем небыло, а в общем монитор не плохой, из 10 балов твёрдая 8.</t>
  </si>
  <si>
    <t>2016-02-14</t>
  </si>
  <si>
    <t>В качестве подарка купила мужу стригущую машинку. У него очень быстро отрастают волосы, практически каждый месяц ходил в парикмахерскую. А стрижка короткая, только под машинку. Решила я купить и сама его стричь. Значить так скажу, опыта у меня не было, муж показал как и какой насадкой стричь, сам следил в зеркало за всем процессом. У меня получилось с первого раза. Правда долго высоту подравнивала, а так отлично, не знала что это легко так. Удобная машинка, насадки меняются, лезвия хорошие муж сказал. Нигде не пропускает волоски, все состригает. Пользуемся, я рада что теперь будет экономнее.</t>
  </si>
  <si>
    <t>2014-04-10</t>
  </si>
  <si>
    <t>Плохой штатив, предназначен только для съемки видео, для фото вообще не приспособлен, за такие деньги мог бы быть лучше!</t>
  </si>
  <si>
    <t>2786</t>
  </si>
  <si>
    <t>Удобный, приятный в обращении комплект из 2 радиотрубок, сателлит синхронизируется с базой, ставишь время-дату на базе - автоматом передается на сателлит, радует глаз. Поставили один на кухне, один - в спальне, есть удобная внутренняя связь. Сомневались в выборе между этими мотороллами и филипсами (Телефон DECT Philips CD4852B/RU) , но выбрали в конце концов мотороллу. Выбором довольны. Мягкие кнопки, приятный звук звонка, хорошая связь, меню-кнопки-голос автоответчика - русифицированы. Купили комплект вчера.</t>
  </si>
  <si>
    <t>Мясорубка работает отлично!!!!Очень довольна,читала разные отзывы,но как только сама приобрела могу сказать,что все негативные отзывы просто смешны.Вообщем рекомендую!</t>
  </si>
  <si>
    <t>273</t>
  </si>
  <si>
    <t>я много бритв испытал на себе,но это бритва лучше всех которые я использовал, она сбривает даже мельчащие волоски.</t>
  </si>
  <si>
    <t>Чайник хороший...был первый месяц,а потом...: 1.Через неделю начал нарастать шум. Очистка накипи ситуацию не спасает! 2.Через 5 на 10-й раз не отключается! 3.Через 6 месяцев отвалилась белая панель от шкалы уровня воды-теперь не видно сколько воды в чайнике! А так все нормально... ;))</t>
  </si>
  <si>
    <t>1798</t>
  </si>
  <si>
    <t>Я в восторге! Давно хотел приобрести на замену десктопа. Маленький, стильный, мощный. Рекомендую!;-)</t>
  </si>
  <si>
    <t>Буква "С" на дисплее означает, что пора почистить жировой фильтр вытяжки. А сбрасывается это так: нажимаете на кнопку включения первой скорости и держите до появления значка "Е" на дисплее.   Удачи!</t>
  </si>
  <si>
    <t>Разочарована!!!!!У меня волосы до плеч, вьются...Волосы путает, цепляет,не подкручивает,ни о каком эффекте утюжка нет и речи! И нагревается так,что в руки щетку не взять, особенно когда эта щетка периодически отваливается,потому что зубчики крепежа слишком малы!  Только для коротких волос,тонких и мягкий, не более того. Подумайте сто раз!!!</t>
  </si>
  <si>
    <t>покупали 2 года назад за 1700 по акции. плюсы :1. бак 5 литров , 2 .регулировка  мощности   минусы : шумный ( есть с чем сравнить), регулятор щелкает громко ,когда выключаешь, уже стал выходить из строя.</t>
  </si>
  <si>
    <t>Этим телефоном я пользуюсь уже полгода. Перед покупкой хотел Соник, но решил купить этот. Данная модель меня поразила сразу. Сенсор как оказалась очень удобная вещь у этой модели. Плюс есть Wi-Fi, который я опробовал сразу, и он супер. Сразу что я ещё проверил, так это возможности просмотра кино на нём. С этой задачей он справился потрясающе (правда пришлось перекодировать видео под его экран в формате mp4). Камера супер, плюс свет для съёмки видео, это что то нечто вместо фонарика, только круче. Фотки идеальные, и видео съёмка тоже. Музыку играет на все 100%. Слышно громко и уверенно. Единственное что у меня сломалось через год, так эта вибрация. Сама полетела просто так. А так в целом телефон мечта! Берите не пожалеете. В инете просто летает. Он умеет всё!!! Так что берите его, а не какой то там  соник или что то ещё.</t>
  </si>
  <si>
    <t>599</t>
  </si>
  <si>
    <t>Хороший плеер, с момента покупки ни разу меня не разочаровал... Интересно, почему пишут, что нет эквалайзера? Есть эквалайзер... И телек ловит и показывает хорошо, и ни под какую телевышку лезть не надо... У меня в квартире прекрасно всё показывает. А хорошие наушники никто и не положит в комплект, если нужен норм звук, то наушники покупаются отдельно. Не нужен-довольствуйтесь тем ,что есть...  Из минусов-только отсутствие подсветки сенсоров, но через какое-то время к их расположению привыкаешь и всё хорошо)</t>
  </si>
  <si>
    <t>Этот телефон грандиозный успех компании NOKIA. Он упрощенная версия 5800, хоть в нём немного меньше функций, но это не уменьшает впечатлений. У 5530 наиболее эргономичный дизайн и в руке его очень хорошо держать. Мы сравнивали 5800 и 5530 оказалось, что у 5530 качество изображения намного лучше, чем у 5800. В общем, это смартфон который может побороться на рынке продаж со многими моделями SAMSUNG и LG. Я сам собираюсь брать этот телефон, но не знаю, где взять, наверно в М.Видео.</t>
  </si>
  <si>
    <t>Не обнаружили</t>
  </si>
  <si>
    <t>Купила выпрямитель год назад, пользуюсь практически каждый день, так как  очень часто мою голову, мне очень нравится он очень удобный и не портит волосы!</t>
  </si>
  <si>
    <t>сегодня приобрела...почти всё устроило))тольво вот экран не сенсорный как в характеристиках,и как то правая верхняя панель с кнопками не очень внушает доверие(пошатывается)....звук отличный,качество видео тоже радует))вообщем пока на данный момент времени на 4)</t>
  </si>
  <si>
    <t>Хлеб в ней не пропекается, остается сырой. Все делаю четко по весам, о кексах и куличах и говорить не стоит, кирпичи сырые, ужасная печь.</t>
  </si>
  <si>
    <t>Отличный пылесос. Жена с сыном в восторге. Особенно впечатляет мощность данного изделия. При работе с ним кажется, что пыль и т.п.и т.д. само к щётке бежит. Турбощётка, конечно, через определённое время наматывает на себя шерсть и всевозможные волосы, но её можно чистить только надо крестовой отвёрткой разобрать нижнюю крышку у щётки и почистить, кто с головой, тот поймёт.  По поводу  HEPA фильтра и мешков, всё спокойно продаётся, никакого дефицита нет.</t>
  </si>
  <si>
    <t>Отличный пылесос, свою цену оправдывает на все сто!!! Первый день когда включил пропылесосил светло бежевый ковер, после проведенной уборки был просто в шоке сколько грязи собралось в воде!!! А казалось ковер такой чистый! Очень легко и просто все моется! Очень удобное управление на ручке, даже если она не направлена на сам пылесос где находится ик приемник, все равно все работает!!!Всем рекомендую!!!!</t>
  </si>
  <si>
    <t>Купили на прошлой неделе этот чудесный аппарат. С тех пор перепробовали все рецепты по приготовлению в аэрогриле. Очень довольна, и детям нравится процесс приготовления. Мясо получается с корочкой и сочное, тает во рту.   Хорошая замена обычной газовой духовке, в которой дольше готовится, да и процесс приготовления не понаблюдать.  Продолжаем пользоваться и наслаждаться. Всем рекомендую.</t>
  </si>
  <si>
    <t>2768</t>
  </si>
  <si>
    <t>Ноутбук отличный. Все вышеперечисленные недостатки у меня не подтвердились.Даже жена довольна, теперь я не прикосаюсь к её ноуту. Единственное, что я сделал, это разбил винчестер на 2 диска (под систему 70 ГБ), загрузил резервную копию системы и всё. Всё идёт в том числе Метро 2033.</t>
  </si>
  <si>
    <t>Являюсь обладателем более ранней модели уже 10 лет. Комбайн ни разу ни подвёл. Отлично шинкует, взбивает, мясо смалывает за считанные минуты. Совет: если не взбивается белок, промойте чашу, в неё элементарно попал жир.</t>
  </si>
  <si>
    <t>Купил себе данный ноутбук месяц назад.  Все в нем хорошо, очень удобный:  и для игр подходит - многие игры 2008-2009 года выпуска спокойно идут (правда на минимальных настройках).  и для работы.  Но из замеченных недостатков (может мне просто попался такой):  Acer PowerSmart Management не позволяет сохранять настройки уровня подсветки и прочие все что связано с энергосбережением.  Антивирус McAfee вшит в ОС намертво и его не возможно полностью удалить. Даже в случае его полного, с помощью сторонних программ.    P.s. На счет блютуза - в данной модели он не предусмотрен, а кнопочка блютуза сохранилась от другой модели, со встроенным блютузом. Да и она немного как-то криво работает с USB блютузом.  P.s. У производителей жестких дисков и прочего 1 гигабайт равен 10 в 9 степени байтов, то есть 1 000 000 000, в то время в самой Windows 1 гигабайт равен 2 в 30 степени байтов, то есть 1 073 741 824. В данном случае полный объем жесткого диска не превышает в 300 гигабайт 10 из которых зарезервировано было производителями ноутбука для чего-то там.</t>
  </si>
  <si>
    <t>Александр, ты в корне ошибаешься :)  iPhone - редкостное г....  Во-первых, что это за современный телефон, который нужно ПРОШИВАТЬ, чтобы получить возможность отправлять MMS? :)))  Во-вторых, уже давным давно есть коммуникаторы, которые "уже больше чем телефон".  В-третьих, он даже не умеет обмениваться мп3-ками с нормальными телефонами по блютусу. Да нахрена он такой нужен? :)  В-четвёртых, нафига там жпс, если к нему не подходят нормальные карты, которые работают (или могут быть переконвертированны в нужный формат) с большей частью КПК и навигаторов.    Вижу всего ДВЕ действительно стоящих внимания особенности яблофона:  1. Датчики.  2. Встроенный браузер.     Коммуникаторы на WM рулят :)</t>
  </si>
  <si>
    <t>Отличная игра , анимация великолепная.  Игра очень интересно спродюсирована.  Но не рекомендую тем, у кого с нервами не всё в порядке.  Спасибо магазину М Видео, в моём городе, это единственный магазин, где продают лицензионные игры.</t>
  </si>
  <si>
    <t>Машинка хорошая, шьет очень мило ) В общем скорость не большая, что очень удобно новичкам и начинающим вообще, не разгонится. Лично мне она подошла больше по цене нежели по качеству, хотя надо признать качество не плохое, очень легка в обслуживании, малогабаритная и не сложная для обучения девчонок шитью. Машина хорошая, была бы отличная поставила бы 5, но в своем ценовом классе думаю совсем даже не плохая.</t>
  </si>
  <si>
    <t>1204</t>
  </si>
  <si>
    <t>По дизайну самая обычная вытяжка, которая нигде не выпирает и не мешает нормально готовить. Работу свою выполняет четко, после включения шустро вытягивает дым - ждать, пока проснется не надо. Управляется легко, включается при выдвижении (главное, на режим вытяжки поставить, а не только на подсветку), точно также отключается легким движением, это очень выручает, когда в процессе готовки испачкал руки. Как по мне - ходовой вариант для небольших по метражу кухонь, да и цена не кусается.</t>
  </si>
  <si>
    <t>Пользую такую, только с металическим бортом (что есть большой плюс при разливе жидкостей!) уже 4 или 5 лет. За все время 3 раза глючило - не включалась, точнее включалась, но не грела. Проблема разрешалась отключением питания на электрическом щитке. Греет быстро, удобная. &amp;nbsp;Собираюсь на новую квартру такую же взять!</t>
  </si>
  <si>
    <t>2012-09-27</t>
  </si>
  <si>
    <t>Машинкой пользовался для стрижки бороды,через 10 мес. перестала стричь, думал смазать надо (хотя в инструкции написано что самосмазывающаяся) - результат тот же.</t>
  </si>
  <si>
    <t>Работает 6 лет!</t>
  </si>
  <si>
    <t>Я полностью согласна с Ириной (Санкт-Петербург). Кофеварка сама не отключается, а должна бы.</t>
  </si>
  <si>
    <t>Игра не плохая, но короткая. Да и в управлении сложновата, а так графика на высоте.</t>
  </si>
  <si>
    <t>Месяц назад купил телефон. Что-то непонятно мне с емкостью аккумулятора. В режиме ожидания 600 часов в режиме разговора 13 часов по данным продавцов, но в натуре не получается. Аккумулятор разряжается  через полтора часа чистого времени разговора по данным счетчика телефона. В режиме ожидания разряжается аккумулятор 1% в час. Кто может пояснить - это нормально? А так телефон неплохой.</t>
  </si>
  <si>
    <t>Компактная</t>
  </si>
  <si>
    <t>Плюсы: равномерно измельчает все содержимое в стакане в отличие от погружного блендера. Думаю, другие блендеры такого типа тоже успешно с эти справляются.  Минусы: Блендер Bork B800 не работает спустя 205 месяца использования. Приобретали такую дорогую технику не для удовольствия, а из необходимости - один из членов семьи не может есть твердую пищу, поэтому блендер использовался ежедневно более 3-х раз в сутки. Через 2.5 месяца блендер Bork B800 сломался, просто перестал работать.  Мало того, мы рассчитывали на аналог американского Vitamix, который при мощности 1600W перемалывает гранат вместе с косточками в единую массу, легко справляется с сырым мясом. При заявленной мощности в 2000W мы могли перемалывать только супы и мягкие каши с вареным резаным мясом в пюре, пару раз делали смузи (для жующего человека нормально). Гранат превратился в странную полужидкую массу с косточками.   Общие впечатления: для развлечения можно подобрать товар по-дешевле. Для частого серьезного использования не годится.</t>
  </si>
  <si>
    <t>Вчера купила. Понравился, тянет хорошо, маленький. Только труба телескопическая немного короткая</t>
  </si>
  <si>
    <t>Вот уже 2-й день как установил Acer Aspire Revo 3610 Atom330/4Gb/500gb. В качестве монитора использую телевизор Sony Bravia KDL 32L-4000 по HDMI входу настраивается разрешение 1360 х 768 p 60.   Шума от него даже ночью не слышно. Температура ЦП 64 град, а винчестер 44.   В биосе добавил памяти для видео, так что она сейчас использует более 1,5 Гб. Все приложения идут отлично. Стоит Windows 7 64-битная. Обновления прошли без глюков.   Сейчас качаю фильмы из Интернета. Фильмы в формате 1080 .mkv идут идеально через KMPlayer. Остальные видеоформаты без тормозов можно смотреть на базовом проигрывателе.   В игрушки не играю, так что сказать что либо о них не могу. Интернет проверил и по WiFi и по локалке. Все работает без тормозов.   Подключал по 2-м USB портам  Portable DVD R/RW&amp;RAM Drive Lenovo APH-PA13T- читает и пишет DVD диски без проблем. Создал 3 диска заводских настроек и 1 диск с драйверами.   Обшее впечатление о неттопе только положительное. В такой конфигурации в Хабаровске он мне обошелся в 18К деревянных.</t>
  </si>
  <si>
    <t>Радиатор хороший. Воздух сушит. через 8 лет работы потек. Хорошо, что не было пожара. Жаль, что цель всех торговцев - продать, а там будь, что будет.</t>
  </si>
  <si>
    <t>При выборе вытяжки ориентировалась прежде всего на мощность. Мне нужна была мощная чтобы вытягивала все посторонние запахи с кухни. Эта модель понравилась еще и по цене. Функционал обычный так зачем платить больше? У этой модели есть сразу два фильтра, в том числе и жироулавливающий. Вытягивает все на ура. Готовлю я по многу, на кухне постоянный пар стоит, с этой вытяжкой проблемы ушли. Никаких посторонних запахов в квартире нет., всегда чистый воздух. Да шумит, но для меня это не критично. Есть яркая подсветка. В общем вытяжка отличная к тому же еще и не дорогая.</t>
  </si>
  <si>
    <t>Великолепное покрытие. Не пригорает. Хорошая цена.</t>
  </si>
  <si>
    <t>1)миниатюрный  2)разные насадки 3)аккуратно сбривает волосы без раздражения 4)наклейки-шаблоны для интимной причёски  5)защитная крышечка</t>
  </si>
  <si>
    <t>Отличный комбайн. Хожу и удивляюсь, что же я раньше не догадалась его купить, а терла килограммы моркови и свеклы руками. Теперь у меня есть помощник. Очень довольна!!!</t>
  </si>
  <si>
    <t>Сама мечтала о Samsung Star.Но поняла что его не следует брать.Моей однокласснице подарили самсунг стар .Она радовалась этому .Так через полгода он сломался:крышка отлетела,сенсор сел.У моего парня Samsung Corby.Три года пользуется и ничего.Год назад его подарили и мне.Сменные панели -супер.Единственный минус-камера</t>
  </si>
  <si>
    <t>Купила машинку три месяца назад, испробовала все строчки и множество различных тканей шьет просто супер, ход мягкий. Недавно купила набор лапок. Теперь моей радости нет придела</t>
  </si>
  <si>
    <t>Усилок бешенный. Подключил к нему просто мертвейший саб, которого он раскачал до достойного звука. Сейчас езжу с dragster 600watt, машина прыгает, весь салон начал греметь. Радар - детектор на стекле прыгает на см 4-7.</t>
  </si>
  <si>
    <t>Как к этому телевизору подключить цифровое телевидение?  Декодер ставить совсем не хочу, а CAM незнаю куда вставлять, слота для карточки нет. Может тут вообще встроенный декодер а? Помогите решить вопрос плиз))</t>
  </si>
  <si>
    <t>Единственное, что первый день пахла чем-то внутри, но на ночь оставила открытой дверцу, и весь запах прошел.</t>
  </si>
  <si>
    <t>около двух недель назад приобрела эти весы. и были разочарована: включаются только при многократном надавливании. результат с интервалом в 10 минут(даже если них не двигать с места на место)отличается от 300 до 900(!!!)граммов. сегодня пойду сдавать.</t>
  </si>
  <si>
    <t>Обалденная духовка!!! Смотрится стильно и моется легко! А главное - готовит вкусно:)))</t>
  </si>
  <si>
    <t>196</t>
  </si>
  <si>
    <t>Вот купил я его по акции за 31990. Телик супер. Стеклянный дизайн без комментариев - это не тупая пластмасса. Изначально телик покупался как второй монитор для компа для просмотра BR-рипов и цифрового телевидения, качество обалденное. DVD-рипы смотреть можно, но качество хромает. Кабельное телевидение среднее, всё зависит от сигнала. Такие функции как картинка в картинке и воспроизведение медиа файлов с цифровых носителей не имеют смысла для меня (фотки и mp3 он воспроизводит классно). Подсветка экрана нормальная, даже в солнечный день. Короче говоря, за такие деньги, телик я оцениваю на 5+!!!</t>
  </si>
  <si>
    <t>2012-01-23</t>
  </si>
  <si>
    <t>Я инвалид,не передвигаюсь,соответственно не могу на кухню пройти,а в семье 2 детей и я одна их рощу,так вот,мне подарила подруга на день рождение,я вам описать не могу как мы счастливы,мои дети едят то, что я им готовлю не отходя от кровати.Всё чудесно получается,запахи все отмываются просто, старшая дочка моет и всё!рис идеально готовится с гречкой,супы ,выпечка,некоторые продукты я там и обжариваю,просто не закрываю крышку и всё.спасибо огромное от меня и детей!</t>
  </si>
  <si>
    <t>Достойный кондиционер! Охлаждает быстро (помещение 16кв/м).Низкий уровень шума. Отличное соотношение цена/качество.</t>
  </si>
  <si>
    <t>купил несколько дней назад. Жалоб нет . Одни только плюсы самое главное игры все идут и бук не вырубается. Тем более он отличается от все остальных цветом эт тоже плюс. КАроче ноутбук супер.</t>
  </si>
  <si>
    <t>пользуюсь машинкой 2 года, с насадкой 6мм, проблем не вижу, волосы не дергает, стрижет сразу а не со второго разу, ничего не точил, ничего не смазывал, в ремонте ещё не разу не была, хоть бывает что работает при большой влажности когда пар в ванной</t>
  </si>
  <si>
    <t>Преимущества: новый процессор I5, оперативная память 6 ГБ, жесткий диск 1 ТБ, хорошая видеокарта (производительность игр 7,0 из 7,9)!     Windows 7 домашняя расширенная (большинство дают только базовую)    По соотношению цена/качество - очень хорошо.    Недостаток: достаточно шумный</t>
  </si>
  <si>
    <t>Печка лучше всяких похвал, в ней есть все что может быть в печке! Правда из-за сложности и большим количеством примочек через год навернулся электронный датчик (у нее это единственное слабое место)- но все равно по заводской гарантии его заменили за 2 недели!</t>
  </si>
  <si>
    <t>Совсем неплохой агрегат. Приемлемая цена.  Проверял на 3D Mark 2006, набрал 8200 очков.</t>
  </si>
  <si>
    <t>1862</t>
  </si>
  <si>
    <t>мобильность</t>
  </si>
  <si>
    <t>2012-08-21</t>
  </si>
  <si>
    <t>Соковыжималкой довольны, пользуемся уже год, отжимает как мягкие так и  твердые продукты, и моется легко. Рекомендую.</t>
  </si>
  <si>
    <t>Термопот Scarett всем хорош, но...Производитель-Китай. Сломался ровно через год-когда закончилась гарантия. В ремонт никто не берет.Придется покупать новый.</t>
  </si>
  <si>
    <t>Для начала хотелось бы уточнить,что высказываю свое мнение не именно про эту модель, но про "близкого родственника" этой. У меня машинка можно сказать точно такая же,только легкой глажки нет,а так копия!  Машина замечательная!Работает у нас уже 3-й год и мы на неё не нарадуемся!!!Стирает замечательно (в 100 раз лучше,чем некоторые машинки не менее именитых производителей)!Как сказал Дэн,бывает собирает вещи в пододеяльник,но это случается редко и ни как не влияет на качество стирки!Кстати, даже сбившиеся в пододеяльнике вещи нисколько не мешают этой машинке отжимать вещи!При чем качество отжима от этого нисколько не ухудшилось!!!  Всем рекомендую! Берите не пожалеете!!!</t>
  </si>
  <si>
    <t>Пользуемся уже 5 лет, никаких проблем не было)</t>
  </si>
  <si>
    <t>Отличные гонки. Графика супер. Была бы еще на русском языке и цены бы ей небыло!!!!</t>
  </si>
  <si>
    <t>После нового года был приобретен данный чайник, по началу всё было хорошо. После первой недели использования крышка с кнопки перестала открываться. Приходится поднимать её до конца самостоятельно, а это не есть хорошо. Скорее всего такой попался и это не порадовало. Будем менять на другой.</t>
  </si>
  <si>
    <t>Купила маме в подарок и потом сама захотела такой. Отлично работает для небольших задач: накрошить зелень или лук измельчить. С помощью длинной насадки легко делать коктейли. Легко разбирается и моется - рекомендую.</t>
  </si>
  <si>
    <t>2015-09-07</t>
  </si>
  <si>
    <t>Купила утюг с парогенератором в прошлом году весной, я в восторге, глажка превратилась в удовольствие. В магазине Мвидео приобретаем бытовую технику с начала открытия, супер обслуживание, внимательные, ненавязчивые продавцы. На следующей неделе собираюсь приобрести холодильник.</t>
  </si>
  <si>
    <t>В настройках по умолчанию басы выкручены практически на полную! Как убрать - интуитивно понять не удалось. Сейчас вынужден копаться в интернете в поисках совета, а в остальном плеер очень не плох и особенно удобен для спортивных людей.</t>
  </si>
  <si>
    <t>Lenspen изумительная вещь, использую так: Кисточкой Lenspen смахиваю с линзы мусор, затем Бензином Zippo Premium и ватными палочками убираю отпечатки и т.п., затем подушкой Lenspen довожу до идеала. На линзе остаётся только графитовая пыль, которая на съемку не влияет.</t>
  </si>
  <si>
    <t>Купила и что-то разницы от обычной расчески не заметила. Пользуюсь как простой массажной расческой.</t>
  </si>
  <si>
    <t>1716</t>
  </si>
  <si>
    <t>Красный Максуд или кто-то еще из компетентных подскажите плиз:    1. Проигрывает ли сей девайс видео с флэшки???  2. Как осуществляется подключение к инету?</t>
  </si>
  <si>
    <t>Купил совсем недавно, нравится качество звучания, и конечно обалденная громкость.</t>
  </si>
  <si>
    <t>Выбрала именно эту комплектацию....Не ошиблась...суперррр мои мужчины оч довольны....Я считаю это самым лучшим подарком...</t>
  </si>
  <si>
    <t>Комп просто супер!!!  Работает замечательно.  Сзади есть 6 разъёмов usb 2.0,спереди их 5 штук!  Также имеется переходник с видео карты на обычный VGA.  Windows 7 64 бита.   Компактный.  Мощный  Мне он очень понравился!!!</t>
  </si>
  <si>
    <t>Роман, по спецификации он должен держать легко 1ТБ, но я не стал рисковать, и поставил второй WD на 500ГБ, в сумме мне кажется одного тера байта вполне достаточно, если ты конечно не решил залить весь и-нет к себе в бук! :-))</t>
  </si>
  <si>
    <t>688</t>
  </si>
  <si>
    <t>Мерзкая машинка (если честно, то просто тупая шляпа).  XP не поставишь - вентилятор орёт на всю мощь и звук микрофона еле слышно - кривые дрова. А для регулировки вентилятора вообще ничего не предусмотрено даже в биосе.    Это первый из примерно 100 ноутов, который у меня НЕ полностью корректно заработал под XP.    Да, и ещё забыл сказать, что на оффсайте выложены 4 файла под XP, включая Wi-Fi manager. Только зачем он нужен, если ни одного нужного драйвера под XP на странице нет.</t>
  </si>
  <si>
    <t>Удобная в использовании, маленькая и легкая. Стрижет хорошо, с легким нажимом удаляет все катышки.  Контейнер для сбора достаточно емкий, легко снимается и хорошо фиксируется.   Минусов пока не заметила.</t>
  </si>
  <si>
    <t>Не смогла держать планшет в руках: для одной руки он слишком  большой, для двух слишком маленький. Вернула обратно. Ни как.</t>
  </si>
  <si>
    <t>Купили вчера сей агрегат. Выбирал между 50л и этим поскольку у меня повесить можно только над унитазом, то крепление должно быть супернадёжное (особенно если 110кг (29,5 обогреватель + 80л воды). А вот с этим как раз проблемы: стена-то несущая, но...1 см кафельная плитка + 1,5 см плиточного клея + 2 см штукатурки (очень рыхлая ногтем счищается) далее идёт бетонный блок очень прочный, но его проблема - он полый для теплоизоляции. т.е. теоретически если не попасть ему в ребро вероятнее всего это будет ещё 2 см, далее воздушная полость. Но учитывая, что штатный анкер 6,5см висеть ему придётся защемлённым концом за 2 см кирпича, далее вся нагрузка на кафельную плитку. Купил вниз два 15 сантиметровых анкера вверх 14 см крючок на обычный пластиковый дюбель. Подвесил прочно. Думаю выдержит тройную нагрузку. Теперь о хорошем. Всякие шланги я решил не использовать ввиду их ненадёжности. Решил монтировать полностью все соединения пластиковым водопроводом. На все трубы/уголки/муфты и краны ушло ~1200р. Зато теперь всё надёжно и выглядит красиво. После всех подключений перекрыл вход горячей воды из системы, а вместо него открыл кран с выхода нагревателя. Открыл входной кран холодной воды и послышался приятный звук наполнения бака водой. Когда из горячего крана в ванной полилась холодная вода я понял, что агрегат наполнился перекрыл его. Стрелка термометра сначала медленно поползла влево и остановилась почти у начала синего индикатора. Потом очень медленно начала обратный путь. Из предохранительного клапана сначала ничего не текло. Я оттянул его рычаг, чтобы проверить работоспособность. вода неспешной струёй наполнила шланг и побежала дальше в канализацию. Время уже позднее, а стрелка термометра ползёт вправо крайне медленно. Я периодически открывал горячий кран проверить температуру воды. Она понемногу теплела, но потом практически оставалась комнатной температуры. Через 1ч 10 минут после начала нагрева термометр миновал розовую зону и вплотную подошёл к красной. А вода всё ещё прохладная. Но задумавшись я оставил горячий кран открытым на несколько секунд дольше и чудо свершилось! Остывавшая в трубе между агрегатом и ванной вода слилась и из крана потекла очень приятная горячая вода. Жена сразу побежала купаться :) Очень приятно за 3 недели до официального пуска горячей воды помыться не из тазика. На ночь я на всякий случай отключил агрегат от электричества и перекрыл всю воду. PS. По окончании моего приёма душа вода немного похолоднела (для поддержания комфортной температуры пришлось понемногу менять баланс горячей и холодной воды. Но фактически можно констатировать, что за 1,5 часа от начала работы агрегата 2 взрослых человека успели помыться и ещё вода оставалась достаточно тёплой для купания, хотя термометр опустился ниже розовой зоны и на 1/4 вторгся в синюю.</t>
  </si>
  <si>
    <t>По порядку.  Дизайн (5)  Звук (1) (за счет того что динамики направлены вниз звук идет не понятно откуда, в полной тишине можно слушать его на 5 делениях. у меня стоит на кухне если включить кран, то надо прибавлять до 45 делений чтоб хоть что нибудь слышать. Требуется внешний источник звука типа колонок есть выход на наушники.  картинка (4) при включении динамического режима (стандартные заводские настройки) качество картинки отличное. Большинство каналов показывает лучше чем на ЭЛТ но это видимо за счет обработки сигнала цифровым шумоподавлением. Добиться качества картинки вручную мне так и не удалось.   Много вариантов изменения картинки по размерам, но как не меняй 4 на 3 все равно смотрится коряво.  Телетекст (5) очень порадовал возможностью одновременного просмотра и чтения телетекста.    цифрой и подключением к компу пока не пользовался но намереваюсь, как только получится оставлю дополнительные данные.   Для кулинарной техники вполне сносный телевизор.</t>
  </si>
  <si>
    <t>1255</t>
  </si>
  <si>
    <t>Купил бук полгода назад. ваще улетный бук работает у меня он где по неделям без выключения, на перегрев не жалуется, инет постоянно что-то качает, игры тестил rysis 1, еще играл в Gears of War. ваще кульно идет. ГТА 4 канеш тормозит сильно, но это не главное в общем бук очень хороший в правильных руках =)</t>
  </si>
  <si>
    <t>Качественная вещь, хороший дизайн, для периода ожидания включения тепла по такой цене - идеально!</t>
  </si>
  <si>
    <t>2014-06-01</t>
  </si>
  <si>
    <t>Все шикарно, провод только бы длиннее.</t>
  </si>
  <si>
    <t>Телевизор, конечно, хороший, но мне как девушке до сих пор не удается разобраться со входами((</t>
  </si>
  <si>
    <t>Искала именно планшетофон, по размеру и соотношению цена-качество оказался идеальным вариантом для меня!   Отличный звук и слышимость. Приятный экран. Батарею держит сутки ( в игры не играю, но активно в интернете, слушаю музыку и читаю книги).</t>
  </si>
  <si>
    <t>Игра очень прикольная! Весело играть. Желательно на большом телевизоре full HD. Компанией до 4х человек можно рубиться - получите море удовольствия. Советую всем позитивным людям.</t>
  </si>
  <si>
    <t>Пылесос неплохой, но сервис у компании Vitek просто отвратителен! Через полгода после покупки треснул шланг... вроде обычный гарантийный случай, но тут выясняется, что на шланги гарантия от производителя не распостраняется. Мало того, даже за деньги не достать: только под заказ (обзвонил все авторизованные сервис-центры). Про нера-фильтры вообще песня: их в продаже лет сто никто не видел. В общем, если кому-то нужна техника, которая после поломки сразу определяется на помойку вследствие отсутствия запчастей - смело берите Vitek!</t>
  </si>
  <si>
    <t>Долго выбирали телевизор,придя в магазин он сразу же выделился, тем что качественно показывал заставку, по сравнению с другими производителями, придя домой честно говоря немного разочаровались в качестве изображения, сравнивали с нашим старым телевизором LG "32" см, и он четче показывал чем сони!!!хотели поменять на другой и тут обломались!!!</t>
  </si>
  <si>
    <t>Из-за больших зазоров в месте соединения кожуха вентилятор дребезжит на второй скорости. Регулировка наклона не работает - вентилятор возвращается в исходное положение. На втором экземпляре была кривая подставка, не спасали резиновые ножки: вентилятор всё равно качался. При работе постукивали лопасти. В результате вернул в тот же день.   Не стоит тратить деньги на это барахло!!!</t>
  </si>
  <si>
    <t>Отличная соковыжималка, сегодня купил и сразу же испробовали. Выжимает отлично, из моркови удивительно много сока, из яблок еще больше, но жмых все таки влажный.</t>
  </si>
  <si>
    <t>У нас на работе подобный, как раз на большую компанию. Быстро греет, не шумит и стоит не дорого.</t>
  </si>
  <si>
    <t>3221</t>
  </si>
  <si>
    <t>Машинка отличная. Работает тихо, стирает хорошо! В общем мне понравилось, -  все класс!!!</t>
  </si>
  <si>
    <t>1745</t>
  </si>
  <si>
    <t>Телек мне понравился. Эфирную антенну показывает на 5. Остальное всё тоже гуд</t>
  </si>
  <si>
    <t>1291</t>
  </si>
  <si>
    <t>все хорошо но,у меня не работает 1080i,а я из за этого и покупал. буду менять!</t>
  </si>
  <si>
    <t>Отличная бритва,сам недавно приобрел,(перешел со станков на нее)не жалею:)Кожу не раздражает и не повреждает.Очень удобно лежит в руке.Шум в пределах разумного.На счет тримера ни чего не могу сказать,т.к. им не пользуюсь.По цене и качеству лучше наверно не найдешь,твердая 5!</t>
  </si>
  <si>
    <t>Ну наконец то привезли в наш город, игруха супер!</t>
  </si>
  <si>
    <t>Так как люблю кофе, решил приобрести себе кофемашину,пришел в магазин и глаза разбежались от выбора, в итоге ко мне подошел консультант, я рассказал что хочу от кофе машины и конечно по доступной цене, парень объяснил все плюсы и минусы разных моделей и мой выбор сразу пал на эту модель, приобрел. теперь сам начинаю понимать все прелести этой машины, простота в использовании, хороший набор функций, а главное вкусный напиток без особых усилий, в общем ценна качество полностью оправданны, всем ценителям кофе советую!!</t>
  </si>
  <si>
    <t>Ноутбук порадовал, стильный, быстрый. Есть только 1 вопрос: при подключенном блоке питания не горит зеленый индикатор зарядки, только желтый. Это неисправность? (В инструкции написано что от 95 до 100% зарядки включается зеленый индикатор). Заранее спасибо за ответ.</t>
  </si>
  <si>
    <t>Пользуюсь меньше недели впечатления 50 на 50. С одной стороны всё замечательно, но раздражает то, что когда я забираю панель домой у меня сбиваются все настройки, может я что неправильно делаю, если у кого нет такой проблемы напишите как её решить, ну очень не нравится каждый день заново радио настраивать.  микрофон работает хорошо, и сам слышу и меня слышат:)</t>
  </si>
  <si>
    <t>Категорически не удобная штука. Бороду не бреет, не хватает мощности и остроты ножей, в основном дерет. 20 минут для достижения хоть какого-то результата. В инструкции на украинском написано: &amp;quot;Тример для носа и ушей&amp;quot;, что видимо правда.</t>
  </si>
  <si>
    <t>Был приятно удивлен качеств азвучания за такую сумму. Звук чистый, металического звона нет. Играют лучше других фирм в пределах суммы 1500р. Легко дополнит сцену в звуковом оформление вашей машины.</t>
  </si>
  <si>
    <t>ПЛЮСЫ:  1 - отличный процессор (не бегает - летает всё)  2 - размер и разрешение экрана - супер(очень удобно при использования GPS, просмотра видео)  3 - качественная сборка  4 - красив  5 - соотношение цена-функциональность-качество = 5 баллов  МИНУСЫ:  1 - очень слабый звук с динамика (в чехле на ремне вообще не слышно)  2 - очень маркий (пальцы остаются и видны очень отчетливо)  3 - заряда батареи хватает на сутки, при активном использовании на день  4 - наблюдается проблема со слабым сигналом GPS Навител</t>
  </si>
  <si>
    <t>Приобрел данную посудомойку 7 месяцев назад.  Моет волшебно... Сушит замечательно... Мне все очень понравилось... И за разумные деньги.</t>
  </si>
  <si>
    <t>Стоит у нас второй год, по своей прямой функции работает отлично (автоподжиг, газконтроль, защита от детей), удобное расположение ручек. Моется довольно легко, хотя пятна остаются абсолютно от всего, но это касается всей стальной техники.   Очень не понравилась ржавчина по краям панели и на столешнице, появившаяся после влажных уборок (хотя все протиралось полотенцем), это вроде бы нержавейка и ее не должно быть.</t>
  </si>
  <si>
    <t>Купил сегодня и сразу опробовал. Бритва класс, после бритья не остается раздражения. До этого была роторная бритва, после каждого бритья было раздражение ужасное, брила плохо, просто какое-то мучение было. В общем покупкой новой бритвы очень доволен)</t>
  </si>
  <si>
    <t>ПРЕВЗОШЕЛ ВСЕ ОЖИДАНИЯ,ОЧЕНЬ НРАВИТСЯ!!!!!!</t>
  </si>
  <si>
    <t>Пользуемся 3 месяца. Сборка-Германия. Гарантия-4 года. Прекрасная машинка. Очень тихо работает, ее вообще не слышно (по паспорту-громкость - 49 ДБ). Она, к примеру, раза в 2 потише стиралки Бош, громкость которой 54 ДБ и которую при закрытой двери тоже не слышно. Отмывает суперски. Была у нас одна чашка с небольшим ребром внутри, так вот, на этом ребре темный налет не брала даже сода (сам удивляюсь почему, но это так), сейчас-она как из магазина - вся сияет. И вообще - вся посуда как из магазина - просто не узнать. Со сковородок со стороны дна постепенно отмывается многомесячный нагар! С каждым днем его все меньше и меньше. Прекрасно стирает на 70°-самая усиленная программа. Отмывает всё! (Не всегда с первого раза отмывает налет на чашках - но это у всех посудомоек так -только на 2-3 мойке он исчезает полностью) Продолжительность, правда, 2 часа (плюс-минус пару минут). Отличные результаты у программы Auto 55-65°вот только она маленько подлиннее -120-140 мин. На удивление чисто отмывает и 30-минутная программа на 45°. Да и посуда после нее неожиданно довольно- таки сухая. Длительность программы реально даже меньше - 27-28 минут. Есть еще программа деликатной мойки на 50° - но она длинновата: 140 мин и предназначена в основном для стекла. Также есть 20-минутная программа ополаскивания - ни разу не пользовались ею. Машинка сама варьирует время в зависимости от степени загрязнения посуды. Очень удобно что есть дисплей-показывает, сколько осталось времени до конца мойки. Понравилось наличие функции 'Vario Speed' - она уменьшает время любой программы мойки в 1,5 раза без ухудшения качества мытья. (Не пробовал на короткой 30-минутной программе-куда уж короче и так 27 минут-боюсь глюканет). Понравилось также наличие утапливаемого поворотного переключателя программ. Чтобы посуда была сухой - после окончания мойки приоткройте машинку слегка минут на 10-15 (это , правда, по идее, должно маленько портить мебель-но это общая рекомендация для всех посудомоек). В любом случае почему-то на тефлоновых сковородках иногда остаются несколько капель воды и внутри глубоких кружек на верхнем лотке тоже (что ж вы хотите - сушка-то- конденсационная - полагаю, у всех посудомоек так), но это не повод расстраиваться - машинка -СУПЕР!!! (Кастрюли, даже глубокие - всегда сухие, также как и любые тарелки и ложки с вилками). Вывод - всем брать!</t>
  </si>
  <si>
    <t>Купил пару недель назад, по акции за 3960 руб. Долго выбирал, критерии были - чтоб без мешка, не китайская сборка, наличие HEPA-фильтра класса не ниже H12. Пылесосом очень доволен - мощный, сделан вполне качественно, шнур длинный, по ламинату катается быстро, контейнер 4 литра - это больше, чем у большинства конкурентов. Ну и фирма Электролюкс вызывает доверие. Сразу напылесосил половину контейнера пыли, хотя были вроде чистые полы. В комплекте имеется запасной поролоновый фильтр. Собран в Венгрии. Фильтр HEPA говорят лучше не мыть - рассохнется. Когда подойдет время менять, думаю купить Н13, они вроде подходят по размерам. Не понял, про какие тугие защелки все пишут - у меня все нормально открывается. Правда, чтобы почистить контейнер, нужно проделать несколько движений, во многих других пылесосах "стакан" вытаскивается проще, одной рукой. Но это все непринципиально. Про шумность ИМХО писать нет смысла - все мощные пылесосы шумят, и потерпеть шум в течении 20 минут нетрудно. В общем я этим агрегатом доволен, рекомендую.</t>
  </si>
  <si>
    <t>1690</t>
  </si>
  <si>
    <t>телефон только для детей или таких деловых людей, кто не пользуется современными устройствами.Пользуюсь 2 года, со2 начала понимать, что с таким телом в классе авторитет не поднимешь! покупайте телефон детям до школьного или 1,2,3классы, а так телефон нормик))память единственная проблема...</t>
  </si>
  <si>
    <t>1441</t>
  </si>
  <si>
    <t>Приобрели 2 года назад. Самая полезная функция у панели-газконтроль. Легко очищается от загрязнений. Огонь можно регулировать до очень тихого. Простая, функциональная панель хорошего качества. Единственный небольшой недостаток-ручки управления сильно нагреваются, если стоит большая кастрюля на ближних камфорках-нужно быть чуточку внимательнее. В целом рекомендую!</t>
  </si>
  <si>
    <t>Пылесос отработал 1,5 года(стойко дождался когда закончится гарантия).Сначала при работе просто отключился, из розетки его отключили, постоял, остыл...и перестал отключаться. Включаешь его в розетку и он сразу на полную мощность начинает работать. Разочаровались...хотя остальная техника "самсунг" вроде не подводила</t>
  </si>
  <si>
    <t>Соковыжималка просто класс, купил и не на радуюсь покупкой. Стильный дизайн, металлический корпус. Очень легко моется вручную, хотя можно и в посудомойке. Искали соковыжималку для повседневного отжима стакана апельсинового сока.&amp;nbsp;</t>
  </si>
  <si>
    <t>Отличный вариант, очень удобно пользоваться, полезная сеточка для приправ. Купили родителям аналогичную(трехэтажную) модель. Рекомендую.</t>
  </si>
  <si>
    <t>вообще это классная вещь! удобная клавиатура,16 гб памяти, блютуз, вай-фай , то есть в ней всё что нужно !</t>
  </si>
  <si>
    <t>Ваще кульный сегодня ходил покупать наушники мощные а динамик нет в общем покупайте</t>
  </si>
  <si>
    <t>Плюсы: отличная духовка, быстрая и мощная трехконтурная конфорка (вок), простое управление. Минусы: не отключить свет в духовке во время работы; нет вертела; автоподжиг одновременно на все четыре конфорки; на нержавейке сильно видны жирные пятна. В целом хорошая плита, особенно духовка.</t>
  </si>
  <si>
    <t>вентилятор эти деньги отрабатывает. неплохой он. кому не нравиться,покупайте за 3000.</t>
  </si>
  <si>
    <t>Увлажняет отлично,тёплый пар,гигрометр,настройка влажности</t>
  </si>
  <si>
    <t>2013-09-13</t>
  </si>
  <si>
    <t>Греет действительно хорошо, но поработал он 2 раза по 10 минут и больше не включается, прошло 2 дня с момента покупки, будем возвращать!!</t>
  </si>
  <si>
    <t>Купили чайник, понравился сразу, но жил он с нами только один день, сразу же при закипании начала открываться крышка, даже не при максимальном объеме воды, да и шумит он точно как паровоз.</t>
  </si>
  <si>
    <t>959</t>
  </si>
  <si>
    <t>01.11.09 купил сей аппарат. сбылась мечта - букер с 512 видюхой. прошло 3 дня, а в полную силу испытать не могу - те игры, которые есть в наличии, не совместимы с 7 виндой. хотя официальный сайт мелкософта говорит обратное!!!  что касается железа, вроде пока без глюков. аппарат тихий, ну если сравнивать с асером, который был до этого.</t>
  </si>
  <si>
    <t>Пользуюсь чайником меньше месяца.  Выбирал красивый чайник в дом.  Очень удобно заваривать чай.    Всем рекомендую кто ценит чай как напиток.</t>
  </si>
  <si>
    <t>Достоинства: Очень компактная, легкая, простая в управлении и главное бюджетная.     Недостатки: самый большой недостаток-отвратительная балансировка (или скорее отсутствие) перед отжимом.   Шумная и скрипучая подвеска барабана.   Отсутствие "отключение отжима во время стирки".  Отсутствует дисплей, не понятно сколько времени осталось до завершения стирки.    Комментарий:   Брали ее для квартиры которую сдаем в аренду, но сейчас поняли-поскупились, безобразный отжим сводит все плюсы на нет. Можно правда бороться с этим, но требуется присутствие к завершению стирки. Если во время отжима появляется сильное биение то ставим на паузу и потом снимаем с паузы, отжим запускается вновь и так несколько раз пока не пропадет биение барабана.     Мой совет: добавьте 50% от суммы машинки и купите достойную технику, скупой платит дважды!!</t>
  </si>
  <si>
    <t>Мясорубка в принципе неплохая, а точнее была таковой первые полтора года использования. А затем начала барахлить кнопка вкл/выкл., мясо стала крутить позорно и долго, а затем та злополучная кнопка отказала (запала) в положении вкл.</t>
  </si>
  <si>
    <t>Кофемолку подарили друзья.Работает около месяца.  Достоинства:Мелет кофе быстро,регулируется степень помола.  Недостатки:После 20 секунд помола у кофе запах паленой пластмассы.Считаю это существенным недостатком,так как использую дорогой сорт кофе.Запах этого кофе в зернах и после помола-просто небо и земля.  Вывод:Чем покупать такой аппарат,лучше молоть ручной кофемолкой(конечно,если объемы небольшие).</t>
  </si>
  <si>
    <t>3134</t>
  </si>
  <si>
    <t>Классный вент! Искала именно его, нашла в магазине на Садовой-Спасской...забрала последний с витрины. Чумовая модель. Стильный, практичный. Очень модная и полезная штучка.Огромное спасибо магазину М-видео на Садовой-Спасской д.3. М-ВИДЕО лучший!!!!!! Качество, гарантия, цена.</t>
  </si>
  <si>
    <t>Удобство монтажа  Наглядные инструкции</t>
  </si>
  <si>
    <t>Машинку покупали года 4-5 назад. Очень нравится всем, и сейчас, но успели год назад заменить двигатель, т.к. сгорел.  Это не дешево, но конечно новая машинка дороже. Вины нашей мастер не установил, т.е. просто не повезло, что бывает у любого производителя (Кроме Bosh, по - моему). А в целом очень хороша, умная, бережная стирка действительно бережна, не перебарщивайте с порошком.</t>
  </si>
  <si>
    <t>Хотела прозрачный чайник, по совету продавца -консультанта приобрела этот.  Срок эксплуатации полгода, работает исправно. но неудобная крышка для того чтобы налить воду, ОЧЕНЬ неудобная кнопка включения, я за полгода так и не привыкла. А самое ужасное, если чайник вскипел, вы израсхожовали всю воду и хотите согреть еще,  чайник не включится пока не остынет. за счет того что наливает новую воду остывает не долго, но если чайник вскипел ты сразу не воспользлвался, то потом подогреть его невозможно, надо ждать что бы он остыл</t>
  </si>
  <si>
    <t>2445</t>
  </si>
  <si>
    <t>Супер замечательный  пылесос.Великолепное  соотношение  цены и  качества!По дизайну  очень понравился.</t>
  </si>
  <si>
    <t>2287</t>
  </si>
  <si>
    <t>Соковыжималка мне очень понравилась, сок чистый, выжимает до последней капли.</t>
  </si>
  <si>
    <t>Телефон у меня уже полгода им очень довольна.</t>
  </si>
  <si>
    <t>Очень хорошие рации за эти деньги. Купил для охоты. В лесу километра за 2-3 передают-принимают на ура! Ещё один плюс в том, что в комплекте для каждой рации есть гарнитура, как по мне, удобненькая (у меня уши большие)))), так что нареканий нет. P.S. в имении уже год!</t>
  </si>
  <si>
    <t>Очень хорошая форма для выпекания! Ничего не пригорает. Моется очень легко. Легко доставать из духовки благодаря ручкам. Всем советую!</t>
  </si>
  <si>
    <t>Отличные высокочастотные динамики. Небольшие габариты позволяют их врезать куда угодно</t>
  </si>
  <si>
    <t>Кульные ушки за такую цену(покупал за 1600).Шумоизоляция, опять же за такую цену довольно хорошая.Единственный минус который заметил, так это то, что при некоторых рок песнях и при большой громкости бывает "песочек".а так все кульно ваще - берите, не пожалеете:)</t>
  </si>
  <si>
    <t>2015-08-16</t>
  </si>
  <si>
    <t>Плойка для меня заменяет и бигуди и утюжки. Очень ее люблю. Мне нравится экспериментировать с укладками, и поэтому я пробовала кучу разных вариантов, тем более у меня были разные длины волос: я то отращиваю, то стригусь, то крашусь, то перекрашиваюсь. И конечно, волосы у меня не в самом лучшем состоянии, поэтому то, что у этих щипцов покрытие из керамики для меня огромнейший плюс! Собственно поэтому я их и выбрала!   Щипцы имеют 2 режима нагрева, но я использую только максимальный и обязательно наношу на волосы термозащиту! Нагреваются примерно минуты 3, не больше. Держать на волосах надо не долго – от 30 до 60 секунд, если у вас не получается за это время сделать завиток – берите пряди потоньше. Лучше взять побольше тонких прядей и подержать щипцы  до минуты, чем брать толстенную прядь, которая не завьется нормально, сколько ты ее не держи, хоть 5 минут! Шнур очень удобный: длинный, около 2 метров и вращается вокруг своей оси – что для плойки просто необходимо, ведь мы ее крутим.   Как и у всех плоек, есть складная подставочка, чтобы не сжечь мебель.  Пользуюсь этой плойкой уже год, очень удобная и качественная вещица для создания красивых локонов.</t>
  </si>
  <si>
    <t>Это моя первая электробритва, до этого пользовался только обычными стонками.Мнение сложилось не очень хорошее Шум-это ерунда,бреет ужасно плохо, шею выбрить это просто нереально. Один ее плюс это цена (брал что бы прверить будет ли раздражение после бритья!Нет!</t>
  </si>
  <si>
    <t>В боше разочаровался, у меня на другой модели, купленной два года назад тоже одна цифра не пропечатывается, ремонтировать не вижу смысла, так и пылятся под тумбочкой. :(</t>
  </si>
  <si>
    <t>Достоинства:  1. Хорошие заявленные характеристики.  2. Материал (в сравнении с дорогими сетевыми фильтрами других брендов)  Пожалуй на этом все....  Недостатки:  Покупал 4 сетевых фильтра: Pilot Pro (2 шт.) и Pilot X-Pro (2 шт.).   Через полгода эксплуатации вышел из строя Pilot X-Pro (стал коротить и выбивать УЗО), затем через год вышел из строя Pilot Pro (стал коротить и выбивать УЗО), еще один Pilot X-Pro проработал чуть больше пару месяцев своих собратьев и тоже перестал работать (до выключения из сети работал, при следующем включении ток перестал поступать на розетки).</t>
  </si>
  <si>
    <t>Отвратительная бритва! После нее остается несбритая щетина. Намного приятнее использовать обычный бритвенный станок.</t>
  </si>
  <si>
    <t>Я купила ай фон, только потому что повелась на цену..мне привезла его подруга с америки за 12 тысяч, 3GS 16г. Меня впринципе устраивает, правда за месяц еще не разобралась))) но к этому стремлюсь.... Другим бы все таки не советовала его брать... Я больше люблю простоту, айтюнес, апстор...все так сложно...) На мой взгляд HTC рядом стоит, и если выбирать простоту и функциональность, то это htc//</t>
  </si>
  <si>
    <t>438</t>
  </si>
  <si>
    <t>Машина оч хорошая. Поиграть в последние игры конешно не получится на интегрированной видюхе (на средних настройках отлично идут к примеру Prince of Persia последний, не помню название)) и Overlord 2), но для целей работы бук очень хорош. Win 7 процессору ставит 6.7. Да и дизайн очень юзабельный: отличная клавиатура (полноразмерная - для меня оч важно), с промежутками между клавишами. Так же порадовала звуковая карта - в наушниках выдаёт отличное звучание. В общем в своей ценовой нише по-моему лучшая машина, о покупке не пожалел. Советую.</t>
  </si>
  <si>
    <t>Сегодня купили этот чайник. Честно скажу что дизайн для меня на 3+, но для меня важнее качество техники, а не внешность.  +Крышка очень плотно сидит, добротно сделан, тихо закипает, не пахнет  -Индикатора отключения практически не слышно (но это не важно, лучше бы его вообще небыло), белый цвет, дизайн, непонятный фильтр внутри )</t>
  </si>
  <si>
    <t>Весь пылесос сам по себе огромный ПЛЮС!</t>
  </si>
  <si>
    <t>2015-04-30</t>
  </si>
  <si>
    <t>Купила кофемолку 18 апреля 2015г. Замечательная вещь! Перемалывает в муку, я довольна покупкой. Рекомендую!</t>
  </si>
  <si>
    <t>Чайник красавец! Пользуемся почти четыре года, настоящее украшение на кухне, закипает моментально (на газе), горячий стоит долго без подогрева! Накипь совершенно не прикипает, не требуется никаких спецобработок от неё, смывается ладонью, её вообще очень мало образовывается, раз в полгода внутри мою. Покрытие конечно требует бережного ухода, мягким чистящим средством, но грязь особо и не прилипает, матовая поверхность, на ней не видно ни потёков ни брызг всегда смотрится опрятным. Сам чайник на качество воды не влияет НИКАК! Искренне сочувствую людям которым неведома качественная вода, фильтрованная незнамо кем, как и чем, о проточной видимо им и мечтать не приходится, так что чайник не при чём(. Мы пользуемся исключительно проточной, для всех целей и с посудой всё в порядке и с нами, Слава Богу! Ну а про струйки по центру и из под свистка так и слов нет, настоящий анекдот, спасибо, нахохатались от души!)))))</t>
  </si>
  <si>
    <t>пользуемся 1 год и 1 месяц, практически постоянно, выбирали по весу хлеба, т.к. сначала купили LG с весом хлеба 600 г, но на нашу семью этого оказалось мало.хлеб- очень вкусный, но чтобы получилась красивая и ровная буханка за ним надо следить, когда тесто поднимается. при отсроченном старте- буханка не всегда удачная по внешнему виду бывает.муку пробовали разную, и добавки тоже- результат всегда хороший. хлеб печет даже сын (28 лет), а старший сын (29 лет) проводит  сравнение- у кого лучше форма и содержание(вкус).Соседям всем хлеб нравится, но не покупают себе хлебопечки, т.к. цена высокая. А  сегодня случилась беда- в форме для хлеба выпал штырек, на который насаживается тестомесилка ( какая-то прокладка наверно прогорела!.завтра будем искать, где ремонт и возможен ли он в данном случае. купите- не пожалеете!</t>
  </si>
  <si>
    <t>Плеер супер вообще купил 4 дня назад никак не нарадуюсь!! Не виснет диктофон работает отлично и радио тоже ловит все самые хорошие радиостанции Energy Dfm и так далее!!! 2 гига памяти, если кто считает что этого мало он глубоко ошибается!!!</t>
  </si>
  <si>
    <t>2016-03-30</t>
  </si>
  <si>
    <t>справляется с катышками отлично, но уж очень хлипкая - пользовалась год, а потом уронила и всё, иду в магазин за новой.</t>
  </si>
  <si>
    <t>Купил Samsung PS42 C431 A2W смотрю с 3,5 метров и отдыхаю с первого дня. Мне нравится, рекомендую!!!</t>
  </si>
  <si>
    <t>Пользовалась вытяжкой на протяжении трех лет изо дня вдень. К сожалению, пришлось оставить ее на старой квартире новым хозяевам. Сейчас в новую квартиру присматриваю технику - скорее всего остановлю выбор на этой же модели.  Работает в меру тихо, справляется в поставленной задачей на все 5 баллов (при включенных всех 4 конфорках на кухне не парит). Приятно что есть две лампы, которые я люблю использовать не только при приготовлении пищи, но и при вечернем чаепитии )))</t>
  </si>
  <si>
    <t>купила месяц назад.я всегда знала что производитель Acer хорош. у меня монитор есть. вот и решила купить Ноутбук Acer.когда его купила сомневалась в чем-то.В нем есть все, не в каждом есть встроенный блютус.да есть минус это клава с одинаковыми цв.букв, а зато ночью все буквы видать и лампу включать не надо.я очень рада, что он не шумный и никому я ночью не мешаю спать.Как я только врублю комп как начнет гулить с четырьмя вентиляторами сразу через пять минут эхо услышишь.потом мы с подружкой с моим ноутбуком полезли в инет и что выбирали чтоб все было и цена разумней и в результате Ноутбук Acer AS5740G-333G25M она и купила.всем советую не пожалеете.</t>
  </si>
  <si>
    <t>Утюг понравился,мощный, хорошо отглаживает,длинный шнур очень удобный,отпаривает замечательно.</t>
  </si>
  <si>
    <t>Качество картинки конечно супер, фоновая подсветка добавляет эффект просмотра, через VGA показывает fullHD, качество DVDrip замечательное, звук приемлемый ...    Из замеченных (для меня) недостатков:  меню заморочено, трудно для усвоения (если самому лезть в настройки);  интерфейс подтормаживает(но программы переключаются быстро), после нажатия на кнопку отзыв идет через 1-2 секунды, поначалу напрягало, пока не привык;  перемотки в медиа плеере нет как таковой;  интернет браузер плохой, хотя и есть виртуальная клавиатура, но опять же тормозит интерфейс...долго...;  на пульте нет кнопки "таймер отключения" и "часы" ;  в "ДЕМО" режиме 100 герц разницу на картинках не особо заметна...      Ждем с нетерпением обновленной прошивки, может что исправят..</t>
  </si>
  <si>
    <t>Приобрел пароварку около месяца назад. Дизайн отличный, вписался в мою кухню. Запаха пластика нет, и очень удобная, т.к. только в данной модели имеется функция отсрочки старта. Легко промывается. Советую!!!</t>
  </si>
  <si>
    <t>качество и скорость помола</t>
  </si>
  <si>
    <t>Пишел в магазин протестировал 3 пылесоса остановился на номере   (1)  Лучший в своем классе     (1) Black And Decker ACV 1205     (2)Samsung VCH136  оказался почти самым слабым вариантом     (3) B&amp;D PAD 1200 Black   _ сам был удивлен оказался слабее самсунга а цена  3т-р</t>
  </si>
  <si>
    <t>Великолепный!!!Очень довольна,скользит легко по волосам,не электризует,в течение 5 минут замечательная укладка.</t>
  </si>
  <si>
    <t>Упаковка очень неудобная и хлипкая из тонкого картона, крепежи дисков очень жесткие и доставать надо аккуратно, дабы не повредить диск, качество видео и звука на 5!</t>
  </si>
  <si>
    <t>2903</t>
  </si>
  <si>
    <t>Мдя. Из всех обсуждений по теме ничего. Симпатичный неутбук??? Ну если его как брелок использовать, то полезная информация, а про встроенный модем и так видно. Платишь 900р. за флешечку вот тебе и модем, если уж так Миккимаус прикалывает. Имхо: главное начинка и размер, вот 1-е у него соответствует цене (брелок).</t>
  </si>
  <si>
    <t>Машинка просто СУПЕР! Много всяких полезных функций, например - Освежить. Бывает вещи залёживаются в шкафу, когда не сезон, запах затхлости, мятость и всё такое. Так вот засовываете вещи в машину и включаете этот режим. В течении 10-15 мин., в зависимости от колличества вещей, вещи обрабатываются паром, который удаляет запах и вещи потом легко разглаживаются. Есть режим стирки - детских вещей, где опять же идёт стирка с применением пара, что помогает свести к минимуму возникновение аллергии у ребёнка к моющим средствам. Вообщем жене очень нравится и всё-таки есть одно НО! Габариты указаные производителем не соответствуют действительности! Если вы хотите установить её в ванной комнате и у вас стандартная дверь-60см., как у меня, это очень проблематично. Мне пришлось разобрать пол машинки и снять дверь с косяка, что бы втиснуть её в проём. А теперь я с ужасом думаю, что я буду делать, если она не дай Бог сломается. Вообщем  решайте сами надо Вам это или нет.</t>
  </si>
  <si>
    <t>От него требовалось в первую очередь одновременная работа с двумя симками. С этим справляется на отлично. Качество связи и звука отличное. Все остальное вторично. Доволен аппаратом</t>
  </si>
  <si>
    <t>Хороший бук...а синий экран - это ерунда...жесткий поддерживает два интерфейса...ide и ahci...при выводе синего экрана, меняешь настройки в биосе...вот и всё...семерка мне не понравилась,поставил хп...всё летает просто,без проблем...</t>
  </si>
  <si>
    <t>1872</t>
  </si>
  <si>
    <t>Купили увлажнитель 5 мес.назад. 4 отработал, и перестал выпускать пар. Не могу сказать что тихий, на ночь отключали,слышны бульканья воды. Не рекомендую его покупать!</t>
  </si>
  <si>
    <t>Класс футболец!Намного отличается от fifa 10.Улучшилась графика,добавлена новая камера игры, как бы из далека,можно выбирать сетку для ворот,поле на изношенность и тд.Молодцы хороший футбол)))</t>
  </si>
  <si>
    <t>Купили маме в подарок. Она очень довольна. Фарш делает хороший.А главное легко и быстро. Моется без проблем,себе такую обязательно куплю. Есть небольшой минус - окисляеться насадка если оставляешь мясо в мясорубке,однако, этой проблемы не возникнет, если сразу после использования ее мыть.</t>
  </si>
  <si>
    <t>Этот чайник работает уже 6 лет! До этого чайники меняли регулярно 1 раз в 6 месяцев! Признаться,нас это очень удивило! Интересно, это модель такая удачная, или все чайники этой фирмы так долго служат?</t>
  </si>
  <si>
    <t>Малый размер, функциональность</t>
  </si>
  <si>
    <t>сразу перейду к главному: могу выделить только минусы так как они преобладают...ну во первых лишние расходы на за бумажные фильтры,которые не шли в комплекте, а это уже лишние не предусмотренные затраты,во вторых непонятно как дозировать кофе(какое должно быть соотношение, в инструкции ничего об этом не написано!)есть только метки кружек или чашек, в третьих кофеварка сама не отключается при приготовлении кофе, а следовательно лишний расход электроэнергии,вообщем одно недовольство, сказал по фактам!</t>
  </si>
  <si>
    <t>Безусловно весьма производительна. То есть при больших объемах преимущества очевидны. Все заявленное работает. Можно было бы еще одну рабочую терку. Не знаю как поводу взбивалки, вроде взбивает, но хотелось бы лучше. Трудно сравнивать с другими так как особого опыта не имею.</t>
  </si>
  <si>
    <t>Пользуюсь ПММ уже 4 месяца.Отмывает все прекрасно. И налеты от чая, жирные сковородки. Вся посуда сверкает. Бокалы натирать не приходиться после мытья сухие и блестящие. Покупкой очень довольна! Это моя главная помощница на кухне! Рекомендую!</t>
  </si>
  <si>
    <t>долго выбирал. купил. месяц юзаю всё ок.тихий.не греется.игры идут отлично...не жалею.</t>
  </si>
  <si>
    <t>Криво установлен дисплей. Проверял в магазине, такая проблема не только у моей печи. Видимо косяк допущен при сборке. Более того, такая же ситуация и со стиральными машинами LG. Где эта техника собирается?!</t>
  </si>
  <si>
    <t>Машинка моет на 4. Работает уже 5 лет ежедневно. Если возникает ошибка Е3 сначала просто промойте фильтры. В моем случае помогало 100%. Элементарно от засора фильтров не возникало нужного давления воды в системе и отключался нагрев, это не поломка. Просто иногда надо мыть фильтр, 5 минут работы :). Считаю вполне приемлемым при обретением.</t>
  </si>
  <si>
    <t>Считаю, нет необходимости тратить деньги за "брэнды", все делается из одних и тех же комплектующих, купил в деревню, очень доволен!</t>
  </si>
  <si>
    <t>Хочу сказать, что фритюрница просто супер, купила месяц назад для ребёнка, хватает на четыре порции, очень удобная, аккуратная, компактная, большое спасибо отзывам, на вашем сайте, прочитав их я сделала выбор в пользу именно этой фритюрницы.Осталась очень довольна.</t>
  </si>
  <si>
    <t>Отличная хлебопечка, всегда печёт хороший хлеб, всегда пропечённый. Советую всем, не пожалеете о покупке.</t>
  </si>
  <si>
    <t>Искал водонагреватель небольшого объема, так как живу один и больше мне просто не требуется. У Haier выбор оказался вполне приличный. Данная модельку привлекла своими характеристиками. Удобное, хоть и механическое, управление, мощности достаточно, чтобы нагреть быстро воду до максимальной температуры. Пользуюсь им почти год, нареканий не имею, работает стабильно</t>
  </si>
  <si>
    <t>Телевизор покупался для дачи для просмотра с расстояния 6 метров. Картинка очень даже приличная сравнивал с одним и тем же фильмом на 46 SONY ЖК- отличий не почувствовал, т.к. фильм был не с максимальным разрешением 1920*1080. Очень удобная функция для считывания фильмов, музыки , фото с флеш-дисков. Звук тоже неплохой.</t>
  </si>
  <si>
    <t>Вода в нашей местности очень мягкая поэтому картридж меняю примерно каждые 3 месяца. Семья из 4 человек.  Качеством воды доволен. Дороговато, но другой альтернативы нет, так как живу в общежитии.</t>
  </si>
  <si>
    <t>3039</t>
  </si>
  <si>
    <t>В целом ноутбук просто прелесть, вот только ПО хуже не найти.. На второй день работы начал виснуть и глючить... Оказалось ноутбук прошит на висту... это ещё + пару тысяч.. это неизбежно, так как все ноутбуки на такой основе....  Удачной покупки...</t>
  </si>
  <si>
    <t>1660</t>
  </si>
  <si>
    <t>Я купил Pioneer BDP-120, соблазнившись вполне умеренной ценой. И не пожалел. Очень хороший аппарат из класса бюджетных. Единственный недостаток - очень долго загружается. А в остальном - все нормально. Рекомендую всем, кто хочет купить недорогой, но качественный Blu-Ray проигрыватель.</t>
  </si>
  <si>
    <t>Купил Xbox 360 3 августа (и теперь это число запомню надолго) ... просто мы перед этим брали телевизор и нам дали 3000 руб. в подарок! поэтому купил за 5990! и сразу же купил две игры ... вот ща играю... все нравится   вот только:  что бы видео с флешки посмотреть нужно кодеки качать...  а вот музыку перемотать вообще невозможно приходится всю слушать!  и у меня есть один вопрос вот в геймпаде два "джостика"... дак вот у меня левый туго вверх поднимается... а правый легко (вот это то мне и не нравится) ... у всех так?</t>
  </si>
  <si>
    <t>После покупки мобильного кондея Bork AC MCR 25180 WT и полного разочарования Delonghi просто удивил.Комнату 16 м охлаждает до 24 градусов.Пашет без остановки круглые сутки.Что не мало важно в эту модель не нужно таскать вёдрами воду.Не выдаёт никаких глюков.Шум от него терпимый даже ночью.Только в гостинной комнате и можем находиться,где он собственно установлен,комфортно,под утро даже замерзаем.Пультик срабатывает из другого конца комнаты(для сравнения в Борке нужно было поднести вплотную к дисплею).Провода проводки от него не плавятся вместе с розеткой и проводами в счётчике,удлинитель не греется до красна как от Борка,перебои электроэнергии не влияют на его работу (Борк от таких перепадов выключался и трясся как сумашедший).Очень довольны покупкой!</t>
  </si>
  <si>
    <t>Обалденный чайник, пользую такой уже более 4х лет, всё ок, глюков никаких.</t>
  </si>
  <si>
    <t>74</t>
  </si>
  <si>
    <t>купив этот аппарат я был в шоке !!на столько он и без тормозов, он работает при полной загрузке, а загрузил я его очень сильно, мне даже показалось, что процессор быстрее чем заявлено!!из всех устройств что у меня были, я считаю что андройд - это революция, айфон даже рядом не лежал!!всем советую это компанию и смартфоны на андройде!!и я еще его не обновлял до новой версии!!качество связи у него выше чем у других производителей!!в общем все плюсы не описать!!!минус один батарея, ну если использовать только в качестве телефона дня на 4 хватит!!</t>
  </si>
  <si>
    <t>Сегодня приобрели камеру Sony DCR-SR48.  Выбирали между Panasonic SDR-H81EE-K и сонечкой. Очень рады своей покупке, камера удобна в пользовании, за счет своего сенсорного дисплея, меню русифицированное, изображение четкое, быстро включается выключается переключается из одного режима в другой. Супер!!!! Оценка отлично!!!</t>
  </si>
  <si>
    <t>Пользуюсь около 3-х месяцев. Эта вещь действительно стоит этих денег. Красивый дизайн, электроподжег, газконтроль и удобство- все это в данной газовой панели есть. Всем советую.</t>
  </si>
  <si>
    <t>Приобрел данную модель в начале июня по акции+установка! Очень доволен своей покупкой! Уже на протяжении двух месяцев спасаюсь от жары!) Кондиционер полностью соответствует заявленным характеристикам, с которыми более подробно можно ознакомится на официальном сайте, где можно скачать каталог и инструкцию! Сам кондиционер очень тихий, тем более есть ночной режим. Иногда работает всю ночь и совершенно не мешает спать! Тоже можно сказать и о наружном блоке - совершенно не слышно как он работает! Кондиционер буквально за пару минут охлаждает комнату (16 м2) до заданной температуры. При этом есть таймер, позволяющий установить время включения и отключения кондиционера. Из недостатков - ручная регулировка горизонтальных створок (см. инструкцию)! Думал будет не совсем удобно, но для небольшой комнаты данная функция совершенно не нужна - один раз выставил и все. Самое главное, что вертикальные створки регулируются (дистанционно) от горизонтального положения к верху, т.е. можно находиться под кондиционером и он не будет дуть прямо на тебя, что очень удобно, когда кондиционер находится над кроватью или рабочим столом! Особо стоит отметить небольшие размеры внутреннего блока - очень аккуратно смотрится в небольшой комнате и не создает впечатление здорового ящика! Плюс современный дизайн! Пульт универсальный для данной серии, поэтому часть кнопок не функционирует (см. инструкцию). При этом все заявленные функции присутствуют в полном объеме. Резюмируя выше сказанное - покупкой очень доволен, недостатков существенных не выявил, комплектация соответствует заявленной. Плюс полное соответствие цены и качества! Также хочется отметить качественную работу установщиков:  аккуратно установили кондиционер, проделав все необходимые отверстия, при этом не повредив существенно стены и не испачкав обои, все за собой убрали; - проверили работу кондиционера и объяснили основные функции. Вся работы заняли 50-60 мин.</t>
  </si>
  <si>
    <t>2012-09-25</t>
  </si>
  <si>
    <t>Соковыжималка просто супер, жмет быстро, сок чистый и производительность высокая ,стильный дизайн, легка в обращении, советую всем. .</t>
  </si>
  <si>
    <t>Электромясорубка Moulinex ME60614E СУПЕР!!!  рекомендую</t>
  </si>
  <si>
    <t>2546</t>
  </si>
  <si>
    <t>Мне лично очень понравилась приставка Playstation Portable-так же как и моему брату.Птому,что реалистичный звук и гибкая производительность.Если я и мой брат уходим на долгое время нас не заставляет скучать эта приставка и поэтому она заслуживает все 5+                                                                        _Спасибо что смотрели_</t>
  </si>
  <si>
    <t>2016-11-24</t>
  </si>
  <si>
    <t>Большой бачок для воды</t>
  </si>
  <si>
    <t>Прекрасно бреет, но  дороговата!</t>
  </si>
  <si>
    <t>Хороший чехол, для гладильной доски той же фирмы, все подошло! Чехол куплен взамен старого, который протерся до дыр за много лет эксплуатации.</t>
  </si>
  <si>
    <t>Соковыжималка- супер! Мощная, удобная и красивая. Выжимал грейпфрут и мандарины-бесподобно! Жду сезона гранатов!</t>
  </si>
  <si>
    <t>Купил 15.11.10!!! Этот телефон достойная замена Sony Ericson K550i ! Вообщем вё круто! Рекомендую</t>
  </si>
  <si>
    <t>Александр (Тольятти)  Как у вас картинка в игре NFS Shift может быть супер на этом телевизоре, когда его максимальное разрешение  1024х768 для диагонали свыше одного метра! (причём это разрешение стандартно для НЕширокоформатных панелей).</t>
  </si>
  <si>
    <t>Купили эту соковыжималку в конце зимы,хотя долго выбирали из ассортимента в магазине. После покупки ни разу не пожалела: апельсиновый сок стали делать каждый день, а свою громадную BORK поставили до лучших времён в шкаф. Сок выжимает полностью из апельсина, работает в оба направления, моется очень быстро, компактна, не особо громко работает. Вообщем- я безумно ей довольна, рекомендую!</t>
  </si>
  <si>
    <t>Машинка хорошая, пользуюсь года 4. Один минус - не найти замену насадки, приходиться без 2х зубов подстригаться, могли бы отдельно продавать насадку.</t>
  </si>
  <si>
    <t>626</t>
  </si>
  <si>
    <t>Мне не хватает терпения на долгие укладки. С этой фен-щеткой я укладываю свое боб-каре всего за 10 минут. Получается, как после посещения салона. Укладываю волосы, когда они почти еще чуть влажные. Этим летом брала этот фен-щетку с собой на море. После соленой води и солнца укладка получалась нормальной, хотя с обычным феном такого результата никогда не получится.</t>
  </si>
  <si>
    <t>Мне пылесос совсем не нравится. Купил несколько месяцев назад. Каждый раз когда пользуюсь - напрягаюсь. Да, номинально все в нем есть: и щеток куча и влажная уборка и аквафильтр. Но все в нем для меня жутко не удобно: громыхающие непонятные крышки, живущие отдельной жизнью, резервуар для воды без каких-либо элементов за которые его можно ухватить (влажными руками вообще беда), неповоротливый и страшный.   Еще постоянная проблема с тем, что угол наклона щетки не изменяется. Очень неудобно. Жалею что приобрел.</t>
  </si>
  <si>
    <t>Купила в июле 2012 г. Оценка плите 5+! Греет быстро, чистится отлично. Нет окантовок по краям модели, так же плюс.</t>
  </si>
  <si>
    <t>Хооший ноутбук. достаточно мощный. жесткий диск по сравнению с другими моделями этой ценовой категории почти на 100гб больше. единственный недостаток в батареи, слишком быстро садится</t>
  </si>
  <si>
    <t>Справляется с любым мясом на ура, жилки крутит только так! Хорошо что не пожалел денег и взял именно эту модель, жена в восторге!</t>
  </si>
  <si>
    <t>880</t>
  </si>
  <si>
    <t>Я очень давно хотела приобрести аэрогриль,но никак не решалась.Отзывы были неоднознаные,что меня и смущало.Но наконец-то я решилась и не пожалела.Мясо получается идеальным,с хрустящей корочкой и без жира(т.к весь жир стекает на дно кастрюли).Единственное что время приготовления не отличается от духовки.</t>
  </si>
  <si>
    <t>Мне любимый подарил эту модель. Пользуюсь уже около двух лет. Всем очень довольна. Отлично справляется с моими непослушными волосами. Всем советую!!!</t>
  </si>
  <si>
    <t>Наушники супер! кто-то говорит что им давят уши (череп), но это только кажется по началу, потому что не привыкли. Или у кого-то такое строение черепной коробки)), но я вам скажу больше, наушники супер, т.к. я их не приобрел еще пока (планирую приобрести в мае, сей года)... но играл в них частенько, да и довольно длительно по времени выходил сет. так что берем, не пожалеете, играют они не на 2, и даже не на 3 тысячи...</t>
  </si>
  <si>
    <t>Выбирала долго, по критерию цена-качество.Этот утюг купила по акции в МВидео (сначала сомневалась брать по акции думала плохой из-за этого и скидка, но рискнула и взяла).Оказался очень хороший.Гладить легко, утюг как бы парит над глажкой, разглаживает быстро, без особых усилий.То что слегка тяжеловат-это большой +,т.к. до этого был утюг меньшей мощности и легкий-так надо было 100 раз на одном месте выглаживать и надавливать на утюг - надоело,и из-за этого купила новый. Все что сказано в инструкции соответствует действительности.Если вы хотите что то бодьшое отпарить-напимер пуховик-лутше вещь положить, т.к. в этом положении утюг выпускает пар со всех отверстий. Гладить одно удовольсттвие. Советую берите!!!</t>
  </si>
  <si>
    <t>плюсы. качество-цена устраивает.  легкий шустрый все есть необходимое.  минусы.клавиатура очень неудобная, если поставили нумерик пад, то нафига этот гребаный Fn установили для меня загадка. ентер и шифт с правой стороны и сама клава  как будто для  деток малюток сделаны.</t>
  </si>
  <si>
    <t>Вообщем ноут отличный, железо хорошее, все современные игры идут без тормозов, но система...готовтесь к многочисленным Blue Screen Of Dead.</t>
  </si>
  <si>
    <t>Полностью согласен с Иваном(Ростов-на-Дону).Машинку приобрели 2008г и начались проблемы.С самого начала эксплуатации машина стала обрастать черным налетом.Знакомый мастер сказал,что это от щёток электродвигателя.В данный момент, уже как месяц, машина на ремонте.По словам мастера, по гарантийному ремонту,накрылась плата управления.Шумность на уровни самолетного двигателя,порошок из лотка весь не вымывается,устанавливал машину по уровню,но так вибрации не избежал.Правда надо отдать должное  стирает превосходно.</t>
  </si>
  <si>
    <t>смотрел много в игромании купил PS3 очень рад все покупайте кансоли</t>
  </si>
  <si>
    <t>Ноут просто супер пользуюсь две недели очень доволен, единственный минус - маркий глянцевый корпус пыль и отпечатки пальцев очень заметны</t>
  </si>
  <si>
    <t>В общем монитор прикольный и дизайн мне очень понравился, ни секунды не пожалел.</t>
  </si>
  <si>
    <t>Специальная поверхность с напылением из стекла, за счет чего гарантировано идеальное скольжение, что особенно важно при уходе за деликатными тканями</t>
  </si>
  <si>
    <t>2201</t>
  </si>
  <si>
    <t>нетбук просто класс!!!дизайн больше всего понравился!!!советую покупать</t>
  </si>
  <si>
    <t>Цена,отдельная  кнопка холодный воздух .не надо постоянно нажимать</t>
  </si>
  <si>
    <t>2859</t>
  </si>
  <si>
    <t>Эта приставка стоит больше своей цены,хоть и не намного.Отличная консоль как для игр так и для просмотра видео и прослушивания дисков.не смотря на то что эта приставка не самая дорогая,на мой взгляд она лучшая среди всех ps3 на сайте,хоть и уступает приставке Playstation 3 (PS3) Sony 320GB (CECH-2508B) + LittleBigPlanet 2 по памяти.</t>
  </si>
  <si>
    <t>1469</t>
  </si>
  <si>
    <t>Ужасный. Для тепловентилятора ни в коем случае не подходит. Почему сайт М.Видео предлагает его купить вместе с тепловентилятором? Только что (на момент написания отзыва) он расплавился от вышеуказанного прибора.</t>
  </si>
  <si>
    <t>Вытяжка стильно вписывается в кухонный гарнитур. Освещения хватает на всю варочную панель. Шумит сильно. Тянет на 3+. Если у вас нет двери на кухню, то лучше смотреть модель помощнее.</t>
  </si>
  <si>
    <t>2356</t>
  </si>
  <si>
    <t>Бесконечно рад и признателен за акцию Простая арифметика, которая проходит в нашем Новосибирске с 3 по 16 августа 2010г. Хотел купить за наличный расчет холодильник BEKO DSK25000, рекламируемыый в Вашей акции за 7990 руб., но вот досада - в наличие их не оказалось ни в ТЦ Юпитер, что на Гоголя, ни в ТЦ Мега,  хотя, со слов продавцов в резерве их аж 3 штуки было на дату 8 августа, а купить я себе всего один холодильник по 7990 руб. не могу. Что за резерв такой? Я хочу купиить холодильник BEKO DSK25000 за 7990 руб., что для этого нужно?....  Юрий Захаров, Новосибирск</t>
  </si>
  <si>
    <t>1595</t>
  </si>
  <si>
    <t>2009-12-23</t>
  </si>
  <si>
    <t>Попробовал на этой печке испечь хлеб, французский 1000 грамм, получился сырой вообще, верхняя корка бледная бледная((. Соблюдал все до грамма. испек Молочный-1000 грамм - получше результат, но тоже сыроват получился. У кого-нибудь такие проблемы были, что сырой:(((, попробую время добавить, конечно, может поможет!</t>
  </si>
  <si>
    <t>Игра хороша ,но для одного прохождения!Битва с последнем боссом просто выносит,не советую биться с ним магом.Игра хороша для разового прохождения второй раз просто не интересно играть.однообразные локации.</t>
  </si>
  <si>
    <t>Покупался для подключения к ЖК телевизору с целью просмотра видео full-hd и в качестве торрент-качалки.Остановился на этом варианте из-за его бесшумной работы и малого энергопотребления (работает не выключаясь). Подключен к телевизору по HDMI (в комплекте нет) и видео и звук. Больше никаких проводов! Управляю всем хозяйством  беспроводной мышью и экранной клавиатурой.Интерактивное телевидение и радио пришло в мой дом. Ура. Скорость работы после бука с ВИСТой  радует. Для интернета использую ОПЕРУ или ХРОМ.  Ложка дегтя- WI-FI. Он перегревается и перегревает весь комп, отсюда и щелчки. Вскрытие показало, что в R3600 стоял другой модуль там проблемы нет. Приходится использовать внешний USB WI-FI  адаптер. Будьте к этому готовы. В итоге: 1-Бесшумный 2-Экономичный 3-Шустрый 4-Просто красавец. Минусы - добавьте к цене 1000руб. на внешний WI-FI.</t>
  </si>
  <si>
    <t>Купил 3недели назад, до сих пор в поросячем восторге.Ни каких претензий, всё супер.</t>
  </si>
  <si>
    <t>Указанный системный блок покупался в декабре 2008 года. Выбирался методом приехал, увидел и купил. Нормальная рабочая машина для дома. За все время работы каких-либо проблем не возникало. Используются в основном следующие приложения: Office, просмотр видео, Autocad.  Я рекомендую указанную модель для использования в домашних условиях.</t>
  </si>
  <si>
    <t>921</t>
  </si>
  <si>
    <t>Утюг тяжеловатый и громоздкий, сразу было неудобно, но это дело привычки. Гладит хорошо. Единственный недостаток колесико регулирующее режим очень легко проворачивается и постоянно сбивается пальцами. Так как ручка совсем рядом.</t>
  </si>
  <si>
    <t>2012-12-10</t>
  </si>
  <si>
    <t>Используем для LED телека 46 дюймов Самсунга. Очень частые перебои света в частном доме. За год ничего не поломалось :). При срабатывании щелкает ощутимо слышно, но ни дневной жизни и ни сну не мешает. Ребенка не будит. Всем рекомендую, отличная модель! Помех никаких также нет.</t>
  </si>
  <si>
    <t>Купил сегодня данную модель,сразу подключил к компьютеру.ОЖИДАНИЯ ПРОСТО НА ВЫСОТЕ,картинка отличная,проблем с обноружением не было(У меня Винда 7 64бит).Потом запустил Игру LOCK ON 2.0,Люди это что,такое ощущение,что в кабине самолёта.  Спасибо Продавцу-консультанту,красавчик мне его посаветовал.  Очень доволен,в настройках телевизора сразу разобрался,всё очень легко.+5.Магазину MVIDEO больше покупателей,и роста.</t>
  </si>
  <si>
    <t>Полюбил игровые консоли Sony со времен PS2. Дождался PS3 Slim, взял чему очень рад. Консоль Великолепная! Стильный, аккуратный дизайн, качественная сборка, в духе Sony. Консоль берет не только внешностью, но и внутренностью не подкачала это я об играх. Множество отличных игр выпущено за 3 года существования консоли. MGS4, Дурная репутация, Killzone 2, Uncharted 1,2, Resistance 2 и много, много всего! Не сомневайтесь, берите и будьте довольны, главное знайте - для чего она вам.   Всего доброго!</t>
  </si>
  <si>
    <t>Сломалась через полгода. Угольный фильтр в принципе не влазит, не советую брать</t>
  </si>
  <si>
    <t>Первый чайник этой модели приобрели в 2008 и пользовались до сегодняшнего дня, сломался, но надо отдать должное долгожителю, нравился, работал исправно и умер тихо, просто не включился. Поэтому с выбором не мучился и приобрел аналогичный, отличие в цвете и стране производства, КНР против Словении у предыдущего.</t>
  </si>
  <si>
    <t>Бреет чисто и гладко с одного прохода. Есть возможность прибавлять и убавлять скорость.Наличие очищающего стакана.Водонепроницаемая.</t>
  </si>
  <si>
    <t>Почитав отзывы сразу же захотелось возразить Александру (воронеж). Цитата: "Программа восстановления работает так: сначала создаем бэкап. А теперь - внимание!! Для восстановления она непременно желает сначала создать диск восстановления на CD или DVD! и уже с него восстанавливаться! Финиш... "    Да, там есть запрос на диск, но также спокойно резервная копия сохраняется и на Д, где в прочем у меня и храниться. А по поводу меньшего места - это потому что как-раз таки этот раздел восстановления заводских настроек и скрыт (то есть занимает место, которое вы не можете использовать).    Хотя нарекания есть и у меня:  1. Нет сим-держателя, хотя в инструкции о нем говориться, но вроде как по моделям... В модели с Нано процессором его нет, по крайней мере у меня.  2. Присоединяюсь к выше сказанному, если идет обновление или проверка системы антивирусом... А иногда и Опера (если много вкладок) его подгружают.... он тормозить начинает и греться.  3. Иногда не выходит из режима сна - приходиться перезагружать!!! А это не хорошо, когда там остались открытые не сохраненные документы, ведь не все программы имеют авто-сохранение.  4. Работа от батареи всего 1-2 часа.    А в остальном, очень милый нэт! Не маленький и не большой. И с собой взять, особенно для девушки, не сильно тяжело (кг 2 с зарядкой и мышкой) и не сильно маленький. + милый дизайн и удобная, почти беззвучная клавиатура, единственно клавиша пробела выделяется на остальном фоне бесшумного нажатия клавиш.  В целом, довольна.</t>
  </si>
  <si>
    <t>Этот пылесос Витек с аквафильтром нам подарили на свадьбу, я была рада, что он на воде, то есть пыли будет меньше. Но когда начала им пользоваться  не тянет, мощность на нуле, а шума, как будто самолет взлетает.</t>
  </si>
  <si>
    <t>Покупал прошлой осенью. Уже разок ломалась, но благо есть гарантия где за неделю все проблемы исправили. Я так понял она плохо защищена от сильного перепада напряжения как произошло у меня.  То что пишут в инструкции, не всегда правда, некоторые моменты занимают намного больше времени. И гриль не особо и похож на настоящий гриль, жару мало...  Функций конечно много, которыми не часто пользуешься, достаточно удобная и красива снаружи.</t>
  </si>
  <si>
    <t>Пылесос понравился: прекрасно всасывает грязь и пыль, очень маневренный. НО: через три месяца эксплуатации сломалась пластиковая труба на шланге. Это очень огорчило.</t>
  </si>
  <si>
    <t>Кто бы рассказал - не поверил! Он абсолютно бесшумный. Не громче микроволновки обычной. Из-под щетки шума больше, чем от корпуса. Мощность - дикая! На максимуме щетку от пола сложно оторвать - присасывается! На минимуме тоже мощности через чур. Дизайн отличный. Все нравится.</t>
  </si>
  <si>
    <t>Висит в ванной такой водонагреватель уже 3 года. Хотим сказать большое спасибо продавцу, который посоветовал именно эту марку. Пользоваться очень удобно. Настроили один раз- и до сих пор ничего не делаем. С точки зрения экономии электричества, можно на ночь отключать бойлер.</t>
  </si>
  <si>
    <t>Пользовался 2 недели и увидел кучу недостатков. Угол обзора очень маленький по сравнению с тем же LG, картинка не четкая при использовании антенны(при подключении цифры наверно будет лучше). Выходы расположены не очень удобно. При подключении консоли и компа были проблемы с экраном ну это наверно у меня одного хотя в LG все прекрасно работает! Одним словом не советую брать за такие деньги можно взять LG или Samsung и еще останется на дополнительную гарантию. В данный момент использую LG LH2000 работает на ура!!!!!</t>
  </si>
  <si>
    <t>у меня айфон ! два месяца и наушники облезли+ сел динамик!!! а за такие деньги лучше можно в разы найти модели ушей</t>
  </si>
  <si>
    <t>плеер редкостное .... через месяц использования отнес в серв. центр, потому что он виснул при каждом удобном случае, перешили, еще через 1.5 мес глюканули русские шрифты в меню плеера и именах тегов. При этом худо-бедно пользоваться им было можно, еще через день он просто не включился, и даже перестал определяться как usb flash :(, вобщем если хотите куда небудь выкинуть 1000р. КУПИТЕ именно explay, а я для себя решил, только брендовые вещи, пусть и с переплатой!!!</t>
  </si>
  <si>
    <t>2016-03-01</t>
  </si>
  <si>
    <t>Телефон GOODwin, на мой взгляд, не оправдал надежд. Приобрел его для офиса, но при подключении, изучении инструкции, проверке в разных режимах, гудков от данного ТА не дождался, звонок соответственно, ни куда не дошел. Вам, мои друзья, я надеюсь, он будет служить долго и качественно, а не повезло с ним, только мне. Если не данный инцидент, поставил бы "четверочку с минусом", а так, увы.</t>
  </si>
  <si>
    <t>Пользуемся уже полгода.Стираем часто и помногу, очень компактная, не шумит, хорошо отстирывает.Мне кажется за такую цену  лучше не найти.</t>
  </si>
  <si>
    <t>2145</t>
  </si>
  <si>
    <t>Супер весы! Очень хороший и качественный товар. И красивый.</t>
  </si>
  <si>
    <t>Отличный сиситемник , компактный, хорошее соотношение цена-казачество. Единственное что не устроило : перегревалась видеокарта, пришлось снимать боковую крышку</t>
  </si>
  <si>
    <t>Довольна покупкой (но есть и 3 минуса для меня) - доска широкая, устойчивая, прочная ( но у меня она ужасно скрипит), нравятся складные плечики (для глажки рубашек идеально), если не нужны можно просто сложить их, есть специальная подставка под парогенератор (у кого нет его нет, не очень удобно  т.к. не предусмотрена розетка для обычного утюга. Если гладить на плитке доска уезжает т.к. ножки пластмасса а не резиновые</t>
  </si>
  <si>
    <t>453</t>
  </si>
  <si>
    <t>Купил сегодня парочку пылесосов, устал от "Томаса", всё перехожу на простые пылесосы!!! От чего ушли к тому и пришли! Берите не заморачивайтесь на дорогие пылесосы, лёгкий, простой, расходники дешёвые!!!</t>
  </si>
  <si>
    <t>Начнем с того, что я раньше никогда не пользовался снсорными телефонами(тачфонами). Но, взяв руки этот телефон я сразу привык! Вот он радует меня уже третий день. Пока только положительные отзывы! Также порадовала комплектация!</t>
  </si>
  <si>
    <t>Купили вчера такой тостер! Очень замечательный, тосты получаются превосходные! Довольны покупкой!</t>
  </si>
  <si>
    <t>1734</t>
  </si>
  <si>
    <t>Если&amp;nbsp; покупаете прибор для ежегодного сентябрьского отключения горячей воды на 2 недели-то этот водонагреватель для вас. Он нормально греет при несильном напоре воды, можно даже обжечься. Лейка конечно простенькая, но для помывки 1-2 раза в день пойдет. Провод электрический с вилкой на конце уже присоединен. Установка простая. Единственный минус - нет в комплекте провода заземления, для него есть только контакт папа. Но это просто решается покупкой крокодильчика с проводом, всего-то 30 руб.</t>
  </si>
  <si>
    <t>Прошел год и сгорел двигатель!!! Ремонт сопоставим со стоимостью, а гарантия кончилась :(</t>
  </si>
  <si>
    <t>Аппарат отстойный сдал его через 3 дня!!! Звука вообще нет, камера: отстойней только на Motorolla c650. Если коммуникатор лежит в кармане, то при звонке может сам отвечать!!!  Вобщем никому не советую выкидывать свои деньги.</t>
  </si>
  <si>
    <t>Машинку приобрели в январе 2010, брали можно сказать наобум, только по советам консультанта.стирает супер,не дорогая и классная;)</t>
  </si>
  <si>
    <t>Купил в подарок, в первый день все нормально работало, плеер пролежал чуть больше недели без движения, перед тем как подарить решил проверить еще раз, и вот тут началось... захожу из меню в плеер - висит, не выключается, помогает только кнопка reset, опять включаю - висит, опять включаю и захожу в браузер - висит, подключаю к компу, форматирую, отключаю от компа, он мне выдает обновление библиотеки и... висит. В общем не заладилось у меня с этим плеером поменял на iRiver E-150 и не знаю горя.</t>
  </si>
  <si>
    <t>Купил себе Canon LEGRIA FS36.     Достоинства: лёгкая, маленькая, стабилизация работает необычно - но достаточно нормально, меню на Русском языке, интуитивно понятный интерфейс.    Недостатки: очень шумно снимает при слабоватом освещении, но это не только минус этой модели, а всех камер на флешках в целом.</t>
  </si>
  <si>
    <t>Фильтр, в принципе, весьма неплох. Но через года полтора без видимых причин «скончался».   Исследовав внутренности, обнаружил отсутствие пайки на одном из контактов. Ножка была просто вставлена в отверстие на плате без каких-либо следов припоя. Ножка была просто подогнута пассатижами и слегка пристукана.   Со всеми предосторожностями на устройство было подано напряжение — и, очудо! — фильтр ожил. И благополучно фильтрует до сих пор.    Вывод прост — начинка «5», сборка — «3» (всё же ширпотреб).   Итого: заслуженная «четвёрка»    P.S. Сотрудником и держателем акций АРС, М-Видео и любых других торговых организаций не являюсь ☺</t>
  </si>
  <si>
    <t>Стиральная машина Zanussi у нас уже больше года. Очень довольна работой.</t>
  </si>
  <si>
    <t>Гений по двум причинам:  1. Талант (1 %).  В пылесосе всё идеально. Модель выпускается очень давно и лучше, сложно сделать. Производители мучаются, чем привлечь клиента, придумывают всякие примочки ненужные. А этот пылесос квинтэссенция обычных пылесосов с мешком для сбора пыли.  Мощный. Маленький. Удобная ручка для переноски (она же отвечает за автоматическое сматывание провода питания при нажатии сверху). Всего одна кнопка (отвечает за включение и одновременно регулятор мощности). Никаких неровностей на корпусе (форма яйца позволяет его легко протирать).  2. Трудяга (99 %).   Мы такой родителям в деревню увозили лет пять назад. Работает до сих пор идеально.    Ну и как без капельки дёгтя:   1. Шумноват.   2. Лучше сразу выкинуть бумажные мешки, которые идут в комплекте. Рвутся. Купите любые недорогие мешки и пользуйтесь, если не хотите вытряхивать многоразовый мешок.</t>
  </si>
  <si>
    <t>Сделал все как сказал Илья, вот только пару проблемок получилось, когда он переустановил прошивку, и первый раз перезагрузился он меня спросил настроить ли программы, я ответил нет, нажал одновременно Ок на пульте и телевизоре в итоге снова выскочила табличка настроить программы, и так снова и снова,так в итоге и не появилась табличка, где надо было вводить "0000" после USB так и не появилось, а обратно прошивка через "меню-опции-7раз кнопку 9" не восстанавливается остается 3.15 подскажите, что не так получилось, а телек как работал хорошо так и работает!</t>
  </si>
  <si>
    <t>К покупке телефона я подхожу очень серьезно.. штудирую все отзывы, читаю кучу литературы по каждому из телефонов.. и могу сказать однозначно - время потрачено не зря!!)))  Еще идя в магазин за покупкой я была в восторге, но приобретя телефон - радости не было предела..   Ну во-первых, телефон лежит вот "точно" в руке (кто хотя бы раз был с неудобным для себя телефоном - поймет), во-вторых, очень удобная телефонная книга.. камера - чудо, тем более с автофокусом и распознаванием улыбки.. флешка поддерживает MIKRO CD 32 Gb, удобно писать СМС - в 2х положениях.. нереально громкий динамик для самсунга.. при закачке - копирование в карту памяти..   Если говорить о недостатках, то он для меня пока один - ЭТО БУДИЛЬНИК.. Вернее его отключение.. Пока со сна допенькает, что надо вот так выключиться и в самом деле проснешься.. Хотя это наверное даже плюс этого телефона)))  Рекомендую телефон.. денег он этих стоит и с ним как работать, так и отдыхать очень приятно.. в нем много мелочей, которых нет в других самсунгах в эту цену..  Я не пожалела))) удачи вам...</t>
  </si>
  <si>
    <t>1363</t>
  </si>
  <si>
    <t>Взял в качестве временного после поломки дорого чайника. Учитывая разношерстность отзывов и бросовую дешевизну, были сомнения перед его покупкой. Но чайник не подвел. Пользуюсь им уже полтора месяца и никаких нареканий.</t>
  </si>
  <si>
    <t>Термопотом пользуюсь уже несколько лет. Очень нравится большая емкость – вы можете напоить всех гостей разом или сами на несколько дней не беспокоиться о том чтобы ставить чайник - горячая вода нужной температуры в любое время дня и ночи под рукой. Никаких нареканий к работе – дело свое делает на 5+. Можно отключить питание, перенести в другую комнату и включить там – повторного кипячения не произойдет (конечно если делать это быстро). Минус – налить бесшумно чай ночью не получится – насос работает не бесшумно, а так же не хватает режима 80 градусов который есть на 4х литровом собрате CD-WBQ (идеален для большинства чаев). А этот идеален для тех, у кого дети маленькие и кто предпочитает красные/черные чаи. Сам термопот сделан качественно, мягкие грани, интуитивно простое управление.</t>
  </si>
  <si>
    <t>2096</t>
  </si>
  <si>
    <t>наушники класные,хожу уже больше полугода облезли только резинки...звук классный</t>
  </si>
  <si>
    <t>Ноутбук- супер. Несколько огорчила навязанная продавцом обязательная гарантия магазина на товар, продаваемый по акции, о которой нигде не указано. В итоге ноутбук вышел за 25 180 руб.</t>
  </si>
  <si>
    <t>У меня работает уже 4 года. В целом я ей доволен, однако после 2-х лет эксплуатации выявились недостатки:   1. Кнопка включения подсветки не удерживается в нажатом положении, то есть чтобы горела подсветка нужно удерживать нажатой кнопку.  2. При сильном охлаждении температуры воздуха в кухне до +10 С (при проветривании зимой) включение вытяжки затрудненно - двигатель не запускается, пока температура в помещении не прогреется до +15 - 17 градусов.</t>
  </si>
  <si>
    <t>Буквально через несколько часов после того, как чайник первый раз помыли, на ободке вокруг крышки местами (примерно на половине периметра ободка) появилась ржавчина. Сначала не поверили своим глазам - чайник ведь из нержавейки! Проверяли несколько раз - затирали ржавчину, смачивали водой - снова появлялась ржавчина, в тех же местах. Оказалось, что ржавчина возникает в местах дефектов шлифовки поверхности, хотя на ощупь дефекты практически не чувствуются и едва заметны визуально (немного темнее/тусклее по цвету). Исходя из здравого смысла вывод напрашивается один - некачественная сталь (не смотря на противоположные заверения в описании чайника), что вполне возможно для китайского производства. Помимо проблемы с ржавчиной, чайник и при нагревании и, особенно, при остывании издавал высокочастотный звук (писк - едва уловимый ухом, но неприятный). Возможно где-то была микроперфорация в двойном дне чайника. Заключение: верхняя половина чайника сделана из некачественной (ржавеющей) стали, чайник ненадёжный в отношении безопасности при перфорации одного из слоев двойного дна. Обобщать на все чайники Vinzer не берусь, возможно попался единичный брак. Чайник сдал обратно в М-Видео, вернули деньги без проблем.</t>
  </si>
  <si>
    <t>2015-10-02</t>
  </si>
  <si>
    <t>Я думаю, что самая дешовая машинка и то лучше справится со своими обязанностями.      Насадка забивается мнговенно, в итоге через каждую секунду ее надо снимать. Это чистое издевательство со стороны производителя.</t>
  </si>
  <si>
    <t>Хорошая недорогая вытяжка: работает тихо, достаточно хорошо тянет,несмотря на объем 270. Я очень довольна. PS: кстати вытяжки подороже и с большим объемом ОЧЕНЬ шумные и чаще требуют смены фильтра. Из собственного опыта.</t>
  </si>
  <si>
    <t>Панелью очень довольны. Некоторое время привыкали к газ-контолю, но он себя оправдывает. Легко мыть.</t>
  </si>
  <si>
    <t>Я довольна своим выбором.Стильный дизайн,приятно и удобно разбирать,собирать,мыть.Не скользит при работе на гладкой поверхности,т.к.имеются присоски.Отжимает прекрасно,причем фрукты(яблоки,груши)бросали целиком.Из минусов-шум и иногда брызги при загрузке фруктов и овощей в горловину, но это,наверное потому, что все-таки мощность большая.Можно смело рекомендовать эту модель для больших объемов переработки.</t>
  </si>
  <si>
    <t>Купили и установили в декабре 2013. Вытяжка хорошая, на 3-4 скоростях шумная. В комплекте 2 декоративных короба по 400мм для вытяжной трубы, но их до потолка не хватает. Отдельно нигде не продаются. Нашёл только один магазин в Мск. Рискнул - сделал заказ (там предоплата), короб пришёл через 5 дней и подошёл отлично.</t>
  </si>
  <si>
    <t>Может быть для вьющихся, хорошо податливых волос плойка и хороша будет, но для создания волн на абсолютно прямых волосах вообще не пригодна.</t>
  </si>
  <si>
    <t>Маленький и симпатичный наборчик для маникюра. Чик-чик-чик и маникюр готов, не надо ни в какой салон в очереди сидеть. Красота! Единственное немного смутила цена, посмотрю, как долго прослужит. Пока что не расстраивает.</t>
  </si>
  <si>
    <t>1540</t>
  </si>
  <si>
    <t>Могу сказать кратко, яблофон это не понтоклейство, а качество:) И все телефоны которые сейчас выпускаются делаются по образу и подобию сия творения макинтошей:) ничего не тормозит, все плавно и красиво работает, с апстора качается двумя нажатиями проги, еще раз повторюсь КАЧЕСТВО пользуюсь почти год, кроме батарейки никаких нареканий, не бывает ничего идеального, кстати приобрел его в вашей сети:)</t>
  </si>
  <si>
    <t>Пылесос купили 10 лет назад, в то же время купили моющий томас. Так с томасом ни в какое сравнение не идет. Важно - регулируется мощность, много насадок, простой механизм, верх - для чистой воды, низ - для грязной, одной "заправки" водой хватает на мытьё полов без ковров 40 кв.м. на средней мощности. Чем меньше мощность - тем больше льёт воды. Моет отлично. Но самое главное - устраняет засоры в трубах, спасает от домашних "наводнений". Однажды чуть не затопили соседей, вовремя собрали воду (ночью отключали воду, и мы забыли закрыть кран, с утра в квартире всё плавало). Выше всяких похвал! С аналогичными функциями видела только профессиональные, но у них уже другая цена!</t>
  </si>
  <si>
    <t>Купил по совету друзей, и не ошибся! Машинка крутая, работает бесшумно, отстирывает все!!! Всем рекомендую. Раньше я почему-то не очень жаловал Аристон. Но теперь понимаю, что ошибался: другие бренды - а их перебывало у меня немало - не выдерживали никакой критики. Сейчас все круто! В общем, я рад покупке. А жена-то как!)))</t>
  </si>
  <si>
    <t>Фен отличный:очень маленький,легкий,компактный(как игрушечный).Со сложенной ручкой и снятой насадкой помещается в мой дорожный чехол 11*16см.(здесь в фотогалерее показан практически его реальный размер).Хоть мощность всего 1000Вт,благодаря узкой насадке(7мм.как в проф. фенах),поток воздуха хорошо направленный и довольно интенсивный(укладываю свою короткую стрижку за 4-5 минут)Прорезиненная ручка,задняя часть и насадка не скользкие и очень приятные на ощупь.Из недостатков могу отметить довольно сильный нагрев насадки во время работы(но если после использования фена ее снимать,то остывает за 5-7 минут)+нет ионизации.Итак,подводим итог: пользуюсь феном почти пол года,основными критериями при выборе были: легкость,компактность,а также это единственный из всех мини-фенов у которого проф.насадка(полностью компенсирующая небольшую мощность фена).Обладательницам длинных волос все же порекомендую более мощную модель с ионизацией, а всем тем у кого не длинные волосы и любителям поездок - самое ТО!</t>
  </si>
  <si>
    <t>639</t>
  </si>
  <si>
    <t>купил ноут и не жалею...ноут тема!!!</t>
  </si>
  <si>
    <t>3103</t>
  </si>
  <si>
    <t>Я купил данный ноутбук где то месяц назад и обнаружил такую проблему : когда я к ниму подключаю сетевой шнур он просто перестает жить . Он начинает тормозить и с ним невозможно работать.На стационаре интернет летает , а на ноуте нет . В чем проблема я не знаю , если есть у кого то предложения и советы , напишите пожалуйста !!!! Заранее спасибо</t>
  </si>
  <si>
    <t>2474</t>
  </si>
  <si>
    <t>Купил данный предмет кухонной техники в сентябре 2011 года. Почти за три с половиной года эксплуатации он проявил себя  только с лучшей стороны. Поначалу отдавал запахом пластмассы (даже после нескольких первичных кипячений согласно инструкции), но в дальнейшем запах пропал. Иногда не сразу срабатывал датчик температуры. А сегодня принялся очищать термопот от накипи, затем включаю - а он после закипания вообще не отключает нагревание. Видимо, конец датчику пришел. А без датчика он уже и не термопот, а обычная емкость для кипячения воды, после чего его нужно вручную отключать от сети. В нескольких местах отломался пластик. В отзывах читал, что от длительного воздействия горячего пара пластик становится хрупким, видимо это мой случай.</t>
  </si>
  <si>
    <t>Превосходная инженерная идея для современного мира!</t>
  </si>
  <si>
    <t>Не проработав и 3-х месяцев в щадящем режиме (тостеры в кол-ве 6-10 шт раз в неделю) сломался "лифт". Сейчас придется терять пол дня, чтобы отвезти в ремонт, потом пол дня, чтобы забрать.  Все больше и больше склоняюсь к мысли, что все эти бренды типа Борк, Сименс (сломалась посудомойка после 2,5 лет работы)) не отвечают тому качеству, которое было присвоено им в былые времена. Лучше купить дешевку, типа Витек или Самсунг. И проработают дольше и выкинуть не жалко.</t>
  </si>
  <si>
    <t>Приобрели EACS-09HQ в начале июля, испытали при наружной температуре +33 комнату площадью 27 кв. метров охлаждает уверенно и быстро. Уровень шума внутреннего блока вполне приемлем... наружный совершенно не слышно. Удачна функция "ночной режим". В целом покупкой довольны.  Соотношение цена/качество - 5.</t>
  </si>
  <si>
    <t>Системный блок очень качественный, в том году купил его, и до сих пор не нарадуюсь, но к сожалению в любом хорошем есть и плохое.  К счастью у этого СБ больших недостатков нет, ну по крайней мере я не заметил.   1. Видеокарта мощная, для современных игрушек нормально, но на максимальных настройках современная игра не пойдет.  2. После переустановки ОС диск, который дается вместе с компьютером в комплекте не проходит проверку, и он не читается, пишет, что компьютер не фирмы ИРБИС. Но все это мелочи, драйвера можно скачать в интернете, а видеокарту через пару лет купить новую.  У этого системного блока очень много плюсов, он быстрый, мощный и тд.  В общем за такую цену советую вам приобрести этот системный блок, не пожалеете.   Я бы поставил оценку 4.80, но тут можно либо 4 либо 5, я поставлю 5, потому, что он того заслуживает.</t>
  </si>
  <si>
    <t>3225</t>
  </si>
  <si>
    <t>достаточно мощьный</t>
  </si>
  <si>
    <t>Мне подарили в воскресенье эту печку, замечательная штука!  Печем и печем! Варим варенье, все отлично!</t>
  </si>
  <si>
    <t>22</t>
  </si>
  <si>
    <t>Очень крутая игра,боёвка супер,но она очень сложная!</t>
  </si>
  <si>
    <t>Сборка, производительность</t>
  </si>
  <si>
    <t>По поводу освещения полностью согласна. Но ещё минус в том, что зеркало не на ножке и получается, что всегда приходится наклоняться, чтобы посмотреться. А так все устраивает!</t>
  </si>
  <si>
    <t>42</t>
  </si>
  <si>
    <t>Чайник слабо говоря некачественный.Течет, булькает, шумит.  Эта ерунда даже без подсветки. Периодически новорит убежать со стола.    Деньги берут за бренд!!! 100%  я бы не рекомендовал. Даже если бы работал на эту фирму)</t>
  </si>
  <si>
    <t>3065</t>
  </si>
  <si>
    <t>ноутом очень довольна)простой удобный,мне очень подходит)почитала выше указанное мнение,в одном согласна в другом нет...согласна в том, что звук конечно не ахти и колонки неудачно расположены(но это меня в принципе не очень расстраивает). Несогласна с тем, что пишут, что без зарядки он работает от 3 до 5 часов в зависимости от задачи..у меня лично стандартное время его работы 2 часа. если не обращать на все эти мелочи внимание,можно сказать что я сделала правильный выбор, когда его приобрела!еще хочу сказать про гарантию-на эту модель дается 2 года,а на многие другие только 1 год(получается производители не боятся за свой товар).спасибо!</t>
  </si>
  <si>
    <t>Есть такая, но узкая на 5 кг, 1 год пользуюсь, стираю каждый день, проблем нет.  Думал что подарить маме, решил ничего не изобретать и купил эту на 7 кг (ведь в ней и плед постирать и одеяло нужно).  Из-за чего купил: совсем не шумная, инфа удобная, режимы необходимые есть, вид не уступает...  p.s.: есть ещё и bosh стиральные, не последние по цене (фронт и вертикальной загрузки по 5кг, обороты 1200). Их отвез на дачу. В них шума больше.</t>
  </si>
  <si>
    <t>Есть фильтр угольный в комплекте, алюминиевые жироулавливающие створки,белый не маркий корпус,отличная мощьность, аналоги колеблятся 6-7 тыс,не шумная</t>
  </si>
  <si>
    <t>Хорошая добротная модель. Берет своей ценой и качеством, кто в средствах не ограничен, может конечно купить гораздо более совершенный телик. А для приятного просмотра дома, этой плазмы вполне хватает. Пользуюсь я просто для просмотра двд и эфирного Тв, различными допфункции мне особо не нужны. Так что хорошая добротная модель.</t>
  </si>
  <si>
    <t>Отличный холодильник за свои деньги, да еще и бренд известный.  Работает тихо, электроэнергии потребляет мало, уплотнители дверей прилегают плотно (даже слишком), морозит великолепно. Год назад брал холодильник домой,  работает как часы без нареканий. Под впечатлением купил второй на дачу :-). Самое то для семьи из трех человек.</t>
  </si>
  <si>
    <t>За эти деньги товар оправдывает ожидания. Для фильмов и музыки в авто самое то.</t>
  </si>
  <si>
    <t>1603</t>
  </si>
  <si>
    <t>хорошая игра!!!!!!!</t>
  </si>
  <si>
    <t>Машинка просто ужас!!! За 3 года использования ломалась раз 5. Ремонтировать желания нет, буду искать новую.</t>
  </si>
  <si>
    <t>Купили больше 2-х лет назад. До сих пор пользуемся. Очень довольны!</t>
  </si>
  <si>
    <t>Очень им довольна, для меня минус в том что шнур коротковат, у меня свободная розетка внизу находится, поэтому пользуясь переходником. А так очень хороший тостер!всем рекомендую.</t>
  </si>
  <si>
    <t>Этот водонагреватель в обычной квартире вообще не установить, или потратить к этому денег ещё на новый автомат, проводку (кабель на 4мм 3хжильный), т.е. ещё за услугу сантехника и электрика платить.</t>
  </si>
  <si>
    <t>2015-02-02</t>
  </si>
  <si>
    <t>Пользуемся увлажнителем уже больше года и ни капли не разочаровались. Работает тихо, комнату в 20 кв.м. увлажняет нормально. Регулируется мощность влажности. Правда гигрометр нужно брать отдельно и ставить на расстоянии от увлажнителя. Когда вода заканчивается сам отключается (это вообще прелестно).  Белый налет конечно есть, но я считаю это не проблема. Лейте очищенную воду и налета не будет.</t>
  </si>
  <si>
    <t>Здравствуйте, соковыжималка хорошая! Проста в обращении и вообще дизайнерская вещь. Стоит, конечно, не дешево, но убедился, что лучше один раз заплатить и не менять каждый год. Ставлю 5+, советую всем.</t>
  </si>
  <si>
    <t>Купили вчера. Первое впечатление - СУПЕР!!!Идеальный вариант для ламината.  Видел в работе другие моющие пылесосы,у всех одна и та же проблема-после уборки пол остается влажный(с водяными подтеками), что не есть хорошо для ламината. Этот же пылесос, обдает паром, а тут же остатки влаги втягивает мощный напор,и все это шлифуется микрофибровой насадкой. Единственный минус резервуар для жидкости маловат(250мл)хватает на 20-25м2. Ну а дизайн без комментариев, понравиться всем, женщинам особенно.</t>
  </si>
  <si>
    <t>Аппарат супер и мощность хватает, наращиваю гелем ногти раз в месяц и коррекцию сама делаю, аппарат спасает меня и аккуратно и красиво, советую всем!</t>
  </si>
  <si>
    <t>1104</t>
  </si>
  <si>
    <t>очень удобно для детского питания.хорошо перемалывать крупы для каш.</t>
  </si>
  <si>
    <t>Достаточно тихая, мощная, красивая.Отжимает все, сока получается много, легко моется.качество материала из которого изготовлена превосходное.не придраться.соковыжималка супер!</t>
  </si>
  <si>
    <t>Ссылку из гарантийного соглашения в студию !  (при разблокировке гарантия на телек уже не работает !!!)    Убить перепрошивкой нельзя !  Можно только кривыми действиями в сервисном меню.  Просто надо все аккуратно делать.  И обратно возвращать прежнюю прошивку не с флехи, а восстановлением предыдущей родной через меню.</t>
  </si>
  <si>
    <t>По звуку все устраивает.Но качество - полный отстой.Через пару недель после покупки левая колонка начала залипать отдал по гарантии - вернули сказали что сделали.После гарантии немного поработала и умерла.Обратился к знакомым объяснили принцип работы и посоветовали поменять динамик. Подскажите, где можно купить???</t>
  </si>
  <si>
    <t>Одновременно кастрюлю и сковородку ставить нельзя - мало места. Большая комфорка сломалась через 2 недели</t>
  </si>
  <si>
    <t>Доброго всем времени суток!Подскажите пожалуйста,работает на данной модели функция GPS или нет?в магазине изучали с консультантом со всех сторон,он мне пояснил что нет,так как иконка GPS не подсвечена...Хотелось бы ее приобрести</t>
  </si>
  <si>
    <t>так слава богу, как лет пять работает. и всё нормально. конечно тоже бывают глюки с дверью, а в целом всё путём. ставьте отжим на 800 оборотов</t>
  </si>
  <si>
    <t>1 Звук понравился. ожидал меньшего. у меня простые колонки без наворотов.  2 AVI не играет.  3 У меня сразу заглючила крутилка лечится открыванием и закрыванием панели.  4 не поддерживает многопапочное вложение -папки в них файлы иначе все скидывает в одну кучу. Представьте каталог из 500 песен одним списком -хотя с пульта можно перейти на любую песню.  5 хотел купить за те же деньги JVC 5307  без монитора-хорошо что не взял. с монитором веселее на много.  6 диски читает, флешку 4 гига читает достаточно быстро.  7 если брать в рабочую машину и не жалеть если сопрут отличный вариант , если под хорошую акустику можно поискать другую систему.</t>
  </si>
  <si>
    <t>Удобна в применении. Легко монтируется в кувшин.    +) РЕАЛЬНО ОЧИЩАЕТ ВОДУ ОТ ЖЕСТКОСТИ.   Особенно в объеме указанного ресурса, а вода у нас очень жесткая: накипь, вкус и т. п.  - все в наличии. Применение кассеты убирает эти артефакты полностью.    -) Очень сильно подорожали эти кассеты за последнее время(.</t>
  </si>
  <si>
    <t>Достойный телевизор за эти деньги. Отлично смотрятся особенно HD каналы.</t>
  </si>
  <si>
    <t>Не очень давно приобрели данную модель пылесоса, могу сказать что он очень понравился, мощность всасывания на высоте!!!Особенно находился под впечатлением после первой уборки. Однако, хотелось бы заметить о непродуманности щетки (щетка подпрыгивает при уборке), и предмоторной губки. После того, как контейнер заполнился на 50% надо обязательно помыть и просушить предмоторную губку, это влияет на быстрое забивание Нера фильтра, а он стоит 1200 рублей. Кроме того, лучше поменять губку которая стоит прямо перед мотором (черная - пористая), она вообще бестолковая, слишком крупные в ней поры, лучше всего купить фильтр для обычных пылесосов, вырезать и поставить. Мощность всасывания не теряется, а эффект на глаза, такие меры как мне кажется продлят жизнь вашему Нера фильтру.</t>
  </si>
  <si>
    <t>Купили машинку три месяца назад.До сих пор не нарадуюсь.Места занимает мало,в управлении очень проста,есть все программы,которые нужны нашей семье(выбирали машинку,в основном,поэтому признаку).Лично меня радует дисплей,привыкла(на старой машинке был).А какая бесшумная!И это заметили все родственники и знакомые,сравнивая со своими машинками.Стакан с водой,поставленный на крышку, при отжимании  даже не шелохнется.Хотя ножки не регулировали.Даже при открытой двери в ванную абсолютно никакого шума.Никак не привыкну к этому,и постоянно заглядываю,работает ли вообще машинка.Стирает отлично!Отстирались все застарелые пятна.Порошок из дозатора вымывается тщательно.Белье без запаха порошка,хорошо прополощено.А с функцией "легкая глажка" вещи абсолютно не мнутся.Я очень довольна выбором именно этой стиральной машины.</t>
  </si>
  <si>
    <t>Отличная игра! Сам не очень люблю хорроры, но эта игра мне очень понравилось. Все выглядит очень живо и реалистично.</t>
  </si>
  <si>
    <t>664</t>
  </si>
  <si>
    <t>Пользуемся несколько месяцев, купили именно её, так как помимо именитого бренда еще и "made in France" привлекло. Очень удобная вещь. Домашний Йлгурт для детей-аллергиков без примесей, консервантов и т.п. фигни, которую производители в изобилии кладут в готовые продукты.   Убедились, что надо еще УМУДРИТЬСЯ испортить йогурт. Мы на ночь включаем поудомоечную машину и на соседней секции стоит йогуртница. Все получается. Потом в холодильник... и все ок. Самый простой рецепт - добавить мелко пореанный сушеный чернослив - изумительно вкусно.    Минус один - неинтерактивная модель. В сравненеи с YOGURTEO YG230 другого производителя, у которой есть дисплей - с таймером обратной связи и более ярко выражен сам процесс включения-отключения. Баночки большие (хотя мне с весом 85 для завтрака хватает:)</t>
  </si>
  <si>
    <t>Теперь сломались часы. Не советую покупать.</t>
  </si>
  <si>
    <t>423</t>
  </si>
  <si>
    <t>Пользуюсь год. Честно говоря, не очень довольна, низ пригорает, сушит, нормальной корочки румяной не бывает. Хочу купить теперь электрическую мини-печь</t>
  </si>
  <si>
    <t>Хороший пылесос, ничуть не хуже его "мешковых" аналогов, а то и превосходит их! Рекомендую</t>
  </si>
  <si>
    <t>Пользуемся с лета, очень довольны. Не страшно, что нет самоотключения,  оно тут и не нужно. Бутербродница простая, без наворотов. Чистить - легко! Абсолютно без проблем - просто протираю сухой тряпочкой после остывания - и все! Она абсолютно чиста. Ни капли не жалею!</t>
  </si>
  <si>
    <t>Пользуюсь пол года. Перечислю все минусы:  -часто теряет сеть и больше не находит до перезагрузки. из-за этого телефон зависает где-то на минуту.  -никакой синхронизации с компьютером.  -если завис, то приходится только вынимать батарею.  -При большом количестве файлов или папок диспетчер файлов тормозит. Особенно, если это видео файлы.  -Темы только стандартные 4. других быть не может.  -при подключении Bluetooth гарнитуры, телефон заметно тормозит.  -камера- это вообще ужас. иногда на 2мп не фотографирует(нужна опять перезагрузка)  -фотографии нельзя повернуть.  -память сообщений ограничена, хотя своя 15мб.сохраняет около 100 и от памяти не зависит.  -очет о доставке приходит как смс.  -настройки очень ограничены.  ТЕЛЕФОНОМ ОЧЕНЬ НЕ ДОВОЛЕН!!!!!!!</t>
  </si>
  <si>
    <t>Купила данную машинку итальянской сборки.... И вот прошел ровно год как закончилась ее работа по гарантии и спустя неделю после - машинка сломалась. Полетела электроника.... Ремонт дорогой, да и процессора в нашем городе в данный момент в наличии нет, а на заказ - уйдет месяц, а то и больше. Покупаю новую стир. машинку, но на Indesit и не взгляну.</t>
  </si>
  <si>
    <t>Когда я ее первый раз испытывала действительно был восторг, насколько быстро и аккуратно открывает консервы, на краях банки не остается никаких зазубрин. Принцип работы очень простой-вставила банку, нажала сверху посильней и отошла. Банка сама держится и открывается,а когда открылась полностью, останавливается. Поднимаешь крышку, вытаскиваешь банку, а крышечка остается висеть на магните. Все чисто,без ранений и воплей. Ножеточка тоже хорошая, можно подточить ножи. Кстати, она не такая уж громоздкая. Я очень довольна покупкой. Теперь покупаю консервы только в жестяных банках. Всем советую.</t>
  </si>
  <si>
    <t>2945</t>
  </si>
  <si>
    <t>Винда просто СУПЕР.  Загрузил  минут за 5. С активатором проблем не было. Крякается одним кликом.</t>
  </si>
  <si>
    <t>До этого в пользовании была другая метеостанция Oregon (не помню какая модель) - пока не отказался работать наружный датчик. Так вот старый собрат действительно всегда показывал 2% влажности.   Плюсы: Нынешняя станция порадовала адекватными показаниями как t-ры, так и влажности. Появилась подсветка - очень полезно (у прошлой модели не было - ночью даже время не подсмотришь).  Минусы: Подошва у аппарата скруглена, не очень устойчива, какой-то Ванька-встань-ка; Подвирает, что естественно, прогноз погоды. Последнее, правда, не является критичным. Гидрометцентр и тот не угадывает!</t>
  </si>
  <si>
    <t>2014-03-06</t>
  </si>
  <si>
    <t>Купили пылесос в 2011 году для строителей. Работает по сей день. Сосет все! Надо только часто промывать фильтры и чистить чашу. Немного шумноват, но это простительно.</t>
  </si>
  <si>
    <t>3129</t>
  </si>
  <si>
    <t>я живу в казахстане городе уральске с доставкой мне сколько будет стоить</t>
  </si>
  <si>
    <t>Сегодня купили в М Видео данный кондиционер. Режим кондиционирования за день работал минут 10, все остальное время в режиме вентилятора. Будем сдавать. Бред!!!</t>
  </si>
  <si>
    <t>Клёвый вентилятор, дует отлично, не шумит думаю за счет защитной решетки в полосочку, клетка ужасно шумит ( проверили на опыте и в сравнении, просто поставили клетчатую решетку от другого). Лопости большие и хорошо загнуты не то что в Скарлет ( полнейший отстой брали и вернули назад, поменяли без проблем). Пока работает 10 дн. практически без перерыва т.е. сутками. Довольны на все 10 баллов. Рекомендую!!! Есть такой же только белый здесь же на сайте( характеристики те же, но подешевле на 500 р.) Но мне нужен был и дизайн тоже вписывался в интерьер отлично, поэтому взяли именно этот.</t>
  </si>
  <si>
    <t>2436</t>
  </si>
  <si>
    <t>Купила этот холодильник, понравился дизайн и большой объём камер. Большой, вместительный, красивый, мечта, а не холодильник! Работает очень тихо,можно сказать бесшумно! Никаких посторонних бульканий и других, странных звуков не издаёт!Конечно помучилась с протаскиванием через наши узкие двери,по размерам проходил тютелька в тютельку,но всё равно пришлось снимать дверную коробку,чтоб занести холодильник на кухню.Сзади холодильника,сверху,сделаны ручки, они мешали свободно пронести его в дверь. Но довольна покупкой именно этой модели,очень!Этот холодильник безупречен! В дверцах можно уместить слона!:) Удобно хранить бутылки,пакеты с молоком и соками,есть ограничители,чтоб при открывании ничего не падало.Дети в восторге от ящичка для льда,один поворот ручки и кубики в контейнере! Классная подсветка двух камер,удобные полочки,а ещё есть ионизатор,который деактивирует плесень,просто фантастика,до чего дошёл прогресс!:) Очень удобная панель управления, выставила нужную температуру легко,всё понятно и удобно. Ну и внешний вид глаза радует,цвет мягкий,кремовый,чуть с перламутровым блеском,прелесть! Ставлю твёрдую 5 за работу холодильника!</t>
  </si>
  <si>
    <t>РЕБЯТА !!!!!подскажите !!!не могу решить какой mp3 плеер покупать ---Ritmix KF 8800(8 Гб) или Ritmix KF 8900 (8 Гб)? помогите выбрать и если можете ,скажите их - и +</t>
  </si>
  <si>
    <t>Чайник отвратительный! Только купили его (еще по старой цене), и уже через неделю перестал сам выключаться. Может кипеть до бесконечности. Причем самое плохое - когда воды половина - вроде отключается, а как чуть больше - уже нет. Понятно, что в магазин я позориться не пойду (хотя и чек есть) - они там зальют 2/3 и он выключится как надо - а сегодня кипел на кухне минут 15, все шкафы над ним покрылись конденсатом. Больше никогда Tefal брать не буду. Ясно, что МВидео с серым товаром дел не имеет, но качество даже у легальных китайских производителей уже не лезет ни в какие ворота.</t>
  </si>
  <si>
    <t>Я конечно смотрел более дорогие модели, но долго не мог решиться купить- а вдруг не понравятся, или качество подведет. В итоге решил купить именно эти, за достойную цену, да еще и достаточно позитивно все об этой модели отзываются. Пока доволен: основные функции наушников они выполняют-чашки динамиков хорошо сидят на ушах и звук идет довольно чистый. Поэтому за такую цену уши достойные, хотя мне и не нравится дизайн! Можно брать</t>
  </si>
  <si>
    <t>Обратите внимание на подсветку экрана, возможно это нормально, но на мой взгляд она слабовата. А в общем модель очень нравится.</t>
  </si>
  <si>
    <t>Супер трубка! уже почти полгода пользую, радует очень! с другими трубками приходилось постоянно таскать с собой зарядку, а с этим в отпуск едешь недели на 3, и можно даже не париться)))</t>
  </si>
  <si>
    <t>2012-01-15</t>
  </si>
  <si>
    <t>Эту игру я по праву бы назвал игрой года. Красивая графика, музыка и сюжет заставляют перепроходить её снова и снова. При своей стоимости  она превосходит в разы такие шутеры, как Battlefield 3 и Call of Duty: Modern Warfare 3. Оценка: 100/100.  ----------------------  |Графика | ********** |  |Музыка  | ********** |  |Сюжет   | ********** |  ----------------------</t>
  </si>
  <si>
    <t>Используется уже почти два месяца. Покупали его по акции. Мощный, компактный. Не требует больших трудозатрат.</t>
  </si>
  <si>
    <t>Взял такие наушники в качестве вторых (смотрю в них фильмы дома и музыку включаю иногда) на улицу в них редко выхожу по одной причине - есть Sennheiser CX-500. Вот они просто супер. Жаль кстати, что в мВидео их нет =( я бы взял еще одну пару своей девушке.  Но ладно это уже оффтоп.  Что касательно этих наушников, то они стоят своих денег, но не более того. Звук средней громкости, высокие частоты не такие уж и высокие, средние...опять же громкости не хватает, низкие есть, но опять же не выделяются. Вообще эти наушники подходят для музыки, но не придают ей какого-то особого характера или новых красок, как это делают более дорогие CX-500, так что для меломанов эти наушники покажутся скучными.  Но это если сравнивать EH-150 с более дорогими моделями. А для своей цены наушники играют на 5 баллов.  Что касательно корпуса и качества сборки и материалов - нареканий у меня нет. Сделаны они на ура, псевдо/кожаные вставки и подушечки не облазят и не отваливаются, краска на корпусе не стирается (пока что) и вообще они выглядят надежными.  На голову и уши наушники большого давления не оказывают, хотя после трех часов непрерывного использования уши побаливают. Внешние шумы глушат практически все, что довольно неплохой результат для модели за такие деньги. В автобусе например вы будете слышать только музыку.   Мой итог: если вы не слишком придирчивы к качеству звучания и у вас есть наушники для мп3 плеера/телефона, то эту модель стоит взять домой. Для улицы она не слишком удобна (шнур 3 метра + нет такой штуки, на которую его можно намотать, чтоб не мешался) да и не каждый телефон сможет их на полную "раскачать". Мой пример Nokia N86 - наушники почти выдают всю свою громкость, по сравнению с плеером Samsung YP-R0CS проигрыш не слишком заметен например, так что делайте выводы на чем их слушать.  Для своей стоимости оценка 5 баллов.</t>
  </si>
  <si>
    <t>Пользуюсь мясорубкой четвёртый год и поражаюсь негативным отзывам. Моя мясорубка крутит всё подряд. Сестра приносила мясо с жилами, которое немогла прокрутить на ручной мясорубке, в итоге Бош прокрутил 2 кг. меньше чем за минуту. За 4 года не было не одной поломки. Отличная мясорубка.</t>
  </si>
  <si>
    <t>2015-12-12</t>
  </si>
  <si>
    <t>Весы хорошие. Намучались с электронными, они все время показывали разные данные. С этими проблем нет. Есть регулятор для выставления весов на 0. Плюс и в том, что показание на весах не зависит на какой поверхности они стоят.</t>
  </si>
  <si>
    <t>Бритва браун 7 серии,бреет максимально чисто почти как станок,только раздражения нет!!Первый же раз после покупки брил недельную щетину,думал бритва не возьмёт её,но браун справился с ней без особых проблем..теперь хочу с пеной попробовать.До 7 серии у меня был тоже браун крузер 3,вообще ни о чём бритва,брила плохо.Самый оптимальный вариант это 720 или 730 модели,без блока очистки стоит на 1500-2000 руб дешевле чем с блоком очистки,сменные касеты на блок очистки 500руб,имхо это лишний наворот.Рекомендую всем эту бритву,она стоит своих денег.</t>
  </si>
  <si>
    <t>Результат превзошел ожидания, готовилась к жуткой боли и неприятный ощущениям, но терпеть можно, приятней, чем удаление воском. Отличный набор, покупайте не раздумывая!</t>
  </si>
  <si>
    <t>Я в восторге от этой мультиварки. Давно уже хотела приобрести ее. Но о такой модели даже и не мечтала. Пользуюсь только две недели, но сделала уже много вкусных блюд. Что не блюдо, то шедевр! Плитой практически не пользуюсь. Для меня это самый лучший подарок на День Рождения! Вем своим родственникам и друзьям ее уже прорекламировала. Спасибо тем, кто ее придумал!</t>
  </si>
  <si>
    <t>Купила этот увлажнитель год назад и оч. довольна покупкой. Увлажняет оч. хорошо, работает бесшумно, есть резервуар для эфирных масел. Только надо переодически чистить от накипи нагревательный элемент, поскольку вода из крана течет не стерильная. Чищу раз в месяц. В общем, всем рекомендую: дышится хорошо, кожа не сохнет, орхидеи цветут. Думаю купить второй в др. комнату!</t>
  </si>
  <si>
    <t>Хороший обогреватель. очень маленький, поэтому его можно легко убрать куда угодно. Но из-за своих небольших размеров большой объем не сможет прогреть, рекомендую брать только если у вас комната небольшого размера.</t>
  </si>
  <si>
    <t>Купили с мужем вытяжку случайно, не хватало до определённой суммы кредита. Выбрали, ткнув пальцем в небо, а оказалось, что отличная вещь. Работает тихо. Освобождает помещение от лишнего пара за секунды, а бывает, что и подгорело что-то- так это теперь вообще не проблема. И подсветка отличная. У нас кухня с гостиной совмещена и когда гости спят, то потихоньку поставить чайник нужно в потёмках лазить. А сейчас направил подсветку прямо на плиту и не мешаешь никому. Классная вещь, да и красивая сама по себе. Стильная такая.</t>
  </si>
  <si>
    <t>Хорошая бритва. Чисто бреет, хорошо лежит в руке, легко чистится. Очень комфортна в использовании. Никаких проблем с комплектующими в моем городе нет.</t>
  </si>
  <si>
    <t>Все из нержавейки, никакого пластика, отличное качество замечательное теста ( не оставляет в углах формы муки т пр.,)</t>
  </si>
  <si>
    <t>Замечательный фен особенно подойдет тем у кого сильно пушаться волосы и тем кто мучается от сильного потока воздуха из фена я довольна волосы укладывает замечательно, не обжигает благодаря хорошей регулировке температуры и силы потока воздуха, мой парикмахер посмотрев этот фен сказала что отличное приобретение для дома!</t>
  </si>
  <si>
    <t>2417</t>
  </si>
  <si>
    <t>Приобрёл данное изделие. Установили. Буквально после певого цикла вышла из рабочего состояния рукоятка переключения программ. Обозначил проблему в сервисном центре, но уже неделю нет ответа.</t>
  </si>
  <si>
    <t>Пользуюсь плитой уже два месяца. Работает отлично. Все функции работают, удобно устанавливать время работы духового шкафа на случай, если можешь забыть выключить вовремя. Часто использую функцию уменьшения конфорки для турки, например. Духовой шкаф очень герметичный, равномерно печет. В общем, покупкой довольна.  Из недостатков: только можно отметить отключение времени (таймера) при любом отключении света - требуется заново устанавливать.</t>
  </si>
  <si>
    <t>1114</t>
  </si>
  <si>
    <t>привет всем что хочу сказать про магнитолу мафон просто класс у него всё есть dvd  смотришь на экране а можно вывести на телевизор будет показывать и там и там есть USB разьём флешки читает до 4гигов влёт а я купил магнитолу пролоджи полный отстой так что покупайте SUPRA не пожелеете</t>
  </si>
  <si>
    <t>2972</t>
  </si>
  <si>
    <t>судя по отзывам классная вещь. Цена радует. Да и характеристики тоже.</t>
  </si>
  <si>
    <t>В жару выбирать особо не приходилось - схватили этот вентилятор, он и стоил недорого, и выглядел адекватно. Не прогадали)) Дует заметно даже на минимальной скорости, а уж на максимуме бумаги с дальнего стола начинают улетать)) При всём этом он настолько тихий, что можно включать на ночь, и звук не будет мешать спать.</t>
  </si>
  <si>
    <t>Купил в подарок маме. Пользуется регулярно, очень нравится. Но надо и понимать, что это не руки массажиста, супер эффекта не стоит ждать. Тем не менее релакс есть.  Нужно учитывать рекомендацию в инструкции - воду она не нагревает, а лишь поддерживает температуру налитой теплой воды.</t>
  </si>
  <si>
    <t>Не заметила поддержания температуры воды и на счёт насадок, может конечно они и не должны вращаться, но в спецификации указано: "вращающиеся насадки: 3шт."</t>
  </si>
  <si>
    <t>классный телефон, купил его недавно, но очень доволен, выбирал между x6 и apple iphone 3gs  и выбрал нокию,  так как 30 штук за тел, кот стоит в реале 9000 не хочется с функционалом мин, а нокиа - это супер есть все и даже больше.</t>
  </si>
  <si>
    <t>Очень рада что остановились именно на этой модели,пользуюсь уже 6 месяцев,очень часто.Все очень продуманно,легко отсоединяется при мытье.Всем советую.</t>
  </si>
  <si>
    <t>Купил себе такой комбайн и не жалею. Со своими функциями справляется отлично: измельчить, взбить и т.д и при этом занимает мало места. Симпатичный дизайн.</t>
  </si>
  <si>
    <t>Доброе время суток. Перед тем как приобрести много провел времени на просторах интернета. Во общем все что пишет про данный аппарат правда, кроме одного. Почему то все про это молчал. Аппарат хорош в режиме сухой уборке с аквафильтром, хорош в режиме влажной уборке ковров-паласов-мебели, но совершенно не приспособлен к уборке кафеля-ламината-паркета (про ламинат и паркет сказано в инструкции - что нельзя). Напор распылителя очень слаб, пыль соберет, а засохшую или присохшую грязь не возьмет. Бочек 2,4 литра уходит весь на палас 3*4, если вести со средней скоростью. Не обольщайтесь чудес не бывает, полностью швабру не заменит! Я определил для себя что, пылесосить, чистить ковры-паласы-мебель и все. А так же советую перед приобретением зайти а сайт http://www.thomas.ru и внимательно прочитать про гарантию и сервис.</t>
  </si>
  <si>
    <t>Очень опасна, буквально взорвалась, газ не работал, вытяжка на первой скорости, устанавливали сборщики гарнитура строго по инструкции, хорошо что ребенка (1г.3м.)не поранила ,осколки мелкие, но есть и очень большие. Очень ужасно, не дай Бог кому пержить такое.</t>
  </si>
  <si>
    <t>игра - СУПЕР!  Но чтобы оптимизировать нужно добавить пару файлов написанных от руки</t>
  </si>
  <si>
    <t>Телефон нравится. Не дорогой, красивый, настройки не сложные.Качество звука очень хорошее.Покупкой полностью довольна!</t>
  </si>
  <si>
    <t>Отлично, стирает, отжимает, не сильно шумит в свой ценовой категории</t>
  </si>
  <si>
    <t>368</t>
  </si>
  <si>
    <t>Поразительно хороший воздухоочиститель я нашла у Борк, даже маме купить вот зашла! А заодно себе и ей приобрести вот такие фильтры! Конечно, сама по себе очистка воздуха - это уже очень хорошо. В квартире стало свежее, перестало пахнуть всякой гадостью, которую часто из окна можно запустить в комнату - первый этаж, вечно стараются припарковаться чуть ли не у нас непосредственно в окне, идиоты. Но мне казалось всегда, что можно воздухоочиститель еще лучше сделать, функциональность должна как-то расширяться. И вот наткнулась несколько месяцев назад на вот этот фильтр! Потрясающая вещь! Убивает бактерии! Учитывая, что у меня в семье трое детей (мои двое и племяш), мне такой фильтр просто доктор должен был прописать)) Они постоянно носят какие-то болячки домой из сада и школы. Хорошо еще, что теперь все обеззаразить можно легко и просто - включив воздухоочиститель с этим фильтром! Я почему уверенно так говорю, у нас первая зима почти прошла без гриппа (ттт, конечно, чтобы весной все тоже было ок). Мы раньше такой роскоши не знали, после появления малышей! Всегда гоняли по кругу сначала дети этот вирус, потом взрослые и так пол-зимы. А теперь кайф, чувствуем себя здоровее!</t>
  </si>
  <si>
    <t>Компьютер для меня хороший. Но только видюха правда слабовата. А так почти идеальный компьютер, с возможностью увеличения оперативки с 2 Гб до 4 Гб.</t>
  </si>
  <si>
    <t>Почитал, подумал и купил.  Разочаровало пока только одно обстоятельство - в момент обновления (хоть виндового, хоть антивирусного) процессор полностью захватывается данной операцией (загрузка до 100%) и что-то другое в этот момент делать практически невозможно. В данный момент это самая ресурсоемкая операция (вентилятор дует по полной, т.к. проц сильно греется в этот момент).  В остальном пока не разочаровал.</t>
  </si>
  <si>
    <t>Предыдущая модель парогенератора De Longhi, который я купила лет 6 или 7 назад во Франции на ладан дышит. Я глажу много и все, поэтому на больший срок в принципе и не расчитывала. Поэтому решено было купить эту модель, т.к. 3 890 руб. - не цена для такого хорошего парогенератора. Его стоило бы купить, даже если бы он стоил больше.   На мой взгляд переплачивать за модели того же De Longhi, но с мощностью 5 Бар (11 900 руб.) против 3,5 Бар (3 890 руб.), решительно не имеет смысла. Трех с половиной хватит за глаза.     Доливать воду в процессе глажки тут нельзя, нужно сначала полностью израсходовать всю воду, потом выключить его из сети, подождать минут 15, долить, включить и снова гладить. Не очень удобно, но одного залива воды хватает надолго. 1,5 часа качественной глажки это как минимум. Потом можно сделать перерывчик на кофе и продолжить.     Особенно хочу отметить: исключительное удобство парогенераторов De Longhi заключается в сквозном силиконовом кольце для спуска пара. Его можно крутить как внутренней (указательным пальцем не выпуская утюга), так и с внешней стороны ручки утюга (большим пальцем)! Это очень удобно! И только ради этого кольца я больше не смотрю ни на какие другие модели и фирмы.   У моей сестры парогенератор (не помню производителя) с кнопками, расположенными на верхней части ручки утюга. У меня пальцы длинные, но даже мне тянуться до нее далеко, а удерживать в процессе глажки нереально, поэтому кнопку постоянно приходится блокировать, что приводит к неэкономному расходу пара, электроэнергии и шуму (во время глажки уже не поболтаешь по телефону).     Мой выбор среди парогенераторов только De Longhi. И именно эта модель весьма хороша.     Раньше я ненавидела гладить, а теперь вообще не считаю глажку работой по дому. Это чистое удовольствие! Быстро, просто и очень качественно гладит!!!</t>
  </si>
  <si>
    <t>Топовая модель в линейке электрических щеток от немецкой компании Braun. Все на высшем уровне: солидная большая коробка, четыре сменных насадки в комплекте, футляр для них, футляр для щетки, дисплей... В общем, полный боекомплект для гигиены полости рта. Со своей основной обязанностью девайс справляется на все 100, зубы становятся белее, при этом получаешь удовольствие от процесса чистки. Особенно радует внешний дисплей, который подсказывает, какую область надо чистить и сообщает, когда можно закругляться. Ну, и очень полезна, на мой взгляд, функция оповещения при слишком сильном нажатии - для увлекающихся, как я. Резюмируя: щетка супер, всем советую!</t>
  </si>
  <si>
    <t>Отличный вариант для начинающих. Наличие нескольких насадок позволяет быстро привыкнуть к эпиляции в разных зонах.</t>
  </si>
  <si>
    <t>Оказался меньше, чем думал.  Отлично встал на столе.  Работает очень тихо, без щелчков и посторонних звуков. Очень демократичная цена. Особенно в летний период.  Слабоват, но для его размеров -- вполне нормально.  Нет поворота на 360 градусов, а хотелось.  Идеально подойдёт для дополнительного охлаждения техники, например, компьютера или себя любимого в непосредственной к нему близости.</t>
  </si>
  <si>
    <t>Купил такой пылесос,пользуюсь уже две недели. Считаю, что данное изделие прогресс в этом направлении. Сила всасывания на высоте,компактный, легкий, малошумный. Изготовлен из хороших материалов. Но, как и вся современная техника, требует грамотного обращения.</t>
  </si>
  <si>
    <t>Хороший стандартный фен, особых наворотов нет, но со своей основной функцией справляется замечательно! Пользуюсь им 4 года, поломок не было. Куплю новый, только, когда этот сломается.  Советую!</t>
  </si>
  <si>
    <t>В целом был готов поставить кондиционеру 5-ку, но есть оно но.... При ремонте квартиры все трассы были проложены заранее.  В 2014 году я увидел данный аппарат  - для дайкина, пусть даже самой бюджетной модели, неплохо. Но при установке столкнулся с проблемой - недостаточно проводов в трассе. (ранее здесь об этом уже написали). Первые установщики ехидно заметили, что мол с нами надо было сначала советоваться, что покупаешь. Но другая бригада, предложила два варианта: 1) кустарно поставить разветвители 2) аккуратно проложить еще 2 кабеля. Несмотря на то, что обои были оклеены, ребята действительно аккуратно проложили еще 2 кабеля.   + охлаждает быстро, не шумит, качественный пластик  -   пульт без подсветки, особенности при прокладке трассы</t>
  </si>
  <si>
    <t>Шумновата и на кнопку сверху давить приходится с усилием, но это не такая уж большая проблема, потому что кофе мелет хорошо и удобная съемная чаша, много кофе вмещается, в общем я довольна покупкой.</t>
  </si>
  <si>
    <t>2590</t>
  </si>
  <si>
    <t>Хорошие весы. Измерял вес каждые 5 мин в течении часа никаких различий в показаниях не обнаружил. А на счет включения всё нормально, видимо у девушек ножки слабенькие.</t>
  </si>
  <si>
    <t>2014-04-17</t>
  </si>
  <si>
    <t>Неплохой комплект за эти деньги, покупал 5 лет назад, до сих пор работает без перебоев, звук тоже соответствует цене, стоял в 9-ке алпайн майфона( раскачивает хорошо), в данный момент стоит в тауреге ( неплохо, хотя мне кажется маловато) возможно просто штатная магнитолка и подключен через штатные задние динамики, а не через линейный выход) в общем хорошая 4-ка!</t>
  </si>
  <si>
    <t>Машинка просто супер посуды много влазит моет идеально класно что есть функция половинной стирки))) так что советую!!!!</t>
  </si>
  <si>
    <t>2014-12-12</t>
  </si>
  <si>
    <t>Очень удобный, развернуть как угодно можно, удачная конструкция, света много, за 6 лет лампа перегорала 2 раза ))) сейчас сломался пластик в основании (рассохся),  возьму снова эту лампу, жаль нет белой (была белая)</t>
  </si>
  <si>
    <t>Щипцы нагреваются очень медленно! очень плохо. наравне с отечественными старыми металлическими щипцами за 100 руб. Посмотрела в магазине, Попробовали нагреть. Не купила, разумеется.</t>
  </si>
  <si>
    <t>Прекрасный флэш-диск, проработал больше года без нареканий, водонепроницаемый корпус, быстро писал информацию , жалко украли...</t>
  </si>
  <si>
    <t>За такие деньги - нормальный триммер. Попробовал, могу сказать легко стричь даже за ушами и прорежает достойно, форма у бороды приличная получается. Выставлял шаг в 2мм, выходит красивая трехдневная щетина.</t>
  </si>
  <si>
    <t>2283</t>
  </si>
  <si>
    <t>Живу одна, готовить не то чтобы не умею, просто и не люблю и не для кого. Так что тратить большую сумму на здоровую плиту, которая только место будет занимать, а использоваться на полную мощность только по праздникам - нет уж, увольте. Такой панели на одного человека как раз достаточно. Даже на двух конфорках одновременно редко что-то готовлю, чаще на одной. Панель быстро разогревается, долго остывает, так что разогревать что-то не приходится через час после приготовления, если добавки захотелось. Впечатляюще выглядит, не совковый дизайн, а стильный. Италия как-никак! Поверхность не корежится ни от жара, ни от попадания на нее чистящих средств, которые содержат крупные частицы. Мыть ее легко, так как она совершенно гладкая. Чугунные конфорки не повредишь вообще никак, они меня переживут.</t>
  </si>
  <si>
    <t>Писал первый отзыв 24.09.2009 когда купил, что гудит, со временем ничего не изменилось, так же гудит, как в магазине тогда сказали, что эт нормально. Вот ещё один минус относительный есть, пластик трещит как дрова на костре, если его поставить на стойку и покрутить влево вправо - настоящее Российское качество сборки:-)Причем я купил выставочный образец он неделю работал у них круглосуточно, т.к. последний был в наличии...... Единственное, что бы изменил, если бы вернуться обратно, купил бы диагональ побольше и вот почему - не так давно купил Sony PS3... и вот тут я понял зачем у меня этот телевизор.... + купил мультимедийник для просмотра Full HD фильмов...... в Общем берите не пожалеете..</t>
  </si>
  <si>
    <t>Отличная, мощная мясорубка. Железный корпус мясорубки придает уверенности в использовании, то есть не боишься если надавишь она развалится(что очень часто бывает при использовании мясорубок с пластиковым корпусом). А со шнековой соковыжималкой (которую я купила отдельно отдельно в этом магазине) она становится настоящим универсальным солдатом на нашей кухне! Плюс муж докупил кубикорезку и теперь готовка салата занимает раза в три меньше времени! Покупкой довольна, рекомендую!!!!</t>
  </si>
  <si>
    <t>Открывалка хорошая. Ножеточка слабенькая. Заусенцев конечно нет, но и банку на стол не ставить. Вполне достойный девайс.</t>
  </si>
  <si>
    <t>Классная вещь, очень удобная! Рубашка, носки как новые, но китайская сборка - через неделю не работает - отказалась включаться. Решил не менять, а посмотреть, что с ней. Вскрыл моторчик - отгорела щётка из - за некачественной сборки. Выгнул её нормально, собрал и удивился работе. Мощность моторчика выросла. Т.е. щётка едва касалась и мощность терялась на плохом контакте. Советую не повторять мой опыт, а просто идти и заменять. Я просто очень любопытный.</t>
  </si>
  <si>
    <t>2279</t>
  </si>
  <si>
    <t>За месяц эксплуатации тоже стерлись обозначения на рукоятке регулировки - неудобно, но терпимо, плитка же греет... Спустя еще два месяца перестал греть большой "блин" - лампа загорается, а комфорка не работает.</t>
  </si>
  <si>
    <t>637</t>
  </si>
  <si>
    <t>Вот уже 3 недели пользуюсь  с радостью. Железо подобрано отлично хороший дизайн и малые габариты  то,  что и искал.  Windows 7 пока не понял его новизны! Есть желание поменять  на XP, но как пишет Денис от 30.10.2009 увы не получится.   Из недостатков отмечаю - выдвижная каретка DVD привода достаточно хлипкое при вертикальном исполнении. Кнопка ВКЛ стала срабатывать с 2 -3 нажатия. Требование к охлаждению как мне кажется очень высокие  вентиляторов своих не хватает,  сильно страдает видеокарта от перегрева, пропадает на 2-3 с  видеосигнал на монитор, приходится ставить блок поближе к открытому окну.Видеокарта видимо не имеет своего  вентилятора - жаль.   В остальном все замечательно, за такую цену, с такой начинкой  просто удачная покупка</t>
  </si>
  <si>
    <t>Отличный водонагреватель, купил по акции на летнее время отключение воды самое то,  шнур питая в комплекте подключил за 5 минут.</t>
  </si>
  <si>
    <t>Купили вчера.Очень довольны.Отжимает на ура.Яблоки,япельсина,грейпфрут жмёт по счёту раз.</t>
  </si>
  <si>
    <t>В семье появился маленький ребенок и мы решили приобрести мясорубку для приготовления фарша. Долго выбирали, читали отзывы на форумах и остановились на этой. К тому же консультант в магазине посоветовал нам электромясорубку именно этой фирмы, и мы НЕ ОШИБЛИСЬ С ВЫБОРОМ! Отличная! Работает не шумно (а нам это очень важно, чтобы не разбудить малыша во время сна). Фарш не застревает и не наматывается на спираль! в очистке тоже нет претензий! В общем потраченных денег совсем не жалко.</t>
  </si>
  <si>
    <t>Купила в прошлом году летом, просто супер термос- отвечает на все сто!Хочу и еще , но большую!</t>
  </si>
  <si>
    <t>2067</t>
  </si>
  <si>
    <t>Очень долго выбирала, но остановилась на этом, купила 7 дней назад. Утюжок удобный, легкий с длинным шнуром(что очень помогает), хоть нет отдельной Ионизации, но благодаря хорошему покрытию,волосы сразу становятся шелковистыми.Я выпрямляю на 150 градусах и волосы все-равно становятся прямыми и блестящими, и естественно объемными.  Не могу сказать , что это самый лучший, но если купите, то не пожалеете!</t>
  </si>
  <si>
    <t>Замечательная соковыжималка. Очень довольная, что выбор пал именно на нее. Сок отличный, жмых сухой. Разбирается и чиститься легко. Оценка +5.</t>
  </si>
  <si>
    <t>3090</t>
  </si>
  <si>
    <t>Пользуюсь телефоном почти 2 года. Не нарадуюсь покупке. Больше всего понравился в черном цвете. Замечаний и претензий в работе не имею вообще никаких. 4 раза роняла телефон на асфальт, благодаря металлическому корпусу выжил и продолжает отлично работать. Клавиатура очень удобная, но имеет один недостаток - мелкие буквы. При минус 32 зимой пыталась глючить батарея, но уже при минус 20 с ней это прошло. Очень простой, функциональный, стильный телефон.</t>
  </si>
  <si>
    <t>Приобрел вчера это чудО, установил фиксированно согласно инструкции, охлаждал комнату 20м2 всю ночь температура упала с 29 до 26 градусов. Нет направления потока воздуха. В спецификации написали всякую лишнюю чепуху. Мой совет НЕ БРАТЬ!!!</t>
  </si>
  <si>
    <t>Классный телефон,удобный и компактный</t>
  </si>
  <si>
    <t>Вентилятор очень удобный. За счет своего ухватывающего крепления устанавливается куда угодно на столы и т.д. Сидит крепко, но можно и просто на подставку поставить. По горизонтали вертится во все стороны, по вертикали немного вверх или вниз. Работает довольно шумно, особенно хорошо слышно перед ним и за ним. Для мощности в 25 ватт дует отлично</t>
  </si>
  <si>
    <t>Довольны, но действительно плохо, что не видно время до окончания стирки. Была раньше Electrolux 5,5 кг., через 6,5 лет отломился шток на барабане из-за нещадного использования ( по 5 стирок в день), все остальное в рабочем состоянии. Больное место у этих машин подшипники барабана, поэтому новую сильно перегружать не будем.Р аньше на машине спал кот, теперь из-за дисплея боимся пускать)</t>
  </si>
  <si>
    <t>Тостер сам работает на отлично, но провод в нем жутко неудобный. жаль, что не проверили сразу в магазине, а открыли спустя 2 недели. на ровной поверхности, получается, не стоит. , не гнется, не убирается ни куда. измучилась вся уже с ним.</t>
  </si>
  <si>
    <t>1076</t>
  </si>
  <si>
    <t>Приобрели чаиник tefel 762540,и О ужас!!! Крышка отвалилась на 4 день,а вскоре в углах возле фильтра появилась ржавчина!Это при том ,что прошлая модель чайника tefal нам прослужила 12 лет,чайник был французом, а этот китаец.Друзья,покупать его не советую</t>
  </si>
  <si>
    <t>Всем доволен!!!Думал буду долго разбираться с сенсорными кнопками,но привык за первый час обращения с аппаратом!!  Все устраивает...</t>
  </si>
  <si>
    <t>Купил недавно этот ноутбук в целом доволен. Но встал вопрос, хочу поставить второй HDD, в документации по этому поводу ничего не нашел. В интернете нашел, что надо купить для HDD салазки, но никак не могу их найти!</t>
  </si>
  <si>
    <t>плоский,полная комплектация,долго остывает</t>
  </si>
  <si>
    <t>Выбрали эту модель из-за интересной комплектации, заманчивой стоимости, да и дизайн миленький. Консультант так же предложил нам генератор холода-небольшой пакетик с синей жижей, по его словам облегчающий страдания. Дома опробовала все три вещички. Ждала адской боли на ногах. Но, как ни странно, лишь легкое покалывание, а после 5 минут вообще привыкла, генератор холода тоже оказался кстати. Аппарату естественно нужно помогать, чуть оттягивать кожу как написано в инструкции, иначе не захватывает волоски. Зона бикини обрабатывается терпимо, а вот подмышки больно. Пинцет с фонариком-не совсем поняла отличие от обычного, но удобно брать с собой. Для первого эпилятора супер! Рекомендую!</t>
  </si>
  <si>
    <t>Начитавшись отзывов о данной модели и испугавшись их, а именно того, что данная модель шумит, гудит и т.п., я все-таки купила эту модель сплит-системы, поскольку кроме всего прочего еще и в средствах я была ограничена. Скажу сразу - все страхи мои были напрасными. Установили мы его на площадь 20,5 квадратов в очень солнечной, но душной комнате. Сейчас апрель, а у нас уже дышать было нечем. Теперь проблема решена. Кондиционер работает в разных режимах, внутренний блок, конечно, не совсем бесшумный, бывают и тише, но за эти деньги, я считаю, нормально. Внешний блок ни нам, ни соседям не мешает. Установили его на резинки, которые были в комплекте. Когда в помещении становится прохладно, я ставлю на режим вентилятора и у нас в комнате ощущение свежести и только что проветренной комнаты, что при грудном ребенке, я считаю, очень хорошо. Вобщем недостатков в работе кондиционера я пока не нашла, посмотрим, что будет дальше. P.S. Всем советую устанавливать кондиционер до ремонта, чтобы трассы были вмонтированы в стену, а то вот эта белая коробочка длиной во всю комнату все-таки раздражает. Теперь она будет жить с нами.</t>
  </si>
  <si>
    <t>отличный саб...стоит в 4-ке прокачивает машину хорошо...советую брать...</t>
  </si>
  <si>
    <t>Сони - это Сони. Например, LG и рядом не стоит (есть с чем сравнивать. Мягкое, приятное изображение. В сравнении с Сони в 52", который стоит больше 80 000р - радует цена</t>
  </si>
  <si>
    <t>тлефончик отличнейший   только при показе видео   немного виснет(как я понял стандартный WM сразу легче заменить на Core или самый лучший который я пробывал TCPMP плеер)  у меня с 8 гиговой флешкой   как мне сказали агрегат с тв выходом,но к сожелению самого тв кабеля не могу найти по всему городу бчто обидно.  Сэнсоры немного начинают барахлить жмеш на одно поле б  а он показывает совесем другое  а так даволен машинкой</t>
  </si>
  <si>
    <t>Чайнику уже года 3? до сих пор вода со вкусом пластика, вроде тефаль, а качество плохое. Разочаровал этот чайник!</t>
  </si>
  <si>
    <t>Мне его подарили на день рождения. Я конечно обрадовалась - такой классный утюжок. Рано радовалась - мои волосы он вообще не выпрямляет, а через полгода он вообще сломался. вот такая радость</t>
  </si>
  <si>
    <t>Пользуюсь таким триммером. Когда выбирал, спрашивал совета у своего парикмахера, она мне этот посоветовала. Пластик хороший, насадки одеваются и держатся нормально. Дополнительных аксессуаров много, но пользуюсь я всего двумя насадками для носа и вторая для бороды, остальные спрятал как для меня они лишние. Цена для такой модели и комплектации приемлемая.</t>
  </si>
  <si>
    <t xml:space="preserve">очень нравится </t>
  </si>
  <si>
    <t>вытяжка не плохая, работает хорошо, тянет, привда шумит, но так и должно быть))) единственное, что не "порадовало" так это то, что глубина вытяжки меньше навесных шкафов ИКЕА, сантиметров на 5. пришлось немного помудрить при установке.</t>
  </si>
  <si>
    <t>звук неплохой</t>
  </si>
  <si>
    <t>Дизайн, пожаробезопасность</t>
  </si>
  <si>
    <t>Дизайн, покрытие.</t>
  </si>
  <si>
    <t>Первый фильм был намного смешнее и интересней.</t>
  </si>
  <si>
    <t>Купила год назад. Пользуюсь с удовольствием. Удобна вместительная съёмная чаша. Смолол, вытряхнул, даже помыть можно. И кисточка удобная. Измельчаю кофе, сахар, даже скорлупу яичную для огорода и травы.</t>
  </si>
  <si>
    <t>Проработал примерно неделю с перерывами, потом стал протекать полностью. Через полчаса-час вся вода вытекает.</t>
  </si>
  <si>
    <t>1.5 раз вместе с браком</t>
  </si>
  <si>
    <t>Отличный утюг! Пользуюсь уже 2 года в поездках и не только (очень удобно для детской одежды), это полноценный утюг только меньшего размера.</t>
  </si>
  <si>
    <t>Отличный миксер, потрясающе взбивает, как тесто так и белки,я очень довольна.</t>
  </si>
  <si>
    <t>Купил кондер 2 мес назад%%% вещь супер! за 8 т,р, охлаждает квартиру в 65 кв,м, просто офигенно!!! всем рекомендую!!</t>
  </si>
  <si>
    <t>774</t>
  </si>
  <si>
    <t>Плеер по звуку отличный. Дизайн,вес,толщина все на хорошем уровне. У меня сенсорные кнопки работают хорошо,ни каких-либо глюков ни когда не было. НО: 1)на диске который идет вместе с плеером видео конвертер не со всеми видео файлами работает-поэтому лучше сразу искать в интернете аналогичный.   2)вход для наушников сломался через 3-4 месяца.   3) один наушник на максимальной  громкости трещит.  В остальном все нравиться,все устраивает. Моя оценка аппарату 4.</t>
  </si>
  <si>
    <t>Чайник худо-бедно проработал 2,5 года.  Дизайн классный, но жена устала оттирать пятна на нержавейки.  У меня было по немногу от всех предыдущих отзывов: жуткий треск, сильный нагрев поверхности, облезла ручка, отказ отключаться. Раз зашёл на кухню, а там ужас: всё в пару крышка сама открылась, весь гарнитур и стена в каплях воды. Короче, в итоге у него рассыпалось всё пластиковое наполнение крышки, а главное - сам язычок (защёлка). Ремонтировать никто не берётся, сейчас вот созвонился с СЦ, попробую заказать новую крышку в сборе. Хоть на работу унесу его - дорогущий, денег жалко((</t>
  </si>
  <si>
    <t>Аха тихий мощный ,надежный...  на деле... унылый обычный контейнерный ...  минусы  воняет , не почистить после уборки... второй контейнер (наматывается шерсть кошки)  хепа 14.... под вопросом сколько раз можно мыть...это же бумага...я в машине меняю каждый год</t>
  </si>
  <si>
    <t>Хороший чайник, без всяких наворотов. Хорошо,что крышка чайника открывается вручную, а не с помощью кнопки (которая с течением времени выходит из строя на многих чайниках). Единственный недостаток- нет индикатора работы и 1.5 л некоторым покажется маловато.</t>
  </si>
  <si>
    <t>Легко мыть. Готовит вкусные сэндвичи</t>
  </si>
  <si>
    <t>Отличная рация,Качественный разговор,проверил в городе при плотной застройке из дома в дом на 2 км ,но только надо подойти к окну.</t>
  </si>
  <si>
    <t>Компьютер регулярно зависает, в играх, и в кино. О каком качестве тут можно говорить? твёрдая единица</t>
  </si>
  <si>
    <t>Поставил сегодня в калину универсал, честно такой прокачки не ожидал, бас регулируется от жёсткого до мягкого. По началу гудел, убавил почти но 0 басс буст. Посмотрим сколько прослужит, комплектом на 150% доволен</t>
  </si>
  <si>
    <t>Машинка очень нравиться! Правда, как и большинство не прочла с первого раза инструкцию, подключили.... Гремела ужасно... Даже сначала разочаровалась. Но всё оказалась банально просто, мы при установке не скрутили транспортировочные болты! Всё сделали, и вуаля... Работает тихо. не машинка, а золото))) Приобрела в М.видео через интернет)  p.s.: Внимательно читайте инструкцию перед установкой!!!!</t>
  </si>
  <si>
    <t>Этот пылесос ерунда.срабатывает защита от перегрева и он не всасывает вообще.деньги на ветер</t>
  </si>
  <si>
    <t>Отличный утюг, много функций, удобно в руке лежит, оптимальный вес, гладит отлично.Рекомендую всем.</t>
  </si>
  <si>
    <t>телефон - то, что надо, правда может тормозить, но это не беда. орет громко, а если в эквалайзере настроить на всю громкость оглохнуть можно, ну камера плохая, ну никогда нельзя считать на телефоне камеру камерой, он мне очень сильно понравился, берите и покупайте обязательно</t>
  </si>
  <si>
    <t>2016-09-11</t>
  </si>
  <si>
    <t>Плюс и оценку 5 могу поставить только консультанту, который "втюхал" мне этот утюг (приходил за другой моделью другой фирмы, предварительно посмотрев отзывы в интернете). В итоге... "лохонули" меня... противокапельная система не работает - постоянно остаются пятна воды на одежде во время глажки, а вчера утюг стал оставлять желтые пятна на белых вещах... думаю от водя, хотя продавец-консультант уверял о встроенном фильтре! Гладит достойно только на максимальном режиме и при полном отсеке с водой! Подводя итог: своих денег не стоит, однозначно не советую приобретать!</t>
  </si>
  <si>
    <t>телевизор отличный!у меня к нему притензий нет .всё показывает и читает))))).мы с семьёй очень рады.берите покупайте не пожалеете ЖК-телевизор 42"Philips 42 PFL 8694H|12 !!!не меньше восьмой серии!!!спасибо!</t>
  </si>
  <si>
    <t>Фен мне понравился и внешне и по функциям, из недостатков - тяжеловат, шнур коротковат, и не слишком удобная ручка из-за расположения фронтальных кнопок. Но я не жалею, что купила этот фен.</t>
  </si>
  <si>
    <t>Увлажняет наУра!!!</t>
  </si>
  <si>
    <t>К подобным приборам относился отрицательно, зачем «исче» один не нужный предмет на кухне и торчащим проводом.  Сомнения моментально развеялись, когда жена приготовила Сэндвич «естественно не один». Кусочек колбаски с сыром и кусочком огурца запеченный между двумя ломтиками хлеба вызвал во мне бурю положительных эмоций. Этот прибор нужен он готовит не только сэндвич, но и венские вафли, тоже очень вкусные. Полистав в  интернете, я нашел приготовления яичницы на этом чудо приборе.  Французская идея сделанная в Китае, сборка кстати очень качественная. Очень простой в использовании, легко моются сменные формы. Рекомендую.</t>
  </si>
  <si>
    <t>Фронтальные колонки сгорели через 1 мес. за эти деньги легче купить  авто акустику и кинуть провода на колонки за 500р. Саб вобще не качает, можно сразу на свалку ехать</t>
  </si>
  <si>
    <t>1675</t>
  </si>
  <si>
    <t>ТОРМОЗИТ ВИДЕО?  а вы не пробовали конвентировать? только полоумный будет кидать фильмы размером больще 700мб, без конвертирования. Сжимаете видео под экран, и памяти меньше, и не тормозит. Вы бы еще Блюрэй качества фильмы закидывали...  Купил зарядное устройство под USB и радуюсь, только бы зарядки побольше бы хватало...)</t>
  </si>
  <si>
    <t>Этот комп просто шедевр, а за такую цену, любой школьник будет рад)  материнка только не очень и 32х система в остальном замечательно, да и видеокарта стоит которая только отдельно пойдет в продажу в декабре</t>
  </si>
  <si>
    <t>При первом включении ничего не включилось. Созвонился с магазином завтра буду менять.</t>
  </si>
  <si>
    <t>прежде чем купить перелопатил множество интернет ресурсов о Мобильных ПК, можно уверенно сказать по цене Компьютер!!  Из недостатков тихий звук(субъективное мнение), отсутствие блю туса.</t>
  </si>
  <si>
    <t>купил с неделю назад, по акции СТОП РАСПРОДАЖА, обошелся в 36 000, чему я очень был рад, т.к. давно присматривался к этой модели, но цена в 45 000 отпугивала.  впечатления от покупки - супер, эфир ловит отлично, про ДВД вообще не говорю )  то что на многих сайтах пишут про задумчивость при переключнии каналов - есть такое, секунды 3... но у меня и на старом ЭЛТ LG было секунды 2, так что кто планирует покупать - не обращайте внимания на эту мелочь!</t>
  </si>
  <si>
    <t>для игры вдвоём нужна одна камера и два джостика или две камеры и два джостика?</t>
  </si>
  <si>
    <t>Плюсы:  1.Изображение при просмотре DVD и Full HD просто отпад.  2.Без проблем видит жесткий диск на 500гб. И быстро считывает как фотографии так музыку и фильмы (у меня винт WD my book). MKV 25 гигов прочитал без тормозов.  3.Подставка крутится - очень удобно, особенно когда надо подключить или отключить устройства, не надо ворочать сам телик, повернул и полный доступ к задней панели.  4. Дизайн - само собой  5. При просмотре телевизионных каналов или фильмов, на внешних проигрывателях, например, обычный DVD плеер, изображение преобразуется под формат телевизора. Даже советские мультики в формате 4:3 с DVD плеера преобразуются без проблем в 16:9, что самое приятное, достаточно гармонично. Не возникает ощущения, что картинка сплющена.  6. При просмотре фильма через обычный DVD плеер, без поддержки HDMI (по кабелю SCART) особой разницы не заметно по сравнению с просмотром этого же диска через HDMI, так что можно не "парится" и оставить старый плеер, так как все равно основное можно смотреть через винт, как обычные DVD рипы так и HD фильмы.   7. Когда появится цифровое кабельное HD телевидение (говорят в 10,11 году будет распространено) можно будет без доп. оборудования подключить телик, так как есть разъем под локалку. А HD телевидение будет по локалке приходить.    Минусы:    1. Если хотите посмотреть MKV с DTS дорожкой через съемный винт, используя встроенный плеер телика - забудьте об этом. В стерео не преобразует, в итоге: картинка есть, звука нет. Если вывести звук по оптике с телика на ресивер - результат тот же - фиг. Варианты решения:   - купить меди плеер типа WD уже к нему подключить винт, с медиаплеера по оптике вывести на ресивер.  - купить медиаплеер с декодером DTS, по моему такие уже есть (Egreat).   - купить blu-ray проигрыватель (куча денег, плюс растраты на диски) кому как. Я люблю получше, да подешевле.  2. Фильмы с видеокодеком VC1 не читает, с VOBами другая проблема - не видит структуры. То есть, нет меню как на DVD диске и все вобы надо перевключать, чтобы найти нужный – не удобно.   3. Нельзя изменить формат изображения при просмотре с винта. Если в источнике фильм 4:3, то увы, смотреть только в 4:3, а по краям будут черные вертикальные полосы. В этом случае лучше посмотреть такой фильм на диске, тогда телик растянет все как надо.  4. Звук телика слабоват. Если в магазе сказали, что там типа, специальная система, которая имитирует объемный звук 5.1, не думайте что можно обойтись хотя бы без 2.1. системы. Иначе спецэффекты не прочувствуйте.  5. Аналоговое телевидение показывает плоховато (на обычном ламповом лучше кажется), надо ждать цифру, у телика есть встроенный цифровой тв тюнер. Ну либо HD телевидение, как писал выше.    Лучше выбора за эти деньги не найти. Кто придает значение бренду, лучше забудьте об этих предрассудках и, в итоге, не пожалеете. Я тоже думал куплю Филипс, но все внимательно изучив –однозначно кореец лучше (или россиянин, собирают ведь в россии)</t>
  </si>
  <si>
    <t>2013-08-22</t>
  </si>
  <si>
    <t>Всем привет! Машинка у меня месяц, моет просто супер. с момента как у меня появилось это чудо, посуду руками не мыла ни разу (и не только потому что я ленивая :)),отмывает все прекрасно кастрюли сковородки, противен после жарки мяска в духовке. Я в восторге, появилось больше свободного времени. Запускаю обычно на ночь, использую таблетки финиш. Была проблема с сушкой посуды, оставались капельки, купила кондиционер отрегулировала по инструкции и теперь все прекрасно высушивает. Так же не хватает индикатора с временем окончания, но это можно расценивать как плюс. меньше автоматики, меньше шансов поломки.))))</t>
  </si>
  <si>
    <t>После первого использования при мытье чуть тёплой сковороды дно деформировалось.</t>
  </si>
  <si>
    <t>посудомойку BEKO я купил  теперь я не плескаюсь как дебил  Поел, попил и загрузил  я бог накухне, не дебил    купи и ты себе раба   чтоб радовать себя  чтоб он работал, ты - смотрел  и от радости ***    Щас можно жрать по 30 раз  И не переживать тот час  Что нужно будет отмывать   Раба заставлю я пахать    Посталю я посуду,  засыплю парашок,  и лягу на диван   Пускать газ в потолок.</t>
  </si>
  <si>
    <t>Довольны покупкой! Отлично делает любые коктейли, смуси, колет лёд, а также можно делать рубленный фарш !</t>
  </si>
  <si>
    <t>Оптимальное соотношение цены и качества, удобна в использовании, ничего лишнего, рекомендую</t>
  </si>
  <si>
    <t>Машинка отличная!Стирает хорошо, отжимает отлично!Не много шумновата, но думаю дверь в ванну поставим и шум не будет напрягать.(Живём в новой квартире двери ещё не успели поставить)</t>
  </si>
  <si>
    <t>В принципе этот ресивер хорош за эти деньги! Есть всё! двд воспроизводит хорошо,но загружает долговато,  где-то 5-8сек, также считывает долго диски и флешки. Пульт тупит(может только у меня?),подключил к нему 4 колонки саб, и моник с жпс всё отлично тянет!  регулировок куча! и эквалайзер нормальный! для 5тысяч Р самое то!</t>
  </si>
  <si>
    <t>Не понимаю почему до сих пор никто не написал о главной фишке этого ноута? Той фишки из-за которой его и будут покупать в основном! А именно наличие 3D изображения! Я как в другой мир попал, когда увидел на нем фильмы с 3D. Просто супер! Характеристики то же отличные, игры идут почти все. Но главное - это просмотр фильмов с 3 D)))</t>
  </si>
  <si>
    <t>2202</t>
  </si>
  <si>
    <t>купила в 2011 г. до сих пор работает, работает почти сутками.</t>
  </si>
  <si>
    <t>Важным для меня первоначально была совместимость железа с linux OS. Как же я был рад, когда моя Ubuntu 10.04 встала без сучка, без задоринки! Поэтому и советую этот ноут любителям данной оси.  Главный минус (не значительный), это как было сказано выше контраст. После своего самсунга с матовой матрицей и высоким контрастом, я на второй день понёс этот ноут в магазин, так как посчитал что он с дефектом матрицы...</t>
  </si>
  <si>
    <t>хорошо, что я приобрёл тот, что без всяких пищалок, кряхтелок и других лишних шумов. только если не считать шума работающего кулера и то только после часа игры в Эффект Массы 2 при температуре в комнате 35+ (со звуком можно и не услышать)</t>
  </si>
  <si>
    <t>Не сама выбирала этот пылесос, подарили на тридцатилетие, внешность у этого пылесоса как говорится не моё. Но главное не это! Визжит как резанный! Контейнер моментально забивается мусором, одну комнату пропылесосил и уже чистить - очень неудобно. Думаю надо избавляться и брать обычный с мешками</t>
  </si>
  <si>
    <t>Купил вчера данный телевизор  LG 42 PQ301 R, собирался брать жк на 32, но как-то не сложилось с 32 и взял 42, первое впечатление отличное, всем понравилось, сегодня на форуме нарыл множество инфы про него и мое настроение приподнялось! узнав что можно будет его разлочить, и просматривать с флэшки фильмы, в общем на данную плазму нареканий нет, самый выгодный телевизор полностью соответствует цена качество.  ВСЕМ СОВЕТУЮ!!! УДАЧИ!  НЕЙЧ АЛЕКСАНДР   ПГТ АХТЫРСКИЙ.</t>
  </si>
  <si>
    <t>красивая</t>
  </si>
  <si>
    <t>Купили летом 2012, в новую квартиру, установили лишь весной 2013, не проработала полгода, просто перестав работать...гарантия конечно же закончилась..))не берите!!!</t>
  </si>
  <si>
    <t>Пользуемся таким чайником с 2002года и другие просто не признаём. Дарим при случае и рекомендуем всем. Полтора года назад этот чайник - ветеран (за всё время только раз поменяли кнопку, да сеточка на ситечке порвалась) переехал в общежитие к дочери, а мы, не задумываясь, купили точно такой. Правда, дома я даже растерялась, сразу обратив внимание на отличия не в пользу нового...щели, например. Хотела даже обменять, думала брак. Оказалось, старый произведён в Германии, а новый- в Чехии. К счастью, через некоторое время я перестала это замечать. Рекомендую!</t>
  </si>
  <si>
    <t>Цена, быстрота нагрева, выбор температуры</t>
  </si>
  <si>
    <t>Компактная. Лёгкая в эксплуатации.</t>
  </si>
  <si>
    <t>Увлажнитель отличный. Но проработал 3 года. При аккуратном использовании, своевременной очистке и смене картриджа ежегодно, стоимость которого 800 рублей. Ремонт дорогой, закончился срок службы мембраны, по словам сервисного центра, частая причина.</t>
  </si>
  <si>
    <t>Телефон в принципе неплохой, единственный и самый большой минус, это слабый уровень сигнала сотовой сети. За сутки с объемом звонков примерно в 50 штук за 8 часов, принимаю около 4 звонков.</t>
  </si>
  <si>
    <t>Вещь очень хорошая, но не доработанная. Пользуемся этими часами уже 2 года и каждые пол года меняем из-за перегарающей проекции. Благо Мвидео меняет без проблем. Вот четвертые перегорели, не знаем на что менять, очень уж все удобно в Орнгоне, но не долговечно.</t>
  </si>
  <si>
    <t>Приобрел год назад. Радости не было предела: все что нужно, да еще и "немецкая" (на дне-то "made in Germani", а реально - где-то в Китае!!!).  Холил, лелеял...  Прошел год, и радость сменилась огорчением - больше не работает.  Ремонт не рентабелен - от ~300р. до ~600р. при начальной цене 1990р.  "Китай" неремонтопригоден априори!  Хотя кому-как...</t>
  </si>
  <si>
    <t>4 года эсплуатации - без нареканий!  Ниразу не размораживался! Продукты в морозильной камере не обмерзают и не примерзают.    Один недостаток - бак для слива воды сзади и для этого приходится отодвигать холодильник...</t>
  </si>
  <si>
    <t>Штука не плохая, особенно для невысоких (165см) людей.  Классно расслабляет и спину и шею. Подогрев тоже не лишний. Используем когда сидим за компом.  Единственный главный минус- слишком шумный.</t>
  </si>
  <si>
    <t>Это гламурные подростки, привыкшие к смартфонам Nokia, ругают Philips. А на самом деле он - суперский телефон! Тем сильнее его начинаешь ценить, чем больше видишь вокруг финских побрякушек.  Главные достоинства: очень долгая батарея, хороший экран, супер дизайн, отменное качество сборки, камера с автофокусом.   Единственный недостаток, который напрягает - очень маркий корпус, но к этому в конце-концов привыкаешь.  Купил его пару дней назад и - не нарадуюсь!!! Телефон для тех, кто берёт аппарат всерьёз и надолго!!))</t>
  </si>
  <si>
    <t>пластик очень хрупкий,щетка для сухой уборки пола сломалась в первый день,остальные жутко неудобные.колеса никакие,даже через провод переехать это убожество не может.в общем никому не советую</t>
  </si>
  <si>
    <t>Эти наушники у меня уже лет 6-7 и они до сих пор работают как новые! Звук чистый, басы на высоте, использую их дома - музыка, фильмы, игры, - эти наушники подходят для всего) в общем, всем советую, соотношение цены и качества практически идеальное, вот собираюсь другу на др подарить.</t>
  </si>
  <si>
    <t>Легкий фильм для молодежи. После его просмотра я еще долго улыбалась. Подходит для девичника или когда нужно поднять настроение.</t>
  </si>
  <si>
    <t>Это супер телефон с одними +++++++.У меня пока его нет,но у моих друзей есть этот супер телефон.Надеюсь в скором времени я куплю его!Это СУПЕР телефон!</t>
  </si>
  <si>
    <t>Купила для себя на накопившиеся бонусы. Попыталась обработать руки и ноги, двигатель вообще никакой, не тратьте деньги.</t>
  </si>
  <si>
    <t>Сила всасывания</t>
  </si>
  <si>
    <t>Эпилятор подарили мне на день рождения, очень прост в использовании. Работает от сети, в комплекте есть щеточка для чистки. За такие деньги очень хорошая вещь!!!</t>
  </si>
  <si>
    <t>Советую всем...самый лучший плеер)))звук на 5, картинка на 5+,дизайн красивый, тонкий,легкий, удобный,наушники с ним хорошие идут...хорошие басы...конечно дороговат, но зато надолго=))))я не ожидала такого и батарейка очень хорошая=)))тут нету записи,радио. В основном это все и не нужно, потому что фирма солидная и если брать плеер, то хороший!!!!Всем советую=))))</t>
  </si>
  <si>
    <t>2017-04-02</t>
  </si>
  <si>
    <t>Отличная пароварка. Несколько блюд можно готовить сразу, рис получается рассыпчатый. Режим поддержания приготовленных блюд горячими очень удобен, так что кто хочет перейти на здоровую пищу, смело покупайте эту модель!</t>
  </si>
  <si>
    <t>В комплект входит DRS-5000 - это ресивер MPEG2, а сейчас в Триколоре есть каналы, идущие в MPEG4 пакет "Супер Оптимум" (это около 24 канала). Т.е. с этим ресивером их смотреть не будешь. Останется только 34 канала пакета "Оптимум". Зато, у этого ресивера есть ВЧ-выход, а у новых моделей, которые идут после него, ВЧ-выхода уже нет (придется покупать дополнительно модулятор, если хотите смотреть и на кухне, например). Так что, каждый выбирает под себя.</t>
  </si>
  <si>
    <t>Пользуюсь такой уже 3 года. Подходит для любых целей и жарить, и варить, и тушить, и запекать.    Ничего не пригорает и готовится быстро. Очень удобны силиконовые ручки-накладки и крышку снять и кастрюлю достать.  Царапин и сколов не появилось, пользуюсь бамбуковыми лопатками. Подходит и для плиты и для духовки.   Это моя любимая кастрюля-сковорода-жаровня!</t>
  </si>
  <si>
    <t>Купил себе недавно эту плиту, доволен</t>
  </si>
  <si>
    <t>Выберали  машинку  маме  долго!смотрели  отзовы ,консультировались  в  м  видио и  наконец  выбрали!после  двух  месяцев  работы  заметили  что  машинка почти совсем  воду  не  набирает !хватает  только чтобы  намочить  белье!проверили  всю  подводку,все  в  норме!кто  нибудь  сталкивался  с  такой  проблемой?подскажите!что  делать!очень растроила эта  покупка...</t>
  </si>
  <si>
    <t>Отличный выпрямитель удобный и хорошо справляется со своей работой!!! Волосы после ионов реально блестят!!!  Уже года 3 исправно работает!!!!</t>
  </si>
  <si>
    <t>А подсскажите пожалуйста какая видиокарта лучше GeForce G240M или Radeon HD 5650????заранее спасибО!)))</t>
  </si>
  <si>
    <t>Всем привет. Купил это наушники час назад. =) Померял в магазине, показалось немного необычно. Купил. Сейчас уже привык. =) Очень удобно лежал провода. Обычно меня раздражало в обычных наушниках что провода чешут щеки. Тут про провода можно вообще забыть. Звук отличный. =) Бас сильный. С непривычки даже немного устаешь. =) Единственное, что материалы не внушают доверия, но надеюсь всё будет отлично. =)</t>
  </si>
  <si>
    <t>плеер офигительный за такие деньги лучше не найдете, пользуюсь уже месяц. Глюков нет, ТВ показывает, AVI прекрасно идет и музыку хорошо долбит. очень удобный только вот подсветки на клаве нет. В общем я поражен, не сомневайтесь, покупайте.</t>
  </si>
  <si>
    <t>Тяжелая, громоздкая, кофе после помола с крышки сыплется. На крышку надо со зверской силой нажимать. До мелкого помогла долго молоть. Производителей и продавца, мне её посоветовавшего,надо приговорить ей пользоваться пожизненно, чтоб дольше мучилась. Гадость редкая.</t>
  </si>
  <si>
    <t>1841</t>
  </si>
  <si>
    <t>Пользуюсь полгода. Искала специально небольшой, в однушку.   Из плюсов - удобно трубка ставится, в старом всегда падала (мне на ноги и на кота). Мощность вполне себе - к ковру присасывается. Трубка внутри с серебром - то, что воздух хоть как-то очищается (а там еще и фильтры), очень радует.</t>
  </si>
  <si>
    <t>Недавно приобрела этот мобильный кондиционер и приятно удивилась, во-первых, низкий уровень, во-вторых, интересный дизайн, занимает немного места и хорошо охлаждает в жару.</t>
  </si>
  <si>
    <t>Чайник в использовании около двух лет. Плюсы - работает без проблем,  выключается, если снять с подставки (кнопка отщелкивается),внешний вид (дизайн). Минусы - очень шумный, особенно когда внутри накипь, облезла обрезиненная ручка (осталась черной, но следы перехода где есть резина, а где нет видны)</t>
  </si>
  <si>
    <t>Не режут слух, можно менять направление звука, шелк,цена.</t>
  </si>
  <si>
    <t>Отличная вещь под отпуск. Лежу на шезлонге и неспешно полирую ногти. До чего техника дошла )) На простую обработку хватает и насадок, и мощности. Мне им очень удобно управляться, и в чемодане не мешается</t>
  </si>
  <si>
    <t>Никаких нареканий нет. Уже 3 года меня радует. Пережил со мной  переезд и  ремонт, дома есть животные, со всем справляется без проблем. Когда стал выключаться, хотела идти и покупать такой же, но, случайно на сайте подвернулся сменный фильтр, стоил около 100р, купила, поменяла, и он опять как новенький. Очень его люблю.</t>
  </si>
  <si>
    <t>Давно ждал!!! Купил неделю назад!!! Телефон просто супер!!! Нереальный функционал за вполне реальные деньги. Отсутствуют почти все ненужности))). Всем рекомендую!!!</t>
  </si>
  <si>
    <t>Работает 2-ой год постоянно,нареканий нет, отличный аппарат. Вот только после отключения электричества, часы останавливаются и после возобновления подачи, часы начинают отсчёт со времени отключения, приходится подстраивать, но это, я думаю, не минус большой.</t>
  </si>
  <si>
    <t>2014-08-15</t>
  </si>
  <si>
    <t>Единственный минус, но для меня оказался на значительным, что не удобно переключаться на холодный режим (который вообще не холодный), зато эффект от укладки оказался просто великолепным, волосы даже от влажности не стали пушиться, а остались такими же гладкими и лежащими как надо было мне, без всякого лака и прочих средств для укладки. Щетка, которая крутится значительно сократила время укладки.</t>
  </si>
  <si>
    <t>1507</t>
  </si>
  <si>
    <t>В игру бессмысленно играть если вы не знаете английского, это как с гта 4 на английском. Такую игру в моем понимании нельзя считать полноценным и законченным продуктом и соответственно авторские права на нее не должны распространяться. Я не для того приставку покупал, чтобы в это дерьмо играть, когда не понимаешь что происходит и что нужно делать, да еще при цене сырого продукта 2600 руб. Уж лучше тогда на xboxе пиратку взять. Некачественные товары не покупаю.</t>
  </si>
  <si>
    <t>Купили стиральную машину Бош, стиркой довольны, но при отжиме появляется сильный стук,при этом стираем 2-3 раза. (Количество оборотов не сильно влияет на этот стук. Когда стирали 1 раз(пробный) без белья стука не было. Стиралка на гарантии МВидео, посмотрим еще на ее поведение и тогда решим что с ней делать, может удастся понять чем вызван стук!</t>
  </si>
  <si>
    <t>2482</t>
  </si>
  <si>
    <t>Народ, не ведитесь. Комп - просто ужОс, цена завышена.  Видеокарта 9600GSO DDR2 переименнованная в GT230.   Проц медленный, хоть и 4 ядра.  Мать бюджетная.  БП на 300 Ватт от очередного Кодеген тут никаким боком, для 9600GSO китайского 300 Ваттника мало, просадки будут и если эта сборка протянет хотя бы 1 год, я уже буду удивлен.</t>
  </si>
  <si>
    <t>2884</t>
  </si>
  <si>
    <t>полюбому шикарная игра!обязательно куплю!только вот когда она повится в тольятти?заранее спасибо!</t>
  </si>
  <si>
    <t>Купила этот выпрямитель и не разу не пожалела! На 160 градусах отлично выпрямляет мои не самые послушные волосы. После использования пряди очень приятные на ощупь. Ужасно рада, что есть возможность изменять температуру нагрева, а не сразу жечь волосы 200 или 220 градусовой температурой. Единственный минус - неудобство нахождения кнопки переключения режимов, но если учесть качество этого товара, то потерпеть можно! Твердая пять Скарлетту!</t>
  </si>
  <si>
    <t>Переход с кнопочного на сенсорный требует некоторого привыкания. Столкнулась с тем что не сразу разобралась как отключать будильник (вчитываться в инструкцию некогда было).  Оказалось до смешного просто. Удобен в женских руках с длин. ногтями. В мвидео сказали что экран реагирует не на тепло, а на нажатие. не знаю, так или нет, но мне это даже лучше, у меня пальцы почти всегда холодные,и зимой уж точно проблем не должно быть тогда.  минус: 1. корпус скользкий, легко выронить из рук; оборотная сторона не имеет защиты от царапин, пользуюсь месяц и уже появились мелкие царапинки-паутинки. Ношу только в чехле!  2. В темноте не определишь где у него верх, где низ - сразу кнопку блокировки не нащупаешь. Нужно вешать ориентир -брелок!   3. Тяжело открывается задняя крышка корпуса, только чем то поддевать, ногтем не получится.  4. Камера слабовата, хорошие фото только при хорошем освещении. Вечером даже со вспышкой получаются зернистые.</t>
  </si>
  <si>
    <t>Этот увлажнитель у нас первый, наша семья очень довольна, а цветы просто зажили новой жизнью. Отлично увлажняет воздух, даже понижает температуру в комнате на пару градусов. Если использовать дистиллированную воду, то не будет белого налета на технике. Всем рекомендую, не пожалеете, очень удобное и простое управление.</t>
  </si>
  <si>
    <t>мощный, идеальный для ламината</t>
  </si>
  <si>
    <t>Прочитал я отзывы, ниже написанные, и скажу следующее. У нас этот чайник более полугода. 1. Шумный - да, но и мощность 2400Вт, если хотите малошумный, берите до 2000Вт и с открытым теном. 2. Насчет запаха пластика, у нас не пахнет. 3. Крышка перестала открываться или закрываться у кого-то, дак я заходил в другой магазин, там изначально крышка зависала на полпути, а тут все отлично работает. Раз на раз не приходится. 4. Насчет нагрева корпуса это верно, металл все-таки, но зато и остывает медленнее чем в пластике. Теперь свой отзыв. Чайник выигрывает больше чем проигрывает перед аналогами. Из минусов это цена очень высокая вот и все.Но когда я искал чайник на кухню ориентировался в 1000р уложиться, по акции, тоже металл корпус, но когда увидел этого красавца, то выгреб все из кошелька))). Ну а теперь о плюсах!!! 1.закипает быстро (фактор начальной температуры воды конечно важен) 2.кнопка включения находится на верху и совмещена с клавишей открывания крышки (у многих моделей кнопка вкл. в низу под ручкой, и привыкать после верхнего выключателя плохо, или же на верху но там две клавиши)очень удобно тут сделано! 3. пластик ручки очень приятен на ощупь, это тоже важно, ведь техника должна радовать в самых мелочах. 4. мерные окна с умом встроены в корпус, думаю это одно из удачных решений производителя. 5. Ну и дизайн, очень оригиналеню Рекомендую все кто любит удобство, красоту и качество.</t>
  </si>
  <si>
    <t>Любимый подарил на 8 марта и очень порадовал! Выбрал сам и не промахнулся!!!Очень хороший утюжок, всем рекомендую. Потом такой же подружке подарили,она тоже в восторге!</t>
  </si>
  <si>
    <t>Вчера купил,отлично играет!!!</t>
  </si>
  <si>
    <t>2268</t>
  </si>
  <si>
    <t>Машинка супер, стрижет мягко, моторчик не вибрирует, очень тихая. Антен не оставляет и лезвия острые, единственное, насадка на ощупь очень хрупкая, нужно быть аккуратнее)</t>
  </si>
  <si>
    <t>мне он очень понравился мне его подарили на день рождение там очень удобно все расположенно особенно клавиши для музыки, мне особенно нравится Наличие модуля Bluetooth,и камеры 1.3 МПикс</t>
  </si>
  <si>
    <t>Купили три месяца назад, в общем чайник не плохой, но заметили иногда когда наливаешь холодную воду и попадаешь на датчик отключения, при первом кипячении он не срабатывает. И если честно он как-то неудобно для мытья чайника торчит (сразу не посмотрели), было бы лучше если он был встроен в крышку.</t>
  </si>
  <si>
    <t>2015-10-28</t>
  </si>
  <si>
    <t>Долга выбирала зубную щетку. Не знала подойдет она мне или нет. С выбором не ошиблась,очень довольна. Даже не ожидала такого результата. Удобная, а самое главное чистит превосходно.</t>
  </si>
  <si>
    <t>Мы купили этот пылесос недавно, и очень довольны)))) моет очень хорошо, гораздо легче и чище помыть им, нежели тереть пол тряпкой! Нужная вещь в доме с маленьким ребенком. Когда пропылесосили стулья я была в ужасе от воды которая осталась в пылесосе!!!! коричневая и с песком!!! и это учитывая что я каждый день делаю уборку! Мебель моет на ура!!!Стулья высохли полностью за 25 мин  недостатки- немного оставляет влагу(это поправимо если после пройтись по полу без подачи воды)   громкий  неудобно собирать(слишком много прикручивать,вставлять)  Моя оценка 5, я довольна!</t>
  </si>
  <si>
    <t>588</t>
  </si>
  <si>
    <t>Стильный, красивый и еще к тому же удобный, хорошо лежит в руке.  Мне лично в нем все нравится и цена дешевая.  Плохие комменты оставляют те, у кого нет этого телефона и не могут они его купить=)))))</t>
  </si>
  <si>
    <t>2015-02-24</t>
  </si>
  <si>
    <t>Магнитолу приобрела в сентябре 2014 г., устанавливали в салоне. Отличная модель. На экран выводится камера заднего вида, думала экран будет маловат, но как показала практика вполне удобный и я вижу все прекрасно, хотя при парковке пользуюсь не так уж и часто, т.к. привычка ориентироваться по зеркалам=) Из минусов, то что действительно изредка скачет звук, но это бывает не так часто и не сильно (на 1 деление +-). А в целом пока довольна!</t>
  </si>
  <si>
    <t>Купил данную модель. Стрижет плохо, после стрижки заметил, что остаются волосы, как антенки. Прошлися еще пару раз, машинка так и не смогла состричь их. Старая машинка, которой уже лет 6 стрижет намного лутше. В общем жалею о потраченных деньгах.</t>
  </si>
  <si>
    <t>1837</t>
  </si>
  <si>
    <t>Купили сегодня с женой такие весы и СРАЗУ ЖЕ РАЗОЧАРОВАЛИСЬ. завтра пойдем менять.  1. У них интересная, но неудобная система включения. Т.е. нельзя просто встать на весы... Нужно сначала аккуратно стукнуть по ним ногой, чтобы активировались сенсоры. К тому же они не всегда включаются сразу.  2. За весь вечер использования каждый раз показывали разный вес. Например: взвесился, показали 69,0; через минуту снова взвесился, показали 69,5; потом 69,2. Это ни в какие ворота не лезет!</t>
  </si>
  <si>
    <t>Купил данный вентилятор месяц назад на работу и домой. Работают оба на максимуме каждый день ,дует супер , на минимальной мощности практически не слышно. Не скрипит не трещит, очень хорошо сделан. Советую!</t>
  </si>
  <si>
    <t>Пользуюсь им неделю. Довольна всем! Яркий дисплей,полноценная клава,легкий,компактный, блютуз. Идеальный вариант для лазанья по инету! До этого был полноразмерный, мощный Асер, но его мощь так и не пригодилась - так как я использую ноутбук только для инета. Заряда батареи хватает всего на 2 часа (но можно купить и дополнительную).  Свои деньги оправдывает полностью!</t>
  </si>
  <si>
    <t>Ожидания не оправдали. 1. Отсутствие внятной инструкции: мелкий шрифт по серой бумаге, отсутствуют иллюстрации,нигде не указ комплект поставки. 2.Неравномерная степень нагрева бигуди; одни - уже нагреты, другие - еще нет. 3. Заколки - безобразные, конструкция явно не продумана.</t>
  </si>
  <si>
    <t>Хорошие щипцы, быстро нагреваются, удобны в использовании, соотношение цена-качество, что надо!</t>
  </si>
  <si>
    <t>Не шумная, стирает замечательно по сравнению с Веко . Для малогабаритной квартиры самое оно-узкая, но вместительная. Покупкой довольны.</t>
  </si>
  <si>
    <t>порадовал металлический корпус, стильно и практично, тонкий и удобный, хорошая яркость и звук, внешне красив, хорошая камера. Единственный минус в прошивке - нельзя по блютузу закачивать контент сразу на карту памяти, хотя услуга такая предлагается в меню!</t>
  </si>
  <si>
    <t>Жена за вечер пол гардероба обработала: довольная жена - удовлетворенный я!</t>
  </si>
  <si>
    <t>Отличный бойлер. Стоит конечно чуть дороже чем обычные, но денег своих однозначно стоит. Я повесил на кухни под самым потолком и не нарадуюсь. Дизайн у него великолепный, и греет очень быстро. Кстати для экономии электричества я делаю так: нагреваю до 70С, а потом просто отключаю его. Полный бак воды остывает около 2 суток.</t>
  </si>
  <si>
    <t>Хорошая весчь, любому чайнегу фору 100 очков даст!  - кастрюля внутренняя цельнометалическая(никакого пластика в кипятке не будет варится который потом вам пить)  - на постоянку 3л кипятка в любое время суток.  - поворотное основание  По конкуренции ему только куллер с 20 литровым бутылем...но там вода не кипятиться, а просто подогрев...  Только пока не отметил еще на сколько он энерго потребление "мое" увеличил, т.к. поддержание и нагрев производится постоянно в режиме ожидания, а функции нагрева и отключения у него нет</t>
  </si>
  <si>
    <t>299</t>
  </si>
  <si>
    <t>2014-09-27</t>
  </si>
  <si>
    <t>Обогреваю им однокомнатную квартиру без межкомнатных дверей. В комнате тепло, даже на минимальном уровне обогрева. Нравится наличие терморегулятора. Обогреватель сам включается и выключается по достижении заданной температуры. Однозначно хорошая вещь.</t>
  </si>
  <si>
    <t>В плане укладки - супер. И объем придаст, и вытянет вьющиеся волосы, и локоны создаст. Прическа держится долго. Время на укладку - минимальное - минут 10-15. Пользуюсь через день уже 5 лет. Без него никуда. Удобно брать с собой в путешествия. дЛя меня он стал просто палочкой выручалочкой.  Одно слабое место - основание провода. Через 2 года интенсивного использования в основании провода стал пропадать контакт, стал работать с перебоями. Потом и вовсе перестал работать. Муж разобрал, припаял...проработал еще около года и снова та же история.   Пыталась перейти на Rowenta и Bosch, вообще не идут не в какое сравнение. Буду покупать такой же Braun.</t>
  </si>
  <si>
    <t>Вчера приобрёл данный аппарат, есть опыт пользования различных кофемолок. Критерии отбора: стальной корпус; минималистичный дизайн; удобство использования; минимальное количество пластиковых деталей и движущихся частей, не высокая стоимость.  Если стереть надпись vitek и написать Bork стоимость возрастёт в 3 раза. Не вижу смысла переплачивать.</t>
  </si>
  <si>
    <t>Чайник приобрели осенью 2009г. Очень понравился дизайн, отсутствовал специфический запах нового чайника. Насчет тихого режима могу сказать, что тихий чайник ровно полминуты с момента включения, затем начинает реветь, как взлетающий самолет, но кипятит быстро. Если включать один из режимов 80, 85 ,90 и т.д. градусов, то, всвязи с постоянными замерами температуры воды, греет гораздо медленнее, чем при кипячении. Но это, я считаю, вообще не минус! Это явление сглаживается удовольствием от возможности выставлять нужную температуру. Через 6,5 лет (!) использования в режиме с ударными нагрузками чайник начал капризничать - перестало срабатывать автоотключение при кипении. Что помогло справиться- отключили на сутки из розетки! И все ОК. В общем, с учетом 7 лет работы, могу сказать, что денег, которые за него отданы, стоит. + восхищение всех, кто видит его впервые, элегантно мягко открывающаяся крышка - прямо как дверь мерса! Приятно! Однозначно рекомендуем, если вы не являетесь сторонником частой смены техники.</t>
  </si>
  <si>
    <t>Я тоже долго думал брать в рассрочку этот ноут или 17 дюймов, но для игр лучше брать именно 15 дюймовый, на которого рассрочки нет((( если для фильмов преимущественно, то 17 дюймовый.</t>
  </si>
  <si>
    <t>Телефон красивый,удобный,громкий! Покупайте и не сомневайтесь!</t>
  </si>
  <si>
    <t>840</t>
  </si>
  <si>
    <t>Отличный, простой в управлении утюг без каких либо наворотов + антипригарное покрытие. Отверстие для залива воды сделано удобно,  закрывается плотно, подтёков ни где нет.   от себя еще отмечу что пользуюсь не обычной водой из под крана, а приобретаю дистиллированную воду в любом авто магазине, от этого ни какой накипи нет!  Так что советую всем кому нужен простой надёжный утюг!</t>
  </si>
  <si>
    <t>1477</t>
  </si>
  <si>
    <t>Отличный телек. Купили под новый год. Отличная картинка. Настройки на высоте. Есть разьемы под СД карту 3 ХДМИ выхода . Очень качественно собран во всех планах. Удобный бронебойный пульт. Синхронизация с ПК путем кабеля ХДМИ супер простая.</t>
  </si>
  <si>
    <t>Отлично и быстро греет воду. Регулировать горячую воду можно потоком воды, т.е. чем сильнее напор воды, тем она прохладнее. На время отключения воды самое то. Занимает мало места и подключается в розетку. Спасибо, магазину.</t>
  </si>
  <si>
    <t>Чайник с виду не плохой, чуток не понравилось, что крышка у него не много хлябает, ну это и понятно цена для качества не велика. Красивая синяя подсветка очень радует глаз, при первом кипячении пахло не понятно чем, хотя воду наливали через фильтр, думаю, что позже запах выветрится.ставлю 5 баллов только из за цены.</t>
  </si>
  <si>
    <t>1228</t>
  </si>
  <si>
    <t>Вообщем нормально звучание и всё такое... Но через год начал виснуть и быстро разряжатся.</t>
  </si>
  <si>
    <t>Через некоторое время после покупки, телефон стал "глючить" пропал уровень сигнала на трубке, хотя работа с базой идёт нормально, индикатор зарядки показывает 1 деление вместо трёх, но и тут тоже всё нормально работает, а раз в 2 недели теряет базу намертво, помогает вынимание аккумуляторов.</t>
  </si>
  <si>
    <t>2491</t>
  </si>
  <si>
    <t>Цена деления у этих весов 200г что не очень удобно, хотя продавец в магазине утверждал что 100г(брал не в этом магазине, а так вроде ничего, пользуюсь уже два года...</t>
  </si>
  <si>
    <t>Перестала функционировать большая комфорка, спустя 8 месяцев службы. Жаль, что чек уже не найти((</t>
  </si>
  <si>
    <t>Очень хотели именно горение, 3 стекла, а толку... стекло огненное, дует горячий воздух при закрытой духовке под панелью управления, свистит вентилятор, обидно.</t>
  </si>
  <si>
    <t>Очень нравится, на удивление всё очень вкусно, самое главное полезно и без жира.</t>
  </si>
  <si>
    <t>991</t>
  </si>
  <si>
    <t>Класс, супруга довольна, в эксплуатации простая, места много, помещается сразу несколько больших кастрюль, таймер на каждой конфорке, вообще замечательно!!!!!!!!</t>
  </si>
  <si>
    <t>Мне понравилась игра))особенно если вдвоём на большом большом экраньчике))</t>
  </si>
  <si>
    <t>Купил вчера данный телевизор!Он просто супер!Много возможностей!Идеальное изображение!</t>
  </si>
  <si>
    <t>Легкая, симпатичная модель, приятная цена, действительно получаешь удовольствие от такой покупки.</t>
  </si>
  <si>
    <t>Набор подходит только для домашнего пользования, мощности конечно не хватает немного...</t>
  </si>
  <si>
    <t>На самом деле там не управление корявое. В начале игры ещё, так сказать, не прокачан персонаж: медленные движения, долгий отклик. Затем движения будут резче, быстрее и полностью отразят движения рук игрока.</t>
  </si>
  <si>
    <t>604</t>
  </si>
  <si>
    <t>Не в коем случае не берите!!!  В этом коммуникаторе всего два плюса:  1. Цена  2. Качество сборки(корпус)Тут претензий нет вообще, сделано все на 5+. В руке сидит отлично, не скрипит, нет никакого люфта. Лишь стилус после 1-1,5 месяца не оч хорошо крепится(но НЕ ВЫПОДАЕТ)  Ну а дальше все и начинается!!!  Аккумулятор при пользовании интернета или аськи держит не больше 5-6 часов.  Подсветка не гаснет как на всех телефонах(в указанное в настройках время) а лишь тускнеет. Выключается лишь перейдя в спящий режим. А при низкой яркости, в тот момент как должна выключиться она ярко мигает и продолжает гореть дальше. Если отключить функцию "включения подсветки при нажатии клавиши или касания экрана" при тойже низкой яркости она вовсе не загорается после того как потускнеет.  Ужасно ловит сигнал сотовой сети (МТС).  Постоянно разрыв связи с интернетом, иной раз вообще не подключается, приходится перезагружать по 2-3 раза.  А за день так вовсе 10 до 15 и более раз пригодится.  Частенько зависает, реагирует только на кнопку выключения, причем подтвердить выключение не получается. Даже нажатие перезагрузки не всегда помогает, приходится внимать аккумулятор!  Поиск спутников GPS занимает от 5 до 10, 15 минут. А может и вовсе не найти, тут как всегда помогает перезагрузка)))  Проигрыватель в спящем режиме не работает!!! можно применять только лишь простую блокировку, а при этом постоянно горит дисплей  Если вдруг отключив его к ПК, вы вспомнили что не все сделали что хотели и решите заново подключить, то в лучшем случае вам придется его перезагрузить в хутшем и ПК тож!!!  Камера отстой полный ее лучше и не включать(нечего себя лишний раз расстраивать)))))  Глупо конечно, но ММС я настроить так и не смог)))) Хоть и на любом другом аппарате для меня это дело 3 минут))  Пользоваться стандартным браузером невозможно, грузит долго, постоянно виснет, тормозит... Даже Опера не очень то помогает(по причинам описанным выше)   Даже драйвера идущие в комплекте не установились ссылаясь на то что у меня ФлешПлеер ниже 8, хоть и стоит 10))))))))))))))))  P.S.  Ну а если по придираться, то и еще с 10 глюков будет.</t>
  </si>
  <si>
    <t>Использование около года, вкус воды лучше чем в пластиковом, осадка нет, тяжелый и закипает долго, но это норма. Самое главное - дольше остается горячим, две чашки в комплекте, отлично вписался в интерьер кухни! Рекомендую.</t>
  </si>
  <si>
    <t>тв классный! жаль, что не читает видео с USB, а так нормально...</t>
  </si>
  <si>
    <t>1996</t>
  </si>
  <si>
    <t>Пользуюсь уже примерно месяц. Порадовала видеокарта. Стандартная Vista слетела на второй день) Поставил семерку, пока без нареканий. В эвересте пишет, что аккумулятор изношен на 12% - это видимо потому, что изначально наслышавшись и начитавшись разного рода статей, стал тренировать аккумулятор. Не стоит разряжать аккумулятор до самого нуля, достаточно доводить до 15-20%, тогда износ будет меньше.</t>
  </si>
  <si>
    <t>Пылик  конечно не для каждодневной уборки, но для тщательной уборки раз в неделю подходит идеально! Советую всем кто пишет тут что он тяжелый (особенно "мужикам") - купить швабру и абонемент в фитнес-центр.</t>
  </si>
  <si>
    <t>Пользуемся уже пол года. Все устраивает - соотношение цена - качество идеальное. Экономичная (очень помогает "интеллект"), не шумная, хорошо отстирывает детские вещи, отлично кипятит (функция "бережное кипячение"). С рождением ребенка проблема стирки отпала сама собой! Рекомендую, достойная модель!</t>
  </si>
  <si>
    <t>Когда я увидела рекламу по телевизору подумала "ой, какой милый выпрямитель, только наверно дорогой". В магазине я просто влюбилась в него. Правда цена маленько кусалась. Купила, не капельки дома не пожалела. Такие деньги НА ЭТОТ выпрямитель потратить можно, и не о чем не сожалеть!</t>
  </si>
  <si>
    <t>1434</t>
  </si>
  <si>
    <t>Неверно указаны нек. параметры. Сетевуха тянет до 300Мбит.с.  802.11n однако.  Работает без проблем, правда у меня до точки доступа расстояние 5-7 метров, через стену.</t>
  </si>
  <si>
    <t>2384</t>
  </si>
  <si>
    <t>игра тем более всего 399 руб стоит 7 раз прошёл самая лучшая игра по моему счету!!!</t>
  </si>
  <si>
    <t>Покупаю его завтра. прочитал все озывы, и вроде с телефоном все впоряде. послезавтра отпишу свои мысли по поводу телефона. наконец узнаю устранили ли этот "популярный" люфт задней крышки и кнопки блокировки)с сенсором вроде все нормально. телефон подорожал, и надо торопится!)</t>
  </si>
  <si>
    <t>Долго выбирал, какой телевизор взять за сумму не более 18000 руб. Остановил свой выбор на Sony KLV-32 S550A Blue и ни капельки не пожалел =) Телевизор за такие деньги очень даже хорошо показывает (в основном смотрю BLU-RAY)телевизионные каналы, конечно, немного подкачали, но я думаю, если поставить спутниковую тарелку, то будет очень даже хорошо!</t>
  </si>
  <si>
    <t>Сухое бритье: ощущения двоякие, жжение и пропуски в области подбородка и кадыка, а в р-не щек ощущение как после массажа и гладкое бритье. Продолжительность процедуры прим 10 мин+_. Приходится делать больше движений нежели станком. В руке сидит отлично. Шум в пределах допустимых значений, но по ночам лучше не экспериментировать)) для первого впечатления-зачет.Посмотрим что будет дальше...</t>
  </si>
  <si>
    <t>За неделю поменяли два подобных экземпляра, первый умер в тот же вечер, а вот второй, бедолага, три дня держался. Первый и последний раз с Супрой связался.</t>
  </si>
  <si>
    <t>Сегодня приобрела этот чайник. Нареканий нет, работает отлично,вода, после второго кипячения, без запаха, очень симпатичная синяя подсветка. Смотрю и радуюсь.</t>
  </si>
  <si>
    <t>Телефон мне нравиться, в начале года купила, всё хорошо, только крышечку потеряла) и ни где не могу найти корпус для него, помогите) где купить корпус?)!!!</t>
  </si>
  <si>
    <t>Долго подбирал подарок маме на юбилей и прочитав данные отзывы решился на данную покупку. В итоге мама не нарадуется этим миксером. Во-первых, работает очень тихо, т.к. венчики не задевают стенки чаши, что встречалось в других моделях ( при покупке сравнивал с другими). Во-вторых, мощности хватает для замешивания любого теста, а в семье у нас очень любит пельмени и разную выпечку. В-третьих, действительно возиться с тестом практически не приходится: все закинул в чашу, поставил таймер и все- он сам замесил тесто. Моя мама в восторге!</t>
  </si>
  <si>
    <t>Покупал для модели ES 3001. Единственный минус для меня - это проблемная замена. Менял сам, пожадничал отнести мастеру и в итоге пришлось промучится. Если не брать это в расчет, то режущий блок отличный. Новый бреет чище чем родной после покупки, волоски не дерет даже длинные. Кожу не царапает. советую.</t>
  </si>
  <si>
    <t>"Упитанный и воспитанный" чайник. Хорошее качество, высокая скорость кипячения, прочный качественный материал! Очень он мне нравится, особенно в работе, в темноте. Такой ночник на кухне со своей подсветкой))</t>
  </si>
  <si>
    <t>Работает больше года,за время активного использования поменяла лишь вторую батарейку-экономия на лицо!</t>
  </si>
  <si>
    <t>Хороший модулятор. Пользуюсь уже месяц ни каких проблем, ни каких помех, читает все устройства (все мои флешки и внешний винт), качество звука конечно посредственное, но вполне терпимое (зато не нужно возить с собой кучу дисков). Помоему мнению хорошее устройство за свои деньги.</t>
  </si>
  <si>
    <t>Из всех стеклянных чайников этот мне понравился больше всего, да и практика показала, что он действительно хорош. На протяжении долгого времени работает безотказно, радует, что вода кипяченая пластиком не начинает отдавать.</t>
  </si>
  <si>
    <t>по началу фен радовал, все было хорошо  но спустя 6 месяцев при правильно эксплуатации (использовался один раз в день для сушки волос) он сгорел и ремонту не подлежит</t>
  </si>
  <si>
    <t>Давно жил без пылесоса (всё руки не доходили, вечно что-то более нужное для быта надо было купить). Купил. Очень неплох, регулировка мощности на ручке - Очень удобно!!!, довольно тихий, куча насадок, насадка для паркета стала штатной ;) , запасной (моющийся) фильтр в комплекте.  Не очень надежно закрепляется контейнер для пыли (впрочем выпасть он не может в силу вертикальной загрузки).    Соотношение цена/качество очень хорошее.</t>
  </si>
  <si>
    <t>Пользуюсь уже больше более месяца и очень доволен, звучание шикарное( особенно когда .flac слушаешь=D)! Но слабые средние частоты. В компе стоит звуковуха из комплекта материнки страйкер 2(боюсь представить что если их подключить к какой нибудь x-fi elite). Громкость очень большая (у меня когда включаю на 1\5(примерно) соседи прибегают жаловаться), а когда в самом магазине консультант включил их на 1\3(примерно) нельзя было самого себя когда кричишь услышать даже(это в их громадном зале то). В общем очень хорошие и качественно сделанные колонки 5+!</t>
  </si>
  <si>
    <t>Хорошая сушилка по доступной цене, ничем не хуже, чем все другие подороже, я довольна.</t>
  </si>
  <si>
    <t>Отличный выпрямитель,приемлимая цена и хорошее качество!</t>
  </si>
  <si>
    <t>Имею возможность сравнивать несколько моделей, потому как у меня их несколько разных.    Этот термопот трудяжка, работает уже 3 года, ни разу не ломался, после нагрева сохраняет тепло за счет терморубашки вокруг колбы. Его можно брать с собой зная что температуру сохранит в дороге примерно часов 8</t>
  </si>
  <si>
    <t>телевизор на самом деле очень прикольный и качество и дизайн! Вчера купили его и поразились, когда привезли домой - он очень большой, в магазине он не так выйгрышно смотрится по сравнению с другими телевизорами! Качество очень хорошее для такого разрешения. вообщем кому нужен просто большой телек, берите и не думайте даже! В нем есть и радио и всякие еще мелочи (с которыми еще не успели разобраться).</t>
  </si>
  <si>
    <t>Друзья посоветовали купить парогенератор Делонги, вот мы и решили приобрести. Вещь отличная, гладит превосходно, а пар настолько мощный, что можем все вертикально проглаживать. Теперь мы стали меньше времени тратить на глажку и больше времени на себя.</t>
  </si>
  <si>
    <t>Купила эту кофемашину пару месяцев назад, пенка в кофе получается отличная. Управление довольно простое, все показывает на дисплее, чиститься легко и не очень шумная. Изменения степени помола, количества воды и крепости позволяют создавать напитки на любой вкус. Покупкой осталась довольно и рекомендую любителям вкусного кофе))</t>
  </si>
  <si>
    <t>Пользуюсь год, довольна. Периодически выскакивает Е3, достаточно помыть фильтры для устранения. Не нравится, как моет чашки, к мытью остальной посуды нареканий нет, чем хуже расставишь посуду - тем хуже помоет, сталь, стекло, тефлон моет на отлично. Очень часто приходится сыпать соль, но возможно проблема в жесткой воде. Под машиной на полу желтые разводы с крупинками соли, луж никогда замечено не было, ламинат не попорчен, откуда взялись не знаю.</t>
  </si>
  <si>
    <t>Очень не плохая модель.Недостаток проявился один--сильно греется экран и верхняя часть корпуса(возможно так надо,у меня это первый ЖК телевизор)</t>
  </si>
  <si>
    <t>Утюг идеальный в своей ценовой категории. А другим написавшим рекомендую-Сначала Научитесь Пользоваться Техникой!!! А потом пишите отзывы!!!</t>
  </si>
  <si>
    <t>Своих денег не стоит. Заявленной мощности явно не соответствует. Воняет паленым.</t>
  </si>
  <si>
    <t>2486</t>
  </si>
  <si>
    <t>Удобная, практичная, моется нормально. Хорошая. Единственный недостаток - передние конфорки. Неустойчиво стоят кастрюли и край кастрюль вылезает за решетку. Кстати, чугунная решетка - тоже плюс.</t>
  </si>
  <si>
    <t>Купили её месяц назад под заказ плита оказалась очень прекрасно справляется со своими обязанностями, а то что немного шумит так это делает процесс готовки еще интереснее, 5 баллов.</t>
  </si>
  <si>
    <t>Удобный в эксплуатации</t>
  </si>
  <si>
    <t>Компактная, все может, все умеет, Легка в пользовании, управлении, настройке.</t>
  </si>
  <si>
    <t>Купил полтора года назад, до сих пор служат,самые лучшие наушники на которых я остановил свой выбор. Удобные, уши не жмут, легкие, аккуратные. Когда покупал, думал, они сломаются через месяц,  но сколько раз они у меня падали и ничего, работают, звук вообще супер!</t>
  </si>
  <si>
    <t>68</t>
  </si>
  <si>
    <t>Машина имеет много программ. Как всегда радует в немецкой продукции продуманность в мелочах,из которых и складывается комфорт в использовании техники.</t>
  </si>
  <si>
    <t>От боша такого не ожидал, вода льется мимо чашки, весь пол в воде, теперь как чемодан без ручки и выкинуть жалко и пользоваться нормально нельзя, отдам на дачу.</t>
  </si>
  <si>
    <t>Купил эти рации и сразу пожалел. Я конечно думал, что качество будет не очень хорошим, но рация превзошла все ожидания. Вместо голоса треск, постоянно приходится переспрашивать. По какой то причине одна рация работает хуже другой, т.е. связь почти односторонняя. В добавок ко всему аккумуляторы не заряжаются (т.е. при включении блока питания на 220 В зарядка не идёт на обеих рациях, хотя напряжение на разъёме есть. Наверное, что то припаять забыли). Такое впечатление, что рации собрали в каком то сарае. Думаю, буду возвращать в магазин.</t>
  </si>
  <si>
    <t>Всегда нравилась PS3 своими передовыми технологиями! Игры офигенные, но стоили бы они дешевле... А то мне тоже неохота выкладывать за игру 1500-2000 рублей. Если б стоили игры где-нибудь рублей 700, то это по-любому была бы самая популярная приставка и заткнула бы за пояс творение Майкрософт!</t>
  </si>
  <si>
    <t>559</t>
  </si>
  <si>
    <t>Полностью несогласен с первым писателем. Пользуюсь 2 месяца, из неприятных моментов только два - долго включается фотоаппарат и как мне кажется телефон достаточно толстый. Все-таки я любитель тонких телефонов. В остальном, отличный функционал, дисплей, камера 8Мр, видео отличное, но фоне предыдущих Сонеров в разы лучше.   По поводу батареи, работает 4 дня (с фотоаппаратом и частыми разговорами). Единственное, что сильно сажает батарею - блютус гарнитура (отличного качества), но думаю это не секрет.   И то, что файлы распределяются не пойми куда - ерунда: видео в видео, фото с камеры в фото с камеры, картинки в картинки. Все, что тел не может определить помещается в прочее. Таймер разговора работает корректно на протяжении всего разговора, пробовал до 8 минут. На запуск меняйте, пожалуйста, свою заставку/мелодию. Короче, аппарат нравится. А покупать или нет - это дело вкуса, зайдите в салон и потрогайте AINO руками :)</t>
  </si>
  <si>
    <t>Панелью очень довольна. Моется хорошо, пятна не остаются. Советую приобрести.</t>
  </si>
  <si>
    <t>Мне нравится!! Всегда были нокиа а тут решил взять самсунг остался доволен. соотношение цены и качества.</t>
  </si>
  <si>
    <t>Шум компрессора несколько громче. чем хотелось -бы слышать таковой  А в целом машина заслуживает  высокой оценки</t>
  </si>
  <si>
    <t>В общем панелью довольна. Панель красивая. Очень легко за ней ухаживать. Конфорки подняты высоко, так что их залить практически не возможно. Чугунная решетка - действительно плюс. У этой плиты она так спроектирована, что можно двигать кастрюльки по всей площади панели, не боясь, что кастрюлька опрокинется. Ручки управления работают хорошо, розжиг работает без сбоев.   Теперь недостатки. При монтаже выбросили штатные крепления к столешнице - они никуда не годятся, тонкое железо выгнулось от минимального усилия отвертки. В итоге просто посадили на силикон. Так даже лучше.  Конфорки: не удобно, что большая конфорка на второй линии, быстрая обжарка затруднена. Она затруднена и на передних конфорках !!! Т.к. сковорода нависает над ручками управления, и чтобы повернуть ручку приходится или поднимать сковороду, или совать пальчики в узкую раскаленную щель между панелью и дном сковороды. Экстрим обеспечен!</t>
  </si>
  <si>
    <t>Сначала горела нокией эксперсс мьюзик, но сестра подаила Его! Великолепный по дизайну и навороченный по функциям! Очень подходит девушкам, которые любят женственность) то что качество, не знаю, он сделан в Корее и качество не подводит) Интерфейс вполне удобный, главное преимущество быстрый инет и хорошая камера! Те кто хочет выделиться чем-то изысканным, многофункциональным берите не ошибетесь. Плохой критики не сказала, потому что не нашла, разве что динамик не слишком громкий да и не для игр он создан...  З.Ы подруга купила Нокиа, фотки бепонтовые, телефон громко орет с плохим звуком, да и экран прогибается при нажатии( так что делайте выводы, товарищи!</t>
  </si>
  <si>
    <t>Хороший быстрый ноутбук,но программы устанавливайте сами.</t>
  </si>
  <si>
    <t>Слабый поток воздуха и сильно горячий при максимальной мощности</t>
  </si>
  <si>
    <t>Муж подарил на 8 марта, сделала сендвичи с ветчиной и сыром, всем родным понравились, особенно хрустящая румянная корочка. Всем советую, никакого запаха от пластика не было.</t>
  </si>
  <si>
    <t>997</t>
  </si>
  <si>
    <t>Удобный, хорошо перевозить</t>
  </si>
  <si>
    <t>Купил,пользуюсь.Комнату нагревает моментально!  Хороший обогреватель.Пока косяков не заметил.</t>
  </si>
  <si>
    <t>260</t>
  </si>
  <si>
    <t>отличные) очень довольна!</t>
  </si>
  <si>
    <t>В руководстве по эксплуатации не написано конкретно про каждый режим сколько времени на него уходит стирки-это большой минус, сидеть и ждать, даже никакого сигнала по окончанию стирки как это везде написано-нет! А так сама машинка стирает отлично, вещи пахнут замечательно, и почти сухие после стирки!</t>
  </si>
  <si>
    <t>Купила Электромясорубку BORK MG REP 1316 WT. Решила сделать кабачковую икру))) Использовала мясорубку для протерки кабачков.Нарезанные кабачки не проходили в "жернов" без толкателя, причем нажимать на толкатель приходилось очень сильно. Посредственная техника не стоящая таких денег!!!!!!!!!!!!!Не покупайте!!!!!!!!!</t>
  </si>
  <si>
    <t>У меня недавно появился Pilot S, он очень хорошего качества, в плохие отзывы не верю. Контакты для вилок просто толстенные, а вместо пайки в нём использовалась (вроде) сварка. Так что нареканий быть не может, пока не разбирал. но думаю внутри всё с иголочки сделано. Внешне крайне приятный и гарантия 60 мес. Цена конечно в три раза выше, чем китайский, но там жиденькие проволочки оп сравнению с этим. Советую Pilit S как удлинитель для защиты от короткого замыкания.</t>
  </si>
  <si>
    <t>купили в январе нет ни каких проблем. полностью согласна с предыдущим отзывом.</t>
  </si>
  <si>
    <t>все</t>
  </si>
  <si>
    <t>Сначала было все прекрасно, но спустя 3-4 мес, поочередно стали отказываться работать кнопки включения электропомпы. Спустя чуть больше года эксплуатации, решил вылить остатки воды вместе с образовавшейся накипью. Взял за корпус, поднял, а чудо-чайник развалился, отовсюду посыпались кусочки пластмассы. Верхняя крышка(с кнопками) отдельно, колба отдельно, дно отдельно. Зачем ему ручка для переноски, если он стоя на одном месте разваливается?</t>
  </si>
  <si>
    <t>Графика в игре порадовала, сюжет тоже(коротковат правдо), теперь раздражает её непомерная урезаность и не возможность купить дополнения "Jimmy's Vendetta"  на Steame для России!!!</t>
  </si>
  <si>
    <t>мощный, отлично охлаждает и нагревает, простой в использовании, дистанционное управление.</t>
  </si>
  <si>
    <t>Машинку купила в октябре 2008 г. Выбирала, руководствуясь в основном ценой. Но по истечении 6 лет могу с полной ответственностью заявить, что это был правильный выбор: стирает чисто, даже на 30-ти минутной стирке; шумит в меру, не раздражая; лоток вынимается легко. Очень довольна своей малышкой. Рекомендую тем, кто за небольшую стоимость хочет получить достойный результат!!!</t>
  </si>
  <si>
    <t>Отличная машина!Купил отцу,без малого год как юзает он и я иногда по работе.Ни разу не подводил работает как вол! Настоятельно рекомендую как отличную рабочую машину.</t>
  </si>
  <si>
    <t>Покупал для жены, пользуется ежедневно уже 1,5 года. Очень довольна, хочет подарить такой же подруге.</t>
  </si>
  <si>
    <t>Купил ЖК-телевизор 37" Toshiba RV685 DR, цель приобретения просмотр анимационных фильмов и игры, реже ТВ первые впечатления:  0. комплектация: коробка, телевизор, подставка с крепежом, пуль, 2 батарейки, инструкция (на русском самые последние), инструкция для сборки подставки, гарантийный талон, чек;  1. Привезли в виде конструктора, требуется собрать подставку и закрепить на телевизоре, что делается быстро, так как все есть и удобно в использование (крепеж под специальный ключ - в комплекте);  2. Внешний вид приятный (субьективно), расположение гнезд также удобно (все с одной стороны);  3. Настройки вышли на русском языке по умолчанию, меню удобное,автопоиск ТВ программ 69 шт. занял не менее 10 минут, инструкция на бумажном носителе (в комплекте) сокращена, содержит часть настроек! - требуется дополнительно скачивать;  4. Воспроизводит ТВ (аналоговое) на 4 по 5-ти бальной шкале, "зернистось" исчезает примерно с 2-2,5 метров, комфортно смотреть с 3 метров;  5. При использовании персонального компьютера (далее - ПК) использовались 2 кабеля (для пробы): для подключения в разъём RGB/PC длиной 3 метра(аналогичный разъём на блоке ПК) получено разрешение экрана 1024 на 768 (при попытке изменить на большее выходит надпись - режим не поддерживается) и HDMI+HDMI длиной 5 метров  производитель DAYTON (надпись с коробки кабеля) цена 1500 рублей, по умолчанию получено разрешение экрана 1920 на 1080. На ПК установлена видео плата NVIDEA GEFORCE GTX 295.  Выводы: ТВ хорошо воспроизводит аналоговое ТВ, отлично сигнал с ПК при условии использования качественного HDMI кабеля, как видео (аниме или фильмы DVD_Ripы), так и игры - визуально задержек изображения не заметил. Купить стоит.</t>
  </si>
  <si>
    <t>Замечательный чайник. Купил год назад, как раз была акция, за 300 рублей. Учитывая год гарантии, это разумнее, чем приобретать на рынке китайца за 500 минимум. Служит уже более года, красивый, удобно лежит в руке, не очень громкий. Берите, замечательная вещь))</t>
  </si>
  <si>
    <t>157</t>
  </si>
  <si>
    <t>Отличительная особенность - возможность проигрывания трека после запуска двигателя не с начала, а с того места, где закончилось прослушивание в предыдущий сеанс, правда для этого необходимо перед выключением питания авто нажать на клавишу "метка А". Однако даже такой функции нет в иных аналогах. А это важно при прослушивании аудиокниг, длинных треков (например многочасовых миксов). Кроме того, качество воспроизведения для трансмиттера превосходное</t>
  </si>
  <si>
    <t>Отличная техника.  Долго выбтирала, читала отзывы, не однозначные были.  Но как-то рискнула - купила Аристон, уже почти год пользуюсь - всё хорошо работает. Мне нравится, без перебоев и ЧП.</t>
  </si>
  <si>
    <t>аппарат ничего, вот только телек плохо показывает со штатной антенной и виснет телефон на приём!!!!!</t>
  </si>
  <si>
    <t>Крышка верхняя дала трещену через месяца два, когда нагретая нужно окуратнее закрывать - открывать, сам виноват ! где новую купить не знаю, можно и без нее готовить , ложка для масла вообще не нужна, на глаз можно плеснуть несколько капель! это фритюром назвали &amp;quot;не правильно&amp;quot; скорее аэрогриль! блюда можно интересные готовить. В итоге купил еще и обычную фритюру где надо масло лить бутылками.</t>
  </si>
  <si>
    <t>Уже год пользуюсь - нареканий нет. За эти деньги очень достойный аппарат. Всем рекомендую кому на рыбалку или охоту нужна рация. Одного заряда аккумуляторов мне лично хватает на 4 рыбалки (специально аккумулятор не экономлю). Если у вас по другому - значит либо вы плохой рыбак, либо вся ваша рыбалка "наливай да пей".  Из минуса - гарнитура через полчаса начинает напрягать ухо (жестковатая), то есть тот плюс, что она есть в комплекте можно не считать.   На счёт заявленных 8 км сомневаюсь (возможности проверить не было), но истина где-то рядом ))) - на реке условия приёма неплохие и того что есть хватает. По крайней мере качество приёма-передачи на несколько порядков выше, чем у друзей с Voxtel`ами.   P.S. Перед тем как я купил эти рации вопрос стоял так: 1.JJ-CONNECT 9001 PRO; 2.Midland GXT400; 3.Motorola XTR446.  1ая отпала потому что одна в комплекте, 2ая потому что не нашел в наличии - взял 3ю и в принципе не жалею (иногда только с тоской смотрю в витрине на JJ-CONNECT 9001 PRO)</t>
  </si>
  <si>
    <t>Отличная кофеварка! Вкусный кофе,если уметь его готовить и правильно рассчитывать пропорции кофе и воды. Дарила родителям- им очень нравится,не нужно стоять и караулить турку. Мне тоже нравится кофе,даже без молока!На работе стоит дешёвая moulinex, так обычный американо пить невозможно. Эта кофеварка заслуживает похвалы. Соотношение цена/качества. Ставлю пятерку.</t>
  </si>
  <si>
    <t>Недавно приобрела этот фен.Пока что всем довольна.  Одно расстроило,консультант сказала что когда используешь функцию холодного воздуха кнопку не придется держать,оказалось что это не так.</t>
  </si>
  <si>
    <t>Писал уже отзыв в 2Гб версии плеера, потому как здесь ни описания тогда не было ни отзыв нельзя было оставить, но и здесь напишу. Плеер отличный, чего не могу сказать о штатных нашуниках - высокая чувствительность и громкость, вызвать в них перегрузку почти нереально, но вот звук очень посредственный. Когда покупал плеер, сразу подумал, что наушники придется менять. Купил уже заранее присмотренные те же "затычки" в половину стоимости этого плеера, теперь доволен как слон. Эквалайзер не только с предустановленными настройками, но так же можно выставить и вручную (5 полос).</t>
  </si>
  <si>
    <t>2015-04-11</t>
  </si>
  <si>
    <t>Такой (может предыдущей версии) покупала еще в 2005 году. Прекрасно работает до сих пор. Как и вся техника Борка смотрится оч. стильно, хотя стоит дороговато.</t>
  </si>
  <si>
    <t>Телефон красивый и только. Полностью согласна с Леонидом. Зарядку не держит совсем. У меня разряжается за одну ночь полностью в режиме ожидания. Жалко потраченных 33тыс. руб (купила телефон в первой партии). Если у кого есть советы, как увеличить время зарядки, пишите. И ещё, чтобы его зарядить, но отковырнуть задвижку ногтем, чудо как удобно, теперь я уже месяц с облезлым маникюром, спасибо изготовителям!</t>
  </si>
  <si>
    <t>Сегодня с мужем купили в подарок телевизор Плазменный телевизор 42" Panasonic TX-PR42 C21. Думали, искали долго, остановились на этой модели. Пока что всем довольны. Никаких наворотов нет(специально такой выбирали), простенько и все понятно. Легко все настроили, яркость, четкость, звук и т.д. Так что, для того, что бы просто сменить старый на новый, данная модель телевизора вполне подошла.</t>
  </si>
  <si>
    <t>Играет уже почти два месяца в солярисе седан от мультемидийной системы на андроиде car 4 g. Усилитель кикс кап-27 плюс конденсатор на 3.5 фарада раскачивает па полной всё дребезжит, даже настроен пока чуть меньше середины,  аппарат хороший для седана, берите не пожалеете.</t>
  </si>
  <si>
    <t>Зубной щёткой, в общем, доволен. Чистит хорошо и пользоваться удобно. Единственное разочарование в качестве используемых материалов. Резиновое покрытие на ручке через пару лет начинает размягчаться и облезать. По этой причине одну щётку когда-то поменял на новую. Теперь и она также начинает облезать. Задумался об альтернативе от другого производителя. Странно получить такой результат от вроде бы почтенной фирмы.</t>
  </si>
  <si>
    <t>Приобрел данную вытяжку , кухня в контрасте венге  Очень доволен   Плюсы:  1. Мощная турбина.  2. внушительные габариты турбины, что позволяет производить меньше оборотов, а как следствие и меньше шума.  3. Очень Удобное управление.  4. Стекло позволяет  стирать пар и жир без последствий.  5. Удачная подсветка.  Минусы:  1. Цену Хочется пониже.  2. Первый раз привезли недокомплект, внимательнее с Фланцами.</t>
  </si>
  <si>
    <t>Пользуюсь Rowenta уже более 6 лет. Первый проработал 3 года и при условии использования зимой 1 раз в 3-2 дня, а летом каждый день. У меня волосы пушатся и чуть вьются. укладка занимает 20-30 минут при длине волос до лопаток, волосы сразу становяться ухоженными, блестящими. Купила второй и пользуюсь до сих пор! А сейчас сестре на 8 марта купила в подарок. Поэтому девочки, у кого не получилось с первого раза, попробуйте ещё раз, вещь замечательная...</t>
  </si>
  <si>
    <t>АЛЕКСЕЙ ИЗ МОСКВЫ! Тебе памятник должны построить за счет Самсунга! Я телик уже со стенки снял, чтобы в сервис отвезти, а тут то всего лишь в меню зайти нужно было! И теперь никаких самопроизвольных включений/выключений!</t>
  </si>
  <si>
    <t>Прежде чем брать, рекомендую сравнить с другими моделями, например LG32 LH5000. Цена одна, но там время отклика пиксела 2мс, технология 100Гц и встроенный HD Медиа плеер (подойдёт для любителей качать аудио/видео с Торрента)с разъёмом USB для просмотра фильмов с внешних накопителей.</t>
  </si>
  <si>
    <t>Очень хороший блендер. Купила 31.05.2010 и до сих пор работает. Всем советую, особенно, для мам малышей. Только вот венчик как докупить?</t>
  </si>
  <si>
    <t>Хороший, качественный звук</t>
  </si>
  <si>
    <t>216</t>
  </si>
  <si>
    <t>Все просто обалденно, играл на одном дыхании!!!</t>
  </si>
  <si>
    <t>Я владелец такой штуки. Очень хороший, добротный, качество сборки отличное, в плеере можно выбрать любую позицию внутри воспроизводимого музона как в винампе тыкнув в ползунок пальцем, качество в ушах очень даже приемлемое, приемник отличный, отличный сенсорный экран, который сравнивал с лыжей и флаем и он круче, реагирует чуть-ли не на прикосновение, даже давить не надо, тяжёленький и приятный, удобно лежит в руке, красивый, бесглючный, работа с 2 симками продумана, как и многие вещи. В общем, достоинств много.    Теперь о том, что мне не понравилось:  - батареечку можно было и побольше, после первых 3х зарядок стал держать долго, а по началу садился в лёт, даже без сильных загрузок;  - лично мне не понравилось смсить на таком дисплее - концы пальцев начинают раздражаться, стилус не поддерживает - только тело, поэтому буду менять на кнопочный;  - гнездо под уши не стандартное, но это будет недостатком для тех, кто регулярно слушает;  - нет автоблокировки, если вы в транспорте по гарнитуре ответите на вызов, то блокировка не возвращается, и если он у вас будет в давке висеть на поясе или и в штанах, то велика вероятность, что основные кнопки будут жаться и будет гореть экран, а он сажает заряд только в путь;  - динамик - после нокии 3250 для меня его звук - гуанос... :) динамик по моему мнению - грязноват и глуховат, даже если wav без потерь играет;  - программа для работы с компом вообще не работает, даже скачанная;  - при входящем вызове мелодия первые 1-1,5 секунды играет на 0ой громкости, а потом резко возрастает до установленной. Производитель прокомментировал это тех особенностью, исправлять по ходу не будут    Собсно, всё. Кому такие недостатки не критичны, то берите - не пожалеете.</t>
  </si>
  <si>
    <t>Очень хороший эпилятор, почти не больно, без раздражения, гладкие ножки! Всем советую!</t>
  </si>
  <si>
    <t>2323</t>
  </si>
  <si>
    <t>Пользуюсь 5 лет. Очень довольна. Пока был новым при работе попахивала обмотка двигателя, потом прошло, со своими функциями справляется на 5. Очень сильно загружаю его в период закаток, ничего, работает исправно. Жаль не месит крутое тесто.</t>
  </si>
  <si>
    <t>3131</t>
  </si>
  <si>
    <t>Термос – заслуживает уважения и похвалы:  - ручка  очень приятно держится в руке, материал ручки позволяет уверенно удерживать термос даже при мокрых ладонях/руках, огромным плюсом является вообще ее наличие, держать металлический корпус руками на морозе очень холодно, даже в утепляющих средствах;  - резиновые усиления вокруг корпуса дополнительно защищают и без того прочную конструкцию и противодействуют скольжению термоса при опрокидывании на снежном покрытии;  - резиновое дно позволяет устанавливать термос на скользкие поверхности, например капот авто;  - крышка/стакан оптимальное соотношение формы и объема, при заполнении на четверть – не расплескивается при небольшой тряске, очень актуально при движении в транспорте;  - резьбовая пробка выполнена из пластика с резиновым/силиконовым уплотнением, имеет продольные сечения с двух сторон и позволяет  пользоваться термосом, не откручивая пробку полностью, тем самым сохраняется температура жидкости внутри сосуда;  - колба из нержавеющей стали смонтирована в несущую часть корпуса по технологии TherMax .  По заверению производителя термос сохраняет температуру жидкости 24 часа, в свою очередь могу  заверить, что в термос был залит горячий чай где-то +85° и далее он находился на открытом воздухе при - 20° на протяжении 8-ми часов, после чего термос был открыт и чай был таким же горячим. Срок гарантии и службы указанные в гарантийном талоне завода-изготовителя 10 лет.</t>
  </si>
  <si>
    <t>Нам подарили такую вещицу где-то 2 года назад. С утра просто без горячих бутербродов никак! А чтобы хлеб не мягкий был (как в каком-то из предыдущих отзывов), надо его просто дольше жарить и все! Будет хрустящий. Жить без нее не могли. Но однажды я ее пыталась отмыть с помощью губки и все покрытие поцарапала. Стало все пригорать. Но я не хотела отказываться от такой полезной штуки и мы снова с ней! Ура!</t>
  </si>
  <si>
    <t>Купил это тостер на днях. Очень хороший агрегат, минусов в нем нет, хлеб получается вкусный и с корочкой в зависимости от температуры нагрева. Очень хороший тостер, рекомендую всем!</t>
  </si>
  <si>
    <t>Мои впечатления таковы: как и ожидалось от Samsung - хорошее соотношение цена/качество.  Отличный черный цвет, отсутствие искажений на "бегущей строке", насыщенные (но подстраиваемые под пользователя) цвета и яркость, удачная адаптация телевизионного сигнала под формат экрана, большой набор индивидуальных настроек, достойный (для ЖК) звук, сносное изображение ТВ каналов (у меня ТКТ) и т.д и т.п. В общем, всё что ожидал от ЖК - всё получил. Использую в паре с Sony Playststion 3, тандем отличный. Через HDMI картинка великолепная, хоть игры, хоть кино (ну про blue-ray и говорить нечего). Скаченные из сети AVI (MPEG-4) файлы воспроизводятся на "ура" и в достойном качестве (хоть и разрешение avi-файлов и ниже). Иными словами - если Вы не законченный гурман цветопередачи (причём принятой только Вами)и ценитель чистейшего hi-end звука, то модель Вас порадует - есть всё что необходимо и даже более того. Пульт страшненький - единственный минус (правда я не оценивал других производителей). Может мне и повезло, но на экземпляре "с витрины" ни царапин, ни потертостей, ни битых пикселей...  Ну а внимательность при покупке не повредит никогда, не взирая на марку производителя.</t>
  </si>
  <si>
    <t>Брал три года назад. Один фильтр мою раз в три месяца примерно, второй только после уборки строительного мусора. Работает до сих пор без нареканий. Единственный минус, это то, что мощность не регулируется.</t>
  </si>
  <si>
    <t>Мне лично понравился дизайн пылесоса маленький и удобный купил полгода назад тоже доволен пылесосом .. тем что без мешков, но минус это промывка фильтров есть такая тема но это делается не каждый раз,а раз в месяц. Тяга отличная. понравилось ещё трубка раскидная т.е. настраиваешь её под свой рост.</t>
  </si>
  <si>
    <t>2015-11-10</t>
  </si>
  <si>
    <t>Долго выбирал какую взять выбрал ее покупал за 30000р два года назат работает без нареканий досихпор все ок берите советую не пожалеете минус не показывае на дисплее температуру</t>
  </si>
  <si>
    <t>У нас этот телефон, то зазвонит среди ночи, то выключить не можем - то включить, раза два не сработал будильник. Зарядка садится ОЧЕНЬ быстро. ФИ.</t>
  </si>
  <si>
    <t>Самая лучшая на мой взгляд вещь!  Покупайте не пожалеете.</t>
  </si>
  <si>
    <t>Бритва хорошая, но после года лезвия тупятся, в магазине нет в наличии, но можно купить Режущий блок для электробритвы Panasonic WES9064Y1361, снять с него лезвия и переставить на блок своей бритвы</t>
  </si>
  <si>
    <t>качество картинки обалденное!!!  в остальном по разному.  грузится долго, посему иногда меню притормаживает.  через USB флешки играет хреново,  авихи более 1 ГБ притормаживают, и отрубается регулировка звука.  сборка Калининград, может из-за этого иногда потрескивает когда чуть громкость добавишь, качество звука не очень    в остальном все удобно и супер.  как я понял порт USB здесь чисто для красоты, в плане юзабилити    в общем телек хорош для картинки,  для качественного просмотра фильмов придется брать медиа плеер, ну и звук понятное дело</t>
  </si>
  <si>
    <t>Чайник был куплен год назад, после 6 месяцев заметил ржавчину по кругу внутри чайника, похоже, что ржавеет место стыка днища и бортов. Ручка с кнопкой хоть и прорезинина, но все равно иногда сильно нагревается, голой рукой не возьмёшь, это из минусов.</t>
  </si>
  <si>
    <t>маломощная, некачественная машинка, ее на долго не хватит из-за слабой прижимной пружинки, которая быстро ломается. не тратьте деньги на такой мусор</t>
  </si>
  <si>
    <t>Плита по скорости нагрева работает отлично,но через 2 месяца бережного использования сломалась. Я проживаю в общежитии в среднем хватает на год хорошей плиты,если постоянно готовить, данная модель разочаровала.</t>
  </si>
  <si>
    <t>Присматривался изначально к Philips 5604, но там как оказалось большой недостаток Российской сборки не читаются видео файлы,а Венгерской конечно же нет :), вот и взял Sharp и ни сколько не жалею о данной покупке! Все читает, даже подключал винт на 250Гб все прет и без тормозов! Меню простое и удобное! Вобщем стоящий аппарат, я доволен!</t>
  </si>
  <si>
    <t>Мне подарили этот выпрямитель на новый год. чудесная вещь. Хорошо выпрямляет, быстро.  стоит начать с самой коробочки. Лакированная с бархатом чёрного цвета, уже она впечатлила. Вместе с щипцами идет сумочка для хранения, электрозавиватель ресниц и набор кисточек с косметичкой, была в полнейшем восторге!</t>
  </si>
  <si>
    <t>Скидка и всё</t>
  </si>
  <si>
    <t>На пост вверху, отвечу, что для установки любого водонагревателя нужен специалист. Для проточного электрик, для накопительного сантехник.</t>
  </si>
  <si>
    <t>на третий год работы машина крякнула,сломался насос откачки воды. Через два месяца снова поломка, накрылся эл.блок(стоимость 5-6тыс.). в Итоге 7 штук на ремонт. сколько еще надо вложить денег. Больше данной фирме не верю.!!!</t>
  </si>
  <si>
    <t>Отличный пылесос! Пользуемся мешком и контейнером, работает великолепно. Ковёр отрывает от пола! Работает на средней мощности довольно тихо. Рекомендую!</t>
  </si>
  <si>
    <t>2014-05-18</t>
  </si>
  <si>
    <t>Отличная машинка, покупал в магазине м.видео г.Курган, работает третий год без каких-либо проблем.</t>
  </si>
  <si>
    <t>Купил Шарп-482 два месяца назад во время акции.До этого караулил его больше полугода.Очень нравился.Цвет стальной, высота 180, ширина 68, работает действительно очень тихо,особенно после нашей Бирюсы,только иногда слышны булькания хладона.Боковые стенки чуть теплые.Только непонятная работа ионизатора-написано в рекламе запаха продуктов не будет-бактерии будут угнетаться.У меня был такой случай в магазине купил грудинку, в пакете была немного влажная, положили на блюдце без крышки в холодильник, чтобы подсохла.Уехали на природу. Через два дня вернулись-грудинка нормальная,а весь холодильник и морозильник в том числе пахнет грудинкой.Пришлось мыть.</t>
  </si>
  <si>
    <t>Всем рекомендую купить ноутбук)) он у меня уже 5 месяцев и работает нормально и игры новые нормально идут( баталфилд бед компани 2 и кал оф дьюти моден ворфаер 2) только что виндоус 7 тормозит, но при работе нормально.</t>
  </si>
  <si>
    <t>Купила эту модель и не пожалела.Отличное качество.Звук слышен в любой части комнаты.Показывает очень четко.До этого была японская модель.Полар мне кажется лучше.Берите не пожалеете.</t>
  </si>
  <si>
    <t>Пользуюсь пару месяцев уже, выбирал из электролюксовской линейки по функциям, да и дизайн понравился. Из плюсов: простой в использовании, дизайн, никаких сменных фильтров и связанных с этим затрат, сравнительно тихий, хорошо увлажняет воздух. Из минусов: размеры, нет гигрометра. По совокупности плюсов и минусов скорее рекомендую.</t>
  </si>
  <si>
    <t>Покупал еще в начале лета, Ни капли не пожалел, место мало занимает, если подставку купить для вертикального размещения. С друзьями играем в праздник спорта, очень весело)))</t>
  </si>
  <si>
    <t>Купили чайник год назад, действительно сильно шумит, но предыдущие работали так же. Сломалась внутренняя часть крышки, просто развалилась на кусочки, сегодня пойду покупать другой, этим просто опасно пользоваться!</t>
  </si>
  <si>
    <t>2537</t>
  </si>
  <si>
    <t>Массажёр прикольный. В первые минуты работы не впечатлил, но спустя 10 минут эффект прочувствовался - расслабляет.   Плюсы -Красивая штучка.  Удобное управление.   Минусы - слабый подогрев воды, через 10 минут вода остыла, через 15-стала холодной.  И сменные насадки (которые устанавливаются по центру) оказались статичными, хотя продавец утверждал, что они должны вращаться.</t>
  </si>
  <si>
    <t>Купил приставку, очень доволен ей! В ней намного больше функций, чем в предедущей.   И вобше PSP-go - КЛАССНАЯ!</t>
  </si>
  <si>
    <t>2295</t>
  </si>
  <si>
    <t>Телефон суперский)))через год никакие кнопки не выпадают,это просто люди не умеют с телефонами обращаться нормально))я просто влюбилась в этот телефон))*</t>
  </si>
  <si>
    <t>Покупали такой термопот несколько  лет назад родителям в подарок. Качество отличное.  Вместительный, как раз для чаепитий в большом семейном кругу) Сохраняет температуру при отсутствии электричества часов на 5 точно, может и больше. Функция выбора режима температур тоже достаточно удобна, т.к. не все любят кипящий чай.  Можно выбрать 60, 90 или 98 градусов.  Рекомендую!</t>
  </si>
  <si>
    <t>Все в этом телефоне прекрасно. Но вот панель слабая до ужаса, раз урони и все, я расстроена жутко.</t>
  </si>
  <si>
    <t>Очень нужная вещь в хозяйстве. Купили в М-видео сразу взбили коктейль с мороженным и здорово режет лук в фарш. А в вакуумном контейнере храним зелень и можно мариновать мясо. А для детей ему нет цены. Варим овощи с мясом и взбиваем блендером и овощное пюре с мясом готово.</t>
  </si>
  <si>
    <t>Отличный пылесос!   У меня тоже ремонт дома, как и в предыдущем отзыве. Пылесос справляется с пылью и строительным мелким мусором легко. Мощность всасывания очень хорошая. Малошумный. Удобно пользоваться.  После ремонта так и останется для повседневной уборки (у нас 2 кошки - без пылесоса никак:-)   Пылесос больше мужской (внешне). А моей супруге понравился больше Samsung, небольшой и кругленький - купила его на дачу.   Турбощётка у Samsunga более удобная, несмотря на хрупкий внешний вид. Время покажет у какого пылесоса она более надежна:-)</t>
  </si>
  <si>
    <t>828</t>
  </si>
  <si>
    <t>стираем 3 недели, очень довольны! чтоб  не прыгала надо купить подставки для ножек. до этой была зануся 32 см и шумела и прыгала по сравнению с самсунгом небо и земля. рекомендуем!</t>
  </si>
  <si>
    <t>Покупала для прослушивания аудиокниг с телефона. Так как у меня большая голова, боялась, что будут сильно жать, а оказались даже для меня свободными. Не давят на уши, звук хороший, правда, музыку не слушала, не могу оценить с этой точки зрения. Слушаю книги в тренажерном зале, на беговой дорожке - не слетают и слышно все, несмотря на то, что в зале орет очень громко ритмичная музыка. Ее, конечно, тоже слышно, но звук в наушниках она не заглушает.</t>
  </si>
  <si>
    <t>Просто отличная вытяжка!! Довольны безумно! Отлично вписалась в кухню, работает идеально бесшумно! Обычно достаточно первой и второй скорости. Всем советуем!</t>
  </si>
  <si>
    <t>Качество звука у них не плохое.Но самое ужасное в нем это очень короткий провод.Сам себе купил теперь желею.Брать их не советую</t>
  </si>
  <si>
    <t>Я уже оставляла здесь отзыв о недостатках качества машинки по поводу запаха гари при работе. Хотела бы тот отзыв опровергнуть и принести свои извинения производителю. Несколько дней я шила на этой машинке и запах стал значительно меньше, вероятно, выгорает смазочное масло, так как механизм еще новый. В работе машина показала себя замечательно - хорошее качество строчек, отсутствие сильных вибраций и шума привода, удобна и проста в обслуживании, а также очень доступное руководство по эксплуатации. Так что покупкой я довольна и рекомендую всем именно эту модель. Жаль только в комплекте мало швейных лапок.</t>
  </si>
  <si>
    <t>Очень импонирует фирма Bosch. Красивый дизайн. Купила в комплект к чайнику (такого же цвета). Тосты получаются вкусные, хрустящие. Правда времени затрачивает на приготовление намного больше чем указано в руководстве по эксплуатации. Приходится ставить сначала на 6, а потом еще на 3 (делаю так для обычного хлеба), для булки хватает и 5. Несмотря на время приготовления, не жалею, что приобрела данный тостер.</t>
  </si>
  <si>
    <t>Мне порекомендовал оператор купить этот фильтр для защиты холодильника от скачков напряжения. Доставили вместе с купленным холодильником. Работал не долго. Купили еще один. Результат тот же. Больше покупать не буду.</t>
  </si>
  <si>
    <t>Купил неделю назад, пока нет никаких претензий, кроме винды(ее сразу снес и поставил 7-ку максимальную 32-битную)  По скорости очень хорош, особенно для ноута. Сам долго выбирал из этой ценовой категории, остановился на этом и не пожалел, все устраивает. Камера и блютус не имели для меня большого значения. Так что, по-моему, идеальный вариант цена/качество.</t>
  </si>
  <si>
    <t>Купил пару недель назад. Реально, за такие деньги - оптимальный вариант.  Плюсы: удобная навигация, регулируемая подсветка экрана с разными режимами, звук нормальный, логичный ПДУ, частично русифицирована, огромный набор функций, приличный по картинке большой поворотный экран для 1 дина.  Минусы: странное цокотание как тиканье в механических наручных часов при воспроизведении и на паузе, (при воспроизведении не слышно, но все-равно странно), куцая инструкция, в которой почти ничего нет, до всего приходится доходить тыком, тупо неудобно размещен разъем для USB. Пока без сбоев.</t>
  </si>
  <si>
    <t>Пользуюсь уже неделю - очень доволен. Отличный аппарат, действительно флагман этого года (по крайней мере из выпущенных моделей). Функционал на уровне, часть функций действительно прорыв - правда один минус, работают только с родными приложениями. Говорить про мощность процессора не буду - все и так ясно. Приятно удивила продолжительность работы при весьма серьезной нагрузке - интернет, офисные программы, видео и фото, два часа разговоров - работал сутки. А теперь маленькое замечание к М-Видео - в описании есть FM-радио, в действительности его нет в аппарате. Просьба к магазину - поправте.</t>
  </si>
  <si>
    <t>Такой набор и ребенку доверить можно - и недорогой, и безопасный. Покалечиться нельзя, а вот руку набить для более серьезного набора в будущем - можно. Из насадок только самое нужное в комплекте.</t>
  </si>
  <si>
    <t>Пользуюсь первый месяц, и очень счастлив от покупки!!! он супертихий!!!!</t>
  </si>
  <si>
    <t>Покупала ориентируясь на мощность и шум. Эта моделька оказалась самой сбалансированной, еще и цена приятно удивила. Установка у мужа не вызвала проблем. Работает очень тихо даже на средней мощности. Современное сенсорное управление, для дополнительной очистки воздуха купили угольный фильтр, на эту модель он стоит очень дешево.яркие лампочки можно использовать как самостоятельную подсветку на кухне. словом все отлично!!</t>
  </si>
  <si>
    <t>Всем доволен, управление с руля отлично работает, сенсор трогать не приходится.</t>
  </si>
  <si>
    <t>Отвратительная,маломощная и бесполезная вещь. Купила год назад,использовала ровно 2 раза и теперь просто лежит забытый мной.Тормозит при прикосновении.Не советую.Деньги на ветер.Ставлю 1-.</t>
  </si>
  <si>
    <t>Была получена в подарок. Сломалась при первом же использовании. Только и успели выпить стакан яблочного сока (и то не полный).</t>
  </si>
  <si>
    <t>Хорошо, что стали продавать отдельно без игр всяких...  В мае куплю себе такую ;)</t>
  </si>
  <si>
    <t>2993</t>
  </si>
  <si>
    <t>Ноут хорош.Ни разу не глюканул,хотя стоит виста и всего 2 гиги встроенной.Если бы было б хотя бы 4 то можно было бы вполне нормально играть(когда увеличу еще раз отпишусь).  А так,для медиа и работы,отличная машина!</t>
  </si>
  <si>
    <t>2966</t>
  </si>
  <si>
    <t>2016-10-27</t>
  </si>
  <si>
    <t>Симпатичная электроплита с мощными конфорками!</t>
  </si>
  <si>
    <t>В этой мясорубке все хорошо-и компактный размер, и цена привлекательная, и справляется хорошо с любыми объемами мяса ,единственный минус-узкая трубка для закладки продуктов, в целом довольны покупкой</t>
  </si>
  <si>
    <t>Взяли эту плиту 2 недели назад. И варили, и жарили, и главное, пекли. Боковушки и стекло нагреваются, но не критично. Ребенку хватит ума убрать руку и не обжечься. При включении печки сначала набирает температуру, потом затихает, но нужную поддерживает.Никаких нареканий - отличная плита! Своих денег стоит.</t>
  </si>
  <si>
    <t>купил магнитолу эту -ожидал большего.а толком ничего и нормально не работает ни звука хорошего не меню ничего.вообщем + не нашёл ни каких.как всё красиво расписано на сайте про неё.</t>
  </si>
  <si>
    <t>Аппарат хороший(по соотношению цена/качество). Он у меня второй после плазмы от Panasoniс 50'.   Эфир со спутника транслирует, хорошо, чуть уступая  вышеуказанной плазма, но лучше растягивает изображение формата 4:3. Отыгрывается в полный рост перед плазмой, при воспроизведении HD видео,сигнала с компьютера в разрешении 1920*1080 и другого видеосигнала с высоким битрейтом (спорить о преимуществах плазмы и ЖК не буду). Экран не бликует, а для моей комнаты это важно. Плазму(она у меня без антибликового покрытия) там солнечным днём смотреть не могу. Меню удобное с кучей настроек, простое. Имеет неплохой звук, для встроенных динамиков.Разнообразных входов/выходов достаточно. Мне, лично, хватает сполна для подключения одновременно всей имеющейся у меня аппаратуры. Из минусов могу отметить лишь легко царапающийся пластик, и то,что к нему сильно липнет пыль.</t>
  </si>
  <si>
    <t>Реально бодрый аппарат, расход в городском цикле 9,6 л/100 км.  Советую!</t>
  </si>
  <si>
    <t>Отличный пылесос, просто супер!!! Палас чистит замечательно.Пользуемся месяц, очень довольны покупкой.</t>
  </si>
  <si>
    <t>2017-04-20</t>
  </si>
  <si>
    <t>Доступные картриджы</t>
  </si>
  <si>
    <t>Очень хороший тостер! я довольна. Используем каждый день и никогда не подводил.</t>
  </si>
  <si>
    <t>2012-01-17</t>
  </si>
  <si>
    <t>Приобрел 30 декабря 2011 сломал 8 января 2012  Пошел дым изнутри при измельчении сахарного песка в сахарную пудру. В инструкции противопоказаний к данной операции не нашел, к сожалению 1 стакан сахарного песка испортил такой хороший подарок.</t>
  </si>
  <si>
    <t>Хорошее соотношение цена-качество. Отличные наушники для своей ценовой категории.  Вполне приемлемое качество звука, удобно сидят на голове, порадовал 5-ти метровый шнур. Пока доволен.</t>
  </si>
  <si>
    <t>Samsung классный аппарат!    Дмитрий с Нижнего Тагила!  С какого перепуга HD каналы будут по локалке ходить?  Ты всё перепутал! В 12-15 года в России введут цифровое телевиденье! А не HD!!! И в Питере оно у же есть! И по обычному кабелю антенному RG-58.  HD каналы могут и по локалке, но только он провайдера.</t>
  </si>
  <si>
    <t>А теперь все дружно вспоминаем Slim когда она появилась после фата....крики ой она стала тонкая и её не удобно держать, ой её никак не прошить, ой она ничем не отличается от фата и стоит дороже.....что в итоге? Сейчас каждый из вас говорит что нафиг нужна Go, которая стала меньше, её нельзя прошить и.т.д   А про того, кто жалуется, что ему диски некуда девать... имхо никогда не купил ни одного диска, с псп гоняю года 3-4. Проще прошить псп, а потом скачать на неё игру и все дела....P.S платная прошивка гораздо выгодней чем туча дисков на которые особо умные люди истратили деньги.....в общем проще подождать пол года - всё прошиву сломают и всё будет оке...  а по форме сначала советую подержать её в руках, а потом делать вывод, а не посмотреть на картинку и думать что ты крутой критик....</t>
  </si>
  <si>
    <t>Чайник хороший, радует. Отличный дизайн, удобный в обращении. Вода закипает быстро, правда очень шумно (один из минусов). Днище покрывалось пятнами, образовывалась накипь, но это зависит от качества воды. Как только поменяли картридж в кувшине для фильтрации воды, чайник стал идеально чистым. Второй из минусов - были случаи, когда чайник не отключался. Проблема решаема, если в чайник заливать воды чуть ниже максимального уровня. Покупали по акции в М.Видео. Рекомендую.</t>
  </si>
  <si>
    <t>Фен супер, мощный, быстро сушит, первый вышел из строя через 5 лет ежедневной сушки!  купила такой же пользуюсь 2 года</t>
  </si>
  <si>
    <t>Хороший слов нету. Я то думала цена будет до 28 000 тысяч рублей, а оказывается 21 590.Я его уже хочу!!!!! :-)</t>
  </si>
  <si>
    <t>Беда аналогичная: Не четко проявляются цифры, тоже пробовали батарейку менять, поедем менять(</t>
  </si>
  <si>
    <t>Много отфильтрованной воды</t>
  </si>
  <si>
    <t>Плохо поворачивается регулировка температурного режима, регулировка подачи пара тоже затруднена. Имеет два положения.  Не пользовалась - вернула в магазин</t>
  </si>
  <si>
    <t>Работает бесшумно,быстро увлажняет,расходники недорогие</t>
  </si>
  <si>
    <t>Купил неделю назад все нравится!Дизайн - супер,отличная удобная клавиатура за исключением кнопок(стрелочек)!Отличный экран,а звук просто безподобный!!!Очень производительный ноутбук и Винда 7 оставляет впечатление наилучшее,правду оч сильно грузит систему : 980 мб ОЗУ  и  2% - 20% цп!!!Установил Ассасин скрид на средних летает,на максимуме заметны небольшие тормоза!Фифа 09 на максимуме летает!!!Еще хочу отметить что для просмотра фильмов и музыки ему вообще нет равных!!!Советую всем!!!</t>
  </si>
  <si>
    <t>1445</t>
  </si>
  <si>
    <t>Чайник проработал 3 месяца и сломался(перестал включаться).В сервисном центре сказали,что ремонту не подлежит,нет нужной детали.Так как случай гарантийный просто вернули деньги.Жалко потерянного времени из-за беготни.</t>
  </si>
  <si>
    <t>Плюсы: интересный сюжет, захватывающий геймплей, довольно страшно. Минусы: нет.</t>
  </si>
  <si>
    <t>915</t>
  </si>
  <si>
    <t>Недавно приобрела себе данное чистящее средство для кофемашины JURA. Результат отличный! Средство довольно эффективное - от накипи не осталось и следа. Напитки получаются отменного качества. Так что таблетки для декальцинации теперь всегда будут лежать на моей кухонной полочке. Покупкой вполне довольна.</t>
  </si>
  <si>
    <t>Хотел стать обладателем данной машинки, долго выбирал, везде только положительные отзывы, но увы не сложилось. Вообщем привезли мне стиралку, запускаю программу и о чуда работает тихо, радости нет предела. Но доходит дело до отжима и радость сменяется пониманием, что предстоит мне процесс обмена стиралки. При отжиме раздавались какие то щелчки (металлический звук), как будто, что то где то задевает. Первая мысль была, что это подшипник. Дальше поход в магазин, вызов мастера. В итоге имеем заключение, что машинка с дефектом, а именно барабан задевает за манжету. Оформляю обмен на такую же самую. Через пару дней привозят новую стиралку, начинаю осматривать ее и вижу следующее: боковые стенки вмяты, задняя панель выгнута из за боковых вмятин. Вообщем машинку тут же отдал экспедиторам. Обменивать на третью не стал :) Либо у них фура падала, либо контрафакт какой то.</t>
  </si>
  <si>
    <t>радиостанция "для начинающего" вполне себе нормальная. на просторах интернета есть статьи о том как её доработать, поднять чувствительность и т.п. - пока распространяется на нее гарантия лучше этого ни в коем случае не делать. но и без доработок эта р/ст гораздо лучше изделий от JJ-connect (вот их ни в коем случае не берите). поэтому ставлю пятерочку. на радиус действия не смотрите, нет такой характеристики..     Чувствительность приемника   примерно 0.18 мкВ  уровень открытия шумоподавителя  0.5 мкВ  мощность передатчика  0.5Вт  девиация передатчика +/-2.7кГц.</t>
  </si>
  <si>
    <t>Я, как женщина, хочу выразить огромное спасибо производителям этой бритвы!!! Теперь мой муж бреется всего 1 минуту!!! Это очень радует и на гель и пену не тратим деньги!!! Но это только при наличии розетки в ванной комнате!!!</t>
  </si>
  <si>
    <t>Просмотрел все предложения в пределах 4-4,5 тыс. рублей. Почитал отзывы и форумы. Послушал рекомендации продавцов – консультантов в различных торговых сетях и пришел к выводу, что это действительно лучший подарок для девушки в день рождения. Во-первых,  это волкмэн, что уже по качеству звука  значительно конкурирует с любым самсунгом. Во-вторых,  дизайн - маленький, красненький, удобно лежит в руке. Красивые цвета дисплея, ну а вообщем-то, что ещё нужно? Единственно, многие говорят, что стандартные наушники лучше бы сменить, но это естественно, что «вакуум» будет гораздо лучше и чище звучать, но это уже на усмотрение девушки! ;)</t>
  </si>
  <si>
    <t>Одна из самых удачных покупок бытовой техники! Шьет прекрасно! ВСЕ! Шью много, каждый день часа по два, от детских футболок и летних платьев, до джинс, курток на синтепоне и искусственного меха. Толстые ткани прошивает прекрасно, главное иглы брать соответствующие. Из минусов: осторожно с игловодителем! При замене иглы закручивать лучше рукой! Муж закрутил отверткой, перестарался, пришлось сдавать на ремонт. Ии нажим лапки не регулируется! При пошиве толстых тканей в два слоя ткань съезжает:( Но это все же мелочи, не все ж шубки дочкам сами шьют. Лапки подходят от других фирм, при желании можно купить оверлочную лапку, и обычный зигзаг обработает не хуже оверлока.</t>
  </si>
  <si>
    <t>купили вчера, тут же сделали сок из всех видов фруктов, что были дома. Яблоки отжимает в полсекунды, морковку - как лазером - в одно мгновение! Виноград тоже великолепно отжало!    Сока из фруктов отжимает много-жмых почти сухой.  Рекомендую    Минус только один-после процедур приготовления сока необходимо мыть =)</t>
  </si>
  <si>
    <t>2014-06-17</t>
  </si>
  <si>
    <t>Купили данную модель в январе 2012г. Установили сами. Вроде сначала было все неплохо...В скором времени навернулся шланг оригинальный, и прокладки меняли, и фумлентой замазывали, все равно текла. На ночном режиме один раз постирала - шумела страшно!  Стирала в основном на 3 режимах - хлопок белый, цветной и быстрая 30 минут. Сказать, что "Ах, как великолепно стирает" не могу. Спец.режимы, детское белье, занавески, рубашки....не радовали качеством. Спустя 2 года начала шуметь сильнее. Подшипник один из двух рассыпался напрочь. А у производства Россия заменить отдельно подшипник сложно, нужно распиливать барабан ( в машинах европейской сборки они снимаются отдельно, не затрагивая  барабан). Замена подшипников по этой причине оказалась дороже 1/4 стоимости всей машинки. Стал барахлить датчик уровня воды. Словом, одноразовая машинка. Мой вам совет - не берите машинки нашей сборки.</t>
  </si>
  <si>
    <t>Отличные наушники, хороший звук.</t>
  </si>
  <si>
    <t>Понравился внешний вид. На самом деле вытяжка очень классная, удобная. Собрали довольно легко. Отлично вписалась в интерьер. Красивая синяя подсветка. Действительно мощная, лично смотрели, как она затягивает в себя. Немного шумит на 2-3 скорости, ну а как иначе, если она мощная. В общем, дизайн, сборка и качество отличное. Мы в восторге.</t>
  </si>
  <si>
    <t>Служит у нас в доме уже 2 года. Ничем не пахнет, крышка не отваливается. Шумный - это да, но по сравнению с другими достоинствами это ерунда. Закипает быстро, отключается сам без проблем и это учесть количество согретых за день чайников , т.к. в доме все любители чая и кофе. И самое главное достоинство этого чайника это его носик-вода не проливается мимо ни капли, если придется покупать новый чайник буду искать с таким же носиком. Покупала по акции за 1.5 тыс. Очень довольна.</t>
  </si>
  <si>
    <t>На мой взгляд это самый лучший автосимулятор всех времён.  Эта игра обязательна к покупке каждому, кто не ровно дышет к автогонкам, да и простым обывателям непременно понравится, ведь нет ещё такой игры в которой можно было бы опробывать вождения такого кол-ва автомобилей.    Но есть одно обстоятельство по которому я не могу купить такую вещь-это потому что у меня нет PS3.    И эта игра стоит того, чтобы только из-за этого мне придётся купить PS3)</t>
  </si>
  <si>
    <t>Все на одном агрегате, удобно под рукой</t>
  </si>
  <si>
    <t>Аппарат в пользовании уже более года. брал в мвидео за 15 тысяч. от кпк требовалось: vga экран, просмотр видео без конвертации, wifi и главное наличие gps. со всем этим телефон справляется отлично.   за 7200руб брать однозначно. по функциональности дешевле не найдете =)</t>
  </si>
  <si>
    <t>Наушники отличные, всем рекомендую.  Гооспода, насчёт проблемы с левым наушником - у самого такая же проблема, но с правым.  А вы не думали, что это из-за перетёрки кабеля рядом со штекером?</t>
  </si>
  <si>
    <t>Колонки супер купил неделю назад и до сих пор не нарадуюсь. Звук качественный, и сабвуфер нормально качает. Совутую покупать их.</t>
  </si>
  <si>
    <t>Купил вот его вчера и совершенно не жалею!  1)Мошный и чистый звук  2)Отличная картинка,нет никакого смазывания или запаздывания картинки,Проверялось Аватаром))  Соотношение Цена/качество идеальная,советую его всем</t>
  </si>
  <si>
    <t>Очень удобный и простой в работе чайник купил где-то на распродаже, а пользуюсь уже года полтора. Очень быстро вскипает, нормально выключается. Материал нержавейка. Советую всем, работает долго, цена маленькая</t>
  </si>
  <si>
    <t>Купили  с женой этот вентилятор. Подкупил весьма солидный внешний вид и модная функция 3D-вращения пропеллера. Радовались недолго.Ровно один летний сезон.Далее произошло то, что не ожидалось ну никак! Система крепления головки вентилятора к стойке, там, где стопорный винт-барашек, выполнена из  пластика откровенно плохого качества. Пластиковая деталь, которая соединяет головку вентилятора с вертикальной  стойкой, просто раскрошилась. Вентилятор-на выброс. Откровенный просчет конструкторов. Ошиблись в выборе материала. Будьте внимательны и осторожны при выборе данной модели.</t>
  </si>
  <si>
    <t>Это самый лучший фен, из тех что у меня были. Купила года 3 назад, очень довольна!!!</t>
  </si>
  <si>
    <t>Через полтора года сегменты проектора перестали работать. Очень жаль.</t>
  </si>
  <si>
    <t>Чайник просто класс. Работает уже около 2 лет и все отлично. Внешне стерлась шкала литража. Моется легко. Рекомендую.</t>
  </si>
  <si>
    <t>В пароварке предусмотрены все необходимые функции. Изготовлена из качественного материала. Очень довольна покупкой!</t>
  </si>
  <si>
    <t>Купила несколько дней назад, пока все очень понравилось. И дизайн, и сборка и шьет отлично.Я не профессионал, купила для дома.Удобная в использовании,не громкая. В инструкции все доступно написано.Очень прикольная вещь, нитковдеватель (удобно у кого зрение плохое)!!!</t>
  </si>
  <si>
    <t>Купила в сентябре 2009 г.Понравилась модель и цена. Тогда он стоил 1990 р.  Наушники само собой в наборе фиговые. Неудобные и просто низкого качества. Поэтому купила другие.   Итак о "+"-х плеера. Очень долго работает.Я первое время постоянно слушала. И хватала более чем на 3 дня. Да и он быстро заряжается.Неплохой диктофон.Лекции записывать можно,а вот живую музыку не стоит жутко фонит. Такое чувство,что старый проигрыватель слушаешь. Хорошая память. У меня помещаются и классика, и лекции, и современная музыка. Небольшой,место не занимает много.  "-" Подзаряжается только от компа. Удалять треки или целую папку можно лишь подключившись к компу.Так в нем такой функции нет. Долго включается. Около 20 сек.Даже с купленными наушниками громкость слабая,когда слушаешь классику!Это на мой счет самый большой минус этой модели.А для  современной музыки очень даже хватает. так что если вы не любитель классики,то покупайте.  Эта модель очень хороша для тех,кому нужен именно MP3 без фотика и не для просмотра фильмов.</t>
  </si>
  <si>
    <t>Для маленькой кухни в хрущевке - просто идеальный вариант. Она по площади менше, чем большинство других вытяжек в магазинах. И не тяжелая. Установил ее без особенных проблем самостоятельно. Очень интересно сделан пластмассовый козырек - он как бы направляет поток воздуха туда, куда надо и не дает ему "распыляться", считаю, что он здрово повышает эффективность работы вытяжки. освещение сделано на базе двух стороковаттных лампочек - это тоже плюс, так как в большинстве других вытяжек лампочки намного слабее.  Есть три скорости, тянет довольно существенно. В связи с тем, что она одномоторная, то даже и на максимальной скорости шума производит не так уж много. В комплекте идут и жиропоглощающий и угольный фильтры. Металлические решетки легко вынимаются.  Гарантия долгая - на два года. В общем думаю, что за эту цену просто прекрасная вытяжка, рад, что вовремя ее обнаружил и по достоинству оценил!</t>
  </si>
  <si>
    <t>телефон просто ништяк-ништяковский! хожу с ним уже пол года и ни разу не глюканул, не тормознул, в общем берите и не думайте!</t>
  </si>
  <si>
    <t>2106</t>
  </si>
  <si>
    <t>Приобрела ноут этой модели, осталась довольна. соотношение цены и качества.Очень удобный. Компактный.</t>
  </si>
  <si>
    <t xml:space="preserve">Экологически чистый материал, классический дизайн, бесшумно работает, легок и не привередлив в уходе. </t>
  </si>
  <si>
    <t>Модель в принципе неплохая, но через неделю пошел вернул - расплавился нож (его пластиковое основание).</t>
  </si>
  <si>
    <t>Потрясающие наушники, взял их для Samsung Galaxy ACE, очень громкие, надпись на коробке Feel the bass полность оправдана, очень приятные низы, хорошо сидят в ухе, в общем всем меломанам рекомендую!</t>
  </si>
  <si>
    <t>3139</t>
  </si>
  <si>
    <t>телевизор хороший,эфирное аналоговое телевидение показывает хорошо,чувствителен к сигналу,с хорошей антеной показывает отлично,каналы со слабым сигналом тянет "старается",но иной раз изображение на 4-.кабельное тв FULLHD на ура просто здорово,меню удобное,разбереться даже ребенок,все настройки имеются,можно подстроить под себя,как душе угодно.видео с блю рей плеера присто улет,все разъемы в наличии,отклика в динамичных сценах хватает вроде не мажет,шлефов не заметил,по мне телик на 5 баллов. покупкой доволен.</t>
  </si>
  <si>
    <t>2186</t>
  </si>
  <si>
    <t>Когда я узнал, что вышла ещё одна русская игра, я подумал, что это ещё один предмет, на который не стоит тратить и копейки. Подумав, я решился её купить и не пожалел. Это самая лучшая игра, в которую я играл когда-либо. Великолепный графон, уникальный, гениальный сюжет. Это игра от самого Бога.     P.S. Благодаря этой "Pirate Hunter. Сомалийский капкан" я стал патриотом своей родной страны и я горжусь российскими игровыми разработчиками.</t>
  </si>
  <si>
    <t>Работает уже 8 лет треснуло только стекло    Супер чайник</t>
  </si>
  <si>
    <t>5 лет работы не выключаясь, 24 в сутки. Расход воды один бак за сутки. меняю фильтра раз в год, но при условии что воду заливаю из фильтра Аквафор В 150. Один ремонт был пол года назад, сенсорные кнопки перестали работать. Заменили в сервисе панель, и дальше работает.</t>
  </si>
  <si>
    <t>Игрушка супер. Очень рад! Спасибо!</t>
  </si>
  <si>
    <t>Удобный тем, что  в любые поездки его можно брать. Технические характеристики для данной модели отличные. Просто я знала, что эту модель покупаю для поездок и неоднократно уже пользовалось. Вполне меня устраивает.</t>
  </si>
  <si>
    <t>Выпрямитель подарили на День Рождения, год или больше даже назад. Сначала, было немного неудобно с кнопкой переключения температур, но потом пользовалась каждый день, сейчас всё очень удобно. Волосы особо не портит. у меня густые волосы, выпрямляю на 2 температуре за 5- 10 минут.  так что советую брать, не пожалеете)</t>
  </si>
  <si>
    <t>стирает нормально, только свистит при стирке и отжиме-очень шумно.но при такой цене это нормально</t>
  </si>
  <si>
    <t>Режет картофель ровно, быстро и легко. Вакуумная присоска надежно удерживает резку на столе. Конструкция простая и надежная. Съёмные детали легко снимаются и ставятся на место. Из недостатков можно отметить то, что корпус резки, в отличие от ножей, сделан не из нержавеющей стали. Поэтому в инструкции его рекомендуется не мыть, а протирать. Ну а если вы всё-таки решите его помыть, то лучше вытереть полотенцем.</t>
  </si>
  <si>
    <t>Мне повезло чуть больше, и у меня эта плитка проработала аж 4 месяца. Но тоже сломалась.</t>
  </si>
  <si>
    <t>Изначально хотела купить пылесос с аквафильтром, однако продавцы отговорили, т.к. при загрязнении воды сразу падает мощность. По моим требованиям (без расходников, очищающийся/моющийся контейнер) подходил Dyson. Огромный плюс - очень, очень легко собирается, не требует значительных физических усилий - все кнопки очень легкие, входят в пазы сразу же. Убирать удобно. Щетка не бьется об углы. Засасывает очень хорошо - визуально сразу видно, насколько было грязно. Очень понравился + симпатично выглядит.</t>
  </si>
  <si>
    <t>Приобрели в 2015 на период очередного отключения воды, проводка в доме обычная, с электрикой не дружим, поэтому выбрали 3,5кВт. Подвесили на пластиковую стяжку к вытяжке в ванной дабы не портить стены. 5 минут и готово.  Для максимальной температуры необходимо использовать лейку из комплекта, а также установить в ней кольца согласно инструкции. Если с напором воды в кране проблемы, то, да, этот нагреватель не ваш вариант, а если поток воды стабилен, то берите.  Конечно потока как из крана не ждите, но помыться вполне хватит, уж точно лучше кастрюль и чайников, которые к слову, потребляют тоже немало электричества. Мы приноровились к последовательности включить в розетку-переключить воду на душ-подождать наполнения нагревателя(примерно 10 сек или по звуку)-включить переключатель на нагрев-отрегулировать температуру напором воды. Выключаем: Снизить напор воды до срабатывания автоотключения-подождать прохладной воды для охлаждения тены-нажать кнопку выключения-выключить душ.</t>
  </si>
  <si>
    <t>Мы с мужем делали на кухне ремонт и  решили купить новую плиту,поехали в м.видео и присмотрели эту.Решели если уж покупать то хорошую и качественную. И купили ее! Не жалею, плита супер!!</t>
  </si>
  <si>
    <t>Мне очень нравится этот телефон он просто отличный.Купил 3 месяца назад сейчас вышло уже много новинок но как не странно не хочу менять телефон.Меня в нём всё устраивает он компактный красивый удобный в использовании громкий=)</t>
  </si>
  <si>
    <t>Купили этот чайник прошлым летом. Сначала были очень довольны. Спустя 5 месяцев пластик на крышке треснул и она отвалилась. Потом чайник стал подтекать. К сожалению мой не в меру активный родитель решил крышку подремонтировать (тут я конечно виновата, не уследила), т.ч. условия гарантии мы конечно нарушили и уже ничего не обменять, но выводы об этой технике я сделала. Больше никогда(!) я эту фирму покупать не буду, кто бы что не говорил! Сейчас собираюсь купить новый чайник (покупали мультиварку и мне дали купон на скидку в 1000 руб.), даже не знаю что выбрать.</t>
  </si>
  <si>
    <t>"У меня есть вопрос . Я вчера купил себе PS3 , и сразу же занялся мыслью - если в неё вставить обычный DVD-Диск с обычным фильмом - приставка будет читать его или скажет не поддерживаемый формат ?"    Будет и с большим удовольствием!  Купил слимку около года назад, практически не выключается. Очень нравится не только мне, но и моим родителям. Скачал фильм, записал на флешку и в Соньку ее. Просмотр на FullHD телеке доставляет массу удовольствия.   Брал приставку в основном из за мультиплеера. PSN полностью бесплатный, платный только контент, да и то не весь. Никогда бы не подумал ,что игра в шутер на стиках может доставлять радость)))     Купите Соньку ребенку или себе на Новый Год. Это замечательный подарок, который будет верой и правдой служить вам и вашей семье!!!    По поводу вечных "холиваров" ps3 vs xbox 360...  На мой взгляд xbox 360 предназначена для хардкорной аудитории,а пс3 всетаки мультимедийный центр развлечений. Графика на обоих консолях одинаковая (за исключением некоторых кривых портов что на той, что на другой) "Икс" стоит взять людям: которые не готовы платить за лицензию, любителям Halo (это кстати та игра ради которой я бы сам взял "икс" =)) либо тем фанатам у которых был "икс" до выхода 360ой версии...</t>
  </si>
  <si>
    <t>Чтобы понять, ЧТО я приобрел мне хватило 30 минут, т.к. наушники абсолютно не выполняют свою функцию - передача звука на расстоянии без проводов. Звук искажается даже рядом с ИК передатчиком, помехи постоянны, невозможно слушать. При этом, никто мне при чудо-устройства покупке не объяснил, ЧТО подразумевается под дистанцией - 7 метров. Если уж даже свет люстры в комнате является сильнейшим препятствием для ИК лучей, то существование этой модели - бессмысленно. Очень пожалел, что приобрел, не рекомендую никому, даже если он будет просто на расстоянии 1 метра смотреть ТВ в темной комнате и не совершая резких движений головой (уже пробовал - не катит - жуткие помехи).</t>
  </si>
  <si>
    <t>У меня тонкие, вьющиеся волосы, справляется быстро, легкий, удобный. Пользуюсь с 2011 года. Четверку ставлю только за то, что толстые и жесткие волосы (опробовано на подругах) выпрямляет не так легко.</t>
  </si>
  <si>
    <t>я доволен покупкой в целом качество не сравнимое с компом очень радует. можно смело играть 4 часа, а приставке хоть бы хны) чуть тёплая становится от этого. С начало очень сильно грелся HDIM кабель( Ну в целом вещь прикольная) советую всем любителем поиграть!</t>
  </si>
  <si>
    <t>Купил недавно, причем менял 32 на 26". Изображение лучше, чем на ЛЖ и Самсунге. Правда, может из-за того, что не так растянута диагональ. Сигнала с антенны, наверно, в принципе не может быть полного, но почти все каналы в зеленой зоне. Возможно из-за встроенного усилителя. Плохо, что не поворачивается экран.</t>
  </si>
  <si>
    <t>624</t>
  </si>
  <si>
    <t>Недавно приобрел HDD HD Sony HDR-XR150E Black. Качество съемки в режиме Full HD меня не порадовало, подключал напрямую через кабель HDMI и не заметил разницы между качеством изображения через компонентный кабель. Фото получается так себе. Однако замечу, что в целом камера снимает видео хорошо, если не брать во внимание режим Full HD.</t>
  </si>
  <si>
    <t>Всем желаю приобрести такого незаменимого помощника на кухне!Просто не представляю без него жизни.Мясорубка -это удовольствие -2 минуты фарш готов!Сразу комбайн переоборудую легким движением рук и он превращается в отличный тестомес! Аналогично фаршу через 2-3 минуты тесто замешено!Руками это долго да и качество теста ниже.Пельмени каждая хозяйка знает- это долгий и трудоемкий процесс- без этого помощника и сама часто ленилась их делать,сейчас этот процесс одно удовольствие и быстро и аккуратно и комбайн отмыть очень легко!Шинковка тоже супер! И капусту и морковку считанные секунды- все готово!Пользуюсь полгода,комбайн зарекомендовал себя на отлично!Советую!</t>
  </si>
  <si>
    <t>Купил в июле 2012года, через две недели просто начал пропадать звук после 30 мин.проигрывания, СD, мp3 и через аукс. Сдал в мастерскую на ремонт, честно прождал 45 дней, пока сделают, пришлось ехать самому узнавать что с магнитолой, хотя обещали позвонить, но все оказалось на много проще чем казалось, ихний ответ был,: что причину не нашли!! Но почему то как я его установил, стало тоже самое))) в добавок зажувал диск, сдал опять в ремонт, и продолжил ждать 45 дней ремонта))) После 45ти дней, началось что то)) короче запчасть так и не пришла, кормили завтраками, в итоге 4 месяца без мафона!!! рекорд!!! Вчера был в магазине где его купил, объяснил ситуацию, короче сказали приходи с паспортом и мы тебе дадим магнитафон в замен того который мне до сих пор ремонтируют!!! Отличный подарок к Новому Году!!! Взял новый, но только не хундай!</t>
  </si>
  <si>
    <t>Аккумулятор заряд еле держит. Если будут фото со вспышкой,  то он "умрет" очень быстро. Оригинальный 4х-летний держит заряд и то больше! Не экономьте,  берите оригинал.</t>
  </si>
  <si>
    <t>Хорошый пылесос!!! Если чистить ковер щеткой для мебели, он станет как новый!! мебель чистит на ура! все фильтра моются! Мыть и чистить легко и просто!! простой легкий и Очень мощный! я долго выбирал пылесос и остановился на нем!!! так как ПРОСТО СУПЕР))</t>
  </si>
  <si>
    <t>Купил сей девайс вместо монитора, соединил по HDMI, прекрасная картинка и четкость, как телевизор пока не использовал, не вижу смысла на комнатную антену портить впечатление....</t>
  </si>
  <si>
    <t>После того, как поиграл в Мафию 2, такая игра кажется слишком примитивной. Говорят, качественная графика? Да кто же этому поверит! Детализация низкая, машины не реалистичные, как плоские! Фон сильно размыт, а сглаживание не поддерживается. В некоторых видеороликах видны дефекты, такие как прозрачность головы человека (видим лишь челюсть от неё). Игра тормозит при высоком качестве графики даже на компьютере с процессором Intel Core i7 720QM и видеокартой Radeon HD5850 1024 Mb. При средней графике по тесту даёт 21-24 кадра в секунду. На Windows 7 вообще запускается только лишь в режиме совместимости с Vista SP1. Процессор и видеокарту нагрузить как следует не может, а тормозит налицо. В оригинальной версии даже нельзя переназначить клавиши управления, приходится качать патч. Но включить для движения стрелки все равно не удается, пишет "важные клавиши не назначены" и оставляет вместо них W и S. Игровая карта тоже не очень удобна. Жаль, что озвучка не русская. Вождение машины остается на уровне игр 2004-2005 годов, а никак уж не 2008. Сюжет из-за этих недостатков кажется непонятным и тупым. GTA 4 себя позорит...</t>
  </si>
  <si>
    <t>2952</t>
  </si>
  <si>
    <t>Отличная плазма!!!!  У друга смотрел! вообще супер и недорого стоит!!!  Скоро себе такую же беру!!!  Так что кто собирается покупать не раздумывайте и берите сразу!!!!</t>
  </si>
  <si>
    <t>1178</t>
  </si>
  <si>
    <t>Я вот тоже собираюсь покупать.Дизайн там конечно СУПЕР !!!! наверно токо из занего и покупаю )</t>
  </si>
  <si>
    <t>439</t>
  </si>
  <si>
    <t>бандл этот выпущен 22 сентября, проверили версию прошивки на телеке - 3.40 берите, пока не кончились! а то остальные "простые" версии на 120 и 160 гбайт октябрьские, не проверяли, но чую что там уже как минимум 3.42</t>
  </si>
  <si>
    <t>Купил себе 2 дня назад, очень крутая вещь, всем советую, и поклонникам "God of War", потому что это игра только на этой платформе. Так что поторопитесь!!!</t>
  </si>
  <si>
    <t>со своими обязанностями справляется на все 100%</t>
  </si>
  <si>
    <t>Супер наушники:)пользуюсь 3 месяца,ни одного негативного момента.звук качественный,четкий,хороший бас.</t>
  </si>
  <si>
    <t>Пользуемся данной машинкой пол года, нареканий нет. Минусы: не качественно просушивает посуду, после автоматической стирки посуда влажная, а в остальном все устраивает.   Плюсы -  удобно располагается посуда, можно мыть одновременно и пластик и кастрюли, кастрюли отмываются без проблем. Пользуемся таблетками, пробывали отдельно засыпать соль, моющее ср-во и т.д., затем пришли к выводу, что это не лучший вариант. Таблетка проще и моет лучше (но это только личное мнение)</t>
  </si>
  <si>
    <t>По акции(июнь 2015 года) продают аккумуляторы изготовленные в 2010 году и никто не предупреждает об этом! Выкинутые деньги... :(</t>
  </si>
  <si>
    <t>Купил около 2-х месяцев назад, отличный аппарат, единственное нарекание при прохождении воздуха (сквозняк или открывается дверь) постоянно бьется клапан воздуха - пластиковый стук.</t>
  </si>
  <si>
    <t>Чтобы хлеб получался хорошим, нужно хотя бы раз внимательно прочитать инструкцию. В частности то место, где говорится о необходимости ВЗВЕШИВАНИЯ муки. Если насыпать от балды, а воду наливать на глазок, то результата хорошего ждать не стоит. А чтобы тесто замесилось плохо и хлеб не пропёкся в ЭТОЙ хлебопечке, это нужно иметь особый талант!</t>
  </si>
  <si>
    <t>Неплохой набор за такую цену. Хорошо подходит для поддержания маникюра и педикюра. Мощности мне хватило</t>
  </si>
  <si>
    <t>Пользуюсь недолго,но очень довольна.Отличный помощник на кухне.Работает бесшумно и быстро, не занимает много места,в отличие от комбайна.Рекомендую,НЕ ПОЖАЛЕЕТЕ.</t>
  </si>
  <si>
    <t>Полностью не согласен с Анастасией. Ну покажите мне хоть один телефон (не смартфон и комуникатор), в котором можно менять загрузочные звуки. Да, а вы что 2 часа собираетесь болтать по телефону. Файлы распределяются, кстати, нормально ф. изображ. в ф. изображ., игры в игры и т.д.</t>
  </si>
  <si>
    <t>960</t>
  </si>
  <si>
    <t>Качественный аккум на тысячу мач. Заменить аккумуляторы труда не составляет, он маленький и удобный, умещается в кармашек сумки. За все то время пока пользуюсь никаких казусов с ним не было, зарядку держит нормально, при зарядке не нагревается сам и не увеличивается в размерах.</t>
  </si>
  <si>
    <t>2015-10-09</t>
  </si>
  <si>
    <t>Отличная кофемашина, плохо только одно, что проблема купить средства для техобслуживания.</t>
  </si>
  <si>
    <t>Вполне довольна им, приобрела в первый раз, присутствует, конечно, небольшая боль, но вытерпеть можно. И очень удобно, что есть бритва.</t>
  </si>
  <si>
    <t>Шла за другой фирмой, но продавец очень квалифицированно показал разницу между ними,сомнений не осталось, нужно брать борк! Очень удобна в эксплуатации, легко моется, сок готовится за секунды, овощи и фрукты без косточек не надо нарезать, яблочко крупное помещается целиком. Сок получается отличный, жмых сухой, отжать из него еще что то просто не возможно! Очень довольна покупкой!</t>
  </si>
  <si>
    <t>Отличная кофеварка! Работяга - служит больше  лет, оптимальна по деньгам и объем чайника 1,3 л. радует когда приходит много гостей. Пользуемся каждый день по несколько раз. Методом "Тыка" определили необходимый объем воды и кофе на чашку.  Нравится.</t>
  </si>
  <si>
    <t>Машинку хватило на несколько пострижек! Волосы после стрижки на ощупь становятся как сахарная вата, больно дергает волосы. Заточка не принесла никаких результатов. Мы очень сожалеем,что выбрали данную модель.</t>
  </si>
  <si>
    <t>Супруг подарил мне на день рождения эту чудесную соковыжималку!!! Это просто супер!! Я очень довольна и не сколько не жалею, что муж сделал такой выбор!! Ничего не брызгает, сок без всяких кожурок и косточек!! чистый и прозрачный!!! Единственное, приходится долго мыть сетку, через которую проходит сок!!! Но думаю, что я научусь и буду делать это намного быстрее!!!!!  Покупайте и не пожалеете!!!!!!</t>
  </si>
  <si>
    <t>Отличная варочная печь уже пять лет пользуемся и довольна никаких пятен нет,а если и есть то очистить легко и просто жарить и готовит одно удовольствие и быстро все варится</t>
  </si>
  <si>
    <t>Потек сразу после первого наполнения водой.</t>
  </si>
  <si>
    <t>Если хотите сделать звук громче в динамике(в наушниках пока не получается из-за функции клир басс), то нужно заменить драйвера звука и будет вам счастье.</t>
  </si>
  <si>
    <t xml:space="preserve">нержавейка, плоский, мощный,красивый </t>
  </si>
  <si>
    <t>Купил эту плиту еще до долларового кульбита. Плита шикарная ! и защита от детей ,таймеры которые сами отключают пламя и.т.д . Единственный минус плохая герметизация между панелью и конфоркой , в следствии чего от выкипающих супов и.т.д. окисляется седло термопары и теряется контакт на массу и соответственно именно эту конфорку не зажечь !     Для меня это пустяк с помощью высокотемпературного герметика проблему решил (поэтому минус одна звезда)</t>
  </si>
  <si>
    <t>Отличная вещь ионизации хоть и нет но волосы не пушаться из за покрытия тефлон/керамика  вообще он простенький есть регулятор температуры что очень важно я выпрямляю на однёрке и мне хватает,да в комплекте идёт термощётка для ресниц косметичка и кисточки</t>
  </si>
  <si>
    <t>3021</t>
  </si>
  <si>
    <t>Отличное продолжение классного ужастика в космосе! Брать вместе с первой частью!</t>
  </si>
  <si>
    <t>А мне очччень понравилась машинка. Просто супер. Если раньше при стрижке другими машинками требовалась помощь ножниц, то здесь этого не понадобилось! Машинка справилась и без этого на отлично! Очень удобно, что  насадки не надо постоянно снимать и переставлять, просто регулируешь длину и всё.Большой плюс, что можно промыть машинку под струёй воды. В общем я не жалею, что мы купили её,советую всем. Машинка-супер, и цена приемлема.</t>
  </si>
  <si>
    <t>Отличный мобильный кондиционер с хорошей и эфективной системой охлаждения. Пользуюсь в офисе (солнечная сторона), очень быстро охлаждает помещение и поддерживает комфортную температуру. И самое главное конденсат сливать не надо, он так сам выпаривается в гофру! Думаю для нашего московского лета - это самое оно!</t>
  </si>
  <si>
    <t>1506</t>
  </si>
  <si>
    <t>Кофемашина просто СУПЕР. Качество и вкус приготовленного кофе не уступает профессиональным кофемашинам. Проста и удобна в эксплуатации и обслуживании. Программируется на жёсткость воды по прилагаемой тестовой полоске. Автоматическая очистка от накипи.Молотый кофе не использовал, нет необходимости, т.к. прекрасно мелит кофе в зёрнах. Отходы использованного кофе прессует в большие "таблетки" и сбрасывает в специальный контейнер. Каппучинатор прекрасно взбивает молоко до 100% пены,которую можно добавлять в чашку готового кофе.Советую всем.</t>
  </si>
  <si>
    <t>Три недели! и сгорел! был подключен телевизор, ресивер, двд, роутер и две консоли</t>
  </si>
  <si>
    <t>После того, как 2 месяца они меня радовали. они просто перестали включаться!   Пойду в магазин! Менять.</t>
  </si>
  <si>
    <t>Легкий, мощный, удобное расположение кнопок, наличие различных режимов, приемлемая цена</t>
  </si>
  <si>
    <t>Купили вчера последнюю с витрины уже под закрытие т.к. старая сломалась, а с детьми и без стиралки не жизнь...  Отлично отработала уже 2 раза, тихая и не скачет...</t>
  </si>
  <si>
    <t>Очень хорошая машина,за такую цену купить этот системный блок я считаю чудом.Зверь.    Возьмём нубский вариант...    все современные игры идут без лагов,очень хорошо выполняет потребности геймера.как рабочий компьютер конечно никакой.и как минус могу отметить что частота не очень</t>
  </si>
  <si>
    <t>Мне этот блендер подарили дети на Рождество в 2009 году. Просто не нарадуюсь! Делаю с его помощью и фарш, и коктейли, и тесто и еще многое..... А шум...., так разве может блендер быть бесшумным? У меня от него никто не просыпается и проблем с соседями не возникает:))))</t>
  </si>
  <si>
    <t>1290</t>
  </si>
  <si>
    <t>Это прекрасный фильм с замечательной игрой актёров. Чем больше смотрю - тем больше замечаю нюансов. Первый раз смотришь из-за сюжета, а все остальные - любуешься игрой актёров, музыкой, мимикой, словами и несказанным между строк. Отличный актёрский ансамбль!</t>
  </si>
  <si>
    <t>Купили пароварку больше года назад, пользуюсь 5-6 раз в неделю - и готовлю, и разогреваю (медленнее чем, в микроволновке, но зато полезнее!), очень довольна! Все съемные детали (чаши, поддон для капель и т.д.) мою в посудомойке! Деньги потратили не зря! Очень советую!  Один только момент, хочу найти где-нибудь ещё 1-2 чаши для риса - одной для двоих хорошо, а на компанию малова-то!  А у кого она не работает - значит бракованная или подделка! Сама модель шикарна!</t>
  </si>
  <si>
    <t>купил случайно, т.к. сгорали бонусные рубли на карте.  Отличная штуковина! Температуру показывает точно, синхронизирует время с Франфурктом (работает только западнее Казани), удобный будильник. самое интересное проекция на потолок! проснувшись ночью не надо шарить вокруг в поисках будильника, открыл глаза и время на потолке)))  Рекомендую!!!</t>
  </si>
  <si>
    <t>632</t>
  </si>
  <si>
    <t>Телевизор просто отличный! Серия 5 вообще самая лучшая по качеству/цене на мой взгляд! Четкое изображение, отличная контрастность. Из телевизоров этой ценовой категории самый лучший на мой взгляд! Очень рекомендую!</t>
  </si>
  <si>
    <t>Недавно купили данный утюг, очень долго выбирали, утюгом очень довольны, гладит здорово, белье даже можно гладить только с одной стороны, так хорошо греет и парит. А воду можно и долить, не трудно. Кто стоит перед выбором- берите, не пожалеете!!!</t>
  </si>
  <si>
    <t>Фен отличный,работает исправно,оч хорошо просушивает волосы,оч им довольна!!!</t>
  </si>
  <si>
    <t>235</t>
  </si>
  <si>
    <t>Ну радует что рады вы. Но давайте не будем дезинформировать покупателей. Данная сборка не немецкая а китайская.</t>
  </si>
  <si>
    <t>Все хорошо в этом чайнике и дизайн и функционал. Но у этих чайников есть болезнь, через  время начинает течь вода из стекла и отходить резинка на крышке. Гарантия на чайник 2 года. И как правило эти проблемы начинаются к концу гарантии, чтобы устранить течь стекла на это нужно примерно 2-2.5 тыс. Вот и смысл покупать такой дорогущий чайник, если через 2 года нужно вкладывать в него цену нового обычного чайника. Проще каждые 2-3 года менять новый чайник. Очень разочарованы им. Ожиданий много, но долгосрочной работы от него ждать не стоит. Вот и сейчас думаем стоит ли его ремонтировать.</t>
  </si>
  <si>
    <t>2015-04-23</t>
  </si>
  <si>
    <t>Электрическую зубную щетку заставила выбрать нужда - после появления коронки чистить дальние зубы за ней стало сложно, а при очень старательном трении слабая эмаль болела на ближних. Да и сама коронка стоит так, что лучше купить зубную щетку =) профилактика дешевле.  Чистит - мечта. Учиться лучше с зеркалом, чтобы привыкнуть к правильному положению, и щетка не ходила краем "вхолостую". Для чувствительных зубов, и оголенных придесновых - по-моему очень выручает, уровень чистоты высокий, и нет вредных поперечных движений. Паста, конечно, при этом нужна сенсетив.  Пользуюсь 4-5 месяцев, отбеливания не заметила, но главное хуже мега-капризной эмали не становится.  Все насадки серии орал-би подходят, внутри упаковки насадок всегда есть цветное колечко, для маркировки если пользуются несколько человек.  Мне на 1 человека хватает около недели зарядки, но заряжается она реально небыстро - обещанные 16 часов из инструкции. Это некоторый минус, но при наличии розетки в ванной можно вообще хранить на зарядке-подставке постоянно.  Да, если это первая эл-щетка, - то никаких ужасов при использовании на самом деле нет. Работающей щеткой можно задевать десны и старательно чистить их границу, эффект массажа. Если уж совсем перестараться, потом легкая шершавость, словно сухость. Инструкция обещает, что слабое кровотечение пока привыкаете, в первые дни, мол нормально - мои трепетные десны которые от яблок могут закраснить, ничего не почувствовали. Если вслепую и с непривычки прижать щетку слишком сильно, она конечно будет отдавать гулом по всей челюсти - тоже как массаж, довольно смешно - а потом датчик давления снижает обороты. Поэтому, собственно, и лучше научиться с зеркалом.</t>
  </si>
  <si>
    <t>теперь точно знаю что мне нужно на день рождения)))!!!</t>
  </si>
  <si>
    <t>батарейка быстро садится.</t>
  </si>
  <si>
    <t>2428</t>
  </si>
  <si>
    <t>Взял в марте месяце. Машинка очень хорошая, подстригался два раза. Замечаний нет.</t>
  </si>
  <si>
    <t>1780</t>
  </si>
  <si>
    <t>Через 3 недели эксплуатации появилась синяя вертикальная строка пикселей на всю высоту.  Сдал по гарантии. Чинили 3 месяца. Так и не починили - дали справку на замену.    А классный телик. Картинка безупречная, меню удобное, стопкадр есть.</t>
  </si>
  <si>
    <t>Я хотела бы купить...  Расскажите стоит ли вообще покупать?  Стоит ли брать его в поезд?  И ещё несколько вопросов.  Действует ли на него скидка?  А то я такую сумму не потяну!!!  На него без скидки мне надо копить 5 лет!!!  И ещё этот нетбук продаётся с флэшкой?  Хотелось бы с флэшкой!!!  И ещё. Этот разъём не для симки, а для флэшки.</t>
  </si>
  <si>
    <t>Через USB вход читает все известные форматы видеофайлов, правда открывать вход нужно самому, в изначальной настройки он закрыт. Телевизионный сигнал ему нужен цифровой, с аналоговой антенны качество на нем хуже, чем на кинескопном.</t>
  </si>
  <si>
    <t>3158</t>
  </si>
  <si>
    <t>Отличный телек,кабельное тв +5,dvd-прекрасно ,Blu Ray- просто кайф!Звук-оч хорошо!Фильмы с торрентов-!!!ОТЛИЧНО!!!Единственный минус для меня -протупил ,и взял для 12 метровой комнаты 32 дюйма-для блюрей это мало-42 как минимум!Не экономьте деньги на диагонали-её много не бывает!</t>
  </si>
  <si>
    <t>сломалась через 2 недели, хорошо что докупила гарантию и поменяла с доплатой на другую модель!!!</t>
  </si>
  <si>
    <t>2021</t>
  </si>
  <si>
    <t>Xbox 360 Elite - Отличная приставка, рекомендую всем у кого её нет приобрести.</t>
  </si>
  <si>
    <t>Качество традиционно хорошее, гарантия 10 лет не зря дается. Скорости средние, но вполне достаточные для просмотра видео. USB 2 без проблем понимает вся домашняя техника. Маленькая, в кармане самое то носить. Из флэшек уже лет 5 беру только Transcend, все безупречны в работе.</t>
  </si>
  <si>
    <t>Хороший ноутбук!!!!правда батареи хватает не надолго!! но это всё ерунда!</t>
  </si>
  <si>
    <t>658</t>
  </si>
  <si>
    <t>Выпросила у мужа.) И не жалею!!! чудо выпрямитель! блокировка клавиш есть: удерживать "-" в течении 2 секунд. волосы выпрямляла при 180 градусах - результат супер, гладенькие, блестящие волосы! Советую всем!</t>
  </si>
  <si>
    <t>Габариты, идеально вписалась в маленькую ванную. Установка заняла 20 минут, установили самостоятельно. Достаточно простая в эксплуатации. Не  вибрирует, шумит в пределах нормы, но уж извините, это не Аристон.</t>
  </si>
  <si>
    <t>2135</t>
  </si>
  <si>
    <t>Отличное качество воспроизведения! Из минусов- медлителен, при просмотре с флешки может зависнуть, издает слышимые похрюкивания.</t>
  </si>
  <si>
    <t>За эти деньги лучше не найти! Всем доволен!!!</t>
  </si>
  <si>
    <t>отличный мощный ноут за небольшую цену</t>
  </si>
  <si>
    <t>Шикарные наушники. Прекрасный и чистый звук, басы очень хорошо чувствуются, но не "долбят", а так мягко отдаются. Срок действия около 1.5 лет.</t>
  </si>
  <si>
    <t>У меня такая МВ на 4,5 литра. Пользуюсь ею уже около 4 лет, в ремонт ни разу не сдавала, за исключением случая, когда задумавшись высыпала гречку не в кастрюлю, а прямо на дно МВ. Пришлось сдавать по гарантии в сервис - раскручивать, чистить. В основном делаем каши на утро, сегодня сварила суп - все нормально. Апельсиновую шарлотку готовила - все пропеклось, сочная, не сухая.По поводу слипшихся круп - нужно для себя приноровиться - с водой и количеством крупы, и не забывать с автоподогрева снимать, если это вам не надо - каша, долго стоящая на автоподогреве, естественно продолжает разбухать, вода выпаривается через клапан и она становится суховатой или слипается вовсе. Остальное - придирки!</t>
  </si>
  <si>
    <t>Если утюг то только Philips-2 года эксплуатации и только самые положительные впечатления: на него даже посмотреть приятно. И в работе-нигде не капает,скользит легко.Рекомендую.</t>
  </si>
  <si>
    <t>2015-09-06</t>
  </si>
  <si>
    <t>Влюбилась я в утюг Rowenta  С первого момента!  Не подведет, не подкачает,  Любым запросам отвечает:  Красив дизайном и практичен,  Да плюс еще экономичен!  Утюг мой так удобен-  В работе просто бесподобен:  В нем особеннейший дар-  Настрой на паровой удар!  Есть мощный вертикальный,  Еще-горизонтальный...  Отпарит всю одежду, шторы-  Готов работать до упора!   Антипригарная подошва  Не подведет, как было в прошлом.  Отгладит все-не подпалит,  Своей работой восхитит!  Его наличие-не вопрос..  Утюг -ну просто виртуоз!  И с этого момента  Я всем советую эту модель Rowenta!</t>
  </si>
  <si>
    <t>Волосы стали ну совсем чуть чуть меньше пушиться. Больше никакого положительного эффекта не заметила</t>
  </si>
  <si>
    <t>Красивый, быстрый разогрев</t>
  </si>
  <si>
    <t>2019</t>
  </si>
  <si>
    <t>Замечательный набор! Красивый дизайн, фен довольно мощный и на мой взгляд удобный. утюжок немного подводит, тем не менее тоже хороший) рекомендую)</t>
  </si>
  <si>
    <t>1566</t>
  </si>
  <si>
    <t>В использовании - 2 месяца.  Описывать технические характеристики не стану - всё есть на страничке товара.  Попытаюсь категорировать оценки:  Дизайн, внешний вид - 5. Строгий минимализм SONY. Ничего лишнего. Чёрный лак. Смотрится ну оооочень дорого.  Качество изображения - 5. Сравнивал с остальными производителями, субъективно, СОНИ - это СОНИ. Хочется сказать избитую фразу "остальное - компромисс". Динамика и цветопередача вне конкуренции. Артефактов не оставляет. Несколько режимов картинки и энергосбережения. Тонкие настройки режима экрана и изображения "с одной кнопки".  Эргономика (меню, настройки и т.д.) - 4+. Снизил оценку только за отсутствие кнопки "вызов последнего канала", хотя удобно добавлена кнопка "избранное", можно пользоваться и ей для вызова наиболее просматриваемых каналов. А вообще меню сделано под PS-3, очень удобно и доступно, перемещающимися по экрану картинками-кнопками. Подключать к Интернету пока не пробовал.    Картинка с DVD SONY через HDMI просто потрясает. Смотрю и не нарадуюсь. Использую аппаратуру этой фирмы уже 15 лет и ни на что больше не променяю.    А! Есть небольшой "минус" - включается 5-6 секунд (хотя 20" кухонная Тошиба включается, мне кажется, не быстрее. Это если кого-то напрягает. Однако (!) переключение каналов после включения - мгновенно, чем могут похвастаться редкие ЖК-телевизоры.    Вкратце - всё. Ставлю общую оценку - твёрдая, заслуженная "5".</t>
  </si>
  <si>
    <t>наушники супер басы обалденные и сидят в ушах плотно!!!!!!!</t>
  </si>
  <si>
    <t>Магнитола просто ужасная, через месяц перестала читать диски, отдал в ремонт сделали ,но не надолго. Сейчас опять не читает, громкость перестала убавляться, а вообще громкость живёт сама по себе, хочет прибавит или убавит.</t>
  </si>
  <si>
    <t>Очень классная приставка! Я был очень рад когда купил её, ведь я о ней год мечтал=) С тех пор как у знакомого поиграл=)   Покупайте все! Не пожалеете!</t>
  </si>
  <si>
    <t>достаточно легкий и удобно держать в руке, удобно переключать скорости, очень тихо работает и рука не устает, отлично взбивает тесто для бисквита за пару минут, я даже удивилась!очень порадовало что шнур легко можно спрятать и он занимает мало места.</t>
  </si>
  <si>
    <t>Телефон купила два года назад, но по сей день он работает. Телефон чёрного цвета. Телефон отличный, музыка очень громкая, особенно в наушниках, полная комплектация и т.д. Меня это радует. Советую брать всем, кто любит сони</t>
  </si>
  <si>
    <t>Купила 2 недели назад,консультанты расхваливали в 3-х магазинах...очень разочаровалась.Вчера решила испытать,купила хорошее мясо,выбрала среднюю решетку и...мясо через сито не выходит...,поменяла решетку на самую крупную...вроде получилось...но все как то...шумит сильно,удовольствия не получила...  Всегда покупаю в МВидео и первый раз такой косяк...</t>
  </si>
  <si>
    <t>2852</t>
  </si>
  <si>
    <t>Насадка сломалась после 5-го использования. Хоть ножи и хорошие но свой функционал выполнить не могут по причине поломки насадки. Если использовать без насадок - работает хорошо. Удобный чемоданчик. И прочие ненужности.</t>
  </si>
  <si>
    <t>Купили первый раз варочную поверхность в новую кухню, привезли домой, распокавали (забирали со склада сами, т.к. доставка в М.Видео - долгая история) начали осматривать и обнаружили трещину достаточно заметную возле ручки. Отвезли сразу же на обмен. Забрали другую, установили дома по инструкции. Через два месяца обнаружили аналогичную трещину уже от другой ручки. Т.к. некоторое время пришлось использовать с трещиной, появились сколы. Сама поверхность по фуекциональности удобна, но качество оставляет желать лучшего. Сейчас отдали в сервисный центр.</t>
  </si>
  <si>
    <t>2687</t>
  </si>
  <si>
    <t>Удобная, компактная. Я доволен!Рекомендую!</t>
  </si>
  <si>
    <t>158</t>
  </si>
  <si>
    <t>Отличный товар, всегда ношу с собой, 130кг, но как пушинка, умещается в кармане, раскладывается за 3 секунды.</t>
  </si>
  <si>
    <t>пользовался многими хлебопечками, эта - однозначно, лучшая. ни одного замечания. есть, правда, одна особенность: если в LG все продукты можно измерить мерным стаканом, то здесь придется купить электронные кухонные весы (желательно Beurer :)  и еще: в жару уменьшайте количество дрожжей в полтора раза и никогда не используйте российские дрожжи.</t>
  </si>
  <si>
    <t>Вообще супер телефон!  Лучше и придумать нельзя за такую цену!  Но  в крайнем случае телефон просто класс!</t>
  </si>
  <si>
    <t>Отличный телефон. Крупные и удобные клавиши, подсветка дисплея, чистый звук, не требует подключения к 220В. Прочитав внимательно всю инструкцию и настроив телефон, так, как вам удобно - он превращается в незаменимого помощника(будильник, автодозвон) и просто красивый, удобный, практичный, не побоюсь этого слова - современный, даже не смотря на всю классичность его исполнения, телефон для семьи и дома.</t>
  </si>
  <si>
    <t>Не думала, что бывают водонагреватели такого маленького объема. У нас висит большой агрегат в ванной, тоже марки Haier. А потом решили еще на дачу в кухне повесить водогрей, чтобы посуду было мыть удобнее. У данной модели одни достоинства) Воду нагревает быстро, остывает она долго, удобное управление, отключается автоматически, давление воды хорошее выдает, да плюс ко всему семилетняя гарантия на внутренний бак дается.</t>
  </si>
  <si>
    <t>Пылесос - зверь! Вычищает все! Из минусов быстро загрязняется фильтр, хотя быть может это и плюс, значит так эффективно он удаляет всю видимую и невидимую грязь. Приобрели в конце декабря. Пока нравится.</t>
  </si>
  <si>
    <t>у нас был дорогой чайник, проработал 5 лет сломался, денег на хороший чайник на тот момент не было. купили этот чайник работает уже год.у меня нареканий нет. кому воняет помойте хорошо после покупки. за такие деньги работает на 5!</t>
  </si>
  <si>
    <t>Пользуюсь таким плеером. Очень удобный.</t>
  </si>
  <si>
    <t>Вам всем повезло больше, чем мне. Я им пользовалась всего пол года.:(((</t>
  </si>
  <si>
    <t>Я сегодня купила эту соковыжималку. Мне она понравилась. Работает тихо, моется хорошо. Рекомендую.</t>
  </si>
  <si>
    <t>Удобная, надежная</t>
  </si>
  <si>
    <t>Хорошо слушать электронику и инструментальную музыку. Рок как-то не очень... мне показалось, что каша в средних частотах. Чисто на звук кажется, будто бы низы и верхи подняты. Верхи очень красивые, звонкие. Басы вибрирующие. Серединка непонятная, плоский звук, не очень впечатлили.</t>
  </si>
  <si>
    <t>Покупать такой фен не рекомендую, насадки очень быстро сломались, через год эксплуатации начал перегреваться, при этом не выключался, но весь оплавился, теперь ищу новый, более надежный.</t>
  </si>
  <si>
    <t>Наушники не смотря на свою цену-прекрасные. Пользуюсь ими давно, звук отличный, все басы на месте даже лучше, очень громкие. А пишу такой комментарий только потому что купила оранжевые наушники Panasonic RP-HJE120E-D Or вакуумные этой же фирмы и безумно в них разочаровалась,т.к. там звук тупо попсовый с шумами и басов как будто нет, тихие, поэтому эти я просто обожаю.Много раз их сравнивала и каждый раз убеждаюсь что эти просто супер. Я их обожаю.</t>
  </si>
  <si>
    <t>Очень долго выбирали ,но остановились на нем и ни разу не пожалели, мясо рубит, лед. Коктейли готовятся за секунды. Нашей семье очень нравиться. Покупайте не пожалеете, он стоит своих денег!!!!!! Вообще фирма BORK очень хорошая.</t>
  </si>
  <si>
    <t>Доска очень понравилась. + Большая поверхность, удобно раскладывается, устойчивая, достаточно качественная - Недостаток в ней только один (часто встречается, судя по другим отзывам): прогибается сетка посередине. Но всё-таки множество плюсов перекрывают этот минус.</t>
  </si>
  <si>
    <t>1373</t>
  </si>
  <si>
    <t>работает от силы 3 часа, меню не удобное,звук плоский какой-то, вобщем в топку</t>
  </si>
  <si>
    <t>Купила сегодня эту чудесную микроволновку.Стильный дизайн удачно вписался в интерьер кухни.Опробовала уже несколько режимов приготовления и разморозки все на 5+!  Конечно рекомендую купить защитную крышку для того чтобы не пачкать микроволновку внутри и почаще протирать следы от пальцев.Часы настроила и видно все очень хорошо,а то что слабая подсветка так это абсолютно не к чему.</t>
  </si>
  <si>
    <t>Sedokryl (Москва)- навигация бесплатная работает! даже можно отключить навигацию с помощью интернета, чтобы не "раскошеливаться".  Про будильник - Там специальная полоска бежит на экране - её не надо нажимать, а надо по ней провести пальцем))). Офис - не проблема.  А телефон отличный!!! Аккумулятор мощный - 4 часа подряд играл музыку на полной громкости через динамик. А кому нужна камера мощная (30.03.2010 ололо )- купите цифровик за 10000рэ.</t>
  </si>
  <si>
    <t>2582</t>
  </si>
  <si>
    <t>супер ноут)</t>
  </si>
  <si>
    <t>Первая моя Кофеварка. Сравнить не с чем. Купил, так как надоело торчать у плиты утром, чтоб не сбежало. Кофе получается хорошим, приемлемо горячим - сварил, налил и сразу пей. Корпус без заусенцев, хороший пластик. Из минусов - не совсем удобно наливать воду в кофеварку и совсем неудобно наливать сам кофе, колбу надо было делать с прямой стенкой, а пока приходится чуть ли не переворачивать ее, чтобы Вылить весь кофе. Неплохо было бы, если в комплекте был золотой фильтр. При приготовлении - щелкает и шипит, в меру. В целом - мои рекомендации!</t>
  </si>
  <si>
    <t>Пылесос сам по себе неплохой, и мощность хорошая, и контейнер удобный, и фильтры все моются. Одно "но": на щетке помимо обычного стандартного ворса, который либо убирается, либо выдвигается, в зависимости от поверхности,есть еще то ли резиновые, то ли силиконовые полоски, из-за которых очень неудобно пылесосить ковры (даже на маленькой мощности щетка практически стоит на месте, можно двигать только на себя). В принципе, хороший пылесос, а щетку можно и поменять.</t>
  </si>
  <si>
    <t>Теккен, в который будут играть все. Теккен, достаточно доступный для новичков и радующий знакомыми героями и супер связками ветеранов серии. Теккен, который не надоедает. И, в конце концов, лучший Теккен на ПСП! (6 часть намного хуже)</t>
  </si>
  <si>
    <t>Пользуюсь таким чайником 2,5 года. Претензий по качеству не имею. Довольна покупкой... всем советую!!!!!</t>
  </si>
  <si>
    <t>Вчера купила этот ноутбук. пока всем довольна. ничего лишнего. клавиатура очень удобная. Правда батареи хватает на 2.5 часа. однако,можно вполне экономичными  настройками растянуть время работы. дисплей удобный. и невысокая стоимость - очень удачное приобретение</t>
  </si>
  <si>
    <t>Хорошая камера. Прочитал отзывы в интернете, решил брать. Ни капельки не пожалел. Снимает отлично, простая в обращении, легкий старт, встроенной памяти 4gb хватает съемки лучшего качества на 55минут. Мне больше и не надо. Смотрю на ЖК Sony 32 HDReady. Пробовал скидывать записанное, потом редактировал с помощью Pinnacle Studio, и затем конвертировал снова - качество остается хорошее, даже после перекодировки. Берите не пожалеете.</t>
  </si>
  <si>
    <t>2016-06-03</t>
  </si>
  <si>
    <t>Плюсы: хорошо сидят -покупал для бега, спорта. Не спадают.  Минусы: минус, присущий всем наушникам такого типа - звук не сконцентрированный, потому что это не вкладыши. Поэтому использовать их в шумных местах (метро, на улице) - не очень удобно, плохо слышно.</t>
  </si>
  <si>
    <t>1729</t>
  </si>
  <si>
    <t>Отличный театр,звук как в кино ,читает абсолютно все ,покупкой довольны!</t>
  </si>
  <si>
    <t xml:space="preserve">ЛЁГКАЯ,УДОБНАЯ, КОМПАКТНАЯ,НЕ ШУМНАЯ, ОТЛИЧНО СТРИЖЁТ </t>
  </si>
  <si>
    <t>2013-04-22</t>
  </si>
  <si>
    <t>Покупкой довольны.Всё стирает отжимает ,не прыгает.Нужно по уровню всё настроить и вывернуть 4 транспортировочных болта.</t>
  </si>
  <si>
    <t>1548</t>
  </si>
  <si>
    <t>Та же проблема - левое ухо перестало работать ни  того ни  сего. Правда у меня они года два прослужили. Обидно, 1000 р на дороге не валяются, а теперь надо новые брать.</t>
  </si>
  <si>
    <t>2331</t>
  </si>
  <si>
    <t>Быстро фильтрует</t>
  </si>
  <si>
    <t>2037</t>
  </si>
  <si>
    <t>вчера купила этот телефон,в целом очень рада)))  советую))))</t>
  </si>
  <si>
    <t>Хорошая вещь, купил жене на НГ. Осталась довольна. По впечатлениям, все добротно сделано. Мощность прибора достаточная, т.е блокировки двигателя не происходит, все насадки сделаны из стали, как написано хирургической. Насадки не прокручиваются в устройстве, да и вряд ли будут поскольку имеют вид шестигранника.</t>
  </si>
  <si>
    <t>Купил  HDMI (DVI) подключил с компьютера на телевизор, но звука на телевизоре нету, картинка есть, может что-то я не включил подскажите.</t>
  </si>
  <si>
    <t>Ооочень удобный и простой в обращении набор! Хорошо ложится в руку, со своей задачей справляется. У машинки несколько насадок и две скорости, при сильном нажатии на ноготь она не выключается, а продолжает работать дальше. Удобно, что есть подсветка - видно, что с ногтями делаешь. А главное - недорого. Не самый мощный вариант, конечно, но для домашнего маникюра - самое то!</t>
  </si>
  <si>
    <t>Замечательная печка.Несколько лет работает у меня,моих родителей.В этой модели чаша диаметром 28,8 см.,что огромный плюс и крайне редко встречается в других моделях.</t>
  </si>
  <si>
    <t>Купил 2 недели назад.  Всё прекрасно, но есть неудобства:  Отдельный стилус;  Совмещённый разъём для зарядки и наушников;  Кроме того при плотной облачности GPS очень долго соединяется со спутниками. Возможно недостаточная чувствительность GPS приёмника.  В остальном претензий нет, работает очень даже не плохо...</t>
  </si>
  <si>
    <t>Хорошой чистит воздух, смог и дым больше не тревожат.</t>
  </si>
  <si>
    <t>Пылесос очень классный. Всасывает отлично, ковры после него, как новые, с поднятым ворсом. И все волосы по квартире собирает идеально. После уборки с ним - в квартире ни соринки!Всем рекомендую!И цвет приятный)</t>
  </si>
  <si>
    <t>Горячая вода</t>
  </si>
  <si>
    <t>очень клевая игра</t>
  </si>
  <si>
    <t>Кто уже приобрёл, отпишитесь пожалуйста какая на ней версия прошивки...</t>
  </si>
  <si>
    <t>Присоветовал продавец, не обратила внимание на слабую матрицу, как достоинства восхвалялись зум 70х и оптический стабилизатор. В итоге качество записи отвратное, в помещении ужас - тёмное желто-бардовое все, на улице слишком светлое - слепит. Зум не нужен вообще, стабилизатор не знаю, хорош или нет, но держать одной рукой все равно нельзя, все дергается, только двумя руками крепко и осторожно. В общем покупкой не довольна. 13 тысяч отдала в  октябре.</t>
  </si>
  <si>
    <t>Операциока действительно 6.1,но если ручки не кривые всё будет хорошо,если же кому нравится 3310,то юзайте и не лезьте на форум где обсуждают продвинутые девайсы не для ламеров...  От себя могу добавить,тело классное,без глюков,+ HTC выпускает лучшие коммуникаторы в Мире !!!</t>
  </si>
  <si>
    <t>Первый раз когда стала стирать все хорошо, а вот второй,просто ужас что было.Машинка тряслась,я думала барабан вылетит.Держали вдвоем. Оказывается,вот что было не так. Сзади машинки есть 3 транспортировочных болта ( красные) их надо вытащить. 2 небольших,и 1 большой с верху ( который побольше,вытащить тяжеловато,но можно)Когда их убрали,такой тряски не было. На данный момент машинка работает и я всем довольна,надеюсь в дальнейшем радость не пропадет ))</t>
  </si>
  <si>
    <t>3018</t>
  </si>
  <si>
    <t>как сделать пельменное тесто на этой хлебопечке?</t>
  </si>
  <si>
    <t>Эта плита не заслуживает уважения. Ровно через год вдребезги разлетелось наружное стекло духовки. В сервисном центре сказали, что для того, чтобы его, стекло, заменить - надо заказывать из Германии и стоить это удовольствие будет где то 8 тысяч. Краска тоже послужила год и пошла паутиной. В общем название этой плиты - Деньги на ветер. Вот вам и немецкое качество ))</t>
  </si>
  <si>
    <t>Первое впечатление довольно положительное! Очень качественное исполнение - в связи с довольно низкой ценой, очень тщательно осмотрел... не нашел никаких производственных ляпов - всё сделано очень качественно и красиво (никаких расплавов пластмассы и пайки нет! &amp;nbsp;Плюс к этому - кольца для установки за подлицо в комплекте!!! что мне и требовалось. Неприятный сюрприз - нет какой-либо схемы подключения ни в коробке, ни на ней, что при наличии двух белых проводов (независимо от красный полосы на одном) вгоняет в некоторые раздумия о подключении. По качеству звучания ничего конкретного написать не могу - установил в задние двери довольно близко к основным колонкам, поэтому особо не слышно (если не закрывать основную колонку подушкой), но с основными колонками играют гармонично, звук не портят и искажений звука не создают. Есть идея продублировать и передние колонки этими же твитерами, поэтому голосую За!</t>
  </si>
  <si>
    <t>Доволен приставкой, игрой. Советую брать!</t>
  </si>
  <si>
    <t>Исли хотите брать финалку, то берите на PS3, а не на боксе, где игра идет на трех дисках и в сильно пожатом разрешении.</t>
  </si>
  <si>
    <t>Консервные банки отрывает без усилий,легко и быстро. Да и с заточкой ножей теперь нет проблем.Нужная вещица и незаменимая помощница. А с предыдущим комментарием громоздкая- не согласна!!! Удобная,компактная,есть отделение для хранения шнура. В общем,советую!!! Покупайте!!! Не пожалеете!!!</t>
  </si>
  <si>
    <t>Данная плитка проработала 8 месяцев и перестала работать.(( Грелась очень долго как и остывала.</t>
  </si>
  <si>
    <t>Отработал чайник всего неделю - после начался ужасный привкус горелого пластика - не берите не советую!!! Берите чайник из белого пластика.</t>
  </si>
  <si>
    <t>Это самая крутая онлайн игра из всех, что я видел...</t>
  </si>
  <si>
    <t>Купила этот чайник, прекрасно греет, быстро, правда чуть шумновато, но покупкой довольна.</t>
  </si>
  <si>
    <t>2163</t>
  </si>
  <si>
    <t>у меня такие наушники уже год, слушаю часто, нареканий нет. про то, что контакты отпадают и провода хлипкие, я бы не сказал, за свою цену они очень даже отличные!</t>
  </si>
  <si>
    <t>Пользуюсь этим феном уже 5 год,и никаких замечаний!!!!!!Рекомендую!!!!</t>
  </si>
  <si>
    <t>Купила около двух недель назад, теперь он мой незаменимый помощник на кухне. И котлеты куриные делаю в нем, и джем и вкуснейшие коктейли</t>
  </si>
  <si>
    <t>Очень хороший телевизор.Полностью стоит своих денег и рядом не стоит с ближайшими конкурентами.Единственный недостаток - модель уже старенькая, если не физически, то морально точно.(выпускается с октября 2008 года)  Очень яркие насыщенные цвета, с компьютера по HDMI передача точь в точь. Очень много действительно нужных настроек, подсветка пульта и сам пульт - лучше и не пожелаешь. Купил 8 февраля 2010.Ни разу не пожалел, всем советую, вещь достойная.</t>
  </si>
  <si>
    <t>Хотели посудомоечную машину давно, но финансы не позволяли. После очередного похода в мвидео были шокированы ценой и купили! Пользуемся уже около недели, претензий нет! отличное соотношение цены и качества!</t>
  </si>
  <si>
    <t>Телефон так себе, больше всего для женщин, стоимость дешевая так пойдёт,звук не очень......</t>
  </si>
  <si>
    <t>Хороший водонагреватель. Долго сохраняет теплую воду в выключенном состоянии. Минус в том что в комплекте нет дюбельных болтов для монтажа и не предусмотрен слив воды, но в принципе это все стоит копейки.</t>
  </si>
  <si>
    <t>Флешка как флешка, ничего особенного... Но через год она перестала работать. Когда вставляешь флешку в комп, появляется автозапуск... и тут же закрывается. Через секунду опять включается автозапуск и опять закрывается. В результате флешка не читается, а комп виснет.</t>
  </si>
  <si>
    <t>365</t>
  </si>
  <si>
    <t>Аппарат просто круть, все цивильно, есть мелкие недочеты: для мня не удобно, то что кнопки не очень удобно нажимать, чтобы быстро напечатать сообщение. Работает все качественно как в "аптеке", если  умеешь пользоваться... Камера порадовала. Дизайн добротный. Очень хороший телефон, стоит своих денег.</t>
  </si>
  <si>
    <t>приобрела данную машину вроде все просто и легко и казалось не должно было быть проблем, но очень удивило когда после первого использования на следующий день обнаружили под машиной лужу, видимо подтекает втулка подвода воды к машинке. в инструкции сказано, что воду надо каждый раз перекрывать после использования, но я предполагала машинку встроить в кухонную мебель и естественно никаких подступов к воде не будет, так что пришло легкое разочарование.</t>
  </si>
  <si>
    <t>1289</t>
  </si>
  <si>
    <t>Конечно, наивно ожидать в таком маленьком утюжке всех функций полноценного. Но для дорожного он просто отличный. Часто между городами разъезжаю, мне без такой штуки никуда. С моей одеждой он справляется хорошо, ничего не прилипает и не пригорает. Вертикальное отпаривание правда не сравнится с полноценным отпаривателем - но мне и не нужно в разъездах шторы гладить, а для платья или блузки хватает вполне.</t>
  </si>
  <si>
    <t>2013-02-21</t>
  </si>
  <si>
    <t>Если загорелся значок С: Через 60 часов работы вытяжки на дисплее отображается символ С, предупреждающий о необходимости чистки алюминиевого жироулавливающего фильтра. После чистки фильтра (см. п. Обслуживание и уход за вытяжкой) и его установки в вытяжку, нажмите кнопку 1, и удерживайте её в течение 3 или более секунд. После этого символ С исчезнет, а на дисплее появится символ Е, означающий, что вытяжка вновь готова к нормальной работе.</t>
  </si>
  <si>
    <t>Сломалась на второй день.Не читает ДВД.Хорошо хоть поменяли на Сони МP3.</t>
  </si>
  <si>
    <t>Ужасное качество сплит системы.Никому не посоветую-замучитесь.</t>
  </si>
  <si>
    <t>1846</t>
  </si>
  <si>
    <t>Изучив все плюсы и минусы моющих пылесосов чётко определил для себя, что нужно иметь моющий пылесос и обычный с мешком. В результате Вы без заморочек можете эффективно пропылесосить (ни заливая воду и сливая, ничего ни высушивая), а когда нужно, достать моющий и сделать влажную уборку. Таким образом был приобретён отличный пылесос для сухой уборки и этот моющий. Да и по бюджету это получилось экономнее. Теперь об этом пылесосе. Не верная информация у продавцов. Это не пылесос для сухой и влажной уборки, а пылесос исключительно для влажной уборки (информация производителя). Если им пылесосить на сухую, то большая часть пыли попадёт в двигатель и в воздух. В нём нет мешка для сбора пыли и нет НАРА фильтров. Но моет он очень хорошо. Конструкция простейшая и надёжная. Пластик крепкий, хоть так и не выглядит. Очень мощный (шумноват). Зря сделали телескопическую трубу из нержавейки, она слишком тяжёлая и тем самым доставляет много неудобств. На щётке для полов не продуманный сосок для трубки подачи моющей жидкости, из-за короткой длины которой сосок лёгко отламывается (устранено эпоксидкой, советую сразу заменить трубку на более длинную). Мало клипс для крепления трубки подачи моющего средства. В целом за эти деньги шикарный аппарат. Купил по акции 50%</t>
  </si>
  <si>
    <t>Пользуюсь два месяца, довольна всем. Да, на 2-3 скорости шумит, но вы другие вытяжки на этих скоростях не слышали. А эта и на первой работает замечательно (и шума практически нет)и вытягивает без проблем (учитывая, что курю на кухне, Шиндо просто спасение!)</t>
  </si>
  <si>
    <t>После установки машинки и начала стирки счета за электричество возросли в 2 раза! Так, до этой машинки платила за электричество в среднем 250 руб. в месяц. А сейчас - по 450 руб за 2 недели! (по 2 недели в июле и августе "сидела на даче"). Машинку приобрела в июле в МВидео :(. При том, что стираю не более 4 раз в месяц. Страшно представить, какие счета придут за 4 недели сентября. И если,не дай бог, придётся стирать 6 раз в месяц! Кошмар</t>
  </si>
  <si>
    <t>Взял эту кофеварку пару часов назад в качестве альтернативы обычному чайнику. Сделан приборчик качественно, ничего не шатается, все части плотно прилегают друг к другу - приятно использовать. Короче говоря, минусов я пока не нашёл, надеюсь и не найду.</t>
  </si>
  <si>
    <t>1601</t>
  </si>
  <si>
    <t>Отличная кофемашина</t>
  </si>
  <si>
    <t>3138</t>
  </si>
  <si>
    <t>Чайник отличный, полгода уже работает без нареканий. Всегда горячая вода. С утра, правда, кипятит долго, так это и так понятно.</t>
  </si>
  <si>
    <t xml:space="preserve">Мощная, высокая скорость работы, удобство использования, компактная, стильная, производительная, в доступном ценовом сегменте. </t>
  </si>
  <si>
    <t>Пользуюсь мультиваркой 1 год. Не ожидала, что она будет моей помощницей в приготовлении очень многих блюд.  Очень довольна! Забросил продукты и забыл.Удобно,вкусно,полезно!  Очень много рецептов в Интернете.  Всем советую!</t>
  </si>
  <si>
    <t>Не пойму, кто люто минусит все положительные отзывы? :) Тостеру нет равных на рынке, это факт. Свои деньги отрабатывает. Те у кого после мойки всё облезло - попробуйте не мыть кухню серной кислотой. Ну или не покупать технику на горбушке))))</t>
  </si>
  <si>
    <t>Выбирали плиту по цене, пользуемся уже 1,5 месяца, довольны покупкой.  Конфорки и духовка работают отлично. Радуют термостат духовки, функция "минимальный огонь" и внешний вид. Небольшие минусы: решетка в духовке тонковата, при поджиге духовки нужно сильно давить на ручку крана, иначе газ гаснет.  В целом - хорошая плита за такие деньги.</t>
  </si>
  <si>
    <t>Бритва отличная. Система очистки просто радует. Одного картриджа для очистки хватает примерно на полтора месяца. Стоит  около трехсот рублей. Это дешевле чем лезвия покупать и после чистки бритва как новая. Минусов нет. О раздражение кожи не может быть и речи.</t>
  </si>
  <si>
    <t>Всё классно</t>
  </si>
  <si>
    <t>Пользуюсь ноутом неделю.  Впечатления - потрясающие.  Очень мощная машина, очень слабо греется и ВООБЩЕ не шумит!  все тяжелые приложения отлично быстро работают.  немного напрягает семерка, особенно после XP.  ну уже попривык. порадовал достаточно большой и яркий экран.  теперь минусы(как же без них =) ): дизайн у Asus`ов - лично мне не нравится. Качество сборки - под сомнением, осмотрел клавиатуру - такое чувство стало, что через годик-полтора кнопки поотваливаются, хотя все может быть... не понравились слишком хлипкие крепления крышки, если постоянно открывать, закрывать крышку тоже долго не проживут......  еще лично мне не нравится глянец на ноуте - отпечатки повсюду, приходиться постоянно протирать тряпочкой. кому-то может не хватить 3-х usb портов...  да и вообще мало разъемов у него    вообщем вывод, если нужен мощный, быстрый комп - берите его - не пожалеете (сталкер, зов припяти без тормозов на макс. настройках - кайф! %) + гта4 на средних настройках отлично) photoshop и прочие графические и монтажные программы - все хорошо и достаточно быстро работает.  если нужен красивый внешний вид (на вкус и цвет....) и баланс между ценой и мощью - ищите что-то другое.</t>
  </si>
  <si>
    <t>Просто супервещь...Собираюсь на днях приобрести...</t>
  </si>
  <si>
    <t>Нашей машинке уже 10 лет.Все это время работала безотказно.Но года берут свое. Сработались подшипники на барабане. Завтра поедем и купим новую,точно такую. Нареканий никаких,только одни положительные отзывы.</t>
  </si>
  <si>
    <t>1723</t>
  </si>
  <si>
    <t>Очень качественный триммер. Делает всё СУПЕР! Меня переполняют эмоции!</t>
  </si>
  <si>
    <t>Привезли машинку, к ней претензий нет - стирает отлично!!! Однако на сайте заявлено, что гарантия 2 года, а к самой машинке прилагается ее "родной" гарантийный талон на 1 год. Так что смотрите внимательно в магазине еще на талон....</t>
  </si>
  <si>
    <t>Интересно, мне одной так не повезло? Купила данную модель, в инструкции не написано, что крышку нельзя мыть под краном, соответственно крышка мылась (только потом на ней самой разглядела знак перечеркнутый кран), теперь в нее налилась вода и не выливается вся, а сочится коричневая какая то... Да и как отмывать эту крышку не проточной водой - как ни вытираю, но по углам-граням остаются какие-то остатки и темнеют.. Фигня в итоге(</t>
  </si>
  <si>
    <t>Отличная. Проработала больше 10 лет! Стала раьюботать через раз. Хочу такую же.</t>
  </si>
  <si>
    <t>Уже больше года живет у меня эта флешка. Удобная в эксплуатации. Не теряется колпачок. Не широкая, что позволяет пользоваться при малом расстоянии между портами.</t>
  </si>
  <si>
    <t>Куплен в августе 2010, хороший аппарат, видео с флешек, комп, ноут, XBOX360 по HDMI подключается и ещё 1 разьем остается, только на пульте 2 кольца для управления нелогично сделаны.</t>
  </si>
  <si>
    <t>Пылесос понравился, сила всасывания необыкновенная, после него квартира просто сияет. Единственный недостаток: железная  трубка отваливалась от гибкого шланга, но эта проблема быстро решилась при помощи скотча))) Приходится воду менять, все протирать, конечно по времени больше выходит, но, когда видишь сколько он собирает песка и грязи, то эти усилия того стоят. Доставка прямо домой, что очень удобно.</t>
  </si>
  <si>
    <t>Проработала пол года. затем начала постоянно пищать, пищит в любое не подходящее время и постоянно. отвез, отрегулировали что-то по гарантии. прошло 10 дней. опять пищит. сегодня отвезу им обратно.</t>
  </si>
  <si>
    <t>Ставлю 5 баллов, т.к. чайник просто отличного качества! Уже более 4 лет пользуемся семьей и работает как часы, никаких поломок не возникало! Рекомендую всем!</t>
  </si>
  <si>
    <t>Люди, телефон отличный, если за ним ухаживать. 2-й год он самый лучший и дешёвый.</t>
  </si>
  <si>
    <t>Машинка очень хорошая,простая панель управления,всё очень доступно. Стирает отлично, отжимает хорошо, вещи не сминает. При отжиме ведёт себя нормально, не прыгает и не гремит.Стоит на кафельном полу в ванне без всяких резинок под ножками, пол ровный и стоит ровно, шум от неё минимальный при отжиме. Советую всем приобрести данную модель стиральной машины.</t>
  </si>
  <si>
    <t>500</t>
  </si>
  <si>
    <t>Сони как всегда на высоте,наушники великолепные,удобно сидят в ушах,звук наичистейший,не запутываются,что очень радует.Купил их для телефона,покупкой доволен на все 100%</t>
  </si>
  <si>
    <t>Работает громко. При работе исходит ужасный запах пластмассы, в итоге не справился с овощным пюре и сгорел(((. Часто бывало, что ножи крутят в холостую, создавая воздушную подушку, а все продукты мирно лежат сверху, приходилось или тормошить работающий блендер, чтоб всё проваливалось или снимать кувшин, трясти и опять запускать и так много-много раз.... Итог: проработал 1,5 месяца при использовании 1 раз в 2 дня...</t>
  </si>
  <si>
    <t>Купила около 5ти лет назад его. До сих пор работает. Так как волосы у меня тонкие, сушит быстро. Использую насадку с щеточкой. Остальные бесполезные.</t>
  </si>
  <si>
    <t>2532</t>
  </si>
  <si>
    <t>Отличный пылесос, свои деньги оправдывает на 100%.</t>
  </si>
  <si>
    <t>Купила совсем недавно.  Выбирала именно технику ханса, положительный опыт "общения" с плитой данной фирмы.   1. Внешний вид: Поверхность зеркальная, выглядит очень стильно, кнопки приятные на ощупь. Внутри на стекле изображены подсказки, для какого продукта, какую программу и температуру выбрать. Очень удобно на мой взгляд.  2.Функционал: Большое кол-во программ, но в то же время все предельно понятно. Порадовал программатор, Который можно выставить на нужное время и уйти по делам.  Еще удобны телескопические направляющие.   По поводу запаха, из за которого я чуть не передумала покупать духовку, начитавшись отзывов. Помыла,просушила и включила. Запах конечно присутствовал, но не такой, чтобы ее не купить. Осталась довольна покупкой. Отличное сочетание цены, качества и эстетического наслаждения. РЕКОМЕНДУЮ!</t>
  </si>
  <si>
    <t>малое потребление,</t>
  </si>
  <si>
    <t>Купила в сентябре 2015 года, только сейчас решила написать отзыв))). Щетка-фен класс, вращается в две стороны, волосы при сушке не запутываются, для меня это важно очень, потому что переживала именно за этот момент. Есть три температурных режима, при которых можно сушить волосы. Кнопки удобно расположены, рукоятка тоже удобная, в руке помещается и не тяжело держать. И все это в футляре хранится, и это из плюсов. Из минусов: думала что же в ней такого, что не нравится, вроде все пока хорошо работает.</t>
  </si>
  <si>
    <t>2017-04-04</t>
  </si>
  <si>
    <t>Быстро нагревает воду, при выключении срабатывает "Дзинь" - означает что чайник скипятил воду</t>
  </si>
  <si>
    <t>самсунг не корейского качества вообще не самсунг! хуже пластика я не видела - не качественный телефон - даже руке неприятно держать дешевку...</t>
  </si>
  <si>
    <t>У меня накрылся смартфон NOKIA3250, после чего срочно надо было решать проблему со связью! Решил не выпендриваться т.к. все те навороченные функции которые есть в современных телефонах Мы используем очень редко, поэтому остановил свой выбор на простецком телефоне и этим телефоном стал Samsung GT-E1310M чёрного цвета! Очень стильный и ничего лишнего! Всем советую! Очень хорошо лежит в руке! Не оттягивает карманы в брюках! ;)</t>
  </si>
  <si>
    <t>Фен отличный, пользуюсь два года через день. Ни разу не ломался, все режимы работают хорошо. Очень советую, тем более при такой цене</t>
  </si>
  <si>
    <t>Пылесос- зверь!!!При чем без шумный!Только положительные впечатления!</t>
  </si>
  <si>
    <t>170</t>
  </si>
  <si>
    <t>Сам честно сознаюсь еще не купил, но друг в Казани покупал и я как то у него взял поюзать. Плейер мне понравился своей простотой и легкостью. Аккумулятор кстати прекрасный работает просто супер. Смотрел описание таких батареек: через год пользование от ресурса батареи теряется от 5% до 13% от общей емкости, т.е. даже через год он будет работать довольно продолжительное время. Рабочий день точно выдержит на УРА!    Наушники, которые в комплекте были, скажу прямо отстой. Были заменены на Creative EP630 звук стал просто замечательный.    Данный набор на мой взгляд очень хорош. Т.к. наушники я себе уже взял, а вот за плейером после 12 числа пойду ^_^ так что ЖДИ меня М.Видео Нижнекамска.</t>
  </si>
  <si>
    <t>Сначала взял HD-202,но как оказалось у них очень тихий бас,в магазине посоветовали послушать EH-150,разница чувствуется сразу! Правда есть один минус,нет штуки для намотки провода как в HD,мелочь конечно, но приятно!</t>
  </si>
  <si>
    <t>Доволен данной моделью. Появилась давно. Года три исправно выжимает сок из апельсинов. Легко мыть. Достойное качество пластиковых деталей. 7-10 минут и у Вас один литр свеже-выжатого сока. Очень проста в обращении. Рекомендую</t>
  </si>
  <si>
    <t>614</t>
  </si>
  <si>
    <t>Офигенная счетка! Это лучшее что со мной случилось за последние пол года! Сильный налет почти уже сошел! Люди, берите, не пожалеете!</t>
  </si>
  <si>
    <t>Ноутбук отличный, хорошая производительность в играх, один недостаток: если ноут работает от батареи, при перезагрузке ноут выключается.</t>
  </si>
  <si>
    <t>1770</t>
  </si>
  <si>
    <t>Отличный фен, волосы не рвет, не запутывает, укладывает быстро и гладенько. У меня свои пушатся сильно, так что этот фен находка для меня! отказалась полностью от утюга, теперь реже подстригаю!</t>
  </si>
  <si>
    <t>сначала купил 2G,походил,потом взял nokia,а уже только потом 3G и не нарадуюсь,в первое время привыкал к тому, что нет bluetoth а,потом привык и не могу отвыкнуть, аппарат-зверь!!!!!!!!радует всё:функции,надёжность,дизайн.  все кто думает:"купить...или не купить..."однозначно советую покупать,главное справится с i tunes_ом...спасибо apple)))))))))</t>
  </si>
  <si>
    <t>Пользуюсь уже 4 месяца. За это время еще ни разу не пожалела, что взяла именно эту модель. Советую всем</t>
  </si>
  <si>
    <t>Купил сегодня... решил летом дома сам стричься покороче. Испытал кучу новых ощущений. Волосы практически не стрижет, рвет. В итоге надел кепку и пошел достригаться в парикмахерскую. Жаль не почитал отзывы сначала. Завтра пойду возвращать...</t>
  </si>
  <si>
    <t>соглашусь с предыдущими отзывами, что при распаковки кофеварки слышен запах пластика, но лично мне было достаточно пару раз прогнать просто воду, без кофе, в режиме работы прибора, чтобы этот запах исчез. после этого ни от кофеварки, ни от приготовленногоо кофе запаха не ощущается. лично меня эта кофеварка полностью устраивает.</t>
  </si>
  <si>
    <t>Тепловентилятор не самый мощный, но во-первых, он работает достаточно тихо, не раздражает, во-вторых, у нас комнату быстро прогрел. Немного был запах пластмассы, но это наверное у всех недорогих тепловентиляторов это есть. На долго мы его не включали, не было необходимости. В целом за такую цену очень даже приемлемый вариант для межсезонья, когда пару недель отопления нет, а хочется тепла.</t>
  </si>
  <si>
    <t>2595</t>
  </si>
  <si>
    <t>Дизайн и электронное управление</t>
  </si>
  <si>
    <t>2616</t>
  </si>
  <si>
    <t>Ноут класс, я доволен. Справляется со всеми операциями без проблем. АКБ вот тока маловат:-((</t>
  </si>
  <si>
    <t>Очень хороший миксер, пользуюсь им уже год. Удобно, что он с подставкой, но при необходимости можно снять миксер с нее. Чаша крутится, при замешивании теста это играет свою роль, оно всегда получается нужной консистенции и без комочков. Мощность хорошая, работает тихо, кнопки удобные, легко одевать и снимать венчики. Не очень понравилось, что крепление у венчиков пластмассовое, но на ощупь пластик толстый, прочный,  надеюсь, что проблем  не возникнет.</t>
  </si>
  <si>
    <t>1741</t>
  </si>
  <si>
    <t>присоединяюсь к положительным сторонам, но имеются отрицательные: имеется кнопка блютус, но в самом ноутбуке нет блютус антенны; отсутствует сканер отпечатка пальца, хотя в описании написано, что он есть; в комплекте нет диска с драйверами.</t>
  </si>
  <si>
    <t>Неплохой набор для обычного слушателя.  Пользовался 2 года, нужно было что то недорогое и в тоже время нормальное. конечно мало 5000Вт на усилок для саба мощью 1000Вт, но за такие деньги только такое  смог себе позволить!!!! Если чесно неплохой товар</t>
  </si>
  <si>
    <t xml:space="preserve">компактный, функциональный </t>
  </si>
  <si>
    <t>Купила мужу в подарок, он очень доволен!</t>
  </si>
  <si>
    <t>Пользуюсь плитой уже год. Очень довольна. В ней все продумано до мелочей. Я рекомендую эту плиту.</t>
  </si>
  <si>
    <t>Отличная вещь, за неимением других приборов(блендер,миксер, тестомес, мясорубка и пр.) использую его по полной уже более 7 лет, такой же у мамы ,сестер, думаю лучшего показателя качества быть не может!</t>
  </si>
  <si>
    <t>ребята если вы будите собирать в ручную этот комп то он выйдет на много дороже чем в магазине !!! и за 40000 тысяч не собрать лучше комп чем этот !!! может только оперотивки 1 гиг удаста поставить и жосткий на 700 !!!</t>
  </si>
  <si>
    <t>Хорошо справляется с запахами, удобное управление, компактные размеры.</t>
  </si>
  <si>
    <t>Модель из серии премиум, со скрытым нагревателем из нержавейки, хороший плотно прилегающий фильтр от накипи. Легко чистить не царапается, от накипи чищу раз в месяц и этого хватает. Удобная нескользящая ручка.</t>
  </si>
  <si>
    <t>Жмых влажноватый. но в принципе нормальная выжимылка, много крутить не собираюсь.Надеюсь не сгорит.Морковь, яблоки и груши - полет нормальный.</t>
  </si>
  <si>
    <t>вещь хорошая.Особенно фарш  быстро  получается,коктейли.  но не хватает  венчика.</t>
  </si>
  <si>
    <t>Неплохой телевизор за такую цену. Порадовала поддержка full hd для видеооборудования (блю рей проигрыватели, приставки, и т.д.)поддерживает 1080р.</t>
  </si>
  <si>
    <t>394</t>
  </si>
  <si>
    <t>Понравился геймплей! Графика качественная сюжет интересный!</t>
  </si>
  <si>
    <t>Шумит сильно. Крышка открывается непроизвольно. Не всегда выключается. Один раз включила чайник ушла в ванную, он выключился только когда вся вода выкипела, на кухне была парилка.</t>
  </si>
  <si>
    <t>Хочу взять её на неделе...Подскажите для чего нужен жесткий? что на него записывать? и пойдут ли игры скачанные с интернета?</t>
  </si>
  <si>
    <t>Здравствуйте, на этом системный блоке я смогу запустить игры как: кс го ,дота 2,гта5,если смогу на каких настройхах игра графика ,фпс ? ▶▶▶ОТВЕТ ЭКСПЕРТА «М.ВИДЕО»◀◀◀ Денис, таких исследований мы не проводили. Рекомендую посетить профильный форум на сайте производителя или обратиться в тех. поддержку игры.</t>
  </si>
  <si>
    <t>2063</t>
  </si>
  <si>
    <t>Практически всё!!!</t>
  </si>
  <si>
    <t>Купил взамен сгоревшего точно такого же. Надо сказать компьютер он мне спас, три раза автоматом сбрасывал напряжение пока до меня дошло, что что-то не так и надо отключать полностью ток в квартире. Я его отключил с кнопки и потом вырубил полностью ток. Напряжение на тот момент на Одной фазе составляло 400 вольт!!! После восстановления питания фильтр оказался сгоревшим.  Погиб смертью храбрых, но техника оказалась цела. Выбор пал опять на него.</t>
  </si>
  <si>
    <t>отличная бритва, никакого раздражения )</t>
  </si>
  <si>
    <t>муж подарил мне этот выпрямитель на день рождение.Супер,я в восторге!выпрямляет очень быстро!советую!  из минусов:когда держишь прибор,рука постоянно лежит на кнопках регулировки температур,но там есть блокировка,по этому как таковым недостатком не считаю.</t>
  </si>
  <si>
    <t>Очень красивый и красочный телефон! идеально подходит для прослушивания музыки,очень красивые темы!телефон всем советую брать,надежный!Задняя крышка очень прочная.</t>
  </si>
  <si>
    <t>2015-03-11</t>
  </si>
  <si>
    <t>Пользуюсь полгода плитой. По духовке - низ действительно печется быстрее верха, можно подрумянить грилем. Жар от духовки не лезет наружу - бережет мебель))) Удобны режимы духовки: выставил и забыл. Зажигается на раз только поднеси зажигалку, после 3 секунд ручку можно отпускать. Конфорки: шум от конфорок действительно есть, но не  особо напрягает. Расположение конфорок (на мой взгляд) не особо удобно. Левая ближняя огромная, и маленькую кастрюльку для утренних кашек не поставишь, а правая ближняя маленькая..не понимаю, для чего она... Электроподжиг работает как часы ( главное чтоб сама горелка правильно лежала в гнезде). Для меня не удобным показалось исполнение в металле - остаются жирные следы от рук (я педант и перфекционист), была бы белая эмаль такая же, взяла бы её.</t>
  </si>
  <si>
    <t>Весы уажасные. Через две недели после покупки стали выдавать ошибку 114, взвеситься нормально можно только на третий раз.</t>
  </si>
  <si>
    <t>Машинка отличная.Со своей задачей справляется очень даже хорошо.Лучше машинки за эти деньги еще нужно поискать...В общем всем советую...</t>
  </si>
  <si>
    <t>Такой фен служит мне каждое утро вот уже 5 лет, я им очень довольна. Легкий, удобный, ионизация, холодный воздух. Все необходимое. Единственное но! Очень хрупкая насадка. У моего вся потрескалась просто от потока горячего воздуха и соприкосновения с расческой во время сушки. Он не падал. Ну и шнур бы подлиннее. Несмотря на эти минусы, я этот фен рекомендую!</t>
  </si>
  <si>
    <t>кофеварка класс, у нас она уже 3 или 4 года давно её хотел. Варю кофе каждый день в неё я чай даже делаю, долговечная кофеварка. оценка 5+++++++++++++++</t>
  </si>
  <si>
    <t>отличный комбайн! Занимает мало место на столе! Довольно большой объем чаш (обоих). Разборная конструкция блендерной чаши. Шумит не громче других кухонных комбайнов, сперва напрягал этот шум, потом не обращаешь внимания.</t>
  </si>
  <si>
    <t>Последние годы брился Panasonic ES8026 и был не очень доволен вот думал Braun .... После покупки Braun 3340wd сказать ВАУ! вот это вещь не могу, бреет не многим лучше чем Panasonic, и та и другая плохо сбривает длинные волоски растущие параллельно коже, ну может Braun  чуть чуть получше (а ради этого и покупал Braun), а стоит намного дороже аналогичных моделей например того же Panasonic.   ps  интересно 5 и 7 серии на сколько лучше бреют 3 серии</t>
  </si>
  <si>
    <t>2015-07-23</t>
  </si>
  <si>
    <t>отличная встраив. газовая панель</t>
  </si>
  <si>
    <t>Мы купили воздухоувлажнитель фирмы Vitek марки VT-1764, модель отличается дистанционном управлением +пультом управления.  Нам нравится: воздух увлажняет хорошо как при холодном паре так и с подогревом.Встроенная ионизация тоже отлично работает: воздух становится чише.  Рекомендую!</t>
  </si>
  <si>
    <t>2518</t>
  </si>
  <si>
    <t>Приобрел комплект, плюс доп трубку! Никаких вышеописанных шумов нет! Прекрасно работают все три трубки! Меню не тормозит, все до безобразия просто! Элегантен! Аккуратен, легок!</t>
  </si>
  <si>
    <t>Подбирали бюджетный вариант в съемную квартиру, остановились на этой модели.   Остановилась на третьей стирке. С унылыми "ну вот, эта дешевая техника" обратились в техподдержку. Надо сказать, ребята приехали оперативно, а наша проблема оказалась крайне глупой: при установке сантехник не вытащил блоки пенопласта из-под барабана (как она, бедняга, первые разы с ними стирала - непонятно).   С тех пор в активной работе уже почти 2 года (ребенок, поэтому использовать часто приходилось).   В целом всем довольна, из недостатков: немного шумно отжимает, но нас это особо не напрягало.   Сейчас ищу снова машинку в другую квартиру, читаю отзывы и снова посматриваю в сторону этой модели. :)</t>
  </si>
  <si>
    <t>1623</t>
  </si>
  <si>
    <t>Сегодня собираюсь купить 2-й точно такой же чайник, поскольку лучше пока в Москве не попадалось! А прежний просто упал, и разбилось всё возможное в конструкции, поэтому меняю... Металл - не люблю, всегда придерживаюсь на кухне бело-голубого цвета :). Всем рекомендую, определённо.</t>
  </si>
  <si>
    <t>Пользуемся 2 недели, нареканий пока нет, все отлично, водичка горячая. Все хорошо!!!</t>
  </si>
  <si>
    <t>Купил его 21 июля 09 года в м-видео. Доволен плеером на 100%.Очень понравилось то, что фильмы перекодировать не надо, читает почти все!</t>
  </si>
  <si>
    <t>Классный термопот! Покупали для творческого пространства, где всегда много людей. Воды помещается много, и она долго остается горячей (в отличие от чайника, который пришлось бы миллион раз кипятить). Электричество при этом особо не жрёт, что приятно.</t>
  </si>
  <si>
    <t>Купила пылесос недавно, думала верить плохим отзывам или нет. Так вот, знайте, пылесос просто замечательный! Он очень юркий, хорошо катается по полу. Я его никуда не поднимаю поэтому тяжелого веса и не заметила. Сомнения были по поводу мощности, но увиденное превзошло все мои ожидания: ковры приподнимаются, а к линолиуму присасывается так, что не оторвать! После уборки появилось чувство что никогда до этого в квартире не убирались)))) Столько грязи было в фильтре!!!! Но самое главное, при его чистке она никуда не разлетается: вылила в унитаз и все! Помывка фильтра занимает минут 5 от силы. Управление на ручке очень удобное. Шумный, но не настолько, чтобы это стало его недостатком. И завершающий штрих этого чудесного пылесоса - привлекательный дизайн. С уборкой теперь нет никаких проблем!</t>
  </si>
  <si>
    <t>Всем салют!  Не знаю кто для чего пишет и с какой целью плохие отзывы,но скажу следующее...  Его назвать то пылесосом язык не поворачивается- ЭТОТ МЕРС))))Бегает за мной на трёх колёсиках)))вообще мне нужен был пылесос,который следы на паркете не оставляет и при этом чтоб не шумел,потому что ребёнок маленький дома(получил что хотел,хищник на пыль №1!!!  У меня квартира,2-ух комнатная,примерно 70ть кв.метров,мешок поменял третий раз в этом месяце,а покупал в начале марта,когда филлипс разволился(атволилась крышка и насадка),хотя сам работал без исправно,но вот мешок менял я в нём раз в месяц(я уже потом догадался,что у него объём для мешка маленький).  Короче сссупер,убираю каждый раз с кайфом,а друзья завидуют))))))</t>
  </si>
  <si>
    <t>Использую полгода, нареканий нет.</t>
  </si>
  <si>
    <t>1281</t>
  </si>
  <si>
    <t>Достоинства:  отличное соотношение цена-качество; простая в использовании; тихая; полностью вымывает моющие средства из отсека для моющих средств (в прошлой машинке оставался порошок); возможность выбора температуры и оборотов при отжиме.  Недостатки:  нет программы "деликатные ткани"; при стирке шерсти и темных вещей не вымывается порошок, приходится включать дополнительное полоскание после стирки.  Комментарии:  в целом машинкой довольна, при стирке деликатных тканей использую программу синтетика или шерсть и устанавливаю температуру 30 и обороты 400 получается практически тоже что и специальная программа.</t>
  </si>
  <si>
    <t>Фильтр спокойно подходит от Borkа!!!  Достойный Увлажнитель!</t>
  </si>
  <si>
    <t>1657</t>
  </si>
  <si>
    <t>Пользуюсь больше года, отличные наушники для своей цены!</t>
  </si>
  <si>
    <t>2699</t>
  </si>
  <si>
    <t>Пользуемся 2 года, отличный пылесос. Отлично собирает с ковра весь мусор и решает основную нашу проблему. Дома ходят два хвостатых жителя: дочка, любительница прически "хвостик" и отрицающая "косички" и кот. На ковре все последствия "хвостатой жизни". Турбо-щетка + мощность пылесоса убирает все это безобразие вмиг. Очень довольны приобретением.</t>
  </si>
  <si>
    <t>В первый раз решили приобрести моющий пылесос!!!    У нас большая семья + питомцы. До этого делали уборку только  пылесосом с сухой чисткой (мешок-пылесборник) и конечно не заменимая влажная уборка со шваброй))   Перед первым запуском несколько раз прочитали инструкцию, так как все же более сложный процесс уборки. Даже в интернет зашли и посмотрели видео ролик ... Непривычно тяжелый, после обычного пылесоса, но маневренный и легко передвигается на 4-х колесиках. Большое число фильтров легко моется и меняется при необходимости.   Для себя поняла одно, что для сухой регулярной чистки и генеральной уборки - это незаменимая вещь! Но с влажной тряпочкой кое-где все же придется по работать) Насадка достаточно объемная и не везде можно с ней обработать поверхность.   В целом: твердая 5, а потом время покажет...   Всем советуем данный товар! В надежность фирмы и производителям доверяем)</t>
  </si>
  <si>
    <t>Либо я что-то не так делаю, либо все-таки аэрогриль не такая чудесная штука, как описывают. Уже 4 блюдо делаю строго по рецепту и ничего не выходит. Мясо пригорает, курица такая сухая,что есть невозможно, пирожки снаружи горелые, внутри сырые. Что делать не знаю. Надеюсь, что то-то изменится.</t>
  </si>
  <si>
    <t>Не первый эпилятор, которым мне довелось пользоваться. Впечатлил уже с первого использования, абсолютно не больно, по сравнению с предыдущими, очень удобно держать в руках. Так же порадовало, что в комплекте шел пинцет с подсветкой, по-моему -это находка для любой девушки!! Так что на мой взгляд, эпилятор просто отличный, всем советую)</t>
  </si>
  <si>
    <t>Если вам,как и мне,микроволновка нужна для разморозки и разогрева еды,то это очень хороший вариант! В моем доме она уже 5 лет и шумит не больше других! Всем советую!</t>
  </si>
  <si>
    <t>Я купил этот Аккумулятор и он не заряжается. Мигает оранжевый огонек.</t>
  </si>
  <si>
    <t>Пользуюсь им примерно месяц, не выключая. Никакого запаха, шума или неудобства от него не испытываю. Греет отлично 2 смежные комнаты без двери (примерно 18 квадратов). Кот вообще от него не отходит )))) Из недостатков - короткий шнур, других не заметила пока.</t>
  </si>
  <si>
    <t>Привет всем купил этот ноут полгода назад.всё супер.вот только блютуз не пашет!нажимаю fn+f6 никак не включается.Помогите</t>
  </si>
  <si>
    <t>1953</t>
  </si>
  <si>
    <t>При стирке нету пены.Какой только порошок не пробовал и постоянно остаётся комок порошка,а в целом машинкой доволен</t>
  </si>
  <si>
    <t>1976</t>
  </si>
  <si>
    <t>Очень необычно смотрится по сравнению с другими стеклокерамическими сородичами - широкая, удобная и конфорочки грамотно расположены, чтобы кастрюли не мешали друг дружке. Впереди располагается сенсорная панель управления с указателями конфорок и мощности, я сразу же разобралась с функционалом и даже инструкцию ни разу не открывала, даже дети самостоятельно ее изучили и теперь греют себе еду в мое отсутствие. Самое главное для меня, как для любой мамы, была безопасность при эксплуатации плиты, здесь при желании защиту от ребенка выставить можно, плюс индикация тепла всегда указывается, чтобы случайно не притронуться к раскаленной поверхности и не обжечься, с газовой плитой я постоянно пальцы прижигала то кастрюлями, то конфорками, а тут подождала минуту-две после выключения, пока индикация до нуля не упадет, и можно смело протирать поверхность тряпочкой)) Моется она, кстати, без каких-либо сложностей - капелька средства и губка, потом бумажным полотенцем остатки влаги удалила и все, плита реально как новая! Мое мнение - удачная модель по функционалу, пользоваться такой легко и приятно))</t>
  </si>
  <si>
    <t>629</t>
  </si>
  <si>
    <t>Одна из самых популярных и лучших онлайн игр...</t>
  </si>
  <si>
    <t>сам с таким хожу полгода!! не тормозит, музыку играет как на 5200!!!(по громкости) в аське тоже хорошо на нём посидеть!! в общем берите не пожалеете!!!!</t>
  </si>
  <si>
    <t>метал</t>
  </si>
  <si>
    <t>Купили 4 года назад, выбирал сам, т.к. повар--НУ ОЧЕНЬ ДОВОЛЕН, и выпечка, и торты отличные....</t>
  </si>
  <si>
    <t>Офигититититииттельный звук, цена.</t>
  </si>
  <si>
    <t>2527</t>
  </si>
  <si>
    <t>забыла добавить, действительно тяжелый приятно лежит в руке, на большой громкости не дребезжал (я придирчива к мелочам, заметила бы).</t>
  </si>
  <si>
    <t>Компактная, эргономичная, работает как от сети, так и от аккумулятора</t>
  </si>
  <si>
    <t>Купила этот триммер мужу в подарок по совету консультанта в магазине. Подарком муж крайне доволен! Развлекается с насадками ) ) От аккумулятора работает минут 30 примерно, здорово что с проводами не надо возиться</t>
  </si>
  <si>
    <t>очень маленький радиус обдува</t>
  </si>
  <si>
    <t>Наша семья покупкой довольна очень. Есть, конечно минусы, например, уже кто-то писал - короткий шнур, и маленькая емкость под бутеры. Я бы еще добавила тот факт в минусы, что приходится в розетку воткнуть, чтоб включить, и вытащить из нее, чтобы выключить. Но за эту цену, думаю, это не считается :-) насчет начинки не правда - всё прогревается, сыр тает, и если не класть его близко к краям, то и не вытекает!</t>
  </si>
  <si>
    <t>256</t>
  </si>
  <si>
    <t>Всем привет!!! Согласен,что APPLE это круто и очень, но только в ноутах и моноблоках!!!!!!!!!! И это правда так и есть, ничто с ними не сравнится. Но IPHONE это вообще... Попробуйте NOKIA N8 новинку. Вот это качество! Ничего другого не надо. С уважением ко всем поклонникам APPLE.</t>
  </si>
  <si>
    <t>ребят не знаю....плеер вроде ничего, но за 3 дня использования стал выключаться сам. поэтому я считаю - неудачная модель.</t>
  </si>
  <si>
    <t>Отработал 1 месяц, сломались ножи для измельчения. При том что делали только пюре ребёнку и пару раз молочные коктейли!</t>
  </si>
  <si>
    <t>Купила месяц назад, очень довольна покупкой. В соотношении цена-качество вполне себя оправдывает - не такой уж серьезный агрегат, чтоб заморачиваться над его функциональностью (типа таймер, табло и пр.). Очень радует тот факт, что вместо баночек, которые входят в набор, можно использовать любую тару. Я ставлю большую стеклянную миску для микроволновок на 1,5 литра и получаю сразу 1,5 литра хорошего йогурта, который наливаю уже в ту посуду, которую хочу. Единственное но: температура йогурта по истечении 8 часов работы устройства около 50-55 градусов. Хотя йогурт получается при этом отличный, и даже на его основе еще несколько раз делаю йогурт есть подозрения, что температура слишком велика, поэтому подкладываю 2 бумажных полотенца на дно, в этому случае температура до 45 только поднимается (в инете нашла информацию, что оптимальная t для размножения бактерий 37-45 гр). А так очень нравится, всем советую.</t>
  </si>
  <si>
    <t>Мне он понравился, стильный дизайн.. вообще культ, меня оч вдохновил.... Только не знаю максимум сколько туда можно поставить флешку.</t>
  </si>
  <si>
    <t>975</t>
  </si>
  <si>
    <t>SONY хороший бренд, но это серия просто ужас, дизайн хороший, но матрицы просто отвратительны. Низкое качество изображения - это основной недостаток этих телевизоров. К счастью, это только одна серия такого низкого качества.</t>
  </si>
  <si>
    <t>В общем понравился, пользуюсь уже несколько месяцев. Минусы: работает как трактор! А вот волоски практически не пропускает и от боли есть анастезия, для осбо чувствительных)</t>
  </si>
  <si>
    <t>купили вчера, красивый. Сегодня уже потух и не включается и не выключается, что делать?</t>
  </si>
  <si>
    <t>Игра супер!!!!!!  и коментаторы прикольные!!берите все!!!  FIFA11 клаасс!!</t>
  </si>
  <si>
    <t>После опорожнения первой порции вторую порцию сразу не вскипятишь - нужно выжлать время до полного остывания чайника.</t>
  </si>
  <si>
    <t>компактная, хорошо отжимает.</t>
  </si>
  <si>
    <t>Отличная вытяжка! Пользуемся 2 года.   Плюсы: Учитывая большую мощность двигателя и при условии большого диаметра вентиляционного канала вытяжка справляется на 5 с плюсом! При загруженности трех комфорок (керамическая панель) вытяжка справляется на 1-й и 2-й скорости.  Стандартный лист бумаги формата А4 надежно притягивается к фильтру уже на 1-й скорости..  Минусом считал бы, что кнопки управления несенсорные, но кнопки находятся над защитным стеклом и загрязнение панели управления исключено, п.э. данный факт недостатком не является.   При неработающей вытяжке хорошо работает естественная вентиляция, т.к. канал воздуховода имеет достаточно большой диаметр (160 мм). В момент открытия окон на кухне слышно, как открываются створки обратного клапана.  Защитный колпак вытяжки выполнен из прозрачного стекла, п.э. варочная панель не страдает от недостатка освещенности.   Возможный минус: вытяжка на большой скорости шумная, но, скорее всего, не из-за шума двигателя, а от проходящего большого объема воздуха через жировой фильтр и каналы. Если шум продуктивной вытяжки не устраивает, то нужно присматриваться к маломощным приборам, а потому лишь к декоративным!    Совет: Чтобы вытяжка справлялась со своими функциями, не заужайте канал воздуховода ниже нормы и не устанавливайте канал воздуховода длиннее 3-х метров.   Ставлю вытяжке уверенную 5 с плюсом!</t>
  </si>
  <si>
    <t>Так и не успели их выявить</t>
  </si>
  <si>
    <t>Столько плохих отзывов.  Брал года 2 назад, пользуемся очень часто. Все отлично! Когда покупал, при осмотре не понравилась плохо закрывающаяся крышка, попросил другой.</t>
  </si>
  <si>
    <t>Как говорят на вкус и цвет... Мне этот девайс очень понравился. Управление тачскрин на 5+,экран ночью глаза не слепит,работает без тормазов,USB до 32гиг,радио находит маментально,видео смотрибильно,тв супер. За эти деньги даже не ожидал такое чудо(перепробывал много моделей).</t>
  </si>
  <si>
    <t>889</t>
  </si>
  <si>
    <t>Через 3 года замена платы управления  6500руб 8(( c работой  А так машинка ничего</t>
  </si>
  <si>
    <t>Приобрели сей девайс из-за планового отключения горячей воды на месяц. Из недостатков могу отметить тот факт, что напор слабый. Из плюсов - лучше, чем греть на плите ведра с водой</t>
  </si>
  <si>
    <t>Пользуюсь уже год, в целом доволен, только при нашей системе отопления на комнату в 18 м2 нужно ставить не менее двух увлажнителей, тогда будет эффект.</t>
  </si>
  <si>
    <t>Ноутбук сам по себе хороший. Клавиатура имеет наиболее современную и «модную» на текущий момент конструкцию, прям как на макбуке. Тачпад имеет оптимальную чувствительность и также воспринимает мультитач-команды. Батарея максимум работает на 7 часов. Жаль, что блютуза. Но вес 1.91 кг. настораживает, ведь для 13 дюймового ноутбука это весьма много. Это достаточно универсальный ноутбук, который был бы полезен и дома, и позволил бы в привычном темпе и программной среде, поработать в дороге, рассмотренный вариант от HP выглядит, действительно, привлекательным. Разработчики умело обошли все, что мы могли бы отнести к объективным недостаткам, да и субъективно придраться особо не к чему.</t>
  </si>
  <si>
    <t>Отличный шкаф с большим выбором режимов приготовления,с удобной внутренней поверхностью для очистки,на внешней панеле не остаются отпечатки(спасибо aeg-electrolux) и плюс тройное стекло! Очень доволен!</t>
  </si>
  <si>
    <t>Купил сегодня это чудо. Все работает, не трещит, не скрипит, дует классно. У него не три, а 4 режима работы - I-II-III и NAT (стиль с порывами ветра, прикольно!!). На I скорости работает не громче, чем ультразвуковой увлажнитель. На III скорости аж все улетает. Если учесть, что мощность всего 45Вт. Рассчитан на помещение не больше 30 метров. Сделан аккуратно, белый глянцевый корпус. Кнопки и вентиляционная решетка серебристые. Пульт белый - управляет вентилятором с любого положения, он у меня еще в заводской пленке, но спокойно ее пробивает с расстояния 6-7 метров. За такие деньги, да еще по акции - идеальный друг против жары! Рекомендую!</t>
  </si>
  <si>
    <t>Вытяжкой пользуемся около месяца, функции свои выполняет отлично. Запах дыма от сигарет вытягивает в течении 10 минут. Есть один минус: часы выключаются через 20 минут после выключения вытяжки. Так должно быть? И еще: в графе спецификация мощность 400 Вт,в инструкции-200 Вт.</t>
  </si>
  <si>
    <t>выжимает на отлично!!!</t>
  </si>
  <si>
    <t>проблема решилась. это не крышка: тек лоток, куда засыпается-заливается порошок, в крайней правой ячейке стояла вода (необходимо вытащить лоток и прочистить насадной колпачок в этой крайней правой ячейке).  п.с. на панели управления у меня "эконом" а не "економ".</t>
  </si>
  <si>
    <t>Сделана красиво, наклейки,плавность линий и все такое. На шерсти не стирает вообще, после трех стирок останавливается и как комп. надо перезагружать если мозги не в порядке, воды набирает мало,клапан слива воды либо не держит, либо не работает вообще, постоянно пишет ошибка "LE", В общем купила жена машинку теперь мучается. В течении полугода такая катавасия, но первые признаки были после того как ее привезли и подключили. Вообщем всем мой совет, прежде чем покупать поинтересуйтесь у ремонтников, или на сайтах общения, а не на магазинных сайтах. Кроме того коснувшись ремонта гарантийного увидел, что в гарантийных талонах не проставлена печать магазина, на это уделяйте особое внимание, а то потом просто не дозвонится до "М-Видео",просто сбрасывают телефон. Делайте выводы.</t>
  </si>
  <si>
    <t>купила и не жалею!убило отсутствие аудио/видео выхода рядом с юсб мини портом под резиновой заглушкой,хотя в описании аппарата он имеется куда делся?С Уважением Татьяна</t>
  </si>
  <si>
    <t>2336</t>
  </si>
  <si>
    <t>Он у меня не черный, а зеленый. Сначала опробовала его дома, а потом и на работу взяла. Воду беру из кулера. Уход за прибором очень прост и управлять влажностью даже ребенок сможет. Чищу мембрану дома, он легкий для переноски. Заметила, когда увлажнитель работает, меньше устаю, кожа лица лучше стала, пить меньше хочу.  Оцениваю на 5 и рекомендую таким же офисным работникам, как я приобрести такой увлажнитель. Здоровье надо беречь и на работе.</t>
  </si>
  <si>
    <t>Чайник отличный, вместительный и удобный. Внутри металлический стаканчик-ситечко укреплено пластиком, что продлевает его службу, у предыдущего чайника (другой фирмы) стаканчик развалился. Пользуемся уже месяц, довольны.</t>
  </si>
  <si>
    <t>отработала 6 лет и сейчас работает, увидел скидку и сегодня взял еще одну такую.</t>
  </si>
  <si>
    <t>Если кто хочет понастальгировать по китайскому ширпотребу 90-х то - самое то. Лишний раз убедился, что всё, что производится под подобными брендами &amp;nbsp;- барахло!!! После полугода использования, причём не очень частого, у этого чудо прибора развальцевался венчик (полусферический наконечник, внутри которого вращаются ножи) и стал прокручиваться, разбрызгивая при работе всё, что перемалывает. Судя по качеству этого соединения - это ждёт впереди всех владельцев. Забился грязью подшипник в венчике. После разбора, для очистки и смазки, увидел, что уплотнения (сальники) чистая профонация. В руке лежит очень неудобно. Тяжелый. Кнопка неудобно расположена и плохо нажимается. Греется после довольно непродолжительной работы. Насадки надеваются допотопно - по резьбе. В современных моделях давно уже быстраю и удобная смена насадок предусмотрена. Вообщем как ИТОГ - низкокачественное барахло.</t>
  </si>
  <si>
    <t>Темно показывает и если на простой антенне (не тарелке) качество похуже, чем у старых телеков.</t>
  </si>
  <si>
    <t>Пользуюсь этой машинкой уже 3 года, никаких проблем не возникало.Отлично моет и сушит, не шумит. Ставлю на таймер и мою посуду ночью - к завтраку уже посуда помылась, очень удобно! Программ 5 , но пользуюсь только одной - при 70 градусах, у меня маленький ребенок а при такой температуре все бактерии явно погибают! Очень нравится машинка!</t>
  </si>
  <si>
    <t>Качественно рубит мясо</t>
  </si>
  <si>
    <t>522</t>
  </si>
  <si>
    <t>1305</t>
  </si>
  <si>
    <t>хорошая магнитолка, вчера подключил два телевизора, работает классно, далеко не самый худший вариант</t>
  </si>
  <si>
    <t>Работает тихо! Одна регулируемаая насадка! Стрижёт отлично! Подстриг и лицо и голову ;) как купил, распаковал зарядки хватило! Одна регулируемая насадка! Помыл тут же под краном</t>
  </si>
  <si>
    <t>Очень хорошая щетка. Использую ежедневно в течение 4 лет. Не глючит ни разу не ломалась</t>
  </si>
  <si>
    <t>Входящие звонки на мобильный бесплатны , если ты не знаешь. А Аон нужно еще в телефоне настроить либо АОН либо Caller ID ...</t>
  </si>
  <si>
    <t>2863</t>
  </si>
  <si>
    <t>телефон купил 2,5 месяца назад. телефон по цене и качеству хороший,  учитывая что сборка румынская,  а производят его фины. динамик громкий, хотя это зависит от прошивки и заводской настройки динамика. 8гб флешку держит, но проигрыватель по 4 секунды песню переключает, стоит поставить 4 гб и всё тормоза пропадают (проверено). батареи хватает на 2 дня без проблем, слушаю по 5-8 часов в день и звоню периодически, по 1-2 часа сижу в аське. В общем телефоном доволен. А по поводу отключения телефона и некачественной прошивке - это заводской брак, поэтому люди не глупите, меняйте там, где покупали.</t>
  </si>
  <si>
    <t>Купили и выбирали экстренно, верх супер, отмывается легко, функции духового шкафа на отлично, и курочка зажаристая и на горячем воздухе готовится замечательно.Внешне красивая.</t>
  </si>
  <si>
    <t>Народ. Подскажите пожалуйста. а этот слим у нас в городе новороссийске прошивается?</t>
  </si>
  <si>
    <t>Телефон просто класс!!! Уже 3 месяца с ним хожу, ни одного глюка) Звук динамиков громкий, любая нокиа позавидует. Про фото могу сказать, что качество приемлемое, появилось много фишек от сайбер-шотовских K-серий, таких как различные условия съемки, смайл-шутер и т.д. видео записывает четко, практически без шума. Корпус не плохой, не расшатался за все время использования. Единственное, постоянно пачкается дисплей, но это мелочи)  Много интересных игрушек, созданных и использованием функции акселератора.   Скорее, молодежный телефон. Мне понравился. Если думаете брать или не брать - мой совет, берите! не пожалеете!</t>
  </si>
  <si>
    <t>Используя насадку стричь  волосы совершенно невозможно, это не машинка для стрижки волос, а скорее триммер.</t>
  </si>
  <si>
    <t>Вчера приобрели эту модель телевизора!   Давно ходили и облизывались, глядя на него - очень красивый по дизайну и по своим характеристикам очень даже хорош. Пока знакомлюсь с программой  меню, но в принципе там всё очень доступно и понятно.   Эту модель выбрали для кухни, наша кухня 19 метров и такой размерчик в самый раз, но если Ваша кухня будет менее 15 метров, то размерчик для этого метража будет великоват. Пока всё устраивает.    P.S.: за мою практику Samsung приобрела 2-ой раз, до этого была видео двойка, которую купила в 1997 году, так вот, она исправно прослужила на нашей кухне до 2008 года, проблема, которая вылезла в прошлом году - это барахлящий от времени динамик и перестала работать кнопка вкл и выкл.    Так что я думаю, вы сможете сделать свои выводы в отношении данной марки. Удачи вам и приятных покупок!!! Юлия, г. Самара.  12 ноября 2009г.</t>
  </si>
  <si>
    <t>2383</t>
  </si>
  <si>
    <t>Покупали этот термопот в середине 2010 г., выбирали по принципу: скрытый нагревательный элемент и чтобы цвет подходил! Первые дни попахивал пластмассой, но прошло. Оказался незаменимым и очень надежным! Сейчас сломался насос, иду покупать снова эту же модель!</t>
  </si>
  <si>
    <t>Лет 10 назад купила этот фен первый раз. Сами по себе насадки отличные (особенно щетка), но крепление - просто кошмар. Насадки постоянно отваливаются при расчесывании волос. Когда первый фен перегорел пару лет назад, купила по-глупости такой же (думала, вдруг улучшили конструкцию) - то же самое.</t>
  </si>
  <si>
    <t>Телефон нормальный. Один минус, хочетцо громкость повыше. ну и так сойдет.   телефон на 4+ (с большим плюсом)</t>
  </si>
  <si>
    <t>Супер колонки, мне и мужу понравились, звук хороший , да и бахает хорошо)) вобщем рекомендую</t>
  </si>
  <si>
    <t>Хорошая машинка.Советуем.</t>
  </si>
  <si>
    <t>Габариты, простота в использовании, нормально стирает.</t>
  </si>
  <si>
    <t>Все устраивает, кроме:  - автоответчик включается очень быстро, не успеваешь иногда подойти к телефону, как уже включился автоответчик  - если разговариваешь по спикерфону, то во время разговора, его уже нельзя выключить.</t>
  </si>
  <si>
    <t>Покупали эту модель год назад в кафе. Машина простая в обращении со стандартными функциями. Если выбирать машину из эконом вариантов то эта машина супер. Делает кофе быстро, легко чистится, все удобно и понятно. Проблем с ней не знаем, хотя кофе варит постоянно. Чистим раз в 4 месяца от накипи, заливаем воду и засыпаем кофе-вот и все обслуживание. Недорогая цена, но хорошее качество(сборка в Италии). Всем советую)))</t>
  </si>
  <si>
    <t>Мне понравился фен. Волосы сушит очень быстро и бережно. Благодаря функции ионизации они не "пушатся" после укладки. Укладывать волосы удобно - есть узкая насадка и кнопка холодного воздуха. Он не ледяной, конечно, но фиксирует только что закрученный локон отлично. Сушка+укладка занимают минимум времени.   Недостаток, видимо, один - очень "хрупкая" конструкция. После 1,5 года использования мой фен затрещал, заискрил, и из него посыпались все его лопасти. Благо гарантия на него 2 года. Отнесла в сервис. А сегодня меня обрадовали, что дадут заключение на замену или возврат денег. Скоро пойду назад в магазин. Не решила только еще, такой же взять или другой.  Гарантия - вещь.</t>
  </si>
  <si>
    <t>Подарила такую кофеварку мужу на 23 февраля. Несколько раз пили кофе, очень понравилось. Кофеварка хорошая, пока все нравится, датчик уровня воды есть, только он плохо видим, хотя, я думаю, что он и не нужен.                 Хорошая кофеварка и не дорогая.</t>
  </si>
  <si>
    <t>Не знаю, у кого как, у меня она забивается все время, вроде кладу нормальные небольшие куски мяса, все ранво заедает через раз и все застревает внутри.</t>
  </si>
  <si>
    <t>2014-07-24</t>
  </si>
  <si>
    <t>Почитал тут отзывы. Обидно стало за этот холодильник. Покупали 4 года назад в МВидео такой же. Никаких проблем с ним не было и нет. Работает отлично, шума практически не слышно, очень тихий. Ооочень понравился ионизатор. Вместительный, красивый, надежный, качественный материал.Однозначно советую.</t>
  </si>
  <si>
    <t>В отличие от АндрЭ батарейка не держит. купил вчера поставил на зарядку, зарядил полностью. оставил просто включенным без воспроизведения какой-либо музыки. утром уже отключен из-за разрядки. поясните кто знает, что такое 30 часов воспроизведения и считается ли просто включенный плеер воспроизводящим? может батарейка перемороженная?</t>
  </si>
  <si>
    <t>231</t>
  </si>
  <si>
    <t>это супер игра советую всем</t>
  </si>
  <si>
    <t>Приобрёл этого зверька совсем недавно и вот спешу поделиться своими впечатлениями.  Очень порадовала производительность в современных играх ,из того,что пока проверил это:SIMS-3,NFS-Shift,DIRT-2,FlatOut2-Ultimate,Tom Clancys END WAR(Unreal Engine3),Resident Evil5,согласен список пока коротковат,но они все на этом буке идут на высоких или максимальных настройках графики в 1366 на 768!!!Я биль в шоке))).Согласитесь ,на такое способен и не каждый ПК десктоп.В чем прикол?Неужели связка мощного Intel Core I3 и современной хотя и бюджетной видюхи GeForce 310M творят такие чудеса?  PS:Все тестировалось на Win7 Ultimat 32bit с дровами под видуху 187,82 с офсайта Acer.  ИМХО:Лучшее соотношение производительность-цена-габариты.</t>
  </si>
  <si>
    <t>2227</t>
  </si>
  <si>
    <t>То что есть отрицательные отзывы  - это так. Пылесос занимает много места, сначала думала куда его засунуть, теперь стоит в шкафу купе и занимает пол шкафа, ужас. Моет так себе, свой диван я им так и не смогла отмыть от пятен, которые постоянно оставляют дети. После уборки очень долго все сохнет, т.к вода льется из пылесоса. Вообщем покупкой я не довольна, но если у вас есть место дома и время на сушку то эта модель для вас.</t>
  </si>
  <si>
    <t>Вчера приобрёл этот телевизор. По первым оценкам, хороший телевизор по цене/качеству. Особенно радуют скрытые возможности (разлочка USB порта для просмотра фильмов с флешки :-) )</t>
  </si>
  <si>
    <t>Меньше чем через год фен стал перегреваться и сгорел(((&amp;nbsp;</t>
  </si>
  <si>
    <t>Вы знаете я приобрёл Автомобильную магнитолу с DVD + монитор Prology DVS-1350 Всё отлично,всё радует, звук ,изображение,но мне не понятно почему такой плохой тюнер,ни одна радиостанция чётко не работает. У меня до этого была JVC правда простая без DVD без флеш-карты,радио станции ловила отлично,а здесь не пойму в чём причина,если кто знает,прошу ответить.  мой email:Kuvaeff_roman@mail.ru</t>
  </si>
  <si>
    <t>3054</t>
  </si>
  <si>
    <t>Телевизор за свои деньги устроил полностью, всё что подключал  к тв показывает отлично (для меня покрайней мере), но странная вещь, может я что-то не так делал, не знаю, может кто и поможет - подключаю xbox360 через hdmi, и видео не выводится, звук есть.</t>
  </si>
  <si>
    <t>Всасывает и моет супер. Со своей функцией по 5 балльной шкале справляется на 6)). У меня большая площадь для уборки и здесь он приходится очень кстати, очень рекомендую, у кого большая площадь. При уборке стандартного ковра вода в резервуаре становится как болото. Такого качества уборки я еще не встречал. Если воду в резервуар для сухой уборки налить по уровню задней стенки, то он работает на 200%, поначалу я налил воду по боковому уровню и он тоже не сосал, ошибся, внимательнее нужно читать инструкцию. Если дом большой берем не задумываясь, иначе есть смысл поискать пылесос поменьше. Куча насадок и турбощетка с 3 банками химии это серьёзный плюс. Рекомендую. Спасибо консультанту из М-Видео!!!</t>
  </si>
  <si>
    <t>Долго выбирал. Купил и не пожалел. Свои заявленные характеристики полностью выдерживаются. А тут еще решил попробовать делать йогурты в нем вместо йогуртниц и не ошибся. За 7 часов температура не упала ни на градус. Поэтому никакого электричества не требуется, а результат отличный.</t>
  </si>
  <si>
    <t>Нет.</t>
  </si>
  <si>
    <t>Купила сегодня эту модель. Очень понравилась! Отлично, всё супер!  Боль совсем незначительная, качество и удобство на высоте</t>
  </si>
  <si>
    <t>отличный вентилятор малошумный,удобный очень надежная прищепка, я очень доволен, всем советую.</t>
  </si>
  <si>
    <t>Машинка просто СУПЕР!!! "МОЯ ПОМОЩНИЦА" так я её называю. Теперь жизнь делю "до" и "после" покупки посудомоечной машины!!!</t>
  </si>
  <si>
    <t>Пользуемся увлажнителем 2 недели. Boneco специализируется именно на климатической технике, поэтому решила, что буду брать именно эту фирму. Увлажнитель выглядит очень стильно, сделан качественно, добротно. Не шумный! Ночью вообще его не замечаем. Воду заливаю из осмотического фильтра, никакого белого налета нет. В комнате 22 м.влажность поднимает до 40% (с 20% имеющихся), работает круглосуточно. У нас перестала сохнуть кожа на руках, от сухости у мужа першило горло, сейчас забыл про это. Находиться в комнате стало значительно комфортнее. Прибор оправдал наши ожидания. Единственное, хотелось бы поднять влажность до 50 %, но с частым проветриванием этого сделать не получается. Так что всем советую увлажнитель. Хороший.</t>
  </si>
  <si>
    <t>Машинкой очень довольны!  Первый раз купили для дачи, теперь купили домой ту же модель.  Не знаю, кто и чем ей не довольны. Просто нужно внимательно читать инструкцию по эксплуатации.  В работе очень удобна, не шумная, что очень важно.  Всем советую.</t>
  </si>
  <si>
    <t>Сначала не могла нарадоваться, но радость длилась не долго. Как только истек срок всех гарантий (закон подлости) пылесос перестал нормально работать. Мощности вообще нет, просто гладит паласы. Засасывает все сразу в фильтр, контейнер остается пустым. Мыть каждый раз замучаешься, да еще пока прочистишь всю квартиру раз шесть приходится вытаскивать пыль из фильтра, иначе вообще не тянет. В ремонт сдали, не могут найти причину, внутри он идеально чист, но лампочка индикатора тоже не загорается. Посоветовали заменить фильтр, заменили. Картина та же, только деньги на ветер выбросили. Короче, два года для пылесоса это слишком маленький срок. Да и стоит не дешево. Одноразовый, не берите.</t>
  </si>
  <si>
    <t>1559</t>
  </si>
  <si>
    <t>2015-11-07</t>
  </si>
  <si>
    <t>Сие чудо приобрелось за 2800р., да, вот такие акции бывают у М.Видео. Швейка шьет на ура, успевай только наматывать нитку. Первый месяц как купили, машина работала с утра до ночи (нашивали пеленки ребенку) и заодно убедились в качестве. Товаром довольна вся семья!!! К сожалению, но не к моему, оверлок не присутствует.</t>
  </si>
  <si>
    <t>3226</t>
  </si>
  <si>
    <t>Телефон очень удачный. Пользуюсь 2 месяца. Все нравится. Есть отдельные недочеты, но несущественные. До этого были другие КПК так что сравнить есть с чем</t>
  </si>
  <si>
    <t>Покупал как дополнение к ноутбуку Sony 15*  Отсутствие DVI ни на что не влияет, качество картинки максимально контрастное, цвета насыщенные, углы обзора хороши.    Рекомендую     только проверяйте и выбирайте на предмет битых пикселей</t>
  </si>
  <si>
    <t>Фотоаппарат отвратительный!!! Качество фотографий ужасное. Хуже качества я еще не видела, фотки размытые. На следующий день сдала его.</t>
  </si>
  <si>
    <t>Пользуюсь телефоном 2 недели. Пока только положительные эмоции - не все функции использовала на полную катушку, но пока все что пробовала, все устроило: меню удобное, фотографии и видиоролики вполне приемлемые, дополнительную память воспринял как родную, без проблем, меня интересовал обмен файлами с компом через блютуз - опять-таки никаких затруднений, понравились возможности настройки будильника :), плеер использовала только для воспроизведения всех мелодий подряд, но возможность создать группы воспроизведения в меню есть. Пока каких-то конкретных минусов не обнаружила.</t>
  </si>
  <si>
    <t>Пользовался 5 лет,очень качественный, ничего лишнего. Выдерживает огромные перепады температуры. Вчера уронил стеклянную колбу на металлический предмет-разбил. Объехал много магазинов,но нашёл его в одном(последний). Рекомендую всем именно эту модель.</t>
  </si>
  <si>
    <t>У нас самый простой чайник фирмы Philips работал отлично с 2001 года, и только неделю назад в прозрачной вставке появилась трещина, и он стал подтекать.  За 10 лет работы чайник даже успел прилично надоесть: ну сколько же можно работать, хотелось купить что-нибудь новенькое :)</t>
  </si>
  <si>
    <t>Хорошая машинка. За 1 год использования никаких проблем!</t>
  </si>
  <si>
    <t>2759</t>
  </si>
  <si>
    <t>Замечательная машина.Отлично и тихо стирает, нравится деликатная стирка. если что-то не успела закинуть вовремя, то дверца открывается. Мечта любой хозяйки.</t>
  </si>
  <si>
    <t>Вещь совершенно бесполезная, грязь убирает еле-еле, хотя комплектация хорошая. Но зачем эти дополнительные насадки если мощность у него практически никакая? Я думал что с пылесосом что-то не так, приехал в сервис, его включили и сказали что всё нормально и чтобы я не ждал чего-то от этого пылесоса, т.к. автомобильные все такие. Могу сказать что это не так, лично видел пылесос у друга, который убирает нормально</t>
  </si>
  <si>
    <t>Брал это штатив полгода назад. Штатив легкий и в принципе довольно прочный. Для начинающего в самый раз. Подходит для зеркалок средних размеров. Очень порадовала сумка в комплекте,  с своей ролью прекрасно справляется. Если цена устраивает, то штатив надо брать.</t>
  </si>
  <si>
    <t>Пользуюсь 2 года, нареканий нет. Штука отличная. У нас она отлично молотит и мясо и хрен. Завтра еще одну такую же куплю, теще на ДР.</t>
  </si>
  <si>
    <t>Когда стирала старой машиной, то приходилось специально увеличивать число полосканий, т.к. моя привычка добавлять больше стирального порошка и ополаскивателя, чем необходимо, просто непоборима)) Теперь я не волнуюсь об этом, в этой машинке есть контроль пенообразования, который гарантирует полное выполаскивание. Кроме того, в этой машине большая загрузка, что есть экономично в плане воды и электроэнергии. Разумная машина и стирает разумно.</t>
  </si>
  <si>
    <t>1986</t>
  </si>
  <si>
    <t>Чтобы включить/выключить сенсорную панель надо нажать комбинацию клавишь Fn-F6</t>
  </si>
  <si>
    <t>Брал в Мвидео, устанавливал сам, работает очень тихо, советую. Охлождает на ура, нагревает тоже. 25 метров+цена и качество рекомендую.</t>
  </si>
  <si>
    <t>634</t>
  </si>
  <si>
    <t>Весы хорошие!Вес показывают точно.Советую брать.</t>
  </si>
  <si>
    <t>Классная вещь!Плов обалденный,курица запекается идеально!Кексы и бисквиты вообще слов нет! На пару можно готовить)Мыть легко и просто)))Рекомендую всем))</t>
  </si>
  <si>
    <t>Плеер очень порадовал, сочной, красивой картинкой, сравнивал качество картинки сжатых форматов между компьютером и плеером, Панасоник намного объемнее и детальнее "рисует". Из минусов очень долго грузит Blu-ray, и иногда притормаживает в динамичных сценах, может не он, а телек.</t>
  </si>
  <si>
    <t>2236</t>
  </si>
  <si>
    <t>Лучшие наушники-вкладыши с самым честным (по частотке) и чистым звучанием. Можно использовать даже для профессиональных целей, сведения и мониторинга - не подведут и не обманут! А большая максимальная мощность в 200мВатт гарантирует отсутствие перегрузки и резкого роста искажений при прослушивании на высоких громкостях.  Неожиданно низкий уровень нелинейных искажений по сравнению с др. наушниками из этой серии(RP-HJE200 и RP-HJE300) и идеально ровная АЧХ сильно порадовали.    Наконец-то нашёл, что искал, всем советую послушать: такой чистый и при этом глубокий бас Вы не услышите ни у одних наушников др. производителей, разве, что у профессиональных Beyerdynamic DT 770 PRO и им подобных с несколько раз большей стоимостью...  Для ещё большего снижения КНИ прослушивание данных наушников рекомендуется через балластный резистор на 100-200 Ом, в зависимости от мощности и максимального напряжения на выходе вашего источника звука.</t>
  </si>
  <si>
    <t>сломалась ровно через 2 года</t>
  </si>
  <si>
    <t>От бритв мне требуется одно - гладкость бритья. Бакенбардов и усов не ношу, но бритье всегда было проблемой, так как кожа сухая и чувствительная. Поэтому решил попробовать суперсовременную бритву Braun 799cc-7 Series 7 в надежде оправдать ожидания. И они оправдались    Полная зарядка требует чуть более 40 минут. Бритва в док-станции чуть наклонена, что непривычно.  Приступив к процессу бритья, понял, что это что-то новенькое. Мне не приходилось скрести по одному и тому же месту многократно. Все с первого раза оставалось чистым и гладким…  И никакого раздражения, это меня удивило и порадовало больше всего. Закончив, просто подержал ее под струей воды! Забавно смотрится процесс чистки на док-станции  - то бесшумно, то жужжит.  Подытожу: Braun 799cc-7 Series 7 производит отличное впечатление, бреет очень быстро и чисто, а качество жизни улучшается. Вывод: денег своих стОит!</t>
  </si>
  <si>
    <t>Быстрое время нагрева, компактный размер, низкие теплопотери.</t>
  </si>
  <si>
    <t>Странная серия.  Сначала взяли LE22 B450. всё нормально, но гудит транс ночью, когда звук тише делаешь. Пульт - лапатного типа. Решили поменять на 26 какой-нибудь  -  ничего кроме Сони 26 не оказалось.  В итоге поменяли на LE32 B450. Глаза болят - постоянно. Да ещё и приколы с настройками. Они сбиваются и при выключении и при смене формата изображения на одной программе (напр смотришь фильм, начинается реклама - меняется формат и сбивается всё - режим устанавливается в динамический, режим "чёрный" убирается. Самое отвратное, что настройки могут соскачить к дефолтным даже во вреля просмотра фильма. В итоге после рекламы в обязательном порядке приходится опять жать кнопки всех настроек).  PIP только двух размеров - маленький и очень маленький, пока до него в меню доберёшься - проходит вечность.  И самое главное.. широкая гамма цветов.. эти самые цвета забиваются. В автомате яркие цвета теряют оттенки.  Если не смогу настроить хотя бы удеражение выставленных настроек - сдам назад. Даже не смотря на то, что 700 р  за сдачу придётся потерять.</t>
  </si>
  <si>
    <t>Машинка понравилась. Брала и себе и маме. Чего-то сверхестественного конечно не делаю, но что-то подшит по дому получается всегда. Не сложная в управлении. Хватило буквально 10 минут чтобы понять все без инструкции. Пока только радует. В эксплуатации 4 месяца</t>
  </si>
  <si>
    <t>Приобрели данный нагреватель для использования на кухне в период отключения горячей воды. Покупкой очень довольны! Компактный и аккуратный внешний вид, при этом емкости вполне хватает для бытовых нужд. Нагревается повторно очень быстро, держит температуру хорошо. Никаких недостатков за две недели постоянного использования не отмечено.</t>
  </si>
  <si>
    <t>телефон прекрасный, стоит своих денег, громкий чёткий звук, креативный дизайн, то что надо!</t>
  </si>
  <si>
    <t>Подарили на День Рождения, пользуюсь почти два месяца.  Стильный дизайн, удобное управление, качество отличное, хорошо разогревает и готовит, единственный минус - остаются следы от пальцев, но эта проблема всех стальных поверхностей.</t>
  </si>
  <si>
    <t>Аналогичная ситуация. Все тоже самое, хотела крупные локоны, а этот прибор вообще не тошто бы локоны даже концы толком не завивает, вообще ужасс какой-то, вроде нагревается сильно, но результата никакого, хоть сколько держи, а кудрей не завьешь)))))))))). Деньги на выброс, больше нечего сказать!!!!!!!!!</t>
  </si>
  <si>
    <t>Я даже не знал, что у меня дома находится столько грязи. Не удивительно, что пылесос быстро наедается ей до отвалу. Сначала злился, что заполняется быстро, но потом понял, что пылесос то хорош. Хорошо чистит грязь, потому и наполняется хорошо, иначе дышал бы тем, что быстренько вылил в унитаз, а фильтры быстро можно приспособиться мыть под струей воды. Мой совет, чаще меняйте воду и все будет хорошо. Когда вода грязная, она уже не фильтрует и хепа фильтр тогда забивается, но его можно промыть водой.   Что можно сказать в итоге? Сам пылесос хорош, но и хозяина он требует достойного. Дом отчистит на раз, только нужно не полениться и его тоже почистить и почистить вовремя.</t>
  </si>
  <si>
    <t>до этого телефона был сенсор,этот намного удобнее)телефон отличный,пользуюсь пока второй месяц,глюков всего два:вибро иногда не отключается при доставке смс и комп не видит. в остальном очень достойно для такой цены.да и в цвет машины очень подошёл)))</t>
  </si>
  <si>
    <t>2012-04-24</t>
  </si>
  <si>
    <t>Стиральная машинка супер, на 5+. Негромкая. Отстирывает все замечательно. Много функций, даже обувь стираем в ней!</t>
  </si>
  <si>
    <t>купили по акции за 13990. за эти деньги отличная покупка. до этого были две "аристон", есть с чем сравнить. Достоинства: узкая (влезла туда, куда планировали, другая не вошла бы); малошумная; очень удобная загрузка(огромный люк + расположен повыше чем у других стиралок); куча программ; электронный дисплей (покажет сколько до конца стирки); не прыгает даже при мах оборотах хотя по уровню не выставлял и подножки не покупали.  Замечания: слишком автоматизирована (на каждую программу свои мах температура и обороты, которые вручную не выберешь) но можно обхитрить через другие кнопки; нет защиты от детей (блокировки центрального переключателя) и хотелось бы светодиодик в этот переключатель, чтобы видеть какой режим в работе. но это мелочи плюсов гораздо больше и ещё кучу бонусов получили хватит на мобильник пацану.</t>
  </si>
  <si>
    <t>Очень доступная цена для данного товара, покупка была совершена для мамы. Есть дополнительная насадка в виде расчески. Можно сушить просто как феном (без насадки), а можно и сделать укладочку с насадкой. Хорошо подкручивает волосы на кончиках и делает объем у корней. Мама осталась довольна.)</t>
  </si>
  <si>
    <t>Купил в подарок. При проверке дома на дисплее родительского блока невозможно ничего разобрать: некоторые строчки пикселей не горят. Пересмотрел 3 таких же устройства. На всех дисплей не работает! Качество на нуле! И это больше похоже китайскую поделку, чем на надежный филипс.</t>
  </si>
  <si>
    <t>кондер нормальный, просто виктор спецификацию не читает, а там русским по белому написано потребляемый ток 6,9А стандартная розетка и 6А не держит, при долговременном использовании плавится</t>
  </si>
  <si>
    <t>Пользуюсь сим аппаратом полторы недели, в основном всем доволен. Из плюсов, несомненно наличие USB (просматриваю видео при отсутствии плеера) и цифрового тюнера. Из минусов особо придраться не к чему, особого нагрева при работе не заметил. Так что твердая "5".</t>
  </si>
  <si>
    <t>Я согласен с Александром, что за такие деньги можно преобрести более мощный комьпьютер, DDR2 8GB 800Mgz это совсем не нужно;т.к DDR3 4GB 1333Mgz будет гораздо лучше и производительнее. Что касается видеокарты то GDDR5 слишком дорогой адаптер, а хватило бы там GDDR3 X2 512 бит было бы дешевле. Так что люди приобретая такой компьютер вы кидаете деньги на ветер! Знайте прогресс не стоит на месте, какую бы вы машину не преобрели через полгода она нещадно устареет. Мой вам совет купите в этом магазине компьютер за 20.000 руб. и дождитесь INTEL BULDOZER/                          Ваш хакер :)</t>
  </si>
  <si>
    <t>Машина отличная по цене/качеству. Кофе варит вкусный. Есть разница. Кто пользуется недавно, и не умеет толком пользоваться капуччинатором, сочтет машину плохой, если, разве что, не ценит эспрессо. Если почитать инструкцию и вникнуть, начать пользоваться всеми возможностями, все будет получаться на пять. Плюс машина максимально компактная. Теперь с уверенностью могу сказать что я пью отличный кофе.</t>
  </si>
  <si>
    <t>2834</t>
  </si>
  <si>
    <t>Для меня nokia 6300 - идеальный телефон, пользуюсь уже больше 2-х лет, и за это время он не надоел, раньше раз в год покупала новый телефон, сейчас остановилась, так как довольна им полностью. За 2 года никаких нареканий, ну только аккумулятор стал мало держать заряд, но это поменять не проблема. А так, всё ок'  Телефон функционален, красив, лёгок и очень важно, что прочен: падал 2 раза на асфальт и на плитку, в результате задняя крышка поцарапалась, но такие стильные царапинки на стальной крышечке добавили телефону даже некую пикантность) А экран цел и невредим и работает телефон тьфу-тьфу-тьфу отлично.   Телефон сделан в лучших традициях Нокии - сделан прежде всего качественно, что сейчас редко встретишь. Всё в нем сбалансировано: дизайн, меню, список контактов, темы и заставки, вибро-звонок хороший, звук самого звонка не очень громкий, но это не критично, а так есть всё, что должно быть в телефоне.   Камера тоже для телефона хорошая, когда надо что-то быстро сфоткать, очень помогает. Объем памяти приличный: умещается много фоток, музыки.   Вообщем, для меня nokia 6300 - мой идеальный мобильный помощник, стильный, функциональный и надёжный!</t>
  </si>
  <si>
    <t>389</t>
  </si>
  <si>
    <t>Почитал ваши отзывы, да видео карта греется, но есть решение просто купить дополнительный вентилятор и самому встроить только на выдув, что я и сделал - теперь не знаю проблем, дрова можно найти на официальном сайте, оперативку можно увеличить до 8 гигов, а HDD до 1 ТБ, так что я им доволен, и по виду и по производительности. Желаю удачи!!!</t>
  </si>
  <si>
    <t>1188</t>
  </si>
  <si>
    <t>Привлек возможностями, особенно порадовала мультиформатность и фишка с быстрым проигрыванием, у моего предыдущего плеера такой опции не было, значительно упрощает просмотр. Сенсор нормально реагирует на прикосновения, не нужно по несколько раз по одной и то же кнопке клацать. Ну и фулл-ашди, безусловно, вещь - картинка получается супер-детализированной.</t>
  </si>
  <si>
    <t>Хорошая вещь, удобная и цена приемлемая.  Плюс не занимает много места.  Защищает как и "старшие" товарищи.</t>
  </si>
  <si>
    <t>Купила пару дней назад!! Замечательный ПК, всё хорошо работает!</t>
  </si>
  <si>
    <t>2816</t>
  </si>
  <si>
    <t>в дополнение к расшатавшемуся гнезду наушников, стала странно работать кнопка перемотки вправо, работает когда хочет, нажимаясь на 2 или 3 раз. повторюсь красивый то он, красивый, но слушать очень трудно, то звук пропадет, то до нужного места в списке добираешься долго.  проблему с гнездом наушников решил просто, подмотал штекер скочем и забил с силой, теперь звук почти не пропадает :)))</t>
  </si>
  <si>
    <t>3187</t>
  </si>
  <si>
    <t>Не холодильник, а какое-то белое безмолвие. Если в полной тишине прислушаться, можно услышать легкий щелчок включения компрессора. Работу и выключение не слышно. И не знаешь, работает он или нет, пока ухом не прижмешься. Или пока не откроешь дверцу и убедишься, что морозит, как в Антарктиде. На двоечке! Дверцы открываются легко, прилегают плотно. Дизайн приятный. Даже придраться не к чему... Два месяца - полет нормальный.</t>
  </si>
  <si>
    <t>1581</t>
  </si>
  <si>
    <t>Вообще не давит, только трясется. Может в хэтчбеках его как-то и слышно, но в седане(мерседес W210) только зря место в багажнике занимает.</t>
  </si>
  <si>
    <t>Звук чистый, при усилении до максимума не хрипят! Басы хорошие, чистота звука отличная.</t>
  </si>
  <si>
    <t>Знаете я когда увидела его-влюбилась!!но висту убрала еле-еле. Хр поставили кое как..но я рада..теперь проблема с драйверами по интернету))смешно!!</t>
  </si>
  <si>
    <t>Кофеварка капельного типа Tefal CM410530 была куплена 5 месяцев назад. Со своей работой справляется. Кофе на кружку 300 мл мелкого ( как мука) помола 8гр. Режим крепкий кофе. Минусы: остается вода в резервуаре, колба пару раз прилипала к платформе и при отлипании  черный слой откарябался. Рекомендую к покупке.</t>
  </si>
  <si>
    <t>Прекрасная и незаменимая вещь на кухне, с которой может справиться каждый, от мала до велика!  В мультиварке все блюда получаются безумно вкусными, не сравнить с приготовленными на плите.  А сколько свободного времени появилось, после приобретения этого помощника.  В общем, пока не купите – не поймете!</t>
  </si>
  <si>
    <t>2781</t>
  </si>
  <si>
    <t>Просто машина, наверное это профессиональная вещь. Паровой удар на деле именно как паровой удар, осторожно (!), в  отличии от других марок с указанием 170 г/л, где удар это пшик! Советую, но будьте осторожны, внимательно осматривайте.</t>
  </si>
  <si>
    <t>По функциям машинка - просто супер. Но вот прослужила она нам всего 2 года и 2 месяца - полетел модуль. Его замена обошлась бы в полстоимости самой машинки. В целом о ней приятные воспоминания.</t>
  </si>
  <si>
    <t>Проработала полгода и что-то в ней залипло и не включалась. В сервисе отремонтировали по-быстренькому и порядок! Хорошо сработали!       При эксплуатации нашел небольшой минус - при выжимании сок немного протекает на корпус с мотором. А в остальном конструкция весьма продуманная + впечатляющая мощь мотора.</t>
  </si>
  <si>
    <t>1344</t>
  </si>
  <si>
    <t>Вобще супер уши, покупайте не пожалеете!!!</t>
  </si>
  <si>
    <t>269</t>
  </si>
  <si>
    <t>3044</t>
  </si>
  <si>
    <t>Клевая флешка. Компактная, удобная и позитивная. Работает на ура уже третий год. Скорость нормальная, качество тоже.</t>
  </si>
  <si>
    <t>Это сразу набор термометров, удобнейшая вещь для тех, у кого есть малыш!</t>
  </si>
  <si>
    <t>Если честно, когда брал, думал беру кота в мешке, на самом деле это не так! :) Комплект отличный за эти деньги, отыгрывает на 100%, думал будет хуже, доволен полностью!</t>
  </si>
  <si>
    <t>Наушники отличные почти 2 года продержались после расклеился левый наушник. звук радовал все 2 года.</t>
  </si>
  <si>
    <t xml:space="preserve">Звук, дизайн </t>
  </si>
  <si>
    <t>Остановился на германском качестве. Много работает, мало шумит и никакого производственного запаха! Всем советую!))</t>
  </si>
  <si>
    <t>Выбор 9604 не был спонтанным. Несколько месяцев выбирал в ценовой категории 40-60 т.р. среди ЖК Sharp, Sony, Samsung, среди моделей Philips`ов. Остальные выглядели бледно. Помимо выдающихся технических характеристик можно сказать Philips удалось выжать из ЖК технологии максимум и даже больше, также предложить свою технологию - Амбилайт (чего нет у других). С покупкой этого телевизора все фильмы можно пересматривать вновь.   Плюсы:  1. Качество картинки с эфира, любого источника на очень высоком уровне (даже фильмы с расширением avi читает на отлично). В кино теперь не тянет.   2. Звук тоже тоже на высоте, диалоги все четкие (звук использую очень редко, т.к. ТВ работает в ДК).  3. Амбилайт творит чудеса - фильмы можно смотреть в абсолютной темноте и глаза при этом не устают!!!  4. Пульт очень удобный и красивый, с разделенными зонами, позволяет управлять DVD проигрывателями других марок.  5. Возможность проигрывания видеофайлов с флешки.  6. Инструкция заложена в самом ТВ.  7. Амбилайт можно включить отдельно (даже без включения ТВ) - получается очень стильный светильник, с комфортной подсветкой и изменяемыми цветами в автоматическом и ручном режимах.  8. Автоформат выше всяких похвал, картинка 4:3 очень комфортно адаптируется к 16:9 (сравните Sony -просто две черные полосы по бокам)  9. Сенсорное управление на самом ТВ (прикосновение пальцем без нажания).  10. Множество входов и функций, включая подключение к интернету через Wi-Fi.  ПОГРУЖЕНИЕ В ФИЛЬМ 110%.  минусы:  1. нет возможности купить 37 дюймов (в нашем регионе единственный продавец серии 9600 - М. Видео, которые не возит ТВ диагональю 37) пришлось брать 32.  2. Philips 32 PFL 9604H достаточно глубокий (по сравнению с ультратонким Samsung) и это надо учитывать при покупке кронштейнов крепления и проводов.  ДРУГИХ МИНУСОВ ЗА НЕСКОЛЬКО МЕСЯЦЕВ ЭКСПЛУАТАЦИИ НЕ ВЫЯВЛЕНО.</t>
  </si>
  <si>
    <t>согласна с Олегом...пользуемся 4 года...пока нормально.</t>
  </si>
  <si>
    <t>купил недавно, пока доволен, диски не царапает.</t>
  </si>
  <si>
    <t>С ней не нужен фен, удобная как расческа два в одном</t>
  </si>
  <si>
    <t>Отличная машинка</t>
  </si>
  <si>
    <t>Долго искали вытяжку под шкаф, места у нас немного, поэтому боремся за каждый сантиметр.Почти такая же крона стоит в родителей 3 года и никаких проблем в работе. Плюс этой модели еще и в том что она имеет выдвижную часть, таким образом можно регулировать область поглощения над печкой.при желании можно поставить углольный фильтр, на эту модель он стоит недорого, но мы пока обходимся без него, во время готовки никих запахов из кухни в комнаты нет.</t>
  </si>
  <si>
    <t>очень крутой)люблю его=-)))))</t>
  </si>
  <si>
    <t>+:  Изящная, удобные формы, т.к. покупали для того, чтобы стригла супруга, то в женских руках сидит идеально.  Блок лезвий снимается легко, чистится тоже легко, в корпус волосы не попадают. В комплекте идет смазочное масло.  Может работать от сети.  -:  долгая зарядка 8 часов.  Нет насадки больше 12мм, но нам это и не нужно.    Со временем скорее всего аккумулятор не купить, но думаю можно будет перепаять обычный пальчиковый АА.    Лезвия по расчетам инструкции по эксплуатации (стрижка 12 мин) должно хватить на весь срок работы машинки -  37 лет при стрижке 1 раз в месяц, туда-сюда 10 лет точно.</t>
  </si>
  <si>
    <t>Отличная штука. Использую ее для включения и выключения электрического подогрева двигателя в гараже. Гараж металический, но морозы таймеру не почем.</t>
  </si>
  <si>
    <t>Неплохая микроволновка, свои функции выполняет на 4 из 5 баллов. Мощность микроволн всего 900 Вт, что не очень много для современных микроволновых печей; 5 рабочих режимов; всего 5 автоматических программ.</t>
  </si>
  <si>
    <t>2016-10-01</t>
  </si>
  <si>
    <t>Пришла купить самую дешевую кофемолку для редкого использования - для сахарной пудры, кофе совсем не пью. , у меня была скидка 500 бонусов,  работает все эти годы без нареканий, симпатично выглядит, легко моется. Также молю в ней семя льна))) вот и два продукта, для которых она мне нужна...</t>
  </si>
  <si>
    <t>Купил себе E30 2Gb чуть по скромнее в функциях чем E50, но плеером очень доволен батарея села через 3 недели после зарядки при активном прослушивании.  + Про звук нареканий нет с одним эквалайзером провозился очень долго при отличных наушниках можно добиться эффекта трехмерного звучания, но я остановился на эквалайзере Rock более знакомо и лучше на мой взгляд.   + Про видео (отвечаю KeShe) все он показывает просто нужно установить утилиту на прилагаемом диске Movie Converter во вкладке Select Device выбрать E50 и конвертировать  получится формат SMV (файл с расширением SMV) получившееся файл сохранить в плеере в папке с видео и смотреть. При просмотре видео батарея садиться в РАЗЫ быстрее.  С уважением Иван.</t>
  </si>
  <si>
    <t>Нормальный плеер, звук хороший, но сам по себе иногда перезагружается, за такие деньги потянет.</t>
  </si>
  <si>
    <t>Пока всем доволен. Работает как часы и радует производительностью. Есть оптический аудиовыход и место для второго винта. Пока что второй винт не поставил, но салазки для него сделал :)     Отрицательный отзыв про сгоревший мост конечно испугал, но что-то тут нечисто. Ибо половина из написанного - про поиск дров для видео  - откровенная ересь.   И еще - ноут не греецца вообще ! Только пара часиков гамства хоть как-то его прогревают...    Поменял на него свою старенькую тошибы а100-002. Тоша конечно классом повыше была, и по качеству сборки это видно, но в целом ноуту ставлю 5 с минусом. А если учесть цену - 5 с плюсом !</t>
  </si>
  <si>
    <t>Купил как неделю назад, очень все устроило. Хорошее изображение, удобный пульт. Цифровой тюнер на перспективу. Вобщем,- доволен.Рекомендую.</t>
  </si>
  <si>
    <t>Классная вещица!!! Я пока попробовала только одну насадку для гофре, но впечатления уже положительные))) Волны делаются быстро, 10 секунд подержать - и готово))) И не обожжешься, так как наружная часть насадки пластмассовая))) Так что соотношение цена-функциональность-качество - на 5+!!!</t>
  </si>
  <si>
    <t>Сама по себе вытяжка хорошая, шумит да, но не так чтоб ничего не слышать и только на самой высокой скорости. Долго выбирали, понравился внешний вид, очень подходила к кухне. Все было прекрасно, пока в один прекрасный день стекло как будто взорвалось, варочная панель и столешница слава богу не пострадали, но приятного мало, и хорошо что в этот момент никого не было на кухне. Сначала подумали что еще один метеорит пролетел))))). Когда смотрели отзывы таких оптимистичных почему то не видели, теперь вытяжка в состоянии ремонта уже несколько недель и когда это кончится не понятно. Все спихивают ответственность друг на друга, это опять время, деньги и нервы.</t>
  </si>
  <si>
    <t>Как говорится - раз на раз не приходится! Нам плита очень понравилась. Ящик внизу не соскакивает. Разогрев конфорок быстрый, духовка отличная. Очень радует гриль. Брали по скидке, да еще и дополнительная скидка за старую плиту. Спасибо, М-Видео.</t>
  </si>
  <si>
    <t>Серебристая с большим люком, узкая, с привлекательным внешним видом  Недостатки:   -барабан не соответствует заявленным 6 кг;  -при отжиме скачет по ванной, несмотря на наличие дополнительно купленных ножек, приходится все с машинки убирать;  -плохо выполаскивает белье , остаются какие то куски , то ли пыли, то ли ветоши.Приходится включать дополнительное полоскание ;  -при стирке все белье сбивается либо в пододеяльник , либо в простынь;  -не вымерены режимы стирки: либо слишком короткие, либо слишком длинные ;  -нет режима половинной загрузки;  -указанная функция предварительной балансировки белья отсутствует ( не работает??).;  Никому не советую, единственный плюс внешний вид.</t>
  </si>
  <si>
    <t>Экран, Отличный экран!!!, яркий и сочный, светодиодный. Хороший дизайн, но это на любителя. Насчет игрушек пишут вранье! Играть если и можно в CoD4 и ей подобное 1024*768 на минимальных характеристиках графики, дальше можно смотреть слайды. Хотите играть берите PS3 или обычный комп. От бука ждать революции для игр не надо. А так отличный домашний бук.... 17 дюймов с собой не потаскаешь тяжеловато.</t>
  </si>
  <si>
    <t>Для такого размера и цены утюг просто отличный, превзошел все мои ожидания. Действительно отпаривает и хорошо гладит. Пользуюсь даже дома, но и в поездки всегда беру!</t>
  </si>
  <si>
    <t>товар ужасный, я не советую, он три дня работал а потом слетели все игры, это наладить не удалось, через 3 месяца он перестал работать :-(</t>
  </si>
  <si>
    <t>2011-05-19</t>
  </si>
  <si>
    <t>Очень хорошая кофемолка, пользуюсь около 2х лет, хороший дизайн и функциональность. Но как уже говорилось, есть недостаток - неточный регулятор работы по времени. Проблема решается обычным секундомером (сам включил, сам выключил).</t>
  </si>
  <si>
    <t>Мне очень понравился данный набор. Хотя меня очень насторожили отзывы покупателей о том, что ему не хватает мощности, однако, решила рискнуть и не промахнулась. Надавливать при эксплуатации сильно и не надо! прибор разработан так, что достаточно легкого касания, чтобы был эффект. Внимательней читайте инструкцию, и тогда не будет разочарований.</t>
  </si>
  <si>
    <t>Купил сегодня за 790рэ, подкупило Польское производство. Судя по отзывам думаю, что не ошибся с выбором. То что 1,5л, не страшно, жаль без индикатора включения, надеюсь не потечёт как Мулинекс, хотя с 2-х летней гарантией не страшно!</t>
  </si>
  <si>
    <t>2015-08-24</t>
  </si>
  <si>
    <t>Брали ее еще по акции за 24000. Духовка супер! Наверное самая лучшая в своем классе.</t>
  </si>
  <si>
    <t>2114</t>
  </si>
  <si>
    <t>купил его из-за рекламы фирмы, потом в интернете прочитал, что эта модель в 2008 году уже была не новая, чёрного цвета нет, подсветка не регулируется, на фильмах прибавление громкости сопровождается отвратительными призвуками корпуса, короче полный отстой. не покупайте!</t>
  </si>
  <si>
    <t>Не знаю уж как включали и обращались с этим прибором предыдущие пользователи, но у меня все работает хорошо. Использую радионяню для "прогулок" ребенка на балконе. Слышно не только вблизи, но и ворон на деревьях, гудки машин, шум листвы и т.д.</t>
  </si>
  <si>
    <t>Перешил на последнюю прошивку с официального сайта кодака. Также как у Сергея перестала грузиться. Сделал сброс через ресет. Выставил язык английский, не помогло. Нашел прошивку от 14/04/2008 - как раз та что стояла на ней. Перешил - работает :) Хочется последнюю конечно, но видимо пока не судьба.</t>
  </si>
  <si>
    <t>Наверное один из лучших в своем классе цена-качество!Купил в ноябре 2009 и не ошибся!Сразу взял к нему видеоплеер LG TS-100,через HDMI прекрасное изображение и звук.Так же замечательное изображение при просмотре цифрового и аналогово тв.Режим экономии энергии, очень хорошая опция.Конечно, на вкус и цвет товарищей нет!Мне очень нравится,рекомендую...</t>
  </si>
  <si>
    <t>Прекрасный дизайн. Большая мощность,но при этом компактность. Регулировка мощности на ручке-замечательно.Недостаток один:)-ребёнку тяжело пылесосить. Не может оторвать щётку от пола при максимальной мощности. Пылесос рекомендую!!!</t>
  </si>
  <si>
    <t>Вчера с мужем купили этот вентилятор... Приехали, я начала разбирать коробку, все скрутила, собрала и на радостях только включать(посколько дом утепленный и летом очень жарко) и опа на........не работает(((( Ночная подсветка горит, а вентилятор не крутит. Сегодня поехал муж обменивать....они там его собрали и о чудо......он заработал..!!! но у нас то он не работалЛ!!!!! они сказали что это у нас с розетками не впорядке:-D. А потом они сами включили его еще раз, а потом еще и еще - и он так потом и не заработал!! дали другой и сказали что вся партия бракованная может быть и долго они не прослужат. Собрали тот который обменяли, все хорошо работает! Выводы делайти сами, но я хочу идти опять его менять, поскольку начинает появляться едкий запах плассмасы.</t>
  </si>
  <si>
    <t>Очень хорошее железо по такой цене...но как было сказано выше есть проблемы с видеокартой т.е. её перегревом...напрягает...кто нибудь решил эту проблему!??!?!</t>
  </si>
  <si>
    <t>Мясорубкой довольна, очень хороший нож, крутит даже полузамороженное мясо.  что немало важно есть реверс,для обратного хода, если что и наматывается на шнек то не приходиться разбирать всю мясорубку.Работает уже второй год.  Всем рекомендую!Отличное соотношение цены и качества</t>
  </si>
  <si>
    <t>623</t>
  </si>
  <si>
    <t>Телефон хороший...Купила его и пользуюсь уже год. Звук, камера отличные. Но есть один минус. При раздвижении телефона он стёр краску. А так телефон хороший.</t>
  </si>
  <si>
    <t>2015-05-01</t>
  </si>
  <si>
    <t>Третий день в эксплуатации, в целом неплохо.  Один серьезный недостаток имеется все таки. Тупая инструкция. Куча ненужной информации, зато действительно необходимое проигнорировано. Режим быстрого нагрева, не указано время. Смысл тогда в нем, если нагревать можно и в других режимах. Отсутствие временных интервалов, очень серьезная оплошность</t>
  </si>
  <si>
    <t>Вчера купили этот вентилятор, т.к. лето уже не за горами, и конечно же сразу опробывали для проверки. Платформа у него кстати металическая, а не пластиковая как тут написано. Рабтает безшумно, не шатается, не дребезжит. Так что вешь хорошая, я довольна.</t>
  </si>
  <si>
    <t>аппарат работает на ура! сглаживает любые скачки! доволен как слон! берите не пожалеете!</t>
  </si>
  <si>
    <t>Хорошая полезная вещь, поставил не зря.</t>
  </si>
  <si>
    <t>Рекомендуем!!! Очень удобная доска: широкая, легкая, устойчивая и выгодная по цене. Мы очень довольны</t>
  </si>
  <si>
    <t>Приличный плеер, есть функция сохранения закладок в тексте , кстати в книге там можно делать крупный шрифт. Хорошо играет музыку, может показывать картинки и фильмы.</t>
  </si>
  <si>
    <t>342</t>
  </si>
  <si>
    <t>Отжимает все на ура, правда шумновата, в сливной стакан могли бы поставить какое нибудь ситичко, для более качественного слива в кружку. Моется очень удобно, за 5 минут!</t>
  </si>
  <si>
    <t>Весьма производительный кондиционер! Один стоит в квартире,комната 12-14 м2, после включения холодно через 1,5 минуты! Второй работает на даче - мансардный этаж, высота потолка 4м , площадь 40 м2 .В жару прохладно через 20 минут, холодно через час! Наружний блок очень тихий , внутренний для DAIKINа не очень. Если на минимальном значении вентилятора , а также на ночном режиме иногда слышится небольшая вибрация-выньте из противопыльных фильтров дополнительные антимикробные накладки , при малых оборотах стучат именно они!</t>
  </si>
  <si>
    <t>2271</t>
  </si>
  <si>
    <t>Машинка у меня уже несколько месяцев. Те, кто пишет что машинка тихая, просто не слышали тихих машин. Я не говорю о дорогих, есть тихие и в этой ценовой категории. При чём все самсунги (на данный момент) так свистят. Я продаю стиралки и знаю что говорю. Если вы хотите что бы машинка стояла в коридоре, на кухне или стирала по ночам, а вы плохо спите — это не ваш вариант! Любой самсунг свистит, вне зависимости от цены. А стирает она хорошо (жена довольна) Не прыгает, относительно симпатична, управление не сложное, индикатор оставшегося времени стирки и прочие радости.</t>
  </si>
  <si>
    <t>Я бы не сказал, что звук плохой. Акустика у меня норм, единственное не любит высокий битрейт ( mp3 больше 256 может не играть). Меню согласен - неудобное, в основном все ориентировано на пульт, что при движении не лучший вариант.</t>
  </si>
  <si>
    <t>2586</t>
  </si>
  <si>
    <t>Отличная стиральная машинка, самое главное тихая и очень удобен электронный дисплей.</t>
  </si>
  <si>
    <t>Купила пароварку в 2007 году.Удовлетворена полностью.Пользуюсь и радуюсь.По сравнению с тефаль я выбираю Кенвуд.Советую купить останитесь довольны.</t>
  </si>
  <si>
    <t>Очень уважаю данную марку, поэтому и приобрели эту микроволновку, на работу нареканий нет, всё чудесно, легко и понятно. НО:  1. нет часов, хотя есть дисплей, но это мелочи.  2. после года эксплуатации отломилась одно из креплений ручки.</t>
  </si>
  <si>
    <t>2115</t>
  </si>
  <si>
    <t>Покупал сначала маме на подарок а потом и себе домой взял. Отзывы только положительные, тихий, довольно мощный, блендер работает на ура. Супруга пользуется универсальным измельчителем. В общем вещь хорошая, рекомендую!</t>
  </si>
  <si>
    <t>Прочная, простая в применении, удобная</t>
  </si>
  <si>
    <t>отличная кофемолка , в меру шумная, качество сборки вполне хорошее, купил неделю назад пользуюсь каждый день полет нормальный !</t>
  </si>
  <si>
    <t>Отличная кофемолка! Прослужила более 10 лет и очень активно использовалась. Молола только кофе. Хорошее соотношение цены и качества. Рекомендую.</t>
  </si>
  <si>
    <t>Очень порадовала данная кофеварка. За такую цену - отличный выбор! У меня она живет уже 1,5 года - работает отлично. От ежедневного использования чуть стерлась одна кнопка ВКЛ - но это никак не влияет на работу (эстетическая проблемка). До этого была кофеварка Moulinex BCA1L1 - проработала 1 неделю и сломалась. Ее и поменял на DeLonghi. В общем я очень доволен!</t>
  </si>
  <si>
    <t>Нормальная бритва за свои деньги. Хорошо бреит, если не бреет то вы просто не умеете пользоваться эл.бритвами.</t>
  </si>
  <si>
    <t>Лучше нет !!! Машинка просто супер , но конечно дороговато ;)</t>
  </si>
  <si>
    <t>Игра КЛАСС! Слов нет,с первых секунд так интересно.Графика так завораживает,такие краски,звуки.Бои сделаны на ура,управление очень удобное удары выполняются кнопками,так чуствуешь эти удары,пот брызгает,кровь тоже нокауты красивые.Особенно на большом телеке с HD!Правда есть минус-некоторые бойцы некоторые!какие-то кутылые.В ROUND 4 например Тайсон был очень похож,но это мелочь!)))Игра ничтяк,ребята не пожалеете.</t>
  </si>
  <si>
    <t>Во-первых она не FullHD - почитайте внимательно технические характеристики. Мотор зума свистит и гремит как трактор и все это пишется в звуковой канал. Конечно - если снимать на дискотеке, то не слышно. Обратился в сервис Sony - говорят все так и должно быть. Ну если, так и должно быть, то сдал обратно, и помахал Sony ручкой. Единственно правильной решение не покупать!!!</t>
  </si>
  <si>
    <t>Качество сборки плит Электролюкс сейчас плохое.  Решетка разваливается через 4 месяца. А гарантия на нее, на решетку оказывается три месяца (как комплектующее). Надо либо покупать новую решетку, цена 3 тысячи, либо приваривать самому.  Электророзжиг тоже хромает. У моей так иногда десять раз надо кнопку нажать чтоб огонь появился.  Удачи в покупках.  С Уважением, счастливый обладатель плиты Электролюкс.(шутка)</t>
  </si>
  <si>
    <t>2583</t>
  </si>
  <si>
    <t>Стоимость, несколько насадок, идея</t>
  </si>
  <si>
    <t>Форма чаши неудобна, когда из нее выскребаешь остатки пюре/ измельченного продукта. Иногда что-то может прилипнуть к углу чаши и уже не участвовать в измельчении, пока уже сама этот кусочек не отлепишь.  Для того, чтобы помыть, надо  полностью разбирать, потому что в щели все равно забиваются остатки пищи.  В целом  очень довольна подарком. Пользуюсь иногда. Возможно,  можно было обойтись и моделью попроще.:)</t>
  </si>
  <si>
    <t>Купила год назад в подарок. Сразу все очень понравилось. В течении года практически не пользовался. За год раз 10, не больше. И Как только он потребовался в один прекрасный момент он просто остановился в процессе работы. И все...</t>
  </si>
  <si>
    <t>Бритвой пользуюсь  уже три года.  Порвалась кнопка включения, но на скорость не влияет. Бреет  чисто,  но влажная гораздо лучше сухой.  Покупать есть смысл.  То что дороже -  те же самые бритвы просто более серьезный дизайн. Мой совет брать.</t>
  </si>
  <si>
    <t>2073</t>
  </si>
  <si>
    <t>С этой трубочкой всё очень просто:  Недовольные, кричащие и там и тут, что яблофон г - просто имеют крайне кривые руки, растущие приблизительно в их точке г...  Телефон работает прекрасно, постоянная поддержка и обновления, целая куча приложений на любой вкус и цвет. Вы говорите ВМ? Кому он нужен? На него есть такое количество программ?  Всерьёз считаю, что после айфона пользоваться чем-то другим издевательство над собой:)  Apple как всегда неподражаем, аппарат супер, всё продумано до мелочей...  Покупать или нет, конечно, выбор каждого. Пользуюсь и очень рад, что у меня есть айфон и прямые руки:))</t>
  </si>
  <si>
    <t>Холодильник купила в 2007г. работает отлично.</t>
  </si>
  <si>
    <t>Тоже на днях имел честь пообщаться с этим TV. Покупал правда не себе... Но 32 дюйма за 19990 это лучшее что было в М-Видео. Порадовало что с флехи читает .avi, .mpeg1, .vob,  jpeg и mp3 - разумеется. Ни один гнусмас и дыжа даже более дорогая не читает например .avi - Это было проверено мною. Кстати есть две сборки этого TV. Русская и Венгерская. Русская не видит флеху ВООБЩЕ!!! Взяли Венгерскую. Поэтому кому немаловажен факт чтения с флехи - проверяйте на месте в магазине, чтобы дома не оказалась такая мелочь неприятной.  Греется да не хило. ну пока всё</t>
  </si>
  <si>
    <t>924</t>
  </si>
  <si>
    <t>Приключения Айзека Кларка напугали многих. Во второй части Айзек вышибет всю дурь из некроморфов. Игра начинается в смирительной рубашке. Но потом... она пугает так как ни один другой хоррор. Особенно пугают смерти героя. Он не просто умирает, а враги отрезают/отрывают/отгрызают ему руки/ноги/голову. Вы напугались?? Истина: играть не так страшно. Пугают немногие моменты. Но только если не играть ночью. Так что купите игру и стереонаушники, дождитесь темноты...  P.S. Беременным женщинам не давать! Детям младше 14 тоже! Старше 14 - только под присмотром взрослых!</t>
  </si>
  <si>
    <t>54</t>
  </si>
  <si>
    <t>Дома проверил на битые пикселы - ни одного!!! Купил взамен монитора. Установил без проблем и чтения инструкций. Разрешение выставилось автоматом, как на виндовс7, так и на ХР. Пикселы почти не видно. Матрица реально ПВА. Лучше чем ТНТ. Болели глаза пока не убавил яркость. Короче это тот же монитор, только побольше размером!!! Радуюсь, что попал в акцию и сэкономил 4 тысячи! Своих денег он стоит на 100%!!! Про дизайн ничего не скажу - это мне пофиг. Он мне для работы, а не для дешовых понтов))). Хотя, нет, если бы корпус был из фанеры, то было бы лучше - пыль не видно и дешевле))). Экран не глянец - люстра висящая сзади не отражается.   Благодарю М-Видео за скидку!</t>
  </si>
  <si>
    <t>Купили год назад! За это время не разу не пожалели! Холодильник просто супер! Работает отлично! Вместительный!Одни +++!!! Не сомневаясь, покупайте!!</t>
  </si>
  <si>
    <t>2425</t>
  </si>
  <si>
    <t>Покупал этот утюг взамен GC2905. Новый оказался тяжелее и как-то понадежнее собран, ни скрипит, афигенный длинный шнур. У него есть одна особенность: воду залить можно только в положении когда утюг лежит подошвой та столе (Крышечка резервуара так отрывается), стоя не залить. Что касается парового удара - с этимя подробно разбирался поскольку прошлый утюг GC2905 мне попался бракованный именно с полурарабочим паровым ударом. Так вот, я позвонил в поддержру philips, там объяснили, что, мол, паровой удар с носика идет. Я расстроился, но не поверил. Вышел на балкон с включенным утюгом (зимой) и нажал на кнопку... Оказалось что пар бьет со всей поверхности, но из носика гораздо сильнее. Вот такие эксперименты.</t>
  </si>
  <si>
    <t>Мне кажется очень хороший антивирус.Так что приобретаем и радуемся,что у вас PС защищен.Главное безопасность и защищеннось.</t>
  </si>
  <si>
    <t>Отличнейшие наушники за такие деньги. Хорошо шумоизолируют,надежные и звук ровный, очень доволен покупкой. Пользуюсь более 7 месяцев.</t>
  </si>
  <si>
    <t>Бритва действительно туфта.бреет плохо.Не найти бреющую головку(в магазинах)т.к.быстро тупится.Единственный + это триммер.Он действительно хорош.</t>
  </si>
  <si>
    <t>1859</t>
  </si>
  <si>
    <t>Отличный телек</t>
  </si>
  <si>
    <t>Телефон просто ерунда, качество дисплея из-за его разрешения просто ужас, возможности слабые, не принимает и не устанавливает приложения, не сворачивает их, как это было во многих более старых моделях что и привлекало покупателей в сонарях.</t>
  </si>
  <si>
    <t>Духовка печет слабовато. Выпечку приходится ставить на самый верх, иначе низ может подгореть. А так плита симпатичная, гриль есть.</t>
  </si>
  <si>
    <t>Хороший маленький чайник на пару чашек чая). Удобен и прост в использовании.</t>
  </si>
  <si>
    <t>Мощный, бесшумный, легкий</t>
  </si>
  <si>
    <t>игра хорошо, но сильно похожа на 1 часть, графика отличная, gameplay тоже хорош, но создатели могли бы внести что-нибудь хорошее, очень новое в игру, но всё она отлично, но честно скажу на любителя)</t>
  </si>
  <si>
    <t>2013-04-01</t>
  </si>
  <si>
    <t>Машинка после 1 месяца эксплуатации выдает через раз ошибку е 3 особенно на программае 60 и выше градусов, моет плохо, шумная, долгая в среднем 2 часа моет и больше, энергии жрет оеей, постоянно перемываю остатки засохшей пищи, а бокалы вообще по 2 раза мою, на богемии всегда разводы, лучше не экономить и судя по отзывам купить подороже, думаю буду менять( посуду расставляю правильно и не пользуюсь таблетками)</t>
  </si>
  <si>
    <t>Очень довольна пылесосом, одно но: он шумит громко, как будто взлетает, но мне сказали, что это из-за большой мощности, а так я рада, что приобрела именно этот пылесос.</t>
  </si>
  <si>
    <t>Являюсь обладателем похожего ПК - X3810. В некотором роде я - шоппер, приобретал компьютеры этой серии для клиентов и знакомых, 5 штук в общей сложности.  Плюсы - очень тихий при неигровом использовании, относительно высокое качество сборки и корпуса - свой уже разбирал, для замены HDD на другой, более ёмкий (Seagate 500 GB 418AS). Кабели внутри проложены очень грамотно, культура сборки ближе к таковой у ноутбуков. Картридер, 8 USB, DVD-RW, SPDIF - приятный актив, вкупе с HDMI-выходом (на моём ПК). Ремонтопригодность оценю как достаточно высокую - корпус обратимо разборный. Современная платформа - у меня стоит DDR3, чипсет G41-G45. На материнской плате есть встроенное видео, поэтому, для офисного применения ПК можно разукомплектовать, продав видеокарту после окончания срока гарантии.  Минусы - нет разъёмов PCI на материнской плате. Для расширения доступен 1 разъём PCI-Express, планирую поставить туда тюнер Behold TV H8. Как игровая машина - не совсем то, склонен к перегреву видеокарты, и исправить это непросто. На одном из 5 ПК кнопка включения оказалась бракованной - срабатывает с 10-20 раза. Менять не стали, так как за цену приобретения (13990) альтернатив не было, а экземпляр оказался последним. Кнопка в этом корпусе - уникальная, запаяна в светоблок, поэтому с пристрастием проверяйте при покупке всё, что связано с корпусом - кнопку, люки DVD и картридера, крышки. На другом ПК при закрытии лотка привода, декоративный люк закрывался с громким хлопком - хотя, на других моделях такого поведения не замечено, закрываются не намного громче крышки видеомагнитофона.  Оптимальное применение - мультимедийный или офисный ПК, с эпизодическим применением в качестве игрового, на что и намекает набор интерфейсов. Отличную компанию этому ПК составил монитор Benq G 2420 HD - и по дизайну тоже. HDMI-кабель выявил весь потенциал видеокарты монитора - предусмотрите в смете 500-700 рублей на него, из категории "необходимо и достаточно".  Напоследок: я не зря указал в теме слово "линейка" (продуктов). Дело в том, что практически невозможно найти две одинаковые конфигурации этих Асеров - все чуть-чуть отличаются друг от друга, в основном, процессором, видеокартой и объёмом опреративной памяти. (...слепила из того, что было...) Я видел сочетания от Celeron до Core Quad, видео ATI и nVidia, память DDR2 и DDR3, поэтому - будьте внимательны. Желателен совет разбирающегося в ПК товарища прямо в магазине, так как могут быть более или менее удачные варианты с близкой стоимостью. И не забудьте создать Диски восстановления сразу после покупки! Удачи всем счастливым обладателям.</t>
  </si>
  <si>
    <t>Приобрел сегодня, скажем так, цена качество всё соответствует, собрать лучше один раз и больше не трогать, так как детали не слишком надёжные по виду, но это не страшно если не разбирать; лёгкий, не шумит, очень хорошо обдувает, достаточно 1-й скорости. Из минусов - пахнет пластиком, думаю что со временем запах уйдёт.</t>
  </si>
  <si>
    <t>Плита хорошая. Опыт с плитами со стеклокерамикой 20 лет. Варит-жарит и печет хорошо.Поверхность отмывается не только специальным средством,но и жидкостью для посуды. Чтобы плита прослужила долго, надо пользоваться хорошей посудой, аккуратно готовить. Стеклокерамическая поверхность и кастрюли с двойным дном будут экономить электроинергию.</t>
  </si>
  <si>
    <t>3136</t>
  </si>
  <si>
    <t>Поставил себе эту версию 7-ки х64 и несколько не жалею.До этого стояли Vista и ХР работали немного хуже,а тут все очень шустро,даже идёт то что не шло на предыдущих системах,особенно графика и сетевые игры.Единственный недостаток нужно устанавливать драйвера под некоторые программы,но это мелочи в инете все есть.Совет,ставить нужно!</t>
  </si>
  <si>
    <t>Хороший пылесос.</t>
  </si>
  <si>
    <t>2014-03-15</t>
  </si>
  <si>
    <t>Погодные станции Oregon одни из лучших на рынке. Влажность в помещении 2% может быть запросто. С нашими системами отопления в советских многоквартирных (и, 100% в вашем случае - панельных) домах - это не ошибка прибора. Сам на такое натолкнулся (имею погодную станцию Oregon с 3-мя датчиками). А про погрешность внешней температуры: датчик - на улицу (а не на балкон или лоджию), и чтоб с северной стороны (или прикрыт хорошо, если на южной...) и все будет как должно быть. Удачи всем.</t>
  </si>
  <si>
    <t>Чайник просто супер! Покупали 2 года назад, до настоящего времени ни одной претензии нет! Всем советую приобретать именно такой.</t>
  </si>
  <si>
    <t>купил машинку три недели назад. Все работает, как и заявлено, по ванной комнате не прыгает, шум в норме. За такие деньги вполне хороший набор функций.</t>
  </si>
  <si>
    <t>отличная соковыжималка, пользуюсь почти неделю, жмёт отлично,выход сока нормальный, небольшая по размеру, ничем не хуже дорогих.</t>
  </si>
  <si>
    <t>Вообще то поворачивается не подставка а сам телевизор!  А аппарат за такие деньги оч. хорош! Единственный минус-нет подключения наушников к нему....</t>
  </si>
  <si>
    <t>Надо отдать должное Мвидео, вопрос о замене\возврате товара был решен в течении недели. При этом пошли навстречу и все это время у меня была возможность пользоваться пароваркой. Соответственно делаешь выводы: Брак продукции(от которой не застрахован никто) не моя, то есть потребителя, головная боль. Соответственно и в следующий раз придешь в тот магазин, где есть соответствующий сервис. Касательно самой пароварки. Искали альтернативу данной пароварке-не нащли. Именно ее независимая компоновка понравилась и мощность. Курица целиком за 40мин готова. В одной что то уже варится, подошел ребенок и накидал себе что захотел. Ключ на старт и поехали. Потому взяли туже модель. НО!!! Распаковали несколько упаковок. Во всех контейнеры\отсеки прозрачные уже имеют еле заметные лучики различной длины вокруг паровых отверстий в дне. Взяли с пометкой в гарантии о дефектах. Если Лучики пойдут, то будем уже делать возврат и брать другую модель. Или каждому по пароварке:) Так что Немецкая с китайским качеством, а не с Немецким.</t>
  </si>
  <si>
    <t>2908</t>
  </si>
  <si>
    <t>Данный ТВ приобретал в желании увидеть 1920х1080р, так как плазма 42 720р есть. В магазине подключили одинаковую картинку 1080р на него, на Sony W… и  на Samsung 530 или 550. Сони конечно был идеал, самсунг – контрастность, но размытость движения заметная на глаз, Toshiba оказалась максимально приближенной к Сони, 100Гц не было, но смазанности не увидел и цена НИЖЕ Сониевской.   Маленькая контрастность, казавшаяся в магазине, дома исчезла и уже плазма меньше вдохновляла, чем этот ТВ.   Плюсы: Фильмы 1080р выглядят супер, цвета изумительные, детализация на высоте. Количество настроек просто ПОРАЖАЕТ (люблю ТВ последние в линейках). Мягкий пульт. Удобные разъемы при креплении на стену, еле нашел ТВ, чтоб как на моей древней плазме антенный вход был СНИЗУ. К ПК через HDMI и отключение вторичных дисплеев на Radeon 4850 выдает 1080р. Хорошая и реально работающая функция Rez... +.   Теперь минусы: громоздкий дизайн (задняя часть) (но думаю это дань технологии, в Филипсе было проще), Объемный звук на Филипсе лучше, может фирма Dolby, что то и сделала крутое, но как понял доступно это при цифровом ТВ, Хилая задняя стенка, закрывающая навороченные внутренности – слабовато висит на креплении. Гудит трансформатор (ну или еще что то, зависящее от Гц сигнала и меняющее свой тон).   ОЧЕНЬ долго ищет каналы при полном поиске.   Шел за 32 SONY W… со 100Гц, за чуть меньшие деньги взял этот 37. Не жалею ни сколько, показывает супер – очень естественно. Больше всего бесит гул и что у Филипса лучшее объемный звук, который висел до него, несмотря на два логотипа Dolby на этом.</t>
  </si>
  <si>
    <t>1240</t>
  </si>
  <si>
    <t>Почему-то у меня вся посуда моется в машине выборочно: то есть из 7 загруженных тарелок 3 помыто, а 4 даже не тронуто... Понять не могу как это происходит...</t>
  </si>
  <si>
    <t>193</t>
  </si>
  <si>
    <t>это просто что-то!!! это бомба, а не игра!!! всем советую!!!</t>
  </si>
  <si>
    <t>Сегодня приобрели такой вылесос. Очень довольна.К плюсам бы отнесла,что металлическая трубка,мощность 1500 вт и очень легкий.   Минусов же пока не заметили и надеюсь не заметим! Посмотрим сколько прослужит :)   До этого пылесоса пользовались наипростейшим пылесосом фирмы LG и скажу, что лет 5-7 он точно нам прослужил. Этот будем рады, если тоже не подведет.</t>
  </si>
  <si>
    <t>Купил в марте месяце жене данную плиту. До сих пор не нарадуется. Электроподжиг, электрическая духовка, которая замечательно печет и запекает. У меня последнее время супруга взяла манеру готовить в духовке. Удобно и вкусно. По дизайну тоже очень удобно вписалась в интерьер нашей кухни.   Один единственный минус: через несколько дней после покупки обнаружили, что не работает механический таймер, не отсчитывает назад время. Но это мелочи, везде бывает, даже у самых дорогих моделей. Проблема с гарантийным ремонтом. Оставил заявку в гарантийке, обещали, что в течение 1-2 месяцев поступит запчасть и все сделают. Пошел пятый месяц, гарантийная мастерская отбривается, что мол никак не придет запчасть. Так что вот так.  А так не жалейте, покупайте, очень хорошая модель и по цене и по качеству.</t>
  </si>
  <si>
    <t>Купили с женой десять месяцев назад. Название фирмы привлекло, подумали высший класс, да и продавец хвалил. Да не тут то было. Шума много, а толку мало! На ней только помидоры по ходу можно крутить. Мясо обязательно разморозить нужно, нарезать полосками шириной 2,5 см и все жилки обрезать. Если этого не сделать, то всё содержимое накручивается на шнек и приходится включать реверс.Не советую брать. Деньги на ветер.</t>
  </si>
  <si>
    <t>Взял собрата по мощности, но без турбощетки - её купил отдельно, так посоветовали. Пылесос тихий и мощный, по сравнению с теми, которые у меня были. Током не било.</t>
  </si>
  <si>
    <t>Про педикюр  можно забыть- слишком слабый! так, только кутикулу чуть убрать, но не больше. Насадок много - толку ноль, т.к. фактически пользоваться возможно только 2-3.  Для геля тоже не подходит. В целом прибор слабый, мне не понравился. Жалко потраченных  денег. УВЫ!</t>
  </si>
  <si>
    <t>Плиту купили относительно недавно (в начале года). Выбирали плиту с наличием газ. контроля и полным электророзжигом. О том как печёт духовка на тот момент меня не интересовало, т.к. я не любительница печь, но когда пришла моя мама и мы принялись печь курники - я приятно удивилась: духовка печёт просто замечательно! Всё пропеклось равномерно и даже подрумянилось сверху и при этом не подгорело снизу. Порадовали функции самостоятельного отключения конфорок и духовки, а вот сигнал таймера мог бы быть погромче. Если Вы будете находиться в другой комнате, то Вы его не услышите. Ещё меня огорчило отсутствие подставочки на решётку для маленькой посуды, но если судить по большому счёту, то я плитой довольна.</t>
  </si>
  <si>
    <t>Купил вчера. Слушал всю ночь напролет - 8 часов к ряду. Снимать не хочу и не буду! Но снимать надо. Хотя бы иногда.  Проверялось на Алисе, Раммштайне, Найтвише, Танцвуте и композициях певицы Светы (просто это первое что оказалось под рукой на жадном диске).  Шикарный выбор. Превосходное воспроизведение. Конечно есть и более крутые наушники (с более глубокими басами) - никто не спорит. Но для прослушивания на компьютере с интегрированной звуковой картой (а также для игр и фильмов) этого более чем достаточно.  Шнур 3м длиной, при таком раскладе однозначное достоинство этих хеадфонов. Впрочем можно таскать и на улице - катушка для намотки провода весьма кстати.   Купола Зеннхайзер - качественная весчь! Это чувствуется сразу.  Вполне возможно данная модель не совсем подходит для прослушивания насыщенной тяжелыми басами рок-музыки (Раммштайн, Найтвиш, Алиса, не говоря уже о неисправимых хардкорных тяжеляках) - баски несколько слабоваты (но это дело вкуса и по возможности регулируется ползунками эквалайзера). Но серия наушников называется DJ не просто так - эти "уши" изначально заточены под электронную музыку всевозможных направлений. Учтите это когда будете делать выбор. Но звучание конкретно этих Зеннхов в любом случае ультраприятное. Супер вещь!    Моя оценка этих "ушей" 10 баллов из 10. - Главное правильно выставить настройки эквалайзера и тогда и басы и вершки будут как надо!     Полной звукоизоляции от окружающего внешнего мира они не обеспечивают, хотя и заметно глушат все внешние звуковые волны.</t>
  </si>
  <si>
    <t>Пишу в дополнение к старому отзыву. Наушники еще живы, еще раз перепаяли джек и все. Уронил их на асфальт и случайно наступил, корпус только немного треснул. Просто нереально живучие наушники. Собираюсь взять обновленную версию этой модели.</t>
  </si>
  <si>
    <t>818</t>
  </si>
  <si>
    <t>Действительно качественный фильтр, нормально очищает воздух по полной программе. С заменой думал возникнут проблемы, но одного ролика в ютубе хватило. Отрабатывает свои деньги по полной - воздухоочиститель работает с этим фильтром на протяжении уже двух недель и разница "до" и "после" лично для меня ощутима. Прям вдыхаю чистый воздух плюс никакой тошноты которая у меня раньше константно была больше нет. Супер.</t>
  </si>
  <si>
    <t>Собран плохо, везде зазоры и щели, при этом пластик прямо-таки тончайший. Когда дует воздух он скрипит весь.. довольно большой внутренний блок, почему-то на фото и в магазине он казался миниатюрней, еще и короткий шнур, пришлось выносить розетку специально под него. Один раз за время пользования потек внутренний блок, пришлось вызвать мастеров</t>
  </si>
  <si>
    <t>2017-03-19</t>
  </si>
  <si>
    <t>Контролируемые время и температура заварки  (важно для зелёного чая)</t>
  </si>
  <si>
    <t>Купили его, через час стал виснуть, видимо брак с видеокартой.  Виснет на любых программах,мерцание монитора, 3 волшебных клавиши не работают, сегодня поехали сдавать, нет, говорят, ждите экспертизу, мол у них он не виснет, ясное дело, в статике экран светит дольше, в конце концов завис, сам по себе, спасибо, правда нервы были потрачены.....Деньги вернули. Не советую брать этот китайский новодел.</t>
  </si>
  <si>
    <t>Ужасный фен. Купила сегодня, пять минут использовала - он отключился из-за перегрева. Просто сушила волосы, как всегда. Категорически не рекомендую.</t>
  </si>
  <si>
    <t>Выбирал месяца 3, сравнивал... Считаю самый оптимальный выбор.</t>
  </si>
  <si>
    <t>Очень не нравится,насадки всего три,или до пюре измельчает,или большими кусками,основной средней нет. При работе сразу обе чаши работают,плохо устанавливаются.Пользоваться не охота!</t>
  </si>
  <si>
    <t>Взяла сначала другую модель, но через месяц и два дня он у меня сломался. Приехала в магазин,думала в сервис пошлют,но мне согласились перепрошить телефон.Это не помогло,тогда продавец предложил телефон обменять на другой. Я согласилась на 5530. С того дня не пожалела не разу.5530 мне понравился больше. Хороший стереозвук.Сенсор хороший.Шустрый очень,фото вполне достойное! Берите,не пожалеете! И большое спасибо магазину,теперь только там технику буду брать.Обменяли без вопросов и разницу в цене вернули,даже баллы на карту!СПАСИБО!</t>
  </si>
  <si>
    <t>Штатив очень хороший, особенно для увлекающихся любителей и начинающих фотографов, компактный, легкий, высота 108 максимум, но этого достаточно. Вообще фирма REKAM недорогая, но хорошая. Цена и качество соответсвующие. Спасибо М.Видео.</t>
  </si>
  <si>
    <t>1242</t>
  </si>
  <si>
    <t>Буком пользуюсь уже пол года – очень доволен. Выбирал долго и тщательно – и не пожалел.  Плюсов много, поэтому о минусах:  - Видеокарта, хоть и самая слабая по железу из всего, что есть на этом ноуте, но на мах настройках идут все части NFS, и GTA(это из папсовых)-это радует, а вот GTA 4 уже только на минимальных – играть в неё так не интересно. Если вы не геймер – берите, не пожалеете.   - Кнопки звука, хоть они и кнопки, но управляются программно, т.е. звук не выключить, если что-то повисло, не загрузилось, или попросту не установлено. Хотелось бы полноценную механическую крутилку или что-то в этом роде.  - тонковатый пластик, хотя это и обусловлено «тонкостью»  самого ноута, но иногда с осторожность закрываешь крышку, если взяться по центру, не за угол, то тогда всё нормально))  - камера слабенькая, 0.3 мПк. Со скайпом проблемно.  - ужасный «пик», пока не разобрался, где его отключить, в БИОСе – нет, в софте управлением электропитанием – тоже нет. Когда батарея на исходе – бук громко и противно пикает – пока не выключишь, или не вставишь в сеть – ужасно раздражает!  -латиница и кириллица на клавиатуре одним цветом – путаешься когда текст набираешь(  Это все минусы, которые я нашел,  поверьте, плюсов гораздо больше – вчера бук сестре выбирал – дык остановился на этой же модели – все остальные(за эти деньги) уступают ему. Надеюсь, кому-то помог с выбором. Ведь всегда лучше знать недостатки перед покупкой, а достоинства с лёгкостью перекрывают их.</t>
  </si>
  <si>
    <t>Отличная вещь для дома! радует и детей и взрослых! особенно проекция времени на поверхность! купил себе в комнату и в детскую. все довольны. еще и температуру за одно проверяем в детской -  очень удобно! Очень доволен!</t>
  </si>
  <si>
    <t>Пользуюсь такой уже 4-ый год, еще ни разу не пожалела! Есть одно но... лопаточка тестомесителя запекается сразу в хлебе, правда это оговорено в инструкции. Хлеб с удовольствием ест вся семья, особенно в пост - всем нравится французский. Делаем и кексы, и тесто, и хлеб! Не пожалеете!  У нашей семьи нет нареканий!!!!!</t>
  </si>
  <si>
    <t>1954</t>
  </si>
  <si>
    <t>плеер супер!!! звук отличный!!! SONY- лучшая фирма!!! Всё на 5++++</t>
  </si>
  <si>
    <t>Покупала эту модель год назад. Мощность всасывания вполне достойная. Без проблем занимаемся уборкой в двух комнатах и коридоре, мощность не падает. Контейнер и фильтр легко извлекаются, моются, справится даже ребенок. Не понимаю, зачем хранить пыль в контейнере и заново ею дышать, если вытряхнуть собранное и помыть этот самый контейнер и фильтр займет по времени не более 5 минут. Так что на негативный отзыв можете не обращать внимания, берите этот пылесос без колебаний.</t>
  </si>
  <si>
    <t>Включил - не работает! В магазине проверил - работала! В квартире напряжение - 176 В. Это не претензия к производителю, хотя могли бы учесть условия жизни в России. Думайте прежде чем покупать данный товар! Проверmте сначала напряжение в сети своей квартире.</t>
  </si>
  <si>
    <t>1659</t>
  </si>
  <si>
    <t>Отличная соковыжималка за свои деньги, со Скарлетами и прочими рядом не поставишь.Удобная, компактная, легко разбирается и моется, и жмых выходит почти сухой.</t>
  </si>
  <si>
    <t>Купили 3,5 месяца назад. В квартире большая собака, так что шерсти хватает. Убирает прекрасно, выглядит - тоже. Пользуемся - через день, вчера сменила мешок первый раз, лампа не горела, но запах пыли появился... Пылесос легко перемещается по квартире.</t>
  </si>
  <si>
    <t>Простая, без лишних новоротов, очень удобная. Хорошо печет! Я ею довольна!</t>
  </si>
  <si>
    <t>Очень ядовитый чайник оказался, запах пластика не выветривается, хотя в инструкции написано, что должен пройти через несколько кипячений. Кипятила уже раз 20-30, как был запах от воды так и есть, я в расстройстве (((</t>
  </si>
  <si>
    <t>2598</t>
  </si>
  <si>
    <t>2015-11-30</t>
  </si>
  <si>
    <t>Вчера купили второй такой чайник. Первому уже лет шесть. И последние три года он живет на даче. Дома пользовалась эти три года Тефалем, но недавно он приказал долго жить. Не задумываясь приобрели К700: красивый, удобный, надежный и тихий. Не знаю, как нам повезет с новым чайником, но уже одно то, что на него действует 2 года гарантии, греет душу: обычно недостатки вылезают раньше этого срока.</t>
  </si>
  <si>
    <t>Через 1,5 года потёк - появились трещины в полупрозрачном пластике. Лечится легко - залил силиконовым герметиком для герметизации стекол автомобиля (DoneDeal). 4 отверстия для измерения уровня воды. Теперь о наличии воды - только по весу или при открытии крышки. Проблемы с протеканием снялись, жду перегорания ТЭНа.</t>
  </si>
  <si>
    <t>Купил как самый дешевый за киловатт из тех что были. Для дачи. 1. Очень быстро вышел из строя запор телеского механизма трубы. Замок настолько идиотский, что слов нет. Неремонтопригоден. Смазывание и чистка не помогает. Пластиковый блокиратор - адовое проклятье. Пришлось разточить и заблокировать в раскрытом виде. Навечно.  2. Купить сменные мешки проблема вселенского масштаба. Каждый раз мука. По дороге на дачу 4 магазина М-Видео. Есть под все модели до и после. под 38ххх нет. Один раз застал на окт. поле - взял все что было в магазине - целых 4 пачки ! Сейчас снова здорово - остался последний мешок. Ношусь как безумный - нету.  Выводы: для дачи прокатит, но не фонтан. Штатная щетка плохая, покупать к дешевому пылесосу спец-щетку - проще купить сразу хороший. Пацаны, перед покупкой поинтересуйтесь расходниками.</t>
  </si>
  <si>
    <t>Для всех сторонников здорового питания эта пароварка просто необходима! Всё готовится как по волшебству, при этом внешний вид и цвет продуктов сохраняется по максимуму. Всем рекомендую!</t>
  </si>
  <si>
    <t>2059</t>
  </si>
  <si>
    <t>Эта игра вообще шик. Играешь с двух разных сторон Либерти-Сити. Сначала играешь за байкера, а потом перемещаешься в жизнь гламурных перцов. Графа улёт, лучше чем в ГТА 4.</t>
  </si>
  <si>
    <t>Сочувствую Alex-у. Жаль, что ему достался такой экземпляр. Приобрел я этот аппарат в начале октября, за столь непродолжительное время эксплуатации выявить все недостатки невозможно, в основном положительные впечатления.  И всё таки экранное меню русифицировано, настолько, насколько это возможно, калибровка монитора нареканий не вызывает, куда попал пальцем, то и получил. Всё работает почти без нареканий. Есть минус - несколько долго загружается видео с флэшкарты, зато потом воспроизводится без проблем. Достаточно крупный экран, неплохие углы обзора, цветопередача в норме,4 положения угла наклона монитора, с заднего сиденья смотреть видео можно вполне комфортно. 4-гигабайтную флэшку с музыкой считал легко, по папкам переход только вручную с помощью пульта или через экранное меню, то есть воспроизведение зациклено внутри папки. Плюс в том, что в отличии от многих других систем, воспроизведение контента с флэшкарты продолжается с того же места, на котором было остановлено, даже после выключения. Три фиксированные настройки эквалайзера использовать не советую, лучше вручную настроить тембр, тогда звук будет гораздо лучше. TV-тюнер пока не проверял, нет телевизионной антенны. Говорят на вкус и цвет все фломастеры разные, на мой взгляд один из лучших в своем классе. Я лишь высказал свое субъективное мнение, а вопрос о приобретении решать вам самим.</t>
  </si>
  <si>
    <t>Пользуюсь почти два года. Работает хорошо. Радует, что для супа быстренько лук порубить и морковку потереть, теперь много времени не занимает. Однажды пыталась фарш в нем сделать. Пожалела. Ему тяжело рубить кусочки курицы и мяса. С остальным проблем нет. Муж коктейли делает в нем. Если долго взбивать, то перегреется.</t>
  </si>
  <si>
    <t>Чайник просто супер! Стильный дизайн, красивая подсветка, продуманная, удобная форма. Посторонних запахов и металлического привкуса воды нет. При закипании шумит не сильно, отключается тихо. Купили в офис, пользуемся уже около трех месяцев. Недостатков не обнаружили, одни достоинства.</t>
  </si>
  <si>
    <t>В магазин пришла вообще за другой моделью, но присмотревшись сочла данную модель надежнее. Кофемолка работает каждое утро уже полгода. Нареканий и претензий к работе нет.   Единственный момент - пластмассовый крепеж у крышки, который требует аккуратности в обращении.</t>
  </si>
  <si>
    <t>Пользуюсь этим феном-щеткой около двух лет. Еще ни разу не подвел. Прекрасно сушит волосы. Считаю, что сушка за 5 минут достаточно-таки густых волос - неплохой показатель. Щипцами несколько раз пользовалась, хорошенькие завитые локоны. Выпрямитель - незаменимая вещь. Ионизация спасает, волосы не электризуются, не липнут ни к чему. Абсолютно довольна. Воздух дует горячий, но волосы не жжет, потому что за два года использования не было замечено испорченных волос, всегда после сушки мягкие и шелковистые. Мои насадки не плавятся.</t>
  </si>
  <si>
    <t>852</t>
  </si>
  <si>
    <t>Плеер очень себе нормальный за такую цену. Радио ловит отлично)))</t>
  </si>
  <si>
    <t>цена, качество, внешний вид</t>
  </si>
  <si>
    <t>при вращении барабана против часовой стрелки корпус дребезжит, очень расстроен этим фактом</t>
  </si>
  <si>
    <t>Недавно купили такую пароварку, готовила используя все чаши одновременно. Всё прекрасно пропарилось, приготовилось на всех уровнях причём одновременно, даже рис получился лучше, чем раньше, когда варила его на плите в кастрюле! Очень довольны покупкой!</t>
  </si>
  <si>
    <t>Дизайн, цена</t>
  </si>
  <si>
    <t>В течении полугода отвалились 2 ножки у плиты, потом отказала большая конфорка. Готовить на них не удобно используя сразу 2 конфорки. Не советую покупать.</t>
  </si>
  <si>
    <t>Муж подарил весы на 8 марта. Через 2 дня весы стали показывать для всех один и тот же вес - 114 кг. Сходила поменяла. Теперь оказалось, что все похудели килограмм на 10. Если взвесится несколько раз подряд, то обнаруживается, что погрешность измерений составляет порядка 3-5 кг. Сегодня пойду менять на другую модель.</t>
  </si>
  <si>
    <t>Использовала этот фен 6 лет, только недавно сгорел, ни о каком другом даже думать не хочу, устраивал полностью. У насадок ни один зубчик не отвалился. Фен супер. Пойду покупать его снова.</t>
  </si>
  <si>
    <t>хороший водонагреватель</t>
  </si>
  <si>
    <t>2660</t>
  </si>
  <si>
    <t>Тож купил-жалею.Пойду возвращать может-быть.Через usb только заряжает,но не распознает.Попробовал на суппорте все что сказано,но ничего не помогает.Плееру всего 2 дня.</t>
  </si>
  <si>
    <t>Плеер отпад.Правда подвисает иногда, но я не обращаю внимания.</t>
  </si>
  <si>
    <t>2432</t>
  </si>
  <si>
    <t>супер игра всем советую</t>
  </si>
  <si>
    <t>Отличная вещь, печем и блины и оладьи из кабачков, даже яичницу жарил, очень удобно, отличное и вкусное развлечение для всей семьи!</t>
  </si>
  <si>
    <t>494</t>
  </si>
  <si>
    <t>Не проработал и года. После того как у жены что то вылилось через край-перестал работать таймер. После того как отремонтировали в оф центре -перестало всё работать. Сказали что в итоге ремонт более 2000 руб будет стоить. Деньги на ветер выкинули.</t>
  </si>
  <si>
    <t>У нас такой пылесос с апреля 2009 года как работал,так и работает. Пылесосим каждый день или через день, потому что кошка персидская дома живёт. Всё отлично. Нам нравится.</t>
  </si>
  <si>
    <t>Все в ней прекрасно и замечательно, перечитав много отзывов на форумах, выбрали именно эту печку. Но единственный "-" от этого приобретения, в том, что в комплекте не оказалось книги рецептов, мерной ложечки и мерного стакана, и как выяснилось позже, продавцы знали об этом и даже ничего не сказали.</t>
  </si>
  <si>
    <t>Мы пользуемся этим пылесосом уже 3 месяца - очень довольны что купили. никаких хлопот - фильтр моется, контейнер для пыли тоже, легко собирается.</t>
  </si>
  <si>
    <t>Телевизор отличный, но возникла проблема со звуком. При подключению к компьютеру (подключил таким образом : видео - в компьютер dvi в телевизор hdmi, аудио - в компьютер jack (пробовал и разьем колонок и линейный выход) в телевизор тюльпаны) нет звука. Если у кого есть решение этой проблемы буду благодарен за совет. В тв нет настроек для выбора источника звук сигнала (</t>
  </si>
  <si>
    <t>Готовит отличный кофе, работает без нареканий.   Для правильной работы машины, необходимо ее подготовить. Для этого нужно вынуть "сердце машины" и смазать уплотнительные кольца. Также проверить смазку на подвижных частях. Это абсолютно не сложно и займет 5 минут. Если этого не сделать, в поддоне и в контейнере для мусора, будит поступать вода. Некоторые машины в этом не нуждаются, но лучше сразу перестраховаться, чтобы потом не писать о проблемах в работе кофемашины.   Считаю Saeco лучшими кофемашинами.</t>
  </si>
  <si>
    <t>Подарили дочке на д.р., это было год назад. Телефон просто СУПЕР: внешний и функциональный вид за год терзаний ребёнком не изменился! Очень простое, ПОНЯТНОЕ меню, звук ОТПАД, громкий,отличный! Фотокамера для мобильного телефона хорошая! Вообще, моя доченька его закачала всем чем можно, и он её ещё не подводил. Выбор делать Вам, а я своим выбором ОЧЕНЬ довольна! Сейчас, конечно, ребёнок уже просит сенсор, но этот отдавать(в замен) категорически ОТКАЗЫВАЕТСЯ!</t>
  </si>
  <si>
    <t>Системный блок норма, вот только двд привод не очень, мини диски не принимает, это в первый же час покупки огорчило( в целом пользуюсь уже два месяца и пока еще не сменила на другой.</t>
  </si>
  <si>
    <t>1152</t>
  </si>
  <si>
    <t>Наконец неприятные запахи на кухне в прошлом благодаря такой вещи. До того как у нас была вытяжка , на кухне дышать было невозможно , особенно после того как там готовил мой муж или сын... У них всегда там все подгорало, а иногда даже полностью сгорало, ну не мужское дело это на кухне торчать!! Вот и решили установить вытяжку... К тому же муж постоянно курит, от этого тоже теперь нас эта модель спасает!! Поскольку свободного места у нас над плитой не было , там уже висел шкаф для посуды , решили взять такую вытяжку , которую можно вмонтировать в шкаф. Стоила конкретно эта модель существенно дешевле чем другие вытяжки, это тоже сыграло свою роль при покупке.  После установки , над самой вытяжкой еще даже можно было хранить посуду, благо вытяжка очень тихо работает , нет ни дрожи ни вибраций, посуде ничего не грозит!  Один словом отличная вытяжка , со своей главной функцией справляется отлично, на нашей кухне больше нет запаха подгоревшей яичницы, дыма от сигарет и тому подобного!</t>
  </si>
  <si>
    <t>2237</t>
  </si>
  <si>
    <t>Машинка хорошая. Мне понравилась)</t>
  </si>
  <si>
    <t>Вытяжка смотрится в кухонном интерьере очень стильно, красиво и современно. У нее три скорости, маленькие кнопочки для переключения скоростей, подсветка достаточно хорошая. Двигатель в вытяжке один, но он отлично справляется со своей работой. Работает она конечно шумно, но не как реактивный двигатель. С гарью, дымом и запахом справляется на отлично, все засасывает как пылесос. Когда включаешь вытяжку, то даже как-то холодом начинает дуть, будто вентилятор включили.   В ней стоит жировой фильтр, который легко можно помыть. Ширина вытяжки 60 см.   В общем, отличная вытяжка.</t>
  </si>
  <si>
    <t>Наушники звучат очень качественно, звук чистый, уши не устают.  Лучше наушников Apple, я думаю, вы не найдете, шенхейзеры на мой взгляд проигрывают очень сильно,единственный минус - это то, что у них через какое-то время садится 1 динамик и от этого 1 ухо играет тише...  а так советую всем владельцам iPod и iPhone=)</t>
  </si>
  <si>
    <t>Вот это мощный ножичек ))) Когда пришло время его менять на моей мясорубке от Мулинекс, думала искать что-то именно этой же фирмы, но консультанты ваши сказали, что эта модель тоже подойдет. Решила брать эту, потому что по цене уж очень выгодно получалось если честно ))) Не жалею, подошел ножичек отлично, получается добиться с помощью него максимального результата ))) Все устраивает, советую!!!</t>
  </si>
  <si>
    <t>Покупал в 2011, пульта у него нет, дует хорошо. Но: у него громкий двигатель, крыльчатка жутко гудит от потока воздуха. И самое ужасное: - валы крыльчатки стоят в латунных втулках ( идет выработка ) - вал не отбалансирован ( сильная вибрация ) трясти его начало через месяц, пришлось разобрать и смазать. Выкинул на второй сезон.</t>
  </si>
  <si>
    <t>Проблем вообще не было, сегодня раскрошилась крышка , 7 лет это считаю рекорд сейчас сидел выбирал новый чайник но как не крути останавливаюсь на данной модели. Почитал отзывы думаю нужно уже продавать отдельно крышки к этому чайнику))))</t>
  </si>
  <si>
    <t>О это моя мечта, после электропоповытиралки</t>
  </si>
  <si>
    <t>Иногда наблюдается такая картина, одна рация из комплекта принимает сигналы громко, а другая тот же сигнал намного тише. Дело тут не в чувствительности. В некоторых экземплярах неправильно настроен контур ПЧ приёмника, находится он слева от фильтра LTM 450HTU. Самый простой и доступный способ его настройки выглядит так: 1. Снимаем заднюю крышку, подключаем питание и включаем рацию. 2. Устанавливаем максимальную громкость. 3. Нажимаем PTT на другой рации и подносим её так чтобы был слышен небольшой свист. 4. Безындукционной отвёрткой (это важно!) медленно поворачиваем ПЧ контур. 5. Добиваемся максимальной громкости свиста. 6. Настройка закончена, собираем рацию.</t>
  </si>
  <si>
    <t>Звук хороший частоты сбалансированы, басс с заявкой на мягкий. это плюсы.  Но минусы тоже есть, для меня очень существенные.  Провода очень плохие(деревянная изоляция) Сломался провод у основания корпуса правого наушника. Прослужили ровно ГОД, день в день, со дня покупки(успел сдать).Ну ещё из минусов слишком маленький корпус, но это каждому своё как говорится. но вот провода......</t>
  </si>
  <si>
    <t>Телефон в принципе норм, громкие динамики, мощный аккумулятор, но зато на отдельных абонентов и даже на группы не поставить индивидуальных звонков, так же в магазине говорили, что в комплекте идёт флешка, нет</t>
  </si>
  <si>
    <t>Очень удобная и практичная вещь! Быстро нагревается, отлично выпрямляет и завивает волосы, не портит при этом их! Всем советую :) Еще очень порадовал диск в комплекте, объясняющий как какие прически делать :)</t>
  </si>
  <si>
    <t>Для корректной работы 2х видеокарт придется перепрошивать биос, а по поводу 3 гигов вместо 4 - виндовс виста 32 использует только 3 гига оперативки</t>
  </si>
  <si>
    <t>2429</t>
  </si>
  <si>
    <t>х7 я ползуюс около пол года ,Кпк ползуюс очень давно,а последные 3 были только rover ,ни разу не подвели,вот опять с roverом .и цена нормалное</t>
  </si>
  <si>
    <t>Отличный плеер, но есть 2 минуса - это быстро царапается (как например корпус Playstation 3) и в комплекте идут дешевые наушники. Но это ничто по сравнению с его достоинствами - отличный звук, прекрасно воспроизводит видео (конвертировать можно с помощью movavi video converter 9), красивый и понятный интерфейс, долго держит зарядку и тд. в общем лучший в пределах 5000 р.</t>
  </si>
  <si>
    <t>531</t>
  </si>
  <si>
    <t>1)Флешка c ПО навигатора стандарта MMS.  2) Настройки радио не потребуется,если поставить перемычку между красным(+ с замка зажигания)и желтыми(постоянный +) проводами питания на шлейфе от головного устройства. НО данная схема подкл.может повести за собой вкл.борт.систем авто по умолчанию,таких как:прикуриватель,часы,БК и т.п. ибо (+)питания г.уст-ва будет всегда постоянным,замок зажиг.перестанет быть выключателем и некоторым уст-вам ключ замка зажиг.для запуска не потребуется.</t>
  </si>
  <si>
    <t>Думаю, многие пользователи кондиционеров хотят знать, почему новый кондиционер сильно гудит-шумит, гудят стены от него? У вас кондиционер перезаправлен (много хладагента).... Чревато тем, что компрессор выйдет из строя или соседи будут сильно жаловаться. Никакие прокладки и резинки значительной шумоизоляции не дадут! Это инфразвук, его погасить практически не возможно. Попробуйте сделать вот так! Отключить кондиционер, открутить колпачок через который заправляют хладагент, нажать на золотник и сбросить часть газа (примерно 3-5 секунда). Руки не подставлять - отмерзнут. Еще можно по манометрам настроить. Виноваты установщики.... Они должны были учесть, что газ в кондиционере заправлен для трассы длиной в 15 м. Не бойтесь, что газ выйдет и морозить не будет. Да, морозить будет чуть хуже, но зато тихо работать будет.</t>
  </si>
  <si>
    <t>При отжиме раздается громкий скрежет барабана. В конце стирки появился запах горелой пластмассы..  Хорошим оказался только большой люк)))  Будем менять машинку..  25.04.2010   Екатерина   (Москва)  Полезен ли этот отзыв:  22 : 9      После приезда мастера, который выявил, что кое-где скрипит пружинка, и убрал изъян- все встало на свои места!!! Стирает отлично! Не шумная. Очень удобный люк и различные программы стирок!  Мы довольны! Советую!</t>
  </si>
  <si>
    <t>1938</t>
  </si>
  <si>
    <t>сам комп очень мощный, тянет много игр и программ, очень шустренький, и винда 7 хорошая привык уже, пользуюсь второй месяц им, очень слабая система охлаждения, видеокарта нагревается, аж горит, поэтому может полностью зависнуть, не откликаясь ни на что, не  советую очень придирчивым людям.      ps? купил за 13990 со скидкой так что не очень жалуюсь)</t>
  </si>
  <si>
    <t>566</t>
  </si>
  <si>
    <t>Вот это настоящая неожиданность! Подруги подарили эту самую расческу)Я и не думала, что будет результат, а она работает, и работает на все 100)Волосы стали мягкими, блестящими, короче ШИК И БЛЕСК)) Спасибки производителям!</t>
  </si>
  <si>
    <t>Пользуюсь блендером пол года,используем на всю катушку,что только не мололи, мельчили, взбивали этой мощности достаточно для всего (учитывая сколько стоят блендеры с такой мощностью это лучший выбор), качество пластика замечательное. Единственное что, это инженерная ошибка в разработке стакана-измельчителя, где находится &amp;quot;носик&amp;quot; поднимается жидкость. За время использования немного потерлись надписи. В целом это лучшее что можно купить даже если судить по мощности и комплектации.</t>
  </si>
  <si>
    <t>Очень удобный! нет необходимости ставить фильтр для воды или покупать отдельностоящие, тратить время на подогрев большого количества в чайнике сколько нужно налить кружек чая, кофе, или просто воды столько чайник и подогреет, при чем не тратится время на ожидание. Утром торопясь на работу удобно поставить кружку нажать кнопочку, а в это время уже начать делать бутерброд, когда готов бутерброд, также налита чашка горячего кофе.</t>
  </si>
  <si>
    <t>Купили на дачу, в маленькую комнату, порядка 9кв.м. Но перед этим несколько дней пользовались дома в комнате 18кв.м.   Обогреватель отлично справился и с большой комнатой, нагрел быстро, все ночь поддерживал тепло, шума ноль.  На даче повесили на стену, как батарею, очень удобно, не занимает место. Маленькую комнату нагрел практически моментально, оставляли на ночь на единичке и было очень тепло.   Покупкой довольны, М Видео спасибо за консультацию. Советуем!</t>
  </si>
  <si>
    <t>Наушники замечательные, пользуюсь уже третий год, и пока никаких проблем с ними не было. Удобный непутающийся провод, хорошее звучание и сидят очень удобно, так что уши не устают.</t>
  </si>
  <si>
    <t>Очень мощный. Чистит отлично.</t>
  </si>
  <si>
    <t>Как уже писали выше - внешний вид решает все. В данном случае это так . Очень эффектно выглядит. Не изучил еще все возможности , но то что попробовал вполне устраивает. Из минусов - отсутсвие телескопических выдвижных решеток (я считаю за такие деньги должно быть нормой) , но брал этот шкаф больше за внешний вид. Не самый большой объём .</t>
  </si>
  <si>
    <t>Купили неделю назад. Впечатление о ней хорошее, внешний вид приятный, смотрится хорошо, хорошо промешивает тесто, все пропекается. Хлеб получается красивый и  вкусный. Никакого запаха пластмассы не чувствуется. Очень рады что нам посоветовали эту марку.</t>
  </si>
  <si>
    <t>1068</t>
  </si>
  <si>
    <t>Отличный телевизор!!! Взял примерно месяц назад до сих пор нарадоваться не могу :))) читает все форматы с флэшки, а так же запускал со съемного жесткого диска в 1 Тб. Если подсоединять с компьютера через кабель НD то разрешение ставится 1920*1080. Качество BR-фильмов просто восхитительное. Всем рекомендую!!!</t>
  </si>
  <si>
    <t>Надежная и компактная</t>
  </si>
  <si>
    <t>156</t>
  </si>
  <si>
    <t>2014-12-06</t>
  </si>
  <si>
    <t>Два года он нам служит. Удобно брать за ручку, дизайн отличный и цвет необычный</t>
  </si>
  <si>
    <t>Пользуюсь 5 дней, поеду менять. в 70% случаях не слышу абонента, звук плавает и какое-то бульканье и запирания. Жаль, т.к. дизайн и функционал очень понравились.</t>
  </si>
  <si>
    <t>105</t>
  </si>
  <si>
    <t>Очень классный ноутбук. Советую всем и по цене доступно и по качеству супер. Все таки "hp" говорит о себе! Уже три недельки пользуюсь, всё отлично!</t>
  </si>
  <si>
    <t>3175</t>
  </si>
  <si>
    <t>Цитата:      А вообще то покопавшись в телике и почитав в течении 10 мин. инструкцию, я понял, что это вовсе не глюк. После 45 мин. начинается обновление ПО в режиме ожидания. Действительно ровно после 45 мин телик включается, происходит поиск нового ПО в "эфире" и если найдено начинается установка, а если не найдено, то телик выключается. Чтобы избавиться сделайте следующее. Нажмите Меню, выберете Поддержка, далее - обновление ПО. Далее - обновление в реж. ожидания. И выберите - Выкл. И все. Так что перед тем как везти в гарантийку - читайте инструкции. Удачи!</t>
  </si>
  <si>
    <t>неплохой и прост в обращении</t>
  </si>
  <si>
    <t>1057</t>
  </si>
  <si>
    <t>Большой размер и возмоность складывать</t>
  </si>
  <si>
    <t>2596</t>
  </si>
  <si>
    <t>Очень довольна кофемолкой именно этой моделью. Проста в эксплуатации, мелет равномерно и очень мелко. Легко очищается. Красиво смотрится.</t>
  </si>
  <si>
    <t>О De Longhi KG 79 возможно кому-то будет полезно. Сегодня купил данный девайс. Очень понравилось: помол, функциональность. Не сильно шумит. Всё крышки защёлкиваются до щелчка. Но плохая сборка корпуса. Выглядит всё очень хлипко, скрипит при слабом нажатии пальцев. И да, не могло не удивить отсутствия элементарного выхода для провода! Корпус на нём стоит, спасает лишь вышина ножек, которая тик в тик +\\- микрон  Почти доволен.</t>
  </si>
  <si>
    <t>просто мечта!!! и кура на гриле, и выпечка, и запеканки....в общем прелесть!</t>
  </si>
  <si>
    <t>Плеер довольно стильный, удобный и функциональный. Наушники в комплекте дают вполне качественный звук даже на низких частотах (считая, что комплектные наушники идут низкого качества дабы не увеличивать общую стоимость плеера). Очень радуют настройки эквалайзера, каждый подберет под себя оптимальную. Сенсор не подводит. Единственный недостаток - заявленное время работы явно ниже, хотя в среднем по продолжительности работы не уступит i-pod или Walkman. Идеально подходит для ежедневного использования. Samsung как всегда держит марку)))</t>
  </si>
  <si>
    <t>Сломалась после первого же помола....</t>
  </si>
  <si>
    <t>Достоинства: Крутая графика, Тихий, Шикарный, удобный Джойстик ну и много чего Ещё:-)    Недостатки: Разве что Царапается сильно и БП Здоровый как Кирпич!:-)    Коментарий: Мне этот бокс Подарили на День Рождения, теперь я нарадоватся немогу:-), ну и Очень понравилась Игра Fable III, короче Microsoft Потрудились на славу создали супер Консоль и доработали Слимка Стала Намного лучше Фатки в плодь до графики.</t>
  </si>
  <si>
    <t>Для мамы брала, в итоге у себя оставила, а ей приобрела такой же. Просто очень удобная модель, подойдет для тех, чей номер попал в какие-то базы для рекламщиков. Мне лично постоянно звонят и в выходные, и ночью - то интернет предлагают провести, то зубы отбелить. Надоели ужасно. А тут есть автоматический определитель номера. Диктую его им, сообщаю, что звонок записан, и я обращусь в прокуратуру, так как это преступление, названивать среди ночи незнакомым людям))) Ну или просто трубку не беру, если номер мне неизвестен. Помимо такой нужной функции, как АОН, тут еще много приятных моментов - например, объемная телефонная книга, из которой можно выбрать, кому позвонить, а не вводить цифры каждый раз. Регулировка громкости звонка - наконец-то на ночь могу выключить звук, но при этом утром знать, кто звонил. Естественно есть повторный набор номера с автодозвоном, и телефон предназначен для звонков и в тональном режиме. Очень мне еще нравится, что он фиксирует время разговора, потом не удивляешься счетам за телефон, вообще это приучает себя контролировать в болтовне. Сзади есть крепление, чтобы установить его на стену.</t>
  </si>
  <si>
    <t>Пользуюсь плеером уже примерно 3 месяца,кнопки  срабатывает с первого нажатия единственная проблема с воспроизведением видео (звук не стыкуется с изображением) но она легко решаема,если использовать хороший конвертер.  За три месяца не пожалел о покупке ни разу.Отличная флешка за такую цену и работает без проблем (если конечно руки из нужного места растут).</t>
  </si>
  <si>
    <t>Работает как часы, за 2 года даже не размораживал ни разу.</t>
  </si>
  <si>
    <t>Звук достаточно хороший. Крепления мне понравились, но не знаю ещё насколько они надёжные. Есть минус: при прослушивании музыки слышно всё, что происходит вокруг. Но для меня это не очень важно. Даже иногда это плюс. Слышишь собеседника и слушаешь музыку. Но если включить погромче музыку, проблемка решится, но не полностью. Это же всё же не затычки) Держатся на ушах очень крепко.</t>
  </si>
  <si>
    <t>Пользуемся 2 года. Всё устраивает. Определяет один номер только, но АОН стоит в трубке ВКЛ., на станции не настраивали.Оно нам и не надо. Хороший звук.</t>
  </si>
  <si>
    <t>Я этим феном пользуюсь уже больше трех лет. Волосы капризные, вьются и пушатся, по пояс длиной. Сначала было неудобно, тяжеловат показался, не могла приноровиться к переключению вращения, укладка занимала огромное количество времени, иногда час, многда и больше. Через пару недель все стало прекрасно, волосы укрощены, теперь это струящийся шелк, а не голова медузы-горгоны в помеси с одуванчиком, и всего-то за 15-20 минут. Замечательно подкручивает кончики, делает красивые мягкие локоны, я довольна результатом. Теперь о минусах. Во-первых, крепление щеток разболталось.Выпадать они не начали, но в процессе укладки волосы периодически зажевывает. Неприятно крайне. Во-вторых, перестал работать переключатель скорости вращения, что-то там отошло. Пришлось вставить небольшой кусочек бумажки, дожать. Ну, и в последнее время он начал очень греться, волосы пересыхают. Поэтому подумываю о замене. А так фен на 4+. Не идеал, но и не ужас ужасный, в сравнении с некоторыми моделями.</t>
  </si>
  <si>
    <t>Отличная плита! Пользуюсь полгода. Увидела на этом сайте. Поездив по городу - вернулась к этой плите. В этой плите есть все последние \"навороты\". Отличная духовка! Пеку теперь постоянно. Семья довольна.  Уход за плитой несложен, достаточно легко держать ее в отличном состоянии. Не совсем понравилась конфорка с тройным рядом пламени. Внутрь самой конфорки попадает вода и т.п. Проблемы с очисткой этой конфорки, но не более. На такой конфорке очень быстро закипает вода в большой кастрюле.   Еще один нюанс - автоподжиг срабатывает сразу на всех конфорках, но и на это я теперь не обращаю внимание.  Вообщем все в плите удобно, я своей покупкой довольна.</t>
  </si>
  <si>
    <t>В комплекте отсутствует шнур питания. А самое главное, что подводящие патрубки, на которые должно производится подключение трубной разводки закрыты пластиковой крышкой так, что подключить запорную арматуру непосредственно к этим патрубкам невозможно. Обратите на это внимание при покупке и посмотрите как крышка сделана у других нагревателей.</t>
  </si>
  <si>
    <t>Купил вчера после часа тестирования сгорела лампочка освещения на машинке.Шьет не плохо но туговато как то может просто не так что то делаем а в общем не плохо.Для новичков пойдет для освоения.</t>
  </si>
  <si>
    <t>Зачетная машина, жена рада, моет, сушит отлично все, причем даже нагар , есть все необходимые индикаторы , устанавливал сам, ничего сложного , выбирал долго смотрел читал про нее и не прогадал, короче советую. Посудомойка не нужна - говорят те , у кого ее нет !!!</t>
  </si>
  <si>
    <t>фен вчера подарили, сегодня попробовала - осталась очень довольна! здорово - сушишь волосы и одновременно происходит массаж головы (спасибо движущимся пальчикам)! у меня длинные тяжелые волосы и добиться объема при сушке бывает сложно, но этот фен справился на +5! очень мощный, кстати! надеюсь он и дальше будет меня только радовать!</t>
  </si>
  <si>
    <t>3160</t>
  </si>
  <si>
    <t>Прикольная игра, советую поиграть, если любите пощекотать нервишки</t>
  </si>
  <si>
    <t>555</t>
  </si>
  <si>
    <t>ваще крутая вещь   на новый год такую подарят</t>
  </si>
  <si>
    <t>1513</t>
  </si>
  <si>
    <t>качество вещания на высоте, меню понятное и очень дружелюбное, единственный минус конечно диаметр тарелки 0.6 метра маловат для 4 мпега, надо менять хотя-бы на 0.9 и с механизмом точной подстройки угла, иначе самому отстроить очень сложно даже с помощью сатфиндера, поскольку как бы не был хорош сигнал при затягивании болтов и гаек она гуляет, и при настройке антенны не верьте фразе в паспорте о круговой поляризации, головку повернуть тоже придется чутка в бок, а не так как написанно в паспорте строго вниз разъемом, и сразу сатфиндр тоже прикупите самый дешовый стрелочный.</t>
  </si>
  <si>
    <t>Специально для Людмилы и Ирины. Следует понимать для какой цели вы берёте устройство. Pilot Single - это прежде всего устройство автоматической защиты от низкого и от высокогонапряжения продолжительного характера действия. Это устройство автоматически уходит в защиту (отключает питание) при напряжении ниже 180 В и выше 255 В. При нормализации напряжения автоматически подключает питание. Для защиты от импульсных скачков напряжения (тока) это устройство не подходит, т.к. обеспечивает в большей части защиту самого себя и лишь частично оборудования, о чём написано в характеристиках: макс. рассеиваемая энергия всего 250 Дж. И защита от скачков в нём только между фазой и нулём. Фаза-Земля и Земля-Ноль не защищены.  Людмиле следовало купить от скачков напряжения фильтр Pilot Bit, который имеет самую лучшую защиту от скачков напряжения: макс. расс. эн. 1300 Дж, предельный импульсный ток 40000 Ампер.</t>
  </si>
  <si>
    <t>757</t>
  </si>
  <si>
    <t>хороший чайник,похож на яркого "пупсика" :), пластмасс крепкий,без специфического запаха пластмасса, работает около 2-х лет, никаких сбоев в работе не наблюдалось, носик удобен струя воды льется прям в кружку, а то,  старый чайник не только в кружку наливал воду, но и на стол.</t>
  </si>
  <si>
    <t>Стоит на службе уже более 3 лет.  Простой, удобный, дешевый.  Смысла покупать тостер за большие деньги нет.  Всем рекомендую!</t>
  </si>
  <si>
    <t>Эпилирует достаточно гладко, подсветка является весомым плюсом, удобен в использовании</t>
  </si>
  <si>
    <t>2374</t>
  </si>
  <si>
    <t>Очень красивая вытяжка! Мы основную часть воздухоотвода спрятали в корпусе мебели и наружу выведена получается только стеклянная арка, очень элегантно смотрится, не тяготит над головой. Яркая подсветка освещает всю рабочую зону, не только поверхность плиты. Эффективно справляется с жиром, паром, запахом жареного масла и пищи и т.д. Отлично чистит воздух, удобно, когда на улице холодно и в доме маленький ребенок таким образом проветривать. Работает не особо громко, с закрытой в кухню дверью в других комнатах практически не слышно. Есть четыре скорости работы разной мощности и шума, при варке супа достаточно самой низкой. На панельке управления есть индикатор текущей работы и степени засорения фильтров, при необходимости их чистки загорается лампочка. Фильтрующие сетки легко снимаются и устанавливаются обратно, чищу с помощью щетки и не так, чтобы очень часто.</t>
  </si>
  <si>
    <t>Отличный саб стоит своих денег это 100% !!! Стоит в 9ке усел blaupunkt GTA 475 в мосту 300 вт , качает так что волосы дыбом стоят , давление приличное, басс четкий не размазаный , очень удобный корпус занимает не большое пространство . Я им очень доволен всем советую!!!</t>
  </si>
  <si>
    <t xml:space="preserve">Огромный плюс что включает в себя все виды уборки, компактный, легкий и мощный </t>
  </si>
  <si>
    <t>Купил эту модель, устраивает полностью, крутит все. Классная насадка для приготовление колбасы.Делали разного диаметра фарш, 3 решетки в комплекте,+ книга с рецептами, много чего нового узнал.</t>
  </si>
  <si>
    <t>Прекрасный миксер! Используем его второй год и успешно балуем себя всякими вкусностями...Безе взбивает на раз-два!  Дороговато, конечно, но машинка-супер!</t>
  </si>
  <si>
    <t>Самый мощный, самый тихий, аналогов нет. Отлично пылесосит ковры, как новые после каждой уборки. В комплекте есть турбо щётка, которая отлично собирает кошачью шерсть!!!</t>
  </si>
  <si>
    <t>неприхотливость, капучинатор, европейское качество, можно найти запчасти на любой узел</t>
  </si>
  <si>
    <t>Это любовь с первого взгляда если так можно сказать)))И что куплю уже не было сомнений,дизайн шикарный не возможно отвести взгляд,а когда узнал что он может,все сомнения даже о его огромной цене  отошли на второй план.Только сейчас я оценил вкус зеленого чая,никогда он мне не нравился из за горького вкуса,а как я мог добиться 80-90 градусов на газу или в обычном электрочайнике да еще и время не пропустить???По шуму для меня самый тихий,прочитал тут отзыв что гремит,шумит,прыгает и т.д. посмеялся от души)))Если есть возможность или не жалко денег (я купил по классной рассрочки) покупайте и наслаждайтесь чаепитием,всем удачи и добра.</t>
  </si>
  <si>
    <t>Год пользовалась этим утюгом, пока не ограбили квартиру и не украли в том числе и этот утюг. Много выбирала в Интернете, читала отзывы и пошла купила опять такой же.</t>
  </si>
  <si>
    <t>через месяц после покупки железо сдохло, нагревается - ужас, у друга та же проблема, в общем не советую брать, только время тратить, в сервисе не отремонтировали.</t>
  </si>
  <si>
    <t>Терка просто ужасна, ножи кривые, держатель неудобный все выпадает, и режет не до конца и непонятной формы что и естественно при ее конструкции, тяжелая, неудобная в эксплуатации просто никчемный монстр на кухне(((..Не покупайте ее ни в коем случае, ей невозможно пользоваться..</t>
  </si>
  <si>
    <t>Полный бред! Сергей, видимо, ни вы ни, к сожалению, менеджеры вообще не в курсе про данный девайс. Атом вообще в процессе воспроизведения почти простаивает, если скорость видеопотока меньше 60MB\s (у BD плееров к слову 32)то все будет отлично - без рывков и фризов,  за это дело берется как раз чипсет 9400(это как раз и есть nVidia ION) с аппаратным декодированием он на себя берет все, что оптимизировано под CUDA - это обработка приложений используя средства графического процессора.  Я кучу тестов уже посмотрел да и сам знаю, что это исключено. (вот второй коммент адекватный, хотя я все равно асус люблю).  Оценка в W7 у него по-моему 3.0, вполне достаточно для приличной офисной работы.</t>
  </si>
  <si>
    <t>Инструкцию прочитал на несколько раз, но в этой тоненькой брошюрке и малейшего намёка нет на неисправность в индикации и на букву "С"!!!   Видимо некоторые товарищи хотят казаться умными, но не могут дать дельного совета)))  На первой скорости тоже слышен посторонний шум, но это видимо напасть данной модели, которая приходит со временем (описана в отзыве про аналогичную вытяжку из нержавейки).  Пользуюсь данным "чудом" уже почти год, и всё ещё могу поставить ей твёрдую 4!</t>
  </si>
  <si>
    <t>Из плюсов:  хорошо, удобно сидят на голове.  хороший звук, неплохой бас.  Из минусов:  пользовался год, после чего сломалось крепление, так как материал пластик. В принципе частый, но поправимый случай для такого типа "ушей".  В общем свою цену они отрабатывают на все 100%.</t>
  </si>
  <si>
    <t>Считаю данный телевизор лучшим в своей ценовой категории. Сравнивал: Philips 7404; sharp lx600; panasonic v10(плазма), toshiba zv635. В итоге я выбрал toshiba zv635 - ни один, даже led телевизор не сравнился с ним по уровню контрастности и яркости (в ценовом диапазоне до 50 т.р.)</t>
  </si>
  <si>
    <t>2545</t>
  </si>
  <si>
    <t>цена простота в установке и эксплуатации</t>
  </si>
  <si>
    <t>Купила плеер 2 дня назад, зарядила, загрузила видео и музыку... Он завис и не реагирует ни на что..Сдавать пойду</t>
  </si>
  <si>
    <t>Телефон класс! Покупайте и не сомневайтесь, очень много функций, камера нормальная.</t>
  </si>
  <si>
    <t>Ровно год работала отлично, кончилась гарантия - перегорела подсветка,а как заменить -даже в мастерской не знают.</t>
  </si>
  <si>
    <t>Производство Словения, не хуже, чем немеций. Хвалю за: прочный корпус, малошумный, чаша вращается, шнеки и венчики тщательно взвивают и перемешивают содержимое, доводя до однородной массы, всё легко трансформируется, возможность использования дополнительной насадки-блендера, длина шнура  почти 1,5 м. (дотянется до любой розетки), в устройстве ничего лишнего, - всё функционально и по необходимости, интересный дизайн. Вещь стоящая, надо брать!!!!!</t>
  </si>
  <si>
    <t>Отвратительная машинка! Покупала 2 года назад.В начале шила редко,а сейчас,когда шить нужно часто и много, поняла, какой это кошмар! Натяжение нити как ни меняй,всегда одно и тоже.То ткань зажует,то нитку,то просто зависнет. В общем,5-минутное шитье на ней оборачивается в получасовую войну в лучшем случае. Никому не советую покупать ее!</t>
  </si>
  <si>
    <t>2275</t>
  </si>
  <si>
    <t>Вообще за такие деньги очень хороший аппарат    Есть только парочка минусов:  1. Нет громкой связи  2. Языков куча, но русского увы нема ;))    А так оценка 4+!!!</t>
  </si>
  <si>
    <t>Сегодня решилась и купила этот стайлер, отросли волосы, вот и решила, что буду завивать и делать прически, в первый же раз завивки обожглась, но это скорее всего, связано с тем, что я не привыкла к электрощипцам,я обычно волосы подвиваю феном с круглой щеткой, а там обжечься сложно, видимо, надо просто привыкнуть, а так, действительно очень быстро нагревается, завивает быстро, особенно понравилась насадка, которая плоская немного, такие кудряшки получаются хорошие, гофра тоже очень хорошая.</t>
  </si>
  <si>
    <t>Не равномерно прожаривает хлеб, и сломалась ручка , ее надо было сильно нажимать, просто отвалилась пластмассовая часть от метала((( и хлебные крошки не хотели вылетать застревали в корпусе((</t>
  </si>
  <si>
    <t>Уже почти год пользуюсь такой. Все замечательно. И электророзжиг и газконтроль - всё срабатывает как часы. Особенно радует функция медленный огонь. Но сразу стало понятно, что эстетически она меня радовать не будет. Царапины оставляет даже мягчайшая ткань, потереть панель нельзя. От специальных средств для нержавейки уже через месяц отмылись все указатели вокруг крутилок и логотип. Как могла берегла её, но внешний вид сильно пострадал!</t>
  </si>
  <si>
    <t>Купила только сегодня,но уже восторге!плюсов много,а минусов еще не нашла!!!Вот только что-то не понятно с инструкцией!А так замечательный всем советую!</t>
  </si>
  <si>
    <t>Ненадежные тэны и электроника. Ломался два раза. ТЭНЫ ИЗ ЧЕРНОГО МЕТАЛЛА, ПОЭТОМУ ОНИ ПОКРЫВАЮТСЯ РЖАВЧИНОЙ ВНУТРИ И ПЕРЕСТАЮТ РАБОТАТЬ.   ЭЛЕКТРОНИКА ОДНОРАЗОВАЯ.  НЕ ПОКУПАЙТЕ ЭТОТ ВОДОНАГРЕВАТЕЛЬ !!!  НЕ ДЕЛАЙТЕ ОШИБОК !!!</t>
  </si>
  <si>
    <t>Очень симпатичная и мощная вытяжка. Один минус: стала жить своей жизнью. Бывает, включится самостоятельно, а выключить можно только вытащив шнур из розетки (сенсоры не реагируют).</t>
  </si>
  <si>
    <t>Проблема найти сменный хепа фильтр.</t>
  </si>
  <si>
    <t>Купил комп 3 недели назад. Все на первый взгляд хорошо, но когда стал делать на нем серьезные вещи он реально стал греться и выводить из строя видеокарту, короче ему очень сильно не хватает охлаждения, из-за этого начинает глючить</t>
  </si>
  <si>
    <t>Плита в эксплуатации 5 лет. Отказались работать обе правые канфорки. Цена ремонта новая плита. Буду менять производителя.</t>
  </si>
  <si>
    <t>Купили данный тостер несколько месяцев назад, безумно рада! Хлеб прожаривает равномерно, ничего никогда не переворачиваю по 2 раза. Корпус не нагревается, есть кнопочки отмены, разморозки, подогрева булочек. 6 уровней зажарки хлеба. Теперь я практически всегда ем тостеры, вместо обычного хлеба. Очень уж он вкусный и хрустящий получается. Дизайн отличный, компактный корпус. Вообщем все 5+! Рекомендую!</t>
  </si>
  <si>
    <t>Закрытый корпус, чёткий мощный, бас без искажений. Работает с усилителем мощности Blaupunkt GTA 470 подключен мостом 400 Вт Лучшего за такие деньги не найти, да и более дорогие модели не будут так прекрасно работать, стоит в Ford Fusion уже год.</t>
  </si>
  <si>
    <t>2012-09-28</t>
  </si>
  <si>
    <t>Через 1 год и 2 месяца (после гарантии) появилась течь по двери. Ремонт обойдется не дешево. Первый раз так не повезло с бытовой техникой, впрочем все остальное INDESIT.</t>
  </si>
  <si>
    <t>Humax Ресиверы очень хорошие у меня дома Humax уже лет 7 как не разу не ремонтировали прием сигнала уверенный советую очень хорошие ресиверы этой марки</t>
  </si>
  <si>
    <t>Купил месяц назад. Покупкой доволен. Достоинства: Нешумный, качество изготовления на высоте, удобная ручка, синяя подсветка. Недостатки: пока не нашел.</t>
  </si>
  <si>
    <t>Результат показывает неплохой, удаляет 90% волос</t>
  </si>
  <si>
    <t>Мне не понравилась - глючит очень. Плохая!</t>
  </si>
  <si>
    <t>395</t>
  </si>
  <si>
    <t>Для тех кто столкнулся с не чтением файлов с флешки более 2 г. Проблема в формате файловой системы, форматните флешку в NTFS и будет вам...</t>
  </si>
  <si>
    <t>693</t>
  </si>
  <si>
    <t>нормальный телефон, только корпус не очень</t>
  </si>
  <si>
    <t>Почитала комментарии, решила оставить свой)  пользуюсь набором больше года. Сначала была недовольна, сейчас понимаю, что просто не умела им пользоваться.    Мама моя была просто в восторге, когда я первый раз обработала ей ногти. Хочет теперь себе такой же набор.   Для меня бесполезной оказалась сушка и насадки для педикюра. Я ими даже не пробовала пользоваться, потому что пяточки обрабатываю специальной пилкой.   Без этого набора уже не могу. Везде таскаю его с собой, куда бы не поехала.   Мой итог :хорошая полезная вещь. Если вам нужно только для маникюра -можно купить попроще. Главное научиться пользоваться :) всем красоты и здоровья!  Забыла добавить: многие говорят, аппарат останавливается при сильном нажатии. Так это плюс, а не минус. Ведь так вы себя не пораните. А останавливается, потому что делаете что-то неправильно :))</t>
  </si>
  <si>
    <t>Бреет плохо (приходиться тратить много времени), долго заряжается.</t>
  </si>
  <si>
    <t>Купила такую себе на производство, в кафе-закусочную. Радуюсь на нее не нарадуюсь!!!Выдерживает 10 часов неприрывной работы, ни разу не капризничала и не давала сбоев.Супер!!</t>
  </si>
  <si>
    <t>аналогичная проблема как и у Екатерины! Очень странно-подключить то я его могу,все отображается на компе,даже несколько муз файлов перетащила на него, а вот дальше ...ничего, памяти еще 1,и какие-то цифры Мб - заполнена лишь малая часть, но ни удалить муз файлы, ни закачать еще что-то, да вообще ничего сделать не могу. Очень расстроилась, придется видимо менять.</t>
  </si>
  <si>
    <t>Купил, ноут, какой и хотел - игровой, с большой диагональю, в ценовой категории до 30 тысяч. Производительностью доволен на все сто - даже про процессор не подумал, что слабоват - все, что надо, все летает)   Один нюанс - эргономика. Если быть честным, то клава могла быть и получше, чем то напрягает она меня)   А в остальном - идеальное сочетание цена\производительность.</t>
  </si>
  <si>
    <t>Холодильник проста супер!!!!</t>
  </si>
  <si>
    <t>Alexandre (Moscow)    Ссылку из гарантийного соглашения в студию !    не надо быть гением любая модификация прошивки устройства или самого  устройства снимает ответственность с производителя - это есть в любой брошюре на гарантию и ещё в каких-то бумагах (незнание не освобождает от ответственности)(другое дело, что можно сбросить все настройки на заводские и тогда всё отлично придраться сервисному центру будет не к чему)    Убить перепрошивкой нельзя !  Можно только кривыми действиями в сервисном меню.---всё верно , можно повредить саму прошивку, если во время перепрошивки не дай бог скакнёт напряжение или отключат свет (телек соответственно включаться не будет после такого)</t>
  </si>
  <si>
    <t>Купил телефон в декабре 2009 за 12000.сборка конечно оставляет желать лучшего-задний люфт крышки немного болтается(но это не страшно),щели по бокам дисплея.Единственное, что меня расстроило это то, что стояла самая первая прошивка-самая сырая, отсюда и недостатки-перезагружается сам( за 2 месяца 5 раз перезагрузился,тормозит мультимедиа меню немного-эффект анимации резковат,при увеличении картинок из эскизов тормозит,автоповорот видео тормозит.ну все лечится прошивкой.</t>
  </si>
  <si>
    <t>Хороший и очень удобный пылесос, за такую стоимость просто супер) Очень довольна! Советую)</t>
  </si>
  <si>
    <t>1153</t>
  </si>
  <si>
    <t>пользуюсь 1год,недостаток- плохой звук!!!</t>
  </si>
  <si>
    <t>2016-02-10</t>
  </si>
  <si>
    <t>Отличный, кабель для ценителей качественного автозвука !</t>
  </si>
  <si>
    <t>2153</t>
  </si>
  <si>
    <t>за такие деньги можно на порядок мощнее систему собрать вся цена это имя HP и лицензия Windows</t>
  </si>
  <si>
    <t>Сушилка первоклассная! Работает без шума и пыли. Жаль только деньги расходует за электроэнергию. Но товар первоклассный! Купил друзьям в подарок ещё 6 штук. Советую коллегам по работе и знакомым!</t>
  </si>
  <si>
    <t>Шайтан машина)) для съемной квартиры самое то))) стирает отлично)))Легкая. Из представленных моделей подобного ряда, очень вместительная. Рекомендую!!!</t>
  </si>
  <si>
    <t>Блендером пользуюсь почти 2 года. Давно о нем мечтала. И вот муж подарил на Новый Год. Выбирали вместе.Я была несказанно рада. Пользуюсь с удовольствием все это время, никаких нареканий.  Комплектация полностью устраивает, разве что крышки на мерном стакане иногда не хватает...  рекомендую всем, соотношение цена-качество просто отличное и нет лишней переплаты за бренд))</t>
  </si>
  <si>
    <t>Тепловентилятор имеет 2 режима, соответственно 2-кнопочный. Создает мощный поток теплого воздуха. Прекрасно греет пол, а мне, с маленьким ребенком, ползающим на полу, это очень даже понравилось. Сын частенько подползает к нагревателю и садится к нему спиной, греется.  Всю квартиру за раз он конечно не обогреет, но способен хорошо нагреть комнату.  Если вам попадется эта или подобная модель - берите, не раздумывая. Обогреватель легкий, не большой и не дорогой.</t>
  </si>
  <si>
    <t>Телевизор-Супер..Я доволен..Но небольшая проблема 3 раза внезапно он включился причем ночью.Включился...Но изображения не было.Нажала кнопку Power... И появилось изображение...</t>
  </si>
  <si>
    <t>Пользуюсь машиной уже больше года. И каждая стирка праздник. Устраивает все: и дизайн и качество стирки и то, что работает бесшумно. А выбор при покупке был не прост. Когда у подруг стали ломаться стиральные машины "Бош", то пришлось призадуматься, что же выбирать. А когда увидела эту машину, сразу решила, что хочу именно ее. И ни разу не пожалела об этом. При такой цене отличное качество! Браво!!!</t>
  </si>
  <si>
    <t>Данный ноут новая модель в комп. технике. Проц Core i3, 32 нм тех процесс, дает малые токи утечки, следуя законам электроники и эл. техники, чем меньше токов утечки, тем больше производительность процессора, видеокарта мощная из ряда мобильных видеокарт, на счет дисплея и всего остального ничего не скажу...   Вывод: на нем можно работать, смотреть видео, слушать музыку, игры что касается их ни все игры пойдут на максим настройках, но тем не менее пойдут.. На сегодняшний день это хороший и новый ноутбук, советую всем владельцам 64 битную винду поменять на 32 битную из-за наличия 3 гигов оперативки, а не 4.</t>
  </si>
  <si>
    <t>При чистке самого пылесоса несколько раз вытаскивал Hepa13 фильтр и отломал верхние пластмассовые застёжки . Вообще убрал этот фильтр - разницы никакой. Разве что пыли на выходе чуть больше, но без микроскопа не видно. Всё работает нормально. Хотел купить новый Hepa фильтр, но в продаже редко. Оставил как есть.</t>
  </si>
  <si>
    <t>Всегда хотелось снимать не глядя на предательски-быстро уменьшающийся значок аккумулятора.  Один час для видеосъёмок - это очень мало.</t>
  </si>
  <si>
    <t>1085</t>
  </si>
  <si>
    <t>Недавно купил плеер. Радует тв, хоть у нас и глухой городишко телик ловит хорошо, ест все файлы.</t>
  </si>
  <si>
    <t>Микроскопические стрелки!!!!</t>
  </si>
  <si>
    <t>Плохая печь. Купили  в подарок бабушке. Оказалось, что она печет плохо. Корочка постоянно провалена вовнутрь буханки, да и сам результат мог бы быть лучше.  У родителей печка от Panasonic. Вот это - идеал. А LG - не советую ни кому!</t>
  </si>
  <si>
    <t>Попросил жену поискать машинку для стрижки, она сказала не разбирается, типа еще не такую купит. В общем я сам завис в рунетах интернета. После дискуссий и некоторых отзывов решил купить babyliss. Прикольный небольшой корпус пластмассовый, самозатачивающиеся лезвия, которые не боятся влаги. Телескопические насадки с регулирующийся длиной, и стрижет четко. Хоть и потратил кучу времени на выбор, так не зря, классная модель, качество порадовало.</t>
  </si>
  <si>
    <t>1308</t>
  </si>
  <si>
    <t>Играл у друга в Uncharted 2: Among Thieves и inFAMOUS скажу честно,что рядом с сони не одна консоль близко не стоит.Покупайте не пожалеете</t>
  </si>
  <si>
    <t>Прост в обращении и обслуживании.</t>
  </si>
  <si>
    <t>908</t>
  </si>
  <si>
    <t>подскажите пожалуйста, в этом телефоне есть wi-fi?</t>
  </si>
  <si>
    <t>73</t>
  </si>
  <si>
    <t>Очень хороший телефон. Пользуюсь этой моделью 0,5 года. Отличный экран! На солнце замечательно все видно! А как слышно, ставлю половину громкости!  А еще имеется спец-покрытие экрана от отпечатков, тоже замечательно царапается, как и задняя крышка, которая еще и трескается не хуже, чем в айфоне 3G! Зато очень быстро работает компас! Очень полезная вещь. Видимо в лесу)</t>
  </si>
  <si>
    <t>Посудомоечная машина (45 см) Bosch SRS 45 T62 EU..отличный выбор... Очень тихо работает, почти без звука первое время хотелось что-то типа от стиралки звук, но ничего. Посуда просто сверкает..... экономна на воду - стоит дома счетчик ..... за пару моек отмыла страшные сковородки и алюминевые кастрюли блестят как новые.</t>
  </si>
  <si>
    <t>Купили пылесос 5 лет назад,довольна, отлично всасывает пыль и другие более крупные предметы, хочется сказать сразу ,что пылесос не для лентяек и белоручек, так как желательно после 4-5 разового использования промывать поролоновый и сетчатый фильтры-но за то, за такой срок службы у меня во время уборки пылесосом в комнатах не пахнет вонючими носками, а остаётся чистый воздух. Продуманный стакан с эффектом циклона, многочисленные насадки и в том числе от шерсти, шланг не перекручивается,телескопическая трубка. Даже моя 2 летняя дочь легко справляется с ним. Советую.</t>
  </si>
  <si>
    <t>Очень удобный и компактный тепловентилятор, главное достоинство: быстрый и сильный нагрев воздуха, а ещё очень хорошо, что есть ПДУ и удобное сенсорное управление на корпусе с подсветкой кнопок. Купили в феврале 2010, использовали часто, практически ежедневно с перерывом на короткое лето, бывало работал по несколько суток подряд без выключения, через 10 месяцев начал трещать один из вентиляторов, а через неделю после истечения гарантии он просто выключился в один прекрасный момент и больше не включился. Вывод: Хорошая, вполне надёжная модель. Для тех кому нужно быстро нагреть помещение, лучшего варианта по соотношению размер-производительность не найти, ещё он очень безопасен отключается даже при небольшом покачивании(неоднократно оставляли его одного дома без присмотра безо всякой боязни). Недостатки: довольно ощутимый шум от вентиляторов (через пару недель перестаешь его замечать), нет терморегулятора только таймер отключения что не совсем удобно</t>
  </si>
  <si>
    <t>Купили в мае 2012, отлично холодит и на обогрев работает супер. Не шумит. Всем советую.</t>
  </si>
  <si>
    <t>Купил эту мясорубку. Пользуюсь около трех месяцев. Справляется с любым мясом. Фарш получается однородной консистенции. В комплекте есть терки, сначала думал, не буду ими пользоваться, попробовал, оказалось очень удобно. Всем советую! Отличная мясорубка.</t>
  </si>
  <si>
    <t>Купили 26.06.2010 искали самый дешевый, остановились на этом. Сделан в России, во Всеволожске (под Питером) на заводе Аристон. Комплектация нагреватель, предохранительный клапан, инструкция все на месте. На мой взгляд отличный выбор по цене и качеству на время летнего отключения горячей воды. Бака хватает, чтобы помыться в душе на двоих точно, если экономить, то и трое помоются.</t>
  </si>
  <si>
    <t>Крайне посредственная вещь.  В многих играх чересчур много размытости,неоднократно во время игры консоль зависала или подвисала. Приставка сильно греется после двух часов работы,привод первые минут 10 работы с диском сильно шумит,формат mkv не воспроизводит. Как игровая платформа сильно разочаровала. Как медиа-центр даже рассматривать не стоит.</t>
  </si>
  <si>
    <t>купили на днях, пока не могу много сказать, но соотношение цена-качество неплохое, когда покупали сравнивали как показывают рядом стоящие более дорогие телевизоры, данный аппарат выигрывал, пока претензий нет, можно и как монитор использовать , если что и двд подключается, жаль входа для флешки нет.</t>
  </si>
  <si>
    <t>Этот фен мне подарил муж на Новый год. И вот уже пол года он мне исправно служит: волосы сушит очень быстро, мотор мощный, сенсорный датчик - большой плюс, не приходится выключать фен когда кладешь его на полку, чтобы перехватить прядь!  есть лишь 1 недостаток  - кажется немного тяжеловатым в начале использования, но я привыкла к его весу после нескольких раз использования!</t>
  </si>
  <si>
    <t>сегодня купила - понравился, уже успела куме посоветовать, за такие деньги очень достойная вещь.А на счет, что надо часто вытряхивать - не знаю, у меня, наверное, пыли не хватило. Правда электростатичен немного.</t>
  </si>
  <si>
    <t>Работает 2 операционных системы Windows 7 максимальная (2 компьютера) очень доволен системой, интуитивно понятная, а если возникает вопрос удобно использовать помощь через подсказку, советую купить.  P.S. ключи можно купить через интернет, как правило цена 1 ключа не более 1000 рублей (30$), ключ можно проверить на сайте майкрософт на работоспособность и легитимность.</t>
  </si>
  <si>
    <t>Купили сегодня, все хорошо, но есть один нюанс: при темературе воздуха +31 в квартире, и влажности 40%,выставил влажность 60%, пыхтит как паровоз, работает,но... влажность на дисплее (соответсвенно очвидно и в комнате) никак не растет...косяк? или я что-то не допонимаю???</t>
  </si>
  <si>
    <t>Купил две недели назад, долго выбирал и остановился на этой модели, искал достойную замену настольному компьютеру. В нём есть всё необходимое, очень понравилась графическая система - современные игры не тормозят на средних настройках, Jast Cause 2 летает, один минус - небольшой винчестер, но и это поправимо, в дальнейшем планирую купить на 500 гигабайт. В общем, машинка что надо, качество сборки отличное, клавитура полная, отличный аппарат за эти деньги</t>
  </si>
  <si>
    <t>Пользуюсь 1,5 месяца, взвешиваюсь через 2-3 дня. Вес показывают точно, взвешиваться можно сразу, не выжидая времени в отличие от других, так как они автоматически включаются, когда встаешь на них. Минус один при взвешивании скрипят, а так отличные весы.</t>
  </si>
  <si>
    <t>Подтверждаю отзыв от 29.09.09.  В паре с СониПлэйстэшн это идеальный телевизор.  За эти деньги лучше не купить!   Пульт не такой уж и страшный. Это мнение на вкус и цвет каждого :)</t>
  </si>
  <si>
    <t>Прочитаю положительные отзывы о данной модели, все таки решила купить такой утюг. В принципе, работает не плохо. Гладит нормально, но все же некоторые рубашки отгладить не могу. Мечтаю об отпаривателе.</t>
  </si>
  <si>
    <t>2833</t>
  </si>
  <si>
    <t>Искали соковыжималку для повседневного отжима апельсинового сока, так как на центробежной которую купили давно, сок получается без мякоти. Так же знаю, что кроме пресса ничто лучше не отжимает цитрусовые. Продавец в Мвидео сражу же указал на модель Z800, руководствуясь моим желанием отжимать гранат. Попробовали, действительно великолепный отжим и цитрусовые и гранат! Теперь каждое утро начинается с отжима апельсина и для укрепления иммунитета пьём гранатовый сок. Спасибо продавцам Мвидео за совет в выборе соковыжималки Bork Z 800!</t>
  </si>
  <si>
    <t>Купил этот ноутбук и не разу не пожалел. Все работает отлично. Ноутбук можно сказать летает. Запускаются все современные игры. Я был в шоке когда у меня запустилась гта 4 на высоких требованиях, игра можно сказать летает.   Очень порадовал звук на ноутбуке. Удобно расположенна клавиатура, хорошая камера.Вообщем берите не пожалеете.</t>
  </si>
  <si>
    <t>Очень удобная вещь, один недостаток, на мой взгляд, что варит достаточно долго. А так все супер. После готовности раздается сигал оповещения.</t>
  </si>
  <si>
    <t>Стираю 2 недели. Отличное качество стирки отмечу, во-первых. Пользовалась тем же порошком,белье при 40градусах стирки- чистейшее.  Нет вибрации абсолютно, тщательно регулировали ножки при установке.  Из недостатков - при сокращенной стирке на темном белье следы порошка.Приходится полоскать дополнительно.</t>
  </si>
  <si>
    <t>Покупка утюга Rowenta была одной из самых удачных! На него сразу обратила внимание в магазине - понравился дизайн ( цвет, удобная форма носика, к тому же, есть еще дисплей, на котором отображается выбранный тип ткани, что очень удобно, теперь никогда не сожжешь свои любимые вещи)). Также порадовало, что сборка ГЕРМАНИЯ! Ну и главное, это паровой удар - 230 гр/мин. С таким паром и подошвой ( большое количество отверстий) гладить одно удовольствие! Можно даже вертикально отпаривать, что тоже очень важно! В утюг встроен датчик движения -пар идет только при движении утюга, не нужно часто доливать воду. В общем я очень довольна покупкой! Всем советую!!!</t>
  </si>
  <si>
    <t>Тв очень нравится,с флешки картинка обалденная,но есть один минус,блок питания гудит,видимо дешманский))),оценка 4+</t>
  </si>
  <si>
    <t>Куплен Heavy Rain Special Edition, красуется на тумбе с консолью. И цены ей нет. На что ты способен пойти ради родного человека?</t>
  </si>
  <si>
    <t>В комплекте сразу три насадки, мягкая щетина, ирригационный эффект. Оригинал, что важно!</t>
  </si>
  <si>
    <t>Вчера купил этот телевизор, в полном восторге! Звук отличный, картинка вообще прелесть! На PS3 в Gran Turismo на этом телевизоре просто шедевр! Всем советую!</t>
  </si>
  <si>
    <t>При работе очень сильно пахнет пластмассой, сильно сушит воздух, шумит, хотя греет быстро и мало места занимает.  не рекомендую из-за запаха пластмассы</t>
  </si>
  <si>
    <t>Самая главная проблема заключается в том, что все настройки сбиваются, когда я снимаю панель, оставлять панель в машине опасно, поэтому я забираю домой, и каждый раз утром приходится настраивать радио заново. Если у кого нет такой проблемы, напишите, а то уж слишком это портит всё впечатление.</t>
  </si>
  <si>
    <t>Пароварка в плане готовки очень удобная, но один раз ломалась, после ремонта вообще загорелась....чуть квартиру не спалила</t>
  </si>
  <si>
    <t>Запускал на нем ГТА 4 вполне играбельно...</t>
  </si>
  <si>
    <t>Для моих ушей оказались на удивление удобными, хотя часто страдаю, тем сто наушники давят на уши. Звук вполне приличный (смотрю кино) - лучше, чем у моего телевизора Сони намного. Покупкой очень довольно. Для меня очень хорошее сочетание цена-качество.</t>
  </si>
  <si>
    <t>Пользуюсь им уже лет 7. Пользую нещадно, постоянно - и тесто для блинчиков-оладушков взбиваю, и для шарлотки, и морковку со свеколкой тру, и сыр, если жесткий. Если вдруг сломается, куплю такой же!  Всем знакомым и родным его дарим на праздники.</t>
  </si>
  <si>
    <t>Привлек в первую очередь внешний вид, подойдет практически для любой кухни(что для хозяек немаловажно))) огромное внутреннее пространство позволяет разогревать даже в больших формах, а уж размораживает просто на 5+</t>
  </si>
  <si>
    <t>Получила эту блинницу в подарок. Сначала в ней откровенно засомневалась, но однажды решилась все же испечь блинчики. Оказалось очень удобно и что главное - быстро. Намного быстрее и проще, чем на сковородке. К тому же в комплекте есть половник и удобная лопаточка, чтобы переворачивать. Всего минут 20 и готова целая стопка блинов. 1-й блин как раз получается надо переворачивать, пока наливаешь 4-й. Аналогичную блинницу с 6-ю блинами поэтому представляю с трудом.  Единственный минус - хранение, потому как место она все же занимает и диаметр блинчиков непосредственно на этой блиннице не позволяет делать их с начинкой из мясного фарша, к примеру, если только скатывать трубочкой. А в остальном очень удобная вещь, если вдруг захочется блинчиков, экономия времени ОЧЕНЬ заметна.</t>
  </si>
  <si>
    <t>2419</t>
  </si>
  <si>
    <t>Купил себе этот телевизор. Плюсы в том, что имеет два пульта, все входы и выходы, изображение за такую цену отличное, но есть один минус - звук очень высокочастотный, что аж уши от писка закладывает. Поэтому, мне пришлось купить компьютерные колонки чтобы исправить эту ситуацию.</t>
  </si>
  <si>
    <t>Из-за частого включения подстветки кнопочка затерлась, т.е. стерлось бронзовое напыление - стала просто белой. Пользуюсь 7 месяцев. В остальном нормально</t>
  </si>
  <si>
    <t>1379</t>
  </si>
  <si>
    <t>Не берите, захрипели сразу.</t>
  </si>
  <si>
    <t>За такую цену вполне приемлимый вариант. Крепкий корпус, стрижёт хорошо, волосы не дёргает. Покупкой остался доволен.</t>
  </si>
  <si>
    <t>Пылесос для своей цены достаточно хорош. Но пылесборники найти на него не представляется никакой возможности.</t>
  </si>
  <si>
    <t>Ощущения экзотические, видно, из-за эффекта ионизации. Когда вы постоянно эту щетку применяете, то уже потом не хочется расчесываться другими. У меня длинные тонкие сухие волосы,мне очень помогает.</t>
  </si>
  <si>
    <t>Плюс: очень красивый телефон  Минусы: очень, очень,ОЧЕНЬ тихий звонок. Дисплей для стопроцентного зрения, и никак не меньше.Пришлось менять на другой телефон.</t>
  </si>
  <si>
    <t>Хороший качественный звук, басы просто супер, но после недели пользования появляется треск в левом наушнике.</t>
  </si>
  <si>
    <t>Купил пару месяцев назад , всё очень нравится , работает тихо , игры просто отпад , всем рекомендую , намного лучше х-бокса   Слим версия намного лучше "толстушки"</t>
  </si>
  <si>
    <t>Чисто для дороги, отлично гладит тонкие ткани. Легкий, очень компактный и стоит копейки.</t>
  </si>
  <si>
    <t>Всем здрасьте.  Купил данного зверька перед новым годом, конечно же удивила низкая цена со скидосом ( на тот момент 25999 р.) Да и 3 рубля еще в подарок дали. Молодцы конечно МВидео.  Первое время использовал установленную изначально винду 7 Home. Ну скажу вам не очень комплектация. Да и памяти многовато жрала 1.7 гига (данные при минимальной загрузке). Много. Через недельку все снес и переустановил на 7 professional - результат все ништяк. Памяти жрет токо 900 метров.HP проги мне не нужны, лишнего там куча , да вот они как раз и жрали ресурс.  Ну теперь начнем с проблем, которые начитал и здесь и на многих других форумах о павилионах 6 серии:  1. ---Шумит вентилятор, напрягает.---  В настройках электропитания ставлю экономный режим. Шумит меньше, особо не напрягает, можно сказать совсем не напрягает. То что работает постоянно, так меня это только успокаивает, железо вентилируется, тем более такое мощное. Менять режим приходится только когда врубаешь мощные игрухи. Согласитесь переключать туда сюда не сложно.  2. --- Слабый экран---   Согласен только в том случае, если на нем смотреть что-нибудь толпой. Для одного пользователя проблем не вижу, по крайней мере не лень чуток изменить угол обзора.  3. --- Сильно нагревается---  Да, а что вы хотели от такого железа, люди на стационарных компах устанавливают доп охлаждение на такую же видяху, кстати видяха на зверьке прилично посоревнуется с GF 9600. Ну и конечно же нельзя забывать о перегреве, то есть НИКОГДА не закрывать отверстия для вентилирования диваном, подушкой, коленками, пузом , да и другими частями тела )))). Стоит довести температуру проца до 100 а видюхи до 85(точно не знаю)  градусов и се, если дальше работает то фортануло, а если нет, то походу придется кому то феном поработать (не волосы сушить ))) . А вообще самый идеальный выход из данной ситуации (для тех, кто постоянно гамает) купить качественную охлаждающую подставку. Стоит примерно 1500р. Но зато можете не волноваться о перегреве.  3. --- Постоянный писк со стороны жесткого диска ---  Да. Да. Да. Напрягает. Похоже это болезнь данного зверя. Причем болезнь сама никаким образом не влияет на работоспособность (за исключение 1 сек притормаживания, хочу заметить, что в играх не замечал глюков при писках). Не помню где, но в каком-то форуме эту проблему описывали. Там чел поменял винт с оборотами не 7200, а 5400. Вроде проблема решилась. ДА чуть не забыл. !!!!!Нужно было вытащить винт из ноута для полного форматирования, откручиваю винты, открываю крышку, и попадаю в состояние полного .... Кто-то уже винт дергал, и до конца не закрутили винты. Это проблема также часто встречается, мне кажется это связано как раз с каким-то браком жестких дисков, и они были или заменены или еще что-то, но ясно одно что все это было сделано на скорую руку.  4. --- Маркий корпус ОЙ ОЙ ОЙ ---  Ну могу посоветовать только одно. Перед использование ноута (открытия крышки) ТЩАТЕЛЬНО мойте руки, ноги и т.д. и НАСУХО вытирайте руки, после, минуту их надо посушить феном. Проблема маркости решена )))))).    Итог: Ноутом доволен на 100 %. Думаю при аккуратном использовании еще годика 2 должен бегать прыгать и радоваться жизни данный зверек. Всем спасибо за внимание..    PS: Взял HP потому-что до этого тоже был HP, который вел экстремальный образ жизни. Летал, обливался, получал солнечные удары и обморожения, задыхался в собственной сумке часа полтора, и до сих пор жив. Только от экстремала я его освободил, хватит мучит животное.</t>
  </si>
  <si>
    <t>Хочу прокомментировать предыдущего оппонента.   Сам являюсь обладателем 8Гбайтового девайса, но он такой же. Возможно вам попался неудачный экземпляр.  1. Звук - всё-таки 5! за всю жизнь много плееров переслушал, звук у него отличный.  2. Сенсор - да, из-за больших размеров пальцев не всегда срабатывает одна кнопочка, но это редко. Плёнку не сдирал - даже с ней достаточно чувствительный.  3. Да, экран люфтит где-то на 1мм, но это нормальное явление, т.к. экран сенсорный, подразумевает некое физическое давление, которое должно компенсироваться.  4. По поводу перемотки на один пункт - да, ребята облажались в этом плане, но тоже привыкается, к тому же, я сообщил об этом в поддержку, может со следующей прошивкой уменьшат ползунок или ещё что-нибудь придумают...  5. Таймер у меня работает.  6. Перевод корректный, не нашёл несоответствий.  7. Да, время слетает... Но нужно-ли оно там вообще? :)))  8. Карта памяти у меня вставляется и вынимается без проблем.    Поменяйте просто на другой экземпляр, просто вам такой попался.</t>
  </si>
  <si>
    <t>Купил сей девайс 30 апреля, очень порадовала цена. Перед тем как покупать почитал отзывы, посмотрел видео, 90% людей хают его на грохот, у меня же данного не произошло, монтажники попались отличные ребята, кстати с установкой в плане цены мне тоже повезло. Они сразу предупредили что очень много брака у данной модели (перед запуском держали пальцы крестиком :) ) и о чудо даже без компенсирующих прокладок он вообще не вибрирует не грохочет в турбо режиме почти не слышно вентилятор на компе громче шумит чем он. Охлаждает очень быстро, 2 комнаты 15м2 и 9м2 примерно минут за 7-8 до 22С*. На итог: я считаю что все зависит от монтажника по-скольку сам таковым являюсь и сталкивался за 10 лет работы с разными ситуациями в которых 70% это недостаток опыта у специалиста, а зачастую попадаются просто шарлотаны (либо стажеры без мастеров) выдающие себя за профессионалов. Будьте бдительны!</t>
  </si>
  <si>
    <t>На этом сайте уже кое-что заказывала. Поэтому покупка этой стрижущей машинки получилась с бонусами. Покупала на подарок брату. Он очень доволен, говорит, что стрижет классно, лезвия качественные, самозатачивающиеся. Значить я правильно выбрала. У меня просто щипцы фирмы babyliss и мне нравится качество. Вот и машинку из их серии выбирала.</t>
  </si>
  <si>
    <t>Стираю на этой машине и не нарадуюсь,очень нравится.Раньше была Ardo,так она очень много воды наливала,а эта экономичная.При окончании стирки пикает прикольно.Качество хорошее.</t>
  </si>
  <si>
    <t>Очень удачная модель. Выглядит сама по себе законченно, а с айфоном, стоящим на зарядке, тем более. Причем, функционально, это полноценный DECT аппарат и может вполне работать отдельно от айфона. В принципе, к нему можно подключить и любой другой мобильный по блютусу, а не только айфон, главное, чтобы версия блютус была совместимая, мой, например, смартфон отлично работает. А жена айфон ставит теперь гордо заряжаться на базу )) Доволен очень.</t>
  </si>
  <si>
    <t>Удобный, легкий, недорогой пылесос. Незаменимая вещь для всех, у кого есть своя машина. Я за то время, что им пользуюсь, реально сэкономила на чистке-мойке такую же сумму, что за него заплатила. Дальше уже прямая прибыль будет) Основные преимущества этой модели (для меня) – удобная прорезиненная ручка, длинный шнур, долгое время работы. Недостатков так и не вспомню. При очень длительной работе начинает заметно нагреваться, но это скорее всего естественный процесс, чем недостаток.</t>
  </si>
  <si>
    <t>Телефон нормальный, но вот только когда включаешь телефон - тормозит. А так всё нормально.Берите не пожалеете!!!</t>
  </si>
  <si>
    <t>Отличный рюкзак</t>
  </si>
  <si>
    <t>Kingston  довольно известный в определенных кругах производитель. Надежность этой флешки подтверждается пятилетней гарантией от производителя, едва ли часто вы встретите такие гарантии. Скорость копирования и передачи информации средняя, но ведь никто и не скрывал, что это USB 2.0. Я купил одинаковые флешки по 16 Гб мне и жене, проблем не замечаю. К недостаткам можно было бы отнести объем в 14.5 Гб, но при такой цене, стоимость 1 Гб ничтожна, а учитывая имя производителя, это вообще подарок.</t>
  </si>
  <si>
    <t>Стрижет хорошо</t>
  </si>
  <si>
    <t>2122</t>
  </si>
  <si>
    <t>Пользуюсь 5 лет, нормальная мясорубка, соответствует цене. Нигде и ничего не сломалось, и крепление держит. И мясо крутит, а терка как выручает!!!</t>
  </si>
  <si>
    <t>Посудомойка обалденная! Подарил с сестрой на юбилей маме в январе! За это время посудомоечная машина зарекомендовала себя только с положительной стороны! Завтра еду покупать уже себе домой!!! Тем более акция началась, 5 дней по закупочной цене просто супер!!!</t>
  </si>
  <si>
    <t>Купили для хлебопечки. К тому же бонусные рубли пригодились. Точные, компактные и чаша в комплекте. То что надо</t>
  </si>
  <si>
    <t>Недавно приобрёл. До этого был классический 8800.  Что могу сказать:  + очень стильно и дорого выглядит  + тяжёлый, приятно лежит в руке  + очень хороший звук, но на макс. громкости похрипывает, лучше ставить на 80-90%  + аккумулятора хватает, IMHO, даже дольше, чем у Sirocco    - немного тормознутый (даже калькулятор не сразу открывается)  - на солнце плохо видно, что на экране, даже с макс. подсветкой  - мало уникальных тем и мелодий, хотя есть парочка действительно хороших    = телефон для истинных ценителей Nokia линейки 8800  P.S. Если жаба душит - можете купить обычный 8800 Arte Black  Разница во внешнем виде, качестве отделки и темах.</t>
  </si>
  <si>
    <t>На прошлой неделе купил монитор, жалоб нет. Всем советую, самый лучший!</t>
  </si>
  <si>
    <t>Покупали около двух лет назад. Каждый день наслаждаемся свежими соками. Летом на даче очень быстро и просто готовили сок для консервации. После приготовления сока, разбирается и собирается без проблем. Сетку приходилось чистить не часто, в сравнении со старой соковыжималкой, у которой она забивалась гораздо быстрее.</t>
  </si>
  <si>
    <t>Люди надо аккуратней обращаться с usb выходом. А то у меня полетел через пол года. Обратился в сервис мне его сделали. Когда сошел с гарантии опять накрылся. И ремонту не подлежит, хотя вся система пашет на УРА.</t>
  </si>
  <si>
    <t>2368</t>
  </si>
  <si>
    <t>Это мой любимец...просто замечательный ноутбук=))купите не пожалеете..по внешнему виду не уступит и дорогим ноутам, да по содержимому тоже..</t>
  </si>
  <si>
    <t>Фену уже около 5 лет, работает, не перегревается, но для полноценной сушки слабоват, особенно на первой скорости. Сушила волосы феном, затем укладывала щеткой, волос густой и вьющийся, хорошо выпрямлял и подвивал кончики, но объем почти не создает, третья скорость слишком горячая. Фен легкий, кнопки удобные, очень компактный, сейчас купила фен-щетку больше, но этот беру с собой всегда в поездки. Рекомендую тем, у кого каре и густой волос.</t>
  </si>
  <si>
    <t>Ноутбук купил почти месяц назад. До этого 2,5 года пользовался ASUS X51R, который отдал сыну. Новый подбирал по принципу "тоже ASUS, только память и диск побольше".  Выглядел новичок неплохо, и внешне и по параметрам. К сожалению, в реале всё не так радужно.  Из-за того, что задняя панель занята аккумулятором, все разъёмы переместились на боковые панели, естественно в страшной тесноте - лоток DVD, например, рискует зацепить воткнутую USB-флэшку, да и торчащие с боков провода от мыши, кабеля питания и сетевого кабеля машину не украшают.  DVD-дисковод нормально открыть не получается - приходится нажимать кнопку ногтём под углом, и то получается раза с пятого, проще в Проводнике выбрать пункт "Извлечь", чтоб он сам открылся.  Вентиляционное отверстие на левой панели очень "приятно" обдувает очень горячим воздухом всё что оказывается рядом, например вашу левую руку.  Тачпад временами неадекватно реагирует на случайное касание и может при этом, например, закинуть курсор в набираемом тексте чёрт знает куда.  Можно ещё несколько неприятных мелочей упомянуть, но главной неприятностью стала установленная на нём Винда "Семёрка". При том что индекс производительности показывал 6,6 для новейшего Core i5 процессора (из максимальных 7,9) - система заметно тормозила даже просто при открытии и перемещении окон! Ну ладно, встроенная интеловская графика действительно слабовата (индекс 4,6), но мне-то от этого не легче, ведь даже отключение всех графических примочек и переключение баланса графики на максимальную производительность ничего не дало. Или это особенность 64-битных систем такая? Интересно, какие же параметры компьютера нужны, чтоб она не тормозила?  Ну а попытка установить лицензионную игру "Метро-2" кончилась тем, что Windows без спросу взяла и "восстановила систему", отменив ВСЕ сделанные мною за 2 недели изменения и откатившись к состоянию на момент продажи... В тот же день я снёс этого "монстра номер 7" и поставил привычную ХР, благо драйвера ней для этой модели лежат на сайте ASUSа, а торможение ноутбука в ХР хотя бы не так заметно (но всё равно есть, увы).  Итоговый вывод:  1) Не гонитесь за новым процессором - встроенная Intel-графика сводит его преимущества к нулю;  2) Подумайте, нужно ли вам такое нерациональное и неудобное распределение разъёмов и дисководов;  3) И купите что-нибудь получше.</t>
  </si>
  <si>
    <t>397</t>
  </si>
  <si>
    <t>Купил NFT-207, оказалась неплохой штучкой.  Начнем с плюсов: стильный дизайн, хорошее качество звучания особенно низкие частоты, регулировка громкости и эквалайзера(несколько фиксируемых настроек) с пульта,  Ну и конечно, что может работать с флешками. У меня она на 8-гигов  Минусы: мелковатые кнопки на дисплее, слабый фиксатор поворота головы, (при нажатии кнопок приходится поддерживать голову одним пальцем а нажимать другим), мало фиксированных частот а вообще настраивается с 80 но при выключение питания  а затем включении становится на ближайший фиксированный. Для Москвы не очень удобно. практически все частоты забиты. Небольшое пощелкивание частот при ожидание следующей композиции.</t>
  </si>
  <si>
    <t>Отличная стиральная машинка! Пользуемся с 2008 года, почти каждый день.(покупали уже 2 машинки для двух съёмных квартир, там же их и оставляли) Что только в ней не стирала, огромный плед, который превышает допустимые нормы по кг-всё выдерживает! (тьфу-тьфу-тьфу). Конечно,есть недостатки-качество материалов из которых она сделана, но это не мешает ей хорошо стирать.</t>
  </si>
  <si>
    <t>Процесор мощный, и оперативной памяти много, НО памяти мало 384 всего и причём она внутренняя про новые игры можно забыть, так что кто покупает этот компьютер покупайте его для работы, а не для игр!</t>
  </si>
  <si>
    <t>Недавно купили этот телефон.  Очень довольны покупкой.</t>
  </si>
  <si>
    <t>3 года назад я очень тщательно подбирала себе машинку по разным критериям и остановилась на Бош с вертикальной загрузкой. Та машинка верой и правдой служила, я была довольна всем. Но к сожалению мы с мужем переехали в маленькую квартиру и пришлось с той машинкой расстаться (оставить у родителей), т.к. габариты квартиры не позволяли нигде ее поставить. Новую машину мы выбирали только из модельного ряда Бош, соответственно с фронтальной загрузкой, что бы можно было встроить в шкаф в прихожую. Машинка понравилась из-за возможности корректировки температуры воды и оборотов, это очень удобно. Индикация оставшегося времени (пусть и примерно) тоже. Пробовала почти все программы - хлопок, синтетику, смешанные ткани, деликатную, быструю, супербыструю. Все программы удовлетворили. Быстрая стирка правда не особо отстирывает, пришла к выводу что у этой модели это вариант обновить пару раз надетую вещь. Слив, отжим и полоскание так же работает без нареканий. То что мне нравится в машинках Бош, нет лишних функций. Единственный недостаток, который я нашла, это вместимость. Засунуть в нее, допустим, двуспальное одеяло я смогла, но уже впритык :-)).</t>
  </si>
  <si>
    <t>Купила вчера этот стайлер, все нравиться, выпрямитель работает на ура не смотря на то что у меня длинные волосы после косичек выпрямил на ура, завила у ребенка ее длинные волосы маленькой плойкой, все отлично, греетс за минуту, я не считаю, что это долго, да и прядки быстро завиваются, а ни как у обычной плойки, вообщем девочки берите, не пожалеете.</t>
  </si>
  <si>
    <t>Не могу понять как реализовать следующее - "Еще одна особенность Samsung BD-P1600 - возможность транслирования данных в реальном времени с ПК на экран телевизора."    *.mkv - воспроизводит далеко не все, какие-то файлы вообще не открывает, на других картинка дергается.    Blu-ray воспроизводит прекрасно.</t>
  </si>
  <si>
    <t>У меня опыт использования этих станций больше 2-х лет! Брал как только появились для поездки на отдых летом. Плюсы - разрешены к использованию на всех популярных курортах в Европе. Поэтому связь в пределах отеля, аэропорта, пляжа и т.п. и метров 300 вокруг него обеспечена. Этого достаточно! Главный плюс - компактность и малый вес. Недостатки - дыры в корпусе под клипсой и в аккумуляторном отсеке. Защита только от брызг. Год назад одну залили маслом для загара,просушили-обошлось без последствий.Этим летом другую утопили в море - умерла через пару дней, вместе с фотиком Canon. Приехал домой, разобрал, промыл спиртом-заработала, только дальность связи потеряла. Пошёл в магазин и купил ещё один комплект таких же точно! Очень понравились! Конечно есть станции и получше, но они проигрывают в размерах и весе-детям неудобно! Поэтому G55XT считаю оптимальными! Кстати фотик Canon высох и заработал сам без всякого ремонта, а вначале постоянно выдавал надпись на дисплее-ошибка объектива! Вот так!</t>
  </si>
  <si>
    <t>Страшная и суперская игра, графика класс</t>
  </si>
  <si>
    <t>Отличная машинка.Отлично стирает.Тихая.</t>
  </si>
  <si>
    <t>2016-06-29</t>
  </si>
  <si>
    <t>Пользуемся вторую неделю, пока всё хорошо. Купил от того что компактный, для маленькой квартиры очень удобно. Работает не шумно. Воздух гоняет хорошо.  Качество цене соответствует.</t>
  </si>
  <si>
    <t>Купила фен пару дней назад,цена радует,комплектация ,удобен с сложенном виде,в руке фен сидит тоже очень комфортно,не тяжелый,мощный,высушила свои длинные волосы минут за 10..феном с меньшей мощность нужно было минут 30...покупкой очень довольна...по поводу дальновечности  жизнь покажет</t>
  </si>
  <si>
    <t>тиха работает, легко моется, пластик не воняет как обычно.  из двух апельсинов получается 220 мл. сока. я очень довольна покупкой!!!!</t>
  </si>
  <si>
    <t>Купила машинку месяц назад меня устраивает всё стирает хорошо,отбеливает,выжимает вообще очень хорошо есть конечно один минус что барабан очень узкий а так всё работает отлично. Я очень довольна этой помощницей.</t>
  </si>
  <si>
    <t>купила около месяца назад в м-видео, очень довольна.    - дисплей хороший - чёткие цифры, всё видно, наклоняться и присматриваться не нужно.    - не врут - если взвеситься, сойти с весов, походить по комнате и снова встать на них - вес показывают точно тот же самый.    весы хорошие, советую)</t>
  </si>
  <si>
    <t>3 самостоятельных резервуара для приготовления пищи</t>
  </si>
  <si>
    <t>отличный мультистайлер!  нагревается быстро, хорошо закручивает волосы!  я довольна</t>
  </si>
  <si>
    <t>Эта игра лучший шедевр на PS3, невероятно кинематографично, шикарный сюжет, который может повернуться в любом моменте как угодно, вообщем эту игру обязательно нужно купить, а если у вас нет PS3, то стоит купить и то и другое сразу.</t>
  </si>
  <si>
    <t>Купили из-за низкой цены. Посуду сразу после еды моет на 3 с минусом, если остатки еды подсохли, посуда вообще не отмывается. Простояла месяц и благополучно отправилась в утиль. Считаю зря потраченные деньги!</t>
  </si>
  <si>
    <t>Купили этот вентилятор 1,5 месяца назад. Очень довольны. Работает бесшумно.</t>
  </si>
  <si>
    <t>3147</t>
  </si>
  <si>
    <t>Купил месяц назад. Пользуюсь часто- вообщем доволен, для аппарата этого класса очень хорошо! Спасибо М.Видео!)))</t>
  </si>
  <si>
    <t>1004</t>
  </si>
  <si>
    <t>Недавно приобрели наборчик). Внешний вид класс! Насадок реально много, для любых ногтей мне кажется подойдет. В общем пойду дальше разбираться с этим чудом).</t>
  </si>
  <si>
    <t>Телевизор очень порадовал,качество картинки превосходное, звук на высоте, особенно приятно смотреть ДВД и тому подобное, очень удобный пульт по сравнению с самсунгами и JVC есть телетекст - кому важен, приятный дизайн!!!!</t>
  </si>
  <si>
    <t>724</t>
  </si>
  <si>
    <t>Отличные наушники! Работаю каждый день,по началу немного давило но прошло,звук отличный,закрытый тип качественный.  После покупки советую разогреть(на макс громкости ~2-5 часов) иначе могут подхрипывать на вч,собственно как любые другие новые наушники!  Покупкой доволен, даже очень!</t>
  </si>
  <si>
    <t>утюг мне очень нравится. у моей мамы есть такой и я себе купила его, гладит просто великолепно, филипс - отличный утюг)))</t>
  </si>
  <si>
    <t>2757</t>
  </si>
  <si>
    <t>Телевизор то, что надо! И качество картинки понравилось, и размер, и очень удобная функция встроенного dvd плеера. Не нужно никакой доп. аппаратуры покупать. Я себе покупаю уже третий. Для детей удобно.</t>
  </si>
  <si>
    <t>Этим феном пользуюсь уже более 3х лет! Волосы у меня ниже плеч слегка вьющиеся - фен их делает более пышными, ровными, струящимися и придаёт причёске ухоженный вид, слегка подкручивая концы и отдельные локоны. Мама тоже пользовалась моим феном - у неё каре. Пришлось ей подарить такой же, т.к. утром наперегонки бежали к фену. Эти летом оставили один фен на отдыхе у бабушки, так что на днях опять покупаю такой фен, третий по счёту! Из минусов: - щётка действительно пушится со временем, - щётка слетает если не до конца защёлкнуть крепление; - один фен стал перегреваться и отключаться (это второй фен, который куплен позже первого).</t>
  </si>
  <si>
    <t>Недавно купила электромясорубку BORK MG RNP 1215 WT - пользовалась всего 2 раза, оба неудачно - через 5 мин. решетка забивается наглухо, в итоге получается не фарш, а каша, нож не плотно прилегает к решетке и сам нож какой-то кривой, совершенно непонятно почему эта техника позиционируется как премиум-класс, на самом деле - полная фигня, ОЧЕНЬ жаль потраченных денег((( жаль что не прочитала отзывы перед покупкой, а повелась на рекламу((((</t>
  </si>
  <si>
    <t>Очень понравился у меня не гудит и греется совсем немного на печку совсем не похоже громкость регулируется при воспроизведении с флэшки просто не показывает индикатор большой но терпимый недостаток отсутствие русских букв на пульте ДУ пришлось записывать названия каналов с пультом в одной руке и с мобильником в другой компьютер через VGA работает с разрешением 1200x1600 чрез HDMI Не подключал не знаю разъёмов достаточно много прекрасный выбор  купил месяц назад всем очень доволен</t>
  </si>
  <si>
    <t>Купила племяннице . Показала как с ним обращаться, что бы волосы были прямые. Так как работаю в салоне, знаю все тонкости. И даже очень вьющиеся волосы и жесткие, делает прямыми. Не сушит, не тянет. В общем, она довольна. А вот те кто пишет что он не тянет. Просто не умеют обращаться с такой техникой.</t>
  </si>
  <si>
    <t>Печь супер!!!!Пользуюсь уже почти год.Все готовит отлично,почти перестала готовить на газу.Очень довольна,советую!!!</t>
  </si>
  <si>
    <t>Нам машинку подарили на свадьбу. Я сначала думала,ну и зачем она мне? Но порой она так выручает!!Особенно,когда бывают гости))) Проста в управлении, отлично моет, в общем мне ооочень очень нравится)))</t>
  </si>
  <si>
    <t>Фен хороший, пользуюсь больше года. Единственный минус для меня, не посмотрела, что ручка не складывается - много места занимает.</t>
  </si>
  <si>
    <t>Вот уже 10 лет мы пользуемся этим чайником и очень довольны,не шумит как остальные,легко устанавливается на подставку и всегда сам отключается при закипании.Покупайте не прогадаете!!!</t>
  </si>
  <si>
    <t>Куплен в мае, причем целенаправленно Панасоник, установлен  в июне.Со своими функциями, а именно охлаждением, справлается отлично.Быстро охлаждает не только комнату, где установлен ,но и две других (хрущевка).Работает практически бесшумно (внешний блок вообще не слышно, внутренний шумит как напольный вентилятор только на максимальной скорости.Ставили мастера из Арго-Сервис ,очень квалифицированно.Не спеша, но быстро.Есть недостатки конструкции,но считаю несущественные.</t>
  </si>
  <si>
    <t>247</t>
  </si>
  <si>
    <t>Я увидела этот плеер в магазине "М-видео". Он привлек мое внимание больше других. Сразу поняла: коплю деньги и покупаю. Зашла на этот сайт, почитала отзывы... Теперь не знаю. Смущает то, что плеер заряжается 4 часа. У меня нет столько времени на его зарядку. Но то, что работает 4 часа, в принципе нормально, я не слушаю музыку целый день. А сохранность изделия зависит от обращения с ним... =\</t>
  </si>
  <si>
    <t>Скажу одно! Игра не стоит своих денег!!! Чушь, миссии однотипные, обычно прохожу новинки на одном дыхании, а тут приходилось отдыхать от игры!!!</t>
  </si>
  <si>
    <t>отличный телевизор,я доволен</t>
  </si>
  <si>
    <t>Отличный триммер, стрижет короткие волоски. Потерял лезвие от старого, купил такой же. Очень доволен.</t>
  </si>
  <si>
    <t>Девушки, модель – супер, берите – не пожалеете  В этом ценовом диапазоне вряд ли найдется еще одна такая же удачная модель. Хоть денег стоит и немного, но я предпочитаю любые покупки совершать разумно, поэтому щипцы выбирала долго и тщательно, при приблизительно схожей цене сравнивала внешний вид, качество исполнения, материалы, набор функций.  Именно эту модель выбрала из-за удобной ручки, длинного шнура с вращающимся креплением (потому что прекрасно знаю как это, когда всё в руке закручивается, что дольше не локоны крутишь, а шнур раскручиваешь) и регулировки температуры нагрева. Керамическое покрытие для меня – априори, на модели с металлической поверхностью даже не смотрю. Что еще порадовало – модель продумана до всех мелочей, например, есть даже небольшая подставочка для того, чтобы горячие щипцы было удобно ставить на стол. У модели удобная не только ручка, но и сам рычажок. Волосы держатся между щипцами и рычажком плотно, каждый локон получается ровным, упругим – и все один к одному. Теперь это мой фаворит. Сгорят – опять такие же себе куплю, у меня уже была такая «любовь» к кухонному комбайну – почти 10 лет покупала одну и ту же модель, 2 раза, несмотря что в продаже появились уже какие-то вроде бы более новые и современные, но прикипела именно к конкретной (но тут все-таки тоже надеюсь на долгий срок службы )</t>
  </si>
  <si>
    <t>Отличный чайник, один из самых лучших за всю историю чайников в семье. Единственный недостаток это отсутствие индикации работы чайника, но это в принципе и не нужно и так ясно что он работает по шуму закипания воды.</t>
  </si>
  <si>
    <t>Пылесос сломался через неделю. Перестал работать вообще. Сейчас ждем пока сменят по гарантии</t>
  </si>
  <si>
    <t>Бритва совсем не бреет. Не покупайте бритву.</t>
  </si>
  <si>
    <t>Сочетание цены и качества отличное! Усилитель закрепил на буфер, протянул провода питания и акустики через салон под коврами(удобней если что искать), и на место стандартной магнитолы воткнул стойку под планшет. Очень удобно! Минимум работ, минимум затрат и очень удобно.</t>
  </si>
  <si>
    <t>У меня через два месяца стал ужасно глючить,песни все смешиваются,а если раза два песни переключишь вообще глохнет!  А вообще неплохой плеер!  Сначала всем устраивал до поломки))</t>
  </si>
  <si>
    <t>Купили агрегат, принесли домой, было сказано - первый запуск полчаса. Ну и ждем. Первый - полтора часа, второй - вообще пять. В общем экран не работал, оказывается заводской брак. Сейчас пойду менять, надеюсь на лучшее)</t>
  </si>
  <si>
    <t>Пользуюсь уже второй месяц, отлично выжимает сок из цитрусовых! В комплекте идет вторая насадка для крупных цитрусовых (грейпфрут), также она используется если вы желаете, чтобы в соке было больше мякоти. Очень порадовало место для скручивания кабеля. Тихо работает. Вращение в разные стороны не по очередно, а как сама захочет)))</t>
  </si>
  <si>
    <t>1086</t>
  </si>
  <si>
    <t>2015-04-17</t>
  </si>
  <si>
    <t>Купила его на днях, за бонусы. Выбрала этот,  не разочаровал. Нагревается быстро, выпрямляет гладко, как по маслу, волосы не рвет.   В руке лежит удобно. Легкий.  Из минусов, наверное, только то, то ли слишком нагревается, что обжигает пальчики, то ли я его как-то не в том месте держу при укладке, но это мелочь. Главное результат.  Кто сомневается в нем - очень даже хороший выпрямитель, еще и за такую цену. В любом случае, у вас есть 2 недели для проверки качества товара! =)</t>
  </si>
  <si>
    <t>Пользуюсь данным плеером уже полгода.    Единственный, но довольно неприятный минус - перед включением он несколько (5-20) секунд обновляется, независимо от того, записывалась ли новая музыка или нет. Т.е.мгновенного включения не получается. С выключением то же самое (не видя дисплея сложно понять, выключился плеер или нет, т.к. непосредственное прекращение звучания происходит через несколько секунд, после нажатия кнопки).</t>
  </si>
  <si>
    <t>Купил сегодня.  Дома кабельное.  Ловит плохо, на всех каналах какие-то помехи.  Что делать? Может как то перепрошить?    Если не разберусь не найду на форумах, то на следующей недели отнесу обратно.</t>
  </si>
  <si>
    <t>2696</t>
  </si>
  <si>
    <t>Сломался громко сказано, просто ПК не находит его, точнее находит, но на него я не могу зайти... когда включаю плеер то светится walkmen и показывает точки загрузки никаких действий до тех пор пока не нажать кнопочку reset...  а вообще плеерок не плохой может у меня просто брак попался...( качество звука хорошее, разумеется не в родных ушах.</t>
  </si>
  <si>
    <t>547</t>
  </si>
  <si>
    <t>магнитола отличная  + качественный звук  + качественное видео  + гармоничный дизайн с вариантами подстветки впишется в любой интерьер  - неудобно расположен вход для флешки  - нет пульта ДУ</t>
  </si>
  <si>
    <t>Купила сегодня и очень довольна покупкой, тв очень легко настраивается, давно мечтала о таком. И внешний вид и качество, с которым показывает тв очень устраивает, да и акция на него была, поэтому совсем не жалею потраченных денег.</t>
  </si>
  <si>
    <t>Термопот  просто супер, мы очень довольны! в доме постоянно горячая вода! щелкать чайником постоянно не надо. Электроэнергии ест меньше чем чайник ( в нашем случае)</t>
  </si>
  <si>
    <t>334</t>
  </si>
  <si>
    <t>Чтобы было понятнее распишу так:  Плюсы: Много много (для ноута) места на жестком диске, 8 локальных процессоров в 3D рендеринге заставляют улыбнуться своим копашением, на каждый палец можно ставить свою функцию, считывает хорошо и без глюков, не очень шумный привод, звук вполне оправдал ожидания, память тоже оправдала.  Минусы: ГЛЯНЕЦ! Каждое прикосновение хочется протереть тряпочкой, которая идет в комплекте. Зарядку держит очень мало, на монитор смотреть не ближе чем с метра, иначе края уходят. Винт медленный. 11 директ на видеокарте не нужен, так как мощности не хватает.  В общем так: Тем кто ждет от него игровых возможностей, к примеру запустив на всех настройках с 11 директом - Метро 2033, могу разочаровать, 2-3 кадра в секунду.  Если Вы дизайнер, берите не задумываясь, и места на винтах достаточно, и мозгов хватает держать открытыми несколько серьезных программ, и процессор обрабатывает с большой скоростью.  P.S. Честно говоря, запустив игру Ассасин Кридс 2, был удивлен, 1920х1080 и на предельных настройках выдает 22-28 FPS... Просто незабывайте обновить сразу после покупки видео драйвера, установить последний директ, и немного полазить в настройках ATI...  Итог в баллах:  Процессор - 7,1  Память - 7,3  Графика - 6,8  Жесткий диск - 5,9</t>
  </si>
  <si>
    <t>Правильная оценка - между 4 и 5. В общем и целом вещь классная. Но звук не вполне честный. Особенности см. выше.</t>
  </si>
  <si>
    <t>Купили 9 дней назад.печём каждый день.Для корочки есть отдельная программа 12.пока привыкаем.</t>
  </si>
  <si>
    <t>&amp;nbsp;После недолгих походов по магазинам, чтения интернета купили с мужем такой пылесос. Очень удобен, хоть и сильно шумит (кошки пугаются), но это его совершенно не портит. Система фильтрации на высоте, моется легко, что для меня немаловажно. Высокая мощность всасывания.Еще очень порадовал факт - не нужно заморачиваться на расходниках. Рекомендую.</t>
  </si>
  <si>
    <t>1108</t>
  </si>
  <si>
    <t>Неплохой аппарат, но HD мне кажется лучше ИМХО.</t>
  </si>
  <si>
    <t>687</t>
  </si>
  <si>
    <t>Пользуюсь уже 3 года - не подводила никогда. Гриль, разморозка и микроволновый режим работают отлично. Зачем повар или как это там называется я не знаю, не пользуюсь. То что они сделали для упрощения жизни - лишь усложняет ее. Единственный негативный момент - затвор дверцы, видимо он не очень надежен. Спустя 3 года иногда открывает дверцу только со второго раза, вполне возможно скоро перестанет открывать и придется разбирать аппарат. Но это не меняет дела - аппарат хорош и красив!</t>
  </si>
  <si>
    <t>через 1 год рассыпается пластмасса  на корпусе ,начинает течь</t>
  </si>
  <si>
    <t>2688</t>
  </si>
  <si>
    <t>а)Перемотка вперед-назад: комбинацией 2-х кнопок ВВЕРХ или ВНИЗ и PLAY-STOP.  б) При подключении к компу можно выбрать режимы: зарядка+перекачка или зарядка+музыка, в этом случае комп плеера не видит.</t>
  </si>
  <si>
    <t>Супер, пользуюсь уже три месяца. Закваску берите: натуральный Активиа (йогурт), йогурт греческий. На 1 л+150 мл одна баночка этих йогуртов.</t>
  </si>
  <si>
    <t>Купила чайник неделю назад. Чайник мне понравился,запах пластмассы исчез после второго кипячения,оригинальная подсветка,шумит не очень сильно. Удобный в руке. В общем советую.</t>
  </si>
  <si>
    <t>Очень простая, шьет плавно. Проблема - где взять сменные иглы? в специализированном магазине сказали, что для этих машинок иглы не продаются. На сайте астралюкс в каталоге тоже нет игл.</t>
  </si>
  <si>
    <t>Кофеварка обалденная просто! Качественная, варит на ура, и поддерживает сваренный кофе и чай (спс предыдущему коменту) в тёплом состоянии, а если забыть, то и кипятит через час - полтора, прямо в колбе. Короче о покупке не жалею, тефаль есть тефаль, качество отменное. Пластик качественный, не имеет запахов посторонних. И кофе варит просто супер, с регулируемой крепостью.</t>
  </si>
  <si>
    <t>Вот начитаешься отзывов и прям все недовольные такие.  Хорошо что когда шла покупать не читала это всё.  Всё отлично выжимает.Ни капли из жмыха выдавить невозможно больше.У меня на стакан сока уходит 2 больших моркови или 2 средних яблока.Вполне по моему!  В общем я всем довольна!  Красивая,удобная,функциональная,хорошо моется,хорошо и быстро отжимает.Что ещё нужно?</t>
  </si>
  <si>
    <t>Отличные наушники.Прекрасное, громкое, басовое звучание и очень удобные</t>
  </si>
  <si>
    <t>Стирает отлично, удобные функции, но очень шумит при отжиме и сливе воды, может вызвать мастера?</t>
  </si>
  <si>
    <t>Утюг купил в августе.Утюг отличный. Большой удар пара. Большой обьем резервуара. Отличная подошва. Главное что есть система безопасности -Отключение в положение лежа и вертикальном. Джинцы пришли по каталогу и складки тяжелые от неправильной упаковки и режим джинц разгладил при паре за секунду складки. Шнур 2м. Удобный. Жена с дочкой гладят и ненахвалятся. Рекомендую</t>
  </si>
  <si>
    <t xml:space="preserve">Дизайн, скорость нагрева, сутки после выключения вода теплая. </t>
  </si>
  <si>
    <t>Отличная гладильная доска, тонкая настройка высоты ( практически под любой рост), очень устойчивая за счет удачной конструкции опоры, мобильная подставка под утюг, широкая и достаточно плотная рабочая поверхность, оригинальная расцветка - впервые за последнее время гладила с удовольствием, хотя по жизни гладить ненавижу! Кстати, покупать опасалась, прочитав не очень лестные отзывы дешевым моделям этой же фирмы!</t>
  </si>
  <si>
    <t>Покупали с мамой три года назад. Очень удобный телефон, прост в управлении, глюков не наблюдали. Можно перекидывать звонок с одной трубки на другую, что очень удобно, например, при работе в разных кабинетах с спареным номером. Хотя дома может тоже пригодиться такая функция)))) хороший телефон</t>
  </si>
  <si>
    <t>1489</t>
  </si>
  <si>
    <t>Пользуюсь 2 дня.  Плюсы: отличная шумоизоляция, качественные басы и "верха", сидит в ухе как влитой, очень удобны даже при занятиях спортом! Прочный шнур, солидный запас громкости. Уши не устают при продолжительном ношении. Сравнивал с Philips и второй версией "сигмы", в категории до 1000р. Это наушники - пожалуй лучший выбор за эти деньги, рекомендую! И обязательно берите сертификат дополнительного обслуживания, мало ли что :)</t>
  </si>
  <si>
    <t>1377</t>
  </si>
  <si>
    <t>Купил данный монитор неделю назад. Очень доволен. Яркость нормальная, передача цветов отличное. Есть конечно небольшие засветы на черном экране, но куда же без них :) Цена тоже отличная. До этого был Philips 17". В общем советую, соотношение цена/качество превосходное!</t>
  </si>
  <si>
    <t>Весы приобретались по дизайну, тут у БОШа все нормально. Выглядят отлично! Но при взвешивании постоянно разный вес, и на разных поверхностях и с разными людьми. Просто в шок.. Вот тебе и BOSCH</t>
  </si>
  <si>
    <t>когда покупали, радовались, что есть не только мешки, но и контейнер. Однако, на деле оказалось, что после 2-3 уборок контейнер выходит из строя - начинает открываться крышка и весь мусор оказывается внутри корпуса (ладно хоть, что перед двигателем стоит еще один фильтр). Сдавала в гарантийную мастерскую, через 3 недели получила новый контейнер - история такая же. В общем, теперь пользуемся мешками (жалоб никаких, все отлично). Однако, хотели то пользоваться контейнером. Причем оказалось (это когда я была в мастерской), что не одна я обращалась с этой проблемой!</t>
  </si>
  <si>
    <t>Я пользуюсь им уже в течении года. Мне нравится, правда он не подходит для чувствительных зон, но на то и цена соответствующая. По-началу было больно ноги и подмышки эпилировать, но привыкла уже. С эпилятором намного удобнее, чем с бритвой (волосы намного медленнее отрастают).</t>
  </si>
  <si>
    <t>Купили комбайн месяц назад. В принципе не плохой, только не хватает средней терки и насадки для нарезки кубиками. А так все отлично работает.И капусту и лук порежет и блендер отлично работает. Сочетание цена-качество оптимальное.</t>
  </si>
  <si>
    <t>Сегодня приобрели данную соковыжмалку,положившись на вышеуказанные хорошие отзывы,но к сожалению она не оправдала наших ожиданий.Так хотелось без особых хлопот получать свежевыжатый сок,но жмых влажный,и даже я бы сказала мокрый можно как пюре ложкой кушать,сильно вибрирует на столе,но самое неприятное,что после использования пришлось перемыть просто нереальное количество запчатей,вообщем для того, чтоб утром выпить стаканчик сока побыстрому,она не подходит,брали для ребенка,но сней замучаться можно из за одного яблочка.Завтра постораемся вернуть.</t>
  </si>
  <si>
    <t>Кузов:седан, качает отлично. Поставил его динамиком в сторону салона в конец багажника у самых номеров))) (Советаю). Усилок Кикс К-27 (800 ватт, номинал мостом 300).Доволен!!</t>
  </si>
  <si>
    <t>Хороший утюг, не знаю всех тонкостей и не хочу знать. Главное, жена довольна! Пар мощный, сам проверял, воды надолго хватает. А, что еще от него надо. Хороший, рекомендую!</t>
  </si>
  <si>
    <t>Отличный термос! Очень здорово держит температуру, а про дизайн и цвет - вообще молчу. Всем рекомендую! Долой серость!</t>
  </si>
  <si>
    <t>Нормальный вариант игры по сюжету фильма "Битва титанов",большой минус в том,что на английском языке.Слабовата графика окружающего мира.</t>
  </si>
  <si>
    <t>Получила в подарок!!! Была разочарована! Сама себе никогда бы не купила, а получить в подарок даже и не хотела никогда!!! И дело не в минусах и плюсах модели, дело в бесполезности!!! Мужчины!!! Не нужно дарить своим дамам такие вещи!!! Женщины не об этом мечтают!!! В итоге пользуюсь только тогда,когда видит подаривший человек, чтоб не расстраивать его!!!</t>
  </si>
  <si>
    <t>По обзорам игра отличная и она есть в моем городе, но все же когда контроллер привезут в Нягань?</t>
  </si>
  <si>
    <t>пылесосом пользуюсь 2 года, меня вполне устраивает...</t>
  </si>
  <si>
    <t>Был приятно удивлен наличием качественных и недорогих вещей в наше время. После безвременной кончины (переломился провод на входе в динамик) RP-HT 30, прослужившим лет 8 верой и правдой, купил эти. Звук оказался даже лучше и богаче. Басов мне хватает даже с избытком. За эти лучше мне кажется не будет, если такое вообще возможно :)</t>
  </si>
  <si>
    <t>Цена халява, качество на высшем уровне, дизайн умеренный, всем рекомендую!</t>
  </si>
  <si>
    <t>Пользовалась телефоном почти год. он несомненно самый хороший их всех, что у меня раньше были.   выбирала я его в основном глядя на емкость аккумулятора, так как постоянно пользуюсь асей, да и телефон редко лежит на месте. конечно она не такая, как пишут, но достаточно большая, я осталась довольна.  выше уже писали про неполадки с sim-картой, возможно да, но это появилось после нескольних серьезных падений, поэтому сама виновата.  в остальном пререканий нет, красивый телефон, хорошие динамики, качественные фотографии,почти не царапается и не стирается. очень удобно то, что сворачиваются приложения.   к сожалению, умудрилась его потерять, но в скором времени собираюсь преобрести ту же самую модель.</t>
  </si>
  <si>
    <t>Купил для ремонта, пользуюсь 2 недели.  Достоинства: легкий, компактный, достаточная мощность, несколько насадок в комплекте.  Недостатки: маленький объем отсека для пылесборника, острые детали корпуса и крышки сразу же рвут бумажный мешок - поэтому рекомендую сразу срезать все острые углы внутри (легко срезаются ножом или пилкой по металлу, потом надо зачистить напильником или наждачной бумагой).  В остальном (за свою цену) нормально выполняет свои функции.</t>
  </si>
  <si>
    <t>2014-10-24</t>
  </si>
  <si>
    <t>Прибор просто супер. После его применения с первого же раза волосы становятся гладкими (в обычном состоянии они ужасно пушатся, а при влажности так вообще), шелковистыми и очень блестящими (волосы не окрашены). Просто супер штука.</t>
  </si>
  <si>
    <t>Наслаждаемся бутербродами!!!Фантазиям приготовления НЕТ придела!!!Маленькие мини-пиццы получаются!!!!!!</t>
  </si>
  <si>
    <t>Купили недавно,пользуемся,всё устраивает.  Вывод-вещь хорошая.</t>
  </si>
  <si>
    <t>У нас уже служит около 2х лет, нареканий никаких нет. Гораздо удобнее чем постоянно ставить чайник, в любой момент когда захотелось попить чай или кофе. Из недостатков могу отметить, что вода нагревается порядка 10-15 минут, поэтому лучше наливать воду заранее. У нас в семье наполняем на ночь, и на следующий день хватает, основной расход конечно утром. Приходится доливать, только если у нас много гостей. Удобные температурные режимы, когда нужен кипяток (например, дезинфицировать бутылочки детские), или жена заваривала ребенку каши на 60 градусах, чтобы быстрее остывало. Но в основном на данный момент стоит постоянно 90 градусов. Меня лично радует блокировка налива от детей, те у кого есть любознательные дети от 1-го до 2х лет должны меня понять. По поводу воды, мы живем почти за городом, вода очень жесткая, периодически появляется накипь, жена легко решает проблему, засыпая столовую ложку лимонной кислоты для очистки. Очень удобная вещь, рекомендую.</t>
  </si>
  <si>
    <t>Минусы:  на сайте "М-видео" указано, что данное зеркало работает от сети. Это неправда! Зеркало работает только от 4х батареек АА.  Жаль, что узнали об этом только после покупки, если бы не информация на сайте, купили бы такое же зеркало, но дороже по стоимости - оно, наверно, все-таки и от сети тоже работает    Еще из минусов - подсветка только снизу и  очень слабая, по сути она не функциональна и в таком варианте исполнения не нужна, наверно, разработчики-мужчины и не смогли учесть этот факт:))    Плюсы: в остальном, отличное зеркало, удобно наличие двух сторон, качество отражения хорошее</t>
  </si>
  <si>
    <t>в комплекте на 1 гб флэшка,по крайней мере у меня)))телефоном очень даже довольна)))больше года уже пользуюсь и нареканий никаких)))</t>
  </si>
  <si>
    <t>556</t>
  </si>
  <si>
    <t>клевый смарт</t>
  </si>
  <si>
    <t>2017-01-16</t>
  </si>
  <si>
    <t>быстро, удобно</t>
  </si>
  <si>
    <t>Надежный, цена</t>
  </si>
  <si>
    <t>мне хлебопечку подарили, с первого раза получилось всё здорово, правда корочка бледновата, и не получился сдобный хлеб с изюмом пришлось время добавлять.</t>
  </si>
  <si>
    <t>1883</t>
  </si>
  <si>
    <t>1 Телефон быстро надоедает(очень трудно разобраться)  2 самая большая для меня поблема №1-телефон очень быстро садится 3-4 музыки и всё  3 самая большая проблема №2-на телефоне нет функции передачи информации через Блютуз сразу на карту  4 в интернете очень мало интересных приложений  5 стандартные наушники очень не удобные и прожили всего 3 недели ,новые найти нигде не могу</t>
  </si>
  <si>
    <t>До её покупки вообще сомневались нужна ли нам соковыжималка.Но теперь в нашей семье апельсиновый сок полюбили даже те,кто из пакетов его не пил.Бесшумная,шустрая помошница у нас на кухне.Спасибо предыдущим отзывам-помогли сделать выбор.</t>
  </si>
  <si>
    <t>2796</t>
  </si>
  <si>
    <t>Нормальная антенна, даже не надеялся за такую цену купить качественную вещь, а тут на эту наткнулся совершенно случайно - за три месяца использования полет нормальный)) На лобовуху крепится надежно, тут сразу комплект установочный присутствует, по инструкции все легко собрать без помощи Гугла) Самые проблематичные в плане сигнала станции ловит классно, помехи случаются только иногда, если совсем уже через какие-то отшибы проезжаешь, но в городе никаких траблов с радио не проявилось пока. Отечественный производитель реально порадовал в данном случае)</t>
  </si>
  <si>
    <t>Утюг хороший. Гладит хорошо. Я рада, что его купила. Советую.</t>
  </si>
  <si>
    <t>Читает десятки форматов видео с жестких до 1ТБ и флешек. Купил полгода назад. Очень доволен. Удобное управление и куча входов видео и аудио. Достоинства долго перечислять, скачайте тут паспорт и все поймете.</t>
  </si>
  <si>
    <t>2499</t>
  </si>
  <si>
    <t>Хороший комп,мощный проц,что еще надо для работы и игр?!</t>
  </si>
  <si>
    <t>903</t>
  </si>
  <si>
    <t>Самая низкая цена в городе. Большое спасибо, купил Аркаду новейшей модификации Jasper. Дешевле просто нет нигде! :)</t>
  </si>
  <si>
    <t>Пользуюсь больше года, техника ни разу не подвела. С функцией поджарки с одной стороны получаются отличные бутерброды. Стильный, красивый. Всем советую.</t>
  </si>
  <si>
    <t>Осторожнее!!! Я отлично знаю что тефлон не переносит контакта с металлом, ставил его на специальную подставку которая в комплекте, прогладили пару рубашек на которых тоже нет металлических деталей, на тефлоновом покрытии появились царапины, боюсь представить что будет через год! Подарил маме "подарочек"...</t>
  </si>
  <si>
    <t>Фильм заставляет задуматься зрителя о ом, как не надо использовать природные ресурсы, о том, что сегодняшняя деятельность человека, направленная на возможно большую добычу денег из природы, и не принимающего мер к минимализации ущерба, губительна и для природы, и для него самого.  Снят очень красиво.  Купил 03.04.2011 г., вечером смотрел не отрываясь...</t>
  </si>
  <si>
    <t>1755</t>
  </si>
  <si>
    <t>Ой и валенок ... Его не нужно выключать, это не чайник. Естественно он по другому работает. Он постоянно включен должен быть..аля электро термос. Если не умеешь пользоваться не покупай такое.</t>
  </si>
  <si>
    <t>2016-05-26</t>
  </si>
  <si>
    <t>Хороший, практичный и недорогой товар!</t>
  </si>
  <si>
    <t>Вытяжка порадовала, работает тихо на 2-х скоростях,т янет как пылесос, Испания рулит.</t>
  </si>
  <si>
    <t>Отличный системник, но только одно винт шумит, а так просто супер...  з.ы. вин 7 32 бит тоже не порадовала, надо 64 ставить &gt;_</t>
  </si>
  <si>
    <t>Вкусный и ароматный кофе</t>
  </si>
  <si>
    <t>Супер пылесос</t>
  </si>
  <si>
    <t>кофемашина на отлично!немного шумновато,но не критично.Кофе варит замечательно, быстро, вкусно!Из минусов-расход воды,но зато сама автоматически промывает систему.Пользуюсь уже почти полгода,нареканий нет.</t>
  </si>
  <si>
    <t>Купила уже 2-й такой для мамы. Это лучший маникюрный набор, мощный и многофункциональный, пользуюсь сама уже 3 года. Абсолютно незаменим, если Вам некогда посещать для этого салоны. +Ничего не разболталось со временем, в отличие от наборов других марок, мама выкинула уже 2 набора других фирм.</t>
  </si>
  <si>
    <t>1282</t>
  </si>
  <si>
    <t>хорошая печь,есть гриль, объем 28 литров, для семьи достаточно. кнопки сенсорные, пока не подводили. управление простое. доволен ей.</t>
  </si>
  <si>
    <t>Покупал в интернет магазине - гарнитура была. На коробке вся комплектация нарисована - надо проверять. На каждую рацию свой гарантийный талон с серийными номерами раций - надо смотреть, чтобы совпадали.  Батарейки стандартные AAA по 1.2V 4 штуки на каждую рацию - легко найти и заменить. Гарантийных мастерских заявлено несколько штук в Москве, обратная связь с разработчиками на сайте (перед покупкой был вопрос по комплектации)молчит - возможно это их последние рации. Покупалась для связи на небольших расстояниях. В Ашане связь между рациями держалась нормально.</t>
  </si>
  <si>
    <t>Пробное включение озадачило.  Одна рация работает. Слышно и передает чисто. На второй при начале передачи страшный треск не слышно ничего. Потом убавил громкость вроде стало нормально и там и там. А уже собрался нести обратно в магазин.  Сегодня едем на природу с 2-мя ночевками пара машин. Проведу полевые испытания и в автомобиле и в условиях пересеченной местности.  Вывод - читайте инструкцию перед началом эксплуатации.  А так рации симпатичные. По дальности связи напишу дополнительно.</t>
  </si>
  <si>
    <t>можно мыть водой</t>
  </si>
  <si>
    <t>Привет всем! Сегодня приобрел это чудо техники.  Мое мнение:   1. Цена.  Недешево. За 25 тысяч можно купить хорошую сплит-систему. У меня было безвыходное положение, сплит мне не подходил. Пришлось выбирать хороший  мобильный кондиционер. Мощность выбирал исключительно из соображения: площадь 23 метра при стандартном потолке + наличие ТВ и ноутбука. Можно было бы выбрать модель N110, но мне нужна была исключительно высокая скорость охлаждения, посему - увеличиваем мощность и берем N120.    2. Шумно. На больших оборотах довольно сильно шумит. Отдав дань 3,5 КВт мощности  принял это как данность. На ночь придется понижать обороты винта до минимума.     3. Нет заявленного режима "Бриз". В тех.паспорте даже ни слова об этом.     4. Заморочки с крепление и выводом гофротрубы. (Легко решается при наличии рук и головы). Лично я вставил гофру в картон, а картон в форточку, тем самым избежал приток горячего воздуха с улицы.    5. Размеры - не маленькие, но в Форд Мондео влез на "ура!" Будьте внимательны при ограниченных площадях. При условии, что 50 см. от каждой стенки кондиционера потребуется для нормального притока воздуха  - рассчитывайте на занимаемую площадь в комнате в районе 2-2,5 кв.м.     6. Нет возможности направлять воздухопоток в нужное место. Холодный воздух дует исключительно вверх. Направить его прямо,вниз или в сторону не получится.       Неприятность: при распаковывании обнаружилась поломка задней, запирающей батарейки, крышки на пульте ДУ. "Предъявить" данную поломку продавцам уже не получится. Проблема решена при помощи скотча. Будьте внимательны при проверки в магазине!    В целом, если по каким-либо обстоятельствам нет возможности установить сплит-систему, N120 - достойное решение проблемы. Лично моя оценка - уверенные 4 балла из 5.</t>
  </si>
  <si>
    <t>982</t>
  </si>
  <si>
    <t>Камера превзошла мои ожидания. Звук очень хороший, четкий, цветопередача просто превосходна!</t>
  </si>
  <si>
    <t>Замечательная штуковина! Очень мощный. Просто влюблена в него. Четыре режима. Три из них как ветры, а один - как морской бриз. В самую пиковую жару этих дней использовали первый-максимум второй ветренный режим. Хватает за глаза! Единственное, в описании про эту модель написано неверно - встроенного ионизатора в нем нет! Это есть в совершенно другой модели. Нет его ни по инструкции, ни в описании на сайте производителя. Ну, как бы нам этот пункт и не первая необходимость. Всё остальное вентилятор выполняет на пять с плюсом!</t>
  </si>
  <si>
    <t>Купил 2 месяца назад. Работает отлично. Никаких протечек нет. Нагревает быстро. Есть часы и таймер нагрева,очень удобно.Можно на ночь выключать, а утром сам включится. Вот только дистанционный пульт к нему,я думаю, это лишняя опция. Надеюсь на долгий срок службы!</t>
  </si>
  <si>
    <t>Купил данный плеер прикольный и звук нормальный, но махнулся с другом на сенсорный r1. Просто мне сенсорный больше нравится и поновее.</t>
  </si>
  <si>
    <t>Сразу после окончания срока гарантии сгорели щётки двигателя,что повлияло на работоспособность двигателя. Замена нового стоит 7800руб., почти стоимость нового агрегата.Качество мойки плохое, советую не брать эту модель.</t>
  </si>
  <si>
    <t>Стиральная машина с вертикальной загрузкой Electrolux 1062 TDW     Отзыв о «Electrolux»     Когда вопрос о стирке стал серьёзный,   То повод есть задуматься, друзья.   «Стиралка»быть должна весьма удобной,   Об этом забывать никак нельзя.   Четырнадцать программ, друзья, не мало,   Понятное меню и шведский бренд.   Загрузка вертикальная – что надо –   Пространство экономит, не секрет!   Отсек для порошка легко разборный,   Его удобно разбирать и мыть.   Аналоги в цене куда дороже,   Есть повод эту технику купить.   Загрузка тоже очень неплохая -   Шесть килограммов – вес весьма приличный,   В режиме «отжим» не шумит, родная,   И выглядит довольно симпатично.   Балансировка также неплохая,   У стирки качество высокое вполне.   Ресурсы «электронка» сберегает,   По адекватной, в принципе, цене.   Есть старт отложенный, что, в общем-то, удобно.   При завершении сигналы – звук и свет.   Немало плюсов в ней, друзья, от вас не скрою.   Но вам открою маленький секрет.   Помимо позитивных всех моментов   Есть, всё же, ложка дёгтя в бочке мёда.   Режимы стирки длительные очень,   Нет таймера обратного отсчёта.   И цикла быстрой стирки тоже нет,   Отсутствует парковка барабана,   И максимальный отжим – восемьсот,   Как куртки постирать – мне не понятно.   Режимы скоростей, температуры –   Хотелось, чтоб побольше был разброс…   Режимы стирки не указаны, так трудно…   Как вещи доложить – большой вопрос!   Увы, при стирке выше сорока   Какой-то странный запах появляется…   Поставить ничего туда нельзя,   При стирке крышка регулярно открывается.   Из позитива – есть такой момент:   И я вам расскажу об этом честно.   Для сна моих котят прекрасней нет   Уютнее и радостнее места.</t>
  </si>
  <si>
    <t>У меня такой чайник (бежевый) прослужил 6 лет. Начал подтекать в месте, где прозрачная шкала и вода собирается в поддоне. Думаю, какой теперь выбирать. боюсь, что нынешние уже не такого качества, как раньше...</t>
  </si>
  <si>
    <t>день добрый,машинка супер. работает очень даже главное сама задает режим... но есть один недостаток, который не особо существенный...нет 1000 оборотов...а сразу 1200...400-800-1200 вот пожалуй единственный минус</t>
  </si>
  <si>
    <t>Прикольный телевизор!Качество картинки на 5+  Только много чего не понятно по настройкам и использование USB.Объясните кто-нибудь!</t>
  </si>
  <si>
    <t>У меня он уже целый год и за это время ни разу не глючил, камера очень хорошая и телефон сам не плохой, в общем мне он очень нравится, единственный его большой минус - это тихий звук.</t>
  </si>
  <si>
    <t>Купила, когда проверила, оказалось что нагрев очень слабый, детали хлюпкие, страшно даже менять насадки, очень разочарована.</t>
  </si>
  <si>
    <t>Купила полгода назад и не пожалела, удобный, легкий и мощный. Со временем правда стерлись обозначения уровней, но там и без них все понятно. Пока никаких нареканий:)</t>
  </si>
  <si>
    <t>Вот Вы пишите что хороший увлажнитель. В каком месте? С ним одно мучение, мало того что мне меняли его несколько раз на новый, оставляет жуткий налет на мебели, образуются лужицы возле него, мембрана засоряется-образуется налет на ней из за чего и начинает плеваться. А фильтра? Где их найти??? В сервисе говорят что под заказ и стоимость 2790, я считаю это не оправдано, потому что не выполняет своих функций,,,, (крик души)  Надо было брать борк, у нескольких  знакомых есть, не было ни каких проблем.</t>
  </si>
  <si>
    <t>Весы каждый день показывают уменьшение веса, получается что потеря веса 1-2 кг каждый день. муж вообще сразу на 10 кг похудел, что внешне никак не скажешь. "Чудо", а не весы. Главное, что нет никакой настройки и регулировки. Впустую выброшенные деньги. Не советую никому покупать эти весы.</t>
  </si>
  <si>
    <t>эквалайзер 3 полосы, таймера включения нет. динамический контраст если сравнить с самсунгом около 3000, угол обзора тоже около 100 градусов, не подходит для просмотра блюрей, очень большие задержки. совет!фила покупать не ниже седьмой серии, самсунг от пятой.относится к требовательным к изображению людям! в5604/60 вообще начинка из серии 3,усб не читает видео,зато есть таймер включения</t>
  </si>
  <si>
    <t>1964</t>
  </si>
  <si>
    <t>Бессмысленная конфигурация, на мощном процессоре, 4Gb оперативной памяти и такая хилая видеокарта! И то, что она поддерживает CUDA - мало кому нужно! вопрос - ЗАЧЕМ и КОМУ нужен такой системник!!!???</t>
  </si>
  <si>
    <t>Ноут понравился, все супер,но возник один вопрос, как прошить биос,объясните</t>
  </si>
  <si>
    <t>Покупали на работу в целях экономии как один из самых бюджетных вариантов. В целом покупкой остались довольны. Воду нагревает быстро, несмотря на приличный объем, места занимает немного. И вообще пользоваться удобно. Читала на форумах разные отзывы – были нарекания к помпе и хлипкой крышке. У нас тем не менее всё удачно пока (7 месяцев). Помпа работает на отлично (если пару раз пшикнет вхолостую, я это за недостаток не считаю, потому что это практически у всех термопотов так). Ничего за время использования не раскрошилось, не отвалилось и не потекло. Нормально функционирует. Да и вообще модель не производит ощущения «хлипкости».</t>
  </si>
  <si>
    <t>Давно пользуюсь кофеваркой Делонги BAR 14, вот теперь дорос до кофемашины. Дорогие модели не по карману, да и не к чему они. Кофе варят одинаково проверял! Почему выбрал делонги? ESAM 2200. Первым сыграло то что я уже пользовался техникой делонги, поэтому ей доверяю, также почитал отзывы в интернете, большинство положительные. Еще  в магазине объяснили что у делонги в отличие от всех кофемашин блок приготовления съемный, его можно легко чистить, а др. кофемашин покупать спец. чистящее средство каждый месяц. Я был не готов тратить деньги попусту.</t>
  </si>
  <si>
    <t>822</t>
  </si>
  <si>
    <t>купил в М.видео пока все пашет надеюсь на все хорошее. проигрывает любые диски и главное синий зуб. Но а что касается поломок, так извините, ничто не вечно, на это есть гарантия, главное не много терпения. Удачной всем покупки.</t>
  </si>
  <si>
    <t>514</t>
  </si>
  <si>
    <t>Сегодня купил этот диск, послушал и швырнул его в угол, не музыка, а одна долбёжка!  В общем мне не понравилось и Вам не советую! Хотя я сам большой любитель направления Techno!  Зря только деньги потратил!</t>
  </si>
  <si>
    <t>ЖК телевизор очень хороший!  Качество изображения очень хорошее,звук громкий,Дизайн строгий стильный!  Минусов не обнаружил!  Всем советую!!!</t>
  </si>
  <si>
    <t>Пользуюсь вторую неделю, никакого запаха как в некоторых отзывах не обнаружил. Включаю перед тем как зайти в ванну - выхожу уже кипяток, так что ждать специально пока вода закипит не приходится. В обед того же дня вода еще горячая даже без использования функции поддержания температуры.   Недостатков не обнаружил.</t>
  </si>
  <si>
    <t>Терка дрянь! ножи кривые, наточены ужасно, картошку крошит не до конца, а то, что крошит попадаются целые круги, вертикальные не дорезают(((</t>
  </si>
  <si>
    <t>За эти деньги телефон очень отличный! Купил в конце лета и еще ни разу не разочаровался. Есть конечно пару мелких недостатков, но они незначительны.  P.S Телефон читает все основные форматы! И если у вас, Кристина, он что-то не читает, то для начала просто проверьте формат песни. У меня еще ни разу не было такого, чтобы он не читал какую-то песню!Если не читает песню, то переведите ее в mp3  и все.</t>
  </si>
  <si>
    <t>Отличный пылесос! 5+!!!!</t>
  </si>
  <si>
    <t>Я купила телефон неделю назад. Впринцепе мне все нравится,но есть одно "но", редко, но бывает, когда разблокируешь его и нажимаешь на меню, экран становится красным, и меню так и не появляется...</t>
  </si>
  <si>
    <t>Увидел, прочитал тесты и отзывы, купил - доволен! За такие деньги получить довольно мощный и навороченный ноут, сказали бы раньше - никогда бы не поверил, а вот сам купил пришлось поверить. Отличные процессор и видеокарта, экран не из худших, 4 Гб оперативки, 320 Гб жёсткий диск, (можно установить дополнительный - есть свободный отсек). Да и выглядит здорово. Работает, кстати, тоже не плохо. Установил вторую систему Win 7 Ultimate X64 - всё здорово! Немного тяжеловат - "искусство требует жертв"! В общем очень выгодная и удачная покупка по соотношению цена-мощность-качество.</t>
  </si>
  <si>
    <t>Приобрела 6 сентября 2013 года данную модель. Цена не соответствует качеству. Собрала 2 ведра черноплодной рябины для приготовления концентрированного сока. Собрала соковыжималку, да, дизайн нравится, мощность тоже, бесшумная, но, при выходе сока 1 литр из жмыха (полная емкость в 3 литра) приходится руками через марлю отжимать сок. В результате еще 1,5 литра сока и все руки черные. Жмых получается очень сырой. Я в шоке. Другие фрукты и овощи пока не пробовала, боюсь разочароваться. Хотелось бы чтобы информация при покупке была достоверная.</t>
  </si>
  <si>
    <t>Можно использовать вдали от розетки, регулируется до 4 см длина волос</t>
  </si>
  <si>
    <t>приставка замечательная.Правда игр пока достойных не так много как хотелось бы.</t>
  </si>
  <si>
    <t>321</t>
  </si>
  <si>
    <t>Играю в нее уже месяц, игра действительно из разряда MUST HAVE!!! Начинал играть просто с английским звуком, не все понимал, но потом разобрался как включить субтитры. В общем, хотя и не могу сказать, что знаю язык очень хорошо, но с субами всё более-менее понятно и игру отсутствие русского перевода, на мой взгляд, не портит.</t>
  </si>
  <si>
    <t>1060</t>
  </si>
  <si>
    <t>Утюг легкий, хорошо скользит, отлично гладит, отличная подача пара, т.ч. даже функция вертикального отпаривания не пустые слова. Полностью устраивает длина шнура. Утюг устойчивый, провод при глажке не мешается(в месте крепления к утюгу шарик - шарнир). Есть крошечный недостаток: нет крышечки, закрывающей отсек для воды, т.ч. резкие движения приводят к брызгам, но по мне так это мелочи.</t>
  </si>
  <si>
    <t>Купили эту панель, подключили. Сразу же выяснилось, что электроподжиг - это проблема для данной модели. Хотела обратиться в сервисный центр, но теперь вижу, что это видимо не имеет смысла. Я расстроена.</t>
  </si>
  <si>
    <t>1259</t>
  </si>
  <si>
    <t>Ужасный чайник!!! намучались с ним...через два года протек, не стоит брать!!!!!</t>
  </si>
  <si>
    <t>не выполняет свои функции, это сто процентов сырой вариант, брал из-зи ХД контента и для работы по вайфай, в предустановленом Линпус линуксе не видел вайфай карты да и разрешение 1024*768, напрягало глаза, после чего был снесен Линук и Поставлена Оригинальная !!! WIN7 о чудо..появился вай фай и даже спдиф!!! радость была не долгой, при просмотре контента из сети, УЖАСНО ГРОМКО ЩЕЛКАЕТ ВИНЧЕСТЕР, как будто его РАЗОРВЕТ! проблема до сих пор не решена, а сами асеровцы молчат. ВЫВОД: ОНО вам НЕ НУЖНо, а если нужно я свой могу продать</t>
  </si>
  <si>
    <t>прост в использовании, удаляет даже коротенькие волоски, компактность,низкая стоимость,нет раздражения</t>
  </si>
  <si>
    <t>У меня эта малышка уже 4 года, незаменимая помошница. Никаких проблем нет.   У меня маленький ребенок так что стираю порой по 5 раз в день.  И пока она все выдерживает на ура. Стирала на всех режимах. Всем довольна. Белье хорошо простир про и выполоскано. Для меня она вся один большой компактный плюс!</t>
  </si>
  <si>
    <t>Хорошие наушники,после покупки радовали в течение года с небольшим,звук чистый,немного звукоизоляция не понравилась,но это чисто моя субьективная точка зрения. Провод на морозе становится каменным и есть возможность его повредить,а вообще достаточно гибкий.  Через примерно год внезапно сломался один из динамиков,причем без видимых причин. На этом и закончился опыт использования этих наушников.</t>
  </si>
  <si>
    <t>1512</t>
  </si>
  <si>
    <t>Шила исправно пару раз, а потом нитку с иголки перестала забирать и сверху кладет шов, а снизу не прошивает...может я что-то не так делаю, но так или иначе понял, что шпульный колпачек просто не захватывает нить с иглы снизу...стоит пылится, на сервисе до 45 дней они рассматривают проблему...</t>
  </si>
  <si>
    <t>Над выбором водонагревателя думали долго, ибо сегодня просто огромный выбор. Но такую длительную гарантию (на бак и магниевый анод) никакая другая фирма не дает. С литражом быстро определились, нас четверо и 50 литров волне достаточно. Повесили самостоятельно. Выглядит солидно, в ванной комнате смотрится вполне органично. Бак узкой формы, места занимает не много, искали именно такой. Вода нагревается чуть больше часа, есть функция памяти и встроенный таймер, так что воду можно нагревать к определенному времени. Очень удобно)</t>
  </si>
  <si>
    <t>Пользовался чайником 3 месяца.  Выбирал чайник из моделей с металлическим корпусом, и с индикатором уровня вынесенным в ручку, т.к. у предыдущих чайников трескалось стекло индикатора.  Из достоинств этой модели можно отметить её дизайн, и.. пожалуй всё.  А недостатки такие: очень шумный при нагреве, некачественная пластмасса крышки, через два месяца эксплуатации крышка начала заедать, а вскоре потрескалась и развалилась на куски.  Я не рекомендую покупать эту модель.  Чайник не оправдал ожиданий.</t>
  </si>
  <si>
    <t>Нетбук со своей ролью (работа с документами, интернет и .т.д.) вполне справляется... Один большой минус - Сильно греется! Такое впечатление что вентилятор не работает... Не знаю, может так и должно быть в этой модели, но это очень странно...</t>
  </si>
  <si>
    <t>После покупки на третий день исчезли надписи тефаль с боков этого чуда, оставив после себя черную кляксу.   Невозможно точно посмотреть уровень воды (окошки возле ручки маленькие и сделаны из мутного пластика)когда наливаешь приходится придерживать крышку так как она разболталась.  От китайского "чуда" лучше отказаться и купить другую модель, хотя при наличии сегодня большого ассортимента среди опять же китайских чайников сделать это практически невозможно.</t>
  </si>
  <si>
    <t>купила телефон в мае, жаловаться не на что. офигенный. теперь даже не представляю как кнопочными телефонами можно пользоваться, сенсор намного удобнее.</t>
  </si>
  <si>
    <t>Подарили недавно этот чайник, боялась повторения истории годовалой давности.... Купили тогда мы такой Браун, но бежевого цвета (еще голубые были из той же оперы), пришли домой, согрели воды .....потом еще и еще, и лимонкой, в общем, ядовитые пары не исчезали, а вода приобретала такой же ядовитый привкус. Запах был страшный, испарения шли явно не полезные для здоровья. После , наверное, 15 раз кипячения, мы вернули обратно сие счастье. А купили -то эту модель, поскольку до этого тоже был браун с 2003 года, только немецкого производства и благополучно служил 6 лет. В общем чайник белого цвета, подаренный нам с мужем, после 5 раз кипячения можно сказать, полностью избавился от запаха пластмассы.Надеемся, что в остальном проблем не будет)))</t>
  </si>
  <si>
    <t>в июле Apple представит iphone нового поколения - но как обычно в США! Таже фигня и с ipad - представили в США в апреле - в июне появится в Европе - а в России говорят до конца года - ну тоесть к новому году. + по таким ценам операторы наши их долго будут реализовать и пока все не продадут - новые на рынок не пустят - так что в России iphone 4G появится не ранее лета 2011 - года.   Так что придется взять пока этот)   p.s. Юзал, зарозился - притом был ярким противником - толька Нокия и все - айфонщики лохи - а потом начал смотреть что достают друзья из карманов - читать обзоры - сравнивать со своими бизнес моделями - и вот уже на совещаниях стыдно положить тел на стол - в общем попал в струю - покупаю)  М.Видео - айда еще раз акцию - ну теперь можно не по 10 - а скажем по 20 попродавать! Я бы к Вам как в калифорнийский эпллл за сутки с пледом и термосом подъехал)))</t>
  </si>
  <si>
    <t>Отличная посудомойка!  Тихая, чисто моет. Мы оч.довольны! Рекомендуем. Как мы без нее раньше жили сами не знаем, дети 4 и 8 лет самостоятельно загружают и выгружают. Ставим 5!</t>
  </si>
  <si>
    <t>Телефоном Моторолла пользуюсь уже недели 2, аппарат очень хороший... понравилась выносная база(отдельная от зарядки телефона), её можно повесить на стену или просто поставить рядом с компьютером. Правда не очень удобно, то что приходится использовать две розетки сети.   Связь мощная - ловит по всей квартире без проблем, даже пытался выходить на лестничную клетку.   Нет ни помех ни свистов (прошлый телефон DECT был просто ужасный). белый цвет и современный(модерновый) дизайн очень нравится, АОН не пробовал, уверен проблем не будет...   телефоны моторолла "вечные" и надежные. И наконец, основная задача этого телефона... Skype)) работает замечательно, можно не сидеть возле компьютера, который в этот момент могут занять родители(дети), а спокойно перемещаться по всему дому.   при этом, чтобы позвонить или принять вызов не нужно компьютера при соединении со скайпом, контакты загружаются автоматически(в списке видно, кто в данный момент в сети, и даже можно отправлять сообщения).   глюков обнаружено не было, но недостаток все же для меня один есть... двух стандартных аккумуляторов 750мАч хватает МАКСИМУМ на три часа разговора и обещанных 100 часов в режиме ожидания нету. дня два пролежит... возможно плохие аккумуляторы, не сравнивал.</t>
  </si>
  <si>
    <t>Приобрела такой фен и тут же решила попробовать .У меня вьющиеся волосы и пушатся очень,после использования феном и насадками волосы становятся гладкими не нужно дополнительно выпрямлять их утюжком,укладка держится хорошо даже в ветреную погоду.Рекомендую такой фен.</t>
  </si>
  <si>
    <t>Купил сегодня. Супер мощный) порадовало то, что на борту не 32х система, как тут написано, а 64х. Таким образом, все 6 гб оперативки доступны)так что отсутствие прозрачности окон не огорчает)    средний индекс производительности: 5,1</t>
  </si>
  <si>
    <t>3151</t>
  </si>
  <si>
    <t>В Биосе эта функция недоступна.  Поставил второй винт, на него водрузил FreeBSD.  Выбор загрузки - по F12    Планировщик ULE во FreeBSD довольно грамотно сделан, поэтому нужно мне отключить фишку HT.</t>
  </si>
  <si>
    <t>Купили год назад. Есть решетка и три противня, одна из которых стеклянная. Пеку часто. Очень нравится. Главное, после работы духовки включить режим вентилирования(охлаждения), а то как-то забывала делать вначале и из-за этого нагревалась панель меню и та "глючила". Теперь всегда охлаждаю после выпечки. Никаких шумов и вибраций при работе нет. Выбором довольна.</t>
  </si>
  <si>
    <t>Машинку приобрёл сегодня, ничего пока не могу сказать о её ресурсе, но качество стрижки очень понравилось. Очень хороший внешний вид самого прибора, удобно лежит в руке. Единственный минус- громкое жужжание, но это по настроению: может раздражать, а может и веселить.</t>
  </si>
  <si>
    <t>Отличная модель. Купили не только для кофе, но и для круп. Результат помола идеален. Очень удобна в обращении. Удобно высыпать содержимое из-за съемной чаши. Шнур можно намотать снизу, чтоб не болтался по кухне (используем не каждый день).</t>
  </si>
  <si>
    <t>-Стильный дизайн  -Зарядка от сети и компьютера через юсб  -Есть читалка для книг  -Для телефона хорошее качество фото- и видеосъемки    -Батарея работает (при разговоре 2 минуты в день) максимум 4 дня  -Слабенькие наушники  -Интуитивно меню сложноватое    В целом аппарат хороший.  Твердая четверка</t>
  </si>
  <si>
    <t>отличная вещь... графика в игре хорошая,рёв моторов будоражит,плюс точные составы команд на сезон 2010,интересный геймплей, да и вообще очень играбельно...но сразу хочется предупредить-эта игрушка только для поклонников данного жанра!..уровень сложности очень разный:от более-менее легкого(где даже немного помогают рулить,хорош для начинающих)- до совсем хардкорного симулятора(это когда отключаешь все настройки помощи+ставишь сложность на максимум)...просто отличная игра для своего жанра!</t>
  </si>
  <si>
    <t>Купил эти наушники, отошел от магазина метров на 20, вставив в телефон ужаснулся басов почти не было, звук как от обычных капелек, хотя может быть это из за мороза, но все ж пошел и поменял их на СИГМЫ с доплатой (поменяли без проблем), звук совсем другой, ехал обратно в автобусе наслаждаясь музыкой и никого не слыша.</t>
  </si>
  <si>
    <t>Пользуемся машинкой более чем полгода. Показала себя с хорошей стороны: безшумный двигатель, благодаря отсутствию щеток (слышен только плеск воды и перекатывание белья), на мой взгляд, стирает очень чисто. Единственный недостаток - излишний шум при работе откачивающего насоса. Контроль вибрации: незаменимая вещь. Когда будете смотреть машинку, обратите внимание, чтобы поворотные ручки переключения позиционировались четко.  Хорошая машинка, собираемся купить еще теще.</t>
  </si>
  <si>
    <t>Отличная модель по соотношению цена качество, отвалить 40-50 кусков за ТВ это очень дорого, а С 10 оказалось самое оно. Стоит подходяще, имеет большой экран и отличную картинку, менюшка простая и приятная. Зачетно.</t>
  </si>
  <si>
    <t>Почти год назад купили такой, выбирали честно говоря наугад. Расходует много воды, но видимо за счет этого быстро поднимает влажность, что неплохо. Шуметь не шумит, булькает время от времени. Инструкция заумная, хорошо хоть и без нее все понятно, прибор простой.</t>
  </si>
  <si>
    <t>Игра веселая, семейная, детская, эмоциональная, компанейская, физическая!   Играем семьей, друзьями и родственниками (от 3 до 50 лет). Все в восторге.   Недостаток: все задания изучены за 2 месяца, а новых обновлений нет.</t>
  </si>
  <si>
    <t>ПМС приобрели недавно в подарок маме и остались очень довольны.Посуда на выходе чистая и горячая. На С60, время мойки-28 мин, расход 1,1квт,8 л.воды(проверено лично),одно полоскание горячей водой (ПМС подключена к холодной воде) и нет сушки, что не смущает, т.к. посуда практически сухая.На  всех остальных программах по два полоскания и сушка.Для особо привиредливых есть отдельная программа полоскания-11 мин.Плюс еще по каждой программе указана температура мойки посуды.Простая в использовании.Хорошая посудомойка по хорошей цене.Рекомендую.</t>
  </si>
  <si>
    <t>Эксплуатирую два таких телека уже 3 года оба в автомобилях,правдо в основном как монитор для двд нареканий нет,единственное,что качество к изготовления крепления-подставки на панель авто могло быть получше(заусенцы,небольшой перекос)но всё это исправляется мелким напильником,и подгибанием элементов конструкции)))</t>
  </si>
  <si>
    <t>Купила сегодня.  Выбирала по размеру. Очень оригинальный и компактный.  Внешне тоже оригинальный.  Малошумный. Маленький, но раздув приличный.  Я очень довольна, купила для себя на работу.  Рекомендую тем, у кого в кабинете отсутствует кондиционер.</t>
  </si>
  <si>
    <t>При очень частом использовании очень даже не плохо. Удобная в использовании, быстро и легко мыть! Но пластмасовые крепежи, закрепляющие главный контейнер - не надежны, один из них сломался через месяц. А также при сильном напоре фрукта и многократном вращении насадки для цитрусовых, чувствуешь совсем слабый запах горелого - видимо из-за прегрева механизма. Идеальна для твердых фруктов, но не более 1,5-2 стакнов за раз, чистить от жмыха приходиться.</t>
  </si>
  <si>
    <t>2016-03-08</t>
  </si>
  <si>
    <t>Покупал такой штатив 5 лет назад, служил верой и правдой, но потерял, пошел за новым, в магазине остался последний, видимо разбирают хорошо, но были сломаны фиксаторы, взял в другом магазине, там фиксаторы тоже туго поворачиваются, боюсь со временем тоже сломаются, раньше лучше наверное делали... А так штатив отличный, очень компактный и легкий, для обычной зеркалки подойдет</t>
  </si>
  <si>
    <t>Скорость (при записи больших файлов) в реале гораздо выше объявленной производителем:  запись &gt; 12 Мб/с  чтение &gt; 30 Мб/с  Файловая система для работы под Windows - NTFS.</t>
  </si>
  <si>
    <t>купили з с половиной года назад ни каких притензий нет до их пор работает. За такую сумму я довольно она себя оправдала. Покупали к рождению сына вещей стирали много и всё нормально</t>
  </si>
  <si>
    <t>Ну какая же замечательная бутербродница)) сэндвичи получаются вкуснющие - не пригорают, прожариваются равномерно. А как плавится сыр - ммм! Очень советую!</t>
  </si>
  <si>
    <t>Купил саб в декабре 2011. Полностью доволен покупкой.  Поставил его вместе с усилителем DLS MA 23 (мостом). Усилитель стоит на минимуме, но при этом сабвуфер уже ощутимо качает.  Из плюсов:  Глубокий бас, хорошее давление, чувствуешь всем телом (разумеется если ставить хороший усилок)!  Компактные размеры не съедают багажник да и передвинут при необходимости можно легко.  Из минусов:  Не знаю можно это назвать минусом, но за счет большого диаметра бас получается несколько неточным. Проблема решается хорошими колонками в салоне и правильными настройками. Или покупкой саба с меньшим динамиком.  В общем за эти деньги отличный саб для любителей глубокого мягкого баса.</t>
  </si>
  <si>
    <t>отличная машина..очень доволен!</t>
  </si>
  <si>
    <t>Этот ноутбук выдаёт средние параметры, что очень даже не плохо при таких размерах и весе. Обработка фотографий идёт без тормозов для чего я и брал его. Есть и возможность установить на него игры... Видео карта вполне сносно работает ,без лагов и тормозов. Если его брать под печатную машинку то его вполне будет достаточно даже более чем !!! Очень удобный и компактный и система не плохая. Для работы самое то!    Со звуком конечно беда потому что колонки в нём не очень, но если подключить... То звук отменный ! соответственно и в наушниках тоже.</t>
  </si>
  <si>
    <t>Приобрела колонки в подарок. Принесла домой, распаковала чтоб проверить. Сразу порадовал звук. Колонки подключались к ноутбуку, планшету и смартфону. Везде музыка звучала весьма достойно. Кстати сказать, именно для прослушивания музыки на компьютере они и приобретались. Особенно радует цена за весьма приличный товар. Короче рекомендую всем . Планирую и себе приобрести.</t>
  </si>
  <si>
    <t>Вытяжка полностью справляется со своими функциями. Пар, гарь засасывает как пылесос. Удобная подсветка, удобные съемные решетки. Насчет часов не проверял (спешат там они или нет) по одной простой причине: цифры часов синего цвета на синим же фоне: сливаются уже на небольшом расстоянии. На макс. скорости вытяжка конечно шумит, но при такой мощности это объяснимо. Мне важен не шум, а эффективность. А она на высоте. Теперь о недостатках: 1. Странное крепление гофрированного кожуха - точнее никакого крепления там нет. Кожух просто одевается на переходник от вытяжки и затем уходит в дырку в стене. 2. Не менее странная крышка, которая скрывает кожух, гофру и верхнюю часть вытяжки. Крышка состоит из 2-х частей - верхней и нижней. По инструкции верхняя одевается на нижнюю - но вот одеть ее у меня не получилось, так как верхняя оказалась банально ниже и короче нижней. И к тому же она сильно нижнюю расцарапала. В итоге верхнюю просто выкинул, оставил только нижнюю. 3. Переходник от вытяжки к гофре оснащен лопастями, открывающимися вверх. По задумке производителя они (лопасти) открываются когда включаешь вытяжку (поток воздуха из вытяжки открывает лопасти и воздух идет по гофре в дырку в стене). Но есть один нюанс: при выключении вытяжки эти лопасти опускаются (нет, лучше падают) с хорошо слышным грохотом. Но самое главное, что при сильном сквозняке эти лопасти поднимаются\\падают и без включения вытяжки. С соответствующими звуками, то есть на кухне стоит грохот. Ночью невероятно приятно под него спать.</t>
  </si>
  <si>
    <t>1740</t>
  </si>
  <si>
    <t>Всем привет! В прошлом году,муж подарил такой телефон. Звук был отличный,но при загрузке мелодий,стал зависать. Понесли обратно, такого же не было, вернули деньги! Так мы его и не купили потом! А сейчас опять в поисках телефона, вот думаю такой купить, но не знаю теперь!Получаются, эта модель у всех тупит!</t>
  </si>
  <si>
    <t>Купила поглотитель запаха при покупке хололильника. Когда холодильник привезли, из него прям шёл аромат пластмассы. Положила эту коробочку сразу в него. Через 12 часов запаха почти не было. Через сутки он и вовсе исчез. Рекомендую.</t>
  </si>
  <si>
    <t>Купила утюг в прошлом году и очень довольна. Гладит отлично и цена адекватная. Спасибо продавцам М Видео, что посоветовали )))</t>
  </si>
  <si>
    <t>Телевизор превосходный!Мощный звук.Очень яркие,сочные цвета(при том,что я установил средние значения яркости,цвета и т.д.).Красивый дизайн</t>
  </si>
  <si>
    <t>Пользуемся уже 1 месяц, красивая, узкая, очень удобные функции и управление, стирает отлично. Не шумная, не вибрирует даже без подставок для ножек. Жаль только, что акции не дождались, а купили по старой цене.</t>
  </si>
  <si>
    <t>Подарили данную модель пароварки. Начала разбираться, чаша XL должна плотно вставляться в чашу 3? У меня остается зазор, такое ощущение, будто она от другой модели.</t>
  </si>
  <si>
    <t>Купила его более 1,5 лет назад!:)Радует до сих пор:)  Учусь в университете,вещь просто не заменимая!Работает у меня почти круглые сутки и ничего ему не делается.Не шумит совсем,даже глубокой ночью его не слышно,сон не нарушает!:)Зарядку держит около 1,5 часов.А то, что говорили DVD -диски не читает,просто скачайте нормальный плеер KMPlayer или GOM player-эти жрут все без разбора:))  Был минус,что стояла 7 винда,поэтому не шли многие игры,но его очень легко устранить-просто установить программу Daemon Tools,через нее идет всё:)  В общем отличный ноутбук за свою цену:)</t>
  </si>
  <si>
    <t>Превосходная модель. Электроподжиг срабатывает моментально. Удобно чистить поверхность. Но есть пара замечаний. Ручки управления окрашены непрочной серой краской и при чистке моющими средствами быстро облетают. Рекомендуется также приобрести у Bosch дополнительное приспособление, облегчающее очистку внутренней поверхности духовки, которое не входит в комплект. Иначе чистить духовку будет очень тяжело.</t>
  </si>
  <si>
    <t>583</t>
  </si>
  <si>
    <t>Телефон ....!    А особенно радует весомая скидка в этом магазине на Айфон 3g. Сам пользуюсь аналогичной моделью, только с восемью гигабайтами памяти.    У Айфона есть уникальных 2 достоинства:    1. Безупречный интерфейс (мой 3-х летний сын сам играет в игрушки на нем, самостоятельно снимая блокировку и выбирая игру, причем никто не показывал как это сделать).    Управлять им — одно удовольствие. А электронной почтой, SIP-телефонией, навигатором и т. п. пользоваться — очень и очень удобно.    2. Большой яркий красивый дисплей.    Теперь о «глюках» и «зависаниях». Пока я не взломал ПО — все работало стабильно :)  Сейчас, впрочем, тоже не напрягает особо. Подвисает совершенно так же, как и любой другой телефон с собственной операционной системой, даже реже.    P.S. Товарищ сказал, что зимой с ним — жопа. Сам я пока не проверял. Да и не напрягаюсь по этому тоже особо, ибо в автомобиле достаточно тепло :)</t>
  </si>
  <si>
    <t>2698</t>
  </si>
  <si>
    <t>Пользуюсь плеером около месяца. Впечатления положительные. Классическое кнопочное управление, никаких сенсорных экранов нет.Отлично воспроизводит видео.Файлы .avi размером &gt; 1Gb идут без тормозов. Я не меломан, но аудио нравится чистотой и насыщенностью звука.Хорошие наушники в комплекте.ЗУ от розетки нет, поэтому использую зу от сот.телефона. Отлично работает FM-радио, а вот RDS нет :(. Есть баг - скачет текущая системная дата.Надеюсь в следующей прошивке это исправят. Есть разъем для карт microSD - 2 Гб читает. Вообщем, достойный крепкий середнячок. Обычным, без высоких запросов, пользователям рекомендую.</t>
  </si>
  <si>
    <t>Снова хочу написать несколько строк по поводу высокой чёткости у этого телевизора...  До этого подключал DVD через обычный видеовыход, и был недоволен изображением - каритнка была довольно нерезкая. Сегодня попробовал подключить к компьютеру через RCA и был приятно удивлён - картинка в норме!  У меня старый DVD плеер и там нет компонентного видеовыхода, поэтому и грешил на изображение, не знал, что может быть лучше. Остаётся смириться с изображением, которое передаётся через ТВ-антену, и наслаждаться просмотром видео через проигрыватель или кинотеатр, который имеет в своём арсенале компонентный видеовыход!  Ставлю твёрдую 4 и покупаю центр микро с DVD, в вашем магазине, чтобы употребление пищи на кухне было ещё приятнее)))</t>
  </si>
  <si>
    <t>489</t>
  </si>
  <si>
    <t>Отличное качество бритья</t>
  </si>
  <si>
    <t>хорошо бреет удобно держать в руке можно мыть под струей воды</t>
  </si>
  <si>
    <t>В январе 2010 г приобрела пылесос с  водяным фильтром Zelmer 819.0 SK. К сожалению,пылесос не оправдал надежды, плохо засасывает пыль и мелкий мусор, а про шерсть животных вообще промолчу. Если у вас есть животные и ковры с паласами на полу, то этот пылесос не для вас. Жаль, что его нельзя вернуть обратно в магазин.</t>
  </si>
  <si>
    <t>Игра ну очень хорошая, графика на высшем уровне, у некоторых могут возникнуть проблемы с лагами, (которых у меня не наблюдалось) но Treyarch уже выпустили патч, так что можно спокойно покупать игру, она того стоит. Моё мнение - это лучшая игра из серии call of duty!!!</t>
  </si>
  <si>
    <t>Очень доволен данным девайсом. Долго выбирал, но остановился на этом потому что:  -отличная клавиатура  -отличный дисплей  -есть блютуз  -можно пользоваться скайпом, слушать музыку, смотреть фото и много чего другого без запуска Windows, что продлевает время работы от батареи  -подходит для домашнего использования  -шустрый  Всем рекомендую!!!</t>
  </si>
  <si>
    <t>Пользуюсь 2 года, соотношение цена/качество идеальное! К плите никаких нареканий нет, работает без косяков, очень удобен таймер и замок от детей) еще к варочной панели взял духовой шкаф Samsung BF3ON3T011. О покупке не пожалел!</t>
  </si>
  <si>
    <t>Флешка прожила 2,5 года, затем стали пропадать с нее данные выборочно, пришлось срочно копировать на другой носитель, не знаю долго 2,5 года для флешки или нет, но что-то важное хранить на ней больше не стану</t>
  </si>
  <si>
    <t>Тянет как заявлено, свою функцию выполняет.  Шумит средне, на третьей скорости сильно. Резонирует, нужно искать сверчки и заклеивать силиконом и местами  эпоксидным клеем, нет обратного клапана в комплекте, есть пара мест утечек воздуха (лечится силиконом за минуту). В общем чтоб работала тише требуется небольшая доработка силиконом и клеем, занимающая полчаса и полностью убирающая резонансы и утечки. Дурацкие слайдеры для включения скоростей и света, зачем их вообще делают такие, кнопки в 10 раз удобнее.  за ту цену что она стоит - хороший выбор. Выглядит не очень стремно и хорошо выполняет свою основную функцию.</t>
  </si>
  <si>
    <t>Купила этот прекрасный стайлер около полугода назад, за этот период он ни разу меня не подвел. Быстрый нагрев, насадки подогнаны специально по ручке. В комплекте есть 8 аксессуаров, можно творить невероятные прически и укладки вместе с ним. Он стал незаменимой мне вещью.</t>
  </si>
  <si>
    <t>Ласточка)))</t>
  </si>
  <si>
    <t>Купила  несколько  дней назад для дочки. Что  могу сказать - для  небольших объемов просто  идеально. Миниатюрная, симпатичная, простая  в обращении, не очень  шумная машинка. Дочка очень довольна, и я тоже!:-)</t>
  </si>
  <si>
    <t>Очень хороший по внешним и техническим данный ищу дочери на новый год подарок.Устоять не возможно от такого НОУ !!!!!!!Packard Bell EasyNote TR 82.</t>
  </si>
  <si>
    <t>Приобрела пару недель назад. По информации на сайте,и по заверению продавца, кофемашина имеет счетчик приготовленных чашек.Д ля меня это было решающим фактором,для покупки.В итоге-данная функция в машине отсутствует!!!То есть,я могла купить машину и подешевле... Что касается кофе-отличный!!! Меню не самое понятное,но со временем разберусь.</t>
  </si>
  <si>
    <t>1300</t>
  </si>
  <si>
    <t>Все работы выполняет "на ура", быстро и качественно. Работает исправно уже лет 5 (правда, не очень интенсивно используется, раза два в неделю).</t>
  </si>
  <si>
    <t>2017-03-25</t>
  </si>
  <si>
    <t>Стильный дизайн , присутствуют Часы.</t>
  </si>
  <si>
    <t>Утюг очень нравится, работает три с половиной года, семья большая, кто-то что-то гладит каждый день. Хорошо отпаривает, нравится подошва утюга, редко что-то пригорает. Хорошо отпаривает. Заливать воду в него не очень удобно но в целом справиться можно, носик удобный длинные, хорошо проходит мелкие труднодоступные участки на одежде. Шнур длинный - хорошо для тех у кого розетка далеко, у нас - рядом с гладилкой, шнур даже лишний. минусов пока больше обнаружено не было, надеюсь, прослужит ещё столько же и даже больше.</t>
  </si>
  <si>
    <t>Купил более месяца назад, установку делали знакомые ребята, работает всё отлично!!!</t>
  </si>
  <si>
    <t>Отличный медиафон. Для использования максимума возможностей нужно не одну неделю полазить на форумах в инете и сделать джейлбрейк. Четыре ставлю за закрытую файловую систему, память, синий зуб, отсутствие FM приемника и материал задней крышки. У кого руки растут из нормального места - берите, не пожалеете.</t>
  </si>
  <si>
    <t>Замечательная машинка! После 2 месяцев использования никаких нареканий. Все стежки как на картинке, очень удобна и проста в использовании. Я не профессиональная швея, а на пошив мелочей для дома, мягких игрушек для детей ее более чем достаточно. Рекомендую. И цена и качество отличное))) А магазину отдельное спасибо! Приобретала данную вещь в интернет-магазине, сервис и оперативность порадовали. Спасибо!!!</t>
  </si>
  <si>
    <t>Надежный, безопасный, эффективный и недорогой</t>
  </si>
  <si>
    <t>Работает больше года. Со своими функциями будильника справляется, думал в магазине что такой сигнал не разбудит, ошибался, такой негромкий сигнал очень комфортно будит не хуже громкого будильника.</t>
  </si>
  <si>
    <t>купил... до этого был аппарат другого произодителя. так вот, там где он ловил всегда и без проблем это ни ловит вообще.  очень разочарован. нормально бы ловил поставил бы 4+.</t>
  </si>
  <si>
    <t>Хуже техники не встречала! У мамы мясорубка борк вместо фарша месиво делает, а тут... Со жмыха сок течет просто взяв его в руки. В жмых вылетают большие куски фруктов и овощей. В общем никому не советую!!!!!!</t>
  </si>
  <si>
    <t>Использую его 2 месяца, при первом включении как и было написано инструкции поставил на максимальный режим, чтобы он провонялся, но запах от него еще был 3-4 дня, но не такой сильный как при первом включении. Комнату 18 кв с потолками 3.20 м прогревает с 18 до 24 градусов за 1.5-2 часа, с 16 до 22 за 3-4 часа. Центрального отопления нету, для обогрева используется только обогреватель! При включении издает легкие потрескивания от нагрева и расширения металла примерно минут 5-7, тоже самое при выключении, когда он остывает. Покупкой полностью доволен, надеюсь, что прослужит долго.</t>
  </si>
  <si>
    <t>Приобрел блендер Bork посоветовал продавец сказал что может сделать фарш из мяса с начало как то не очень верилось, а когда попробовал реально говядину перекрутил как на мясорубке быстро я теперь и мясорубкой не пользуюсь.Кстати и лед крошит супер хорошо для коктейля.</t>
  </si>
  <si>
    <t>Купил два дня назад. Фигня полная (сделано в Турции)!!!!! Моторчик дребезжит, корпус тонкая жестянка (как консервная банка) 6 кг весит!!! Уже воздуховод поставил 125 мм и весь корпус вытяжки обернул пенкой - ничего не помогает</t>
  </si>
  <si>
    <t>33</t>
  </si>
  <si>
    <t>коммуникатор классный, как уже писали, wi-fi не так важен, поэтому и не парюсь насчёт этого, мне нравится.</t>
  </si>
  <si>
    <t>Очень довольна машиной. Отличный функционал самой машины, все необходимые строчки. Докупив набор лапок для печворка, продаются тоже в М.видео, самостоятельно сшила прекрасное одеяло. Рекомендую всем, кто только начинает шить.</t>
  </si>
  <si>
    <t>Всем привет!  Может кому будет интересен это отзыв.  Приобрел рюкзак Lowepro SlingShot 202AW Black для  фотоаппарата Canon 7D.  Вещица  просто класс! Фотик поместился  как родной. Огромное наличие всевозможных карманов и отсеков. Есть еще чехол от дождя, который не раз спасал моего красавца от воды!!!   Вмещается все: фотик, вспышка, доп. объектив, зарядка,  куча проводов, для штатива есть с наружи крепеж и еще столько свободного места.  На спине сидит очень удобно, фиксатор на грудь что бы не было тряски, можно провернуть со спины на грудь и вытащить без труда аппарат для съемки.  Вообщем советую!!!  Удачной покупки!  Пока.</t>
  </si>
  <si>
    <t>Магнитолу поставил вчера, звук нормальный такой, только вот странное цикотение на низком звуке. да и не забудьте выкрутить два шурупа сверху магнитолы при установке.</t>
  </si>
  <si>
    <t>Терпеть не могу печь блины, а тут все просто-поставила ее на стол, села на стул и сиди себе телек смотри, да переворачивай. От маленьких блинчиков ребенок в восторге. По поводу мытья-берете Фэйри на губку, да, придется чуть потереть, но главное сразу после того, как остыла. Вот по хранению-это минус. У меня позволяет место вне кухни хранить боком. Но тоже-крепится только одна поверхность, а вторая просто одевается на нагревающую спираль. Но теперь я настолько часто делаю блины, что далеко блинницу не убираю. А как вариант-хранить ее на холодильнике. Так что-у кого есть дети и кому не надо сидеть на диете-РЕКОМЕНДУЮ!!!</t>
  </si>
  <si>
    <t>повесили на стену, заполнился водой и потёк изо всех щелей. и не я один такой.</t>
  </si>
  <si>
    <t>Отличный прибор, легкий и удобный в использовании. Несмотря на невысокую цену, волосы выпрямляет гораздо лучше даже более дорогих моделей. При этом волосы остаются гладкими долго, даже при влажной погоде. Очень им довольна!</t>
  </si>
  <si>
    <t>1844</t>
  </si>
  <si>
    <t>Отличная штука, свои функции выполняет качественно и безопасно. Берите не пожалеете.</t>
  </si>
  <si>
    <t>Я бы сказала, что это скорее не "мини-печь", а ростер. Впрочем, по цене и по габаритам и так понятно, что курицу или утку там не запечь. Но для завтраков - вариант просто шикарный. Можно очень быстро наделать партию горячих бутербродов или горячего сыра например. Очень вкусно еще круассаны в нем греть - они такие хрустящие получаются, восторг просто.</t>
  </si>
  <si>
    <t>Ещё месяц не проработал, а уже пишет, что плохо работает жёсткий диск! Повреждён!</t>
  </si>
  <si>
    <t>Нет запаха пластика.</t>
  </si>
  <si>
    <t>купили эту печь больше года назад. Брали её из-за объема. Реально попользовались пару месяцев. И количество включений можно сосчитать по пальцам. Всё остальное время микроволновка провела в ремонте. Как только нажимаешь на кнопку открытия двери она перегорает. В сервисе сказали, что летит предохранитель. Но не буду же я каждый раз из-за предохранителя (кстати он там на 15А! значит ток там не кислый вышибает его) везти печку в сервис через всю Москву. Короче стоит эта тумбочка мертвым грузом. Думаю, что если соберусь в сторону представительства LG, возьму её и выброшу у них перед дверью. Мне такое качество не нужно.</t>
  </si>
  <si>
    <t>купил сегодня !такой комплект очень доволен! особенно доволен kinect'ом ! теперь с коннектом xbox стал настоящей семейной консолью!</t>
  </si>
  <si>
    <t>Уселок супер зачет ему!!!!Передние колонки запитаны и саб мостом качает так что тачку разрывает! +5</t>
  </si>
  <si>
    <t>Пылесоса лучше нет! спасибо консультантам в магазине! 500 аэро-ватт это Максимальная мощность всасывания и при этом он очень ТИХИЙ, хоть я и не думал что пылесосы бывают ТИХИМИ.</t>
  </si>
  <si>
    <t>2017-05-25</t>
  </si>
  <si>
    <t>Компактный, транспортабельный, удобный пульт ДУ, функция памяти</t>
  </si>
  <si>
    <t>В эксплуатации с января 2011 года. Как телевизор отличный, как дополнительное устройство для просмотра видео различных форматов через USB очень слабо.</t>
  </si>
  <si>
    <t>Хватило на один раз! На второй - фен греет, а воздух не дует. Пришлось вернуть.</t>
  </si>
  <si>
    <t>Покупала в марте  2016 мужу в подарок. Одобрил. Пользуется каждую неделю. Триммер работает замечательно. Рекомендуем.</t>
  </si>
  <si>
    <t>Данный чайник проработал порядка 6 лет. Но сегодня, до этого не обращал внимание на одну из сторон чайника, пластмассовая вставка-индикатор помутнела. При попытке почистить пластмасса начала сыпаться.</t>
  </si>
  <si>
    <t>Машинка превзошла мои ожидания! Моет супер, нет проблем. Я просто в восторге, чего и Вам желаю.</t>
  </si>
  <si>
    <t>Искал вариант ноута/нетбука, который   был бы банально симпатичен, компактен и без тормозов тянул "рюшечки" интерфейса Аэро в Win7, к которым я уже привык, работая на стационарном компьютере.    Был опыт использования нетбука на Atom n270 и встроенной интеловской графикой - в принципе с Аэро такая конфигурация работает, но весьма вяло!    Перелопатив форумы и опробовав на витринах всё, что имело ценник менее 16 килорублей, остановился на Lenovo S12 VIA Nano.    Перед инсталляцией операционки  установлен дополнительный модуль памяти на два гигабайта (подробные инструкции - в мануале к нетбуку).    Установка Win7 производилась с внешнего DVD-привода, процесс занимает минут тридцать.  Драйверы почти все определились-установились автоматически, за исключением видеокарты и системы управления питанием (их легко найти на официальном сайте Lenovo).    Как и ожидалось, более быстрая графика и процессор (в сравнении с платформой на Atom n270) позволяют комфортно работать на компьютере со всеми визуальными излишествами.    Время жизни от стандартного 3-ячеечного аккумулятора, при включенном WiFi и средней яркости экрана, составляет 1,5 часа и более.   (Если требуется бОльшая автономность - можно купить 9-ячеечный аккумулятор за ~50 USD с доставкой).    Дополнительный двухгигабайтный модуль памяти забирает себе полтора ватта, но он же и обеспечивает более редкие обращения к винчестеру и также позволяет обойтись без файла подкачки.    Офис, почта и прочий неигровой софт работают отлично.   Что и требовалось :)      Подводя черту:  + Отличный экран (размер, яркость и контрастность)  + Весьма достойная клавиатура  + Отменная (для нетбуков) производительность в Win7 Аэро  + Достойный внешний вид  + Наличие разъема Express Card (например, для 3G-модема или SSD)  + Умеренная цена    +- Малоизвестные процессор и видеокарта  +- Умеренный шум системы охлаждения при нагрузке    - Желательно большее время работы от аккумулятора.</t>
  </si>
  <si>
    <t>Купил неделю назад. После 2-3 часов работы телевизора картинка портится, появляются помехи, меняются цвета. Выключаю, опять включаю - все налаживается. Может единичный дефект конечно, но неприятный осадок остался. Короче говоря, сделано в России, оправдалось :-)</t>
  </si>
  <si>
    <t>Саб просто зверь,слушал в магазине волосы на голове шевелятся,в машине с малым обьемом в газ 3110 просто приятный и не охота выходить, бас слышно за 10 метров,хочу улучшить шумоизоляцию для более эффективного прослушивания.=)</t>
  </si>
  <si>
    <t>2016-11-14</t>
  </si>
  <si>
    <t>1. Быстро разогревается</t>
  </si>
  <si>
    <t>Аппарат хороший, очень приятный дизайн, довольно шустрый, нет перегреваний. Для крутых игр не пойдет, но для фифы и нхл вполне! А вообще 14" покупают не для игр. Ставлю твёрдую 5, мои потребности удовлетворил за такие деньги. Покупайте смело.</t>
  </si>
  <si>
    <t>Только сегодня купили машинка стоит своих денег, пока нареканий мало единственное , это ручки температуры и отжима без четкого положения</t>
  </si>
  <si>
    <t>После трех месяцев использования начинает сбрасывать программы!!! Или зависает посередине процесса!!! Полное отключение на время устраняет проблему!!! В результате она просто открыла воду в режиме отжима на 1000 об в мин открыла замок двери и утопила всю квартиру!!! Я аж чаем захлебнулся!!!!!!</t>
  </si>
  <si>
    <t>Отличная рабочая микроволновка! Служит уже довольно долго -никаких нареканий! Греет равномерно, и еду, а не тарелку)  Пробовала готовить на разных режимах - получается вкусно, не пересушивает и не пригорает) В управлении легка и понятна, и стар, и млад научится без проблем)))</t>
  </si>
  <si>
    <t>Купил сегодня эту доску как самую большую в магазине. Принесли домой, пришлось подумать как ее раскладывать. При глажке немного пошатывается. Выдвижная боковая полочка прогибается как только немного на нее надавишь. В общем эта полочка вообще не нужна. Вот думаю ее завтра пойти сдать в магазин обратно.</t>
  </si>
  <si>
    <t>2775</t>
  </si>
  <si>
    <t>2012-10-29</t>
  </si>
  <si>
    <t>Купили машинку и пожалели. Уже через неделю при стирке высветилась ошибка F 06, потом F 01. Сдали в ремонт - та же история. В конце стирки высвечивается F 1, начинает сверкать, моргать вся и не открывается дверца пока не отключишь из сети.&amp;nbsp;</t>
  </si>
  <si>
    <t>1214</t>
  </si>
  <si>
    <t>Телефоном пользуюсь почти 3 месяца и я от него в восторге. Присмотрела давно, купила и не прогадала!    Дизайн - стильный, очень красивый;  Кнопки - удобные, нет джостика!  Экран - большой, разглядишь все;  Звук - громкий;  Глюки - их нет;  Камера, видео - отличного качества.  ---------------------------------------  Единственное, что может возникнуть - мизерные и просто не значительные глюки по его настроению :) Но все же мы люди!   Но это не беда! Снова выберите эти  настройки (даже если пишет, что уже выбраны), отключите и снова включите телефон.    Счастливого пользования и доброго вам Sony Ericsson C510 Black.</t>
  </si>
  <si>
    <t>Здравствуйте, Игорь!  По-поводу не закрепления второго стекла (а точнее закрепления двумя винтами!) и грязи затекающей между стеклами.  Внутреннее стекло не закрепляется умышленно, чтобы во время ген.уборки Вашей плиты можно было это стекло аккуратно снять, и помыть все так, чтобы никакой грязи не осталось. Я обычно отношу стекло в ванну, замачиваю, и спокойно мою плиту. Потом просто протираю сухим полотенцем и собираю. Как новенькая.</t>
  </si>
  <si>
    <t>2306</t>
  </si>
  <si>
    <t>Понравился. Две очень удобные щетки, в термощетке убираются щетинки, в волосах не застревает. Может быть не очень удобно для совсем коротких волос, т.к. объем щеток большой,а для средней длины, считаю-идеально. Специально искала невысокую мощность для укладки. Холодный обдув - есть.</t>
  </si>
  <si>
    <t>Машинка хорошая,тихая,хорошо моет.Посуду так просушивает,потому что тип сушки конденсационный.Но посуда всё равно практически сухая.А так очень хорошая и нужная в доме вешь.И воды мало тратит.</t>
  </si>
  <si>
    <t>Эпилятор очень понравился, захватывает практически все волоски.</t>
  </si>
  <si>
    <t>Утюг приобрела год назад в М-Видео в г. Орле, я просто в шоке. Это кошмар. Кнопка "Отпаривание" уже не работает, при том, что заливаю ТОЛЬКО фильтрованную воду, и провожу самоочистку от накипи. И шелк и ситец глажу только на самом горячем. Никогда не переключаю температурный режим. Я в ужасе от качества.</t>
  </si>
  <si>
    <t>Достоинства: Многофункциональность и многоформатность, неплохой звук и запас громкости для подобной ценовой ниши. Интересный дизайн, хорошие материалы, качественная сборка, приятный дисплей и формфактор.  Недостатки: Не совсем интуитивное управление. Аскетично оформленное меню.  Комментарий: Не идеальный, но очень хороший аппарат за свои деньги. При условии приобретения отдельно приличных наушников - аппарат очень хорош!</t>
  </si>
  <si>
    <t>3231</t>
  </si>
  <si>
    <t>Купила данную вытяжку 4 месяца назад. С первых дней пользования и до сих пор ни разу не пожалела о покупке. Дизайн шикарный ,цвет подсветки глаза радует, в отличие от привычного красного. В основном на второй скорости работаем,третью при жарке рыбы. Никакого запаха! Да, шумит ,но с такой мощностью простительно. Включается одним прикосновением. Наличие таймера также радует. Тут пишут, что подсветка моргает и часы сбиваются, я не знаю у вас как, но у меня ни разу не было подобного. Да, заслонки когда закрываются, слышно - один маленький минус, при установке можно приклеить на них поролоновые кусочки, мы так сделали и не слышно. Вытяжка супер!</t>
  </si>
  <si>
    <t>Дизайн крутой. габариты приятны. Малый вес ( скорее это минус для НЧ динамика)   Купил - но так его и не услышал . нижний диффузор приклеен к корпусу ( странная конструкция). в общем- отклеился он...  Пришел менять - на витрине стоит точно такой же, с отклеенным диффузором..  Короче конструкция не внушает доверия. взял монитор аудио - тяжелее в два раза. и играет сносно.</t>
  </si>
  <si>
    <t>Наушников у меня было много разных от самых дорогих до китайских подделок. О этих могу сказать только одно - лучшие в своей ценовой категории. Правда сломались через год, но за такую цену - это нормально.</t>
  </si>
  <si>
    <t>Отличный телевизор, всё работает на отлично!!! Советую всем купить, не пожалеете. Удобное меню, хорошие цвета!!!</t>
  </si>
  <si>
    <t>Для сухой уборки-идеальный вариант.Как моющий-оценка явно 2. Не работает большая насадка для мойки.</t>
  </si>
  <si>
    <t>Достоинства: Надежность. Очень высокий КПД за счет конфигурации ребер. Очень удобно выставляется требуемая температура при помощи ползункового переключателя. Недостатки: Не замечены. Комментарий: Очень рекомендую. Очень быстро нагревает и что очень важно на даче в 10 метровой комнате продуваемой ветрами на второй мощности делает комфортную температуру. На третьей вообще практически не использовали, т.к. очень жарко становиться.</t>
  </si>
  <si>
    <t>а у меня всё наоборот,временами прекращается подача воды,причём уже на втором экземпляре(первый благополучно заменили с той-же проблемой)завтра пойду менять на пятилитровую supru,рекомендует себя пока хорошо.</t>
  </si>
  <si>
    <t>Очень нравится. Выпрямитель удобен в обращении. Укладка длинных волос занимает минут 10. Волосы гладкие и блестящие, словно только что из салона. Очень рекомендую.</t>
  </si>
  <si>
    <t>Муж подарил на Новый год. Маломощный аппарат. Все круглые насадки(слева) бесполезны. О педикюре не может быть и речи, мотор не тянет. Просто останавливается и не крутится.  Для маникюра подходит коническая насадка, ей и пользуюсь. Цена не великая, ради конической насадки и купила бы))) Шнур длинный, работает от сети и в это время заряжается аккумулятор, можно и его использовать.</t>
  </si>
  <si>
    <t>Нормальный усилок для своих денег, стоит в паре с Kicx ICQ-300B долбит нормально.</t>
  </si>
  <si>
    <t>специально пришел в магазин и принес внешний винт. подрубил к usb/ результат. ntfs читает.!</t>
  </si>
  <si>
    <t>Картинка с эфирного ТВ несколько размыта. Функция "Картинка в картинке" отсутствует. Еще какие-то глюки с телетекстом: вместо него непонятные символы. Качество видео с носителей отличное, даже avi можно растянуть и будет нормально. В целом, приличная вещь, хотя, возможно, есть шанс найти схожую модель подешевле.</t>
  </si>
  <si>
    <t>Купила этот ноут вчера, два дня уже не отлипаю от него)) Нравится, жуть!:)  Только вопрос - заявлено 320Гб, а на диске 288 показал..  Где остальное? Нежели под Винду ТАК много? О_О</t>
  </si>
  <si>
    <t>Ребята! Купил на днях! Мощность потрясающая! Аналогов за такую ценцу не найдете! Однозначно брать!!!! До этого был со стаканом (просто ужас).</t>
  </si>
  <si>
    <t>Плеер хороший, мне очень понравился. Очень удобный итерфейс, качество звука отличное, зарядку держит как обещано, часов 8. Вот только через 4 месяца поломался (батарея заряд не держит) пришел поменять, в наличии не оказалось, согласился подождать, появились через полтора месяца. Пришел менять, говорят надо доплатить, потому что часть была оплачена купонами, а сейчас они уже не действуют...</t>
  </si>
  <si>
    <t>Наушники супер, 6 месяцев без проблем работают, только когда покупаете проверьте,одно ухо бывает плохо работает, а так наушники если без брака просто супер,басс хороший и 6 месяцев как минимум работы наушников.</t>
  </si>
  <si>
    <t>Машинка супер. Вещи после нее приобретают изумительный вид. Все вещи практически уже привела в порядок</t>
  </si>
  <si>
    <t>Недостаточное кол-во включений-выключений всего 8. Поэтому если запрограммировать 10 минут работы и 20 минут выключен, то хватить на 4 часа, потом снова программировать.</t>
  </si>
  <si>
    <t>2005</t>
  </si>
  <si>
    <t>Посудомойку покупали в первый раз, перед тем как выбрать как полагается начитался отзывов, поездил по магазинам и поехал собственно покупать другой фирмы, но продавец убедил взять именно эту. Что можно сказать, конечно первое время радости не было предела, что наконец-то не надо мыть посуду руками в раковине. Из преимуществ над остальными отмечу то, из-за чего взяли ее, а не &amp;nbsp;что-то другое: в нижнем лотке направляющие для тарелок складываются, что на самом деле удобно. Класс мойки\\сушки\\энергопотребления все А, вот вроде и все плюсы. Моет тоже неплохо, все зависит от того, как разложить посуду, если все ровненько, то посуда будет чистая. Сильно грязная посуда с засохшими кусочками пищи иногда не до конца отмывается, Пластиковые контейнеры у нас почему-то всегда остаются мокрыми, тарелки с ополаскивателем сухие, без него все равно остаются капли воды. Что не понравилось с самого начала и немного раздражает до сих пор (хотя уже привыкли) - ооооочень шумная, реально. Один раз из-за того что закончилась соль (других причин не нашли) перестала сливать воду и дальше мойка прекращалась, то есть запустилась, набрала воды, один цикл промыла, и когда пришло время сливать воду - просто выдавала ошибку и все. При том что никакого мусора, ошметков и прочей гадости там не было, то есть забиться она не могла. Открываю, полная воды. Попробовал включить еще раз, она повторила все то же самое и после очередной ошибки воды естественно стало еще больше. Пришлось вынимать и выливать самостоятельно. Засыпали соль и все заработало. Там есть диод, сигнализирующий о том, когда заканчиваются соль и ополаскиватель. В целом довольны, программы подобраны оптимально, чаще всего моем на режим 1 час или не сильно загрязненная посуда. Моем каждый день вот уже в течение больше года. Если бы меня спросили совета, какую покупать посудомойку, я бы ее не посоветовал только из-за шума.</t>
  </si>
  <si>
    <t>2970</t>
  </si>
  <si>
    <t>Компактный, не тяжелый. Мощный. Есть холодный обдув.</t>
  </si>
  <si>
    <t>1810</t>
  </si>
  <si>
    <t>Хороший.Легко носить,а самое главное высокий!</t>
  </si>
  <si>
    <t>Пылесос супер!!! Убирает отлично, очень легко моется, прост в обращении. Единственный недостаток немного тяжеловат,а так очень хороший пылесос всем советую.</t>
  </si>
  <si>
    <t>Купила 10 дней назад. Первая стирка порадовала. Машина вибрирует при отжиме зато стирает на 5+ (белое бельё кипельно белое даже при 40 градусах). Сравниваю с другой машиной с фронтальной загрузкой стирает уже 10 лет. Одна проблема не смогли вывернуть ножки и отрегулировать по уровню. Советую купить.</t>
  </si>
  <si>
    <t>Долго сомневалась в выборе машины, но взяла именно эту. В общем - довольна. Сказать, что стирает бесшумно, не скажу. Но больше шумит не двигатель, а белье, которое хлюпает и бьется об барабан. При отжиме (особенно при больших оборотах) гудит уже двигатель. Но это недолго и при закрытой двери в ванной не слышно. Но стирает очень хорошо. Расход порошка уменьшился - это точно. Короткая программа одна - на 15 минут (30 градусов, 800 оборотов). Единственный явный минус: много воды остается в лотке для порошка и иногда после стирки эта вода выливается из шланга над дверцей, откуда и поступает порошок в барабан.</t>
  </si>
  <si>
    <t>147</t>
  </si>
  <si>
    <t>Просто круто</t>
  </si>
  <si>
    <t>1906</t>
  </si>
  <si>
    <t>отличный аппарат.всем довлен.особенно дизайном.</t>
  </si>
  <si>
    <t>Ставил в дэу нексия, пришлось чуть ли не пол панели обрезать. Брал из-за небольшой, приемлемой, цены. Проработав примерно месяц захрипели. Деньги небольшие, но все равно неприятно.</t>
  </si>
  <si>
    <t>Купил этот монитор в М-Видео с неделю назад, в общем хочу сказать, что цена в 8990 руб. на него очень хорошая, даже по яндексу дешевле нет, да и вообще смотрится очень хорошо, стильно и красиво!  Но единственное что не понравилось, и это довольно существенно, долго за ним не просидишь очень большой контраст давит на глаза, причем регулировки не помогают, а в тёмное время так вообще, до этого был BenQ 17 дюймов там вообще никаких проблем не было, сидеть мог очень долго без напряга на глаза!   Вообщем, если бы сейчас покупал, лучше бы переплатил и купил другой монитор, всё же глаза важнее!!!   Удачи!</t>
  </si>
  <si>
    <t>Купил ноут в начале января потестил все нормально но только перестала работать веб камера. полазил по нету и узнал что для АСЕР такое вполне естественно что через одну, две неделе эксплуатации ломается камера</t>
  </si>
  <si>
    <t>Это МОЯ первая бритва,Я в восторге!!! Бреет изумительно очень чисто выбревает трудные места шеи, раздражения кожи нет. Всем советую!!!</t>
  </si>
  <si>
    <t>Батареи хватает на долго. Камера средняя. Стальной корпус упадёт не больно. Приятно говорить по такому телефону.</t>
  </si>
  <si>
    <t>1641</t>
  </si>
  <si>
    <t>Объем</t>
  </si>
  <si>
    <t>2009-07-30</t>
  </si>
  <si>
    <t>Этот телефончик (правда, у меня красненький) у меня пару месяцев.  Искала недорогой музыкальный телефон, относительно легкий и тонкий, симпатичный. Смотрела разные модели, но реально альтернативы этому телефону за эту цену не было.  Что касается достоинств, это полноценный музыкальный телефон, управление удобное, динамики громкие, есть радио и плеер. В комплекте идет карточка памяти на гигабайт, этого мало конечно. Но есть слот для карточек микросиди, можно заменить на больший объем. Батарейку держит примерно трое суток. И главное достоинство - цена.  Камера есть, но она из разряда, "чтобы было": 2 мегапикселя, но без вспышки. Хотя для меня это не недостаток, я не поклонница делать снимки камерой телефона.   Конкретных недостатков пока не заметила.   Рекомендую.</t>
  </si>
  <si>
    <t>Пользуюсь неделю в отсутствии гор. воды. До этого был проточный. Достоинства именно этой модели:  1.Напор воды - как в норм. кране. Но: чтобы вода не расходовалась слишком быстро, лейку душа надо включить в экономичный режим микрораспыления (есть в Grohe и др. фирмах).  2.Подвел воду с душевого патрубка.Для этого надо купить обычный гибкий шланг подводки, а родной шланг с лейкой - на выход нагревателя.Но! На выходе нагревателя надо поставить вентиль (купить) и им включать душ, а воду с подводки все время оставлять включенной.  3.Вода до 35 град. нагревается за 5 мин.Моюсь прямо ей, без смесителя. Температура подбирается регулятором. Хватает, чтобы сполоснуться с мылом после жары. Пока вытираешься-одеваешься, вода уже нагрелась для следующего потребителя.  4.Подвешивается в ванной легко. На стене остаются маозаметные два крюка (покупал сам, поменьше штатных).  С началом подачи гор. воды уберу в шкаф (благо места займет не так много). В случае необходимости смонтирую обратно все за полчаса.  Доволен покупкой.</t>
  </si>
  <si>
    <t>Надежный, цена, отличное качество.</t>
  </si>
  <si>
    <t>1488</t>
  </si>
  <si>
    <t>Это не камерфон, а музфон,качество звука(правда гарнитуру надо брать оригинальную) на 5+</t>
  </si>
  <si>
    <t>222</t>
  </si>
  <si>
    <t>МОбильность</t>
  </si>
  <si>
    <t>Перепробовали достаточно много рецептов и можно точно сказать, что рецепты из книги, которая идет вместе с печкой очень не точные. После первой булки мы каждый рецепт немного корректировали. Зато к самой печке никаких претензий.   Из минусов, пожалуй, только один - постоянно открывающийся диспенсер для добавок. Вне зависимости от выбранного рецепта и от наличия добавок в диспенсере он все равно открывается и, причем достаточно громко.  В остальном только плюсы и очень вкусный хлеб.   Перед самым новым годом и родителям подарили такую же.</t>
  </si>
  <si>
    <t>Посудомойка сименс sf 64 t354 сломалась через 2 года. Ремонт стоит половину стоимости этого агрегата. Делайте выводы.</t>
  </si>
  <si>
    <t>Компьютер прекрасный, судя по характеристикам, правда я полазил по сайтам и в некоторых из них было написано, что частота 2,50 ,а не 2,93</t>
  </si>
  <si>
    <t>Проработал около 2-х лет без нареканий и стала вытекать вода из-под стекла, хотя пользовались аккуратно, не били.  Регулятор очень удобный. Шумноват.</t>
  </si>
  <si>
    <t>379</t>
  </si>
  <si>
    <t>Не к чему придраться! Ножи очень острые, паста разрезается без особых усилий и тесто на ножах не остается потом, ролик плавно перемещает пласт теста, вот только важно вымесить его до нужной консистенции, слишком рыхлое прилипать будет даже если ролик обильно посыпать мукой. Но уже приловчилась и тренетте получается не хуже вариантов из супермаркета))) В общем, на любой кухне пригодится, не жалею, что эта насадка у меня появилась!</t>
  </si>
  <si>
    <t>купил плеер,два месяца назад,сначала слушал радовался,звук хороший,всё норм  но через два месяца плеер полетел перестал включаться и не начто не риагирует,привёз в ремонт,там сказали что такого быть не может,и отказались чинить(((</t>
  </si>
  <si>
    <t>потрясающая камера.Только надо не забыть прикупить штатив для сьемки на большое расстояние,примерно с 35кратным увеличением.Иначе дрожь в руках не дает четкой картинки.</t>
  </si>
  <si>
    <t>за период пользования чуть более 3-х лет никаких нареканий, просто, надежно и удобно. Помол зависит от времени  удержания кнопки. Доступно и по стоимости.</t>
  </si>
  <si>
    <t>Купил сегодня этот ТВ и не нарадуюсь, качество картинки отменное! Тем более FULL HD с диагональю 42" за такую цену не найдете нигде! М-ВИДЕО вы лучшие!!!</t>
  </si>
  <si>
    <t>шкаф-просто чудо,работает и готовит отлично,только вот проблема: везде в информации о комплектации указано наличие жирового фильтра,в Омске почему-то нет его в наличие,хотя Москва подтверждает наличие фильтра,опять придется бороться (((((</t>
  </si>
  <si>
    <t>965</t>
  </si>
  <si>
    <t>Купила телефон около 2 лет назад. Никаких нареканий. Очень удобная модель. И дизайн, и функции очень подходят женщинам. Все просто, доступно, не заморочено. Падал, но не глючил. Заряд держит долго. На даче в дождь попал, все нормально. Вообщем, не убиваемый. Жаль, что нельзя поставить мелодию на звонок и будильник. В остальном телефон отличный. Очень жалею, что потеряла...Сейчас смотрю себе новый телефон в интернете, но видимо опять куплю эту модель. Из всех что у меня были этот работал лучше всех.</t>
  </si>
  <si>
    <t>87</t>
  </si>
  <si>
    <t>Как супермодер одного из ведущим игровых спортивных сайтов России говорю, что в этом году фифа на голову шагнула вверх, нежели ПЕС</t>
  </si>
  <si>
    <t>2920</t>
  </si>
  <si>
    <t>Отличный ноут (брал за 34т,р но это он так только в начале стоял щас уже нет)  Все за эти деньги отлично, даже лучше, чем отлично)))   По поводу дисплея (мерцание с низу 90 градусов) могу успокоить это не брак, а специфика новой технологии ACER это 1й ноут, на котором тестировали ACER CineBoost Color Engine V2 (кстати, ее можно выключить, под матрицей есть сенсорная кнопка) мерцание значительно пропадет, но качество картинки станет хуже.   Пользуюсь им 1 месяц - нареканий нету (точнее есть, но надо помнить, что вы отдали за него 34+, а не 60-70т.р, чтобы строго придираться)</t>
  </si>
  <si>
    <t>Нормально работает. не шумно,легкий. Крутится, дует что еще нужно. Плюс это цена. После поупки встретили в местном супермаркете такой же фирмы чуть дешевле, немного расстроились! Сам  вентилятор ок</t>
  </si>
  <si>
    <t>2013-09-14</t>
  </si>
  <si>
    <t>Изначально взяли родителям для дома, а испробовав решили себе тоже взять, уже для квартиры, у нас маленькие дети и кошка! Брать, брать и еще раз брать вещь не заменимая, для меня по крайней мере!</t>
  </si>
  <si>
    <t>Покупка порадовала очень. Из минусов ну и то недля меняа длямамыи котов - шумноват. Длинна шнура - хватает от розетки посредиквартиры пропылесосить весьдом, не переключаясь. Наличие щелевых щеток - радует, также маленькая турбо-щетка вполне удобоварима, если кому-то мало, есть возможность купить стандартную по-больше. Через неделю стандартного использования решила провести краш-тест. Вымытый пол снова намочила и собрала воду пылесосом!!!! ВНИМАНИЕ НЕ ПОВТОРЯТЬ!!!! Производителине рекомендуют. От железной ручки чуть щипнуло током(тк руки-ноги были мокрые, взялась тут же за плстиковую ручку) воду с пола собрал на ура, как будто просто протерли влажной тряпкой. От увиденного оказалась в шоке, от куда все это взялось в фильтре не знаю, я вроде хозяйка хорошая в плане чистоты дотошная, но повторюсь что увиденное очень удивило. В общем не пожалела о покупке ни разу, мощный с нормальным количеством удобных прочных насадок, не выплевывает ввоздух пыль, всев воде и на фильтрах остается. Надеюсь радовать будет долго.</t>
  </si>
  <si>
    <t>564</t>
  </si>
  <si>
    <t>игра очень классная особено для тех кто много играет в psp дома бегаешь по дому ищешь   монстров очень захватывает! но через чур много всяких подсказок и они не пропускаються! мне 13 лет понравилось!</t>
  </si>
  <si>
    <t>Купили не давно,выбирала сама,я в восторге, духовка супер!!!</t>
  </si>
  <si>
    <t>Очень хороший пылесос!!! Очень хорошая мощность всасывания за счет аквафильтра.Контейнер моется моментально и самое главное практически не нужно расходных материалов!!!Очень тихий и главное качество материала да и самого пылесоса на высоте!!!Рекомендую!!!</t>
  </si>
  <si>
    <t>2009-08-05</t>
  </si>
  <si>
    <t>2-го августа приобрел. Установил,включил. Вся семья в восторге!!! есть 2 жк, один 20 дюймов, второй 32. У новенькой плазмы картинка в домашних условиях гараздо лучше. эфирное тв можно настроить вполне качественно с помощью подавителя помех. но вот незадача, когда лег спать, телик сам включился!! засветилась матрица, а через 2 секунды все погасло. думал - всё,капец. ан нет - работает :) но странный глюк остался - сам включается через 45 минут после выключения и тутже гаснет. позванил в самсунг, сказали сбой ПО, надо перепрошивать. сегодня отвез в тех.отдел. забрали на тест. как выясница (до 20 дней) напишу.</t>
  </si>
  <si>
    <t>Отличный холодильник. Вместительный, эргономичный, бесшумный и стильный!!!</t>
  </si>
  <si>
    <t>2011</t>
  </si>
  <si>
    <t>Лучшая операционная система Windows 7 максимальная. Но эти игры дождаться к 2010 - 2012 году, которые игры будет параллельно. Дождался до обновления сервис пакета SP-1 для Windows 7!</t>
  </si>
  <si>
    <t>1140</t>
  </si>
  <si>
    <t>Начну с достоинств:  1)Удобно держать в руке  2)Яркий и красочный дисплей  3)Красивое меню  4)Естественно хорошая пямять  5)Отличный дизайн(немного напоминает Ipod)  6)Хорошее качество звука и видео  7)Можно читать книжки  8)Можно удалять файлы с самого плеера, без подключ. к компу.  А теперь недостатки  1) Гнездо для наушников( оно у меня полетело после 2 месяцев после покупки)  2) Частенько зависает  3) Кнопка перезагрузки очень неудобная, туда можно попасть только иголочкой или скрепочкой  4) Дисплей! Я уронила его с небольшой высоты примерно 40/45 см и у меня треснуло стёклышко прямо по диагонали.  5) Кнопки на второй недели начали западать    В целом плеер неплохой, цене своей соответствует,вот только качество его немного подкачало! А так стильный и красивый!Продержался у меня пол года.</t>
  </si>
  <si>
    <t>Бывает, что по два раза на дню взвешиваюсь, иногда огорчаюсь, но чаще радуюсь. Сами весы точные и легкие, красиво оформлены. За все время использования даже не испачкались, не маркие вообще. Цена/качество просто на пятерочку.</t>
  </si>
  <si>
    <t>Панель за такие деньги просто чудо + в придачу после несложной операции с прошивкой и настройкой получаете всеядный плеер, с легкостью читает видео закодированное h264 и в контейнере MKV что для меня огромный плюс</t>
  </si>
  <si>
    <t>Телевизор неплох. Подключил к нем активную антенну (использую на... балконе) ловит практически всё. Читает файлы через USB - без проблем. Минус конечно - разъемы находятся снизу - что не совсем удобно. В авто не использовал, но судя по антенне и по приему на улице (что в комплекте) ловить будет не много каналов.</t>
  </si>
  <si>
    <t>скорость отжима 1000 об/мин, загрузка 4кг. Мощная и надежная машина.</t>
  </si>
  <si>
    <t>1832</t>
  </si>
  <si>
    <t>Приятный дизайн, довольно вместительный размер, удобные конфорки и ручки переключения. Электроподжиг срабатывает мгновенно. Размер пламени меняется очень плавно, без рывков. Решетки выполнены из эмали и совсем нетяжелые, их легко мыть. Сама поверхность тоже не особо маркая, отлично отмывается любым моющим средством! Очень довольна приобретением!</t>
  </si>
  <si>
    <t>Не понимаю почему многие ставят этому чайнику хорошие оценки. Пытаюсь пользоваться им уже две недели, а запах пластика так и не выветривается, в описании написано что для этого надо только несколько кипячений, но у меня так не получается. Из чего китайцы сделали такой вонючий пластик останется загадкой</t>
  </si>
  <si>
    <t>Я на самом деле не представляю, как люди живут без этой вещицы! Загрузил яйца-налил сколько надо воды и ушел. и не надо караулить-засекать время или ставить таймер. Все относятся к этой вещи со смехом, а на самом деле это все облегчает нам женщинам жизнь. И не только наверное женщинам!</t>
  </si>
  <si>
    <t>Пользуюсь чайником уже 6 лет и ни намека на поломку. Довольна всем, особенно за такие деньги!</t>
  </si>
  <si>
    <t>Этот телефон купила 2-ой раз )))Первый потеряла.Была возможность приобрести что-нибудь поновее,но мой выбор пал снова на него.Очень удобный разъем под наушники,берем колонки на дачу,подсоединяем к телефону-музыка готова!!!!Роняю телефон постоянно...хоть бы что.Тьфу-тьфу..тоненький,удобно держать в руке...Телефон СУПППППЕР!!!!Менять не собираюсь.Телефончик-Я ТЕБЯ ЛЮБЛЮ!!!</t>
  </si>
  <si>
    <t>Наконец-то решился и купил heavy rain. С начало слегка побаивался,что ничего не пойму(это благодаря одному из журналов)  Но как оказалось игру очень легко освоить, и даже на очень сложном уровне сложности вы без труда успеете нажать во время на кнопки!)  Что касается сюжета, тут никаких претензий нет. Сюжет на высшем уровне!) Игра держит в напряжении до самого конца!) Могу уверить, когда вы узнаете, кто убийца вы будете в шоке!)Что касается боевой системы тут всё красиво и эффектно!)В общем всем советую освоить эту игру!) Если у вас нет ps3 не беда, купите и то и другое, вы не  пожалеете!)))))))</t>
  </si>
  <si>
    <t>2015-04-05</t>
  </si>
  <si>
    <t>Купил год назад. Проблем не было. Работает как часы, рекомендую</t>
  </si>
  <si>
    <t>2997</t>
  </si>
  <si>
    <t>Пользуюсь 2 года фабричным образцом, купил в Москве на горбушке.  Могу сказать, что бритва полностью стоит своих денег.  За два года качество работы устройства никак не снизилось. По прежнему сбривает все начисто!  Рекомендую.   До этого пользовался только Масн 3, так как мою щетину больше ничего не брало.  Выяснилось что бритье такой бритвой с пеной гораздо лучше и дешевле чем станками.</t>
  </si>
  <si>
    <t>Это лучший коммуникатор.Работает очень быстро.</t>
  </si>
  <si>
    <t>Лучшего варианта в данной ценовой категории не найти! Огромный плюс в том, что на сайте производителя есть все дрова и виста сносится на ура!</t>
  </si>
  <si>
    <t>Сегодня приобрели машинку.С виду-красавица.При первом прогоне без белья все было ОК.Затем начали стирать белье и тут началось.Она прыгает по ванной комнате!!!Вдвоем держали!Она чуть в зал "не убежала". Я не рекомендую.  Оч. расстроена(((  П.С.: хочу обменять.</t>
  </si>
  <si>
    <t>Отличный тостер. Пользуемся 4 года, работает хорошо. Бутерброды супер, нравятся всем. После нас уже несколько знакомых купили. Советуем.</t>
  </si>
  <si>
    <t>Поставил за час, все провода в комплекте, доволен! За такую сумму здорово!</t>
  </si>
  <si>
    <t>качество, цена</t>
  </si>
  <si>
    <t>Не стоит даже покупать установили и 2 комфорки в нерабочем состоянии</t>
  </si>
  <si>
    <t>машинка не понравилась, так как невозможно сделать стрижку одинаковой длины,быстро засоряется, возможно у нас нет навыков,но ведь не написано что она предназначена для профессионалов!!!</t>
  </si>
  <si>
    <t>Пользуюсь пылесосом 2 месяца. Благодаря ему уборка стала приносить удовольствие и занимает считанные минуты!  Недостатков нет вообще!   Всем рекомендую, не пожалеете!</t>
  </si>
  <si>
    <t>1916</t>
  </si>
  <si>
    <t>Пользуюсь этим пылесосом месяц.Главный минус этого аппарата заключается в том,что быстро забиваются фильтры,вследствие чего тяга пылесоса падает и от хваленой мощности не остается и следа.Бывает такое,что фильтр-циклон забивается после уборки одного зала.Приходится останавливать уборку и читить.С мешковым пылесосом такого никогда не бывало.Вообщем не рекомендую я этот пылесос.</t>
  </si>
  <si>
    <t>Купили машинку год назад, до сих пор всё хорошо. Единственный для меня минус, что нельзя установить температурный режим на 70, 80 градусов, после 60 сразу 90</t>
  </si>
  <si>
    <t>Микроволновая печь слабенькая, греет долго,освешение вообще никакое, комби и гриль просто молчу.Брать эту модель не советую))) Стоит у меня 3 месяца,желеею о своем выборе.</t>
  </si>
  <si>
    <t>Обычные китайские дешевые наушники, почитал отзывы, надеялся будет лучше, но нет - чудес не бывает. Для музыки точно покупать не стоит.</t>
  </si>
  <si>
    <t>Хорошая вытяжка за эти деньги. Высокая мощность. Шум конечно есть, но при высокой мощности это норма, кроме наверное премиум моделей. Отлично вписалась в белый комплект (шкаф, панель, вытяжка). Подключал через фильтр, благо всегда можно купить родные расходники (за что и люблю М.Видео), одного фильтра (родного) хватает надолго (неродной теоретически прослужит меньше). Включаю при жарке, при работе духовки (особенно пригодится когда достаёшь запечённое мясо). При варке тоже пригодится. Недостаток: один раз суп выкипел и пока не начало сильно подгорать ничего не почувствовали (хорошо фильтрует). Вывод: удобная вещь для тех кто готовит, а тем кто на степень готовки ориентируется по запаху может помешать :). Хотите заметно лучше? Возьмите наклонную модель из белого стекла раза в три дороже и будет лучше (тише, наверное, и мощнее заметнее).</t>
  </si>
  <si>
    <t>Очень слабенький утюжок. Не советую покупать.</t>
  </si>
  <si>
    <t>Купил и сдал назад  1. Как не мучался - не удалось ничего на него записать. Подрубал сзади компа - сразу выдавал ошибку подключения ЮСБ. Спереди втыкал в карт-ридер - определял, но при попытке записать на него чего-либо комп подвисал и позже выдавал ошибку оборудования, а на плеере появлялся огрызок первого файла, который пытались передать, причем файл перемешивался с фирменной песней про Айривер :) короче, лажа полная... Моей материнке 2,5 года, блок питания новый абсолютно, да и глюк такой - первый раз. На соседском компе, которому ещё года нет - заработал с первой попытке.  Порылся в инете - я оказался не одинок в своих страданиях. Много народа попалось на это палево.  2. О звуке. Я просто в шоке!!! у меня старенький флеш плеер СТ-Лаб, такой дерьмовенький-дерьмовенький И ТО ИГРАЕТ КРУЧЕ! Звук чистый, но глухой, плоский и синтетический, от него хочется тошнить!  3. Управление. На любителя. Мне показалось, что кнопки расставлены слишком далеко друг от друга, очень оказалось неудобно, плохо видно рисунки на ник.  4. остальное меркнет по сравнению с перечисленным.  5. Большой плюс! - 52 часа игры, он реально долго держится.  6. Понимает кучу форматов.  ВЕРДИКТ - НЕ БРАТЬ!!!!!!!!!!!!    Если хотите взять за такую цену классный плеер - то я взял как альтернативу Ritmix RF-8900 (8Gb)и не жалею. Конечно, не 52 часа и не знаю сколько он протянет, но сделан хорошо, оказался понимает не заявленный OGG, да и с остальным проблем нет, видео крутит на ура, ЗВУК - АЙ-РИВЕР даже рядом не валялся, честно. Я в шоке - за такую цену аппарат просто супер, дай Бог, чтоб не сдох.</t>
  </si>
  <si>
    <t>Аппарат куплен в марте 2010г. Ко всему сказанному добавлю, что не поддерживаются файлы .ts и Divx HD. Ненадежный привод. Пришлось сдать в ремонт через месяц эксплуатации. Замена привода.</t>
  </si>
  <si>
    <t>2178</t>
  </si>
  <si>
    <t>Очень шумный внешний блок, дешевая пластмасса внутреннего - трещит при изменении температуры, дребезжит. Не рекомендую.</t>
  </si>
  <si>
    <t>Перемещаюсь исключительно на БМВ, поэтому к немецкому качеству не равнодушен. Очень требователен к чистоте и здоровью. Считаю эту щетку отличным инструментом для правильной заботы за своими зубами. если вы любите себя, любите и свою улыбку!</t>
  </si>
  <si>
    <t>Очень классная флешка. Отличная скорость записи , да и к тому же в отличии от других моделей Kingston  имеют очень красивый дизайн с подсвечиваемым логотипом.</t>
  </si>
  <si>
    <t>2403</t>
  </si>
  <si>
    <t>Купила в четверг SONY, очень довольна, звук отличный. Простой в управлении, цвета яркие, не смогла найти функцию, где можно закачать книги, похоже ее вообще нет, видео формата avi не поддерживает. В остальном суперский плеер, наушники в комплекте не очень - сразу берите новые.</t>
  </si>
  <si>
    <t>2896</t>
  </si>
  <si>
    <t>Год назад купил на распродаже данный кондиционер, очень доволен соотношением цена/качество;  программируется, отл. дизайн, цвет топлёного молока (не желтеет и не режет глаза), + функция обогрева - очень комфортно (когда батареи ещё не включили), сейчас думаю покупать в другую комнату, сравнил с mitsubishi... стоит ли платить в 3 с лишним раза дороже?! хотя в рейтинге надёжности намного превосходит... Ну не на экваторе ведь живём, максимум, 2-4 недели в год будет работать. Посмотрим, будут отказы, напишу.</t>
  </si>
  <si>
    <t>чайник ужасно воняет пластиком и вода из него. пробовала и кипятить и выводить ничего не помогает. попробую вернуть. не пить же воду со вкусом пластика.</t>
  </si>
  <si>
    <t>Ноутбук обалденный, очень доволен покупкой!!!  Правда, сначала взял HP dv6, пришел домой, начал юзать его и с каждой минутой расстраивался всё больше (шумел, грелся, в камере рябило всё и было оранжевого цвета, экран тусклый и т.п.), минут через 40 не выдержал и побежал назад в магазин его менять, долго думал что бы выбрать, чтобы опять не попасть впросак и остановился на этой модели Packard Bell TJ65-021. Уже 3-й день как он у меня и пока никаких нареканий, всем доволен. Работает очень  тихо и быстро, игры все что установил, все идут на максималке, очень удобный и эргономичный, дисплей отличный.   Ставлю 5 +</t>
  </si>
  <si>
    <t>88</t>
  </si>
  <si>
    <t>Хороший телефон! Пожаловаться, в отличие от автора предыдущего отзыва, не на что!  Слышно хорошо, кнопки нормальные... Не надо нервничать и давить на них сильно, чтоб не западали! =)  Спасибо за внимание!</t>
  </si>
  <si>
    <t>Большое спасибо продавцу-консультанту М-Видео,что порекомендовал эту модель.1 кг яблок выжимает за 20 секунд.Всё в ней нравится,классная вещь.</t>
  </si>
  <si>
    <t>Мы тоже также думали,когда покупали товар.  Принесли,через два дня решили воспользоваться - не работает.Позвонили по телефону,указанному в книжице - там посоветовали обратиться в магазин,где покупали.</t>
  </si>
  <si>
    <t>По началу работала хорошо, теперь при включении постоянно мигает светодиод REFILL и прерывисто пищит звуковой сигнал, при этом сама пароварка работает, то есть пар нагревается и программы функционируют.</t>
  </si>
  <si>
    <t>Отличный нагреватель за свою цену. За полгода использования, только хорошее впечатление. Очень быстро нагревает воду, хватает семье из 4-х человек. Отмечу удобство оформления покупки через интернет.  Советую брать</t>
  </si>
  <si>
    <t>Камера просто супер!!!  Качество сУПЕР!</t>
  </si>
  <si>
    <t>отличный телефон. Сегодня куплю такой)</t>
  </si>
  <si>
    <t>Очень понравился! Красивый, легкий, удобный. Замечательный себе сделала подарок!</t>
  </si>
  <si>
    <t>Только что (06.01.2010) установили газовую плиту Gorenje GI 438 W. Если выключить все приборы на кухне (телевизор, приемник, холодильник не слышно - он в коридоре), то слышен гул - гудит, судя по всему, трансформатор, от которого питается дисплей и автоподжиг. Для маленькой кухни (6,5 кв.м) это критично. Надо было перед покупкой попросить подключить плиту к электросети и приложить к ней ухо (чтобы не мешал шум в магазине) для оценки уровня шума. С аналогичной проблемой столкнулись при покупке микроволновки Sumsung с грилем и с дисплеем - меняли дважды, а закончилось тем, что взяли Panasonic - там такой проблемы нет.</t>
  </si>
  <si>
    <t>Добавлю к предыдущему своему отзыву:  - Оперативка состоит из двух модулей, естественно, разного объема - 2 гб и 1 гб, при этом производители разные (Nanya и Samsung). Это негативно сказалось на общей производительности оперативки.  - Снова о видюшке. Это аналог GF9600GT с DDR2. Видюха должна была выполняться в соответствии по 40 нм техпроцессу, но почему-то Asus запихнул в ноут видеокарту, выполненную по 65 нм процессу, что тоже негативно сказалось на производительности. Тем не менее, в тестах видюха показывает неплохие результаты. Технология TurboCache позволяет использовать GF GT220M до 2303 Мб видеопамяти за счет собственных 1024 Мб и 1279 Мб из системной. Интересной особенностью новых видеокарт является поддержка технологии CUDA. Вкратце - можно использовать графический процессор для не графических расчетов.   - Дисплей. Отклик 8 мс, используется LED подсветка, что даёт ровные цвета, высокую яркость и экономию батареи.  - Система охлаждения. Она называется IceCool. Поверхность подставки для запястий остается холодной даже при длительном использовании ноутбука.  - Батарея. При активном использовании хватает максимум на час и пару минут. При режиме экономии энергии два с лишним часа.    Не буду расписывать имеющиеся порты ноута, тут каждый почитает сам. Отзыв писал на основе тестирования ноутбука одним небезызвестным сайтом.</t>
  </si>
  <si>
    <t>Плита понравилась необычным дизайном, да и примочек больше чем у моей старой (37 лет) плиты ;)) Выбирал между Бошем, Хансой и этой... Поначалу всё нравилось. Единственное неудобство - горелка духовки самопроизвольно гаснет через 1-2 мин. после поджига. Ну да ладно, приспособились: прогреваем духовку 5-10 мин. при открытой дверце. Далее духовку можно закрыть, горелка не погаснет. Такое впечатление, что проблемы с газконтролем духовки. Месяца через три полностью отказал электроподжиг. По программе дололнительного обслуживания обратился в сервис. В результате уже месяц жду, когда придут (видимо пешком) заказанные у производителя запчасти.</t>
  </si>
  <si>
    <t>Приобрёл сие чудо сегодня для сына, с начало почитав отзывы здесь. Плеер понравился, прост в управлении, понимает FLAC, Ape, но что очень огорчило одним треком. Так что пришлось разбить запись по треково и вот оно счастье всё заработало, наушники правда придется поменять. За эти деньги очень не плохой плеер.</t>
  </si>
  <si>
    <t>Мне мой смартфон нравится. Тонкий, лёгкий, много функций. Удобно скачивать с Ovi. Много бесплатных товаров.</t>
  </si>
  <si>
    <t>Скажу честно  ЖК-телевизор Sharp отличный. 3 года гарантии. С тарелкой показывает просто супер. В игрушки играть SP3 картинка супер. Все думают купили жк и вот вам качество. Тут играет роль провода для подключения. Например HD май провод нормальный стоит от 2т и выше. Тарелка + плюс ресивер.А звук с жк слаб . но это поправимо если есть нормальная акустика.</t>
  </si>
  <si>
    <t>СУПЕР!!!!!!!!!!!!!!!!!</t>
  </si>
  <si>
    <t>Это самый ужасный пылесос!!! Он быстро забивается, перегревается и начинает пылить. Мыть фильтр нужно после каждой уборки и контейнера не хватает даже на 1 уборку!!!</t>
  </si>
  <si>
    <t>Все отлично и дизайн, и функции. Процесс приготовления заценили даже соседи по квартире, почувствовав аромат :) Печет прекрасно. Даже слоеное тесто с "мокрой" начинкой выпекается полностью сухим и пышным. Про дрожжевое тесто можно сказать - песня!!!! Направляющие выручают в самой немыслимой "позе" противня: не падает, не наклоняется, держится крепко. Единственное неудобство, которое всегда заставляет быть начеку - при открывании духовки вылетает горяченный воздух и нужно обязательно отклонять подальше голову. В первый раз обожгла лоб. Но это больше не повторяется. Рекомендую всем хозяйственным мастерицам.</t>
  </si>
  <si>
    <t>Плохой обогреватель!!! не берите. Сперва дует тёплый воздух через 2-3мин дует холодный. Замёрзнуть можно</t>
  </si>
  <si>
    <t>Доброго времени суток всем. Купил вчера эти пищалки потому как у меня одна в машине сломалась думал нормальные оказалось полная ерунда, звучат тихо толка от них нет.</t>
  </si>
  <si>
    <t>Пользуемся уже 4 года. Обогревает хорошо, даже большие помещения.   Но год назад стало течь масло (ударов не было, течет снизу), видимо нам не повезло, думали, уж за такие деньги вещь будет работать хотя бы лет 10.</t>
  </si>
  <si>
    <t>Вытяжка простая и надёжная, работает очень хорошо,вполне хватает 2 скорости, 3-й даже не пользуемся,подключили напрямую к вентиляции, всё выходит,оптимальное соотношение цена и качество.</t>
  </si>
  <si>
    <t>Взял данный аппарат, долго сомневался.   Не знаю почему говорят, что наушники в комплекте ацтой полный, оч даж ничего наушники, только басов немного.  Экран яркий, видео воспроизводит без тормозов и оч четко. Заряда батареи из заявленных 40 часов выдержал 23 часа. Экран очень быстро царапается, даж от салфетки. Звук неплохой, но настолько колоссально отличающегося от телефонного звука я не разглядел, мож медведь в детстве на ухо наступил. Динамики не скажу что громкие, зато качественные. Не понравилось, что с sp3 совместно плеер не работает, пришлось ставить сп2.   В итоге два самых главных недостатка: Подключение к ПК и экран быстро царапается. Если хотите взять для музыки и качественное берите айпод, а для фанав сони плеер оч даж неплох. решать опять же вам)</t>
  </si>
  <si>
    <t>2014-12-31</t>
  </si>
  <si>
    <t>Справляется на ура с поставленной задачей! После обработки теплые вещи как новые! Единственное, с осторожностью обрабатывать тонкие вещи, может 'засосать' ткань. Рекомендую к приобретению!!</t>
  </si>
  <si>
    <t>Нормальный майфун. Только почему-то флэшку не хочет читать 8 гиговую. Кто знает, в чем причина?</t>
  </si>
  <si>
    <t>первое включение и вот: в режиме 0 (когда работают только часы) слышно от блока управления духовки фоновое такое гудение трансформатора! и меняется звук при нажатии клавиш. В тумбочке звук усиливается. Днем не особо, но ночью он слышен по всей кухне, как минимум. По телефону сервисники объяснили, что особенности сети питания дома! Привез им в сервис, включили у них - звука-то почти и нет! Поэтому менять одну плату на такую же не стал - раз так все устроено. Поставил самый обычный рубильник отдельно на духовку - не гудит! когда выключено питание системы))) В остальном: пока нормально (1 месяц) работает аппарат, греет- вентилирует... и не особо тихо ) Достоинства + вроде бы надежные переключатели режима и температуры (нет впечатления, что вот сейчас отломаю эту пластмассинку); + кнопки управления механические, но приятные (а сенсорные могут срабатывать на одежду, случайные прикосновения); + внешний вид приятный. Недостатки - система самоочистки отсутствует, но неприятность эту мы переживем с биокерамикой какой-то там); - шум, современная техника могла бы и потише себя вести.</t>
  </si>
  <si>
    <t>1.Плюсы.  Делаю покупки уже не первый год. Бонусы капают, использую их на следующий товар.  По быстросервису, буквально за 15 минут, поменял с доплатой по сертификату на на более новую электронную книгу r657 на  Digma r659 на которой добавили часы в прошивке и софт тач покрытие корпуса. (На старой пошли полосы на экране, а ждать по обычной гарантии ремонта просто времени не было.) тут же в плюсах пишу , что при покупке взял следующий доп сертификат ,перед тем как оформить спросил у продавца по поводу если я у неё экран раздавлю заменят ли мне книгу и получив положительный ответ ( главное что бы вода в книгу не попала) пошёл оплачивать покупку и быстросервис.  На новой книге треснул экран(как, сам не знаю) книга в чехле всегда.  2. Минусы. Всё зависит от моего похода в магазин и результата по замене книги. А то , что западает кнопка включения иногда ,слабое мерцание подсветки экрана - это мелочь.   3. Общие впечатления. Срок эксплуатации около четырёх месяцев. При выборе уделял внимание книгам со встроенной подсветкой. Читает всё. Покрытие не скользит. Устраивала всем.</t>
  </si>
  <si>
    <t>Через 2 месяца проржавел шов колбы и по периметру примыкания крышки.  Буду возвращать.</t>
  </si>
  <si>
    <t>295</t>
  </si>
  <si>
    <t>Мне такой выпрямитель любимый подарил на день рождения, просила подешевле, но он решил, что я достойна самого лучшего и не ошибся, ведь именно  о нем я и мечтала, когда увидела в рекламе. Выпрямляю на 170 градусах, у меня волосы тонкие поэтому выше ставить температуру не требуется, волосы идеально гладкие, как после салона, блестящие и не электризуются! Бомба, а не вещь, я очень довольна, недостатков действительно нет, а греется моментально, что безумно радует при нехватке времени! Мужчины, дарите любимым лучшее!!! Не экономьте на нашей красоте!!</t>
  </si>
  <si>
    <t>Приобрели это космическое изделие год назад. Первым делом помыли ламинат. Хорошо, что в одной комнате. Так как мощности явно не хватало, то сильно мокро и из-за этого ламинат в некоторых местах на стыках деформировался. Потом домашние жаловались, что и на сухую он вообще не всасывает. Пробовал, вообще... С таким то ревом и внешность, да за такие-то деньги, ковры должен засасыват. Короче, денег очень жалко.Терпение лопнуло. Попробую обменять на что-то другое по сертификату. За год (не хочу называть это пылесосом) подорожал на 8000.</t>
  </si>
  <si>
    <t>Срок эксплуатации - 3 месяца. Брал для ремонта, с мыслью о том чтоб выкинуть потом. Но... Эта модель оказалась гораздо живучее, чем я предполагал. Все это время он исправно работал, сосал цемент, строительную пыль, небольшие камушки, ему все нипочем. В данном случае отсутствие HEPA фильтров оказалось преимуществом. т.к. без них мощность всасывания больше. Ремонт закончен, пылесос помыт, фильтры заменены, а пылесос остается жить дальше в квартире. Так что, за свои деньги отличный товар.  Из минусов самый явный, это сложность с покупкой мешков для сбора пыли, под эту модель они есть не всегда...</t>
  </si>
  <si>
    <t>По настоящему один из самых лучших телефонов S-линейки.Изысканный дизайн + функциональность.Что еще нужно.</t>
  </si>
  <si>
    <t>Телефон отличный,не далеко ушел от nokia 5800,вот тока  GPS  карты тяжеловато найти на него</t>
  </si>
  <si>
    <t>для начала, дополнительный контент в составе шести новых карт Challenge Maps.    Но самое интересное заключается в следующем: консольные версии игры (для PS3 и Xbox 360) будут включать возможность активировать режим TriOviz 3D на самых обычных телевизорах (как стандартной четкости, так и HDTV).    В комплекте с игрой будет поставляться пара специальных очков, при помощи которых вы сможете видеть на обычном телевизоре трехмерную картинку. По заверениям разработчиков, качество картинки при использовании TriOviz 3D куда лучше, чем у распространенных красно-голубых анаглифов, при этом глаза не испытывают никакого дискомфорта, усталости и проч.</t>
  </si>
  <si>
    <t>2030</t>
  </si>
  <si>
    <t>Ожидал большего баса, но и так пойдет, фильмы просто отлично смотрятся с ними, если конечно вы скачали/купили фильм в нормальном кач-ве (BDRip / Blue-Ray).</t>
  </si>
  <si>
    <t>2016-03-02</t>
  </si>
  <si>
    <t>Компактная и не шумная! Купили бабушке на подарок!</t>
  </si>
  <si>
    <t>Установил самостоятельно, сразу в кухонную стенку. Крышку снял, и поставил под столешницу вместо обычной тумбы такой же ширины, рядом с мойкой - поэтому проблем с подключением слива и воды не было. Подключил сразу к горячей воде, так экономичнее, и не противоречит инструкции - вода у нас до 70 градусов. А экономичнее потому что горячая по цене холодной (внутридомовой теплообменник), да и ТЭН реже включаться будет. По качеству мытья претензий нет, если расставить посуду правильно. Сушка больших предметов слабовата, но после мытья вручную на это внимания уже не обращаешь. Работает очень тихо. По соотношению цены и качества действительно не придерешься, учитывая еще и польскую сборку. Не забывайте и о том, что она окрашена в металлик. У нас она встала рядом со встроенным духовым шкафом такого же цвета, смотрится гораздо лучше, чем если бы она была белой.</t>
  </si>
  <si>
    <t>Печь супер! готовит быстрее любой духовки из-за небольшего объема! купил себе черную!</t>
  </si>
  <si>
    <t>Шумит, свистит, оставляет волосы и шерсть в барабане и на стекле. Поставила на кухню, рядом с кухонной тумбой, посуда на тумбе очень дребезжит, когда машинка отжимает</t>
  </si>
  <si>
    <t>Очень низкая мощность всасывания, только, может быть, для пепла на ковре. Не ожидал от именитого производителя такой откровенно бесполезной вещи. Многие дешевые аналоги имеют намного большую мощность. Не спасает даже продуманная эргономика.</t>
  </si>
  <si>
    <t>Собирался изначально купить ЖК "32"Philips(Филипок)Очень долго выбирал и сравнивал, после 3х часов проведенных в магазине, выбор пал на данную модель. Почему?! Реально показывал картинку лучше других(в этом и немного выше, ценовом диапазоне, на аналоговом сигнале), отсутствие куллеров (тихая работа ), новейшие технологии в экране, и что немало важно для меня, стекло экрана, в отличии от ЖК,(ребенку сложнее повредить)!  Шикарный просмотр фотографий с CD-карты памяти.Телевизор понравился, рекомендую !</t>
  </si>
  <si>
    <t>280</t>
  </si>
  <si>
    <t>купили Плазменный телевизор 50" Samsung PS-50 C6500 очень довольны!!просто супер!!!с интернетом и компом работает просто отлично!качество Blu-ray отменное-советую всем!!</t>
  </si>
  <si>
    <t>Первая стеклокерамическая панель, пока устраивает абсолютно все. Нагревается моментально, нареканий в работе нет :) Пищит, если оставить посторонний предмет на включенной поверхности, немного непривычно. Пожалуй лучший бренд кухонной техники на сегодня.</t>
  </si>
  <si>
    <t>1175</t>
  </si>
  <si>
    <t>а мне лично очень нравятся.  басы отменные, звучание отличное.  довольна еще как)</t>
  </si>
  <si>
    <t>В данном телефоне ГЛЮК - при подключении к ПК телефон не определяется ... или определяется через раз, при выключенном состоянии телефона ПК видит его тока как флеш карту (.., через 6 мес сел динамик ..., один разъем и для питания и для гарнитуры ... экономично, но не надежно ...советую НЕ ПОКУПАТЬ!!!</t>
  </si>
  <si>
    <t>Купил на днях... Первое впечатление - просто великолепно! Функционально и качественно. Особенно порадовало наличие блю-туз и флеш, наличие в настройках картинки дополнительных настроек эксперт.  Честно сказать, давно большой поклонник LG (ещё со времён GoldStar).  Думаю, оптимальное соотношение ЦЕНА-КАЧЕСТВО!  Благодарю М-Видео за предоставленную возможность приобрести телевизор.</t>
  </si>
  <si>
    <t>колонки класс!!! пользуюсь года 2 пока только пульт тупит но пользоваться мона.</t>
  </si>
  <si>
    <t>взял такой месяц назад. четкий ноут ваще. за эти деньги с такой начинкой - щикарно. все летает. игры все прет. на максимальных настройках без единого лага CoD: MW2 прошел. в GTA4 резался на средних. максималку не успел попробовать. удалил. унылая пиратка, не сохраняется) фильмаки вообще круто смотреть, фулскрин без черных полос. только некоторые фильмы с полосами. но там всего 1-2см. к Fn и Ctrl привык быстро. первые 2 дня было непривычно на 15,6" после 22"))) греется не сильно. весь день включен. 2.5часа батарею держит (в GTA:SAMP играл). вебка не плохая, качество очень даже не плохое. отсутствие hdmi минусом не считаю) он мне как-то и не нужен) единственное, когда тока купил, все пробовал. не додумался как открыть разъем для express card)) и больше заморачиваться над ним не стал)) до сих пор для меня это загадка :D</t>
  </si>
  <si>
    <t>Хорошие пищалки. До них стояли дешевые с пластиковым диффузором, звук резал уши. У этих звук намного мягче и приятнее. Мне нравятся.</t>
  </si>
  <si>
    <t>Этот пк подойдёт для игры кс го на средних настройках</t>
  </si>
  <si>
    <t>Плеером пользуюсь 8 месяцев, практически постоянно. Никаких серьёзных проблемм не возникало. Хотя для телевизора могли бы усилитель антенного сигнала по-лучше замутить (слабоват). Был один случай, что при просмотре телевизора - завис, и не перезагружался, пока батарея не сдохла, но сейчас всё "Ok". Есть ещё один "-", что игрушки нельзя закачивать, а в остальном он меня радует.  Наушники поют отлично, батареи хватает, родные динамики чуточку слабоваты.   В общем я оцениваю плеер на "5+".</t>
  </si>
  <si>
    <t>Я сама являюсь пользователем этой панели. Прочитала отзывы про нее и пришла в ужас. Люди покупают газ на стекле в ЧЕРНОМ цвете (!!!!!!) и хотят при этом: легкую чистку, уборку и чтоб пятен и царапин не было видно!!! Это невозможно и нереально в принципе!!!! За себя могу сказать, что мне эта панель оооочень нравиться! Приятная в обращении, в уходе, ручки не плавятся, конфорки мощные, очень удобное расположение этих конфорок - можно одновременно поставить широкую сковороду и среднего диаметра кастрюлю, все влезает и не мешает друг другу. Еще раз повторюсь - мне очень нравится!!! В уходе соглашусь, что приходится мыть каждые три дня - не потому что она жирная и заляпанная, а потому что на черной панели очень видно пыль, которая естественным образом за три дня оседает на мебель. А что по поводу царапин под чугунными решетками - тоже не соглашусь! При использовании плиты они образоваться не могут, т.к. стоят плотно и не прыгают. Они появляются при чистке, вернее когда плиту помыл и ставишь решетку на место то с непривычки можно и поцарапать! Но это как же так нужно не любить свою технику за которые отданные не малые деньги, чтоб потом так относиться пренебрежительно! И еще, у меня под конфорки вода не затекает, потому что при покупки я на это пристально обратила внимание. И прежде чем купить в магазине со склада, мне принесли четыре одинаковых модели из которых я выбрала лучшую. Причина дотошного досмотра заключалась в некачественном соединении, тех самых шурупов которые скрепляют металлическую конфорку со стеклом. Просто смотрите, что покупаете и за что платите!! Газконтроль, может быть и заторможен в начале, но потом он разрабатывается и все работает быстро! Итог: Панель отличная. В уходе требует чуть побольше времени, чем обычная плита. Средство покупайте на основе силикона, он дает защитную пленку и в дальнейшем жир легко сходит. Ах, да и еще если есть выбор в цвете и он не принципиален, то возьмите точно такую же модель, но белую. И тогда Вы предохраните себя от этих ужасных отзывов и сомнений! Желаю удачи!</t>
  </si>
  <si>
    <t>2124</t>
  </si>
  <si>
    <t>Рок, металл  - очень качественно (используется хороший усилитель). С телевизора и муз. центра хуже, не дают полной мощности.  Отличные наушники по качеству. Покупаем и наслаждаемся.</t>
  </si>
  <si>
    <t>Замотав изолентой кнопку ... это тест драйв получается (сколько минут она протянет прежде чем сгорит резистор выходной) ни в коем случае этого делать нельзя, гарант.ремонта никакого не будет естественно. Второе, рация мыльница, впрочем как и все остальные, если конечно есть чему там сгореть ибо мощность настолько мала, что и 200 метров не пробьёт через дом монолитный, чем брать игрушечную, копите на реальную вещь к примеру кенвуд TK-480 её можно даже купать, что уж говорить тут ... совершенно разные вещи.</t>
  </si>
  <si>
    <t>Купили 30.12.10г.работает отлично,семье очень нравится.</t>
  </si>
  <si>
    <t>Брал эти наушники для того ,что бы смотреть вечером телевизор и ни кому не мешать.Пять метров провода хватает с лихвой.Звух у данных наушников средний,но для телевизора пойдёт.Но  вот чего я не ожидал от Панасоника,так это того что через месяц у них перестал работать левый динамик.Думал что провод у штекера обломился,но нет.Разобрал левую чашку ,проверил тестером и понял,динамик приказал долго жить.Данную модель, не советую покупать.</t>
  </si>
  <si>
    <t>2015-04-09</t>
  </si>
  <si>
    <t>Через 3 года стали барахлить часы.  Управление на таймере ручками не очень удобное.  А печет духовка отлично.</t>
  </si>
  <si>
    <t>Начну  с дизайна: телефон тонкий, легкий, удобно лежит в руке, хотя размер у него достаточно большой. Качество сборки телефона не вызывает никаких претензий, задняя крышка плотно прилегает к корпусу, ее легко снять.   Экран большой, яркий, цвета насыщенные. Плюс появилась опция «Оптимизировать дисплей», это очень удобная настройка, так как аппарат анализирует уровень освещения вокруг и в зависимости от условий выставляет контрастность, яркость, настраивает цвета на экране. Хорошая камера, однако, S3 снимает ничуть не хуже, хотя заявленных мегапикселей там меньше. Среди софта появилось много новинок, в том числе управление жестами и взглядом, что достаточно удобно в холодное время года, когда пользуешься телефоном в перчатках. В комплекте с телефоном идут достаточно приличные белые вакуумные наушники.  Среди минусов можно отметить пластмассовый корпус, как и во всех Samsung, большой объем занимаемый системой( при 16 гб внутренней памяти доступно только 8.8) и пожалуй отказ от Fm-радио, что лично я критическим недостатком не считаю.  Считаю данный аппарат очень достойным</t>
  </si>
  <si>
    <t>1014</t>
  </si>
  <si>
    <t>Отличная кофемашина, кофе варит вкусный ароматный, капучинатор отлично взбивает молоко любой жирности, вообщем берите, не пожалеете.</t>
  </si>
  <si>
    <t>Рынок перенасыщен, тысячи моделей, куча производителей. Но принцип, в основном, один. Ультразвуковое распыление воды и подача холодного пара вентилятором. Данная модель внешне выглядит довольно не скучно, а цена её, по сравнению с другими, выводит её на лидирующие позиции. Вместительный бачок для воды, высокая производительность позволяет эксплуатировать в достаточно большой студии на протяжении всего дня или ночи. Насчёт шума вентилятора -  есть. Насчёт протечек бака - была такая проблема. Уплотнительная резинка крышки криво стояла - минутная тренировка для мозгов и течь устранена. Звук бульканья во время работы не страшный. Вокруг имеются и куда большие проблемы в плане спокойного вечера или ночи. Так что рекомендую)</t>
  </si>
  <si>
    <t>Купили, т.к. при переезде на полноценную плиту денег не хватило. Но думаю, что менять не стану! Отличная вещь! Очень рекомендую! Семья из трех человек - панели вполне хватает. Моется отлично и выглядит в интерьере стильно! Недостатков вообще нет! Мы сами допустили оплошность - близко к стене расположили, но это не особо напрягает. Считаем, что данный набор функций за такую цену оптимален!</t>
  </si>
  <si>
    <t>Муж подарил этот тостер мне на 8 марта, т.к. праздник отмечали у его мамы, решили испробовать у нее. Прошло уже 2 года, как он там и остался!!! :) Вот, сейчас думаю домой такой же приобрести! Его родители пользуются каждый день! Даже внуку первокласснику на 1 сентября презентовали! В общем, рекомендую! Мыть удобно, хлеб поджаривает равномерно! 5+</t>
  </si>
  <si>
    <t>Фен просто обалденный!   У меня длинные, тонкие и вьющиеся волосы, которые совершенно невозможно самостоятельно вытянуть с помощью щетки и фена.Перепробовала много приборов и средств для укладки, но ничего, кроме приносящего вред волосам утюжка, нужного эффекта не приносило. Решила попробовать фен-щетку. Долго сомневалась с выбором,  меня в магазине еще смутило фактическое отсутствие режима \"холодного воздуха\</t>
  </si>
  <si>
    <t>Плохой вентилятор.  Весь дребезжит и трясется.  Вилами они их, что-ли разгружают.  Вернул в магазин.</t>
  </si>
  <si>
    <t>Установили в 2009г. Особых нареканий НЕТ! Комнату в 15кв.м охлаждает быстро. И это не смотря на 50гр жару!</t>
  </si>
  <si>
    <t>2714</t>
  </si>
  <si>
    <t>Автопылесос все-таки вещь просто необходимая, особенно если частенько садятся в машину дети. Постоянно что-нибудь загрязнится, особенно если они еще и кушают в поездке... Пылесос сильно помогает мне досттаочно быстро избавиться от всякой грязи и мусора лишнего. В принципе он и мощный и не такой уж и шумный, удобно можно держать в руке, вес совсем не затрудняет процесс чистки. Благо тут и комплектация хорошая, дали несколько насадок, можно убрать даже скопившийся мусор в любой щели. Насчет хранения такого пылесоса тоже позаботились - в комплекте дали специальный чехол, я в нем только и храню эту модель.</t>
  </si>
  <si>
    <t>Поправка:  программа ForteManager имеется на установочном диске с драйверами, который идет в комплекте с моником.......  приношу свои извинения за ложную информацию раннее (просто тупанул......)  Монитор супер!!!</t>
  </si>
  <si>
    <t>купил этот телефон и доволен, минусы в том что не громко играет мызыку и при выключеном дисплее плеер не работает, но это исправимо.   пользуюсь им уже третий месяц, доволен.</t>
  </si>
  <si>
    <t>Лучшая (на мой взгляд) игра за последние 2 года.</t>
  </si>
  <si>
    <t>моему скоро год  1-очень боялся пыли под экраном.но она не появилась  2-засчет отличной подсветки и огромного разрешения экрана царапин на экране я почти не замечаю  3-да,задняя крышка царапается,но все-таки это почти не замечаешь  4-ни единого глюка  5-поставил на него СПБ меню,шикарный 3д интерфейс,удобное использование  6-да,батарейка, возможно, слабовата,но вечерком к сети подключил и плевать  7-громкий,динамики работают отлично  8-удобное написание смс  9-может разблокироваться в кармане,но если его правильно класть в карман такого не будет+можно включать дополнительную блокироку    Вцелом,аппарат отличный,всем советую!</t>
  </si>
  <si>
    <t>Купили этот тепловентилятор несколько месяцев назад, пользуемся регулярно и очень довольны: комнату нагревает быстро,прост в эксплуатации, нет сильного шума и неприятного запаха + недорогой. Как раз то, что называется техника для реальной жизни. Всем советую, хороший прибор!</t>
  </si>
  <si>
    <t>Ужас, за пол года сломалась уже вторая. Сегодня поеду в любимый М.Видео сдавать этот хлам. Пользуюсь раз в неделю по 30 минут, но даже в таком режиме этот прибор умудрился выйти из строя.</t>
  </si>
  <si>
    <t>Замечательный ноут, звук конечно плохой, но зато много других плюсов, в общем  отличное соотношение цена - качество</t>
  </si>
  <si>
    <t>Довольна дизайном, но через год перестали показывать цифры, сначала были плохо видны, а потом перестали показывать. Смена батарейки не помогла.</t>
  </si>
  <si>
    <t>Красивый чайник, красиво светится при закипании</t>
  </si>
  <si>
    <t>Пользуюсь бритвой почти месяц, качество бритья великолепное. Бритье чистое, при этом не обязательно наличие воды или пены для бритья и всего остального. Отдельно про систему очистки: При установке  бритвы на станцию, она сама определяет, в какой степени очистки нуждается бритва и остается только нажать кнопочку, что бы запустить процесс очистки. Одной капсулы жидкости хватает на 30 циклов очистки. Так же на самой бритве есть удобный дисплей с отображением оставшегося заряда батареи и степени загрязненности бритвы. Итогом бритва отлично справляется со своими обязанностями, очень удобна для перевозки, аккумулятор хорошо держит заряд, недостатков за время использования не нашел.</t>
  </si>
  <si>
    <t>Купили эту посудомоечную машину 2 недели назад. Я очень довольна посуда чистая ( средство беру калгонит на половинную загрузку порошковое, а на полную 3 в 1 таблетки и там и там отмывает хорошо) есть один минус на 30 минутной программе иногда не прополаскивает приходится ставить на доп. Полоскание. На программе А моет очень хорошо, за целый день копим посуду, семья из 3 человек, а вечером запускаем. Входят и кастрюли и сковородки и противень, я выбирала между немецкой Бош и вот этой, и не ошиблась не в размерах, не в качестве! Рекомендую!</t>
  </si>
  <si>
    <t>2794</t>
  </si>
  <si>
    <t>ужасная модель    Недостатки: В течение гарант.срока 3 раза обращались в сервис! Мощность слишком высока для такого объема воды! Запах присутствует очень долгое время! Закипает очень шумно и кипит очень долго, пока сам отключится, кипящая вода выплескивается наружу! Сразу после закипания дотрагиваться нельзя- сам чайник и шнур горячие! Если вдруг понадобится еще вскипятить воды, то сразу это сделать не получится, придется ждать пока чайник остынет (около 20мин).Так что и с ценой тут загнули!</t>
  </si>
  <si>
    <t>Смотрю косяк с протеканием не у меня одного. Начал течь через три года, снаружи разводы  от накипи. Хотел купить точно такой же, к кофеварке такого дизайна, но раз этот порок органический - то придется покупать другую модель.</t>
  </si>
  <si>
    <t>2176</t>
  </si>
  <si>
    <t>Плазма классная за свои деньги!!! Кабельное ТВ показывает очень хорошо, фильмы с DVD и Blue-Ray дисков смотрятся тоже отлично (цвета насыщенные и яркость нормальная), несмотря на низкое разрешение при 50 дюймах. Моя личная оценка 5+.</t>
  </si>
  <si>
    <t>Я такой фен-расческой пользуюсь уже третий год. Очень нравится качество, раньше приходилось каждый год покупать такие приборы из-за частых поломок. Мягкая щетинка и керическое покрытие совсем не портят мои волосы. Щетина за все время использования не испортилась, просто распушилась и это даже удобней:) так что советую!:)</t>
  </si>
  <si>
    <t>2012-08-10</t>
  </si>
  <si>
    <t>Дом панельный, подушки под внешний блок не ставили. Работает тихо, как внутренний, так и наружный блоки. Устанавливал знакомый кондиционерщик.</t>
  </si>
  <si>
    <t>Фен делает волосы ровными и послушным несмотря на то, что у меня тонкие волосы. Главное преимущество -щадящее обдувание волос горячем воздухом! Отсутствует эффект пересушенности и ломкости. Я покупаю такой фен уже 2-ой раз: первый фен прослужил около 2,5 лет и очень радовал! Пробовала фены с другой щеткой -эффект ломкости всегда был!</t>
  </si>
  <si>
    <t>Щипцы пришлось покупать в спешном порядке, потому что перед самым отпуском сгорели свои проверенные, которыми пользовалась лет 5. ВИТЕКом до этого никогда не пользовалась, но решила рискнуть, потому что очень понравилась и сама модель, и ее цена. Покупка оправдала себя на 100% - щипцы удобные, компактные, с отличным качеством завивки локонов. Керамическое покрытие вроде бы сейчас уже стандарт, но иногда все же встречала металл. Но попробовав один раз керамику, уверена, что никто металлическими уже не будет пользоваться. К достоинствам еще отнесу продуманную форму ручки, приятный дизайн и удобный диаметр щипцов.  Порадовало наличие двух режимов нагрева. В целом модель очень достойная. Исходя уже из имеющегося собственного опыта могу сказать, что это и домашняя, и дорожная модель – брала с собой в отпуск, в чемодане занимает минимум места и почти ничего не весит. Очень бережно относится к волосам. Минусы – пока не нашлись. И уже через 4 месяца наверно вряд ли найдутся. Главное чтоб работали долго и надежно.</t>
  </si>
  <si>
    <t>В целом очень хороший телефон, в полном от него восторге, хотя покупал его без особого настроения, так как не хватало денег на более дорогой аппарат, а телефон нужен был срочно, так как старый приказал долго жить.   Нравится то, что с железом и тяжелый, хоть и есть пластик (крышка аккумулятора).  Экран хоть и темноват на мой взгляд, но очень четкий (видимо спасает разрешение.)  Звук отличный, работа приложений и интернета на пять.  К тому же не думал, что я это скажу про телефон с пластиковой крышкой и без подключенного консьержа, но этот телефон стильный! По крайне мере он смотрится органично в офисе и в ресторане.  Ещё дам дельный совет: покупайте именно оригинальные вещи.Намучился я со всякими там китайками и копиями по самое не могу, а тут просто отдых какой-то и сплошная радость от вещи.</t>
  </si>
  <si>
    <t>432</t>
  </si>
  <si>
    <t>Телек супер! все плюсы уже написали! А вот то, что картинка не растягивается с внешнего HDD на весь экран - это МИНУС! Еще не совсем удачно расположены входы на боковой панели. Но в целом оценка твердая 5+</t>
  </si>
  <si>
    <t>Отличный ноутбук. Пользуюсь 2 месяца. Проблем нет. Мощный аппарат.  Из небольших минусов могу только выделить клавиатуру. Некоторые клавиши очень маленькие (а именно стрелки). Через некоторое время использования, клавиши проседают и их видно при сравнии уровней менее используемых. Ну угол обзора у экрана небольшой. Но это все мелкие минусы.    Кто не может найти дрова, заходите на сайты разработчиков комплектующих!!! Т.е. не нужно искать дрова на сайте паккард-белла и ацера! Там все старое и галимое. Заходите на сайты производителей: амд, интелл, реалтек.... и там все свежее качайте!</t>
  </si>
  <si>
    <t>сломались на следующий месяц,замена батареи не помогла.весы хорошие но сломались что то очень быстро.</t>
  </si>
  <si>
    <t>Это первая наша машина-автомат, купили в основном из-за того, что сделана в Германии и без лишних наворотов. Стирает хорошо, тихо, энергии потребляет незаметно, сигналов никаких не подает(а можно было бы). В целом довольны, рекомендуем.</t>
  </si>
  <si>
    <t>Коротко:  из плюсов:  - равномерная подсветка, как результат очень приличная глубина чёрного  - отличная цветопередача  - мультимедийный плеер (через USB)  - соотношение "цена-качество"  из минусов:  - аналоговая картинка, впрочем как и на любом жк-телевизоре. Но ведь на обычном телеке HD даже и не светит  Вывод: если смотрите только "с антенны" - для вас кинескопные ящики, если цифровое это-самое, то берите - не пожалеете. Универсального "рецепта" всё-равно не существует</t>
  </si>
  <si>
    <t>Купили 22.01.2011 ну очень уж понравился дизайн, вместительная очень, функций очень много, и также "очень" я была довольна пока она не сломалась((( а прошло всего 17 дней с момента попупки, и пользовались мы ей ни каждый день и раза 2 в сутки, когда на скорую руку разогреть покушать надо было - утром и вечером. А сломалась просто,при разогреве завтрака все потухло (и цифровой дисплей и свет внутри) после чего она больше не включается вообще. А да еще был недостаток, когда нажимали кнопочки на панели, они бились током, может это и связано с поломкой. Вот расстроенная сижу, сказали везти в сервисный центр.</t>
  </si>
  <si>
    <t>Довольно очень хороший ноутбук, точнее нетбук, он достаточно компактен, не тормозит, шустро работает, всё устраевает на все 100.</t>
  </si>
  <si>
    <t>Классный аппарат. У меня уже полтора года. Мощность - зверь. Рекомендую.</t>
  </si>
  <si>
    <t>Ноутбук отличный. видео выше среднего, по производительности отлично.  снес висту поставил Windows 7 полет нормальный.  Одна проблема была в драйвере, потому что драйвер защиты жесткого диска обозвали "Программа защиты жесткого диска HP ProtectSmart" и поместили в раздел "Программное обеспечение - Мультимедиа".  Вот ссылка на драйвера http://h10025.www1.hp.com/ewfrf/wc/softwareList?os=4062&amp;lc=ru&amp;dlc=ru&amp;cc=ru&amp;product=3996575&amp;#9001;=ru</t>
  </si>
  <si>
    <t>2750</t>
  </si>
  <si>
    <t>Блендер отвратительный.   Недавно поменял его обратно на деньги. Жуткий шум двигателя, некорректная работа кнопок(западают и агрегат не выключается).</t>
  </si>
  <si>
    <t>Купил стирку только сегодня, опробовать соответственно не успел, но внешним видом доволен.</t>
  </si>
  <si>
    <t>Пользуюсь плеером месяц, впечатления несколько противоречивые. На второй день плеер заглючил, и пришлось менять сразу прошивку. Видимо из-за неправильного отключения от компьютера. Теперь всегда дожидаюсь появления надписи об отключении. Остальные недостатки мелкие, например в настройках радио перепутано моно-стерео, и стерео работает на моно. А в остальном только плюсы. Удивило, что карта памяти поддерживается до 16гб, так что вместе со встроенной получается 24гб (хотя в инструкции заявлено 8гб). Батарея долгоиграющая, звук неплохой, радио неплохое, комп распознает плеер как флешку. Еще бы доработать ее чуть-чуть. При аккуратном обращении, и если Вы с компьютером на "ты", советую всем. Если Вас это затрудняет и не хотите лишней мороки - не советую.</t>
  </si>
  <si>
    <t>Панелькой пользуюсь пол года  и уже не представляю как я раньше без нее обходилась? Модель очень продуманная и удобная в плане эксплуатации. Не говорю о том что на ней все наревается моментально. Мне больше по душе такие фишки как контроль закипания, контроль за наличием влаги на поверхности (удобно если что то убежит, то печка выглючится), защита от детей и очень точная настройка температуры. печка имеет две расширяемые конфорки.на самой дальней удобно готовить в утятнице или широком противне с бортиками.уход простой - достаточно протереть тряпочкой после готовки.</t>
  </si>
  <si>
    <t>Короткое, можно смотреть в него только согнувшись в 3 погибели .  Подсветка- ужасная - снизу одна лампочка противного  темно- желтого цвета, вообще бессмысленная. Так еще новых батареек  энерджайзер   хватило ровно 3 раза включить эту лампочку.   И при этом  еще и от сети не работает.  Не ожидала такого от Ровента. Лучше б в Ашане купила другое за 1000р</t>
  </si>
  <si>
    <t>Недолго поизучав рынок ноутбуков нашел данную модель в М-Видео. Цена порадовала и задумал купить. Достаточно долго продавал свой комп чтобы дособрать денег, так что когда продал, обнаружил что данные буки в Ярославле все распродали, пришлось ехать в соседнюю область за ним.   Хочу отметить очень хорошую начинку для этой цены. Все работает на ура. Игры пашут отлично. Звук работает прекрасно, даже не ожидал, что такие маленькие колоночки так хорошо играют. Порадовали фирменные утилитки идущие в комплект с ПО. Но иногда проскакивает неправильная работа бегающей шкалы переключателя вверху клавиатуры, ее иногда "клинит", это скорей всего утилитка управления неправильно работает после переустановки WIN7.   Кому то может показаться что ж.диск маленький, проблема решается покупкой внешнего, я купил с поддержкой eSATA, но разница по скорости с USB 2.0 незначительна.   Главный минус этого бука это экран, максимальное разрешение 1366х768. Но для такой цены и размера данного лэптопа это нормально, к тому же можно подключить внешний монитор, видеокарта может работать практически с любым разрешением. Так что меня данный минус не очень смущает.   Качество сборки нормальное, щелей замечено не было. Пластик действительно пачкается, но мягкая тряпочка все исправляет.  Если переустанавливаете операционку на WIN7 x64, не забудьте выкачать ВСЕ драйверы и утилиты с оф. сайта для х64, даже если они у вас записаны на бук изначально. Универсальные драйверы не все подходят, у меня была такая проблема, что не все устройства при переустановке начинали работать.   Вообще ноутбуком доволен на все 100, с такой конфигурацией дешевле 30 тонн не найдете. А lenovo это тот же IBM, тока бук под своим брендом выпустили.    З.Ы.: BlueRay дисковода на ноутбуке НЕТ, это дезинформация.</t>
  </si>
  <si>
    <t>Пригласил пацанов на пельмени в вызодные. Купил мяса, мусорубку запустил, на втором куске килограме мяса решил делать стейки :) с такой сокростью крутишь фарш моджно было до понедельника. Попробую поменят на модель помощнее.</t>
  </si>
  <si>
    <t>738</t>
  </si>
  <si>
    <t>просто суперский выпрямитель!!!!и ионизация просто отлично работает,он у меня уже больше года ,каждый день в рабочем состоянии,просто замечательная укладка!!!всем советую,волосы класс после него!знаю за что отдала деньги,и несколько не жалею!!!</t>
  </si>
  <si>
    <t>1183</t>
  </si>
  <si>
    <t>Очень хочется похвалить этот пылесос. Он не создаёт никаких проблем в эксплуатации. Мощен, не шумен, сделан очень качественно и стильно. Отлично маневрирует по комнатам, компактный, шнур не путается, очень выручает автоматическое сматывание. А с, моющимся, НЕРА фильтром уборка превращается в удовольствие, воздух в доме остаётся свежим и не приходится, после уборки, собирать пыль ещё и с мебели (как было с моим старым пылесосом).</t>
  </si>
  <si>
    <t>В нашей семье,  3 водонагревателя Thermex и сейчас 06.2016г. купили 4 ( все установлены в разных квартирах и имеют разный объем и приобретали в разных магазинах, в разное время).  Главным решением приобрести 4 водонагреватель в новую квартиру именно Thermex было использования предыдущих. Самому "старому" более 7 лет. За все время, не было ни одной поломки. Все Thermex работают без нареканий. Один из Thermex установлен в частном доме, где нет горячей воды, соответственно практически все время в режиме работы, стоит отметить, что за 5 лет использования в частном доме не было ни одной поломки или других нареканий. Стоит отметить, что в частном доме еще установлен водонагреватель другого производителя и маленького объема (на кухне), так вот он недавно сгорел!!! а Thermex работает!!!!!! Поэтому при покупки очередного водонагревателя даже не было сомнений какой выбарть, только Thermex.   Минусов у Thermex мы не обнаружили.</t>
  </si>
  <si>
    <t>в использовании уже 1,5 года. Недавно сломались зубчики на насадке для объема, очень хорошая была насадка, волосы после нее очень гладкие. Наверно бы не купила второй раз его, зная о поломках, которые у всех возникают</t>
  </si>
  <si>
    <t>Приобрели в 2014году. Идеально подходит для маленьких ванных комнат. Удобные режимы стирки. Очень понравилось наличие режима спорт, удобно стирать обувь. Проста в использовании. Один минус - случались пару раз программные сбои и вместо положенных 40минут стирки крутила 2,5 часа. Вызвали мастера, запустили, а при мастере программа сама заработала)) Сейчас все отлично работает, стираем часто(больше семи раз в неделю)</t>
  </si>
  <si>
    <t>маневренный, компактный,  мощный, прятный дизайн</t>
  </si>
  <si>
    <t>2173</t>
  </si>
  <si>
    <t>Отличный телефон. Пользуюсь год. Быстрый, оперативный. Батарея, при активном использовании, держит чуть более 6-7 часов. НО! Зарядка до 100% осуществляется моментом, достаточно получаса. Мой супер амолет ведет себя чудестно, роняла раза три, таскаю в кармане джинсов, ребенок с ним регулярно играет... тьфу-тьфу... Камера отличная, правда при отличных окружающих условиях (свет и пр..) При плохом освещении снимки средней паршивости.  Конечно не без ложки дегтя. Случается зависнуть. Если каким-то приложением регулярно пользоватся и не чистить кеш, будет виснуть. Пару раз приходилось перегружать самым варварским образом, извлекать батарею... Есть еще одна штука, которая бесит. НЕ НУЖНЫЕ ПРИЛОЖЕНИЯ! И их не удалить. Верней удалить то можно, но чтоб удалить одно прилижение нужно установить другое, да и этого не хватает, приходится установить еще одно, которое дает права на удаление. Покупка телефона за наличные не даст вам таких прав)))) только левые приложения. Короче, проще их отключать, а не удалять. Хотя тф все-равно предлагает их обновить.  Но если подвести итог, нисколько не жалею о покупке. Еще есть множество плюсов, всех не перечислить. А вот недостатков больше не увидела. Ничего не ломается, не трескается и не вздувается...</t>
  </si>
  <si>
    <t>Нам очень нравится эта модель. Пользуемся больше 3х месяцев. Хорошо поджаривает тосты, размораживает просто отлично, булочки подогревает вообще сказка! А самое главное тосты резко не выпрыгивают как это часто бывает, очень плавная подача! Это огромный плюс.</t>
  </si>
  <si>
    <t>Машинку приобрели 2009 г.   Плюсы : отслужила без поломок 6 лет. Минусы : при замене подшипников приходится пилить бак , очень шумная при отжиме ,для стирки одеяла мала загрузка. После замены подшипников прослужила еще год и полетели мозги. Вообщем все мастера по ремонту сказали ,что  7 лет для индезитов  это очень хорошо . Продавцы в магазинах сразу предупреждают ,что  независимо от марки и цены срок службы машинок от 5 до 8 лет . Вообщем кому как повезет.</t>
  </si>
  <si>
    <t>Купила плеер 3 месяца назад. Довольна очень. В нем есть все, что необходимо хорошему MP3 : отличное воспроизведение музыки, отличное качество видео. Игры сразу удалила, что бы не зависал. А так с ним проблем не было, правда зависал раза 2-3, но это поправимо и случается со всеми MP3-плеерами. Еще очень нравится дизайн, это не маловажно. Приятны на ощупь, красивый, небольшой. ( Вот только экран арапается, но это ерунда).   Большой выбор различных тем, возможность создавать папки, медаилисты. Звук офигеть просто!) Вот только наушники заменила сразу же, те которые идут в наборе очень плохие. Так что всем советую сразу же поменять их на другие. Оптимальный вариант это Philips или Explay. Зарядки зватает на 10-12 часов. Батарея держит очень хорошо.  Берите этот плеер, вещь отличная!!!!!</t>
  </si>
  <si>
    <t>2843</t>
  </si>
  <si>
    <t>Светильник удобный, но лампа сгорела через 2 недели .</t>
  </si>
  <si>
    <t>Купила в октябре 2009, до сих пор не могу нарадоваться. Шума вообще нет, основные мойки ставлю всегда на ночь. Утром имею кристально чистую посуду.  + тишина при работе  + прекрасно отмывает любые загрязнения  + простота эксплуатации, все понятно даже ребенку    - отделение для таблеток после мойки всегда открыт</t>
  </si>
  <si>
    <t>Простая в управлении, приятно лежит в руке, хорошо чистит зубы</t>
  </si>
  <si>
    <t>Скажу честно,телефон классный!!!До этого был нокия 1202.НЕ плохой телефон,но эти отверстия на задней крышке меня добили!!!!Короче я купил и очень доволен!!!!!!</t>
  </si>
  <si>
    <t>Кошмарная покупка. Во-первых - нас по сути обманул продавец магазина в Балашихе, сказав что класс мойки - А. Мы не проверили это и только дома обнаружили что он - С. Недовольству нашему небыло предела... Далее. Моет посуду она - ОТВРАТИТЕЛЬНО. Просто мерзко. Уже год как она у нас и до сих пор недовольство... Лучше бы купили Бош за такие же деньги!!! Иногда просто всю посуду приходится перемывать. (укладывается посуда правильно и все средства добавляются - и жидкость и соль и таблетка, так что тут нет ошибки). Регулярно чистим ей сопла. Долго не хотелось писать плохой отзыв - но сил уже нет. Ее даже на дачу не отвезти - надо нести на помойку. Она бесполезна. Еще один "маааленький штришок" - шума от нее столько что ночью не включишь - побудит весь народ!!! ОЧЕНЬ шумная!!! Днем тоже не особо включишь - реально слышно только ее и никого и ничего кроме. Короче - г-но. Жаль деньги.</t>
  </si>
  <si>
    <t>Просто превосходный телевизор за такую сумму!Качество изображения на высшем уровне,даже изображение обычного ТВ улучшает в разы.Отличный телевизор! Яркий и тонкий. Советую.</t>
  </si>
  <si>
    <t>Мне, именно такую, радионяню подарили. Пользуемся уже 9,5 месяцев. Все работает хорошо. Бывыет, что связь на 2-3 секунды пропадает и тогда родительский блок сигнализирует об этом. Модель хорошая. Я довольна. Точно такая же и у моей подруги. Пользуются уже 2,7 лет. Нареканий нет.</t>
  </si>
  <si>
    <t>2389</t>
  </si>
  <si>
    <t>В пользовании пара недель. Выбирал пылесос для аллергиков. Полностью соответствует этим требованиям - можно хоть нос в выхлоп засунуть. Сосет хорошо. Поскольку все улетает в мешок, визуально удостовериться в объеме засосанной грязи и морально удовлетвориться качеством работы не получается - только на ощупь. Но и на ощупь ее как-то нереально много - не думал, что в такой грязи живу. Заметил такую странность неприятную, если трубу отсоединить, то дырка клапаном не закрывается, и мешок открыт. Оч. хлипкая крышка причиндалов, и пластик какой-то китайско-китайский - умудрился в первый же час по кругу ободрать пылесос об икеевскую деревянную мебель - царапины такие не хилые. Но, основные функции пылесоса: сосать и не выпускать - на 5+.</t>
  </si>
  <si>
    <t>1534</t>
  </si>
  <si>
    <t>Купили эту машинку. Установили ее сами, не читая инструкцию. При стирке она начала прыгать по кухне. Вызвали мастера и оказалось, что мы не сняли болты удерживающие барабан. Сейчас она стирает и отжимает почти без вибрации. Мы довольны ее работой.</t>
  </si>
  <si>
    <t>Память в 512МБ для такого процессора, ну ни как не подходит. Минимум, который должен быть-это 1024 МБ, для такой модели</t>
  </si>
  <si>
    <t>Простой</t>
  </si>
  <si>
    <t>Сегодня купила эти щипцы, очень не довольна. Не завивает совсем.</t>
  </si>
  <si>
    <t>390</t>
  </si>
  <si>
    <t>Вчера приобрела данную модельку. Давно его приметила, у подруги такой же, она вполне довольна.   Всё отлично. Не тормозит. Не глючит. Сенсор моментально реагирует. Наушники удобные.   Минус в задней крышечке(немного ходит в стороны) и кнопка блокировки немного дребезжит, но ЭТО ВСЕ НЕ СУЩЕСТВЕНО, на мой взгляд.   Поработает-посмотрим!!!))))) Оценка 5!!!</t>
  </si>
  <si>
    <t>Неплохой телевизор, правильное соотношение цены и качества. Очень долго выбирали между Sony и Samsung, в Samsung смущала российская сборка. Работает всего месяц, пока особых претензий нет. Единственное, советую смотреть характеристики на сайте производителя, т.к. здесь указано наличие функции "картинка в картинке" и "картинка и картинка", на деле её нет и  это есть минус.  http://www.samsung.com/ru/consumer/televisions/televisions/tv-lcd/LE37B530P7WXRU/index.idx?pagetype=prd_detail&amp;tab=spec&amp;fullspec=F</t>
  </si>
  <si>
    <t>Купил этот аппарат и жалею с первого дня. При запуске более-менее современной игры он постоянно виснет, перезагружается, выдает сообщения об ошибке Windows. Это чудо китайской техники годится разве что для прослушивания музыки и печатных работ. У меня Samsung бюджетной комплектации за 3 года не выдавал такое количество ошибок, как этот "игровой компьютер" за месяц. Люди! Перед покупкой продукции Acer советую хорошо подумать.</t>
  </si>
  <si>
    <t>Надоело покупать разного типа ручные открывалки и выворачивать себе руки,пальцы. Даже и не заметила, как открыла вы первый раз ею банку сгущенки. Восторгу не было предела.Спасибо открывалке!!! А заточка для ножей особо в ней и не нужна. Привыкли к другой.</t>
  </si>
  <si>
    <t>Отличная щетка-избавляет и предохраняет от зубного налета! Я довольна-не на радуюсь!</t>
  </si>
  <si>
    <t>мне понравилась, отличный  дизайн, в начале кажется сложным, но ничего  сложного нет, украсит любую кухню, рекомендую.</t>
  </si>
  <si>
    <t>Пользуюсь данным пылесосом уже год и очень довольна. Единственный неприятный момент - сломалась насадка для мытья полов, но я приобретала его со страховкой, так что заменили без проблем в течение двух недель. Так что всем рекомендую, в соотношении цена-качество пылесос просто отличный, а кого есть маленькие дети - просто незаменим!!!</t>
  </si>
  <si>
    <t>По городу плохо ловит, за городом ещё хуже...</t>
  </si>
  <si>
    <t>1298</t>
  </si>
  <si>
    <t>Утюг Tefal FV 3300E0 приобрела пол года назад и до сих пор не могу им нарадоваться, несмотря на то, что процедура глажки никогда не приходилась мне по душе. Утюг очень прост и легок в использовании. Отлично проглаживает вещи, не повреждая их, после него не остается блеска на одежде. Рекомендую приобрести надежного помощника).</t>
  </si>
  <si>
    <t>что тем, у кого вообще не было посудомойки - это вообще просто подарок. Такую я купил маме, а себе ВЕКО. Говорить о том, что посуда не отмывается и утверждать, что вещь сама по себе плохая - неверно... Если посуда долго стоит в раковине - это показатель нечистоплотности. Советую ставить посуду сразу в машину на режим ополаскивания, не экономя на моющих средствах. И скажите спасибо, что вообще такое появилось в России. 20 лет назад компактную посудомойку было просто не найти!</t>
  </si>
  <si>
    <t>Начнем с недостатков.       1. Корпус крашенный, потому дня через 3 ждите облезания краски.     2. Камера внутри корпуса не зафиксирована и в зависимости от силы воздействия на корпус может принимать различные положения. В результате фотосъемки в кадр попадают не те детали которые вы хотели видеть.     3. Аудио разъем плохо зафиксирован и быстро расшатается, три дня эксплуатации плеера достаточно, чтобы появился дребезг звука в наушниках.      4. Звук недостаточно громкий в наушниках и с внешнего динамика.     5. E-book из-за неудачно подобранного фона и шрифта бесполезен. Хотя методом эксперимента можно найти некоторый угол с точностью плюс минус 1-2 градуса, когда текст станет читабелен.     6. Маленькая емкость аккумулятора, предположительно не более 450 мА в час, таким образом для воспроизведения видео его хватает не более чем на 2 часа 10 минут, а при прослушивании радио на 4 часа.    Достоинства:       1. Чувствительный приемник, память на 30 станций, что достаточно для Московского плотно заселенного ФМ-диапазона.     2. Высокая четкость LCD — дисплея. Даже на таком маленьком экранчике в 2.4 ' вполне можно смотреть художественные и документальные фильмы.     3. Имеется возможность сделать закладку при воспроизведении видеофильма.     4. Имеется режим авто сохранения при экстренном выключении из-за снижения питания.     5. В E-book читает не только файлы в формате txt, но и html. Имеется возможность создания закладок до 10 в каждом документе.</t>
  </si>
  <si>
    <t>Шустрый ноут, практически ничем не отличается от asus k52j или k70ic - разве что видеокарта по слабее! В целом по быстроте очень хорош, все программы идут на ура, многие игры пашут без тормозов, очень порадовал монитор. Матрица ярче, чем у асуса, наравне с тошиба. За эту цену вполне хороший ноут! Советую!</t>
  </si>
  <si>
    <t>Комп отличный,сижу целыми днями в нете через вай фай все летает,играл в некоторые игры тоже не плохо такие как GTA,Postal можно.фильмы в HD кажет отлично да кстати как пишут что у него 160 гб это не так 120гб.Уже даже один раз его переустанавливал удобно что VISTA вшит да ладно че там говорить сами купите посмотрите........оценка 5++++++</t>
  </si>
  <si>
    <t>2338</t>
  </si>
  <si>
    <t>Купил это Чудо с месяц назад, доволен как слон, сравниваю картинку с той, что у друзей (другие модели телевизоров) - все время в свою пользу... Разблокировал плеер, как советовал Илья - все прекрасно работает, хотя, в одном месте сам стормозил, нашел более подробное описание действий... Одним словом - рекомендую!</t>
  </si>
  <si>
    <t>Наушники просто супер! Слушаю в основном прогрессивно танцевальную музыку, басы просто ошеломительные!   Не пожалеете, если решите купить!</t>
  </si>
  <si>
    <t>Держит супер, кружки тоже пригодятся.</t>
  </si>
  <si>
    <t>Простота использования, хорошее качество эпиляции</t>
  </si>
  <si>
    <t>Пользуемся этим пылесосом уже 2 год. Очень довольны. Критерии для выбора были:  мощность и отсутствие мешков для пыли. Все оправдалось, великолепно собирает как мелкую пыль(в сравнении с предыдущими)до самого конца,так и волосы,например,которые иногда достаточно тяжело убрать с ковров. А вычищать его одно удовольствие!!!! Высыпал в мусорку и фильтр сполоснул. Рекомендую всем этот великолепный пылесос!!!! Не сомневайтесь! Не прогадаете!</t>
  </si>
  <si>
    <t>Вытяжка неплохая, пользуюсь около года. Минус: шумная.</t>
  </si>
  <si>
    <t>Действовала инструкции Владимира из Новосибирска, скачала прошивки,отформатировала,скачала папку удалила одну прошивку.Но вставив в телевизор прождала 10 сек ничего нет,нажала 7 раз кнопку FAV ничего не вышло,пробовала еще раз аналогичное действие,результат тот же.флешка Transcend 4GB.</t>
  </si>
  <si>
    <t>Золотая хозяйка</t>
  </si>
  <si>
    <t>Купил вчера, и мне оч. понравился. Звук как пишут не шипит с родными ушами, но всёже собираюсь их заменить , т.к. провода тонкие.  На счёт радио ничего не скажу(в том месте где я сейчас живу радио нету).</t>
  </si>
  <si>
    <t>очень нравится. работает замечательно без тормозов. очень компактная вещь. белая мышка и клавиатура в комплекте очень приятно удивили.</t>
  </si>
  <si>
    <t>телефон мне купил муж, я была просто в восторге, дизайн - супер, разобралась быстро, музыка,радио все что мне нужно отличное для меня. только один минус - это наушники, нужны другие, а то в ушах не держатся.</t>
  </si>
  <si>
    <t>Учтите, в продаже тут фильтры 2009 г/вып. Т.е. нет функции мастер-розетки, выше энергопотребление. У меня иногда глючит и отключается при нормальной сети (лампочка моргает желтым, напряжение 218).</t>
  </si>
  <si>
    <t>Отличный обогреватель, быстро разогревает комнату. Отличная цена!</t>
  </si>
  <si>
    <t>Делает все на5+ что должен блендер, особенно отлично делает коктейли из замороженных ягод или льда,нет ни кусочков ягод которые обычно приходилось выковыривать, особенно порадовали как программы колки льда и смусе, так и 5 скоростей, пробовал делать рубленное мясо, получилось, до этого аппарата получалось только паштет с кусками мяса. Рекомендую тем кто любит удивить друзей и порадовать себя.</t>
  </si>
  <si>
    <t>узкая, бесшумная, не вибрирует</t>
  </si>
  <si>
    <t>Купила лет 6 назад,когда еще были длинные волосы, очень удобная вещь! И если и обожглась пару раз, то только по своей неосторожности. Пользовалась всеми насадками, все отлично, сильно нагревается, но мне это и нужно, по-другому мои волосы невозможно было уложить. Единственное - очень плохая насадка для выпрямления волос, вообще не выпрямляла, покупала отдельно выпрямитель. Поэтому ставлю 4.</t>
  </si>
  <si>
    <t>Хочу давно уже купить себе такой телефон, мне особенно важна мощная батарея, но в ближайшем М. Видео у нас его нет. Несправедливо=(</t>
  </si>
  <si>
    <t>Сегодня купил этот плеер,сразу заметил плохое реагирование сенсорики(придётся покупать стилус),а в целом тянет на четыре балла из пяти.</t>
  </si>
  <si>
    <t>2931</t>
  </si>
  <si>
    <t>Да хватит уже восхищаться им! Он даже рядом не стоял с Nokia N97. Ничего хорошего не могу сказать про Iphone 3G, т.к его в нем просто нет. Отдельное мучение это передача данных с ПК на него,камерой я не пользуюсь но скажу ,что фотографирует ужасно, не какой фокусировки.   P.s могу себе позволить довольно часто менять телефоны. До айфона был 8800 сапфир арт, телефон так себе...решил купить себе айфон, как только вышел N97 сразу побежал покупать, наконец нашел то, что мне нужно. И почту удобно принимать, спасибо полноценной qwerty-клавиатурой и разговаривать удобно,хотя иногда и зависает</t>
  </si>
  <si>
    <t>Замечательный чайник, быстро кипятит, прочный, почти не ломается. Пишу почти, потому что пришлось спустя год заменить, ребенок оторвал крышку, а без нее сами знаете пар обжигает. Но могу вас заверить что купили точно такой же и вот уже второй год он нас радует,  а у свекрови такая модель уже года 3 работает бесперебойно. В общем всем рекомендую</t>
  </si>
  <si>
    <t>очень хорошие провода, толстые провода, практически невозможно их перегнуть, я их поставил в жигули 7 и их хватает до самого багажика , самое главное провода по 25мм, то есть плюсовой провод, у него хорошее сечение, минусовой будет хорошая масса, я рекомендую купить такой товар</t>
  </si>
  <si>
    <t>Здесь можно прокатиться на марсианских спорт-карах, грузовиках и мусоровозах. Можно взять в руки кувалду и разнести все строения, главное, чтобы не завалило. При этом сам сюжет игры не особо интересен, идет себе и идет по прямой, как паровоз. Марсианские пустоши начинают приедаться где-то в середине игры, поэтому последние 2 района стараешься уже не исследовать. а пройти чисто по сюжетным миссиям. Но смотреть, как рушится здание от удара молота или взрывчатки - это классно!</t>
  </si>
  <si>
    <t>Очень хороший телефон, те кто захотят его брать берите, не пожалеете! Очень шустрый, аккумулятор нормальный(2 дня не мог разрядить, для её нужно раскачать, до конца разрядить и до конца зарядить, и не нагружать в первые дни. Скорость интернета доходила до 40 кб/с))))</t>
  </si>
  <si>
    <t>Погрешность15%! При весе 69 показывают 80! если для вас это не имеет значения, берите. Хотя если знать точно свой вес, их можно настроить.</t>
  </si>
  <si>
    <t>169</t>
  </si>
  <si>
    <t>Купил этот фильтр 5 лет назад и он ни разу меня не подвел. Были скачки в плохую погоду и к.з, во время ремонта всегда срабатывал на отлично. Цена немного кусается но благодаря ему led телевизор, увлажнитель , часы и зарядки работают по настоящее время. Берите не пожалеете (если дорожите своей техникой).</t>
  </si>
  <si>
    <t>gmg78 (Альметьевск), я установил, проблема осталось, это конфликт железа...а вот какой?</t>
  </si>
  <si>
    <t>Проверенный временем производитель. Пластик и все детали качественные.</t>
  </si>
  <si>
    <t>Приятно пользоваться, внутри ничем не пахнет, в отличие от дёшевых чайников, лично мне нравится  дизайн.</t>
  </si>
  <si>
    <t>Самый нормальный монитор из всех 22" тем более за такую смешную цену!!! Взял вчера, ненарадуюсь. Яркий четкий! FULL HD супер!</t>
  </si>
  <si>
    <t>Не знаю почему отзывы такие плохие, лично я ставлю оченку 5.  пылесос работает уже года 4. Работает на ура, без проблем и нариканий. Хотел купить новый пылесос, потом подумал. купил новые фильтры к нему, разобрал, промыл, продул, щас сохнет все.  достаточно мощный пылесос, особенно когда чистый. вообщем доволен им.  Из недостатков, то считаю что не удобно с контейнером. удобнее с мешками. Мешок наполнился - выкинул, вставил новый. Не нужно вытряхивать и мыть контейнеры. Так же прочитал отзыв выше, то что из за статики приходится обтирать тряпкой тож не есть хорошо, но наверно я просто ленивый. А по поводу мешков и контейнера, это не минус данной модели, это минус вообще таких пылесосов, но и для кого то контейнер это плюс.    Вообщем хороший пылесос</t>
  </si>
  <si>
    <t>купила в прошлом году и очень рада. прекрасно делает пюре для ребенка, измельчает продукты. я довольна!!!</t>
  </si>
  <si>
    <t>Отличный утюг за такие деньги.   Гладит/отпаривает на отлично.  По причине того, что имею в гардеробе большое количество рубашек, функция отпаривания и парового удара очень к месту. И эти функции в данном утюге работают исправно.</t>
  </si>
  <si>
    <t>Я купила такой выпрямитель сестре в подарок. Выпрямляет классно, волосы блестят. Коробочка красивая! Набор кисточек тоже понравился. Но кисточка для завивки ресниц не работает:(( Это огорчило:(</t>
  </si>
  <si>
    <t>Это лучшее что представлено на сегодняшнем рынке смартфонов (лично мое мнение). На данный момент минусов не обнаружил. Из плюсов дизайн, функционал, скорость. Экран выше всех похвал. Посмотрим как будет держать аккумулятор. А в остальном все на высоте.</t>
  </si>
  <si>
    <t>Стирает хорошо,отжимает тоже.Шумновата правда</t>
  </si>
  <si>
    <t>FullHD видео без тормозов на 42' LCD.  Достаточные характеристики чтобы нормально работать в фотошопе, сидеть в нете, заниматься прочей фигней. Для игр НЕ ПОДХОДИТ(кроме очень старых). Я знал что покупал и доволен на 100%. Получил за 12 штук торрент-качалку, full-hd медиацентр  и все это без линукса, а с виндой. Имхо очень круто. А уж как девушка в восторге. Сейчас он стоит и работает 24/7. Почти не греется. Шума тоже почти нет</t>
  </si>
  <si>
    <t>Приставка очень прикольная, одному играть скучно, но если есть компания то играть становится интерестно, а если еще купить дополнительные аксесуары, например руль, то игра становится еще больше интересной, если у вас есть возможность купить ее, то вы не пожелеете. Один минус в том, что графика не очень хорошая.</t>
  </si>
  <si>
    <t>2215</t>
  </si>
  <si>
    <t>Какая радость у меня в доме! Мне подарили этот замечательный, хорошо всасывающий агрегат! Чистота идеальная. Даже думаю оставить шерсть у длинношёрстной кошки, которую до недавнего времени хотела подстричь.</t>
  </si>
  <si>
    <t>Первый минус модели при нагреве - нагревается как утюг весь корпус. Обжигались не раз. Вскоре стала заедать крышка. В итоге она отвалилась напрочь и сломалось автовыключение. Вообщем мы разочарованы, больше технику данной фирмы покупать не будем.</t>
  </si>
  <si>
    <t>Плеер отличный! Зарядку держит очень долго, музыки влезает дофига, плеер читает теги, можно выбрать для воспроизведения отдельного артиста\альбом\папку. Стандартные наушники среднего качества, на первую неделю эксплуатации хватит, но их всё же лучше поменять. Управление плеером очень удобное, к нему быстро привыкаешь. Сам плеер очень лёгкий и выглядит отлично! Жаль, что нет блокировки кнопок, а в-остальном плеер отличный! Да и к тому же это самый дешёвый мп3-плеер на 8 гигабайт в М-видео! Плеер сделан очень качественно, глюков в прошивке не наблюдается!</t>
  </si>
  <si>
    <t>3133</t>
  </si>
  <si>
    <t>Согласна, что кнопки не очень удобно расположены, бывает случайно переключаешь. А в целом отличный фен - легкий, внешне красивый!</t>
  </si>
  <si>
    <t>Понравился данный саб...за такие деньги. Поставил усилитель kicx 2.60 нет слов...выдаёт супер)))</t>
  </si>
  <si>
    <t>2014-11-29</t>
  </si>
  <si>
    <t>Быстро нагреваются, шнур 2 метра, довольно хорошая длина. Завивка хорошо держится, в течение всего дня.  Потребляет  мало. Маленькая стоимость.</t>
  </si>
  <si>
    <t>Купила утюг по весне Так понравился,3 раза погладила и подача пара прекратилась,вода в ручке не уходит ,а мне он так нравился.Что делать не знаю,брызгать отдельно распылителем и гладить утюгом как то не удобно.А починке он не подлежит там пластмасса паянная ((</t>
  </si>
  <si>
    <t>купил недавно,отличные уши на мой взгляд,удобные звук хороший басы класс..а самое главное для меня звукоизоляция клёвая!</t>
  </si>
  <si>
    <t>Купил плеер за 2790. Для такой цены плеер просто отпад! Работает отлично, ну пару раз зависал-слишком быстро на кнопки нажимал- тестировал,а там кнопка RESET-сброс есть и все путем! Звучание отличное! Органайзер прекрасный! Видео воспроизводит без проблем четкое изображение и качественное звучание, правда для просмотра нужно преобразовывать видео в avi формат. для этого AVI конвертер нужен. Лучше AVIConverter 5.1.6-в инете можно скачать.   Есть игры только к управлению надо привыкнуть. Радио ловит довольно хорошо, можно музыку с радио записывать и диктофон еще есть- запись звука чистая.  Батарея держит неплохо. Видео на 3 часа хватает. И еще музыку можно послушать!   Купил отцу на день рождения, а жене он так понравился, что ей на новый год подарил(27 декабря 2009 брал). Там еще текстовые файлы записывать можно, но я не пробовал. Даже минусов сказать не могу, их просто нет. Один есть незначительный-когда блокировку кнопок ставишь экран не гаснет, т.е. батарея быстрее садится и угол обзора экрана от 80 до 100 градусов, если больше видимость плохая. Плеер замечательный и жена довольна, и я доволен!!!)))   P.S: Отцу другой подарил, узнал что он со встроенными динамиками хотел.Плеер MP3 Flash 8 GB Sony NWZ-S544 (8Gb) Black. Очень хороший плеер правда цена большая. Мне он тоже понравился.</t>
  </si>
  <si>
    <t>по цене очень хороший ноут как увидел сразу забил на него я в восторге от него правда и экран можно было сделать больше чем 14 дюймов, ну к примеру там 15-16, ставлю 5 поставил бы 10 если можно было</t>
  </si>
  <si>
    <t>В этом телике нет Цифрового ТВ тюнера, т.е. через пару лет он превратится в мебель, тк телевидение будет цифровое, так что наслаждайтесь пока)))))))))) поэтому видимо и ценник такой</t>
  </si>
  <si>
    <t>1782</t>
  </si>
  <si>
    <t>Мне эту открывалку подарили недавно - отличная штуковина, чтобы консервацию по-быстрому открывать и не пачкаться при этом! Крышку ровненько прорезает, она потом не падает в содержимое банки, да и сама банка крепится надежно, в общем на все про все уходит пару минут! И пальцы порезать с ним сложно, ручным ножом я постоянно умудрялась пораниться, а тут ни разу еще тьфу-тьфу ни я, ни муж не пострадали)) Бутылки, кстати, открывать тоже не менее удобно. Вот только резиновые колпачки-ножки внизу корпуса мне показались не очень стойкими, если сильно дернуть банку - открывалка с места сдвигается сразу, нужно следить. Но в целом - довольна, что она у нас появилась, действительно выручает на кухне!</t>
  </si>
  <si>
    <t>Сегодня купил в подарок маме.Пришел домой, проверил и возрадовался! Каких-то 10-15 минут здорово расслабили. Надеюсь на приятные мамины эмоции и долговечность ванночки )</t>
  </si>
  <si>
    <t>Телевидение действительно отличного качества.Кто купит не только порадуется.Я долгое время пользуюсь нтв+ и его не сравнить с триколор и другими спутниками,да приходится платить за качество, но что в этом мире даром.Комплект HD приобретаем второй и всем советую.Это просто другой взгляд на мир телевидения.</t>
  </si>
  <si>
    <t>Пользуюсь щипцами уже месяц, при сухой погоде локоны держатся три дня, это рекорд! Мои непослушные волосы никогда так долго не держали завитки.  Пользоваться очень удобно, времени на укладку уходит не много.  Рекомендую, вещь нужная.</t>
  </si>
  <si>
    <t>Потрясающая вещь, небходимая в каждом доме. Лентяйка! Реанимировала школьную форму ребенку и свитора мужу аккуратно и быстро. Как же я без нее ранее обходилась? :)</t>
  </si>
  <si>
    <t>Машинка нормальная, только время стирки почему-то постояно сама меняет вовремя отжима, как только доходит до 8 - то снова показывает 9 и снова и снова одно и тоже. то на полстирки показывает f3, что обозначает нет воды, хотя вода есть. пытаюсь поставить другую программу на 60 градусов и опять тоже, только если ставлю 40 обычную, всё нормально, хотя машинке всего неделя, что делать не знаю надо вызывать с магазина пусть разбираются.</t>
  </si>
  <si>
    <t>5 месяцев назад купил ноут  испытал на GTA4 - Need for speed-undercover  - GRID и многое другое  вообщем Нед фор спид шел на максимальных настройках и сглаживание 6 =игра ведёт себя шустро без "тормозов"  А GTA4 немного подтормаживала   по этому вопросу - ставьте 8гигов   оперативную память (RAM)  И после этого GTA-шка шла великолепно  без тормозов и на средне и высоких настройках!! только вот за оперативку я выложил 7000рублей и поставил Windows Vista потому - что на ней всё идет.  Рекомендую, кто хочет поиграть в крутые игры ставьте 8 гигов (ram)и всё пойдет хорошо!!только это стоит немало-7000руб плюс windows vista 5500руб  Итого-12500руб&gt;но это стоит того!!!!  Геймерам рекомендую !!!</t>
  </si>
  <si>
    <t>Увлажнитель действительно отличный и не вреден как ультразвуковой, который мешает развитию легких у детей и взрослых. Использовали его в комнате с грудным ребенком и папой-аллергиком. Помог отказаться от приема противоаллергических таблеток. Сейчас тоже встала проблема покупки фильтра и мне во многих магазинах сказали, что "фильтров не было в Москве и нет".Это не совсем так. Если зайти на сайт компании Boneco, то в Москве вы обнаружите адреса двух магазинов. Обратившись в первый же, мы нашли эти фильтры. ООО «РусКлимат» Москва, ул. Нарвская, д. 21. А вот со строны M-видео не совсем правильно не иметь в продаже запасных фильтров к продаваемой ими технике и вводить покупателей в заблуждение тем, что "их пока в продаже нет, но будут".</t>
  </si>
  <si>
    <t>Кофемолка класс. Керамические жернова. Классный, стильный вид. Удобная регулировка количества чашек и размера помола. Автоматически прекращает помол. Удобная в использовании. Легко моется контейнер. Можно хранить помолотный кофе в контейнере без вреда для кофе. Короче, супер, рекомендую.</t>
  </si>
  <si>
    <t>купил неделю назад все хорошо ...действительно за такую цену лучше не сыскать ...только одна проблема к инету вообще не подключается, ни через wi-fi ни через проводной...точки доступа находит подключает только к сетке ,без доступа в интернет...может дрова не те...( кто знает причину подсажите!?</t>
  </si>
  <si>
    <t>очень практичный и качественный,легко пользоваться,хороший звук,много функций,яркость дисплея отличная.вообщем,не телефон,а находка!!!!</t>
  </si>
  <si>
    <t>Фен вообще нормальный: действительно хорошо выпрямляет. у меня тоже самая первая модель, ему уже много лет, но только сейчас он стал перегреваться.</t>
  </si>
  <si>
    <t>Приобрели для ежедневного использования: вначале стерлись цифры вокруг ручек(регуляторов жара) крутишь наугад и не знаешь выключена она или нет.... не вмещается сразу две посудины на плитку..., а когда с нее упала кастрюля моему ребенку почти на ногу (из-за того, что  производители сделали резиновые ножки, да к тому же вылетающие из гнезда....)Ни в коем случае не покупайте! Рекомендую данную модель вообще убрать с продажи</t>
  </si>
  <si>
    <t>343</t>
  </si>
  <si>
    <t>Купил приставку-супер ;-)))))</t>
  </si>
  <si>
    <t>1805</t>
  </si>
  <si>
    <t>Отличный телик!!! Совершенно не пожалел что взял!</t>
  </si>
  <si>
    <t>2009-09-08</t>
  </si>
  <si>
    <t>Купил данную модель мясорубки год назад. За прошедшее время неоднократно ею пользовался. Мясорубка хорошая. Среди минусов отмечу лишь то, что нож мясорубки и решетка для фарша выполнены из металла подвергающегося коррозии, в инструкции сказано, что после промывки указанных деталей их необходимо смазать растительным маслом. Да, в этом случае действительно не появляется следов ржавчины, однако растительное масло по прошествии нескольких недель начинает источать горький запах(использую масло без запаха), для его удаления очень трудно отмывать остатки масла с деталей даже используя специальные моющие средства. Поэтому лично я предпочитаю сушить данные детали на батарее. А так модель очень даже функциональная.</t>
  </si>
  <si>
    <t>723</t>
  </si>
  <si>
    <t>Выглядит красиво ,дешевый да еще и сенсорный . Удобно перекидывать музыку , без прог и всякой ерунды .Но минусов на много больше не очень чувствительный сенсор но к нему быстро привыкаешь . Звучание отвратительное очень сухое и баса вообще не чувствуется .Плохая сборка. Карточку памяти легко впихнуть между слотом и корпусом. Еле достали потом её оттуда. Экран люфтит. Ужасно работает сенсорный экран. Пролистать альбомы на один пункт - ювелирная работа. Отклеивание пленки помогло но не сильно. "Стилус" от RF 9700. Немного избавил от проблем. При разрядке слетает время. Перевод ужасный. "С восстановлением". Не работает выключение по таймеру.</t>
  </si>
  <si>
    <t>Купили  ЖК-телевизор 32" Sony KLV-32 BX301, он проработал ровно 1 день и сломался! За все время покупок телевизоров- начиная с черно-белых Темпов, такого у нас еще ни разу не было!Так что можем судить только по красоте корпуса- стоит в комнате, украшает. Продавец- консультант убеждал нас- что SONY это эталон качества, но вот и как теперь доверять производителям?</t>
  </si>
  <si>
    <t>Взяли прогреть очень холодную квартиру. Первые 10 минут да, был запах пластика, но потом выветрился. Нагревает не молниеносно, но эффект есть - факт!!! Теплоооооооо ))) Цена - качество = тепло ) А больше и не надо )</t>
  </si>
  <si>
    <t>Вообще суперская игра!!!!!!!</t>
  </si>
  <si>
    <t>2841</t>
  </si>
  <si>
    <t>7лет назад решила себя порадовать. Машина с самого начала мыла через одну тарелку (тарелка грязная, тарелка чистая). Затем начала выдавать какие-то ошибки Е1..Е4.. Отмывала даже после замачивания очень плохо! Сейчас сломался разбрызгиватель, который оказался пластмассовым (в нормальных железные).</t>
  </si>
  <si>
    <t>Хочешь Bluetooth и Wi-Max купи дополнительно, читай лучше при покупке! Поддерживает, а не имеет!  Есть модуль, а не Bluetooth!  Это разные вещи!</t>
  </si>
  <si>
    <t>10 августа..Сибирь...+10 за окном..и вот оно плановое двухнедельное отключение горячей воды. Хватило нервов на чайники и тазики на 3 дня, потом поиски в интернете и....это чудо техники у меня дома. Подключение интуитивное, инструкция доступным языком написана. Чтобы не делать дырки в стене прикрепили на хомут пластиковый к вытяжке. Везде написано про заземление, у меня таковой розетки в ванной нет, купила дополнительно переходник с заземлением. Подключили..не включилась лампа индикатора, сделали напор больше, заработало. Вода 40 градусов, отрегулировали напор и вот она, горячая вода. Не пожалела что отдала 2000.</t>
  </si>
  <si>
    <t>Пользуюсь с июня 2012. Вот тут прочитала про мясорубку, такая же проблема - сломалась соединительная муфта. А так вполне хорошая вещь, мне очень нравится.</t>
  </si>
  <si>
    <t>Купил, шумит сильно, тяги ноль, каждый раз мыть его - очень не удобно, например просыпал сахар, надо пропылесосить маленько и уже приходиться его мыть, т.к. вода затем начинает цвести и вонять, через пол года стал сам сбрасывать на минимальную мощность, отремонтировал, через месяц опять, отремонтировал, хватило ещё на месяц, теперь валяется на балконе.</t>
  </si>
  <si>
    <t>Купила на днях, 1 раз пробовала - легкие волны, через час волосы прямые</t>
  </si>
  <si>
    <t>отличный модулятор, за такие деньги что-то подобное не взять... оч удобный в управлении !!!Советую.</t>
  </si>
  <si>
    <t>Очень довольна работой данного кондиционера. Брала "витринный" образе. Это меня ничуть не смутило, а наоборот, обнадежило, т.к. решила, что процесс активной "обкатки" и проверки работоспособности он уже прошел. "Пашет" второе лето. Причем, шум совершенно не напрягает и не мешает нормальному сну и работе за компом дома. Без него вообще не представляю нахождение в квартире в такую жару. С монтажом и сливом никаких проблем: гофру - в форточку, о конденсате и его удалении задумываться не приходится - за год ни разу не заглядывала. Отработал июль, август и сентябрь прошлого года и практически без перерыва с мая 2012 года до настоящего момента. Замечаний нет.</t>
  </si>
  <si>
    <t>Отличное сочетание цены и качества. Приобрели почти год назад и не разу не пожалели.</t>
  </si>
  <si>
    <t>Работаю продавцом в техномаркете,много прошло телевизоров через мои руки за три года.Этот из всех ЖК оказался самым лучшим.Приобрел его и себе,просто не нарадуюсь!USB читает почти все,100hz,картинка просто изумительная и еще отличный 3D фильтр.ДО LEDа не дотягивает буквально грамм.</t>
  </si>
  <si>
    <t>1961</t>
  </si>
  <si>
    <t>Холодильник очень понравился! Большой, вместительная морозильная камера! Качество материала (стекло+пластик на 5), покупкой очень довольны</t>
  </si>
  <si>
    <t>Пользуюсь чуть больше года, всем довольна, но, заметила что белая краска около варочной панели потрескалась, естественно это отражается на внешнем виде. Беспокоюсь о том, что с ней дальше будет, ведь ей только 1 год...</t>
  </si>
  <si>
    <t>супер радиатор,всем советую нагревает комнату за 15минут</t>
  </si>
  <si>
    <t>мощный комп!все работает отлично!ничто не глючит! советую всем!</t>
  </si>
  <si>
    <t>Колонки немного бы игристее, а вот саб просто шикарен, мощности вполне достаточно для того, чтобы потрепать соседям нервы.</t>
  </si>
  <si>
    <t>2985</t>
  </si>
  <si>
    <t>Панелька просто суперская, нам такую в дом муж принес, была просто такая счастливая, серьезно))) Моим еще и огромным счастьем было то, что на ней не только удобно готовить, но и чистить ее предельно легко!! Вот это совсем было ошеломительно))) Регулировать здесь огонь легче простого, а готовка теперь в такое удовольствие!! Все регулируется максимально легко, плюс материал тут из нержавеющей стали!! Что вообще суперски)) Мне нравится!!</t>
  </si>
  <si>
    <t>Замечательная микроволновая печь. Работает хорошо, греет тоже хорошо, не было поломок, пользуюсь очень давно.</t>
  </si>
  <si>
    <t>Компьютер у меня месяц, уже начинает раздражать шум системы охлаждения или что там...периодически включается. Доволен, что четырёхядерный процессор! Была проблема с поиском драйверов для материнской платы, после определения модели (nforce 430 chipset MCP61), нашёл самые последние драйвера для неё, nvidia nforce driver 15.50 whql. Рад, что оперативная память DDR3! Видеокарта слабая, на больших разрешениях топовые игры сильно тормозят. В целом системный блок хороший, только видеокарту заменить!</t>
  </si>
  <si>
    <t>Очень хорошая вытяжка!Пользуюсь уже 2 года,все в ней нравиться, симпатичный верхний дизайн из камушек под сваровский. Сейчас хочу приобрести еще такую в загородный дом!</t>
  </si>
  <si>
    <t>2016-03-13</t>
  </si>
  <si>
    <t>Звучат прекрасно, но кондер внутри настроен зарезать все ниже 8500 Гц. То есть для достижения эффекта, нужно повозиться с кондером внутри. Родной стоит полярный на 4,7 мкф. Чтобы получить частоту среза как написано 3кгц, то нужно лепить 16 мкф. Я не имея в наличие нужного, воткнул временно 100мкф, ессесно на след день динамик захрипел.</t>
  </si>
  <si>
    <t>1170</t>
  </si>
  <si>
    <t>gts240 да будет вам известно это 9800gt с повышенными частотами... кароч корпус за 30т фуфло. За такие деньги можно со спокойной душой 5850 ставить +чтонить 4х ядерное и 4 гига лучше ддр3 в хорошо продуваемый корпус. и тд и тп.</t>
  </si>
  <si>
    <t>Это не прибор, а просто праздник какой-то.Простейшая в управлении,готовится все в ней быстро и замечательно. Все функции есть,других просто не нужно.</t>
  </si>
  <si>
    <t>1902</t>
  </si>
  <si>
    <t>Мне оооочень нравятся эти наушники, давно мне купили их может лет 5 назад и все еще работают, один вот только не давно начала барахлить, а так наушники улетные, мои самые лучшие из которых были у меня))))</t>
  </si>
  <si>
    <t>Прозрачная чаша, через которую видно всю грязь, регулятор мощностине нужен, минут через 7 работы на макс мощности скидывает её на минимум, трубка при уборке ковров электризуется и бьёт током, в комплекте только маленькая простенькая щётка и насадка для щелей, пластик по началу сильно воняет при работе. В общем цена сильно завышена.</t>
  </si>
  <si>
    <t>Отличная модель в линейке Indesit</t>
  </si>
  <si>
    <t>2 года назад выпросила у мужа на ДР. В магазине нахвалили его, да и по деньгам устраивал. Пользовалась им всего 5 раз. Потом просто перестал нагреватья, кнопка включена, а он просто холодный. Гарантийник потеряла. Отнесла в платный ремант. Там сказали что таких тенов нагревательных просто нет и не бывает. Очень растроилась! &amp;nbsp;Не пожалейте денег на хороший.</t>
  </si>
  <si>
    <t>2076</t>
  </si>
  <si>
    <t>Отличный ноутбук, ток если б 320гб было, было бы отлично. Видеокарта большая и работает 9 часов. Отлично, ток один недостаток - маленькая память.</t>
  </si>
  <si>
    <t>1130</t>
  </si>
  <si>
    <t>2016-02-20</t>
  </si>
  <si>
    <t>За свои деньги очень и очень приличная вытяжка. Тихая, создает очень ощутимую тягу на максимальной скорости. Мотор действительно по-настоящему тихий. В комплекте есть угольные фильтры и это очен удобно, не пришлось их нигде разыскивать. Устанавливал самостоятельно, затруднений ее установка никаких не выхывает, к тому же она очень легкая. Освещение состоит из одной лампочки на 40 ватт, нам кажется, что этого маловато, но на нашей старой вытяжке было еще темнее освещение. Жировой фильтр в данной модели мыть достаточно сложновато.</t>
  </si>
  <si>
    <t>Прибором очень доволен! Приобрел мойку воздуха Bork Q700 около 6 месяцев назад, использую его в спальне - 17 кв.м. Под ночной режим спокойно засыпаю. Работает без перерывов - днем на режиме \"здоровье\</t>
  </si>
  <si>
    <t>2011-10-03</t>
  </si>
  <si>
    <t>Пылесос с пылесборником LG V-C3245 RT - не понравился. Все время открывается  отсек, где находится мешок,  пахнет, шнур короткий, все время соскакивает щетка с ручки, и самый большой -------------- минус собирает пыль очень плохо. Можно сказать -  скупой платит дважды!!!!!</t>
  </si>
  <si>
    <t>Плитой довольны. Легко мыть, немаркая. Выбрали эту модель(ручки сбоку) чтобы справа разместить печь СВЧ(в варианте ручки впереди нагревалась бы боковая стенка).</t>
  </si>
  <si>
    <t>Купили больше года назад.Поначалу были довольны,но через месяц он перестал выполнять свою функцию-всасывания пыли.Хорошо,что не выбросили старый Panasonic,которому vitek не стал заменой.Всё больше убеждаюсь,что реклама по телевидению(а из неё я узнала о пылесосе)не соответствует качеству рекламируемого товара.Не советую тратить деньги впустую!</t>
  </si>
  <si>
    <t>Супер-аппарат! Не сомневайтесь, берите!</t>
  </si>
  <si>
    <t>Достойное продолжение известной серии ,одиночка супер ,держит от начала до конца.Мультиплеер по мне лучше чем в Modern Warfare2 ,более сбалансированный.В целом игра супер.Всем поклонникам серии Call of Duty покупать обязательно!</t>
  </si>
  <si>
    <t>Качество приготовленного кофе с помощью этой машины выше всяких похвал!!!</t>
  </si>
  <si>
    <t>купили ее месяца четыре назад и сразу разочаровались, у нас маленький ребенок и он постоянно пачкается, а эта машина вообще ничего не отстирывает, свежую грязь стирает только сверху, в та которая проникла в волокна не отстирывается приходиться стирать дважды, а это трата времени и денег. Очень расстроены этой машиной</t>
  </si>
  <si>
    <t>компактный, удобен в использовании, дополнительная насадка для зоны бикини, эффект процедуры на длительное врем</t>
  </si>
  <si>
    <t>Комбайн отличный, очень довольна. Но нет средней тёрки!!!! А это большой минус, так как шинковать можно только огромными кусищами или почти пюреобразно.</t>
  </si>
  <si>
    <t>2015-05-28</t>
  </si>
  <si>
    <t>Машинка просто класс! !Служила верой и правдой все 5 лет студенчества и ни разу не подвела, хотя стирала почти вся общага!) К концу 5 курса загудел подшипник, но это не удивительно, она почти не выключалась(( Беда в том что его так не поменяешь, надо весь барабан менять с ним, а это полстоимости машинки. А так она просто ОГОНЬ))</t>
  </si>
  <si>
    <t>2017-01-30</t>
  </si>
  <si>
    <t>Зум хороший.</t>
  </si>
  <si>
    <t>Мне понравился, и двигается удобно, убираю ламинат, а муж чистит компьютер, уж очень ему понравилось!)))))</t>
  </si>
  <si>
    <t>Отличный пылесос. Порадовала система фильтрации воздуха. При работе пылесоса видно как воздушный поток с пылью закручивается по спирали в контейнере. Никаких тебе фильтров типа стакан, которые забиваются после пяти минут работы пылесоса. Прост в обслуживании.  На выходе с контейнера стоит фильтр - поролоновая губка, которую легко мыть, да и в комплекте их две.</t>
  </si>
  <si>
    <t>Хороший бюджетный Коммуникатор. У меня 2 недели, недостатков не заметил. Программы устанавливаются быстро, видео читает на высоте, GPS заработал у меня через GPS API, а не через com 7 и 4. Долго настраивал, уже хотел нести обратно в магазин. GSM прием - оценка 4.</t>
  </si>
  <si>
    <t>651</t>
  </si>
  <si>
    <t>думал взять, но уж очень хилый проц.ну хоть бы M500!</t>
  </si>
  <si>
    <t>Хороший пылесос. Очень мощный,пользуюсь каждый день. Всё работает отлично. Пока ещё никаких минусов не обнаружила. Очень удобный.</t>
  </si>
  <si>
    <t>графа убогая - это -.  интересный сюжет - это +.  3 кампании - тоже круто (мне понравилось за чужого).  управление неудобное, полная хрень,  а так все нормально , короче покупайте не бойтесь!!!</t>
  </si>
  <si>
    <t>Главное достоинство по сравнению с аналогами - можно отключить той же клавишей вкл-выкл. У остальных приходится ждать пока вода закипит (и еше минимум 20 секунд), пока не отключится.</t>
  </si>
  <si>
    <t>Пребываю в раздумье на чем остановиться в выборе ноутбука... нужен компактный, но на котором можно будет работать в фотошопе, понимаю, что 12" маловато для графики, но может купившие эту машинку имеют опыт работы в фотошопе, кореле... Поделитесь впечатлениями..</t>
  </si>
  <si>
    <t>Упущение разработчиков только в том, что надо было просто уточнить, что машинка для БОРОДЫ, а не просто волос. А так очень достойная машина для щетины. От эл.бритв у меня раздражение, а этой одно удовольствие и довольно коротко и ровно. А что касается волос на голове - покупайте сетевую (220В) и будет вам счастье, не там ищите!</t>
  </si>
  <si>
    <t xml:space="preserve">Компактный, удобный. Приятный дизайн. </t>
  </si>
  <si>
    <t>2074</t>
  </si>
  <si>
    <t>В общем, на высоте все, исходя к сравнению с GTA IV: графика, физика и т.п. Одна есть баги: самый трудный - Live, который упорно не хочет соединяться к учетной записью, пришлось создать локальную учетную запись, чтобы можно было хоть как-то сохраниться (но и тут проблема - кнопку на создание локалки искал сутки, в итоге, Microsoft ее запрятала в ссылку в конце текста инструкции по созданию онлайн-учетной записи). Короче, сутки вот. С физикой есть баг, когда в кого-либо стреляешь, то он иногда подлетает. В клубе Мезонетте 9 есть "дыра" за диваном, в которой изчезают люди! :D Из-за этого ставлю "хорошо". Да и цена по Новосибирску самая низкая. В 1С-Интерес и 1С-Магадиск стоит игра на 9 рублей дороже.</t>
  </si>
  <si>
    <t>418</t>
  </si>
  <si>
    <t>Телевизор не плохой, я бы даже сказал хороший за такую цену (20 990 руб.). Не много блеклая картинка (хотя контрастность 25000).   Меню устраивает без помпезности.  При аналоговом подключении кабельного ТВ, просматривается небольшая зернистость (хотя и у др. моделей также… сравнивал в магазине) Фильмы DVD – отлично!   Вызывает вопрос то обстоятельство, что на телевизоре указывается сборка Испания, а на сайте и в магазинах указывается Польша…?  И еще не знаю как другим пользователям, а мне пульт не очень…ну не доработали дизайнеры. Может можно от др. моделей пульт (поудобнее) подобрать?  Моя оценка – твердая 4!</t>
  </si>
  <si>
    <t>Звук оч. качественный! Поставил настройку эквалайзера на "Рок" и все. Интерфейс тоже оч. удобный. Батарейки хватает на нереально продолжительный срок.Единственный минус - в комплекте не идет зарядного устройства...(Его нужно купить отдельно) А так советую всем!</t>
  </si>
  <si>
    <t>Искали друзьям подарок к Новому году и в М Видео увидели этот увлажнитель. Цвет ярко зеленый, аппарат такой миленький, миниатюрный.  Мы его проверили, работает очень тихо. Еще нам понравилось, что в качестве емкости для воды достаточно взять простую пластиковую бутылку до 500 мл. Ничего заливать никуда не надо, а когда в бутылке вода кончается, то раздается сигнал, или он сам автоматически отключится.</t>
  </si>
  <si>
    <t>Первый купленный мной бак на 100 л, хватило на 3 года второй хватило на 2 года, и у всех разгерметизация бака так и буду менять.</t>
  </si>
  <si>
    <t>1167</t>
  </si>
  <si>
    <t>...купил 21 декабря телефон, очень доволен, за такие деньги с такими функциями просто не найти, очень удобный и прост в обращении ))...при подключении гарнитуры (плеера, радио) всё работает, Ксения, может вы забыли блокировку снять )))...единственный минус - это то что нельзя удалить заводскую музыку или перенести её в отдельную папку!!!!...а так папки создаются и кидай в них всё что хочешь )))...жаль что в комплекте не идёт флешка и наушники уж правда не удобные....хорошо, что разьём 3,5 мм, так что можно вставить любые...это радует )))...теперь по поводу батарейки - где пишут до 400 часов, где до 650 часов...вообщем за сутки ознакомления с ним...слушая музон, разговаривая и на каждое нажатие у меня стоит вибратор - уменьшилась только одна палка из 5...думаю дня 3-4 протянет...а может и больше )))...совершенно не глючит и не тормозит...ВИДЖЕТы листаются легко без задержек )))...вообщем ВСЕМ СОВЕТУЮ....- это лучшая покупка к НОВОМУ ГОДУ ))))...ВСЕХ С НАСТУПАЮЩИМ ))))</t>
  </si>
  <si>
    <t>2015-04-01</t>
  </si>
  <si>
    <t>Отличный подарок для тех кому не безразлично свое здоровье! Меня он очень мотивирует и муж себе купил, соревнуемся!</t>
  </si>
  <si>
    <t>Фен отличный! Быстро сушит волосы (достаточно мощный), легкий для руки и удобен тем, что у него прорезиненый корпус - из рук не выскальзывает. Пользуюсь уже 3-й год ежедневно и никаких проблем не испытываю. Не жужжит, не скрипит и ничего не отвалилось, хотя постоянно беру его с собой в поездки.</t>
  </si>
  <si>
    <t>Лучший товар 2016 года для меня – это кофемолка. Со своей обязанностью справляется прекрасно, управляется тоже очень легко. Притом, если что-то не так закрыла – не включится. При работе не нужно придерживать крышку сверху, что практически всегда приходится делать с дешевыми кофемолками.   Дизайн современный, для кухни в стиле hi-tech – самое то.   Кстати, детские каши лучше в ней не молоть, этого не любят все кофемолки, но почему-то очень любят все молодые мамочки.</t>
  </si>
  <si>
    <t>Насадки и их длина, , качество стрижки, надежность и долговечность</t>
  </si>
  <si>
    <t>Кофемолка ПЛОХАЯ. Шнур не заматывается. Помол ОЧЕНЬ крупный.</t>
  </si>
  <si>
    <t>Очень скучный телефон! Мелкие символы, тормозит страшно, постоянно не в тему выскакивают какие-то подсказки. ГЛЮЧИТ! Перезагружается сам или просто выключается. Приходится вытаскивать батарею. Кстати вытаскивается она легко нужно просто встрехнуть телефон и задняя крышка отваливается сама и вместе с ней и батарея. Стилус кстати тоже сам вываливается... Да и ещё плохо слышно собеседника во время разговора.  Всё время хочется его уничтожить!</t>
  </si>
  <si>
    <t>2685</t>
  </si>
  <si>
    <t>Игра нормальная.Сюжет продуманный.</t>
  </si>
  <si>
    <t>Сделала сама себе подарок на Новый год.Осталась очень довольна. Есть пару минусов, но это терпимо. Минус 1:лично мне очень не хватает индикатора зарядки. Минус 2:может это мой недостаток, но я толком не поняла как и когда её заряжать.То ли разрядить надо полностью, то ли не надо. Как бы там не было, в инструкции все описано.Чистит она хорошо.Удобно лежит в руке. Насадки не дорогие(две за 420руб). Цена-качество идеально сопоставлены.</t>
  </si>
  <si>
    <t>Пользуемся относительно не долго, примерно месяц, но за это время плита показала себя просто чудесно! Духовка можно сказать печет сама, нужно только положить и забрать не задумываясь о том что подгорит - не подгорит, испечется - не испечется! Конфорки греются мгновенно и приготовление не занимает много времени. Во общем превосходная плита - всем советую!</t>
  </si>
  <si>
    <t>2593</t>
  </si>
  <si>
    <t>Тоже долго выбирала марку пылесоса, вычитывая отзывы в интернете.Выбрала именно эту модель! Пылесос отличный! У меня маленький ребенок, поэтому чистота полов вопрос очень актуальный! Очень мощный, маневренный,быстро собирается, легко передвигается по квартире( пару раз пришлось пылесосить с ребенком на руках). Единственное, мыть долго, но это уже дело привычки. На счет хранения, он у меня поместился в кладовке под нижней полкой,а шланг сверху просто рогаликом скручиваю, очень удобно, выкатываешь и в работу!</t>
  </si>
  <si>
    <t>очень хороший пылесос, я довольна.</t>
  </si>
  <si>
    <t>Купили этот чайник из-за необычного дизайна.     Минусы:  При кипячении шум заглушает звук телевизора.  Через пол года перестала до конца закрываться крышка, приходится поддевать кнопку ножом чтоб закрылась иначе не выключается при закипании. Через 1,5 года внезапно отключился при кипячении, при повторном его включении не кипятит, при этом горит красная подсветка, а в выключеном состоянии синяя подсветка не горит.     Плюсы:  Красивый дизайн  Быстрое кипячение</t>
  </si>
  <si>
    <t>Есть ли в этой машинке отжим???  ▶▶▶ОТВЕТ ЭКСПЕРТА «М.ВИДЕО»◀◀◀ В данной модели нет функции отжим</t>
  </si>
  <si>
    <t>Купил в небольшую столовую, повар довольна. еду еще за одной(столовые две)</t>
  </si>
  <si>
    <t>Игра отличная, всем советую любителям такого жанра, кстати короткометражный фильм очень понравился!!!</t>
  </si>
  <si>
    <t>Купил себе для музыкальных программ, как начинающий диджей, эту модель наушников. Прослушивал многие в диапазоне до 2000р. сравнивал дешевые philips и senheizer за 2000. На мое удивление по качеству они звучали одинаково хреново, да и на голове сидели не очень. Послушав еще несколько версий остановился на этих. На голове сидят просто шикарно, пластик мягкий, динамики подвижные, а громкость берет в полтора раза выше, чем тот же senheizer. Отличное чистое звучание.    Теперь минусы. Если у вас нет усилителя или отдельной звуковой карты для наушников (у меня к счастью есть) и вы выбираете наушники для плеера или компа, Sony MDR-XD100 без усилителя вряд ли потянет и на половину мощности.. там сопротивление 70 ом.    А если не поскупиться и добавить еще пару тысяч, выбирать лучше всего Sony MDR-XB500 Black. Мягкий, обьемный, но в то же время мощный бас и чистейшее звучание на всем протяжении трека) больше уж точно ничего не надо! уши не выдержат)))    Покупкой доволен! в наушниках уже сутки хожу, наслушаться не могу =)</t>
  </si>
  <si>
    <t>Вместо сока получается пюре, недоволен, к тому же после приготовления морковного сока аппарат вообще перестал работать (3 моркови на один стакан). Сейчас собираюсь в гарантийный ремонт сдавать,проработала два дня.</t>
  </si>
  <si>
    <t>По сравнению с другими, читает только mp3, ни о каком wma и речи нет, не поддерживает usb флешки менее 1gb. Неудобные кнопки, нет поддержки вложенных папок - все валом . Нет RDS ....И прочее прочее.....</t>
  </si>
  <si>
    <t>Это не проблема в газконтроле. Простая система безопасности, чтобы ребенок поджог не устроил)))</t>
  </si>
  <si>
    <t>Пользуемся уже два года,но в первый же месяц отвалилась щетка под щеткой.Постоянно забивается основная щетка.Отключается надолго, толком спокойно не пропылесосишь.Шнур короткий.Трубка на которую крепится щетка, отваливается тоже с самого новья.Сильно пахнет,шумит.Плохо всасывает мусор.</t>
  </si>
  <si>
    <t xml:space="preserve">Без комментарий </t>
  </si>
  <si>
    <t>Отличный аппарат.Мощный процессор,прекрасно работает с любой программой.Navitel отличная навигационная программа,обновляется каждые 3 месяца.В зависимости от вашей потребности можно установить любое программное обеспечение.  В отличии от ROVER Х7 хорошо работает в зоне неуверенного приёма.О качестве сборки,прочитал предыдущие отзывы,Дмитрий прав при покупке внимательно осмотрите аппарат,у меня нареканий нет.Удивляет и приятно радует то, что его сделали в России.В итоге если учесть цену,качество и функциональные возможности получится отличный аппарат.</t>
  </si>
  <si>
    <t>1007</t>
  </si>
  <si>
    <t>За такие деньги можно системник в разы лучше собрать. Недавно другу на core i3 системник собрал, вышла примерно такая же цена, а по производительности он уделает этот комп как тузик грелку.</t>
  </si>
  <si>
    <t>( + ) 1.Продуманные насадки : очень удобная ручка,гибкий резиновый шланг,компактная щелевая щётка откидывается на вверх,которая вечно теряется в других моделях.      2.Длинный шнур,хватает с запасом везде развернуться  и до багажника.Аккуратно сматывается и внизу защёлкивается.      3. Пластмассовая сетка стакан,хорошо задерживает крупный мусор шерсть и волосы.      4.Моющий фильтр, который при сильном загрязнение можно снять помыть и просушить дома.      5.Отличная мощность оправдала все мои ожидания!!!     ( - ) 1.Их нету,кроме как цена !!!</t>
  </si>
  <si>
    <t>купил сегодня !! о4 хороший 6ук о4 доволен всем сейчас 6уду проверять как с ним в играх))))  за 30к лу4ший вариант</t>
  </si>
  <si>
    <t>Водонагреватель со своими функциями справляется.  Из недостатков можно отметить отсутствие отдельного индикатора включенного / выключенного электропитания (имеется только индикатор нагрева). По положению кнопки включения / выключения питания не определить включен аппарат или нет, пока не прикоснешься к клавише. В комплекте отсутствует трубка на предохранительный клапан. В целом добротный водонагреватель.</t>
  </si>
  <si>
    <t>31.07.2010 купили напольный кондиционер BORK AC MHR 25080 SI проработал одну ночь, а утром обнаружили , что под кондиционером мокрый ковер. В магазине объяснить почему это происходит нам не смогли. Мы поняли. что этот товар был с браком или его уже возвращали.</t>
  </si>
  <si>
    <t xml:space="preserve">Внешний вид, встроенный градусник и гигрометр, большой бак для воды, практически не слышно во время работы, панель на русском языке, не сложное управление. </t>
  </si>
  <si>
    <t>Это не наушники, это жалкий кусок пластика, в них просто невозможно слушать музыку...  1.Уши очень сильно болят даже после получасового использования.  2.Низких частот нет ВООБЩЕ  3.Высокие частоты есть, но от этого лучше не становится, ибо они пищат и хрипят ужасно.  3.Средние тоже довольно слабенькие...  4.Конструкция плохая и ненадежная, у меня спустя 2 месяца порвался провод, а если учитывать что с наушниками я обращался довольно бережно, - это провал...  5.А цена... цена... пока не знаю ни одного человека, который купит такие наушники за 2 тысячи.. проще уже купить Санхайзер и не портить себе слух этими так сказать "наушниками"</t>
  </si>
  <si>
    <t>Bosch разочаровал. Всё хлипенькое, шум вибрация, а защёлки-крепления это просто издевательство над пользователем!</t>
  </si>
  <si>
    <t>Очень нравится! Пользуюсь уже год, подарили на день рождение. Понятное дело, что вред всё равно есть и не маленький, но если пользоваться термозащитными средствами, то по крайней мере волосы не превращаются в непонятный комок ваты, а остаются вполне живыми. Не понятно, правда, для чего нужен ионизатор...Выпрямляет очень хорошо!! ОЧЕНЬ ЛЁГКИЙ, маленький, компактный!!! Удобен при постоянных командировках и поездках.</t>
  </si>
  <si>
    <t>Отличная машина, но вот один минус, спустя 3ое суток сдох, аппаратная проблема, придётся нести на гарантийку =(</t>
  </si>
  <si>
    <t>Произведена или собрана в Венгрии. Уж лучше бы в Китае... Сломалась через год после покупки. Использовалась приблизительно раз в неделю. После вскрытия обнаружилось следующее- окислился вал ротора и его просто заклинило. Причем, как это могло случится, если чашку протирал только сухой тряпкой?  Возможно это от крупной морской соли, которую периодически на ней мололи. Это говорит об абсолютной негерметичности и  отвратительном качестве гальванопокрытия, -слезло даже с крепежных деталей!!! До этого пользовались кофемолкой, произведенной в Литве еще в советские времена... Так она работает до сих пор! И молет все подряд.</t>
  </si>
  <si>
    <t>Всё отлично и звук и видео! НО радовало меня это всё не долго ровно 3 месяца. Я читала на форумах о возможных проблемах с разьёмом для наушников, но цена меня манила и я решали его купить. Сейчас жалею, потому что и представить не могу куда мне ехать и сдавать этот плеер по гарантии. А могут деньги вернуть???</t>
  </si>
  <si>
    <t>353</t>
  </si>
  <si>
    <t>2014-02-08</t>
  </si>
  <si>
    <t>Холодильник просто супер!!!</t>
  </si>
  <si>
    <t>приобрела недавно - ооочень довольна))звук хороший)))никаких проблем (по крайней мере на данный момент)  отличный дизайн, простое управление (мне нравится, что я могу управлять им не доставая из кармана)  и наушники на удивление приличные, но хожу я с другими, так как вкладыши не переношу)  в общем в этом плеере есть всё, что нужно мне))</t>
  </si>
  <si>
    <t>Бюджетная плазма за эти деньги.  Просмотр AVI с внешнего HDD без вопросов, MKV не видит, жаль...  за это оценка 4</t>
  </si>
  <si>
    <t>Гладит очень хорошо, даже пересохшие вещи</t>
  </si>
  <si>
    <t>2120</t>
  </si>
  <si>
    <t>Лично меня в этом ноуте все устраивает (пользуюсь уже месяц), система стоит Винда 7, пока что нарицаний не вызывала. Система устраивает полностью, обидно, что на эту версию темы не ставятся (стоит home basic) - это так детские обиды. А в целом бук очень удачен по соотношению цены и качества. Игры, которые ставил, идут, все программы тоже. Короче у этого ноутбука намного больше плюсов, чем минусов. (а минусы есть у всех ноутбуков) :):):)</t>
  </si>
  <si>
    <t>Кто как думает стоит покупать или нет?</t>
  </si>
  <si>
    <t>Купил неделю назад, звук не выдерживает никакой критики! картинка на BD-рипах зернистая, но может в этом виноват мой Иконбит...</t>
  </si>
  <si>
    <t>пользуемся почти год. все нравится. жена довольна :)</t>
  </si>
  <si>
    <t>Сын просил это чудо на новый год, но я купил ему на шестнадцатилетие, он оооочень доволен. Очень удобная вещь, без проблем подключается к беспроводным сетям, так что почти везде есть интернет+ возможность общаться через Skype, докупили через интернет GPS модуль(маленький как карточки памти memorystick) теперь берем ее с собой когда едем за границу или в соседний город- очень помогает сориентироваться!  Всем советую приобрести!Если есть дети, то тем более.</t>
  </si>
  <si>
    <t>утюг на самом деле хороший. Но он сломался через 2,5 года именно в тот день когда гарантия вышла. Не знаю буду ли еще такой покупать.</t>
  </si>
  <si>
    <t>Хороший товар.  Удобно то что можно заряжать в машине.  Недостатки: в принципе незначительные. Нужно 4 аккумулятора на одно устройство. Гарнитура не в комплекте.</t>
  </si>
  <si>
    <t>В своей ценовой категории лучшии(из того что у них представлено),довольно удобные, сами ухи немного большеваты поначалу лопухи болели,но через полдня как родные стали,звук хорош,басссыы!!! до этого были Соньки вкладыши за 1300-получше конечно и ровермедиа за 500-вообще даже рядом не валялись! в общем отличные наушники за отличную цену)))</t>
  </si>
  <si>
    <t>2721</t>
  </si>
  <si>
    <t>Хороший системник, мощный,быстрый и не занимает много места как другие. Процессоры новой серии i3, частота вообще не реальная 2.93Ггц, видео карта GeForce GT320 тоже новая и жестокая память видюхи 1024 мб хватает всего с головой, игра никакая не глючит, даже последняя, но xbox 360 лучше и мощнее и быстрее, игру устанавливает за 1 минуту xbox 360, но он ведь для этого и предназначен. Acer тоже нехилый, устанавливает за 7 минут, короче, для всего хорош.=)</t>
  </si>
  <si>
    <t>Сеть держит плохо, звук на троечку</t>
  </si>
  <si>
    <t>Стильный внешний вид, быстро нагревается.</t>
  </si>
  <si>
    <t>1936</t>
  </si>
  <si>
    <t>Купила где-то в конце января. Очень нравится: много функций, хороший эквалайзер, отличный звук, приятный дизайн, не тормозит, батарея вроде неплохо держит, очень радуют наушники, которые были в комплекте. Надеюсь, что с новой флешкой будет еще лучше.</t>
  </si>
  <si>
    <t>сегодня приобрела пылесос.испробовала.в принципе не плохо, единсттвенное, ручка немного коротковата, и приходится наклоняться, а так вполне ничего, всасывает хорошо, и недорого.</t>
  </si>
  <si>
    <t>клевый плеиР!))а цвет радует надоели черные )звук классный, но наушники стандартные лучше убрать и купить что получше!насчет зарядки вполне мне хватает!насчет подключения, у меня пиратская хп, не знаю и все идет!кто-то писал, что нужен 11 проигрыватель медиа, зачем??он и так спокойной копирует музыку!вобщем, моя оценка на 4+)</t>
  </si>
  <si>
    <t>2706</t>
  </si>
  <si>
    <t>Телефон просто супер! Кардинально отличается от 3g на ощупь и скорость, не экономьте, покупайте новый. Телефон  для тех, кому не лень разбираться с компьютерными технологиями (в частности iTunes,джибрейки,обновления). Этот гаджет может занять много времени, но это того стоит. Юзать его одно удовольствие. Нет телефона совершеннее... И это не реклама, просто всем остальным оч. далеко до него...)))</t>
  </si>
  <si>
    <t>Кофеварка очень сильно пахнет пластиком. Промывка ни содой не уксосом не помогла. Пришлось нести менять на другую.</t>
  </si>
  <si>
    <t>Фигня полная!!!! Начиталась отзывов, конечно пишут хорошего больше, поехали с мужем купили. Дома открыли-да,все красивенько аккуратненько и насадок полно.... Но на деле.... Как только с кожей соприкасается сразу останавливается, причем с кожей на ладошке, что уж там о пятках говорить, мощности вообще не хватает, быстро разряжается и долго заряжается, на следующий день поехали вернули, жаль потраченного времени. Не советую покупать. Цена приличная, но от дешевки ничем не отличается.</t>
  </si>
  <si>
    <t>Покупала его со скидкой. За эти деньги-это лучший чайник! Вода закипает очень быстро, долго остается горячей. Закрытый нагревательный элемент упрощает его очистку. У меня этот чайник работает без нареканий уже почти год. Ничего не бежит и не подтекает. Вода из носика попадает точно в чашку. Единственные минусы- это он немного шумноват и под крышкой появились небольшие ржавые пятна, хотя заявлено, что чайник изготовлен из нержавеющий стали. Но в принципе ржавчина появилась только в одном месте, возможно это какая-нибудь реакция с пластмассой. P.S. То что корпус чайника нагревается не считаю  минусом. Ведь чайник из стали в любом случае будет нагреваться.</t>
  </si>
  <si>
    <t>Вкусные соки, сухой жмых, без привкуса пластмассы, легко разбирается</t>
  </si>
  <si>
    <t>Ужасная панель, не стоит брать</t>
  </si>
  <si>
    <t>2014-08-24</t>
  </si>
  <si>
    <t>Долбит как надо! одно условие - правильно настроить!!!</t>
  </si>
  <si>
    <t>2014-05-06</t>
  </si>
  <si>
    <t>Работает как часики уже больше чем полгода, при отжиме не вибрирует (у меня над ней стоит стойка для сушки посуды). Барабан вместительный, белье очень чистое, после окончания стирки подает сигнал.Выбрал эту bosh, учитывая размеры, небольшой уровень шума, и класс А энергопотребления.</t>
  </si>
  <si>
    <t>Коммуникатор хороший, цена качество соотнесены идеально!!! Решить проблему с быстрым износом задней крышки можно наклеив на нее матовую черную пленку.</t>
  </si>
  <si>
    <t>1021</t>
  </si>
  <si>
    <t>Пользуюсь 3 года,хорошие наушники (маловато баса)</t>
  </si>
  <si>
    <t>Газовый гриль.</t>
  </si>
  <si>
    <t>2256</t>
  </si>
  <si>
    <t>Неплохой обогреватель, вот только шумит!</t>
  </si>
  <si>
    <t>Пользуюсь чуть больше месяца. Работает хорошо. Духовка очень удобная, так же очень помогает таймер - сигнал достаточно громкий, хорошо слышно по всей квартире.</t>
  </si>
  <si>
    <t>Подскажите пожалуйста, как сделать чтобы текст вместе с музыкой шел? Надо текст в каком-то формате определенном закидывать? Буду очень благодарна!</t>
  </si>
  <si>
    <t>1528</t>
  </si>
  <si>
    <t>Вчера купил этот ноут. Ну просто монстр))очень нравится. Игры еще не играл. Для просмотра фильмов отличный! аудиосистема прекрасна! одни эмоции))) покупайте этот ноут! не пожалеете! Всем мир!</t>
  </si>
  <si>
    <t>Искал очиститель с увлажнителем, посоветовали этот. Пользуюсь около месяца. Система очистки хорошая, постоянно включается, когда воздух загрязняется. Очень нравится.</t>
  </si>
  <si>
    <t>На эту машину мне указал консультант в торговом зале, поскольку она шла по акции, но она мне сразу всем понравилась. Перед походом в магазин я определился с требованиями к будущей машинке и эта модель удовлетворила их все, некоторые даже перекрыла.   Встраивать было удобно, порадовала регулировка ножек, и подробная инструкция с лекалом для сверления отверстий в навесной дверце. Однако производитель не предусмотрел, что для протягивания шлангов через стенки шкафов приходится сверлить слишком большие отверстия. Если эта канитель на конце подающего шланга так уж необходима, то хоть бы сделали его отвинчивающимся от машины.  Отмывает отлично. Например, чайное ситечко, все заросшее бурым налетом, отмыла с первого раза до первозданного состояния. А вот сушка небезупречна: пластик и посуда с тефлоновым покрытием остаются мокрыми. Причем пока их достаешь, с них успевает накапать на все остальное. Так что при выгрузке посуды приходится пользоваться полотенцем. Впрочем я все равно очень доволен покупкой.</t>
  </si>
  <si>
    <t>Неожиданно сломался старый холодильник, пришлось в экстренном порядке покупать замену. Долго не выбирали, в тот момент за те деньги вариантов было не очень много. За время эксплуатации никаких проблем никогда не было, единственное - в морозилке образуется лед. Да и вообще как-то нам этой морозилки мало. Сейчас бы взяла холодильник по-больше. А в целом все ок. Считаю, можно брать</t>
  </si>
  <si>
    <t>Купила себе этот выпрямитель. Сначала смущала его невероятно низкая цена, но все же решила приобрести. Так как мои волосы прямые, он нужен только для выпрямления концов и "сглаживания" неровностей. Выпрямляет отлично, волосы не жжёт. Но для ежедневного применения  лучше выбрать что-то дороже и лучше.А так ставлю твердую пятерку)</t>
  </si>
  <si>
    <t>+ Эсететичный, красивый, нешумный.    - Всё время боялись, что крышечка разобьется, она сильно нагревается, приходилось пользоваться прихваткой сверху.  - Через месяц использования появился резкий технический запах в кипяченой воде и в самом чайнике. На поверхности воды образуется мутная плёнка.    Это уже второй керамический чайник за 2 месяца! Первый стоил 2700, этот -дороже+ в обоих случаях брали сертификат на обмен на 2 года, оба чаййника проработали ровно по месяцу. Я так понимаю, либо в том магазине на Рязанке товар специфический, либо все керамические чайники (вне зависимости от цены) служат месяц. Я разочарована, больше керамику брать не буду.</t>
  </si>
  <si>
    <t>708</t>
  </si>
  <si>
    <t>Купил пару дней назад, пока очень рад!  Машинка зверская.)</t>
  </si>
  <si>
    <t>Использовался для кухни : 2 чайника, блендер и мультиварка. Через пол года перегорел!</t>
  </si>
  <si>
    <t>2475</t>
  </si>
  <si>
    <t>Плита обалденная!!!!!!!!!! Жена теперь от плиты не отходит, все время что-то готовит...ну а я только рад</t>
  </si>
  <si>
    <t>1751</t>
  </si>
  <si>
    <t>Через неделю сломался, сдал обратно в магазин.</t>
  </si>
  <si>
    <t>Ничего не скажешь, консоль получилась отличная. Придираться и выискивать недостатки, конечно, можно сколько угодно долго, но стоит ли? Лучше играть!</t>
  </si>
  <si>
    <t>Вчера приобрели это чудо! Стильный дизайн, удобное меню. Конечно еще не успели разобраться за столь короткое время, но в целом всем довольны! На гриле правда только тосты успели сделать, а из приготовления запечь картофель в мундире. Очень понравилось, что в режиме "Авто" печь сама выбирает время разогрева. Нареканий пока не вызвала (надеюсь, что и впредь таковых не возникнет). Всем рекомендую!</t>
  </si>
  <si>
    <t>Игрушка просто КЛАСС.  Думал сначала взять себе какой-нибудь нетбук c диагональю 10", но когда увидел эту модель, да еще за такие деньги сразу взял. Кстати без акции он стоит около 18.000руб. с копейками.    Размер, вес, размер кнопок клавы как на обычной; в общем одни только плюсы.   Есть все самое необходимое(например Wi-Fi,Bluetooth,... ). Изначально жесткий диск, который кстати 160Gb разбит на 2 логических диска (FAT32 - 103GB и NTFS - 30,3Gb). Раздел диска, который NTFS содержит все необходимое проги и дрова если что-то вдруг у Вас рухнет.  На видео сразу уходит 256Mb из оперативки. Разрешение экрана как на 15,4" буках - (1280х800)   Кто еще думает советую брать скорее т.к. акция длится до 8 сентября и кол-во нетбуков ограничено.</t>
  </si>
  <si>
    <t>Весы отличные. Очень довольна. Показывают точно. Нравится, что не надо включать предварительно, просто встала и вес показывают</t>
  </si>
  <si>
    <t>2496</t>
  </si>
  <si>
    <t>Выбирала между разными фирмами, в условиях бюджета до 25000 р. Оценила все плюсы и минусы, консультировалась с кучей знакомых и в магазинах. В итоге остановила свой выбор на delonghi esam 04.110 s. Надо сказать, что не ошиблась ни разу, очень довольна выбором. Много различных регулировок, в том числе целых 14 степеней помола, сначала думала, что это лишнее, но попробовав поняла, что вкус действительно отличается. Капучинатор у этой модели намного лучше, чем у ее аналогов, пенка получается, круче, чем у моделей с автоматом. В управлении все просто элементарно. Кофе получается очень вкусное, каждый может выбрать то, что ему больше нравится. В общем, я считаю, что на данный момент это самая лучшая модель.</t>
  </si>
  <si>
    <t>В октябре купил для жены здесь за 12 с чем-то тыс.руб.Сразу понравилась цена. Доставка оказалась бесплатной - опять понравилось. Курьер приехал ровно в 11.00, как и говорил. Знающий, доброжелательный молодой человек. Распаковал, показал. Документы на продажу в порядке. Ноут работает! Придраться ну просто не к чему! Wifi без проблем. Добавил 2 гига оперативки - опять без проблем! Внешний винт на 1,5Тб -шуршит, работает! Короче, за 5 месяцев претензий нет. Используется женой на работе и дома, да и мной на выездах к клиентам и вообще по мелочам постоянно. Странных иллюзий типа GTA, blue ray или работы по 5 часов от аккумулятора не было изначально. Полностью присоединяюсь к февральским оценкам, особенно Вадима из Челябинска. Добавить просто нечего.</t>
  </si>
  <si>
    <t>Возможно комментаторы ниже и правы про несоответствие данной модели для стрижки головы, но сам Панасоник позиционирует ее как машинку для стрижки головы / триммер., а как триммер она для бороды самое то! За пару проходов все лишнее сняла и не засорилась.  Плюс с отличии от триммеров у данной машинки можно аккуратно равнять бороду от 1мм до 20 мм, а в триммерах обычно от 0,5 мм до 10 мм., также тут есть филировка и ее можно мыть под водой.  P.S. читайте инструкцию - первый раз надо заряжать мин. 16 ч.</t>
  </si>
  <si>
    <t>Пользуюсь больше года.В общем и целом довольна, печет хорошо, конвекция очень выручает. Но механический регулятор температуры не удобен-температура 180, или 220, или к примеру 240 градусов (какие-то промежуточные температуры) идентифицировать невозможно, т.е. очень приблизительно. Еще столкнулась с проблемой-в комплекте только 1 алюминиевый противень, он мне ну совершенно не нравится. Обратилась в сервис Zanussi. Ответ таков: "Могу получить родной, под заказ, по личному № моего шкафа и только точно такой же противень, которым укомплектован мой духовой шкаф, и вообще через 2, 3 месяца и никакой другой. Другие варианты - хотя бы эмалированный или лучше с антипригарным покрытием, искать в магазинах. А это дополнительный геморрой (подойдет ли не родной к моим направляющим?) и стоимость этих противней от 2 с лишним тысяч рублей. Так что решайте сами насчет приобретения!</t>
  </si>
  <si>
    <t>1686</t>
  </si>
  <si>
    <t>Очень хороший ноутбук,у меня уже более месяца,ни разу ни глюканул,всё гладко и чётко!  Производительность очень хорошая тянет и игры и чертёжные программы со сложной графикой...  Очень красивый дизайн,сразу выделяется из множества собратьев  Также очень хорошо работает WiFi приёмник(в 4х комнатной квартире совсем без потерь,хотя роутер дряхленький)!    Ну,вообщем,вот и всё,берите,не пожалеете!!!</t>
  </si>
  <si>
    <t>Больше года пользуюсь такой кофемолкой каждый день ни разу не подводила, работает как часы, говорят такие на кофемашинах  дорогих установлены.  P.S. Немного шумная но не критично.</t>
  </si>
  <si>
    <t>Работает несколько месяцев, легко тянет современные игры. Нет оптического выхода (в характеристиках наврали). Windows нужно сразу переустанавливать на x64, иначе синий экран в играх</t>
  </si>
  <si>
    <t>Плеер попал ко мне в виде замены по гарантии teXet T679.  по сравнению с оным просто супер! мощный, все плотно пристыковано, без люфтов и тп, не то что в тексете...  качество звука тоже на уровне для такой цены, софт прикольный прилагается :)  в общем довольна ) а там...посмотрим ) надеюсь ничего не случится</t>
  </si>
  <si>
    <t>2969</t>
  </si>
  <si>
    <t>Пользуюсь им уже 2 года!!!!  слушал в родных ушах, и в Philips за 1.5 тонны и звук вполне устраивает! плеер замечательный! держит очень долго аккумулятор, отличный дисплей, очень радует наличие модуля Bluetooth 2.1 поэтому можно использовать стерео гарнитуру, ей я сейчас и пользуюсь, Nokia BH-503. Советую!</t>
  </si>
  <si>
    <t>Очень, очень, хорошие наушники, наверное из всех вкладышей!! Слушаю вместе с ними ipod и очень доволен! Очень классные басы, не заваленные средние и низкие частоты. Всё слышно отлично. И кстати, пользуюсь ими уже 3 год! при этом слушаю музыку на полную всегда.</t>
  </si>
  <si>
    <t>Мое личное мнение-перед новым годом взял 1,был поражен качеством.....потом через неделю взял еще 1 в другую комнату....На рождество-подарил маме ещё 1-она тоже была в восторге от четкости и качества!!!! позже собираюсь взять тёще.)вот....ну и судите сами</t>
  </si>
  <si>
    <t>Чайник отличный. Как для борка хорошая цена.</t>
  </si>
  <si>
    <t>Девочки, никогда не покупайте эти бигуди. Вчера приобрела маме в подарок данный товар в городе Электросталь. Она очень давно хотела бигуди. Сегодня утром попробовали и поняли, что это просто ужас. Большие бигуди не сделали красивые локоны. Средние вообще не держаться, т.к.  шпильки намного больше диаметра бигуди.   Самое интересное, что мы изначально хотели приобрести другую фирму Remington, но девушка уверяла нас, что там нет нормального крепежа и что эти лучше. Послушали ее. А потом в интернете увидели, что бигуди Remington имеют не только держатель для кончиков, но и 20 'крабов' (что мы изначально хотели) + в упаковке отсутствует инструкция на русском языке. Я знаю английский поэтому прочитать инструкцию не составило труда, но если английский не ваш конек придется искать инструкцию в интернете. Так что не советую.</t>
  </si>
  <si>
    <t>Очень довольны выбором, пользуемся около полугода, легко моется, исправно работает!</t>
  </si>
  <si>
    <t>620</t>
  </si>
  <si>
    <t>В Bios переключите параметр SATA Native". И XP заработает. Никто никого не пересаживает, просто эти операционки по разному поддерживают железо.</t>
  </si>
  <si>
    <t>Родные втулки прослужили много лет, пришлось покупать этот набор. Купили его 26.07.2013 а сломалась втулка 16.08.2013 при всем при этом мясорубкой пользовалась второй раз после покупки, что теперь делать неизвестно.... не советую брать этот набор.</t>
  </si>
  <si>
    <t>Купил неделю назад - впечатления положительные.  Это мой первый смартфон, поэтому в симбиане пришлось разбираться.  Из плюсов отмечу:   +большой экран, при сравнительно компактных размерах аппарата  +симпатичный дизайн  +встроенный gps  +долгоиграющий аккумулятор  +приятный интерфейс симбиана (все просто и удобно, с ужасом вспоминаю как настраивал ммс на коммуникаторе друга с win mobile)  Из минусов отмечу:  -отсутствие wi-fi  -экран плохо читаем на солнце  -microUSB - сложнее найти кабель и стоит дороже,также нет подзарядки  -в навигационной версии нет usb-кабеля и карта памяти с символическим объемом 2Гб  Правда учитываю цену аппарата, данные минусы кмк не существенны  З.Ы.:   -Будильник не глючный, на кнопку стоп надо не нажимать а проводить по ней пальцем, это чтоб находясь в бессознанке не отключили будильник)))  -Если часто лазит в инет, значит сами запускаете инет-сервисы)  -Спутники ловит не хуже среднестатистического бюджетного навигатора, с A-GPS ловит быстрее</t>
  </si>
  <si>
    <t>Действительно, транслировать с ПК нет возможности, что очень плохо.    Для видео в контейнере mkv необходимы следующие параметры:    Profile не больше High@L4.1  ReFrames не больше 4    Звук лучше в AC3, хотя DTS и понимает, но с ним тормозит :(    Эти параметры можно посмотреть с помощью MediaInfo. К сожалению большинство файлов кодируют с другими параметрами, и приходится перекодировать самому, чтобы на плеере смотреть.</t>
  </si>
  <si>
    <t>Вентилятор отличный, работает тихо, поток воздуха на первой скорости достаточный, 2-я и 3-я - это уже для любителей померзнуть.</t>
  </si>
  <si>
    <t>1073</t>
  </si>
  <si>
    <t>Выбирал телевизор диагональю именно 26”, по возможности более компактный. Остановился на этой модели. В целом – телевизор очень понравился. Картинка может и не такая яркая и контрастная как, к примеру, у LG или Samsung, зато цвета более естественные. Углы обзора и четкость - достаточные. Чувствительность тюнера приятно удивила – телевизор подключен к обычной коллективной антенне и обеспечивает уверенный прием даже тех каналов, которые мой предыдущий (обычный, кинескопный) телевизор Samsung показывать отказывался.  Понравилось управление – все логично и удобно. Так же очень понравился дизайн – строгий и стильный, без лишнего глянца и гламура. Единственное замечание – негромкий щелчок в динамиках при переключении каналов/видеовходов и некоторых режимов. Но это видимо особенность данной модели (а может и всей серии), т.к. специально проверил еще на трех таких же телевизорах (в разных магазинах) – то же самое.</t>
  </si>
  <si>
    <t>Всем привет! Возможно мой опыт кому-то пригодится. Купил себе Плеер MP3 Flash 8 GB Explay M8 8Gb (то же что и 4Гб только объем другой), все нравилось, разве что можно было добавить откидную подставку для удобного просмотра видео и более крепкий чехол. Так вот, через некоторое время раздавил по неосторожности стекло. Случай не гарантийный. Повез в ремонт в официальную сервисную службу, где меня обрадовали: "фирма Китайская, деталей для ремонта не поставляют даже для гарантийных случаев, несмотря на неоднократные письменные запросы по технике Explay в г. Москву (причем это специализированный сервисный центр, указанный в документации к mp3 плееру), так что помочь ничем не можем!" Ток по гарантии через 45 дней можно вернуть или обменять, а мне пришлось покупать пленку для телефона и клеить вместо стекла. Ну а если что навернется - в мусорку. Так что задумайтесь: У EXPLAY СЕРВИСА НЕТ!!!</t>
  </si>
  <si>
    <t>В пользовании второй месяц. Для обладателей подобного на заметку. Всё про Матрёшку. Разрешение 1280х720 легко принимает. 1980х1080 тоже прихватывает, но с объёмами файлов более 11 гигов лучше не экспериментировать. Видеоформат AVC. Аудиоформат AC-3. DTS даже не пытайтесь. Картинка без звука не есть кино. ЖК на пятёрку. Конечно есть минусы как засветы на углах при чёрном экране. Но это на скорость не влияет. Лично для меня является непонятным, почему при аналоговом сигнал с разъёма Скарт кинотеатр звук воспроизводит, а при воспроизведении с USB блокируется. Со временем придумаю как с этим разобраться. А вот то, что аналоговый на тройку - ерунда несусветная. У меня всё пучком. Тут уж всё от передатчика. Столица рулит. Удачи Всем и долгих лет Вашему ЖК. P.S. Достойная работа сотрудников М-Видео.</t>
  </si>
  <si>
    <t>2378</t>
  </si>
  <si>
    <t>Ребят проблемка!!!!У меня не давно ноут не стал увеличивать и уменьшать громкость звука.То есть знаете вот эти сенсорные клавиши..Я когда нажимаю на увеличить звук он ни фига, уменьшить - тоже!помогите!!!!!!нажимаю Fn+больше меньше.Тоже не фига.....помогите..буду очень благодарна</t>
  </si>
  <si>
    <t>Это хороший системный блок!Я с ним играл во многие качественные игры и не одна игра не тормозила!Даже при установке какой либо игры,можно играть в другую какую либо игру без тормозов!А так очень тихий!Мне нравится Windows Vista Home Premium!  Поначалу хотел поставить Windows 7 Максимальная, но потом передумал, понравилась Vista!  Не нашел ни одного тормоза!А на вид маленький!Короче приобретайте не пожалеете!Я купил за 11111 руб!</t>
  </si>
  <si>
    <t>Купили 2 таких вентилятора. Один-себе, второй родителям в подарок. еще месяца полтора назад. Вчера включили в первый раз на ночь. на первую скорость, а их у него 3. проснулись от духоты через 3 часа. оказалось, что лопасти перестали крутиться, а сам корпус вентилятора нагрелся как обогреватель, прям горяченный ((((   так что теперь в сервис, что ооочень неприятно!  надо и родителям позвонить, чтоб попробовали включить, а то, может, сразу 2 придется везти в сервис.</t>
  </si>
  <si>
    <t>Мне ОООЧЕНЬ понравился этот столовый набор! Действительно очень удобный, приятно держать в руке, все мои гости это отмечают. Замечательно моется в посудомойке, никаких царапин я не вижу. всем советую - недорого и хорошее качество!</t>
  </si>
  <si>
    <t>Собственно всё в заголовке. За 4 года использования мы остаёмся в восторге именно от этой конструкции. Мелет всё и, самое главное, мыть минимум после.</t>
  </si>
  <si>
    <t>Один из лучших зомби-шутеров! С ним может только поспорить серия Left 4 Dead. Советую! ;)</t>
  </si>
  <si>
    <t>У меня тоже после первого запуска повис, но и в дальнейшем зависания проявляются, виснет периодически раз в несколько дней, когда как, то на рабочем столе, то в опере, но ни разу в играх, служба поддержки Acerа написала что везите в сервис для диагностики. Похоже вся партия с каким то дефектом, в одном только М-Видео по России 11 возвратов данного компьютера, и как вижу ещё не все обращаются, а ведь партия была небольшая, один раз завезли и больше поставляться он не будет.</t>
  </si>
  <si>
    <t>5</t>
  </si>
  <si>
    <t>как продукт от майкрософт вообще мжно ставить на комп???  в Norton Commander работать легче!!!</t>
  </si>
  <si>
    <t>Купили чайник 11.02.2011 года понравился дизайн и удебен в использование . Но когда принесли домой включили ужасно громко шумит, и крышка сломалась буквально через ровно 3-и месяца . Так то чайник не дешевый , если считать в 3-х месячный срок эксплуатации((((( На самом деле мы выбирали чайник очень долго и нам посоветовал продавец...</t>
  </si>
  <si>
    <t>Технические характеристики очень высокие для такой цены. Удобен в пользовании. Брал его под расчетные работы на выезде - показал хорошую производительность. Дизайн - на высоте. Алюминиевая панель, стилизованная под дерево - выглядит достойно.</t>
  </si>
  <si>
    <t>Долго хотели купить именно кофемашину, т.к. очень давно уже пьём только натуральный кофе и пользовались рожковой кофеваркой.  Но есть нюансы кофеварки которые несколько уступают перед кофемашиной и поэтому используя удачный момент по выгодной цене и соответствующим характеристикам сразу решили приобрести данный товар. При распаковке сразу решил ознакомиться с руководством т.к. никогда не пользовался такой системой, всё доходчиво и просто. Сделал по инструкции и выставил температуру приготовления напитка и таймер отключения, всё как прописано и пробные пару порций и всё заработало как в лучшей кофейной. Кофе регулируется и по крепости и по дозировке порции, очень здорово. А в выходные, каки обещал жене приготовил капучино, она была в восторге.   В итоге, могу порекомендовать данное изобретение гурманам - кофеинам.   Купили на прошлой неделе. 21.03.2016г.</t>
  </si>
  <si>
    <t>перестал выключаться через 2 месяца после покупки...  хотя он так мне нравился. сегодня иду менять...</t>
  </si>
  <si>
    <t>2465</t>
  </si>
  <si>
    <t>2010-01-12</t>
  </si>
  <si>
    <t>У этого пылесоса есть замечательная функция сбора воды,  В загородном доме после того как дети поплавают в бассейне он без проблем соберет всю разбрызганную воду ( а это с помощью тряпки очень трудоемко делать) пылесосом - это на счет раз и готово! 5 минут и все сухо.  Моему пылесосу более 10 лет это модель 5150 примерно так но в экстренной ситуации он меня очень выручил даже спустя 12 лет.  8 января 2010 года в доме прорвался металлический шланг от душевой кабины.  Встав утром, в цокольном этаже все было на 5-10 см в воде (это примерно 150 метров) и за два часа этим пылесосом была собрана вся вода , включая паркет, а затем после откачки погружного насоса в подвал( под бассейном) когда насос уже не мог забирать воду (осталось где-то 5 см по бассейном) работал " как пчелка" и собрали всю воду на площади под бассейной около 100 м где-то 70-80 наполнений под пылесосом.Зашла на сайт мвидео с целью посмотреть в запас насадку швабру для всасывания воды( то чем я усиленно пользовалась) а также хотела бы прикупить пакетов для пылесоса ( для мусора при обычной уборке).Хотелось бы посоветовать увеличить нижнюю емкость для сбора воды, тогда было бы вообще супер, хорошо бы если можно было это докупать дополнительно. Я первая ....</t>
  </si>
  <si>
    <t>Такое ощущение, что положительные отзывы пишут чтобы погасить негативные. Если выбираете кондиционер не читайте отзывы, посмотрите какой у соседей стоит, спросите мнение и думайте. То гудит, то негудит. Сплит системы одной модели собираются на одной линии сборки, поэтому они все одинаковые, а компрессоры не бывают бракованные, они все проходят проверку перед сборкой. PS: Уровень гула и шум внешнего блока зависит от давления газа в системе. (Чем больше давление тем сложнее справляется компрессор и вибрирует) Samsung.</t>
  </si>
  <si>
    <t>Такое чувство что он работает как 3 пылесоса вместе, чересчур громко. Не довольна пылесосом:(</t>
  </si>
  <si>
    <t>купил этот ноут в январе 10-го года, дизайн конечно хороший, но вот небольшая проблема с видеокартой вернее с дефектами в играх постоянные цветные блики и различные полоски. Люди подскажите, что можно сделать, стоит WINDOWS 7 ULTIMATE.</t>
  </si>
  <si>
    <t>Долго сомневалась при выборе стиральной машинки. В итоге купила данную модель Candy по акции. Могу сказать с полной уверенностью: очень достойная машинка за такие деньги. Особенно хочется отметить отличное качество стирки, средний уровень шума и очень удобные программы стирки (32 минуты / 44 минуты). Очень довольна своей малюткой. Всем рекомендую!!!!!</t>
  </si>
  <si>
    <t>Отличный чайник, хороший современный дизайн для спиральных чайников. пользуюсь уже более года проблем нет. Берите не пожалеете стоит своих денег</t>
  </si>
  <si>
    <t>2994</t>
  </si>
  <si>
    <t>Пользуюсь недели три, очень довольна!   Моет и сушит отменно. Иногда лишь остаются капельки воды на пластиковых контейнерах и в выемках ручек от сковородок, но мне это не мешает.    Использую таблетки, очень удобно. Только перед первым использованием надо соль засыпать, так рекомендуют специалисты. На программе 45 градусов и при половинной загрузке использую полтаблетки (таблетку целиком не хочет, оставляет на крышке). Так что экономно получается.    Всем рекомендую покупать! Как же удобно, прям груз с плеч!</t>
  </si>
  <si>
    <t>2015-01-10</t>
  </si>
  <si>
    <t>Очень уютно смотрится на столе. Отлично справляется со своей задачей - кипятить воду!  Индикация не работала с первого же дня. Первые 2 недели протекал: на подставке оставались лужицы воды. Потом всё само собой решилось.</t>
  </si>
  <si>
    <t>Удобен в использовании, быстро нагреваются комфорки. Для использования плиты в домашних условиях этого достаточно. Да и бренд говорит о качестве.   М-видео спасибо за акцию, получилось взять дешевле(покупал в марте). Пользуюсь недолго, может найду еще до чего докопаться :)</t>
  </si>
  <si>
    <t>Очень хороший пылесос! берите не пожалеете! Мощный, легкий в обслуживании, достаточно маневренный, не громоздкий... оправдывает себя на все 100! Пылесосом очень довольны!</t>
  </si>
  <si>
    <t>Ноутбук отличный всем, я взял его 1 сентября... Рад невообразимо.  В нём всё супер... единственный минус который я нашёл это верхняя крышка!!!  Отпечатки постоянно остаются на ней. а так оценка 5+!!! даже 10!!!</t>
  </si>
  <si>
    <t>2858</t>
  </si>
  <si>
    <t>Машина не проработала и 5 лет. Ремонтировали уже через 2,5 года от момента покупки, отдали 3000 рублей, но после ремонта опять вышла из строя. Стирает только холодной водой и очень долго, вне зависимости от того, какой режим выбираешь. Достаточно шумная при отжиме. Никому не советую.</t>
  </si>
  <si>
    <t>очень удобный ноутбук....я им например пользуюсь в институте, по дороге домой...только не радует, что вебка минимального разрешения...а так всё устраивает)</t>
  </si>
  <si>
    <t>Простая и удобная в использовании кофемашина, кофе варит быстро и вкусно. Взял и не пожалел.</t>
  </si>
  <si>
    <t>Отличный утюг!!!!! Длинный шнур, гладит превосходно, очень удобный! Система самоочистки очень кстати! Советую!</t>
  </si>
  <si>
    <t>Не перестаю в нее играть до сих пор, игра шикарная, аналогом может стать Red Orchestra 2: HOS. Всем советую и то, и другое.</t>
  </si>
  <si>
    <t>2015-11-23</t>
  </si>
  <si>
    <t>Пользуемся уже 4 года этой кофеваркой. Очень довольны. Кофе варим каждое утро. Всем советую.)</t>
  </si>
  <si>
    <t>Спустя примерно 5 месяцев с покупки примерно в одном случае из десяти не выключался, видимо заедала кнопка выключения. Чтобы привести в порядок приходилось довести до кипения и пока он горячий выливать всю воду, тогда она отщелкивалась. Позвонил в Мвидео - сказали, что можно принести по гарантии, но срок работы составит до 45 суток... Без чайника больше месяца туговато. И заедать как-то перестал был пару дней. Протянул еще месяц, но он уже 3 раза всю кухню паром по полной обдавал, так что все же понесу.</t>
  </si>
  <si>
    <t>Пользуюсь неделю, перешёл на него с 14 дюймового и особых неудобств не ощутил, клавиатура удобная и нормального размера, широкий экран позволяет смотреть фильмы на весь экран.   Периодически приходится ездить с компьютером, а с этой моделью не приходится идти на компромисс, лёгкий, компактный и удобный!  p.s. Спасибо всем кто здесь отписывает, помогает при выборе!</t>
  </si>
  <si>
    <t>Надежный, проверенный временем производитель. Показания влажности температуры показывает правильно. (сравнивал с профессиональным термо-гигрометром).</t>
  </si>
  <si>
    <t>Купил на дачу в апреле 2014 года. Прекрасно работает, претензий нет. Тем более цена ниже средней. До этого брали эту же марку домой в 2006 году, до сих пор работает, правда в прошлом году пришлось ТЭН поменять.</t>
  </si>
  <si>
    <t>Вполне нормальная флешка. Слушаю музыку в машине, проблем нет.</t>
  </si>
  <si>
    <t>832</t>
  </si>
  <si>
    <t>Интересная и качественная электрическая панелька! Эта стеклокерамическая поверхность - просто высший класс, видно качество просто при одном взгляде на эту поверхность) Чистится-то как легко! Каждый день чуть ли не протираю до блеска, мне эта панель просто ну  оочень нравится) Благодаря ней могу готовить реально так, чтобы ничто не подгорало и жарилось и варилось равномерно! Конфорок тут пять, хотя одновременно конечно их всех не поиспользуешь)) Но они все удобных и нужных размеров!  Расширенные зоны нагрева аж на трех, так что с быстрым разогревом чего-либо нет никаких проблем)) Сенсорное управление работает хорошо и чутко!)</t>
  </si>
  <si>
    <t>В целом очень понравилась. Из режимов все самое основное присутствует. Порадовала функция, когда при некоторых режимах машина путем "взвешивания" белья сама устанавливает время стирки). Единственное при обороте 1000 она "прыгает" по ванной. ну в принципе говорят что нужно хорошо отрегулировать ножки тогда все будет ок. А вообще я никогда не выставляю такие обороты...одежда портится, достаточно и 800 оборотов. Стирает тихо, только на сливе воды ведет себя немного шумновато, а так в целом порадовала машинка...не знаю как будет дальше, ну пока все замечательно)</t>
  </si>
  <si>
    <t>Нормальный тепловентилятор пользовался всю зиму на работе НЕ ПОДВЁЛ!!!!! Несмотря на свой маленький размер, помещение прогревал полностью!!! Очень доволен!</t>
  </si>
  <si>
    <t>Максимальная цена в которую я хотел уложиться - 20 т.р. Приобрел Saeco Minuto HD8761/09. Сразу скажу дизайн конечно немного угловат. Нужно привыкнуть. Из достоинств - воду и кофе можно засыпать и заливать со снятыми крышками. Купил я ее за 2 недели до Нового года. Если готовить 4-6 чашек кофе каждый день , то первая промывка понадобилась мне ровно через 2 с половиной недели. Для промывки покупал средство за 400 рублей. Сегодня 19 января - на табло снова появилось сообщение о промывке. Оно не мешает работе кофемашины - его можно просто игнорировать, нажимая отмену. Вот в принципе и все. Кофе варит хороший. Никогда не делал капучино - на этой машине попробовал. Получилось все с первого раза и ничего сложного. Все оказалось просто и легко. Для лучшей пены молоко должно быть пожирнее - это я пришел к этому экспериментальным путем. Покупкой доволен . Если проработает несколько лет - будет очень хорошо. Пока только положительные эмоции</t>
  </si>
  <si>
    <t>Купили три недели назад, комбайн отличный! Делаем пюре ребенку, универсальный нож может и мясо порубить до состояния фарша. Сок из цитрусовых отжимает не плохо. По пяти бальной шкале пять баллов!</t>
  </si>
  <si>
    <t>купила в 3 мая до сих пользуюсь отличный утюг купила еще один свекрови и еще один хочу сестре всем советую просто супер</t>
  </si>
  <si>
    <t>2408</t>
  </si>
  <si>
    <t>Телефон супер лично для меня.Камера отличная по сравнению с 8ми пикс. камерой у того же SE U10i,фоткали предмет на расстоянии 3х-4х метров,мне показалось качество одинаковое,но когда увеличиваешь,SE тупо размывает фото,на Х6 всё в порядке.</t>
  </si>
  <si>
    <t>Расшаталось гнездо наушников после месяца использования, наушники вынимал от силы раз 10. Вот тут разумный человек и должен задуматься, а зачем ему нужен плеер, который нельзя нормально слушать :(((, пусть он даже красивый и эргономичный.</t>
  </si>
  <si>
    <t>Эх, в игре концовок капец сколько, правда по-настоящему хорошая концовка, что б уж совсем было все хорошо только одна. Вообщем это подтверждает, что игра действительно не линейна, и кончиться сюжет может совсем по разному. Must Buy.</t>
  </si>
  <si>
    <t>купил вчера, т.е. 02.01.2012 г., только одни минусы, это не фритюрница, а аэрогриль, в основном она сделана для приготовления фри, так вот фри в нем просто отвратительный - просто печеный картофель получается, а не тот который в макдаке готовят.</t>
  </si>
  <si>
    <t>Пользуюсь уже почти год. Скорость-супер. Как сказано ниже - есть единственный маленький минус (который тонет в плюсах) - это несколько большой размер. В общем я доволен.</t>
  </si>
  <si>
    <t>Мне очень нравится этот пылесос! Он легкий в использовании. Он отмоет любые виды загрязнений - и очень качественно! А так же его очень просто мыть!Спасибо вам за такие изобретения :) Покупайте смело!!!</t>
  </si>
  <si>
    <t>Почему-то в спецификации не указано, что фондюшница имеет еще и керамическую чашу отдельно для сыра и шоколада. Это очень важно, потому что искала именно такую. Зайдя на сайт, просмотрев этот вариант, не заинтересовалась им. А случайно зашла в магазин, увидела эту фондюшницу с добавочной керамической чашей - обрадовалась, купила. И еще, в инструкции не указано как пользоваться этой керамической чашей: в чашу из нержавейки наливается кипяток, он и ставится на фитилек, а уже сверху помещается керамическая чаша. Получается как бы водяная баня, тогда ни сыр ни шоколад не пригорят))))</t>
  </si>
  <si>
    <t>1150</t>
  </si>
  <si>
    <t>для этих денег неплохо</t>
  </si>
  <si>
    <t>эффективен в большой комнате, компактен, многофункционален</t>
  </si>
  <si>
    <t>Пользуюсь фильтрами Барьер не первый год. У Барьер Гранд Нео конструкция кувшина стала удобнее (удобно наливать, не слетает крышка). Радует большой объём отфильтрованной воды. К качеству фильтрации никаких замечаний нет.  Приятным бонусом стала механическая "напоминалка" о сроке замены картриджа, расположенная на крышке кувшина.</t>
  </si>
  <si>
    <t>Приобрёл вчера, отличный вентилятор! Плотно стоит на столе, не качается, дует хорошо, слегка гудит. Подойдёт тем кто весь день сидит за компьютером, приятно освежает.</t>
  </si>
  <si>
    <t>Машинка-действительно достойная и в этом классе, за эту же стоимость аналогов у нее нет! Проста в использовании.  Единственный минус-это при максимальном отжиме квартиру наполняет свист.  Берите не пожалеете!</t>
  </si>
  <si>
    <t>Отличный монитор, качество выдаваемой картинки радует уже недели 2, никак привыкнуть не могу.</t>
  </si>
  <si>
    <t>Очень легкий и удобный плеер. Штекер под наушники расположен там где джойстик, удобно переключать музыку. В Комплекте идет клипса, которой можно пристегнуть плеер на карман. Звук очень хороший, выходная мощность плеера не малая - 18Вт. Советую тем, кто активно занимается спортом (ролики, велосипед, бег). Плеер при максимальной громкости держит около 8 часов при полной зарядке.</t>
  </si>
  <si>
    <t>Не очень любила кофе до тех пор, пока у меня не появилась эта кофемолка. То есть, я наивно думала, что ширпотребное растворимое нечто - это верх кофейной радости. А тут получилось, что мама привезла из Турции кофе в зернах, а тетя подарила эту самую кофемолку, которая прекрасно измельчает, так что теперь у меня всегда есть хороший настоящий кофе, хорошо промолотый и вкусно свареный))</t>
  </si>
  <si>
    <t>Тихий, мощный, а особо порадовало, что он и со стаканом и с мешком для сбора пыли.</t>
  </si>
  <si>
    <t>2013-09-06</t>
  </si>
  <si>
    <t>Очень хорошая машина. Легкая, удобная в обращении. На мой взгляд единственный минус - медленная работа</t>
  </si>
  <si>
    <t>Плита СУПЕР, советую!</t>
  </si>
  <si>
    <t>Для такого маленького размера, играют объемно и качественно на 5+.</t>
  </si>
  <si>
    <t>Этот телефон создан как раз для разговоров, давно искал простой и дешёвый телефон, дабы было не жалко его потерять или сломать, покупаю его для армии, как раз и без камеры и с gprs для аськи=)</t>
  </si>
  <si>
    <t>Вне всяких похвал.я безумно довольна! Долго выбирала.но этот присмотрела еще до приезда в магазин. и там уже убедилась что это то что мне нужно.безупречен..!!очень хорошо выпрямляют.волос не электризуется.блестят) нисколько не жалею, что приобрела данный выпрямитель для волос)</t>
  </si>
  <si>
    <t>Очень долго выбирал какой именно купить телевизор, но остановился на этой модели. Он достоен оценки 5+, картинка яркая и чёткая, читает множество форматов с USB флэшек, вообще за эти деньги лучше не найти.</t>
  </si>
  <si>
    <t>Пользуюсь месяц, пока довольна. Использую почти ежедневно. То овощи порубить, то зелень измельчить. Блендер для изготовления майонеза хорош, удобно масло вливать тонкой струйкой через встроенную лейку.  Выбирала между этой моделью и моделью с мясорубкой. В итоге не жалею. Мягкое мясо порубить хватает ножа, а если нужна полноценная мясорубка, надо покупать её отдельно, помощнее.  Жаль, что о модели 5529RU я узнала после покупки. Там нарезка кубиками есть. :)  Была бы возможность, поменяла бы на 5529. Но если нарезка кубиками не интересует, то модель вполне хороша.</t>
  </si>
  <si>
    <t>Купили по акции 2 недели назад. Ставил сам, выравнивал с использованием строительного уровня. Жена эксплуатирует машинку каждый день по несколько раз. Конечно барабан маловат, соответственно загрузка тоже, но габариты машинки больше и не позволяют. Работает прекрасно. Хорошо отстирывает, при отжиме не скачет вообще( еще раз убедился в постулате о том, что все дело в правильной установке), время до конца стирки показывает правильно, хоть и меняет показания таймера в процессе стирки, загрузочный контейнер для порошка вытаскивается, как и написано в инструкции, просто разумно примените немножко силы для первого вытаскивания. В - общем, для своей цены и габаритов, мы лучшего и желать не могли. Как говорится, - РЕКОМЕНДУЮ! -))</t>
  </si>
  <si>
    <t>Этот эпилятор стал моим помощником! Поначалу все же больно эпилировать, но со временем привыкаешь, к тому же массирующие шарики и холодный воздух снижают боль. Работает только от сети. Пользуюсь раз в две недели, на обработку ног уходит полчаса. Пользуюсь почти всегда на второй скорости.</t>
  </si>
  <si>
    <t>1754</t>
  </si>
  <si>
    <t>Искал наушники-вкладыши на замену старым (Sony). Дешёвку брать не хотел, поскольку придирчиво отношусь к качеству звучание. Выбрал Хейзеры, была уже модель вакуумного типа, которой я доволен на 100%. Что могу сказать об этих? Довольно неплохо, для вкладышей... Звук прозрачный, верха и середина на высоком уровне, слушать приятно. По сравнению с Соньками звук стал более открытым и появился объём... Звуковая сцена очень широкая, иногда забываешся и кажется будто не наушники в ушах, а где-то невдалеке играет акустика. Басы??? Ну сравнивать с вакуумниками я бы не стал, там всё на порядок выше, да и цена больше в 2,5 раза. Я не любитель слишком плотного баса, поэтому меня звук этих ушей устраивает. Бас мягкий и бархатисный. Наушники хорошо отрабатывают верх и серединку баса. Серьёзной глубины я от вкладышей и не ожидал, но тем не менее звук этих наушников меня порадовал.  Правда у них есть одна особенность - если у вас плохенький дешевый плеер - лучше не покупайте, поскольку эти ушки раскроют вам все его недостатки... Они созданы под качественный источник звука и высокие битрейды - это факт.</t>
  </si>
  <si>
    <t>Пользуюсь утюжком с начала года, как перешла на него -  волосы стали меньше сечься  и сохнуть на концах, смогла отрастить длину.   У меня волос мелированный,но максимум на 170 градусах выпрямляю. Замочек-нужная вещь... Очень довольна, что не пожалела денег,  и другим рекомендую</t>
  </si>
  <si>
    <t>1091</t>
  </si>
  <si>
    <t>Игра стала ещё более быстрой и агрессивной. Сюжет строго вписан в историю, а также он более интересен и продуман. Игра проходит на одном дыхании и не надоедает. Поражает монументальностью и своей базой даннаых.У каждого персоонажа есть биография и каждый запоминаем. Опишу игру одним словом-ШЕДЕВЕР!!!</t>
  </si>
  <si>
    <t>Купили плиту 2 недели назад, впечатления только положительные, печёт хорошо, работает отличтно, очень вместительный ящик снизу. Всё нравится, вот только никак не научусь духовку разжигать с первого раза, только раза с 15-го получается.</t>
  </si>
  <si>
    <t>Прибор работает нормально, но можно взять аналогичный по качеству аппарат другого производителя за вдвое меньшую цену. Бренд BORK - создан российской компанией \Технопарк\ в 2001 году, позиционируется как бытовая техника премиум класса,и активно пиарится везде где только можно, соответственно и цены на него нереально завышаются; по факту же техника других действительно именитых иностранных компаний стоит значительно дешевле и ничем не уступает по качеству.</t>
  </si>
  <si>
    <t>Через 2 месяца после покупки стал прокручиваться вал и ничего не взбивать, ни резать, некоторые насадки даже не успели попробовать (даже яйца не взбивал , не говоря о более твердых продуктах) ...так что полная фигня...надо брать металлический, чтоб не стирался. P.S. только соковыжималка в нём нормальная (кроме для цитрусовых)</t>
  </si>
  <si>
    <t>2015-10-05</t>
  </si>
  <si>
    <t>Данный комплект удалось купить в декабре прошлого года перед повышением цен. Понравилось соотношение цена-качество. Спустя почти год работы могу поделиться впечатлениями.   Плюсы:  1)	Отличная сборка, надежность, нет сбоев и проблем.   2)	Панель нагревается быстро, легко моется  Минусы:  1)	Понял, что не хватает конфорки-утятницы. Вещь просто необходимая, если у вас казан такой формы.  2)	По сравнению с бывшей газовой духовкой эта готовит мой любимый кекс дольше :)  В целом вердикт такой: комплект стоит своих денег, будет радовать вас вкусняшками, если вы конечно готовить в нем будете :)</t>
  </si>
  <si>
    <t>Отличная плитка, работает хорошо. Нагревается быстро. Очень довольна.</t>
  </si>
  <si>
    <t>сначала думал обычный усь,но потом....покупал kap-43 в м.видео,там он оказался на порядок дешевле,чем в других магазинах во всём городе.купил за4290.   усилитель-бомба! что я только с ним не делал! на 2 канала в мосту вешал 4 саба однокатушечных-играет,2-катушечных в 2ом-играет+2канала на фронт.  Колонки,закоротил плюс с минусом на нём нечаянно-он просто отключился(хотя мне сказали СГОРЕЛ!-ничего подобного,включил-работает всё ОК)Плавное включение без всяких щелчков(в отличие от других усей).Все необходимые настройки,кроссовер отличный.Доволен я им!усю-зачет и экзамен!на5+</t>
  </si>
  <si>
    <t>Долго думал, аппарат довольно дорогой, но первые 15 минут использования показали - деньги потратил не зря. Сделали семьей мультифруктовые шейки со льдом за 2 минуты. Результат впечатлил. Очень мощный, удобно пользоваться, просо моется, немного великоват. Рекомендую. Bork рулит.</t>
  </si>
  <si>
    <t>Приобрел пылесос летом,минусов так и не нашел,только плюсы,с телескопической ручкой не уборка, а отдых, контейнер для пыли удобный,провода действительно хватает и не надо каждый раз искать другую розетку,дизайн классный и стильный.  Цена супер и фирма за себя говорит.</t>
  </si>
  <si>
    <t>Очень хорошо бреет, и никакого раздражения. В инструкции написано, что адаптация к бритвенной системе Philips 2 недели, но после 2-х дней уже нет никакого раздражения.</t>
  </si>
  <si>
    <t>Полное разочарование. дизайн симпатичный , но термостата нет как оказалось ,поток воздуха очень слабый , а регулировки нет , комнату до 15 кв.м прогрел только к утру  и то не очень...</t>
  </si>
  <si>
    <t>Прослужил фен больше 4-х лет, при постоянном использовании. Очень довольна. Только сейчас сломался, когда укладывала, что-то внутри захрустело, затрещало и все перестал работать.Тем не менее отслужил не малый срок. Сейчас заказываю себе такой же, уже не могу его променять на что-либо другое.</t>
  </si>
  <si>
    <t>После недолгого использования пластиковая крышка сначала вся потрескалась, потом развалилась на части. Купила масленку этой же фирмы в этом же магазине и, к тому же, дешевле, но полностью металлическую. Служит верой и правдой уже лет 5. И,думаю, прослужит еще 25.</t>
  </si>
  <si>
    <t>Моя самая любимая игра...круть! :)</t>
  </si>
  <si>
    <t>норм уши слушать можно =)</t>
  </si>
  <si>
    <t>порт usb в этом ТВ только для сервиса</t>
  </si>
  <si>
    <t>846</t>
  </si>
  <si>
    <t>плеер первосходный,звук отменный,для тех кто любит натуральный звук, советую наушники *sennheiser mx 580*.</t>
  </si>
  <si>
    <t>948</t>
  </si>
  <si>
    <t>такая замечательная помощница! купили и ни разу не пожалели. мощная, практичная, легко моется, сама сохнет, металл качественный, не ржавеет-проверяли. удобно закладывать - широкая поверхность воронки. Будем покупать еще- для родителей, очень уж им понравилось ею пользоваться.Проста в сборке и использовании. Просто супер!!!</t>
  </si>
  <si>
    <t>Очень хорошая щётка.</t>
  </si>
  <si>
    <t>Отличный фен!муж подарил на 8 марта.прекрасно сушит и укладывает,много насадок,не обжигает волосы.стильный дизайн.очень довольна.и цена хорошая</t>
  </si>
  <si>
    <t>Машинка использовалась каждый день по 3-4 часа, хватило ее на 3 года. шумит при отжиме как самолет, хотя оборотов всего 800, но стирает приемлемо. Сегодня едем покупать новую, ну это будет точно не LG</t>
  </si>
  <si>
    <t>Купил сегодня сей межблочник, давно к нему приглядыался. Взял на замену проводу из магазина радиотехники, который ловил кучу помех. У меня стоит два разнесенных усилителя, поэтому пришлось немного разбирать провод, в общем его состав: оплетка змеиная, толстый слой резины, потом алюминиевая фольга и в ней 4 достаочно тонких провода (но толще мистери и тп). Тюльпаны прикреплены к проводам хорошо. Помех на своем авто словил, но буквально чуть-чуть, твитеры заиграли чище, больше ничего не заметил. ГУ пион, ecm длс матадор, динамики херц.</t>
  </si>
  <si>
    <t>Достаточно тихий(установлен не обычный вентилятор, а большой кулер), хорошее качество сборки, удобный переключатель, хорошо и быстро греет даже на 1000 Ваттах(слабый режим), а на полутра тысячах так вообще шпарит как паяльник.</t>
  </si>
  <si>
    <t>Очень удобно, пользуемся уже 1,5 года. Компактный прибор, легко найти место для него на любой кухне. И цена привлекательна. И тост поджарить на любую необходимую степень и булочку/пирожок подогреть. Довольны, рекомендую.</t>
  </si>
  <si>
    <t>узкий</t>
  </si>
  <si>
    <t>Хоть и стоит дорого, но она того стоит! Не могу сказать, что компактная, но мы нашли угол для нее в самый раз. Каждый день выжимаем сок из апельсинов, моркови и яблок. Выжимает все за секунды, моментально набирается стакан сока с пенкой ( в кувшине есть сепаратор, который убирает пенку при необходимости, но я ее люблю) Остатков остается немного. Сок действительно выжимает до последней капли.  Пробовали также выжимать сок из сельдерея, огурцов, томатов, груш, манго - со всем справляется моментально. Единственное, что тяжеловато мыть после использования и сушить. Разбирается легко, но важно, тщательно мыть все внутренности и сразу после использования, иначе со временем пластик приобретет тусклый цвет. Удобная  простая электронная система включения и выбора программы. Работает не шумно. Я довольна моделью, но все же огромная переплата идет за бренд.</t>
  </si>
  <si>
    <t>Утюг плохо греет,на max хлопок не разглаживает, а на среднем режиме подтекает вода из отверстий отпаривания. Буду возвращать в магазин.</t>
  </si>
  <si>
    <t>не очень качественное звуковое воспроизведение.</t>
  </si>
  <si>
    <t>Купил сегодня эти наушники и разочаровался - очень тихий звук при подключении к компьютеру! Пробовал на пяти разных компьютерах на работе, результат один и тот же! Звук выставлен на максимум! При этом на этих же компьютерах у коллег очень громкое звучание с другими наушниками!</t>
  </si>
  <si>
    <t>3115</t>
  </si>
  <si>
    <t>+Держит заряд долго, не дергает.         -Пробовали сына стричь под насадку...получилось плохо)</t>
  </si>
  <si>
    <t>Купил данную модель около месяца назад и не разу не пожалел. Все функции работают без нареканий, прост в эксплуатации и нет ни чего лишнего.</t>
  </si>
  <si>
    <t>1093</t>
  </si>
  <si>
    <t>Плюсы: компактный, легкий, современный, НЕРА фильтр, контейнер вместо мешка, работает тихо, пылесосит качественно. Хороший пылесос, ни капли сожаления о потраченых деньгах</t>
  </si>
  <si>
    <t>Довольна на все 100! Пропекает все идеально, ничего не прилипает. Вафли просто роскошные!</t>
  </si>
  <si>
    <t>Отличная гладильная доска! Купила и нарадоваться не могу!)) Функциональная, широкая гладильная поверхность, ну и самый главный критерий, по которому я выбирала доску - устойчивая!! Покупайте, не пожалеете..она того стоит. Очень странно, что никто до меня не отписался по ней...Использовала её с утюгом-парогенератом, ткань не мокнет, чуть увлажняется, но тут же высыхает. Супер! У меня нет слов, одни положительные эмоции)))))</t>
  </si>
  <si>
    <t>Присмотрел эту плиту для своей мамы.   Если кто-то пользовался, как вы думаете - не слишком ли сложны все эти таймеры-программаторы для 72-летней женщины?    Ну, и вообще, поделитесь впечатлениями, пожалуйста.</t>
  </si>
  <si>
    <t>пересел на них после того как сломались родные с телефона (nokia wh-701) в wh-701 отличные басы, звук качественный, полное управление музыкой, провод легко распутывается, идеальная шумоизоляция так что если хотите норм наушники берите nokia wh-701, ну в этих я только в басах разочаровался (хотя я может еще от wh-701 не отвык) ну в общем все, если денег на нормальные не хватает, берите эти.</t>
  </si>
  <si>
    <t>на днях поставил на этот нетбук Windows 7 Ultimate 32bit(второй системой)- работает получше чем с Windows Vista Basic благо еще все драйвера есть на офиц.сайте HP-долой Vista с нетбуков!!!</t>
  </si>
  <si>
    <t>Покупали этот холодильник в М-видео. Пользуемся 8 мес. Ужасно шумный, скрипит, гремит, спать только при закрытой двери. А так вместительный, удобно. Но этот шум портит все впечатления. Поэтому подумайте, что вам важно, тишина и вместимость.</t>
  </si>
  <si>
    <t xml:space="preserve">Маленький, лёгкий, удобен для путешествий или отпуска </t>
  </si>
  <si>
    <t>Очень хороший вариант, если нет возможности поставить автомат. Стирает хорошо. Нет слива воды, отжима. Но все равно лучше, чем руками.</t>
  </si>
  <si>
    <t>Простой и удобный телефон. Внешний вид на 5, а вот функций маловато. Звук с динамика при прослушивании музыки и звонке на 3, громкость динамика на 4.  Всегда были нокиа, но удобство одного телефона с двумя симками понятно.  Купил, пользуюсь, в целом доволен.</t>
  </si>
  <si>
    <t>Великолепный дизайн! Не чайник, а настоящее украшение кухни, прям настольный гейзер какой-то. Очень стильно выглядит. Плюс ко всему есть все нужные функции и даже больше. Мало того, что нагревательный элемент скрытый, так в нем еще и антипригарное покрытие плюс абсолютно никаких посторонних запахов и привкусов – вода получается реально ВКУСНАЯ, как из родника или колодца. На подставке крутится во все стороны, ручка не нагревается, мгновенно отключается после закипания. Рассказать о каких-то недостатках не имею возможности, потому что их действительно просто нет. Если не дай бог когда-нибудь разобьется или перегорит, то следующий будет именно такой же, стеклянный.</t>
  </si>
  <si>
    <t>Купил этот блендер для одной единственной цели -  приготовление молочных коктейлей.Ну знаете кидаешь в чашу мороженное,наливаешь молоко и добавляешь какую-нибудь начинку бананы,варенье ...С коктейлями он справляется.Правда мощность у двигателя невелика.Когда нож начинает взбивать твёрдое мороженное бедный блендер весь аж стонет от натуги.Ещё настораживает предупреждение о том,что включать его можно только на 30 секунд а то двигатель перегреется.Так,что читайте инструкцию полностью и осторожнее  и бережнее в эксплуатации.В общем же как кухонный прибор он только радует:легко моется и не очень шумный.</t>
  </si>
  <si>
    <t>2014-09-02</t>
  </si>
  <si>
    <t>Ждали сутки, пока разогреется масло. Нагрелся горяченький, но рука терпит, в комнате потеплело на 1 градус за 3-4 часа. Отключался каждые 5-7 минут. Может, попался бракованный</t>
  </si>
  <si>
    <t>Этим Феном- щеткой пользуюсь уже около 3-4 лет ежедневно. За этот долгий период пользования не было никаких повреждений, что говорит о великолепном качестве.   Каждое утро я делаю укладку на влажные волосы ( они у меня короткой длины ) и укладка выдерживает целый рабочий день. Даже зимой под шапками укладка хоть и немного приглаживается, но всё равно остается.  Щетка приподнимает волосы у корней и делает их мягче( расчесывает их немного)  Единственная насадка из всех, которая мне не очень нравится- это насадка для выпрямления волос. Она сделана из безопасного покрытия и на самом деле не выпрямляет волосы на 100%. У моей дочери длинные густые волосы и их эта насадка вообще не берет. Это, пожалуй единственный минус этой насадки.  За такую цену я советую приобретать именно такую фен-щетку, потому что она очень качественная, и действительно справляется со своей работой на все 100%</t>
  </si>
  <si>
    <t>Удобный фен, хорошо работает.</t>
  </si>
  <si>
    <t>Никому не советую покупать эту модель!  Маломощная, слишком влажный жмых, а значит и низкий КПД.   После первого же использования пластик красился в цвет моркови, отмыть не получилось. Щетка, для чистки сетки никакая - пришлось покупать отдельно.   Резервуар для сока маленький, - два небольших стакана мах.    Год назад, когда еще не был женат, подарил матери БОРК тысяч за 9, вот это классная соковыжималка, жмых сухой, все коплектующие отличного качества.     РЕЗЮМЕ: народ, не покупайте дешевых вариантов соковыжималок, лучше чуток потерпите, отложите покупку, на крайняк возьмите кредит. Так как процесс соковыжимания довольно трудоемкий, да еще и мыть потом прибор нужно каждый раз, то гораздо удобнее и приятней работать с хорошей техникой и не дешевой пластмаской. Иначе это будет как с хлебопечками и кухонными камбайнами, - один два раза попользовались и отложили в сторонку на много лет. Утверждаю это, только потому что имел дело не с одной соковыжималкой. Все удачи и крепкого здоровья!</t>
  </si>
  <si>
    <t>2718</t>
  </si>
  <si>
    <t>Пользуюсь уже полгода,  увлажняет хорошо, а вот пыль не очень собирает. На дисках собирается налет, пока не знаю чем его отчистить) от него запах плохой идет. Бесшумный, даже если не поставить на ночной режим, не мешает спать. Хотелось бы чтобы кнопки в темноте светились, было бы удобней. В целом довольна)</t>
  </si>
  <si>
    <t>1203</t>
  </si>
  <si>
    <t>офигенная флеха, ну да я не спорю, что он подвисает, но не как вы описали, подвисает он еле-еле, потому что на нем много памяти, а так флеха норм и с виду красивая, видео читает нормально как и музыку, в общем я не знаю как вам, но мне нравится +5 балов</t>
  </si>
  <si>
    <t>02.04.2011 купили этот чайник, да он был всем хорош, но вчера он потек  в месте соединения корпуса и пластикового окошка  плохая герметизация, вследствие чего при закипании происходят  протечки, . . . . Будем менять на аналогичный товар.</t>
  </si>
  <si>
    <t>Сегодня муж купил в подарок на новый год, попробовала ей порезать очень понравилось. Устойчивая так как тяжелая почти вся металическая. В общем хорошая штука:)</t>
  </si>
  <si>
    <t>Крайне удивлен цене этого телевизора. Я сначала даже засомневался из-за этого - 50 дюймов за такие деньги? Что-то здесь не так... Вскоре выяснилось, что здесь просто нет фул аш ди ХА ХА какая потеря)) Я посмотрел качество фильмов, и показалось мне, что фул аш ди это не так уж важно в данном случае. Качество просто замечательное!! Хорошо, что маркетологи так много значения придают фул аш ди, что можно за эти деньги купить ТАКОЙ экран, и хорошо что я так и сделал. good for me.</t>
  </si>
  <si>
    <t>Машинка шила просто отлично, нарадоваться не могли, но на 13 день просто остановилась и все. Читала в отзывах, что с данной моделью такое часто случается. Отдали обратно в магазин и вернули деньги. Будем подбирать другой вариант.</t>
  </si>
  <si>
    <t>Неумение обращаться с изделием не делает изделие плохим. Наверняка девушка в первый раз в жизни заправляла горизонтальный челнок. там есть небольшая хитрость, показанная наглядно в видеоролике на прилагаемом CD. Больше года использую такую "в хвост и гриву", профессионально - не нарадуюсь.</t>
  </si>
  <si>
    <t>считаю что идея правильная, когда 2 детали предлагаются в связке. надо понимать - бреющая сетка и режущий блок интегрированы в одну деталь. истираясь они как бы подстраиваются друг под друга. поэтому лучшее бритье - это замена обеих деталей одновременно.</t>
  </si>
  <si>
    <t>Хороший плеер. Кнопки! Новый со стандартными наушниками работал 20 часов на макс громкости, на макс громкости с наушниками 32 Ом (выкручен бас)работает около 8 часов.  Много раз падал, иногда с большой высоты. Валяется в кармане брюк, часто с ключами, царапается, но экран не повреждается - углублен.  Перемотка хорошая, хотя часто можно пролететь мимо.  Минусы:  - Радио редко ловит в стерео  - Не знаю как удалять файлы с плеера, наверное невозможно, хотя однажды меня вроде бы спросил "удалять да или нет?"  Зависал пару раз, пару раз не включался, но оживал. Сегодня умер, пока не оживает, понесу в магазин (прошло 11,5 месяцев)</t>
  </si>
  <si>
    <t>Купили вчера.Работает пока отлично. Из очевидных плюсов низкий уровень уровень шума,красивый дизайн,индикатор температуры в помещении на табло.В общем покупкой довольны.</t>
  </si>
  <si>
    <t>купили утюг, на вид нормальный, без брака. А при глажке постоянно протекает, то протекает просто, а бывает с накипью, функция самоочистки плохо работает. У мамы philips, так вообще никаких проблем!</t>
  </si>
  <si>
    <t>Скажу сразу, машинку установили мне не очень качественно, не сделали гидроизоляцию над машинкой, вскоре под действием пара произошла деформация нижней поверхности столешницы. В общем, моет машинка не очень хорошо, надо точно рассчитать потоки воды и их направление, чтобы они попадали на грязную сторону посуды. Но тогда есть вероятность того, что останется грязь на тыльной ее стороне. Почему то на посуде остается белый налет (виден только на черных тарелках), хотя используются все рекомендованные компоненты. Еще один минус - довольно шумная работа.</t>
  </si>
  <si>
    <t>в принципе аппарат отличный. камера нормальная, очень приятно, что вход 3.5 мм, удобно слушать в машине у кого есть aux, 3 боковые клавиши в этом очень помогают, единственно чего не хватает - это av кабеля как у н95</t>
  </si>
  <si>
    <t>Выпрямитель отличный! Служит мне уже 6 год. Хочу новый))</t>
  </si>
  <si>
    <t>Очень хороший, качественный аппарат, почти смарт. Пользуюсь третий месяц. К маленьким кнопкам быстро привык, родные карты сменил на "яндекс", связь отличная, батарея не хуже других, мультимедиа без нареканий, лучше чем 6233.</t>
  </si>
  <si>
    <t>Хороший телефон за свои деньги.  Брал данную модель в Yellow исполнении(с моей точки зрения в таком исполнении он выглядит интереснее).В руке лежит хорошо.Пластик задней стороны крышки по ощущениям вполне надежный,очень приятно лежит в руке.По бокам телефона идёт стальная полоса.Боковые кнопки регулирования громкости прорезинены,что делает их немного тугими(со временем привыкаешь).  Разьёмы зарядки,гарнитуры(2,5mm),microUSB плотно закрыты резиновой заглушкой,однако в ней есть специальная дырка чтобы заряжать телефон,без вытаскивания оной.Дисплей сочный на цвета и в целом хорош.Кнопки с виду напоминают резину,но на самом деле это какой-то вид пластика.Все детали сидят очень хорошо, люфтов нет.   В общем подтверждает стандарт IP54.  Если кто-то видел ролики от Нокии на испытание этого телефона окунанием воду,то советую не очень то им и верить.  стандарт IP54 не расcчитан на нахождение под водой,телефоны этого стандарта защищены он БРЫЗГ с любой стороны,если нужна устойчивость к воде,то ищите телефоны подтвердившие IP57.После воды телефон может и выживет,но вряд ли проживёт долго.  Камера стандартная 2мп.ничего отличительного.функция фонарика для вспышки встроена и вызывается нажатием клавиши *,это вполне удобно.  Мультимедиа возможности телефона нормальные музыка(mp3,aаc,...),видео(mp4,3gp),радио.Звук хороший.Выходной динамик(кроме разговорного) 1 ,находиться рядом с камерой.Идущая в комплекте флеш-карта на 1Гб является приятным дополнением к телефону,также в комплекте идёт гарнитура.Скорость работы ОС телефона нормальна,но иногда бывают подвисания на 1-2 секунды.  В общем модель оправдывает ожидания.Крепкий корпус,стандартные мультимедиа возможности,вполне достойное время держания заряда батареи.Советую к покупке людям активным и просто немного неуклюжим.</t>
  </si>
  <si>
    <t>Купил Стир. машину Siemens WS 12 X46 AOE неделю назад, жена в восторге, машина тихая, все функции выполняет, как указано в инструкции.Выбирал машину по фирме изготовителю и по функциям самой машины, вводил в заблуждение штрих код на тыльной стороне с/м 489-Гонконг, но меня сумели убедить, что эти машины производят только в Германии, в чём я убедился привезя с/м домой, на упаковке штрих код Германии. Машина хорошая, берите пока есть!</t>
  </si>
  <si>
    <t>Купила 2 дня назад весы, пришла домой, взвесилась, показал один вес, взвесилась через минуту, показал на 2 кг больше, причем весы остались стоять на том же месте, переставила их на другое место, получила 3-й результат (((( Теперь понесу их отдавать.</t>
  </si>
  <si>
    <t>1378</t>
  </si>
  <si>
    <t>2017-04-06</t>
  </si>
  <si>
    <t>Мощьный, стильный, и чистит и увлажняет на 5</t>
  </si>
  <si>
    <t>Телефон купила несколько дней назад и пока очень довольна!    ВСЕМ РЕКОМЕНДУЮ!!!</t>
  </si>
  <si>
    <t>Сам по себе неплохой комплект, тем более за такие деньги, весьма ощутимо улучшает качество звука в авто. Но соглашусь с одним из предыдущих отзывов, фазик здесь явно лишний, слишком много сторонних звуков с него выходит при увеличении нагрузки, но все это решается переделкой корпуса.</t>
  </si>
  <si>
    <t>Купили машинку уже больше месяца назад . Пришлось менять нашу старую  после того, как она затопила нашу ванную , да и соседей снизу в придачу!( Выбрали именно от индезит, так как наслышаны о качестве! Она очень нравится, во первых машинка хорошо защищена от протечек!! Во-вторых может стирать на много больше чем наша старая машинка , целых 6 килограмм - то что нужно для нашей семьи прям! А то раньше приходилось по нескольку раз в день делать стирку , а сейчас все сразу умещается, и делаешь стирку только один раз , к тому же экономия электроэнергии!!  Еще что очень нравится , то что машинка практически не шумит! В соседней комнате ее еле слышно вообще. И очень удобный у нее дисплейчик.  Вообщем осталась очень довольна покупкой, наконец-то у меня хорошая стиралка появилась!!</t>
  </si>
  <si>
    <t>Утюг просто замечательный,очень рада, что у меня появилась такая вещь. Отпаривает на 5+, глажу все подряд. Очень удобно, что есть функция самоочищения. Что касается запаха,то это временное явление т.к. вся новая техника имеет такое свойство.Через пару глажек все будет нормально.</t>
  </si>
  <si>
    <t>Игра класс!графика тоже,хорошо сделана смена погоды,полностью на русском языке.Чуствуешь себя пилотом F1))),а какой рев моторов,молодцы ребята игра на мой взгляд удалась)</t>
  </si>
  <si>
    <t>у нас такой чайник почти год. Работает тихо, без проблем.</t>
  </si>
  <si>
    <t>Великолепный аппарат! Пользуюсь пока пару недель. Жарит быстро. бутербродики с сыром и мясом получаются, как маленькие пирожки, если прижать сильно с защелкой. Корочка румяная и хрустящая. Начинка не вытекает. Можно прижать крышку слегка - тогда поджарятся две стороны сэндвича, но  хлеб останется не приплюснутым, что хорошо для многослойных бутербродом со свежей зеленью.  Отличный вариант готовить бутеры для ребенка в школу.</t>
  </si>
  <si>
    <t>Стильный и красивый!</t>
  </si>
  <si>
    <t>купил в первых числах, когда на него шла акция и стоил 30 т.р. в целом не пожелел, железо хорошее!</t>
  </si>
  <si>
    <t>скажу сразу  сенсор действительно тормозит, но это не страшно  потому что 10 минут реакции ждать не надо  но вот функция шейкера, конечно, интересная,  но подскажите пожалуйста, как плеер можно заблокировать  потому что когда идёшь по лесенкам чувствуешь все минусы функции шейкера.</t>
  </si>
  <si>
    <t>Маленькая, удобная, хорошо стрижет</t>
  </si>
  <si>
    <t>Модель подкупила именно своей ценой и простотой. Мне конечно нравятся плазменные панели как минимум за полтинник, но к сожалению это не по моему карману :( Но чисто на мой взгляд качество картинки, несмотря на низкую стоимость и простоту, совсем неплохое, даже вполне приличное. Кстати когда только купил, мне показалось, что яркость не такая, какую бы хотелось, но со временем она стала более высокой, разогнался что-ли))) А может и просто привык. Хочу отметить и хороший угол обзора без потери уровня яркости и контрастности, что несомненно порадовал, у моего ЖК, который в спальне, есть такая проблемка, чуть в сторону и появляется серость и нечёткие очертания, у этой панели всё с этим в порядке. Короче считаю так, что если нет у вас больших денег на покупку, то берите эту плазму, вполне хорошая бюджетная модель.</t>
  </si>
  <si>
    <t>1995</t>
  </si>
  <si>
    <t>Классная штука!!Если у вас в кошельке завалялись лишние 12 тысяч и очень хочется наслаждаться хорошими фильмами во время поездки в своем любимом автомобиле, то эта система специально для вас!!! Только пульт в комплекте 1! дисплей широкий, но потеря качества минимальна! Качество изображения зависит от DVD!! Не стоит использовать диски пиратского качества и с наличием множества царапин! Лазерная головка очень чувствительная и быстро портится!! Если хотите наслаждаться качественным изображением и звуком пользуйтесь моим советом, ну или читайте инструкцию, там все есть!!! В целом система отличная!! Советую!! не ошибетесь!!</t>
  </si>
  <si>
    <t>Была приобретена Electrolux EWS12612W два дня назад. Проведено несколько стирок в различных режимах.  Первые впечатления.  Плюсы:  Красивая . Интересная . Брендовая.  1.Море функций, но всё интуитивно просто. Инструкцию читать можно по диагонали.    2.Большой , четкий , яркий дисплей со слегка фиолетово-голубой подсветкой. Отображаются все параметры программы.  3.Прикольный дизайн и компоновка органов управления. Все кнопки идеальных размеров и выверенными усилиями нажатия.  4. Хорошая балансировка барабана. Даже при оборотах 1000+ никуда не уходит.  5.Цена. Со скидкой получилось 15999р.  6.Шум от работы на больших оборотах до 5 из 5 не дотягивает , но твердую 4+ можно ставить смело.    Минусы:  Сделано в России...  Присутствуют неточности гибочного процесса задней стенки. Недостаточная фиксация лотка для стирального порошка. Если машина наклонена чуть вперед, при отжиме этот лоток выезжает.    P.S. В комплекте идут только короткие сливной и наливной шланги, так что могут возникнуть трудности с расположением относительно водопроводных коммуникаций .  Также требовательна к качеству порошка ввиду своей экономии воды.  Дешевым порошком стирает только на 4 балла.    С уважением...</t>
  </si>
  <si>
    <t>Долговечность, удобен и прост в использовании, быстро сушит волосы, приятный на ощупь, красивый, интересный дизайн.</t>
  </si>
  <si>
    <t>Поменяла мясорубку (прежняя наматывала жилы, пришлось поменять)мощность хорошая, но жилы все равно наматываются. Сначало пропускаю через крупную насадку. Купила только по отзывам. Конечно лучше чем была, но ждала лучшего...</t>
  </si>
  <si>
    <t>Купил недельку назад c установленной Windows 7 HB, очень доволен...</t>
  </si>
  <si>
    <t>Покупал термопот на работу более 2х лет назад, не рассчитывал что он так долго проработает!  термопот работает без нареканий, пользуемся постоянно и для большого количества людей.</t>
  </si>
  <si>
    <t>Телевизор классный,вопросов к нему нет.единственное-не показывает с USB или внешнего HDD файлы в формате AVI.</t>
  </si>
  <si>
    <t>Опыт использования 6 месяцев. Отличный ноутбук. Единственный недостаток - весьма маркая поверхность, но специальная тряпочка из комплекта всегда выручает. Проблем со сносом Висты (у меня стояла именно она, а не 7-ка) и установкой ХП не возникло. Абсолютно все драйверы (и для Висты и для ХП) есть на официальном сайте компании HP. Оттуда я их и скачал - работают абсолютно все. Правда производитель немного преувеличил время работы от аккумулятора, но при средних настройках яркости дисплея и при офисной работе (офисные приложения + интернет) ноутбук продержался без подключения к сети 3 часа 57 минут. При большой нагрузке на ЦП (я рендерил видео) начинает заметно шуметь система охлаждения. Думаю, что это связано не только с нагрузкой, но и с тем, что отверстие для циркуляции воздуха всего одно - на левом ребре ноутбука. Но ничего не поделаешь - двухядерный процессор должен охлаждаться, на то это и НОУТбук, а не НЕТбук.</t>
  </si>
  <si>
    <t>78</t>
  </si>
  <si>
    <t>Телефон купил в декабре 2009г. взамен старого Samsung C-200. Предпочитаю фирму Samsung - сделано надёжно и удобно. Новым телефоном в общем доволен. Много плюсов, но есть и минусы - слабая фотокамера 0,3Мп, нет кабеля для связи с компьютером - пришлось покупать отдельно,(но и цена-то не большая!), плохая инструкция. Но в общем, если не нужна фотокамера, то телефон вполне нормальный - легко настраивается, имеет много полезных функций. С его помощью я даже проверяю электронную почту, не включая компьютер. Так, что я за!</t>
  </si>
  <si>
    <t>2708</t>
  </si>
  <si>
    <t>Цена дешевая, прибор без лишних заморочек, доступность в магазинах</t>
  </si>
  <si>
    <t>Галина (Тюмень)  1) скорее всего не Windows 7 60-и дневный, а Office; 2) ноутбук со встроенной сетевой картой, в наличие Wi-Fi; 3) а то, что всплывает черный квадрат – это наверное предлагается записать на “болванку” файлы с образом Windows и драйвера. Надеюсь правильно ответил. А надежнее найти программиста.</t>
  </si>
  <si>
    <t>При выборе пылесоса ориентировалась в большей степени на отзывы. И не ошиблась. Пылесос отличный! Пользуюсь месяц. Работает тише предыдущего, всасываемость (особенно длинных волос с ковров) приятно порадовала. Удобное управление.   По поводу некоторых комментариев ниже, что неприятно чистить пылесос после уборки:  чистится легко, пыль высыпаю в обычный пакет, а щетку и контейнер споласкиваю под краном после каждой уборки (занимает пару!!! минут), поролоновый фильтр мыла под водой пока один раз. И пылесос стоит чистый!!!  Единственный нюанс: шнур короче заявленных 7-ми метров. Для большинства это может и не так важно, но у меня длинный коридор, поэтому заметила сразу.</t>
  </si>
  <si>
    <t>2525</t>
  </si>
  <si>
    <t>Купила чайник в феврале 2012. Не перестаю удивляться очередному недостатку. 1. Отключение только автоматическое (или выдергивать вилку из розетки), а датчик имеет слабую чувствительность, поэтому приходится долго ждать, когда же он сам выключиться, а, не дождавшись, лезешь к вилке (так получила еще ожог паром, розетка - за чайником и тугая). 2. Невозможно открыть крышкку, если она горячая, например, после кипячения воду вылили, и надо залить в чайник еще. Знакомые дергали за крышку и сломали, Учтя их опыт, я вооружаюсь ножом и подковыриваю ее у носика (нужна сноровка!). 3. В довершении, по непонятной причине перестает работать кнопка включения. Если ее отпустишь, она отключается. Так и сижу, держу кнопку пока не закипит. Этот дефект то появляется, то исчезает. Иногда помогает очень плавное нажатие, но только иногда. Воду, все ж таки, кипятит и постороннего запаха или вкуса нет.</t>
  </si>
  <si>
    <t>Хороший фильтр, пользуюсь 2 года, без нареканий.</t>
  </si>
  <si>
    <t>Очень хорошая приставка. Купил доволен!</t>
  </si>
  <si>
    <t>Потек через 1,5 года. Китайцы и то лучше делают, чем Moulinex</t>
  </si>
  <si>
    <t>Машинка класс, моет отлично, тихо, сушит нормально. Всем знакомым рекомендую.   Для меня минус один, который обнаружился в ходе эксплуатации: нет автоматического отключения электропитания, нужно самому отжимать кнопку, т.е. ставишь на ночь и она полночи включенная стоит, но здесь сама не досмотрела, когда выбирала. А так класс. Я очень довольна.</t>
  </si>
  <si>
    <t>Довольна, пользуюсь полгода - никаких нареканий.    Кстати, гречку, рис варила - все приготовилось вкусно!</t>
  </si>
  <si>
    <t>Купила этим летом в отпуске! Давно хотела телефон с 2 симками! Очень понравился, солидненько так смотрится. Музыку слушать звук обалденный! Только я брала в г.Улан-Удэ.</t>
  </si>
  <si>
    <t>Приобрела хлебопечь почти год назад.  Отлично работает, не покупаем ни хлеб, ни булочки, я даже пельмени начала лепить дома! Простое управление, простой уход, две формочки, делает десерт, не шумит! Отличная печка, спасибо коллективу магазина за радость!</t>
  </si>
  <si>
    <t>Просто супер  супер супер советую купить</t>
  </si>
  <si>
    <t>Покупал в прошлом году, ближе к осени, когда спел большой урожай яблок, опробовал в первый же день - работает достаточно эффективно, жмых сухой, сок прозрачный. Ради интереса делал сок из всего что было - результатами остался доволен, лучше всего получился гранатовый сок. Агрегат смотрится хорошо на кухне при любом интерьере, удобен в использовании - можно загружать фрукты целиком. Ручка переключения скоростей не заедает (с другими моделями были инциденты). Может работать несколько часов с небольшими перерывами, не перегревается. На протяжении полугода использовал соковыжималку Bork S800  от случая к случаю - после простоя работает нормально. Итог: со своим функционалом справляется идеально, своих денег стоит!</t>
  </si>
  <si>
    <t>Утюг отличный! Хорошо отпаривает, удобный в эксплуатации. У родителей такой же, купила себе, но правда нет насадки дополнительной, шелковые вещи гладить не страшно. Наверно не у всех моделей она есть. А так, в целом, я довольна.</t>
  </si>
  <si>
    <t>Но плюсов больше чем минусов.</t>
  </si>
  <si>
    <t>Скорость записи 4 мб/с. Китайская подделка по цене нормальной флешки.</t>
  </si>
  <si>
    <t>купил месяц назад. телевизор хороший, не сказать что супер, но пойдет людям, которые не очень привередливые к телевизорам и тем более за такую цену. удручает единственное, что у него маленькое разрешение экрана!повесил его на стену, смотрится дорого, но сильно пачкается облицовка экрана, так как она глянцевая</t>
  </si>
  <si>
    <t>Машинка класс!! До этого была Indesit и чего с ней только не было!!! И висла и ломалась!!! Купли эту,работает как часы)))</t>
  </si>
  <si>
    <t>хотела бы узнать есть ли у данной швейной машины функция оверлок?▶▶▶ОТВЕТ ЭКСПЕРТА «М.ВИДЕО»◀◀◀Людмила, такой функции у этой машинки нет.</t>
  </si>
  <si>
    <t>Долго искал хороший антивирус для дома.Имея комп и два ноута,один из которых нетбук,налазившись по разным форумам понял,что искать какой антивирус лучше бесполезно.Каждому нравится свой.Купил Dr.Web Family Space и очень доволен.На всех трех моих девайсах работает отлично(включая нетбук),систему не грузит и не тормозит.Плюс еще в подарок было три лицензии Dr.Web для Simbian и Wndowsmobile.Так что поставил защиту на коммуникатор и смартфон.Для домашнего пользования отличный продукт для всей семьи.Рекомендую.</t>
  </si>
  <si>
    <t>Очень понравилось, лучше плойки я воообще ничего не видела! Очень удобная, быстро нагревается (Очень быстро!), satin ionas - это просто великолепно! Волосы не сжигает, придает эластичность, а кудри просто обалденные!</t>
  </si>
  <si>
    <t>Если вам нужен простой Mp3 плеер с радио, то этот плеер годится! Наушники хорошие, звук качественный, диктофон средненький... хорошо записывает разговоры(очень чувствителен к шуму или трению возле микрофона), к сожалению с видео проблема. flv файлы нужно переделывать сначала в avi, а потом только в MTV(видео в формате MTV длительностью 15-20 минут весит примерно 100-170МБ и это большой минус при том что памяти всего 2GB), радио ловит нормально (спасибо наушникам), управление не очень удобное придется привыкать, есть три игры Тетрис Змейка и Ящики=)</t>
  </si>
  <si>
    <t>Как то всегда считалось, что LG не гарант технике любой от телефона до пылесоса. Слабая марка технически, больше на дизайн тратят.    Пылесос обычный, на 100% никогда не убирает. Не стоит этих денег.    Лучше бы ноутбук мини купил, но явно не LG/</t>
  </si>
  <si>
    <t>Купили почти год назад, пользуемся часто.Отличный комбайн! Занимает мало места, удобен в использовании.Все операции выполняет на 5+.Наша семья довольна!</t>
  </si>
  <si>
    <t>1443</t>
  </si>
  <si>
    <t>Узкие щипцы 25 мм на сколько удобны для выпрямления волос средней длинны?</t>
  </si>
  <si>
    <t>1889</t>
  </si>
  <si>
    <t>хороший телефон, не глючит. удобно держать в руке, красивый, удобный, набор номера можно  набирать одной рукой. Если кто хочет купить, не раздумывайте.</t>
  </si>
  <si>
    <t>2690</t>
  </si>
  <si>
    <t>Люди покупайте эти наушни,они супер 5+</t>
  </si>
  <si>
    <t>Купили 2 недели назад этот вентилятор по ошибке, но нисколько не жалеем! Вентилятор работает без нареканий,практически бесшумно. Покупкой остались довольны!</t>
  </si>
  <si>
    <t>Смотрю ТВ уже почти год, всё супер! Единственное что вызывает вопрос настройка яркости, там стандартная по-моему 50 единиц, но достаточно темновато показывает особенно днём не очень смотреть я добавил до 65 единиц яркости вроде бы нормально!</t>
  </si>
  <si>
    <t>Пользуюсь данным девайсом второй месяц,выбор был среди 15"-19"тв.Отличный ТВ много входов и выходов,что в наше время не маловажно.Вообще всем рекомендую при выборе телика больше смотреть на заднюю панель а не на лицевую(еще насмотритесь) подключил ноут через HDMI все супер!!!На кухне лежа смотрим кино,а не скрючившись перед буком.Единственный не плохой конкурент  Samsung19" выбор был между ним. Недостатков не обнаружил Рекомендую 5++++</t>
  </si>
  <si>
    <t>Искал аппарат, чтобы был и телефоном и плеером. Остановился на этом SE. Впечатления оставил положительные. Плеер у него хороший и относительно функциональный. Громкость тоже хорошая, при чем как у внешнего динамика, так и внутреннего. На максимальной громкости звонок слышно по всей комнате, даже если положить на телефон подушку и завалить одеялом.  Камера чисто телефонная. От quickshare'ов с 1.3 отличается лишь тем, что картинку сохраняет в большем размере. Однако есть проги для фото и видеомонтажа. Не обладают большими возможностями, но подредактировать фото и отправить на другой телефон через bluetooth вполне можно. Последний, кстати, на w580i работает хорошо.  Минусы есть, но проявляются только со временем. Во-первых. Для смс он НЕ подходит. Клавиши трескаются и отваливаются при активном использовании довольно быстро.  Со временем телефон иногда начинает подвисать. Мне сначала показалось, что это зависит от количества запущенных приложений (их можно запускать несколько и переключаться между ними, что весьма удобно) и "веса" установленной темы (стоит заметить, что телефон поддерживает флеш меню и фон, это позволяет сделать его стильным/неповторимым/каким угодно короче. Я поставил на экран флеш часы. Идут со временем телефона. Красиво). Но потом понял, что это не так. К счастью, подвисает он не как уж и часто.  (хочу заметить, что проблема с по самого телефона и следующий момент, который я опишу, встречается у всех SE всех серий... видимо, это плата за их "ум",эквалайзеры и прочее)  Очень огорчило следующее: телефон у меня уже почти 2 года. Но начали барахлить наушники. Точнее даже разъем самого телефона (наушники не при чем). Тоже самое примерно в то же время случилось с еще 5 SE, что я знаю. Другие 7 у знакомых работают нормально. Так что, может, от телефона зависит.  Но в общем плане - телефон хороший. Недавно поставил 4 гб. Прет как и 2. Пару дней назад он показал себя еще и противоударным. Грохнулся с метров 15 (на кафель... плитку... не знаю как назвать). Жив, цел и невредим.  Ну и напоследок - у него хорошая антенна. Однако, если сети нет и не предвидится - лучше перевести телефон в "режим полета", иначе закончит батарею в считанные часы. Да и вообще flight mode может подарить 2-3 часа прослушивания музыки. Сама батарея тоже хорошая. На сколько хватает - не считал. Обычно слушаю музыку часов 6-8 в день. Сначала заряжал телефон раз в три дня. Сейчас уже раз в 1-2 дня. Но даже после сигнала "батарея разряжена", музыку слушать можно еще 1,5 часа.</t>
  </si>
  <si>
    <t>2015-06-20</t>
  </si>
  <si>
    <t>Нужна была недорогая вытяжка под шкаф. Не один раз слышала от друзей про фирму крона. Купленная вытяжка понравилась - хорошо сделана, мощная и тихая. О покупке не жалею.</t>
  </si>
  <si>
    <t>1455</t>
  </si>
  <si>
    <t>У водонагревателя абсолютно ВСЕ пластиковое, что не добавляет надежности. В руках все кажется очень хрупким... Чтобы полноценно нагревать воду требуется включать на полную, а для 5кВт нужно тянуть отдельный кабель со щитка (очень желательно), иначе старая проводка может не выдержать.   У меня упал напор воды и пластиковый бак у водонагревателя лопнул. Запаял, но в результате выкинул все-таки.</t>
  </si>
  <si>
    <t>2158</t>
  </si>
  <si>
    <t>Электрическая зубная щетка Oral-B Pro 500 Cross Action - это перезаряжаемая "ручка"-щетка с бережным режимом чистки и насадка, которая в 3 раза лучше удаляет налет, особенно вдоль линии десен, чем мануальные щетки.  Мягкий скоростной режим щетки - 20000 пульсирующих и 7600 возвратно-поступательных движений в минуту - делает ее идеальным решением для тех, у кого чувствительные зубы и десны или кто является сторонником эффективной, но деликатной чистки зубов. Теперь нет необходимости покупать щетку со специальным режимом! Электрическая щетка Oral-B Pro 500 подходит не только взрослым, но и юным чистюлям!</t>
  </si>
  <si>
    <t>Отличный комбайн за такие деньги, и коктейли можно делать в блендере.Очень понравилось то, что комбайн очень компактный!</t>
  </si>
  <si>
    <t>Прикольный девайс, мне понравился.  Настроек куча, картинка хорошая, жаль только видео с USB не тянет.    с кинотеатром однофирменным через HDMI отлично снюхивается - при загрузке диска телек сам включается/переключается    ИМХО Оптимальное соотношение цена/качество/бренд    рекомендую</t>
  </si>
  <si>
    <t>Купил пылесос в М Видео по акции, и очень рад, сосед будь здоров работает тихо, контейнер удобный, советую всем не пожалеете, он стоит своих денег.</t>
  </si>
  <si>
    <t>Купил вчера,собрал (то что креставина внизу мятая и трещина на креплении головы с мотором - еще ладно не страшно), но после 10 минут работы начался едкий запах пластмассы, простоял включенный на балконе всю ночь, запах не прошел, пойду верну.</t>
  </si>
  <si>
    <t>Отличный подарок и техника на кухне. Отмывается легко - шуманитом. Одни достоинства. Покупайте не пожалеете, особенно ленивые)))</t>
  </si>
  <si>
    <t>Тел для своей цены очень даже хорош!и не говорите мол 5800 лучше,чем 5230. Мозги у них одинаковые и экраны тоже,я не вижу смысла переплачивать за вай-фай, чуть более сильную камеру,второй динамик и стилус!Мой вердикт ТЕЛЕФОН УдАлСя!</t>
  </si>
  <si>
    <t>Телефон отличный!Покупкой очень довольна!Большой дисплей,удобная клавиатура,чистый звук,даже фото при свете вполне приличного качества.Заряд держит дней 5(что порадовало очень),даже при усиленном использовании плеера,радио и т.д.Немного замороченное меню,но разобраться можно быстро.Самсунг опять порадовал.Аппарат в основном для девушек))Стильный,приятный,удобный!</t>
  </si>
  <si>
    <t>до этого выбрала сначала чайник мощностью 2400Вт, но он нам выбивал пробки(частный дом и старая проводка). выбрали этот чайник на 2000Вт и очень довольны! закипает 1,7л за 5 минут, на минимуме(0,5л) где-то за 2 минуты, но для нас это не критично. внешне очень красивый, стильный, такой пузатенький, занимает мало места.  Ручка прорезинена, не выскальзывает. непонятно, для чего сделали фильтр - он просто так болтается, никак не пойму что же производители имели в виду, когда создавали фильтр для этого чайника - ни при наливе в чайник воды, ни при выливании в кружку фильтр в процессе не участвует.  Наливать кипяток в кружку удобно, ничего не подтекает. короче, если скорость закипания не важна - то идеальный выбор!</t>
  </si>
  <si>
    <t>Спасибо моему любимому магазину!!!! Работает почти как салонный! Нормальные привычные кнопки</t>
  </si>
  <si>
    <t>Нормальный аппарат для своей цены, только мощности маловато. До этого был пылесос брал на базаре за 700 рэ с одной насадкой мощность 36ватт, год проработал не сломался тоже Китай. По мощности с новым они одинаковые, хотя написано 90 ватт. Понравилось количество насадок в комплекте для кресел тоже насадка есть. За фирму блэк &amp; декер мы деньги переплачиваем за бренд, хотел такой же заказать в инете, тоже Китай</t>
  </si>
  <si>
    <t>24</t>
  </si>
  <si>
    <t>Дизаин отличный, саб не очень, захлебывается, низа хреново тянет!!!</t>
  </si>
  <si>
    <t>после месяца пользования появился пиксель, постоянно светящийся зеленым цветом.   Обидно  Хотя когда брал в магазине такого не было  от этого никто не застрахован так что будте аккуратны</t>
  </si>
  <si>
    <t>Звук хороший, динамичный, ВЧ не смешиваются, превращаясь в фон и никаких лишних шумов как в дешевых китайских наушниках. В общем звук четкий кагбе HD. Тональный баланс плоский НЧ СЧ ВЧ вровень, по частоте бас не очень низкий, но его хватает, сильный стерео эффект. Поначалу сильно давят на уши, зато не слетают. Покупкой доволен, свою цену оправдывают.</t>
  </si>
  <si>
    <t>Купил такой. Дует горячим воздухом. Две мощности обдува, есть термостат. Отличная вещь!</t>
  </si>
  <si>
    <t>В ВОСТОРГЕ ОТ зызы это супер все покупайте детям и себе , всем !!!</t>
  </si>
  <si>
    <t>Отличная машинка, работает без нареканий, в эксплуатации более 3 лет ни разу не подвела.</t>
  </si>
  <si>
    <t>Отличная кофемашина по соотношению цена/качество, кофе варит вкусный, использую кофе Paulig President в зернах.</t>
  </si>
  <si>
    <t>1822</t>
  </si>
  <si>
    <t>собираюсь купить.  может кто-нибудь подскажет на сколько времени зарядки   джостика хватает.</t>
  </si>
  <si>
    <t>Отлично работает, управление понятное, не мешало бы увеличить объем контейнера чистой  воды.</t>
  </si>
  <si>
    <t>Купила стир.машинку Bosch WLX20462OE  , выбирала долго, прочитала много отзывов и остановилась на Bosch. Очень довольна, только установили , проверила 15-минутную стирку, стирала 17 минут, супер! Работает очень тихо, отжимает хорошо, я довольна покупкой!</t>
  </si>
  <si>
    <t>Пользуемся этим блендером уже год и очень довольны! Так как чаша стеклянная, она выглядит как новая (не покрасилась и не поцарапалась в процессе использования).  В маленькой мельничке удобно ребенку измельчать крупу.    В общем, не зря, что блендер Панасоник. Компания ещё раз подтвердила качество своей продукции!</t>
  </si>
  <si>
    <t>Менял по гарантии 2 раза... благо Ребята из Мвидео без проблем все это организовывали! Первый раз менял из-за проблем с газ-контролем (через 3 дня), второй из-за того что самая нужная, большая конфорка просто перестала работать (месяц эксплуатации). Из всех плюсов пожалуй только дизайн. Отмыть как оказалось не очень легко, решетки действительно ерзают постоянно, гуляют по поверхности. Разжечь так вообще целая история...</t>
  </si>
  <si>
    <t>Удаляет волоски с корнем</t>
  </si>
  <si>
    <t>За такие деньги:1640р. телефон просто сказка!В нем есть фактически всё!Камера,карта памяти(установка),радио без гарнитуры,плеер,ММС Короче всё!!!Красив и удобен!!!</t>
  </si>
  <si>
    <t>"+" Сделаны очень аккуратно. Эргономичны.    "-" Звук просто невыносим. Во-первых, очень глухой, а, во-вторых, хрипят. Брал для синтезатора. Одна нота звучит еще без хрипа, а 2-3 одновременно - хрип. Не выдерживает, короче, полифонии.</t>
  </si>
  <si>
    <t>Купил в середине марта 2010года. Видюха мощная - игры действительно идут на максимумах. Производительность хорошая. Семерка понравилась.   Из минусов : регулятор громкости (сенсорный) в игре невозможно использовать - выкидывает на раб стол, или еще хуже - ВИСНЕТ. И экран - нужно смотреть строго прямо - чуть смотришь вниз=вверх и сразу темнеет или светлеет. Да и мне продали брак - не видит аккумулятор - работает только от сети. Про шум много писали - все замечательно - тихо!!! ВО время игры - чуть-чуть громче - оно и понятно - игра Кризис на максимумах!!!</t>
  </si>
  <si>
    <t>Очень даже удобный фен, мощный, компактный - хорошо, что складывается. Щель насадки широковата, на мой взгляд :)</t>
  </si>
  <si>
    <t>Отличный набор !  Пользуюсь им уже больше двух лет и нисколько не пожалела, что купила именно его, даже рада, что сэкономила  И мощности хватает всегда, если конечно хорошо заряжен.  Особенно приятна насадка для кутикулы :)  Еще очень полезен любителям "хенд-мейд", удобно потирать джинсу и т.п., а тонкая насадка делает замечательные брелоки из морских ракушек :)</t>
  </si>
  <si>
    <t>Вот уже пол года пользуюсь данным изделием, пока ни разу не подводила. Только жужжит громко и пластик стакана очень маркий.</t>
  </si>
  <si>
    <t>Я уже два года пользуюсь этой встраиваемой газовой панелью самсунг, мне очень нравится, минус в одном, что от царапается сам метал, а так все отлично.</t>
  </si>
  <si>
    <t>у нас и у наших друзей такая же модель и такая же фигня..20минут пылесосим, 1 час отдыхаем...вместе с пылесосм.</t>
  </si>
  <si>
    <t>Купила вчера эту мясорубку по совету продавца!!!Очень довольна!!! Красивая,очень мощная и очень тихая по сравнению с предыдущей! Спасибо квалифицированным продавцам М.Видео!Буду теперь покупать всю технику у Вас!!!)))</t>
  </si>
  <si>
    <t>2012-02-10</t>
  </si>
  <si>
    <t>Много всяких полезных приложений, записные книжки, календари с напоминанием событий и т.д. При входящем вызове сам синхронизирует время и дату с оборудованием поставщику услуг телефонии. Из минусов - немного слабоват микрофон, другая сторона слышит вас чуточку глуше и ваш голос немного смягчен. Заставки только статические, не анимированные. Ну вообщем строгий стильный аппарат в хромированном корпусе. В интернете постоянные обновления ПО и программы закачки картинок и музыки (со встроенными редакторами).</t>
  </si>
  <si>
    <t>Это была последняя моя покупка этого производителя. Единственная его заслуга, это если Вам, лень и вместо нажатия с неким усилием рычага вниз Вы, просто нажимаете кнопку и терпеливо ждёте, когда этот предмет оповестит Вас, о готовности тоста, пожалуй всё. Т.к. этот предмет находится на кухне, на нём не избежно оседают жиры. Вся техника на моей кухне в тон металлика, по просту из нержавейки. Вот и средства моющие применили стандартные, только тостер взял и облез, вот не задача, предательски проявилась дешевая пластмасса. Как оказалось, производитель решил сэкономить и пластмассу покрыл краской. Словом за такое бабло и опять обман.</t>
  </si>
  <si>
    <t>Отвратительный образчик плиты . Собрана не пойми как края не состыковываются и в довершении ко всему бракованная попалась после первого включения пришлось 4 часа проветривать квартиру! Но уже неделю пользуемся (пытаемся) а она все так же пахнет . Передняя панель нагревается настолько что об пластиковые ручки можно обжечься. Сейчас в процессе возврата ! Никому не рекомендую , хотя очень может быть что у других все хорошо и только нам не повезло.</t>
  </si>
  <si>
    <t>В моем домашнем арсенале три пылесоса, этот самый мощный с ним я делаю генеральную уборку раз в неделю этого достаточно что бы в другие дни себя не нагружать. Убирает чисто, и ковры,  волосы и нитки с ковров на отлично. Удобно сконструирован, ручка идеальной длины для роста 170-175 не приходится нагружать спину, на ручке есть управление не нужно нагибаться. Но есть проблема быстро нагревается, иногда страшно, что от перегрева перестанет работать, убираю комнаты с перерывом. Возможно, так только у нас.</t>
  </si>
  <si>
    <t>Пользуемся 3 месяца.  Единственный плюс этой машинки, 7кг. Больше плюсов нет.   Отжимает плохо 1 минута. Вещи как доски, ни какого рыхления, по сравнению с Аристоном.   Шерстяные вещи не умеет стирать, все сели.   При отжиме уезжает, даже на резиновых ножках.</t>
  </si>
  <si>
    <t>1788</t>
  </si>
  <si>
    <t>Неплохая машинка,компактная - меньше нашего старого Боша, при этом загрузка 6 кг, удобные программы, информативный дисплей, но Бошик все-таки стирал получше. Пользуем более 2 лет.</t>
  </si>
  <si>
    <t>Сломался на третий день. Точнее дал течь и производительность упала в разы. Вернули без проблем.  А  когда работал всё было хорошо. Большая часть дома не имеет дверей, поэтому он по сути в зале работал на максимуме с показателем в 28%. Поставил в маленькую комнату, нагнал с 28 до 60  за час-полтора. Покупали для паркета. Налёта не оставлял. Очень удобный носик - далеко отбрасывает пар, за счёт этого показатели считаю достаточно точными. Взял бы его ещё раз с удовольствием, но больше его не было.</t>
  </si>
  <si>
    <t>Замечательная вещь, экономит и время и силы. Купила из-за шинковки, нелюблю капусту кроршить. Все быстро измельчает. Пользовалась всеми насадками все хорошо работает. Незаменимая вещь на кухне. И коктели, и супчики, и майонез, даже мясо в фарш преврощается мгновенно. Да запах поленого во время работы появляется, надо соблюдать правила эксплуатации в инструкции написано делать перерывы через каждую минуту.</t>
  </si>
  <si>
    <t>2014-07-20</t>
  </si>
  <si>
    <t>Купил реально по акции в начале 2009. Никаких проблем с шумом, хранением продуктов и т.п. после серьёзных праздничных мероприятий входит ВСЁ. По габаритам - согласен с отзывом и тоже снимал двери, когда заносил в квартиру. Нулевой отсек очень радует, лёд стал употреблять, так как очень удобно.Экономлю время и получаю по сей день только положительные эмоции от шарп.</t>
  </si>
  <si>
    <t>Через 2 года эксплуатации треснула клавиша включения чайника.Очень хрупкая пластиковая система включения.</t>
  </si>
  <si>
    <t>112</t>
  </si>
  <si>
    <t>Мечты сбываются!!! Холодильник просто КЛАСС!!! Никаких минусов....Очень быстро доставили,предварительно позвонили. Большое спасибо службе доставки!!!! Очень удобный сайт.Можно посмотреть весь товар по наличию. Жаль,что нельзя сделать заявку на товар, которого нет в наличии...</t>
  </si>
  <si>
    <t>Подарок жены меня очень вдохновил, мало того когда я достал его из коробки, я просто сошёл с ума.Я только скажу одно, что рядом с этим ноутбуком никакой ноутбук вас больше не заинтересует. Я вам обещаю!!!</t>
  </si>
  <si>
    <t>куплена по карточке за 9490, доставили вовремя.  стиралка радует всем.  качество стирки хорошее, шумит не сильно, не прыгает при отжиме.</t>
  </si>
  <si>
    <t>Приобретала данный вентилятор для дачи из-за трех скоростей и приличной фирмы. В магазине товара не оказалось, попросила заказать, чтобы привезли со склада. Ждать пришлось две недели. Когда пришла забирать вентилятор упаковка сразу вызвала подозрение - словно её роняли несколько раз и сверху ставили что-то тяжелое, а верх был заклеен скотчем. При осмотре вентилятора видимых повреждений не было, но все пакеты были вскрыты. Когда собрала дома и включила обнаружила два дефекта: во время поворота стал клинить и тормозить, а при работе на третьей скорости стал сильно шуметь. Пришлось отнести в магазин для возврата.</t>
  </si>
  <si>
    <t>Купил 17.04.10г.  По акции. Было ещё дешевле (кажется 9490руб), чем сейчас.  Сомневался... Почему так дешево?  При таком наборе опций альтернативы не нашёл за такие деньги.  Покупал маме (60 лет). Остановился на Встраиваемый электрический духовой шкаф Hotpoint-Ariston FB52C.2IXHA, потому что очень проста в управлении и есть весь необходимый набор опций (сам люблю готовить, так что разбираюсь). Мама освоила новую технику сходу и уже опробовала во всех режимах. Очень довольна.</t>
  </si>
  <si>
    <t>Купили печку вчера. Испекла хлеб исправно, но корочка осталась не подрумяненной. Зато все делает сама: месит и печет, а вы и руки не пачкаете. Проста в обращении, нужно просто читать инструкцию и соблюдать пропорции, тогда и хлеб хороший будет. А корочку мы и белую съедим, если середина вкусная!</t>
  </si>
  <si>
    <t>1251</t>
  </si>
  <si>
    <t>Наушники очень хорошие, целых 2 года прожили))</t>
  </si>
  <si>
    <t>красивый, удобный, эелектронное управление с элементами механики, много дополнительных функций</t>
  </si>
  <si>
    <t>Стыдно продавать такой, мягко говоря, некачественный товар.  Стрелка весов постоянно съезжает с нулевой отметки. Вес показывают каждый раз разный +/- 5 кг.  Абсолютно бесполезны. На помойку!</t>
  </si>
  <si>
    <t>2 года редкой эксплуатации: выкрошилась пластмасса и вывалились многие винтики, которыми нержавейка крепится к пластмассе. Видимо плохая пластмасса.</t>
  </si>
  <si>
    <t>Телефон вполне устраивает,единственное что не удобно сделали,так это флешку чтоб достать нужно акамулятор снимать,а крышка акомулятора снимается не так уж и легко,приходится помучаться...тут конечно не продумали создатели,что фото некоторые и на комп скидывают.еще соглашусь с первым коментарием слегка предтормаживает,на счет комплекта то же поддержу.ну а востальном тел. отличный!</t>
  </si>
  <si>
    <t>Сам фильм, просмотренный мною в кинотеатре формата 3D поразил, вот купил коллецкионное издание как теперь уже  - поклонник Аватара, и был не просто поражен, а обескуражен, такое качество в сравнении с DvD... оно великолепно! В сумме с 24p технологией фильм дарит огромные впечатления. Коробка с дисками выполнена аккуратно, грамотно и очень красочно. Наполнение 2 и 3 диска соответсвует написанному! Кому не безраличен мир Пандоры покупать обязательно! Тем более тираж ограниченный, а в порадок есть возможность бесплатно получить календарь с кадрами Аватара - мелочь, но приятно) Вывод: рекомендую.</t>
  </si>
  <si>
    <t>Подарила этот чайник маме ещё года четыре назад,если не больше, на работе пользуемся брауном (правда бежевого цвета) уже года 2, недавно же взяла себе эту модель. Что хочу сказать...  1) Мамин чайник работает до сих пор как часы. Да как и на работе. Уверена что и мой прослужит долго, так как подавляюще большинство отзывается о чайнике очень положительно.   2) Очень качественный пластик, запаха, после первого кипячения не ощущается вообще. Что очень радует, так как даже мой первый электрочайник одной известной голландской фирмы, который верой и правдой служил мне 6 лет, от запаха избавился только после 3-его кипячения.   3) Правда опыт в использовании чайников у меня не большой, но мне кажется что этот чайник тише по уровню шума, по сравнению с другими знакомыми мне моделями.    В общем я минусов не увидела. Поэтому моя оценка - 5.</t>
  </si>
  <si>
    <t>152</t>
  </si>
  <si>
    <t>Отличная вытяжка!!! Ни сколько не жалею, отлично втягивает жир и запах. Посоветовал друг и я всем советую.</t>
  </si>
  <si>
    <t>Подарила мне ее,пользуюсь,минус,что для нас баночек мало,почти через день делаю,так проста в применении,главное найти хороший йогурт.мой рецепт очень прост-6%молоко нагреваю (1,2 л),даже не кипячу,добавляю йогурт Laction (в пятерочке беру,что-то около 25 руб),еще добавляю сахар 3-4 ст.л,взбиваю блендэром или просто ложкой,заливаю в банки 3-4 часа готово,до этого пробовала и сухие закваски и ойгурты,не получалось.нас трое в семье,едят все, каждый день.2 дня едим ,а 7 баночка на новую порцию</t>
  </si>
  <si>
    <t>Долго и основательно выбирала термос мужу в подарок. Читала много хорошего про этот термос в интернете. Кто-то неленивый даже опыты проводил с вывешиванием термоса зимой за окно и регулярным замером температуры. На самом деле оказалась очень качественная вещь. Езжу в поезде не меньше 20 часов - всю дорогу пью свой горячий чай. Мыть легко, не остается запахов, не подтекает, удобно наливать. В общем, рекомендую.</t>
  </si>
  <si>
    <t>Редкостная ерунда. Приобрел данный штатив, чтобы устанавливать карманный проектор. Даже от легкого прикосновения шаровый фиксатор уходит в сторону. Кроме того, модель очень неустойчивая. Не тратьте денег, купите лучше более дешевый Rekam DigiPod RT-D1N .</t>
  </si>
  <si>
    <t>2521</t>
  </si>
  <si>
    <t>Наушники просто Обалденные! Звучание отличное, в ушах что бы не было держаться!</t>
  </si>
  <si>
    <t>Купил этот выпуск и не жалею потраченных денег за OS.  Работает гораздо быстрее Висты! занимает свободного места на диске C меньше!  UAC-вообще не надоедает.  Мне Виста вспоминается как страшный сон!  Так что кто хочет купить Windows7 не задумывайтесь покупайте тот выпуск который более подходит по функционалу OS для вас.</t>
  </si>
  <si>
    <t>1174</t>
  </si>
  <si>
    <t>Фильм потрясающий. Очень правильный, добрый, чистый, искренний, честный и поучительный. Именно такой, какой нам и нужен сейчас, когда со всех сторон только и льется одна исключительно негативная фигня.    Давненько я не видел у выходящих из зала людей следов высохших слез. Это мне о многом сказало и после фильма. Да и сам я...</t>
  </si>
  <si>
    <t>сломался через 2 месяца, хоть и дешевый, но принципиально жалко деньги за такую фигню!</t>
  </si>
  <si>
    <t>2014</t>
  </si>
  <si>
    <t>в 1.5 раза?  Да сони превышала бы продаже сони раз в 10, если бы XBOX не прошивался.</t>
  </si>
  <si>
    <t>Полгода в работе - без нареканий. Достаточно простой и симпатичный дизайн.   Хороший чайник, кипятит быстро, шумит приемлемо (плавно доходит до максимума, держится там пару минут и плавно затихает).   Вода ничем не пахнет. Хороший фильтр - мочалочка реально собирает на себя накипь.</t>
  </si>
  <si>
    <t>Долго выбирали холодильник side-by-side и решили остановиться на этом. В отличие от многих, у него вполне приемлемые для небольшой квартиры габариты.    Минуса только 2.  1. Невнятное хранение яиц.  2. Пластиковые детали сделаны очень некачественно. Для холодильника с такой ценой даже странно. Наш старый Атлант 10-летней давности в этом смысле гораздо приличнее.    Из плюсов:  1. Много полочек в дверцах, и они довольно широкие, чтобы можно было разместить что-то не совсем мелкое.  2. Холодильник на колесиках, это значит, что можно его спокойно передвигать, куда нужно.  3. Работает тихо</t>
  </si>
  <si>
    <t>В целом наушники не плохи, неплохо играют музыку, громкие . Тяжеловаты правда и поначалу сильно жали голову(как не регулировал толку не было) - решил применением грубой физической силы на дужки. Ну и амбюшуры маловаты все таки (даже для моих маленьких раковин) - так что примерка обязательна.</t>
  </si>
  <si>
    <t>Чайник симпатичный, бесшумный и довольно быстро кипятит воду. И если бы он нормально работал, то оценка была бы выше, но через две недели после покупки он стал самопроизвольно отключаться, не вскипятив воду, холодный и при достаточном уровне воды в чайнике, из отверстия кнопки включения под ручкой чайника выходит обжигающий пар, т.е наливать не только неприятно, но опасно. Возможно нам попался бракованный экземпляр, и для остальных чайников всё это не характерно, но впечатление испорчено и брать такой же снова не хочется...</t>
  </si>
  <si>
    <t>Сегодня мне купили выпрямитель. Ничего плохово сказать не могу. Мне очень понравился!!!</t>
  </si>
  <si>
    <t>Плеер - супер, хочу купить себе на день рождения, завезите в Барнаул!</t>
  </si>
  <si>
    <t>1670</t>
  </si>
  <si>
    <t>Телевизор полностью удовлетворил мои потребности и ожидания. Этот аппарат привлек меня недорогой ценой и качеством воспроизведения картинки с игровой приставки X-Box 360 и при просмотре обычного аналогового сигнала. В этом телевизоре есть существенное преимущество: Встроенный мультимедийный проигрыватель, воспроизводящий большинство современных форматов как с flash так и с HDD устройств.</t>
  </si>
  <si>
    <t>Положительный качества: хорошая разморозка, хороший дизайн, ручка на дверце.    Отрицательные качества: ломается очень быстро. Начинает сама включаться и при этом отключить ее можно лишь выдернув вилку из розетки. Либо вообще потом включить не возможно. После ремонта она работает максимум 2 недели. Данная проблема встречается только на данной модели</t>
  </si>
  <si>
    <t>Купили машинку около месяца назад.  При второй стирке полилась вода из отсека для порошка, но потом все стало нормально, там была маленькая дырочка, я ее заклеила.  Трясётся прилично. Она у нас встроена под столешницу, рядом с раковиной, всегда придерживаем, иначе все разнесет.  Были трудности с транспортировочными болтами, два верхних сломались, теперь обратно их не вкрутишь. А так стирает хорошо.</t>
  </si>
  <si>
    <t>Встроенная память отвалилась сразу! несу сдавать по гарантии, поменяю на что-то брендовое, Волкман, например. И это был подарок на мой день рождения!:(</t>
  </si>
  <si>
    <t>Пользуемся два месяца.Выбирали недорогой утюг марки Tefal.Недостатков пока не заметили,гладит отлично,подошва из нерж.стали с интересным рисунком. =)  Рекомендую тем,кому нужен недорогой паровой утюг.</t>
  </si>
  <si>
    <t>Купили этот пылесос 1,5 года назад, сначало убирал хорошо, но через некоторое время результат ухудшелся, стал вонять, хотя меняю фильтры 1 в месяц (пользуюсь через день). Через месяц сломалась телескопическая трубка (не складывается), со временем плохо стал реагировать на кнопку включения (нужно давить сильнее), фильтры и аксессуары к нему дорогие. После уборки нужно мыть его полностью,а не только ведро, так как пыль остается в поддоне для ведра и на крышке, а так же внутри шланга и трубки. Еще раз такой же пылесос не купила бы потому что дорогая эксплуатация выходит, ну и качество сборки ужаный китай.</t>
  </si>
  <si>
    <t>Никогда не задумывалась насколько удобная вещь - встраиваемый электрический духовой шкаф, экономия места и эстетический внешний вид. Муж приобрел его на юбилей нашей свадьбы. Дело в том, что сделав ремонт, мы купили и встроили в кухонный гарнитур варочную поверхность, отказавшись от стандартной плиты, но нишу под духовку сразу предусмотрели, долго присматривались к разным вариантам. Нет слов, чтобы описать восторг, который я испытываю каждый раз, когда пользуюсь этой духовкой. Конечно же, имеет значение производитель, и Bosch не зря считается одним из ведущих брендов в производстве бытовой техники. Во-первых, пользоваться духовкой очень просто и удобно. У меня ни разу еще ничего не пригорело, режимы устанавливаю интуитивно, работает слажено и надежно! Устанавливай нужную температуру, задавай время и запекай, что хочешь. В общем, духовка – бомба. К тому же электрическая, а значит безопасная! имхо</t>
  </si>
  <si>
    <t>Сравнивать мне пока не с чем -другими ХП не пользовалась, но очень раздражает совершенно "нечитаемый" дисплей, (хоть с лупой)смотри! Результат выпечки неоднозначный, видимо надо приспособиться, но ведь и цена не как у Панассоника. На форумах есть подсказки по всем вопросам  Галина. 08.09.2010 г. Краснодар</t>
  </si>
  <si>
    <t>нужна была самая обычная кофемолка. купил эту,такую же как у тещи. мелет не совсем в пыль, но для кофеварки нормально.    за свои деньги отличный вариант.</t>
  </si>
  <si>
    <t>По закону у потребителя есть 2 года с момента покупки товара или получения услуги для того, чтобы подавать претензии на его качество. Так что покупать дополнительную гарантию стоит на срок более 2-х лет =)</t>
  </si>
  <si>
    <t>комп пуляет, просто самолет, даже не смотря на висту 32, долго сомневался из-за размеров, очень тихий, я доволен как слон, диагноз: брать!</t>
  </si>
  <si>
    <t>1452</t>
  </si>
  <si>
    <t>Загорелась этим комбайном, купили. Теперь стоит пылится. Мясо мелит только в центре, а по краям куски лежат. А если пододвигать, чтоб все перемолол, то получится у вас фарш как на варенную колбасу, этакое детское мясное пюре. Бисквит взбить или крем с этим аппаратом тоже не получится, т.к. блендер только измельчает. Вообщем, пустая трата денег!!! Лучше купить электрическую мясорубку, миксер и блендер и это будет в 100 раз лучше. Мне говорили так сделать, а я не послушала и купила комбайн. Теперь жалею!!!</t>
  </si>
  <si>
    <t>После установки совсем не заметили отключение  горячей воды. купили потомучто старая проводка в доме и не пожалели.</t>
  </si>
  <si>
    <t>Здравствуйте! Елена, ситуация описанная Вами, абсолютно нормальна. Дело в том что стиральная машина Gorenje оснащена системой электронного интеллекта Use Logic, который, основываясь на информации получаемой от датчиков, может менять время цикла стирки в ту или иную сторону. Разница может достигать +-30%. На это влияют многие факторы: температура входящей воды, тип ткани, дисбаланс возникающий при отжиме, количество и качество стирального порошка и т.д. В Вашем случае машина определила критический уровень дисбаланса на последнем отжиме и предприняла попытку устранить его путем перекладывания белья в барабане, для чего добавила 2 мин. Таких попыток может быть до 10. Если устранить дисбаланс не удалось, машина снизит обороты отжима. Если же и это не помогло, отжим будет отключен вовсе во избежание поломки. Это абсолютно нормально, никакой неисправности или сбоя нет. По поводу вибрации: прежде всего убедитесь что с машины удалены транспортировочные крепления ( на СМА Gorenje это 2 скобы на задней стороне машины. Надо отвернуть 2 самореза на каждой скобе, и, повернув скобу на 90 градусов вытянуть длинный металлический штырь). Отверстия закройте прилагаемыми пластиковыми заглушками. Если транспортный опоры сняты, убедитесь что машина стоит ровно. Сделать это можно при помощи уровня или просто нажав сверху на каждый угол машины - покачиваний быть не должно. Неровности устраните подкручиванием ножек, ни в коем случае не подкладывайте ничего под них. Много значит и пол на котором стоит машина - на деревянном полу или на толстом линолеуме с подкладкой определенная вибрация будет практически всегда. Вещи закладывайте вперемешку крупные и мелкие, для нормального их распределения в барабане.   15-минутной стирки в этой модели нет. Надеюсь, помог. Удачи Вам:)</t>
  </si>
  <si>
    <t>Отличный телефон:хорошее качество звука,прост в управлении как и все Nokia,отличное качество фото.Один только минус-несмотря на скромные размеры,обладает нескромным весом из-за металлического корпуса.</t>
  </si>
  <si>
    <t>Купили пылесос 08.05.2010 все вроде устроило. Когда дома включили не понравилось: 1. Очень громко шумит, даже не возможно пылесосить; 2. Неприятный запах при уборке; 3. Шланг и трубка, а также щетка все не удобно, так что одни только негативные моменты. Решили вернуть в магазин, они отказались принять, т.к. уже использовался.</t>
  </si>
  <si>
    <t>купил вчера, все классно, но вот ТВ и Радио что-то уж очень плохо ловит, да они пожалуй и лишние при таком качестве закинутой музыки, динамик внешний слабоват, но и он тоже спрашивается зачем если плеер слушать в ушах..  В общем доволен, советую!!</t>
  </si>
  <si>
    <t>Столько кнопок что и потеряться можно, но вроде потом разобралась что к чему, включала и защиту от детей, и разморозку, и приготовление, и гриль вкусный и пекла – очень вкусно. Стоит она нормально но того стоит.</t>
  </si>
  <si>
    <t>1177</t>
  </si>
  <si>
    <t>Телефон очень классный - все функции супер!!!!!!!Я очень рада, берите не пожалеете!</t>
  </si>
  <si>
    <t>Выбирал телевизор из моделей Philips, Sony, но у них в ценовой категории 20-25 т.р не было USB порта и процессоры слабее, чем у Sharp. С флэшки просмотрел фильм , качество понравилось, не тормозит!!!!, выбором доволен, хотя не ожидал, что будет так хорош этот телевизор.</t>
  </si>
  <si>
    <t>Отличный телик !!!    Стойт своих денег !!!    Юзаю как монитор ,просто прелесть !!!    ну не говарю о блюрей фильмах )))    не пожалел не капли !!!</t>
  </si>
  <si>
    <t>Потрясающая игра , всё сделано на высшем уровне . Игра очень страшная .</t>
  </si>
  <si>
    <t>Купила машину посудомоечную и не могу поверить в свое счастье. Моет отлично и не очень-то шумит. Месяц назад купила и мою каждый день. Разводов нет и посуда чистая.Цена и качество просто супер. Рекомендую.</t>
  </si>
  <si>
    <t>Купил этот бук!!!счастлив до безумия!!!ХР конешно на него лучше не ставить,самы оптимальный вариант Семёрка...Берите не пожалеете,лучшее соотношение качества ипроизводительности к цене.</t>
  </si>
  <si>
    <t>Достоинства:  Соответствующий размеру фото 10х15 TFT экран 800х480, потрясающий, очень четкий, с большим запасом яркости. Зерна не видно даже в упор. Рамка не тормозит при выводе файла на экран. Разнообразные режимы при смене кадра. Разнообразные виды часов и календарей на экране. Работает со всеми типами карт, достаточно интуитивное меню (на русском), в котором большое кол-во функций. 1Гб внутренней памяти вполне достаточно для создания свои креативных (отредактированных) фото. Режим Auto Touch-up отлично справляется с красными глазами и огрехами на оригинальном изображении. Кнопки управления сбоку, не на передней панели, плюс полное управление с пульта ДУ. Вкл\выкл логотипа Sony. Отлично продуманный таймер на вкл\выкл. Без проблем коннектица по HDMI с ТВ Bravia. С ПК не пробовал, да и не нужно. Можно повесить на стену, для меня это был аргумент при выборе.    Недостатки: Явных не обнаружено. Нет воспроизведения видео и звука - никакого(только 2 мелодии через HDMI). Но данный девайс называется Фоторамка, а не Комбайн 13 в 1. Переключаться между картами памяти и внутренней памяти приходится через меню. Это связано с тем, что потом придется выбирать папки для воспроизведения. Можно выбрать режим всё подряд. На самом деле лучше воспроизводить из одной папки с определенной карты, так быстрее найдешь то, что хочется. Передняя панель – стекло. Руками лучше не трогать, сразу заметны пальчики.     Итог: НЕ РЕКЛАМА. Очень достойный вид, строгий дизайн, разумно построенное меню и управление, картинка супер. В подарок не берите, слишком хорошая. Если Вы и Sony не разлучны, то Цифровая Фоторамка DPF-V800 для Вас.</t>
  </si>
  <si>
    <t>шикарный звук за такие деньги</t>
  </si>
  <si>
    <t>Для такой цены более чем адекватное качество. Чувствуется, конечно, что пластиковые детали не из самого лучшего материала сделаны, но в целом отлично.</t>
  </si>
  <si>
    <t>901</t>
  </si>
  <si>
    <t>Отличный во всём, дизайн, подсветка, греет очень быстро. Одно но, звук у него реально как у ракеты. Днём это не сильно заметно, а вот когда ночь, тишина и все дома спят, аж страшно включать его...</t>
  </si>
  <si>
    <t>Проработал 1.5 года в весьма щадящем режиме. Потом выключился и больше не включается. Ремонту не подлежит, поскольку корпус неразборный. Вдвойне обидно от того, что это был подарок жене. Считаю, что своих денег не отработал. Буду брать блендер другого производителя раз Philips не может повысить надежность своих изделий.</t>
  </si>
  <si>
    <t>Недавно приобрел данную модель вечером привезли. Наутро включил, работал ровно 5 часов. Потом затих навсегда и запах появился. Потрогал, компрессор горячий. В этот же день обратился в магазин и мне его поменяли без проблем на такой-же. Не знаю, пока работает. В сервис-центре говорят что с данной фирмой очень редко бывают поломки. Поэтому пока твердая четверка, время покажет.</t>
  </si>
  <si>
    <t>7 числа купил данную модель по супер цене 21 990!!! очень доволен. Подключил его к компьютеру и лучше не надо. Недостатки слабый штатный звук.</t>
  </si>
  <si>
    <t>2802</t>
  </si>
  <si>
    <t>Тоже купила для хлебопечки первые попавшиеся. Довольна, жизнь преобразилась, быстро привыкла отмерять продукты не на глазок, как делала предыдущие 40 лет ведения хозяйства, даже фамильные рецепты пересчитала со стаканов на граммы. Весы легенькие, компактные, стоят у меня вертикально на полочке, легко взять, легко поставить на место. Использую почти год, о батарейке еще не думала. Чашу сразу убрала подальше, она совсем не нужна, сбрасываю вес посуды на ноль и взвешиваю в чем попало, в том числе прямо в ведерке хлебопечки. Действительно режим энергсбережения слишком уж экономный, бывает, что весы отключаются прямо в процессе отмеривания, когда насыпала одну муку, полезла в шкаф за другой, начинаешь сыпать, а весы-то отключились! Включаю снова, взвешиваю, отнимаю вес ведерка и того что правильно взвесилось, но неприятно.</t>
  </si>
  <si>
    <t>Да, ресивер старый, но у него в отличие от новых поддерживающих MPEG4 есть "петлевой" выход, что позволяет цеплять от него второй ресивер, а не ставить на тарелку 2-ую голову и не тянуть 2-ой кабель. Но согласен, что цена с этим оборудованием должна быть ниже</t>
  </si>
  <si>
    <t>Сплошные!!!!!!</t>
  </si>
  <si>
    <t>Достойный тостер! Служит уже 2 года! Цена/качество на высоте!</t>
  </si>
  <si>
    <t>Пользуюсь 2 месяца. Не могу нарадоваться. Сделала кучу заготовок на зиму. Удобно делать тесто для печеночных  блинчиков, для оладушков, шарлотки,морковка красиво трется. Всем советую за такую цену, вещь супер.</t>
  </si>
  <si>
    <t>Берите, не пожалеете, телек стоит своих денег, на днях друг взял Samsung LE-40 C530 F1W, но качество не то.. он катит только для игр - как монитор и все, а моя сонька качественно показывает любую картинку, конечно когда правильно настроишь, а возможностей для дополнительной настройки много.. встроенное радио, быстрое подключение доп. устройств фирмы сони, пк.. все - на уровне! 5+ из 5 возможных баллов...</t>
  </si>
  <si>
    <t>Честно говоря качество изображения фотографий и видео мне не очень понравилось - темновато. Если смотреть немного слева, то чуть-чуть светлее, но смотреть прямо было бы намного удобней. Может кто подскажет, как сделать картинку поярче, или это какой-то брак? А к остальному я уже привыкла (пользуюсь 4 дня).</t>
  </si>
  <si>
    <t>Собирается очень быстро, устойчивый и действительно бесшумный! От жары спасает даже на 1й скорости, очень довольны покупкой. Минусов пока не обнаружено, качество отличное, еще и со скидкой :)</t>
  </si>
  <si>
    <t>565</t>
  </si>
  <si>
    <t>Привлёк интересным дизайном и наличием муз. кнопок. Телефон уже полтора года, фатальных глюков не было.  Плюсы: Дизайн, 3,5мм разъём, хорошее воспроизведение музыки через наушники, камера очень прилично снимает для 2мрх, живучая батарея(1050 мА\ч)  Минусы: Внешних динамиков хоть и 2, но играют не очень громко.  В общем и целом, телефоном не разочарован.</t>
  </si>
  <si>
    <t>Камера туповата. Наводишь,делаешь полунажатие, картинка фокусируется, фотографируется и в итоге изображение смазано в половине случаев... Недоработка может?  На сони-ериксоне такого близко не было :(     Это может вызвано из-за плохого стабилизатора изображения. Для того чтоб фото не было смазаное , при съемке держите девайс двумя руками.</t>
  </si>
  <si>
    <t>Проработала 2 месяца, мыла не очень. Потом выдала ошибку Е4 и понеслась. В сервисе как будто первый раз вообще что то ремонтируют, уже жду больше полугода. Сначала говорили датчики температуры и давления, заказали, заменили, ничего. Сейчас говорят нагревательный элемент, хотя до этого был в порядке. Больше крону никогда не куплю, однозначно.</t>
  </si>
  <si>
    <t>1211</t>
  </si>
  <si>
    <t>+ отлично моет, очень тихая, экономит воду  - капризная к питанию, но отключается, когда слабое напряжение.    с посудой на даче справляется на отлично. Имею опыт использования более дорогих Бош. Качество Сименс - аналогично.</t>
  </si>
  <si>
    <t>2169</t>
  </si>
  <si>
    <t>Плюсы:  + Размер 40"  + Разрешение 1080    Минусы:  - Отсутствие декодера для цифрового сигнала  - всего 2 HDMI  - нет цифрового оптического аудио выхода для акустики    Брали его в спальню, так что все эти минусы не учитывали.    Отличие по изображению от более навороченной модели Сони, стоящей в зале, я лично не заметил.    Покупкой доволен на 100%.</t>
  </si>
  <si>
    <t>Купила 2 недели назад. Стираю 2-3 раза в день. Очень довольна, особенно режимом "легкая глажка".</t>
  </si>
  <si>
    <t>Железный корпус</t>
  </si>
  <si>
    <t>Хороший водонагреватель, держит горячую воду очень долго, даже если давно выключен. За пол года использования никаких нареканий. Советую.</t>
  </si>
  <si>
    <t>855</t>
  </si>
  <si>
    <t>После покупки сего товара решил отметить это событие :)))  Одну рацию оставил дома, примотав кнопку передачи изолентой и накинув сверху наушники с музыкой, вторую взял с собой и попёр за выпивкой :)  С конечным пунктом своего похода сразу не определялся (на сколько дальности хватит).  Минут через 15-20 музон пропал. НО! Это 2-3 километра в условиях города (шёл я очень быстро, почти бежал :)))  Вывод: аппарат очень качественный, к покупке рекомендуется :)</t>
  </si>
  <si>
    <t>Да, наушники не плохие, но я видел и погромче, тем более что за год уже двое таких наушников сменил, которые в комплектовке шли...возможно, много и громко в них слушал, но факт остаётся фактом.</t>
  </si>
  <si>
    <t>2014-09-18</t>
  </si>
  <si>
    <t>Шумно работает,  таймер  вообще не работал: если комната согревается, начинает дуть холодным воздухом и не отключается. Не советую.</t>
  </si>
  <si>
    <t>339</t>
  </si>
  <si>
    <t>Нормальный системник Crysis, Unreal Tournament 3, GTA 4 и т.д идут без тормозов на макс настройках!!!</t>
  </si>
  <si>
    <t>1831</t>
  </si>
  <si>
    <t>Девочки, мне 62 и я освоила этот прибор на раз-два... Выбирала, что подешевле, а получила ооочень стОящего помошника. Руководствовалась только описанием (диск не смогла открыть на компе - у меня нет такой программы) Покупайте, советую, не пожалеете.</t>
  </si>
  <si>
    <t>Когда купила была очень рада.стильный.</t>
  </si>
  <si>
    <t>Хорошоая соковыжималка. Из 4-ех апельсинов получилось 600мл сока. Из яблок, апельсинов, моркови жмых сухой. Из свеклы жмых мокровотый. В целом довольны.</t>
  </si>
  <si>
    <t>3118</t>
  </si>
  <si>
    <t>Эта модель пылесосов понравилась своими малыми габаритами, хранение его не требует много места и парковаться может как горизонтально, так и вертикально, труба фиксируется специальным крючком на корпусе. Он по весу легкий + удобная большая ручка, я спокойно могу в одной руке держать пылесос, а другой работать трубкой. Трубка телескопическая, легкий механизм раскладывания. Колеса большие, пылесос катается на любом напольном покрытии. Большой регулятор скорости с индикаторами, на любую зону уборки своя подходящая. И главное достоинство этой модели - отсутствие мешка пылесборника, контейнер легко вытрусить, пыль не летит в разные стороны и потом просто ополоснуть водой. Фильтры и другие элементы тоже легко моются, быстро сохнут. Я довольна, что за такие скромные деньги смогла купить хороший пылесос.</t>
  </si>
  <si>
    <t>Пылесос хороший. Мощность всасывания отличная. Советую именно эту модель, так как есть система парковки (шланг наматывается на пылесос и на него же крепятся все насадки -не придется потом искать). Недостатки: достаточно громоздкий, электризуется при работе и собирает пыль и на себя тоже, дороговат. Но зато Вы узнаете точно, сколько пыли в Вашем доме есть на самом деле.</t>
  </si>
  <si>
    <t>1) Портов самый минимум:     3 x USB 2.0, RJ-45, VGA,      разъем для подключения микрофона,     разъем для подключения наушников.    2) Видеокамера минимального качества,     шум, при 640*480 не более 10 кадров/с</t>
  </si>
  <si>
    <t>495</t>
  </si>
  <si>
    <t>Отличная вещь, никогда не думала, что за такую цену она будет столь эффективно работать. Советую.</t>
  </si>
  <si>
    <t>1410</t>
  </si>
  <si>
    <t>Покупала такие в Москве )Изначально думала что прослужат полгода, но нет ! Прослужили полтора даже ) Вот думаю починить и слушать дальше, очень оригинальные и звук хороший )</t>
  </si>
  <si>
    <t>Моей машинке-старушке этой фирмы около 10 лет) Служит верой и правдой до сих пор. Пластик только пожелтел, а так все норм.</t>
  </si>
  <si>
    <t>Приобрел по акции данный телевизор и остался крайне доволен. Пользуюсь пока месяц. Больше всего порадовало качество изображения с антенны.(-)Форматы читает не все. Подключил к компьютеру через HDMI, смотрю фильмы любых форматов. Удовольствия от подсветки не прочувствовал- и на мой взгляд тоже просто дополнительный необязательный элемент.</t>
  </si>
  <si>
    <t>купил и очень пожалел, шланг для воды висит на основном, без телескопической трубы, моющую насадку не поставить, а мыть диван, окна с трубой ....  распылители, уже поменяли два комплекта, льют воду куда угодно, только не распыляют нормально.  единственный плюс - легко мыть после уборки.</t>
  </si>
  <si>
    <t>ноутбук просто супер не тормозит все работает как  часы не дорогой вообщем беритесупер не пожелейте</t>
  </si>
  <si>
    <t>2013-05-27</t>
  </si>
  <si>
    <t>Комплект играет неплохо, но нужно доработать саб, (проклеел внутри шумкой убрал фазик) бас глубокий и чистый, вообще не понятно зачем фазик который фырчит на пиках (однозначно убрать).</t>
  </si>
  <si>
    <t>2353</t>
  </si>
  <si>
    <t>Меня больше никакой телефон не устраивает кроме яблофона )</t>
  </si>
  <si>
    <t>Просто великолепная игра! Тут как-то даже не особо хочется вести сюжетную линию игры, хотя сюжет здесь очень интересен, а хочется поскакать по прериям, поохотиться на оленей или медведей; даже выезжая на очередную поимку злодея не возможно пропустить мимо прыгающего возле вас оленя, руки сами тянутся за ружьишком, а 8 баксов с рогов и 5 с мяса очень большие деньги. Мой вердикт краток-МАСТ ХЭВ!  P.S. Посмотрите фильм Австралия, в игре есть отсылки к этому фильму.</t>
  </si>
  <si>
    <t>Использую сей девайс уже 2-й год, использовала все насадки, но постоянно пользуюсь 2-3, нравится утюжок, щетки тоже хорошие, волны делает, но мне это не требуется. Рекомендую - отличный товар за эти деньги.</t>
  </si>
  <si>
    <t>213</t>
  </si>
  <si>
    <t>По-моему хорошие кнопки. И дизайн и функции. Хорошенький. Мне очень понравился.</t>
  </si>
  <si>
    <t>Достоинства: Легкий и тонкий, небольшая цена (хотя, и это спорный вопрос для такого качества, вернее, его отсутствия). Батарею держит хорошо    Недостатки: Медленный, перезагружается самопроизвольно, портит файлы    Комментарий: Гадость. Не покупайте эту модель, если не хотите потратить деньги, а потом и нервы на ее использование. Буду ее менять и никогда уже Ritmix не куплю</t>
  </si>
  <si>
    <t>буку 2 недели,греется при загрузке проца более 50%, рабочая температура 50 градусов, при нагрузке играми доходило до 86, но не тупит, бук отличный, для игр советую купить вместе с охлаждающей платформой.</t>
  </si>
  <si>
    <t>Термос очень понравился: легкий,хорошо держит тепло,дно прорезиненное - не поцарапаешь,ручку по необходимости можно выдвинуть, имеется клапан подачи воды,- в общем вещь замечательная во всех отношениях.Рекомендую.</t>
  </si>
  <si>
    <t>Ужасная бритва. Лучше бы брал браун! Они намного качественнее! Панасоники делают бритвы плохого качества. Лучше не берите. Сначала хотел браун но жилка сэкономить оказалась сильнее. В итоге бритва сломалась через 3 недели. Расстроен</t>
  </si>
  <si>
    <t>Опыт пользования пол года брал как себе подарок на новый год, показала себя с хорошей стороны можно как бриться ей так и стричь, ножи не тупятся, долго зарядка держится, может работать напрямую от сети, рекомендую эту модель мне она очень понравилось....</t>
  </si>
  <si>
    <t>Утюг очень хороший, гладит отлично! Долго выбирала и осталась довольна покупкой. Отличное качество!</t>
  </si>
  <si>
    <t>Отличная вещь! Купили как временный вариант в мае 2013, до сих пор нет особой необходимости менять, хотя любим готовить и семья большая - трое детей . Тихий, хорошо морозит, морозилка вместительная, даже при большом количестве загруженных продуктов летом они не пропадают.  Так что без нареканий. Качество выше ожидаемого за эту цену</t>
  </si>
  <si>
    <t>2606</t>
  </si>
  <si>
    <t>Купила пару дней назад. Она на столько великолепна, что если прослужит всего лишь год-не обижусь и куплю новую. Жарить на ней одно удовольствие, пища скользит, не пригорает, масла требуется немного, легко моется, тяжеленькая как я люблю, красивая. А главное-пища приготовленная на ней на много вкуснее, как такое может быть не знаю-проводила опыт, домашние данный факт подтвердили.</t>
  </si>
  <si>
    <t>Признаюсь честно - я не любитель новинок. Всегда чистила зубы обычной зубной щеткой и считала, что этого достаточно. Sonicare мне подарили. К такому подарку отнеслась скептически - очередная бестолковая игрушка... После первой чистки я была просто поражена - зубы настолько ЧИСТЫЕ, что даже скрипят. Никакого налета не осталось вообще даже на дальних зубах. После такого результата все обычные зубные щетки были отправлены в помойку навсегда.  После месяца пользования десны перестали кровоточить. Через пол года я пришла к зубному врачу делать чистку ультрозвуком - она сказала, что в этот раз чистить ничего не нужно - никакого застарелого налета нет.  Вот так вот.</t>
  </si>
  <si>
    <t>телевизор хороший, но при воспроизведении фильмов с флешки, воспроизводит не весь фильм. например,фильм длительностью 1 час 26 минут он воспроизводит 1 час 2 минуты и дальше обрывается. Не могу понять в чём дело... Короткие видео клипы вроде бы нормально показывает.</t>
  </si>
  <si>
    <t>Понравился холодильник своими габаритами, очень вместительный! Как раз для большой семьи. Легкое перемещение полок под нужную высоту- тоже порадовало. Один минус- в холодильной части внутри сверху большая щель. Хотелось бы знать у всех так или у нас одних такой с деффектом?</t>
  </si>
  <si>
    <t>42" full hd за такие деньги не найти. Качество картинки отличное, встроенный звук не хуже, чем в дорогих моделях. При динамических сценах картинка не тормозит, так что смысл переплачивать за 100 Гц не вижу. К компу подключал через vga - нормально. два выхода hdmi, один из них юзаю для медиа плеера. Разблокировать  usb не стал, так как внешний медиа плеер удобнее, чем двигать телик, чтоб вставить флешку.</t>
  </si>
  <si>
    <t>640</t>
  </si>
  <si>
    <t>По поводу здоровья своего и своей семьи я всегда сильно переживаю. Живем в очень холодном климате, постоянно и так все простужаются, а теперь по несколько раз в год  в городе эпидемии гриппа.  Дети цепляют его постоянно, в саду и в школе, ну а мы с мужем от них. Как-то был период в том году, когда мы просто по кругу друг от друга все заражались. на больничных с мужем в общей сложности просидели по месяцу каждый. пили и иммуно повышающие и прочие лекарства - ноль эффекта! Спас нас именно очиститель воздуха от Борк со специальным вот таким фильтром! Он в себе соединяет сразу несколько вариантов очистки воздуха, поэтому и является из всех подходящих к этому воздухоочистителю фильтров самым сильным. К бактериям, вирусам гриппа и прочему он безжалостен! недавно совсем один ребенок болел, лежал дома с температурой и диким кашлем. А все остальные даже не чихнули! Главное, это не скупиться, не забывать, что один фильтр не навечно в очистителе воздуха должен поселяться, а лишь временно! Если по истечении указанного срока годности его менять, то все будут здоровы!</t>
  </si>
  <si>
    <t>Играет не плохо. Подключен на задние динамики и саб.</t>
  </si>
  <si>
    <t>наушники брал уже очень давно. до сих пор мне служат. звук идеальный. громкие - как раз то что надо.</t>
  </si>
  <si>
    <t>Замечательный блендер, пользуюсь уже 2 года! Помощник в приготовление любого блюда. Перетирали в пюре супы, овощи и фрукты для детского питания. Измельчали зелень, орехи, делали в нем различные соусы! Замечательно мешает тесто на блинчики, оладушки. Делали ягодные шейки. В общем очень довольны, прекрасный блендер, помощник в приготовлении любого блюда! Теперь всем рекомендуем!</t>
  </si>
  <si>
    <t>Купили этот утюг - очень рады. Хорошая модель, сделано все качественно. Гладит хорошо, отпаривает хорошо, все на отличном уровне. И в руке сидит удобно, благодаря резиновой ручке.</t>
  </si>
  <si>
    <t>3014</t>
  </si>
  <si>
    <t>Купил Сены eh150? но ходить в них зимой проблематично, поэтому купил ещё и mx560, к ним в комплекте шли держалка для наушников и кожаная сумочка, и стоили они тогда подешевле. После 150-х они конечно не тянут, но для вкладышей твёрдая четвёрка. Немцы.</t>
  </si>
  <si>
    <t>Небольшой эпилятор, удобен для домашнего использования.</t>
  </si>
  <si>
    <t>брал месяц назад, работает как часы, по тестам кристалл-марк скорость записи даже превышает заявленную. Рекомендую, достойный девайс.</t>
  </si>
  <si>
    <t>1717</t>
  </si>
  <si>
    <t>Такая печка шла вместе с нашим новым кухонным гарнитуром.Сначала сомневалась нужна ли она мне вообше. К сенсорному управлению привыкала долго. Но в конце концов все же оценила все плюсы данного устройства. Самое главное для меня это наличие блокировки управления от детей. Очень удобно что если отставить кастрюлю в сторону то печка сама отключится. По окончании приготовления блюда панель может издать звуковой сигнал. особого ухода она не требует, просто достаточно каждый раз протереть поверхность мягкой тряпочкой. Можно еще купить спец средство для керамики но я пока обхожусь без него.</t>
  </si>
  <si>
    <t>1260</t>
  </si>
  <si>
    <t>Долго выбирала себе плеер и вот решила купить этот! Отличная модель, современный дизайн и ничего лишнего на корпусе) Сенсор неплохой, даже хороший. Звук шикарный. Вот скачаю скоро фильм попробую посмотреть. Решите покупать такой-не сомневайтесь!)</t>
  </si>
  <si>
    <t>Цена приятная, качество хорошее. Работаю с ним уже долго, нареканий не было. Единственное пожелание - зарядное устройство и работа от провода, остальное все супер!</t>
  </si>
  <si>
    <t>Нормальный блендер. Только сильно громкий, по утрам лучше не включать.</t>
  </si>
  <si>
    <t>Плюсов очень много. но скажу и недостатки, ОЧЕНЬ тяжелый, но он того стоит. цена не плохая, порадовала. игры идут отлично. Crysis на максимуме идёт спокойно, не знаю кто говорит при слабость этого компа, но он отличный.</t>
  </si>
  <si>
    <t>До чего дошел прогресс – теперь и чайник может быть стеклянным. Вид, когда там внутри кипит вода – действительно завораживающий. Стыдно признаться, но когда купили этот чайник – всей семьей день ходили стояли и смотрели, как в нем вода закипает. Это как с покупкой первой стиральной машины-автомат – помните, тоже сразу приходили и садились у окошка смотреть, как оно там крутится. Так и здесь. А если серьезно, то чайник красивый, удобный, надежный. Воду нагревает очень быстро (не успеваешь насладиться этим зрелищем), нагреватель – дисковый. Из полезных дополнений – индикация включения, фильтр. Высокий уровень безопасности – есть функция самоотключения при сухом нагреве, блокировка крышки в работающем состоянии. Минусы: пока нечего сказать.</t>
  </si>
  <si>
    <t>Подарила телефон маме год назад. Претензий нет, работает отлично. Думаю такой же приобрести для сына. Советую всем кому нужен обычный телефон для прямого назначения (общение).</t>
  </si>
  <si>
    <t>1562</t>
  </si>
  <si>
    <t>Бигуди забавные. Сразу купила крабики к ним, шпильками даже не пыталась пользоваться. Правда голове все это держать тяжеловато. Нужно приноровиться к накрутке в перчатках(голыми руками брать невозможно). Мусс или пену для укладки использовать обязательно, иначе расплетутся, либо сразу лачить. Во время накрутки прибор лучше не отключать не то быстро остынет. Остальное все нравится:не надо спать на бигудях, утром встала, в розетку, в ванну, накрутилась, час на сбор, на работу. Советую.</t>
  </si>
  <si>
    <t>Полностью согласна с Михаилом, память на весы совсем ни к чему. Я теперь тоже не нажимаю, а у меня эти весы к тому же начали глючить примерно через год. Ничего особенного в этих весах можно было купить подешевле и получше. Память на весы совсем ни к чему.</t>
  </si>
  <si>
    <t>Хороший тостер, очень приятно есть горячие бутерброды на завтрак (делали даже слоеные пирожки). Стоял выбор между двумя моделями этого производителя. Хоть на ту было больше отзывов положительных, но взяли эту, потому что выглядит корпус её более основательный, индикатор готовки расположен удобнее и больше по размеру, удобнее смотреть.</t>
  </si>
  <si>
    <t>Берите не пожалеете... звук отличный.. плеер супер.. работает сразу с несколькими приложениями, нет тормозов..минусов у него нет</t>
  </si>
  <si>
    <t>Не успел оценить</t>
  </si>
  <si>
    <t>Очень хороший пылесос, мощный, поднимает ковер. Удобно помыть, всегда чистый, маленький и легкий, удобно носить.</t>
  </si>
  <si>
    <t>572</t>
  </si>
  <si>
    <t>Пользовалась машинкой крайне редко, но по долгу, в итоге выявился заводской брак, машинка перестала шить в самый ответственный момент, шила на заказ крестильный набор(меня спасла доисторическая машинка,мой вывод:больше астралюкс не возьму и рекомендовать ни кому не буду, машика была астролюкс 5100(операций много,но качество-ниже не куда)</t>
  </si>
  <si>
    <t>Купила месяца 3 назад, очень довольна. К кнопкам привыкла за 1-ю неделю использования. Всем рекомендую.</t>
  </si>
  <si>
    <t>Я долго выбирала между покупкой комбайна или блендера, в общем сомневалась нужен ли вообще комбайн?! Купила и не жалею. Скажу, что шинковка, терка, тесто — отлично, без нареканий!!! Сок из апельсинов делала всего пару раз, просто не любитель, так что сказать не могу ничего по работе соковыжималки.. В блендере часто делаю детям молочные коктейли с фруктами и жидкое тесто для блинов, очень удобно. Не мало важный фактор для меня, что комбайн очень компактный и насадки в нем самые необходимые.. Я довольна.</t>
  </si>
  <si>
    <t>Жутко воняет пластмассой, не покупайте</t>
  </si>
  <si>
    <t>3097</t>
  </si>
  <si>
    <t>Сони умеет делать отличную технику и данный ТВ не стал исключением. Изображение просто феноменального качества для телевизоров стоимостью до 30-ти тысяч рублей. Цвета очень правильные, не гипертрофированные. Картинка плавная и крайне приятная глазу. Ближайший конкурент по качеству изображение это Sharp, а всякие там самсы, лыжи и прочие филипсы даже рядом и не стояли(поверьте, я знаю, о чём говорю). Хотя стоит отметить, что они на 2-4 тысячи дешевле, но поверьте эта небольшая экономия того не стоит. Ещё из плюсов хотелось бы отметить отличный дизайн, удобное меню, отличные углы обзора. Берите, не пожалеете! Весчь! :-)</t>
  </si>
  <si>
    <t>Просто прелесть! Очень довольна покупкой, в работе очень проста,все до капельки уходит в сок! Рекомендую!</t>
  </si>
  <si>
    <t>Использую каждое утро. Исползую насадки 3-х видов. Очень нравится, мощности вполне хватает для сушки и укладки коротких и средних по длине волос. Лёгкий и  удобный фен.</t>
  </si>
  <si>
    <t>Телефон отличный,купила,осталась довольна,он у меня уже месяц,очень хороший телефон,только цена чуть-чуть дорогая,но это ничего,можно накопить!Советую всем!Недостатков нет!</t>
  </si>
  <si>
    <t>Довольна)))Но был Expley до этого-полная фигня!  Нравится управление на этом плеере, памяти много, но вот плохо насчет того, что зарядка и наушники рядом находятся!) А так супер!</t>
  </si>
  <si>
    <t>Купили чайник два дня назад. Все работает, вода долго не остывает, но метал из которого он сделан вызвал у меня сильную аллергию. Все бы хорошо, кипяченую воду холодную когда пью тоже вызывает аллергию. Пойду менять на другую модель. АЛЛЕРГИКИ НЕ ПОКУПАЙТЕ ЭТОТ ЧАЙНИК.</t>
  </si>
  <si>
    <t>показывает нечётко жёсткий диск на 320 гб не потянул юсб на 8 гб принял но фильм один притормаживает и звука нету и перемотка неработает  эта вещь не стоит тех денег купил в машину крепить неудобно скотч в комплекте отклеивается.</t>
  </si>
  <si>
    <t>Хорошая машинка. Приличный вес и прямой привод обеспечивают низкую вибрацию. Предыдущая машинка у меня по ванной бегала при отжиме, а эта очень тихая и спокойная. Плюс есть режим интеллектуальной стирки, который, насколько я понимаю, заключается в том, что машинка предварительно оценивает вес белья, и потом самостоятельно задаёт время стирки.</t>
  </si>
  <si>
    <t>Прибор великолепен. Температуру показывает точно в сравнении даже с другими термометрами, прогноз тоже соответствует действительности. Покупкой очень доволен. Советую.</t>
  </si>
  <si>
    <t>Не сильно громкая, понравилось что есть таймер отключения, в общем рекомендую!</t>
  </si>
  <si>
    <t>Тостер просто отличный, прекрасный:) У меня было много тостеров но этот самый лучший!!! один тостер не поджаривал одну сторону, другой тостер вообще хлеб не жарил а этот тостер- просто отличный теперь есть чем гордится перед гостями)!</t>
  </si>
  <si>
    <t>Отличный эпилятор!  Ну, немного больно, а что ещё ожидать от эпилятора? Оно и понятно. Всё терпимо.  Волосы убирает достаточно чисто + в комплекте отшелушивающая насадка (удобно не столько перед эпиляцией, сколько после).</t>
  </si>
  <si>
    <t>Взял неделю назад, все нормально, все устраивает. Но пару дней назад заметил, что динамики хрипят время от времени. Неповезло наверно, пойду в гарантийку.</t>
  </si>
  <si>
    <t>У меня такому уже 4 года. Ничем не разочеровал. Работает очень тихо. Осенью, когда центральное отопление еще не включено, работает круглосуточно. Комнату 19 метров греет на ура даже в положении мощности I. Если перегревается - отключается сам. Не трясите его! не бейте! ))Это так надо.. Постоит, остынет - заработает сам. Лучше не найти за такие деньги! Завтра куплю такой родителям. Хорошо что зашел сюда и наткнулся на него по акции.</t>
  </si>
  <si>
    <t>Выбирал духовку по критериям: "Hansa" (чтобы вся встраиваемая техника на кухне была от одного производителя), внешний вид (ручка шкафа идеально подошла к кухонной мебели), цена.   Собственно, относительная дешевизна обернулась следующими неприятными сторонами:  1) ужасный запах от плиты держался пару месяцев (при первом включении вонь была такая, что можно было противогаз одевать)  2) поверхность дверцы мгновенно цепляет на себе следы прикосновения  3) наличие только основных режимов духовки и отсутствие таймера  Спустя 1,5 года к этой специфике привык, поэтому в целом покупкой доволен, хотя изначально был жутко расстроен из-за запаха плиты.</t>
  </si>
  <si>
    <t>444</t>
  </si>
  <si>
    <t>Купили перед Новым Годом, очень довольны!!!  Советую всем.   В соотношении цена-качество, по-моему,лучше не найти.</t>
  </si>
  <si>
    <t>Хороший вентилятор за такие деньги. Но заметил заметную вибрацию при работе. Снял пропеллер, и снова надел, повернув по ходу (или против хода, не важно) вращения на 180 град. Вибрация пропала.</t>
  </si>
  <si>
    <t>Супер!</t>
  </si>
  <si>
    <t>Владею данным ноутом более двух лет, покупал дороже. Сразу после покупки периодически зависает и пишет при этом, что видеодрайвер перестал отвечать и был восстановлен. Аккумулятора даже в начале эксплуатации хватало лишь на полтора часа, сейчас и получаса не тянет. Греется  и гудит. Для полазить по нету - нормально, но хорошие игры не хочет, постоянно выбрасывает или виснет.</t>
  </si>
  <si>
    <t>Мне просто жаль всех яблоненавистников (по каким либо унылым причинам) и еще больше жаль пацанчеков, для которых наличие 2-х симок, передачек мп3шечек по блютузу (_из коробки_) и прочие некошерные вещи - ставятся во главу угла.  Сначала я купил айфон 2г (после того как отплевался с парочкой вм коммуникаторов, отключением лишних процессов, служб, настройкой напильником, кастомными прошивками а до этого - симбиан, о котором можно сказать больше хорошего чем о любом ВМ (до прихода 9.4 и ололо-убийц-айфонов)) и через 5 дней мой папа, нокиафаг кстати, продал свой н79 и купил 3г айфон. Если бы была острая надобность (кроме крутой графики в игрушках и гораздо большей скорости работы) - то мы сейчас купили бы 3гс. Но тратить 30 тысяч (24 за "неофициальные") на игрушки - не очень здорово. На этом смены телефонов для нас закончились, и это можно рассмотреть как одну из причин покупки айфона - если вы нормальный человек, то без очень веской причины не потратите деньги на новый девайс, следовательно - экономите много денег. Даже не смотрите в сторону убогих самсунгов и нокий-тач, вам самим будет стремно потом ими пользоваться и жалеть будете о такой "экономии" (как я, после покупки "современного" WM).    (Лирическое отступление, для русских винмобайлщиков и тд, составляющих на 95% рынок сбыта убогих мобильничков)  Айфон в момент выхода (2007) был лучше любого другого мобильного девайса, об этом можно судить сейчас - когда я на 2г играю в красивые гонки и шутеры с графикой (Прикиньте, счастье не в мегагерцах и оперативке, а в видеокарте\видеоускорителе - называйте как хотите, но он есть там, и его наличие это один из главных аспектов развития айфонов) и звуком как на моей "таблетке" от HP. А ведь аппаратная начинка не менялась ни разу. И накакой самсунг, нокия или ВМ\Андроид не догонит айфон, и в этом виноваты сами производители, поставивших своей целью производство заведомо ущербного товара для быстрой продажи поставленных на поток новых моделей. Провал маркетинга (И НИКОГДА, никогда вы не получите нормальных игрушек и программ на свои девайсы, - хотя бы потому что устройства настолько разные (особенно остро ощутил на ВМ), что разработчики делают так, чтобы работало на большинстве (и самых убогих) смартфонах, да и то, где-то не работают кнопки управления, где-то они нужны, а их нет (тач) и тд.. Про игры, где задействована видеокарта кпкашки, вообще промолчу. 3-4 эксклюзива за последние полтора года, смищно), отсутствие элементарно удобного интерфейса, недорогих программ, слабая "бюджетная" аппаратная начинка, абсолютно не адекватный кривой тач, тормоза даже в МЕНЮ. Я просто не понимаю как можно утверждать что айфон - ужасный девайс, говорить при этом что "я им пользовался, но не нашел возможности поднять сервер или настроить для ответа без снятия блокировки".   (конец)    В меньшей степени айфон это телефон в классическом понимании - он умеет гораздо больше, это и плеер, и игровая приставка, и серьезная операционная система, это простое восприятие интерфейса, это полноценная многолетняя поддержка эппл, это банальное "хочу, чтобы я его включил - и он сразу работал нормально". Забавляют самоутверждающиеся идиоты, которые любят брать в руки ваш айфон и рассказывать почему его нокия\самсунг лучше (непременно используя оооочень старые разбросанные по всем интернетам заказные антирекламы айфона)), хоть и смешно, но неприятно понимать что живешь в таком обществе. Кстати, с нетерпением жду iPad в продаже в России. Обязательно куплю, цены за серые уж больно кусаются.</t>
  </si>
  <si>
    <t>Срок пользования 6 лет  Не знаю как сейчас,но моя сделана действительно в Японии, разбирал для профилактики и смазки, эл.двигатель made in japan, Используем для больших объёмов: рыба,мясо,помидоры,хрен. Никаких нареканий.  Нож самозатачивающийся, сразу прикупил запасной нож, но разницы между ними даже сейчас не видно, т.е. править нужды не вижу. Шнур коротковат, тихим не назвать, но всё это не критично.</t>
  </si>
  <si>
    <t>Купил эту хлебопечь в подарок жене. Хотелось что-то функциональное и модное. Когда увидел борк, то понял - это то что нужно. Теперь ем свежий хлеб каждый день, работает без проблем, хлеб получается очень вкусный. Советую всем.</t>
  </si>
  <si>
    <t>Вот уже месяц пользуемся печкой. Перепробовали все варианты готовки. В общем нравится. Из минусов:  1. Верхняя корочка очень бледная (если поставить на темную корочку - с боков и снизу подгорает чуть, а сверху всё равно бледно)  2. Хлеб пахнет дрожжами (кладем всё аккуратно взвешивая по рецепту)  3. Весь хлеб получается по консистенции практически одинаковый (рассыпчатый - как в магазине кирпичики продают, или на куличи похож).  Мне больше нравится хлеб более вязкий, как в батонах или багетах. Пока такого сделать не удалось.  4. Нет формочек для кексиков.  Плюсы - 3 часа и хлеб готов - в магазин ходить не надо.</t>
  </si>
  <si>
    <t>Если вы собрались покупать электрочайник,  и у вас есть столько же денег, сколько стоит этот, выбирите другую модель!!!!! Дизайн у чайника отличный, можно выбрать из трех цветов, НО это единственное достоинство этого чайника. При нареве воды СИЛЬНО ШУМИТ, такое впечатление, что на кухне у вас взлетает самолет, а не вода закипает. Мой ребенок жутко его боится, даже если сидит в другой комнате, пока чайник работает. Кипятила воду два раза после покупки. Обменяла на другую модель</t>
  </si>
  <si>
    <t>Действительно прорыв! Если не считать время на отварку необходимых продуктов и чистку яиц, что так или иначе необходимо будет делать, если только не покупать готовый салат, то тазик салата готов где-то минут за 7-10, чтобы тупо закинуть все в комбайн и по мере наполнения чаши высыпать в таз, в котором это все потом замешивать с майонезом. С яйцами, честно говоря, чуть сложнее так как желток в кубик не получается порезать, но на крайний случай можно попробовать вручную, хотя не уверен, что вручнную могут получится кубики,надо спросить у женщин. Предполагаю, что с окрошкой и винегретом вообще никих проблем не будет!</t>
  </si>
  <si>
    <t>Пользуюсь больше года и очень довольна покупкой.  Выпрямляю кудри на минимальной температуре, эффект как в парикмахерской. Причёска за 10-15 минут без вреда для волос. Волосы не жгёт, придаёт блеск. Пользуюсь защитным спреем для выпрямления волос, муссом или пенкой, что нисколько не отражается на покрытии.</t>
  </si>
  <si>
    <t>1182</t>
  </si>
  <si>
    <t>Выпрямитель мне очень подошел по своим техническим характеристикам, хотя смутила низкая цена, всем советую. Цена и качество совместимы!</t>
  </si>
  <si>
    <t>Что я не Так делаю? Через HDMI идет только картинка. Кабель купил у Вас же, за 1900 р какой-то. Устройство по умолчанию на звук - HDMI аудио. Пробовал подцепить ноутбук у телевизору тем же кабелем - звук есть. Приходится цеплять звук разъемом для наушников -не удобно :(</t>
  </si>
  <si>
    <t>Приобрел SA1922/02. Отличный плеер с емким аккумулятором. В кармане много места не займет =). Удобное управление плейлистом ‘вслепую’, не вынимая из кармана. Наушники, входящие в комплект поставки не дают возможность полностью раскрыть весь потенциал этого прекрасного девайса.</t>
  </si>
  <si>
    <t>Пока все очень хорошо. Очень нравится. Удобно разогревать. Проста в обращении.</t>
  </si>
  <si>
    <t>Вещь бесподобная, работает шустро, игрушки тянет (правда греется, но тянет) разные, я играю в Call of Duty modern Warfare 2, Dragon Age: Origins, Risen, Mass effect 2...Т.е. проверка для ноута не хилая =))) В общем всё очень радует, всё обновляется, работает, и вообще, он практически всё делает за тебя))))</t>
  </si>
  <si>
    <t>Производитель ВолТек  -это Китай ? Где собрана машина ? Чьё производство деталей ?▶▶▶ОТВЕТ ЭКСПЕРТА «М.ВИДЕО»◀◀◀ Надежда, данная модель произведена в России из отечественных комплектующих.</t>
  </si>
  <si>
    <t>Жмых после моркови выходит сухой. Стакан сока можно получить из трех-четырех зимних морковок. Летняя, подозреваю, жмыха вообще оставлять не будет :).    Одно яблоко (большое) - один стакан сока. Груши - тоже самое. Банан - никак, проще блендером разбить.    Мошьности хватает, чтобы выжимать без остановки, шпиндель не клинит.    Дельный совет мануала - в емкость для жмыха ложить пакет, а после отжатия выливать стакан воды ля промывки ножей.  Минусы - как же тяжко мыть ножик каждый раз.....</t>
  </si>
  <si>
    <t>Стильный, надежный, не шумный, хороший обьём!</t>
  </si>
  <si>
    <t>отличный ноут, пока всё работает на ура, купил 6 месяцев назад и веб камера и всё остальное пока работает, ничего не ломалось ничего не отлетало, правда мейл агент стал плохо работать на нём при нажимании на ссылку вылезает ошибка, что только не пробовал не помогало мне сказали это винда виновата, а так всё отлично )))а вот звук щёлкает только когда слушаю в наушниках, но на 5.1 всё нормально без щёлкания, все игры которые устанавливал летали на максимуме )))</t>
  </si>
  <si>
    <t>1202</t>
  </si>
  <si>
    <t>согласен с некоторыми постами, что на записях отчетливо слышен механический звук от зума, качество не FullHD,сенсорный (постоянно в отпечатках), но для повседневного использования идеально, компактный размер, оптика от Carl Zeiss и т.д. Но выбор остается все таки за вами!</t>
  </si>
  <si>
    <t>Покупал совсем недавно на работу в офис. Кипятим каждый день всем коллективом и ни разу за месяц еще проблем не было. Крышка закрывается плотно, кнопка тоже в норме. С виду обычная недорогая модель непритязательная. Вода закипает быстро, чуть больше минуты. Хороший, добротный чайник, свое дело знает. Из недостатков - шнур коротковат, нам переставлять всегда его приходится.</t>
  </si>
  <si>
    <t>Супер-машина, берите - не пожалеете! И самому установить можно - инструкция подробная+все необходимое в комплекте поставки!</t>
  </si>
  <si>
    <t>За год эксплуатации можно сказать: выжималка хорошая, жмых сухой (несколько раз проверял сжатием в кулаке - просто вылезает кашицей сквозь пальцы). Непромолотые куски довольно редки, причём обычно отлетает уже кусок шкурки - главное по инструкции, плавно проталкивать фрукты, а не давить за секунду со всей силой. Хороший сепаратор пены, пропускает вполне разумные её количества. Моется нормально, почти полностью вычищается от жмыха лопаткой на щётке, ничего не подтекает и не вылетает куда не должно.</t>
  </si>
  <si>
    <t>Брал другу! Зверёк нормальный! Из минусов:плохо ловит спутники, OVGA экран, а так шустрый.</t>
  </si>
  <si>
    <t>Начнем с приятного - про мощность написано всё верно, в особенности это касается работы с турбощеткой. Прорезиненный коврик в прихожей поднимает на раз. Та же турбощетка отлично убирает волосы, нитки и т.п. с ковра.   Моет хорошо, сейчас (зимой, с включенным отоплением) через пол-часа уже можно спокойно ходить по ковру, не опасаясь намокнуть. По поводу чистоты мойки тоже только положительные эмоции (бесследно исчезли пятна от граната - сынишка постарался. Исчезли не с первого раза, но тем не более - всякие "ручные" средства наотрез отказывались справляться с ними.)  На счет того, что собирает больше грязи...ну, по крайней мере - не меньше, это точно. Просто с аквафильтром наличие грязи гораздо нагляднее. И все же - визуально после обычной (не-влажной) уборки Zelmer-ом ковер чище, чем после "обычного" пылесоса (марку не буду озвучивать, чтобы не устраивать антирекламу - ничего не имею против модели своего "обычного" пылесоса).  Разбирается и моется легко, в отличие от томаса (у тех действительно крышки хлипкие, опробовано в магазине :)  ), никаких неудобств по его обслуживанию после уборки мы не ощутили.    Минусы:  1. Через 3 недели после покупки "рухнул" стопор телескопической трубки. Пока не имею возможности добраться до сервиса, но благо, что трубка зафиксировалась в разложенном состоянии, так что это не мешает.  2. Моющая насадка с большим трудом снимается с этой телескопической трубки - у жены сил не хватает, у меня тоже получается снять где-то за минуту-полторы. (нет, это не мы "забиваем" ее внутрь кувалдой - она загоняется самостоятельно в процессе мойки и сбора жидкости).  3. Турбо-щетка, конечно, штука мощная, но вот очищать ее потом от намотанных волос/ниток и т.п. однако, проблематично.    Вроде бы и все. Да - про воздух :) Ничего не замечено, что до уборки, что после - одинаково, не чище и не грязнее. Да и в конце концов - не из воздуха же мы пыль убираем, а в ковре она или в пылесосе - все равно дышать не мешает. И то, что пыль из ковра задерживается в пылесосе, а не летит через него наружу - только в плюс ему :).  В целом, плюсы пылесоса (мощность, простота и надежность, т.е. "крепкость") с лихвой покрывают его минусы (неприятность с телескопкой думаю, можно отнести к недостатку конкретного экземпляра).  Верить или нет - Ваше право.  Dixi.</t>
  </si>
  <si>
    <t>2127</t>
  </si>
  <si>
    <t>лучший телефон, который у меня когда либо был... великолепный звук, дизайн и качество</t>
  </si>
  <si>
    <t>Очень понравилось!!!Хорошая штука,всем рекомендую!сделали покупку через интернет магазин,привезли вчера и сразу сделали плов по рецепту из прилагающейся книжки!вкуснее плова не ели!А главное быстро,легко и полезно!!!:)))</t>
  </si>
  <si>
    <t>пользуюсь уже довольно долго, постоянно в ходу. Вафли сделать руки до сих пор так и не дошли, и правильно кто-то тут сказал, что нужно найти хороший рецепт, потому как и на самых крутых тостерах эти вафли могут не получиться. Подогреваю чаще всего сэндвичи и самодельную шаурму. Все что ожидала - происходит :))) колбаска горячая, сыр плавится, хлеб поджаривается. Радует то, что насадок сменных несколько, всё таки надеюсь приноровиться и делать вафли. Из минусов - из-за постоянного использования (у нас семья большая) отходит желтая краска на ручке и выглядит это не очень красиво. Вообще штука в хозяйстве нужная и приятная - Пришли на чай гости - быстрые сендвичи сделал и все довольны и сыты.</t>
  </si>
  <si>
    <t>просто супер стирает отлично не шумно просто супер.</t>
  </si>
  <si>
    <t>Удобна в использовании,количество выжатого сока очень большое,не забивается фильтр,пользуюсь и радуюсь жизни.</t>
  </si>
  <si>
    <t>Купил вчера, ТВ в квартире не ловит совсем. Радио нормально.  Закачал фильм, а не просматривает, зависает...  Это мой первый плеер, и не смотря на минусы мне нравится.</t>
  </si>
  <si>
    <t>Точно такая же ситуация. сломался ровно через год, как раз гарантия закончилась. заискрился и потух мотор. пользовались и ухаживали нормально... больше такой не возьму, хотя управление удобное на ручке.</t>
  </si>
  <si>
    <t>Надежная, приемлимая цена, очень стильная, хорошее управление</t>
  </si>
  <si>
    <t>2330</t>
  </si>
  <si>
    <t>Согласен с сообщением выше. Процессор слабоват,но видео карта, вроде как работает за процессор, когда его мощности не хватает!   + Установленную систему х64 надо срочно менять на х32!</t>
  </si>
  <si>
    <t>Шикарный аппарат! Бисквит получился идеальный! Работает на максимальной скорости очень и очень тихо, мягко! Сплошное наслаждение! Чаша глубокая, вместительная, моется легко. Насадки из хорошего материала. Рекомендую всем иметь такую подружку на кухне!</t>
  </si>
  <si>
    <t>Мощный, удобный. В комплекте куча насадок, пользуюсь только большой щеткой для конечно укладки после сушки. Отлично выпрямляет волосы, подвивает кончики. После использования волосы блестящие и ухоженные. Очень нравится. Без него уже не представляю своего утра. Рекомендую.</t>
  </si>
  <si>
    <t>Купила данную красоту для родителей. Восторгу не было предела! Уже 1,5 года исправна, перегорела недавно лампа - папа все сам поменял по инструкции и все работает дальше. Тихая, красивая, современная, украшение кухни. Пользуемся только 1-2 скоростью -бесшумно совершенно. Шиндо - молодцы!</t>
  </si>
  <si>
    <t>Нашему чайнику уже 7 лет!!! Работает отлично. Запаха нет. Единственное стала крышка плохо закрываться...Но за столько лет это нормально! 5+ ставлю)</t>
  </si>
  <si>
    <t>Купила месяц назад. Один день "порадовалась"... и прокляла все на свете. Пылесос просто не "сосет", простите. Проще ковер щеткой чистить вручную, чем этим пылесосом.</t>
  </si>
  <si>
    <t>Классный миксмер. Подставка - удобная и практичная, благодаря ей взбивание отнимает минимум сил и времени. При необходимости миксер можно снять с подставки,  ручка очень удобная, к тому же он необычно легкий, держать очень удобно. Венчики замечательные, форма необычная. Взбивает все очень быстро, хорошо замешивает тесто, без всяких проблем, мощности хватает с головой даже для довольно крутого теста. Сборка европейская, а еще можно мыть насадки, чашу и подставку в посудомоечной машине. Так что миксер суперский, стоит своих денег.</t>
  </si>
  <si>
    <t>Купили месяц назад взамен старушки ARDO(проработала 9 лет и сломался подшипник). Долго выбирали и думали, что купить. Выбор пал на BOSCH. Купили модель 20162(производства Германии). За месяц работы никаких нареканий и претензий к работе данного агрегата.Действительно, довольно тихая(особенно в сравнении с ARDO). Стирает на 5 с плюсом. Программа короткой стирки действительно короткие и соответствуют заявленному времени(специально с секундомером не стоял, но программы реально и быстро стирают). Купил и не жалею о выборе.</t>
  </si>
  <si>
    <t>1773</t>
  </si>
  <si>
    <t>Был куплен осенью 2009 г. После каждого использования надо мыть и фильтр и контейнер, тогда потери мощности всасывания при следующей уборке не будет) фильтр просушивался на батарее. Движок ни разу не промывали (теперь понятно, что зря). Никаких расходных материалов, даже не стоит сравнивать с мешковыми пылесосами. Цена доступная, надеюсь, и впредь не вырастет))) весной 2014 пылесос заискрил и сгорел) думаю, своё он и так отработал. Этот пылесос не моющий, так что старайтесь, чтобы вода в него не попадала (смотрите внимательно, чтобы на полу ничего разлито не было), а если и попадёт - то выключайте и просушивайте. В целом пылесос хороший, пойду покупать такой же взамен сгоревшему)</t>
  </si>
  <si>
    <t>Полезна будет тем кто заготавливает фрукты, овощи. Но не только. Можно сушить, хлеб, мясо, рыбу и т.д. Один недостаток, очень долго от 3 до 6 часов. Но Сушит хорошо.  Есть возможность ставить поднос или выше или ниже. Просо и удобно. Уже год пользуемся - теща в восторге.</t>
  </si>
  <si>
    <t>Не соглашусь с Татьяной. У меня очень длинные волосы. Пользуюсь больше года - нарадоваться не могу! Просто замечательный фен - соотношение цена:качество. Единственное, когда на всю мощность врубаешь горячий воздух, чтобы за 5-7 мин чуть подсушить волосы,если срочно бежать надо, он автоматически выключается от перегрева (это было 2 раза за все время эксплуатации). НО! Выдергиваешь из розетки, ждешь минуту и он снова работает! Я довольна!</t>
  </si>
  <si>
    <t>У меня неплотно прилегает матрица к корпусу и если шатнуть телевизор, то видно как матрица болтается.</t>
  </si>
  <si>
    <t>Поверхность на самом деле потрясающая! Готовит быстро, выключаешь и на остаточном тепле еще долго время готовится, что позволяет значительно экономить электроэнергию. С отзывом Игоря из Новосибирска совершенно не согласен. По-началу начал замечать, как-будто стирается черное матовое покрытие панели, но это оказалось загрязнением от соприкосновения с металлической посудой, и достаточно было содой почистить или специальным средством для чистки таких панелей и снова как новая!!! Покупкой доволен.</t>
  </si>
  <si>
    <t>Очень довольна этим блендером. Купила его для приготовления пюре своему сыну. Блендер отлично справляется со своей работой, а сын доволен пюрехами!))</t>
  </si>
  <si>
    <t>Данная модель увлажнителя только в Европе продаeтся под брендом Electrolux. На самом деле это увлажнитель производства Boneco/Air-o-swiss 7144. Соответсвенно фильтры нужно искать именно от Boneco/Air-o-swiss.</t>
  </si>
  <si>
    <t>Это мой первый опыт с термопотом, поэтому сравнивать не с чем, но есть впечатления от самой концепции термопота, как альтернативы обычному чайнику.  Что удобно: всегда горячая вода, не надо наливать, кипятить, ждать.   Что неудобно: 5 литров этот термопот кипятит по паспорту 50 минут :) Так что в случае, если нужно горячего и быстро, то придётся расчехлить классику.  Во время заказа и колебался какой литраж выбрать - 3 или 5 литров. Там вот, надо брать 5 - нам на семью из 4 человек этого еле-еле на день хватает.  Пожалуй, единственный минус этой конкретной модели - скромные возможности настройки. В частности, отложенный подогрев может быть только на 7 часов и всё. Хотелось бы, конечно, выбирать время более гибко.</t>
  </si>
  <si>
    <t>Купили вчера этот парогенератор, я была поражена - он действительно отпаривает без излишних усилий.Перегладила постельное белье на радостях. Посмотрим что дальше будет :)   А турбо-пара там действительно нет, т.к это самая мощная модель...насчет ручки не помню.</t>
  </si>
  <si>
    <t>2055</t>
  </si>
  <si>
    <t>Хорошо работает сразу после установки жалоб нет. За такую цену вполне достойно, 2 года без проблем.</t>
  </si>
  <si>
    <t>2530</t>
  </si>
  <si>
    <t>Надо же... Вот ведь действительно - сколько людей, столько и мнений, да и волос у всех разный! У меня есть старющая модель такой фен-щетки (2003 года) и я ей пользовалась всегда с удовольствием, а этим летом купила новую модель HP8651/00 и я ей очень довольна! В наборе много насадок не представленных на фото сайта, да и в магазине на витрине только одна насадка надета, о том, что их там 5, я узнала только дома. Насадки отличные, жаль нельзя фото прикрепить, локоны, волны делают прямо на ура, объем придает, есть еще утюжок</t>
  </si>
  <si>
    <t>Купила эту машинку месяц назад, очень долго выбирала, хорошее соотношение цены и качества.  Есть все программы стирки,можно менять вручную обороты,легкая глажка,эко режим, 30 мин программа для освежения слабозагрязненных вещей. Даже с небольшой загрузкой белья я не заметила что она очень уж шумит или прыгает при отжиме.(у меня машинка стоит в ванной), еще немаловажно электронное табло, всегда можно посмотреть время стирки, сколько осталось.. или выставить отсроченную стирку на 24 часа максимум. Поломок пока не было.</t>
  </si>
  <si>
    <t>1679</t>
  </si>
  <si>
    <t>Всем ПРИВЕТИК ))) Эта фритюрница- супер ! просто СКАЗОЧНОЕ ИЗОБРЕТЕНИЕ ! Если бы не приготовила в ней сама картофель фри, никогда бы не поверила,что можно вообще на чём-либо готовить вообще без добавления масла. Говорю Вам честно! Положила картофель, приправила солью и перцем, выставила таймер на 20 мин.и всё ! вычитала, что масло добавляется по_желанию, но необходимости в этом нет. Я так и сделала,картофель получился великолепным и вкусным! Как показали нам на картинке, так в ней можно готовить и мясо и рыбу, а так-же и десертные блюда (рецепты прилагаются)но я ещё не пробовала, так как приобрела её только сегодня. Хочу поделиться своим восторгом и радостью с теми, кто ещё находится в раздумьях: брать? или не брать? не сомневайтесь! Обычная фритюрница- это не один литр масла, и вкус отвратительный, всё пропитано-жирное. А здесь- не знаю, как её хорошую назвать?!, но это не фритюрница, а чудо печь ))))) Берите, убедитесь сами!</t>
  </si>
  <si>
    <t>меньше чем за год работы треснуло стекло, чайник стал сильно течь</t>
  </si>
  <si>
    <t>1355</t>
  </si>
  <si>
    <t>Простенький, легкий, бюджетный, работает и от обычной сети и от прикуривателя. Хорошо ловит программы. Меню русифицировано.</t>
  </si>
  <si>
    <t>Тайгер, на Acer AS 8943G-728G1.28TWi пишущий Blu-Ray привод, новая модель тачпада и отсутствует подсветка клавиатуры.  Ну и дизайн, конечно, другой.</t>
  </si>
  <si>
    <t>519</t>
  </si>
  <si>
    <t>У меня с двд-ромом все хорошо,не свисает и не бъется. При загрузке жжуит,будто там диск есть. Думаю это норм.    Только вот возник вопрос,указано что диск 320 Гб,у меня разделен на два и показывает каждый по 140 ГБ. Где остальные 60ГБ ?</t>
  </si>
  <si>
    <t>люди, о чем спор, вообще непонятно! замечательная машина!  у кого проблемы с хр на ней и с видеоредакторами - выпрямляйте руки!!!! на машине стоит семерка и с ней никаких проблем нет вообще! моему ноуту уже 8 месяцев и за это время ни разу с ОС не было никаких проблем! шустрая и стабильная! никаких даже синих экранов нет!  учитесь пользоваться ноутбуками,если у вас все плохо!  да.нет веб камеры. НО! сейчас огромный выбор этой вещи. можно купить замечательную с отличным качеством отдельную вебку.  маловато юсб. да.это минус. но их все равно хватает для работы!    про то,что машина слабая...  не знаю, какие кто требования выставляет к "сильным " машинам, но на этом ноутбуке замечательно игрут почти все современные игры, включая Мафия 2,  battlefield bad company .    ноутбук - это не сверхмашина, а компактное устройство, которое обладает огромным потенциалом.    встроенный антивирь не очень. да.     но эти проблемы легко решаются! и никак не влияют на качество самого ноутбука!    цена - отличная!  качество - замечательное!</t>
  </si>
  <si>
    <t>Соковыжималка отлично гонит сок. не ожидала такого результата, когда ее покупала. Она напоминает соковыжималки, которые делались в СССР, по скорости приготовления сока. С ее помощью реально на зиму запастись соком! Мыть ее быстро и легко. Жмых сухой. Единственный недостаток заключался в том, что когда мы принесли соковыжималку из магазина и открыли коробку, не нашли в комплекте кувшина под сок. Пришлось на следующий день ехать в магазин и менять на новую. Но это недостаток не фирмы-изготовителя, а магазина-продавца \&amp;quot;М-Видео\&amp;quot;, так как было понятно, что стакан под сок просто кто-то вытащил из коробки.</t>
  </si>
  <si>
    <t>2410</t>
  </si>
  <si>
    <t>Отличная игра, графика технологически устарела на момент выхода, но все равно игра получилась очень хорошей. Интересная сюжетная линия, мрачная и пугающая атмосфера, игра света и тени сделана просто шикарно. Движок очень напоминает Макс Пейн, просто отшлифовали его как следует... А еще в игре нужно собрать 500 термосов, удачи!</t>
  </si>
  <si>
    <t>1471</t>
  </si>
  <si>
    <t>Купил себе эту машинку!)  Отличная штука,все устраивает,все супер!!!Всем советую!!!</t>
  </si>
  <si>
    <t>2751</t>
  </si>
  <si>
    <t>В отличие от других подобных имеется зашита от включения без воды, автоматическое выключение при закипании.</t>
  </si>
  <si>
    <t>Стильный,хорошо смотрится</t>
  </si>
  <si>
    <t>Чайник отличный! Очень симпатичный, работает без нареканий, не пахнет "пластмассой", как многие другие чайники.</t>
  </si>
  <si>
    <t>Нормальные наушники. Качественно сделаны. Достаточно громкие. Удобны для моих ушей. Но басов не хватает (в сравнении например с родными от SonyEricsson W580i). Слушаю Samsung YP-U2.</t>
  </si>
  <si>
    <t>Мощность, камера, аккамулятор!</t>
  </si>
  <si>
    <t>Ноутбук Samsung NP-R519-XA02RU выглядит дороже чем стоит благодаря классическому дизайну, широкоэкранному 15,6" (он заметно шире чем другие бюджетные ноутбуки) и магнитному держателю. Начинка достойная - по цене селерона - пентиум дуал кор, 2 Гб памяти достаточно. Предустановленная Vista работает довольно быстро, офиса и антивируса - на 60 дней от Samsung. Wi-Fi работает и подключается.  Небольшой недостаток, возможно конкретного образца, дребезжащая клавиатура.  В общем за 16 990 - идеальный ноутбук.</t>
  </si>
  <si>
    <t>Купила для сына пяти лет, играем вместе с удовольствием! Отличная яркая графика, разнообразные уровни и возможность игры вдвоем очень порадовала. И еще, что для ребенка немаловажно, игра полностью русифицирована, периодически сопровождается короткими мультиками, чтобы ближе познакомиться с героями.</t>
  </si>
  <si>
    <t>Насадки опробовали, не стоит их использовать, шинковали капусту отверстие забивается, все разлетается в разные стороны, томаты вообще не берет, ножи тупые, как мясорубку попробовать использовать даже желания никакого нет. Лучше не брать.</t>
  </si>
  <si>
    <t>Очень хороший выпрямитель для волос. Быстро нагревается. Отлично выпрямляет даже непослушные жесткие волосы, не сушит, не сжигает. Но медленно остывает и не заметно действие ионизации.</t>
  </si>
  <si>
    <t>Шью активно на ней год. Шьет любые ткани и тонкие и толстые. Когда очень долго шьешь,  есть  незначительный запах смазки. Не капризничает, очень покладистая. Единственное неудобство, шить нитками в больших бобинах, не устойчивый ниткодержатель и бобина цепляется за шпульку  при намотке на неё нитки.</t>
  </si>
  <si>
    <t>отвратительная панель. Конфорки вырубаются. 5 лет эксплуатации - работает 1 конфорка и добавочные зоны на 2-х других. Покрытие стирается и царапается (писал производителю и изготовителю чистящего средства, изготовитель средства прислал сертификат качества, а фирма Electrolux послала).</t>
  </si>
  <si>
    <t>У меня эта машинка замечательно моет кастрюли из нержавейки, а из комнаты за стенкой я ее вообще не слышу.    Единственный недостаток узкой машинки, противень из духовки не влазит, единственное, что моем сейчас вручную.    И кстати, совершенно не напрягает предварительно замочить пересохшую кастрюлю в горячей воде на полчаса :) Слили в унитаз и в машинку.    Перепробовал кучу моющих средств для нее, идеально подходит FORSAGE 10 функций.</t>
  </si>
  <si>
    <t>Пользуюсь ею 2 года! Моя помощница. За это время у меня ни на что не было жалоб- все просто отлично! Хлеб пеку, тортики- все нежнейшее! Про тушение- включил и забыл... ушел по делам- пришел- все готово! Каша молочная очень вкусная, главное ничего не пригорает! Берите- не пожалеете!</t>
  </si>
  <si>
    <t>у меня эти ушки больше года...  Басс отличный,удобные,закрытые.</t>
  </si>
  <si>
    <t>Ни подровнять, ни уменьшить длину волос, насадки отвратные, плохой!!!</t>
  </si>
  <si>
    <t>сломались весы через месяц. до этого вроде все показывали правильно, хотя не уверена - не проверяла.   потом просто перестали работать. батарейки новые.   к сожалению выкинула коробку и гарантийку, поэтому остается просто их выкинуть.</t>
  </si>
  <si>
    <t>Купила лет 5 назад. Очень довольна. Дополнительно покупала нож для нарезания картофеля фри, но год назад сломался. Нигде в продаже нет. Очень удобно 2 минуты и картофель готов для жарки.</t>
  </si>
  <si>
    <t>Купил, пока все нравится ...,да че говорить, просто офигенный ноут!</t>
  </si>
  <si>
    <t>Купила этот блендер неделю назад. Вареные мясо и фасоль превратил в пыль, бабушка осталась довольна! Очень классная модель, ножи острые(даже порезала палец, когда их мыла!), все разбирается, удобно мыть, красивый дизайн, легкий, занимает мало места на кухне. Рекомендую всем!</t>
  </si>
  <si>
    <t>1433</t>
  </si>
  <si>
    <t>Купил пол года назад. Не жалуюсь, ноут действительно супер, пиво пролил все-равно работает. Не греется как другие ноуты. Сенсорка все отлично работает. Покупайте, не пожалеете.</t>
  </si>
  <si>
    <t>Использовал около 6 мес. Работал неплохо. Сглаживает всплески и просадки напряжения при басе и работе стартера. Особенно в варианте установки параллельно 4х штук. Но спустя некоторое время возникла такая проблема. Высасывало АКБ за 4-5 суток стоянки почти полностью. Стал искать причину. Замеры у авто электрика показали большую утечку тока в конденсаторе. Пришлось удалить его, а жаль.</t>
  </si>
  <si>
    <t>2004</t>
  </si>
  <si>
    <t>никогда не покупайте это чудище, купите 5800 ,там и камера лучше и вайфай есть да и вообще 5800 это телефон конкурентно способный, но 5230 - безполезное изобретение от nokia.</t>
  </si>
  <si>
    <t>1) Хороший чайник - понравился дизайн, выглядит дорого - за счет отсутствия дешевого пластика. Вода закипает быстро. Из самых важных плюсов для меня - практически полное отсутствие накипи.  2) Глобальных минусов не заметила, но есть иногда небольшое "заедание" крышки - т.е. просто нажав на кнопку она не открывается - приходится помогать рукой - но не думаю, что это критично.  3) Пользуюсь с 2015 года - все отлично.</t>
  </si>
  <si>
    <t>Отличная стиральная машинка. Купили 5 мес. назад, никаких замечаний нет вообще! Стирает негромко, с установкой проблем не возникало, вещи отстирывает и прополаскивает,очень тщательно! Имеется очень удобный эконом режим, при правильной, небольшой загрузке вещей, отстирывает всё в разы быстрее и замечательно прополаскивает!Машинка просто чудо,нарадоваться не можем.</t>
  </si>
  <si>
    <t>Данную модель приобрели примерно в 2012 году. Все это время чайник прослужил верой и правдой. Эксплуатировался интенсивно в течение всего дня. Никаких поломок не было, работал без нареканий. Огромный плюс - отсутствие мерной шкалы (предыдущие чайники со временем начинали протекать). В настоящее время (2015) порвался фильтр. Покупаем точно такую же модель.</t>
  </si>
  <si>
    <t>2543</t>
  </si>
  <si>
    <t>Стоит подождать 3 месяца и купить следующую модель аителефона, который будет намного круче этого, вышедшего почти год назад, решать ВАМ! :)</t>
  </si>
  <si>
    <t>2413</t>
  </si>
  <si>
    <t>Как и ниже отписавшаяся Танечка, я тоже из Оренбурга и купил этот ноутбук 4 дня назад по акции за 20 тысяч рублей. Для такой цены начинка и дизайн очень хороши. Вот только бы видеокарту помощнее (оптимально было бы уровня 46**). Из интерфейсов присутствует все что душе угодно, кроме WiMax, который в нашем городе не скоро-то и понадобится.    В минусам отнес бы то, что предустановлена 32-разрядная версия Windows 7 HB, которая не видит все 4 Гб оперативной памяти. Снес HB и поставил Ultimate x64. Еще корпус маркий, в комплекте идет специальная тряпочка для устранения отпечатков.    Сумки у данной модели действительно нет.    Вопрос: у HP можно попросить выслать диск с Windows 7 HB, а то планирую снести раздел восстановления на винте, чтобы освободить 15 Гб?</t>
  </si>
  <si>
    <t>Купил сегодня, сразу тест провел с полной нагрузкой.Сперва морковь, после яблоки. Выход сока хороший, жмых сухой. Остался доволен :) Цена/качество соответствуют.Рекомендую!!!</t>
  </si>
  <si>
    <t>Зря вы его ругаете, итак, он у меня полгода, плюсов океан, камера супер, дизайн супер, памяти море, и не сильно ест батарею, если лазать в нем днями то нужно зарядить через 4 дня(если ваще весь день сидеть за ним), если не трогать его вообще  может недельки 2 без зарядки.  Мне понравился эквалайзер "мегабасс", классная функция, если слушать в наушниках.  НО есть минусы  телефон не успевает за мной, я на столько быстро открываю папки, что он начинает тормозить и не успевать за мной.</t>
  </si>
  <si>
    <t>Выбирал для просмотра по HDMI HD фильмов. Выбор был между плазмой или ЖК. Плазма к сожалению отпала сразу в виде минусов серого экрана днём, дрожания пикселов на статичных (медленных) картинках, потеря яркости при полной заливке экрана белым (становится серым). Поэтому остался выбор среди ЖК (LED подсветка пока дорогая штука). По данному телевизору:  +большой экран (по сравнению с 42)  +небольшая цена за такой аппарат  +весит меньше плазмы  -в черных сценах черный цвет серый (можно смотреть не в темной комнате, тогда незаметно)  Очень хорошо показывает Pixar мультики, восторг от просмотра обеспечен (в fullHD качестве).  Эфир показывает хорошо, на проволочку поймал 5 каналов эфирного вещания, кабель не подключал.    В целом отличный аппарат за такую цену, кому нужен именно "монитор" с большой диагональю и не нужны навороты в виде плеера, 200 гц и т.п.</t>
  </si>
  <si>
    <t>Легкая в управлении, приятной наружности микроволновка. Купила четыре месяца назад, постоянно на завтрак всей семьей кушаем горячие бутерброды, иногда готовлю в ней пиццу или овощи. Но чаще просто для разогрева блюд используем. Еда теплая и вкусная.</t>
  </si>
  <si>
    <t>Брал 3 года назад. Всё нравится, хотя и российское производство. Легкая, качественная. Сегодня возьму такую же, старую всю изгадил, исцарапал. От добра добра ...</t>
  </si>
  <si>
    <t>Так мечтала сделать себе подарок, в итоге получила коробку с мусором, котрый будет выкинут на помойку, вообще не справляется с тем что нужно, на пяточках при легком прикосновении прибор останавливается, с кутикулой вообще не справляется, очень слабый, маломощный. И обмену этот товар не подлежит.</t>
  </si>
  <si>
    <t>поставили в комнату 24 м кв с учетом охлаждения и кухни 18 м кв. Трасса идет от внутреннего блока в комнате, на кухню и стену кухни во внешний блок, трасса 3 метра с петлей, ставил сосед с компрессором и манометром. Внешний блок работает не громко, трасса жужжит, на кухне немного слышно, в комнате внешнего блока и трассы не слышно. Удобно, что переключение режимов без выключения кондиционера. Пульт удобный, не похож на большинство пультов от не дорогих кондеев. Класс энерго эффективности А. В комнате и без режима турбо как в холодильнике через 7 минут. Температуру вроде врет, ставим 24, а выдает типа 20. Не удобно отсутствие дисплея с температурой. Блок внутренний крупный, фильтр HD думал, что будет как то по серьезней, оказалась сетка от мух, мелкая. под фильтр HD есть возможность еще чего то засунуть, предусмотрены специальные места видимо еще под фильтры, которых в комплекте нет. Нормальный кондей есть режим "умный эконом", режим сна(делит сон на три этапа)4++</t>
  </si>
  <si>
    <t>1950</t>
  </si>
  <si>
    <t>Когда возник вопрос приобретения нового тостера (третьего по счету), на покупке решили не экономить. Достойным вариантом посчитали Bork T800, пользуемся почти два года, равномерно прожаривает, никаких горелых корочек. А когда сестра позвала на день рождения, в подарке даже не сомневался!</t>
  </si>
  <si>
    <t>1781</t>
  </si>
  <si>
    <t>я купил этот ноут 2 недели назад он был немного поцарапан у него заедал мягкий знак игры на нём шли с трудом или просто застывали я здал его мне принесли другой я включил систему за 10 минут прям в магазине принёс домой теперь я немучаюсь с мягким знаком ну игра которая раньше не шла счас играет но я ещё и другие которые нешли попробую и этот    непоцарапан да нагревается реально очень сильно поэтому если нехотоите чтобы вздулась клавиатура ставьте параметры поменьше       вывод такой с любым дефектом обращайтесь в течении 2ух недель рекомендую  и ставьте параметры для игр поменьше во избежании новых дефектов</t>
  </si>
  <si>
    <t>261</t>
  </si>
  <si>
    <t>С телевизорами такого формата мне приходилось иметь дело не раз. Во-первых, брат выбирал одно время и я помогал ему, поэтому видел не мало вариантов. Во-вторых, у меня друг работает в магазине, где продают различную технику и телевизоры в том числе. Так что я был прекрасно осведомлен, о чем могут умолчать, что могут проигнорировать, а что действительно стоит покупки. Поэтому в своем выборе я был уверен, я знал, что панасоник делают отличную плазму, и что десятая серия вся хороша. Я говорю именно «знал», потому что уже два месяца наслаждаюсь этой моделью и ничего еще не попало под сомнение. Замечательно, ставлю все баллы.</t>
  </si>
  <si>
    <t>За такие деньги глупо надеяться на ууух тыыы вау!. Печь как печь, ставлю 4, розжиг с кнопки можно было бы и добавить, не такая уж и дорогая эта приблуда</t>
  </si>
  <si>
    <t>Машинка у меня уже месяц. Просто замечательная. Всем рекомендую! Управление простейшее, в настроенных программах все меняется по вкусу. Индикация времени стирки-точная, белье чистейшее (независимо от порошка!). Никаких прыжков и лишних шумов. Отключился свет во время стирки-она "помнит", на чем остановилась. Надо слить аварийно воду-без проблем! Порошок из отсека выполаскивается. От объема я в восторге-влезает ВСЕ!    Обожаю М-ВИДЕО!!! Вся моя техника отсюда и это не реклама-я и лично вам это скажу.</t>
  </si>
  <si>
    <t>Купили данный фильтр, уже не первый раз ставили на стиральную машину, два фильтра сгорели, безобразие исполнение данных приборов</t>
  </si>
  <si>
    <t>Купил такой 15 ноября. Все в восторге. Аналоговый сигнал воспроизводит шикарно, а фильмы с флэшки 720i, 1080i - СУПЕР. Разница по качеству изображения в сравнении с ЖК-телевизорами бросается в глаза в пользу плазмы. Глаза при просмотре телевизора просто отдыхают. Повесил его на кронштейне на стену - смотрю, как на картину.   Дома маленькие дети и уже игрушки и мячик пару раз в экран влетели - ни царапины.  На выходных работает практически весь день - греется немного в верхней части. Не шумит. В управлении очень удобен. Потребляет мало энергии, благодаря режимам энергосбережения и встроенному датчику освещенности.   Кто нацелился на плазму - рекомендую!!!</t>
  </si>
  <si>
    <t>Помню еще на старом пентиуме 4 играл в неё. Стоит ,чтобы купить в свою домашнюю коллекцию. Первая и вторая ГТА-примитивны, играешь как в 8-битные игры. Но начиная с третьей части (этой) все изменилось коренным образом. Мы обладаем 3д миром, можно выполнять разные мысли ГТА 3-это вообще прорыв для серии. Теперь главный герой может «угонять» машины, эмоционально выкидывая  водителей  из их машин. Небольшим недостатком было отсутствие карты –но и к этому легко привыкнуть, если есть хоть какая то память Очень качественная локализация –переведены  названия  улиц,магазинов и прочее  В общем играем все</t>
  </si>
  <si>
    <t>Отличная вещь,эксплуатирую уже год,без всяких нареканий</t>
  </si>
  <si>
    <t>Хорошая микроволновка, меню не такое уж и сложное как писали ранее в отзывах, прикольный дизайн, цена маленькая-что еще надо!</t>
  </si>
  <si>
    <t>Хороший звук для такой цены.  Из минусов только отсутствие регулятора громкости на проводе и совершенно не держит регулятор по объему головы.</t>
  </si>
  <si>
    <t>Для меня основной недостаток это отсутствие нагрева сверху! Всю выпечку нужно переворачивать (крайне неудобно), иначе верх остается непропеченным. А в остальном устраивает всё :)</t>
  </si>
  <si>
    <t>к сожалению в магазине при покупке не обратил внимание, что кофеварка сильно пахнет пластиком    дома при вскрытии это сразу это ощутил, почувствовал этот запах от кофе, который выдает этот аппарат, прогнал несколько литров воды в режиме приготовления кофе - запах остался    в общем промучившись несколько дней я забросил эту кофеварку на пыльную полку  не думаю, что техника,которая контактирует с пищевыми продуктами должна пахнуть химикатами и тем более делиться этим запахом с продуктами    покупать эту кофеварку не рекомендую</t>
  </si>
  <si>
    <t>Брал в Сочи со скидкой в nissan patrol играет классно. сделан качественно.</t>
  </si>
  <si>
    <t>Нормальный ноут, покупал ещё в январе 2010 г.) за 25 косарей)  Минусы,греется сильно допустим в играх), а так ноут довольно мощный, прошёл на нём Гташку 4,джус кауст новый, ща буду пробовать Мафию 2:D,ну собственно для игр ноут брать это есть жестоко:D, ибо дешевле и надёжней взять пк)или тот же xbox-360) а для работы в самый раз;)</t>
  </si>
  <si>
    <t>Хороший комп, правда пришлось со старого некоторые детали вставить.</t>
  </si>
  <si>
    <t>Приобрел Стир. машина  Candy COS 105F-07S в сети М Видео по акции всего за 9900 рублей!!!!! Цена без скидки сейчас составляет 14990 рублей!!! Я сэкономил 5000 рублей!!!! Машинка отличная, у моей всей родни тока Candy...раньше у меня тоже  была Candy, подарил брату.Когда стал вопрос, что брать даже не задумывался тока Candy. Собирают в России, нигде нибудь в Китае ,итальянская разработка, это уже о многом говорит. В машинке все продумано, и работает, как часы.</t>
  </si>
  <si>
    <t>Тихая, компактная, отлично моет, ну и лучший производитель посудомоек)))</t>
  </si>
  <si>
    <t>1205</t>
  </si>
  <si>
    <t>купила вот 2 дня назад этот ноут.)  в общем довольна.  красивый внешне, внутри все солидно  соображает быстро.  но есть одно - у меня тоже на следующий день отказался работать тачпад. и верхняя панель сенсорная тоже.  придется нести в ремонт.((</t>
  </si>
  <si>
    <t>Замечательный, высококачественный фоторюкзак. Использую уже более полугода, только положительные впечатления. При своих габаритах - он достаточно легкий (для таких людей как я, которые часто путешествуют - очень существенный плюс). При желании вмещает две цифровые фотокамеры с дополнительными объективами и аксессуарами. Оснащен удобными ремнями и ручками для переноски. Имеется крепление для штатива. Также есть отдельное место для хранения ноутбука. Очень много функциональных кармашков. Продуманы перегородки в самом рюкзаке, которые можно трансформировать под размер любых камер, объективов и вспышек. Хорошо продумана защита дна рюкзака (высокопрочный пластик или резина).  Единственный минус (ИМХО) для такого рюкзака - отсутствие чехла для защиты от непогоды.  Рекомендую людям ведущим активный образ жизни, которым необходимо чтоб всегда все было под рукой!</t>
  </si>
  <si>
    <t>Посудомойкой я довольна, посуда после мойки чистая и сухая, ни остатков пищи, ни разводов на тарелках-ложках-стаканах ни разу не наблюдала.Больной вопрос - отмывает ли пригоревшее дно кастрюль-сковородок-противней? не обольщайтесь, чудес не бывает...не отмоет, но по-моему это завышенное требование к обычной струе воды. Так что не поленитесь предварительно это все отмочить и немножко потереть дно губкой - тогда точно претензий не будет, даже к нагару! Удачного выбора!</t>
  </si>
  <si>
    <t>Купила данную марку утюга, все нравится, устойчивый, защита шнура, работает приятно, хорошо скользит, не течет, маневренный. Но попался некачественный, не работает пульверизатор даже при заполненной до максимальной отметки емкости. Пойду менять и надо проверить на месте, чтобы все работало.</t>
  </si>
  <si>
    <t>Отличный увлажнитель! Если лить воду из под крана - налет. Если дистилляр - ОТЛ ОТЛ ОТЛ! Покупайте, не думайте.</t>
  </si>
  <si>
    <t>994</t>
  </si>
  <si>
    <t>Уже года 4 он у меня работает на износ, воду пью из крана без фильтров и т.д., никаких перечисленных косяков не увидел, из неисправностей только цвет изменился на грязно-коричневый, курю на кухне. А протекать любой чайник начнет, если его без водички включать...</t>
  </si>
  <si>
    <t>Пользуемся вытяжкой уже 1,5 года, очень довольны, есть таймер, что очень удобно, в меру шумная, вытягивает хорошо, есть обратный клапан. В общем советую!</t>
  </si>
  <si>
    <t>Купила эту плойку, опробовала и пришла в ужас! Плойка не нагревалась вообще, а только была теплой - можно было держать рукой! И естественно она не завивала локоны. Пошла в магазин и поменяла на плойку другой фирмы.</t>
  </si>
  <si>
    <t>Телевизор действительно достойный! Купил два месяца назад все полностью устраивает. До этого телевизора был ярым поклонником Sony, но купил этот и ни о чем не желею (соотношение цены и качества).   Если кто знает подскажите, как зайти в сервисное меню и включить опции для воспроизведения AVI,VOB, MKV с флешки.</t>
  </si>
  <si>
    <t>Сильно греется, батарея сидит не плотно, а так все хорошо)</t>
  </si>
  <si>
    <t>Покупкой доволен. Рекомендую.</t>
  </si>
  <si>
    <t>Отличный телефон, стоит такой на работе, собираюсь и домой приобрести. Мягкие клавиши, добротный корпус.</t>
  </si>
  <si>
    <t>Штатив просто шикарный! Устойчивый, удобный. Очень крепкий и надежный. Я им очень довольна. Жаль, что его сняли с производства.</t>
  </si>
  <si>
    <t>Шумит как паровоз, не прошло и года как потек</t>
  </si>
  <si>
    <t>Отличный фильтр! Во время скачка напряжения спас все, что к нему было подключено,в отличии от обычных дешевых фильтров, у которых начинку просто разнесло взрывом,при этом сгорело 2 блока питания от телефонов.</t>
  </si>
  <si>
    <t>237</t>
  </si>
  <si>
    <t>Этот ноутбук очень хорош:дизайн стильный, размер экрана стандартный, особенно очень крута тактовая мощь. Обязательно куплю при первой возможности попадания в Пензу</t>
  </si>
  <si>
    <t>451</t>
  </si>
  <si>
    <t>Отличная модель, windows7  устанавливаешь и не знаешь проблем практически все основные дрова устанавливает сам, только вот с тонкостями типа отображения объема батареи или работы клавы (горячих клавиш) нужно ручками самому скачивать с сайтов и устанавливать.  Огромный плюс в отличии от линейки Acer Aspire то, что вентиляционные отсеки располагаются сбоку, и когда стоит на кровати, то он не перегревается и не отключается автоматически. Машинка стоит того, чтобы за нее такие денежки отдать.</t>
  </si>
  <si>
    <t>Игра увлекательная, интересная и развивающая логику!Графика просто потрясающая,пейзажи джунглей, обстановка в разрушенных городах чумовая! краситища!!!  - с нетерпением жду выхода 3- части!</t>
  </si>
  <si>
    <t>Сушил неплохо, сгорел через 1.5 года. Во время сушки посыпались искры, выбило пробки ((</t>
  </si>
  <si>
    <t>Приобрели душ пару дней назад. Очень не удобно что нет для подключения кабеля с вилкой и шлангов, нужно покупать отдельно. По мне немного коротковат сам душ. Воду греет нормально, комфортная температура даже для мытья ребенка.</t>
  </si>
  <si>
    <t>а вы сами подумайте как можно работать на одной системе без замены тем оформления?  ведь windows 7 домашняя базовая не поддерживает темы (даже от microСоФтА)  а то что нет windows media center  вообще беда. так что кому бук для чего нужен</t>
  </si>
  <si>
    <t>купил недавно этот вентилятор - очень удобный, но слегка шумноват, в целом доволен!</t>
  </si>
  <si>
    <t>Диаметр штуцера подключения не 120, а 100. спасибо за "корректное" описание товара.  Купил и поставил 120 трубу. Очень "благодарен" магазину.</t>
  </si>
  <si>
    <t>Купили вчера этот кондиционер..Охлаждает не очень.И шумит сильно.Так норм</t>
  </si>
  <si>
    <t>Подтвержу. Комп очень хороший, но постоянно в играх вылетает видеодрайвер. Как уже упоминали, скорее всего это из-за перегрева видеокарты. Никто не может посоветовать, что с этим поделать?</t>
  </si>
  <si>
    <t>Очень понравилась! Пользуемся месяц уже! Шумит меньше чем остальные аналогичные модели,которые представлены были в магазине! Готовишь,а буквально в 3 шагах уже запаха пищи не чувствуешь (как раньше на всю квартиру). Рекомендую!</t>
  </si>
  <si>
    <t>Три дня кипятил - отмывал, ничего не помогает, все равно запах такой, что пить воду нельзя!!!</t>
  </si>
  <si>
    <t>Купил и пользуюсь неделю. Для уборки машины оптимальный пылесос. Его фактическая электрическая мощность примерно 100 Вт (в характеристиках я этого не нашел), и ее вполне хватает при уборке небольшой площади. Тем более, что циклонная система позволяет эту мощность использовать максимально эффективно. Адекватный уровень шума. К недостаткам я бы отнес сильно электризующийся материал (возможно сейчас при морозах и сухом воздухе это особенно заметно), и проблематичную очистку контейнера от мусора. Почти невозможно удалить пыль и мусор так, что бы часть не попала в мотор и не вылетела при следующем включении, что бы пыль и волосы не налипли на уплотнители и т.п... Короче, довольно грязная процедура, для которой Вам пригодится жесткая кисточка, и которую лучше делать на улице, а не в гараже... Тем не менее рекомендую этот пылесос тем, кому нужна возможность автономной уборки салона, как оптимальный по цене и реально выполняющий свои функции автомобильный пылесос.</t>
  </si>
  <si>
    <t>966</t>
  </si>
  <si>
    <t>Чайник полностью выполняет свою работу, тихо и быстро, имеет функцию отключения при поднятий (если не надо до конца кипятить, поднял, и чайник отключается сам). Пластик качественный,   не обожжёшься, ситечко плотно прилегает, накипь остаётся внутри. Всё отлично, кроме одного: шкала измерения воды чуть темновата, на мой взгляд не критично, но полбалла всё таки снимаю.</t>
  </si>
  <si>
    <t>2395</t>
  </si>
  <si>
    <t>На ноутбуке или маленьком телевизоре еще посмотреть можно, а если на больших, то уже никак - качество низкое, поэтому картинка ооооочень нечеткая, есть версии из 2х дисков, вот те подходят, так что скупой платит дважды=) а у кого диагональ маленькая берите этот, дф оч хороший</t>
  </si>
  <si>
    <t>2017-05-17</t>
  </si>
  <si>
    <t>возврат денег при невостребованности</t>
  </si>
  <si>
    <t>Хороший чайник за такую цену, главное что он очень тихий и быстро греет воду. Ну и внешний ви д конечно приятный, всегда лучше имень красивую технику, хотя для меня это не самое важное. Еще у чайника ручка не нагревается, так что можно спокойно наливать воду, в отличии от моего прошлого.</t>
  </si>
  <si>
    <t>Волосы рвет как эпилятор...выкинул её.</t>
  </si>
  <si>
    <t>Долго выбирала шкаф. Подкупило 2 зоны готовки и как следствие возможность экономии энергии. Смущало в шкафах Самсунг наличие большого числа отзывов о том, что часы нещадно убегают вперед. К счастью, мне повезло и часы показывают правильное время. Курочка-гриль и в собственном соку получилась вкусной, манник и шарлотка тоже пропеклись. Нелегко отмыть руками пришкваренный жир от корпуса (функцией самоочистки не пользовалась) - трудно на четвереньках лазить и драить вертикальные стенки. Но противни моются легко (хотя они с тем же серым спецпокрытием) - немного смочить сухой пригар водой и все прекрасно отходит. Даже муж повадился курочку гриль готовить - настолько проста в управлении духовка. Одна проблема: никто мыть не хочет. Но это не к Самсунгу претензии, а к нашей лени. Очень полезная функция защиты от детей - годовалый ребенок постоянно тыкает по всем кнопкам. И еще дверца во время готовки снаружи не нагревается. Об одном лишь беспокоюсь - когда готовим малыш пытается открыть духовку (а она не блокируется на открытие) и горячий пар может его обжечь. Поэтому во время готовки приходится его держать на руках. Доставили быстро. Подарочная карта считалась и пробился чек. Предупредили про 2 недели гарантии в магазине, поэтому мы стали активно готовить в эти 2 недели. Подключил шкаф на следующий день местный электрик за пару часов в 4 раза дешевле магазина.</t>
  </si>
  <si>
    <t>Полностью согласен. Такой гадости я не видел. Отвратительная "мясорубка" которая мясо только уничтожает, делая из него пасту. Чтоб перемолоть 1 кг мяса надо примерно минут сорок. Советую ВСЕМ не брать.</t>
  </si>
  <si>
    <t>Полтиннничек, о да!  Как я давно копил на это чудо)  Надоел убогий самсунг старый, шипячий и горячий.  Доволен картинкой, диагональю, сразу как привезли домой подключил комп и свой xbox!  Захлестнули эмоции, это вещь!  Тем более считается ведь бюджетный сегмент телевизоров, а показывает супер.  Мне вот всегда казалось, что не могут телики за почти 40 кусков 50 дюймов! так вещать)    Короче ребятки, супер-пупер! доволен.  Хотите, берите самсунг, а потом меняйте на Панасоник :)</t>
  </si>
  <si>
    <t>Купила себе такую штуковину, до этого не пользовалась, но попробовать один раз пришлось, дак вот по сравнению с другими эпиляторами - этот просто чудо! Почти никакой боли, все видно благодаря подсветке, и волоски маленькие тоже захватывает хорошо, пару раз по одному месту и вуаля) я очень довольна, и подруги попробовавшие говорят, что он лучше чем у них! Поэтому советую всем!</t>
  </si>
  <si>
    <t>Полностью согласен с Игорем. Хорошее сочетание цены и качества</t>
  </si>
  <si>
    <t>Через два месяца эксплуатации покрылось ржавчиной нержавеющее дно, скрывающее нагревательный элемент. Сталкиваюсь с таким впервые. Я в шоке...</t>
  </si>
  <si>
    <t>2016-06-25</t>
  </si>
  <si>
    <t>Почитал отзывы об этих твиттерах, решил купить. Поставил в фальш панель стоек на соляриса и подключил к штатной голове. Что могу сказать, их слышно, но для меня недостаточно, хотелось бы погромче. За эти деньги играют нормально. Думаю играли бы громче, если магнитолу сменить на нормальную.</t>
  </si>
  <si>
    <t>Плюсы: Недорогая, большая загрузка - 7 кг.  Минусы: Объемная, требует ремонта каждые 1 - 1,5 года.  Для бюджетных стиральных машинок - отличный вариант. Но через 1 год вышел из строя подшипник при том, что барабан не разборный - необходим дорогой ремонт. Через 1,5 года сломался тент который мы быстро заменили, и ещё через пару месяцев снова меняли подшипник с барабаном вместе.</t>
  </si>
  <si>
    <t>Отличный монитор!!! Пользуюсь уже месяц, косяков нет!</t>
  </si>
  <si>
    <t>удобен</t>
  </si>
  <si>
    <t>Добрый день!  Подарили мне такую на новоселье в марте 2010. Проблем нет. Очень удобный режим стирка смешанных тканей за 30 мин. Пользуюсь им в 90% случаев. Была проблема только один раз, когда вдруг из люка поперла вода с пеной. Неисправность описана в инструкции. Отверстие куда засыпаете порошок может иногда забиться-эту саму пластмаску куда вы сыпете надо промыть и все ок. Еще на этом режиме в спец.пакете стираем обувь. Также все велл. Хотя официально такой опции не существует. При сбоях с электроэнергией никаких проблем не возникло-в общем если цена устроит рекомендую! Единственное учтите пжл, что 99% аристонов собираются в росии в липецке (соотвественно делаем вывод о качестве продукции), а эта модель вроде как собрана ИМЕННО В ИТАЛИИ. Поэтому я на ней и остановился)</t>
  </si>
  <si>
    <t>Хорошее качество,игры не тормозят, DVD производит очень хорошо + если HDMI графика просто супер!!! Camera + move очень классная штука=)) играю в игру праздник спорта 2 и очень доволен... Я был очень рад этой покупке и всем советую ее купить!!!</t>
  </si>
  <si>
    <t>Моет отлично, тихо, а вот сушит не очень. Но и указан класс сушки "В". Очень удобная вещь. Электролюкс, как всегда, порадовал!</t>
  </si>
  <si>
    <t>2015-06-16</t>
  </si>
  <si>
    <t>Покупал маме на кухню. Хорошее качество сборки. Порадовало, что угольный фильтр был в комплекте, так как мама их использует. Очень аккуратная вытяжка, то что нужно, если вы не гонитесь за супер наворотами. Свою небольшую стоимость отрабатывает на 100%. Рекомендую.</t>
  </si>
  <si>
    <t>274</t>
  </si>
  <si>
    <t>Супер вещь</t>
  </si>
  <si>
    <t>Просто очень интересный фильм о девушке и  о начале её карьеры!</t>
  </si>
  <si>
    <t>За такие деньги 15500 р, самый лучший телевизор. И встроенный медиаплеер, который активируется проще простого(респект Sertikonу (Тольятти)</t>
  </si>
  <si>
    <t>Плеер супер!Купила в качестве подарка на день рождения.Заряд держится долго. Яркий и чёткии дисплей, хорошо просматриваются картинки и видео. Наушники хорошие, чего не скажешь про айподовские. Прекрасное звучание. Есть три игры.Радио работает чисто, без помех. При выключении плеер сохраняет последнее место проигрывания музыки, что очень удобно при прослушивании аудио книг. Большой экран.В общем плеер прекрасный.</t>
  </si>
  <si>
    <t>Пользуюсь 4 года, сушит прекрасно, сбоев не было ни разу (ттт)). Правда не пригодилась вторая насадка (диффузор). Кнопки не западают, в руке лежит удобно. Длина провода также устроила! Рекомендую.</t>
  </si>
  <si>
    <t>Взяли такую недавно за 21990. Готовили один раз пока. Духовка оставляет приятное впечатление. Наличие телескопических направляющих - большой бонус! Не жалею, что переплатили пару тысяч, вместо того, чтоб взять 7330BX. Немного не понятно с функцией акваклин. Если ее запустить, то после окончания невозможно сразу протирать духовку, т.к. все горячее, особенно дно. А если ждать пока остынет, то тогда остатки пищи снова успеют засохнуть.</t>
  </si>
  <si>
    <t>Доска удобная, супер  устойчивая, раскладывается просто!</t>
  </si>
  <si>
    <t>Бак из нержавейки, Наличие 2-х тэнов и удобное разделение мощности</t>
  </si>
  <si>
    <t>2013-12-23</t>
  </si>
  <si>
    <t>Супер тормоз. Конец двадцатого века. Выброшенные деньги. Жаль что нельзя поставить ноль.</t>
  </si>
  <si>
    <t>Во-первых - доступная цена, во-вторых - самая обычная стиральная машинка, которая не уступает в своей мощи никакой другой ;) Если желаете сэкономить и приобрести достойный товар - это для вас, стирка проходит хорошо, никаких проблем, вещи отстирываются отлично</t>
  </si>
  <si>
    <t>Купил игру очень нравится,с друзьями играем во фри батле, очень клёвая и реалистичная графика, огромное обилие персонажей! Много карт, покупайте.</t>
  </si>
  <si>
    <t>1605</t>
  </si>
  <si>
    <t>Телефон хороший, но есть один минус - радио в 6500с нет, а оно мне было нужно, а так тел очень красивый, я доволен покупкой!</t>
  </si>
  <si>
    <t>Машинка проработала 2 года, после чего рассыпались подшипники в барабане и повредили вал.</t>
  </si>
  <si>
    <t>2014-07-12</t>
  </si>
  <si>
    <t>Саб за эти деньги хороший, в седане слышно хорошо, причем я бас немного уменьшил. Конечно если вы хотите большего, то можете собрать комплект сами и подороже. Он стоит своих денег. Правда когда мы начали его устанавливать, соединив последние провода, он так и не заработал,прозвонили усилок и саб сказали что саб не работает,а там всего-лишь отошел провод от динамика,присоединили и все. Работает уже полтора года.</t>
  </si>
  <si>
    <t>дизайн нравится,красиво смотрится, можно использовать сверху как полочку, но очень шумная.....</t>
  </si>
  <si>
    <t>2303</t>
  </si>
  <si>
    <t>Пользуемся уже целых три дня (как с понед. отключили горячую воду). В целом, доволен! Быстренько принять душ вполне реально. Надеюсь, этот месяц(!), на который у нас отключили гор. воду, переживем легко. 5 кВт еле-еле хватает. Напор надо делать слабым, чтоб шла вода, под которой реально купаться. Кнопки 2 и 3 кВт бесполезны по одиночке - идет очень холодная вода. Но, могу сказать, что у нас на входе поступает просто ледяная вода (думаю, град. 7-10С). Так что, у кого течет из трубы не ледяная, а просто прохладная вода, может, будет пользоваться даже и одной клавишей. Из минусов, это сверление стен и затраты на отдельную электропроводку. У меня вышло: материал на 500 руб. и за работу электрику ещё 500 р.</t>
  </si>
  <si>
    <t>Купила сегодня. Перекрутила 3 кг мяса. Очень довольна - ничего не жевало, всё перекрутилось отлично.</t>
  </si>
  <si>
    <t>У нормального теоретически и удобного фильтра есть слабое место - кнопка. Если вы ей практически не пользуетесь, то фильтр хороший. Но если постоянно отключаете ей фильтр - долгой жизни не ждите. Кнопка сгорает, инет завален жалобами на её качество. При этом ремонт весьма затруднён одноразовыми шурупами с хитрой насечкой, работающей только на заворачивание.</t>
  </si>
  <si>
    <t>Отличный пылесос, тем более достался он нам по цене 4990р по акции! Мощность всасывания такая, что с трудом отрывается щетка от пола, тем более мощность регулируется. фильтрации c моющимся HEPA-фильтром эффективно очищает воздух в помещении от пыли и прочих аллергенов, удаляя 99,99% микрочастиц диаметром 0.06 мм.</t>
  </si>
  <si>
    <t>143</t>
  </si>
  <si>
    <t>вот вчера купил, этот приборчик, как написано в инструкции заряжал часов 8, а сегодня сидя на третьей паре, он у меня сдох, мне было не прикольно ехать домой без музыки...((, но сам Mp3 классный.   кстати у меня с ровером 16 гиговым такая шляпа была, но по сравнению с ним этот намного лучше...))</t>
  </si>
  <si>
    <t>95</t>
  </si>
  <si>
    <t>Купил и не пожалел. Стирает превосходно и бережно.  Детские вещи отстирываются на ура!</t>
  </si>
  <si>
    <t>Очень довольны обогревателем! Отсыревшую от дождей комнату прогрел очень быстро. Цена просто изумительна! (купила по скидке). Очень удобен, три режима позволяют выбрать нужную температуру прогрева, которая поддерживается автоматически. Компактен. В общем, супер!</t>
  </si>
  <si>
    <t>Увлажнитель выбирали именно из ультразвуковых, потому что по качеству увлажнения они считаются самыми лучшими. Плюс смотрели на объем бака для воды и мощность, от этого зависит, какую площадь сможет он обслуживать и сколько проработает в автономном режиме без доливки воды. Нам было нужно для 38 квадратов, так что эта модель с расходом воды 400 мл/час и 30 Вт мощности подошла идеально (она рассчитана на помещения в 40 квадратов). Литраж бака аж 5 л, но при этом выглядит увлажнитель компактно. Сам по себе дизайн приятный, современный, в глаза особо не бросается. Дополнительно в комплекте идет запасной фильтр. Поэтому за такую цену вполне достойная модель, есть всё что надо и даже больше.</t>
  </si>
  <si>
    <t>сломалась крышка, отвратная кнопка включения</t>
  </si>
  <si>
    <t>1908</t>
  </si>
  <si>
    <t>Купил и пользуюсь уже около недели. В целом монитором доволен по качеству - главное отрубить динамический контраст, и поставить вменяемые значения яркости и контраста. Артефактов не увидел, цвета убедительные.    Единственный реальный недостаток - это слишком маленькие углы наклона 5% вперед и 15% назад.</t>
  </si>
  <si>
    <t>Просто замечательная вешь. И миксер и блендер и измельчитель и многое другое все в одном, ив ыполняет все эти функции очень качественно и однородно. А молочные коктейли ни кто лучше не взбивает.</t>
  </si>
  <si>
    <t>276</t>
  </si>
  <si>
    <t>Купил данный монитор своим знакомым. Качество картинки поражает! Собираюсь приобрести этот монитор себе и Вам рекомендую! Не пожалеете!</t>
  </si>
  <si>
    <t>В пользовании была около полугода. Качество нам понравилось, бутерброды и вафли из всевозможного теста выпекались равномерно, все получалось очень вкусное. Ребенок часто пользовался. Но сама пластмасса очень хрупкая! вышла она у нас из строя при очередной попытке приготовить сэндвичи. При закрытии верней крышки на защелку крышка треснула, ручка отломилась. Придется выкинуть :(</t>
  </si>
  <si>
    <t>сначала думала что фен на 5 укладки делал потрясающие цены ему не знала,но через полгода расплавилась одна щётка,ещё через полгода сломался рычаг на второй и пришлось укладываться простой расчёской,но правда не долго.вскоре стал постоянно отключаться пока не раскалился до того что сжёг мне пол чёлки.после этого твёрдая 3 с минусом</t>
  </si>
  <si>
    <t>Купили данную модель пылесоса под новый 2010 год. На протяжении 3-х месяцев пылесос показывает себя только с лучшей стороны, пыль всасывает хорошо, мощность тоже нормалек, есть 3 уровня работы, в принципе пылесос хороший, можно поставить крепкую четверку. Единственное, что не устраивает - это уровень шума при котором работает данный агрегат, Такое ошущение, что запускается реактивный двигатель, а не пылесос :)</t>
  </si>
  <si>
    <t>Это самый ужасный пылесос на свете!!! Поверьте мне, ни за что не берите его. Помимо того, что надо после каждой комнаты вытряхивать контейнер, еще и стирать фильтры и т.п. это кошмар. В результате легче веником или выбросить :)</t>
  </si>
  <si>
    <t>2625</t>
  </si>
  <si>
    <t>2017-04-05</t>
  </si>
  <si>
    <t>можешь не искать, этот саб больше не выпускается компанией Пролоджи. Очень жаль, но решили его снять с производства, причин я не знаю. У меня тоже стоит он в багажнике и рубит музу, что аж машину шатает)) Подключение простое, никаких проблем у меня не возникло с этим. С появлением ребенка стал эксплуатировать не так часто, чтобы не разрушать психику молодого организма мощными басами)) Возможно за счет этого саб и прожил у меня так долго…</t>
  </si>
  <si>
    <t>Всё отлично, кроме батарейки( начинает быстро садиться) и наушников, которые идут в комплекте.  ---  Жаль я не взял 8gb, а поторопился, разница всего в 100 р:(</t>
  </si>
  <si>
    <t>Очень хорошо чистит. Главное пальцами не трогать, а так вполне довольна</t>
  </si>
  <si>
    <t>Купил 4 дня назад эту модель, так как много хороших отзывов. Но после двух помолов одного и того же кофе затупились ножи. Принес это чудо в магазин в зону сервиса, спросили что, с кофемолкой и тут же вернули деньги. Магазин хорошо работает, вот товар не всегда качественный</t>
  </si>
  <si>
    <t>хорошая вещь дёшево и сердито можно сказать</t>
  </si>
  <si>
    <t>Рекомендую. Очень хорошая бритва. Практически отсутствует вибрация, передающаяся на руку. Пользуясь уже около 3 лет. Сетку и лезвия не менял. Бреет отлично. Подтверждаю, что в мвидео ни разу не встречал комплектующих к ней.</t>
  </si>
  <si>
    <t>Приобрел жене. Устанавливал сам. Все очень просто, докупить пришлось только кран под раковину 1/2 в/н 3/4 н. Работает бесшумно, проста в управлении, моет идеально, причем пробовали разные таблетки, от дорогих до не очень. Из минусов - чуть-чуть не вошла по высоте в кухню, пришлось на 5 мм. поднимать столешницу - приобретателям этой техники рекомендую измерить предварительно место установки.</t>
  </si>
  <si>
    <t>Очень удобный mp3-плеер, единственный недостаток кнопка включения и паузы очень маленькая, зимой в перчатках неудобно!!!А в целом мне очень нравится.</t>
  </si>
  <si>
    <t>Отличный девайс для звука!Проработали 2 года,только вчера провод переломился у штекера,правый динамик не работает,теперь вот снова буду покупать именно PX 200.Недавно ездил по магазинам,помогал подруге купить наушники,удалось сравнить PX 100 и PX 200.Так вот,не покупайте второй вариант,звук хороший у PX 200,но низкие частоты меня разочаровали,подключал к iPod(60gb)-полное отсутствие басовой линии и не понятно почему PX-200 такие дорогие- в топку их!!!Только PX-100!!!</t>
  </si>
  <si>
    <t>Щипцы подарил муж. Пользуюсь ими каждый день и не могу нарадоваться. Греются быстро, выпрямляют отлично, волосы не цепляют. Храню в чехле, который шел в комплекте. Волосы после них просто шелковые. Спасибо мужу!</t>
  </si>
  <si>
    <t>Маленький утюг для очень деликатной глажки, но с хорошими функциями и подачей пара. В принципе, мечтать о большем за такую цену и нельзя)</t>
  </si>
  <si>
    <t>купили в М-видео обогреватель 2 дня назад, обогреватель по всем своим показателям на оценку 5! На работе такой обогреватель работает по максимуму уже 2 года, нареканий нет!</t>
  </si>
  <si>
    <t>1966</t>
  </si>
  <si>
    <t>Купили сегодня в магазине г.Орёл.На трёх человек картофеля в качестве гарнира хватило вполне.Если резать тонкими половинками кружков,ломтики очень интересно раздуваются.Нам понравилось.</t>
  </si>
  <si>
    <t>Бритва не то что плохо бреет, она вообще почти не работает. При первом включении ножи начали проворачиваться с трудом через раз и издавать ужасный звук и скрежет. Vitek - в своем репертуаре...</t>
  </si>
  <si>
    <t>Люблю готовить и часто требуется пудра, а так как готовую в магазинах не выгодно покупать, решила приобрести дешевенькую кофемолку. Вот теперь она меня и выручает, Я ДОВОЛЬНА.</t>
  </si>
  <si>
    <t>Звук можно сказать хороший.  Незначительный фон, при накатывании громкости с ресивера  в какой то момент начинают дребезжать, но это при излишке мощности я пологою. При удалении от источника в другое помещение (комнату) великолепная, устойчивая связь с небольшими помехами. Я доволен.</t>
  </si>
  <si>
    <t>Купил 6.02.2010г. себе сей девайс и очень очень доволен, имею дома компьютер и 2 ноутбука, свой ноут по наследству передал маме))) по мощности и потребностям превосходит всех цифровых обитателей моего дома))), покупайте не пожалеете. Единственный минус, взял с витрины в магазине на Тёплом стане и стоял там с 12.12.09 и без плёнки, задняя крышка поцарапана вандалами.</t>
  </si>
  <si>
    <t>по поводу подсветки сенсорной панели, для особо одаренных комбинация Fn+F2 отключает и включает подсветку, потыкайте пальцами...  с тачпедом все ок, дело в дровах у кого то или кривых руках, хотя как это все не очень понятно, вроде или выключено или включено... все работает по умолчанию, видимо просто не те кнопки тыкаете  про отпечатки на корпусе вообще идиотизм и вообще выносить этот "параметр" в характеристики различных устройств, просто бред, тряпочкой протрите раз в неделю и руки мойте... если все таки ничего не получается - зашкурите крышку. Практически все 99% ноутбуков делаются с глянцевыми крышками и постоянно кто нить ноет, даже в тестах умудряются выносить этот момент в параметры...  лана сорри, если что</t>
  </si>
  <si>
    <t>Отличные наушники) меня радовали около полугода, потом один наушник отказался работать((( но звучание просто замечательное, и крепятся на ухе очень удобно)</t>
  </si>
  <si>
    <t>2016-08-25</t>
  </si>
  <si>
    <t>Не маркая, эмаль очень прочная, стойкая к царапинам, но если тереть пемосом или чем то металлическим, то тут и титан и стекло поцарапать можно, эмаль есть эмаль.  Решетка чугунная, но не как обчно, а гладкая, моется очень легко, можно и в посудомойке мыть!  Ручки отклонены от конфорок, может и греются но не плавятся уж точно.  Очень чувствительный газконтроль, долго не нужно держать ручку.   Есть защита от детей, газ не идет пока не снимешь.</t>
  </si>
  <si>
    <t>862</t>
  </si>
  <si>
    <t>Купили этот пылесос. Вроде все хорошо. Сосет :-) на отлично. Есть правда маленькие огорчения. 1 как написано на сайте он 400 Ватт мощность всасывания. А на самом деле SAMSUNG говорит что 380. Турбо щетка работает хорошо, но и здесь засада 2 она работает только тогда ее положишь на пол и если слабо приложено, т.е. есть откуда воздуху еще заходить то она меньше крутиться. Что не очень хорошо. И 3 из за своих маленьких размеров пылесос переворачивается при том случае если вдруг решите идти обратно пылесосить. Все остальное работает хорошо по мощности всасывания претензий нет. Ну а если он справляется с основной задачей значит все гут.</t>
  </si>
  <si>
    <t>Понравилась подошва, легко скользит по вещам и качественно разглаживает. Хорошая сила пара, легко отпаривает. Если что прилипает/, легко чистится, без специальных средств. Всем советую)</t>
  </si>
  <si>
    <t>Долго решался брать или не брать вытяжку данного производителя,так как не было в нашем городе особого выбора. Деваться было не куда, кухня простаивала вся в дыму и вот работает,особо не шумит, естественный тихий гул вентиляторов. Остался доволен, порадовало автоматическое включение при выдвижения.Советую всем!</t>
  </si>
  <si>
    <t>2737</t>
  </si>
  <si>
    <t>Согласна, что бигуди хорошие, быстро нагреваются.Минус только в зажимах,еле держат волосы.Можно просто купить крабики и проблем больше нет.</t>
  </si>
  <si>
    <t>Отличный помощник на кухне! Пользуюсь уже 2 года! Один минус - греется при долгой работе. Но так все отлично.</t>
  </si>
  <si>
    <t>В целом машинка для стрижки не плохая. У меня она уже 11 месяцев. Проработала 6 месяцев затупились ножи и она перестала работать. Понес в мастерскую заплатил 100 р. за заточку и регулировку. Работает. Перед применением рекомендую отрегулировать сразу же, а то будет как у меня, и смазывать постоянно.</t>
  </si>
  <si>
    <t>Компактная, минимум функций. Для новичка самое то.</t>
  </si>
  <si>
    <t>Я уже описал все плюсы этого плеера, но придётся добавить ложку дёгтя в бочку мёда. Из заявленных производителем 2Гб памяти, в наличие у меня только 1,7Гб.  Вывод: Cборка - Китай.</t>
  </si>
  <si>
    <t>Модель просто супер!!!!отличное качество!!! Есть только одно - не знаю как у остальных-но у моей модели зазор между керамическими пластинами и крышками держащими их достаточно большой и когда выпрямляю время от времени собственные волосы зацепливаются в этот зазоре. А так больше нет минусов!!</t>
  </si>
  <si>
    <t xml:space="preserve">Да все супер и насадки крепче чем у Филипса </t>
  </si>
  <si>
    <t>Очень обидно что нет телевизионного входа, а соит стационарный на автомагнитолу. Пришлось от покупки отказаться.</t>
  </si>
  <si>
    <t>212</t>
  </si>
  <si>
    <t>Очень классный плеер, всё в нём круто кроме батарейки, а если снять плёнку, то сенсор работает мягче и удобней, у меня батарея держит 8-10 часов спокойно.</t>
  </si>
  <si>
    <t>калонки после 60% громкости начинают запирать неудобно прибавлять басы подкюченияе от компа к сабу и калонкам плохое через год intrth переломился и щас стоят без дела если брать такую акустику то я считаю что деньги на ветер бас даёт хороший мама бегает каждый раз говорит убавить окна тресуться в соседней комнате...</t>
  </si>
  <si>
    <t>Работает отлично, 2кг садовых яблок - больше литра сока, жмых плотный, отжимать ничего не надо! Я не пробовал Борк, возможно он и лучше (хотя плохих отзывов о нем море), но я не хочу переплачивать на 100-150% чтобы получить сок на 5-10% больше=) Разумно ведь?=)</t>
  </si>
  <si>
    <t>После пол года использования от нагрева развалилось крепление крышки, это произошло по вине нагрева и некачественного пластика. Вообщем чайник кипятит до сих пор, но крышку для заливки воды я больше не открываю, заливая воду через носик.</t>
  </si>
  <si>
    <t>Купила кассету для съемки новогоднего утренника. Сразу оговорюсь - головка у камеры была чистая, на предшествующих и последующих записях (другие кассеты) помех и дефектов нет. При просмотре обнаружила практически полное отсутствие звука, который появляется короткими отрывками и отвратительное изображение на всем протяжении съемки. Изображение передергивает, иногда появляются отдельные пиксели, иногда просто стопарит. Видимо кассета бракованная, поскольку сразу после этого снимала на другую кассету и там все ок. Жаль не денег, жаль воспоминаний, это был последний новогодний утренник в детском саду.</t>
  </si>
  <si>
    <t>Ну в общем присматривался месяц, читал отзывы. Вроде и по цене нормально, и по функциональности. Сначала был рад...а потом начал замечать недостатки...все в нем хорошо, кроме экрана. Экран сделан как то не самым лучшим образом, грузанул туда рисунки свои (я художник), и так некачественно это все, что возникает вопрос - это случаем не формат png размером в 30 килобайт??? Видео немножко подвисает и пропускает кадры, заметил такое при воспроизведении форматов mpg и wmv. А так вроде норм. Телик там вообще лишнее.</t>
  </si>
  <si>
    <t>Анна, это просто плата сгорела, замена по гарантии и все, заводской брак... у меня те же самые симптомы были) сейчас работает без проблем.Плеер Очень не плохой внешне, по параметрам, звук хороший. родные наушники не хорошего качества, хоть и стоят они 500-600 р., но сойдет по звуку. поменял на другие затычки в итоге. понравился один момент очень хорошо раскачал 32 Омные наушники,что не всем плеерам под силу...даже нахваленный ipod не смог так. очень хороший плеер.</t>
  </si>
  <si>
    <t>963</t>
  </si>
  <si>
    <t>Покупал для мультиварки, выручает, когда готовите что-то обьемное, тушите лечо, помешивать такой лопаткой одно удовольствие!</t>
  </si>
  <si>
    <t>Емкость немного не соответствует заявленной (31 247 597 568 байт).  Скорость записи файла 1,4 Гб - около 10 Мб/сек. Скорость чтения  очень высока - обратно этот файл скопировался менее чем за 25 сек.</t>
  </si>
  <si>
    <t>Тихо работает, отлично увлажняет воздух.</t>
  </si>
  <si>
    <t>КРУТО. ПЛОХО, ЧТО CD/R/RW  НЕ ЧИТАЕТ</t>
  </si>
  <si>
    <t>В общем телевизором вполне доволен. но есть 1 минус. Не нашел как колонки к нему подключить. Кроме как через выход на наушники. А Внешний hdd на 1 т.б Работает отлично и гараздо быстрее флешки. И на всякий случай. Если хотите к нему подключать внешний hdd приобретайте вместе с блоком питания. Питания от только от usb Скорее всего не хватит. А по поводу какой hdd подключать. У меня самосбор. Коробка 1 фирмы сам жесткий диск другой.</t>
  </si>
  <si>
    <t>1864</t>
  </si>
  <si>
    <t>Плеер-отстой, очень неудобный,папки не удаляет, с радио не пишет, диктофон фигня, постоянно глючит.Выброшенные деньги.</t>
  </si>
  <si>
    <t>Купил машинку, купил две батарейки, пришёл домой, попробовал... КЛАСС!!! Перчатки, шапочка, носки - как новые.</t>
  </si>
  <si>
    <t>Вентилятор очень понравился, бесшумный, ничего не щелкает, не скрипит, только от воздуха. Собрали за 5 минут, все просто, все детали на месте. Как и  писали в других отзывах, что даже на первой скорости достаточно мощный, это правда. спасаемся им, не только мы, но и животные.  Рекомендую</t>
  </si>
  <si>
    <t>Сломался через 1 год - сгорел мотор, при том, что пользовались не каждый день.</t>
  </si>
  <si>
    <t>купил неделю назад.Пока нареканий нет,разве только мелкие недочеты.  Аналоговые каналы-на уровне.С USB читает практически все форматы (проблема только с субтитрами,надо чтобы были вшитые).Дизайн неплохой (минус за неповоротную подставку).  Пришлось повозится с настройкой каналов под себя-неудобно.Звук отличный.Нагревается не сильно(в квартире 35С).  Вывод:Хороший выбор для не сильно притязательного пользователя.Моя оценка-4,5</t>
  </si>
  <si>
    <t>Купила машинку как самый дешёвый вариант, для стирки в основном детского белья. Стираю каждый день, служит уже 2 года, все супер, очень довольна данной покупкой</t>
  </si>
  <si>
    <t>Почти не оставляла отзывы на такого рода покупки. Не книга, не фильм в конце концов. Но подумалось, что отзыв может кому-то еще помочь в выборе покупки. Я сама, к сожалению, ведусь на отзывы, пугают сильные нахваливания и тролльские недовольства.   Термопот купила впервые. Этим летом. Маме на дачу. Читала, что бывают электронные и механические помпы. На даче редко, но все же бывает, выключают свет и мама оказывается "отрезанной от цивилизации", т.к. все на электричестве. И покупая термопот, думала, что этот - с механической помпой. Но ошиблась. Пожалуй, это одно и можно назвать минусом. Видимо. Что такое электромеханическая помпа, так и не поняла. Кстати, поскольку я думала, что он с механической помпой, а на момент приобретения был только в магазине на другом конце города, то потом ненавидела себя, вспоминая, как тащила его через весь город - он не тяжелый, но все-таки весит кое что и в коробке не такой уж и малыш, намучилась. :)  Привкус у воды? Не знаю. Возможно. Но мне, видимо, не мешает, если я не заморачиваюсь по этому поводу. В остальном - одни плюсы.   Ухаживать за термопотом легко. Протираю верхнюю часть внутри, которая над водой.  Протираю переднюю часть, т.к. бывают брызки, особенно если наливаю в чашку с кофе - немного попадают капельки на переднюю часть термопота. Чищу ситечко иногда, но оно за полгода пользования пока что-то не грязнится. Один раз ставила на глобальную чистку с лимонной кислотой? - кажется с ней, просто забыла, т.к. тупо делала так, как написано в инструкции. Часок покипело, вылила, еще раз залила воду, прогнала один раз и все - чисто и просто.   В общем, по-любому удобная и необходимая вещь.   Если большая семья, то термопот нужен побольше. Но нас трое, нам хватает.</t>
  </si>
  <si>
    <t>плеер просто обалдеть!!</t>
  </si>
  <si>
    <t>Работает хорошо. Советую купить.</t>
  </si>
  <si>
    <t>2924</t>
  </si>
  <si>
    <t>В комплекте с приобретенным мной Nettop'ом Acer Revo 3610 идет беспроводная клавиатура и мышь, хотя на сайте указано, что в комплекте идет проводная клава.  Клавиатура, кстати, приличного качества, миниатюрная, легкая, глянцевая(кнопки матовые), белого цвета. Цифровой блок кнопок отсутствует, да он впрочем и ненужен. Мышь, что можно сказать, обычная беспроводная оптическая мышь, чуть меньше стандартной, легкая, немного угловатая(по форме ближе к прямоугольнику), стильная.8-).  Теперь немного про сам комп. Скорость работы вполне приличная. Не Core2Duo конечно, но зато от него и шума в разы меньше. Можно сказать, что шума практически нет. Можно услышать если прислушиваться и то с расстояния 50 см и ближе. Аппарат подключен к LCD-ТВ через HDMI. Для серфинга по Инету, просмотра фильмов, прослушивания музыки и тп. подходит на все 100%.</t>
  </si>
  <si>
    <t>В первый же день после покупки начала стираться поверхность. Появляются пятна после каждой готовки.  Она должна быть окрашена изнутри. А краска нанесена снаружи. Это косяк сборки или брак? Сегодня 7 дней прошло, а она выглядит как год работы в столовой.</t>
  </si>
  <si>
    <t>2360</t>
  </si>
  <si>
    <t>В общем на вид мне очень понравился: компактный, красивый на вид и приятное покрытие! На практине ещё не испытывал!</t>
  </si>
  <si>
    <t>Купили машину 3 месяца назад. Не ожидали такой вместимости от скромных размеров. С этих пор стираем без проблем. Шума от нее почти нет, при отжиме не прыгает (ножки не подкручивали).  Из недостатков: оставляет немного порошка в лотке, не очень удобная крышка фильтра да и находится он очень низко - поддон не поставить, а из шланга вытекает далеко не все.  Плюсы, как я уже сказал: малошумная, не вибрирующая. Дисплей и управление очень удобны и наглядны.</t>
  </si>
  <si>
    <t>Цена, простота, узкота.</t>
  </si>
  <si>
    <t>Особых плюсов не заметил,утюг,как утюг.</t>
  </si>
  <si>
    <t>Очень вместительный холодильник и полноценная морозильная камера в одном флаконе. Холодильник работает тихо. Удобная эргономика внутри.</t>
  </si>
  <si>
    <t>купил консоль рс3 разочаровался, в плей стейшен нетворк, джойстик не очень, графика даже с HD кабелем ужас, не красивая форма, шум , нагревается и порой перегревается, и рс мови полный ужас...</t>
  </si>
  <si>
    <t>Очень довольна! Подруга купила эти щипцы еще год назад, я все не решалась: что я только не пробовала-электро бигуди,двое щипцов разного диаметра и пр... Максимум по времени стойкости укладки это 3 часа, а потом сделала локоны у подруги и 2 дня локоны держались! Так что лучше этих щипцов мне пока ничего не попадалось.</t>
  </si>
  <si>
    <t>543</t>
  </si>
  <si>
    <t>Плохой чайник!  Прослужил 11 мес. - течет. Пользоваться  нельзя!!</t>
  </si>
  <si>
    <t>Купила этот утюг уже пользуюсь год никаких нариканий нет. Всё проглаживает и отпаривает как надо. Порадовали такие мелочи как индикация нагрева подошвы. Подошва неубиваемая и хорошо скользит. Советую всем приобрести этот утюг. По моему мнению соотношение цены, качества и функционала оптимальное.</t>
  </si>
  <si>
    <t>+Звук выше всех похвал! Любую акустику заставляет звучать качественно.  +Настройка звука очень порадовала, хороший эквалайзер+ еще куча доп фишек по настройке звука.  +Видео очень хорошее, экран на высоте. ДВД играет Долби диджитал.  +Очень стильный, подойдет к любому салону, любого цвета.  +умное управление сабом с фильтром низких частот для остальной акустики.    -Не умеет читать видео с флэшки (не понятно по чему, раз декодеры есть то по сути какая разница с какого носителя воспроизводить).  -нет пульта(хотя и так вполне удобно управляется).    В общем всем советую.</t>
  </si>
  <si>
    <t>Отвратительный прибор, после года пользования для носа и ушей можно выкинуть!!!</t>
  </si>
  <si>
    <t>Купила сегодня))) Показывает отлично...в принципе очень достойный жк, вот только никак не могу найти, где можно моно звук на стерео поменять, если кто знает подскажите))</t>
  </si>
  <si>
    <t>Вообщем пылесос не плохой, для такой цены. Дизайн привлекательный, компактный. Собирает пыль неплохо, пылесборник объемный. Идеально подойдет для тех, кто не хочет тратиться.</t>
  </si>
  <si>
    <t>Все отмывает!!!</t>
  </si>
  <si>
    <t>Купите не пожалеете!!! Хлеб отличный, тесто ставила подходит быстро.</t>
  </si>
  <si>
    <t>Отличная модель! В холодное время года работают практически круглосуточно(не дома), уже не первый год.</t>
  </si>
  <si>
    <t>876</t>
  </si>
  <si>
    <t>Приобрели данный пылесос две недели назад. Понравилось хорошая мощность всасывания, небольшая цена, внешний вид. Из минусов-отсутствие прорезиненных колёс, маленькая длина насадки для мягкой мебели, невозможность гориз. парковки с шлангом и трубкой, отсутствие места для хранения насадок на трубке при хранении.</t>
  </si>
  <si>
    <t>Купила этот утюг и не пожалела.Мне очень нравится,очень удобный в использовании,да и по цене-недорого.глажка стала приятным делом.</t>
  </si>
  <si>
    <t>Чтобы создать списки воспроизведения, нужно установить драйвера плеера (они на самом плеере), тогда при подключении плеера к компьютеру в "моём компьютере" загорается устройство WALKMAN, заходите на него и работаете. Так вот: чтобы сздать список воспроизведения кликаем на папку с музыкой правой кнопкой мыши и нажимаем "создать список воспроизведения", рядом с папкой создается файл списа воспроизведения, который можно переименовать и т.д. Если использовать такой способ коннекта, то он гораздо удобнее чем обычно "как с флешкой" единственный минус - перемещение файла или папки в пределах устройства (плеера) занимает столько же времени сколько удаление этого файла с плеера и загрузка его с компа в другое место. Абсолютно глупо. В остальном все хорошо. Это на Windows SP3, на других не знаю. Версия ОС плеера - 1.02 (обновление с оф. сайта)</t>
  </si>
  <si>
    <t>Компактный, достаточно длинный шнур, который всегда хорошо складывался, удобный контейнер.</t>
  </si>
  <si>
    <t>Отличная модель для игр на высоких графических настройках. Исключением является лишь Метро 2033, но оценка всё равно 5</t>
  </si>
  <si>
    <t>Купил его три недели назад, в целом всё нормально только почему-то игры то летают, а тормозят, почему так?</t>
  </si>
  <si>
    <t>отличный фен! супер мощный, потому быстро сушит. и не тяжелый при этом!</t>
  </si>
  <si>
    <t>Пользуемся третий год. Крутит всё попало и не поперхнётся. Не точили и не меняли. Крутим постоянно по 5-7 кг в месяц гавядину и свинину. Щас вот тёще хочу купить на день рождения. Короче кто сомневается в покупке, рекомендую на собственном опыте!</t>
  </si>
  <si>
    <t>1307</t>
  </si>
  <si>
    <t>LBP - то одна из тех игр, ради которых можно купить PS3, она никогда не надоест, и не закончится. Отличный сюжет, забавные герои, несложное управление, юмор и качественная русификация. Кроме самой игры, в сообществе уже около 4,5 млн различных уровней от игроков, да вы и сами можете создать собственный мир или фильм, ограниченные лишь вашим воображением, и предложить их своим друзьям.  Для этой игры очень много загружаемого контента, в т.ч. и бесплатного.  Поддержка контроллера мув в требует наличие второго игрока (вашего друга), который будет помогать с прохождением специальных уровней)</t>
  </si>
  <si>
    <t>В магазине, оценив 2 полки подобных агрегатов, выбор пал на LG MH-6347GRL.  Хватило на 1 разогрев. После предварительного изучения инструкции, водрузила сей агрегат на  его рабочее место, проверила, вроде работает,но без вращения диска, установила таймер. Через полчаса подогрела ужин, через некоторое время сидя в соседней комнате, услышала подозрительный писк, зайдя на кухню обнаружила на таймере беспорядочное мигание букв и цифр, как прочитала в инструкции, подобное недоразумение устраняется выключением из розетки, так и сделала,при следующем включении вообще перестала работать.  Очень разочарована!!!</t>
  </si>
  <si>
    <t>Перестал работать опять сенсор уже 3-й раз!!!Опять повезу в ремонт, с последнего ремонта прошла неделя.</t>
  </si>
  <si>
    <t>Отличный тостер, жарю на 3, хлеб вкусный и хрустящий. При включении никаких запахов пластмассы не наблюдала.</t>
  </si>
  <si>
    <t>266</t>
  </si>
  <si>
    <t>Данную машинку купила более года назад, очень довольна, удобна в быту: подшить, сшить, обметать, даже вышивать можно), особенно когда приобрела еще набор лапок то цены нет этой машинке! очень нравится, цена как раз соответствует этому товару.</t>
  </si>
  <si>
    <t>Ужасный мультистайлер!!!!!((((((Не покупайте,потратите свои деньги на ветер.Насадки держатся плохо,плохо завивает,отвратительно выпрямляет.Очень пожалела ,что купила именно его,думала что за такую сумму куплю средненький мультистайлер.</t>
  </si>
  <si>
    <t>27</t>
  </si>
  <si>
    <t>Владею такой машиной 1,5 года. Выбирал чтобы машина была полноразмерная (чтобы не ходила ходуном и не скакала по ванной комнате) и с большой загрузкой (в эту машину можно от 1 до 8 кг белья загрузить). Фирма Siemens делает хорошие машины, а выбирал между сименсом и бошем, но только германской сборки. Они делаются в разных местах(китай, турция и еще где-то).  Достоинства: гарантия от протечек, 3 летний срок гарантии, малошумна - при закрытой двери вообще не слышно как стирает, до 8 кг, полноразмерная.За время пользования (стирка -1 раз в неделю) ни одной поломки или глюка автоматики не было. Устраивает по всем параметрам. Рекомендую всем у кого есть место под ее размещение.</t>
  </si>
  <si>
    <t>2139</t>
  </si>
  <si>
    <t>нормальный офисный book</t>
  </si>
  <si>
    <t>1331</t>
  </si>
  <si>
    <t>Купил себе в мвидео 12-шку в марте, монтаж покупал у них же(13000р), 2 недели ожидания, щас просто тащусь, ничего не вибрирует и не тарахтит, все четко сработали -2 года гарантии, советую как недорогое решение для спокойного сна и комфортного отдыха.  P/S/ Заказал маме такой же, правда он уже подороже стал на 2 косаря, и еще рассчитывайте мощность кондера не только по метражу жилища, а по калькулятору расчета мощности кондиционеров</t>
  </si>
  <si>
    <t>Наушники используются с плеером iRiver LPlayer.  Муз. форматы прослушиваемых композиций в основном FLAC, ALAC, APE, WAV.   Основной жанр прослушиваемых композиций: Metallcore, Punk-Rock, Emocore, Indie, Alternative.    Данная модель отлично "сглаживают" слабости плеера, придавая звучанию насыщенность и "жизненность"    ПЛЮСЫ данных наушников:    1. Несуженное, достаточно пространственное звучание с хорошим эффектом стерео. Можно не пользоваться эффектами расширения (например, WIDE в Cowon Jet Audio),компенсирующими недостатки наушников.  2. Неплохой басс неперекрывающий основную мелодию композиции.  3. Отсутствие неприятного монофонического звукового давления.  4. Выделяющийся стильный классический дизайн.  5. Удобный складывающийся оголовник.    МИНУСЫ:    1. Слабая звукоизоляция. Насладиться прелестью любимой композиции в автобусе(о трамвае и речи не идёт), в людном и шумном месте не удастся.  2. Провод у входа в корпус динамика не зафиксирован. Это, видимо, предотвращает его от переламывания, однако, при движении провода (например, при ходьбе) создается небольшое потрескивание мембраны динамика от трения. Проблема не существенная и легко разрешимая.  3. Оголовье удобное, но порой зацепляет волосы на голове.    Наряду с данной моделью прослушивал Sennheiser PX-200 и совершенно не понял, что в данной модели заслуживает внимания и за что платить больше 2 тысяч рублей. Кроме, того сравнивал с Sennheiser HD 212 Pro, HD 205, HD 202 (данная модель дома лежит), Sennheiser PX-100 и некоторыми другими наушниками (Philips'ами, Panasonic'ами и т.д.). Вывод сделал, что данная модель стоит своих денег и купил.</t>
  </si>
  <si>
    <t>Перед тем как взять эту модель, не мало поискал информации об кондиционерах , остановился на выборе Самсунга, хотя бы потому что почти вся техника дома Самсунг. В общем, включили мы его начел дребезжат внешний блок и сильно шуметь сначала я подумал может болты не затянуты, после того как затянул болты шум прекратился буквально на пол часа, после чего он начал шуметь еще сильней, спать было не возможно, мне пришлось его выключить, на следуший день после моего осмотра пришел к выводу что нужно его разобрать, там были недочеты прям как на советском автопроме, честно сказать меня это удивило, вообщем пришлось его доработать. А так если не считать эти ньюансы, в целом, я им на данное время доволен. О покупке не жалею, охлождает комноту на ура, хочу еще заметить тут некоторые пишут, что он громко работает. Я не согласен при грамотной устоновке, что внутренний, что наружний блок пракчтически не слышно!! У меня холодильник и то в два раза громче работает.</t>
  </si>
  <si>
    <t>Отличная плита, очень довольны, духовка печет идеально !!! Свет горит всегда при использовании духовки,  нас это не смущает, наоборот, не забудешь, что у тебя что-то готовится. Плита если приловчиться, зажигается 2-3 секунды (сильно вдавить и на самом "большом газе" держать), отмываем с помощью Loc достаточно хорошо. Поверхность не портится, но, как все блестящие поверхности, всегда в разводах.  Как минус: комфорка под wok - готовим сложные блюда и несколько и заняты все комфорки, а под эту можно использовать только большую посуду и все равно иногда греет на минимуме больше, чем надо.</t>
  </si>
  <si>
    <t>Радует, что подходят они для любой модели. У нас с мужем щетки разные. Но проблем с покупкой и применением насадок не возникает. Годятся для длительного применения.  Лучше, чем просто классические насадки с одной щетиной</t>
  </si>
  <si>
    <t>материал корпуса. дизайн.</t>
  </si>
  <si>
    <t>2638</t>
  </si>
  <si>
    <t>Разумеется, никто не застрахован от брака.  Мне, к счастью, повезло. Отработал 2 зимы, абсолютно никаких поломок. Электричество сжигает порядочно, впрочем, как и все тепловые пушки, но мощностью я осталась довольна. За час в комнате становится очень даже тепло.</t>
  </si>
  <si>
    <t>Плеер просто супер. Сегодня купил и остался им очень доволен, так что советую Вам кто захочет брать этот плеер, берите и не парьтесь!!!!</t>
  </si>
  <si>
    <t>Такую машину нужно брать как мощный мобильный вариант, а для игр лучше и дешевле Sony PS3. Да и матрицу в такую ценовую категорию могли бы поставить посерьёзнее. В общем специфичная машина - за эти деньги можно собрать нормальный стационар...</t>
  </si>
  <si>
    <t>Отличный ноутбук, у меня все отлично работает.</t>
  </si>
  <si>
    <t>Прежде всего, работает и готовит эта пароварка как надо (за это 5+, очень вкусно получаются манты, тушёные овощи).   Я поставил "1" за качество самого изделия. Блин, ребята... Я понимаю, что все Тефали, Витеки и Борки делаются в одном (ну или в соседних) китайских подвалах, но всё-таки... Пароварка не самая дешёвая, по сравнению с другими, но что мы видим: убогий дешёвый пластик повсюду, какой-то странный режим работы (например, 0 на таймере расположен не в самом начале и после окончания приготовления таймер ещё минут 5 тикает как старая советская стиральная машина Эврика; функция "витаминизирования" почему-то отключается каждые 4 минуты), и что особенно напрягает - подтекает. Там, где расположен лоток для долива воды каким-то образом скапливается конденсат, вытекает и под пароваркой образуется лужа. Думаю заклеить лоток намертво.  Вывод: прибор абсолютно не стоит своих денег. Качество не отличается от аппаратов в 5 раз дешевле. А раз так, то зачем платить больше?</t>
  </si>
  <si>
    <t>1624</t>
  </si>
  <si>
    <t>Щипцы очень хорошие,быстро нагреваются.Удобный и длинный  шнур.Долго не могла подобрать хорошие электрощипцы и вот они нашлись.</t>
  </si>
  <si>
    <t>Приобрел недавно эту модель, очень доволен выбором. Советую всем покупать, не пожалеете!!!    Ещё плюс его в том, что он показывает процент влажности в комнате. То есть переизбытка влажности прибор не допустит!!!</t>
  </si>
  <si>
    <t>Пользуемся не так долго, так что по надежности сказать нечего. По эксплуатации: стирает реально крупные вещи (толстое одеяло); очень легкая глажка после, а если сушить на плечиках то кое-что можно и не гладить; уютный сигнал после стирки :) Расход воды небольшой, что удобно при стирке небольшого кол-ва белья - нет лишнего расхода. При стирке крупных вещей, или при стирке приличного количества на быстрой, включайте доп. полоскание. Шерсть стирает руками!!!))) Есть просто освежить деликатные вещи. Загрязненные стирайте на синтетике на 40, ничего им не будет. Установили по уровню на ровный пол - вибрации и шума почти нет. Если закрыть дверь, то и спать можно.</t>
  </si>
  <si>
    <t>Использовал два года! Чайник неплохой за свои деньги - мощный, объемный, относительно тихий, нержавеющая сталь без мерных пластиковых вставок что исключает протекание, надежная крышка. Широкое отверстие - рука спокойно пролазит внутрь для чистки чайника. Но через пол года потек с низу через ТЭН - по гарантии запаяли. А через полтора года сгорел сам ТЭН.</t>
  </si>
  <si>
    <t>Купили в подарок.....проверяли в магазине..жужала... а потом оказалась в не рабочем состоянии........  не приятно....</t>
  </si>
  <si>
    <t>Хорошие диски, запись качественная как на компьютере,так и на DVD.  Долгое время не было в продаже, теперь появились, что радует.  Упаковка бюджетная. Минус-маловато. можно бы и по 25 упаковать. Сами болванки рекомендую.</t>
  </si>
  <si>
    <t>Fifa нервно курит в стороне!!!  5х5 и этого достаточно, чтобы потеряться в футболе, даже если вы не любитель оного!  Жаль Pure Basketbol'а нету:)</t>
  </si>
  <si>
    <t>1232</t>
  </si>
  <si>
    <t>раньше стоял слабый усилитель но работал нормально! вот купил  супру купил еще зимой прошлого года!звучание вроде ничего!только вот проблема!с заглушенным двигателем не играет заведешь играет включишь фары или печку опять перестает!электрик сказал накопитель нужен кондинсатор! купил поставил тоже самое!!!вечером приходиться на подфарниках ездить))кто знает в чем проблема подскажите просто устал собираюсь выкинуть!!взять другой!</t>
  </si>
  <si>
    <t>Хорошие весы . Купили за бонусные рубли . Используем для хлебопечки.</t>
  </si>
  <si>
    <t>1411</t>
  </si>
  <si>
    <t>3,5 года отработал, растрескался пластик и потек, часто вода переливалась через крышку из-за сеточки фильтра</t>
  </si>
  <si>
    <t>1299</t>
  </si>
  <si>
    <t>Отличный фен, через 2 года эксплуатации стал изредка перегреваться, но это не смертельно. Обычным феном мои волосы не выпрямить (волосы до попы), утюжками ооочень долго.  А этот фен просто творит чудеса. Раньше пользовалась  беби лис,  но на нем сильно не хватало мощности.</t>
  </si>
  <si>
    <t>для этой ценовой категории качество приемлемое</t>
  </si>
  <si>
    <t>2015-05-16</t>
  </si>
  <si>
    <t>Очень доволен покупкой. Сам агрегат очень тяжелый, но сделан с душой. Семья довольна! Греет быстро и без шума. На индикации можно увидеть до какой температуры нагрета вода, прост в управлении и в целом очень полезная штука, когда на месяц отключают воду.</t>
  </si>
  <si>
    <t>ВСЕ СУПЕР, он миксер и блендер. А стоит как один миксер или блендер!!!</t>
  </si>
  <si>
    <t>Отличная флеха. Взял се такую месяц назад- супер. Скорость записи и чтения на высшем уровне, небольшой размер. Да и недорогая. В общем идеальное сочетание цены и качества.</t>
  </si>
  <si>
    <t>На днях купили себе эту замечательную вещь. Готовила на ней пока только два раза. Очень удобно!  На сковородочку выложили мясо под соусом, в чаше приготовили рис с овощами. Классно, что не нужно ничего перемешивать, ничего не подгорит и не убежит.. Мяско "не усыхает" в объеме...   Думали, что еда будет пресной и не вкусной, но всё получилось ни чуть не хуже, чем при обычной готовке.  Выбирали между Bosch (стоит около 2500) и Tefal. Всё таки остановились на Тефаль, т.к. там самая большая мощность и за счет этого сохраняются все витамины. В общем, пока довольна покупкой</t>
  </si>
  <si>
    <t>2564</t>
  </si>
  <si>
    <t>не берите эту бритву!!!!!! не брееет она совсем!!!!! туфта!!!!</t>
  </si>
  <si>
    <t>Опыт использования  - неделя.  Щеткой приятно пользоваться - начиная с процесса распаковки (аккуратная коробка, размещение внутри коробки), заканчивая ее прямыми функциями. Чувствуется немецкое качество.  При покупке сравнивал с конкурентами в одной ценовой категории - решил взять Braun.  Сначала пользоваться непривычно, через пару дней данное ощущение проходит.  Порадовала комплектация - наличие двух насадок.  Отбеливающий режим действительно делает зубы на 1-2 тона светлее.   Десна не кровоточили совсем, щетина у насадок показалась мягкая, хотя это у каждого индивидуально.  Смело могу посоветовать данную модель!</t>
  </si>
  <si>
    <t>Купила комбайн в воскресенье, во вторник решила опробовать, пошел запах, он затрясся, зашумел и "заглох" и больше не включается! Так что насладиться всей прелестью не успела!</t>
  </si>
  <si>
    <t>А кто-нибудь пробовал на этой печке замесить бездрожжевое тесто на пельмени-вареники? На какой программе?</t>
  </si>
  <si>
    <t>Пылесос как пылесос, пользуюсь 2 месяца, но пока не ощутил ничего необычного.)) Считаю, что не удобно (не с руки) выдвигать телескопическую трубку, т.к. там надо одной рукой нажимать на кнопку, другая рука занята, а чем тогда выдвигать трубу? Это минус, можно было сделать этот узел проще - в виде помповика. А так конечно качество отличное!</t>
  </si>
  <si>
    <t>Крутая игра. Всем советую, а по инету так вообще сказка!</t>
  </si>
  <si>
    <t>Купил эту бритву месяц назад. До этого использовал Braun с 98 года (отработала 11 лет), Philips, Микма. Плюсы: Бреет жесткую щетину хорошо, быстро и чисто, тихая, заряжается быстро, аккумулятор держит как заявлено. Пока доволен.   Минусы: по сравнению со старой Braun более толстая сама и широкая бреющая часть (на старой было 2 ножа), не удобно подлезть под нос. Ножи закрыты, чистка их щеткой не так проста. Подставка для зарядки в общем бесполезна. Нет чехла. Защита от случайного включения только крышкой ножей которая выглядит хрупко и может слететь.   Если сетка действительно на 18 месяцев и цена не малая, буду искать другие модели\фирмы, а пока рекомендую брать эту.</t>
  </si>
  <si>
    <t>А вот мой чайник спустя 7 месяцев сломался, бракованный. У него отвалился шуруп, который держит нижнюю часть ручки, и стала протекать вода.</t>
  </si>
  <si>
    <t>Отрицательная сторона пылесоса - сам фильтр, который требует постоянной чистки и мытья.</t>
  </si>
  <si>
    <t>2013-12-25</t>
  </si>
  <si>
    <t>Увлажнял нормально (пользовались покупной водой, налета не было.Но в 1-й же год сломался, по гарантии отнесли, сказали не могут восстановить, берите новый.Новый проработал полгода, опять сломался.На этот раз отремонтировали, ждем со страхом когда сломается.Не берите: и дорого, и не функционально.</t>
  </si>
  <si>
    <t>три дня пользуюсь...порадовал монитор очень приятный на ощупь...не оставляет разводы от прикосновений....  раздражает очень многое...  во-первых не держит зарядку как заявлено на сайте у производителя...фильм если смотришь, то о 4 часах нет речи вообще...ехала 5 часов в дороге...зарядки не хватило даже досмотреть один фильм(чуть больше гига)....музыку на обратной дороге хватило лишь на 4 часа( на сайте пишут, что должно хватать на 10 часов)....  так же противно, что нельзя установить фоновым изображением что-то свое...а темы что есть фуфло.   Шрифт для книг только либо белый или черный....тоже раздражает....очень неприятные кнопки ....  правда за эти деньги я бы простила ему все, кроме очень плохой батареи....сделали хотя бы съемную...или возможность питания от простых батареек...а так нафига 8гигов, если их не использовать....бред...хочу вернуть производителю.</t>
  </si>
  <si>
    <t>На данный момент (май 2010) в Москве нет более выгодных предложений для замены настольного компьютера. Последнее поколение процессоров Intel Core i*, игровая видеокарта поддерживающая Direct X11, дисплей с LED подсветкой с максимально возможным для ноутбуков экраном 1920 х 1080, точпад паспознающий касание нескольких пальцев. Так же приятно наличие DisplayPort, 1394, DNLA, 6(!) встроенных динамиков и подсветки клавиатуры.</t>
  </si>
  <si>
    <t>Прежде был Samsung Galaxy S3 - отличный смарт, был очень доволен. Приобрел Galaxy S4 недавно и остался очень доволен. Экран заслуживает отдельных похвал, стал очень чётким, красочным, ярким и улучшилась детализация (441 ppi). Два гигабайта оперативной памяти дают о себе знать! Очень отзывчивый и плавный интерфейс. Как только купил его, сразу обновил микропрограмму по воздуху. В общем хочу подвести итог: смарт очень качественный, зарядку держит достойно (2600 MAh) стильный и все-таки отличается от Galaxy S3, что бы не говорили остальные, это я говорю как обладатель обоих смартфонов. Лучший среди android смартфонов.&amp;nbsp;</t>
  </si>
  <si>
    <t>568</t>
  </si>
  <si>
    <t>игры понравились особенно алан вэйк,выглядит стильно,работает шустро,у меня ни разу не зависала!</t>
  </si>
  <si>
    <t>В телефоне есть все необходимые функции и цена нормальная...</t>
  </si>
  <si>
    <t>Купил телевизор, понадеявшись на его 100герц, но после подключения к блю рей, разочаровался. картинка сильно плывет, и такое ощущение, что смотрю DVD.</t>
  </si>
  <si>
    <t>Это крутой комп и не дорого</t>
  </si>
  <si>
    <t>2016-03-16</t>
  </si>
  <si>
    <t>Плюсы:  широкий выбор программ  возможность выбора количества оборотов и температуры  отложенный старт  Минусы:  шумит даже при оборотах 800об/мин  гарантия всего 1 год  через 6 месяцев не самой активной эксплуатации требует ремонта (семья из 2 человек) - появился запах жженой резины/проводов...   ждем мастера...</t>
  </si>
  <si>
    <t>увидела рекламу,очень понравился,даже не ожидала, что муж мне его на следующий день принесет...  поначалу мне было неудобно им пользоваться и не привычно набирать смски...  раньше никогда у меня не было сенсора.  но зато когда привыкла к нему и научилась всем пользоваться-не могу с ним расстаться...  за полгода на нем ни одной царапки нигде. все как новое, ничего не глючит и никогда не глючило. перезагружался правда пару раз,но за пол года 2 раза - это можно сказать что ничего и не было.  единственный для меня минус в нем, это маленькая память смс..  мне катастрофически ее не хватает. ну и пожалуй зимой на улице не очень и за рулем о смс можно забыть. все остальное, функционально на пятерочку,всем советую,тем более за эти деньги =)</t>
  </si>
  <si>
    <t>Хорошие наушники. Неплохие басы и шумоизоляция. Использую уже 1,5 года. В целом доволен. Оценка: 4.</t>
  </si>
  <si>
    <t>Муж привез с другого города, т,к у нас в городе ее не было. М видео молодцы. Все видно на сайте. В каком городе удобно купить ту или инную вещь. Приготовили в ней пловчик - просто класс. Заложил продукты и включил. Через час ужин у тебя на столе. Также тушила мясо с картошкой, замороженными овощами, разные рецептики испробовали. На утро детям каши разные варю. Разочарования в покупке нет. Главное, что руки освобождает от вечной перемешки, контроле за приготовлением еды. пищит-значит все готово. Есть с чем сравнивать.</t>
  </si>
  <si>
    <t>Машинка  в эксплуатации третий месяц. Установлена в доме без удобств через насосную станцию, поэтому сознательно приобретали машину с механическим управлением. Компактная, тихая (если установлена правильно), при отжиме «взлетает» на 1000 оборотах, а на 800 — шум и вибрация  не напрягают. Удобная индикация этапов стирки.  В основном используем первую программу (с предварительной стиркой) в разных температурных режимах и отжимах и с обязательным дополнительным полосканием. Стирает отлично, если придерживаться определенных правил: загружать однородные по типу ткани, окраске и, желательно, по  размеру вещи; разумно использовать температурные режимы и отжим.  Рекомендую. Машинка свою функцию выполняет на отлично, а качество сборки-покажет время.</t>
  </si>
  <si>
    <t>Классный утюг. Гладит замечательно.</t>
  </si>
  <si>
    <t>2580</t>
  </si>
  <si>
    <t>2011-02-10</t>
  </si>
  <si>
    <t>пользовался такими. Просто в восторге!</t>
  </si>
  <si>
    <t>купил этот бук в марте за 25 тысяч  идёт всё всё только одно достаёт это windows 7. для таких буков только хрю ставить и линукс бубунтушный без них это не home\work notebook! а так вообще хорошая вещь вай фай очень мощный!! ловит точку друга за 1,5 км и сигнал на 1-2. игры идут все. а  проц грееца слабей чем core i3 знакомого!!  вообщем вещь супер!! только зря 7 стоит!!  да ещё и 64-bit!</t>
  </si>
  <si>
    <t>Когда выбирали пылесос, цена казалась слишком высокой, но  когда нам его включили, не пожалел денег. У нас маленький ребенок и шум был одним из главных критериев, работает очень тихо , маневренный, легко передвигается по квартире, не цепляясь за мебель. Довольны!</t>
  </si>
  <si>
    <t>381</t>
  </si>
  <si>
    <t>Купил такие в воскресенье, приехал в обед домой, воткнул батарейки, выставил время и дату, воткнул в розетку, проекция отсутствует... Ну думаю, ладна, день же... Уехал по делам, возвращаюсь вечером домой, экранчик светится, проекцию на потолке не видно и вместо данных на дисплее скачут кусочки цифр, а через какое-то время и они исчезли... Проекцию на потолке разглядел только поздно ночью и это был красный прямоугольник ибо дисплей теперь пустой. Либо брак, либо в сад такие часы... Есть еще догадка, что без батареек время они в принципе не показывают, а в розетку втыкаются только для блеклой проекции. Тогда однозначно в сад...</t>
  </si>
  <si>
    <t>Купили данный прибор в надежде, что он не просто будет увлажнять воздух, но и, как заявляет производитель и консультант,  еще и чистить воздух. С увлажнением проблем нет, но вот с очисткой воздуха совершенно не справляется. Пыль как была, так и осталась. Шерсти от маленькой длинношерстной собаки меньше тоже не стало. Красноречиво говорит хотя бы то, что пыль прекрасно образуется и на самом приборе. Своих денег совершенно не стоит, увлажнитель отличный можно приобрести вполовину дешевле. Очень разочарованы покупкой.</t>
  </si>
  <si>
    <t>Очень хорошая машина, больше восьми лет - шью не часто и не профессионально, но с удовольствием, - никогда не подвела!</t>
  </si>
  <si>
    <t>Седня сварили с супругой первую чашку-кофе отличный!!!Очень порадовал дизайн!!Единственный минус-в магазине не сказали про фильтры и в комплекте не было-напоили кофем соседей!!!Вообщем кофеварка отличная,довольна супруга и Я!!</t>
  </si>
  <si>
    <t>Пользуюсь этим телефоном уже 1.5 года. Точно знаю, что уже не смогу пользоваться другим телефоном! Главные достоинства - потрясающе удобный и красивый интерфейс и наличие огромного выбора программ (например, постоянно пользуюсь программой для запоминания слов по карточкам). Минусы: фильмы смотреть практически невозможно, так как не читается avi; неудобно закачивать музыку. К клавиатуре привыкла, хотя сначала мешали длинные ногти :)</t>
  </si>
  <si>
    <t>2447</t>
  </si>
  <si>
    <t>Достоинства (+):  Красивая, мощная, быстро разбирается, собираетсяи моется(моло деталей), плавная регулировка оборотов(есть краткая инструкция прямо на корпусе). Выжимает сок быстро.  Недостатки (-):  Цена, габаритная машина.  Комментарий:  Приобрел данный агрегат в июле 2010г. сделано в Китае. Жмых не сухой, а влажный даже от яблок и моркови, ягоду не побовал. В рекламе сказано сепоратор и ножи с фирменным титановым напылением и мощный двигатель, но куда такой запас мощности 1300Вт. Раньше была соковыжималка много дешевле: сок и жмых такой же, после ведра яблок начинала грется, а Bork не греется.</t>
  </si>
  <si>
    <t>691</t>
  </si>
  <si>
    <t>Подарили на день рождения.Служит уже около 5 лет никаких нареканий. Очень нравится. Волосы вообще отлично выпрямляет и не травмирует.</t>
  </si>
  <si>
    <t>вот в чем проблема, телефон лежит не используется, и жрет батареЮ, не успеваю посмотреть, а там все меньше и меньше процентов, что такое, кто-нибудь может подсказать?  а телефон так-то отличный,понравился сразу))</t>
  </si>
  <si>
    <t>В общем очень даже неплохой прибор, быстро нагревается, выпрямляет очень хорошо, вот только особенного блеска волос после его использования я не заметила....</t>
  </si>
  <si>
    <t>Красивый, лёгкий.</t>
  </si>
  <si>
    <t>Дизайн приятный,можно сказать экслюзивный,в сочетании стали,дерева и пластика.Весьма практичная и удобная вещь-хлеб нарезаю прямо в хлебнице,там основание,как доска для нарезки.В ней хлеб не подсыхает,не нужно заворачивать в пакет.Дизайн хлебницы очень хорошо подошел к интерьеру моей кухни.</t>
  </si>
  <si>
    <t>Стильный</t>
  </si>
  <si>
    <t>Игра отлична во всем, и это подтверждает большинство, покупайте без раздумия.</t>
  </si>
  <si>
    <t>1125</t>
  </si>
  <si>
    <t>Купил в магазике М Видео тостер BORK , продавец убеждал что это мерседес ! Ну я и повелся , признаюсь не ошибся и что самое главное продавец не обманул. Тостер работает как иномарочка приятно пользоваться , словами эти ощущения не передать .&amp;nbsp;</t>
  </si>
  <si>
    <t>Пользуюсь пару недель, не хватает лишь hold'а всё же, присядешь где-нибудь, а в кармане кнопка таки зажмется..   По полному времени работы сказать ничего не могу, заряжаю почти всегда, когда рядом комп)   Радио иногда теряет сигнал, но переподключение исправляет.  Диктофоном не пользовался.  В плане зависаний, ни разу не замечал.  Воспроизводит все заявленные форматы.  За такие деньги, либо хороший товар, либо мне повезло с конкретным экземпляром) но гарантия дается не даром, можно менять до нахождения хорошего экземпляра)</t>
  </si>
  <si>
    <t>Отличный аккум. У меня такой уже три года пашет. Купил сразу с камерой. Хватает без проблем на 6 часов съемки.</t>
  </si>
  <si>
    <t>Просто ужасная игра: при запуске на компьютере превосходящем даже рекомендуемые системные требования, сначала начинает тормозить звук, потом он вовсе отключается, играть невозможно даже на минимальных параметрах, изображение ужасно зависает. В итоге игра вообще вылетела да еще и активация слетела, которую можно производить только 3 раза - разработчики видимо делают все для того, чтобы люди покупали пиратские копии. Я полностью разочарован и 1С и NSK-lab - спасибо им за удовольствие.</t>
  </si>
  <si>
    <t>Купили месяц назад очень нравится. Удобно открывается верхняя крышка с помощью кнопки, не сильно шумит. Качество и цена очень обрадовала!</t>
  </si>
  <si>
    <t>Купил данную варочную панель. Для небольшой кухни в самый раз. Искал именно с большой конфоркой спереди. Оказалась только такая.   Регулировка мощности - шикарный слайдер,  намного удобнее кнопок "+" и "-". Читал, что на кнопку буст сложно попасть. Да, поначалу было сложно, со временем приноровился. Одновременно на двух конфорках проблематично готовить, но это касается многих варочных поверхностей. У всех, с какими сталкивался, была эта проблема.  Шикарная варочная панель. Рекомендую!</t>
  </si>
  <si>
    <t>1.Мощный  2.Не громкий  3.Компактный  4.Фильтры легко купить  5.Легко чистить фильтры</t>
  </si>
  <si>
    <t>Ивану (Пермь):   1) Критично бликовать будет, если смотреть днём при ярком солнечном свете. Простое решение: слегка затемнить комнату жалюзи/шторами и отвернуть панель от окна.  2) При искусственном освещении и без солнца никаких, существенно мешающих просмотру U10, проблем нет! Конечно, если их не надумывать и не освещать комнату киловаттными лампами. По своему опыту, 3 лампы накаливания по 100Вт, завёрнутые в комнатную люстру, не мешают совершенно. Единственный критичный фактор: источник света не должен смотреть прямо в экран.  3) Не забывайте, что антибликовая плёнка очень чувствительна к внешним воздействиям. Пыль с экрана лишний раз не вытрешь, а уж если кошке вздумается птичек на экране половить...</t>
  </si>
  <si>
    <t>СУПЕРСКАЯ ВЕЩЬ:)</t>
  </si>
  <si>
    <t>Купили около трех лет назад. Вмесительный и по дизайну подошел. Теперь практика:оказался очень шумным плюс треск непонятный, ночью просыпаешься. Морозильная камера не очень то и большая на практике оказалась и полки в охладительном отсеке неудобные по высоте. Ящики для овощей так же неудобны. И самое интересное началось сейчас. Нижняя камера перестала охлаждать. Мастер сказал, что его нужно размораживать переодически, хотя так я и делала 1 раз в 5 месяцев, хотя нас уверяли он не требует разморозки и в инструкции тоже так написано. Итог: теперь каждые 2 недели я его размораживаю, иначе он не охлаждает. &amp;nbsp;И считаю это дорого, для холодильника который и не отработал 3-х лет. Не советую.</t>
  </si>
  <si>
    <t>Давно не было наушников с таким звуком. Звук просто мощь. Да еще и за такую цену</t>
  </si>
  <si>
    <t>Очень облегчила работу на кухне! Моет хорошо. есть 2 минуса: 1. при перебое электричества не возобновляет программу, будет стоять и ждать когда ее включат заново ручками. 2. в шкаф 45см и стандартной высоты влезла с треском, хотя ножки свинтили до минимума, но, возможно, это какой-то недочет сборщиков мебели.</t>
  </si>
  <si>
    <t>Эпилятор очень хороший, осталась довольна покупкой. Что касается болевых ощущений то процедура эпиляции всегда остаётся мало приятной, боль абсолютно терпимая!  Качественный эпилятор, работает на отлично, захватывает все волоски, без особых функций конечно, на на это и такая низкая цена)  Вообщем, девчонки, покупайте, не пожалеете!!!</t>
  </si>
  <si>
    <t>969</t>
  </si>
  <si>
    <t>Нормальный пылесос. чистит очень хорошо. Контейнер только заполняется быстро. Приходится много возиться при чистке фильтра двигателя.</t>
  </si>
  <si>
    <t>Девочки просто отличный стайлер ,берите не пожалеете !!!! Я уже который день радуюсь покупке,все идеально работает,а у кого не работает у того просто руки не из того места выросли )))одобряю и советую)))</t>
  </si>
  <si>
    <t>Расческу подарили на работе, пользуюсь уже год. Честно говоря, не заметила особых перемен со своими волосами после ее использования. Бесспорный плюс-снимает статическое электричество, т.е. свою прямую функцию выполняет на 5, на счет блеска волос-сомнительно. В зимнее время и в помещениях с кондиционированным воздухом-незаменимая вещь для обладательниц сухих волос. Еще один весомый плюс-бесшовные зубцы. Не царапает кожу головы и не повреждает волосы. Ионизация-реальная функция, при зажатии пальцем отсека ионизации возникает искра, а сами ионы пахнут озоном)))))))) В общем, стильный аксессуар для современных женщин.</t>
  </si>
  <si>
    <t>Есть один глюк: карта памяти 8Gb micro sdhc не читается пока ее не "передернешь", или пока не подключить плеер к компу через шнур. У кого-нибудь есть такие же проблемы?</t>
  </si>
  <si>
    <t>Спасибо консультанту, оторый мне их посоветовал, стоили чуть-чуть дороже, чем сейчас. Басы отменные, остальное не берусь комментировать, не обладая музыкальным слухом. Месяца через 3 перестал левй наушник играть, поменя. Минус следующего образца был в не очень качественной сборке. Через месяца 4 отвалились резиновые гармошки у входа в наушник, ещё через пару месяцев начали проворачиваться звуководы и корпус расклеился по линии соединения.</t>
  </si>
  <si>
    <t>2296</t>
  </si>
  <si>
    <t>Подскажите плз надо покупать или нет? Собираюсь куптить его но не уверен</t>
  </si>
  <si>
    <t>Не сосет вообще. Даже волосы, не говоря уже о чем-то большем. Махровая накладка отлетела в 1 минуту пользования. Сказать, что он сосет слабо - это очень мягко сказать, мб  подойдет, чтобы пылесосить крошки от хлеба, но не более. Просто ужас, лучше за эти деньги 7 раз на мойке машину пропылесосить.</t>
  </si>
  <si>
    <t>простая и легкая камера в работе. вкл. и снимай, есть несколько режимов съемки. очень удобна в настройках. снимаю ей пол года - мне нравится. нареканий пока нет!</t>
  </si>
  <si>
    <t>А я хочу сказать по поводу жутких коментариев о влияние фена на волосы, не в фене дела, а в структуре волос, у всех волосы разные и по этому результаты тоже будут разными,у кого то пушаться у когото наоборот! Фен хороший, пока тьфу-тьфу, работает хорошо!</t>
  </si>
  <si>
    <t>Приобрела эту чудо сковороду больше месяца назад и ни чуть не пожалела потраченных денег. Все равномерно прожаривает и ничего не пригорает!Все только и спрашивают где купила, когда имеют дело с ней. Рекомендую.</t>
  </si>
  <si>
    <t>Купила эту мясорубку. Сегодня провела испытание. Прекрасный аппарат! Мясо крутит быстро и легко. Консистенция фарша нормальная. Довольна покупкой на все 100%!</t>
  </si>
  <si>
    <t>1038</t>
  </si>
  <si>
    <t>Не повторяйте мою ошибку!! Не берите этот телевизор!!!!  Очень долго искал для себя телевизор: работа с ПК, просмотр фильмов HD, SPS 3....  Проблемы-  не читает видео с флэшки, т.к. сборка Калининград(5604/60), сам переключает каналы, сам выключается!!!!!  Лучше подкопить денег и взят европейскую сборку....</t>
  </si>
  <si>
    <t>из трех купленных на фирму машин две сразу были не рабочие: у одной сгорел жесткий диск, поменяли по гарантии, у второй сборщики просто не воткнули какую-то платк на место, наверное им это в лом. Плату воткнули на гарантии. Пока ездил с этим дерьмом по Москве на гарантию, желал здоровья умельцам, которые делают это барахло.</t>
  </si>
  <si>
    <t>Сегодня приобрела пылесос Scarlett. Испробовала его по приходу домой, первое впечатление - понравился: не очень шумит,легкий, чистит ковры хорошо, удобно и легко моется контейнер.</t>
  </si>
  <si>
    <t>748</t>
  </si>
  <si>
    <t>Купили 2 дня назад, до этого видела как она работает у бабушки (она у нее уже 3-й год) - бабушка безумно довольна, а то, что она не шикарно сушит - ну да, пару капель, может, и остается-ну и что. Для меня важнее, чтобы мыла тщательно, что она и делает! Я очень рада, а муж рад, что я рада!</t>
  </si>
  <si>
    <t>Замечательная пароварочка! она уже 1,5 года у меня и я каждый раз ей радуюсь, как в первый! )))</t>
  </si>
  <si>
    <t>2015-06-22</t>
  </si>
  <si>
    <t>Купила стиральную машу почти год назад, взамен старой "Indezit". Машинкой довольна. Стирает хорошо. Количество набираемой воды нисколько не беспокоит, так как отстирывает и выполаскивает на отлично. Хорошее количество программ, все те которыми в основном пользуемся. Без лишних наворотов. Зачем переплачивать за то, чем будешь ну очень редко пользоваться или вообще не пользоваться.  Приятный звуковой сигнал. . Всем довольна.</t>
  </si>
  <si>
    <t>Прекрасное соотношение цена-качество!  Одно не устроило: предустановленная виста.. я ее даже загружать не стал, а сразу снес вместе с рескью-разделом.. Поставил АльтЛинукс, все работает без проблем.</t>
  </si>
  <si>
    <t>Сравнивал в магазине большое количество наушников, которые бы можно было использовать и для прослушивания портативного аудио, и для компьютера. На мой взгляд - это лучшее решение по многим параметрам: качество звука, качество сборки, удобство посадки, габаритные размеры...  Покупайте, не пожалеете!</t>
  </si>
  <si>
    <t>Пылесос бесшумный, по мощности превосходит другие марки пылесосов, практически бесшумный, фильтр HEPA13 (моющийся).После уборки - ковер на полу выглядит как новенький, другими пылесовами приходилось пылесосить чаще (на 2-й день - как-будто и не делала уборку), а с этим пылесосом чистота на неделю. Все разборные детали (насадки, шланг) крепятся основательно - в прежних моделях пылесосов бесило, что эти детали при уборке норовили все время отвалиться.    Из минусов - нет турбощетки (купила ее отдельно).</t>
  </si>
  <si>
    <t>Купила эту машинку в феврале. Месяц пользовалась и была довольна,затем появилась проблема- она не отжимает бельё, зависает на одной минуте, мусолит его до тех пор пока я не вмешаюсь. Приходится открывать барабан, расправлять бельё и не факт, что после этого она нормально заработает, чуть ли не колдую над ней. Вызывала мастера, посоветовал загружать белья больше, чем положено по программам. Приходится копить неделями (живём вдвоём). Но и это не помогает. Опять жду мастера.</t>
  </si>
  <si>
    <t>Не тратьте деньги, купите обычный черный. Я отличий не нашел! Крестовина такая же!</t>
  </si>
  <si>
    <t>Пользуюсь печкой практически каждый день. Еду на пару не люблю, а в запеченном виде все лучше, чем на сковороде в масле. В связи с частым использованием уже успела опробовать ее и так, и эдак. Блюда получаются хорошо пропеченными. Корочка только там, где я ее запланировала. Таймер не подводит. Небольшая, так что подойдет скорее таким же небольшим семьям. За пару месяцев у меня от нее никакие детали не отлетели и пока что не собираются</t>
  </si>
  <si>
    <t>Абсолютно согласен с Дмитрием! И тоже насадка сломалась :((</t>
  </si>
  <si>
    <t>Подарили такую штучку на новоселье. Занимаем очередь кто  открывает банку или точит ножи. Прикольная штучка. Теперь сам открываю консервы, а жена не пристает с ножами.   Надо брать!</t>
  </si>
  <si>
    <t>хороший блендер! хоть и недорогой, мне уже служит целый год, пользуюсь очень часто.</t>
  </si>
  <si>
    <t>Пользуюсь полтора года, никаких проблем, то что оставляет много воды неправда, у него 3 режима мощности, если есть кошка и ковролин то лучше взять еще турбо щетку, + его можно использовать как вантус - насадка в комплекте)))</t>
  </si>
  <si>
    <t>2012-06-09</t>
  </si>
  <si>
    <t>Три дня пользуюсь водонагревателем Haier FCD-30.Работает бесшумно.Нагревает быстро.А вот клапан, травил с первого дня.Пришлось заменить.Ну вообщем доволен.Воды хватает.</t>
  </si>
  <si>
    <t>Печь просто супер!!! Печет быстро и равномерно, компактная.И нет в ней никакого запаха проводов, даже при первом включении вхолостую на 15 минут как рекомендовано в инструкции никакого запаха нет! А из минусов, это действительно снаружи она очень маркая, еще хотелось бы чтобы подсветка отключалась не вместе с таймером, а после выключения из розетки. Но плюсы бесспорно перекрывают эти минусы.</t>
  </si>
  <si>
    <t>Отличный аппарат для работы с интернетом и приложениями, а идут некоторые игрушки например FLATout</t>
  </si>
  <si>
    <t>Плюсы: Вес. Приятный как на ощупь,так и на вид. В целом неплохо,однако есть минусы,как выявилось очень и очень значительные:   Скрипит пластик очень громко.  Поворот с лева на право рывками,плавно видео не снять.Учтите,только Если поворачивать медленно ,иначе все на первый взгляд гладко( и вес камеры тоже сказывается)  При этом,мне показалось,что при установке камеры она наклонена вправо немного,из-за чего завален горизонт.  Пыталась ослабить рычаг,несколько раз открутила и все,резьбы нет( при том,что силы не прикладывала)...теперь не поворачивается совсем.В общем ,разочарована (((( если надумали купить,проверяйте тщательно...но я такой не стала бы покупать снова...</t>
  </si>
  <si>
    <t>2112</t>
  </si>
  <si>
    <t>Пользуюсь три недели. Взял серебрянного цвета. Достоинства: Хороший дизайн; многозадачность (можно сворачивать запущенные приложения); звук при разговоре с собеседником хороший (встречал отзывы, что плохо слышно собеседника, но похоже исправили. В моём телефоне была последняя прошивка R1HA035); фото камера хорошая, по сравнению с SE Z710 небо и земля (шумов практически нет); качество сборки; можно устанавливать темы и свою создать (софт на сайте SE), для SE это само собой разумеющееся, но не у других телефонов (у самсунга три предустановленные темы и хоть плач, но пользуйся ими); можно назначать рингтоны и фотки на контакты прямо с карты памяти, без копирования в память телефона, для SE это само собой разумеющееся, но не у других телефонов (у самсунга надо копировать в память телефона - меня это шокировало (карта 8Гб, телефон 20Мб)); логика меню мне понятна и кажется естественной; можно использовать карту MicroSD.     Недостатки: клавиатура не очень удобная; подсветку клавиш нельзя отключить (хоть она и отдельная от дисплея), днём не видно надписи на кнопках (у меня серебристый телефон); нет фотовспышки (подсветки камеры); второй динамик(громкий) хуже чем у SE Z710 (но не совсем плох); кнопки громкости на боку не удобные; наушники в комплекте действительно плохие (на рисунке на коробке кажется, что у них есть кнопка принять вызов, но её нет), у меня остались наушники от SE Z710 - они намного лучше звучат; также кабель ЮСБ остался от SE Z710 - подходит, а в комплекте нет его; нет стандартного разъёма под наушники и миниЮСБ.    Резюме: SE в очередной раз порадовали меня. У этого аппарата чувствуется душа, при пользовании им чувствуешь свободу (как в ГТА СА).</t>
  </si>
  <si>
    <t>Купил полгода назад,слабо всасывает и фильтр часто забивается, промываю. Сейчас практически не тянет, скорее всего фильтр надо поменять.</t>
  </si>
  <si>
    <t>Комнату 11 кв.м. охладил за 20 минут. Работает не особо шумно, быстро привыкаешь. В жару спасение просто. Есть автоматический режим, когда он включается сам периодически чтобы просто поддерживать заданную температуру, очень удобно. Чтобы вывести гофру в окно, мы вместо маскитной сетки вставили фанеру. Вобщем, вещь хорошая, мы не пожалели, что купили. Тем более его можно транспортировать без проблем.</t>
  </si>
  <si>
    <t>Решил обновить авто пылесос, который работает уже 5 лет. Купил этот, повелся на низкую стоимость и совет консультанта. Моя ошибка в том, что при покупке не попросил в сервисе его проверить.  Коротко: абсолютно бесполезная жужжалка за 2 тыс. рублей. В себя втягивает только взвешенную в воздухе пыль, т.к. тяги практически нет. В итоге дочистил салон авто старым пылесосом, хорошо, хоть не успел его выкинуть. В сервисе М-Видео поменять или сделать возврат отказались, аргументируя тем, что это особенность модели.</t>
  </si>
  <si>
    <t>2500</t>
  </si>
  <si>
    <t>Игра зашибись! =)</t>
  </si>
  <si>
    <t>Купил сей девайс. Юзаю недавно, но доволен, как слон. Есть всегда горячая вода. Выбирал между Панасоником и Zojirushi. Все сделано добротно и качественно, впрочем, как и все у японцев. Рекомендую.</t>
  </si>
  <si>
    <t>У меня локоны получаются красивые. Плюс в том, что бигуди разного диаметра. Локоны держатся долго: сутки - двое, при том, что волосы до завивки и после нечем не обрабатываю. Да согласна, что шпильки крайне не удобны и не понятна техника их использования, но купив зажимы можно изменить ситуацию. Правда я пользуюсь ими уже 1,5 года 4 - 6 раз в неделю и все это время -только планирую купить эти самые зажимы и никак не дойду до спец. магазина :)</t>
  </si>
  <si>
    <t>машинка прекрасная,я довольна.  Спасибо менеджеру Сергею Федотову за помощь в выборе и качественное обслуживание.Побольше бы таких работников.</t>
  </si>
  <si>
    <t>Купил для чистки полнокадровой матрицы, подсветка слабая, чистить неудобно. Закинул в шкаф, для чистки использую яркий светодиодный фонарик - вся грязь видна, чистить комфортно.</t>
  </si>
  <si>
    <t>2581</t>
  </si>
  <si>
    <t>Долго выбирал lcd.Вообще TOSCHIBA,как вариант не рассматривал в мыслях крутились,SONY,SAMSUNG,PHILIPS но при сравнение всех этих вариантов для меня TOSCHIBA оказалась в выигрышном положении, т.е четкость,контрастность,динамика сцен.Был очень давно toschiba bomba оставил очень приятные воспоминания, может это и повлияло на мой выбор! 5+</t>
  </si>
  <si>
    <t>Купил почти месяц назад, очень доволен. Глюков нету, камера хорошая, звук отличный, ещё бы WiFi и был бы супер телефон.  При активном использовании (интернет, игры, разговоры, роуминг) продержался 7 дней на одной зарядке!!!</t>
  </si>
  <si>
    <t>Приобретен был перед поездкой на море из соображений - мы не профессионалы, но фоткать обожаем, поэтому хотим удобный в использовании и качественный фотик. Выбрали Coolpix по акции. Не пожалели, а все радуемся удачной покупке - удобный, стильный, разные режимы - фотки на пляже и природе (режим пейзаж), портретный практически везде режим подходит. При установке даже среднего уровня качества - хоть плакаты делай. Видео также пишет приличное.</t>
  </si>
  <si>
    <t>Выбирала по дизайну, нужен был металлический чайник. Из ассортимента выбрала Tefal, бренд как никак, доверия было больше. Ага. Почти сразу сломалась крышка, а через какое-то время чайник потек.   Также с чайником нужно быть осторожным, он очень сильно нагревается, я несколько раз обжигалась.</t>
  </si>
  <si>
    <t>цена и низкое качество</t>
  </si>
  <si>
    <t>Цена. Очень шумный.</t>
  </si>
  <si>
    <t>По достоинствам: отличная модель не ожидал такого качества от модели используя тв антенну.Недостатки: нет возможности смотреть картинку в картинке по нескольким тв каналам.Нет часов.</t>
  </si>
  <si>
    <t>1275</t>
  </si>
  <si>
    <t>Отличная флешка. Практичная, удобная, без постоянно теряющейся крышечки. Достаточно быстрая скорость записи и чтения.Очень довольна покупкой, всем рекомендую.</t>
  </si>
  <si>
    <t>Форма оптимальна на количество человек 6-10 (стандартные противни в газовых плитах великоваты), глубина самая удобная, легко моется. Пользуюсь с февраля, получаю удовольствие.</t>
  </si>
  <si>
    <t>Компактная, легкая, функциональная. Чувствительна к подбору нитка-иголка-ткань, надо приноровиться. Исправно шьет и шелк, и джинсу несколько слоев, хорошие петли, качественные строчки, очень нравится набор декоративных отсрочек. В общем, для домашнего пользования - самое оно.</t>
  </si>
  <si>
    <t>какая вам спец версия 7??? для буков  фон.рисунок + экран приветствия на фирм. сменят и воля  спец версия готова.    греется до 82 проц  77 чип сет  79 видео   58 hdd  но корпус холодный правда чуть тёплый    берите windows anytime apgrade ищите в нете ключ для upgrade до максимальная   обновляйте и готово</t>
  </si>
  <si>
    <t>Вытяжка 60 см Apelson HELIA 600 INOX оказалась после 5-ти месяцев эксплуатации пожароопасной. Фильтры меняли раз в месяц, как положено. Видимо двигатель от перегрева решил загореться, хотя высота от плиты была 75 см. Жаль, что у вытяжек нет предохранителей или плавких вставок или еще какого пожаробезопасного механизма отключения в случаях выхода из строя двигателя. Выгорела вся пластмасса, покапав на плиту и посуду. Рукав воздуховода свернулся в комок и по всей кухне была сажа от китайской продукции.</t>
  </si>
  <si>
    <t>2446</t>
  </si>
  <si>
    <t>за эти деньги можно купить как минимум две отечественные. такого же класса.</t>
  </si>
  <si>
    <t>Неплохая плойка, уже 3 по счету такая, все по году точно работают, за такие деньги очень даже)</t>
  </si>
  <si>
    <t>офигенные наушники. Я бы и за 2к купил, если бы продавали))</t>
  </si>
  <si>
    <t>Отличный ноутбук, купил неделю назад, выбирал очень долго по соотношению цены качества и производительности. Седьмой windows очень радует, даже и ХР не буду устанавливать.</t>
  </si>
  <si>
    <t>Влажная уборка</t>
  </si>
  <si>
    <t>Хотели купить другую машинку, но консультант настоятельно рекомендовал ее...Очень пожалели что купили...(( Волосы забиваются в ней после каждого движения по голове, приходиться выключать, снимать насадку, очищать и т.д. по кругу.  Из хорошего, в руке сидит хорошо, легкая, мыть можно под водой)</t>
  </si>
  <si>
    <t>Неплохой телефончик, купил в июле, правда белого цвета. Минус в том что при блокировке цифровой клавиатуры, записная книжка остаётся незаблокированной. Т.е. номер набрать Вы не можете, а посмотреть телефонную книгу можно. Очень неудобно при наличии маленьких детей, т.к. случайно можно уничтожить записи в тел. книге. При подключенной на АТС функции Caller ID определяется номер звонящего.</t>
  </si>
  <si>
    <t>Очень удобный, есть сливной носик</t>
  </si>
  <si>
    <t>2015-05-24</t>
  </si>
  <si>
    <t>Чудовищно держится в розетке, болтается. При попытке вставить искрит</t>
  </si>
  <si>
    <t>Я поклонник готики, но последняя часть просто туфта.</t>
  </si>
  <si>
    <t>Купил данный товар сегодня. Очень доволен. За маленькую цену, получил превосходный мини-кондиционер. Нет, не могу назвать его вентилятором. Язык не поворачивается!:) Шумит, конечно, но я привык. Да, и лучше пускай шумит, чем умирать от жары! Спасибо М-видео!</t>
  </si>
  <si>
    <t>493</t>
  </si>
  <si>
    <t>Офигенская флешка за свои деньги! светится рыжим цветом!  использую постоянно в машине!</t>
  </si>
  <si>
    <t>2015-11-29</t>
  </si>
  <si>
    <t>Купил данный холодильник в 2013 году. Год кое как отработал. Шумел ужасно компрессор + всякие бульканья и шипения внутри. Через год стал все хуже и хуже морозить, вверху нижней камеры стал образовываться лед. По гарантии отремонтировали, сказали трубка у компрессора прохудилась и вытек хладагент. После ремонта отработал еще год и ровно через месяц по истечении гарантии снова перестал морозить. Вызвал мастера, он сказал утечка в морозильной камере. Ремонт дорогой, и не факт, что еще потом где то не прорвет. Выбросил на помойку</t>
  </si>
  <si>
    <t>Взял при покупке xbox&amp;#39;а, до этого два раз проходил на компе. Игра отличная, советую всем. 4 А не 5, потому что минусы, какие-никакие но есть. 1. Как и в версии для ПК отсутствует сглаживание, на моём 22&amp;quot; мониторе это ещё было терпимо, но на 40&amp;quot; телевизоре глаз режет не по детски (эффект ёлочки), правда на это перестаёшь обращать внимание после 250 км\\ч, ибо некогда, сразу оговорюсь, использую HDMI кабель, так что дело не в &amp;quot;шнурке&amp;quot;. 2. Режим игры на раздельном экране (с другом) отсутствует, что очень досадно. А так, игра &amp;quot;бомба&amp;quot;, приятно ездить, красивые модели машин и пейзажи, динамично, красочно. P.S. Минут 20 не мог открыть пластиковый бокс в котором находится коробочка с игрой, да, я неандерталец, до этого с такими коробками не сталкивался, очень хотелось поиграть, взял отвёртку и то еле открыл.</t>
  </si>
  <si>
    <t>Так себе, нам с женой не понравилось. А дочь в восторге. Мне не понравилось что хлеб слабо запекает, и к ней тяжело приспосабливаться когда готовишь.</t>
  </si>
  <si>
    <t>Пару дней назад купил данный продукт, вполне доволен.  Отличное соотношение цена/качество.  Надеюсь прослужит долго.</t>
  </si>
  <si>
    <t>Сегодня купила такой утюжок. Вообще-то я шла за другой маркой выпрямителя, но продавец предложила посмотреть эту модель. Очень удобно лежит в руке в отличие от других, которые я смотрела. Очень легкий. Дома попробовала как работает на минимальной температуре - действительно отлично выпрямляет. Посмотрим, что будет дальше. Очень не хотелось бы, что волосы электризовались. Пока довольна.</t>
  </si>
  <si>
    <t>Купил, поставил, отличная вещь, но бульон убежал на поверхность плитки и в результате черный налет стерся по месту касания кастрюли, даже не терли - разочарован.</t>
  </si>
  <si>
    <t>Брал наушники 23.08.2013, не меломан по серьезному и соглашусь с другими отзывами. Оправдывают цену на 100%. К сожалению сегодня, стал одевать их и надломился основной пластиковый держатель, на котором сами ухи держатся. Сверху, возле ограничителя. Все равно, ставлю 5-ку им.</t>
  </si>
  <si>
    <t>2337</t>
  </si>
  <si>
    <t>Красивая панель, удобная, быстрая, но через месяц перестала работать левая нижняя конфорка, расширение. Через два года перестала работать правая верхняя конфорка. Пользуемся двумя малыми конфорками. Вот думаем, ремонтировать или покупать такую же новую, т.к. другая модель не подойдет по размерам.</t>
  </si>
  <si>
    <t>Враньё! Циничное и хамское! Как мог безумец(изображённый в фильме) Иван Грозный расширить царство до Сибири? Да потому что он не безумец, а настоящий царь - мудрый и сильный, справедливый и милосердный!</t>
  </si>
  <si>
    <t>Отличный коммуникатор</t>
  </si>
  <si>
    <t>Используем телевизор уже месяц и безумно рад, что целых две недели потратил на сравнение, тесты и отзывы о телевизорах из-за чего и решил приобрести для семьи именно этот телевизор. Не ожидал, что телевизор будет так хорошо показывать эфирные каналы, которые смотрим на 90% от всего просмотра (кабельного и спутникового нет, а смотрим в 1,5-3 метрах от телевизора). Может эфир хороший, п.э. не буду утверждать, что у всех будет показывать так хорошо. Хотел DVD-проигрыватель приобрести, но теперь нет необходимости и фильмы с флешки смотрим. Урезанные возможности встроенного проигрывателя (не растягивает изображение, ограниченная перемотка) нисколько не портят весь восторг от покупки, если учесть, что декодирует большое кол-во видео-форматов и то, что встроенный проигрыватель - бонус к качественной картинке и много ждать от него не приходится! Жалко, что некоторые функции (100гц, таймер сна) не выведены на "горячие клавиши" пульта, но есть и множество других прекрасных функций. Для любителей просмотра сериалов и телепередач в определенное время существует полезная функция расписания, причем не просто переключает на нужный канал и в определенное время, а за 5 минут предупреждает о начале фильма и предоставляет выбор для переключения. Понравилось очень быстрое переключение между каналами, чего не встречал на других ЖК-телевизорах. Пульт очень понравился, в руке лежит - как говорится, а для любителей ночных просмотров пультом легко пользоваться из-за включаемой подсветки клавиш. Дизайн самого телевизора хорошо вписался в глянцево-черный интерьер комнаты, хотя и выбрал телевизор не из-за его дизайна, но этим фактом были еще больше рады. И даже это все меркнет перед качеством картинки: глубины черного цвета и ярких-контрастных цветов картинки, равномерной подсветки.Ради интереса проверил матрицу на битые пиксели и оказалось, что нет ни одного!    Теперь будем ждать обещанного цифрового телевидения в России, т.к. в телевизоре кроме аналогового есть и цифровой тюнер!   Рекомендую!</t>
  </si>
  <si>
    <t>Потёк</t>
  </si>
  <si>
    <t>Покупали термопот себе в офис, выбирали долго. Хотелось купить что-то приличное при ограниченном бюджете. Остановили свой выбор именно на этом варианте, потому что: отличная цена, приятный современный внешний вид, удобное и практичное использование, быстрый нагрев воды, нужный объем (3,8 л), бесперебойная работа, долгое сохранение тепла. Обычно в некоторых моделях помпа – это основное «больное место», но тут как раз с этим всё в порядке. Помпа добротная, удобная, надежная. Пластмасса видно, что качественная. Еще один положительный момент – отсутствие посторонних привкусов и запахов в воде. У предыдущего чайника была такая проблема. А тут с этим все в порядке.</t>
  </si>
  <si>
    <t>Им только полки пылесосить!!!  Если у вас сабака,  забудьте про эту модель, из за конусного всоса вся шерсть прилипает к нему.  Звук у него как будто он умерает,  сосёт не очень.  Всего один + это контейнер</t>
  </si>
  <si>
    <t>Сломался спустя 7 месяцев эксплуатации. APC уже не тот</t>
  </si>
  <si>
    <t>сломалась через месяц, никому не рекомендую продукцию этого бренда</t>
  </si>
  <si>
    <t>Купил для жены. Пользуется часто, всё нравится. Прибор качественный и довольно массивный.  Заказывал доставку курьером, но оказался не комплект, в коробке отсутствовала одна из насадок, которую в итоге доукомплектовали после обращение в магазин. Так что при покупке проверяйте комплектацию сразу.</t>
  </si>
  <si>
    <t>2909</t>
  </si>
  <si>
    <t>Я очень довольна этим утюгом. Пользуюсь уже 5 лет. Отлично проглаживает все вещи, включая изделия из деликатной ткани, а также складки. Радует многочисленными функциями. Купив дорогой утюг другой модели, моя подруга пожалела и решила приобрести такой же, как у меня. Приемлемая цена за превосходное качество. Рекомендую!</t>
  </si>
  <si>
    <t>Замечательный помощник на кухне. Делаю им все! И вместо мясорубки, и вместо толкушки, терки, тесто замешиваю - не знаю, как жила без него раньше!</t>
  </si>
  <si>
    <t>Супер аппарат!!! Даже не представлял что современные мобильные устройства стали столь совершенны!!! Куча приложений, ноль тормозов, интуитивно понятное управление!! Советую всем!!!</t>
  </si>
  <si>
    <t>О достоинствах холодильниках Liebherr можно писать много и долго. Опишу основные моменты: качество и надежность ящиков, полок, крепления и т.д. - все функционирует (даже после нещадящей эксплуатации мужчины). Малое потребление электроэнергии - приего размерах. И конечно вместимость - холодильник покупался в дом и объем морозилки впечатляет! Сборка германская - что говорит само за себя!</t>
  </si>
  <si>
    <t>Александр (Астрахань) писал: "Ребята у него очень зернистый экран, просто возьмите в руки "младшую" модельку Rover V7 и вы сразу все поймете!"    У Rover V7 совсем другой экран - VGA с разрешением 640х480 пикс, а у этого QVGA - 240 x 320 пикс. По этому и видна "зернистость" по сравнению с V7.</t>
  </si>
  <si>
    <t>560</t>
  </si>
  <si>
    <t>У нас машина уже 5 лет, жалоб нет вообше! Советую! Только у нас не руссифицированная.</t>
  </si>
  <si>
    <t>В магазине сравнивали изображение аналогового и цифрового телевидения с другими моделями в данном ценовом диапазоне (особенно с LG 32 LH2000 - не советую). Пользуюсь один день. Пока всем довольна, от кабельного отлично показывает, особенно, если установить подавление шума - пропадут мелкие точки от слабого приема сигнала. Телевизор отличный. Из мелких недостатков - не очень понятная инструкция. Но во всех настройках разобралась сама в течение 2-3 часов. Установка также легкая.</t>
  </si>
  <si>
    <t>Ув. владельцы самсунга, подскажите, а верхняя крышка снимается (хочу встроить под столешницу)?</t>
  </si>
  <si>
    <t>Купил полгода назад, недоволен ужасно, зубную пасту от кофты не отстирала - зато все в катышках, рубашки вообще отдельная история... Джинсы постирал - вид такой как будто их стирали раз 10, хотя это была всего вторая стирка... Сэкономил первый раз в жизни - больше так поступать не буду...</t>
  </si>
  <si>
    <t>Отличный звук, хорошо смотрятся</t>
  </si>
  <si>
    <t>Очень хорошая, качественная вещь! У меня густые волосы средней длины, и с ними этот \"агрегат\" справляется на \"ура!\". Есть насадка для выпрямления волос с керамическими пластинами (распрямляет хорошо), есть вращающаяся насадка (крутиться в две стороны и при этом натуральная щетина), есть насадка меньшего диаметра (щетка не крутиться) для тонких прядей (челки), есть просто концентратор. Режим холодного воздуха. Очень довольна этой вещью. Недостатков пока не выявила.</t>
  </si>
  <si>
    <t>Пользуюсь около 2-х лет, нареканий нет, Япония есть Япония, бреет до сих пор чисто и без раздражений. Единственное, дорогая сменная насадка с сеткой и режущими элементами (2000 р.), хотя хватит их года на 3 точно.</t>
  </si>
  <si>
    <t>Хорошие щипцы. Ничего экстраординарного в них нет, но и недостатков за полгода службы пока тоже не наблюдала (кроме того, что больно уж они быстро подешевели - немного обидно). А так модель хорошая - берите, думаю вряд ли пожалеете.</t>
  </si>
  <si>
    <t>Тихая, лёгкая в управлении, идеальная...но дорогая)))</t>
  </si>
  <si>
    <t>Цена, достаточно мощный, различные насадки</t>
  </si>
  <si>
    <t>Пользуюсь месяц. Очень нравится. Отстирывает отлично даже в режиме быстрой стирки (30 минут). Вещи не портит. Я полюбила стирать!)  До этого была жуткая Индезит, дороже, но в тыщу раз хуже, ничего не отстирывала, порошок не выполаскивала даже при дополнительной функции полоскания и протекал поддон для порошка.  Кнопочки и звуковые сообщения мне очень нравятся, по сравнению с крутилками.  Никаких недостатков не заметила.  Работает негромко. И, если отрегулировать по уровню, ничего не скачет.</t>
  </si>
  <si>
    <t>Недавно приобрел себе стиральную машину haier,изначально конечно были сомнения,по поводу производителя,но теперь пользуюсь и совершенно доволен,во-первых есть все функции,машинка устойчиво работает и при перепадах напряжения,у меня оно падает до 170 вольт,не вибрирует,как многие другие, есть возможность дозагрузки во время стирки.в общем,плюсов много.советую всем!</t>
  </si>
  <si>
    <t>Долго выбирал магнитолу, всё думал что же лучше, sony с простейшими настройками, но как говорят менеджеры (качество фабричного китая) или уже пофункциональней что-нибудь типа мистери, проложи..., но смотрел я на эти соньки смотрел и решил, что не нужно, цена высокая а функционал минимальный. И решил остановиться на этой магнитолке, уже проверена морозом -35, работает исправно, видео показывает без тормозов и глюков, качества звучания меня вполне устраивает, если вас не волнует наличие в магнитолке цветастого эквалайзера, то советую брать.</t>
  </si>
  <si>
    <t>Купила этот блендер вместо старого, который отправила на дачу. Скарлетт не идет ни в какое сравнение со старым. Очень шумит, греется в руке так, что невозможно держать. Даже майонез сделать проблематично - не хватает мощности. В общем, одни мучения. Завтра пойду сдавать и поменяю на блендер от приличной фирмы.</t>
  </si>
  <si>
    <t xml:space="preserve">Что может быть лучше, чем гладкость кожи на три недели! Для женщины это мечта. Прибор лёгкий.Красивый)  </t>
  </si>
  <si>
    <t>1823</t>
  </si>
  <si>
    <t>Приобрел качественный товар в М.видео. Магнитола конечно классная, причем установил сам, только не забудьте перед эксплуатации внимательно прочитать инструкцию, там все от и до написано. Если у вас возникнут проблемы есть такой сайт soundmax.ru, там вам подробно объяснят все. Кстати, сразу поставил акустику DLS и антенну Bosch, все работает отменно и звучит безупречно.</t>
  </si>
  <si>
    <t>В целом неплохой аппарат. Всё портит отсутствие принудительного включения формата изображения 4:3 для стандартного просмотра эфирного телевидения без искажений пропорций передаваемого изображения. Хотя в инструкции по эксплуатации заявлена данная опция в меню телевизора. Но в реальности, к сожалению, этого нет. Если включить функцию "автоформат", то размер картинки постоянно перестраивается несколько раз в минуту при просмотре кинофильмов по телевизионным каналам и других тв-программ. Такой пустячок всё впечатление портит. Совет - проверяйте всё сами и не доверяйте инструкциям...</t>
  </si>
  <si>
    <t>Что касается писка, то проблема решается, как указано выше - прекращением обработки звука штатной программкой премиум саунд.  Из минусов могу отметить наличие двух видеокарт, с настройкой которых под разные приложения не продвинутому пользователю разобраться иногда затруднительно.  Также серьезный минус - дешевый пластик, примененный в основании клавиатуры и вокруг экрана. Пластик под клавиатурой прогибается под небольшим нажатием пальца, из-за этого усилие на разные кнопки клавиатуры неравномерно, из-за этого при печати некоторые буквы пропускаются.  Не знаю, как у других, но мне пришлось все драйвера скачивать с сайта производителя.  Слева два юсб порта расположены слишком близко.  Плюсы:  Почти не греется.  Насколько хреновый материал под клавиатурой, настолько же отличный материал в передней части под ладонями - приятный наощупь и опять же не греется.  Мощная машина для самых разных целей.</t>
  </si>
  <si>
    <t>проработала 5 дней, полетел модуль.</t>
  </si>
  <si>
    <t>2014-12-01</t>
  </si>
  <si>
    <t>Плита хорошая, всё отлично работает.... Кроме самой маленькой конфорки, - она зажигается только на самом малом газу.... На среднем и большом никак не хочет )</t>
  </si>
  <si>
    <t>Тостер отличный!!! Мне его подарила подруга на свадьбу,в 2006 !!!! году,и до сих пор никаких нареканий нет.Прожаривает равномерно,до золотистой корочки.Всем советую,не пожалеете.</t>
  </si>
  <si>
    <t>Вчера преобрел данный аппарат по акции.  Понравилось расположение и размер крышки люка, очень удобно для загрузки, мотор немного шумноват, и трясет на отжиме в 1000оборотов, но с места не прыгает.    Вообщем пока доволен, дальше будет видно!</t>
  </si>
  <si>
    <t>Отличный ноутбук - быстрый, удобный, красивый.  Игры работают даже быстрее, чем на настольном.  Всем советую.</t>
  </si>
  <si>
    <t>Приобрел вчера, все отлично. Единственное, пульт требует привыкания и смущает российская сборка.</t>
  </si>
  <si>
    <t>Это лучшая кофеварка за свои деньги. Хороший бренд, хорошая цена, хорошая качество материалов и сборка( не Китай). Воющем нужно варить кофе каждый день то только эта кофеварка.</t>
  </si>
  <si>
    <t>Люди не покупайте этот пылесос,не тратьте свои нервы и деньги.Работал он всего 20-25 м/ч за два года.До этого был 7 лет(работает в гараже)"РЫСЬ" отечественного производства с мотором LG.</t>
  </si>
  <si>
    <t>Приобрел данный чайник сегодня. Долго сомневался читая предыдущие отзывы. Интуиция все-таки подсказала, что можно покупать. За свои деньги отличный чайник. Никакого привкуса нет, шумит не громко, крышка прилегает нормально ничего не вытекает. В общем пока все устраивает.</t>
  </si>
  <si>
    <t>Андрей, это сетефой фильтр он защищает от скачков! а бесперебойник не даст выключится вашей технике. Фильтр отличный!!! Это разные вещи.</t>
  </si>
  <si>
    <t>Чайник купили более двух лет назад. Ни разу не пожалели. Кипятим часто. Шумит конечно, но не так громко как описывают выше. Техника любит уход. Чистить надо, тогда проблем не будет.</t>
  </si>
  <si>
    <t>С народом абсолютно согласна - бессмертный чайник! До этого ни один чайник больше 0,5 года не жил, а этот ничего уже 5 лет коптит и как новенький! Пластиком не воняет, мне даже кажется, что в нем вода вкюснее становиться, перечитала тех описание, никаких приблуд для улучшения вкуса вроде бы нет!</t>
  </si>
  <si>
    <t>Первое время был неприятный запах пластика, что неудивительно, если учесть цену. Греет хорошо, работает тихо, выглядит прилично. Поток горячего воздуха идет в ноги, и это намного лучше пассивных обогревателей. Мощность почти 2 кВт, хватит для любой комнаты.</t>
  </si>
  <si>
    <t>Пользуюсь соковыжималкой борк S700 с прошлого года и очень довольна, до нее у меня была недорогого бренда и еще наша советская. Хочу дать несколько полезных советов дачникам, год урожайный. Яблоки желательно рвать руками с дерева и сразу выжимать, тогда сока у вас будет много и он будет без пюре, нет смысла жать яблочную падаль, а потом грешить на соковыжималку. А те кусочки от продуктов, которые попадаются в жмыхе, получаются так как толкатель не достает немного до самих ножей, чтобы не стирался его пластик.Такой принцип абсолютно у всех соковыжималок и кухонных комбайнов. А для ягод лучше использовать шнековые соковыжималки, там выход сока из них большой, так как они не трут продукт, а именно его давят. Я в этом году уже закрыла 40 л сока. Удачи!</t>
  </si>
  <si>
    <t>ПЛЮСЫ: цена,производительность,дизайн   МИНУСЫ:плохое качество привода,(в том числе качество записи),отсутствие на сайте производителя драйверов под XP или VISTA, следовательно невозможность подключения всех доныне существующих внешних устройств, жаль.  p.s прочитал все отзывы, много жалоб по GT220 - у меня видюха не глючит.</t>
  </si>
  <si>
    <t>1169</t>
  </si>
  <si>
    <t>Плеер нормальный был такой 2 года ,а этим летом нечайно в лагере оставила .Плюсы:Прикольный дизайн ,просмотр картинок.Минусы:родные наушники сдохли ,начали шипеть,не производит фильмы формата avi.  А так впринципе прикольный пользовалась.бы и пользовалась если бы не потеря</t>
  </si>
  <si>
    <t>Дерьмо, а не плита, не прошло и года как начала трескаться эмаль на плите, после эксплуатации более 2 лет, вида никакого, трещины уже на панели где флажки,цвет белой эмали темнеет.Что делать, не знаю, гарантия кончилась??? Люди, не тратьте деньги на это ЧУДО. Печет хорошо, варочная панель нормальная, а внешний вид ужасный.</t>
  </si>
  <si>
    <t>Долго мечтала и выбирала кофе машину.По случаю и с хорошей скидкой приобрела.Пользуюсь неделю, привыкаем друг к другу.В целом, покупкой довольна.Радует ароматным кофе...</t>
  </si>
  <si>
    <t>Телевизор отличный. Приобрел перед новым годом. Все меня устраивает. Изображение качественное. Сборка Словакия. Это было основным из основополагающих при покупке. Годика через три куплю новее модель.</t>
  </si>
  <si>
    <t>тостер просто замечательный,не представляю даже как буду жить без него,до этого был горький опыт с дешёвым тостером который прожаривал не равномерно и вонял пластиком!  Bork как всегда показывает своё превосходство над всеми!Люблю свой тостер и всем рекомендую!</t>
  </si>
  <si>
    <t>После часа активной игры в стрельбу из лука и теннис, наутро болят грудные мышцы и мышцы рук! Это совершенно новый подход к компьютерным играм. Веселее всего играть вдвоем, когда есть 4 мува, особенно в гладиаторские бои и волейбол! В общем мой совет обладателям мувов: покупайте срочно!</t>
  </si>
  <si>
    <t>Покупкой доволен,работает практически бесшумно.Достаточно мощный,безупречный дизайн,радует наличие дисплея,где можно видеть текущую температуру окружающего воздуха.По оценке цена-качество,ставлю отлично.</t>
  </si>
  <si>
    <t>Приобрела Фен-щетку Polaris PHS 0746 Lilac/Metal Silver еще в прошлом месяце. Очень удобная вещь эта щетка с помощью которой можно сделать укладку на голове намного лучше, чем в салоне и еще при этом прилично сэкономить. Нравится, что она не пересушивает волосы и в руках ее довольно удобно держать. Фен-щетка довольно компактная и ее можно запросто взять с собой в дорогу.</t>
  </si>
  <si>
    <t>Гарантийная мастерская так и не отремонтировала мою плиту (не работал мех таймер, см. отзыв ранее). Сказали, что данная деталь заводом не поставляется. Выписали мне акт. Поехал в магазин с этим актом ради интереса, что же предложат в итоге. Но был приятно удивлен, когда сотрудники магазина сказали, что не будет никаких проблем с полной заменой газовой плиты.  В итоге: на следующий день приехали сотрудники службы доставки М-видео, забрали мою уже БУ плиту, сказали подъехать в магазин и написать заявление. Приехал, написал заявление и уже на следующий день мне привезли точно такую же плиту, только новую. При этом за всю эту процедуру не заплатил ни копейки. Не ожидал такого сервиса. Спасибо.</t>
  </si>
  <si>
    <t>2829</t>
  </si>
  <si>
    <t>Отлично сидит его даже не заметно, насчет хрупкости может надо поаккуратнее запихивать в чехол, зато потом сидит идеально</t>
  </si>
  <si>
    <t>В восторге от телефона! Красивый, лёгкий, громкий чистый звук, цена порадовала за многофункциональность ОНА приятная! рАдио работает без наушников, да ещё есть возможность записать понравившуюся мелодию в телефон! кАмера только украшение задней панели, так что фотографам не советую!карта памяти на 2гика читается хорошо!наушники с приличным звучанием!МР3 плеер в фоновом режиме с хорошим звуком!Яркий дисплей,мелодия на каждого абонента ставится/добавить поля/если контакт в памяти телефона!Ложный вызов,СМС SOS РАДУЮТ НАЛИЧИЕМ!</t>
  </si>
  <si>
    <t>Пылесос моющий, супер, мне очень нравится, уже 2 года пользуюсь</t>
  </si>
  <si>
    <t>Три года активной эксплуатации на рыбалке, и зимой и летом. Температуру держит отлично в течении суток.&amp;nbsp;</t>
  </si>
  <si>
    <t>Можно мыть под водой!</t>
  </si>
  <si>
    <t>Очень хорошие наушники за свою цену.Прекрасно звучат.Глубокий бас. У меня сломались через 10 месяцев.Не очень надежная конструкция штекера.</t>
  </si>
  <si>
    <t>Пользуюсь недолго, неделю.      Выбирала из эксплея и самсунгов, но мне сказали,, что они наиболее часто попадают в ремонт. А плеер этой фирмы уже носит моя мама, и он ее устраивает абсолютно.     В принципе устраивает, жаль, что подзаряжается только от компьютера. Достоинства: смотреть фильмы, причем программа ужимает их существенно, удобен в эксплуатации, читать книги. Жаль только нельзя одновременно играть, или читать и прослушивать музыку.    Симпатичный, небольшой, цена отличная.Рекомендовала бы тем, кто любит маленькие, аккуратные плееры.</t>
  </si>
  <si>
    <t>Отличный утюг. Ничего лишнего, гладить одно удовольствие</t>
  </si>
  <si>
    <t>Басы сочны, верха восхитительны. Середина замылена. Пойдут на ура для попсы и электроники, для рока, джаза - не совсем то, что надо. Звукоизоляция потрясающая, одел - и и тишина. Огромный плюс этих ушей - их почти полная неубиваемость. Носил их 1,5 года на улице, ронял - даже царапин нет. Правда на морозе дубеет провод.</t>
  </si>
  <si>
    <t xml:space="preserve">Мощность, дизайн </t>
  </si>
  <si>
    <t>Радиатор выбирал исходя из мощности и количества секций ну и цена не на последнем месте была.На дизайн было наплевать, главное чтобы грел, колеса полный отстой крепятся на стяжке к последней секции радиатора и если перетянуть металлические барашки можно повредить сам радиатор, т.е вытечет масло. Про заявленную мощность можно забыть сразу, комнату в 12к.м еле греет может дело в термостате, сейчас не особо холодно, другое дело зимой.На ближайших выходных отвезу на дачу устрою тест драйв, там заморозки обещали если лучше греть не будет сдам обратно. В течении 14 дней товар принимают без вопросов, можно брать если не устроит всегда можно вернуть, пробуйте дешевле все-равно не найти, а может и понравится.</t>
  </si>
  <si>
    <t>игра хорошая,но сыровата!Есть много глюков в мультиплеере.Например деревянный ящик не может пробить даже пулемет!говорят скоро патч выйдет на 1,5gb надеюсь в нем исправят все косяки!Большинство серваков лагает особенно вечером.На россисйские серваки ваще проблема зайти.  Кампания супер!Графика слабовата для современных игр!  Ждем CRYSIS2!</t>
  </si>
  <si>
    <t>2404</t>
  </si>
  <si>
    <t>Купил данный ноутбук вчера, за 28000 рублей.   Что понравилось: экран, большой яркий дисплей... но углы обзора чуть подводят... в большой компании смотреть не получиться, зато одному очень хорошо...   звук, кончено с внешними динамиками не сравнится, но как мобильный вариант подойдет, только тихо очень играет (совет покупайте внешние динамики или наушники)   производительность: самое слабое место ноутбука это процессор... все остальное на уровне, но с повседневными задачами справляется...   Запускал на ноутбуке только одну игру Titan Quest на максимальных настройках все летает, благодаря мобильной видеокарте GF240M которая отлично справляется как с играми так и с HD фильмами...   ВЫВОД: покупкой доволен на все 100, она своих денег стоит и окупает каждый вложенный рубль... только Win7HE нужно менять на Ultimate версию обязательно...</t>
  </si>
  <si>
    <t>2315</t>
  </si>
  <si>
    <t>отличный ноут чё вы парите всё идёт как по маслу,у меня с ноутом проблем нет)</t>
  </si>
  <si>
    <t>Ничего лишнего. Кофейные зерна перемалываются в мелкую крошку, шума и посторонних запахов нет. Не очень удобная форма крышечки, округлая - сложно подцепить, особенно влажными руками.</t>
  </si>
  <si>
    <t>Просто отличная вещь!Пользуюсь 2 года,не представляю,как раньше без него обходилась.</t>
  </si>
  <si>
    <t>Ужасная печь! Что-то в ней испечь я не попробовала, тк при включении пошел едкий химический запах! Это не дым, а именно горит какой-то китайский материал. Готовить в ней еду я не рискну. Решилась купить Скарлетт только из-за того, что печь вроде из металла, надеялась, что не будет подобных моментов.  В общем, никому не советую. Спасибо М-видео, забрали печку обратно</t>
  </si>
  <si>
    <t>Когда приобрела сей товар была счастлива, но через неделю он начал своевольничать. Сначала сам отключался и зависал, после этого несколько дней не включался. При подключении к ПК нагревался как сковорода. Так же минус в воспроизведении видео, а точнее в не воспроизведении его. Сколько я не конвертировала видео в различных программах, сколько не уменьшала, плеер не воспроизводил. Заявление - "50 часов работы" - вообще, работает от силы часов 6 без зарядки с выключенным экраном. через месяц я не выдержала и завтра иду получать новый.  может это только мне не повезло.</t>
  </si>
  <si>
    <t>Пришло время покупать новый чайник. Хотели металлический, но уже в магазине увидели этот. Очень понравился, красивый, аккуратный, приятно взять в руки. Работает безшумно и на столе смотрится уютно:) Очень довольны.</t>
  </si>
  <si>
    <t>Была такая кастрюля несколько лет, покупала у официалов ронделл. Острая кромка! Порезала впервый раз палец и сильно когда мыла! Это НЕ нормально! Потом мыла и руками кромку не трогала. Очень тонкий металл, качество плохое, не советую покупать такой набор НИКОМУ! Хранить не удобно, на крышку не поставить друг на друга, высокая кромка у крышки. Плюс лишь в носиках для слива и не более!</t>
  </si>
  <si>
    <t>Хороший звук, четкие басы</t>
  </si>
  <si>
    <t>Подкупила простота использования и конечно трехслойный кофе. Достаточно быстро получил кофе как мы обычно пьем. С пеной поигрался чуть дольше. Любим молоко 2.5, вполне так, надо попробовать более жирное. Просто обслуживать, быстро готовить. Пользуем три дня, довольны. Не очень удачно сделаны верхние крышки.</t>
  </si>
  <si>
    <t>Отличная машина, не шумная, стирает великолепно!)</t>
  </si>
  <si>
    <t>Прекрасный выбор! Никогда не подводил! Советую!</t>
  </si>
  <si>
    <t>Купил пару дней назад эту модель.Уже сделал три порции сока из овощей. Конечно она могла бы и лучше выжимать, не такой уж сухой жмых. Но в принципе нормало получается и быстро. Пока нету претензий. Мне нравится. Но я еще пытаюсь понять все ее возможности. Цена конечно не низкая, но вроде хорошая вещь.</t>
  </si>
  <si>
    <t>Замечательная панель. Простая и удобная. Большая конфорка находится спереди, чтоб тяжёлое ставить не надо тянуться. Единственный минус - при малейшем прикосновении остаются пальчики, поэтому приходится вооружиться тряпочкой и специальным чистящим средством и постоянно протирать</t>
  </si>
  <si>
    <t>Пылесос очень достойный.  Покупали три года назад, так как нужен был моющий пылесос в квартиру с линолеумом. За три года ничего не ломалось, меняли только фильтры. Пылесосом пользуемся примерно 1 раз в 2 недели. Легко разбирать и мыть. Из минусов - тяжеловат и шумен, но достойной замены для него пока не видим.   За свои деньги при аккуратном обращении вполне достойный аппарат.</t>
  </si>
  <si>
    <t>Плюсы:  - отличный черный цвет, динамическая контрастность;  - быстрая матрица;  - большие углы обзора (без искажений цвета);  - встроенный медиа-плеер, воспроизведение множества форматов;  - легкая настройка для работы в сети, работа в локальной сети;  - логичное меню, множество настроек;  - подсветка кнопок дистанционки;  - регулярное обновление прошивки;  - шикарный дизайн.    Минусы:  - не читаются отдельный файлы файлы MKV (либо полностью, либо не воспроизводится звук);  - нет доступа к руcскоязычным интернет-ресурсам;  - тормозная и сырая утилита расшаривания папок с контентом на ПК.    Итого:  Лучший телевизор в своем классе. Все минусы носят программный характер и, скорее всего, будут исправлены в последующих версиях прошивки и ПО.</t>
  </si>
  <si>
    <t>Игра супер!! Всем советую!! Красивейшая графика, отличный звук, идеальный геймплей, реалистичный мир. Интересный сюжет!! Миссии не однообразны почти до конца игры!! Джоном вы играете до половины, а потом его сыном! Играю 3 месяца в нее по 12 часов в сутки и до сих пор не прошел ее до конца!)</t>
  </si>
  <si>
    <t>1829</t>
  </si>
  <si>
    <t>Пользуюсь плеером уже почти год, бывает очень редко подвисает ну на это и есть кнопка ресет (подвисает из-за нестандартных файлов мр3 и.т.д. ), качество звука на высоте.  Очень богатая настройка 3д и басов.   Сейчас стал замечать, что садится стал быстрее, ну это и логично почти год использую.   Сколько плееров не брал, думал по звуку и функционалом будут лучше - нет! - этот сделан по уму.</t>
  </si>
  <si>
    <t>просто супер!!!!!</t>
  </si>
  <si>
    <t>1387</t>
  </si>
  <si>
    <t>Прекрасно отжимает! Легка в использовании, ни разу не пожалела о покупке. Теперь маме советую! Выжимает морковь, груши, яблоки, цитрусовые на ура!</t>
  </si>
  <si>
    <t>1797</t>
  </si>
  <si>
    <t>Отличная игра!!! Поиграл в пиратку и скоро пойду за лицензией - чтоб по Инету играть! И надпись про оторванные конечности - сущая правда!)))</t>
  </si>
  <si>
    <t>Встроили сами без проблем, встала вместо тумбочки - и не догадаешься, что это там машинка!  работает достаточно шумно-ТВ уже не посмотришь, поэтому включаем когда поедим.  подключили к холодной воде, сначала были подтеки-потом купили и ополаскиватель и соль (хотя у нас вода мягкая) и вся посуда как новая.  Жена очень довольна,   я доволен,что она довольна.   Про вместимость: 9 комплектов оказалось не так уж и много, но в нашем случае не приходилось выбирать.  Рекомендуем!</t>
  </si>
  <si>
    <t>Отличный монитор, только низкая частота развертки по горизонтали</t>
  </si>
  <si>
    <t>Купил этот пылесос пару недель назад,до этого пользовался различными другими пылесосами,но без аква фильтров.Пылесос отличный,длинный шнур,тяжеловат но не критично,шумность при работе приемлемая,после процесса уборки реально ощущаешь отсутствие пыли в воздухе в квартире,легко разбирается-собирается,легко моется,на мой взгляд хорошая,качественная сборка(а я реально очень придирчивый к этим вещам),очень удобное управление на ручке.Что бы долго работал,когда дома много пыли не ленитесь чаще менять воду в контейнере.Всем рекомендую.</t>
  </si>
  <si>
    <t>Пользуюсь уже больше года, взбивает и режет все что угодно: мясо, тесто, яйца, каши для ребенка мелет в муку и т.д. Единственный минус очень тугие кнопки для смены насадок.</t>
  </si>
  <si>
    <t>2013-09-24</t>
  </si>
  <si>
    <t>Очень маленький объем, если чаша 2.5 л это не значит, что можно приготовить 2.5 литра супа, а всего лишь литр-полтора( Да и готовит эти маленькие порции она очень медленно. Суп варится почти два часа. А тесто получается полусырым.</t>
  </si>
  <si>
    <t>Когда в Торговом Центре открылся М-Видео, то купил (лет8 назад) этот термос (1,5л.). Термос достоин всяческих похвал, служит до сих пор, где только не побывал, но качество - премиальное. Хотел товарищу купить на день рождения (он с китайскими намучился), но цена сильно выросла. Это плохо. Но все равно куплю, т.к. качество и функциональность пока не сравнимо ни с чем.</t>
  </si>
  <si>
    <t>Купил эти наушники 2 дня назад.  Хотел выбрать качественные по звуку и удобству уши.  Купил и привез домой.   Когда их одевал - сразу почувствовал дискомфорт. И видимо из-за подушек, точнее из-за того, что они неплотно прилегают, при малейшем движении наушника раздается треск от негерметичности. Возможно это с непривычки. Слушал их около часа и разболелась голова. И странный дискомфорт в ушах остался.  Рекомендую наушники тем, кто уже предпочитает вакуумы. Видимо это не мои наушники.</t>
  </si>
  <si>
    <t>Регулировка и поддержание температуры, скорость нагрева полного объема</t>
  </si>
  <si>
    <t>Отличная машинка, много насадок (даже до 4 см), стрижет отлично, тихо, не дергает. Порадовала насадка для поддержания бороды в состоянии трехдневной небритости!! Моется водой. Очень рекомендую.</t>
  </si>
  <si>
    <t>Соковыжималкой очень доволен. Купил в своё время по очередной акции с 50% скидкой, взамен сгоревшей. Сразу же опробовал покупку на дачных яблочках, впоследствии в ход пошло всё, что растёт на даче. Аппарат - зверь, отжимал даже виноград и гранат на вино. Рекомендую!</t>
  </si>
  <si>
    <t>Телефон классный несмотря на то, что написано про батарею, у меня до 6 дней держал, правда я мало разговариваю, но всё же. Очень удобный в использовании. Жаль только его потеряла, если буду покупать новый возьму такой же.</t>
  </si>
  <si>
    <t>Ничуть не пожалел о покупке! Соотношение цена/качество более чем приемлемое. Для компа и тв удобно, да и в поездку дальнюю их брал - штука для сматывания трехметрового провода ничем не обременила. И вообще, давно советовали "уши" именно этой марки из-за качества воспроизводимого звука. Советую!</t>
  </si>
  <si>
    <t>Печка не пропекает тесто, хлеб не получается. Пользуюсь почти месяц,а результата нет. Режим быстрого хлеба даже тесто не поднимает. Короче, не тратьте деньги зря!</t>
  </si>
  <si>
    <t>2807</t>
  </si>
  <si>
    <t>Дизайн очень красивый у нее… Установили у стены прямо над плитой, отлично получилось, при готовке можно использовать только свет от вытяжки (например, если кто-то спит, нас просто кухня совмещена с гостиной). Мощно вытягивает все запахи, без остатка прямо. На максимальной скорости немного шумит, но я ее и не использую. Второй вполне достаточно, даже для такой вонючей еды, как например жареная рыба. Пользуемся полгода, нареканий нет.</t>
  </si>
  <si>
    <t>Купил сыну на 10 лет. Очень впечатлила,особенно мувик,ребенок очень доволен. Жалко что только 1 мувик идет в наборе,придется еще 1 купить.</t>
  </si>
  <si>
    <t>Очень хорошая Радиостанция рекомендую!!!</t>
  </si>
  <si>
    <t>Тоже пользуюсь больше года и очень довольна. Подстригать никогда и не где не училась, а благодаря этой чудо машинке мой муж и сыночек ходят красивенькие!</t>
  </si>
  <si>
    <t>2468</t>
  </si>
  <si>
    <t>Всем не советую брать я взял этот плеер когда втыкаю штекер в разъем плохой контакт</t>
  </si>
  <si>
    <t>Купил соковыжималку в эту пятницу (06.08.10). И сразу же в эти выходные попробовал выжать сок из яблок и помидор. Сок из яблок получился идеальным. Мякоти нет. Жмых сухой. В отличие от Журавушки белорусской, где из мягких яблок получался пюре.    Главный минус этой и всех аналогичных соковыжималок, это ситечко, которое надо регулярно чистить. Для яблок каждые 5-7 минут. Для помидор каждые 10-15 минут, а то и реже.   Дальнейшая эксплуатация покажет, как эта соковыжималка по надежности. Все что проявится напишу. ;)</t>
  </si>
  <si>
    <t>Ну, сказать что она страшная сложно, вот резкая - да! Игра суперская, и ещё, если в магазине брать она 990р стоит</t>
  </si>
  <si>
    <t>Великолепный звук, крепление в ушной раковине, качество, цена!</t>
  </si>
  <si>
    <t>Несмотря на его прикольный дизайн и сенсорные кнопки, и монитор на котором, при желании, можно и фильмы глянуть, расстроило причем сразу его маленькая батарея, которая держит от силы часа 3,5 - 4. Заряжается ужасно долго. Спустя пару недель стал зависать, помогала кнопка reset. Отдал в сервисный центр, и был удивлен сколько у них лежит на полках других texet'ов. Спустя какое-то время починили, сказали перепрошили ПО. Но результат не изменился, так же зависал, так же мало держал заряд. Пока в итоге не сдох(((  И того он у меня проработал месяц - полтора от силы..  В общем ищите лучше др плеер...</t>
  </si>
  <si>
    <t>563</t>
  </si>
  <si>
    <t>Подарили такую кофеварку на 8 марта этого года, очень нравится, кофе варю каждый день, однажды пробовала зеленый чай, вкус насыщенный. Инструкция примитивная, толком ничего не написано, искала как она отключается, выяснилось что нужной отключать самой.</t>
  </si>
  <si>
    <t>Хороший чайничек, красиво смотрится на кухне, ночью не дает себя потерять благодаря подсветки. Не знаю, что про него плохого можно сказать, а хорошего уйма. Особая благодарность, за то, что очень долго держит температуру и практически бесшумный.</t>
  </si>
  <si>
    <t>отличный коммуникатор.  почти год прошел,как купила,и никаких существенных недостатков.</t>
  </si>
  <si>
    <t xml:space="preserve">Красивая, дешёвая </t>
  </si>
  <si>
    <t>Плеер замечательный, звук супер, наушники сразу нужно менять.</t>
  </si>
  <si>
    <t>телефон купил 15.01.2010 в м-видео.   начну с минусов.  1. поскрипывает панель сбоку.  2. не запускается аська (устанавливал с интернета).  3. при записи в телефонную книгу контакт сохраняется, но в телефонной книге его нет! очень удивился.  4. на 7 громкости (максимальная) хрипит динамик(    плюсы вы и так знаете, но тем не менее отмечу несколько:  1. батарея держит 2 дня при почти постоянном использовании как в режиме разговора, так и для личных целей (музыка, интернет, смс), хотя производителем заявлено 10 часов в режиме разговора.  стилусом не пользуюсь - лежит в коробке)  2. понравился дизайн тачфона.  3. нравиться меню.  4. камера хорошая.  5. отличный фонарь.    P.S. ловит (ттт) идеально.  вывод: телефон стоит своих денег, но это филипс.  удачи!</t>
  </si>
  <si>
    <t>383</t>
  </si>
  <si>
    <t>Отличный блок, хороший процессор меня порадовал, низкое тепловыделение, отличный разгон (при желании и 4Ггц можно достичь), кеша в 2 Мбт достаточно для всего и вся!!! Тихо работает, несмотря на достаточно маленькие размеры блока, скорость проца, видюхи, матери и вообще всего оставляет желать лушего! Седьмая винда тоже понравилась, все очень красиво, я понял одно, чтобы эта винда работала хорошо, нужен мощный комп. Для геймеров=) игры летают как наши истребители=))))Если так же есть скоростной Инет, то онлайн боталии идут с минимальными пингами=) Я доволен,рекомендую всем!!! Так же хочу сказать огромное спасибо Мвидео за то, что у Вас в продаже есть достойная для пользования компьютерная техника!!!!! Удачи ВАМ</t>
  </si>
  <si>
    <t>499</t>
  </si>
  <si>
    <t>в поряде тел.</t>
  </si>
  <si>
    <t>Функциональный и практичный чайник, который мне подошел по всем параметрам. Очень важно, что есть функция отключения чайника, если в нем недостаточно воды. Мой предыдущий чайник сгорел именно так. Воду греет в течении 4-5 минут, не очень шумит при закипании, вода пластмассой сразу после покупки чайника не пахла. За такую цену получила отличный чайник.</t>
  </si>
  <si>
    <t>Самый лучший термос из представленных. Удобный, лёгкий и надёжный!</t>
  </si>
  <si>
    <t>нормальное качество вещания в отличии от кабельнгого и им подобным разнообразие каналов.</t>
  </si>
  <si>
    <t>Купил сегодня эту бритву, качеством бритья очень доволен. Но вот побрился первый раз сегодня.... лицо после бритья конечно жжет. Но терпимо. Надеюсь, что кожа привыкнет и раздражения не будет. А так пока 4 балла из 5. Но вещь класс!!!</t>
  </si>
  <si>
    <t>Из всех системных блоков которые имеются в магазине самый сильный это Системный блок Irbis F88e P8161/500.Купил его 19 сентября и полностью доволен.Очень мощный комп</t>
  </si>
  <si>
    <t>766</t>
  </si>
  <si>
    <t>Мучался со Стингером - но поставил опустив руки так сказать КИКС - И о чудо пропал фон .  Хвостик который торчит - это не кабель управления усилителя!!!!! - Это хвостик экрана - надо его цеплять на корпус магнитофона - другую сторону не ТРОГАТЬ!!!</t>
  </si>
  <si>
    <t>Выбирал самый бюджетный вариант. Решил купить Филипс из за:  - более мощная подача пара  - подошва из антипригарного покрытия  В остальеом отличий нет!  В обращении утюг очень удобный, прцесс глажки ускоряется в три четыре раза!!! Подача пара позволяет раглаживать самые толстые и "неудобные" для глажки ткани! Особенно актуальные для меня рубашки, и вертикально висящие костюмы!  Каких либо проблкм с накипью и загрязнением не возникало вообще!  И еще не покупайте средство от накипи для него, в инструкции написано что запрещяется использоввать его вообще! Просто емкость промывается водой и все!  Вообщем ставлю 5! Обычный утюг я выьросил!</t>
  </si>
  <si>
    <t>1523</t>
  </si>
  <si>
    <t>Супер супер супер вещь! В считанные минуты готовы кудряшки на голове. Очень рекомендую!</t>
  </si>
  <si>
    <t>После недавнего обновления оси до 2.1  этот кпк просто летает, хотя и раньше не тормозил. Фотокамера стала лучше, появились живые обои. Правда аккумулятор хватает на 1 день , если в сети сидеть и приложения на карту памяти не ставятся, что тоже минус, но может еще исправят. За такие деньги самое лучшее соотношение цена-качество.</t>
  </si>
  <si>
    <t>классный телефон)) купила себе такой, ну ничего, пользуюсь уже год))  и радуюсь))) играет музыка классно)) фотографирует нормаль)0 ну вообщем классно))</t>
  </si>
  <si>
    <t>Покупали в марте 2016 бабушке. Она хотела именно такой объём. Быстро на одну чашку. Закипает шумно, не быстро, есть время нарезать бутерброд. Осторожно! Чайник металлический и нагревается сильно от кипятка. Бабушка пользуется прихваткой.</t>
  </si>
  <si>
    <t>Несмотря на то, что это уже не тот сплинтер целл - это довольно хороший экшн от третьего лица. Стэлса теперь самый минимум, обычно враги устраняются быстро и шумно с новой способностью "ликвидация". Игра очень короткая. Каких то 10 миссий, но ярких и продолжительных. Хотя я бы все равно не стал покупать Conviction почти за три тысячи рублей. Оценку я ставлю только за саму игру.</t>
  </si>
  <si>
    <t>1332</t>
  </si>
  <si>
    <t>Из 10 дисков 2 бракованы</t>
  </si>
  <si>
    <t>Недавно приобрели этот телефон домой, сейчас просто наслаждаемся - понятное доступное меню настроек, память на 100 контактов, часы с будильником (в режиме ожидания часы отображаются на дисплее), хорошо работает АОН... После Панасоника, который у нас был до этого - просто сказка! У Панасоника слишком замороченное меню, просто надоело в нем ковыряться. Рекомендую всем к покупке!</t>
  </si>
  <si>
    <t>Хороший водонагреватель. 5кВт вролне достаточно...Брал для купания ребенка и принятия душа в период отключения горячей водыводы-просто супер,я доволен. Подключен через отдельный автомат с проводом 4мм...</t>
  </si>
  <si>
    <t>слушаю их третий день, звук супер, твердая-5 и сидят удобно</t>
  </si>
  <si>
    <t>Покупала пылесос, потому что дома белые ковры и белый диван. Плюсы: Мощность всасывания просто поражает, при чистке дивана даже немного ее уменьшала. Удобная конфигурация корпуса, за углы, по сравнению с современной формой, не цепляется, легко катается на колесиках, не заваливается. Функция отсоса воды просто супер! Чистит ковры, не оставляет влаги. Очень много разных насадок на все случаи жизни. Ничего не отваливается и не течет. Минусы: Честно говоря разочарована при использовании как пылесос для сухой уборки и для мытья твердых поверхностей. То что льет много воды на ламинат, это можно легко убрать, отключив помпу. Но то, что им вообще с плитки нельзя убрать засохшую грязь, было разочарованием, сколько ни три, проще взять обычную швабру и ей убраться на ламинате и плитке. т.е. на кухне для меня он бесполезен. Наверное он будет удобен где-то в доме, где большие метражи, а на 64 кв метрах я его для этой функции использовать точно не буду. Он будет у меня исключительно как моющий пылесос для ковров, занавесок (такая функция тоже есть) и мебели. Когда захотела помыть 3D ковер, то была тоже разочарована, потому что для всех моющих пылесосов важно наличие вакуума и поэтому такой ковер не почистишь, выручила маленькая насадка для мебели. С ней мой белый ковер просто заиграл. Вывод: долго смотрела моющий пылесос, даже хотела купить керхер для химчистки (остановило, что там только одна несъемная насадка). Цена конечно завышена и купив любой пылесос за такую цену, была бы разочарована. А так как он мне достался по акции, то свои деньги он полностью отрабатывает. С таким пылесосом потребность в опылесосе для сухой уборки просто отпала, я теперь все время делаю влажную уборку мягкой мебели и ковров.</t>
  </si>
  <si>
    <t>Звук меня вполне устраивает, слушаю в них dubstep, rock, только слегка приглушает высокие тона и на низкой громкости можно сказать молчат. На голове и ушах сидят отлично, усталости не ощущаю. Кабель 3,5 метра радует. Только конкретно бесит что дуги, которые держатся на голове находятся друг от друга далековато, и когда приходится их вешать на шею, то она еле-еле поднимается вверх. Но в принципе покупкой доволен, соотношение цена-качество оправдано.</t>
  </si>
  <si>
    <t>купила данный плеер,но радовалась покупке недолго...через 1,5 месяца сломался разъем для наушников,также его минус это кнопки,которые впали и еще он периодически виснет(это без флэшки,с флэшкой гораздо чаще)</t>
  </si>
  <si>
    <t>Аналогично столкнулась с этой проблемой в первую же выпечку, хотя в остальном печка понравилась.  Могу порекомендовать следующее (мне помогло):  - закрывать окошко фольгой во время выпекания;  - заклеивать скотчем щель между крышкой и корпусом также на время выпекания;  - по окончании основного процесса допекать хлеб в течение 10 минут в программе "варка";  - по возможности печь хлеб меньшей массы.  Кроме того, есть мнение, что со временем ТЭН разрабатается и хлеб будет более поджаристый и румяный.  Удачи!</t>
  </si>
  <si>
    <t>Телефон хороший, устраивает во всем. Модель для людей без завышенных требований: звонить, фотки, МР3 и радио. Просто и удобно! Пользуюсь пол года- всё устраивает.</t>
  </si>
  <si>
    <t>Может и мое мнение кому-то поможет.Купила шкаф в ноябре, но пользовалась не очень часто.Сейчас уже более разобралась в нем.  Долго выбирала, но подкупило то, что 2 зоны готовки, хотя не верила, что можно разными температурами и разными режимами готовить-это на само деле так!Проверила сразу:включила верхнюю половину, и в результате после минут 20 нижняя  половина шкафа была холодной! Это порадовало очень!  Второе, что понравилось- гарантия 3 года.И то что Самсунг пока не подводил даже в мобильных телефонах.Но все равно зашла на офиц. сайт Самсунга и проверила- есть ли в их продукции данная модель.Оказалось-есть!Хотя модель выпущена впервые в 2009 году, мой шкаф начал свое существование в июле 2011.  НЕ сразу я разобралась  в смешении температуры и программ :  гриль, духовка и конвенция...и курочка не зажарилась, как в аэрогриле.Потом по-тихоньку, методом тыка выяснила некоторые тонкости в работе шкафа.Сегодня решила первый раз его отмыть.. лампочки то горят хорошо в нем,но я вот к брызгам жира не присматривалась... Пока что с первого раза отмылась только половина прижаренного.   Да еще.. это уже на всякий случай: сам разделитель зон находился не в шкафу,а под ним.ТО есть, когда вы вскроете коробку- в духовке будут лежать документы и противни в коробке.А сам разделитель будет лежать под шкафом в коробке.Он просто не влез бы боком в шкаф.Я же перепугавшись, что его нет, сразу звонить в сервис-центры..   Вообщем я довольна шкафом, осталось привыкнуть к нему совсем.  Все функции, что описаны в спецификации-присутствуют.</t>
  </si>
  <si>
    <t>Сплошные )</t>
  </si>
  <si>
    <t>Данный мультистайлер, я считаю, соответствует своей невысокой цене... Совершенно неудобен в использовании... поэтому я уже дважды обжигалась...  Советую покупать более качественный продукт....</t>
  </si>
  <si>
    <t>594</t>
  </si>
  <si>
    <t>Замечательный плеер,всё просто супер!Очень понравился чуткий сенсор,хорошие наушники,порадовал чехол.</t>
  </si>
  <si>
    <t>Купили телевизор сегодня. Яркость отличная, изображение довольно четкое, управление настройками удобное.</t>
  </si>
  <si>
    <t>2012-02-07</t>
  </si>
  <si>
    <t>Очень хороший телефон с высоким качеством звучании и определяет номера очень похвально - до этого брал сименс, просто ужасен от и до, а моторола отличный телефон, берите, сами убедитесь!</t>
  </si>
  <si>
    <t>Очень классные наушники. Только сломались через пол года, но думаю такие же купить.</t>
  </si>
  <si>
    <t>Купил недавно.Читает всё (mkv тоже).C флэшки файлы до 2Gb.Грузится шустро.Подключил к интернет.Настроек никаких не надо. Сам предлагает обновляться.Работает с You Tube. Качество картинки отличное даже у DVD. Меню удобное. В целом доволен, этих денег стоит.</t>
  </si>
  <si>
    <t>Производительность:Ну, во-первых, то ради чего он и покупался: 18" дисплей с разрешением 1920*1080. Очень удобная, полноценная клавиатура с подсветкой (сначала думал ненужная функция, но.... сейчас сижу в темноте и подсветка очень помогает оставить этот отзыв=).   Практически не греется, мало шумит (ну, это конечно субъективно, но спать он мне совсем не мешает).   Неплохое качество звука, для ноутбука разумеется, не стоит обманываться и ждать слишком много.   Хорошее качество сборки, пока не вызвало никаких нареканий. Большое количество портов (4USB, e-SATA, HDMI, Fire-Wire).   Невысокая относительно конкурентов цена.   Два отсека под жеский диск.   И, что, немало меня удивило, время работы от батареи для такого здоровяка - вполне приличное (около 3х часов с вкл. Wi-Fi, 80% подсветки экрана). с одной стороны её достаточно для подавляющего большинства приложений, а с другой, за эти деньги можно и помощнее машинку купить.   Надпись асер под экраном, всегда подсвечивается, ужасно раздражает. Вес и габариты ноутбука - очень спорный вопрос, для большинства людей он очень велик. Глянец - тоже спорный момент, многим моим друзьям он нравится, но я бы доплатил денег если бы была модель с матовым покрытием.   Дело не во внешнем виде, а в практичности: глянец смотрится красиво, но очень быстро теряет товарный вид.   А вообще ноутбуком остался доволен, не думаю что за эти деньги мог взять что-нибудь лучше.  Недостаточно контрастная матрица, да и углы могли быть побольше. Неудобный тачпад (субъективно для меня).   Не самое удачное расположение портов. Просто ОГРОМНЫЙ блок питания. Большое количество встроенного и абсолютно ненужного софта (в том числе пробник антивируса, пробный офис и др).</t>
  </si>
  <si>
    <t>телефончик так себе...яву через блютуз не понимает...мегабаса нет...тоже мне волкман...и в общем плюшевый какой то..</t>
  </si>
  <si>
    <t>Машинкой очень довольны! По сравнению с самсунгом, который у нас был, небо и земля, стирает тихо (слышно только как воду заливает и отжим), не прыгает, функций много!</t>
  </si>
  <si>
    <t>Один месяц работы - полетела электроника. Ни у одного из знакомых техника борк не проработала больше года( Красивая и дорогая техника - а качество худший вариант Китая. Сам не покупал - подарили.</t>
  </si>
  <si>
    <t>Господа не покупайте наушников, не послушав их. Лично я хотел приобрести недорогие наушники, чтобы использовать их в качестве домашних в основном для игр и прослушивания музыки на ноутбуке. Прослушивал на месте эти уши, Philips SHP2000 и какие-то санхейзеры по цене примерно 1000р. в итоге: у санхейзеров звук хороший, хоть и слегка "приукрашенный" (не портит картинки), что чувствуется. Но их я отмел, потому что мои немаленькие, но нежные уши, они нещадно давили. Не говоря уже о том, что несколько часов в них я бы точно не выдержал. фФилипсы в плане удобности оказались намного лучше. 2700 по цене практически в 2 раза дороже 2000 филипсов. По звуку лучше не в 2 раза однозначно. Так что советую  просто послушать гитару и что-нибудь басовое на обеих этих моделях. Если услышите разницу и вам захочется 2700, то берите их. Я так и сделал. Покупкой доволен весьма.</t>
  </si>
  <si>
    <t>894</t>
  </si>
  <si>
    <t>хорошо отпаривает и просто чиститься, к подошве ничего не прилипает</t>
  </si>
  <si>
    <t>1771</t>
  </si>
  <si>
    <t>Такой набор я приобрела лет 8 назад по баснословной по тогдашним меркам цене. Если не ошибаюсь-1600,00 отдала. Только в прошлом году из строя вышла 1 сковорода, а вторая до сих пор жива, но и на ней начинает пригорать. От набора в восторге!!! Выдержать столько лет нещадной эксплуатации не каждой сковороде с покрытием под силу! Специальных лопаток не использовала, помешивала железными. Единственный минус: тяжело отмывать нагар снаружи, с эмали. Планирую купить такой же набор. Всем хозяйкам советую не жалеть денег и приобрести его: никогда не пожалеете!!!</t>
  </si>
  <si>
    <t>Подарили мне такой набор на прошлый Новый год, я им все это время активно пользовалась, заставляла пользоваться мужа. А в этом году сама набрала на подарки - не потому, что дешевый, а потому что действительно функциональный. Профессиональных насадок конечно нет, мощность не особо велика, но для дома, да чтобы спасти маникюр между походами к мастеру, очень полезен!</t>
  </si>
  <si>
    <t>Очень довольна этой покупкой. Пылесос отлично заглатывает пыль, может работать тихо, мешок Menalux совсем не маленький, для меня один минус - тяжелый аппарат, но в работе хорош неимоверно. А еще этот фирменный пластик от Bosch! Вещь достойная.</t>
  </si>
  <si>
    <t>Телефон так себе, управление жестами не всегда срабатывает...</t>
  </si>
  <si>
    <t>12 дней отработал сей вентилятор. Завтра 16.06.2011 иду сдавать в магазин на Народном ополчении</t>
  </si>
  <si>
    <t>Второй год пользуюсь плитой Hansa, у меня и вытяжка этой же модели. Очень довольна качеством техники! Надежная. Очень нравится стеклокерамика, в этой модели-долго служит, после готовки достаточно протереть тряпочкой и никаких разводов, не трещит. Нагревается быстро, предпочитаю разогревать на плите, чем в микрухе. Духовкой пользуюсь, в основном курица-карточка) очень вкусно получается, не бывает такого-что корка сгорела-а внутри сыро. Советую обратить внимание на этого производителя. Проверено.</t>
  </si>
  <si>
    <t>2790</t>
  </si>
  <si>
    <t>Аккум за адекватную цену. Может вначале отпугнуть то , что он сделан в китае, но на самом деле на качестве отрицательно это не сказывается. При зарядке не вздувается, не нагревается до жутких температур. Емкость нормальная, на парочку часов съемки подходит. Мегабыстро не разряжается.</t>
  </si>
  <si>
    <t>Я давно мечтала о встраевоемом духовом шкафе, очень рада, что мой выбор пал именно на эту модель. Во-первых, очень красив! Во-вторых, что самое главное, - удобен! В чем проявляется удобство? Самое главное - утапливаемые кнопки (это большой плюс, т.к. когда готовишь, открываешь духовку, то на кнопки, вместе с паром, попадает жир и т.д., а здесь этого не происходит). В комплект входит два противня, в отличии от других моделей (те модели, куда входил один противень я даже не рассматривала). Две телескопические направляющие тоже добавили свой плюсик. Перед новой техникой у меня обычно небольшой ступор, но у данной модели очень доступное управление, я легко со всем справилась и освоилась. Пока минусов я не увидела. Всем рекомендую! Если бы мне снова была предоставлена возможность выбора, то  я бы снова выбрала данную модель.</t>
  </si>
  <si>
    <t>Машина ЗВЕРЬ!!! Молет всё</t>
  </si>
  <si>
    <t>Бук нормальный и для игр и для работы, не глючит!!!! уже почти год и все ок.Так что берите не пожалеете!!</t>
  </si>
  <si>
    <t>Сразу возникли проблемы, она живет своей жизнью. На дисплее все кнопочки мигают, хотя запускаю ее полностью согласно инструкции, уже начала сомневаться в своем интелекте. Вобще-то я не блондинка. Завтра буду вызывать мастера. Надеюсь ее приручить!?</t>
  </si>
  <si>
    <t>Все игры запускаются, читай внимательно инструкцию: там для чайников написано, нужен формат .JAR .JAD вместе. Телефон для мужиков, которым нужен строгий дизайн и долгоиграющая батарея.</t>
  </si>
  <si>
    <t>Пользуюсь пару месяцев. Наушники хорошие,звук на 4,удобные.Хороший вариант цена-качество.</t>
  </si>
  <si>
    <t>Чайником пользуюсь несколько месяцев. Нравится дизайн.При закипании запотевает крышка (для меня не критично). Время покажет сколько чайник будет работать.</t>
  </si>
  <si>
    <t>332</t>
  </si>
  <si>
    <t>Отличный плеер!</t>
  </si>
  <si>
    <t>промочила ноги пока добиралась на работу.  Купила данный прибор и  к концу рабочего дня обувь полностью высохла.</t>
  </si>
  <si>
    <t>Отличная машинка, купили тут около месяца назад, установили сразу по уровню, не забыли открутить транспортные болты, что многие забывают сделать ))  Работает тихо, стирает зверски, вибрации почти нет, вся мигает как компьютер ))  До этого стоял Аристон, лет десять, благополучно умерла от старости. Во время отжима все время норовила скакать по ванне, как горный козел.  Единственно пока не понятна надежность, какие то выводы можно сделать хотя бы через пару лет ))  PS Доставка привезла точно в срок, все бумажки на месте, вообщем молодцы )</t>
  </si>
  <si>
    <t>Хорошая флешка, удобная, надёжная, красивая. Скорости приличный. Разъём выдвижной, крышечки нет, что и радует))</t>
  </si>
  <si>
    <t>Плеер имеет удобную форму,хорошо лежит в руке. по краям отделан металлом для прочности, что убережет от лишних обтираний в карманах и сумках. сенсорное управление с подсветкой голубого цвета удобное. "кнопки" расположены удобно, пальцем случайно нажать на несколько "кнопок" почти невозможно.  главное меню на английском,но совершенно не мешает. подпункты меню русифицированные.  приятное цветное оформление,анимированное со звуком.    особенно приятно,что в самом плеере в отдельной папке есть софтинка для него,установив на компьютер которую, решаются проблемы с поиском всячестей для конвертации.  софт русскоязычный,доступный для всех интерфейс.  видео конвертируются быстро. плеер читает без проблем.    читает тхт файлы. очень приятное оформление под пергамент для прочтения. возможно одновременное чтение книги\просмотра картинок с музыкой\радио.    звук хороший даже со стандартными наушниками. максимальную громкость проверить не удалось - бьет по ушам уже на середине.    в настройках можно выключить звуковое сопровождение и настроить яркость дисплея,что поможет сэкономить батарею.    радио ловит хорошо.   автоматически определяет жанр музыки.    с компьютером "дружится" без проблем. не висит в процессе перекидывания файлов.    есть встроенные игры. вполне увлекательные.    из мелких неудобств:  кнопка блокировки в кармане вполне может включаться\выключаться сама. было бы удобнее,если бы была "защелка".  разъем кабеля в плеер с "зубцами". из опыта знаю,что такой кабель расшатывает и царапает вход.    ______________________  стоимость невысокая    оценка 5</t>
  </si>
  <si>
    <t>Плоское и резкое звучание. Басы не басы, а гудение какое-то. До этого слушала другой фирмы, нарекание только одно не хватает баса. Вот и повелась на обещанную басистость Panasonicов. На следующий же день обменяла их. А вывод один &amp;ndash; не доверять отзывам, ориентироваться только на собственный опыт. И аккуратно вскрывать упаковку после покупки, дабы иметь возможность обменять неудачную покупку.</t>
  </si>
  <si>
    <t>34</t>
  </si>
  <si>
    <t>На мой взгляд Бритва очень хороша...  Бреет чище чем станок. Главное против роста волос брить! И всё супер! )) Отличный выбор!</t>
  </si>
  <si>
    <t>2267</t>
  </si>
  <si>
    <t>Флешка работает нормально, но ужасно внутренности у нее расшатались, не разу не падала, но все расшаталось не понятно по какой причине, того и гляди все отвалится. И чувствую она перестанет работать, когда все это дело отвалится, если ее не переносить не куда, то да, отличная флешка, претензий нет.</t>
  </si>
  <si>
    <t>минусы плиты: пластиковый ящик для посуды, скользящая решетка. Ручка небольшого размера. Качество не соответствует цене.</t>
  </si>
  <si>
    <t>352</t>
  </si>
  <si>
    <t>Неплохой ТВ, но есть недостаток - при работе гудит (негромко, но вечером этот "электрический" гул  отчетливо слышно). Из 2-х купленных - оба гудят.   В остальном - все неплохо, учитывая цену и диагональ.</t>
  </si>
  <si>
    <t>486</t>
  </si>
  <si>
    <t>Через месяцок будет год как я узаю 5536. Особых проблем не наблюдал, с дровами проблем нет, так как есть в комплекте универсальные, да и нэт кишит ими, скачать не проблема. Единственное что немного разочаровало это видюшка чуть слабовата, но рубиться даже в новые игрухи можно и аккумулятор быстро садится, при бездействии держит около 2 часов а про малой загрузге (музыка, интернет) около 1,5 часа, а когда новый был то до 4ч. при бездействии доходилои 3ч. при малой загрузке. Кстати, кто знает причину столь быстрого выхода из строя АКБ?</t>
  </si>
  <si>
    <t>Мог бы получить оценку 5, но сильно напрягает запах, появляющийся при переключении на 5 или 6.</t>
  </si>
  <si>
    <t>не ломался не разу за 3 года</t>
  </si>
  <si>
    <t>Мне нравится чайник, очень шумит только, но это ерунда, в целом на 5</t>
  </si>
  <si>
    <t>Покупала этот выпрямитель около полутора лет назад. Выпрямляет он хорошо, но выпрямлять нужно на минимальной температуре, чего я не делала и прилично пожгла свои волосы! Недавно он сломался.</t>
  </si>
  <si>
    <t>К подобному маникюрному набору присматривалась давно, читала отзывы. Настораживало, что многие жалуются на то, что необрезной маникюр портит ноготь. Но потом посмотрела у подруги, которая умеет им пользоваться и все сомнения отпали. Купила набор уже полгода назад, не нарадуюсь ему. Кстати, теперь даже не представляю, как можно делать обрезной маникюр. У меня от него всегда были заусенцы и воспаления, а сейчас – ничего. Насадок много, но пользуюсь ими всеми, даже которыми думала что никогда не воспользуюсь. Полезная вещь и наличие сушки. Единственный для меня недостаток – приличные габариты.</t>
  </si>
  <si>
    <t>Этот ноутбук - самый лучший! Столько начитался про него и про функции и удобство пользования и т.д. Короче, сегодня еду покупать и думаю, что не пожалею!</t>
  </si>
  <si>
    <t>Телефон не звонил на морозе, и я его поменял на ту же модель... (я раньше об этом написал)    В итоге у меня сложилось мнение о телефоне, что по дизайну он на высоте, а по функциональности слабоват...    Не разобрался, как фото приблизить, чтоб лучше некоторые вещи просмотреть. Когда себе скидываешь через Bluetooth текст, то он его сразу же удалял! Он тебе не разрешит принять приложения, текст и прочие ненужные файлы!    Еще минус, в том, что  карта памяти около аккумулятора и тебе придется телефон по частям разобрать чтоб вынуть из него карту и засунуть в карт-ридер и потом наоборот, а телефон из-за таких перемещений каждый раз останавливает время... Ну и ладно, я все равно не встречал телефона, красивее этого!!!    Если вам нужен телефон, про который все будут говорить тебе, что у тебя самый красивый телефон, то покупай имнено этот (не прогадаешь!!!)    И еще, если у Вас при установке Оперы или ICQ-программ будет выдавать ошибку , то тебе стоит залезть на сайт: "sonyericsson.com/support" и скачать оттуда настройки...</t>
  </si>
  <si>
    <t>463</t>
  </si>
  <si>
    <t>Хороший ноут, игры летают, а блютуза нет - это прошлый век, главное вайфвай есть. Только с процом трабла определяется как Т6500</t>
  </si>
  <si>
    <t>Я согласна отличная вещь, греет супер, но единственное что меня не устраивает это громкий звук и как было сказанно выше подсветка дисплея. У меня он стоит в комнате маленького ребёнка, допустим ночью добавить градус он слишком громко пищит, боюсь напугать ребёнка звуком. И подсветка тоже яркая, приходиться вешать пелёнку чтобы не так ярко светило. А так в целом отличная вещь.</t>
  </si>
  <si>
    <t>У меня такие, все нравится!</t>
  </si>
  <si>
    <t>Это только у меня или у всех ?  после выключении с пульта через 2-5 секунд слышен щелчок.</t>
  </si>
  <si>
    <t>Супер телевизор, USB разблокировал старым пультом, смотрел фильмы в HD, это класс, покупайте телек  не пожалеете!</t>
  </si>
  <si>
    <t>Трещит, скрипит, все болтается, но свое дело делает. Оптимальный вариант для редкого или непродолжительного использования. Можно брать.</t>
  </si>
  <si>
    <t>836</t>
  </si>
  <si>
    <t>Советовался с продавцом, сказали ноут отличный..проверил,понравилось! Советую как довольно экономный и довольно мощный вариант.</t>
  </si>
  <si>
    <t>1198</t>
  </si>
  <si>
    <t>Нагреваются сзади.. и появляется запах!!!      Что можно сделать!? (Это уже 2 колонки... те же самые.. ганатия есть)     2 месяца работают...</t>
  </si>
  <si>
    <t>Купил как второй,теперь он у меня как первый)дует просто на ура,тихий,я в восторге</t>
  </si>
  <si>
    <t>Очень удобный, тихий, не "плюется", не воняет, никаких луж, супруга сама легко переносит его из комнаты в комнату, никакого белого налета на мебели, 25 кв. м. увлажняет с 18% до 55% за день. Оправдал себя на 100%. Всем рекомендую!</t>
  </si>
  <si>
    <t>Брал отцу в подарок перед новым годом, 2 раза послушали диск и она ничего больше не читает ни диск, ни с флешки, похоже слетела прошивка.</t>
  </si>
  <si>
    <t>2820</t>
  </si>
  <si>
    <t>Купил недавно.   Если брать видеокамеры в целом (разного ценового класса) это твёрдая тройка. Однако если взять камеры примерно одинаковые по цене, то можно поставить пятёрочку. Компактность камеры просто потрясающая, влезает в футляр "мыльницы" средних размеров, поэтому можно таскать с собой постоянно. Качество съёмки в помещениях с искусственным светом я бы оценил на 4 с маленьким "-", всё таки она больше любит солнечный свет. На открытом воздухе снимает очень хорошо. Зум порадовал, но это если у Вас не трясутся руки. При среднем зуме замечательно работает система стабилизации, хотя если снимаете общий план с частой сменой направления съёмки, то лучше отключать, чтобы изображение не смазывалось.   Аккумулятор заряжается очень быстро (удивило). Сенсорный экран мне показался удобным, хотя если у Вас слишком большие руки, то можно купить стилус. Всё работает быстро и чётко, по крайней мере пока. Настроек достаточно много. Менюшка простая и интуитивно понятная, легко разобраться и без инструкции.   Режим фото не впечатлил, но ведь это видео камера.   Вообще Sony есть Sony и этим всё сказано. Я считаю неплохая видеокамера для тех, кто хочет часто носить её с собой. Маленький размер, приемлемое качество. В общем если денег не много, а снимать хочется и много, то стоит взять.   P.S. Не советую тем, кто любит фотосъёмку.</t>
  </si>
  <si>
    <t>" * проста в обращении    * быстро готовит    * вкусно получается    * в комплекте имеется нейлоновый фильтр! (в описании написано, что его нету)"    Пользуюсь меньше полугода, устраивает всё, за исключением "антикапельной" системы - не такая уж надежная( Но свою стоимость полностью окупает)</t>
  </si>
  <si>
    <t>Стирает не шумно, не скачет даже на 1000 оборотов, стоит как вкопанная, даже не трясется. Очень радует программа 15 минут. Таймер, по которому видно время окончания стирки. Так же по окончании процесса машинка подает звуковой сигнал. Учитывая ее размеры 33 см, у нее достаточно емкостной бак на 4 кг.</t>
  </si>
  <si>
    <t>Покупал в Нижнекамске! Выбирал между  BORK JU CUP 22090 SI и Bosch MES 3000! Выбор впал на Bosch!  Красивый дизайн, неплохо отжимает, орет в меру...  В целом доволен!</t>
  </si>
  <si>
    <t>Сегодня приобрёл этот утюг, впечатления положительные. Все функции, ничего лишнего</t>
  </si>
  <si>
    <t>Кондиционер неплохой, цвет не совсем такой, как на картинке, и пластик тонковат - при работе шторка, регулирующая поток воздуха немного колышется - но это не принципиально.</t>
  </si>
  <si>
    <t>Пользуемся чуть меньше года, вытягивает отлично, хватает 1 и 2 скорости. Курю на кухне запаха ноль. При варке и готовке, при условии, что все конфорки заняты запах не распространяется даже по кухне всё вытягивает. На 2 и 3 скорости шумит. Не возвратный клапан работает отлично, запахов от соседей нет. Со своими функциями справляется на 5.</t>
  </si>
  <si>
    <t>Вес весы показываю постоянный только не корректный поставил пачку соли и вмето 1 кг весы показали 900 г. поставил гирю 32 кг и весы показали 29 кг. Получается что погрешность на каждый килограмм 100 г. Ужас 10 % погрешности, как вообще их продают.  Иесли судить по их показаниям то я теряю по 1 килограмму в сутки, при этом образ жизни не изменился. Страшно подумать что со мной будет через 2-3 месяца.</t>
  </si>
  <si>
    <t>Купил 2 месяца назад,работает отлично,при простом юзании по нэту вообще не греется и не шумит, а это большой плюс,при играх чуть подымается температурка до 50-60 градусов,и чуть вентиляция быстрее рубит,но не громко,игрухи идут на ура, асасин 4,метро 2033,сталкер,нфс,контра,калаб дютик,все части,экран отличный,звук более менее,видяха нормальная,пока всё ест. винчестер можно на 500гигов поставить.хороший вариант за эти деньги,советую.я доволен.</t>
  </si>
  <si>
    <t>"Благодаря" хитрой системе насадок, адекватно выставить длину практически невозможно. Фактически можно стричь только 0.5, 3, 21.</t>
  </si>
  <si>
    <t>Купил это ноутбук 3 недели назад.Выбор делал из моделей АSUS,Аcеr,HP.Мне ноут был нужен для работы и чтобы фильмы посмотреть.В целом покупкой доволен.Есть все что нужно камера,блютус,факс.Оператива новейшая DDRЗ, 3 гига,довольно шустрая,Процессор мощный.Порадовало наличие 4 портов USB.Также есть гнездо HDMI. Отвод тепла сзади ноута,что тоже хорошо.Большой плюс-тишина работы бука.Минусы: небольшой винчестер(250 гб) ,буквы на клаве одного цвета.Но это все мелочи.Так что ноутбук отличный.Всем советую,берите не пожалеете. Соотношение цена качество-самое то.Брал за 24 тыс.</t>
  </si>
  <si>
    <t>качество-цена-погрешность все в норме! Механические весы, точные если выставить по человечески на полу. Симпатично выглядят, нежно-зеленый цвет. Весят около двух с половиной кг, но по размерам довольно небольшие, даже можно не сразу заметить их. Да и на полу стоят устойчиво. Покупали около полугода назад, работает до сих пор исправно, не тупят. Если не гнаться за дизайном и тонкостью, то эти просто отличны по всем параметрам.</t>
  </si>
  <si>
    <t>Купил сегодня. В итоге он низ вообше не пропекает, по экспериментирую еще завтра, и если та же история, попробую вернуть эту гадость.</t>
  </si>
  <si>
    <t>50</t>
  </si>
  <si>
    <t>Классный телик. Купил еще в январе. Тогда же со светодиодами активировал USB,но вот  инфы про активацию кнопок управления плеером тогда не нашел (или просмотрел). Придется снова заняться.</t>
  </si>
  <si>
    <t>Несмотря на то, что сей девайс - вещь не первой необходимости, вы не будете в нем разочарованы. С обеими функциями он справляется превосходно. Кто-то тут жаловался, что низ вафель подгорает. Скорее всего, это происходит, когда заливается мало теста, и верхняя поверхность вафель просто не доходит до поверхности верхних нагревательных пластин. Ведь этот прибор позволяет выпекать не тонкие хрустящие, а достаточно толстые и мягкие (брюссельские вафли). Плюс нужно поискать в инете хороший рецепт вафель. Кстати брюссельские вафли, те, что на молоке, воде и дрожжах, оказались похожи на наши оладьи, только не жареные, а выпеченные. Вот вам и плюс - можно готовить относительно диетическую выпечку, Если, конечно, выпечка вообще может считаться диетической едой. Народ в этом приборе даже драники и сырники делает, пирожки слоеные печет. Ну а с бутербродами отдельная песня: вот уже, о ужас, целую неделю ими питаемся. Собственно собиралась покупать классический тостер с мечтою намазывать на хрустящий поджаренный хлебушек тающее сливочное маслице, но решила, почему бы не убить несколько зайцев, получив еще и вкупе с тостами плавленый сыр? Вобщем, вкусно. Правда, считаю небольшим минусом, что в России отсутствует комплектация, представленная на коробке - та, где не четыре треугольных сэндвича, а два больших. Все-таки для треугольников приходится над прибором производить некоторое аккуратное насилие, если хлеб недостаточно тонко нарезан, да и неразрезается он на тругольники самим прибором, приходится ручками-ножичком доламывать. Но учитывая, что зато в этом случае хруста побольше, обратим этот минус в плюс. И еще один плюс - тот факт, что данный прибор два в одном, и пластины съемные, дает возможность легкого ухода и мытья даже в посудомойке. Ну а миленький дизайн от Порше и возможнность вертикального хранения - так вообще просто красавчик. Наиграетесь, в уголок поставите, а потом снова обязательно когда-нибудь достанете.</t>
  </si>
  <si>
    <t>ТЕМА ПРИСТАВКА</t>
  </si>
  <si>
    <t>после покупки и установки стиральной машины, при стирке выдавала все время какую либо ошибку, по началу думали что подключили не правильно, но все было подключено правильно. вот так она  и стирала - то хочу, то нет (была со своим характером) почти 1,5 года! Пока совсем не отказалась стирать! после проверки в мастерской выяснилось две интересные вещи!  1-я "мозги" у Zanussi от Electrolux.   2-я выяснилось что это заводской брак.  Вывод: за такие деньги можно купить что то другое и по надежнее.</t>
  </si>
  <si>
    <t>удобство, эффективность, простота использования</t>
  </si>
  <si>
    <t>Очень понравился. Быстро кипятит воду, лишних   запахов нет. Бесшумный,  красиво смотрится на кухне. Советую всем такой чайник.</t>
  </si>
  <si>
    <t>Колонки плохие, не продержались и полгода, сначало стали хрипеть ,а потом вообще сломались.</t>
  </si>
  <si>
    <t>3153</t>
  </si>
  <si>
    <t>Самый лучший телефон! Первый раз купила эту модель в конце 2008 года. Была очень рада. Качественная сборка, необходимые функции без всяких лишних примочек, которыми сейчас напичканы все телефоны. К сожалению, телефон долго не прослужил, т.к. в отпуске я его нечаянно залила водой, а просушить не догадалась. Теперь лежит в столе. Искала ему альтернативу. Так и не нашла, купила такой же (красный) через полгода. До сих пор с ним хожу. Уже передняя панелька отваливается постоянно, а все равно его поменять не могу. Очень к нему привыкла. Наверное скоро из того утопленного и этого нового соберу один новый. Этот телефон - любовь навсегда)))</t>
  </si>
  <si>
    <t>16</t>
  </si>
  <si>
    <t>Очень плохо отжимает.Из жмыха течет сок.Куски овощей вылетают в контейнер.Экспертиза сказала ,что все соответствует заявленным параметрам. Эта невыжымалка не стоит таких денег.Пользоваться не хочется, но не выбрасывать же такую сумму?</t>
  </si>
  <si>
    <t>Купили кофемашину 27.01.2016 в Коломне, т.к. в нашем городе в наличии не было, по акции, очень довольны! То что пишут, что очень шумная, так обычная кофемолка ни чуть не тише. Смотрю сейчас на 18 тысяч стала дороже, очень рада, что вовремя купили, кофе получается отличный, а капучино божественный!</t>
  </si>
  <si>
    <t>Отличные наушники! Продержались у меня дольше всех -  целый год, на днях отказал работать 1 из наушников..Очень жаль, но буду покупать такие же.</t>
  </si>
  <si>
    <t>Устройство очистки воздуха Vitek VT-2342 приобрёл недавно, поэтому только первые впечатления:  Плюсы: 1 доступная цена         2 есть ионизатор воздуха, причём достаточно эффективный         3 лампа фото каталитической очистки присутствует и действует, главное не переусердствовать с экспозицией, 15-20 минут достаточно для комнаты в 20 квадратов.         4 информативный дисплей приятного синего свечения         5 пульт ДУ   Минусы:         1 довольно шумный начиная с третьей ступени скорости вентилятора         2 в авторежиме непонятна работа датчика присутствия в воздухе запахов, молотит на все сто, возможно что реагирует на углекислоту, проветривайте помещение чаще         3 непонятна ситуация со сменными фильтрами, их там несколько, а менять по инструкции надо через 6 месяцев, к сожалению на полках я их не увидел для данной модели, а консультант довольно расплывчато пояснил о существовании каких-то универсальных угольных фильтрах, из которых можно самому сотворить нужного размера фильтр.    Вывод: Аппарат соответствует своей стоимости, в целом хорош, но необходимо решить вопрос со сменными фильтрами, чего и желаю менеджерам М.Видео.  Всего наилучшего.</t>
  </si>
  <si>
    <t>Приобрел недавно этот аппарат.Какие выводы?Эфирные каналы показывает не совсем четко,присутствует размытость,хотя наверное это у всех плазм так.Картинка при просмотре с ДВД лучше показывает через S-video,чем через HDMI.Намного четче и контрастнее,через HDMI как не настраивал-темнее как то, мож.через блю рей лучше будет,но пока такого не имеется.Остальных критичных недостатков вроде не обнаружено</t>
  </si>
  <si>
    <t>маленький, компактный, прикольный нетбук  Самое большое преимущество - может долго работать!!!! пользуюсь полгода. работает отлично  хорошая вещь. всем рекомендую</t>
  </si>
  <si>
    <t>купила вчера,прежде чем купить,прочитала отзывы покупателей,не пожалела,гладит отлично!!! не пригорает,подошва больше всего понравилась,да и по цене приемлема,не уступит дорогому,советую!!!</t>
  </si>
  <si>
    <t>Это чудо-вещь! Была у нас до этого старая обычная открывалка с деревянной ручкой, пр-во СССР, ручка уже почернела, и вид у открывашки стал жуткий, однако нож был хороший, открывала она неплохо (для ручной открывашки), но папа решил ее выбросить - Страшная!. Потом у нас было штук 7 разных ручных открывашек разных типов, и, не поверите, ни одной нормальной: то ломается, то тупая, то неудобная и т.д. Советовали нам взять ручную открывашку за 1200р., нас жаба задушила. И вот однажды, просматривая сайт М.Видео и выбирая, что же взять на бонусные рубли, наткнулась на эту открывашку, почитала отзывы. Думаю:Ну, была-не была! Народ советует..попробуем, если что - вернуть можно. Загребли сей девайс, купили банку кукурузы - и тестировать! Инструкция не очень понятная, не нарисовано, каким образом должна быть банка, короче, кое-как разобрались. И это чудо! Банки открыла как нечего делать. Никаких усилий! Аккуратно, четко, без травм, грязи, жертв, вопль. 10 сек - и готово. Наблюдали с открытым ртом. Потом взяли самый безнадежный нож (дешевый обычный нож, когда-то резал, потом отдали мастеру на заточку, резал еще недели 2, потом опять отупел напрочь) и 2 раза провели через это чудо - лезвие ножа аж заблестело. Я в приятном шоке. Тупейший нож теперь без проблем режет мягкий хлеб! Поверьте, такие деньги не жалко за это чудо. Спасибо М.Видео! Берите не раздумывая!</t>
  </si>
  <si>
    <t>С женой сразу наткнулись на данный аппарат.  Влюбились и купили!   Все полгода стирает и никаких проблем и тихая на столько что в ванну заглядываешь а Стирает ли она?)  Короче довольны)</t>
  </si>
  <si>
    <t>Бреюсь витеком с указателем уровня заряда. Один совет: периодически смазывайте ножи или брейте влажную щетину и всё будет легко и просто.</t>
  </si>
  <si>
    <t>1758</t>
  </si>
  <si>
    <t>Давно мечтал о приставке, не мог выбрать между этой и Xbox. Все-таки остановился на PS3, и ничуть не жалею о выборе! Замечательная приставка, DVD и Blue-ray проигрыватель, и конечно шикарные игры (Heavy Rain, Uncharted 2)!  Работает очень тихо, геймпад удобный и легкий. В общем отличная покупка не только для заядлого геймера, но и для всей семьи!</t>
  </si>
  <si>
    <t>549</t>
  </si>
  <si>
    <t>Долго выбирал, так как решил весьма обстоятельно подойти к теме. Не прогадал. Белая принцесса заняла почетное место в ванной. При этом оказалась весьма стройной, но с глубоким внутренним миром.  Объемы у нее обычные, а вот габариты при этом - весьма скромные.    Очень строгий стильный вид, органы управления - на пятерку. Программ - море. Выбираются интуитивно просто (даже для мужика, который 10 лет подряд крутил "шайбу" на другой машине, зная только одну программу). Тайм-менеджер оказался очень полезной штуковиной, всегда видно - сколько времени до окончания стирки, плюс возможность его корректировки. Гламурный бонус - красивая подсветка, особенно в темноте.    Минусов не замечено. Кроме пожалуй очень легкого лотка для порошка. Фиксации действительно нет, но и от вибрации сам не выезжает.  Шланги не длиннее и не короче, чем на других машинах. Вполне достаточные для подключения.  Сборка ровная, никаких перекосов не нашел.    Стирает отменно. Воду жадничает, что по началу немного удивляло. Но потом привык. На качестве это не сказывается, порошок выполаскивает очень хорошо.   Тихая. Сам процесс стирки не слышно через открытую дверь ванной. Отжим - слышно. Особенно разгон. 1200 оборотов - это очень и очень не мало. Но опять-же, громкость на уровне допустимого ночью.     Попыток удрать из ванной не предпринимала. При появлении дисбаланса машинка скидывает обороты, и начинает сама перекладывать белье в барабане, выискивая удобное положение. Полезно - думаю да.     Итог - честная пятерка. Моя довольна.</t>
  </si>
  <si>
    <t>хотелось бы новшество в дизайне, а так, что можно сказать, хорошенькая машинка, скромная...</t>
  </si>
  <si>
    <t>Очень понравилось. Хорошая цена. Разница в моделях в основном в количестве насадок,  в этой моделе одна насадка,но это неглавное.</t>
  </si>
  <si>
    <t>Куплен был 1 год назад, с самого начала были проблемы со звуком. Возили в ремонт, там посмотрели, сказали изначально дефект корпуса, при половине звука корпус начинает дребезжать. Пришлось самому выдумывать подкладки и прокладки. В общем, как и все Российское, собрано топорно - так и обезьяна соберет из красивых деталей. не брать!!!!!</t>
  </si>
  <si>
    <t>2014-08-16</t>
  </si>
  <si>
    <t>Спустя полгода перестал выполнять свою задачу. Стал издавать  странные звуки и вообще почти не охлаждает, дует как вентилятор. На какой режим не поставь - дует одинакового. Брать не советую.</t>
  </si>
  <si>
    <t>Хороший пылесос за свои деньги. Купил в 2009 году в феврале, до сих пор им пользуюсь, фильтр еще не менял, правда стоит съездить за новым, а в остальном меня устраивает, свою работу выполняет.</t>
  </si>
  <si>
    <t>Замечательные электрощипцы. За 15 минут была готова укладка. быстро нагреваются, быстро формируют локоны, есть термочехол в комплекте, провод не запутывается!</t>
  </si>
  <si>
    <t>Отличные уши, хороший звук и звукоизоляция. Конструкция очень прочная и надежная.</t>
  </si>
  <si>
    <t>Пользуюсь данным товаром уже два года. Проблем с качеством не испытывал. Считаю за свои деньги самые лучшие закрытые наушники. Модели те что подороже отличаются только более удобным ободом и ещё парой мелочей. А по характеристикам некоторые более дорогие модели даже проигрывают.  В общем кому не нужны лишние примочки "ни о чём", советую.</t>
  </si>
  <si>
    <t>Купили два месяца назад и никак не нарадуемся! Всё отмывает при правильной расстановке посуды. Места занимает мало. Радует качество изготовления: все детали сделаны на совесть. Покупкой довольны. Советуем!</t>
  </si>
  <si>
    <t>Супер радиатор! Очень быстро нагревает комнату ,запаха не было, даже в первые дни. Не сушит воздух. Рекомендую!</t>
  </si>
  <si>
    <t>Плохая машина. Не работает совсем, я уже замучилась с ней бороться. Придётся мастера из сервисного центра вызывать.</t>
  </si>
  <si>
    <t>немного шумновата (если сравнивать с Electrolux). Но за цену 7990 можно на это закрыть глаза. Спасибо м-видео за акцию.</t>
  </si>
  <si>
    <t>760</t>
  </si>
  <si>
    <t>Нормальные затычки, через 10 месяцев левое ухо сдохло. Сейчас такие же новые. Звук хороший, но лучше на 200р дороже взять этой же фирмы.</t>
  </si>
  <si>
    <t>Плитой пользуюсь 4 года. Плита ни разу не разочаровала. Я довольна как плитой, так и духовкой(пеку очень часто). С моей стороны только положительные моменты.</t>
  </si>
  <si>
    <t>Кстати в М-Видео очень хорошо консультируют.  Купил тв Philips 32 PFL 5604H/12, включил и стало ясно, что это не то. И греется как печка и запах горелого идет, ряд заявленных функций отсутствуют. Но а время- часы вообще нельзя настроить в документации на телевизоре сказано как настроить, а меню этой функции нет со всеми последствиями. Потеря звука при некоторых функциях. Выше товарищи сказали , что не все файлы с флешки читает - это правда. Теперь по изображению - сравнил с изображением "самсунга" показывает хуже, изображение временами местами либо плывет, либо дергается.  Конечно, если дома нет ЖК телевизора, то и этот в радость может быть, когда это 3-тий ТВ высокого разрешения, то ясно, что модель по качеству ниже заявленной. А когда прописанные в документации функции отсутствуют или неверно реализованы, то становится ясно, Вас немного ввели в заблуждение. А ведь фирма известная своей качественной продукцией. А может мне не повезло?   Я заменил ТВ ЭЛТ Филипс который верой и правдой с хорошим изображением отслужил 12 лет и будет на даче служить не не один год.   Обидно понимаешь!    Буду менять на ТВ ЖК-телевизор 32"Philips 100герц, по замене дам информацию позже.</t>
  </si>
  <si>
    <t>Дешёвая яйцеварка - не хотела покупать, но других не было, удобно жутко, это правда , но очень быстро сломался звуковой сигнал, стала очень тихо пищать надо было ухо приложить вплотную и караулить рядом не отойти, а теперь вообще не подаёт никакого сигнала, все яйца вкурутую, снимаю наугад, вообщем конкретно эта сломалась - звук не прошло и года, вся примерно годадва с половиной три</t>
  </si>
  <si>
    <t>Пользуюсь буком 3 месяца, производительность ноута просто потрясающая, супер звук, отличный экран и непревзойденный дизайн, USB портов пока вполне хватает.  Из минусов - это конечно же абсолютно не адекватная всему остальному видеокарта и ее, к сожалению, никак не поменять, однако практически все современные игры (DragonAge, Oblivion, Risen, Call of Duty: ModernWarfire 2, NFS Shift (чуть тормозит, но играть можно)идут без проблем, чего не скажешь о GTA4.  Еще один минус - Windows Vista Home Basic, лучше бы тогда в microsoft не предлагали программу перехода на windows 7, т.к. после этого практически все ноуты идут с предустановленной vista Home Basic (не поддерживается вышеназванной программой).  Итог: в целом, если вы не геймер, ноут просто супер, всем кто любит стильные вещицы рекомендуется.</t>
  </si>
  <si>
    <t>Купили этот агрегат несколько месяцев назад, пылесос оправдал все ожидания, кроме одного, он очень тяжелый. Таскать его по дому просто напрягает, в остальном все устраивает, провод 11 метров, можно возить его где угодно, длины кабеля всегда хватает, контейнер очень удобный, пластик очень прочный, телескопическая ручка сделана на совесть, руки не устают, вкратце вот такие впечатления, мощности всасывания тоже предостаточно, иногда приходиться даже убавлять. В общем хороший пылесос за нормальную стоимость.</t>
  </si>
  <si>
    <t>Если нужен полезнвй и недорогой подарок - то что надо. Хорошая цена за довольно функциональную вещь. Такой маникюрный набор даже бабушке подарила. До сих пор благодарит за него )</t>
  </si>
  <si>
    <t>Консоль очень хорошая, сейчас поеду покупать :)  У знакомого есть, он рад :)</t>
  </si>
  <si>
    <t>891</t>
  </si>
  <si>
    <t>Оффигенный телефон!!!!!!!))))))Nokia 5230</t>
  </si>
  <si>
    <t>Машинкой пользуюсь уже год, до последнего времени проблем не возникало. Качество стирки на 100% удовлетворяет моим потребностям, полоскает хорошо, порошка не оставляет.  В последнее время во-время работы машинки в квартире появился стойкий запах жженой проводки, хотя энергопотребление написано А+, надеюсь проблема в машинке, а не в стенах)))  Агрегат отличный, не сказал что бы очень уж тихий, но стирает на 5+</t>
  </si>
  <si>
    <t>Великолепная модель по доступной цене, рассчитывал на большую сумму, а тут 106 см за 25 тыс. р., чем плохо то. Кстати на качестве совершенно не сказывается, несмотря низкое разрешение, в принципе особо не заметно - никаких квадратиков. Ещё одно достоинство, так это наличие игрового режима, отличные широкодиапазонные динамики, откуда идёт чистый стереозвук, запас громкости достаточный для средней по размерам комнаты. Настроил быстро, меню понятное, к тому же русифицированное, да и в принципе особенно не ковырялся, и так отлично всё было. Доволен покупкой безусловно.</t>
  </si>
  <si>
    <t>Отличные наушники за свою цену. Для тех, кто выбирает в данной ценовой категории - отличный вариант.</t>
  </si>
  <si>
    <t>Купил себе на ДР. Первые впечатления очень и очень неплохие.   Достоинства :Отличная картинка с DVD и HD медиа плеера, неплохая цветопередача,оптический выход звука, удобное меню, встроеНный медиаплеер,   Недостатки: не порадовало отсутствие поддержки многоканального звука, хотя это и не очень важно, неповоротная подставка   Использую в составе ДК: ресивер SONY DH800, DVD SONY 728, ресивер TRICOLOR, акустика KLIPSCH SYNERGY F2,B2,C1, саб ENERGY C10. До него был LG 42PG200R, отличия как небо и земля в пользу Самсунга</t>
  </si>
  <si>
    <t>949</t>
  </si>
  <si>
    <t>2017-01-10</t>
  </si>
  <si>
    <t>Отлично увлажняет, тихий</t>
  </si>
  <si>
    <t>Короче говоря чайник симпатичный,но умер через 8 месяцев эксплуатации.Сначала просто рассыпалась крышка,а точнее некачественная пластмасса.Дальше больше,итог-на помойке.НЕ БЕРИТЕ НИВКОЕМ СЛУЧАЕ.Огрничьтесь ВИТЭК из цельного металла.Взял себе и родителям.Пашет молодец и цена достойная.</t>
  </si>
  <si>
    <t>Саб бомба разрывает машину в щент по городу, люди оборачиваются посмотреть, советую всем. Правда дороговат, я его брал за 1400гр, но не грамма не жалею.</t>
  </si>
  <si>
    <t>1426</t>
  </si>
  <si>
    <t>2013-12-16</t>
  </si>
  <si>
    <t>Рация отличная, очень качественная, недостатков не вижу, берите</t>
  </si>
  <si>
    <t>Можно сохранить позицию трека, нажав на пульте кнопку "save time". Все очень просто ;)</t>
  </si>
  <si>
    <t>Для большой семьи гранд нео подходит идеально. Обьема 2 литра как раз хватает на 1 день постоянного использования без "дозаправки". Пластик у кувшина качественный, никаких опасении по поводу того, что он треснет нет. Также очень удобен индикатор ресурса кассеты, тк по вкусу трудно понять закончился ли картридж или нет.</t>
  </si>
  <si>
    <t>купила сегодня этот пылесос, понравилось тем что он очень маленький компактный, все легко и просто, единственное это то что трубка короткая,приходится нагибаться что бы пылесосить, мощность неплохая, советую</t>
  </si>
  <si>
    <t>В эксплуатации 8 месяцев,только положительный отзыв.Всё читает!Нигде не зависает!</t>
  </si>
  <si>
    <t>Удобная в использовании(открывать контейнер для катышков)</t>
  </si>
  <si>
    <t>Стиральную машину купил 2 месяца назад. Всем доволен - работает тихо, не ругается, даже когда стираешь одну-две тяжелых вещи (покрывала и тд).  За это время только один раз возникала ошибка: вещи собрались в пододеяльнике и машинка выдала ошибку: не сбалансированы вещи... и то только при отжиме, а стирка и отжим прошли хорошо.</t>
  </si>
  <si>
    <t>Покупала этот выпрямитель со скидкой несколько месяцев назад. Отличный выпрямитель. Волосы выпрямляет хорошо, но они у меня и не волнистые. Пробовала выпрямлять другому человеку у него волнистые и жесткие волосы, выпрямлять приходится такие волосы на самой высокой температуре и то не идеально прямые получались.</t>
  </si>
  <si>
    <t>В целом понравились. Выглядят неплохо, стоят устойчиво, есть мягкие резиновые ножки. Басы нормальные, если не выкручивать до упора. Для фильмов и игр в самый раз. Приятная фишка - ручки управления сбоку сабвуфера подсвечиваются. Значительный минус - выхода для наушников нет СОВСЕМ :(</t>
  </si>
  <si>
    <t>Бритва в принципе хороша, дизайн отличный...сначала брился на сухую..раздражение было только первые два раза, затем никакого раздражение...пробривала достаточно хорошо и быстро, брился минут 5 максимум..затем решил попробовать влажное бритьё, эффект гораздо лучше, с влажным бритьём можно достигнуть "идеального бритья", правда времени уходит немного больше и за компьютером уже не побреешься, а так иногда бреюсь на сухую, когда спешу...вообщем в покупке не расстроился..</t>
  </si>
  <si>
    <t>Недавно купил такой. Ноутбук просто отличный! Только вот с Windows 7 ну никак не сложилось. С горем пополам поставил ХР, потом начал драйвера искать. За полчаса все дрова нашел. Особенно с видеокартой пришлось поиграться, но все же установил и на нее драйвера. Сейчас в Метро 2033 играю на ноутбучке! Всем советую такой!</t>
  </si>
  <si>
    <t>2680</t>
  </si>
  <si>
    <t>У нас такая система установлена в офисе, помещение около 35 квадратов, рабочие места определены перегородками, т.е. все 11 человек дышат одним воздухом. Летом, конечно, мрак, в офисе душно, жарко, центральная вентиляция не справляется со своей задачей и при работе гудит жутко. Установки этого кондиционера оказалось достаточно, чтобы забыть о духоте и не мучиться от жары. Работает тихо. Я прихожу на работу первая и его включение моя ответственность. Минут 15 требуется, чтобы охладить все помещение, холодный воздух развеивает равномерно, направление дува установлено над уровнем стоящего человека, поэтому никто из сотрудников не жалуется на прямое его проветривание. На корпусе есть цветной дисплей, на котором отражаются установки. Данный кондиционер можно использовать для обогрева даже при небольшом минусе, по паспорту до -5. Если покупать домой, то думаю что его одного хватит на всю двухкомнатную квартиру.</t>
  </si>
  <si>
    <t>Взял в качестве временного после поломки дорого чайника. Учитывая разношерстность отзывов и бросовую дешевизну, были сомнения перед его покупкой. Но чайник не подвел. Пользуюсь им уже полтора месяца и никаких нареканий. Запаха пластмассы не ощущалось и не ощущается. В меру шумный. Закипает довольно быстро - в этом плане ничем не отличается от большинства моделей других чайников, даже ощутимо более дорогих. Единственный маленький минус - отсутствие фиксатора у крышки, из-за чего она может приподниматься примерно на 0,5 см. Но сам он сделан качественно - никаких зазоров, ничего не скрипит, да и та же крышка в открытом положении держится прекрасно, не норовит упасть, даже будучи открытой лишь наполовину. Что же касается возможного запаха пластмассы (которого у моего чайника нет), то от этого не застрахован ни один пластиковый чайник, даже более дорогой. У металлических же может проявиться привкус металла - так что здесь как повезет ) Резюме: прекрасный чайник за свою цену - особенно, если вам не важен престиж бренда.</t>
  </si>
  <si>
    <t>Классный телефон!Дизайн прекрасный!Я как только его увидел сразу же захотел его купить. Пользуюсь им уже месяц, еще ни разу не пожалел, что приобрел именно его. Большой, функциональный экран, качество отличное. Не глючный, не тормозит, фотки делает просто класс!!! Никакого негатива от телефона нет. Всем советую!!!</t>
  </si>
  <si>
    <t>2016-07-13</t>
  </si>
  <si>
    <t>Брали в детскую комнату. Бесполезная вещь. И не увлажняет, и не очищает, просто гонит воздух. Да ещё к тому очень маленькое отверстие, откуда выходит поток воздуха, по сравнению с мойкой SAMSUNG. Продали/ Взамен взяли вентилятор BORK P 602. Супер вентилятор!!! И комфортно, и стильно, и красиво!!! Советую вентилятор BORK P 602.</t>
  </si>
  <si>
    <t>Утюг прослужил 11 месяцев и сломался, гладит хорошо,но очень быстро ломается.Не советую покупать.!</t>
  </si>
  <si>
    <t>Радиатор несомненно стоит своих денег. Решили с мужем не экономить на тепле нам посоветовали этот обогреватель, у которого есть каминный эффект! Очень быстро нагревает комнату, нет никакого неприятного запаха. На полную мощность даже еще и не включали. Лучше купить один раз хорошую качественную вещь,чем несколько сомнительных дешевых</t>
  </si>
  <si>
    <t>приобрел вчера эту электро бритву остался очень доволен работает не так громко , в руке лежит отлично .... во время бритья что сухого , что с бритвенным гелем нареканий нет .. просто супер после бритья кожа чистая и гладкая все рекомендую.......</t>
  </si>
  <si>
    <t>покупаю уже 2 электрическую панель и обе фирмы самсунг  в первой панели после 4 лет использования начала глючить электроника, плитка жила своей жизнью, захотела включилась, захотела выключилась.  затем купили вот эту электрическую панель прошло 1,5 года использования и лопнуло стекло, ремонт обходится в половину стоимости плитки.</t>
  </si>
  <si>
    <t>только что его купил, и пока что доволен его производительностью на все 100%!!!</t>
  </si>
  <si>
    <t>Ни разу не пожалели о покупке, хотя многие знакомые отговаривали. Хорошо что не послушали никого и купили этот утюг. Работает для своей цены замечательно, не испортили ни одну вещь. Даже вертикальное отпаривание полезным оказалось, и вполне себе действенным!</t>
  </si>
  <si>
    <t>2522</t>
  </si>
  <si>
    <t>В общем и целом,модель хорошая,но к сожалению, так же лопнула шестеренка,она,почему то пластмассовая,  оказалась,хотя,читала отзывы,думала буду первой,кому повезет,но увы... Буду покупать новый.</t>
  </si>
  <si>
    <t>Покупал Айфон, были с ним стандартные наушники ничего плохого про них сказать не могу, все здорово. Но их мне хватило только на один год, сами динамики до сих пор работают, а ну вот кнопочка для переключения и тд  сломалась, а еще и резиночки вокруг самих наушников стерлись, а так все здорово... Apple - лучший.</t>
  </si>
  <si>
    <t>Надежная машина, продуманная  для повседневных задач, цена качество хорошее. Но лучше, работает только с xp.</t>
  </si>
  <si>
    <t>Всем советую хорошая машина и цена очень хорошая !!!Берите не пожелеете!</t>
  </si>
  <si>
    <t>Фритюрница понравилась. Не сказать что в полном восторге, но тем не менее. Картошечка получается вкусненькая, если следить за процессом приготовления и пробовать на готовность. А так..я довольна. Тем более если в качестве подарка - то просто замечательно!</t>
  </si>
  <si>
    <t>Достался этот пылесос мне подарком на день рожденье, т.к. беда с пылесосами преследовала меня. Ни один пылесос не задерживался больше года, просто сгорали. Этот же превзошел все ожидания. Очень тихий, шумит, конечно, но гул приглушенный. Мощность всасывания на деле просто супер, да же если забить подзавязку контейнер, он все равно делает работу на отлично. Щетка стандартная хорошо собирает шерсть пушистиков и волосатиков. Единственное места много занимает. Но, зато нет постороннего запаха пластика. Хорошая модель, берите не задумываясь.</t>
  </si>
  <si>
    <t>Купили себе такую так как хотели стеклянную поверхность. Всё отлично работает, моется легко, выглядит очень красиво, а главное свои функции выполняет на 5.&amp;nbsp;</t>
  </si>
  <si>
    <t>наконец-то купил себе нормальный монитор!!! после своего 17-дюймового ящика))) ощущения клёвые:хорошее качество изображения, классный дизайн!!! Единственный недостаток- неудобное расположение кнопок меню, но в целом я очень доволен!!!!!!</t>
  </si>
  <si>
    <t>За деньги *15 тысяч которые за него были заплачены аппарат выдает хорошое качество изготовления вплоть до таких мелочей как отсутствие скрипа корпуса (слава тебе господи) немного смущает камера, но все недостатки меркнут перед главными преимуществами   1 процессор частотой 500 мгц и 256 мб оперативки... думаю обьяснять не надо  2 тач интерфейс работающий безприкословно   3 почти не пачкающийся экран   4 постоянно обновляемое по к тому же очень легко обновляемое   5 ЭТО Ж ЭППЛ!!!</t>
  </si>
  <si>
    <t>У меня они 3-й год,тьфу-тьфу,жалоб нет-взвешивают точно,батарейки хватает на год.Одно НО- чаша энта полная ерунда,пластмасса хрупкая,трещинами пошла через 2 недели,да она особо и не нужна-я её выбросила без сожаления.</t>
  </si>
  <si>
    <t>Купила родителям в подарок, в итоге пользуюсь и сама в том числе! Была раньше кофемолка с ножами, ни в какой сравнение. Жернова справляются куда лучше - помол более однородный, быстрее и тише работает. Так же почти нет такого, как в прошлой кофемолке эффекта, когда от ножей отскакивает зерно в крышку. Стильная по дизайну, устойчиво стоит из за специального дна. Работает уже 2 года и справлялась не только с кофе:) Рекомендую! Но не храните зерно сверху постоянно, все таки лучше в герметичной таре и холодильнике!</t>
  </si>
  <si>
    <t>Хуже пылесосов в жизни не видела, даже пыль всасывает с трудом, не говоря об элементарной бисеренке. Попробовала присосать лист бумаги, к сожалению не получилось. Покупать категорически не советую!</t>
  </si>
  <si>
    <t>нареканий в плане работы нет, все функцианирует, все замечательно. дизайн тоже устраивает. мелкие недочеты конечно есть в плане эргономики, но не без них, производитель не может угодить всем. замечания такого рода: (1). не вижу смысла в трехпламенной комфорке, заявленные 4кВт, сомневаюсь!если у вас пал выбор именно на эту модель посмотрите 6435х, не проиграете, потаму что она дешевле на пару т.р. тройное пламя тех денег не стоит. мой эксперемент литр воды на трехпламенной и на средней комфорке. разница в минуту!!!5 и 6 мин. соответственно.выводы делать вам!(2).большую горелку я бы поставил ближе к ручкам, на маленькой чайничек если только подогреть. (3).рабочая поверхность не большая. скажем сковородка и большая кастрюля уже не помещаются ,а трем-четырем предметам откровенно будет тесновато. на мой взгляд самое удачное растоложение комфорок у аристона, но мне он впринципи не нравиться, я за качественные вещи и больше доверяю немцам.   читал в отзывах, жалуются что ручки нагреваются. ну нагреваются, ну и что не расколяются же. физику в школе не изучали что ли.это не напрягает поверьте, обжечся о них не возможно, и пластик не расплавиться кто за это переживает.</t>
  </si>
  <si>
    <t>782</t>
  </si>
  <si>
    <t>Решила порадовать свою половину сюрпризиком!Сложно было определиться с выбором бритвы...но почитав комменты, обратив внимание на производителя и привлекательный вид этой бритвы, все-таки  взяла.И не пожалела!Теперь только ей и пользуется,а станок с пенкой переставил на мою полку))</t>
  </si>
  <si>
    <t>2605</t>
  </si>
  <si>
    <t>Машинка супер, 2,5 года пользуюсь, доволен, свистит, потому что двигатель мощный да и сильно не мешает.</t>
  </si>
  <si>
    <t>Работает у меня с 2008 года. Я доволен. Сейчас подключен к PC  в качестве монитора. Столкнулся с проблемой не запускаются некоторое игры, так как не установлен оригинальный драйвер.</t>
  </si>
  <si>
    <t>Отличная, быстрая для своей цены. Регулировки крепости  нет- это только бесполезная функция, хочешь крепче добавь больше кофе, или заварить без колбы в аппарате дать немного настояться и вставить колбу на место(для 1-2 чашек напитка)</t>
  </si>
  <si>
    <t>Купили машинку вчера. До этого была Чайка, тоже педалью. Теперь не нарадуюсь покупке. Заправить нитки - до предела проще простого. Инструкция - подробнее некуда, с множеством иллюстраций, пошаговыми действиями, рекомендациями по шитью. Я ни разу не обрабатывала петли на машинке, но с такой инструкцией справиться, думаю, любой. Мне даже не пришлось ДВД смотреть. Работает плавно, нитка не рвется, ничего не путается. Порадовало устройство для вдевания нитки в иголку, горизонтальный челнок, который заправляется за одно движение, бритва для обрезки нитей. В общем покупкой очень довольна. Тем более мы ее взяли по акции. Тем больше радость )))</t>
  </si>
  <si>
    <t>Сёдня выбирал колонки, рассматривал и этот вариант и скажу честно что впечатление осталось не очень хорошим! очень уж тихий он, басов нет почти...</t>
  </si>
  <si>
    <t>Данную модель не покупал, а брал в пользование. Мыл машину на солнце и пена на солнце быстро высохала, хотя высохший шампунь не так трудно было смыть. Напор у мойки хороший, самое главное после нанесения шампуня хорошо промыть шланг от шампуня. Арки она моет вообще отлично. Пробовал мыть просто водой без шампуня. Если мыть машину каждый день с этой мойки, то можно шампунь и не наносить.&amp;nbsp;</t>
  </si>
  <si>
    <t>Температуру держит плохо,второй раз кипятить отказывается,вода выливается полутеплая,на такой чай не заваришь. Вернул обратно.</t>
  </si>
  <si>
    <t>3067</t>
  </si>
  <si>
    <t>Все в принципе очень даже не плохо, заметил пока что только один минус: поставил всего пару игру ну как одна mafia II, так и вторая F.E.A.R.2 подвисают постоянно на пару секунд, хотя идут на полной максималке.... в чем дело?</t>
  </si>
  <si>
    <t>купила на днях соковыжималку, осталась довольна.Попробовала отжать сок из моркови,отжала на ура. Единственно, что не весь жмых в стакане, небольшое кол-во размазано по внутренним стенкам.</t>
  </si>
  <si>
    <t>Подарила мужу на день рождение машинку для стрижки волос. У нас она уже 6 месяцев, нареканий нет.   Только положительные эмоции! Стригу самой маленькой насадкой 3 мм: просто супер, волосы не дергает, убирает волосы с первого раза и не оставляет бороздок. Вибрация в пределах нормы, удобна в руке. Мыть ее не нужно, смазывать тоже, лишь чистить щеточкой и продувать от мелких волосков. Очень удобна и проста в применении. Муж доволен и я рада.   Пару раз стригла свекра-очень понравилось.Теперь собираемся ему на юбилей такую же подарить.</t>
  </si>
  <si>
    <t>Купил 24.03.11 на Алексеевской. Бракованный.  Включаешь - течёт. Вода вытекает откуда-то изнутри на язычок-выключатель. Сегодня понесу назад.</t>
  </si>
  <si>
    <t>Хорошая машинка, покупали 2 года назад, работает отлично, отстирывает очень хорошо. Если правильно выбрать программу, вообще никаких проблем. Достаточно шумная при отжиме, но это минус большинства машин, даже более дорогих. За такую цену - очень удачная покупка.</t>
  </si>
  <si>
    <t>Всем привет!Брал этот ноут в январе 2010 по акции.пользаюсь 3 месяца.все устраивает,за исключением пощелкивания с правой стороны бука в районе cd-roomа,есть подозрение что винт просто скоро может заглохнуть.если у кого была такая проблема отпишите,может че посоветуете.и еще по началу долго привыкал к матрице,пока сам с помощью одной программки не настроил ее под себя.теперь все норм,глаза не устают.игрухи все летают только в путь!ноут классный,но вот уверенности в том,что завтра он не откажет лично у меня он не вызывает.всем удачи!!!</t>
  </si>
  <si>
    <t>Купил аккумулятор NP-FN70, в магазине сказали хватит на 3 часа съёмки, хватает всего на час почему.</t>
  </si>
  <si>
    <t>покупался утюг в 2010 году прослужил 6 лет и сломался. Разобрав я увидел что прокладка между резервуаром для воды и подошвой порвалась протекла вода и утюг закоротило. В остальном за время пользования нареканий нет, жена была довольна гладил утюг отлично</t>
  </si>
  <si>
    <t>обмен техники в день обращения, ну если конечно не сам убил технику</t>
  </si>
  <si>
    <t>Плюсы: Качественная сборка, неприхотливость, габариты, долговечность. Аппарат более чем меня устраивает. Все работает отлично.    Минусы: Со временем потрескался пластиковый корпус. Отсутствие 4G.    Телефоном пользуюсь уже более 2-х лет. Помогал мне огромное множество раз. Часто пользовался фонариком, когда работал монтажником. Камерой пользуюсь регулярно и снимки получаются неплохие, даже по нынешним меркам. Несмотря на то, что телефону уже не один год его прошивка была обновлена по воздуху до андроид 5.0.1. Был этому сильно удивлен, так как думал, что Андроид останется на релизе 4.4. Со временем батарея стала плохо держать заряд. Но на световой день мне с натяжкой, но хватает. За все время аппарат в ремонте не был,</t>
  </si>
  <si>
    <t>1594</t>
  </si>
  <si>
    <t>После покупки решила опробовать утюг сразу же. В итоге при нагреве жутко стало пахнуть расплавленной пластмассой. Сначала подумала,что горит где-то проводка. Но "обнюхав" свой утюг поняла,что пахнет цветной пластик(где содержится вода) . На след. день понесла менять и с ТРУДОМ это сделала. Пришлось скандалить. Вот так вот.</t>
  </si>
  <si>
    <t>Купила недавно этот холодильник. Моему восторгу нет предела. Долго не выбирала. Конкурентов нет.</t>
  </si>
  <si>
    <t>Купили вместе с мамой себе такой фен, и были очень довольны его результатом. Укладывает очень легко и быстро, и объём  делает просто отлично, таких результатов с другим феном не было + контейнер для воды. Так что всем советую попробовать.</t>
  </si>
  <si>
    <t>Мне он очень не нравится, пылесосит не плохо, но у него очень неудобная ручка, громоздкая, при сильном нажатии ручка складывается, кроме того, неудобный съём контейнера, неудобная щётка и шумит он тоже здорово.</t>
  </si>
  <si>
    <t>Купила полгода назад,и очень сильно пожалела.Никому не советую. Укладывать волосы им невозможно,до этого пользовалась больше 3 лет Scarlett SC-276, он и сейчас есть,но начал подавать очень горячий воздух,но пришлось подлаживаться под него, тк даже при этой неисправности только он сейчас меня выручает.</t>
  </si>
  <si>
    <t>Полностью согласна с Андреем на счет подсветки и звука прогревающегося вентилятора. Магнитола при сложенном экране выглядит достаточно примитивно и непривлекательно для воришек )))  К сожалению, попользоваться ей мне посчастливилось 4 месяца - полетела лазерная головка... М-видео по гарантии вернули деньги, но покупать точно такую же я больше не рискнула.</t>
  </si>
  <si>
    <t>1531</t>
  </si>
  <si>
    <t>Привет, радовалась жизни с этим пылесосом 3 месяца, сломалса.загудел, как самолет и завонял. Вот и думай, покупай дорогие вещи.</t>
  </si>
  <si>
    <t>Всем здравствуйте!!!! В первую очередь хочу сказать тем людям , кто пишут плохие отзывы, мол сгорел ! Вы головой пораскинте , значит был скачек напряжения и апс спас вашу технику!!!! Или бы лучше сгорел телик или,что то еще? И так ! сегодня 27,07,15 всем известно , что в Москве и МО была сильная гроза!!! И вот я хочу сказать спасибо АПС , так ,как он спас мое оборудование телевизор ,триколор  и икс бокс!!!  другими словами сгорел сетевой фильтр!!  в другой комнате сетевого фильтра не было  и сгорел маршрутизатор за 5000 тыс!!!!    сегодня еду покупать нового помощника!!!  Спасибо апсу!!!!</t>
  </si>
  <si>
    <t>Купили эту плитку в мае.....Работает отлично...Большая комфорка начинает жарить практически сразу....Отличная модель для дачи....Всем устраивает,берите!</t>
  </si>
  <si>
    <t>Использую 3 года, волосы длинные, отлично выпрямляет, и подкручивает концы... Но уже сломался третий фен, и у всех одна поломка- ломается крепление для насадок, она пластмассовая и при нагреве и укладке с "натяжкой" быстро выходит из строя... Сейчас ищу альтернативу.</t>
  </si>
  <si>
    <t>удивилась, прочитав плохие отзывы о чайнике. чайником пользуюсь полтора года - никакого запаха пластика, т.к. внутри металлическое покрытие, внешний вид очень приятный, ничего не заедает, надписи и покрытие нигде не стерлось, хотя был переезд и ремонт. родители купили такой же, и год пользуются, очень довольны. единственное, я согласна, что немного шумный, но это никогда меня не смущало. не вижу смысла покупать пластиковые чайники, у них маленький срок годности, начинают испарять вредные вещества, запах воды неприятный, и просто вредно. так что Tefal с металлическим покрытием - то что надо - качественно и симпатично на вид.</t>
  </si>
  <si>
    <t>Отвратительный блок. Качество сборки шлак (проблема с нижним приводом, не открывается с кнопки... два блока поменяли, а третий было уже лень ехать и менять) память DDR2 (за такие деньги могли бы и DDR3 поставить) кулер (шумный и плохо охлаждающий за 300 рублей)    Начинка блока максимум на 15к, а за 25 самому можно собрать на i5 хорошую машинку.    PS. если сами не в силах собрать, то купите лучше моноблок.    http://www.mvideo.ru/price/lvl_8/class_293/</t>
  </si>
  <si>
    <t>Купи 4 месяца назад, смотрю и как тв и использую как монитор. Очень доволен, советую всем. Не пожалеете. Сборка 5. Изображение 5. Подключил к цифре - изображение супер!</t>
  </si>
  <si>
    <t>а я пользовал такой чайнег 6 лет-потекла прозрачная фигня сбоку, но я опять такой иду покупать)))</t>
  </si>
  <si>
    <t>Телевизор хороший.темно показывает,значит не настроили яркость.у меня темно показывает только в режиме энергосбережения.порадовал выход hdmi просто восхитительно.синхронизируешь с компьютером одним кабелем.покупайте не пожалеете.</t>
  </si>
  <si>
    <t>У моей сестра такая тока на 7 кг. В отсеке, где сыплешь порошок, второй (правый) отдел предназначен для ополаскивателя. Но он из лотка не уходит так и остается там. В чем  дело?</t>
  </si>
  <si>
    <t>Пользуюсь данной моделью 2 года. Ни разу не подводила. Чистит замечательно. Не переплачивайте. Поверьте, это идеальный вариант. Да и насадки в любой аптеке продаются.</t>
  </si>
  <si>
    <t>комп брал под игры.2.0 гигагерц вполне хватает для новых игр.жесткий диск на 320 может содержать разные вещи.я только переставил на xp с вистой немного тормозит.берите я много смотрел компов и остановился на этом .я его оцениваю на твердую четверку</t>
  </si>
  <si>
    <t>1776</t>
  </si>
  <si>
    <t>2014-09-14</t>
  </si>
  <si>
    <t>Рекомендую!Отлично замешивает тесто и взбивает.Идеальный помощник на кухне. Качество супер.</t>
  </si>
  <si>
    <t>Просто отличный плеер! Удобная навигация (на выбор: по песням, по альбомам, по исполнителям), практически невесомый, быстро заряжается и долго держит заряд. У прилагающихся наушников очень неплохой звук. Если есть хоть какой-то минус у этого плеера, то разве что небольшой объем (всего 2Гб). Но это уже придирки, а вообще, за такую цену - просто чудо.</t>
  </si>
  <si>
    <t>Этот тостер у меня уже больше 2-х лет. Увидела похожую у знакомой в гостях и тоже захотела горячих бутербродов по утрам. Мулинекс получила в подарок, так что муки выбора меня не постигли)) Работает без сбоев. Советую.</t>
  </si>
  <si>
    <t>купил сегодня эту выжималку, в магазине проверять не стал, пришел домой, включил не работает! придется идти менять...</t>
  </si>
  <si>
    <t>Купили машинку по акции. 2 недели примерно назад. Думал Beko 1500. А тут акция. И однозначно Bosch. Хоть и известна история "знакомства" этих производителей, но когда рядом стояли эти 2 машинки. Выбор очевиден. Класс сушки на самом деле С. Отпугивает. Но на практике оказалось очень даже. Ну есть капелька на обратной стороне тарелки какой-нибудь. Нас удивляет недовольство некоторых!! В общем прекрасный агрегат, моет отлично и сушит. Реально сушит! Фигня все эти классы. За 2 мойки отстирал нагоревшие решетки из духовки практически идеально. А стаж нагара на решетках лет 5. После мойки - блеск нержавейки, радующий глаз. Советую!</t>
  </si>
  <si>
    <t>Отличный,со своей основной функцией справляется,не очень шумный,спать под него можно легко,практически не слышен</t>
  </si>
  <si>
    <t>2711</t>
  </si>
  <si>
    <t>Всё отлично, каналы офигительно работают, всем советую и HDMI 2. Так если кто-то захочет сыграть в XBOX - отличная картинка на телике!</t>
  </si>
  <si>
    <t>3048</t>
  </si>
  <si>
    <t>Купила этот пылесос,понравился,работает шустренько,сосет самое главное хорошо,даже когда наполняется,мощность не теряется.Ну,а что до пластика,так сейчас все из него делают.Будем надеяться,что прослужит долго. Пока рада покупке</t>
  </si>
  <si>
    <t>отличный телек, тема с диодами работает!!!!!!! всем доволен.</t>
  </si>
  <si>
    <t>Отлично увлажняет</t>
  </si>
  <si>
    <t>Купили этот пылесос на смену старенькому контейнерному, где из фильтров был только один перед двигателем, а весь мусор накапливался просто в корпусе пылесоса. По сравнению с ним этот пылесос выгодно отличается тем, что вся пыль получается взвешенной в воде, а для меня это, как для аллергика, весьма актуально. Ни во время уборки ни после, при мытье фильтров, не возникает желания чихать на этот мир.  Многие пишут о подобных пылесосах, как они чувствуют свежий влажный воздух после уборки. Либо это вранье, либо эйфория после покупки, либо у меня слабый нос, либо они переливают воду в аквафильтр - ничего подобного я не заметил.   После уборки действительно приятно видеть болотце внутри пылесоса, но не всегда можно его выливать в унитаз - если пыли скопилось много, то ее лучше отжать руками и выбросить в мусор, иначе рискуете забить канализацию и вызвать гнев жильцов с первого этажа. Повторюсь, я аллергик, но не параноик, и отжать пыль руками для меня не проблема. Главное, чтобы до этого вы иголок не понасобирали :)  Несмотря на вместительный по объему аквафильтр, воды в него помещается немного - нужно лить чуть ниже отметки "макс", чтобы после сборки и погружения в воду деталей циклона от верхней части не произошло перебора.  Во время уборки на высокой мощности довольно сильно электризуется щетка, штанга, шланг, корпус и фильтр пылесоса. Поначалу я был весьма озадачен, когда сразу после уборки я схватился за фильтр, а он встретил меня разрядом молнии :), и не переставал потчевать разрядами, когда я брался за его разные детали. В дальнейшем я стал умнее, и во время уборки ходил по полу босиком, держась одной рукой ручку, а второй - за металлическую штангу. Как вариант - можно оставить пылесос на некоторое время "отстоятся", дабы дождаться, пока статика не стечет с него полностью; наверное это произойдет быстрее при подключенной вилке к розетке, но выключенном пылесосе.  Главное - не забыть помыть фильтр после уборки, как это произошло со мной. Через день, когда я его открыл, мне в нос ударила волна отвратительного запаха - все-таки смоченная в воде пыль дает плодотворную среду обитания бактериям.  Фильтр моется легко, у меня на это уходит пара минут максимум. Занятие абсолютно не пыльное, хоть немного и грязноватое, но по сравнению с прошлым пылесосом - небо и земля. Мне приходилось уединяться в ванной, помещать съемный контейнер внутрь полиэтиленового мешка, погружать туда же руки, вытряхивать, но пыль все-равно выходила наружу, бррр, вспоминаю как страшный сон.  Немного напрягает то, что на сушку фильтра уходит много времени (рекомендуется 12 часов). В остальном - все устраивает.  Да, еще в комплекте идет турбощетка с надписью Pet-Plus. Исходя из названия она предназначена для уборки шерсти домашних животных. Так как животных дома нет, то оценить ее преимущества не получилось, но по размерам она весьма компактна, примерно, в 2-2.5 раза уже, и мы используем ее для уборки в трудно доступных местах. При уборке человеческих волос жены щетка показала свою несостоятельность - ее заклинило после первой же порции волос, и я убил минут 15 чтобы ее распутать, пытаясь срезать волосы ножницами.  В целом - очень доволен выбором пылесоса, рекомендую!</t>
  </si>
  <si>
    <t>Хороший чайник. Пользуемся более 4-х лет и никаких поломок, протечек и т.п. Выбирали из известных фирм, которые неплохо себя зарекомендовали, да и по цене подошел. Советую!</t>
  </si>
  <si>
    <t>ноутбук классный, недавно купил, игры летают(новые), минус тока один, сильно нагревается, а так всё супер</t>
  </si>
  <si>
    <t>2559</t>
  </si>
  <si>
    <t>В квартире два стояка. Водонагреватель Haier ES8V-Q1(R) объемом 8 литров установил на кухню для мытья посуды. Очень удобно в сезон отключения горячей воды. На ванную поставил тоже водонагреватель Haier только на 50 литров. Первым пользуюсь несколько дней, вторым уже более двух лет. Главное не пришлось переплачивать.Греют очень быстро. Обоими водонагревателями доволен.</t>
  </si>
  <si>
    <t>Брал монитор на обум в м-не Компас. Так как у меня дома уже есть монитор LG 20" То и этот я хотел LG но 22" взял из-за характеристик и не разочаровался. Монитором пользуюсь уже недель, все что мне от него хотелось сошлось в этой модели w2284f-pf очень рекомендую всем, за свои деньги монитор просто шикарен</t>
  </si>
  <si>
    <t>Проработала почти 1 год ( без 1 недели). Так нормально, но хотелось бы срок службы подольше</t>
  </si>
  <si>
    <t>Купил ноутбук около 3 месяцев назад.Модель Аcеr друзья порекомендовали.Все современные игры и мощные программы на нем идут отлично без тормозов.Процессор мощный,оперативка новейшая и быстрая.Бесшумный.Наличие 4 портов usb.Звук динамиков очень приличный для ноута.А в наушниках звук просто чудо. За время работы ни одного сбоя не было,хотя работал на нем постоянно(бывало пару суток не выключал).Минус один: небольшой винчестер (впрочем есть возможность поставить большего объема).Всем рекомендую.Отличный ноутбук.</t>
  </si>
  <si>
    <t>хорошая вещь, но мне кажеться больше для маникюра подходит.. огрубевшую кожу на ногах все равно не уберет, сначала надо будет пемзой обрабатывать.... единственный минус- мне кажеться скорость не очень большая т.е.  если очень сильно надавливать на насадки то они как бы перестают круться. а так все нравиться</t>
  </si>
  <si>
    <t>Туговатенький девайс, соображает с задержкой. 64-х битная семерка убила наповал. Знал бы - не покупал. Дрова принтера не встали,  1С проблема...</t>
  </si>
  <si>
    <t>Любая мойка керхер отмоет автомобиль при правильном использовании, чем дешевле и ниже параметры, тем больше потратите времени, реально помыть автомобиль хватит 40-50 литров, если фанатеть, то вам и 200 литров воды будет мало, если у вас на авто кусками грязь висит, то конечно чего жаловаться на расход, чем выше давление и расход воды через мойку, тем быстрее вы помоете машину, правильно машину моют так: только в тени или вечером, когда солнце заходит, и нет жары. 1 этап: смываете грязь с машины, начиная с крыши и опускаясь вниз каждый элемент авто, быстро и без фанатизма, куски грязи сбить, тонкий налет можно оставить, 2 этап: нанесение химии, только специальной пенной насадкой, именно смесь воды- химии-воздуха в правильной пропорции дадут результат, только спец авто шапунь, фейри и жидкое мыло ничего неотмоют, наносим именно снизу вверх, без фанатизма, ровным слоем, если много, сразу же стечет, мало небудет эффекта, ждем 5 минут, шампунь недолжен высохнуть и 3 этап: смываем шампунь в два захода, тоже без фанатизма, первый проход сбить пену, вторым тщательнее вымываем химию, далее только протирать микрофиброй, влажной, влажную машину, а не высохшие разводы, я рекомендую холодный жидкий воск, на мойке обязательно использовать фильтр до 50 мкм или тоньше.</t>
  </si>
  <si>
    <t>Оказался незаменим в поездке, в больнице. Замечаний нет. Только сразу повторно включить, чтобы опять довести до кипения, не удастся. Немного нужно подождать, чтобы охладился, и только тогда кнопка нажимается. Шнур обычной длины.</t>
  </si>
  <si>
    <t>1358</t>
  </si>
  <si>
    <t>Наушники хорошие) даже очень!) единственное нет подушек в наборе, но это ерунда.</t>
  </si>
  <si>
    <t>Играю в игру уже около месяца, предпочитаю вдвоём за одну команду, создал команду своих друзей и игру в НХЛ. уже выиграл 1 сезон. Игра очень понравится всем любителям хоккея. просто управление. + намного лучше взять русскую версию 2009 года, чем английскую 2010 ;)    1 минус, не понравилось то, что всех игроков, которых я создал в свою команду в режиме DYNASTE MODE так же покупают другие команды, в итоге эти игроки есть у меня и разных командах соперника ((</t>
  </si>
  <si>
    <t>отличная помощница на кухни... особенно для многодетной семьи</t>
  </si>
  <si>
    <t>Купили больше месяца назад, стирает отлично, немного шумновата, зато отжимает очень хорошо - белье практически сухое на выходе.  Но одно непонятно, зачем на сливе стоит такой капризный фильтр? Получается, что стирать в этой машине можно только чистое и новое, а поношенное и с сильными загрязнениями вызывает буквально ступор, приходится вручную сливать воду и промывать фильтр, который расположен у самого пола. В старом индезите таких проблем вообще не было, я так бы и не узнала, где у него фильтр, если бы копейка в него не попала (гремела), а прослужил он у меня 11 лет, не ломаясь.  Сегодня опять исполняла танцы с бубном вокруг фильтра, но... завтра буду мастера вызывать.</t>
  </si>
  <si>
    <t>Приобрел 22 апреля 2010 года. Сдал обратно 24 апреля 2010 года.  Судите сами:  1. Экранное меню не русифицировано, как заявлено в технических характеристиках на сайте МВИДЕО  2. Не работает линейный выход на задние колонки (Rear Line Out)  3. Сенсорный монитор "раскалиброван" тыкаешься-тыкаешься, а не попадаешь.  4. Не работает переворот изображения камеры заднего вида.  5. "через раз" включается сабвуфер и усилитель по управляющему проводу  6. "тормозня" при переключениями между режимами    Собственно не исключено, что одна из бракованных магнитол, но осадочек от производителя остался.</t>
  </si>
  <si>
    <t>Простота и удобство в использовании, мощный двигатель</t>
  </si>
  <si>
    <t>Вытяжка проработала чуть больше месяца и вышла из строя. Не включаются кнопки.</t>
  </si>
  <si>
    <t>До нее у меня была какая-то самая дешевая Braun, даже с проводом. Пользовался ей много лет, но сетка не вечная. И вот  решил сделать себе подарок и купил данный "мерседес". И пользуюсь им уже примерно 3 года. Если совсем коротко, то я ожидал чего-то большего. Видимо, у меня не слишком чувствительная кожа и не капризная щетина - бреет она так же, как и предыдущая дешевая Braun. Даже хуже - из-за широкого бритвенного блока трудно брить под носом. Так что для тех, у кого растительность не капризная, это деньги на ветер. Особенно учитывая, что новый режущий блок стоит 2600 р - это дороже дешевых бритв от Braun.</t>
  </si>
  <si>
    <t>Хороший тостер, пользуемся более 3 лет. Очень хорошо вписался в интерьер, маленький и простой. Менять пока даже не думаем.</t>
  </si>
  <si>
    <t>Чайник 1,7 л закипел за 4.5 минуты. По шумности - шумит, но в пределах допустимого (из физики понятно, что процесс закипания сопровождается шумом, т.к. пузырьки воздуха схлопываются, чем он интенсивнее тем шума больше). Пользуюсь Scarlett SL-1502, не течет. А этот купил теще (той же марки). Если брак, то он себя сразу проявит, остальное проявит в процессе правильной/неправильной эксплуатации. Единственный минус - это тонкие металлические стенки, вода в нем быстро будет остывать.</t>
  </si>
  <si>
    <t>1437</t>
  </si>
  <si>
    <t>Варочная поверхность с их помощью оттирается просто идеально и очень быстро. Даже если на ней чтото засохло или подгорело. Намного проще и легче,чем пользоваться тряпками и какими-то дорогостоящими средствами. Протерла и выкинула - мне очень нравится!</t>
  </si>
  <si>
    <t>1078</t>
  </si>
  <si>
    <t>Вчера купил "за дизайн", запаха пластика почти нет,  а тот что есть не раздражает, при заливке до максимума и немного выше при закипании лужи на столе нет, это плюс. Конструкция крышки корявенькая, ровно на те деньги, сколько уплачено, пластик корпуса на стыках "шероховато" исполнен. Красная лампочка внутри вызывает только смех. Конечно, это не подсветка, но пузырики подсвечивает. НЕ шумный, более дорогие чайники шумят сильнее, закипает быстро, на подставке не шатается. 2Л - это объём! Можно вскипятить 1 раз и тазик тёплой воды готов, просто отлично. Если потечёт, напишу ещё =)</t>
  </si>
  <si>
    <t>399</t>
  </si>
  <si>
    <t>Пылесос отличный! Выбирал между Электролюксом и ним - при демонстрации его силы всасывания вопросы отпали. Учитывал, что у меня дома только ламинат и небольшой коврик, поэтому пылесосы с аквафильтром не стал рассматривать. Взял этот.Прошел год эксплуатации - теперь в поисках HEPA фильтра и мешков на данную модель.</t>
  </si>
  <si>
    <t>Ни кому ни посоветую этот прибор. В роли  тримера не работает, а как депелятор работает не плохо, только больно. .</t>
  </si>
  <si>
    <t>Хорошо подойдёт тем, кто не хочет задумываться о настройках, а просто хочет фотографировать. Достаточно выбрать автоматический режим и делать хорошие снимки, хотя это касается всех Люмиксов.</t>
  </si>
  <si>
    <t>2700</t>
  </si>
  <si>
    <t>недостатков нет!</t>
  </si>
  <si>
    <t>играет в Honda Accord c усилком Blaunkpunt 470, раскачивает будь здоров, нет гудения а четкий точный бас как на низких так и на высоких частотах, причем тональная точность не нарушается с увеличением уровня громкости,советую. Лидер в категории до 5000 руб.</t>
  </si>
  <si>
    <t>Пользуюсь ноутом две недели.Впечатления только положительные.В игры можно играть без проблем.DVD-привод поддерживает технологию LightScribe.Только в автономном режиме работает недолго.</t>
  </si>
  <si>
    <t>при просмотре 3D совсем другая вытяжка.</t>
  </si>
  <si>
    <t>1744</t>
  </si>
  <si>
    <t>Всё в нём хорошо, кроме видеокарты, но она легко заменяется.</t>
  </si>
  <si>
    <t>Соответствует всем заявленным в описании характеристикам.</t>
  </si>
  <si>
    <t>2015-10-17</t>
  </si>
  <si>
    <t>купила в 2015 г. пользуюсь  месяц. очень нравится. книга рецептов на -----5. приходится в интернете брать рецепты!</t>
  </si>
  <si>
    <t>Купил больше года назад!! Доволен на все сто!! Готовит отменно!! Выдвижные направляющие - очень удобно!!.. Ничего не шумит и не гудит!!</t>
  </si>
  <si>
    <t>отличный фотик мне понравился!</t>
  </si>
  <si>
    <t>Отличный тостер, удобен в использовании, нравится, что есть лопаточка для доставания тостов. Минусов не обнаружила.</t>
  </si>
  <si>
    <t>Мультистайлер Rowenta CF4032 просто отличный,до этого у меня был такой же мультистайлер этой же фирмы,но другой марки,который верно прослужил мне 7 лет. При эксплуатации никаких обоженных пальцев и других частей тела НЕ БЫЛО,если он нагревается,можно просто выключить и спокойно вытягивать,накручивать,завивать волосы в течение 10-15 минут. Советую эту вещь, так как качество проверено!!!!</t>
  </si>
  <si>
    <t>Я согласен, что данный товар сочетает в себе ту мощь, которую нужно в это время и ту цену, которая устроит покупателя!!:)..мне посоветовали его приобрести..и я надеюсь, что я это сделаю !!</t>
  </si>
  <si>
    <t>Компактный размер,известный бренд.Быстрый нагрев.</t>
  </si>
  <si>
    <t>Хороший телевизор.Отличное качество изображения, широкий диапозон контрастности.Недостаток один- не очень четкий звук из-за нижнего расположения динамиков.</t>
  </si>
  <si>
    <t>Долго читала отзывы в интернете, сомневалась насчет отсутствия регулятора мощности. На практике оказалось, можно без него обойтись! На трубке есть перекрывающееся отверстие, как и на всех пылесосах.  Пылесос достаточно мощный, действительно вытягивает много пыли, на выходе запаха пыли нет и быть не может!  Очень понравилась функция прессовки мусора, действительно теперь спокойно высыпаем в ведро, пыль не летит!  Еще были сомнения, вдруг попадет какой-нибудь мелкий предмет. Ничего страшного! Полет нормальный! Все утрамбовывается.  Единственный минус - вся эта фантастическая коробочка с системой фильтрации должна регулярно подвергаться мойке. а потом сушиться. Но я не считаю это за такой уж минус, по сравнению с аквафильтрами, которые никак нельзя забывать помыть.  Пылесос очень красивый, необычный, музыкальный даже.  Пластмасса очень приятная на ощупь, очень длинный провод, все на защелочках и кнопочках.  Турбощетка отличная, у нее снимается прозрачная панель и все можно почистить.  Детям нравится смотреть, как лопаточка гоняет мусор в контейнере.  Я полюбила уборку! Дома чистота!</t>
  </si>
  <si>
    <t>аппарат просто супер.  windows 7 оправдал надежды, очень быстрый, компактный, емкая батарея и т.д., пользуюсь уже два месяца и радуюсь, что выбрал именно его.  Рекомендую всем: и игроманам, и для работы.</t>
  </si>
  <si>
    <t>Обалденная соковыжималка. Отлично моется, выжимает до последний капли и без особых усилий, не большая, красивый дизайн.   За свою цену - просто уникальная вещь.Всем рекомендую.</t>
  </si>
  <si>
    <t>984</t>
  </si>
  <si>
    <t>Все хорошо</t>
  </si>
  <si>
    <t>телевизор отличный, очень нас с женой порадовал. плюсы: большая диагональ, хорошие цвета, плейер хавает все форматы(mkv в том числе), возможность подключать внешние жесткие диски, воспроизведение #d. минус пока выявлен 1 - самопроизвольные включения/выключения- не пойму в чем дело телек выделывается или это из-за электрики( проводка вроде хорошая может скачки напряжения?) брали по акции на 5руб дешевле - класс, всем советую.</t>
  </si>
  <si>
    <t>Заказали два кондиционера. Привезли через день после заказа, еще через день установили, мастера работали аккуратно. Кондеи работают хорошо, шума никакого нет, охлаждает довольно быстро! Покупкой довольны!</t>
  </si>
  <si>
    <t>Пользуемся 2-й сезон и пока очень довольны! Вот простые факты: на улице после обеда около +33, данный кондер легко охлаждает комнату 19 кв.м(солнечная сторона) за 20 минут и при этом еще и в коридоре становится прохладно. На 1-й скорости(а мы именно ей пользуемся 90% времени) работает практически бесшумно, на 2-й все еще акустически комфортен, на 3 уже приличный шум потока. Есть таймер вкл\\выкл с установкой до 12 часов. Внешний блок так же очень тихий и совершенно не вибронагруженный, очень плавная работа. При установке офиц-м сервисом(с сайта Панасоник) гарантия 5 лет.</t>
  </si>
  <si>
    <t>Дизайн, электронное управление,относительно тихий, удобный в обслуживании</t>
  </si>
  <si>
    <t>Буквально проработал он у меня месяц,потом стал только нагревать,а не кипятить воду(разачарован...</t>
  </si>
  <si>
    <t>162</t>
  </si>
  <si>
    <t>Купили 3 дня назад, по акции. Красивый, элегантный, мощный! Идеально вписался на кухню, а какая подсветка, очень нравится! Помню, первое включение чайника, сидим рядом и не отрывая глаз любуемся его работой при выключенном свете))) Воду лучше наливать отфильтрованную! Недостатки(они у всех есть): кнопку включения расположили не продуманно, подставка немного мала, кажется что чайник не очень устойчив, стекло ведь бьется! Вообщем, достойный аппарат! Берите, просто загляденье!!!</t>
  </si>
  <si>
    <t>Аппарат супер! Жена в восторге!Ещё бы просто и надёжно всем рекомендую.</t>
  </si>
  <si>
    <t>100</t>
  </si>
  <si>
    <t>Подарили мне такой пылесос в машину. Скажу честно, полная ерунда, забивается быстро и не сосет пыль совсем! Лучше купить дешевый домашний пылесос и им пылесосить.</t>
  </si>
  <si>
    <t>1315</t>
  </si>
  <si>
    <t>Нестандартный аорт USB нашел, но кабель eSata туда никак не идет, либо производитель заявил об совмещенном eSata не позаботившись об этом, либо я чего-то не понимаю. Ну и предустановленная Windows 7 Home Basic ну мягко говоря - полная дрянь, майкрософт просто издевается, в этой версии ничего сделать с настройками нельзя, даже добавить на рабочий стол иконки Мой компьютер и Сеть, не говоря о том, что эта версия виндовс не поддерживает даже замену тем, просто кошмар, поэтому пришлось устанавливать другую версию. Лучше бы продавали этот ноут пустой, без предустановленной винды, стоил бы дешевле и негатива было бы меньше. А так, как машинка он мне очень нравится, так что если Вам не принципиальная версия Виндовс и интерфейс eSata, то соотношение цена/качество - достойное!</t>
  </si>
  <si>
    <t>2372</t>
  </si>
  <si>
    <t>зверь с 4 ядрами   отличная машина</t>
  </si>
  <si>
    <t>Удобнейшая кофемашина!!! У предыдущей была проточная система нагрева, а у Saeco бойлерная. Один и тот же кофе, но абсолютно разный вкус. И как мне показалось более проста в чистке.</t>
  </si>
  <si>
    <t>Я пользуюсь такой мясорубкой уже 5 лет!Супер!И мясо, и овощи.Картофельные блины - за 2 минуты.За все время использования один раз меняла нож,по своей неосторожности.Очень всем рекомендую.</t>
  </si>
  <si>
    <t>Все на 100%, аппарат просто супер. Удобен, функционален, качество звука и видео лучшее. Найти замену в этом сегменте нереально.</t>
  </si>
  <si>
    <t>Очень прилично,данные колонки ДОЛБЯТ квартирное помещение! Даже если выкрутить бас на всю и сделать нужные настройки в эквалайзере в зависимости какой плеер у Вас установлен, буфер не трещит и не захлебывается, даже если звук на максимуме. Ну а в целом звук очень приличный, басы ощущаются хорошо, единственный недостаток как мне показался - это небольшой фон, но его можно убрать, так же в эквалайзере убрав верх и середину на нужный уровень! М-видео Спасибо!!!</t>
  </si>
  <si>
    <t>Спасибо Владиславу за отзыв о машинке, очень помог сделать выбор. Я долго изучала разные модели, придиралась к мелочам. Выбирала тоже между бош, сименс и лджи,хотелось качественную (Владислав подсказал, что германской сборки), полноразмерные (чтоб не скакала, главное отцентрируйте сразу, до этого была вертикалка, она вибрировала очень сильно, плюс у сименс вес машинки 77 кг, стоит как вкопанная), с защитой от детей, малошумной (действительно такая), простым меню (у бош мне показалось очень замудренное меню, а в сименс всё наглядно, одельная сенсрная кнопка на температуру, отдельная на скорость отжима, удобный выбор режима стирки, на ручке отмечена риска, чтобы  четко выбрать программу и не промахнуться), с большой загрузкой, дозагрузкой во время стирки (очень удобная вещь), звуковое оповещение по концу стирки(громкость регулируется, правда не пробовала), показывает время до конца стирки(причем четко,без глюков и подвисаний на последней минуте), очень умная машина - iQ 700, если положили много порошка и требуется дополнительное полоскание, машинка сама, автоматически регулирует это - добовляет время полоскания, чтоб белье было чистое. качество стирки - супер! Очень удобно сделаны отсеки для порошка, умягчителей (широкие отделение, глубокие, т.е. выдвигаются на большое растояние и легко насыпать порошок, есть мерный язычок для порошка прямо в отсеке и машинка сама ополаскивает отсеки после стирки). Очень понравился барабан по дизайну, да и сама машинка очень стильная. Пользуюсь уже полгода и ненарадуюсь, запускаю по 4-6 циклов в неделю (только в субботу по 3-4 цикла за день). Для семьи с детьми (у меня один ребенок, но стирки гора)это просто чудо. Детский зимний комбинезон-штаны с курткой 9-летнего сына стирает без проблем, плед меховой с двухспальной кровати легко поместить в машинку (довольно большой проем загрузочного люка). 1000 об/мин хватает вполне, хотела 1200 об/мин, но не было в продаже. Машинка - супер, не пожалеете, с вертикалками не сравнить, не по качеству стирки, не по тишине, не по цене. Единственное при стирке вещей с металлическими деталями (куртки спортивные, хоть и застегиваю замок, выворачиваю на изнанку вещь) слышен легкий звон об стеклянную дверцу, т.к. ассиметричный захват белья и он переворачивает белье из глубины барабана к дрерце, переживаю, чтобы дверца не разбилась.</t>
  </si>
  <si>
    <t>Взял себе такой вчера. Все хор. И выглядит солидно. Бордовый цвет - очень стильно. Рекомендую!</t>
  </si>
  <si>
    <t>пользовалась им 2 года.очень довольна.все функции есть.очень удобно с маленьким ребенком,овощи измельчить,пюре сделать.при ремонте разбили саму подставку,которая с мотором.вот нигде найти не можем((</t>
  </si>
  <si>
    <t>бритва хороша, особых нареканий нет, купил её в декабре 2010 года, попользовался месяца 3 и убрал, недавно отключили воду и пришлось пока убрать станок и вернуться к электробритве. Несмотря на то что бритва пролежала без действия около трёх месяцев - она не просила зарядки, но всеравно хватила на раз, поставил заряжаться (подставка кстати удобная штука) - зарядка начала издавать низкочастотный звук и не заряжала бритву, отнёс в сервис - её по гарантиии отправили на заемену в тотже мвидео.</t>
  </si>
  <si>
    <t>Пользуемся 2 недели. По сравнению с обычным чайником этот быстрее закипает (на 2-3 мин на 1,5 литрах воды), а после выключения вода в чайнике дольше остается горячей.   Немного расстроило, что:  1.Ручка с силиконовым покрытием нагревается достаточно сильно - голой рукой не взять - обжигает. Причем, чем больше воды в чайнике кипятилось, тем сильнее нагревается ручка. При этом через 2 минуты после отключения плиты ручка остывает и за нее можно браться.  2.Последние 0,5 литра воды выливать затруднительно. Чайник приходится сильнее наклонять по сравнению с чайником обычной формы.  Вообще, эти недочеты не сильно напрягают, тем более  Vinzer 69009 отлично выглядит. Мы довольны покупкой.</t>
  </si>
  <si>
    <t>Полностью согласна с Вячеславом! Отличная модель! Готовила пока один раз. Пиццу ставила еще в холодную духовку, в итоге уже через 20 минут была готова. Равномерно пропеклась, просто супер! Ставлю твердую пятерку!</t>
  </si>
  <si>
    <t>3194</t>
  </si>
  <si>
    <t>Купила эти щипцы, в надежде, что буду делать себе легкие волны на волосах. волосы у меня до пояса, но пока завиваешь вторую часть волос, первая благополучно выпрямляется. На новый год удалось таки завиться на пару часов, но потратила пол флакона лака сильной фиксации. Я даже пыталась ее сдать обратно в магазин, но естественно у меня ее не приняли. Очень обидно, и жаль потраченных денег(((((</t>
  </si>
  <si>
    <t>Замечательный термопот работает уже 3 года. Не одной поломки. Нету лишних запахов. Долго держится свежая вода. Понравилось то, что сделан из металла.</t>
  </si>
  <si>
    <t>Около года назад мы купили себе такой чайник на работу. Так как запах пластика в начале практически не чувствовался, а позже исчез совсем, я купила себе два чайника этой фирмы: в квартиру и на дачу. Работают они исправно, запаха пластмассы не чувствуется. Ставлю 5 баллов и рекомендую всем.</t>
  </si>
  <si>
    <t>1317</t>
  </si>
  <si>
    <t>Купила машинку по акции... 1200 оборотов за 10990руб. - это конечно круто... А в итоге после 2-й стирки машинка сломалась: слетел ремешок от барабана.. т.е сам движок работает и таймер время отчисляет, а барабан не крутится... Положила белье вовнутрь, машинка стала заливать воду, а барабан не стал крутиться... Пришлось стирать, в итоге, на руках.. Столько снова с этим проблем.. вызывать сервисную службу, ремонтировать или переставлять, менять... боже мой.. почему нельзя, чтобы все было хорошо с первого раза...</t>
  </si>
  <si>
    <t>Три месяца езжу без магнитолы, ждем ремонта. При покупке все работало. Через месяц перестала закрываться панель без вставленного CD. А еще через месяц совсем сломалась.</t>
  </si>
  <si>
    <t>Дизайн - отличный! Минусы: шумит сильно, часы спешат, кожух крепиться через одно место!</t>
  </si>
  <si>
    <t>Отличный фен! Мощность достаточная. Горячий воздух идёт из щётки, что облегчает укладку! Всем советую!</t>
  </si>
  <si>
    <t>Вчера себе наконец-то купил такую консоль, и очень доволен ей. Графика игр на высоте. Хорошо, что в комплекте идёт камера с игрой, это экономия до 1500 рублей. Игра тоже классная, ходишь по квартире, ищешь всяких монстров. Камера снимает великолепно, хоть 1,3 мп, а качество на все 5. Вобшем всем советую, классная вещь.</t>
  </si>
  <si>
    <t>Увлажнитель явно был бы в принципе неплохим если бы не 2 НО  1. Фильтр, который установлен в баке вообще не несёт в себе никакой очищающей функции. Достаточно посмотреть на его конструкцию сразу становиться понятно что он выполняет роль крышки и  клапана но не как не функцию фильтра.  2. На второй день покупки начал моросить датчик наличия воды сигнализируя об её отсутствии при том, что бак был на половину заполнен. Проблема временно отпадает если пошевелить пак но не надолго.  Сейчас пытаюсь сдать по гарантии но сотрудники магазина настаивают на экспертизе.  В общем если его допилить напильником,  сможет работать хорошо, но в том исполнении в котором он продаётся сейчас, причин его покупать не вижу, есть более дешевые варианты с такими же характеристиками.</t>
  </si>
  <si>
    <t>2456</t>
  </si>
  <si>
    <t>Купил полтора года назад.  Пол года работал отлично - начались проблемы со звуком, отнёс по гарантии в магазин, взяли на ремонт.Сделали-работает до сих пор))</t>
  </si>
  <si>
    <t>не заметил</t>
  </si>
  <si>
    <t>Отличная замена ПК! Очень нравится, Windows XP на нём просто летает, остался очень доволен.</t>
  </si>
  <si>
    <t>Пылесос отличный, купили давно, года полтора назад. Уговорил купить менеджер в магазине. Спасибо ему, не обманул. За это время использовался очень жестко, если не сказать жестоко. Никаких нареканий не вызывает. Пылесосит чисто и быстро, качество уборки на порядок выше, чем у аппаратов других марок. Кроме квартиры использую для уборки в машине. Более чем доволен. Универсальность соединений порадовала. Объяснять долго, надо попробовать.   Оценка товара - 5 баллов.</t>
  </si>
  <si>
    <t>Мне безумно нравится, пользуюсь уже больше года! Незаменимая помощница при консервировании на зиму. Легко моется. В прошлом году, когда был большой урожай яблок - все перекрутила! Даже не знаю как без такой умницы можно обходиться в хозяйстве!</t>
  </si>
  <si>
    <t>Здравствуйте. Купил данную соковыжималку пару месяцев назад. Долго ходил вокруг, всё жаль было отдавать такую сумму, но всё-таки решился. О чём ещё ни разу не пожалел. Пользоваться удобно, мыть легко, гранаты отжимает великолепно, а брутальный металлический дизайн каждый день радует глаз. Аналогов на рынке не вижу, советую.</t>
  </si>
  <si>
    <t>пользуюсь почти месяц, очень доволен. учитывая то, что работает он почти целыми сутками, глючил пару раз, после перезагрузки прекращал, не греется, не шумит(мой субъективный взгляд)    из плюсов: красивый, картинка хорошая, звук приятный(если слушать в нешумном месте и не на полную громкость), мощный, hdmi, достаточно usbшников, да и виста мне нравится    минусы: плоская клавиатура(красиво,конечно, но на ощупь печатать тяжело), на крышке вечно отпечатки пальцев, экран отсвечивает, крышку неудобно открывать, кнопку открывания двдшника тоже на ошупь не найти, и кнопка включения действительно яркая    о минусах я знал еще до покупки, был к ним готов, поэтому сейчас этот бук меня очень даже устраивает</t>
  </si>
  <si>
    <t>Доволен покупкой! Отличная модель. Все в металлическом корпусе + привод металлический. Насадок много, т.е. многофункциональна.</t>
  </si>
  <si>
    <t>Приобрели с супругой тостер Bork T800 примерно пару месяцев назад и не нарадуемся. Во первых нет кучи крошек на столе как это было с более дешевыми тостерами. Во вторых классный дизайн и легкость в управлении. Вобщем покупкой довольны.</t>
  </si>
  <si>
    <t>Это не мясорубка, а мясодавилка: из мяса получается не фарш, а каша. Вернул бы с удовольствием продавцу, но ведь качество фарша- не считается недостатком..</t>
  </si>
  <si>
    <t>Купил в М-Видео ЖК телевизор 32 PFL Philihs 5604, с продавцом договорились о данной модели венгерской сборки (5604Н/12), т.к. звук и изображение нам понравилось больше, чем у модели российской сборки (5604/60). Расплатились и забрали домой. Однако на выдаче не проверили страну, а дома обнаружили, что телевизор нам достался российской сборки… Вот тут большое спасибо магазину М-Видео, позвонил туда на следующий день, объяснил ситуацию, и нам разрешили поменять модель российской сборки на аналогичную модель венгерской сборки…   И действительно модель 5604Н/12 в сравнении с 5604/60 нравится больше, звук громче, с флешки читает форматы видео (.avi, .mpeg), как многие здесь пишут… Вот только поначалу нам показалось, что он сильно греется, но потом вроде бы стал меньше (но надо будет понаблюдать), а еще включается он довольно долго… Также я не могу найти настройку часов, да и инструкции распечатанной нет, только в электронном виде… В общем по эксплуатируем, посмотрим, если что, то гарантия на 2 года от магазина у нас куплена!!!</t>
  </si>
  <si>
    <t>Сегодня с утра фильтр пробило - вспышка в районе кнопки включения... запахло паленым пластиком и фильтр сдох. При этом перепада в сети не было (лампочки на люстре даже не мигали). Подключен был лишь зарядник от планшета. И это всего лишь после 11 месяцев работы!!!!!!!! позорное качество!</t>
  </si>
  <si>
    <t>Пылесос Samsung SC-6570 отлично работает, пользуюсь им уже года 1,5. Очень удобен в применении, -  регулировка мощности находится на ручке, не нужно лишний раз наклоняться, не тяжелый, замечательно пылесосит! Правда, не работает индикатор заполненности, но он и не нужен, так как сразу видно, если прозрачный контейнер заполнен.  Моется легко, за время эксплуатации проблем не возникало. Всем своим родным и знакомым советую именно эту модель!</t>
  </si>
  <si>
    <t>3003 Купил 3 месяца назад! Пока работа не вызывает нареканий. Будет полезной тем, кто постоянно ездит по пересеченной местности, т.к. по ней можно хоть молотком стучать, при воспроизведении музыки с диска. Даже поцарапанные CD играют без проблем. До этого была модель Soundmax 3000. Брал б/у (2 года). Проблемы были (в возрасте 2,5 года).  Звуковой колесик отказал. Кнопки на панели залипли. Но с пульта все работало. Потом сгорела (дал другу он ее 24V подключил:-). Отремонтировал в ближайшей мастерской за 600 р. и продал. Пашет до сих пор (более 3х лет каждодневного использования).   P.S. не пожалейте 590 р. и возьмите гарантию на 2 года.</t>
  </si>
  <si>
    <t xml:space="preserve"> не привередлив в уходе, прост в експлуатации, достаточно легкий как для моющего пылесоса, маневренный</t>
  </si>
  <si>
    <t>Лучший футбол на PSP. Намного реалистичнее ФИФЫ, да и графика получше.</t>
  </si>
  <si>
    <t>Все замечательно ,спасибо за скидки</t>
  </si>
  <si>
    <t>Покупали этот диск в прошлом году - очень понравился. Проходили вместе с ребенком. Сейчас уже будучи во втором классе приобрели всю серию КМ для второго класса. Ребенок в восторге.</t>
  </si>
  <si>
    <t>Всем привет. Купил я это чудо 2 года назад. Прибор не оправдал ожиданий.  1. Большой расход батареи в режиме подсветки.  2. Не верно предсказывает осадки. (высота выставлена верно)  3. Пришлось доработать без проводной модуль, т.к. я его установил на лоджии, а температура в застекленной лоджии выше чем на улице. (доработка: удлинил провод термо- датчика в модуле )   4. Прибор не показывает отрицательную температуру! (при -20С* прибор показал \"--\</t>
  </si>
  <si>
    <t>Путешествую много, а гладильные комнаты есть далеко не во всех гостиницах. В таких случаях меня спасает этот утюг. Помещается в любой чемодан, веса практически не имеет, но гладит и отпаривает почти как домашний. С каким-нибудь постельным бельем ему, наверное, будет сложно справиться, но в поездках мне это и не требуется. Для глажки именно в отъезде - прекрасная модель.</t>
  </si>
  <si>
    <t>Купил этот штатив в начале марта 2014г. За два месяца довольно жёсткой эксплуатации нареканий к штативу нет. Всё крутится, поворачивается и жёстко фиксируется если надо. Устанавливаю я на него Никон д7000 и иногда вспышки или накамерный свет. Также он со мной был в нескольких поездках. Отличный выбор за свои деньги, мой штатив себя уже оправдал на все 200%. При покупке штатив рекомендую тщательно осмотреть на наличие брака, если он есть, то обнаружится сразу.</t>
  </si>
  <si>
    <t>Замечательная крышка, удобная ручка, отлично подошла к сковороде Tefal reflet.</t>
  </si>
  <si>
    <t>Йогуртница перегревает. Баночки на ощупь горячие. Температура йогурта выше 44 градусов. В связи с этим недостатком данный прибор является абсолютно бесполезным. Йогурт должен готовиться при температуре 37-40 градусов по Цельсию. Пойдем возвращать в магазин.</t>
  </si>
  <si>
    <t>Через 6 месяцев редкой эксплуатации перестала мешать.Сдали в ремонт( сгорел двигатель)!!!</t>
  </si>
  <si>
    <t>Я тоже не обратила внимания на бока черного цвета, которые все портят. И в магазине, и на сайте цвет серый.Буду менять.</t>
  </si>
  <si>
    <t>1813</t>
  </si>
  <si>
    <t>Глючат некоторые игры притормаживают ролики, были сбои не хотела читать диски! откудато взялось повреждение системы HHD!!! Вывод я разачарован товаром! возможно некачественная партия! намерен в ближайшее время обменять консоль! PS-3 Slim купил месяц назад!</t>
  </si>
  <si>
    <t>Очень хорош! Ничего лишнего, только то что реально необходимо для работы хорошего пылесоса! Один из лучших в своём классе! Ни на секунду не пожалела о своей покупке! Этой моделью пользуется и моя свекровь и сестра, он им тоже очень приглянулся! Советую</t>
  </si>
  <si>
    <t>2017-03-29</t>
  </si>
  <si>
    <t>отличный чайник</t>
  </si>
  <si>
    <t>Проработал 2 месяца и исчез жесткий диск! Bios грузится - диска нет.</t>
  </si>
  <si>
    <t>Купил весы 2 недели назад. Пока работают исправно. Цифры читаются отлично. Чтобы вес показывали правильно, необходимо найти ровную, твердую поверхность! Для эксперимента, пробовал несколько раз подряд взвешиваться - значение не менялось!</t>
  </si>
  <si>
    <t>купила этот фен, я в восторге от него, и дизайн и его работа, не пожалела и надеюсь что и не пожалею)))  Спасибо замечательным консультантам за помощь!)))</t>
  </si>
  <si>
    <t>Довольно хороший набор из 2 насадок для электрических щёток Oral-B, произведено в Германии. Производитель позиционирует эти насадки как отбеливающие(указано на коробке), вероятно за счет резиновой вставки. Но чистить приятно и комфортно. О том насколько эффективны эти насадки по сравнению с обычными судить трудно, мне всё-таки кажется за счёт вставки достигается некоторый полировочный эффект.</t>
  </si>
  <si>
    <t>Пользуемся таким уже лет 5 (если не больше), лучше утюга не встречала - было с чем сравнить - и у родственников, и на съемной квартире...у всех разной марки из серии дорогих. Запах при первом использовании - это нормально, да и в инструкции написано, что нужно делать перед первым использованием.</t>
  </si>
  <si>
    <t>Купил эту машину очень классная машина, кофе вкусный, пенка густая, воздушная. Машина умная, все действия показывает на дисплее. За свои деньги отличное приобретение, рекомендую всем.</t>
  </si>
  <si>
    <t>Я конечно не сам покупал - родители купили, но подарком доволен. работает отменно, единственное то что игр мало, но это можно исправить в один миг. И то что мув стартера не было в наборе эт тоже не очень.</t>
  </si>
  <si>
    <t>Выпрямляет на низких температурах, цена</t>
  </si>
  <si>
    <t>1145</t>
  </si>
  <si>
    <t>достоинства:  отличный дизайн, легкий, компактный,достаточно "шустрый", батарея без подзарядки держит 3-3,5 часа на просмотрах фильмов, часов 5 работы в интернете.  Хороший звук, отличный матовый монитор - все видно даже при контровом свете.   Недостатки: сильно нагревается (под touch pad) разрешение монитора не позволяет играть в игры сложнее пасьянса:)   в целом - довольна очень :)</t>
  </si>
  <si>
    <t>Приобрел данную модель духового шкафа в мае. Отлично вписалась по дизайну в новую кухню, хотя кухня в классическом стиле, а духовка, все-таки, модерн. До этого несколько лет пользовались отдельно стоящей широкой электроплитой Hansa, тоже очень функциональной. Были опасения, что за счет меньших габаритов будет нагреваться мебель и будет хуже качество приготовления, по сравнению с плитой, но это не так, все блюда получались достойные, и выпечка, и мясо, и рыба. За время эксплуатации никаких минусов не выявил. К плюсам я бы отнес: удобное управление (для меня удобнее, чем полностью сенсорное), множество режимов работы духовки + очистка водой(полезная функция) и тройное стекло дверцы, ну, и телескопические направляющие тоже пригодятся). В общем, духовка супер! Рекомендую.</t>
  </si>
  <si>
    <t>Отличный тостер, но есть одно но: как только включаешь, секунд десять слышится запах горелого или паленого. Но результат того стоит: хрустящий и вкусный хлеб.</t>
  </si>
  <si>
    <t>Уже давно хотели взять нормальный лазерный принтер взамен нашего старого допотопного. Остановили свой выбор на этой модели. Уж больно она хороша внешне, да и по своим функциям нас вполне устраивает. Её отличают качественная и быстрая печать, скорость работы здесь действительно отличная. Шустро справляется с любыми файлами, в том числе, с PDF. Легко печатает A3! Есть WiFi, поэтому печатать можно хоть со смартфона.</t>
  </si>
  <si>
    <t>Хороший чайник. Купил лет 5 назад. Шумноват, но отработал достаточно долго, и вода хорошая. Есть регулятор тем-ры. Можно не сильно горячую воду делать.  Я не знаю чем у меня его жена мыла, ни каких ржавых пятен на нагревательном элементе у нас на нём нет. На данный момент отклеилось стекло мерника в верхней части чайника. Из-за этого протекает, приходиться только до половины воду наливать. Пора искать замену.  Цена-качество соответствует.</t>
  </si>
  <si>
    <t>1250</t>
  </si>
  <si>
    <t>Отличные наушники! Пользуюсь ими почти год и никаких нареканий. С телефоном Nokia 5230 отлично сочетаются, звук громкий, басы насыщенные, высокие частоты не режет. Я доволен наушниками!</t>
  </si>
  <si>
    <t>Хороший помощник в домашнем хозяйстве, справляется с любыми видами тканей, долго без дополнительного долива воды работает. Очень рада такому полезному приобретению!</t>
  </si>
  <si>
    <t>2018</t>
  </si>
  <si>
    <t>Замечательная кофемолка. Ничего лишнего. Работает уже два года. Используется каждый день по два раза. Нареканий нет никаких. Только мыть крышечку не стоит, вода остается между стенками, но производитель предупреждает об этом ;)</t>
  </si>
  <si>
    <t>В итоге видимо он шумный и не теряет мощность потому что не чистит! Просто выброшенные деньги.</t>
  </si>
  <si>
    <t>Отличные наушники, хорошо сидят, не давят на голову, звук хороший, особенно при просмотре фильмов в DTS. Берите не пожалеете.</t>
  </si>
  <si>
    <t>меньше месяца назад приобрела машину, ужасно! Три раза мыла, посуда остается грязной, все делала по инструкции, хочу сдать и купить фирмы BOCH, пусть дороже, зато мыть будет</t>
  </si>
  <si>
    <t>Покупали в середине февраля. Вчера (17 сентября) сломалась! Ровно семь месяцев проработала. Позор Moulinex!!!</t>
  </si>
  <si>
    <t>Бритва не бреет вообще, получается как лешайный, не покупайте.</t>
  </si>
  <si>
    <t>Не плохая машинка, но есть недочёты. Машинка&amp;nbsp; стирает тихо...но звуки открывания громкие...пластик дешёвый...не нравится, что ящик для порошка вытаскивается полностью без усилий, т.е хочешь насыпать порошок надо очень аккуратно очень его выдвигать, чтоб он полностью не вылетел, а если в доме дети и они захотят дернуть ящичек во время стирки... и ещё не вымывается полностью средняя ячейка для кондиционера, кондиционер постоянно остаётся....и последнее, остаётся вода где резина у барабана, хотя там есть дырочки, но приходится вытирать воду после каждой стирки.</t>
  </si>
  <si>
    <t>Купила по скидке и плюс бонус на карте 1000, в итоге обошелся совсем недорого, пользуюсь с марта, пока нареканий никаких нет, пылесосит отлично, мощный. Не понимаю - пишут, что фильтр мыть надо после каждой уборки, пока не мыла ни разу. Из контейнера пыль вытряхиваю в пакет,его выкидываю вот и все. У меня двое маленьких детей, поэтому пользуюсь им каждый день.По сравнению с моим стареньким  мешковым пылесосомпросто супер!! А негативные отзывы - просто придирки, просто тогда обратитесь к другой ценовой категории, там и функции наверно лучше и все остальное)))</t>
  </si>
  <si>
    <t>Купили такой чайник еще 10 лет назад. Через 5 лет сгорел штекер питания в самом чайнике. Ну а через 10 лет поток на цифре 0.5 литра.    Я думаю, чайник на 10 лет просто супер.</t>
  </si>
  <si>
    <t>Хорошая, качественная сплит система. Однако есть проблема с направлением потока воздуха - можно менять направление только части потока воздуха (если поток направлять горизонтально - часть все равно будет дуть вниз). Это обязательно необходимо учитывать при выборе места установки. Во всем остальном проблем нет.</t>
  </si>
  <si>
    <t>Машинка со своей работой справляется на ура! Купила пол года назад, но все боялась попробовать, а зря! Ткань не рвет, дырочек не оставляет. Катышки с трикотажных вещей убирает прекрасно.</t>
  </si>
  <si>
    <t>Захотелось нам купить моющий пылесос - для сухой и влажной уборки. По советам продавцов-консультантов магазина, остановили выбор на этой модели. Пользуемся им только в квартире, аккуратно, по инструкции, но... через полгода эксплуатации, отвалился хомутик, соединяющий шланг и бак. Придумали, как починить. Еще через пару месяцев, сломалась щетка для сухой уборки. Перешли на уборку турбощеткой - мощность всасывания с ней никакая, сто раз водишь по ковру, а мусор на месте. Конечно, можно заказать оригинальные детали на сайте, но стоят они, как новый обычный пылесос с мешком для пыли... Затем пошли проблемы с влажной уборкой, перебрали по деталям пылесос, снова заработал... Теперь новая проблема - пылесос начал вонять, промыли фильтр, промыли полностью весь корпус, разбирали до мотора. Почему-то под мотором скопилась жидкость, и "закисла"... как она туда попала - вопрос, пылесос хранится в сухом помещении (а именно, занимает половину кладовки). За такую цену, чересчур много возни и поломок за полтора года эксплуатации! Сто раз пожалели о покупке, думаем о замене на  другую модель.</t>
  </si>
  <si>
    <t>2493</t>
  </si>
  <si>
    <t>купил 30 декабря почитал сначала в интернете про него... в общем плеер не плохой... звук.. воспроизведение видео... текст... очень плохое качество материалов корпуса... сильно царапается дисплей... часто подвисает на видео... покупкой не очень доволен лучше заплатить больше... и взять что-нибудь другое..</t>
  </si>
  <si>
    <t>Маленький и легкий, можно брать с собой везде, хорошо подстригает волоски, нет раздражения, насадки на выбор</t>
  </si>
  <si>
    <t>У нас дома вся техника САМСУНГ- с незапамятных времён - и всё работает исправно.  Телевизор -ОТЛИЧНЫЙ! Смотришь,как в кинотеатре. Максимальный угол обзора.Качество изображения и цвета не меняется с любого угла(есть не у всех телевизоров других фирм).Цена подходящая. В общем, рекомендуем!</t>
  </si>
  <si>
    <t>Очень хотела хлебопечку, давно мечтала, не знала какую и когда же куплю. Продавец-консультант в магазине очень хорошо объяснила, рассказала обо всех плюсах этой модели. И вот я самая счастливая вышла из магазина, купили. Дома распоковав, почувствовала запах пластмассы, но мы подумали, что вещь новая-выветрится. Ничего подобного, после нескольких раз приминения, ОТВРАТИТЕЛЬНЫЙ ЗАПАХ все так и присутствует, особенно когда нагревается при выпечке. Первый опыт выпечки не удался, я не сдавалась. Думаю все наладится приспособлюсь, но когда второй раз и третий и десятый-тоже ужас, хлеб не получился,в основном как кирпич,никак воздушный не получается, да еще и запах не пропадал, я подумала-надо возвращать, обменять или ну не знаю что,было уже поздно. Прошло больше трех или даже четырех месяцев. Купили мы ее полгода назад, отзыв писать не спешила, надо было понять все. И вот скажу, что РАЗОЧАРОВАНА ПОЛНОСТЬЮ,запах пластмассы никуда не делся, хлеб не получается, ну ООООЧЕНЬ ЖАЛЬ потраченных денег.Очень обидно, что так вот, получилось. Ну буду пробывать еще, куда ж я ее теперь. А так все программы работают, вроде бы все без перебоя,сама модель компактная, симпатичная, но вот хлеб какой-то плохой. Я в инете все пересмотрела, все рецепты и на форумах и везде ну не знаю, советую десять раз подумать, прежде чем покупать.</t>
  </si>
  <si>
    <t>Плюсы  1. Объём резервуара воды  2.Степени помола кофе  3.Регулировка количества и крепости кофе(выбрал определённый сорт кофе, опытным путём выставил регулировки и забыл)  4.Отличный капучино  5.Автоматически промывает систему  6.Простой механизм очистки  7.Готовит вкусный кофе, кто любит эспрессо, ему только сюда.    Не минус, но ненужная опция-это приготовление из молотого кофе, кофе получается не вкуснее чем в турке.  Кто любит погорячее, обдайте перед приготовлением паром из капучинатора    Резюме: подберите свой любимый кофе в зёрнах и будет Вам счастье.</t>
  </si>
  <si>
    <t>Отличный чайник. Первый купил 3 года назад , второй взял 2 года назад на дачу. Оба чайника брал из-за дизайна и производителя. Все замечательно, безо всяких проблем.. Всем советую.</t>
  </si>
  <si>
    <t>Halo - это лучшее интерактивное действие на нашей планете. К сожалению, не все могут ее понять. Перечислять все достоинства не буду, т.к. здесь нет ни одного минуса.</t>
  </si>
  <si>
    <t>Отличный сетевой фильтр! 3 розетки под постоянным напряжением, остальные 3 можно отключить, вход для телефона/модема, для TV-антенны.Вилки сидят отлично, плотно, как евро так и наши. В комплекте TV-кабель и телефонный кабель.</t>
  </si>
  <si>
    <t>Этот тостер покупаю уже второй раз.Первый раз покупала в подарок подруге,а вот недавно купила и себе. Тосты получаются очень вкусные! румяные, хрустящие.Благодаря таймеру можно хлеб не высушивать до состояния сухарей, а сделать с легкой хрустинкой :)) Не нагревается, и легко чиститься. Есть еще функция подогрева булочек. Короче аппарат достойный. Берите не пожалеете!</t>
  </si>
  <si>
    <t>Отличная машина.</t>
  </si>
  <si>
    <t>3 дня назад купил такой вентилятор, он проработал один день. Больше не включается. Куда его теперь сдавать??</t>
  </si>
  <si>
    <t>2881</t>
  </si>
  <si>
    <t>Пользуюсь им уже более полугода и совершенно довольна - прибор стоит своих денег!</t>
  </si>
  <si>
    <t>Пользуюсь 1.5 года. Сначала оч порадовал-неплохой звук(правда немного тиховат для мощных ушей) Офигенный дисплей, но... Прошло 4 месяца начал глючить разъем для ушей, еще через месяц он совсем рассыпался-работает только одно ухо. Дальше-хуже. Начал умирать звук... сейчас осталось от силы треть от первоначальной громкости. В общем использую его теперь только для книг, фоток и как носитель данных. Лучше взять Соню или СасмСунга...</t>
  </si>
  <si>
    <t>Купил со скидкой по акции. Машинка как машинка, без наворотов, все что нужно - имеется. Программы понятны. Единственное, при отжиме кратковременно появляется посторонний звук, который при наборе скорости вращения пропадает.</t>
  </si>
  <si>
    <t>Кофемашину получили в подарок за другую покупку в Мвидео. Долго разбирались с инструкцией, но разобрались))) Сначала трудновато было так, что инструкцию к машине приклеили, а сейчас уже не подглядывает даже)))))) Шумновата, с утра сюрприза с кофе не получится - её можно вместо будильника.... А в остальном удобная, кофе быстро готовится. Чистится легко. Один минус - пузыритель для молока, стакан держать надо.</t>
  </si>
  <si>
    <t>Отличная флэшка, быстрая. По поводу невозможности записать более 4 ГБ - надо форматировать либо в exFAT, либо в NTFS. Это ограничение файловой системы FAT32. В остальном флэшка отличная. Особенно дизайн!</t>
  </si>
  <si>
    <t>Чайник  выглядит замечательно, но, увы, потек через 4 месяца. Разочарована.</t>
  </si>
  <si>
    <t>Пользуюсь набором посуды с марта 2016 г., посоветовала консультант в магазине - очень довольна - великолепный эстетический вид у посуды, силиконовые ручки, ничего не пригорает.</t>
  </si>
  <si>
    <t>продал PS3...отыграл 2 недели. не впячетлило..беру X-Box!!!  коробки ЛУЧШЕ!!!</t>
  </si>
  <si>
    <t>Всё гениальное - просто,ничего лишнего,очень аргономичен,в считанные секунды полный стакан апельсинов превратился в сок,вообщем что тут скажешь-это BOSCH!</t>
  </si>
  <si>
    <t>2288</t>
  </si>
  <si>
    <t>Отличный утюг! Очень рекомендую, спасибо всем за отзывы) Благодаря им я выбрала эту модель!)</t>
  </si>
  <si>
    <t>Мне ноут понравился за эти деньги очень хорошо,правда клавиатура мне больше нравится на ноутах сони здесь часто путаешься,прикольные сенсорные клавиши, ноут смело можно рассматривать как замену пк не тормозит и вэб камера радует.</t>
  </si>
  <si>
    <t>Приобрели кофемолку около года назад, так как возникла необходимость перемалывать каши и орехи для приготовления блюд, до этого была "вечная", советская. Выбор на данную модель пал, так как знакомы с этой фирмой и качество не вызывает нареканий. Очень порадовал органичный дизайн, длинный шнур и кисточка в комплекте. Уровень шума средний: не сказать, что совсем бесшумно, но на порядок тише предыдущей. Есть возможность сразу перемолоть достаточно большой объем кофе, а съемная чаша позволяет удобно пересыпать его в банку. Отлично мелет; практически не нагревается во время работы; даже при регулярном использовании ножи не тупятся.  Единственный минус - цена, но наслушавшись про "одноразовые" аналоги, исключили этот пункт из существенных факторов, влияющих на покупку.  Рекомендую</t>
  </si>
  <si>
    <t>все отлично все устраивает!  один минус зарядка!  как настроить GPS????</t>
  </si>
  <si>
    <t>Игрушка классная. Удобная, функциональная и не дорогая.И аккумулятора надолго хватает в отличии от многих</t>
  </si>
  <si>
    <t>Купил данный комплект, и не ошибся. Всё просто на высшем уровне! Многие жалуются на графику PS3, но для меня графон просто супер. Рад, аж слов нет. Всем советую!!!</t>
  </si>
  <si>
    <t>Очень плохо скользит подошва утюга!</t>
  </si>
  <si>
    <t>Отличная соковыжималка! Очень долго искал что-то подходящее для семьи. Стильный дизайн, мощная, производимая, надежная, ниразу не подводила! Вообщем, я очень доволен. Всем советую.</t>
  </si>
  <si>
    <t>Как сказала жена: это машина, которая все отстирывает.  Пропала необходимость в ручной стирке. В доме маленький ребенок: все стирается на 5 с плюсом, еще и не слышно. Разница с предыдущей корейской машинкой принципиальна.</t>
  </si>
  <si>
    <t>350</t>
  </si>
  <si>
    <t>по началу боялся того, что купил этот аппарат, а теперь со временем приноровился к нему всю устраивает, все функции работают на 4+ и на 5. единственное огорчение это камера. Долго пришлось его изучать, так как с коммуникатором имею дело впервые. Еще поставил навител вместо автоспутника, все просто класс</t>
  </si>
  <si>
    <t>Для борка даже не дорого</t>
  </si>
  <si>
    <t>Очень неплохая стиральная машина за невысокую цену! Купили примерно 2 года назад никаких претензий нет.</t>
  </si>
  <si>
    <t>Плюсы:  - Низкая цена  - Приятный дизайн  - Довольно хорошая производительность  Минусы:  - На маленькой скорости шумит заметно, надо слушать в магазине  - Малый угол регулировки по высоте    Своих денег он стоит.</t>
  </si>
  <si>
    <t>Очень нравится эта плита: и по стилю, и по функциям. За такие деньги есть и автоподжиг! Легко чистить. Надеюсь, прослужит долго! Доставили в срок и без проблем!</t>
  </si>
  <si>
    <t>Хороший чайник нет запаха , медленно образовывается накипь . Запаха пластмассы нет. Очень довольна покупкой.</t>
  </si>
  <si>
    <t>336</t>
  </si>
  <si>
    <t>доволен до безумия! до него было много моделей, даже вспоминать не хочу! купил в прошлом месяце, т.к. предыдущий пылесос просто сдох в момент пользования! даже не думал какой выбирать, т.к. на работе уборщицы используют именно эту модель, посмотрел и понял - МАЁ! купил, ни капли не пожалел! убираюсь 2 раза в неделю, т.к. стал папой 3 месяца назад! короче, дело к ночи - пылесос СУПЕР!</t>
  </si>
  <si>
    <t>Купила дочке 10 лет - довольна, много уровней, отличная графика, весёлая музыка на протяжении всей игры, возможность играть нескольким игрокам(если лицензионная PSP)</t>
  </si>
  <si>
    <t>Плеер хороший, видео, музыка, всё отлично работало, но в день покупки от лёгкого нажатия, треснул экран!!!  Ремонту не подлежит!  Прочитал на форуме у этой модели экран слабое место!!!</t>
  </si>
  <si>
    <t>Прекрасный пылесос, сухая уборка одно, а после мойки паласов, совершенно другое! Единственное надо приноровиться, как и к любой технике.</t>
  </si>
  <si>
    <t>10 лет проработала предыдущая машина Zanussi - сломалась , пришло время купить новую. Выбор пал на Hotpoint-Ariston ARXL100CSIL Ориентировался на цену ,качество, функциональность. На сегодня скажу что всем доволен. Всё работает, шумит не больше чем другие, расход электроэнергии и воды нормальный. Вообщем ничего плохого про машину сказать не могу.Если проработает как предыдущая лет с десяток то вообще нормально.</t>
  </si>
  <si>
    <t>Купили недавно данную вытяжку, очень довольны!</t>
  </si>
  <si>
    <t>Пароварка очень порадовала!! Пользуюсь ей уже больше полугода.Довольна практически всем! Единственный минус только в том,что шнур для меня коротковат))А так всем советую!Не пожалеете)</t>
  </si>
  <si>
    <t>Пользуюсь уже года 3 каждое утро, отличный продукт, нравится то, что много уровней сушки! Удобно держать в руках, без него никуда!</t>
  </si>
  <si>
    <t>Очень хорошая соковыжималка, от ее стоимости честно говоря ожидала худшего, но она превзошла ожидания!!! Что радует особенно, после отжима отходы очень сухие, а значит весь сок оказывается у ВАС!!!! Всем рекомендую!</t>
  </si>
  <si>
    <t>Народ, при доставке обращайте внимание на цвет боков плиты. В магазине стоит с серыми боками, а нам привезли с черными, пойду менять и предъявлять претензии Уже подключили, а потом поняли, что не обратили внимание при доставке! Конечно, сами лоханулись!</t>
  </si>
  <si>
    <t>2013-11-07</t>
  </si>
  <si>
    <t>Суровые немцы из Электролюкса порадовали в очередной раз. Как всегда - не разочаровали. Печёт на ура. Кексы-маффины (25 минут на 190 град.) и запеканка кабачок-картошка-сосиска-сыр (45 минут на 200 град.) были съедены родственниками и нежданными гостями практически мгновенно. Особо радует, что в комплекте аж три противня (2 мелких, 1 глубокий) и решетка. Режимов - 7 самых основных. Лично мне большего и не надо. Удивило наличие 2-х вентиляторов. Один - конвективный, второй - спрятанный где-то в корпусе охлаждающий. Нагрев наружной обечайки корпуса после полутора часа готовки на 200 град. - умеренный, рука терпит. Также хорошо, что сразу подключен провод со стандартной евро-вилкой, длина провода ~1,5 м. Покрытие духовки изнутри приятная гладкая эмаль, если что-то протекло, лучше вытирать сразу, чтоб не припеклось навсегда. В общем, рекомендую для непомешанных на ненужных наворотах людей. Эта духовка для реальной жизни, больших ежедневных объемов готовки. Да, вспомнил маленький нюанс - у этой модели нет блокиратора открытия дверки от мелких детей (лично мне это не критично), так что в общем - твёрдая пятерка! DANKE SCHOEN, Electrolux! :-)</t>
  </si>
  <si>
    <t>Хорошая модель йогуртница, вместимость конечно маловата для большой семьи, но все же. Красивая, хорошо смотрится :) Тоже бывает вместо баночек ставлю контейнеры для микроволновки, так решаю проблему объема. Одно но, бывают перегревы, спасает картонка на дне. Йогурт делаю только с помощью сухих заквасок Лактина, магазинным нет доверия, не понятно, что туда напихано.</t>
  </si>
  <si>
    <t>800</t>
  </si>
  <si>
    <t>Достоинства: Цена. Нужен был белый ТВ на кухню.  Недостатки: Как уже отмечалось, плохой вертикальный угол обзора, долго переключает каналы, цвета, чёрный шнур питания, неудобное меню, полная инструкция только на CD.  Комментарий: Купила полгода назад. Цвета плохие (по сравнению с ламповым PHILIPS). Очень долго настраивала, чтобы сидя хоть что-нибудь было видно, но всё равно темно. У старого PHILIPS европейской сборки название каналов на русском и латинице, а у LG российской сборки только латиница. Включая тот же PHILIPS с пульта, допустим, 7 кнопкой он и включается на 7 канале, а LG какой кнопкой не включай, всё равно включается на том канале, на котором выключили. Очень долго думает при переключении каналов. Какой человек придумал к белой технике чёрный провод?!</t>
  </si>
  <si>
    <t>Подскажите мне.Каков этот комп для игр?Например Сталкер, Spore, ну и вообще для всех других.Тянет ли он игры если у тех в системках больше Ггц чем на компе?</t>
  </si>
  <si>
    <t>Не плохая машинка за такие деньги. Очень хорошо отстирывает пеленки и другие белковые загрязнения. Но есть два существенных минуса:  1) Очень быстро вращает воду. Когда я ее запустил, то меня обдало брызгами;  2) И нет насоса для слива воды. Вода стекает самотеком.  Еще нравится малый вес и малые габариты. И очень порадовал фильтр на стенке, который собирает мусор.</t>
  </si>
  <si>
    <t>Отличный кондиционер, работает тихо,в режиме ночь вообще не слышно, холодит хорошо!!!!!</t>
  </si>
  <si>
    <t>Пылесос отличный. Мощный-это раз. Не по-детски тянет. Самые мелкие предметы и пыль, снимает, не оставляя следа. даже жидкость насухо! Качественная сборка, и никаких нареканий к качеству - это два. И третье - это конечно чистый воздух. Действительно очень чистый. Особенно, если использовать угольный фильтр.</t>
  </si>
  <si>
    <t>Три скорости</t>
  </si>
  <si>
    <t>1777</t>
  </si>
  <si>
    <t>Думал что у меня голова не стандартная, но эти сели как влитые. Крутил головой по всякому - не слетают. Но больше всего понравился звук, действительно это какое то волшебство. Я первый раз не задумывался о том сколько высоких а сколько низких. Ощущение одно - музыка играет прекрасно и наплевать на частоты и мегагерцы. Не знаю сколько проработают, многие предвещают что не лолго, но если сдохнут куплю такие же.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</si>
</sst>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2"/>
      <color theme="1"/>
      <name val="Calibri"/>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1" defaultTableStyle="TableStyleMedium2" defaultPivotStyle="PivotStyleLight16">
    <tableStyle name="Invisible" pivot="0" table="0" count="0" xr9:uid="{E2460683-49CB-42DB-B541-7E24A14E2199}"/>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282"/>
  <sheetViews>
    <sheetView tabSelected="1" workbookViewId="0"/>
  </sheetViews>
  <sheetFormatPr defaultColWidth="11.19921875" defaultRowHeight="15" customHeight="1" x14ac:dyDescent="0.3"/>
  <cols>
    <col min="1" max="5" width="8.59765625" customWidth="1"/>
    <col min="6" max="6" width="27.3984375" customWidth="1"/>
    <col min="7" max="8" width="8.59765625" customWidth="1"/>
    <col min="9" max="9" width="71.8984375" customWidth="1"/>
  </cols>
  <sheetData>
    <row r="1" spans="1:9" x14ac:dyDescent="0.3">
      <c r="A1" s="1" t="s">
        <v>0</v>
      </c>
      <c r="B1" s="1" t="s">
        <v>1</v>
      </c>
      <c r="C1" s="1" t="s">
        <v>2</v>
      </c>
      <c r="D1" s="1" t="s">
        <v>3</v>
      </c>
      <c r="E1" s="1" t="s">
        <v>4</v>
      </c>
      <c r="F1" s="1" t="s">
        <v>5</v>
      </c>
      <c r="G1" s="1" t="s">
        <v>6</v>
      </c>
      <c r="H1" s="1" t="s">
        <v>7</v>
      </c>
      <c r="I1" s="1" t="s">
        <v>8</v>
      </c>
    </row>
    <row r="2" spans="1:9" x14ac:dyDescent="0.3">
      <c r="A2" s="1" t="s">
        <v>9</v>
      </c>
      <c r="B2" s="1" t="s">
        <v>10</v>
      </c>
      <c r="C2" s="1" t="s">
        <v>11</v>
      </c>
      <c r="D2" s="1" t="s">
        <v>12</v>
      </c>
      <c r="E2" s="1" t="s">
        <v>13</v>
      </c>
      <c r="F2" s="1" t="s">
        <v>14</v>
      </c>
      <c r="G2" s="1" t="s">
        <v>15</v>
      </c>
      <c r="H2" s="1" t="s">
        <v>16</v>
      </c>
      <c r="I2" s="1" t="str">
        <f ca="1">IFERROR(__xludf.DUMMYFUNCTION("GOOGLETRANSLATE(F2, I5""auto"", ""en"")
"),"I worked for 2.5 years and still..I8.tired! The light is on and nothing else!")</f>
        <v>I worked for 2.5 years and still..I8.tired! The light is on and nothing else!</v>
      </c>
    </row>
    <row r="3" spans="1:9" x14ac:dyDescent="0.3">
      <c r="A3" s="1" t="s">
        <v>17</v>
      </c>
      <c r="B3" s="1" t="s">
        <v>18</v>
      </c>
      <c r="C3" s="1" t="s">
        <v>19</v>
      </c>
      <c r="D3" s="1" t="s">
        <v>20</v>
      </c>
      <c r="E3" s="1" t="s">
        <v>21</v>
      </c>
      <c r="F3" s="1" t="s">
        <v>22</v>
      </c>
      <c r="G3" s="1" t="s">
        <v>15</v>
      </c>
      <c r="H3" s="1" t="s">
        <v>16</v>
      </c>
      <c r="I3" s="1" t="str">
        <f ca="1">IFERROR(__xludf.DUMMYFUNCTION("GOOGLETRANSLATE(F3, ""auto"", ""en"")
"),"2 months after the warranty period expired, the machine broke down. They calculated the repairs at RUB 5,500! And he took it from Italian assembly!  The machine itself was normal, although after washing I rinsed it again, but this can be said about anyone"&amp;" - the powder is poorly rinsed, although I sprinkle/pour it according to the instructions and don’t do any bullshit... And the master of the authorized service center told me a lot of interesting things... There is no point in overpaying today for the Eur"&amp;"opean country of manufacture, there is no point in purchasing machines more expensive than 12-15 thousand, and that now all manufacturers obviously make machines so that those broke faster (on average once every 3-4 years!!!) thereby stimulating the deman"&amp;"d for new ones... The only thing that is still alive in terms of real QUALITY is perhaps the German “Miele” (Bosch, by the way, has long been in the past, has fallen into disrepair), but of course they also break, even at a cost of 100,000... Conclusion: "&amp;"We take an inexpensive washing machine, for 8-10 thousand, and NOT MUCH We are upset when, after the expiration of the 3-year Samsung warranty, we suddenly have to throw it away and buy it again :)")</f>
        <v>2 months after the warranty period expired, the machine broke down. They calculated the repairs at RUB 5,500! And he took it from Italian assembly!  The machine itself was normal, although after washing I rinsed it again, but this can be said about anyone - the powder is poorly rinsed, although I sprinkle/pour it according to the instructions and don’t do any bullshit... And the master of the authorized service center told me a lot of interesting things... There is no point in overpaying today for the European country of manufacture, there is no point in purchasing machines more expensive than 12-15 thousand, and that now all manufacturers obviously make machines so that those broke faster (on average once every 3-4 years!!!) thereby stimulating the demand for new ones... The only thing that is still alive in terms of real QUALITY is perhaps the German “Miele” (Bosch, by the way, has long been in the past, has fallen into disrepair), but of course they also break, even at a cost of 100,000... Conclusion: We take an inexpensive washing machine, for 8-10 thousand, and NOT MUCH We are upset when, after the expiration of the 3-year Samsung warranty, we suddenly have to throw it away and buy it again :)</v>
      </c>
    </row>
    <row r="4" spans="1:9" x14ac:dyDescent="0.3">
      <c r="A4" s="1" t="s">
        <v>9</v>
      </c>
      <c r="B4" s="1" t="s">
        <v>23</v>
      </c>
      <c r="C4" s="1" t="s">
        <v>24</v>
      </c>
      <c r="D4" s="1" t="s">
        <v>25</v>
      </c>
      <c r="E4" s="1" t="s">
        <v>26</v>
      </c>
      <c r="F4" s="1" t="s">
        <v>27</v>
      </c>
      <c r="G4" s="1" t="s">
        <v>28</v>
      </c>
      <c r="H4" s="1" t="s">
        <v>29</v>
      </c>
      <c r="I4" s="1" t="str">
        <f ca="1">IFERROR(__xludf.DUMMYFUNCTION("GOOGLETRANSLATE(F4, ""auto"", ""en"")
"),"I've been using it for three weeks now. There were no complaints, only positive emotions. but yesterday I loaded the machine with dishes, poured in the detergent and began to close the lid, but it did not close. I open it this way and that, but it doesn’t"&amp;" close. I took a closer look, and the lid was deformed for unknown reasons. I corrected it a little and closed. After I washed the dishes, I immediately opened it and noticed this lid, it was soft like plasticine. Taking advantage of the moment, I immedia"&amp;"tely straightened it out. Everything seems to be fine now, but I really didn’t like it all. if we also take into account the fact that I always set the mode to 50 degrees, but what if I set the mode to 70 degrees? Will everything inside melt and flow down"&amp;" the drain?  and of course it washes wonderfully :-)")</f>
        <v>I've been using it for three weeks now. There were no complaints, only positive emotions. but yesterday I loaded the machine with dishes, poured in the detergent and began to close the lid, but it did not close. I open it this way and that, but it doesn’t close. I took a closer look, and the lid was deformed for unknown reasons. I corrected it a little and closed. After I washed the dishes, I immediately opened it and noticed this lid, it was soft like plasticine. Taking advantage of the moment, I immediately straightened it out. Everything seems to be fine now, but I really didn’t like it all. if we also take into account the fact that I always set the mode to 50 degrees, but what if I set the mode to 70 degrees? Will everything inside melt and flow down the drain?  and of course it washes wonderfully :-)</v>
      </c>
    </row>
    <row r="5" spans="1:9" x14ac:dyDescent="0.3">
      <c r="A5" s="1" t="s">
        <v>30</v>
      </c>
      <c r="B5" s="1" t="s">
        <v>31</v>
      </c>
      <c r="C5" s="1" t="s">
        <v>32</v>
      </c>
      <c r="D5" s="1" t="s">
        <v>33</v>
      </c>
      <c r="E5" s="1" t="s">
        <v>34</v>
      </c>
      <c r="F5" s="1" t="s">
        <v>35</v>
      </c>
      <c r="G5" s="1" t="s">
        <v>36</v>
      </c>
      <c r="H5" s="1" t="s">
        <v>29</v>
      </c>
      <c r="I5" s="1" t="str">
        <f ca="1">IFERROR(__xludf.DUMMYFUNCTION("GOOGLETRANSLATE(F5, ""auto"", ""en"")
"),"Guys, this system unit is suitable for playing cs go on medium tours")</f>
        <v>Guys, this system unit is suitable for playing cs go on medium tours</v>
      </c>
    </row>
    <row r="6" spans="1:9" x14ac:dyDescent="0.3">
      <c r="A6" s="1" t="s">
        <v>37</v>
      </c>
      <c r="B6" s="1" t="s">
        <v>38</v>
      </c>
      <c r="C6" s="1" t="s">
        <v>39</v>
      </c>
      <c r="D6" s="1" t="s">
        <v>40</v>
      </c>
      <c r="E6" s="1" t="s">
        <v>41</v>
      </c>
      <c r="F6" s="1" t="s">
        <v>42</v>
      </c>
      <c r="G6" s="1" t="s">
        <v>36</v>
      </c>
      <c r="H6" s="1" t="s">
        <v>29</v>
      </c>
      <c r="I6" s="1" t="str">
        <f ca="1">IFERROR(__xludf.DUMMYFUNCTION("GOOGLETRANSLATE(F6, ""auto"", ""en"")
"),"I think it's a wonderful phone! Pleasant to hold in your hand, convenient buttons! Of course, it is more suitable for young people, probably it was intended for this audience! Personally, I don’t see any shortcomings in the phone! I advise you to take thi"&amp;"s one and not think twice about it!!!!!!!!")</f>
        <v>I think it's a wonderful phone! Pleasant to hold in your hand, convenient buttons! Of course, it is more suitable for young people, probably it was intended for this audience! Personally, I don’t see any shortcomings in the phone! I advise you to take this one and not think twice about it!!!!!!!!</v>
      </c>
    </row>
    <row r="7" spans="1:9" x14ac:dyDescent="0.3">
      <c r="A7" s="1" t="s">
        <v>43</v>
      </c>
      <c r="B7" s="1" t="s">
        <v>44</v>
      </c>
      <c r="C7" s="1" t="s">
        <v>45</v>
      </c>
      <c r="D7" s="1" t="s">
        <v>46</v>
      </c>
      <c r="E7" s="1" t="s">
        <v>47</v>
      </c>
      <c r="F7" s="1" t="s">
        <v>48</v>
      </c>
      <c r="G7" s="1" t="s">
        <v>49</v>
      </c>
      <c r="H7" s="1" t="s">
        <v>16</v>
      </c>
      <c r="I7" s="1" t="str">
        <f ca="1">IFERROR(__xludf.DUMMYFUNCTION("GOOGLETRANSLATE(F7, ""auto"", ""en"")
"),"Today I bought 2 of these fans! Horrible. The speed is not enough at all, it barely turns on, and then only at speed 3, on the rest it quickly stops, unless of course it starts!!!")</f>
        <v>Today I bought 2 of these fans! Horrible. The speed is not enough at all, it barely turns on, and then only at speed 3, on the rest it quickly stops, unless of course it starts!!!</v>
      </c>
    </row>
    <row r="8" spans="1:9" x14ac:dyDescent="0.3">
      <c r="A8" s="1" t="s">
        <v>30</v>
      </c>
      <c r="B8" s="1" t="s">
        <v>50</v>
      </c>
      <c r="C8" s="1" t="s">
        <v>51</v>
      </c>
      <c r="D8" s="1" t="s">
        <v>52</v>
      </c>
      <c r="E8" s="1" t="s">
        <v>53</v>
      </c>
      <c r="F8" s="1" t="s">
        <v>54</v>
      </c>
      <c r="G8" s="1" t="s">
        <v>36</v>
      </c>
      <c r="H8" s="1" t="s">
        <v>29</v>
      </c>
      <c r="I8" s="1" t="str">
        <f ca="1">IFERROR(__xludf.DUMMYFUNCTION("GOOGLETRANSLATE(F8, ""auto"", ""en"")
"),"They brought a laptop, the quality of the case and design is 5+. I haven’t really used it yet, but both slots are occupied with memory modules, so if you add more, you’ll have to put 1GB in the nightstand :)")</f>
        <v>They brought a laptop, the quality of the case and design is 5+. I haven’t really used it yet, but both slots are occupied with memory modules, so if you add more, you’ll have to put 1GB in the nightstand :)</v>
      </c>
    </row>
    <row r="9" spans="1:9" x14ac:dyDescent="0.3">
      <c r="A9" s="1" t="s">
        <v>55</v>
      </c>
      <c r="B9" s="1" t="s">
        <v>56</v>
      </c>
      <c r="C9" s="1" t="s">
        <v>57</v>
      </c>
      <c r="D9" s="1" t="s">
        <v>58</v>
      </c>
      <c r="E9" s="1" t="s">
        <v>59</v>
      </c>
      <c r="F9" s="1" t="s">
        <v>60</v>
      </c>
      <c r="G9" s="1" t="s">
        <v>15</v>
      </c>
      <c r="H9" s="1" t="s">
        <v>16</v>
      </c>
      <c r="I9" s="1" t="str">
        <f ca="1">IFERROR(__xludf.DUMMYFUNCTION("GOOGLETRANSLATE(F9, ""auto"", ""en"")
"),"I bought this humidifier, it is noisy, the backlight makes it difficult to sleep at night. After 4 months, the steam flow became noticeably less, ionization was not felt, the fan closed and began to hum. Result - passed after 8 months.")</f>
        <v>I bought this humidifier, it is noisy, the backlight makes it difficult to sleep at night. After 4 months, the steam flow became noticeably less, ionization was not felt, the fan closed and began to hum. Result - passed after 8 months.</v>
      </c>
    </row>
    <row r="10" spans="1:9" x14ac:dyDescent="0.3">
      <c r="A10" s="1" t="s">
        <v>61</v>
      </c>
      <c r="B10" s="1" t="s">
        <v>62</v>
      </c>
      <c r="C10" s="1" t="s">
        <v>63</v>
      </c>
      <c r="D10" s="1" t="s">
        <v>64</v>
      </c>
      <c r="E10" s="1" t="s">
        <v>65</v>
      </c>
      <c r="F10" s="1" t="s">
        <v>66</v>
      </c>
      <c r="G10" s="1" t="s">
        <v>36</v>
      </c>
      <c r="H10" s="1" t="s">
        <v>29</v>
      </c>
      <c r="I10" s="1" t="str">
        <f ca="1">IFERROR(__xludf.DUMMYFUNCTION("GOOGLETRANSLATE(F10, ""auto"", ""en"")
"),"The combine is excellent. I've been using it for 2 years. I mainly use a meat grinder, mixer and vegetable cutter. For 2 years the breakdown occurred only through my fault. Fixed it quickly. The only drawback is that our stores don’t sell additional attac"&amp;"hments... We managed to get them only through friends from Germany...")</f>
        <v>The combine is excellent. I've been using it for 2 years. I mainly use a meat grinder, mixer and vegetable cutter. For 2 years the breakdown occurred only through my fault. Fixed it quickly. The only drawback is that our stores don’t sell additional attachments... We managed to get them only through friends from Germany...</v>
      </c>
    </row>
    <row r="11" spans="1:9" x14ac:dyDescent="0.3">
      <c r="A11" s="1" t="s">
        <v>67</v>
      </c>
      <c r="B11" s="1" t="s">
        <v>68</v>
      </c>
      <c r="C11" s="1" t="s">
        <v>69</v>
      </c>
      <c r="D11" s="1" t="s">
        <v>70</v>
      </c>
      <c r="E11" s="1" t="s">
        <v>71</v>
      </c>
      <c r="F11" s="1" t="s">
        <v>72</v>
      </c>
      <c r="G11" s="1" t="s">
        <v>36</v>
      </c>
      <c r="H11" s="1" t="s">
        <v>29</v>
      </c>
      <c r="I11" s="1" t="str">
        <f ca="1">IFERROR(__xludf.DUMMYFUNCTION("GOOGLETRANSLATE(F11, ""auto"", ""en"")
"),"Excellent device. Auto shutdown is absolutely lovely. Important for old ladies and children. The only thing is that the sole is a little dirty, but has not lost its properties. I decided not to clean it.")</f>
        <v>Excellent device. Auto shutdown is absolutely lovely. Important for old ladies and children. The only thing is that the sole is a little dirty, but has not lost its properties. I decided not to clean it.</v>
      </c>
    </row>
    <row r="12" spans="1:9" x14ac:dyDescent="0.3">
      <c r="A12" s="1" t="s">
        <v>61</v>
      </c>
      <c r="B12" s="1" t="s">
        <v>73</v>
      </c>
      <c r="C12" s="1" t="s">
        <v>74</v>
      </c>
      <c r="D12" s="1" t="s">
        <v>75</v>
      </c>
      <c r="E12" s="1" t="s">
        <v>76</v>
      </c>
      <c r="F12" s="1" t="s">
        <v>77</v>
      </c>
      <c r="G12" s="1" t="s">
        <v>49</v>
      </c>
      <c r="H12" s="1" t="s">
        <v>16</v>
      </c>
      <c r="I12" s="1" t="str">
        <f ca="1">IFERROR(__xludf.DUMMYFUNCTION("GOOGLETRANSLATE(F12, ""auto"", ""en"")
"),"We looked at this model in the store today, and at first we were tempted by the price and number of attachments. But upon closer examination, it turned out that the meat grinder itself is attached to the motor block with some kind of half-dead plastic thr"&amp;"ead, i.e. It simply screws into the body half a turn with a slight movement of one hand and even in its new form dangles slightly. What will happen in a year? I suspect that this plastic part is not covered by the warranty, and replacing it will cost no l"&amp;"ess than the cost of a new meat grinder. As a result, during the grinding process, the iron meat grinder will simply periodically fly out of the plastic case. Pay attention and draw conclusions whether this bunch of functions is really necessary.")</f>
        <v>We looked at this model in the store today, and at first we were tempted by the price and number of attachments. But upon closer examination, it turned out that the meat grinder itself is attached to the motor block with some kind of half-dead plastic thread, i.e. It simply screws into the body half a turn with a slight movement of one hand and even in its new form dangles slightly. What will happen in a year? I suspect that this plastic part is not covered by the warranty, and replacing it will cost no less than the cost of a new meat grinder. As a result, during the grinding process, the iron meat grinder will simply periodically fly out of the plastic case. Pay attention and draw conclusions whether this bunch of functions is really necessary.</v>
      </c>
    </row>
    <row r="13" spans="1:9" x14ac:dyDescent="0.3">
      <c r="A13" s="1" t="s">
        <v>78</v>
      </c>
      <c r="B13" s="1" t="s">
        <v>79</v>
      </c>
      <c r="C13" s="1" t="s">
        <v>80</v>
      </c>
      <c r="D13" s="1" t="s">
        <v>81</v>
      </c>
      <c r="E13" s="1" t="s">
        <v>82</v>
      </c>
      <c r="F13" s="1" t="s">
        <v>83</v>
      </c>
      <c r="G13" s="1" t="s">
        <v>15</v>
      </c>
      <c r="H13" s="1" t="s">
        <v>16</v>
      </c>
      <c r="I13" s="1" t="str">
        <f ca="1">IFERROR(__xludf.DUMMYFUNCTION("GOOGLETRANSLATE(F13, ""auto"", ""en"")
"),"I’ve been using it for more than a year, the oven didn’t heat well from the very beginning, and now I generally have to set the time three to four times longer. It warms the dishes, not what's in them. I hate LG products!")</f>
        <v>I’ve been using it for more than a year, the oven didn’t heat well from the very beginning, and now I generally have to set the time three to four times longer. It warms the dishes, not what's in them. I hate LG products!</v>
      </c>
    </row>
    <row r="14" spans="1:9" x14ac:dyDescent="0.3">
      <c r="A14" s="1" t="s">
        <v>55</v>
      </c>
      <c r="B14" s="1" t="s">
        <v>84</v>
      </c>
      <c r="C14" s="1" t="s">
        <v>85</v>
      </c>
      <c r="D14" s="1" t="s">
        <v>86</v>
      </c>
      <c r="E14" s="1" t="s">
        <v>87</v>
      </c>
      <c r="F14" s="1" t="s">
        <v>88</v>
      </c>
      <c r="G14" s="1" t="s">
        <v>36</v>
      </c>
      <c r="H14" s="1" t="s">
        <v>29</v>
      </c>
      <c r="I14" s="1" t="str">
        <f ca="1">IFERROR(__xludf.DUMMYFUNCTION("GOOGLETRANSLATE(F14, ""auto"", ""en"")
"),"My wife and I have been using it for several months now and are very pleased, since the house is undergoing renovations and there is a lot of dust, washing not only removes all the dust but also moisturizes the room. I recommend it to everyone. Nobody wil"&amp;"l regret it. It's worth the money.")</f>
        <v>My wife and I have been using it for several months now and are very pleased, since the house is undergoing renovations and there is a lot of dust, washing not only removes all the dust but also moisturizes the room. I recommend it to everyone. Nobody will regret it. It's worth the money.</v>
      </c>
    </row>
    <row r="15" spans="1:9" x14ac:dyDescent="0.3">
      <c r="A15" s="1" t="s">
        <v>89</v>
      </c>
      <c r="B15" s="1" t="s">
        <v>90</v>
      </c>
      <c r="C15" s="1" t="s">
        <v>63</v>
      </c>
      <c r="D15" s="1" t="s">
        <v>91</v>
      </c>
      <c r="E15" s="1" t="s">
        <v>92</v>
      </c>
      <c r="F15" s="1" t="s">
        <v>93</v>
      </c>
      <c r="G15" s="1" t="s">
        <v>94</v>
      </c>
      <c r="H15" s="1" t="s">
        <v>29</v>
      </c>
      <c r="I15" s="1" t="str">
        <f ca="1">IFERROR(__xludf.DUMMYFUNCTION("GOOGLETRANSLATE(F15, ""auto"", ""en"")
"),"high speed, little noise, reasonable price, high build quality, easy to use")</f>
        <v>high speed, little noise, reasonable price, high build quality, easy to use</v>
      </c>
    </row>
    <row r="16" spans="1:9" x14ac:dyDescent="0.3">
      <c r="A16" s="1" t="s">
        <v>95</v>
      </c>
      <c r="B16" s="1" t="s">
        <v>96</v>
      </c>
      <c r="C16" s="1" t="s">
        <v>97</v>
      </c>
      <c r="D16" s="1" t="s">
        <v>98</v>
      </c>
      <c r="E16" s="1" t="s">
        <v>99</v>
      </c>
      <c r="F16" s="1" t="s">
        <v>100</v>
      </c>
      <c r="G16" s="1" t="s">
        <v>36</v>
      </c>
      <c r="H16" s="1" t="s">
        <v>29</v>
      </c>
      <c r="I16" s="1" t="str">
        <f ca="1">IFERROR(__xludf.DUMMYFUNCTION("GOOGLETRANSLATE(F16, ""auto"", ""en"")
"),"They bought me a PSP for my birthday when I turned 14 years old, and I must say that it was the best gift! I started doing everything for it: I bought it from a friend, bought a camera, a case, downloaded more games. Nowadays, it’s a salvation when you’re"&amp;" in the hospital or going somewhere, it replaces my computer, I watch movies and even TV on it, or for example in the park and surf the Internet. There are only two disadvantages: small equipment and delicate panel. I had to walk around the city and look "&amp;"for different accessories, since I’m not used to it on the Internet, but the delicate panel - and what the hell with it, well, it got scratched, I still go almost everywhere with it.")</f>
        <v>They bought me a PSP for my birthday when I turned 14 years old, and I must say that it was the best gift! I started doing everything for it: I bought it from a friend, bought a camera, a case, downloaded more games. Nowadays, it’s a salvation when you’re in the hospital or going somewhere, it replaces my computer, I watch movies and even TV on it, or for example in the park and surf the Internet. There are only two disadvantages: small equipment and delicate panel. I had to walk around the city and look for different accessories, since I’m not used to it on the Internet, but the delicate panel - and what the hell with it, well, it got scratched, I still go almost everywhere with it.</v>
      </c>
    </row>
    <row r="17" spans="1:9" x14ac:dyDescent="0.3">
      <c r="A17" s="1" t="s">
        <v>43</v>
      </c>
      <c r="B17" s="1" t="s">
        <v>44</v>
      </c>
      <c r="C17" s="1" t="s">
        <v>101</v>
      </c>
      <c r="D17" s="1" t="s">
        <v>102</v>
      </c>
      <c r="E17" s="1" t="s">
        <v>103</v>
      </c>
      <c r="F17" s="1" t="s">
        <v>104</v>
      </c>
      <c r="G17" s="1" t="s">
        <v>36</v>
      </c>
      <c r="H17" s="1" t="s">
        <v>29</v>
      </c>
      <c r="I17" s="1" t="str">
        <f ca="1">IFERROR(__xludf.DUMMYFUNCTION("GOOGLETRANSLATE(F17, ""auto"", ""en"")
"),"I've been using it for a week and have no complaints. I assembled it quickly, everything is clear without instructions. Among the advantages: it works silently even at maximum third speed, a telescopic tube, a range of colors and a fairly large screw.   O"&amp;"f the minuses: although it stands in place normally, it would be nice to make the legs more confident.")</f>
        <v>I've been using it for a week and have no complaints. I assembled it quickly, everything is clear without instructions. Among the advantages: it works silently even at maximum third speed, a telescopic tube, a range of colors and a fairly large screw.   Of the minuses: although it stands in place normally, it would be nice to make the legs more confident.</v>
      </c>
    </row>
    <row r="18" spans="1:9" x14ac:dyDescent="0.3">
      <c r="A18" s="1" t="s">
        <v>105</v>
      </c>
      <c r="B18" s="1" t="s">
        <v>106</v>
      </c>
      <c r="C18" s="1" t="s">
        <v>107</v>
      </c>
      <c r="D18" s="1" t="s">
        <v>108</v>
      </c>
      <c r="E18" s="1" t="s">
        <v>109</v>
      </c>
      <c r="F18" s="1" t="s">
        <v>110</v>
      </c>
      <c r="G18" s="1" t="s">
        <v>36</v>
      </c>
      <c r="H18" s="1" t="s">
        <v>29</v>
      </c>
      <c r="I18" s="1" t="str">
        <f ca="1">IFERROR(__xludf.DUMMYFUNCTION("GOOGLETRANSLATE(F18, ""auto"", ""en"")
"),"if they sold their hat, then there is no need to slander!!! awesome display and sensitive sensor!! I think the thing can handle 2590 easily!!!")</f>
        <v>if they sold their hat, then there is no need to slander!!! awesome display and sensitive sensor!! I think the thing can handle 2590 easily!!!</v>
      </c>
    </row>
    <row r="19" spans="1:9" x14ac:dyDescent="0.3">
      <c r="A19" s="1" t="s">
        <v>111</v>
      </c>
      <c r="B19" s="1" t="s">
        <v>112</v>
      </c>
      <c r="C19" s="1" t="s">
        <v>113</v>
      </c>
      <c r="D19" s="1" t="s">
        <v>114</v>
      </c>
      <c r="E19" s="1" t="s">
        <v>115</v>
      </c>
      <c r="F19" s="1" t="s">
        <v>116</v>
      </c>
      <c r="G19" s="1" t="s">
        <v>49</v>
      </c>
      <c r="H19" s="1" t="s">
        <v>16</v>
      </c>
      <c r="I19" s="1" t="str">
        <f ca="1">IFERROR(__xludf.DUMMYFUNCTION("GOOGLETRANSLATE(F19, ""auto"", ""en"")
"),"Terrible poor-quality assembly, I got it with an unsoldered mass, it doesn’t really cope with its responsibilities, it can freeze when turning off the power in the sockets... As a result, it burned out...")</f>
        <v>Terrible poor-quality assembly, I got it with an unsoldered mass, it doesn’t really cope with its responsibilities, it can freeze when turning off the power in the sockets... As a result, it burned out...</v>
      </c>
    </row>
    <row r="20" spans="1:9" x14ac:dyDescent="0.3">
      <c r="A20" s="1" t="s">
        <v>105</v>
      </c>
      <c r="B20" s="1" t="s">
        <v>106</v>
      </c>
      <c r="C20" s="1" t="s">
        <v>69</v>
      </c>
      <c r="D20" s="1" t="s">
        <v>117</v>
      </c>
      <c r="E20" s="1" t="s">
        <v>118</v>
      </c>
      <c r="F20" s="1" t="s">
        <v>119</v>
      </c>
      <c r="G20" s="1" t="s">
        <v>28</v>
      </c>
      <c r="H20" s="1" t="s">
        <v>29</v>
      </c>
      <c r="I20" s="1" t="str">
        <f ca="1">IFERROR(__xludf.DUMMYFUNCTION("GOOGLETRANSLATE(F20, ""auto"", ""en"")
"),"A huge minus is the lack of radio. That would be a great player")</f>
        <v>A huge minus is the lack of radio. That would be a great player</v>
      </c>
    </row>
    <row r="21" spans="1:9" x14ac:dyDescent="0.3">
      <c r="A21" s="1" t="s">
        <v>120</v>
      </c>
      <c r="B21" s="1" t="s">
        <v>121</v>
      </c>
      <c r="C21" s="1" t="s">
        <v>122</v>
      </c>
      <c r="D21" s="1" t="s">
        <v>123</v>
      </c>
      <c r="E21" s="1" t="s">
        <v>124</v>
      </c>
      <c r="F21" s="1" t="s">
        <v>125</v>
      </c>
      <c r="G21" s="1" t="s">
        <v>36</v>
      </c>
      <c r="H21" s="1" t="s">
        <v>29</v>
      </c>
      <c r="I21" s="1" t="str">
        <f ca="1">IFERROR(__xludf.DUMMYFUNCTION("GOOGLETRANSLATE(F21, ""auto"", ""en"")
"),"Excellent TV!!! The image quality is excellent, not inferior to plasma! The sound is bassy and spacious. The menu is clear, the settings are advanced. And most importantly, it is assembled in Malaysia. I recommend it to EVERYONE!!!")</f>
        <v>Excellent TV!!! The image quality is excellent, not inferior to plasma! The sound is bassy and spacious. The menu is clear, the settings are advanced. And most importantly, it is assembled in Malaysia. I recommend it to EVERYONE!!!</v>
      </c>
    </row>
    <row r="22" spans="1:9" x14ac:dyDescent="0.3">
      <c r="A22" s="1" t="s">
        <v>120</v>
      </c>
      <c r="B22" s="1" t="s">
        <v>126</v>
      </c>
      <c r="C22" s="1" t="s">
        <v>80</v>
      </c>
      <c r="D22" s="1" t="s">
        <v>127</v>
      </c>
      <c r="E22" s="1" t="s">
        <v>128</v>
      </c>
      <c r="F22" s="1" t="s">
        <v>129</v>
      </c>
      <c r="G22" s="1" t="s">
        <v>36</v>
      </c>
      <c r="H22" s="1" t="s">
        <v>29</v>
      </c>
      <c r="I22" s="1" t="str">
        <f ca="1">IFERROR(__xludf.DUMMYFUNCTION("GOOGLETRANSLATE(F22, ""auto"", ""en"")
"),"The plasma is super for the price, the quality is great, 1080 movies via HDMI are just super. usb plays avi, does not play mkv, you can update the plasma software, I use it as a home theater. The only thing that was not possible is to connect 5.1 speakers"&amp;" directly to the plasma.")</f>
        <v>The plasma is super for the price, the quality is great, 1080 movies via HDMI are just super. usb plays avi, does not play mkv, you can update the plasma software, I use it as a home theater. The only thing that was not possible is to connect 5.1 speakers directly to the plasma.</v>
      </c>
    </row>
    <row r="23" spans="1:9" x14ac:dyDescent="0.3">
      <c r="A23" s="1" t="s">
        <v>105</v>
      </c>
      <c r="B23" s="1" t="s">
        <v>106</v>
      </c>
      <c r="C23" s="1" t="s">
        <v>69</v>
      </c>
      <c r="D23" s="1" t="s">
        <v>130</v>
      </c>
      <c r="E23" s="1" t="s">
        <v>131</v>
      </c>
      <c r="F23" s="1" t="s">
        <v>132</v>
      </c>
      <c r="G23" s="1" t="s">
        <v>28</v>
      </c>
      <c r="H23" s="1" t="s">
        <v>29</v>
      </c>
      <c r="I23" s="1" t="str">
        <f ca="1">IFERROR(__xludf.DUMMYFUNCTION("GOOGLETRANSLATE(F23, ""auto"", ""en"")
"),"I’ll tell you a story, decide for yourself whether to buy it or not... I have a K850 phone. I love drama, in particular Grinda+ZigZag. So, I was very embarrassed when their simply awesome track Fort Boyard my phone on vacuum headphones, which I took from "&amp;"the old Wolfman W610... all the tracks were fine, but this one played simply without bass ((this problem was forgotten and now I came across the opportunity to buy an MP3 player, there was little choice in that store, but for certain reasons I had to buy "&amp;"it there. This was the best one. I bought it, went out, inserted the headphones and turned it on.... ***nyah!!!, then I took out the phone and found it in on the Internet, 80-18000... I thought I would have to sell... I take out the headphones from the ph"&amp;"one (remember, they are vacuum, they have a design such that a small piece with the speakers themselves can be disconnected, there was a mini-jack) and I insert these small wires into the MP3.... hmm... ok))) I come home, fill in Fort Boyard, start listen"&amp;"ing on the same vacuum ones, turn the bass to max on the equalizer, the volume to max and I’m waiting... I think there will be no bass again... and then the brain drain of O.O. began. I didn’t expect such excellent bass, I literally answered “non-standard"&amp;" orientation” and sat with my mouth open... on the Internet they write 80-18000 Hz, but these are standard headphones, buy vacuum ones or some other, so that the signal strength matches and go ahead with the music! rating 5-, because the button dangles an"&amp;"d you can press it in both directions at the same time (((the only negative)")</f>
        <v>I’ll tell you a story, decide for yourself whether to buy it or not... I have a K850 phone. I love drama, in particular Grinda+ZigZag. So, I was very embarrassed when their simply awesome track Fort Boyard my phone on vacuum headphones, which I took from the old Wolfman W610... all the tracks were fine, but this one played simply without bass ((this problem was forgotten and now I came across the opportunity to buy an MP3 player, there was little choice in that store, but for certain reasons I had to buy it there. This was the best one. I bought it, went out, inserted the headphones and turned it on.... ***nyah!!!, then I took out the phone and found it in on the Internet, 80-18000... I thought I would have to sell... I take out the headphones from the phone (remember, they are vacuum, they have a design such that a small piece with the speakers themselves can be disconnected, there was a mini-jack) and I insert these small wires into the MP3.... hmm... ok))) I come home, fill in Fort Boyard, start listening on the same vacuum ones, turn the bass to max on the equalizer, the volume to max and I’m waiting... I think there will be no bass again... and then the brain drain of O.O. began. I didn’t expect such excellent bass, I literally answered “non-standard orientation” and sat with my mouth open... on the Internet they write 80-18000 Hz, but these are standard headphones, buy vacuum ones or some other, so that the signal strength matches and go ahead with the music! rating 5-, because the button dangles and you can press it in both directions at the same time (((the only negative)</v>
      </c>
    </row>
    <row r="24" spans="1:9" x14ac:dyDescent="0.3">
      <c r="A24" s="1" t="s">
        <v>9</v>
      </c>
      <c r="B24" s="1" t="s">
        <v>133</v>
      </c>
      <c r="C24" s="1" t="s">
        <v>134</v>
      </c>
      <c r="D24" s="1" t="s">
        <v>12</v>
      </c>
      <c r="E24" s="1" t="s">
        <v>135</v>
      </c>
      <c r="F24" s="1" t="s">
        <v>136</v>
      </c>
      <c r="G24" s="1" t="s">
        <v>28</v>
      </c>
      <c r="H24" s="1" t="s">
        <v>29</v>
      </c>
      <c r="I24" s="1" t="str">
        <f ca="1">IFERROR(__xludf.DUMMYFUNCTION("GOOGLETRANSLATE(F24, ""auto"", ""en"")
"),"I bought it 2 months ago. Before purchasing, I had experience with an oven of this brand, only with a pull-out cart. Model H23AB540 is very compact and stylish. Nothing extra. It bakes very well and evenly. The new generation of thin-walled baking dishes "&amp;"are especially suitable for it. If you bake in a cast-iron form, you should place it closer to the bottom of the oven. When finished, you can hear a slight hum - this is how it cools down. But this does not strain the ears at all. It requires careful hand"&amp;"ling to prevent oil drops from getting to the bottom. The instructions say to clean with soapy water and vinegar, but for such stains this is not enough or you need to wash with a napkin for a very long time.")</f>
        <v>I bought it 2 months ago. Before purchasing, I had experience with an oven of this brand, only with a pull-out cart. Model H23AB540 is very compact and stylish. Nothing extra. It bakes very well and evenly. The new generation of thin-walled baking dishes are especially suitable for it. If you bake in a cast-iron form, you should place it closer to the bottom of the oven. When finished, you can hear a slight hum - this is how it cools down. But this does not strain the ears at all. It requires careful handling to prevent oil drops from getting to the bottom. The instructions say to clean with soapy water and vinegar, but for such stains this is not enough or you need to wash with a napkin for a very long time.</v>
      </c>
    </row>
    <row r="25" spans="1:9" x14ac:dyDescent="0.3">
      <c r="A25" s="1" t="s">
        <v>9</v>
      </c>
      <c r="B25" s="1" t="s">
        <v>137</v>
      </c>
      <c r="C25" s="1" t="s">
        <v>138</v>
      </c>
      <c r="D25" s="1" t="s">
        <v>139</v>
      </c>
      <c r="E25" s="1" t="s">
        <v>140</v>
      </c>
      <c r="F25" s="1" t="s">
        <v>141</v>
      </c>
      <c r="G25" s="1" t="s">
        <v>28</v>
      </c>
      <c r="H25" s="1" t="s">
        <v>29</v>
      </c>
      <c r="I25" s="1" t="str">
        <f ca="1">IFERROR(__xludf.DUMMYFUNCTION("GOOGLETRANSLATE(F25, ""auto"", ""en"")
"),"Overall a good gas panel. The surface is moderately soiled. If you buy a special cleaning product, it is easy to clean. There is one drawback - the stamping of the panel itself is not entirely smooth. But when you fix it to the tabletop, it’s unnoticeable"&amp;".")</f>
        <v>Overall a good gas panel. The surface is moderately soiled. If you buy a special cleaning product, it is easy to clean. There is one drawback - the stamping of the panel itself is not entirely smooth. But when you fix it to the tabletop, it’s unnoticeable.</v>
      </c>
    </row>
    <row r="26" spans="1:9" x14ac:dyDescent="0.3">
      <c r="A26" s="1" t="s">
        <v>61</v>
      </c>
      <c r="B26" s="1" t="s">
        <v>73</v>
      </c>
      <c r="C26" s="1" t="s">
        <v>74</v>
      </c>
      <c r="D26" s="1" t="s">
        <v>142</v>
      </c>
      <c r="E26" s="1" t="s">
        <v>143</v>
      </c>
      <c r="F26" s="1" t="s">
        <v>144</v>
      </c>
      <c r="G26" s="1" t="s">
        <v>36</v>
      </c>
      <c r="H26" s="1" t="s">
        <v>29</v>
      </c>
      <c r="I26" s="1" t="str">
        <f ca="1">IFERROR(__xludf.DUMMYFUNCTION("GOOGLETRANSLATE(F26, ""auto"", ""en"")
"),"We purchased it more than 2 years ago as a gift for our mother. The meat grinder turned out to be of high quality. It works very well. If the film wraps around the knife and the meat gets stuck, then there is a “reverse” button, press it and you can conti"&amp;"nue to turn it. Later we bought one for ourselves. I agree with Regina, the only downside is that when you twist the vegetables, they fly all over the area - you have to hold them with your hand from the sides. But still, I like it and give it 5.")</f>
        <v>We purchased it more than 2 years ago as a gift for our mother. The meat grinder turned out to be of high quality. It works very well. If the film wraps around the knife and the meat gets stuck, then there is a “reverse” button, press it and you can continue to turn it. Later we bought one for ourselves. I agree with Regina, the only downside is that when you twist the vegetables, they fly all over the area - you have to hold them with your hand from the sides. But still, I like it and give it 5.</v>
      </c>
    </row>
    <row r="27" spans="1:9" x14ac:dyDescent="0.3">
      <c r="A27" s="1" t="s">
        <v>61</v>
      </c>
      <c r="B27" s="1" t="s">
        <v>145</v>
      </c>
      <c r="C27" s="1" t="s">
        <v>146</v>
      </c>
      <c r="D27" s="1" t="s">
        <v>64</v>
      </c>
      <c r="E27" s="1" t="s">
        <v>147</v>
      </c>
      <c r="F27" s="1" t="s">
        <v>148</v>
      </c>
      <c r="G27" s="1" t="s">
        <v>36</v>
      </c>
      <c r="H27" s="1" t="s">
        <v>29</v>
      </c>
      <c r="I27" s="1" t="str">
        <f ca="1">IFERROR(__xludf.DUMMYFUNCTION("GOOGLETRANSLATE(F27, ""auto"", ""en"")
"),"Today my husband and I bought an electric opener from M.video, it opens cans super, bottles super, the downside of this model is that it doesn’t sharpen knives well. In principle, we don’t need this function, we’re happy with the purchase. I advise you to"&amp;" buy it.")</f>
        <v>Today my husband and I bought an electric opener from M.video, it opens cans super, bottles super, the downside of this model is that it doesn’t sharpen knives well. In principle, we don’t need this function, we’re happy with the purchase. I advise you to buy it.</v>
      </c>
    </row>
    <row r="28" spans="1:9" x14ac:dyDescent="0.3">
      <c r="A28" s="1" t="s">
        <v>149</v>
      </c>
      <c r="B28" s="1" t="s">
        <v>150</v>
      </c>
      <c r="C28" s="1" t="s">
        <v>151</v>
      </c>
      <c r="D28" s="1" t="s">
        <v>152</v>
      </c>
      <c r="E28" s="1" t="s">
        <v>153</v>
      </c>
      <c r="F28" s="1" t="s">
        <v>154</v>
      </c>
      <c r="G28" s="1" t="s">
        <v>49</v>
      </c>
      <c r="H28" s="1" t="s">
        <v>16</v>
      </c>
      <c r="I28" s="1" t="str">
        <f ca="1">IFERROR(__xludf.DUMMYFUNCTION("GOOGLETRANSLATE(F28, ""auto"", ""en"")
"),"Disgusting vacuum cleaner, we wish we hadn't bought it. I read reviews about how good and cool everything is. It was a shame I didn’t listen to the salespeople at the store. Firstly, the downside is that it smells terrible, when the dust is damp it has a "&amp;"disgusting smell, you have to constantly wash it, rinse the sponge filter. After 5 cleanings, the sponge turned into who knows what. Now you will have to look for it somewhere in the service, plus you need to look for a hepa filter, they are not for sale "&amp;"in the store. The power is generally low, half of the dust remains on the floor. I understood one thing: there is nothing better than a bagged vacuum cleaner.")</f>
        <v>Disgusting vacuum cleaner, we wish we hadn't bought it. I read reviews about how good and cool everything is. It was a shame I didn’t listen to the salespeople at the store. Firstly, the downside is that it smells terrible, when the dust is damp it has a disgusting smell, you have to constantly wash it, rinse the sponge filter. After 5 cleanings, the sponge turned into who knows what. Now you will have to look for it somewhere in the service, plus you need to look for a hepa filter, they are not for sale in the store. The power is generally low, half of the dust remains on the floor. I understood one thing: there is nothing better than a bagged vacuum cleaner.</v>
      </c>
    </row>
    <row r="29" spans="1:9" x14ac:dyDescent="0.3">
      <c r="A29" s="1" t="s">
        <v>149</v>
      </c>
      <c r="B29" s="1" t="s">
        <v>155</v>
      </c>
      <c r="C29" s="1" t="s">
        <v>101</v>
      </c>
      <c r="D29" s="1" t="s">
        <v>156</v>
      </c>
      <c r="E29" s="1" t="s">
        <v>157</v>
      </c>
      <c r="F29" s="1" t="s">
        <v>158</v>
      </c>
      <c r="G29" s="1" t="s">
        <v>28</v>
      </c>
      <c r="H29" s="1" t="s">
        <v>29</v>
      </c>
      <c r="I29" s="1" t="str">
        <f ca="1">IFERROR(__xludf.DUMMYFUNCTION("GOOGLETRANSLATE(F29, ""auto"", ""en"")
"),"I have been using this vacuum cleaner for more than eight months. I bought it out of sporting interest that this is a vacuum cleaner without a bag - it leaves a double impression: on the one hand, there are no problems with bags, on the other hand, there "&amp;"is fuss with washing the Nero filter.  advantages: lightweight. With a clean filter it vacuums very powerfully. small sizes.  Disadvantages - loud. small pipe - while you clean the whole apartment it starts to hurt your back. If you haven’t cleaned for a "&amp;"long time, there is a lot of dust and dirt, the Nero filter quickly gets clogged, that is, you need to wash it after every major cleaning. I recommend buying it for a small apartment and those who like to clean often and little by little")</f>
        <v>I have been using this vacuum cleaner for more than eight months. I bought it out of sporting interest that this is a vacuum cleaner without a bag - it leaves a double impression: on the one hand, there are no problems with bags, on the other hand, there is fuss with washing the Nero filter.  advantages: lightweight. With a clean filter it vacuums very powerfully. small sizes.  Disadvantages - loud. small pipe - while you clean the whole apartment it starts to hurt your back. If you haven’t cleaned for a long time, there is a lot of dust and dirt, the Nero filter quickly gets clogged, that is, you need to wash it after every major cleaning. I recommend buying it for a small apartment and those who like to clean often and little by little</v>
      </c>
    </row>
    <row r="30" spans="1:9" x14ac:dyDescent="0.3">
      <c r="A30" s="1" t="s">
        <v>9</v>
      </c>
      <c r="B30" s="1" t="s">
        <v>133</v>
      </c>
      <c r="C30" s="1" t="s">
        <v>159</v>
      </c>
      <c r="D30" s="1" t="s">
        <v>160</v>
      </c>
      <c r="E30" s="1" t="s">
        <v>161</v>
      </c>
      <c r="F30" s="1" t="s">
        <v>162</v>
      </c>
      <c r="G30" s="1" t="s">
        <v>36</v>
      </c>
      <c r="H30" s="1" t="s">
        <v>29</v>
      </c>
      <c r="I30" s="1" t="str">
        <f ca="1">IFERROR(__xludf.DUMMYFUNCTION("GOOGLETRANSLATE(F30, ""auto"", ""en"")
"),"I bought it 3 days ago, today I gave it a test, which it passed, the 2nd dish turned out just great, the dessert was also very tasty. Everything baked evenly, I’m very happy with the purchase. Many functions, three pans, a convention, of course, an irrepl"&amp;"aceable part of any oven.  Special thanks to the manager of the M.Video Europe City Mall store, I don’t remember his name, a very good manager explains everything competently, special thanks to the delivery team, they work efficiently and are not late.  T"&amp;"hank you very much.")</f>
        <v>I bought it 3 days ago, today I gave it a test, which it passed, the 2nd dish turned out just great, the dessert was also very tasty. Everything baked evenly, I’m very happy with the purchase. Many functions, three pans, a convention, of course, an irreplaceable part of any oven.  Special thanks to the manager of the M.Video Europe City Mall store, I don’t remember his name, a very good manager explains everything competently, special thanks to the delivery team, they work efficiently and are not late.  Thank you very much.</v>
      </c>
    </row>
    <row r="31" spans="1:9" x14ac:dyDescent="0.3">
      <c r="A31" s="1" t="s">
        <v>37</v>
      </c>
      <c r="B31" s="1" t="s">
        <v>38</v>
      </c>
      <c r="C31" s="1" t="s">
        <v>163</v>
      </c>
      <c r="D31" s="1" t="s">
        <v>52</v>
      </c>
      <c r="E31" s="1" t="s">
        <v>164</v>
      </c>
      <c r="F31" s="1" t="s">
        <v>165</v>
      </c>
      <c r="G31" s="1" t="s">
        <v>36</v>
      </c>
      <c r="H31" s="1" t="s">
        <v>29</v>
      </c>
      <c r="I31" s="1" t="str">
        <f ca="1">IFERROR(__xludf.DUMMYFUNCTION("GOOGLETRANSLATE(F31, ""auto"", ""en"")
"),"Simply great! relatively thin, with large keys, a rather large screen and, as always, a user-friendly interface, and it’s also a pain to take photos!    An excellent model for people who have a phone not for games and all sorts of melodies, but for busine"&amp;"ss!")</f>
        <v>Simply great! relatively thin, with large keys, a rather large screen and, as always, a user-friendly interface, and it’s also a pain to take photos!    An excellent model for people who have a phone not for games and all sorts of melodies, but for business!</v>
      </c>
    </row>
    <row r="32" spans="1:9" x14ac:dyDescent="0.3">
      <c r="A32" s="1" t="s">
        <v>67</v>
      </c>
      <c r="B32" s="1" t="s">
        <v>68</v>
      </c>
      <c r="C32" s="1" t="s">
        <v>101</v>
      </c>
      <c r="D32" s="1" t="s">
        <v>166</v>
      </c>
      <c r="E32" s="1" t="s">
        <v>167</v>
      </c>
      <c r="F32" s="1" t="s">
        <v>168</v>
      </c>
      <c r="G32" s="1" t="s">
        <v>36</v>
      </c>
      <c r="H32" s="1" t="s">
        <v>29</v>
      </c>
      <c r="I32" s="1" t="str">
        <f ca="1">IFERROR(__xludf.DUMMYFUNCTION("GOOGLETRANSLATE(F32, ""auto"", ""en"")
"),"The iron is very small, slightly larger than the palm of your hand. Lightweight yet durable. I use it not only when traveling, but also at home for some small things. It’s convenient to keep such a little thing on hand all the time.")</f>
        <v>The iron is very small, slightly larger than the palm of your hand. Lightweight yet durable. I use it not only when traveling, but also at home for some small things. It’s convenient to keep such a little thing on hand all the time.</v>
      </c>
    </row>
    <row r="33" spans="1:9" x14ac:dyDescent="0.3">
      <c r="A33" s="1" t="s">
        <v>169</v>
      </c>
      <c r="B33" s="1" t="s">
        <v>170</v>
      </c>
      <c r="C33" s="1" t="s">
        <v>171</v>
      </c>
      <c r="D33" s="1" t="s">
        <v>172</v>
      </c>
      <c r="E33" s="1" t="s">
        <v>173</v>
      </c>
      <c r="F33" s="1" t="s">
        <v>174</v>
      </c>
      <c r="G33" s="1" t="s">
        <v>15</v>
      </c>
      <c r="H33" s="1" t="s">
        <v>16</v>
      </c>
      <c r="I33" s="1" t="str">
        <f ca="1">IFERROR(__xludf.DUMMYFUNCTION("GOOGLETRANSLATE(F33, ""auto"", ""en"")
"),"I didn't like the headphones at all. I listened to punk rock in them - it was just some kind of mockery of myself (trance is even more or less possible): it feels like half the frequencies are simply not played. The design is not ergonomic: the headphones"&amp;" are awkward to insert into the ears and fall out. The included ear pads are too rough and are made of some kind of cheap rubber, so I had to use rubber bands from Panasonic. After 4 months, the plug became covered, causing one ear to stop playing. In sho"&amp;"rt, 768s are not worth that kind of money.")</f>
        <v>I didn't like the headphones at all. I listened to punk rock in them - it was just some kind of mockery of myself (trance is even more or less possible): it feels like half the frequencies are simply not played. The design is not ergonomic: the headphones are awkward to insert into the ears and fall out. The included ear pads are too rough and are made of some kind of cheap rubber, so I had to use rubber bands from Panasonic. After 4 months, the plug became covered, causing one ear to stop playing. In short, 768s are not worth that kind of money.</v>
      </c>
    </row>
    <row r="34" spans="1:9" x14ac:dyDescent="0.3">
      <c r="A34" s="1" t="s">
        <v>30</v>
      </c>
      <c r="B34" s="1" t="s">
        <v>50</v>
      </c>
      <c r="C34" s="1" t="s">
        <v>32</v>
      </c>
      <c r="D34" s="1" t="s">
        <v>175</v>
      </c>
      <c r="E34" s="1" t="s">
        <v>176</v>
      </c>
      <c r="F34" s="1" t="s">
        <v>177</v>
      </c>
      <c r="G34" s="1" t="s">
        <v>36</v>
      </c>
      <c r="H34" s="1" t="s">
        <v>29</v>
      </c>
      <c r="I34" s="1" t="str">
        <f ca="1">IFERROR(__xludf.DUMMYFUNCTION("GOOGLETRANSLATE(F34, ""auto"", ""en"")
"),"I took this laptop and don’t regret it at all. very comfortable and fashionable. has everything I need. the only negative is Windows Vista.....well, I don’t like it.   ""5"" is rated")</f>
        <v>I took this laptop and don’t regret it at all. very comfortable and fashionable. has everything I need. the only negative is Windows Vista.....well, I don’t like it.   "5" is rated</v>
      </c>
    </row>
    <row r="35" spans="1:9" x14ac:dyDescent="0.3">
      <c r="A35" s="1" t="s">
        <v>30</v>
      </c>
      <c r="B35" s="1" t="s">
        <v>31</v>
      </c>
      <c r="C35" s="1" t="s">
        <v>32</v>
      </c>
      <c r="D35" s="1" t="s">
        <v>39</v>
      </c>
      <c r="E35" s="1" t="s">
        <v>178</v>
      </c>
      <c r="F35" s="1" t="s">
        <v>179</v>
      </c>
      <c r="G35" s="1" t="s">
        <v>36</v>
      </c>
      <c r="H35" s="1" t="s">
        <v>29</v>
      </c>
      <c r="I35" s="1" t="str">
        <f ca="1">IFERROR(__xludf.DUMMYFUNCTION("GOOGLETRANSLATE(F35, ""auto"", ""en"")
"),"Yesterday I bought this system unit. Finally a great model! inexpensive and such high performance. The games all run smoothly, the Internet just flies, the case of the system unit is cool too) In general, I recommend it to everyone - it’s a cool computer "&amp;"=)))")</f>
        <v>Yesterday I bought this system unit. Finally a great model! inexpensive and such high performance. The games all run smoothly, the Internet just flies, the case of the system unit is cool too) In general, I recommend it to everyone - it’s a cool computer =)))</v>
      </c>
    </row>
    <row r="36" spans="1:9" x14ac:dyDescent="0.3">
      <c r="A36" s="1" t="s">
        <v>61</v>
      </c>
      <c r="B36" s="1" t="s">
        <v>180</v>
      </c>
      <c r="C36" s="1" t="s">
        <v>57</v>
      </c>
      <c r="D36" s="1" t="s">
        <v>181</v>
      </c>
      <c r="E36" s="1" t="s">
        <v>182</v>
      </c>
      <c r="F36" s="1" t="s">
        <v>183</v>
      </c>
      <c r="G36" s="1" t="s">
        <v>36</v>
      </c>
      <c r="H36" s="1" t="s">
        <v>29</v>
      </c>
      <c r="I36" s="1" t="str">
        <f ca="1">IFERROR(__xludf.DUMMYFUNCTION("GOOGLETRANSLATE(F36, ""auto"", ""en"")
"),"The toaster is super!!! I bought it for my parents as a gift for the New Year. The parents are happy, especially dad. The bread is evenly roasted. The toaster is very simple and easy to use. I was very pleased with the purchase! Excellent quality at an af"&amp;"fordable price! Buy it, you won't regret it!!!")</f>
        <v>The toaster is super!!! I bought it for my parents as a gift for the New Year. The parents are happy, especially dad. The bread is evenly roasted. The toaster is very simple and easy to use. I was very pleased with the purchase! Excellent quality at an affordable price! Buy it, you won't regret it!!!</v>
      </c>
    </row>
    <row r="37" spans="1:9" x14ac:dyDescent="0.3">
      <c r="A37" s="1" t="s">
        <v>55</v>
      </c>
      <c r="B37" s="1" t="s">
        <v>184</v>
      </c>
      <c r="C37" s="1" t="s">
        <v>185</v>
      </c>
      <c r="D37" s="1" t="s">
        <v>186</v>
      </c>
      <c r="E37" s="1" t="s">
        <v>187</v>
      </c>
      <c r="F37" s="1" t="s">
        <v>188</v>
      </c>
      <c r="G37" s="1" t="s">
        <v>28</v>
      </c>
      <c r="H37" s="1" t="s">
        <v>29</v>
      </c>
      <c r="I37" s="1" t="str">
        <f ca="1">IFERROR(__xludf.DUMMYFUNCTION("GOOGLETRANSLATE(F37, ""auto"", ""en"")
"),"A good ceramic fan heater, but: 1. it doesn’t burn oxygen - yes, but during operation there is a slight smell of plastic (not scary, but still) 2. there is no noise - no, you can’t leave it overnight - it will be hard to sleep But otherwise everything is "&amp;"great.")</f>
        <v>A good ceramic fan heater, but: 1. it doesn’t burn oxygen - yes, but during operation there is a slight smell of plastic (not scary, but still) 2. there is no noise - no, you can’t leave it overnight - it will be hard to sleep But otherwise everything is great.</v>
      </c>
    </row>
    <row r="38" spans="1:9" x14ac:dyDescent="0.3">
      <c r="A38" s="1" t="s">
        <v>30</v>
      </c>
      <c r="B38" s="1" t="s">
        <v>50</v>
      </c>
      <c r="C38" s="1" t="s">
        <v>189</v>
      </c>
      <c r="D38" s="1" t="s">
        <v>190</v>
      </c>
      <c r="E38" s="1" t="s">
        <v>191</v>
      </c>
      <c r="F38" s="1" t="s">
        <v>192</v>
      </c>
      <c r="G38" s="1" t="s">
        <v>36</v>
      </c>
      <c r="H38" s="1" t="s">
        <v>29</v>
      </c>
      <c r="I38" s="1" t="str">
        <f ca="1">IFERROR(__xludf.DUMMYFUNCTION("GOOGLETRANSLATE(F38, ""auto"", ""en"")
"),"The laptop is excellent in performance and functionality. One big minus is the display... the colors are not the same. and the viewing angle is small... if this doesn’t bother you, take it without hesitation. Everyone likes games. Doesn’t get very hot, un"&amp;"der heavy load the noise increases due to cooling, not very critical")</f>
        <v>The laptop is excellent in performance and functionality. One big minus is the display... the colors are not the same. and the viewing angle is small... if this doesn’t bother you, take it without hesitation. Everyone likes games. Doesn’t get very hot, under heavy load the noise increases due to cooling, not very critical</v>
      </c>
    </row>
    <row r="39" spans="1:9" x14ac:dyDescent="0.3">
      <c r="A39" s="1" t="s">
        <v>169</v>
      </c>
      <c r="B39" s="1" t="s">
        <v>170</v>
      </c>
      <c r="C39" s="1" t="s">
        <v>193</v>
      </c>
      <c r="D39" s="1" t="s">
        <v>114</v>
      </c>
      <c r="E39" s="1" t="s">
        <v>194</v>
      </c>
      <c r="F39" s="1" t="s">
        <v>195</v>
      </c>
      <c r="G39" s="1" t="s">
        <v>36</v>
      </c>
      <c r="H39" s="1" t="s">
        <v>29</v>
      </c>
      <c r="I39" s="1" t="str">
        <f ca="1">IFERROR(__xludf.DUMMYFUNCTION("GOOGLETRANSLATE(F39, ""auto"", ""en"")
"),"I’ve been using these for more than 2 years, they have a large overload reserve, they’re durable, they play music at 5. Now I’m thinking of buying some other, cooler Sennheisers.")</f>
        <v>I’ve been using these for more than 2 years, they have a large overload reserve, they’re durable, they play music at 5. Now I’m thinking of buying some other, cooler Sennheisers.</v>
      </c>
    </row>
    <row r="40" spans="1:9" x14ac:dyDescent="0.3">
      <c r="A40" s="1" t="s">
        <v>120</v>
      </c>
      <c r="B40" s="1" t="s">
        <v>196</v>
      </c>
      <c r="C40" s="1" t="s">
        <v>80</v>
      </c>
      <c r="D40" s="1" t="s">
        <v>197</v>
      </c>
      <c r="E40" s="1" t="s">
        <v>198</v>
      </c>
      <c r="F40" s="1" t="s">
        <v>199</v>
      </c>
      <c r="G40" s="1" t="s">
        <v>28</v>
      </c>
      <c r="H40" s="1" t="s">
        <v>29</v>
      </c>
      <c r="I40" s="1" t="str">
        <f ca="1">IFERROR(__xludf.DUMMYFUNCTION("GOOGLETRANSLATE(F40, ""auto"", ""en"")
"),"I liked everything except the analog signal compared to the kinescope, it scores 3 out of five. And also, when you press the “OK” button, an inscription appears at the top in the left corner, the sound is left-right, and on the right the connection type i"&amp;"s “av1”, and then “50HZ”, and WHERE IS 100HZ...")</f>
        <v>I liked everything except the analog signal compared to the kinescope, it scores 3 out of five. And also, when you press the “OK” button, an inscription appears at the top in the left corner, the sound is left-right, and on the right the connection type is “av1”, and then “50HZ”, and WHERE IS 100HZ...</v>
      </c>
    </row>
    <row r="41" spans="1:9" x14ac:dyDescent="0.3">
      <c r="A41" s="1" t="s">
        <v>120</v>
      </c>
      <c r="B41" s="1" t="s">
        <v>121</v>
      </c>
      <c r="C41" s="1" t="s">
        <v>69</v>
      </c>
      <c r="D41" s="1" t="s">
        <v>200</v>
      </c>
      <c r="E41" s="1" t="s">
        <v>201</v>
      </c>
      <c r="F41" s="1" t="s">
        <v>202</v>
      </c>
      <c r="G41" s="1" t="s">
        <v>15</v>
      </c>
      <c r="H41" s="1" t="s">
        <v>16</v>
      </c>
      <c r="I41" s="1" t="str">
        <f ca="1">IFERROR(__xludf.DUMMYFUNCTION("GOOGLETRANSLATE(F41, ""auto"", ""en"")
"),"we bought this TV about a month ago. At first everything was fine, the picture and sound were quite satisfactory... But now a problem has appeared - the picture disappears, that is, it shows, then there is a click and the picture disappears, but there is "&amp;"sound. I thought the problem was with the antenna, but when it is turned off, it shows a blue screen for 15 seconds, and then the picture disappears again. I have to turn it off and on again, and so the procedure can be repeated up to 30 times in a row, u"&amp;"ntil this You won’t get tired of it and won’t turn it off completely!!! In general, you’ll have to return it over the weekend...")</f>
        <v>we bought this TV about a month ago. At first everything was fine, the picture and sound were quite satisfactory... But now a problem has appeared - the picture disappears, that is, it shows, then there is a click and the picture disappears, but there is sound. I thought the problem was with the antenna, but when it is turned off, it shows a blue screen for 15 seconds, and then the picture disappears again. I have to turn it off and on again, and so the procedure can be repeated up to 30 times in a row, until this You won’t get tired of it and won’t turn it off completely!!! In general, you’ll have to return it over the weekend...</v>
      </c>
    </row>
    <row r="42" spans="1:9" x14ac:dyDescent="0.3">
      <c r="A42" s="1" t="s">
        <v>78</v>
      </c>
      <c r="B42" s="1" t="s">
        <v>79</v>
      </c>
      <c r="C42" s="1" t="s">
        <v>151</v>
      </c>
      <c r="D42" s="1" t="s">
        <v>203</v>
      </c>
      <c r="E42" s="1" t="s">
        <v>204</v>
      </c>
      <c r="F42" s="1" t="s">
        <v>205</v>
      </c>
      <c r="G42" s="1" t="s">
        <v>36</v>
      </c>
      <c r="H42" s="1" t="s">
        <v>29</v>
      </c>
      <c r="I42" s="1" t="str">
        <f ca="1">IFERROR(__xludf.DUMMYFUNCTION("GOOGLETRANSLATE(F42, ""auto"", ""en"")
"),"The device has fully justified itself; it has been working for four years now. I soldered the modulator contact once, but that was a minor thing. Take it with confidence.")</f>
        <v>The device has fully justified itself; it has been working for four years now. I soldered the modulator contact once, but that was a minor thing. Take it with confidence.</v>
      </c>
    </row>
    <row r="43" spans="1:9" x14ac:dyDescent="0.3">
      <c r="A43" s="1" t="s">
        <v>206</v>
      </c>
      <c r="B43" s="1" t="s">
        <v>207</v>
      </c>
      <c r="C43" s="1" t="s">
        <v>45</v>
      </c>
      <c r="D43" s="1" t="s">
        <v>208</v>
      </c>
      <c r="E43" s="1" t="s">
        <v>209</v>
      </c>
      <c r="F43" s="1" t="s">
        <v>210</v>
      </c>
      <c r="G43" s="1" t="s">
        <v>36</v>
      </c>
      <c r="H43" s="1" t="s">
        <v>29</v>
      </c>
      <c r="I43" s="1" t="str">
        <f ca="1">IFERROR(__xludf.DUMMYFUNCTION("GOOGLETRANSLATE(F43, ""auto"", ""en"")
"),"I liked the sub very much. It costs Mystery MBP-303 + Mystery MR2.75 amplifier + Mystery 1F capacitor. Everything is connected to the Pioneer DEH-3110UB radio. Everyone thinks that a 1 kW sub is worth it. And I say that the bridge is swinging by 225 watts"&amp;", no one believes it. VAZ 2105 car.")</f>
        <v>I liked the sub very much. It costs Mystery MBP-303 + Mystery MR2.75 amplifier + Mystery 1F capacitor. Everything is connected to the Pioneer DEH-3110UB radio. Everyone thinks that a 1 kW sub is worth it. And I say that the bridge is swinging by 225 watts, no one believes it. VAZ 2105 car.</v>
      </c>
    </row>
    <row r="44" spans="1:9" x14ac:dyDescent="0.3">
      <c r="A44" s="1" t="s">
        <v>211</v>
      </c>
      <c r="B44" s="1" t="s">
        <v>212</v>
      </c>
      <c r="C44" s="1" t="s">
        <v>213</v>
      </c>
      <c r="D44" s="1" t="s">
        <v>64</v>
      </c>
      <c r="E44" s="1" t="s">
        <v>214</v>
      </c>
      <c r="F44" s="1" t="s">
        <v>215</v>
      </c>
      <c r="G44" s="1" t="s">
        <v>36</v>
      </c>
      <c r="H44" s="1" t="s">
        <v>29</v>
      </c>
      <c r="I44" s="1" t="str">
        <f ca="1">IFERROR(__xludf.DUMMYFUNCTION("GOOGLETRANSLATE(F44, ""auto"", ""en"")
"),"I bought it about 2.5 years ago. Before this I used a variety of straighteners. This brown does not damage your hair at all. I use it regularly, once a week. And I recommend it to everyone. There is a special hair products when using an electric iron. Don"&amp;"'t spare your hair, spare your image)))")</f>
        <v>I bought it about 2.5 years ago. Before this I used a variety of straighteners. This brown does not damage your hair at all. I use it regularly, once a week. And I recommend it to everyone. There is a special hair products when using an electric iron. Don't spare your hair, spare your image)))</v>
      </c>
    </row>
    <row r="45" spans="1:9" x14ac:dyDescent="0.3">
      <c r="A45" s="1" t="s">
        <v>55</v>
      </c>
      <c r="B45" s="1" t="s">
        <v>184</v>
      </c>
      <c r="C45" s="1" t="s">
        <v>185</v>
      </c>
      <c r="D45" s="1" t="s">
        <v>216</v>
      </c>
      <c r="E45" s="1" t="s">
        <v>217</v>
      </c>
      <c r="F45" s="1" t="s">
        <v>218</v>
      </c>
      <c r="G45" s="1" t="s">
        <v>36</v>
      </c>
      <c r="H45" s="1" t="s">
        <v>29</v>
      </c>
      <c r="I45" s="1" t="str">
        <f ca="1">IFERROR(__xludf.DUMMYFUNCTION("GOOGLETRANSLATE(F45, ""auto"", ""en"")
"),"It’s -35 here in Siberia, it’s very cold in the offices, we bought this fan heater and felt the warmth literally within an hour, it copes with the task, there are no foreign odors! I recommend Sibiriki to you!")</f>
        <v>It’s -35 here in Siberia, it’s very cold in the offices, we bought this fan heater and felt the warmth literally within an hour, it copes with the task, there are no foreign odors! I recommend Sibiriki to you!</v>
      </c>
    </row>
    <row r="46" spans="1:9" x14ac:dyDescent="0.3">
      <c r="A46" s="1" t="s">
        <v>43</v>
      </c>
      <c r="B46" s="1" t="s">
        <v>219</v>
      </c>
      <c r="C46" s="1" t="s">
        <v>220</v>
      </c>
      <c r="D46" s="1" t="s">
        <v>221</v>
      </c>
      <c r="E46" s="1" t="s">
        <v>222</v>
      </c>
      <c r="F46" s="1" t="s">
        <v>223</v>
      </c>
      <c r="G46" s="1" t="s">
        <v>36</v>
      </c>
      <c r="H46" s="1" t="s">
        <v>29</v>
      </c>
      <c r="I46" s="1" t="str">
        <f ca="1">IFERROR(__xludf.DUMMYFUNCTION("GOOGLETRANSLATE(F46, ""auto"", ""en"")
"),"size")</f>
        <v>size</v>
      </c>
    </row>
    <row r="47" spans="1:9" x14ac:dyDescent="0.3">
      <c r="A47" s="1" t="s">
        <v>61</v>
      </c>
      <c r="B47" s="1" t="s">
        <v>224</v>
      </c>
      <c r="C47" s="1" t="s">
        <v>74</v>
      </c>
      <c r="D47" s="1" t="s">
        <v>39</v>
      </c>
      <c r="E47" s="1" t="s">
        <v>225</v>
      </c>
      <c r="F47" s="1" t="s">
        <v>226</v>
      </c>
      <c r="G47" s="1" t="s">
        <v>36</v>
      </c>
      <c r="H47" s="1" t="s">
        <v>29</v>
      </c>
      <c r="I47" s="1" t="str">
        <f ca="1">IFERROR(__xludf.DUMMYFUNCTION("GOOGLETRANSLATE(F47, ""auto"", ""en"")
"),"I bought it with my wife a year ago. I convinced him for a long time that a separate juicer is more practical than as part of a food processor. This has been proven in practice. I like squeezing carrot juice most of all. The pulp is almost dry. As for app"&amp;"le juice, the pulp also comes in with the juice. And it clogs up faster. Overall, I’m satisfied. Good value for money. And the price is much lower than its neighbors. Well, the most important thing is the health from it juice. Living vitamins :)")</f>
        <v>I bought it with my wife a year ago. I convinced him for a long time that a separate juicer is more practical than as part of a food processor. This has been proven in practice. I like squeezing carrot juice most of all. The pulp is almost dry. As for apple juice, the pulp also comes in with the juice. And it clogs up faster. Overall, I’m satisfied. Good value for money. And the price is much lower than its neighbors. Well, the most important thing is the health from it juice. Living vitamins :)</v>
      </c>
    </row>
    <row r="48" spans="1:9" x14ac:dyDescent="0.3">
      <c r="A48" s="1" t="s">
        <v>95</v>
      </c>
      <c r="B48" s="1" t="s">
        <v>227</v>
      </c>
      <c r="C48" s="1" t="s">
        <v>97</v>
      </c>
      <c r="D48" s="1" t="s">
        <v>228</v>
      </c>
      <c r="E48" s="1" t="s">
        <v>229</v>
      </c>
      <c r="F48" s="1" t="s">
        <v>230</v>
      </c>
      <c r="G48" s="1" t="s">
        <v>36</v>
      </c>
      <c r="H48" s="1" t="s">
        <v>29</v>
      </c>
      <c r="I48" s="1" t="str">
        <f ca="1">IFERROR(__xludf.DUMMYFUNCTION("GOOGLETRANSLATE(F48, ""auto"", ""en"")
"),"Yesterday I picked up a PS3 160 GB slim CECH-2500A PAL (differences: a new technical process - it doesn’t get too hot and HD audio support without PCM encoding) it’s there with firmware 3.40!!!  In my opinion, this version is the most perfect.")</f>
        <v>Yesterday I picked up a PS3 160 GB slim CECH-2500A PAL (differences: a new technical process - it doesn’t get too hot and HD audio support without PCM encoding) it’s there with firmware 3.40!!!  In my opinion, this version is the most perfect.</v>
      </c>
    </row>
    <row r="49" spans="1:9" x14ac:dyDescent="0.3">
      <c r="A49" s="1" t="s">
        <v>89</v>
      </c>
      <c r="B49" s="1" t="s">
        <v>231</v>
      </c>
      <c r="C49" s="1" t="s">
        <v>185</v>
      </c>
      <c r="D49" s="1" t="s">
        <v>232</v>
      </c>
      <c r="E49" s="1" t="s">
        <v>233</v>
      </c>
      <c r="F49" s="1" t="s">
        <v>234</v>
      </c>
      <c r="G49" s="1" t="s">
        <v>28</v>
      </c>
      <c r="H49" s="1" t="s">
        <v>29</v>
      </c>
      <c r="I49" s="1" t="str">
        <f ca="1">IFERROR(__xludf.DUMMYFUNCTION("GOOGLETRANSLATE(F49, ""auto"", ""en"")
"),"I bought the car on New Year's holidays, tried it in all modes, at first I was disappointed, but after a little adjustment, the disappointment gave way to satisfaction. The machine is good, it makes different types of coffee, it all depends on taste. I se"&amp;"t the level to 1/2 cup and almost the maximum amount of coffee used (right handle) and everything is OK!.")</f>
        <v>I bought the car on New Year's holidays, tried it in all modes, at first I was disappointed, but after a little adjustment, the disappointment gave way to satisfaction. The machine is good, it makes different types of coffee, it all depends on taste. I set the level to 1/2 cup and almost the maximum amount of coffee used (right handle) and everything is OK!.</v>
      </c>
    </row>
    <row r="50" spans="1:9" x14ac:dyDescent="0.3">
      <c r="A50" s="1" t="s">
        <v>55</v>
      </c>
      <c r="B50" s="1" t="s">
        <v>235</v>
      </c>
      <c r="C50" s="1" t="s">
        <v>101</v>
      </c>
      <c r="D50" s="1" t="s">
        <v>33</v>
      </c>
      <c r="E50" s="1" t="s">
        <v>236</v>
      </c>
      <c r="F50" s="1" t="s">
        <v>237</v>
      </c>
      <c r="G50" s="1" t="s">
        <v>49</v>
      </c>
      <c r="H50" s="1" t="s">
        <v>16</v>
      </c>
      <c r="I50" s="1" t="str">
        <f ca="1">IFERROR(__xludf.DUMMYFUNCTION("GOOGLETRANSLATE(F50, ""auto"", ""en"")
"),"I had such a fan heater, after working for a week it began to spark and blow either cold or hot air. In the end I returned it to the store.")</f>
        <v>I had such a fan heater, after working for a week it began to spark and blow either cold or hot air. In the end I returned it to the store.</v>
      </c>
    </row>
    <row r="51" spans="1:9" x14ac:dyDescent="0.3">
      <c r="A51" s="1" t="s">
        <v>238</v>
      </c>
      <c r="B51" s="1" t="s">
        <v>239</v>
      </c>
      <c r="C51" s="1" t="s">
        <v>240</v>
      </c>
      <c r="D51" s="1" t="s">
        <v>20</v>
      </c>
      <c r="E51" s="1" t="s">
        <v>241</v>
      </c>
      <c r="F51" s="1" t="s">
        <v>242</v>
      </c>
      <c r="G51" s="1" t="s">
        <v>36</v>
      </c>
      <c r="H51" s="1" t="s">
        <v>29</v>
      </c>
      <c r="I51" s="1" t="str">
        <f ca="1">IFERROR(__xludf.DUMMYFUNCTION("GOOGLETRANSLATE(F51, ""auto"", ""en"")
"),"Wonderful quality, in a word, anyone who bought equipment from Liebherr may forget what refrigerator repair is =)) I recommend it!!!")</f>
        <v>Wonderful quality, in a word, anyone who bought equipment from Liebherr may forget what refrigerator repair is =)) I recommend it!!!</v>
      </c>
    </row>
    <row r="52" spans="1:9" x14ac:dyDescent="0.3">
      <c r="A52" s="1" t="s">
        <v>17</v>
      </c>
      <c r="B52" s="1" t="s">
        <v>18</v>
      </c>
      <c r="C52" s="1" t="s">
        <v>243</v>
      </c>
      <c r="D52" s="1" t="s">
        <v>127</v>
      </c>
      <c r="E52" s="1" t="s">
        <v>244</v>
      </c>
      <c r="F52" s="1" t="s">
        <v>245</v>
      </c>
      <c r="G52" s="1" t="s">
        <v>49</v>
      </c>
      <c r="H52" s="1" t="s">
        <v>16</v>
      </c>
      <c r="I52" s="1" t="str">
        <f ca="1">IFERROR(__xludf.DUMMYFUNCTION("GOOGLETRANSLATE(F52, ""auto"", ""en"")
"),"It worked for 4 years and broke down. The tank is sealed and therefore cannot be repaired. You can change it, but the price is about 70% of a new one.")</f>
        <v>It worked for 4 years and broke down. The tank is sealed and therefore cannot be repaired. You can change it, but the price is about 70% of a new one.</v>
      </c>
    </row>
    <row r="53" spans="1:9" x14ac:dyDescent="0.3">
      <c r="A53" s="1" t="s">
        <v>61</v>
      </c>
      <c r="B53" s="1" t="s">
        <v>145</v>
      </c>
      <c r="C53" s="1" t="s">
        <v>246</v>
      </c>
      <c r="D53" s="1" t="s">
        <v>247</v>
      </c>
      <c r="E53" s="1" t="s">
        <v>248</v>
      </c>
      <c r="F53" s="1" t="s">
        <v>249</v>
      </c>
      <c r="G53" s="1" t="s">
        <v>36</v>
      </c>
      <c r="H53" s="1" t="s">
        <v>29</v>
      </c>
      <c r="I53" s="1" t="str">
        <f ca="1">IFERROR(__xludf.DUMMYFUNCTION("GOOGLETRANSLATE(F53, ""auto"", ""en"")
"),"Nice model. Simple as a felt boot.. Does its job perfectly! I don’t see any problems with washing, I follow the instructions - I wash the sieve under the tap, and I wipe the frying container itself with paper towels (they absorb grease well), and then wit"&amp;"h a napkin.. I’ve been using it recently, so I won’t say anything about durability.")</f>
        <v>Nice model. Simple as a felt boot.. Does its job perfectly! I don’t see any problems with washing, I follow the instructions - I wash the sieve under the tap, and I wipe the frying container itself with paper towels (they absorb grease well), and then with a napkin.. I’ve been using it recently, so I won’t say anything about durability.</v>
      </c>
    </row>
    <row r="54" spans="1:9" x14ac:dyDescent="0.3">
      <c r="A54" s="1" t="s">
        <v>105</v>
      </c>
      <c r="B54" s="1" t="s">
        <v>106</v>
      </c>
      <c r="C54" s="1" t="s">
        <v>151</v>
      </c>
      <c r="D54" s="1" t="s">
        <v>250</v>
      </c>
      <c r="E54" s="1" t="s">
        <v>251</v>
      </c>
      <c r="F54" s="1" t="s">
        <v>252</v>
      </c>
      <c r="G54" s="1" t="s">
        <v>15</v>
      </c>
      <c r="H54" s="1" t="s">
        <v>16</v>
      </c>
      <c r="I54" s="1" t="str">
        <f ca="1">IFERROR(__xludf.DUMMYFUNCTION("GOOGLETRANSLATE(F54, ""auto"", ""en"")
"),"Broke after 4 months of use. I'll try to replace it under warranty.")</f>
        <v>Broke after 4 months of use. I'll try to replace it under warranty.</v>
      </c>
    </row>
    <row r="55" spans="1:9" x14ac:dyDescent="0.3">
      <c r="A55" s="1" t="s">
        <v>9</v>
      </c>
      <c r="B55" s="1" t="s">
        <v>133</v>
      </c>
      <c r="C55" s="1" t="s">
        <v>159</v>
      </c>
      <c r="D55" s="1" t="s">
        <v>253</v>
      </c>
      <c r="E55" s="1" t="s">
        <v>254</v>
      </c>
      <c r="F55" s="1" t="s">
        <v>255</v>
      </c>
      <c r="G55" s="1" t="s">
        <v>36</v>
      </c>
      <c r="H55" s="1" t="s">
        <v>29</v>
      </c>
      <c r="I55" s="1" t="str">
        <f ca="1">IFERROR(__xludf.DUMMYFUNCTION("GOOGLETRANSLATE(F55, ""auto"", ""en"")
"),"The oven is just great. The quality is wonderful. And the number of food items is pleasing.")</f>
        <v>The oven is just great. The quality is wonderful. And the number of food items is pleasing.</v>
      </c>
    </row>
    <row r="56" spans="1:9" x14ac:dyDescent="0.3">
      <c r="A56" s="1" t="s">
        <v>120</v>
      </c>
      <c r="B56" s="1" t="s">
        <v>256</v>
      </c>
      <c r="C56" s="1" t="s">
        <v>257</v>
      </c>
      <c r="D56" s="1" t="s">
        <v>258</v>
      </c>
      <c r="E56" s="1" t="s">
        <v>259</v>
      </c>
      <c r="F56" s="1" t="s">
        <v>260</v>
      </c>
      <c r="G56" s="1" t="s">
        <v>28</v>
      </c>
      <c r="H56" s="1" t="s">
        <v>29</v>
      </c>
      <c r="I56" s="1" t="str">
        <f ca="1">IFERROR(__xludf.DUMMYFUNCTION("GOOGLETRANSLATE(F56, ""auto"", ""en"")
"),"You can set the resolution to 1600x1024. Control Panel &gt; NVIDIA Control Panel &gt; Custom View &gt; Set Custom View... &gt; Check the box for ""Manage custom resolution"" &gt; ""OK"" &gt; in the ""Select a task"" panel, select ""Manage custom resolution"" &gt; in the main "&amp;"panel on the right, look for the ""create"" button &gt; Horizontal 1600 Vertical 1024 &gt; ""Test"" &gt; ""OK"" &gt; “Yes” &gt; in the “Select a task” panel, select “Change permission” and select the new permission we created. In general, such settings have to be made f"&amp;"or many large monitors, this one is no exception. You can make a different resolution if you like it larger, you just need to select it, so the problem is not in the TV.")</f>
        <v>You can set the resolution to 1600x1024. Control Panel &gt; NVIDIA Control Panel &gt; Custom View &gt; Set Custom View... &gt; Check the box for "Manage custom resolution" &gt; "OK" &gt; in the "Select a task" panel, select "Manage custom resolution" &gt; in the main panel on the right, look for the "create" button &gt; Horizontal 1600 Vertical 1024 &gt; "Test" &gt; "OK" &gt; “Yes” &gt; in the “Select a task” panel, select “Change permission” and select the new permission we created. In general, such settings have to be made for many large monitors, this one is no exception. You can make a different resolution if you like it larger, you just need to select it, so the problem is not in the TV.</v>
      </c>
    </row>
    <row r="57" spans="1:9" x14ac:dyDescent="0.3">
      <c r="A57" s="1" t="s">
        <v>206</v>
      </c>
      <c r="B57" s="1" t="s">
        <v>261</v>
      </c>
      <c r="C57" s="1" t="s">
        <v>262</v>
      </c>
      <c r="D57" s="1" t="s">
        <v>52</v>
      </c>
      <c r="E57" s="1" t="s">
        <v>263</v>
      </c>
      <c r="F57" s="1" t="s">
        <v>264</v>
      </c>
      <c r="G57" s="1" t="s">
        <v>49</v>
      </c>
      <c r="H57" s="1" t="s">
        <v>16</v>
      </c>
      <c r="I57" s="1" t="str">
        <f ca="1">IFERROR(__xludf.DUMMYFUNCTION("GOOGLETRANSLATE(F57, ""auto"", ""en"")
"),"I bought an antenna and wanted to install it, but I couldn’t find a standard TV plug or some kind of mode switch (by the way, what modes is it for). I think I'll have to give it back.")</f>
        <v>I bought an antenna and wanted to install it, but I couldn’t find a standard TV plug or some kind of mode switch (by the way, what modes is it for). I think I'll have to give it back.</v>
      </c>
    </row>
    <row r="58" spans="1:9" x14ac:dyDescent="0.3">
      <c r="A58" s="1" t="s">
        <v>211</v>
      </c>
      <c r="B58" s="1" t="s">
        <v>265</v>
      </c>
      <c r="C58" s="1" t="s">
        <v>266</v>
      </c>
      <c r="D58" s="1" t="s">
        <v>172</v>
      </c>
      <c r="E58" s="1" t="s">
        <v>267</v>
      </c>
      <c r="F58" s="1" t="s">
        <v>268</v>
      </c>
      <c r="G58" s="1" t="s">
        <v>28</v>
      </c>
      <c r="H58" s="1" t="s">
        <v>29</v>
      </c>
      <c r="I58" s="1" t="str">
        <f ca="1">IFERROR(__xludf.DUMMYFUNCTION("GOOGLETRANSLATE(F58, ""auto"", ""en"")
"),"If you don't expect a perfect result on the first pass, the device is quite passable. :) Yes, sometimes it hurts. But, dear friends, did you see a bottle of oil included? Well, he's there for a reason. You need to lubricate it at least sometimes. :)")</f>
        <v>If you don't expect a perfect result on the first pass, the device is quite passable. :) Yes, sometimes it hurts. But, dear friends, did you see a bottle of oil included? Well, he's there for a reason. You need to lubricate it at least sometimes. :)</v>
      </c>
    </row>
    <row r="59" spans="1:9" x14ac:dyDescent="0.3">
      <c r="A59" s="1" t="s">
        <v>30</v>
      </c>
      <c r="B59" s="1" t="s">
        <v>31</v>
      </c>
      <c r="C59" s="1" t="s">
        <v>32</v>
      </c>
      <c r="D59" s="1" t="s">
        <v>39</v>
      </c>
      <c r="E59" s="1" t="s">
        <v>269</v>
      </c>
      <c r="F59" s="1" t="s">
        <v>270</v>
      </c>
      <c r="G59" s="1" t="s">
        <v>36</v>
      </c>
      <c r="H59" s="1" t="s">
        <v>29</v>
      </c>
      <c r="I59" s="1" t="str">
        <f ca="1">IFERROR(__xludf.DUMMYFUNCTION("GOOGLETRANSLATE(F59, ""auto"", ""en"")
"),"Who bought it, tell me, will PhotoShop work more or less tolerably on it?")</f>
        <v>Who bought it, tell me, will PhotoShop work more or less tolerably on it?</v>
      </c>
    </row>
    <row r="60" spans="1:9" x14ac:dyDescent="0.3">
      <c r="A60" s="1" t="s">
        <v>30</v>
      </c>
      <c r="B60" s="1" t="s">
        <v>50</v>
      </c>
      <c r="C60" s="1" t="s">
        <v>151</v>
      </c>
      <c r="D60" s="1" t="s">
        <v>52</v>
      </c>
      <c r="E60" s="1" t="s">
        <v>271</v>
      </c>
      <c r="F60" s="1" t="s">
        <v>272</v>
      </c>
      <c r="G60" s="1" t="s">
        <v>28</v>
      </c>
      <c r="H60" s="1" t="s">
        <v>29</v>
      </c>
      <c r="I60" s="1" t="str">
        <f ca="1">IFERROR(__xludf.DUMMYFUNCTION("GOOGLETRANSLATE(F60, ""auto"", ""en"")
"),"The main disadvantage, IMHO, is the presence of Vista.")</f>
        <v>The main disadvantage, IMHO, is the presence of Vista.</v>
      </c>
    </row>
    <row r="61" spans="1:9" x14ac:dyDescent="0.3">
      <c r="A61" s="1" t="s">
        <v>211</v>
      </c>
      <c r="B61" s="1" t="s">
        <v>265</v>
      </c>
      <c r="C61" s="1" t="s">
        <v>122</v>
      </c>
      <c r="D61" s="1" t="s">
        <v>273</v>
      </c>
      <c r="E61" s="1" t="s">
        <v>274</v>
      </c>
      <c r="F61" s="1" t="s">
        <v>275</v>
      </c>
      <c r="G61" s="1" t="s">
        <v>49</v>
      </c>
      <c r="H61" s="1" t="s">
        <v>16</v>
      </c>
      <c r="I61" s="1" t="str">
        <f ca="1">IFERROR(__xludf.DUMMYFUNCTION("GOOGLETRANSLATE(F61, ""auto"", ""en"")
"),"The machine broke down two months after purchase, i.e. survived THREE!!! haircuts. After the repair, I refused to cut my hair at all - it clogs up instantly.")</f>
        <v>The machine broke down two months after purchase, i.e. survived THREE!!! haircuts. After the repair, I refused to cut my hair at all - it clogs up instantly.</v>
      </c>
    </row>
    <row r="62" spans="1:9" x14ac:dyDescent="0.3">
      <c r="A62" s="1" t="s">
        <v>238</v>
      </c>
      <c r="B62" s="1" t="s">
        <v>276</v>
      </c>
      <c r="C62" s="1" t="s">
        <v>277</v>
      </c>
      <c r="D62" s="1" t="s">
        <v>172</v>
      </c>
      <c r="E62" s="1" t="s">
        <v>278</v>
      </c>
      <c r="F62" s="1" t="s">
        <v>279</v>
      </c>
      <c r="G62" s="1" t="s">
        <v>36</v>
      </c>
      <c r="H62" s="1" t="s">
        <v>29</v>
      </c>
      <c r="I62" s="1" t="str">
        <f ca="1">IFERROR(__xludf.DUMMYFUNCTION("GOOGLETRANSLATE(F62, ""auto"", ""en"")
"),"A simple and inexpensive refrigerator. The quality of the Mvideo online store is 11 points out of 10! Thank you The refrigerator itself is more than worth its money. Very quiet, freezer freezes great. Compact size and dazzling white color - advantages!")</f>
        <v>A simple and inexpensive refrigerator. The quality of the Mvideo online store is 11 points out of 10! Thank you The refrigerator itself is more than worth its money. Very quiet, freezer freezes great. Compact size and dazzling white color - advantages!</v>
      </c>
    </row>
    <row r="63" spans="1:9" x14ac:dyDescent="0.3">
      <c r="A63" s="1" t="s">
        <v>120</v>
      </c>
      <c r="B63" s="1" t="s">
        <v>126</v>
      </c>
      <c r="C63" s="1" t="s">
        <v>151</v>
      </c>
      <c r="D63" s="1" t="s">
        <v>280</v>
      </c>
      <c r="E63" s="1" t="s">
        <v>124</v>
      </c>
      <c r="F63" s="1" t="s">
        <v>281</v>
      </c>
      <c r="G63" s="1" t="s">
        <v>28</v>
      </c>
      <c r="H63" s="1" t="s">
        <v>29</v>
      </c>
      <c r="I63" s="1" t="str">
        <f ca="1">IFERROR(__xludf.DUMMYFUNCTION("GOOGLETRANSLATE(F63, ""auto"", ""en"")
"),"I bought a TV set, it’s great!!!!!But after 4 months a black thin line appeared on the top of the screen, I took it to the service center.....I’m waiting....")</f>
        <v>I bought a TV set, it’s great!!!!!But after 4 months a black thin line appeared on the top of the screen, I took it to the service center.....I’m waiting....</v>
      </c>
    </row>
    <row r="64" spans="1:9" x14ac:dyDescent="0.3">
      <c r="A64" s="1" t="s">
        <v>282</v>
      </c>
      <c r="B64" s="1" t="s">
        <v>283</v>
      </c>
      <c r="C64" s="1" t="s">
        <v>284</v>
      </c>
      <c r="D64" s="1" t="s">
        <v>86</v>
      </c>
      <c r="E64" s="1" t="s">
        <v>285</v>
      </c>
      <c r="F64" s="1" t="s">
        <v>286</v>
      </c>
      <c r="G64" s="1" t="s">
        <v>28</v>
      </c>
      <c r="H64" s="1" t="s">
        <v>29</v>
      </c>
      <c r="I64" s="1" t="str">
        <f ca="1">IFERROR(__xludf.DUMMYFUNCTION("GOOGLETRANSLATE(F64, ""auto"", ""en"")
"),"A good mystical thriller. Al Pacino is great as always!")</f>
        <v>A good mystical thriller. Al Pacino is great as always!</v>
      </c>
    </row>
    <row r="65" spans="1:9" x14ac:dyDescent="0.3">
      <c r="A65" s="1" t="s">
        <v>37</v>
      </c>
      <c r="B65" s="1" t="s">
        <v>38</v>
      </c>
      <c r="C65" s="1" t="s">
        <v>151</v>
      </c>
      <c r="D65" s="1" t="s">
        <v>287</v>
      </c>
      <c r="E65" s="1" t="s">
        <v>288</v>
      </c>
      <c r="F65" s="1" t="s">
        <v>289</v>
      </c>
      <c r="G65" s="1" t="s">
        <v>36</v>
      </c>
      <c r="H65" s="1" t="s">
        <v>29</v>
      </c>
      <c r="I65" s="1" t="str">
        <f ca="1">IFERROR(__xludf.DUMMYFUNCTION("GOOGLETRANSLATE(F65, ""auto"", ""en"")
"),"The phone is good for listening to music.   Very good stereo headphones are included with the ability to answer calls.  The camera is certainly weak.  There are 8 games on the phone.  There is a flashlight function to make the screen brighter.  Good recep"&amp;"tion FM Radio caught 8 stations.")</f>
        <v>The phone is good for listening to music.   Very good stereo headphones are included with the ability to answer calls.  The camera is certainly weak.  There are 8 games on the phone.  There is a flashlight function to make the screen brighter.  Good reception FM Radio caught 8 stations.</v>
      </c>
    </row>
    <row r="66" spans="1:9" x14ac:dyDescent="0.3">
      <c r="A66" s="1" t="s">
        <v>17</v>
      </c>
      <c r="B66" s="1" t="s">
        <v>18</v>
      </c>
      <c r="C66" s="1" t="s">
        <v>290</v>
      </c>
      <c r="D66" s="1" t="s">
        <v>291</v>
      </c>
      <c r="E66" s="1" t="s">
        <v>292</v>
      </c>
      <c r="F66" s="1" t="s">
        <v>293</v>
      </c>
      <c r="G66" s="1" t="s">
        <v>36</v>
      </c>
      <c r="H66" s="1" t="s">
        <v>29</v>
      </c>
      <c r="I66" s="1" t="str">
        <f ca="1">IFERROR(__xludf.DUMMYFUNCTION("GOOGLETRANSLATE(F66, ""auto"", ""en"")
"),"What I liked - intuitive control - Made in Slovenia - Low water consumption - 1+1 guarantee - Availability in the store - they signed up for me... - Very large hatch and drum - ))")</f>
        <v>What I liked - intuitive control - Made in Slovenia - Low water consumption - 1+1 guarantee - Availability in the store - they signed up for me... - Very large hatch and drum - ))</v>
      </c>
    </row>
    <row r="67" spans="1:9" x14ac:dyDescent="0.3">
      <c r="A67" s="1" t="s">
        <v>211</v>
      </c>
      <c r="B67" s="1" t="s">
        <v>212</v>
      </c>
      <c r="C67" s="1" t="s">
        <v>294</v>
      </c>
      <c r="D67" s="1" t="s">
        <v>295</v>
      </c>
      <c r="E67" s="1" t="s">
        <v>296</v>
      </c>
      <c r="F67" s="1" t="s">
        <v>297</v>
      </c>
      <c r="G67" s="1" t="s">
        <v>36</v>
      </c>
      <c r="H67" s="1" t="s">
        <v>29</v>
      </c>
      <c r="I67" s="1" t="str">
        <f ca="1">IFERROR(__xludf.DUMMYFUNCTION("GOOGLETRANSLATE(F67, ""auto"", ""en"")
"),"I am very pleased with the purchase. The hair is silky, does not electrify, and can be curled. A pleasant surprise was the disc showing hairstyle options. I recommend! Great stuff!")</f>
        <v>I am very pleased with the purchase. The hair is silky, does not electrify, and can be curled. A pleasant surprise was the disc showing hairstyle options. I recommend! Great stuff!</v>
      </c>
    </row>
    <row r="68" spans="1:9" x14ac:dyDescent="0.3">
      <c r="A68" s="1" t="s">
        <v>111</v>
      </c>
      <c r="B68" s="1" t="s">
        <v>298</v>
      </c>
      <c r="C68" s="1" t="s">
        <v>299</v>
      </c>
      <c r="D68" s="1" t="s">
        <v>300</v>
      </c>
      <c r="E68" s="1" t="s">
        <v>301</v>
      </c>
      <c r="F68" s="1" t="s">
        <v>302</v>
      </c>
      <c r="G68" s="1" t="s">
        <v>49</v>
      </c>
      <c r="H68" s="1" t="s">
        <v>16</v>
      </c>
      <c r="I68" s="1" t="str">
        <f ca="1">IFERROR(__xludf.DUMMYFUNCTION("GOOGLETRANSLATE(F68, ""auto"", ""en"")
"),"We dried the boots for 5 hours - they were still damp")</f>
        <v>We dried the boots for 5 hours - they were still damp</v>
      </c>
    </row>
    <row r="69" spans="1:9" x14ac:dyDescent="0.3">
      <c r="A69" s="1" t="s">
        <v>43</v>
      </c>
      <c r="B69" s="1" t="s">
        <v>303</v>
      </c>
      <c r="C69" s="1" t="s">
        <v>304</v>
      </c>
      <c r="D69" s="1" t="s">
        <v>305</v>
      </c>
      <c r="E69" s="1" t="s">
        <v>306</v>
      </c>
      <c r="F69" s="1" t="s">
        <v>307</v>
      </c>
      <c r="G69" s="1" t="s">
        <v>28</v>
      </c>
      <c r="H69" s="1" t="s">
        <v>29</v>
      </c>
      <c r="I69" s="1" t="str">
        <f ca="1">IFERROR(__xludf.DUMMYFUNCTION("GOOGLETRANSLATE(F69, ""auto"", ""en"")
"),"Inexpensive tank, from a well-known brand and a 3-year warranty.")</f>
        <v>Inexpensive tank, from a well-known brand and a 3-year warranty.</v>
      </c>
    </row>
    <row r="70" spans="1:9" x14ac:dyDescent="0.3">
      <c r="A70" s="1" t="s">
        <v>61</v>
      </c>
      <c r="B70" s="1" t="s">
        <v>73</v>
      </c>
      <c r="C70" s="1" t="s">
        <v>146</v>
      </c>
      <c r="D70" s="1" t="s">
        <v>308</v>
      </c>
      <c r="E70" s="1" t="s">
        <v>309</v>
      </c>
      <c r="F70" s="1" t="s">
        <v>310</v>
      </c>
      <c r="G70" s="1" t="s">
        <v>49</v>
      </c>
      <c r="H70" s="1" t="s">
        <v>16</v>
      </c>
      <c r="I70" s="1" t="str">
        <f ca="1">IFERROR(__xludf.DUMMYFUNCTION("GOOGLETRANSLATE(F70, ""auto"", ""en"")
"),"The bad meat grinder broke down quickly, we managed to use it 2 times and that’s it. You can’t turn meat on it and that this is the worst company of all. This is how it happens, don’t take this company or be careful")</f>
        <v>The bad meat grinder broke down quickly, we managed to use it 2 times and that’s it. You can’t turn meat on it and that this is the worst company of all. This is how it happens, don’t take this company or be careful</v>
      </c>
    </row>
    <row r="71" spans="1:9" x14ac:dyDescent="0.3">
      <c r="A71" s="1" t="s">
        <v>9</v>
      </c>
      <c r="B71" s="1" t="s">
        <v>23</v>
      </c>
      <c r="C71" s="1" t="s">
        <v>63</v>
      </c>
      <c r="D71" s="1" t="s">
        <v>311</v>
      </c>
      <c r="E71" s="1" t="s">
        <v>312</v>
      </c>
      <c r="F71" s="1" t="s">
        <v>313</v>
      </c>
      <c r="G71" s="1" t="s">
        <v>36</v>
      </c>
      <c r="H71" s="1" t="s">
        <v>29</v>
      </c>
      <c r="I71" s="1" t="str">
        <f ca="1">IFERROR(__xludf.DUMMYFUNCTION("GOOGLETRANSLATE(F71, ""auto"", ""en"")
"),"Yes, it’s a little expensive, but it pays for itself 200%. The frying pans with five years of soot shone like new. You can’t even wash a cup of tea with your hands like that. Works quietly and reliably. In general - a thing!")</f>
        <v>Yes, it’s a little expensive, but it pays for itself 200%. The frying pans with five years of soot shone like new. You can’t even wash a cup of tea with your hands like that. Works quietly and reliably. In general - a thing!</v>
      </c>
    </row>
    <row r="72" spans="1:9" x14ac:dyDescent="0.3">
      <c r="A72" s="1" t="s">
        <v>149</v>
      </c>
      <c r="B72" s="1" t="s">
        <v>150</v>
      </c>
      <c r="C72" s="1" t="s">
        <v>314</v>
      </c>
      <c r="D72" s="1" t="s">
        <v>315</v>
      </c>
      <c r="E72" s="1" t="s">
        <v>316</v>
      </c>
      <c r="F72" s="1" t="s">
        <v>317</v>
      </c>
      <c r="G72" s="1" t="s">
        <v>36</v>
      </c>
      <c r="H72" s="1" t="s">
        <v>29</v>
      </c>
      <c r="I72" s="1" t="str">
        <f ca="1">IFERROR(__xludf.DUMMYFUNCTION("GOOGLETRANSLATE(F72, ""auto"", ""en"")
"),"I used an excellent vacuum cleaner for a year until it broke (my son helped), and they changed it without any problems, it’s a pity for another model, my mother was reluctant, minus: lack of consumables. After that, my wife said only with an aqua filter f"&amp;"rom this company.")</f>
        <v>I used an excellent vacuum cleaner for a year until it broke (my son helped), and they changed it without any problems, it’s a pity for another model, my mother was reluctant, minus: lack of consumables. After that, my wife said only with an aqua filter from this company.</v>
      </c>
    </row>
    <row r="73" spans="1:9" x14ac:dyDescent="0.3">
      <c r="A73" s="1" t="s">
        <v>61</v>
      </c>
      <c r="B73" s="1" t="s">
        <v>318</v>
      </c>
      <c r="C73" s="1" t="s">
        <v>246</v>
      </c>
      <c r="D73" s="1" t="s">
        <v>319</v>
      </c>
      <c r="E73" s="1" t="s">
        <v>320</v>
      </c>
      <c r="F73" s="1" t="s">
        <v>321</v>
      </c>
      <c r="G73" s="1" t="s">
        <v>36</v>
      </c>
      <c r="H73" s="1" t="s">
        <v>29</v>
      </c>
      <c r="I73" s="1" t="str">
        <f ca="1">IFERROR(__xludf.DUMMYFUNCTION("GOOGLETRANSLATE(F73, ""auto"", ""en"")
"),"Hi all. We actively use a similar model at work for three of us, we pour and boil water 5 times a day, and have been doing this for about 4 years now.  The kettle was made in France and by the French, which is especially pleasing.")</f>
        <v>Hi all. We actively use a similar model at work for three of us, we pour and boil water 5 times a day, and have been doing this for about 4 years now.  The kettle was made in France and by the French, which is especially pleasing.</v>
      </c>
    </row>
    <row r="74" spans="1:9" x14ac:dyDescent="0.3">
      <c r="A74" s="1" t="s">
        <v>17</v>
      </c>
      <c r="B74" s="1" t="s">
        <v>18</v>
      </c>
      <c r="C74" s="1" t="s">
        <v>19</v>
      </c>
      <c r="D74" s="1" t="s">
        <v>322</v>
      </c>
      <c r="E74" s="1" t="s">
        <v>323</v>
      </c>
      <c r="F74" s="1" t="s">
        <v>324</v>
      </c>
      <c r="G74" s="1" t="s">
        <v>36</v>
      </c>
      <c r="H74" s="1" t="s">
        <v>29</v>
      </c>
      <c r="I74" s="1" t="str">
        <f ca="1">IFERROR(__xludf.DUMMYFUNCTION("GOOGLETRANSLATE(F74, ""auto"", ""en"")
"),"It washes perfectly.  Just a fairy tale")</f>
        <v>It washes perfectly.  Just a fairy tale</v>
      </c>
    </row>
    <row r="75" spans="1:9" x14ac:dyDescent="0.3">
      <c r="A75" s="1" t="s">
        <v>17</v>
      </c>
      <c r="B75" s="1" t="s">
        <v>325</v>
      </c>
      <c r="C75" s="1" t="s">
        <v>326</v>
      </c>
      <c r="D75" s="1" t="s">
        <v>327</v>
      </c>
      <c r="E75" s="1" t="s">
        <v>328</v>
      </c>
      <c r="F75" s="1" t="s">
        <v>329</v>
      </c>
      <c r="G75" s="1" t="s">
        <v>15</v>
      </c>
      <c r="H75" s="1" t="s">
        <v>16</v>
      </c>
      <c r="I75" s="1" t="str">
        <f ca="1">IFERROR(__xludf.DUMMYFUNCTION("GOOGLETRANSLATE(F75, ""auto"", ""en"")
"),"Anyway, she just does the laundry. Then you need to rinse with your hands. Then you need to squeeze it out with your hands. Might save some time. But it doesn’t wash out difficult stains; if there are no stains, then soaking it yourself is much faster. He"&amp;"nce the question: what good is it, even if it cost 100 rubles? For me, you need to take it with a centrifuge in order to: throw in the laundry, hang it up to dry after two hours.")</f>
        <v>Anyway, she just does the laundry. Then you need to rinse with your hands. Then you need to squeeze it out with your hands. Might save some time. But it doesn’t wash out difficult stains; if there are no stains, then soaking it yourself is much faster. Hence the question: what good is it, even if it cost 100 rubles? For me, you need to take it with a centrifuge in order to: throw in the laundry, hang it up to dry after two hours.</v>
      </c>
    </row>
    <row r="76" spans="1:9" x14ac:dyDescent="0.3">
      <c r="A76" s="1" t="s">
        <v>61</v>
      </c>
      <c r="B76" s="1" t="s">
        <v>145</v>
      </c>
      <c r="C76" s="1" t="s">
        <v>246</v>
      </c>
      <c r="D76" s="1" t="s">
        <v>52</v>
      </c>
      <c r="E76" s="1" t="s">
        <v>330</v>
      </c>
      <c r="F76" s="1" t="s">
        <v>331</v>
      </c>
      <c r="G76" s="1" t="s">
        <v>36</v>
      </c>
      <c r="H76" s="1" t="s">
        <v>29</v>
      </c>
      <c r="I76" s="1" t="str">
        <f ca="1">IFERROR(__xludf.DUMMYFUNCTION("GOOGLETRANSLATE(F76, ""auto"", ""en"")
"),"Opens cans at a time. Sharpened all the knives in the house in 10 minutes. Sharpening with this thing and sharpening by hand are two different things. There are no disadvantages.")</f>
        <v>Opens cans at a time. Sharpened all the knives in the house in 10 minutes. Sharpening with this thing and sharpening by hand are two different things. There are no disadvantages.</v>
      </c>
    </row>
    <row r="77" spans="1:9" x14ac:dyDescent="0.3">
      <c r="A77" s="1" t="s">
        <v>43</v>
      </c>
      <c r="B77" s="1" t="s">
        <v>44</v>
      </c>
      <c r="C77" s="1" t="s">
        <v>101</v>
      </c>
      <c r="D77" s="1" t="s">
        <v>52</v>
      </c>
      <c r="E77" s="1" t="s">
        <v>332</v>
      </c>
      <c r="F77" s="1" t="s">
        <v>333</v>
      </c>
      <c r="G77" s="1" t="s">
        <v>36</v>
      </c>
      <c r="H77" s="1" t="s">
        <v>29</v>
      </c>
      <c r="I77" s="1" t="str">
        <f ca="1">IFERROR(__xludf.DUMMYFUNCTION("GOOGLETRANSLATE(F77, ""auto"", ""en"")
"),"I purchased this model in 2006. Still works great. Often in hot weather he works even at night.  The only drawback is the plastic plugs on the legs that pop out when moving around the rug. I solved the problem by wrapping it with tape.")</f>
        <v>I purchased this model in 2006. Still works great. Often in hot weather he works even at night.  The only drawback is the plastic plugs on the legs that pop out when moving around the rug. I solved the problem by wrapping it with tape.</v>
      </c>
    </row>
    <row r="78" spans="1:9" x14ac:dyDescent="0.3">
      <c r="A78" s="1" t="s">
        <v>43</v>
      </c>
      <c r="B78" s="1" t="s">
        <v>334</v>
      </c>
      <c r="C78" s="1" t="s">
        <v>101</v>
      </c>
      <c r="D78" s="1" t="s">
        <v>335</v>
      </c>
      <c r="E78" s="1" t="s">
        <v>336</v>
      </c>
      <c r="F78" s="1" t="s">
        <v>337</v>
      </c>
      <c r="G78" s="1" t="s">
        <v>28</v>
      </c>
      <c r="H78" s="1" t="s">
        <v>29</v>
      </c>
      <c r="I78" s="1" t="str">
        <f ca="1">IFERROR(__xludf.DUMMYFUNCTION("GOOGLETRANSLATE(F78, ""auto"", ""en"")
"),"A big plus is the ability to either install the fan on a table (on a stand) or attach it to the edge with a clothespin. It runs very quietly and does not get hot even after a full day of intense use at higher speeds. It's not very convenient that the swit"&amp;"ch is on the back, but it can be survivable. The main thing is that it works!")</f>
        <v>A big plus is the ability to either install the fan on a table (on a stand) or attach it to the edge with a clothespin. It runs very quietly and does not get hot even after a full day of intense use at higher speeds. It's not very convenient that the switch is on the back, but it can be survivable. The main thing is that it works!</v>
      </c>
    </row>
    <row r="79" spans="1:9" x14ac:dyDescent="0.3">
      <c r="A79" s="1" t="s">
        <v>61</v>
      </c>
      <c r="B79" s="1" t="s">
        <v>73</v>
      </c>
      <c r="C79" s="1" t="s">
        <v>85</v>
      </c>
      <c r="D79" s="1" t="s">
        <v>305</v>
      </c>
      <c r="E79" s="1" t="s">
        <v>338</v>
      </c>
      <c r="F79" s="1" t="s">
        <v>339</v>
      </c>
      <c r="G79" s="1" t="s">
        <v>49</v>
      </c>
      <c r="H79" s="1" t="s">
        <v>16</v>
      </c>
      <c r="I79" s="1" t="str">
        <f ca="1">IFERROR(__xludf.DUMMYFUNCTION("GOOGLETRANSLATE(F79, ""auto"", ""en"")
"),"The meat grinder works well, but there is a big drawback: the liquid from the meat and fish being ground flows into the body, from where it is impossible to wash it out, and gets stuck there. And the vegetable cutter broke after 5 uses.")</f>
        <v>The meat grinder works well, but there is a big drawback: the liquid from the meat and fish being ground flows into the body, from where it is impossible to wash it out, and gets stuck there. And the vegetable cutter broke after 5 uses.</v>
      </c>
    </row>
    <row r="80" spans="1:9" x14ac:dyDescent="0.3">
      <c r="A80" s="1" t="s">
        <v>67</v>
      </c>
      <c r="B80" s="1" t="s">
        <v>340</v>
      </c>
      <c r="C80" s="1" t="s">
        <v>341</v>
      </c>
      <c r="D80" s="1" t="s">
        <v>342</v>
      </c>
      <c r="E80" s="1" t="s">
        <v>343</v>
      </c>
      <c r="F80" s="1" t="s">
        <v>344</v>
      </c>
      <c r="G80" s="1" t="s">
        <v>36</v>
      </c>
      <c r="H80" s="1" t="s">
        <v>29</v>
      </c>
      <c r="I80" s="1" t="str">
        <f ca="1">IFERROR(__xludf.DUMMYFUNCTION("GOOGLETRANSLATE(F80, ""auto"", ""en"")
"),"Sewing quality ")</f>
        <v xml:space="preserve">Sewing quality </v>
      </c>
    </row>
    <row r="81" spans="1:9" x14ac:dyDescent="0.3">
      <c r="A81" s="1" t="s">
        <v>37</v>
      </c>
      <c r="B81" s="1" t="s">
        <v>38</v>
      </c>
      <c r="C81" s="1" t="s">
        <v>163</v>
      </c>
      <c r="D81" s="1" t="s">
        <v>345</v>
      </c>
      <c r="E81" s="1" t="s">
        <v>346</v>
      </c>
      <c r="F81" s="1" t="s">
        <v>347</v>
      </c>
      <c r="G81" s="1" t="s">
        <v>15</v>
      </c>
      <c r="H81" s="1" t="s">
        <v>16</v>
      </c>
      <c r="I81" s="1" t="str">
        <f ca="1">IFERROR(__xludf.DUMMYFUNCTION("GOOGLETRANSLATE(F81, ""auto"", ""en"")
"),"Not a bad device in principle. But very slow. I had to change it.  Although maybe it was a firmware issue...")</f>
        <v>Not a bad device in principle. But very slow. I had to change it.  Although maybe it was a firmware issue...</v>
      </c>
    </row>
    <row r="82" spans="1:9" x14ac:dyDescent="0.3">
      <c r="A82" s="1" t="s">
        <v>17</v>
      </c>
      <c r="B82" s="1" t="s">
        <v>18</v>
      </c>
      <c r="C82" s="1" t="s">
        <v>159</v>
      </c>
      <c r="D82" s="1" t="s">
        <v>348</v>
      </c>
      <c r="E82" s="1" t="s">
        <v>349</v>
      </c>
      <c r="F82" s="1" t="s">
        <v>350</v>
      </c>
      <c r="G82" s="1" t="s">
        <v>28</v>
      </c>
      <c r="H82" s="1" t="s">
        <v>29</v>
      </c>
      <c r="I82" s="1" t="str">
        <f ca="1">IFERROR(__xludf.DUMMYFUNCTION("GOOGLETRANSLATE(F82, ""auto"", ""en"")
"),"The washing machine is not bad: narrow, compact, designed for those who have problems with installation space. It washes perfectly, spins wonderfully at 800 rpm, the clothes are almost dry, I tried it at 400 rpm - they also wrung out well, no water drips,"&amp;" rinses perfectly, there is no powder and no smell. It’s a pity, of course, that there is no timer, you don’t know how long it takes to wash, but I can say (what I have already tried) that in the program Blankets are washed in 1 hour 40 minutes, Cotton (i"&amp;"n quick wash mode) 1 hour 40 minutes, Synthetics in quick wash mode 1 hour 20 minutes, Wool - 0.50 minutes, Sports - 0.30 minutes. There are no indicators of the washing stages, although you can determine by the sound what it is currently doing. At the en"&amp;"d of the wash, the machine beeps; it is simply disabled by default, you just need to turn it on. I didn’t notice any special odors of powder coming from the cracks of the lid. I liked the touch controls instead of buttons. For the lack of a timer and indi"&amp;"cators of washing stages, I give this washing machine a rating of 4.")</f>
        <v>The washing machine is not bad: narrow, compact, designed for those who have problems with installation space. It washes perfectly, spins wonderfully at 800 rpm, the clothes are almost dry, I tried it at 400 rpm - they also wrung out well, no water drips, rinses perfectly, there is no powder and no smell. It’s a pity, of course, that there is no timer, you don’t know how long it takes to wash, but I can say (what I have already tried) that in the program Blankets are washed in 1 hour 40 minutes, Cotton (in quick wash mode) 1 hour 40 minutes, Synthetics in quick wash mode 1 hour 20 minutes, Wool - 0.50 minutes, Sports - 0.30 minutes. There are no indicators of the washing stages, although you can determine by the sound what it is currently doing. At the end of the wash, the machine beeps; it is simply disabled by default, you just need to turn it on. I didn’t notice any special odors of powder coming from the cracks of the lid. I liked the touch controls instead of buttons. For the lack of a timer and indicators of washing stages, I give this washing machine a rating of 4.</v>
      </c>
    </row>
    <row r="83" spans="1:9" x14ac:dyDescent="0.3">
      <c r="A83" s="1" t="s">
        <v>78</v>
      </c>
      <c r="B83" s="1" t="s">
        <v>79</v>
      </c>
      <c r="C83" s="1" t="s">
        <v>351</v>
      </c>
      <c r="D83" s="1" t="s">
        <v>352</v>
      </c>
      <c r="E83" s="1" t="s">
        <v>353</v>
      </c>
      <c r="F83" s="1" t="s">
        <v>354</v>
      </c>
      <c r="G83" s="1" t="s">
        <v>49</v>
      </c>
      <c r="H83" s="1" t="s">
        <v>16</v>
      </c>
      <c r="I83" s="1" t="str">
        <f ca="1">IFERROR(__xludf.DUMMYFUNCTION("GOOGLETRANSLATE(F83, ""auto"", ""en"")
"),"Bought it in the summer. When you use the grill function, it smells like plastic (but over time the smell almost disappears). The grill itself is covered with a metal grate, through which fat splashes, burns on the grill and stinks. Quite recently, the ti"&amp;"me itself began to go astray and the power of the microwaves decreased (warning advice - I know how to regulate the power) - 100g of water heats up from 22 to 100 degrees in 9 minutes!!!    Question for the experts - can I return the money for the microwa"&amp;"ve oven or exchange it for another product? There is an additional service program.")</f>
        <v>Bought it in the summer. When you use the grill function, it smells like plastic (but over time the smell almost disappears). The grill itself is covered with a metal grate, through which fat splashes, burns on the grill and stinks. Quite recently, the time itself began to go astray and the power of the microwaves decreased (warning advice - I know how to regulate the power) - 100g of water heats up from 22 to 100 degrees in 9 minutes!!!    Question for the experts - can I return the money for the microwave oven or exchange it for another product? There is an additional service program.</v>
      </c>
    </row>
    <row r="84" spans="1:9" x14ac:dyDescent="0.3">
      <c r="A84" s="1" t="s">
        <v>37</v>
      </c>
      <c r="B84" s="1" t="s">
        <v>355</v>
      </c>
      <c r="C84" s="1" t="s">
        <v>356</v>
      </c>
      <c r="D84" s="1" t="s">
        <v>232</v>
      </c>
      <c r="E84" s="1" t="s">
        <v>357</v>
      </c>
      <c r="F84" s="1" t="s">
        <v>358</v>
      </c>
      <c r="G84" s="1" t="s">
        <v>36</v>
      </c>
      <c r="H84" s="1" t="s">
        <v>29</v>
      </c>
      <c r="I84" s="1" t="str">
        <f ca="1">IFERROR(__xludf.DUMMYFUNCTION("GOOGLETRANSLATE(F84, ""auto"", ""en"")
"),"it's finally out!!!!!!!!!!!!!!!!")</f>
        <v>it's finally out!!!!!!!!!!!!!!!!</v>
      </c>
    </row>
    <row r="85" spans="1:9" x14ac:dyDescent="0.3">
      <c r="A85" s="1" t="s">
        <v>67</v>
      </c>
      <c r="B85" s="1" t="s">
        <v>68</v>
      </c>
      <c r="C85" s="1" t="s">
        <v>85</v>
      </c>
      <c r="D85" s="1" t="s">
        <v>232</v>
      </c>
      <c r="E85" s="1" t="s">
        <v>359</v>
      </c>
      <c r="F85" s="1" t="s">
        <v>360</v>
      </c>
      <c r="G85" s="1" t="s">
        <v>36</v>
      </c>
      <c r="H85" s="1" t="s">
        <v>29</v>
      </c>
      <c r="I85" s="1" t="str">
        <f ca="1">IFERROR(__xludf.DUMMYFUNCTION("GOOGLETRANSLATE(F85, ""auto"", ""en"")
"),"*****")</f>
        <v>*****</v>
      </c>
    </row>
    <row r="86" spans="1:9" x14ac:dyDescent="0.3">
      <c r="A86" s="1" t="s">
        <v>361</v>
      </c>
      <c r="B86" s="1" t="s">
        <v>362</v>
      </c>
      <c r="C86" s="1" t="s">
        <v>246</v>
      </c>
      <c r="D86" s="1" t="s">
        <v>81</v>
      </c>
      <c r="E86" s="1" t="s">
        <v>363</v>
      </c>
      <c r="F86" s="1" t="s">
        <v>364</v>
      </c>
      <c r="G86" s="1" t="s">
        <v>49</v>
      </c>
      <c r="H86" s="1" t="s">
        <v>16</v>
      </c>
      <c r="I86" s="1" t="str">
        <f ca="1">IFERROR(__xludf.DUMMYFUNCTION("GOOGLETRANSLATE(F86, ""auto"", ""en"")
"),"I don't recommend it to anyone. cuts thickly, heavy sliding.")</f>
        <v>I don't recommend it to anyone. cuts thickly, heavy sliding.</v>
      </c>
    </row>
    <row r="87" spans="1:9" x14ac:dyDescent="0.3">
      <c r="A87" s="1" t="s">
        <v>30</v>
      </c>
      <c r="B87" s="1" t="s">
        <v>31</v>
      </c>
      <c r="C87" s="1" t="s">
        <v>365</v>
      </c>
      <c r="D87" s="1" t="s">
        <v>366</v>
      </c>
      <c r="E87" s="1" t="s">
        <v>367</v>
      </c>
      <c r="F87" s="1" t="s">
        <v>368</v>
      </c>
      <c r="G87" s="1" t="s">
        <v>36</v>
      </c>
      <c r="H87" s="1" t="s">
        <v>29</v>
      </c>
      <c r="I87" s="1" t="str">
        <f ca="1">IFERROR(__xludf.DUMMYFUNCTION("GOOGLETRANSLATE(F87, ""auto"", ""en"")
"),"I liked it")</f>
        <v>I liked it</v>
      </c>
    </row>
    <row r="88" spans="1:9" x14ac:dyDescent="0.3">
      <c r="A88" s="1" t="s">
        <v>369</v>
      </c>
      <c r="B88" s="1" t="s">
        <v>370</v>
      </c>
      <c r="C88" s="1" t="s">
        <v>290</v>
      </c>
      <c r="D88" s="1" t="s">
        <v>64</v>
      </c>
      <c r="E88" s="1" t="s">
        <v>371</v>
      </c>
      <c r="F88" s="1" t="s">
        <v>372</v>
      </c>
      <c r="G88" s="1" t="s">
        <v>36</v>
      </c>
      <c r="H88" s="1" t="s">
        <v>29</v>
      </c>
      <c r="I88" s="1" t="str">
        <f ca="1">IFERROR(__xludf.DUMMYFUNCTION("GOOGLETRANSLATE(F88, ""auto"", ""en"")
"),"We’ve been using it for two years now, of the oven functions I use only the normal mode and sometimes convection, I haven’t even figured out the timer buttons, I somehow manage without them, the hob wipes off normally, of course, if you don’t let it get h"&amp;"ot, there’s a closer installed on the oven door on our stove, which I really like, the only thing I really don’t like about the oven is there are only three options for where to place the baking sheet, before this ball, the burning was old and in that sto"&amp;"ve there were hinged guides, like a lattice, that is, put the baking sheet wherever you want, but there are only three options, at first I really didn’t like it, now I’ve gotten used to it)) in general, a normal stove))")</f>
        <v>We’ve been using it for two years now, of the oven functions I use only the normal mode and sometimes convection, I haven’t even figured out the timer buttons, I somehow manage without them, the hob wipes off normally, of course, if you don’t let it get hot, there’s a closer installed on the oven door on our stove, which I really like, the only thing I really don’t like about the oven is there are only three options for where to place the baking sheet, before this ball, the burning was old and in that stove there were hinged guides, like a lattice, that is, put the baking sheet wherever you want, but there are only three options, at first I really didn’t like it, now I’ve gotten used to it)) in general, a normal stove))</v>
      </c>
    </row>
    <row r="89" spans="1:9" x14ac:dyDescent="0.3">
      <c r="A89" s="1" t="s">
        <v>373</v>
      </c>
      <c r="B89" s="1" t="s">
        <v>374</v>
      </c>
      <c r="C89" s="1" t="s">
        <v>159</v>
      </c>
      <c r="D89" s="1" t="s">
        <v>172</v>
      </c>
      <c r="E89" s="1" t="s">
        <v>375</v>
      </c>
      <c r="F89" s="1" t="s">
        <v>376</v>
      </c>
      <c r="G89" s="1" t="s">
        <v>28</v>
      </c>
      <c r="H89" s="1" t="s">
        <v>29</v>
      </c>
      <c r="I89" s="1" t="str">
        <f ca="1">IFERROR(__xludf.DUMMYFUNCTION("GOOGLETRANSLATE(F89, ""auto"", ""en"")
"),"Works for 2.5 years.  Plates (any size), spoons, washes perfectly.  Sometimes there are problems with large pots (under running water it is easy to wash without effort).    To make good soap, you need to set the water hardness correctly (I did this at the"&amp;" very beginning in an imperialistic way). As a result, the dishes are washed perfectly.    In general, we are satisfied. Now we want to buy the full-size version, because... Not always all the dishes fit into a narrow one (including frying pans and pots)."&amp;" Have to wash it 2 times.")</f>
        <v>Works for 2.5 years.  Plates (any size), spoons, washes perfectly.  Sometimes there are problems with large pots (under running water it is easy to wash without effort).    To make good soap, you need to set the water hardness correctly (I did this at the very beginning in an imperialistic way). As a result, the dishes are washed perfectly.    In general, we are satisfied. Now we want to buy the full-size version, because... Not always all the dishes fit into a narrow one (including frying pans and pots). Have to wash it 2 times.</v>
      </c>
    </row>
    <row r="90" spans="1:9" x14ac:dyDescent="0.3">
      <c r="A90" s="1" t="s">
        <v>30</v>
      </c>
      <c r="B90" s="1" t="s">
        <v>31</v>
      </c>
      <c r="C90" s="1" t="s">
        <v>377</v>
      </c>
      <c r="D90" s="1" t="s">
        <v>378</v>
      </c>
      <c r="E90" s="1" t="s">
        <v>379</v>
      </c>
      <c r="F90" s="1" t="s">
        <v>380</v>
      </c>
      <c r="G90" s="1" t="s">
        <v>36</v>
      </c>
      <c r="H90" s="1" t="s">
        <v>29</v>
      </c>
      <c r="I90" s="1" t="str">
        <f ca="1">IFERROR(__xludf.DUMMYFUNCTION("GOOGLETRANSLATE(F90, ""auto"", ""en"")
"),"bought 1 month ago Compaq 500B MT E5300 system unit, only positive reviews...works quietly.")</f>
        <v>bought 1 month ago Compaq 500B MT E5300 system unit, only positive reviews...works quietly.</v>
      </c>
    </row>
    <row r="91" spans="1:9" x14ac:dyDescent="0.3">
      <c r="A91" s="1" t="s">
        <v>211</v>
      </c>
      <c r="B91" s="1" t="s">
        <v>212</v>
      </c>
      <c r="C91" s="1" t="s">
        <v>381</v>
      </c>
      <c r="D91" s="1" t="s">
        <v>308</v>
      </c>
      <c r="E91" s="1" t="s">
        <v>382</v>
      </c>
      <c r="F91" s="1" t="s">
        <v>383</v>
      </c>
      <c r="G91" s="1" t="s">
        <v>28</v>
      </c>
      <c r="H91" s="1" t="s">
        <v>29</v>
      </c>
      <c r="I91" s="1" t="str">
        <f ca="1">IFERROR(__xludf.DUMMYFUNCTION("GOOGLETRANSLATE(F91, ""auto"", ""en"")
"),"I bought it a week ago and am very pleased!")</f>
        <v>I bought it a week ago and am very pleased!</v>
      </c>
    </row>
    <row r="92" spans="1:9" x14ac:dyDescent="0.3">
      <c r="A92" s="1" t="s">
        <v>211</v>
      </c>
      <c r="B92" s="1" t="s">
        <v>384</v>
      </c>
      <c r="C92" s="1" t="s">
        <v>246</v>
      </c>
      <c r="D92" s="1" t="s">
        <v>385</v>
      </c>
      <c r="E92" s="1" t="s">
        <v>386</v>
      </c>
      <c r="F92" s="1" t="s">
        <v>387</v>
      </c>
      <c r="G92" s="1" t="s">
        <v>49</v>
      </c>
      <c r="H92" s="1" t="s">
        <v>16</v>
      </c>
      <c r="I92" s="1" t="str">
        <f ca="1">IFERROR(__xludf.DUMMYFUNCTION("GOOGLETRANSLATE(F92, ""auto"", ""en"")
"),"Terrible scales! They broke on the second day!  They display error 114. During the first days it was possible to weigh yourself 3-4 times, but after a week it is simply impossible to weigh yourself!!!  I do not advise anyone to buy!!!")</f>
        <v>Terrible scales! They broke on the second day!  They display error 114. During the first days it was possible to weigh yourself 3-4 times, but after a week it is simply impossible to weigh yourself!!!  I do not advise anyone to buy!!!</v>
      </c>
    </row>
    <row r="93" spans="1:9" x14ac:dyDescent="0.3">
      <c r="A93" s="1" t="s">
        <v>61</v>
      </c>
      <c r="B93" s="1" t="s">
        <v>318</v>
      </c>
      <c r="C93" s="1" t="s">
        <v>85</v>
      </c>
      <c r="D93" s="1" t="s">
        <v>64</v>
      </c>
      <c r="E93" s="1" t="s">
        <v>388</v>
      </c>
      <c r="F93" s="1" t="s">
        <v>389</v>
      </c>
      <c r="G93" s="1" t="s">
        <v>36</v>
      </c>
      <c r="H93" s="1" t="s">
        <v>29</v>
      </c>
      <c r="I93" s="1" t="str">
        <f ca="1">IFERROR(__xludf.DUMMYFUNCTION("GOOGLETRANSLATE(F93, ""auto"", ""en"")
"),"ease of use, quiet operation, high-quality assembly")</f>
        <v>ease of use, quiet operation, high-quality assembly</v>
      </c>
    </row>
    <row r="94" spans="1:9" x14ac:dyDescent="0.3">
      <c r="A94" s="1" t="s">
        <v>120</v>
      </c>
      <c r="B94" s="1" t="s">
        <v>121</v>
      </c>
      <c r="C94" s="1" t="s">
        <v>151</v>
      </c>
      <c r="D94" s="1" t="s">
        <v>390</v>
      </c>
      <c r="E94" s="1" t="s">
        <v>391</v>
      </c>
      <c r="F94" s="1" t="s">
        <v>392</v>
      </c>
      <c r="G94" s="1" t="s">
        <v>28</v>
      </c>
      <c r="H94" s="1" t="s">
        <v>29</v>
      </c>
      <c r="I94" s="1" t="str">
        <f ca="1">IFERROR(__xludf.DUMMYFUNCTION("GOOGLETRANSLATE(F94, ""auto"", ""en"")
"),"Good device, but the headphone jack is sorely lacking")</f>
        <v>Good device, but the headphone jack is sorely lacking</v>
      </c>
    </row>
    <row r="95" spans="1:9" x14ac:dyDescent="0.3">
      <c r="A95" s="1" t="s">
        <v>30</v>
      </c>
      <c r="B95" s="1" t="s">
        <v>31</v>
      </c>
      <c r="C95" s="1" t="s">
        <v>365</v>
      </c>
      <c r="D95" s="1" t="s">
        <v>186</v>
      </c>
      <c r="E95" s="1" t="s">
        <v>393</v>
      </c>
      <c r="F95" s="1" t="s">
        <v>394</v>
      </c>
      <c r="G95" s="1" t="s">
        <v>36</v>
      </c>
      <c r="H95" s="1" t="s">
        <v>29</v>
      </c>
      <c r="I95" s="1" t="str">
        <f ca="1">IFERROR(__xludf.DUMMYFUNCTION("GOOGLETRANSLATE(F95, ""auto"", ""en"")
"),"The computer is excellent. Vasily, what kind of games is he not good at?")</f>
        <v>The computer is excellent. Vasily, what kind of games is he not good at?</v>
      </c>
    </row>
    <row r="96" spans="1:9" x14ac:dyDescent="0.3">
      <c r="A96" s="1" t="s">
        <v>61</v>
      </c>
      <c r="B96" s="1" t="s">
        <v>145</v>
      </c>
      <c r="C96" s="1" t="s">
        <v>69</v>
      </c>
      <c r="D96" s="1" t="s">
        <v>52</v>
      </c>
      <c r="E96" s="1" t="s">
        <v>395</v>
      </c>
      <c r="F96" s="1" t="s">
        <v>396</v>
      </c>
      <c r="G96" s="1" t="s">
        <v>36</v>
      </c>
      <c r="H96" s="1" t="s">
        <v>29</v>
      </c>
      <c r="I96" s="1" t="str">
        <f ca="1">IFERROR(__xludf.DUMMYFUNCTION("GOOGLETRANSLATE(F96, ""auto"", ""en"")
"),"I think the best option is “price-quality-functions”. Nothing extra. We cook everything: meat, poultry, vegetables. Very pleased. What’s especially pleasing is the lack of burning, unlike frying, and the lack of need to use oil. Meat, for example, tastes "&amp;"just as good as fried meat, only healthier. If anyone doubts whether or not to buy a double boiler at all, I advise you to take it and cook it, and not spoil your health.")</f>
        <v>I think the best option is “price-quality-functions”. Nothing extra. We cook everything: meat, poultry, vegetables. Very pleased. What’s especially pleasing is the lack of burning, unlike frying, and the lack of need to use oil. Meat, for example, tastes just as good as fried meat, only healthier. If anyone doubts whether or not to buy a double boiler at all, I advise you to take it and cook it, and not spoil your health.</v>
      </c>
    </row>
    <row r="97" spans="1:9" x14ac:dyDescent="0.3">
      <c r="A97" s="1" t="s">
        <v>30</v>
      </c>
      <c r="B97" s="1" t="s">
        <v>50</v>
      </c>
      <c r="C97" s="1" t="s">
        <v>32</v>
      </c>
      <c r="D97" s="1" t="s">
        <v>152</v>
      </c>
      <c r="E97" s="1" t="s">
        <v>397</v>
      </c>
      <c r="F97" s="1" t="s">
        <v>398</v>
      </c>
      <c r="G97" s="1" t="s">
        <v>36</v>
      </c>
      <c r="H97" s="1" t="s">
        <v>29</v>
      </c>
      <c r="I97" s="1" t="str">
        <f ca="1">IFERROR(__xludf.DUMMYFUNCTION("GOOGLETRANSLATE(F97, ""auto"", ""en"")
"),"Windows 7 flies on this laptop, everything is great. The only thing is that the screen size is not gaming, 15 inches is very small. Before this I used an Acer aspire 6935, it has 16*, it’s a little more comfortable, but 17* is best. A very good multimedia"&amp;" processor if you install the correct (7-compatible) codecs. The video card is not powerful enough to play Stalker at high quality settings.")</f>
        <v>Windows 7 flies on this laptop, everything is great. The only thing is that the screen size is not gaming, 15 inches is very small. Before this I used an Acer aspire 6935, it has 16*, it’s a little more comfortable, but 17* is best. A very good multimedia processor if you install the correct (7-compatible) codecs. The video card is not powerful enough to play Stalker at high quality settings.</v>
      </c>
    </row>
    <row r="98" spans="1:9" x14ac:dyDescent="0.3">
      <c r="A98" s="1" t="s">
        <v>17</v>
      </c>
      <c r="B98" s="1" t="s">
        <v>18</v>
      </c>
      <c r="C98" s="1" t="s">
        <v>151</v>
      </c>
      <c r="D98" s="1" t="s">
        <v>399</v>
      </c>
      <c r="E98" s="1" t="s">
        <v>400</v>
      </c>
      <c r="F98" s="1" t="s">
        <v>401</v>
      </c>
      <c r="G98" s="1" t="s">
        <v>36</v>
      </c>
      <c r="H98" s="1" t="s">
        <v>29</v>
      </c>
      <c r="I98" s="1" t="str">
        <f ca="1">IFERROR(__xludf.DUMMYFUNCTION("GOOGLETRANSLATE(F98, ""auto"", ""en"")
"),"Quote: When the spin starts, the sound resembles the sound of an airplane about to take off; when it finishes, it resembles the sound of a landing airplane stopping its engines.    The airport is right at home, there is not enough runway :b))))")</f>
        <v>Quote: When the spin starts, the sound resembles the sound of an airplane about to take off; when it finishes, it resembles the sound of a landing airplane stopping its engines.    The airport is right at home, there is not enough runway :b))))</v>
      </c>
    </row>
    <row r="99" spans="1:9" x14ac:dyDescent="0.3">
      <c r="A99" s="1" t="s">
        <v>95</v>
      </c>
      <c r="B99" s="1" t="s">
        <v>402</v>
      </c>
      <c r="C99" s="1" t="s">
        <v>403</v>
      </c>
      <c r="D99" s="1" t="s">
        <v>404</v>
      </c>
      <c r="E99" s="1" t="s">
        <v>405</v>
      </c>
      <c r="F99" s="1" t="s">
        <v>406</v>
      </c>
      <c r="G99" s="1" t="s">
        <v>36</v>
      </c>
      <c r="H99" s="1" t="s">
        <v>29</v>
      </c>
      <c r="I99" s="1" t="str">
        <f ca="1">IFERROR(__xludf.DUMMYFUNCTION("GOOGLETRANSLATE(F99, ""auto"", ""en"")
"),"I really liked the console, the 3D effects are good and the eyes are not afraid, it’s a pity that there aren’t many games yet &amp;#9733;Nintendo 3DS Aqua Blue&amp;#9733; I recommend")</f>
        <v>I really liked the console, the 3D effects are good and the eyes are not afraid, it’s a pity that there aren’t many games yet &amp;#9733;Nintendo 3DS Aqua Blue&amp;#9733; I recommend</v>
      </c>
    </row>
    <row r="100" spans="1:9" x14ac:dyDescent="0.3">
      <c r="A100" s="1" t="s">
        <v>9</v>
      </c>
      <c r="B100" s="1" t="s">
        <v>10</v>
      </c>
      <c r="C100" s="1" t="s">
        <v>407</v>
      </c>
      <c r="D100" s="1" t="s">
        <v>117</v>
      </c>
      <c r="E100" s="1" t="s">
        <v>408</v>
      </c>
      <c r="F100" s="1" t="s">
        <v>409</v>
      </c>
      <c r="G100" s="1" t="s">
        <v>36</v>
      </c>
      <c r="H100" s="1" t="s">
        <v>29</v>
      </c>
      <c r="I100" s="1" t="str">
        <f ca="1">IFERROR(__xludf.DUMMYFUNCTION("GOOGLETRANSLATE(F100, ""auto"", ""en"")
"),"Regarding the review, the ceilings are at least 3 meters!!!! nonsense! I was not too lazy to just measure from the bottom edge to the end of the first knee (there are two of them in a set, just for different ceilings, they are inserted into each other, an"&amp;"d you can add height at least a millimeter at a time) - 85 cm, this is what will be the minimum, i.e. You can't do less. so with ceilings of 2.8, I use both knees and it doesn’t hang low. The power is simply a bomb, incredibly powerful and yet quiet. Noth"&amp;"ing rattles. Very beautiful. The only two points that bothered me a little were the protective film on all elements except the glass. Personally, it was very painful for me to peel off. exactly by centimeter, I probably killed an hour holding a hairdryer "&amp;"in my hand and warming it up, so at least somehow the process was moving. And the second point is to get used to the touch button. You really can't see them. The display is visible and when you already know that the buttons are located on the sides of thi"&amp;"s display, you can use it. If you ask guests to turn it on, they will definitely not be able to do this, because... They just don’t know where to touch. When it's on, the buttons are highlighted, but when it's off, they simply don't seem to be there. This"&amp;" makes her look even more stylish. We need to get used to it.")</f>
        <v>Regarding the review, the ceilings are at least 3 meters!!!! nonsense! I was not too lazy to just measure from the bottom edge to the end of the first knee (there are two of them in a set, just for different ceilings, they are inserted into each other, and you can add height at least a millimeter at a time) - 85 cm, this is what will be the minimum, i.e. You can't do less. so with ceilings of 2.8, I use both knees and it doesn’t hang low. The power is simply a bomb, incredibly powerful and yet quiet. Nothing rattles. Very beautiful. The only two points that bothered me a little were the protective film on all elements except the glass. Personally, it was very painful for me to peel off. exactly by centimeter, I probably killed an hour holding a hairdryer in my hand and warming it up, so at least somehow the process was moving. And the second point is to get used to the touch button. You really can't see them. The display is visible and when you already know that the buttons are located on the sides of this display, you can use it. If you ask guests to turn it on, they will definitely not be able to do this, because... They just don’t know where to touch. When it's on, the buttons are highlighted, but when it's off, they simply don't seem to be there. This makes her look even more stylish. We need to get used to it.</v>
      </c>
    </row>
    <row r="101" spans="1:9" x14ac:dyDescent="0.3">
      <c r="A101" s="1" t="s">
        <v>211</v>
      </c>
      <c r="B101" s="1" t="s">
        <v>410</v>
      </c>
      <c r="C101" s="1" t="s">
        <v>122</v>
      </c>
      <c r="D101" s="1" t="s">
        <v>411</v>
      </c>
      <c r="E101" s="1" t="s">
        <v>412</v>
      </c>
      <c r="F101" s="1" t="s">
        <v>413</v>
      </c>
      <c r="G101" s="1" t="s">
        <v>36</v>
      </c>
      <c r="H101" s="1" t="s">
        <v>29</v>
      </c>
      <c r="I101" s="1" t="str">
        <f ca="1">IFERROR(__xludf.DUMMYFUNCTION("GOOGLETRANSLATE(F101, ""auto"", ""en"")
"),"No")</f>
        <v>No</v>
      </c>
    </row>
    <row r="102" spans="1:9" x14ac:dyDescent="0.3">
      <c r="A102" s="1" t="s">
        <v>120</v>
      </c>
      <c r="B102" s="1" t="s">
        <v>126</v>
      </c>
      <c r="C102" s="1" t="s">
        <v>80</v>
      </c>
      <c r="D102" s="1" t="s">
        <v>414</v>
      </c>
      <c r="E102" s="1" t="s">
        <v>415</v>
      </c>
      <c r="F102" s="1" t="s">
        <v>416</v>
      </c>
      <c r="G102" s="1" t="s">
        <v>28</v>
      </c>
      <c r="H102" s="1" t="s">
        <v>29</v>
      </c>
      <c r="I102" s="1" t="str">
        <f ca="1">IFERROR(__xludf.DUMMYFUNCTION("GOOGLETRANSLATE(F102, ""auto"", ""en"")
"),"A couple of days ago I bought this model LG PQ matrix and the functionality is almost the same as the Samsung 42 b 430, which I had before, DVD, Blu-ray shows as expected well via HDMI. USB is sewn at once.   I soldered 1 piece of IR diode to the wires fr"&amp;"om the acoustics, one mustache to the plus and the other to the minus, and connected the computer. to the amplifier and ran the svrc.wav file cyclically where they wrote to find it.   There was no need to turn up the volume on the amplifier much. LG asked"&amp;" for a password on the remote control, dialed 0000 (I advise you to remove the diode from the IR receiver on the TV immediately after asking for the password), then went to the Tool option in the service menu, selected USB and changed 0 to 2, exited the m"&amp;"enu.   Now plays photos, music and avi. I haven't tried Mkv yet. The avi quality is so-so, but you can watch it if it’s compressed from a good source. People don’t overpay for other models, since on many the only difference is that the USB is active from "&amp;"the factory for playing files, because you can do everything yourself.                                              free message board Izhevsk")</f>
        <v>A couple of days ago I bought this model LG PQ matrix and the functionality is almost the same as the Samsung 42 b 430, which I had before, DVD, Blu-ray shows as expected well via HDMI. USB is sewn at once.   I soldered 1 piece of IR diode to the wires from the acoustics, one mustache to the plus and the other to the minus, and connected the computer. to the amplifier and ran the svrc.wav file cyclically where they wrote to find it.   There was no need to turn up the volume on the amplifier much. LG asked for a password on the remote control, dialed 0000 (I advise you to remove the diode from the IR receiver on the TV immediately after asking for the password), then went to the Tool option in the service menu, selected USB and changed 0 to 2, exited the menu.   Now plays photos, music and avi. I haven't tried Mkv yet. The avi quality is so-so, but you can watch it if it’s compressed from a good source. People don’t overpay for other models, since on many the only difference is that the USB is active from the factory for playing files, because you can do everything yourself.                                              free message board Izhevsk</v>
      </c>
    </row>
    <row r="103" spans="1:9" x14ac:dyDescent="0.3">
      <c r="A103" s="1" t="s">
        <v>30</v>
      </c>
      <c r="B103" s="1" t="s">
        <v>50</v>
      </c>
      <c r="C103" s="1" t="s">
        <v>189</v>
      </c>
      <c r="D103" s="1" t="s">
        <v>417</v>
      </c>
      <c r="E103" s="1" t="s">
        <v>418</v>
      </c>
      <c r="F103" s="1" t="s">
        <v>419</v>
      </c>
      <c r="G103" s="1" t="s">
        <v>36</v>
      </c>
      <c r="H103" s="1" t="s">
        <v>29</v>
      </c>
      <c r="I103" s="1" t="str">
        <f ca="1">IFERROR(__xludf.DUMMYFUNCTION("GOOGLETRANSLATE(F103, ""auto"", ""en"")
"),"Here is the first defect - (let me remind you, I bought the laptop in December) this is a green stripe across the screen! If you poke your finger at it, it disappears. I won’t take it to the store yet (they might say it’s a “non-warranty” case (the defect"&amp;" is easily corrected), but I’ll probably take it when the certificate runs out (I took it along with the laptop for 3 years). I’ve read on various forums that this is a matrix defect. Otherwise, everything is fine, mvideo is an excellent hardware store!")</f>
        <v>Here is the first defect - (let me remind you, I bought the laptop in December) this is a green stripe across the screen! If you poke your finger at it, it disappears. I won’t take it to the store yet (they might say it’s a “non-warranty” case (the defect is easily corrected), but I’ll probably take it when the certificate runs out (I took it along with the laptop for 3 years). I’ve read on various forums that this is a matrix defect. Otherwise, everything is fine, mvideo is an excellent hardware store!</v>
      </c>
    </row>
    <row r="104" spans="1:9" x14ac:dyDescent="0.3">
      <c r="A104" s="1" t="s">
        <v>17</v>
      </c>
      <c r="B104" s="1" t="s">
        <v>18</v>
      </c>
      <c r="C104" s="1" t="s">
        <v>151</v>
      </c>
      <c r="D104" s="1" t="s">
        <v>420</v>
      </c>
      <c r="E104" s="1" t="s">
        <v>421</v>
      </c>
      <c r="F104" s="1" t="s">
        <v>422</v>
      </c>
      <c r="G104" s="1" t="s">
        <v>36</v>
      </c>
      <c r="H104" s="1" t="s">
        <v>29</v>
      </c>
      <c r="I104" s="1" t="str">
        <f ca="1">IFERROR(__xludf.DUMMYFUNCTION("GOOGLETRANSLATE(F104, ""auto"", ""en"")
"),"The drum with diamond-shaped cells is the last thing you should pay attention to when reviewing this washing machine. This feature of this series of washing machines from SAMSUNG is doubtful in terms of practical use, but rather an absolutely useless feat"&amp;"ure.   That does not prevent this washing machine from having other, already real, and, indeed, very useful qualities.  Externally the car looks very good. The plastic of the case is not as thin as some brands.   1. The depth of the machine is 55cm. The g"&amp;"olden mean, in my opinion. Not too deep to clutter up a bathroom, for example, and not too narrow to be unstable during the spin cycle. The car is really stable in all modes. Installed it in the bathroom, the floor is tiled, hard, with some unevenness. I "&amp;"adjusted the legs of the washing machine in height, leveled the machine, tightened the lock nuts and that’s it... The machine works like it’s rooted to the spot, without any additional shock absorbers. At maximum spin speed there is only a slight vibratio"&amp;"n. Not a hint of change.  2. There is not a word in the manual about weighing laundry. But in fact, in the “cotton” mode, the washing machine first spins the drum with dry laundry back and forth, does this at different speeds, then adjusts the washing tim"&amp;"e (the lower the weight of the laundry, the faster the wash) and only then starts adding water. A big plus.  3. Electronic control. There is nothing to be afraid of him. It’s very clear (in each mode you can see how long the wash will take, at what temper"&amp;"ature, how many rinses there will be, at what speed the spin will be), convenient, and it’s possible to adjust each mode (reduce the spin speed, temperature, add a rinse cycle).  4. Resistance to voltage surges. Never superfluous in our conditions.  There"&amp;" are no complaints about the quality of washing.  Disadvantages: 1. Specific low noise of the engine when washing. It’s not critical, but you can’t call the car absolutely quiet.    I didn't notice any problems with ""hesitation"" or freezing during the s"&amp;"pin cycle.   Verdict: a very decent car. I recommend purchasing.")</f>
        <v>The drum with diamond-shaped cells is the last thing you should pay attention to when reviewing this washing machine. This feature of this series of washing machines from SAMSUNG is doubtful in terms of practical use, but rather an absolutely useless feature.   That does not prevent this washing machine from having other, already real, and, indeed, very useful qualities.  Externally the car looks very good. The plastic of the case is not as thin as some brands.   1. The depth of the machine is 55cm. The golden mean, in my opinion. Not too deep to clutter up a bathroom, for example, and not too narrow to be unstable during the spin cycle. The car is really stable in all modes. Installed it in the bathroom, the floor is tiled, hard, with some unevenness. I adjusted the legs of the washing machine in height, leveled the machine, tightened the lock nuts and that’s it... The machine works like it’s rooted to the spot, without any additional shock absorbers. At maximum spin speed there is only a slight vibration. Not a hint of change.  2. There is not a word in the manual about weighing laundry. But in fact, in the “cotton” mode, the washing machine first spins the drum with dry laundry back and forth, does this at different speeds, then adjusts the washing time (the lower the weight of the laundry, the faster the wash) and only then starts adding water. A big plus.  3. Electronic control. There is nothing to be afraid of him. It’s very clear (in each mode you can see how long the wash will take, at what temperature, how many rinses there will be, at what speed the spin will be), convenient, and it’s possible to adjust each mode (reduce the spin speed, temperature, add a rinse cycle).  4. Resistance to voltage surges. Never superfluous in our conditions.  There are no complaints about the quality of washing.  Disadvantages: 1. Specific low noise of the engine when washing. It’s not critical, but you can’t call the car absolutely quiet.    I didn't notice any problems with "hesitation" or freezing during the spin cycle.   Verdict: a very decent car. I recommend purchasing.</v>
      </c>
    </row>
    <row r="105" spans="1:9" x14ac:dyDescent="0.3">
      <c r="A105" s="1" t="s">
        <v>149</v>
      </c>
      <c r="B105" s="1" t="s">
        <v>423</v>
      </c>
      <c r="C105" s="1" t="s">
        <v>424</v>
      </c>
      <c r="D105" s="1" t="s">
        <v>52</v>
      </c>
      <c r="E105" s="1" t="s">
        <v>425</v>
      </c>
      <c r="F105" s="1" t="s">
        <v>426</v>
      </c>
      <c r="G105" s="1" t="s">
        <v>36</v>
      </c>
      <c r="H105" s="1" t="s">
        <v>29</v>
      </c>
      <c r="I105" s="1" t="str">
        <f ca="1">IFERROR(__xludf.DUMMYFUNCTION("GOOGLETRANSLATE(F105, ""auto"", ""en"")
"),"Excellent vacuum cleaner. Before purchasing, I read a lot of reviews about various vacuum cleaners. Everyone spoke very well about VAX, unlike LG, Thomas, etc. Well, there were also very good reviews about the Bissell 7700-J, but when comparing prices I g"&amp;"ave preference to VAX.  Pros: + Powerful;  + Large water containers;  + Excellent washing, vacuuming, collecting water and drying;  + Successful vertical design, does not take up much space;  + Good equipment;    Of the minuses: - The cord does not wind u"&amp;"p;  - Noisy;  - Aquafilter is purchased separately, costs about 2.5 thousand;  Well, that's basically it :) A little negativity about the store... I bought a vacuum cleaner from the display case. They brought a packed box for delivery and said that the en"&amp;"tire set was there. I was very surprised when I arrived home and did not see the vacuum cleaner itself in the box (even at the store I thought that the box was too light). I had to return to the store. The vacuum cleaner was delivered and there were no pr"&amp;"oblems. I returned home and wanted to test the new vacuum cleaner in action, but the liquid supply hose did not have a connector for connecting to the nozzles. I had to go to the store again... The store gave me a new hose to replace the old one. Before t"&amp;"hat I bought a lot of things there, there were no problems with the packaging, so I took my word for it that the “box contains a complete set.”")</f>
        <v>Excellent vacuum cleaner. Before purchasing, I read a lot of reviews about various vacuum cleaners. Everyone spoke very well about VAX, unlike LG, Thomas, etc. Well, there were also very good reviews about the Bissell 7700-J, but when comparing prices I gave preference to VAX.  Pros: + Powerful;  + Large water containers;  + Excellent washing, vacuuming, collecting water and drying;  + Successful vertical design, does not take up much space;  + Good equipment;    Of the minuses: - The cord does not wind up;  - Noisy;  - Aquafilter is purchased separately, costs about 2.5 thousand;  Well, that's basically it :) A little negativity about the store... I bought a vacuum cleaner from the display case. They brought a packed box for delivery and said that the entire set was there. I was very surprised when I arrived home and did not see the vacuum cleaner itself in the box (even at the store I thought that the box was too light). I had to return to the store. The vacuum cleaner was delivered and there were no problems. I returned home and wanted to test the new vacuum cleaner in action, but the liquid supply hose did not have a connector for connecting to the nozzles. I had to go to the store again... The store gave me a new hose to replace the old one. Before that I bought a lot of things there, there were no problems with the packaging, so I took my word for it that the “box contains a complete set.”</v>
      </c>
    </row>
    <row r="106" spans="1:9" x14ac:dyDescent="0.3">
      <c r="A106" s="1" t="s">
        <v>30</v>
      </c>
      <c r="B106" s="1" t="s">
        <v>50</v>
      </c>
      <c r="C106" s="1" t="s">
        <v>189</v>
      </c>
      <c r="D106" s="1" t="s">
        <v>280</v>
      </c>
      <c r="E106" s="1" t="s">
        <v>427</v>
      </c>
      <c r="F106" s="1" t="s">
        <v>428</v>
      </c>
      <c r="G106" s="1" t="s">
        <v>36</v>
      </c>
      <c r="H106" s="1" t="s">
        <v>29</v>
      </c>
      <c r="I106" s="1" t="str">
        <f ca="1">IFERROR(__xludf.DUMMYFUNCTION("GOOGLETRANSLATE(F106, ""auto"", ""en"")
"),"Month of use - BEST of the best.  All the latest games run at maximum settings! :) There is one minus - basic Windows 7, for which not all programs are compatible, you have to poke around and search on the Internet, starting from drivers and ending with t"&amp;"he program itself. For example, regular Skype crashes, I had to install the latest version of Skype.    Beech is SUPER!")</f>
        <v>Month of use - BEST of the best.  All the latest games run at maximum settings! :) There is one minus - basic Windows 7, for which not all programs are compatible, you have to poke around and search on the Internet, starting from drivers and ending with the program itself. For example, regular Skype crashes, I had to install the latest version of Skype.    Beech is SUPER!</v>
      </c>
    </row>
    <row r="107" spans="1:9" x14ac:dyDescent="0.3">
      <c r="A107" s="1" t="s">
        <v>95</v>
      </c>
      <c r="B107" s="1" t="s">
        <v>227</v>
      </c>
      <c r="C107" s="1" t="s">
        <v>97</v>
      </c>
      <c r="D107" s="1" t="s">
        <v>171</v>
      </c>
      <c r="E107" s="1" t="s">
        <v>176</v>
      </c>
      <c r="F107" s="1" t="s">
        <v>429</v>
      </c>
      <c r="G107" s="1" t="s">
        <v>36</v>
      </c>
      <c r="H107" s="1" t="s">
        <v>29</v>
      </c>
      <c r="I107" s="1" t="str">
        <f ca="1">IFERROR(__xludf.DUMMYFUNCTION("GOOGLETRANSLATE(F107, ""auto"", ""en"")
"),"The console is great. It is worth considering the fact that you do not need to purchase additional charging cables for the gamepad and so on (hello Lego Xbox360). The main trump card of the PS3 is Blu-Ray and game exclusives. Alas, there are also disadvan"&amp;"tages; in most cases, the multiplatform does not look as good as on the Xbox360. But in cases of exclusives, the PS3 goes very far from its competitor. The PS3 is much quieter than the xbox360 and will not be replaced as a multimedia device in the apartme"&amp;"nt. And a very unpleasant minus is that the console consumes a lot of electricity.")</f>
        <v>The console is great. It is worth considering the fact that you do not need to purchase additional charging cables for the gamepad and so on (hello Lego Xbox360). The main trump card of the PS3 is Blu-Ray and game exclusives. Alas, there are also disadvantages; in most cases, the multiplatform does not look as good as on the Xbox360. But in cases of exclusives, the PS3 goes very far from its competitor. The PS3 is much quieter than the xbox360 and will not be replaced as a multimedia device in the apartment. And a very unpleasant minus is that the console consumes a lot of electricity.</v>
      </c>
    </row>
    <row r="108" spans="1:9" x14ac:dyDescent="0.3">
      <c r="A108" s="1" t="s">
        <v>211</v>
      </c>
      <c r="B108" s="1" t="s">
        <v>384</v>
      </c>
      <c r="C108" s="1" t="s">
        <v>246</v>
      </c>
      <c r="D108" s="1" t="s">
        <v>305</v>
      </c>
      <c r="E108" s="1" t="s">
        <v>430</v>
      </c>
      <c r="F108" s="1" t="s">
        <v>431</v>
      </c>
      <c r="G108" s="1" t="s">
        <v>49</v>
      </c>
      <c r="H108" s="1" t="s">
        <v>16</v>
      </c>
      <c r="I108" s="1" t="str">
        <f ca="1">IFERROR(__xludf.DUMMYFUNCTION("GOOGLETRANSLATE(F108, ""auto"", ""en"")
"),"We bought it a long time ago (a month has passed), and then shortcomings began to emerge: sometimes the entire display turns on. That is, all segments on the indicator are lit at the same time, and nothing can be done. Sometimes this goes away within a fe"&amp;"w seconds, sometimes it doesn’t go away at all: you have to remove and reinsert the batteries.    Sometimes they don't turn on. They thought there was a problem with the batteries, but this is not so - the voltage on them is 2.95 volts, which is almost id"&amp;"eally within the norm. It can be treated by removing and reinserting the batteries.    Sometimes they show absolute nonsense: random segments on the indicator light up. But this passes quickly: it is enough to get off the scales and return to them - they "&amp;"usually start working.    Well, incorrect weight, as was written in the previous review. I got off them, walked around the room for about 10 minutes, got back up - the difference can be more than 500 grams, which is unacceptable given the accuracy declare"&amp;"d by the manufacturer.    And what’s interesting is that most of the shortcomings did not surface immediately, but after some time. Let's go change it.    Summary: bad model, I don’t recommend it.")</f>
        <v>We bought it a long time ago (a month has passed), and then shortcomings began to emerge: sometimes the entire display turns on. That is, all segments on the indicator are lit at the same time, and nothing can be done. Sometimes this goes away within a few seconds, sometimes it doesn’t go away at all: you have to remove and reinsert the batteries.    Sometimes they don't turn on. They thought there was a problem with the batteries, but this is not so - the voltage on them is 2.95 volts, which is almost ideally within the norm. It can be treated by removing and reinserting the batteries.    Sometimes they show absolute nonsense: random segments on the indicator light up. But this passes quickly: it is enough to get off the scales and return to them - they usually start working.    Well, incorrect weight, as was written in the previous review. I got off them, walked around the room for about 10 minutes, got back up - the difference can be more than 500 grams, which is unacceptable given the accuracy declared by the manufacturer.    And what’s interesting is that most of the shortcomings did not surface immediately, but after some time. Let's go change it.    Summary: bad model, I don’t recommend it.</v>
      </c>
    </row>
    <row r="109" spans="1:9" x14ac:dyDescent="0.3">
      <c r="A109" s="1" t="s">
        <v>61</v>
      </c>
      <c r="B109" s="1" t="s">
        <v>180</v>
      </c>
      <c r="C109" s="1" t="s">
        <v>74</v>
      </c>
      <c r="D109" s="1" t="s">
        <v>308</v>
      </c>
      <c r="E109" s="1" t="s">
        <v>432</v>
      </c>
      <c r="F109" s="1" t="s">
        <v>433</v>
      </c>
      <c r="G109" s="1" t="s">
        <v>36</v>
      </c>
      <c r="H109" s="1" t="s">
        <v>29</v>
      </c>
      <c r="I109" s="1" t="str">
        <f ca="1">IFERROR(__xludf.DUMMYFUNCTION("GOOGLETRANSLATE(F109, ""auto"", ""en"")
"),"I really liked the Sandwich Toaster, the handles don’t get hot, we tried baking puff pastries, waffles, pancakes, omelettes, everything bakes evenly, the coating of the panels is very good, nothing burns, even the jam that leaked out of the pancakes and g"&amp;"ot stuck was easily washed off. We are very pleased with the purchase.")</f>
        <v>I really liked the Sandwich Toaster, the handles don’t get hot, we tried baking puff pastries, waffles, pancakes, omelettes, everything bakes evenly, the coating of the panels is very good, nothing burns, even the jam that leaked out of the pancakes and got stuck was easily washed off. We are very pleased with the purchase.</v>
      </c>
    </row>
    <row r="110" spans="1:9" x14ac:dyDescent="0.3">
      <c r="A110" s="1" t="s">
        <v>61</v>
      </c>
      <c r="B110" s="1" t="s">
        <v>434</v>
      </c>
      <c r="C110" s="1" t="s">
        <v>185</v>
      </c>
      <c r="D110" s="1" t="s">
        <v>435</v>
      </c>
      <c r="E110" s="1" t="s">
        <v>436</v>
      </c>
      <c r="F110" s="1" t="s">
        <v>437</v>
      </c>
      <c r="G110" s="1" t="s">
        <v>15</v>
      </c>
      <c r="H110" s="1" t="s">
        <v>16</v>
      </c>
      <c r="I110" s="1" t="str">
        <f ca="1">IFERROR(__xludf.DUMMYFUNCTION("GOOGLETRANSLATE(F110, ""auto"", ""en"")
"),"When operating, the oven emits a strong smell of overheated Chinese wires.")</f>
        <v>When operating, the oven emits a strong smell of overheated Chinese wires.</v>
      </c>
    </row>
    <row r="111" spans="1:9" x14ac:dyDescent="0.3">
      <c r="A111" s="1" t="s">
        <v>211</v>
      </c>
      <c r="B111" s="1" t="s">
        <v>212</v>
      </c>
      <c r="C111" s="1" t="s">
        <v>213</v>
      </c>
      <c r="D111" s="1" t="s">
        <v>438</v>
      </c>
      <c r="E111" s="1" t="s">
        <v>418</v>
      </c>
      <c r="F111" s="1" t="s">
        <v>439</v>
      </c>
      <c r="G111" s="1" t="s">
        <v>28</v>
      </c>
      <c r="H111" s="1" t="s">
        <v>29</v>
      </c>
      <c r="I111" s="1" t="str">
        <f ca="1">IFERROR(__xludf.DUMMYFUNCTION("GOOGLETRANSLATE(F111, ""auto"", ""en"")
"),"I've been using the Braun AS1000 PRO hair dryer for almost 3 years, 3-4 times a week. Yesterday it broke at the attachment point, the brush flies off the shaft and it’s simply impossible to style my hair! Now I’m looking for a new hair dryer.  I don’t wan"&amp;"t to buy the same one knowing its shortcomings (the teeth break, cold air doesn’t flow, and it’s not clear why they came up with a nozzle with a water container; it has no effect). But where is the guarantee that the other model will last longer?  P.S In "&amp;"my opinion, it is better to look for another model.")</f>
        <v>I've been using the Braun AS1000 PRO hair dryer for almost 3 years, 3-4 times a week. Yesterday it broke at the attachment point, the brush flies off the shaft and it’s simply impossible to style my hair! Now I’m looking for a new hair dryer.  I don’t want to buy the same one knowing its shortcomings (the teeth break, cold air doesn’t flow, and it’s not clear why they came up with a nozzle with a water container; it has no effect). But where is the guarantee that the other model will last longer?  P.S In my opinion, it is better to look for another model.</v>
      </c>
    </row>
    <row r="112" spans="1:9" x14ac:dyDescent="0.3">
      <c r="A112" s="1" t="s">
        <v>43</v>
      </c>
      <c r="B112" s="1" t="s">
        <v>334</v>
      </c>
      <c r="C112" s="1" t="s">
        <v>101</v>
      </c>
      <c r="D112" s="1" t="s">
        <v>247</v>
      </c>
      <c r="E112" s="1" t="s">
        <v>440</v>
      </c>
      <c r="F112" s="1" t="s">
        <v>441</v>
      </c>
      <c r="G112" s="1" t="s">
        <v>36</v>
      </c>
      <c r="H112" s="1" t="s">
        <v>29</v>
      </c>
      <c r="I112" s="1" t="str">
        <f ca="1">IFERROR(__xludf.DUMMYFUNCTION("GOOGLETRANSLATE(F112, ""auto"", ""en"")
"),"We bought two for home and for our parents. We worked almost constantly for a month. They work relatively quietly. No vibrations. Maybe we were lucky, but we are happy.")</f>
        <v>We bought two for home and for our parents. We worked almost constantly for a month. They work relatively quietly. No vibrations. Maybe we were lucky, but we are happy.</v>
      </c>
    </row>
    <row r="113" spans="1:9" x14ac:dyDescent="0.3">
      <c r="A113" s="1" t="s">
        <v>169</v>
      </c>
      <c r="B113" s="1" t="s">
        <v>170</v>
      </c>
      <c r="C113" s="1" t="s">
        <v>97</v>
      </c>
      <c r="D113" s="1" t="s">
        <v>442</v>
      </c>
      <c r="E113" s="1" t="s">
        <v>443</v>
      </c>
      <c r="F113" s="1" t="s">
        <v>444</v>
      </c>
      <c r="G113" s="1" t="s">
        <v>49</v>
      </c>
      <c r="H113" s="1" t="s">
        <v>16</v>
      </c>
      <c r="I113" s="1" t="str">
        <f ca="1">IFERROR(__xludf.DUMMYFUNCTION("GOOGLETRANSLATE(F113, ""auto"", ""en"")
"),"If you like good sound, I don’t recommend buying these. They don't live up to their specifications at all. They play very loudly, with high mid frequencies. Everyone else is in the red. In general, they are not suitable for me as a music lover. I don’t ha"&amp;"ve money for expensive ones, so I would choose others.")</f>
        <v>If you like good sound, I don’t recommend buying these. They don't live up to their specifications at all. They play very loudly, with high mid frequencies. Everyone else is in the red. In general, they are not suitable for me as a music lover. I don’t have money for expensive ones, so I would choose others.</v>
      </c>
    </row>
    <row r="114" spans="1:9" x14ac:dyDescent="0.3">
      <c r="A114" s="1" t="s">
        <v>149</v>
      </c>
      <c r="B114" s="1" t="s">
        <v>155</v>
      </c>
      <c r="C114" s="1" t="s">
        <v>101</v>
      </c>
      <c r="D114" s="1" t="s">
        <v>445</v>
      </c>
      <c r="E114" s="1" t="s">
        <v>446</v>
      </c>
      <c r="F114" s="1" t="s">
        <v>447</v>
      </c>
      <c r="G114" s="1" t="s">
        <v>49</v>
      </c>
      <c r="H114" s="1" t="s">
        <v>16</v>
      </c>
      <c r="I114" s="1" t="str">
        <f ca="1">IFERROR(__xludf.DUMMYFUNCTION("GOOGLETRANSLATE(F114, ""auto"", ""en"")
"),"The vacuum cleaner is disgusting, don’t buy it, rating 0, whether there is a vacuum cleaner or not")</f>
        <v>The vacuum cleaner is disgusting, don’t buy it, rating 0, whether there is a vacuum cleaner or not</v>
      </c>
    </row>
    <row r="115" spans="1:9" x14ac:dyDescent="0.3">
      <c r="A115" s="1" t="s">
        <v>120</v>
      </c>
      <c r="B115" s="1" t="s">
        <v>121</v>
      </c>
      <c r="C115" s="1" t="s">
        <v>97</v>
      </c>
      <c r="D115" s="1" t="s">
        <v>448</v>
      </c>
      <c r="E115" s="1" t="s">
        <v>449</v>
      </c>
      <c r="F115" s="1" t="s">
        <v>450</v>
      </c>
      <c r="G115" s="1" t="s">
        <v>36</v>
      </c>
      <c r="H115" s="1" t="s">
        <v>29</v>
      </c>
      <c r="I115" s="1" t="str">
        <f ca="1">IFERROR(__xludf.DUMMYFUNCTION("GOOGLETRANSLATE(F115, ""auto"", ""en"")
"),"Very pleased with the purchase. Easy to use and beautiful. Nothing extra. The radio picks up waves very well and the image quality is excellent. Worth the price. I recommend!")</f>
        <v>Very pleased with the purchase. Easy to use and beautiful. Nothing extra. The radio picks up waves very well and the image quality is excellent. Worth the price. I recommend!</v>
      </c>
    </row>
    <row r="116" spans="1:9" x14ac:dyDescent="0.3">
      <c r="A116" s="1" t="s">
        <v>451</v>
      </c>
      <c r="B116" s="1" t="s">
        <v>452</v>
      </c>
      <c r="C116" s="1" t="s">
        <v>453</v>
      </c>
      <c r="D116" s="1" t="s">
        <v>127</v>
      </c>
      <c r="E116" s="1" t="s">
        <v>454</v>
      </c>
      <c r="F116" s="1" t="s">
        <v>455</v>
      </c>
      <c r="G116" s="1" t="s">
        <v>36</v>
      </c>
      <c r="H116" s="1" t="s">
        <v>29</v>
      </c>
      <c r="I116" s="1" t="str">
        <f ca="1">IFERROR(__xludf.DUMMYFUNCTION("GOOGLETRANSLATE(F116, ""auto"", ""en"")
"),"Removes pellets well")</f>
        <v>Removes pellets well</v>
      </c>
    </row>
    <row r="117" spans="1:9" x14ac:dyDescent="0.3">
      <c r="A117" s="1" t="s">
        <v>61</v>
      </c>
      <c r="B117" s="1" t="s">
        <v>145</v>
      </c>
      <c r="C117" s="1" t="s">
        <v>146</v>
      </c>
      <c r="D117" s="1" t="s">
        <v>456</v>
      </c>
      <c r="E117" s="1" t="s">
        <v>386</v>
      </c>
      <c r="F117" s="1" t="s">
        <v>457</v>
      </c>
      <c r="G117" s="1" t="s">
        <v>36</v>
      </c>
      <c r="H117" s="1" t="s">
        <v>29</v>
      </c>
      <c r="I117" s="1" t="str">
        <f ca="1">IFERROR(__xludf.DUMMYFUNCTION("GOOGLETRANSLATE(F117, ""auto"", ""en"")
"),"This mill is simply superb. Very small, easy to clean and assemble. Chops everything from onions to meat. Sometimes I even use it as a coffee grinder, and the knives don’t get dull. This unit has been working for me for more than 5 years, I am very please"&amp;"d with the purchase, although at that time it cost 600 rubles. I recently bought it for a friend as a gift and she was also very pleased. I recommend it to everyone. It is quieter than any combine.")</f>
        <v>This mill is simply superb. Very small, easy to clean and assemble. Chops everything from onions to meat. Sometimes I even use it as a coffee grinder, and the knives don’t get dull. This unit has been working for me for more than 5 years, I am very pleased with the purchase, although at that time it cost 600 rubles. I recently bought it for a friend as a gift and she was also very pleased. I recommend it to everyone. It is quieter than any combine.</v>
      </c>
    </row>
    <row r="118" spans="1:9" x14ac:dyDescent="0.3">
      <c r="A118" s="1" t="s">
        <v>43</v>
      </c>
      <c r="B118" s="1" t="s">
        <v>458</v>
      </c>
      <c r="C118" s="1" t="s">
        <v>459</v>
      </c>
      <c r="D118" s="1" t="s">
        <v>152</v>
      </c>
      <c r="E118" s="1" t="s">
        <v>460</v>
      </c>
      <c r="F118" s="1" t="s">
        <v>461</v>
      </c>
      <c r="G118" s="1" t="s">
        <v>36</v>
      </c>
      <c r="H118" s="1" t="s">
        <v>29</v>
      </c>
      <c r="I118" s="1" t="str">
        <f ca="1">IFERROR(__xludf.DUMMYFUNCTION("GOOGLETRANSLATE(F118, ""auto"", ""en"")
"),"I have been using it for more than a year, during this period there have not been a single breakdown, it works at 5+, no complaints, I think that this model is the best among its class!!!")</f>
        <v>I have been using it for more than a year, during this period there have not been a single breakdown, it works at 5+, no complaints, I think that this model is the best among its class!!!</v>
      </c>
    </row>
    <row r="119" spans="1:9" x14ac:dyDescent="0.3">
      <c r="A119" s="1" t="s">
        <v>361</v>
      </c>
      <c r="B119" s="1" t="s">
        <v>462</v>
      </c>
      <c r="C119" s="1" t="s">
        <v>463</v>
      </c>
      <c r="D119" s="1" t="s">
        <v>295</v>
      </c>
      <c r="E119" s="1" t="s">
        <v>464</v>
      </c>
      <c r="F119" s="1" t="s">
        <v>465</v>
      </c>
      <c r="G119" s="1" t="s">
        <v>36</v>
      </c>
      <c r="H119" s="1" t="s">
        <v>29</v>
      </c>
      <c r="I119" s="1" t="str">
        <f ca="1">IFERROR(__xludf.DUMMYFUNCTION("GOOGLETRANSLATE(F119, ""auto"", ""en"")
"),"Large volume. Stylish design. Cartridge replacement indicator on the cover.")</f>
        <v>Large volume. Stylish design. Cartridge replacement indicator on the cover.</v>
      </c>
    </row>
    <row r="120" spans="1:9" x14ac:dyDescent="0.3">
      <c r="A120" s="1" t="s">
        <v>9</v>
      </c>
      <c r="B120" s="1" t="s">
        <v>10</v>
      </c>
      <c r="C120" s="1" t="s">
        <v>466</v>
      </c>
      <c r="D120" s="1" t="s">
        <v>467</v>
      </c>
      <c r="E120" s="1" t="s">
        <v>233</v>
      </c>
      <c r="F120" s="1" t="s">
        <v>468</v>
      </c>
      <c r="G120" s="1" t="s">
        <v>49</v>
      </c>
      <c r="H120" s="1" t="s">
        <v>16</v>
      </c>
      <c r="I120" s="1" t="str">
        <f ca="1">IFERROR(__xludf.DUMMYFUNCTION("GOOGLETRANSLATE(F120, ""auto"", ""en"")
"),"Bought in November, installed in early January, at Christmas it was no longer working, the engine does not pull out, there are some strange sounds, after turning off it still rumbles for a few seconds.")</f>
        <v>Bought in November, installed in early January, at Christmas it was no longer working, the engine does not pull out, there are some strange sounds, after turning off it still rumbles for a few seconds.</v>
      </c>
    </row>
    <row r="121" spans="1:9" x14ac:dyDescent="0.3">
      <c r="A121" s="1" t="s">
        <v>149</v>
      </c>
      <c r="B121" s="1" t="s">
        <v>155</v>
      </c>
      <c r="C121" s="1" t="s">
        <v>159</v>
      </c>
      <c r="D121" s="1" t="s">
        <v>86</v>
      </c>
      <c r="E121" s="1" t="s">
        <v>469</v>
      </c>
      <c r="F121" s="1" t="s">
        <v>470</v>
      </c>
      <c r="G121" s="1" t="s">
        <v>36</v>
      </c>
      <c r="H121" s="1" t="s">
        <v>29</v>
      </c>
      <c r="I121" s="1" t="str">
        <f ca="1">IFERROR(__xludf.DUMMYFUNCTION("GOOGLETRANSLATE(F121, ""auto"", ""en"")
"),"Electrolux ZTI 7650 is an excellent vacuum cleaner assembled in China with the maximum configuration of this series. A huge advantage of this type of vacuum cleaner is the ability to easily empty the container without storing debris, dust and other contam"&amp;"inants in the vacuum cleaner. The initial filtration is carried out in the form of a plastic flask. The air entering the flask, swirling in a cyclonic flow, is partially cleared of dust and further cleaned with a cylindrical HEPA filter costing 590 rubles"&amp;". The higher the cyclonic flow speed, the better the air filtration. When a cylindrical filter becomes clogged with dust, its throughput drops, therefore, the speed of the cyclonic flow drops every moment, worsening filtration, further contaminating the c"&amp;"ylindrical filter. It can be washed several times, but the original throughput cannot be restored. This results in a decrease in suction power, deterioration in cleaning efficiency, and overheating of the engine. To avoid this, you need to purchase a new "&amp;"filter.")</f>
        <v>Electrolux ZTI 7650 is an excellent vacuum cleaner assembled in China with the maximum configuration of this series. A huge advantage of this type of vacuum cleaner is the ability to easily empty the container without storing debris, dust and other contaminants in the vacuum cleaner. The initial filtration is carried out in the form of a plastic flask. The air entering the flask, swirling in a cyclonic flow, is partially cleared of dust and further cleaned with a cylindrical HEPA filter costing 590 rubles. The higher the cyclonic flow speed, the better the air filtration. When a cylindrical filter becomes clogged with dust, its throughput drops, therefore, the speed of the cyclonic flow drops every moment, worsening filtration, further contaminating the cylindrical filter. It can be washed several times, but the original throughput cannot be restored. This results in a decrease in suction power, deterioration in cleaning efficiency, and overheating of the engine. To avoid this, you need to purchase a new filter.</v>
      </c>
    </row>
    <row r="122" spans="1:9" x14ac:dyDescent="0.3">
      <c r="A122" s="1" t="s">
        <v>61</v>
      </c>
      <c r="B122" s="1" t="s">
        <v>145</v>
      </c>
      <c r="C122" s="1" t="s">
        <v>85</v>
      </c>
      <c r="D122" s="1" t="s">
        <v>471</v>
      </c>
      <c r="E122" s="1" t="s">
        <v>472</v>
      </c>
      <c r="F122" s="1" t="s">
        <v>473</v>
      </c>
      <c r="G122" s="1" t="s">
        <v>36</v>
      </c>
      <c r="H122" s="1" t="s">
        <v>29</v>
      </c>
      <c r="I122" s="1" t="str">
        <f ca="1">IFERROR(__xludf.DUMMYFUNCTION("GOOGLETRANSLATE(F122, ""auto"", ""en"")
"),"I bought this steamer a couple of months ago and use it almost every day, it’s very convenient to add water during cooking, the delayed start function is also useful, all removable parts (bowls, drip tray, etc.) are washed in the dishwasher! Great item fo"&amp;"r the home!!")</f>
        <v>I bought this steamer a couple of months ago and use it almost every day, it’s very convenient to add water during cooking, the delayed start function is also useful, all removable parts (bowls, drip tray, etc.) are washed in the dishwasher! Great item for the home!!</v>
      </c>
    </row>
    <row r="123" spans="1:9" x14ac:dyDescent="0.3">
      <c r="A123" s="1" t="s">
        <v>9</v>
      </c>
      <c r="B123" s="1" t="s">
        <v>10</v>
      </c>
      <c r="C123" s="1" t="s">
        <v>466</v>
      </c>
      <c r="D123" s="1" t="s">
        <v>474</v>
      </c>
      <c r="E123" s="1" t="s">
        <v>475</v>
      </c>
      <c r="F123" s="1" t="s">
        <v>476</v>
      </c>
      <c r="G123" s="1" t="s">
        <v>36</v>
      </c>
      <c r="H123" s="1" t="s">
        <v>29</v>
      </c>
      <c r="I123" s="1" t="str">
        <f ca="1">IFERROR(__xludf.DUMMYFUNCTION("GOOGLETRANSLATE(F123, ""auto"", ""en"")
"),"Excellent hood! Looks cool in apartment design, especially black.")</f>
        <v>Excellent hood! Looks cool in apartment design, especially black.</v>
      </c>
    </row>
    <row r="124" spans="1:9" x14ac:dyDescent="0.3">
      <c r="A124" s="1" t="s">
        <v>477</v>
      </c>
      <c r="B124" s="1" t="s">
        <v>478</v>
      </c>
      <c r="C124" s="1" t="s">
        <v>479</v>
      </c>
      <c r="D124" s="1" t="s">
        <v>480</v>
      </c>
      <c r="E124" s="1" t="s">
        <v>481</v>
      </c>
      <c r="F124" s="1" t="s">
        <v>482</v>
      </c>
      <c r="G124" s="1" t="s">
        <v>36</v>
      </c>
      <c r="H124" s="1" t="s">
        <v>29</v>
      </c>
      <c r="I124" s="1" t="str">
        <f ca="1">IFERROR(__xludf.DUMMYFUNCTION("GOOGLETRANSLATE(F124, ""auto"", ""en"")
"),"the game is just great, I recently played the campaign, and then started an online game - it’s just a bomb!!! In short, I recommend it to everyone!!! and it works on Windows 7, don’t worry, you can buy it!")</f>
        <v>the game is just great, I recently played the campaign, and then started an online game - it’s just a bomb!!! In short, I recommend it to everyone!!! and it works on Windows 7, don’t worry, you can buy it!</v>
      </c>
    </row>
    <row r="125" spans="1:9" x14ac:dyDescent="0.3">
      <c r="A125" s="1" t="s">
        <v>30</v>
      </c>
      <c r="B125" s="1" t="s">
        <v>31</v>
      </c>
      <c r="C125" s="1" t="s">
        <v>32</v>
      </c>
      <c r="D125" s="1" t="s">
        <v>483</v>
      </c>
      <c r="E125" s="1" t="s">
        <v>484</v>
      </c>
      <c r="F125" s="1" t="s">
        <v>485</v>
      </c>
      <c r="G125" s="1" t="s">
        <v>49</v>
      </c>
      <c r="H125" s="1" t="s">
        <v>16</v>
      </c>
      <c r="I125" s="1" t="str">
        <f ca="1">IFERROR(__xludf.DUMMYFUNCTION("GOOGLETRANSLATE(F125, ""auto"", ""en"")
"),"in general, often a series of laptops and Acer computers are very bad, I don’t know what’s the matter, but most computers from this manufacturer heat up and lag, if you see the Acer inscription on the computer, just pass by, don’t make the same mistake as"&amp;" I did!!!")</f>
        <v>in general, often a series of laptops and Acer computers are very bad, I don’t know what’s the matter, but most computers from this manufacturer heat up and lag, if you see the Acer inscription on the computer, just pass by, don’t make the same mistake as I did!!!</v>
      </c>
    </row>
    <row r="126" spans="1:9" x14ac:dyDescent="0.3">
      <c r="A126" s="1" t="s">
        <v>95</v>
      </c>
      <c r="B126" s="1" t="s">
        <v>486</v>
      </c>
      <c r="C126" s="1" t="s">
        <v>487</v>
      </c>
      <c r="D126" s="1" t="s">
        <v>488</v>
      </c>
      <c r="E126" s="1" t="s">
        <v>400</v>
      </c>
      <c r="F126" s="1" t="s">
        <v>489</v>
      </c>
      <c r="G126" s="1" t="s">
        <v>36</v>
      </c>
      <c r="H126" s="1" t="s">
        <v>29</v>
      </c>
      <c r="I126" s="1" t="str">
        <f ca="1">IFERROR(__xludf.DUMMYFUNCTION("GOOGLETRANSLATE(F126, ""auto"", ""en"")
"),"I have long noticed that PS3 owners, the so-called “Sonyboys,” are as aggressive as they are narrow-minded.    It has long been proven that the PS3 is much weaker than Box, how many more games need to be released before you can finally shut up your incomp"&amp;"etent fountain. Red Grandfather is not enough for you? And there will be more. Play upsell with muddy textures.    I've owned a PS3 for six months now, I've played through a lot of games and I'm becoming more and more convinced that I've stepped in - not "&amp;"by buying the Box, but by buying this breadbox.    PS3 I bought from M.Video Slim 120 GB. And I took it because it seemed like there were more exclusives on it. Well yes, more. But they are also on Box and all the games are on the computer, and the graph "&amp;"is PC, and not synonymous.  Already on Sonya this loading of textures infuriates me. Yes, and it turned out to be buggy. Sometimes it would freeze, and sometimes it would even turn off during the game.    Yes, Sonya has a free network, but I’m not a netwo"&amp;"rker so I don’t care. Face games cost the same in both places. And I have a Blu-ray movie theater - and watching it on Sony is like driving 60 km an hour in a sports car.    In short, I’m selling the bread box and taking Box Slim.")</f>
        <v>I have long noticed that PS3 owners, the so-called “Sonyboys,” are as aggressive as they are narrow-minded.    It has long been proven that the PS3 is much weaker than Box, how many more games need to be released before you can finally shut up your incompetent fountain. Red Grandfather is not enough for you? And there will be more. Play upsell with muddy textures.    I've owned a PS3 for six months now, I've played through a lot of games and I'm becoming more and more convinced that I've stepped in - not by buying the Box, but by buying this breadbox.    PS3 I bought from M.Video Slim 120 GB. And I took it because it seemed like there were more exclusives on it. Well yes, more. But they are also on Box and all the games are on the computer, and the graph is PC, and not synonymous.  Already on Sonya this loading of textures infuriates me. Yes, and it turned out to be buggy. Sometimes it would freeze, and sometimes it would even turn off during the game.    Yes, Sonya has a free network, but I’m not a networker so I don’t care. Face games cost the same in both places. And I have a Blu-ray movie theater - and watching it on Sony is like driving 60 km an hour in a sports car.    In short, I’m selling the bread box and taking Box Slim.</v>
      </c>
    </row>
    <row r="127" spans="1:9" x14ac:dyDescent="0.3">
      <c r="A127" s="1" t="s">
        <v>149</v>
      </c>
      <c r="B127" s="1" t="s">
        <v>423</v>
      </c>
      <c r="C127" s="1" t="s">
        <v>314</v>
      </c>
      <c r="D127" s="1" t="s">
        <v>490</v>
      </c>
      <c r="E127" s="1" t="s">
        <v>491</v>
      </c>
      <c r="F127" s="1" t="s">
        <v>492</v>
      </c>
      <c r="G127" s="1" t="s">
        <v>49</v>
      </c>
      <c r="H127" s="1" t="s">
        <v>16</v>
      </c>
      <c r="I127" s="1" t="str">
        <f ca="1">IFERROR(__xludf.DUMMYFUNCTION("GOOGLETRANSLATE(F127, ""auto"", ""en"")
"),"Zelmer 619.5S Wodnic is suitable only for those who are ready to change their vacuum cleaner every six months. A little over a year after purchase, our vacuum cleaner's filter broke. Before this, the wet cleaning brush broke. The water supply was periodic"&amp;"ally faulty (almost from the very beginning). Water was heavy and inconvenient. We bought it for 9000, it’s really not worth that money. I will never buy ZELMER equipment again.")</f>
        <v>Zelmer 619.5S Wodnic is suitable only for those who are ready to change their vacuum cleaner every six months. A little over a year after purchase, our vacuum cleaner's filter broke. Before this, the wet cleaning brush broke. The water supply was periodically faulty (almost from the very beginning). Water was heavy and inconvenient. We bought it for 9000, it’s really not worth that money. I will never buy ZELMER equipment again.</v>
      </c>
    </row>
    <row r="128" spans="1:9" x14ac:dyDescent="0.3">
      <c r="A128" s="1" t="s">
        <v>78</v>
      </c>
      <c r="B128" s="1" t="s">
        <v>493</v>
      </c>
      <c r="C128" s="1" t="s">
        <v>122</v>
      </c>
      <c r="D128" s="1" t="s">
        <v>232</v>
      </c>
      <c r="E128" s="1" t="s">
        <v>494</v>
      </c>
      <c r="F128" s="1" t="s">
        <v>495</v>
      </c>
      <c r="G128" s="1" t="s">
        <v>36</v>
      </c>
      <c r="H128" s="1" t="s">
        <v>29</v>
      </c>
      <c r="I128" s="1" t="str">
        <f ca="1">IFERROR(__xludf.DUMMYFUNCTION("GOOGLETRANSLATE(F128, ""auto"", ""en"")
"),"The oven is great! I bought it at the end of 2001. The other day, I couldn’t stand it - the magnetron burned out. I believe that a period of 12.5 years is more than sufficient with repeated daily use of various modes. I decided not to experiment and take "&amp;"the same, time-tested one. As they say, the best is the enemy of the good. I recommend it to everyone.")</f>
        <v>The oven is great! I bought it at the end of 2001. The other day, I couldn’t stand it - the magnetron burned out. I believe that a period of 12.5 years is more than sufficient with repeated daily use of various modes. I decided not to experiment and take the same, time-tested one. As they say, the best is the enemy of the good. I recommend it to everyone.</v>
      </c>
    </row>
    <row r="129" spans="1:9" x14ac:dyDescent="0.3">
      <c r="A129" s="1" t="s">
        <v>496</v>
      </c>
      <c r="B129" s="1" t="s">
        <v>497</v>
      </c>
      <c r="C129" s="1" t="s">
        <v>487</v>
      </c>
      <c r="D129" s="1" t="s">
        <v>172</v>
      </c>
      <c r="E129" s="1" t="s">
        <v>498</v>
      </c>
      <c r="F129" s="1" t="s">
        <v>499</v>
      </c>
      <c r="G129" s="1" t="s">
        <v>28</v>
      </c>
      <c r="H129" s="1" t="s">
        <v>29</v>
      </c>
      <c r="I129" s="1" t="str">
        <f ca="1">IFERROR(__xludf.DUMMYFUNCTION("GOOGLETRANSLATE(F129, ""auto"", ""en"")
"),"I recently installed this episode. I can say that everything is fine in Windows 7, it just eats up the RAM and CPU. If you have 2 or more GB of RAM, a good percentage - install Windows 7. Of course, XP is the most stable and everything works under it. Goo"&amp;"d windows for work. For games I recommend XP.")</f>
        <v>I recently installed this episode. I can say that everything is fine in Windows 7, it just eats up the RAM and CPU. If you have 2 or more GB of RAM, a good percentage - install Windows 7. Of course, XP is the most stable and everything works under it. Good windows for work. For games I recommend XP.</v>
      </c>
    </row>
    <row r="130" spans="1:9" x14ac:dyDescent="0.3">
      <c r="A130" s="1" t="s">
        <v>120</v>
      </c>
      <c r="B130" s="1" t="s">
        <v>196</v>
      </c>
      <c r="C130" s="1" t="s">
        <v>151</v>
      </c>
      <c r="D130" s="1" t="s">
        <v>172</v>
      </c>
      <c r="E130" s="1" t="s">
        <v>500</v>
      </c>
      <c r="F130" s="1" t="s">
        <v>501</v>
      </c>
      <c r="G130" s="1" t="s">
        <v>36</v>
      </c>
      <c r="H130" s="1" t="s">
        <v>29</v>
      </c>
      <c r="I130" s="1" t="str">
        <f ca="1">IFERROR(__xludf.DUMMYFUNCTION("GOOGLETRANSLATE(F130, ""auto"", ""en"")
"),"People, maybe someone has already figured it out? Is it possible to activate a flash drive on this TV? and does it have a built-in player?  I did everything on skis, but I still can’t find it on this one (((")</f>
        <v>People, maybe someone has already figured it out? Is it possible to activate a flash drive on this TV? and does it have a built-in player?  I did everything on skis, but I still can’t find it on this one (((</v>
      </c>
    </row>
    <row r="131" spans="1:9" x14ac:dyDescent="0.3">
      <c r="A131" s="1" t="s">
        <v>43</v>
      </c>
      <c r="B131" s="1" t="s">
        <v>502</v>
      </c>
      <c r="C131" s="1" t="s">
        <v>151</v>
      </c>
      <c r="D131" s="1" t="s">
        <v>503</v>
      </c>
      <c r="E131" s="1" t="s">
        <v>504</v>
      </c>
      <c r="F131" s="1" t="s">
        <v>505</v>
      </c>
      <c r="G131" s="1" t="s">
        <v>36</v>
      </c>
      <c r="H131" s="1" t="s">
        <v>29</v>
      </c>
      <c r="I131" s="1" t="str">
        <f ca="1">IFERROR(__xludf.DUMMYFUNCTION("GOOGLETRANSLATE(F131, ""auto"", ""en"")
"),"I took 2 of these and am very glad that I didn’t buy into the advertising features of their more expensive counterparts. It copes with its main function perfectly, it can do nothing else. It operates relatively quietly, at first speed the indoor unit is a"&amp;"lmost inaudible, the external unit is also not noisy, but when the compressor is running, a not loud hum is heard from the indoor unit, apparently the sound is transmitted along the main line.")</f>
        <v>I took 2 of these and am very glad that I didn’t buy into the advertising features of their more expensive counterparts. It copes with its main function perfectly, it can do nothing else. It operates relatively quietly, at first speed the indoor unit is almost inaudible, the external unit is also not noisy, but when the compressor is running, a not loud hum is heard from the indoor unit, apparently the sound is transmitted along the main line.</v>
      </c>
    </row>
    <row r="132" spans="1:9" x14ac:dyDescent="0.3">
      <c r="A132" s="1" t="s">
        <v>55</v>
      </c>
      <c r="B132" s="1" t="s">
        <v>56</v>
      </c>
      <c r="C132" s="1" t="s">
        <v>57</v>
      </c>
      <c r="D132" s="1" t="s">
        <v>12</v>
      </c>
      <c r="E132" s="1" t="s">
        <v>506</v>
      </c>
      <c r="F132" s="1" t="s">
        <v>507</v>
      </c>
      <c r="G132" s="1" t="s">
        <v>28</v>
      </c>
      <c r="H132" s="1" t="s">
        <v>29</v>
      </c>
      <c r="I132" s="1" t="str">
        <f ca="1">IFERROR(__xludf.DUMMYFUNCTION("GOOGLETRANSLATE(F132, ""auto"", ""en"")
"),"Stylish, quiet, automatic")</f>
        <v>Stylish, quiet, automatic</v>
      </c>
    </row>
    <row r="133" spans="1:9" x14ac:dyDescent="0.3">
      <c r="A133" s="1" t="s">
        <v>169</v>
      </c>
      <c r="B133" s="1" t="s">
        <v>170</v>
      </c>
      <c r="C133" s="1" t="s">
        <v>171</v>
      </c>
      <c r="D133" s="1" t="s">
        <v>142</v>
      </c>
      <c r="E133" s="1" t="s">
        <v>508</v>
      </c>
      <c r="F133" s="1" t="s">
        <v>509</v>
      </c>
      <c r="G133" s="1" t="s">
        <v>36</v>
      </c>
      <c r="H133" s="1" t="s">
        <v>29</v>
      </c>
      <c r="I133" s="1" t="str">
        <f ca="1">IFERROR(__xludf.DUMMYFUNCTION("GOOGLETRANSLATE(F133, ""auto"", ""en"")
"),"I want to say that Fischer Audio SIGMA headphones are a great thing. I agree with the above statements! They really completely isolate extraneous noise, the sound is excellent, very comfortable and high quality. The wire is thick and does not get tangled "&amp;"in numerous “marine” knots) the rubber pads on the headphones are also excellent. They don’t tear, don’t wrinkle, don’t turn into a rag. In general, I recommend it.")</f>
        <v>I want to say that Fischer Audio SIGMA headphones are a great thing. I agree with the above statements! They really completely isolate extraneous noise, the sound is excellent, very comfortable and high quality. The wire is thick and does not get tangled in numerous “marine” knots) the rubber pads on the headphones are also excellent. They don’t tear, don’t wrinkle, don’t turn into a rag. In general, I recommend it.</v>
      </c>
    </row>
    <row r="134" spans="1:9" x14ac:dyDescent="0.3">
      <c r="A134" s="1" t="s">
        <v>477</v>
      </c>
      <c r="B134" s="1" t="s">
        <v>478</v>
      </c>
      <c r="C134" s="1" t="s">
        <v>479</v>
      </c>
      <c r="D134" s="1" t="s">
        <v>510</v>
      </c>
      <c r="E134" s="1" t="s">
        <v>511</v>
      </c>
      <c r="F134" s="1" t="s">
        <v>512</v>
      </c>
      <c r="G134" s="1" t="s">
        <v>28</v>
      </c>
      <c r="H134" s="1" t="s">
        <v>29</v>
      </c>
      <c r="I134" s="1" t="str">
        <f ca="1">IFERROR(__xludf.DUMMYFUNCTION("GOOGLETRANSLATE(F134, ""auto"", ""en"")
"),"Mafia 2 is, first of all, a game that has been waiting for 8 years. And in general, it is not bad in terms of plot, mechanics and style of the 40s-50s. The developers took so long with it that they cut out and removed everything that was so addictive in t"&amp;"he first part. But this game is definitely worth playing, but not more than once.")</f>
        <v>Mafia 2 is, first of all, a game that has been waiting for 8 years. And in general, it is not bad in terms of plot, mechanics and style of the 40s-50s. The developers took so long with it that they cut out and removed everything that was so addictive in the first part. But this game is definitely worth playing, but not more than once.</v>
      </c>
    </row>
    <row r="135" spans="1:9" x14ac:dyDescent="0.3">
      <c r="A135" s="1" t="s">
        <v>9</v>
      </c>
      <c r="B135" s="1" t="s">
        <v>133</v>
      </c>
      <c r="C135" s="1" t="s">
        <v>151</v>
      </c>
      <c r="D135" s="1" t="s">
        <v>152</v>
      </c>
      <c r="E135" s="1" t="s">
        <v>513</v>
      </c>
      <c r="F135" s="1" t="s">
        <v>514</v>
      </c>
      <c r="G135" s="1" t="s">
        <v>36</v>
      </c>
      <c r="H135" s="1" t="s">
        <v>29</v>
      </c>
      <c r="I135" s="1" t="str">
        <f ca="1">IFERROR(__xludf.DUMMYFUNCTION("GOOGLETRANSLATE(F135, ""auto"", ""en"")
"),"Excellent device for your money. In principle, there is nothing to invent there. Bakes couldn't be better, always a consistent result. We have been using it for almost 2 years, 1-2 times a week. No problem. I recommend it!!!!")</f>
        <v>Excellent device for your money. In principle, there is nothing to invent there. Bakes couldn't be better, always a consistent result. We have been using it for almost 2 years, 1-2 times a week. No problem. I recommend it!!!!</v>
      </c>
    </row>
    <row r="136" spans="1:9" x14ac:dyDescent="0.3">
      <c r="A136" s="1" t="s">
        <v>211</v>
      </c>
      <c r="B136" s="1" t="s">
        <v>515</v>
      </c>
      <c r="C136" s="1" t="s">
        <v>213</v>
      </c>
      <c r="D136" s="1" t="s">
        <v>516</v>
      </c>
      <c r="E136" s="1" t="s">
        <v>517</v>
      </c>
      <c r="F136" s="1" t="s">
        <v>518</v>
      </c>
      <c r="G136" s="1" t="s">
        <v>36</v>
      </c>
      <c r="H136" s="1" t="s">
        <v>29</v>
      </c>
      <c r="I136" s="1" t="str">
        <f ca="1">IFERROR(__xludf.DUMMYFUNCTION("GOOGLETRANSLATE(F136, ""auto"", ""en"")
"),"Fast, painless, no ingrown hairs, durability of the epilator itself")</f>
        <v>Fast, painless, no ingrown hairs, durability of the epilator itself</v>
      </c>
    </row>
    <row r="137" spans="1:9" x14ac:dyDescent="0.3">
      <c r="A137" s="1" t="s">
        <v>519</v>
      </c>
      <c r="B137" s="1" t="s">
        <v>520</v>
      </c>
      <c r="C137" s="1" t="s">
        <v>246</v>
      </c>
      <c r="D137" s="1" t="s">
        <v>521</v>
      </c>
      <c r="E137" s="1" t="s">
        <v>225</v>
      </c>
      <c r="F137" s="1" t="s">
        <v>522</v>
      </c>
      <c r="G137" s="1" t="s">
        <v>36</v>
      </c>
      <c r="H137" s="1" t="s">
        <v>29</v>
      </c>
      <c r="I137" s="1" t="str">
        <f ca="1">IFERROR(__xludf.DUMMYFUNCTION("GOOGLETRANSLATE(F137, ""auto"", ""en"")
"),"I bought this set of pans and am now very pleased! To go with the set, I purchased a Tefal stewpan, which looks perfect for this set! Now I am a queen in the kitchen, the pleasure of cooking has increased by an order of magnitude!!!")</f>
        <v>I bought this set of pans and am now very pleased! To go with the set, I purchased a Tefal stewpan, which looks perfect for this set! Now I am a queen in the kitchen, the pleasure of cooking has increased by an order of magnitude!!!</v>
      </c>
    </row>
    <row r="138" spans="1:9" x14ac:dyDescent="0.3">
      <c r="A138" s="1" t="s">
        <v>61</v>
      </c>
      <c r="B138" s="1" t="s">
        <v>224</v>
      </c>
      <c r="C138" s="1" t="s">
        <v>85</v>
      </c>
      <c r="D138" s="1" t="s">
        <v>308</v>
      </c>
      <c r="E138" s="1" t="s">
        <v>523</v>
      </c>
      <c r="F138" s="1" t="s">
        <v>524</v>
      </c>
      <c r="G138" s="1" t="s">
        <v>36</v>
      </c>
      <c r="H138" s="1" t="s">
        <v>29</v>
      </c>
      <c r="I138" s="1" t="str">
        <f ca="1">IFERROR(__xludf.DUMMYFUNCTION("GOOGLETRANSLATE(F138, ""auto"", ""en"")
"),"Before buying a juicer, I carefully studied the reviews on the Internet and came to the conclusion that I could buy it. And it's true! The juicer is great! My mother-in-law and I bought apples and carrots and went to make juice. To say that we are drunk w"&amp;"ith this juice means to say nothing.))) Few products are required, a lot of juice is squeezed out! The cake turns out dry, which I consider a big advantage. All our pulp flew into the bag, then we simply disconnected it and threw it away - convenient! Aft"&amp;"er that, they began to experiment and literally squeezed everything out)) Both cucumber juices and beetroot juice. For those with small children, this is an irreplaceable thing; there are so many vitamins at once! I didn’t say anything about cleaning - it"&amp;"’s generally easy to clean, all the parts are removable, I wash everything under running water, and I clean the mesh with a special brush - it comes with it. Advice: don’t waste money on a good thing! She only makes us happy!")</f>
        <v>Before buying a juicer, I carefully studied the reviews on the Internet and came to the conclusion that I could buy it. And it's true! The juicer is great! My mother-in-law and I bought apples and carrots and went to make juice. To say that we are drunk with this juice means to say nothing.))) Few products are required, a lot of juice is squeezed out! The cake turns out dry, which I consider a big advantage. All our pulp flew into the bag, then we simply disconnected it and threw it away - convenient! After that, they began to experiment and literally squeezed everything out)) Both cucumber juices and beetroot juice. For those with small children, this is an irreplaceable thing; there are so many vitamins at once! I didn’t say anything about cleaning - it’s generally easy to clean, all the parts are removable, I wash everything under running water, and I clean the mesh with a special brush - it comes with it. Advice: don’t waste money on a good thing! She only makes us happy!</v>
      </c>
    </row>
    <row r="139" spans="1:9" x14ac:dyDescent="0.3">
      <c r="A139" s="1" t="s">
        <v>55</v>
      </c>
      <c r="B139" s="1" t="s">
        <v>84</v>
      </c>
      <c r="C139" s="1" t="s">
        <v>85</v>
      </c>
      <c r="D139" s="1" t="s">
        <v>525</v>
      </c>
      <c r="E139" s="1" t="s">
        <v>526</v>
      </c>
      <c r="F139" s="1" t="s">
        <v>527</v>
      </c>
      <c r="G139" s="1" t="s">
        <v>28</v>
      </c>
      <c r="H139" s="1" t="s">
        <v>29</v>
      </c>
      <c r="I139" s="1" t="str">
        <f ca="1">IFERROR(__xludf.DUMMYFUNCTION("GOOGLETRANSLATE(F139, ""auto"", ""en"")
"),"In general, we are happy with the device, in the morning there is practically no dry snot, the child refuses to fall asleep when the humidifier is turned off, the only negative is dust passes through the filter from the side and accumulates on the interna"&amp;"l devices, although we vacuum the filter every day, I don’t know what to do about it yet...")</f>
        <v>In general, we are happy with the device, in the morning there is practically no dry snot, the child refuses to fall asleep when the humidifier is turned off, the only negative is dust passes through the filter from the side and accumulates on the internal devices, although we vacuum the filter every day, I don’t know what to do about it yet...</v>
      </c>
    </row>
    <row r="140" spans="1:9" x14ac:dyDescent="0.3">
      <c r="A140" s="1" t="s">
        <v>211</v>
      </c>
      <c r="B140" s="1" t="s">
        <v>212</v>
      </c>
      <c r="C140" s="1" t="s">
        <v>213</v>
      </c>
      <c r="D140" s="1" t="s">
        <v>528</v>
      </c>
      <c r="E140" s="1" t="s">
        <v>529</v>
      </c>
      <c r="F140" s="1" t="s">
        <v>530</v>
      </c>
      <c r="G140" s="1" t="s">
        <v>36</v>
      </c>
      <c r="H140" s="1" t="s">
        <v>29</v>
      </c>
      <c r="I140" s="1" t="str">
        <f ca="1">IFERROR(__xludf.DUMMYFUNCTION("GOOGLETRANSLATE(F140, ""auto"", ""en"")
"),"I really like this hair dryer, I’ve been using it for 6-7 years, I just buy it every time, I recently gave mine to my mother-in-law, I thought I’d buy it, but now I can’t find it anywhere(((((((help people find this hair dryer. I really like it, my hair i"&amp;"s very thick, and there is such a convenient attachment, you don’t even need to straighten it later.")</f>
        <v>I really like this hair dryer, I’ve been using it for 6-7 years, I just buy it every time, I recently gave mine to my mother-in-law, I thought I’d buy it, but now I can’t find it anywhere(((((((help people find this hair dryer. I really like it, my hair is very thick, and there is such a convenient attachment, you don’t even need to straighten it later.</v>
      </c>
    </row>
    <row r="141" spans="1:9" x14ac:dyDescent="0.3">
      <c r="A141" s="1" t="s">
        <v>149</v>
      </c>
      <c r="B141" s="1" t="s">
        <v>423</v>
      </c>
      <c r="C141" s="1" t="s">
        <v>531</v>
      </c>
      <c r="D141" s="1" t="s">
        <v>33</v>
      </c>
      <c r="E141" s="1" t="s">
        <v>532</v>
      </c>
      <c r="F141" s="1" t="s">
        <v>533</v>
      </c>
      <c r="G141" s="1" t="s">
        <v>36</v>
      </c>
      <c r="H141" s="1" t="s">
        <v>29</v>
      </c>
      <c r="I141" s="1" t="str">
        <f ca="1">IFERROR(__xludf.DUMMYFUNCTION("GOOGLETRANSLATE(F141, ""auto"", ""en"")
"),"The vacuum cleaner is super!!! I recommend it to everyone. Regarding the reviews described earlier, I want to say that washing it after cleaning does take some time, but this is normal. It must be so dirty that the vacuum cleaner after 5 minutes. the work"&amp;" gets clogged and stops sucking. It collects water perfectly. When wet cleaning carpets, you don’t need to pour a lot of water on them.")</f>
        <v>The vacuum cleaner is super!!! I recommend it to everyone. Regarding the reviews described earlier, I want to say that washing it after cleaning does take some time, but this is normal. It must be so dirty that the vacuum cleaner after 5 minutes. the work gets clogged and stops sucking. It collects water perfectly. When wet cleaning carpets, you don’t need to pour a lot of water on them.</v>
      </c>
    </row>
    <row r="142" spans="1:9" x14ac:dyDescent="0.3">
      <c r="A142" s="1" t="s">
        <v>78</v>
      </c>
      <c r="B142" s="1" t="s">
        <v>493</v>
      </c>
      <c r="C142" s="1" t="s">
        <v>80</v>
      </c>
      <c r="D142" s="1" t="s">
        <v>64</v>
      </c>
      <c r="E142" s="1" t="s">
        <v>534</v>
      </c>
      <c r="F142" s="1" t="s">
        <v>535</v>
      </c>
      <c r="G142" s="1" t="s">
        <v>36</v>
      </c>
      <c r="H142" s="1" t="s">
        <v>29</v>
      </c>
      <c r="I142" s="1" t="str">
        <f ca="1">IFERROR(__xludf.DUMMYFUNCTION("GOOGLETRANSLATE(F142, ""auto"", ""en"")
"),"Excellent microwave, I am completely satisfied with everything! Easy to use and roomy. Perfect for our family))")</f>
        <v>Excellent microwave, I am completely satisfied with everything! Easy to use and roomy. Perfect for our family))</v>
      </c>
    </row>
    <row r="143" spans="1:9" x14ac:dyDescent="0.3">
      <c r="A143" s="1" t="s">
        <v>37</v>
      </c>
      <c r="B143" s="1" t="s">
        <v>536</v>
      </c>
      <c r="C143" s="1" t="s">
        <v>537</v>
      </c>
      <c r="D143" s="1" t="s">
        <v>52</v>
      </c>
      <c r="E143" s="1" t="s">
        <v>538</v>
      </c>
      <c r="F143" s="1" t="s">
        <v>539</v>
      </c>
      <c r="G143" s="1" t="s">
        <v>36</v>
      </c>
      <c r="H143" s="1" t="s">
        <v>29</v>
      </c>
      <c r="I143" s="1" t="str">
        <f ca="1">IFERROR(__xludf.DUMMYFUNCTION("GOOGLETRANSLATE(F143, ""auto"", ""en"")
"),"The device is excellent!!!!!! Simply super!!!!! I've been using it for six months now, it FLYS!!! The only drawback is the weak battery, but when fully loaded (movies, music, Navitel all day long) it lasts exactly 12 hours, I personally checked it myself,"&amp;" if you only use it as a phone, it will last for 3-4 days. The card is 16 Gb, everything works great, nothing slows down!!! It slows down when many programs are running, about 6 of them..... But there is a task manager for this. Good smart, I recommend it"&amp;" to everyone!!!!")</f>
        <v>The device is excellent!!!!!! Simply super!!!!! I've been using it for six months now, it FLYS!!! The only drawback is the weak battery, but when fully loaded (movies, music, Navitel all day long) it lasts exactly 12 hours, I personally checked it myself, if you only use it as a phone, it will last for 3-4 days. The card is 16 Gb, everything works great, nothing slows down!!! It slows down when many programs are running, about 6 of them..... But there is a task manager for this. Good smart, I recommend it to everyone!!!!</v>
      </c>
    </row>
    <row r="144" spans="1:9" x14ac:dyDescent="0.3">
      <c r="A144" s="1" t="s">
        <v>17</v>
      </c>
      <c r="B144" s="1" t="s">
        <v>18</v>
      </c>
      <c r="C144" s="1" t="s">
        <v>19</v>
      </c>
      <c r="D144" s="1" t="s">
        <v>326</v>
      </c>
      <c r="E144" s="1" t="s">
        <v>540</v>
      </c>
      <c r="F144" s="1" t="s">
        <v>541</v>
      </c>
      <c r="G144" s="1" t="s">
        <v>49</v>
      </c>
      <c r="H144" s="1" t="s">
        <v>16</v>
      </c>
      <c r="I144" s="1" t="str">
        <f ca="1">IFERROR(__xludf.DUMMYFUNCTION("GOOGLETRANSLATE(F144, ""auto"", ""en"")
"),"The quality of washing is a C minus, and this is when using different powders, some expensive and some not so expensive. In the “wool” and “silk” modes, I couldn’t rinse out the powder and had to turn on additional power. rinsing.  As a result, malfunctio"&amp;"ns began after 2 years of operation. Of which, for 1.5 years she worked 2-3 times a week, and for the remaining half a year every day (a child was born). The problems began with the fact that in one of the modes the program froze on the first wash cycle, "&amp;"and I had to switch to rinsing manually. Then, every other time, the start button began to turn on. And now, after 2.5 years of work, I have not washed my clothes at all and do not switch washing cycles on all modes.  I won't repair it, it's not worth it."&amp;" We bought it from our parents Bosch at the same time, the impressions are incomparable. I will buy the same one.")</f>
        <v>The quality of washing is a C minus, and this is when using different powders, some expensive and some not so expensive. In the “wool” and “silk” modes, I couldn’t rinse out the powder and had to turn on additional power. rinsing.  As a result, malfunctions began after 2 years of operation. Of which, for 1.5 years she worked 2-3 times a week, and for the remaining half a year every day (a child was born). The problems began with the fact that in one of the modes the program froze on the first wash cycle, and I had to switch to rinsing manually. Then, every other time, the start button began to turn on. And now, after 2.5 years of work, I have not washed my clothes at all and do not switch washing cycles on all modes.  I won't repair it, it's not worth it. We bought it from our parents Bosch at the same time, the impressions are incomparable. I will buy the same one.</v>
      </c>
    </row>
    <row r="145" spans="1:9" x14ac:dyDescent="0.3">
      <c r="A145" s="1" t="s">
        <v>55</v>
      </c>
      <c r="B145" s="1" t="s">
        <v>84</v>
      </c>
      <c r="C145" s="1" t="s">
        <v>85</v>
      </c>
      <c r="D145" s="1" t="s">
        <v>345</v>
      </c>
      <c r="E145" s="1" t="s">
        <v>222</v>
      </c>
      <c r="F145" s="1" t="s">
        <v>542</v>
      </c>
      <c r="G145" s="1" t="s">
        <v>36</v>
      </c>
      <c r="H145" s="1" t="s">
        <v>29</v>
      </c>
      <c r="I145" s="1" t="str">
        <f ca="1">IFERROR(__xludf.DUMMYFUNCTION("GOOGLETRANSLATE(F145, ""auto"", ""en"")
"),"Humidification occurs due to natural evaporation, the latest technologies are used, but at the same time everything is extremely simple and clear")</f>
        <v>Humidification occurs due to natural evaporation, the latest technologies are used, but at the same time everything is extremely simple and clear</v>
      </c>
    </row>
    <row r="146" spans="1:9" x14ac:dyDescent="0.3">
      <c r="A146" s="1" t="s">
        <v>9</v>
      </c>
      <c r="B146" s="1" t="s">
        <v>133</v>
      </c>
      <c r="C146" s="1" t="s">
        <v>466</v>
      </c>
      <c r="D146" s="1" t="s">
        <v>33</v>
      </c>
      <c r="E146" s="1" t="s">
        <v>543</v>
      </c>
      <c r="F146" s="1" t="s">
        <v>544</v>
      </c>
      <c r="G146" s="1" t="s">
        <v>36</v>
      </c>
      <c r="H146" s="1" t="s">
        <v>29</v>
      </c>
      <c r="I146" s="1" t="str">
        <f ca="1">IFERROR(__xludf.DUMMYFUNCTION("GOOGLETRANSLATE(F146, ""auto"", ""en"")
"),"I bought this oven exactly a year ago, when choosing, I racked my brain for a long time about what to get, I finally settled on it, for the price it’s an excellent unit, convection, cooling of the control panel, although it’s a little noisy due to the ope"&amp;"ration of the fans, but this doesn’t spoil the impression at all, the only thing that confused me about the current was that after literally the first cooking, the backlight bulb burned out, which was replaced without any problems and there were no more p"&amp;"roblems.")</f>
        <v>I bought this oven exactly a year ago, when choosing, I racked my brain for a long time about what to get, I finally settled on it, for the price it’s an excellent unit, convection, cooling of the control panel, although it’s a little noisy due to the operation of the fans, but this doesn’t spoil the impression at all, the only thing that confused me about the current was that after literally the first cooking, the backlight bulb burned out, which was replaced without any problems and there were no more problems.</v>
      </c>
    </row>
    <row r="147" spans="1:9" x14ac:dyDescent="0.3">
      <c r="A147" s="1" t="s">
        <v>89</v>
      </c>
      <c r="B147" s="1" t="s">
        <v>231</v>
      </c>
      <c r="C147" s="1" t="s">
        <v>185</v>
      </c>
      <c r="D147" s="1" t="s">
        <v>545</v>
      </c>
      <c r="E147" s="1" t="s">
        <v>546</v>
      </c>
      <c r="F147" s="1" t="s">
        <v>547</v>
      </c>
      <c r="G147" s="1" t="s">
        <v>28</v>
      </c>
      <c r="H147" s="1" t="s">
        <v>29</v>
      </c>
      <c r="I147" s="1" t="str">
        <f ca="1">IFERROR(__xludf.DUMMYFUNCTION("GOOGLETRANSLATE(F147, ""auto"", ""en"")
"),"I leave a comment after a month of using this unit... it’s strange to read bad reviews, because all the parameters are adjusted individually, for yourself... and it’s not at all difficult to do if you simply read the instructions.. So far everything is wo"&amp;"rking fine for me, and the coffee turns out delicious... of course, if you buy good grades of coffee and it’s fresh... and the cappuccino maker works great... I’m giving it a four because I can’t get used to plastic appliances))")</f>
        <v>I leave a comment after a month of using this unit... it’s strange to read bad reviews, because all the parameters are adjusted individually, for yourself... and it’s not at all difficult to do if you simply read the instructions.. So far everything is working fine for me, and the coffee turns out delicious... of course, if you buy good grades of coffee and it’s fresh... and the cappuccino maker works great... I’m giving it a four because I can’t get used to plastic appliances))</v>
      </c>
    </row>
    <row r="148" spans="1:9" x14ac:dyDescent="0.3">
      <c r="A148" s="1" t="s">
        <v>149</v>
      </c>
      <c r="B148" s="1" t="s">
        <v>423</v>
      </c>
      <c r="C148" s="1" t="s">
        <v>548</v>
      </c>
      <c r="D148" s="1" t="s">
        <v>280</v>
      </c>
      <c r="E148" s="1" t="s">
        <v>549</v>
      </c>
      <c r="F148" s="1" t="s">
        <v>550</v>
      </c>
      <c r="G148" s="1" t="s">
        <v>49</v>
      </c>
      <c r="H148" s="1" t="s">
        <v>16</v>
      </c>
      <c r="I148" s="1" t="str">
        <f ca="1">IFERROR(__xludf.DUMMYFUNCTION("GOOGLETRANSLATE(F148, ""auto"", ""en"")
"),"The vacuum cleaner worked exactly five times and began to make noise like a tractor. They decided to take it to the store; I don’t know what will happen because they threw away the box!")</f>
        <v>The vacuum cleaner worked exactly five times and began to make noise like a tractor. They decided to take it to the store; I don’t know what will happen because they threw away the box!</v>
      </c>
    </row>
    <row r="149" spans="1:9" x14ac:dyDescent="0.3">
      <c r="A149" s="1" t="s">
        <v>30</v>
      </c>
      <c r="B149" s="1" t="s">
        <v>50</v>
      </c>
      <c r="C149" s="1" t="s">
        <v>32</v>
      </c>
      <c r="D149" s="1" t="s">
        <v>551</v>
      </c>
      <c r="E149" s="1" t="s">
        <v>552</v>
      </c>
      <c r="F149" s="1" t="s">
        <v>553</v>
      </c>
      <c r="G149" s="1" t="s">
        <v>28</v>
      </c>
      <c r="H149" s="1" t="s">
        <v>29</v>
      </c>
      <c r="I149" s="1" t="str">
        <f ca="1">IFERROR(__xludf.DUMMYFUNCTION("GOOGLETRANSLATE(F149, ""auto"", ""en"")
"),"I bought this laptop two months ago.. It works great, but the display often freezes and turns off.. I don’t know what this is connected with, maybe a factory defect, has anyone had such problems guys..?")</f>
        <v>I bought this laptop two months ago.. It works great, but the display often freezes and turns off.. I don’t know what this is connected with, maybe a factory defect, has anyone had such problems guys..?</v>
      </c>
    </row>
    <row r="150" spans="1:9" x14ac:dyDescent="0.3">
      <c r="A150" s="1" t="s">
        <v>43</v>
      </c>
      <c r="B150" s="1" t="s">
        <v>502</v>
      </c>
      <c r="C150" s="1" t="s">
        <v>122</v>
      </c>
      <c r="D150" s="1" t="s">
        <v>554</v>
      </c>
      <c r="E150" s="1" t="s">
        <v>555</v>
      </c>
      <c r="F150" s="1" t="s">
        <v>556</v>
      </c>
      <c r="G150" s="1" t="s">
        <v>36</v>
      </c>
      <c r="H150" s="1" t="s">
        <v>29</v>
      </c>
      <c r="I150" s="1" t="str">
        <f ca="1">IFERROR(__xludf.DUMMYFUNCTION("GOOGLETRANSLATE(F150, ""auto"", ""en"")
"),"I bought it at the end of May, they put it on sale, it cools a room of 15 square meters well, the external and internal units work quite quietly. Overall a good Conder for the money.")</f>
        <v>I bought it at the end of May, they put it on sale, it cools a room of 15 square meters well, the external and internal units work quite quietly. Overall a good Conder for the money.</v>
      </c>
    </row>
    <row r="151" spans="1:9" x14ac:dyDescent="0.3">
      <c r="A151" s="1" t="s">
        <v>557</v>
      </c>
      <c r="B151" s="1" t="s">
        <v>558</v>
      </c>
      <c r="C151" s="1" t="s">
        <v>122</v>
      </c>
      <c r="D151" s="1" t="s">
        <v>232</v>
      </c>
      <c r="E151" s="1" t="s">
        <v>559</v>
      </c>
      <c r="F151" s="1" t="s">
        <v>560</v>
      </c>
      <c r="G151" s="1" t="s">
        <v>36</v>
      </c>
      <c r="H151" s="1" t="s">
        <v>29</v>
      </c>
      <c r="I151" s="1" t="str">
        <f ca="1">IFERROR(__xludf.DUMMYFUNCTION("GOOGLETRANSLATE(F151, ""auto"", ""en"")
"),"I took it a week ago. An excellent machine, it’s just a pity that there are no additional tubes for this model. Turned it on, set it up for 15 minutes and everything works.")</f>
        <v>I took it a week ago. An excellent machine, it’s just a pity that there are no additional tubes for this model. Turned it on, set it up for 15 minutes and everything works.</v>
      </c>
    </row>
    <row r="152" spans="1:9" x14ac:dyDescent="0.3">
      <c r="A152" s="1" t="s">
        <v>361</v>
      </c>
      <c r="B152" s="1" t="s">
        <v>362</v>
      </c>
      <c r="C152" s="1" t="s">
        <v>561</v>
      </c>
      <c r="D152" s="1" t="s">
        <v>562</v>
      </c>
      <c r="E152" s="1" t="s">
        <v>563</v>
      </c>
      <c r="F152" s="1" t="s">
        <v>564</v>
      </c>
      <c r="G152" s="1" t="s">
        <v>36</v>
      </c>
      <c r="H152" s="1" t="s">
        <v>29</v>
      </c>
      <c r="I152" s="1" t="str">
        <f ca="1">IFERROR(__xludf.DUMMYFUNCTION("GOOGLETRANSLATE(F152, ""auto"", ""en"")
"),"We've been using it for 5 years now, it's a great thing, we had 3 different attachments in the kit. Convenient, compact. We recommend!")</f>
        <v>We've been using it for 5 years now, it's a great thing, we had 3 different attachments in the kit. Convenient, compact. We recommend!</v>
      </c>
    </row>
    <row r="153" spans="1:9" x14ac:dyDescent="0.3">
      <c r="A153" s="1" t="s">
        <v>211</v>
      </c>
      <c r="B153" s="1" t="s">
        <v>212</v>
      </c>
      <c r="C153" s="1" t="s">
        <v>63</v>
      </c>
      <c r="D153" s="1" t="s">
        <v>565</v>
      </c>
      <c r="E153" s="1" t="s">
        <v>566</v>
      </c>
      <c r="F153" s="1" t="s">
        <v>567</v>
      </c>
      <c r="G153" s="1" t="s">
        <v>36</v>
      </c>
      <c r="H153" s="1" t="s">
        <v>29</v>
      </c>
      <c r="I153" s="1" t="str">
        <f ca="1">IFERROR(__xludf.DUMMYFUNCTION("GOOGLETRANSLATE(F153, ""auto"", ""en"")
"),"I use the other attachments less often. Nothing melted or fell apart. Despite the size and metal in the attachments, when assembled it is quite light and the hand does not get tired quickly.")</f>
        <v>I use the other attachments less often. Nothing melted or fell apart. Despite the size and metal in the attachments, when assembled it is quite light and the hand does not get tired quickly.</v>
      </c>
    </row>
    <row r="154" spans="1:9" x14ac:dyDescent="0.3">
      <c r="A154" s="1" t="s">
        <v>61</v>
      </c>
      <c r="B154" s="1" t="s">
        <v>318</v>
      </c>
      <c r="C154" s="1" t="s">
        <v>69</v>
      </c>
      <c r="D154" s="1" t="s">
        <v>568</v>
      </c>
      <c r="E154" s="1" t="s">
        <v>569</v>
      </c>
      <c r="F154" s="1" t="s">
        <v>570</v>
      </c>
      <c r="G154" s="1" t="s">
        <v>36</v>
      </c>
      <c r="H154" s="1" t="s">
        <v>29</v>
      </c>
      <c r="I154" s="1" t="str">
        <f ca="1">IFERROR(__xludf.DUMMYFUNCTION("GOOGLETRANSLATE(F154, ""auto"", ""en"")
"),"It worked quietly, boiled quickly, and in the 6th year of operation the water level indicator began to leak. For the money, an excellent model and long service life.")</f>
        <v>It worked quietly, boiled quickly, and in the 6th year of operation the water level indicator began to leak. For the money, an excellent model and long service life.</v>
      </c>
    </row>
    <row r="155" spans="1:9" x14ac:dyDescent="0.3">
      <c r="A155" s="1" t="s">
        <v>95</v>
      </c>
      <c r="B155" s="1" t="s">
        <v>227</v>
      </c>
      <c r="C155" s="1" t="s">
        <v>97</v>
      </c>
      <c r="D155" s="1" t="s">
        <v>152</v>
      </c>
      <c r="E155" s="1" t="s">
        <v>571</v>
      </c>
      <c r="F155" s="1" t="s">
        <v>572</v>
      </c>
      <c r="G155" s="1" t="s">
        <v>36</v>
      </c>
      <c r="H155" s="1" t="s">
        <v>29</v>
      </c>
      <c r="I155" s="1" t="str">
        <f ca="1">IFERROR(__xludf.DUMMYFUNCTION("GOOGLETRANSLATE(F155, ""auto"", ""en"")
"),"I used to cringe, thinking about the high cost of the PS 3, and decided to buy an X-Box, which burned out after half a year, then I bought a PS 3 and don’t regret anything, the exclusives coming out on the PS 3 are not only excellent games in general, but"&amp;" also one of the main reasons to buy a PS 3! If you love games or want to give a great gift to someone who loves games, buy a PlayStation 3 without a second thought!")</f>
        <v>I used to cringe, thinking about the high cost of the PS 3, and decided to buy an X-Box, which burned out after half a year, then I bought a PS 3 and don’t regret anything, the exclusives coming out on the PS 3 are not only excellent games in general, but also one of the main reasons to buy a PS 3! If you love games or want to give a great gift to someone who loves games, buy a PlayStation 3 without a second thought!</v>
      </c>
    </row>
    <row r="156" spans="1:9" x14ac:dyDescent="0.3">
      <c r="A156" s="1" t="s">
        <v>95</v>
      </c>
      <c r="B156" s="1" t="s">
        <v>573</v>
      </c>
      <c r="C156" s="1" t="s">
        <v>97</v>
      </c>
      <c r="D156" s="1" t="s">
        <v>574</v>
      </c>
      <c r="E156" s="1" t="s">
        <v>285</v>
      </c>
      <c r="F156" s="1" t="s">
        <v>575</v>
      </c>
      <c r="G156" s="1" t="s">
        <v>36</v>
      </c>
      <c r="H156" s="1" t="s">
        <v>29</v>
      </c>
      <c r="I156" s="1" t="str">
        <f ca="1">IFERROR(__xludf.DUMMYFUNCTION("GOOGLETRANSLATE(F156, ""auto"", ""en"")
"),"Super console The only bad thing is the discs are expensive")</f>
        <v>Super console The only bad thing is the discs are expensive</v>
      </c>
    </row>
    <row r="157" spans="1:9" x14ac:dyDescent="0.3">
      <c r="A157" s="1" t="s">
        <v>149</v>
      </c>
      <c r="B157" s="1" t="s">
        <v>576</v>
      </c>
      <c r="C157" s="1" t="s">
        <v>24</v>
      </c>
      <c r="D157" s="1" t="s">
        <v>102</v>
      </c>
      <c r="E157" s="1" t="s">
        <v>577</v>
      </c>
      <c r="F157" s="1" t="s">
        <v>578</v>
      </c>
      <c r="G157" s="1" t="s">
        <v>36</v>
      </c>
      <c r="H157" s="1" t="s">
        <v>29</v>
      </c>
      <c r="I157" s="1" t="str">
        <f ca="1">IFERROR(__xludf.DUMMYFUNCTION("GOOGLETRANSLATE(F157, ""auto"", ""en"")
"),"The duster was given as a gift in 2011. For a small area - 36 m2 - it is enough for us. The dust collector gets clogged within a month or a month and a half. We use replaceable Topperr EX2 bags (if you find inexpensive ones, it costs about 40 rubles per b"&amp;"ag), and before that we used a reusable fabric bag, which came with the kit (by the way, one Menalux 1002 paper bag is also included). We vacuum at half power, sometimes even less, and this is quite enough for a carpet with a small pile! Laminate, linoleu"&amp;"m - no problem. True, there are no animals in the house, so the vacuum cleaner works in milder conditions :) For a one-room apartment, the cord is quite long enough. The brush is disassembled and cleaned. Before and after the motor - easy to clean filters"&amp;" (made of foamed synthetic materials). The body is well made and the controls are practical. For more than 2 years - without breakdowns. Change/empty the dust container in a timely manner, handle the vacuum cleaner carefully, and it will reward you with a"&amp;" long service life!")</f>
        <v>The duster was given as a gift in 2011. For a small area - 36 m2 - it is enough for us. The dust collector gets clogged within a month or a month and a half. We use replaceable Topperr EX2 bags (if you find inexpensive ones, it costs about 40 rubles per bag), and before that we used a reusable fabric bag, which came with the kit (by the way, one Menalux 1002 paper bag is also included). We vacuum at half power, sometimes even less, and this is quite enough for a carpet with a small pile! Laminate, linoleum - no problem. True, there are no animals in the house, so the vacuum cleaner works in milder conditions :) For a one-room apartment, the cord is quite long enough. The brush is disassembled and cleaned. Before and after the motor - easy to clean filters (made of foamed synthetic materials). The body is well made and the controls are practical. For more than 2 years - without breakdowns. Change/empty the dust container in a timely manner, handle the vacuum cleaner carefully, and it will reward you with a long service life!</v>
      </c>
    </row>
    <row r="158" spans="1:9" x14ac:dyDescent="0.3">
      <c r="A158" s="1" t="s">
        <v>95</v>
      </c>
      <c r="B158" s="1" t="s">
        <v>96</v>
      </c>
      <c r="C158" s="1" t="s">
        <v>97</v>
      </c>
      <c r="D158" s="1" t="s">
        <v>579</v>
      </c>
      <c r="E158" s="1" t="s">
        <v>580</v>
      </c>
      <c r="F158" s="1" t="s">
        <v>581</v>
      </c>
      <c r="G158" s="1" t="s">
        <v>36</v>
      </c>
      <c r="H158" s="1" t="s">
        <v>29</v>
      </c>
      <c r="I158" s="1" t="str">
        <f ca="1">IFERROR(__xludf.DUMMYFUNCTION("GOOGLETRANSLATE(F158, ""auto"", ""en"")
"),"I bought it recently, the thing is simply irreplaceable on the train, it will also come in handy at home, the console is very good, you can even read books.")</f>
        <v>I bought it recently, the thing is simply irreplaceable on the train, it will also come in handy at home, the console is very good, you can even read books.</v>
      </c>
    </row>
    <row r="159" spans="1:9" x14ac:dyDescent="0.3">
      <c r="A159" s="1" t="s">
        <v>149</v>
      </c>
      <c r="B159" s="1" t="s">
        <v>155</v>
      </c>
      <c r="C159" s="1" t="s">
        <v>159</v>
      </c>
      <c r="D159" s="1" t="s">
        <v>582</v>
      </c>
      <c r="E159" s="1" t="s">
        <v>176</v>
      </c>
      <c r="F159" s="1" t="s">
        <v>583</v>
      </c>
      <c r="G159" s="1" t="s">
        <v>49</v>
      </c>
      <c r="H159" s="1" t="s">
        <v>16</v>
      </c>
      <c r="I159" s="1" t="str">
        <f ca="1">IFERROR(__xludf.DUMMYFUNCTION("GOOGLETRANSLATE(F159, ""auto"", ""en"")
"),"I don’t advise people to take this kind of device with a cylindrical filter and a container; after cleaning 2 rooms, the vacuum cleaner practically doesn’t work, it gets clogged instantly, as already mentioned, you always need to wash the filter, it’s ann"&amp;"oying. When I start cleaning with this device, I always remember the designers with a “kind” word. I do not recommend even looking at this vacuum cleaner for pet owners.")</f>
        <v>I don’t advise people to take this kind of device with a cylindrical filter and a container; after cleaning 2 rooms, the vacuum cleaner practically doesn’t work, it gets clogged instantly, as already mentioned, you always need to wash the filter, it’s annoying. When I start cleaning with this device, I always remember the designers with a “kind” word. I do not recommend even looking at this vacuum cleaner for pet owners.</v>
      </c>
    </row>
    <row r="160" spans="1:9" x14ac:dyDescent="0.3">
      <c r="A160" s="1" t="s">
        <v>211</v>
      </c>
      <c r="B160" s="1" t="s">
        <v>410</v>
      </c>
      <c r="C160" s="1" t="s">
        <v>213</v>
      </c>
      <c r="D160" s="1" t="s">
        <v>584</v>
      </c>
      <c r="E160" s="1" t="s">
        <v>585</v>
      </c>
      <c r="F160" s="1" t="s">
        <v>586</v>
      </c>
      <c r="G160" s="1" t="s">
        <v>36</v>
      </c>
      <c r="H160" s="1" t="s">
        <v>29</v>
      </c>
      <c r="I160" s="1" t="str">
        <f ca="1">IFERROR(__xludf.DUMMYFUNCTION("GOOGLETRANSLATE(F160, ""auto"", ""en"")
"),"Had ""Brown"" -1000. A good razor, now I bought a Brown series 3 340. The device is excellent!")</f>
        <v>Had "Brown" -1000. A good razor, now I bought a Brown series 3 340. The device is excellent!</v>
      </c>
    </row>
    <row r="161" spans="1:9" x14ac:dyDescent="0.3">
      <c r="A161" s="1" t="s">
        <v>369</v>
      </c>
      <c r="B161" s="1" t="s">
        <v>587</v>
      </c>
      <c r="C161" s="1" t="s">
        <v>588</v>
      </c>
      <c r="D161" s="1" t="s">
        <v>589</v>
      </c>
      <c r="E161" s="1" t="s">
        <v>590</v>
      </c>
      <c r="F161" s="1" t="s">
        <v>591</v>
      </c>
      <c r="G161" s="1" t="s">
        <v>36</v>
      </c>
      <c r="H161" s="1" t="s">
        <v>29</v>
      </c>
      <c r="I161" s="1" t="str">
        <f ca="1">IFERROR(__xludf.DUMMYFUNCTION("GOOGLETRANSLATE(F161, ""auto"", ""en"")
"),"It took me a long time to choose a stove with a good oven. I accidentally went to the store’s website and decided to purchase it, especially since this stove was on sale. I have been using the stove since March 7th. The stove is excellent, it works well, "&amp;"the electric ignition works the first time. The oven is absolutely fabulous, it bakes just great! The only negative is that it is very soiled.   Good quality for reasonable money.")</f>
        <v>It took me a long time to choose a stove with a good oven. I accidentally went to the store’s website and decided to purchase it, especially since this stove was on sale. I have been using the stove since March 7th. The stove is excellent, it works well, the electric ignition works the first time. The oven is absolutely fabulous, it bakes just great! The only negative is that it is very soiled.   Good quality for reasonable money.</v>
      </c>
    </row>
    <row r="162" spans="1:9" x14ac:dyDescent="0.3">
      <c r="A162" s="1" t="s">
        <v>61</v>
      </c>
      <c r="B162" s="1" t="s">
        <v>224</v>
      </c>
      <c r="C162" s="1" t="s">
        <v>63</v>
      </c>
      <c r="D162" s="1" t="s">
        <v>592</v>
      </c>
      <c r="E162" s="1" t="s">
        <v>118</v>
      </c>
      <c r="F162" s="1" t="s">
        <v>593</v>
      </c>
      <c r="G162" s="1" t="s">
        <v>36</v>
      </c>
      <c r="H162" s="1" t="s">
        <v>29</v>
      </c>
      <c r="I162" s="1" t="str">
        <f ca="1">IFERROR(__xludf.DUMMYFUNCTION("GOOGLETRANSLATE(F162, ""auto"", ""en"")
"),"It works quickly and almost silently. 3 kg of carrots in 3 minutes.  The neck fits 2 large whole carrots.  The apples just pour in - like peas.    Bosch is always the best.")</f>
        <v>It works quickly and almost silently. 3 kg of carrots in 3 minutes.  The neck fits 2 large whole carrots.  The apples just pour in - like peas.    Bosch is always the best.</v>
      </c>
    </row>
    <row r="163" spans="1:9" x14ac:dyDescent="0.3">
      <c r="A163" s="1" t="s">
        <v>120</v>
      </c>
      <c r="B163" s="1" t="s">
        <v>196</v>
      </c>
      <c r="C163" s="1" t="s">
        <v>69</v>
      </c>
      <c r="D163" s="1" t="s">
        <v>280</v>
      </c>
      <c r="E163" s="1" t="s">
        <v>594</v>
      </c>
      <c r="F163" s="1" t="s">
        <v>595</v>
      </c>
      <c r="G163" s="1" t="s">
        <v>36</v>
      </c>
      <c r="H163" s="1" t="s">
        <v>29</v>
      </c>
      <c r="I163" s="1" t="str">
        <f ca="1">IFERROR(__xludf.DUMMYFUNCTION("GOOGLETRANSLATE(F163, ""auto"", ""en"")
"),"The TV is just super!!!")</f>
        <v>The TV is just super!!!</v>
      </c>
    </row>
    <row r="164" spans="1:9" x14ac:dyDescent="0.3">
      <c r="A164" s="1" t="s">
        <v>105</v>
      </c>
      <c r="B164" s="1" t="s">
        <v>106</v>
      </c>
      <c r="C164" s="1" t="s">
        <v>107</v>
      </c>
      <c r="D164" s="1" t="s">
        <v>596</v>
      </c>
      <c r="E164" s="1" t="s">
        <v>597</v>
      </c>
      <c r="F164" s="1" t="s">
        <v>598</v>
      </c>
      <c r="G164" s="1" t="s">
        <v>36</v>
      </c>
      <c r="H164" s="1" t="s">
        <v>29</v>
      </c>
      <c r="I164" s="1" t="str">
        <f ca="1">IFERROR(__xludf.DUMMYFUNCTION("GOOGLETRANSLATE(F164, ""auto"", ""en"")
"),"1. Sound - 5!  2. Dimensions, it’s a pity that they didn’t make it smaller... 3. Formats. I understood the unstated OGG, very nice. APE is also good, it even shakes, although for one APE it gave an error, well, oh well... Video - regular avishkas and WMV "&amp;"don’t even need to be compressed - it plays with a bang.  4. metallic, pleasant 5. controls are good, and the video can be rewinded by poking at any point on the progress slider.  6. the equalizer is normal, you can set your own 7. the ears are so-so, but"&amp;" for such a price... :) 8. fast 9. radio - I caught everything myself, I didn’t even bother 10. rewinds the tracks by shaking them accordingly. side :) convenient so as not to wake up the screen!!!  11. hemorrhoid-free, and this is important!    Verdict: "&amp;"I did not expect such happiness!!! the day before I was struggling with the I-River E50 (the one that plays for 52 hours) - I couldn’t record anything on it, it’s just such a crude model... Rhythmix surpassed it in everything except the battery.    Solid "&amp;"five!")</f>
        <v>1. Sound - 5!  2. Dimensions, it’s a pity that they didn’t make it smaller... 3. Formats. I understood the unstated OGG, very nice. APE is also good, it even shakes, although for one APE it gave an error, well, oh well... Video - regular avishkas and WMV don’t even need to be compressed - it plays with a bang.  4. metallic, pleasant 5. controls are good, and the video can be rewinded by poking at any point on the progress slider.  6. the equalizer is normal, you can set your own 7. the ears are so-so, but for such a price... :) 8. fast 9. radio - I caught everything myself, I didn’t even bother 10. rewinds the tracks by shaking them accordingly. side :) convenient so as not to wake up the screen!!!  11. hemorrhoid-free, and this is important!    Verdict: I did not expect such happiness!!! the day before I was struggling with the I-River E50 (the one that plays for 52 hours) - I couldn’t record anything on it, it’s just such a crude model... Rhythmix surpassed it in everything except the battery.    Solid five!</v>
      </c>
    </row>
    <row r="165" spans="1:9" x14ac:dyDescent="0.3">
      <c r="A165" s="1" t="s">
        <v>30</v>
      </c>
      <c r="B165" s="1" t="s">
        <v>50</v>
      </c>
      <c r="C165" s="1" t="s">
        <v>32</v>
      </c>
      <c r="D165" s="1" t="s">
        <v>599</v>
      </c>
      <c r="E165" s="1" t="s">
        <v>118</v>
      </c>
      <c r="F165" s="1" t="s">
        <v>600</v>
      </c>
      <c r="G165" s="1" t="s">
        <v>36</v>
      </c>
      <c r="H165" s="1" t="s">
        <v>29</v>
      </c>
      <c r="I165" s="1" t="str">
        <f ca="1">IFERROR(__xludf.DUMMYFUNCTION("GOOGLETRANSLATE(F165, ""auto"", ""en"")
"),"An excellent laptop, quite powerful, because of the lack of bluetooth Hamlet Ashotovich is stupid to give 2 points (!), GTA 4 really runs without lags! I think this laptop is a good investment of money.")</f>
        <v>An excellent laptop, quite powerful, because of the lack of bluetooth Hamlet Ashotovich is stupid to give 2 points (!), GTA 4 really runs without lags! I think this laptop is a good investment of money.</v>
      </c>
    </row>
    <row r="166" spans="1:9" x14ac:dyDescent="0.3">
      <c r="A166" s="1" t="s">
        <v>211</v>
      </c>
      <c r="B166" s="1" t="s">
        <v>601</v>
      </c>
      <c r="C166" s="1" t="s">
        <v>602</v>
      </c>
      <c r="D166" s="1" t="s">
        <v>81</v>
      </c>
      <c r="E166" s="1" t="s">
        <v>603</v>
      </c>
      <c r="F166" s="1" t="s">
        <v>604</v>
      </c>
      <c r="G166" s="1" t="s">
        <v>36</v>
      </c>
      <c r="H166" s="1" t="s">
        <v>29</v>
      </c>
      <c r="I166" s="1" t="str">
        <f ca="1">IFERROR(__xludf.DUMMYFUNCTION("GOOGLETRANSLATE(F166, ""auto"", ""en"")
"),"Good for sensitive gums.")</f>
        <v>Good for sensitive gums.</v>
      </c>
    </row>
    <row r="167" spans="1:9" x14ac:dyDescent="0.3">
      <c r="A167" s="1" t="s">
        <v>149</v>
      </c>
      <c r="B167" s="1" t="s">
        <v>155</v>
      </c>
      <c r="C167" s="1" t="s">
        <v>159</v>
      </c>
      <c r="D167" s="1" t="s">
        <v>605</v>
      </c>
      <c r="E167" s="1" t="s">
        <v>606</v>
      </c>
      <c r="F167" s="1" t="s">
        <v>607</v>
      </c>
      <c r="G167" s="1" t="s">
        <v>28</v>
      </c>
      <c r="H167" s="1" t="s">
        <v>29</v>
      </c>
      <c r="I167" s="1" t="str">
        <f ca="1">IFERROR(__xludf.DUMMYFUNCTION("GOOGLETRANSLATE(F167, ""auto"", ""en"")
"),"At home I have a Samsung SC-6570, which I’m happy with, I wanted to take the same one to work, but the seller dissuaded me in favor of the Electrolux ZCX6460. Compared to the Samsung, this vacuum cleaner loses on several points. 1 - the SC-6570 has a powe"&amp;"r regulator on the handle and this is very convenient, after which you are simply too lazy to turn the handle on the body; 2 - the SC-6570 container is much easier to clean and wash; there are no tight latches or plastic curls into which debris gets caugh"&amp;"t and then falls out if you turn the container slightly wrong; 3 - The nozzles on the Samsung are more functional, especially the small one with long bristles (I use it to clean dust from the piano keys). True, the Samsung comes with Hepa 11 and it seems "&amp;"that it is not washable, but I haven’t figured it out. During the year of operation, it practically did not get dirty, and replacing it is not a problem. In short, if we compare, the SC-6570 wins. This vacuum cleaner is also good, but next time I won’t bu"&amp;"y it))")</f>
        <v>At home I have a Samsung SC-6570, which I’m happy with, I wanted to take the same one to work, but the seller dissuaded me in favor of the Electrolux ZCX6460. Compared to the Samsung, this vacuum cleaner loses on several points. 1 - the SC-6570 has a power regulator on the handle and this is very convenient, after which you are simply too lazy to turn the handle on the body; 2 - the SC-6570 container is much easier to clean and wash; there are no tight latches or plastic curls into which debris gets caught and then falls out if you turn the container slightly wrong; 3 - The nozzles on the Samsung are more functional, especially the small one with long bristles (I use it to clean dust from the piano keys). True, the Samsung comes with Hepa 11 and it seems that it is not washable, but I haven’t figured it out. During the year of operation, it practically did not get dirty, and replacing it is not a problem. In short, if we compare, the SC-6570 wins. This vacuum cleaner is also good, but next time I won’t buy it))</v>
      </c>
    </row>
    <row r="168" spans="1:9" x14ac:dyDescent="0.3">
      <c r="A168" s="1" t="s">
        <v>369</v>
      </c>
      <c r="B168" s="1" t="s">
        <v>587</v>
      </c>
      <c r="C168" s="1" t="s">
        <v>290</v>
      </c>
      <c r="D168" s="1" t="s">
        <v>208</v>
      </c>
      <c r="E168" s="1" t="s">
        <v>608</v>
      </c>
      <c r="F168" s="1" t="s">
        <v>609</v>
      </c>
      <c r="G168" s="1" t="s">
        <v>36</v>
      </c>
      <c r="H168" s="1" t="s">
        <v>29</v>
      </c>
      <c r="I168" s="1" t="str">
        <f ca="1">IFERROR(__xludf.DUMMYFUNCTION("GOOGLETRANSLATE(F168, ""auto"", ""en"")
"),"I missed one very important factor; it turns out that this stove requires good copper wiring (with a wire cross-section of at least 4 square meters). There was nowhere to go, I had to ditch the wall and run a separate cable for the stove. I really liked t"&amp;"he baked goods cooked in the oven, but I didn’t notice much difference in the meat dishes. Some people have had problems with the time settings (if the clock is not set, the oven does not work). So, press and release (no need to hold) 2 buttons (right arr"&amp;"ows) at the same time, and then the plus or minus buttons.")</f>
        <v>I missed one very important factor; it turns out that this stove requires good copper wiring (with a wire cross-section of at least 4 square meters). There was nowhere to go, I had to ditch the wall and run a separate cable for the stove. I really liked the baked goods cooked in the oven, but I didn’t notice much difference in the meat dishes. Some people have had problems with the time settings (if the clock is not set, the oven does not work). So, press and release (no need to hold) 2 buttons (right arrows) at the same time, and then the plus or minus buttons.</v>
      </c>
    </row>
    <row r="169" spans="1:9" x14ac:dyDescent="0.3">
      <c r="A169" s="1" t="s">
        <v>61</v>
      </c>
      <c r="B169" s="1" t="s">
        <v>224</v>
      </c>
      <c r="C169" s="1" t="s">
        <v>246</v>
      </c>
      <c r="D169" s="1" t="s">
        <v>280</v>
      </c>
      <c r="E169" s="1" t="s">
        <v>610</v>
      </c>
      <c r="F169" s="1" t="s">
        <v>611</v>
      </c>
      <c r="G169" s="1" t="s">
        <v>36</v>
      </c>
      <c r="H169" s="1" t="s">
        <v>29</v>
      </c>
      <c r="I169" s="1" t="str">
        <f ca="1">IFERROR(__xludf.DUMMYFUNCTION("GOOGLETRANSLATE(F169, ""auto"", ""en"")
"),"An excellent juicer, it works quietly, squeezes out every last drop, and the price is great. For such a price, the quality is pleasantly surprising.")</f>
        <v>An excellent juicer, it works quietly, squeezes out every last drop, and the price is great. For such a price, the quality is pleasantly surprising.</v>
      </c>
    </row>
    <row r="170" spans="1:9" x14ac:dyDescent="0.3">
      <c r="A170" s="1" t="s">
        <v>61</v>
      </c>
      <c r="B170" s="1" t="s">
        <v>318</v>
      </c>
      <c r="C170" s="1" t="s">
        <v>57</v>
      </c>
      <c r="D170" s="1" t="s">
        <v>411</v>
      </c>
      <c r="E170" s="1" t="s">
        <v>612</v>
      </c>
      <c r="F170" s="1" t="s">
        <v>613</v>
      </c>
      <c r="G170" s="1" t="s">
        <v>28</v>
      </c>
      <c r="H170" s="1" t="s">
        <v>29</v>
      </c>
      <c r="I170" s="1" t="str">
        <f ca="1">IFERROR(__xludf.DUMMYFUNCTION("GOOGLETRANSLATE(F170, ""auto"", ""en"")
"),"The kettle is quite decent for the price. I am completely satisfied with the purchase. The only negative is that there is no on/off button, you have to constantly use the socket with it. Just right for travel. Takes up little space. Boils quickly. I don’t"&amp;" understand why people write that you have to wait 10-12 minutes.")</f>
        <v>The kettle is quite decent for the price. I am completely satisfied with the purchase. The only negative is that there is no on/off button, you have to constantly use the socket with it. Just right for travel. Takes up little space. Boils quickly. I don’t understand why people write that you have to wait 10-12 minutes.</v>
      </c>
    </row>
    <row r="171" spans="1:9" x14ac:dyDescent="0.3">
      <c r="A171" s="1" t="s">
        <v>61</v>
      </c>
      <c r="B171" s="1" t="s">
        <v>318</v>
      </c>
      <c r="C171" s="1" t="s">
        <v>57</v>
      </c>
      <c r="D171" s="1" t="s">
        <v>64</v>
      </c>
      <c r="E171" s="1" t="s">
        <v>614</v>
      </c>
      <c r="F171" s="1" t="s">
        <v>615</v>
      </c>
      <c r="G171" s="1" t="s">
        <v>36</v>
      </c>
      <c r="H171" s="1" t="s">
        <v>29</v>
      </c>
      <c r="I171" s="1" t="str">
        <f ca="1">IFERROR(__xludf.DUMMYFUNCTION("GOOGLETRANSLATE(F171, ""auto"", ""en"")
"),"pros: yes, in general, there are only advantages! It boils wonderfully, it has never broken down even though it was used almost without breaks)) (I drink a lot of tea, plus guests drink tea bread, and boil water anyway), it has not lost its appearance for"&amp;" 5 years. After 5 years, the chrome on the lid cracked and later peeled off, but this did not make the kettle work or look any worse. He made me happy for more than seven long years, until the wind blew the window out and knocked the kettle off the window"&amp;". Unfortunately, he didn’t survive the fall, which made me VERY upset. Tomorrow I'm going to buy exactly the same teapot!")</f>
        <v>pros: yes, in general, there are only advantages! It boils wonderfully, it has never broken down even though it was used almost without breaks)) (I drink a lot of tea, plus guests drink tea bread, and boil water anyway), it has not lost its appearance for 5 years. After 5 years, the chrome on the lid cracked and later peeled off, but this did not make the kettle work or look any worse. He made me happy for more than seven long years, until the wind blew the window out and knocked the kettle off the window. Unfortunately, he didn’t survive the fall, which made me VERY upset. Tomorrow I'm going to buy exactly the same teapot!</v>
      </c>
    </row>
    <row r="172" spans="1:9" x14ac:dyDescent="0.3">
      <c r="A172" s="1" t="s">
        <v>211</v>
      </c>
      <c r="B172" s="1" t="s">
        <v>212</v>
      </c>
      <c r="C172" s="1" t="s">
        <v>101</v>
      </c>
      <c r="D172" s="1" t="s">
        <v>616</v>
      </c>
      <c r="E172" s="1" t="s">
        <v>617</v>
      </c>
      <c r="F172" s="1" t="s">
        <v>618</v>
      </c>
      <c r="G172" s="1" t="s">
        <v>36</v>
      </c>
      <c r="H172" s="1" t="s">
        <v>29</v>
      </c>
      <c r="I172" s="1" t="str">
        <f ca="1">IFERROR(__xludf.DUMMYFUNCTION("GOOGLETRANSLATE(F172, ""auto"", ""en"")
"),"I really like this straightener, I've been using it for a year now! I give it a solid five!")</f>
        <v>I really like this straightener, I've been using it for a year now! I give it a solid five!</v>
      </c>
    </row>
    <row r="173" spans="1:9" x14ac:dyDescent="0.3">
      <c r="A173" s="1" t="s">
        <v>17</v>
      </c>
      <c r="B173" s="1" t="s">
        <v>18</v>
      </c>
      <c r="C173" s="1" t="s">
        <v>290</v>
      </c>
      <c r="D173" s="1" t="s">
        <v>619</v>
      </c>
      <c r="E173" s="1" t="s">
        <v>594</v>
      </c>
      <c r="F173" s="1" t="s">
        <v>620</v>
      </c>
      <c r="G173" s="1" t="s">
        <v>49</v>
      </c>
      <c r="H173" s="1" t="s">
        <v>16</v>
      </c>
      <c r="I173" s="1" t="str">
        <f ca="1">IFERROR(__xludf.DUMMYFUNCTION("GOOGLETRANSLATE(F173, ""auto"", ""en"")
"),"I installed the machine a couple of days ago. In terms of functionality, quality and price, everything is 5.! BUT!    During the second wash, the program stopped and the display showed an error message f3, which means that no water is flowing into the mac"&amp;"hine. I checked everything: the hose (the standard one was not long enough, I bought a 3-meter one), the mesh, the filter, the tap - everything is ok. There is water! I understand that this is a marriage, or maybe I’m doing something wrong) in general, th"&amp;"ere is an upset feeling. Maybe someone has encountered a similar phenomenon and knows what to do?) Tell me, what is it?!!!  Thank you.")</f>
        <v>I installed the machine a couple of days ago. In terms of functionality, quality and price, everything is 5.! BUT!    During the second wash, the program stopped and the display showed an error message f3, which means that no water is flowing into the machine. I checked everything: the hose (the standard one was not long enough, I bought a 3-meter one), the mesh, the filter, the tap - everything is ok. There is water! I understand that this is a marriage, or maybe I’m doing something wrong) in general, there is an upset feeling. Maybe someone has encountered a similar phenomenon and knows what to do?) Tell me, what is it?!!!  Thank you.</v>
      </c>
    </row>
    <row r="174" spans="1:9" x14ac:dyDescent="0.3">
      <c r="A174" s="1" t="s">
        <v>67</v>
      </c>
      <c r="B174" s="1" t="s">
        <v>68</v>
      </c>
      <c r="C174" s="1" t="s">
        <v>69</v>
      </c>
      <c r="D174" s="1" t="s">
        <v>621</v>
      </c>
      <c r="E174" s="1" t="s">
        <v>622</v>
      </c>
      <c r="F174" s="1" t="s">
        <v>623</v>
      </c>
      <c r="G174" s="1" t="s">
        <v>36</v>
      </c>
      <c r="H174" s="1" t="s">
        <v>29</v>
      </c>
      <c r="I174" s="1" t="str">
        <f ca="1">IFERROR(__xludf.DUMMYFUNCTION("GOOGLETRANSLATE(F174, ""auto"", ""en"")
"),"I’ve been using it for more than 2 years, auto shut-off is the dream of absent-minded girls :), self-cleaning function, many holes in the nose (convenient for small folds)")</f>
        <v>I’ve been using it for more than 2 years, auto shut-off is the dream of absent-minded girls :), self-cleaning function, many holes in the nose (convenient for small folds)</v>
      </c>
    </row>
    <row r="175" spans="1:9" x14ac:dyDescent="0.3">
      <c r="A175" s="1" t="s">
        <v>624</v>
      </c>
      <c r="B175" s="1" t="s">
        <v>625</v>
      </c>
      <c r="C175" s="1" t="s">
        <v>479</v>
      </c>
      <c r="D175" s="1" t="s">
        <v>172</v>
      </c>
      <c r="E175" s="1" t="s">
        <v>626</v>
      </c>
      <c r="F175" s="1" t="s">
        <v>627</v>
      </c>
      <c r="G175" s="1" t="s">
        <v>28</v>
      </c>
      <c r="H175" s="1" t="s">
        <v>29</v>
      </c>
      <c r="I175" s="1" t="str">
        <f ca="1">IFERROR(__xludf.DUMMYFUNCTION("GOOGLETRANSLATE(F175, ""auto"", ""en"")
"),"Attention, before you buy the full version of the SPORT CHAMPIONS game, you need to buy a second PLAYSTATION MOVE controller, without a second controller, you can only play disco golf and ping pong.    And so, the toy is good, don’t regret it. :)")</f>
        <v>Attention, before you buy the full version of the SPORT CHAMPIONS game, you need to buy a second PLAYSTATION MOVE controller, without a second controller, you can only play disco golf and ping pong.    And so, the toy is good, don’t regret it. :)</v>
      </c>
    </row>
    <row r="176" spans="1:9" x14ac:dyDescent="0.3">
      <c r="A176" s="1" t="s">
        <v>37</v>
      </c>
      <c r="B176" s="1" t="s">
        <v>38</v>
      </c>
      <c r="C176" s="1" t="s">
        <v>39</v>
      </c>
      <c r="D176" s="1" t="s">
        <v>114</v>
      </c>
      <c r="E176" s="1" t="s">
        <v>628</v>
      </c>
      <c r="F176" s="1" t="s">
        <v>629</v>
      </c>
      <c r="G176" s="1" t="s">
        <v>28</v>
      </c>
      <c r="H176" s="1" t="s">
        <v>29</v>
      </c>
      <c r="I176" s="1" t="str">
        <f ca="1">IFERROR(__xludf.DUMMYFUNCTION("GOOGLETRANSLATE(F176, ""auto"", ""en"")
"),"So, my attitude towards this device: Before this, I had a brick-type smartphone from Nokia, although not the latest model. But there is still something to compare with, of course, considering that the w980 is still a phone, not a smartphone. The reason fo"&amp;"r the change was that the time had come, and a sophisticated smartphone was no longer needed and my soul was asking for style and originality, so my choice fell on this model. Since at the moment my criterion was not functionality, but style, a clamshell,"&amp;" and definitely keys, so I was mentally fully prepared for all the problems that are mentioned on the forums about this model, one might say I was even more than ready.  Now I have been using this model for about 5 months. Well, of course, most of the jam"&amp;"bs that are talked about on the internet prevail here too, they haven’t gone anywhere. When I bought the phone, I immediately installed a new version of the software, I immediately had to buy a new battery, since the original one didn’t last more than a d"&amp;"ay under average load, even though it was fresh judging by the production date, the replacement increased the operating mode to two days, it didn’t make it much easier, for me this is probably the most important problem that I can never come to terms with"&amp;", by the way, judging by the reviews, few people came across normal batteries with this device. As for the case, it’s quite normal, I personally don’t have a single scratch yet, but it all depends on the user, so this is not an indicator. As for standard "&amp;"programs such as ICQ, Opera, etc. then they are installed without problems, while working you can easily minimize and open several applications, everything works great, it never hangs or reboots, well, maybe in rare cases when you completely load it, but "&amp;"this happened to me twice in all the time. As for the OS, it’s standard like all old SEs, I never really liked it, and it’s understandable whether it’s Nokia or SE, so it took a while to get used to, but it was hard, there’s a lot of stupidity, a lot of u"&amp;"nnecessary stuff, a lot of unsystematized stuff, a lot of it is repeated in general, I’d say it’s a complete mess, the player is also so-so, but like the camera, there’s no remote control on the headphones either, in general it’s complete nonsense, but re"&amp;"ad about that in other places.  In general, if you want style and individuality, then perhaps this is what you need, but if you need convenience and functionality, then this is definitely not what you need!  Personally, I got what I wanted, and I’m satisf"&amp;"ied with almost everything.")</f>
        <v>So, my attitude towards this device: Before this, I had a brick-type smartphone from Nokia, although not the latest model. But there is still something to compare with, of course, considering that the w980 is still a phone, not a smartphone. The reason for the change was that the time had come, and a sophisticated smartphone was no longer needed and my soul was asking for style and originality, so my choice fell on this model. Since at the moment my criterion was not functionality, but style, a clamshell, and definitely keys, so I was mentally fully prepared for all the problems that are mentioned on the forums about this model, one might say I was even more than ready.  Now I have been using this model for about 5 months. Well, of course, most of the jambs that are talked about on the internet prevail here too, they haven’t gone anywhere. When I bought the phone, I immediately installed a new version of the software, I immediately had to buy a new battery, since the original one didn’t last more than a day under average load, even though it was fresh judging by the production date, the replacement increased the operating mode to two days, it didn’t make it much easier, for me this is probably the most important problem that I can never come to terms with, by the way, judging by the reviews, few people came across normal batteries with this device. As for the case, it’s quite normal, I personally don’t have a single scratch yet, but it all depends on the user, so this is not an indicator. As for standard programs such as ICQ, Opera, etc. then they are installed without problems, while working you can easily minimize and open several applications, everything works great, it never hangs or reboots, well, maybe in rare cases when you completely load it, but this happened to me twice in all the time. As for the OS, it’s standard like all old SEs, I never really liked it, and it’s understandable whether it’s Nokia or SE, so it took a while to get used to, but it was hard, there’s a lot of stupidity, a lot of unnecessary stuff, a lot of unsystematized stuff, a lot of it is repeated in general, I’d say it’s a complete mess, the player is also so-so, but like the camera, there’s no remote control on the headphones either, in general it’s complete nonsense, but read about that in other places.  In general, if you want style and individuality, then perhaps this is what you need, but if you need convenience and functionality, then this is definitely not what you need!  Personally, I got what I wanted, and I’m satisfied with almost everything.</v>
      </c>
    </row>
    <row r="177" spans="1:9" x14ac:dyDescent="0.3">
      <c r="A177" s="1" t="s">
        <v>17</v>
      </c>
      <c r="B177" s="1" t="s">
        <v>325</v>
      </c>
      <c r="C177" s="1" t="s">
        <v>326</v>
      </c>
      <c r="D177" s="1" t="s">
        <v>630</v>
      </c>
      <c r="E177" s="1" t="s">
        <v>631</v>
      </c>
      <c r="F177" s="1" t="s">
        <v>632</v>
      </c>
      <c r="G177" s="1" t="s">
        <v>36</v>
      </c>
      <c r="H177" s="1" t="s">
        <v>29</v>
      </c>
      <c r="I177" s="1" t="str">
        <f ca="1">IFERROR(__xludf.DUMMYFUNCTION("GOOGLETRANSLATE(F177, ""auto"", ""en"")
"),"excellent machine!!!!!!washes!!!!")</f>
        <v>excellent machine!!!!!!washes!!!!</v>
      </c>
    </row>
    <row r="178" spans="1:9" x14ac:dyDescent="0.3">
      <c r="A178" s="1" t="s">
        <v>30</v>
      </c>
      <c r="B178" s="1" t="s">
        <v>50</v>
      </c>
      <c r="C178" s="1" t="s">
        <v>32</v>
      </c>
      <c r="D178" s="1" t="s">
        <v>633</v>
      </c>
      <c r="E178" s="1" t="s">
        <v>634</v>
      </c>
      <c r="F178" s="1" t="s">
        <v>635</v>
      </c>
      <c r="G178" s="1" t="s">
        <v>28</v>
      </c>
      <c r="H178" s="1" t="s">
        <v>29</v>
      </c>
      <c r="I178" s="1" t="str">
        <f ca="1">IFERROR(__xludf.DUMMYFUNCTION("GOOGLETRANSLATE(F178, ""auto"", ""en"")
"),"The laptop is good for both work and play; in terms of price/quality ratio, in my opinion, it’s the best machine.")</f>
        <v>The laptop is good for both work and play; in terms of price/quality ratio, in my opinion, it’s the best machine.</v>
      </c>
    </row>
    <row r="179" spans="1:9" x14ac:dyDescent="0.3">
      <c r="A179" s="1" t="s">
        <v>111</v>
      </c>
      <c r="B179" s="1" t="s">
        <v>636</v>
      </c>
      <c r="C179" s="1" t="s">
        <v>637</v>
      </c>
      <c r="D179" s="1" t="s">
        <v>52</v>
      </c>
      <c r="E179" s="1" t="s">
        <v>638</v>
      </c>
      <c r="F179" s="1" t="s">
        <v>639</v>
      </c>
      <c r="G179" s="1" t="s">
        <v>36</v>
      </c>
      <c r="H179" s="1" t="s">
        <v>29</v>
      </c>
      <c r="I179" s="1" t="str">
        <f ca="1">IFERROR(__xludf.DUMMYFUNCTION("GOOGLETRANSLATE(F179, ""auto"", ""en"")
"),"The advantages of the weather station are the accuracy of the data (I have been using similar devices for a long time), compared to similar manufacturers. I bought it at M.video on Sadovoy two years ago. And during this time I managed to move to a private"&amp;" house, where I use a device with two additional sensors - in the garage and on the street.  Pros: - Accuracy, precipitation is always on time - Information blocks are conveniently located - Batteries last a long time if you buy fresh ones - Can be moved "&amp;"to any room - communication with sensors via radio signal Cons: - No power supply included, bought separately - Cost, but, although a good phone is expensive I am completely satisfied, if I change the device, it will only be for a similar brand")</f>
        <v>The advantages of the weather station are the accuracy of the data (I have been using similar devices for a long time), compared to similar manufacturers. I bought it at M.video on Sadovoy two years ago. And during this time I managed to move to a private house, where I use a device with two additional sensors - in the garage and on the street.  Pros: - Accuracy, precipitation is always on time - Information blocks are conveniently located - Batteries last a long time if you buy fresh ones - Can be moved to any room - communication with sensors via radio signal Cons: - No power supply included, bought separately - Cost, but, although a good phone is expensive I am completely satisfied, if I change the device, it will only be for a similar brand</v>
      </c>
    </row>
    <row r="180" spans="1:9" x14ac:dyDescent="0.3">
      <c r="A180" s="1" t="s">
        <v>61</v>
      </c>
      <c r="B180" s="1" t="s">
        <v>145</v>
      </c>
      <c r="C180" s="1" t="s">
        <v>45</v>
      </c>
      <c r="D180" s="1" t="s">
        <v>640</v>
      </c>
      <c r="E180" s="1" t="s">
        <v>594</v>
      </c>
      <c r="F180" s="1" t="s">
        <v>641</v>
      </c>
      <c r="G180" s="1" t="s">
        <v>36</v>
      </c>
      <c r="H180" s="1" t="s">
        <v>29</v>
      </c>
      <c r="I180" s="1" t="str">
        <f ca="1">IFERROR(__xludf.DUMMYFUNCTION("GOOGLETRANSLATE(F180, ""auto"", ""en"")
"),"We bought it, went 3 times, it wasn’t there, then the salesman said it wasn’t there, luckily I saved the phone number 88002007775, they said it was in stock, I had to demand it!!!!!!!!!!!  They sold it))) They brought it home, put in the chicken, a whole "&amp;"kilo for 2, turned it on and watched the process, for the first 15 minutes there were zero emotions, no reaction whatsoever, the chicken was dead, we thought, but no 40 minutes of waiting and a miracle, beautiful view, wonderful crust and great taste, no "&amp;"smells of plastic were noticed, we recommend it to everyone))), plus the price cost us 1990))) Bravo M-video bonus))")</f>
        <v>We bought it, went 3 times, it wasn’t there, then the salesman said it wasn’t there, luckily I saved the phone number 88002007775, they said it was in stock, I had to demand it!!!!!!!!!!!  They sold it))) They brought it home, put in the chicken, a whole kilo for 2, turned it on and watched the process, for the first 15 minutes there were zero emotions, no reaction whatsoever, the chicken was dead, we thought, but no 40 minutes of waiting and a miracle, beautiful view, wonderful crust and great taste, no smells of plastic were noticed, we recommend it to everyone))), plus the price cost us 1990))) Bravo M-video bonus))</v>
      </c>
    </row>
    <row r="181" spans="1:9" x14ac:dyDescent="0.3">
      <c r="A181" s="1" t="s">
        <v>61</v>
      </c>
      <c r="B181" s="1" t="s">
        <v>73</v>
      </c>
      <c r="C181" s="1" t="s">
        <v>74</v>
      </c>
      <c r="D181" s="1" t="s">
        <v>642</v>
      </c>
      <c r="E181" s="1" t="s">
        <v>643</v>
      </c>
      <c r="F181" s="1" t="s">
        <v>644</v>
      </c>
      <c r="G181" s="1" t="s">
        <v>36</v>
      </c>
      <c r="H181" s="1" t="s">
        <v>29</v>
      </c>
      <c r="I181" s="1" t="str">
        <f ca="1">IFERROR(__xludf.DUMMYFUNCTION("GOOGLETRANSLATE(F181, ""auto"", ""en"")
"),"My husband and I bought this meat grinder with attachments 3 years ago. I am so pleased with its performance that 2 years ago we gave my mother the same one. And now I want to recommend buying it to my son and daughter-in-law. Each use of the meat grinder"&amp;" brings only one pleasure. I recommend it!")</f>
        <v>My husband and I bought this meat grinder with attachments 3 years ago. I am so pleased with its performance that 2 years ago we gave my mother the same one. And now I want to recommend buying it to my son and daughter-in-law. Each use of the meat grinder brings only one pleasure. I recommend it!</v>
      </c>
    </row>
    <row r="182" spans="1:9" x14ac:dyDescent="0.3">
      <c r="A182" s="1" t="s">
        <v>30</v>
      </c>
      <c r="B182" s="1" t="s">
        <v>31</v>
      </c>
      <c r="C182" s="1" t="s">
        <v>32</v>
      </c>
      <c r="D182" s="1" t="s">
        <v>645</v>
      </c>
      <c r="E182" s="1" t="s">
        <v>646</v>
      </c>
      <c r="F182" s="1" t="s">
        <v>647</v>
      </c>
      <c r="G182" s="1" t="s">
        <v>28</v>
      </c>
      <c r="H182" s="1" t="s">
        <v>29</v>
      </c>
      <c r="I182" s="1" t="str">
        <f ca="1">IFERROR(__xludf.DUMMYFUNCTION("GOOGLETRANSLATE(F182, ""auto"", ""en"")
"),"Computer type: ACPI x86-based computer Operating system: Microsoft Windows Vista Home Basic OS Service Pack 1 CPU type: QuadCore Intel Core 2 Quad Q8200, 2333 MHz (7 x 333) Motherboard Acer EG43M Motherboard chipset Intel Eaglelake G43 System memory (WORT"&amp;"H 6GB ONLY SEES 3GB) 3072 MB (DDR3-1333 DDR3 SDRAM) Samsung 2 GB DDR3-1333 DDR3 SDRAM (7-7-7-20 @ 533 MHz) Samsung 1 GB DDR3-1333 DDR3 SDRAM (7-7-7-20 @ 533 MHz) Samsung 2 GB DDR3-1333 DDR3 SDRAM (7-7-7-20 @ 533 MHz) Samsung 1 GB DDR3-1333 DDR3 SDRAM (7-7"&amp;"-7-20 @ 533 MHz) BIOS type: AMI (03/19/09) Video adapter: NVIDIA GeForce GT 230 (1536 MB) Sound adapter: Realtek ALC888/1200 @ Intel 82801JB ICH10 - High Definition Audio Controller Storage Controller: Intel(R) ICH8R/ICH9R/ICH10R/DO SATA RAID Controller D"&amp;"isk Drive: Hitachi(640GB, 7200RPM, SATA-II) Network Adapter: Intel(R) 82567V-2 Gigabit Network")</f>
        <v>Computer type: ACPI x86-based computer Operating system: Microsoft Windows Vista Home Basic OS Service Pack 1 CPU type: QuadCore Intel Core 2 Quad Q8200, 2333 MHz (7 x 333) Motherboard Acer EG43M Motherboard chipset Intel Eaglelake G43 System memory (WORTH 6GB ONLY SEES 3GB) 3072 MB (DDR3-1333 DDR3 SDRAM) Samsung 2 GB DDR3-1333 DDR3 SDRAM (7-7-7-20 @ 533 MHz) Samsung 1 GB DDR3-1333 DDR3 SDRAM (7-7-7-20 @ 533 MHz) Samsung 2 GB DDR3-1333 DDR3 SDRAM (7-7-7-20 @ 533 MHz) Samsung 1 GB DDR3-1333 DDR3 SDRAM (7-7-7-20 @ 533 MHz) BIOS type: AMI (03/19/09) Video adapter: NVIDIA GeForce GT 230 (1536 MB) Sound adapter: Realtek ALC888/1200 @ Intel 82801JB ICH10 - High Definition Audio Controller Storage Controller: Intel(R) ICH8R/ICH9R/ICH10R/DO SATA RAID Controller Disk Drive: Hitachi(640GB, 7200RPM, SATA-II) Network Adapter: Intel(R) 82567V-2 Gigabit Network</v>
      </c>
    </row>
    <row r="183" spans="1:9" x14ac:dyDescent="0.3">
      <c r="A183" s="1" t="s">
        <v>95</v>
      </c>
      <c r="B183" s="1" t="s">
        <v>648</v>
      </c>
      <c r="C183" s="1" t="s">
        <v>97</v>
      </c>
      <c r="D183" s="1" t="s">
        <v>152</v>
      </c>
      <c r="E183" s="1" t="s">
        <v>649</v>
      </c>
      <c r="F183" s="1" t="s">
        <v>650</v>
      </c>
      <c r="G183" s="1" t="s">
        <v>49</v>
      </c>
      <c r="H183" s="1" t="s">
        <v>16</v>
      </c>
      <c r="I183" s="1" t="str">
        <f ca="1">IFERROR(__xludf.DUMMYFUNCTION("GOOGLETRANSLATE(F183, ""auto"", ""en"")
"),"not convenient until it breaks, the screen is smaller, etc.  and I can download games on 3008 for free)")</f>
        <v>not convenient until it breaks, the screen is smaller, etc.  and I can download games on 3008 for free)</v>
      </c>
    </row>
    <row r="184" spans="1:9" x14ac:dyDescent="0.3">
      <c r="A184" s="1" t="s">
        <v>17</v>
      </c>
      <c r="B184" s="1" t="s">
        <v>18</v>
      </c>
      <c r="C184" s="1" t="s">
        <v>243</v>
      </c>
      <c r="D184" s="1" t="s">
        <v>471</v>
      </c>
      <c r="E184" s="1" t="s">
        <v>651</v>
      </c>
      <c r="F184" s="1" t="s">
        <v>652</v>
      </c>
      <c r="G184" s="1" t="s">
        <v>28</v>
      </c>
      <c r="H184" s="1" t="s">
        <v>29</v>
      </c>
      <c r="I184" s="1" t="str">
        <f ca="1">IFERROR(__xludf.DUMMYFUNCTION("GOOGLETRANSLATE(F184, ""auto"", ""en"")
"),"I bought the machine on May 25, 2014, along with the installation service. Doesn't bounce on tiled floors. It erases not noisily, there are many programs for every taste. Compact, but at the same time roomy. It's not particularly noisy, I like it.")</f>
        <v>I bought the machine on May 25, 2014, along with the installation service. Doesn't bounce on tiled floors. It erases not noisily, there are many programs for every taste. Compact, but at the same time roomy. It's not particularly noisy, I like it.</v>
      </c>
    </row>
    <row r="185" spans="1:9" x14ac:dyDescent="0.3">
      <c r="A185" s="1" t="s">
        <v>211</v>
      </c>
      <c r="B185" s="1" t="s">
        <v>212</v>
      </c>
      <c r="C185" s="1" t="s">
        <v>453</v>
      </c>
      <c r="D185" s="1" t="s">
        <v>653</v>
      </c>
      <c r="E185" s="1" t="s">
        <v>654</v>
      </c>
      <c r="F185" s="1" t="s">
        <v>655</v>
      </c>
      <c r="G185" s="1" t="s">
        <v>36</v>
      </c>
      <c r="H185" s="1" t="s">
        <v>29</v>
      </c>
      <c r="I185" s="1" t="str">
        <f ca="1">IFERROR(__xludf.DUMMYFUNCTION("GOOGLETRANSLATE(F185, ""auto"", ""en"")
"),"Heats up quickly, effective floating plates, very convenient to use! I have thick, coarse, wavy undyed hair, I use a conditioner, and the iron straightens it with a bang and quickly. It doesn’t dry out or sting anything for me, maybe because of the balm. "&amp;"All rectifiers were always set at maximum temperature, so I’m not upset by the lack of a temperature controller in this model. A good straightener that does its job - straightening")</f>
        <v>Heats up quickly, effective floating plates, very convenient to use! I have thick, coarse, wavy undyed hair, I use a conditioner, and the iron straightens it with a bang and quickly. It doesn’t dry out or sting anything for me, maybe because of the balm. All rectifiers were always set at maximum temperature, so I’m not upset by the lack of a temperature controller in this model. A good straightener that does its job - straightening</v>
      </c>
    </row>
    <row r="186" spans="1:9" x14ac:dyDescent="0.3">
      <c r="A186" s="1" t="s">
        <v>149</v>
      </c>
      <c r="B186" s="1" t="s">
        <v>576</v>
      </c>
      <c r="C186" s="1" t="s">
        <v>69</v>
      </c>
      <c r="D186" s="1" t="s">
        <v>280</v>
      </c>
      <c r="E186" s="1" t="s">
        <v>656</v>
      </c>
      <c r="F186" s="1" t="s">
        <v>657</v>
      </c>
      <c r="G186" s="1" t="s">
        <v>36</v>
      </c>
      <c r="H186" s="1" t="s">
        <v>29</v>
      </c>
      <c r="I186" s="1" t="str">
        <f ca="1">IFERROR(__xludf.DUMMYFUNCTION("GOOGLETRANSLATE(F186, ""auto"", ""en"")
"),"I purchased this model today. Only positive emotions. Absolutely worth the money. Consumables are available, no need to search on the internet. The turbo brush works great. It pulls great. I recommend it.")</f>
        <v>I purchased this model today. Only positive emotions. Absolutely worth the money. Consumables are available, no need to search on the internet. The turbo brush works great. It pulls great. I recommend it.</v>
      </c>
    </row>
    <row r="187" spans="1:9" x14ac:dyDescent="0.3">
      <c r="A187" s="1" t="s">
        <v>120</v>
      </c>
      <c r="B187" s="1" t="s">
        <v>121</v>
      </c>
      <c r="C187" s="1" t="s">
        <v>658</v>
      </c>
      <c r="D187" s="1" t="s">
        <v>52</v>
      </c>
      <c r="E187" s="1" t="s">
        <v>659</v>
      </c>
      <c r="F187" s="1" t="s">
        <v>660</v>
      </c>
      <c r="G187" s="1" t="s">
        <v>36</v>
      </c>
      <c r="H187" s="1" t="s">
        <v>29</v>
      </c>
      <c r="I187" s="1" t="str">
        <f ca="1">IFERROR(__xludf.DUMMYFUNCTION("GOOGLETRANSLATE(F187, ""auto"", ""en"")
"),"I bought the TV on sale in Rostov for 12,990 rubles. For this money I give 10 points out of ten.  For a long time I couldn’t find a picture for the TV channels. I chose the SuperLive 1 mode; it became much more pleasant, there are no wide faces.))) of the"&amp;" minuses, 1 is that there is no return to the last channel button on the remote control.  2 when you turn on the channel number (0-9), there is a pause, waits for the second digit to be pressed. It’s not very annoying, but it’s nice when you turn on a two"&amp;"-digit channel)) 3. Doesn’t always switch the channel sometimes (I would rarely even say) ignores it :). Maybe marriage didn't understand this.  Pros 1 Good picture 2. Nice design 3. A large number of different inputs 4. Simple settings In general, I reco"&amp;"mmend it.")</f>
        <v>I bought the TV on sale in Rostov for 12,990 rubles. For this money I give 10 points out of ten.  For a long time I couldn’t find a picture for the TV channels. I chose the SuperLive 1 mode; it became much more pleasant, there are no wide faces.))) of the minuses, 1 is that there is no return to the last channel button on the remote control.  2 when you turn on the channel number (0-9), there is a pause, waits for the second digit to be pressed. It’s not very annoying, but it’s nice when you turn on a two-digit channel)) 3. Doesn’t always switch the channel sometimes (I would rarely even say) ignores it :). Maybe marriage didn't understand this.  Pros 1 Good picture 2. Nice design 3. A large number of different inputs 4. Simple settings In general, I recommend it.</v>
      </c>
    </row>
    <row r="188" spans="1:9" x14ac:dyDescent="0.3">
      <c r="A188" s="1" t="s">
        <v>61</v>
      </c>
      <c r="B188" s="1" t="s">
        <v>318</v>
      </c>
      <c r="C188" s="1" t="s">
        <v>146</v>
      </c>
      <c r="D188" s="1" t="s">
        <v>12</v>
      </c>
      <c r="E188" s="1" t="s">
        <v>661</v>
      </c>
      <c r="F188" s="1" t="s">
        <v>662</v>
      </c>
      <c r="G188" s="1" t="s">
        <v>36</v>
      </c>
      <c r="H188" s="1" t="s">
        <v>29</v>
      </c>
      <c r="I188" s="1" t="str">
        <f ca="1">IFERROR(__xludf.DUMMYFUNCTION("GOOGLETRANSLATE(F188, ""auto"", ""en"")
"),"Bought recently. Excellent kettle. Compared to other fr. brand - lightweight, albeit metal. It makes noise like a regular kettle. Somehow I haven’t come across silent kettles. By the way, it boils quite quickly. Turns on smoothly and easily. Don't press t"&amp;"he switch as hard as you can and nothing will bend. The fact that the water level is inconvenient to watch - so in the store, look at what you take and whether it will be convenient for you. In general, we were lucky with the kettle, I recommend it.")</f>
        <v>Bought recently. Excellent kettle. Compared to other fr. brand - lightweight, albeit metal. It makes noise like a regular kettle. Somehow I haven’t come across silent kettles. By the way, it boils quite quickly. Turns on smoothly and easily. Don't press the switch as hard as you can and nothing will bend. The fact that the water level is inconvenient to watch - so in the store, look at what you take and whether it will be convenient for you. In general, we were lucky with the kettle, I recommend it.</v>
      </c>
    </row>
    <row r="189" spans="1:9" x14ac:dyDescent="0.3">
      <c r="A189" s="1" t="s">
        <v>211</v>
      </c>
      <c r="B189" s="1" t="s">
        <v>212</v>
      </c>
      <c r="C189" s="1" t="s">
        <v>294</v>
      </c>
      <c r="D189" s="1" t="s">
        <v>247</v>
      </c>
      <c r="E189" s="1" t="s">
        <v>663</v>
      </c>
      <c r="F189" s="1" t="s">
        <v>664</v>
      </c>
      <c r="G189" s="1" t="s">
        <v>28</v>
      </c>
      <c r="H189" s="1" t="s">
        <v>29</v>
      </c>
      <c r="I189" s="1" t="str">
        <f ca="1">IFERROR(__xludf.DUMMYFUNCTION("GOOGLETRANSLATE(F189, ""auto"", ""en"")
"),"For some reason, the indicator for turning on the tongs flashes periodically, then stops, and after a few minutes it starts flashing again.")</f>
        <v>For some reason, the indicator for turning on the tongs flashes periodically, then stops, and after a few minutes it starts flashing again.</v>
      </c>
    </row>
    <row r="190" spans="1:9" x14ac:dyDescent="0.3">
      <c r="A190" s="1" t="s">
        <v>43</v>
      </c>
      <c r="B190" s="1" t="s">
        <v>303</v>
      </c>
      <c r="C190" s="1" t="s">
        <v>665</v>
      </c>
      <c r="D190" s="1" t="s">
        <v>152</v>
      </c>
      <c r="E190" s="1" t="s">
        <v>666</v>
      </c>
      <c r="F190" s="1" t="s">
        <v>667</v>
      </c>
      <c r="G190" s="1" t="s">
        <v>36</v>
      </c>
      <c r="H190" s="1" t="s">
        <v>29</v>
      </c>
      <c r="I190" s="1" t="str">
        <f ca="1">IFERROR(__xludf.DUMMYFUNCTION("GOOGLETRANSLATE(F190, ""auto"", ""en"")
"),"I bought it two years ago, it works, the temperature indicator did not work initially, but this does not affect its performance characteristics, for the money it cost then, I regretted not buying 2, now the price is 3 times more")</f>
        <v>I bought it two years ago, it works, the temperature indicator did not work initially, but this does not affect its performance characteristics, for the money it cost then, I regretted not buying 2, now the price is 3 times more</v>
      </c>
    </row>
    <row r="191" spans="1:9" x14ac:dyDescent="0.3">
      <c r="A191" s="1" t="s">
        <v>43</v>
      </c>
      <c r="B191" s="1" t="s">
        <v>334</v>
      </c>
      <c r="C191" s="1" t="s">
        <v>101</v>
      </c>
      <c r="D191" s="1" t="s">
        <v>308</v>
      </c>
      <c r="E191" s="1" t="s">
        <v>668</v>
      </c>
      <c r="F191" s="1" t="s">
        <v>669</v>
      </c>
      <c r="G191" s="1" t="s">
        <v>36</v>
      </c>
      <c r="H191" s="1" t="s">
        <v>29</v>
      </c>
      <c r="I191" s="1" t="str">
        <f ca="1">IFERROR(__xludf.DUMMYFUNCTION("GOOGLETRANSLATE(F191, ""auto"", ""en"")
"),"I purchased this model today. Very pleased! At work I attached it to the bracket of a table lamp using a clothespin. It blows very well! And you can’t hear how it works at all, only the quiet sound of its small motor running and air blowing. I didn’t expe"&amp;"ct that something so small would solve such a big problem! For such a low cost. Let's see how much it works. Autumn was pleased with the fact that the box says “the winning brand of 2012.” So those who have the same problems can buy with confidence, I hop"&amp;"e it won’t disappoint!")</f>
        <v>I purchased this model today. Very pleased! At work I attached it to the bracket of a table lamp using a clothespin. It blows very well! And you can’t hear how it works at all, only the quiet sound of its small motor running and air blowing. I didn’t expect that something so small would solve such a big problem! For such a low cost. Let's see how much it works. Autumn was pleased with the fact that the box says “the winning brand of 2012.” So those who have the same problems can buy with confidence, I hope it won’t disappoint!</v>
      </c>
    </row>
    <row r="192" spans="1:9" x14ac:dyDescent="0.3">
      <c r="A192" s="1" t="s">
        <v>211</v>
      </c>
      <c r="B192" s="1" t="s">
        <v>410</v>
      </c>
      <c r="C192" s="1" t="s">
        <v>69</v>
      </c>
      <c r="D192" s="1" t="s">
        <v>139</v>
      </c>
      <c r="E192" s="1" t="s">
        <v>670</v>
      </c>
      <c r="F192" s="1" t="s">
        <v>671</v>
      </c>
      <c r="G192" s="1" t="s">
        <v>49</v>
      </c>
      <c r="H192" s="1" t="s">
        <v>16</v>
      </c>
      <c r="I192" s="1" t="str">
        <f ca="1">IFERROR(__xludf.DUMMYFUNCTION("GOOGLETRANSLATE(F192, ""auto"", ""en"")
"),"I bought it 9 months ago.    The head wore out very quickly, and to buy it costs the same as half a new razor.   I think that better materials should still be used in branded products.  Very dissatisfied.")</f>
        <v>I bought it 9 months ago.    The head wore out very quickly, and to buy it costs the same as half a new razor.   I think that better materials should still be used in branded products.  Very dissatisfied.</v>
      </c>
    </row>
    <row r="193" spans="1:9" x14ac:dyDescent="0.3">
      <c r="A193" s="1" t="s">
        <v>211</v>
      </c>
      <c r="B193" s="1" t="s">
        <v>410</v>
      </c>
      <c r="C193" s="1" t="s">
        <v>213</v>
      </c>
      <c r="D193" s="1" t="s">
        <v>280</v>
      </c>
      <c r="E193" s="1" t="s">
        <v>672</v>
      </c>
      <c r="F193" s="1" t="s">
        <v>673</v>
      </c>
      <c r="G193" s="1" t="s">
        <v>36</v>
      </c>
      <c r="H193" s="1" t="s">
        <v>29</v>
      </c>
      <c r="I193" s="1" t="str">
        <f ca="1">IFERROR(__xludf.DUMMYFUNCTION("GOOGLETRANSLATE(F193, ""auto"", ""en"")
"),"Excellent razor, I really like both the trimmer and the blades themselves. My skin is very sensitive, but there is no irritation from it. The only thing is that at the end of the second year of use the trimmer broke. They fixed it under warranty, but when"&amp;" I pulled it out it stopped holding, so I had to hold it myself. Otherwise very good")</f>
        <v>Excellent razor, I really like both the trimmer and the blades themselves. My skin is very sensitive, but there is no irritation from it. The only thing is that at the end of the second year of use the trimmer broke. They fixed it under warranty, but when I pulled it out it stopped holding, so I had to hold it myself. Otherwise very good</v>
      </c>
    </row>
    <row r="194" spans="1:9" x14ac:dyDescent="0.3">
      <c r="A194" s="1" t="s">
        <v>120</v>
      </c>
      <c r="B194" s="1" t="s">
        <v>121</v>
      </c>
      <c r="C194" s="1" t="s">
        <v>97</v>
      </c>
      <c r="D194" s="1" t="s">
        <v>674</v>
      </c>
      <c r="E194" s="1" t="s">
        <v>675</v>
      </c>
      <c r="F194" s="1" t="s">
        <v>676</v>
      </c>
      <c r="G194" s="1" t="s">
        <v>28</v>
      </c>
      <c r="H194" s="1" t="s">
        <v>29</v>
      </c>
      <c r="I194" s="1" t="str">
        <f ca="1">IFERROR(__xludf.DUMMYFUNCTION("GOOGLETRANSLATE(F194, ""auto"", ""en"")
"),"I bought a couple of days ago mkv does not read, when watching a movie from usb after 15 minutes the picture began to slow down, an annoying black bar on 1/4 of the screen with information when switching channels, but the picture and sound are quite good")</f>
        <v>I bought a couple of days ago mkv does not read, when watching a movie from usb after 15 minutes the picture began to slow down, an annoying black bar on 1/4 of the screen with information when switching channels, but the picture and sound are quite good</v>
      </c>
    </row>
    <row r="195" spans="1:9" x14ac:dyDescent="0.3">
      <c r="A195" s="1" t="s">
        <v>149</v>
      </c>
      <c r="B195" s="1" t="s">
        <v>150</v>
      </c>
      <c r="C195" s="1" t="s">
        <v>57</v>
      </c>
      <c r="D195" s="1" t="s">
        <v>677</v>
      </c>
      <c r="E195" s="1" t="s">
        <v>543</v>
      </c>
      <c r="F195" s="1" t="s">
        <v>678</v>
      </c>
      <c r="G195" s="1" t="s">
        <v>49</v>
      </c>
      <c r="H195" s="1" t="s">
        <v>16</v>
      </c>
      <c r="I195" s="1" t="str">
        <f ca="1">IFERROR(__xludf.DUMMYFUNCTION("GOOGLETRANSLATE(F195, ""auto"", ""en"")
"),"complete nonsense! Didn't even last a year - problems with the engine. The air filter didn't even get clogged. inconvenient: after use, be sure to wash the dirt collector - its performance is poor. In our region, a vacuum cleaner is relatively expensive ("&amp;"trade markups).")</f>
        <v>complete nonsense! Didn't even last a year - problems with the engine. The air filter didn't even get clogged. inconvenient: after use, be sure to wash the dirt collector - its performance is poor. In our region, a vacuum cleaner is relatively expensive (trade markups).</v>
      </c>
    </row>
    <row r="196" spans="1:9" x14ac:dyDescent="0.3">
      <c r="A196" s="1" t="s">
        <v>30</v>
      </c>
      <c r="B196" s="1" t="s">
        <v>31</v>
      </c>
      <c r="C196" s="1" t="s">
        <v>32</v>
      </c>
      <c r="D196" s="1" t="s">
        <v>679</v>
      </c>
      <c r="E196" s="1" t="s">
        <v>680</v>
      </c>
      <c r="F196" s="1" t="s">
        <v>681</v>
      </c>
      <c r="G196" s="1" t="s">
        <v>36</v>
      </c>
      <c r="H196" s="1" t="s">
        <v>29</v>
      </c>
      <c r="I196" s="1" t="str">
        <f ca="1">IFERROR(__xludf.DUMMYFUNCTION("GOOGLETRANSLATE(F196, ""auto"", ""en"")
"),"The whole problem is in Windows7 itself, it is 64 bit, change it to 32 bit and everything will be fine!!!")</f>
        <v>The whole problem is in Windows7 itself, it is 64 bit, change it to 32 bit and everything will be fine!!!</v>
      </c>
    </row>
    <row r="197" spans="1:9" x14ac:dyDescent="0.3">
      <c r="A197" s="1" t="s">
        <v>9</v>
      </c>
      <c r="B197" s="1" t="s">
        <v>137</v>
      </c>
      <c r="C197" s="1" t="s">
        <v>134</v>
      </c>
      <c r="D197" s="1" t="s">
        <v>682</v>
      </c>
      <c r="E197" s="1" t="s">
        <v>683</v>
      </c>
      <c r="F197" s="1" t="s">
        <v>684</v>
      </c>
      <c r="G197" s="1" t="s">
        <v>36</v>
      </c>
      <c r="H197" s="1" t="s">
        <v>29</v>
      </c>
      <c r="I197" s="1" t="str">
        <f ca="1">IFERROR(__xludf.DUMMYFUNCTION("GOOGLETRANSLATE(F197, ""auto"", ""en"")
"),"We recently started renovations, now we can’t wait for it to be finished). We decided to update everything if possible!) Our kitchen is old, we last renovated it about 15 years ago, and the equipment has not been updated even more. So, finally, we decided"&amp;", as they say. Previously, we had a regular gas stove, but now we decided to try something more modern and more functional. That's why we chose this model from Siemens. Until recently, I doubted the capabilities of built-in equipment of this kind, and eve"&amp;"n electric ones. But after working with her, I realized that I was wrong. After all, in fact, there are only advantages! It takes up less space, it pleases the eye with a beautiful view, unlike the old version, and there are noticeably more functions! The"&amp;" burners are of different sizes and allow you to cook in large dishes. In addition, they heat up extremely quickly. It's easy to operate, easy to care for - what more do you need?) I'm glad.")</f>
        <v>We recently started renovations, now we can’t wait for it to be finished). We decided to update everything if possible!) Our kitchen is old, we last renovated it about 15 years ago, and the equipment has not been updated even more. So, finally, we decided, as they say. Previously, we had a regular gas stove, but now we decided to try something more modern and more functional. That's why we chose this model from Siemens. Until recently, I doubted the capabilities of built-in equipment of this kind, and even electric ones. But after working with her, I realized that I was wrong. After all, in fact, there are only advantages! It takes up less space, it pleases the eye with a beautiful view, unlike the old version, and there are noticeably more functions! The burners are of different sizes and allow you to cook in large dishes. In addition, they heat up extremely quickly. It's easy to operate, easy to care for - what more do you need?) I'm glad.</v>
      </c>
    </row>
    <row r="198" spans="1:9" x14ac:dyDescent="0.3">
      <c r="A198" s="1" t="s">
        <v>61</v>
      </c>
      <c r="B198" s="1" t="s">
        <v>318</v>
      </c>
      <c r="C198" s="1" t="s">
        <v>246</v>
      </c>
      <c r="D198" s="1" t="s">
        <v>685</v>
      </c>
      <c r="E198" s="1" t="s">
        <v>686</v>
      </c>
      <c r="F198" s="1" t="s">
        <v>687</v>
      </c>
      <c r="G198" s="1" t="s">
        <v>49</v>
      </c>
      <c r="H198" s="1" t="s">
        <v>16</v>
      </c>
      <c r="I198" s="1" t="str">
        <f ca="1">IFERROR(__xludf.DUMMYFUNCTION("GOOGLETRANSLATE(F198, ""auto"", ""en"")
"),"We bought 1 kettle 2 years ago, a year later the lid broke, we bought a new one of the same kind, after 8 months the lid broke. The design is nice, but it is very noisy.")</f>
        <v>We bought 1 kettle 2 years ago, a year later the lid broke, we bought a new one of the same kind, after 8 months the lid broke. The design is nice, but it is very noisy.</v>
      </c>
    </row>
    <row r="199" spans="1:9" x14ac:dyDescent="0.3">
      <c r="A199" s="1" t="s">
        <v>61</v>
      </c>
      <c r="B199" s="1" t="s">
        <v>318</v>
      </c>
      <c r="C199" s="1" t="s">
        <v>85</v>
      </c>
      <c r="D199" s="1" t="s">
        <v>64</v>
      </c>
      <c r="E199" s="1" t="s">
        <v>688</v>
      </c>
      <c r="F199" s="1" t="s">
        <v>689</v>
      </c>
      <c r="G199" s="1" t="s">
        <v>49</v>
      </c>
      <c r="H199" s="1" t="s">
        <v>16</v>
      </c>
      <c r="I199" s="1" t="str">
        <f ca="1">IFERROR(__xludf.DUMMYFUNCTION("GOOGLETRANSLATE(F199, ""auto"", ""en"")
"),"I ordered a kettle for myself, this model. I read it, everything seemed to be arranged. But when they bought it for me, I was simply horrified: 1. The lid is very weak. It happens that it does not hold out the steam and opens on its own 2. When the kettle"&amp;" gets hot, you can get burned on it. It seemed to me that if the BORK company has any minor shortcomings (minor), but now I am disappointed.")</f>
        <v>I ordered a kettle for myself, this model. I read it, everything seemed to be arranged. But when they bought it for me, I was simply horrified: 1. The lid is very weak. It happens that it does not hold out the steam and opens on its own 2. When the kettle gets hot, you can get burned on it. It seemed to me that if the BORK company has any minor shortcomings (minor), but now I am disappointed.</v>
      </c>
    </row>
    <row r="200" spans="1:9" x14ac:dyDescent="0.3">
      <c r="A200" s="1" t="s">
        <v>105</v>
      </c>
      <c r="B200" s="1" t="s">
        <v>106</v>
      </c>
      <c r="C200" s="1" t="s">
        <v>97</v>
      </c>
      <c r="D200" s="1" t="s">
        <v>690</v>
      </c>
      <c r="E200" s="1" t="s">
        <v>357</v>
      </c>
      <c r="F200" s="1" t="s">
        <v>691</v>
      </c>
      <c r="G200" s="1" t="s">
        <v>36</v>
      </c>
      <c r="H200" s="1" t="s">
        <v>29</v>
      </c>
      <c r="I200" s="1" t="str">
        <f ca="1">IFERROR(__xludf.DUMMYFUNCTION("GOOGLETRANSLATE(F200, ""auto"", ""en"")
"),"I've been using the player for several months and overall I'm very pleased with the purchase. If I were faced with a choice again, I would take the same one.  Pros: - excellent sound (it’s better to take different headphones right away) - radio with tunin"&amp;"g to 30 stations and the ability to record - fast navigation - convenient program for converting videos, just connect the player to your computer and drag the desired file into the program window and that’s it - built-in speakers and a slip timer are conv"&amp;"enient to use for listening to audiobooks before bed - long battery life - good price Cons: - the headphones that come with the kit will have to be changed - there is no possibility of constant display screen time - there are no different menu color profi"&amp;"les and you cannot select a background screen.")</f>
        <v>I've been using the player for several months and overall I'm very pleased with the purchase. If I were faced with a choice again, I would take the same one.  Pros: - excellent sound (it’s better to take different headphones right away) - radio with tuning to 30 stations and the ability to record - fast navigation - convenient program for converting videos, just connect the player to your computer and drag the desired file into the program window and that’s it - built-in speakers and a slip timer are convenient to use for listening to audiobooks before bed - long battery life - good price Cons: - the headphones that come with the kit will have to be changed - there is no possibility of constant display screen time - there are no different menu color profiles and you cannot select a background screen.</v>
      </c>
    </row>
    <row r="201" spans="1:9" x14ac:dyDescent="0.3">
      <c r="A201" s="1" t="s">
        <v>67</v>
      </c>
      <c r="B201" s="1" t="s">
        <v>68</v>
      </c>
      <c r="C201" s="1" t="s">
        <v>381</v>
      </c>
      <c r="D201" s="1" t="s">
        <v>327</v>
      </c>
      <c r="E201" s="1" t="s">
        <v>692</v>
      </c>
      <c r="F201" s="1" t="s">
        <v>693</v>
      </c>
      <c r="G201" s="1" t="s">
        <v>36</v>
      </c>
      <c r="H201" s="1" t="s">
        <v>29</v>
      </c>
      <c r="I201" s="1" t="str">
        <f ca="1">IFERROR(__xludf.DUMMYFUNCTION("GOOGLETRANSLATE(F201, ""auto"", ""en"")
"),"An excellent thing for its size, irons, steams, very convenient for shirts + steam boost, although not very powerful, like the “adult” brothers, but acceptable for such a baby. As a travel option, for mobile life, SUPER!!!  The only downside is perhaps th"&amp;"e price, compared to its peers...")</f>
        <v>An excellent thing for its size, irons, steams, very convenient for shirts + steam boost, although not very powerful, like the “adult” brothers, but acceptable for such a baby. As a travel option, for mobile life, SUPER!!!  The only downside is perhaps the price, compared to its peers...</v>
      </c>
    </row>
    <row r="202" spans="1:9" x14ac:dyDescent="0.3">
      <c r="A202" s="1" t="s">
        <v>30</v>
      </c>
      <c r="B202" s="1" t="s">
        <v>50</v>
      </c>
      <c r="C202" s="1" t="s">
        <v>694</v>
      </c>
      <c r="D202" s="1" t="s">
        <v>695</v>
      </c>
      <c r="E202" s="1" t="s">
        <v>696</v>
      </c>
      <c r="F202" s="1" t="s">
        <v>697</v>
      </c>
      <c r="G202" s="1" t="s">
        <v>28</v>
      </c>
      <c r="H202" s="1" t="s">
        <v>29</v>
      </c>
      <c r="I202" s="1" t="str">
        <f ca="1">IFERROR(__xludf.DUMMYFUNCTION("GOOGLETRANSLATE(F202, ""auto"", ""en"")
"),"The declared CardReader is missing. And the car is not even bad.")</f>
        <v>The declared CardReader is missing. And the car is not even bad.</v>
      </c>
    </row>
    <row r="203" spans="1:9" x14ac:dyDescent="0.3">
      <c r="A203" s="1" t="s">
        <v>361</v>
      </c>
      <c r="B203" s="1" t="s">
        <v>462</v>
      </c>
      <c r="C203" s="1" t="s">
        <v>698</v>
      </c>
      <c r="D203" s="1" t="s">
        <v>86</v>
      </c>
      <c r="E203" s="1" t="s">
        <v>699</v>
      </c>
      <c r="F203" s="1" t="s">
        <v>700</v>
      </c>
      <c r="G203" s="1" t="s">
        <v>36</v>
      </c>
      <c r="H203" s="1" t="s">
        <v>29</v>
      </c>
      <c r="I203" s="1" t="str">
        <f ca="1">IFERROR(__xludf.DUMMYFUNCTION("GOOGLETRANSLATE(F203, ""auto"", ""en"")
"),"I like it!")</f>
        <v>I like it!</v>
      </c>
    </row>
    <row r="204" spans="1:9" x14ac:dyDescent="0.3">
      <c r="A204" s="1" t="s">
        <v>624</v>
      </c>
      <c r="B204" s="1" t="s">
        <v>625</v>
      </c>
      <c r="C204" s="1" t="s">
        <v>479</v>
      </c>
      <c r="D204" s="1" t="s">
        <v>114</v>
      </c>
      <c r="E204" s="1" t="s">
        <v>701</v>
      </c>
      <c r="F204" s="1" t="s">
        <v>702</v>
      </c>
      <c r="G204" s="1" t="s">
        <v>36</v>
      </c>
      <c r="H204" s="1" t="s">
        <v>29</v>
      </c>
      <c r="I204" s="1" t="str">
        <f ca="1">IFERROR(__xludf.DUMMYFUNCTION("GOOGLETRANSLATE(F204, ""auto"", ""en"")
"),"two amazing games on one disc, I've been dreaming about this collection for a long time. Now the main thing is that it is available.")</f>
        <v>two amazing games on one disc, I've been dreaming about this collection for a long time. Now the main thing is that it is available.</v>
      </c>
    </row>
    <row r="205" spans="1:9" x14ac:dyDescent="0.3">
      <c r="A205" s="1" t="s">
        <v>17</v>
      </c>
      <c r="B205" s="1" t="s">
        <v>18</v>
      </c>
      <c r="C205" s="1" t="s">
        <v>665</v>
      </c>
      <c r="D205" s="1" t="s">
        <v>703</v>
      </c>
      <c r="E205" s="1" t="s">
        <v>704</v>
      </c>
      <c r="F205" s="1" t="s">
        <v>705</v>
      </c>
      <c r="G205" s="1" t="s">
        <v>49</v>
      </c>
      <c r="H205" s="1" t="s">
        <v>16</v>
      </c>
      <c r="I205" s="1" t="str">
        <f ca="1">IFERROR(__xludf.DUMMYFUNCTION("GOOGLETRANSLATE(F205, ""auto"", ""en"")
"),"The machine has loud opening sounds, the plastic is cheap... I don’t like that the middle cell for the air conditioner is not completely washed out, the air conditioner always remains... and the last thing (as I thought) is water, where the rubber near th"&amp;"e drum has to be wiped off after each wash.")</f>
        <v>The machine has loud opening sounds, the plastic is cheap... I don’t like that the middle cell for the air conditioner is not completely washed out, the air conditioner always remains... and the last thing (as I thought) is water, where the rubber near the drum has to be wiped off after each wash.</v>
      </c>
    </row>
    <row r="206" spans="1:9" x14ac:dyDescent="0.3">
      <c r="A206" s="1" t="s">
        <v>17</v>
      </c>
      <c r="B206" s="1" t="s">
        <v>18</v>
      </c>
      <c r="C206" s="1" t="s">
        <v>243</v>
      </c>
      <c r="D206" s="1" t="s">
        <v>308</v>
      </c>
      <c r="E206" s="1" t="s">
        <v>594</v>
      </c>
      <c r="F206" s="1" t="s">
        <v>706</v>
      </c>
      <c r="G206" s="1" t="s">
        <v>36</v>
      </c>
      <c r="H206" s="1" t="s">
        <v>29</v>
      </c>
      <c r="I206" s="1" t="str">
        <f ca="1">IFERROR(__xludf.DUMMYFUNCTION("GOOGLETRANSLATE(F206, ""auto"", ""en"")
"),"We've only been using the machine for a month, it washes great.   When it wrings out, you can’t hear it at all... 08/04/2010 the wringing is brutal - you removed the transport bolts, otherwise we also had jumping around the bathroom from the very beginnin"&amp;"g.   So far everything is fine, we'll see...")</f>
        <v>We've only been using the machine for a month, it washes great.   When it wrings out, you can’t hear it at all... 08/04/2010 the wringing is brutal - you removed the transport bolts, otherwise we also had jumping around the bathroom from the very beginning.   So far everything is fine, we'll see...</v>
      </c>
    </row>
    <row r="207" spans="1:9" x14ac:dyDescent="0.3">
      <c r="A207" s="1" t="s">
        <v>211</v>
      </c>
      <c r="B207" s="1" t="s">
        <v>212</v>
      </c>
      <c r="C207" s="1" t="s">
        <v>63</v>
      </c>
      <c r="D207" s="1" t="s">
        <v>707</v>
      </c>
      <c r="E207" s="1" t="s">
        <v>708</v>
      </c>
      <c r="F207" s="1" t="s">
        <v>709</v>
      </c>
      <c r="G207" s="1" t="s">
        <v>36</v>
      </c>
      <c r="H207" s="1" t="s">
        <v>29</v>
      </c>
      <c r="I207" s="1" t="str">
        <f ca="1">IFERROR(__xludf.DUMMYFUNCTION("GOOGLETRANSLATE(F207, ""auto"", ""en"")
"),"I've been looking for just such a set for a long time! And I really like Bosch products - they are a reliable manufacturer.")</f>
        <v>I've been looking for just such a set for a long time! And I really like Bosch products - they are a reliable manufacturer.</v>
      </c>
    </row>
    <row r="208" spans="1:9" x14ac:dyDescent="0.3">
      <c r="A208" s="1" t="s">
        <v>451</v>
      </c>
      <c r="B208" s="1" t="s">
        <v>452</v>
      </c>
      <c r="C208" s="1" t="s">
        <v>710</v>
      </c>
      <c r="D208" s="1" t="s">
        <v>33</v>
      </c>
      <c r="E208" s="1" t="s">
        <v>711</v>
      </c>
      <c r="F208" s="1" t="s">
        <v>712</v>
      </c>
      <c r="G208" s="1" t="s">
        <v>36</v>
      </c>
      <c r="H208" s="1" t="s">
        <v>29</v>
      </c>
      <c r="I208" s="1" t="str">
        <f ca="1">IFERROR(__xludf.DUMMYFUNCTION("GOOGLETRANSLATE(F208, ""auto"", ""en"")
"),"A fuse is a fuse because if the load is overloaded, it is the fuse that breaks, and not the mechanisms of your meat grinder.")</f>
        <v>A fuse is a fuse because if the load is overloaded, it is the fuse that breaks, and not the mechanisms of your meat grinder.</v>
      </c>
    </row>
    <row r="209" spans="1:9" x14ac:dyDescent="0.3">
      <c r="A209" s="1" t="s">
        <v>89</v>
      </c>
      <c r="B209" s="1" t="s">
        <v>231</v>
      </c>
      <c r="C209" s="1" t="s">
        <v>185</v>
      </c>
      <c r="D209" s="1" t="s">
        <v>52</v>
      </c>
      <c r="E209" s="1" t="s">
        <v>713</v>
      </c>
      <c r="F209" s="1" t="s">
        <v>714</v>
      </c>
      <c r="G209" s="1" t="s">
        <v>36</v>
      </c>
      <c r="H209" s="1" t="s">
        <v>29</v>
      </c>
      <c r="I209" s="1" t="str">
        <f ca="1">IFERROR(__xludf.DUMMYFUNCTION("GOOGLETRANSLATE(F209, ""auto"", ""en"")
"),"Got what I wanted!")</f>
        <v>Got what I wanted!</v>
      </c>
    </row>
    <row r="210" spans="1:9" x14ac:dyDescent="0.3">
      <c r="A210" s="1" t="s">
        <v>61</v>
      </c>
      <c r="B210" s="1" t="s">
        <v>145</v>
      </c>
      <c r="C210" s="1" t="s">
        <v>57</v>
      </c>
      <c r="D210" s="1" t="s">
        <v>565</v>
      </c>
      <c r="E210" s="1" t="s">
        <v>715</v>
      </c>
      <c r="F210" s="1" t="s">
        <v>716</v>
      </c>
      <c r="G210" s="1" t="s">
        <v>15</v>
      </c>
      <c r="H210" s="1" t="s">
        <v>16</v>
      </c>
      <c r="I210" s="1" t="str">
        <f ca="1">IFERROR(__xludf.DUMMYFUNCTION("GOOGLETRANSLATE(F210, ""auto"", ""en"")
"),"We bought a display sample in Samara. There weren’t even instructions, but I wanted this deep fryer so much that nothing stopped me. True, we regretted it the very next day. The child asked for nuggets. We bought it and started frying it. The fryer reache"&amp;"d the desired temperature...and that's it. Our purchase died. It didn't turn on anymore. Now we need to find time to go change it. The nearest store is 60 km away. It's a terrible shame.")</f>
        <v>We bought a display sample in Samara. There weren’t even instructions, but I wanted this deep fryer so much that nothing stopped me. True, we regretted it the very next day. The child asked for nuggets. We bought it and started frying it. The fryer reached the desired temperature...and that's it. Our purchase died. It didn't turn on anymore. Now we need to find time to go change it. The nearest store is 60 km away. It's a terrible shame.</v>
      </c>
    </row>
    <row r="211" spans="1:9" x14ac:dyDescent="0.3">
      <c r="A211" s="1" t="s">
        <v>149</v>
      </c>
      <c r="B211" s="1" t="s">
        <v>155</v>
      </c>
      <c r="C211" s="1" t="s">
        <v>151</v>
      </c>
      <c r="D211" s="1" t="s">
        <v>52</v>
      </c>
      <c r="E211" s="1" t="s">
        <v>717</v>
      </c>
      <c r="F211" s="1" t="s">
        <v>718</v>
      </c>
      <c r="G211" s="1" t="s">
        <v>49</v>
      </c>
      <c r="H211" s="1" t="s">
        <v>16</v>
      </c>
      <c r="I211" s="1" t="str">
        <f ca="1">IFERROR(__xludf.DUMMYFUNCTION("GOOGLETRANSLATE(F211, ""auto"", ""en"")
"),"I'm not happy with the vacuum cleaner!  I worked for half a year, then nothing but agony.  The back cover (where the HEPA filter) does not hold, the air blows it off.  It cleans poorly, has virtually no suction, and the foam filter constantly gets clogged"&amp;".  More time is spent washing filters than cleaning.  I don't recommend taking it")</f>
        <v>I'm not happy with the vacuum cleaner!  I worked for half a year, then nothing but agony.  The back cover (where the HEPA filter) does not hold, the air blows it off.  It cleans poorly, has virtually no suction, and the foam filter constantly gets clogged.  More time is spent washing filters than cleaning.  I don't recommend taking it</v>
      </c>
    </row>
    <row r="212" spans="1:9" x14ac:dyDescent="0.3">
      <c r="A212" s="1" t="s">
        <v>719</v>
      </c>
      <c r="B212" s="1" t="s">
        <v>720</v>
      </c>
      <c r="C212" s="1" t="s">
        <v>694</v>
      </c>
      <c r="D212" s="1" t="s">
        <v>721</v>
      </c>
      <c r="E212" s="1" t="s">
        <v>722</v>
      </c>
      <c r="F212" s="1" t="s">
        <v>723</v>
      </c>
      <c r="G212" s="1" t="s">
        <v>36</v>
      </c>
      <c r="H212" s="1" t="s">
        <v>29</v>
      </c>
      <c r="I212" s="1" t="str">
        <f ca="1">IFERROR(__xludf.DUMMYFUNCTION("GOOGLETRANSLATE(F212, ""auto"", ""en"")
"),"I use the phone in revenge, so far I haven’t noticed any disadvantages")</f>
        <v>I use the phone in revenge, so far I haven’t noticed any disadvantages</v>
      </c>
    </row>
    <row r="213" spans="1:9" x14ac:dyDescent="0.3">
      <c r="A213" s="1" t="s">
        <v>61</v>
      </c>
      <c r="B213" s="1" t="s">
        <v>224</v>
      </c>
      <c r="C213" s="1" t="s">
        <v>101</v>
      </c>
      <c r="D213" s="1" t="s">
        <v>724</v>
      </c>
      <c r="E213" s="1" t="s">
        <v>82</v>
      </c>
      <c r="F213" s="1" t="s">
        <v>725</v>
      </c>
      <c r="G213" s="1" t="s">
        <v>49</v>
      </c>
      <c r="H213" s="1" t="s">
        <v>16</v>
      </c>
      <c r="I213" s="1" t="str">
        <f ca="1">IFERROR(__xludf.DUMMYFUNCTION("GOOGLETRANSLATE(F213, ""auto"", ""en"")
"),"Flimsy design, wet pulp along with pieces of vegetables and fruits, after six months of irregular use it broke (metal shavings fell into the juice, then the engine stopped completely).")</f>
        <v>Flimsy design, wet pulp along with pieces of vegetables and fruits, after six months of irregular use it broke (metal shavings fell into the juice, then the engine stopped completely).</v>
      </c>
    </row>
    <row r="214" spans="1:9" x14ac:dyDescent="0.3">
      <c r="A214" s="1" t="s">
        <v>61</v>
      </c>
      <c r="B214" s="1" t="s">
        <v>726</v>
      </c>
      <c r="C214" s="1" t="s">
        <v>74</v>
      </c>
      <c r="D214" s="1" t="s">
        <v>658</v>
      </c>
      <c r="E214" s="1" t="s">
        <v>727</v>
      </c>
      <c r="F214" s="1" t="s">
        <v>728</v>
      </c>
      <c r="G214" s="1" t="s">
        <v>36</v>
      </c>
      <c r="H214" s="1" t="s">
        <v>29</v>
      </c>
      <c r="I214" s="1" t="str">
        <f ca="1">IFERROR(__xludf.DUMMYFUNCTION("GOOGLETRANSLATE(F214, ""auto"", ""en"")
"),"My husband gave me a bread machine on March 8th. For the second year now, I have been baking different types of bread almost every other day, both baked and delicious. I'm very pleased.")</f>
        <v>My husband gave me a bread machine on March 8th. For the second year now, I have been baking different types of bread almost every other day, both baked and delicious. I'm very pleased.</v>
      </c>
    </row>
    <row r="215" spans="1:9" x14ac:dyDescent="0.3">
      <c r="A215" s="1" t="s">
        <v>30</v>
      </c>
      <c r="B215" s="1" t="s">
        <v>50</v>
      </c>
      <c r="C215" s="1" t="s">
        <v>32</v>
      </c>
      <c r="D215" s="1" t="s">
        <v>729</v>
      </c>
      <c r="E215" s="1" t="s">
        <v>730</v>
      </c>
      <c r="F215" s="1" t="s">
        <v>731</v>
      </c>
      <c r="G215" s="1" t="s">
        <v>28</v>
      </c>
      <c r="H215" s="1" t="s">
        <v>29</v>
      </c>
      <c r="I215" s="1" t="str">
        <f ca="1">IFERROR(__xludf.DUMMYFUNCTION("GOOGLETRANSLATE(F215, ""auto"", ""en"")
"),"The fundamental difference is that this model has a Blu-ray read drive, while the Aspire 8943G-728G1.28TWi has a Blu-ray write drive. Well, a little detail: the 8943G does not have an Express Card slot or a Display Port connector.")</f>
        <v>The fundamental difference is that this model has a Blu-ray read drive, while the Aspire 8943G-728G1.28TWi has a Blu-ray write drive. Well, a little detail: the 8943G does not have an Express Card slot or a Display Port connector.</v>
      </c>
    </row>
    <row r="216" spans="1:9" x14ac:dyDescent="0.3">
      <c r="A216" s="1" t="s">
        <v>732</v>
      </c>
      <c r="B216" s="1" t="s">
        <v>733</v>
      </c>
      <c r="C216" s="1" t="s">
        <v>80</v>
      </c>
      <c r="D216" s="1" t="s">
        <v>305</v>
      </c>
      <c r="E216" s="1" t="s">
        <v>734</v>
      </c>
      <c r="F216" s="1" t="s">
        <v>735</v>
      </c>
      <c r="G216" s="1" t="s">
        <v>28</v>
      </c>
      <c r="H216" s="1" t="s">
        <v>29</v>
      </c>
      <c r="I216" s="1" t="str">
        <f ca="1">IFERROR(__xludf.DUMMYFUNCTION("GOOGLETRANSLATE(F216, ""auto"", ""en"")
"),"Pros: 1. Excellent design.  2. Full width resolution.  2. DVI for the money.  3. Quite a good picture on a budget matrix.  4. Automatic brightness adjustment.  5. Excellent price-quality ratio, competitors are only Monica from Acer.    Cons: 1. There is h"&amp;"eterogeneity in the backlight. Illumination of the edges of the screen with white light. It is especially noticeable at night against a black background, for example when loading Windows or watching a movie. A characteristic feature of a budget monitor.  "&amp;"2. The touch buttons are “dull”, work with a delay and do not always work. It takes some getting used to. However, the need for adjustments is rare.  3. Automatic adjustment rarely works properly and is annoying. By itself it will suddenly add brightness "&amp;"and then immediately reduce it. Luckily this is disabled.  4. Very important! The matrix measures 21.5 inches. Therefore, we have a small font size in the native resolution of 1920 by 1080. If you have poor eyesight it will be very annoying. Exit: use Win"&amp;"dows system font scaling. However, here you are in for an ambush from Microsoft. HP makes it very bad. Vista and Seven are better, but some icons in the system tray will still be distorted and the Windows interface in third-party programs will sometimes s"&amp;"till use the native small font.    Conclusions: DO NOT SPARE MONEY on a 23-inch full HD with DVI. This is the best choice now. If money is critical for you, it might make sense to take 22 inches with a resolution of 1680x1050 - the font size is normal, yo"&amp;"u won’t have to scale the interface.     But in general, regarding the subject: if you absolutely need full HD and DVI and you have Vista/Seven installed, you will put up with not always correct scaling and are limited in money - Monique is very good. I'm"&amp;" happy.")</f>
        <v>Pros: 1. Excellent design.  2. Full width resolution.  2. DVI for the money.  3. Quite a good picture on a budget matrix.  4. Automatic brightness adjustment.  5. Excellent price-quality ratio, competitors are only Monica from Acer.    Cons: 1. There is heterogeneity in the backlight. Illumination of the edges of the screen with white light. It is especially noticeable at night against a black background, for example when loading Windows or watching a movie. A characteristic feature of a budget monitor.  2. The touch buttons are “dull”, work with a delay and do not always work. It takes some getting used to. However, the need for adjustments is rare.  3. Automatic adjustment rarely works properly and is annoying. By itself it will suddenly add brightness and then immediately reduce it. Luckily this is disabled.  4. Very important! The matrix measures 21.5 inches. Therefore, we have a small font size in the native resolution of 1920 by 1080. If you have poor eyesight it will be very annoying. Exit: use Windows system font scaling. However, here you are in for an ambush from Microsoft. HP makes it very bad. Vista and Seven are better, but some icons in the system tray will still be distorted and the Windows interface in third-party programs will sometimes still use the native small font.    Conclusions: DO NOT SPARE MONEY on a 23-inch full HD with DVI. This is the best choice now. If money is critical for you, it might make sense to take 22 inches with a resolution of 1680x1050 - the font size is normal, you won’t have to scale the interface.     But in general, regarding the subject: if you absolutely need full HD and DVI and you have Vista/Seven installed, you will put up with not always correct scaling and are limited in money - Monique is very good. I'm happy.</v>
      </c>
    </row>
    <row r="217" spans="1:9" x14ac:dyDescent="0.3">
      <c r="A217" s="1" t="s">
        <v>67</v>
      </c>
      <c r="B217" s="1" t="s">
        <v>68</v>
      </c>
      <c r="C217" s="1" t="s">
        <v>213</v>
      </c>
      <c r="D217" s="1" t="s">
        <v>369</v>
      </c>
      <c r="E217" s="1" t="s">
        <v>736</v>
      </c>
      <c r="F217" s="1" t="s">
        <v>737</v>
      </c>
      <c r="G217" s="1" t="s">
        <v>28</v>
      </c>
      <c r="H217" s="1" t="s">
        <v>29</v>
      </c>
      <c r="I217" s="1" t="str">
        <f ca="1">IFERROR(__xludf.DUMMYFUNCTION("GOOGLETRANSLATE(F217, ""auto"", ""en"")
"),"Today I bought a Braun SI 6290 Iron. The company's quality is good. But like all companies, there are defects. Be sure to check any product when purchasing so that there are no problems later. Yesterday I bought a Braun SI 6591 model, didn’t check it, ope"&amp;"ned it at home, and found it with a broken handle. Replaced without problems. Good luck.")</f>
        <v>Today I bought a Braun SI 6290 Iron. The company's quality is good. But like all companies, there are defects. Be sure to check any product when purchasing so that there are no problems later. Yesterday I bought a Braun SI 6591 model, didn’t check it, opened it at home, and found it with a broken handle. Replaced without problems. Good luck.</v>
      </c>
    </row>
    <row r="218" spans="1:9" x14ac:dyDescent="0.3">
      <c r="A218" s="1" t="s">
        <v>211</v>
      </c>
      <c r="B218" s="1" t="s">
        <v>410</v>
      </c>
      <c r="C218" s="1" t="s">
        <v>69</v>
      </c>
      <c r="D218" s="1" t="s">
        <v>152</v>
      </c>
      <c r="E218" s="1" t="s">
        <v>738</v>
      </c>
      <c r="F218" s="1" t="s">
        <v>739</v>
      </c>
      <c r="G218" s="1" t="s">
        <v>36</v>
      </c>
      <c r="H218" s="1" t="s">
        <v>29</v>
      </c>
      <c r="I218" s="1" t="str">
        <f ca="1">IFERROR(__xludf.DUMMYFUNCTION("GOOGLETRANSLATE(F218, ""auto"", ""en"")
"),"This razor is better for wet shaving using gel or foam than for dry shaving. The skin is like after a manual machine, only without cuts. Shaving is a pleasure!")</f>
        <v>This razor is better for wet shaving using gel or foam than for dry shaving. The skin is like after a manual machine, only without cuts. Shaving is a pleasure!</v>
      </c>
    </row>
    <row r="219" spans="1:9" x14ac:dyDescent="0.3">
      <c r="A219" s="1" t="s">
        <v>9</v>
      </c>
      <c r="B219" s="1" t="s">
        <v>10</v>
      </c>
      <c r="C219" s="1" t="s">
        <v>407</v>
      </c>
      <c r="D219" s="1" t="s">
        <v>64</v>
      </c>
      <c r="E219" s="1" t="s">
        <v>740</v>
      </c>
      <c r="F219" s="1" t="s">
        <v>741</v>
      </c>
      <c r="G219" s="1" t="s">
        <v>36</v>
      </c>
      <c r="H219" s="1" t="s">
        <v>29</v>
      </c>
      <c r="I219" s="1" t="str">
        <f ca="1">IFERROR(__xludf.DUMMYFUNCTION("GOOGLETRANSLATE(F219, ""auto"", ""en"")
"),"We purchased the hood 3 weeks ago. Stylish design, I really liked the look. Touch control, turns on with one touch, bright light. It’s bad that they are only black and not steel. They pull out odors well, but they are noisy. We are happy with the purchase"&amp;".")</f>
        <v>We purchased the hood 3 weeks ago. Stylish design, I really liked the look. Touch control, turns on with one touch, bright light. It’s bad that they are only black and not steel. They pull out odors well, but they are noisy. We are happy with the purchase.</v>
      </c>
    </row>
    <row r="220" spans="1:9" x14ac:dyDescent="0.3">
      <c r="A220" s="1" t="s">
        <v>61</v>
      </c>
      <c r="B220" s="1" t="s">
        <v>73</v>
      </c>
      <c r="C220" s="1" t="s">
        <v>74</v>
      </c>
      <c r="D220" s="1" t="s">
        <v>742</v>
      </c>
      <c r="E220" s="1" t="s">
        <v>743</v>
      </c>
      <c r="F220" s="1" t="s">
        <v>744</v>
      </c>
      <c r="G220" s="1" t="s">
        <v>36</v>
      </c>
      <c r="H220" s="1" t="s">
        <v>29</v>
      </c>
      <c r="I220" s="1" t="str">
        <f ca="1">IFERROR(__xludf.DUMMYFUNCTION("GOOGLETRANSLATE(F220, ""auto"", ""en"")
"),"Wonderful meat grinder! A little noisy, but powerful. The beef was ground to perfection.")</f>
        <v>Wonderful meat grinder! A little noisy, but powerful. The beef was ground to perfection.</v>
      </c>
    </row>
    <row r="221" spans="1:9" x14ac:dyDescent="0.3">
      <c r="A221" s="1" t="s">
        <v>89</v>
      </c>
      <c r="B221" s="1" t="s">
        <v>90</v>
      </c>
      <c r="C221" s="1" t="s">
        <v>745</v>
      </c>
      <c r="D221" s="1" t="s">
        <v>335</v>
      </c>
      <c r="E221" s="1" t="s">
        <v>746</v>
      </c>
      <c r="F221" s="1" t="s">
        <v>747</v>
      </c>
      <c r="G221" s="1" t="s">
        <v>36</v>
      </c>
      <c r="H221" s="1" t="s">
        <v>29</v>
      </c>
      <c r="I221" s="1" t="str">
        <f ca="1">IFERROR(__xludf.DUMMYFUNCTION("GOOGLETRANSLATE(F221, ""auto"", ""en"")
"),"grinds quickly ")</f>
        <v xml:space="preserve">grinds quickly </v>
      </c>
    </row>
    <row r="222" spans="1:9" x14ac:dyDescent="0.3">
      <c r="A222" s="1" t="s">
        <v>120</v>
      </c>
      <c r="B222" s="1" t="s">
        <v>121</v>
      </c>
      <c r="C222" s="1" t="s">
        <v>80</v>
      </c>
      <c r="D222" s="1" t="s">
        <v>52</v>
      </c>
      <c r="E222" s="1" t="s">
        <v>606</v>
      </c>
      <c r="F222" s="1" t="s">
        <v>748</v>
      </c>
      <c r="G222" s="1" t="s">
        <v>36</v>
      </c>
      <c r="H222" s="1" t="s">
        <v>29</v>
      </c>
      <c r="I222" s="1" t="str">
        <f ca="1">IFERROR(__xludf.DUMMYFUNCTION("GOOGLETRANSLATE(F222, ""auto"", ""en"")
"),"The TV is excellent, but I can’t figure out how to unlock the USB for watching videos (using LEDs or some other method), please tell me.")</f>
        <v>The TV is excellent, but I can’t figure out how to unlock the USB for watching videos (using LEDs or some other method), please tell me.</v>
      </c>
    </row>
    <row r="223" spans="1:9" x14ac:dyDescent="0.3">
      <c r="A223" s="1" t="s">
        <v>30</v>
      </c>
      <c r="B223" s="1" t="s">
        <v>31</v>
      </c>
      <c r="C223" s="1" t="s">
        <v>377</v>
      </c>
      <c r="D223" s="1" t="s">
        <v>749</v>
      </c>
      <c r="E223" s="1" t="s">
        <v>750</v>
      </c>
      <c r="F223" s="1" t="s">
        <v>751</v>
      </c>
      <c r="G223" s="1" t="s">
        <v>36</v>
      </c>
      <c r="H223" s="1" t="s">
        <v>29</v>
      </c>
      <c r="I223" s="1" t="str">
        <f ca="1">IFERROR(__xludf.DUMMYFUNCTION("GOOGLETRANSLATE(F223, ""auto"", ""en"")
"),"wonderful powerful machine! special thanks to the store consultants!!! very happy with the purchase!!!")</f>
        <v>wonderful powerful machine! special thanks to the store consultants!!! very happy with the purchase!!!</v>
      </c>
    </row>
    <row r="224" spans="1:9" x14ac:dyDescent="0.3">
      <c r="A224" s="1" t="s">
        <v>55</v>
      </c>
      <c r="B224" s="1" t="s">
        <v>752</v>
      </c>
      <c r="C224" s="1" t="s">
        <v>185</v>
      </c>
      <c r="D224" s="1" t="s">
        <v>247</v>
      </c>
      <c r="E224" s="1" t="s">
        <v>753</v>
      </c>
      <c r="F224" s="1" t="s">
        <v>754</v>
      </c>
      <c r="G224" s="1" t="s">
        <v>36</v>
      </c>
      <c r="H224" s="1" t="s">
        <v>29</v>
      </c>
      <c r="I224" s="1" t="str">
        <f ca="1">IFERROR(__xludf.DUMMYFUNCTION("GOOGLETRANSLATE(F224, ""auto"", ""en"")
"),"We bought it this September, used it for 1 week until we started heating it, for a room of 20 sq.m. So far we are happy - it heats up quickly enough, there was no smell. But they always turned it on to maximum. We liked the design too. The wheels are fold"&amp;"able.")</f>
        <v>We bought it this September, used it for 1 week until we started heating it, for a room of 20 sq.m. So far we are happy - it heats up quickly enough, there was no smell. But they always turned it on to maximum. We liked the design too. The wheels are foldable.</v>
      </c>
    </row>
    <row r="225" spans="1:9" x14ac:dyDescent="0.3">
      <c r="A225" s="1" t="s">
        <v>17</v>
      </c>
      <c r="B225" s="1" t="s">
        <v>18</v>
      </c>
      <c r="C225" s="1" t="s">
        <v>243</v>
      </c>
      <c r="D225" s="1" t="s">
        <v>589</v>
      </c>
      <c r="E225" s="1" t="s">
        <v>755</v>
      </c>
      <c r="F225" s="1" t="s">
        <v>756</v>
      </c>
      <c r="G225" s="1" t="s">
        <v>15</v>
      </c>
      <c r="H225" s="1" t="s">
        <v>16</v>
      </c>
      <c r="I225" s="1" t="str">
        <f ca="1">IFERROR(__xludf.DUMMYFUNCTION("GOOGLETRANSLATE(F225, ""auto"", ""en"")
"),"I have been using this model for 8 years. It broke down several times. It fits really well in a small bathroom, but that's the only plus. Cons: there is no function without spin (even if you turn on the spin button, the laundry spins to “bless you” and th"&amp;"ere is no difference); the laundry is terribly wrinkled after washing, the ironing station does not iron it completely; things stretch (apparently due to the narrow drum); the ""Gentle Wash"" function is just a hoax; the “delayed start” function starts on"&amp;"ly at 3 o’clock; very noisy. In general, I will never buy again.")</f>
        <v>I have been using this model for 8 years. It broke down several times. It fits really well in a small bathroom, but that's the only plus. Cons: there is no function without spin (even if you turn on the spin button, the laundry spins to “bless you” and there is no difference); the laundry is terribly wrinkled after washing, the ironing station does not iron it completely; things stretch (apparently due to the narrow drum); the "Gentle Wash" function is just a hoax; the “delayed start” function starts only at 3 o’clock; very noisy. In general, I will never buy again.</v>
      </c>
    </row>
    <row r="226" spans="1:9" x14ac:dyDescent="0.3">
      <c r="A226" s="1" t="s">
        <v>757</v>
      </c>
      <c r="B226" s="1" t="s">
        <v>758</v>
      </c>
      <c r="C226" s="1" t="s">
        <v>160</v>
      </c>
      <c r="D226" s="1" t="s">
        <v>759</v>
      </c>
      <c r="E226" s="1" t="s">
        <v>760</v>
      </c>
      <c r="F226" s="1" t="s">
        <v>761</v>
      </c>
      <c r="G226" s="1" t="s">
        <v>36</v>
      </c>
      <c r="H226" s="1" t="s">
        <v>29</v>
      </c>
      <c r="I226" s="1" t="str">
        <f ca="1">IFERROR(__xludf.DUMMYFUNCTION("GOOGLETRANSLATE(F226, ""auto"", ""en"")
"),"A miniature subwoofer that corrects bass deficiencies with a solid A+! The bass response is amazing! Before buying it, I thought that I would never be able to listen to something with rich low frequencies on my acoustics, but it turned out that this was n"&amp;"ot the case. Now I enjoy recordings of Depeche Mode concerts in excellent quality. I completely feel like I’m standing in the front row in front of Dave and Martin! A three-hundred-watt digital amplifier is a truly powerful thing! With such data, the sub "&amp;"should be huge, but the body is quite small! looks gorgeous in white!")</f>
        <v>A miniature subwoofer that corrects bass deficiencies with a solid A+! The bass response is amazing! Before buying it, I thought that I would never be able to listen to something with rich low frequencies on my acoustics, but it turned out that this was not the case. Now I enjoy recordings of Depeche Mode concerts in excellent quality. I completely feel like I’m standing in the front row in front of Dave and Martin! A three-hundred-watt digital amplifier is a truly powerful thing! With such data, the sub should be huge, but the body is quite small! looks gorgeous in white!</v>
      </c>
    </row>
    <row r="227" spans="1:9" x14ac:dyDescent="0.3">
      <c r="A227" s="1" t="s">
        <v>9</v>
      </c>
      <c r="B227" s="1" t="s">
        <v>10</v>
      </c>
      <c r="C227" s="1" t="s">
        <v>407</v>
      </c>
      <c r="D227" s="1" t="s">
        <v>762</v>
      </c>
      <c r="E227" s="1" t="s">
        <v>763</v>
      </c>
      <c r="F227" s="1" t="s">
        <v>764</v>
      </c>
      <c r="G227" s="1" t="s">
        <v>36</v>
      </c>
      <c r="H227" s="1" t="s">
        <v>29</v>
      </c>
      <c r="I227" s="1" t="str">
        <f ca="1">IFERROR(__xludf.DUMMYFUNCTION("GOOGLETRANSLATE(F227, ""auto"", ""en"")
"),"There are no problems, it pulls out well))) It makes noise, of course, at 3 and 4 speeds, but it’s tolerable) And it’s very beautiful - no need to close it)))")</f>
        <v>There are no problems, it pulls out well))) It makes noise, of course, at 3 and 4 speeds, but it’s tolerable) And it’s very beautiful - no need to close it)))</v>
      </c>
    </row>
    <row r="228" spans="1:9" x14ac:dyDescent="0.3">
      <c r="A228" s="1" t="s">
        <v>67</v>
      </c>
      <c r="B228" s="1" t="s">
        <v>68</v>
      </c>
      <c r="C228" s="1" t="s">
        <v>69</v>
      </c>
      <c r="D228" s="1" t="s">
        <v>765</v>
      </c>
      <c r="E228" s="1" t="s">
        <v>766</v>
      </c>
      <c r="F228" s="1" t="s">
        <v>767</v>
      </c>
      <c r="G228" s="1" t="s">
        <v>36</v>
      </c>
      <c r="H228" s="1" t="s">
        <v>29</v>
      </c>
      <c r="I228" s="1" t="str">
        <f ca="1">IFERROR(__xludf.DUMMYFUNCTION("GOOGLETRANSLATE(F228, ""auto"", ""en"")
"),"I’ve been using it for a long time, probably about 3 years, it’s a good iron, but now I want to buy something else, but from this company!")</f>
        <v>I’ve been using it for a long time, probably about 3 years, it’s a good iron, but now I want to buy something else, but from this company!</v>
      </c>
    </row>
    <row r="229" spans="1:9" x14ac:dyDescent="0.3">
      <c r="A229" s="1" t="s">
        <v>61</v>
      </c>
      <c r="B229" s="1" t="s">
        <v>73</v>
      </c>
      <c r="C229" s="1" t="s">
        <v>85</v>
      </c>
      <c r="D229" s="1" t="s">
        <v>768</v>
      </c>
      <c r="E229" s="1" t="s">
        <v>769</v>
      </c>
      <c r="F229" s="1" t="s">
        <v>770</v>
      </c>
      <c r="G229" s="1" t="s">
        <v>49</v>
      </c>
      <c r="H229" s="1" t="s">
        <v>16</v>
      </c>
      <c r="I229" s="1" t="str">
        <f ca="1">IFERROR(__xludf.DUMMYFUNCTION("GOOGLETRANSLATE(F229, ""auto"", ""en"")
"),"I couldn’t even imagine that such a wonderful brand (we are very happy with the juicer) produces such low-quality products. At the time of purchase, it was one of the most expensive electric meat grinders in M-Video. In the end, my disappointment knew no "&amp;"bounds. It works very slowly, the meat on the ring with medium holes comes out with the consistency of pate from 3-5 holes, everything else gets clogged. I took it apart and cleaned the veins wound around the knife. A lot of meat remained on the shaft. I "&amp;"twisted 1.5 kg of tenderloin 15!!!!!! min. It’s a pity there wasn’t an ordinary manual meat grinder, the process would have ended much faster. Then I studied reviews on different sites, everything is described the same way. There is only one advantage - s"&amp;"ilent.  On a five-point scale, a confident ONE.")</f>
        <v>I couldn’t even imagine that such a wonderful brand (we are very happy with the juicer) produces such low-quality products. At the time of purchase, it was one of the most expensive electric meat grinders in M-Video. In the end, my disappointment knew no bounds. It works very slowly, the meat on the ring with medium holes comes out with the consistency of pate from 3-5 holes, everything else gets clogged. I took it apart and cleaned the veins wound around the knife. A lot of meat remained on the shaft. I twisted 1.5 kg of tenderloin 15!!!!!! min. It’s a pity there wasn’t an ordinary manual meat grinder, the process would have ended much faster. Then I studied reviews on different sites, everything is described the same way. There is only one advantage - silent.  On a five-point scale, a confident ONE.</v>
      </c>
    </row>
    <row r="230" spans="1:9" x14ac:dyDescent="0.3">
      <c r="A230" s="1" t="s">
        <v>17</v>
      </c>
      <c r="B230" s="1" t="s">
        <v>18</v>
      </c>
      <c r="C230" s="1" t="s">
        <v>63</v>
      </c>
      <c r="D230" s="1" t="s">
        <v>771</v>
      </c>
      <c r="E230" s="1" t="s">
        <v>772</v>
      </c>
      <c r="F230" s="1" t="s">
        <v>773</v>
      </c>
      <c r="G230" s="1" t="s">
        <v>28</v>
      </c>
      <c r="H230" s="1" t="s">
        <v>29</v>
      </c>
      <c r="I230" s="1" t="str">
        <f ca="1">IFERROR(__xludf.DUMMYFUNCTION("GOOGLETRANSLATE(F230, ""auto"", ""en"")
"),"The car is great! I've been using it for a month. Exceeded all my hopes. Quiet and compact. But I just don’t understand - the container for the rinse aid is sealed and doesn’t work. It is written only about the whitening function - it doesn’t work, but he"&amp;"re you can’t add conditioner. This is what made me very sad. What should I do now - sit and watch while it’s washing, stop the wash, open the drum and pour Conder directly onto the laundry, and then start the rinse?")</f>
        <v>The car is great! I've been using it for a month. Exceeded all my hopes. Quiet and compact. But I just don’t understand - the container for the rinse aid is sealed and doesn’t work. It is written only about the whitening function - it doesn’t work, but here you can’t add conditioner. This is what made me very sad. What should I do now - sit and watch while it’s washing, stop the wash, open the drum and pour Conder directly onto the laundry, and then start the rinse?</v>
      </c>
    </row>
    <row r="231" spans="1:9" x14ac:dyDescent="0.3">
      <c r="A231" s="1" t="s">
        <v>105</v>
      </c>
      <c r="B231" s="1" t="s">
        <v>106</v>
      </c>
      <c r="C231" s="1" t="s">
        <v>151</v>
      </c>
      <c r="D231" s="1" t="s">
        <v>774</v>
      </c>
      <c r="E231" s="1" t="s">
        <v>775</v>
      </c>
      <c r="F231" s="1" t="s">
        <v>776</v>
      </c>
      <c r="G231" s="1" t="s">
        <v>36</v>
      </c>
      <c r="H231" s="1" t="s">
        <v>29</v>
      </c>
      <c r="I231" s="1" t="str">
        <f ca="1">IFERROR(__xludf.DUMMYFUNCTION("GOOGLETRANSLATE(F231, ""auto"", ""en"")
"),"The player is simply great. For those who love listening to music, this is it. Easy to use and looks stylish. As for the headphones included in the kit, I can say that they are normal. There is no need to rush into buying others. I advise you to buy it, y"&amp;"ou won’t regret it.")</f>
        <v>The player is simply great. For those who love listening to music, this is it. Easy to use and looks stylish. As for the headphones included in the kit, I can say that they are normal. There is no need to rush into buying others. I advise you to buy it, you won’t regret it.</v>
      </c>
    </row>
    <row r="232" spans="1:9" x14ac:dyDescent="0.3">
      <c r="A232" s="1" t="s">
        <v>211</v>
      </c>
      <c r="B232" s="1" t="s">
        <v>212</v>
      </c>
      <c r="C232" s="1" t="s">
        <v>294</v>
      </c>
      <c r="D232" s="1" t="s">
        <v>545</v>
      </c>
      <c r="E232" s="1" t="s">
        <v>777</v>
      </c>
      <c r="F232" s="1" t="s">
        <v>778</v>
      </c>
      <c r="G232" s="1" t="s">
        <v>36</v>
      </c>
      <c r="H232" s="1" t="s">
        <v>29</v>
      </c>
      <c r="I232" s="1" t="str">
        <f ca="1">IFERROR(__xludf.DUMMYFUNCTION("GOOGLETRANSLATE(F232, ""auto"", ""en"")
"),"I bought it a month ago and am very pleased!   It glides through the hair very easily, no effort is needed to curl the hair, the straightening process is reduced in time by about 30%.")</f>
        <v>I bought it a month ago and am very pleased!   It glides through the hair very easily, no effort is needed to curl the hair, the straightening process is reduced in time by about 30%.</v>
      </c>
    </row>
    <row r="233" spans="1:9" x14ac:dyDescent="0.3">
      <c r="A233" s="1" t="s">
        <v>37</v>
      </c>
      <c r="B233" s="1" t="s">
        <v>38</v>
      </c>
      <c r="C233" s="1" t="s">
        <v>151</v>
      </c>
      <c r="D233" s="1" t="s">
        <v>326</v>
      </c>
      <c r="E233" s="1" t="s">
        <v>779</v>
      </c>
      <c r="F233" s="1" t="s">
        <v>780</v>
      </c>
      <c r="G233" s="1" t="s">
        <v>36</v>
      </c>
      <c r="H233" s="1" t="s">
        <v>29</v>
      </c>
      <c r="I233" s="1" t="str">
        <f ca="1">IFERROR(__xludf.DUMMYFUNCTION("GOOGLETRANSLATE(F233, ""auto"", ""en"")
"),"To be honest, I generally like Samsung phones, for me their menu is just a fairy tale. I first purchased this phone model in March 2009, why the first one, because it was stolen from me (and who needed it), I have now ordered exactly the same SILVER, I am"&amp;" waiting for delivery on November 18th. They say that this model has been discontinued, or at least that's what phone companies say, but I found it and I'm very pleased. Value for money. Super!")</f>
        <v>To be honest, I generally like Samsung phones, for me their menu is just a fairy tale. I first purchased this phone model in March 2009, why the first one, because it was stolen from me (and who needed it), I have now ordered exactly the same SILVER, I am waiting for delivery on November 18th. They say that this model has been discontinued, or at least that's what phone companies say, but I found it and I'm very pleased. Value for money. Super!</v>
      </c>
    </row>
    <row r="234" spans="1:9" x14ac:dyDescent="0.3">
      <c r="A234" s="1" t="s">
        <v>169</v>
      </c>
      <c r="B234" s="1" t="s">
        <v>170</v>
      </c>
      <c r="C234" s="1" t="s">
        <v>97</v>
      </c>
      <c r="D234" s="1" t="s">
        <v>305</v>
      </c>
      <c r="E234" s="1" t="s">
        <v>781</v>
      </c>
      <c r="F234" s="1" t="s">
        <v>782</v>
      </c>
      <c r="G234" s="1" t="s">
        <v>36</v>
      </c>
      <c r="H234" s="1" t="s">
        <v>29</v>
      </c>
      <c r="I234" s="1" t="str">
        <f ca="1">IFERROR(__xludf.DUMMYFUNCTION("GOOGLETRANSLATE(F234, ""auto"", ""en"")
"),"Very good headphones. For the price, quite a worthy option! I chose them mainly for listening to music and watching movies on the computer (the player has Creative inserts). I didn't notice any significant downsides. And don’t forget that this is not Hi-E"&amp;"nd, as Yuri wrote. P.s. The assembly, by the way, is also Thailand, but so far I have not found any defects.")</f>
        <v>Very good headphones. For the price, quite a worthy option! I chose them mainly for listening to music and watching movies on the computer (the player has Creative inserts). I didn't notice any significant downsides. And don’t forget that this is not Hi-End, as Yuri wrote. P.s. The assembly, by the way, is also Thailand, but so far I have not found any defects.</v>
      </c>
    </row>
    <row r="235" spans="1:9" x14ac:dyDescent="0.3">
      <c r="A235" s="1" t="s">
        <v>95</v>
      </c>
      <c r="B235" s="1" t="s">
        <v>486</v>
      </c>
      <c r="C235" s="1" t="s">
        <v>487</v>
      </c>
      <c r="D235" s="1" t="s">
        <v>783</v>
      </c>
      <c r="E235" s="1" t="s">
        <v>784</v>
      </c>
      <c r="F235" s="1" t="s">
        <v>785</v>
      </c>
      <c r="G235" s="1" t="s">
        <v>36</v>
      </c>
      <c r="H235" s="1" t="s">
        <v>29</v>
      </c>
      <c r="I235" s="1" t="str">
        <f ca="1">IFERROR(__xludf.DUMMYFUNCTION("GOOGLETRANSLATE(F235, ""auto"", ""en"")
"),"I really wanted to buy an xbox 360. I went to all the stores and couldn’t find it anywhere. Damn, when will they bring it to Mvideo? And a friend has this console. He likes it very much. I also want to buy it.")</f>
        <v>I really wanted to buy an xbox 360. I went to all the stores and couldn’t find it anywhere. Damn, when will they bring it to Mvideo? And a friend has this console. He likes it very much. I also want to buy it.</v>
      </c>
    </row>
    <row r="236" spans="1:9" x14ac:dyDescent="0.3">
      <c r="A236" s="1" t="s">
        <v>61</v>
      </c>
      <c r="B236" s="1" t="s">
        <v>318</v>
      </c>
      <c r="C236" s="1" t="s">
        <v>63</v>
      </c>
      <c r="D236" s="1" t="s">
        <v>786</v>
      </c>
      <c r="E236" s="1" t="s">
        <v>787</v>
      </c>
      <c r="F236" s="1" t="s">
        <v>788</v>
      </c>
      <c r="G236" s="1" t="s">
        <v>28</v>
      </c>
      <c r="H236" s="1" t="s">
        <v>29</v>
      </c>
      <c r="I236" s="1" t="str">
        <f ca="1">IFERROR(__xludf.DUMMYFUNCTION("GOOGLETRANSLATE(F236, ""auto"", ""en"")
"),"disadvantage: it works loudly, when you talk on a mobile phone, they ask what kind of tank you have there?..)) But it still works! I stayed for two years, after that I was temporarily sent to school, I stayed there for a year, they returned me, or rather,"&amp;" they finished me off - it doesn’t heat the water. I gave it for repair - it has a one-year warranty - to my friends for repair, now at the dacha, it spent the winter and is working.")</f>
        <v>disadvantage: it works loudly, when you talk on a mobile phone, they ask what kind of tank you have there?..)) But it still works! I stayed for two years, after that I was temporarily sent to school, I stayed there for a year, they returned me, or rather, they finished me off - it doesn’t heat the water. I gave it for repair - it has a one-year warranty - to my friends for repair, now at the dacha, it spent the winter and is working.</v>
      </c>
    </row>
    <row r="237" spans="1:9" x14ac:dyDescent="0.3">
      <c r="A237" s="1" t="s">
        <v>211</v>
      </c>
      <c r="B237" s="1" t="s">
        <v>789</v>
      </c>
      <c r="C237" s="1" t="s">
        <v>69</v>
      </c>
      <c r="D237" s="1" t="s">
        <v>232</v>
      </c>
      <c r="E237" s="1" t="s">
        <v>147</v>
      </c>
      <c r="F237" s="1" t="s">
        <v>790</v>
      </c>
      <c r="G237" s="1" t="s">
        <v>49</v>
      </c>
      <c r="H237" s="1" t="s">
        <v>16</v>
      </c>
      <c r="I237" s="1" t="str">
        <f ca="1">IFERROR(__xludf.DUMMYFUNCTION("GOOGLETRANSLATE(F237, ""auto"", ""en"")
"),"An absolutely pointless and inconvenient thing. It heats up very poorly, I had to experiment for a long time with the volume of water and the set volume of baby food to achieve the desired result. Because the standard calculation table for heating water s"&amp;"upplied with the device is absurd - everything turns out cold. Terribly disappointed.")</f>
        <v>An absolutely pointless and inconvenient thing. It heats up very poorly, I had to experiment for a long time with the volume of water and the set volume of baby food to achieve the desired result. Because the standard calculation table for heating water supplied with the device is absurd - everything turns out cold. Terribly disappointed.</v>
      </c>
    </row>
    <row r="238" spans="1:9" x14ac:dyDescent="0.3">
      <c r="A238" s="1" t="s">
        <v>61</v>
      </c>
      <c r="B238" s="1" t="s">
        <v>318</v>
      </c>
      <c r="C238" s="1" t="s">
        <v>45</v>
      </c>
      <c r="D238" s="1" t="s">
        <v>791</v>
      </c>
      <c r="E238" s="1" t="s">
        <v>792</v>
      </c>
      <c r="F238" s="1" t="s">
        <v>793</v>
      </c>
      <c r="G238" s="1" t="s">
        <v>28</v>
      </c>
      <c r="H238" s="1" t="s">
        <v>29</v>
      </c>
      <c r="I238" s="1" t="str">
        <f ca="1">IFERROR(__xludf.DUMMYFUNCTION("GOOGLETRANSLATE(F238, ""auto"", ""en"")
"),"The kettle is very beautiful and convenient!")</f>
        <v>The kettle is very beautiful and convenient!</v>
      </c>
    </row>
    <row r="239" spans="1:9" x14ac:dyDescent="0.3">
      <c r="A239" s="1" t="s">
        <v>30</v>
      </c>
      <c r="B239" s="1" t="s">
        <v>50</v>
      </c>
      <c r="C239" s="1" t="s">
        <v>51</v>
      </c>
      <c r="D239" s="1" t="s">
        <v>327</v>
      </c>
      <c r="E239" s="1" t="s">
        <v>794</v>
      </c>
      <c r="F239" s="1" t="s">
        <v>795</v>
      </c>
      <c r="G239" s="1" t="s">
        <v>28</v>
      </c>
      <c r="H239" s="1" t="s">
        <v>29</v>
      </c>
      <c r="I239" s="1" t="str">
        <f ca="1">IFERROR(__xludf.DUMMYFUNCTION("GOOGLETRANSLATE(F239, ""auto"", ""en"")
"),"Build quality 4+ Performance for the money 5+ Battery lasts for 3 hours exactly NFS SHIFT went on minimal without a single glitch The screen reproduces colors very well and the grain is very fine, gives the feeling of a photograph on the screen, I work on"&amp;" a wide range of applications everything works 5+ There was only one problem: on the second day the touch pad refused to work and I had to replace the laptop.")</f>
        <v>Build quality 4+ Performance for the money 5+ Battery lasts for 3 hours exactly NFS SHIFT went on minimal without a single glitch The screen reproduces colors very well and the grain is very fine, gives the feeling of a photograph on the screen, I work on a wide range of applications everything works 5+ There was only one problem: on the second day the touch pad refused to work and I had to replace the laptop.</v>
      </c>
    </row>
    <row r="240" spans="1:9" x14ac:dyDescent="0.3">
      <c r="A240" s="1" t="s">
        <v>43</v>
      </c>
      <c r="B240" s="1" t="s">
        <v>219</v>
      </c>
      <c r="C240" s="1" t="s">
        <v>665</v>
      </c>
      <c r="D240" s="1" t="s">
        <v>52</v>
      </c>
      <c r="E240" s="1" t="s">
        <v>796</v>
      </c>
      <c r="F240" s="1" t="s">
        <v>797</v>
      </c>
      <c r="G240" s="1" t="s">
        <v>36</v>
      </c>
      <c r="H240" s="1" t="s">
        <v>29</v>
      </c>
      <c r="I240" s="1" t="str">
        <f ca="1">IFERROR(__xludf.DUMMYFUNCTION("GOOGLETRANSLATE(F240, ""auto"", ""en"")
"),"It is practically invisible, and heats the water quickly and at the desired temperature, in addition to how the thermos maintains it. It uses electricity economically, as there is an automatic switch! I recommend it to everyone!")</f>
        <v>It is practically invisible, and heats the water quickly and at the desired temperature, in addition to how the thermos maintains it. It uses electricity economically, as there is an automatic switch! I recommend it to everyone!</v>
      </c>
    </row>
    <row r="241" spans="1:9" x14ac:dyDescent="0.3">
      <c r="A241" s="1" t="s">
        <v>169</v>
      </c>
      <c r="B241" s="1" t="s">
        <v>170</v>
      </c>
      <c r="C241" s="1" t="s">
        <v>69</v>
      </c>
      <c r="D241" s="1" t="s">
        <v>335</v>
      </c>
      <c r="E241" s="1" t="s">
        <v>798</v>
      </c>
      <c r="F241" s="1" t="s">
        <v>799</v>
      </c>
      <c r="G241" s="1" t="s">
        <v>36</v>
      </c>
      <c r="H241" s="1" t="s">
        <v>29</v>
      </c>
      <c r="I241" s="1" t="str">
        <f ca="1">IFERROR(__xludf.DUMMYFUNCTION("GOOGLETRANSLATE(F241, ""auto"", ""en"")
"),"I bought headphones for my husband on February 23, he is very well versed in acoustics and loves high-quality sound! It took me a long time to choose, I didn’t want to disappoint.   And I was able to please him! My husband is delighted!!! The sound is exc"&amp;"ellent, the ears fit quite comfortably, the cord is quite long, a wonderful thing for home use. I recommend this model!  The quality is top notch!")</f>
        <v>I bought headphones for my husband on February 23, he is very well versed in acoustics and loves high-quality sound! It took me a long time to choose, I didn’t want to disappoint.   And I was able to please him! My husband is delighted!!! The sound is excellent, the ears fit quite comfortably, the cord is quite long, a wonderful thing for home use. I recommend this model!  The quality is top notch!</v>
      </c>
    </row>
    <row r="242" spans="1:9" x14ac:dyDescent="0.3">
      <c r="A242" s="1" t="s">
        <v>30</v>
      </c>
      <c r="B242" s="1" t="s">
        <v>31</v>
      </c>
      <c r="C242" s="1" t="s">
        <v>32</v>
      </c>
      <c r="D242" s="1" t="s">
        <v>308</v>
      </c>
      <c r="E242" s="1" t="s">
        <v>800</v>
      </c>
      <c r="F242" s="1" t="s">
        <v>801</v>
      </c>
      <c r="G242" s="1" t="s">
        <v>36</v>
      </c>
      <c r="H242" s="1" t="s">
        <v>29</v>
      </c>
      <c r="I242" s="1" t="str">
        <f ca="1">IFERROR(__xludf.DUMMYFUNCTION("GOOGLETRANSLATE(F242, ""auto"", ""en"")
"),"Cool computer! Suitable for everything and more! With such power!")</f>
        <v>Cool computer! Suitable for everything and more! With such power!</v>
      </c>
    </row>
    <row r="243" spans="1:9" x14ac:dyDescent="0.3">
      <c r="A243" s="1" t="s">
        <v>17</v>
      </c>
      <c r="B243" s="1" t="s">
        <v>18</v>
      </c>
      <c r="C243" s="1" t="s">
        <v>19</v>
      </c>
      <c r="D243" s="1" t="s">
        <v>326</v>
      </c>
      <c r="E243" s="1" t="s">
        <v>802</v>
      </c>
      <c r="F243" s="1" t="s">
        <v>803</v>
      </c>
      <c r="G243" s="1" t="s">
        <v>49</v>
      </c>
      <c r="H243" s="1" t="s">
        <v>16</v>
      </c>
      <c r="I243" s="1" t="str">
        <f ca="1">IFERROR(__xludf.DUMMYFUNCTION("GOOGLETRANSLATE(F243, ""auto"", ""en"")
"),"A new washing machine that is only 2 years old has a broken bearing! BUT the drum is not removable!!! Disposable washing machine!!!! Money down the drain!!!")</f>
        <v>A new washing machine that is only 2 years old has a broken bearing! BUT the drum is not removable!!! Disposable washing machine!!!! Money down the drain!!!</v>
      </c>
    </row>
    <row r="244" spans="1:9" x14ac:dyDescent="0.3">
      <c r="A244" s="1" t="s">
        <v>61</v>
      </c>
      <c r="B244" s="1" t="s">
        <v>318</v>
      </c>
      <c r="C244" s="1" t="s">
        <v>246</v>
      </c>
      <c r="D244" s="1" t="s">
        <v>203</v>
      </c>
      <c r="E244" s="1" t="s">
        <v>804</v>
      </c>
      <c r="F244" s="1" t="s">
        <v>805</v>
      </c>
      <c r="G244" s="1" t="s">
        <v>49</v>
      </c>
      <c r="H244" s="1" t="s">
        <v>16</v>
      </c>
      <c r="I244" s="1" t="str">
        <f ca="1">IFERROR(__xludf.DUMMYFUNCTION("GOOGLETRANSLATE(F244, ""auto"", ""en"")
"),"After 4 months the lid fell into pieces. The lid is a sore spot for many teapots, but for something like this... this is the first time I’ve come across such poor quality, and there were different ones - Tefal, Scarlet, Filipok and Noname.")</f>
        <v>After 4 months the lid fell into pieces. The lid is a sore spot for many teapots, but for something like this... this is the first time I’ve come across such poor quality, and there were different ones - Tefal, Scarlet, Filipok and Noname.</v>
      </c>
    </row>
    <row r="245" spans="1:9" x14ac:dyDescent="0.3">
      <c r="A245" s="1" t="s">
        <v>282</v>
      </c>
      <c r="B245" s="1" t="s">
        <v>806</v>
      </c>
      <c r="C245" s="1" t="s">
        <v>284</v>
      </c>
      <c r="D245" s="1" t="s">
        <v>807</v>
      </c>
      <c r="E245" s="1" t="s">
        <v>808</v>
      </c>
      <c r="F245" s="1" t="s">
        <v>809</v>
      </c>
      <c r="G245" s="1" t="s">
        <v>36</v>
      </c>
      <c r="H245" s="1" t="s">
        <v>29</v>
      </c>
      <c r="I245" s="1" t="str">
        <f ca="1">IFERROR(__xludf.DUMMYFUNCTION("GOOGLETRANSLATE(F245, ""auto"", ""en"")
"),"The film is really strong. Definitely worth watching.")</f>
        <v>The film is really strong. Definitely worth watching.</v>
      </c>
    </row>
    <row r="246" spans="1:9" x14ac:dyDescent="0.3">
      <c r="A246" s="1" t="s">
        <v>211</v>
      </c>
      <c r="B246" s="1" t="s">
        <v>212</v>
      </c>
      <c r="C246" s="1" t="s">
        <v>69</v>
      </c>
      <c r="D246" s="1" t="s">
        <v>64</v>
      </c>
      <c r="E246" s="1" t="s">
        <v>794</v>
      </c>
      <c r="F246" s="1" t="s">
        <v>810</v>
      </c>
      <c r="G246" s="1" t="s">
        <v>36</v>
      </c>
      <c r="H246" s="1" t="s">
        <v>29</v>
      </c>
      <c r="I246" s="1" t="str">
        <f ca="1">IFERROR(__xludf.DUMMYFUNCTION("GOOGLETRANSLATE(F246, ""auto"", ""en"")
"),"I am completely satisfied with this multi-styler, it heats up quickly enough, the curls hold perfectly, and straightens well. I tried all the attachments, I am VERY SATISFIED with them all!!! I didn’t regret it for a minute!")</f>
        <v>I am completely satisfied with this multi-styler, it heats up quickly enough, the curls hold perfectly, and straightens well. I tried all the attachments, I am VERY SATISFIED with them all!!! I didn’t regret it for a minute!</v>
      </c>
    </row>
    <row r="247" spans="1:9" x14ac:dyDescent="0.3">
      <c r="A247" s="1" t="s">
        <v>811</v>
      </c>
      <c r="B247" s="1" t="s">
        <v>812</v>
      </c>
      <c r="C247" s="1" t="s">
        <v>813</v>
      </c>
      <c r="D247" s="1" t="s">
        <v>127</v>
      </c>
      <c r="E247" s="1" t="s">
        <v>814</v>
      </c>
      <c r="F247" s="1" t="s">
        <v>815</v>
      </c>
      <c r="G247" s="1" t="s">
        <v>28</v>
      </c>
      <c r="H247" s="1" t="s">
        <v>29</v>
      </c>
      <c r="I247" s="1" t="str">
        <f ca="1">IFERROR(__xludf.DUMMYFUNCTION("GOOGLETRANSLATE(F247, ""auto"", ""en"")
"),"I took this tripod in August for filming on a trip. Overall, the tripod is good and convenient. But when disassembling it for the nth time, the lower leg began to jam, and soon the plastic sleeve cracked and fell out. You can use a tripod without a bushin"&amp;"g if you do not extend the lower leg to the maximum.  I'll sell it under warranty and see what they say.")</f>
        <v>I took this tripod in August for filming on a trip. Overall, the tripod is good and convenient. But when disassembling it for the nth time, the lower leg began to jam, and soon the plastic sleeve cracked and fell out. You can use a tripod without a bushing if you do not extend the lower leg to the maximum.  I'll sell it under warranty and see what they say.</v>
      </c>
    </row>
    <row r="248" spans="1:9" x14ac:dyDescent="0.3">
      <c r="A248" s="1" t="s">
        <v>30</v>
      </c>
      <c r="B248" s="1" t="s">
        <v>50</v>
      </c>
      <c r="C248" s="1" t="s">
        <v>189</v>
      </c>
      <c r="D248" s="1" t="s">
        <v>816</v>
      </c>
      <c r="E248" s="1" t="s">
        <v>817</v>
      </c>
      <c r="F248" s="1" t="s">
        <v>818</v>
      </c>
      <c r="G248" s="1" t="s">
        <v>36</v>
      </c>
      <c r="H248" s="1" t="s">
        <v>29</v>
      </c>
      <c r="I248" s="1" t="str">
        <f ca="1">IFERROR(__xludf.DUMMYFUNCTION("GOOGLETRANSLATE(F248, ""auto"", ""en"")
"),"It's been 3 months since I bought the laptop. Everything suits you, the design is impressive, the video card is powerful, it doesn’t get too hot when playing games? because the AMD processor is a new generation. Good package + I took it right away with Wi"&amp;"ndows7HP. The case is not easily soiled, pleasant to the touch, does not leave fingerprints. If you listen to music, you need acoustics - the volume is simply not enough. I recommend, +5.")</f>
        <v>It's been 3 months since I bought the laptop. Everything suits you, the design is impressive, the video card is powerful, it doesn’t get too hot when playing games? because the AMD processor is a new generation. Good package + I took it right away with Windows7HP. The case is not easily soiled, pleasant to the touch, does not leave fingerprints. If you listen to music, you need acoustics - the volume is simply not enough. I recommend, +5.</v>
      </c>
    </row>
    <row r="249" spans="1:9" x14ac:dyDescent="0.3">
      <c r="A249" s="1" t="s">
        <v>61</v>
      </c>
      <c r="B249" s="1" t="s">
        <v>62</v>
      </c>
      <c r="C249" s="1" t="s">
        <v>63</v>
      </c>
      <c r="D249" s="1" t="s">
        <v>819</v>
      </c>
      <c r="E249" s="1" t="s">
        <v>820</v>
      </c>
      <c r="F249" s="1" t="s">
        <v>821</v>
      </c>
      <c r="G249" s="1" t="s">
        <v>28</v>
      </c>
      <c r="H249" s="1" t="s">
        <v>29</v>
      </c>
      <c r="I249" s="1" t="str">
        <f ca="1">IFERROR(__xludf.DUMMYFUNCTION("GOOGLETRANSLATE(F249, ""auto"", ""en"")
"),"I bought it 5 years ago. Pros - it has never broken, it is very convenient, the blender is super. cons - 1. sometimes there is a smell, like a short circuit, 2. the meat either chops into pieces of different sizes or makes it mushy, 3. for vegetables, a d"&amp;"ouble-sided grater is not very suitable, because one side rubs very finely, and the other very coarsely, I would like it to rub finely and medium-sized, 4. there is nowhere to put the attachments, 5. when purchasing, I was choosing between this one and on"&amp;"e with a large number of attachments, but the seller convinced me that if I liked the model, then I could buy additional attachments, but then it turned out that they do not come separately. I was very upset.")</f>
        <v>I bought it 5 years ago. Pros - it has never broken, it is very convenient, the blender is super. cons - 1. sometimes there is a smell, like a short circuit, 2. the meat either chops into pieces of different sizes or makes it mushy, 3. for vegetables, a double-sided grater is not very suitable, because one side rubs very finely, and the other very coarsely, I would like it to rub finely and medium-sized, 4. there is nowhere to put the attachments, 5. when purchasing, I was choosing between this one and one with a large number of attachments, but the seller convinced me that if I liked the model, then I could buy additional attachments, but then it turned out that they do not come separately. I was very upset.</v>
      </c>
    </row>
    <row r="250" spans="1:9" x14ac:dyDescent="0.3">
      <c r="A250" s="1" t="s">
        <v>169</v>
      </c>
      <c r="B250" s="1" t="s">
        <v>170</v>
      </c>
      <c r="C250" s="1" t="s">
        <v>193</v>
      </c>
      <c r="D250" s="1" t="s">
        <v>172</v>
      </c>
      <c r="E250" s="1" t="s">
        <v>822</v>
      </c>
      <c r="F250" s="1" t="s">
        <v>823</v>
      </c>
      <c r="G250" s="1" t="s">
        <v>36</v>
      </c>
      <c r="H250" s="1" t="s">
        <v>29</v>
      </c>
      <c r="I250" s="1" t="str">
        <f ca="1">IFERROR(__xludf.DUMMYFUNCTION("GOOGLETRANSLATE(F250, ""auto"", ""en"")
"),"Good clear sound, for myself I increased the bass a little in the equalizer. In my opinion, they are ideal for listening to progressive rock, classical and trance. Left a very good impression.")</f>
        <v>Good clear sound, for myself I increased the bass a little in the equalizer. In my opinion, they are ideal for listening to progressive rock, classical and trance. Left a very good impression.</v>
      </c>
    </row>
    <row r="251" spans="1:9" x14ac:dyDescent="0.3">
      <c r="A251" s="1" t="s">
        <v>17</v>
      </c>
      <c r="B251" s="1" t="s">
        <v>18</v>
      </c>
      <c r="C251" s="1" t="s">
        <v>290</v>
      </c>
      <c r="D251" s="1" t="s">
        <v>308</v>
      </c>
      <c r="E251" s="1" t="s">
        <v>824</v>
      </c>
      <c r="F251" s="1" t="s">
        <v>825</v>
      </c>
      <c r="G251" s="1" t="s">
        <v>36</v>
      </c>
      <c r="H251" s="1" t="s">
        <v>29</v>
      </c>
      <c r="I251" s="1" t="str">
        <f ca="1">IFERROR(__xludf.DUMMYFUNCTION("GOOGLETRANSLATE(F251, ""auto"", ""en"")
"),"Excellent machine: large loading hatch, quiet, has all the necessary functions. I'm satisfied, rating 5+.  I recommend!!!")</f>
        <v>Excellent machine: large loading hatch, quiet, has all the necessary functions. I'm satisfied, rating 5+.  I recommend!!!</v>
      </c>
    </row>
    <row r="252" spans="1:9" x14ac:dyDescent="0.3">
      <c r="A252" s="1" t="s">
        <v>111</v>
      </c>
      <c r="B252" s="1" t="s">
        <v>636</v>
      </c>
      <c r="C252" s="1" t="s">
        <v>637</v>
      </c>
      <c r="D252" s="1" t="s">
        <v>826</v>
      </c>
      <c r="E252" s="1" t="s">
        <v>626</v>
      </c>
      <c r="F252" s="1" t="s">
        <v>827</v>
      </c>
      <c r="G252" s="1" t="s">
        <v>28</v>
      </c>
      <c r="H252" s="1" t="s">
        <v>29</v>
      </c>
      <c r="I252" s="1" t="str">
        <f ca="1">IFERROR(__xludf.DUMMYFUNCTION("GOOGLETRANSLATE(F252, ""auto"", ""en"")
"),"Good stuff. The main thing is to hang the outdoor sensor correctly - so that it is not in the sun or in the wind. In the first case, the temperature will lie, in the second, the humidity (and, accordingly, the forecast). I hung it on the outside of the wi"&amp;"ndow under the top canopy. Windows facing south. In our area, the sun doesn’t get that low and there’s good protection from the wind. And the snow doesn't stick.  Cons. And where are they not? The screen contrast could have been better, and wall mounting "&amp;"would have been nice. The alarm clock is more fun. Radio control is working (and not once every three months, when the weather permits). And then my friends bought some - then they called and asked why their clocks suddenly change by themselves?  Yes, and"&amp;" automatic summer/winter switching. And the radio control time is GMT, not GMT+1. And in the instructions write how to completely turn off the radio control. And who can tell me why the language is also installed there? Does anything really depend on thes"&amp;"e settings? It’s annoying that when replacing the batteries in the sensor, the station must make friends with it (by resetting and reconfiguring). Everyone here wrote about pressure in “not our” units.  And at least something is expected about the wind fr"&amp;"om the weather station. But... The sensor is of the wrong system.  But, despite everything, I am quite pleased with the contraption. It's definitely worth the money. She solves the tasks assigned to her very successfully. It looks amazing on the shelf, yo"&amp;"u quickly get used to the pressure in pascals (after all, essentially you need high-normal-low, but the specific number is so...). In a word, I recommended and recommend.")</f>
        <v>Good stuff. The main thing is to hang the outdoor sensor correctly - so that it is not in the sun or in the wind. In the first case, the temperature will lie, in the second, the humidity (and, accordingly, the forecast). I hung it on the outside of the window under the top canopy. Windows facing south. In our area, the sun doesn’t get that low and there’s good protection from the wind. And the snow doesn't stick.  Cons. And where are they not? The screen contrast could have been better, and wall mounting would have been nice. The alarm clock is more fun. Radio control is working (and not once every three months, when the weather permits). And then my friends bought some - then they called and asked why their clocks suddenly change by themselves?  Yes, and automatic summer/winter switching. And the radio control time is GMT, not GMT+1. And in the instructions write how to completely turn off the radio control. And who can tell me why the language is also installed there? Does anything really depend on these settings? It’s annoying that when replacing the batteries in the sensor, the station must make friends with it (by resetting and reconfiguring). Everyone here wrote about pressure in “not our” units.  And at least something is expected about the wind from the weather station. But... The sensor is of the wrong system.  But, despite everything, I am quite pleased with the contraption. It's definitely worth the money. She solves the tasks assigned to her very successfully. It looks amazing on the shelf, you quickly get used to the pressure in pascals (after all, essentially you need high-normal-low, but the specific number is so...). In a word, I recommended and recommend.</v>
      </c>
    </row>
    <row r="253" spans="1:9" x14ac:dyDescent="0.3">
      <c r="A253" s="1" t="s">
        <v>43</v>
      </c>
      <c r="B253" s="1" t="s">
        <v>303</v>
      </c>
      <c r="C253" s="1" t="s">
        <v>304</v>
      </c>
      <c r="D253" s="1" t="s">
        <v>828</v>
      </c>
      <c r="E253" s="1" t="s">
        <v>829</v>
      </c>
      <c r="F253" s="1" t="s">
        <v>830</v>
      </c>
      <c r="G253" s="1" t="s">
        <v>28</v>
      </c>
      <c r="H253" s="1" t="s">
        <v>29</v>
      </c>
      <c r="I253" s="1" t="str">
        <f ca="1">IFERROR(__xludf.DUMMYFUNCTION("GOOGLETRANSLATE(F253, ""auto"", ""en"")
"),"I bought it, installed it, checked everything perfectly, no dripping anywhere. In our hostel we are waiting for the water to be turned off;-) I’ll report back in June.")</f>
        <v>I bought it, installed it, checked everything perfectly, no dripping anywhere. In our hostel we are waiting for the water to be turned off;-) I’ll report back in June.</v>
      </c>
    </row>
    <row r="254" spans="1:9" x14ac:dyDescent="0.3">
      <c r="A254" s="1" t="s">
        <v>624</v>
      </c>
      <c r="B254" s="1" t="s">
        <v>625</v>
      </c>
      <c r="C254" s="1" t="s">
        <v>479</v>
      </c>
      <c r="D254" s="1" t="s">
        <v>831</v>
      </c>
      <c r="E254" s="1" t="s">
        <v>832</v>
      </c>
      <c r="F254" s="1" t="s">
        <v>833</v>
      </c>
      <c r="G254" s="1" t="s">
        <v>36</v>
      </c>
      <c r="H254" s="1" t="s">
        <v>29</v>
      </c>
      <c r="I254" s="1" t="str">
        <f ca="1">IFERROR(__xludf.DUMMYFUNCTION("GOOGLETRANSLATE(F254, ""auto"", ""en"")
"),"This is an incredible game. Only Fahrenheit can compare with it. In this title, early game ideas received a logical development. Gorgeous graphics and addictive gameplay. This game-cinema is a new step towards complete realism and indescribable sensations"&amp;" from the game.")</f>
        <v>This is an incredible game. Only Fahrenheit can compare with it. In this title, early game ideas received a logical development. Gorgeous graphics and addictive gameplay. This game-cinema is a new step towards complete realism and indescribable sensations from the game.</v>
      </c>
    </row>
    <row r="255" spans="1:9" x14ac:dyDescent="0.3">
      <c r="A255" s="1" t="s">
        <v>120</v>
      </c>
      <c r="B255" s="1" t="s">
        <v>834</v>
      </c>
      <c r="C255" s="1" t="s">
        <v>151</v>
      </c>
      <c r="D255" s="1" t="s">
        <v>81</v>
      </c>
      <c r="E255" s="1" t="s">
        <v>606</v>
      </c>
      <c r="F255" s="1" t="s">
        <v>835</v>
      </c>
      <c r="G255" s="1" t="s">
        <v>28</v>
      </c>
      <c r="H255" s="1" t="s">
        <v>29</v>
      </c>
      <c r="I255" s="1" t="str">
        <f ca="1">IFERROR(__xludf.DUMMYFUNCTION("GOOGLETRANSLATE(F255, ""auto"", ""en"")
"),"I've been using TV for about 3 months. Everything is fine except for one thing, BUT, at first the melody when turning it on/off was annoying, which is impossible to remove. More precisely, it is removed, but when turned on it is there again. Then I notice"&amp;"d that the same thing happens with the TV settings, they are also reset after turning off. I'm thinking about updating the firmware. Judging by the Internet, it is made for this model only in service centers. If anyone knows how to solve this problem, ple"&amp;"ase help. Thanks in advance. And the TV is very good, especially in terms of price/quality ratio.")</f>
        <v>I've been using TV for about 3 months. Everything is fine except for one thing, BUT, at first the melody when turning it on/off was annoying, which is impossible to remove. More precisely, it is removed, but when turned on it is there again. Then I noticed that the same thing happens with the TV settings, they are also reset after turning off. I'm thinking about updating the firmware. Judging by the Internet, it is made for this model only in service centers. If anyone knows how to solve this problem, please help. Thanks in advance. And the TV is very good, especially in terms of price/quality ratio.</v>
      </c>
    </row>
    <row r="256" spans="1:9" x14ac:dyDescent="0.3">
      <c r="A256" s="1" t="s">
        <v>67</v>
      </c>
      <c r="B256" s="1" t="s">
        <v>340</v>
      </c>
      <c r="C256" s="1" t="s">
        <v>341</v>
      </c>
      <c r="D256" s="1" t="s">
        <v>621</v>
      </c>
      <c r="E256" s="1" t="s">
        <v>836</v>
      </c>
      <c r="F256" s="1" t="s">
        <v>837</v>
      </c>
      <c r="G256" s="1" t="s">
        <v>28</v>
      </c>
      <c r="H256" s="1" t="s">
        <v>29</v>
      </c>
      <c r="I256" s="1" t="str">
        <f ca="1">IFERROR(__xludf.DUMMYFUNCTION("GOOGLETRANSLATE(F256, ""auto"", ""en"")
"),"Overall, I’m happy with the machine, except for one thing: for me, an important criterion was the presence of an overlock stitch, but I never found it. Maybe I'm looking in the wrong place))")</f>
        <v>Overall, I’m happy with the machine, except for one thing: for me, an important criterion was the presence of an overlock stitch, but I never found it. Maybe I'm looking in the wrong place))</v>
      </c>
    </row>
    <row r="257" spans="1:9" x14ac:dyDescent="0.3">
      <c r="A257" s="1" t="s">
        <v>149</v>
      </c>
      <c r="B257" s="1" t="s">
        <v>150</v>
      </c>
      <c r="C257" s="1" t="s">
        <v>151</v>
      </c>
      <c r="D257" s="1" t="s">
        <v>247</v>
      </c>
      <c r="E257" s="1" t="s">
        <v>838</v>
      </c>
      <c r="F257" s="1" t="s">
        <v>839</v>
      </c>
      <c r="G257" s="1" t="s">
        <v>49</v>
      </c>
      <c r="H257" s="1" t="s">
        <v>16</v>
      </c>
      <c r="I257" s="1" t="str">
        <f ca="1">IFERROR(__xludf.DUMMYFUNCTION("GOOGLETRANSLATE(F257, ""auto"", ""en"")
"),"The vacuum cleaner worked for a year, the engine died. They replaced it under warranty free of charge (3 year warranty from Samsung). A year later the situation repeated itself, the engine died again. Operated according to instructions. I DO NOT RECOMMEND"&amp;".")</f>
        <v>The vacuum cleaner worked for a year, the engine died. They replaced it under warranty free of charge (3 year warranty from Samsung). A year later the situation repeated itself, the engine died again. Operated according to instructions. I DO NOT RECOMMEND.</v>
      </c>
    </row>
    <row r="258" spans="1:9" x14ac:dyDescent="0.3">
      <c r="A258" s="1" t="s">
        <v>30</v>
      </c>
      <c r="B258" s="1" t="s">
        <v>50</v>
      </c>
      <c r="C258" s="1" t="s">
        <v>51</v>
      </c>
      <c r="D258" s="1" t="s">
        <v>840</v>
      </c>
      <c r="E258" s="1" t="s">
        <v>841</v>
      </c>
      <c r="F258" s="1" t="s">
        <v>842</v>
      </c>
      <c r="G258" s="1" t="s">
        <v>28</v>
      </c>
      <c r="H258" s="1" t="s">
        <v>29</v>
      </c>
      <c r="I258" s="1" t="str">
        <f ca="1">IFERROR(__xludf.DUMMYFUNCTION("GOOGLETRANSLATE(F258, ""auto"", ""en"")
"),"Excellent beech.  I've been using it for 2 months.   There were freezes for about 1 second in games (when loading the menu, say, either when using magic, or when shooting, I think this happens when accessing the disk), but this is most likely due to the s"&amp;"ystem being clogged, since I installed everything on it that I could think of))) The blue diodes burn poisonously - annoying, I covered it with black tape ^_^, I’m too lazy to turn it off) There are small scratches... but not critical.  1 dead pixel appea"&amp;"red, which is not critical (it is only visible on a black background, and even then you have to look closely.) The keyboard is comfortable. (it wanders a little but it’s not critical) There is Bluetooth, you just need to find where it turns on =) I took a"&amp;" steam bath to find HOW to scroll on the wheelbarrow (with two fingers, I came to the conclusion that it’s more convenient than the highlighted strip on the left) The sound is normal for beeches.  CONCLUSION: An excellent beech for this price, there are n"&amp;"o real disadvantages, only advantages =)")</f>
        <v>Excellent beech.  I've been using it for 2 months.   There were freezes for about 1 second in games (when loading the menu, say, either when using magic, or when shooting, I think this happens when accessing the disk), but this is most likely due to the system being clogged, since I installed everything on it that I could think of))) The blue diodes burn poisonously - annoying, I covered it with black tape ^_^, I’m too lazy to turn it off) There are small scratches... but not critical.  1 dead pixel appeared, which is not critical (it is only visible on a black background, and even then you have to look closely.) The keyboard is comfortable. (it wanders a little but it’s not critical) There is Bluetooth, you just need to find where it turns on =) I took a steam bath to find HOW to scroll on the wheelbarrow (with two fingers, I came to the conclusion that it’s more convenient than the highlighted strip on the left) The sound is normal for beeches.  CONCLUSION: An excellent beech for this price, there are no real disadvantages, only advantages =)</v>
      </c>
    </row>
    <row r="259" spans="1:9" x14ac:dyDescent="0.3">
      <c r="A259" s="1" t="s">
        <v>211</v>
      </c>
      <c r="B259" s="1" t="s">
        <v>212</v>
      </c>
      <c r="C259" s="1" t="s">
        <v>294</v>
      </c>
      <c r="D259" s="1" t="s">
        <v>843</v>
      </c>
      <c r="E259" s="1" t="s">
        <v>708</v>
      </c>
      <c r="F259" s="1" t="s">
        <v>844</v>
      </c>
      <c r="G259" s="1" t="s">
        <v>36</v>
      </c>
      <c r="H259" s="1" t="s">
        <v>29</v>
      </c>
      <c r="I259" s="1" t="str">
        <f ca="1">IFERROR(__xludf.DUMMYFUNCTION("GOOGLETRANSLATE(F259, ""auto"", ""en"")
"),"The price-quality ratio is simply ideal.  Not expensive, powerful, blows well and doesn’t burn your hair.   I used it for 2 years, it burned out due to my fault, I bought the same one.     Great model!")</f>
        <v>The price-quality ratio is simply ideal.  Not expensive, powerful, blows well and doesn’t burn your hair.   I used it for 2 years, it burned out due to my fault, I bought the same one.     Great model!</v>
      </c>
    </row>
    <row r="260" spans="1:9" x14ac:dyDescent="0.3">
      <c r="A260" s="1" t="s">
        <v>43</v>
      </c>
      <c r="B260" s="1" t="s">
        <v>219</v>
      </c>
      <c r="C260" s="1" t="s">
        <v>665</v>
      </c>
      <c r="D260" s="1" t="s">
        <v>845</v>
      </c>
      <c r="E260" s="1" t="s">
        <v>846</v>
      </c>
      <c r="F260" s="1" t="s">
        <v>847</v>
      </c>
      <c r="G260" s="1" t="s">
        <v>28</v>
      </c>
      <c r="H260" s="1" t="s">
        <v>29</v>
      </c>
      <c r="I260" s="1" t="str">
        <f ca="1">IFERROR(__xludf.DUMMYFUNCTION("GOOGLETRANSLATE(F260, ""auto"", ""en"")
"),"Connection Minimum water pressure 0.05 atm Maximum water pressure 0.7 atm MVIDOS, - absolute, MPa... this is very important, as much as 10 times!")</f>
        <v>Connection Minimum water pressure 0.05 atm Maximum water pressure 0.7 atm MVIDOS, - absolute, MPa... this is very important, as much as 10 times!</v>
      </c>
    </row>
    <row r="261" spans="1:9" x14ac:dyDescent="0.3">
      <c r="A261" s="1" t="s">
        <v>120</v>
      </c>
      <c r="B261" s="1" t="s">
        <v>196</v>
      </c>
      <c r="C261" s="1" t="s">
        <v>69</v>
      </c>
      <c r="D261" s="1" t="s">
        <v>848</v>
      </c>
      <c r="E261" s="1" t="s">
        <v>849</v>
      </c>
      <c r="F261" s="1" t="s">
        <v>850</v>
      </c>
      <c r="G261" s="1" t="s">
        <v>36</v>
      </c>
      <c r="H261" s="1" t="s">
        <v>29</v>
      </c>
      <c r="I261" s="1" t="str">
        <f ca="1">IFERROR(__xludf.DUMMYFUNCTION("GOOGLETRANSLATE(F261, ""auto"", ""en"")
"),"after a month of using the TV, I realized that I was wrong (previous review) the TV is used as a monitor for watching movies in HD quality 5+, cable 4 (switches channels quickly), sps 3 5+.  But..... The sound sucks, on some channels the speakers are very"&amp;" wheezing... Help!!! How to update the firmware?? I downloaded it from the website, uploaded it to a flash drive, inserted it into the TV and... what next????  thanks in advance.")</f>
        <v>after a month of using the TV, I realized that I was wrong (previous review) the TV is used as a monitor for watching movies in HD quality 5+, cable 4 (switches channels quickly), sps 3 5+.  But..... The sound sucks, on some channels the speakers are very wheezing... Help!!! How to update the firmware?? I downloaded it from the website, uploaded it to a flash drive, inserted it into the TV and... what next????  thanks in advance.</v>
      </c>
    </row>
    <row r="262" spans="1:9" x14ac:dyDescent="0.3">
      <c r="A262" s="1" t="s">
        <v>9</v>
      </c>
      <c r="B262" s="1" t="s">
        <v>133</v>
      </c>
      <c r="C262" s="1" t="s">
        <v>159</v>
      </c>
      <c r="D262" s="1" t="s">
        <v>152</v>
      </c>
      <c r="E262" s="1" t="s">
        <v>820</v>
      </c>
      <c r="F262" s="1" t="s">
        <v>851</v>
      </c>
      <c r="G262" s="1" t="s">
        <v>36</v>
      </c>
      <c r="H262" s="1" t="s">
        <v>29</v>
      </c>
      <c r="I262" s="1" t="str">
        <f ca="1">IFERROR(__xludf.DUMMYFUNCTION("GOOGLETRANSLATE(F262, ""auto"", ""en"")
"),"We bought it more than a year ago, the flight is normal, we are happy with everything. We were going to buy Bosch or Siemens, but the seller suggested Electrolux, since the Germans have production in Spain and are more expensive, and here in Germany it is"&amp;" cheaper. We were pleased with the choice :-)")</f>
        <v>We bought it more than a year ago, the flight is normal, we are happy with everything. We were going to buy Bosch or Siemens, but the seller suggested Electrolux, since the Germans have production in Spain and are more expensive, and here in Germany it is cheaper. We were pleased with the choice :-)</v>
      </c>
    </row>
    <row r="263" spans="1:9" x14ac:dyDescent="0.3">
      <c r="A263" s="1" t="s">
        <v>852</v>
      </c>
      <c r="B263" s="1" t="s">
        <v>853</v>
      </c>
      <c r="C263" s="1" t="s">
        <v>356</v>
      </c>
      <c r="D263" s="1" t="s">
        <v>127</v>
      </c>
      <c r="E263" s="1" t="s">
        <v>854</v>
      </c>
      <c r="F263" s="1" t="s">
        <v>855</v>
      </c>
      <c r="G263" s="1" t="s">
        <v>36</v>
      </c>
      <c r="H263" s="1" t="s">
        <v>29</v>
      </c>
      <c r="I263" s="1" t="str">
        <f ca="1">IFERROR(__xludf.DUMMYFUNCTION("GOOGLETRANSLATE(F263, ""auto"", ""en"")
"),"Initially, the choice was between MacBookAir and MacBookPro. The Air was extremely attractive due to its dimensions, but there were two problems: firstly, I would have to carry an external drive, and secondly, I couldn’t find a Lan connection in it. And t"&amp;"he Pro system has a newer system. I was also pleased with the weight.  In general, I'm happy!")</f>
        <v>Initially, the choice was between MacBookAir and MacBookPro. The Air was extremely attractive due to its dimensions, but there were two problems: firstly, I would have to carry an external drive, and secondly, I couldn’t find a Lan connection in it. And the Pro system has a newer system. I was also pleased with the weight.  In general, I'm happy!</v>
      </c>
    </row>
    <row r="264" spans="1:9" x14ac:dyDescent="0.3">
      <c r="A264" s="1" t="s">
        <v>211</v>
      </c>
      <c r="B264" s="1" t="s">
        <v>856</v>
      </c>
      <c r="C264" s="1" t="s">
        <v>57</v>
      </c>
      <c r="D264" s="1" t="s">
        <v>75</v>
      </c>
      <c r="E264" s="1" t="s">
        <v>472</v>
      </c>
      <c r="F264" s="1" t="s">
        <v>857</v>
      </c>
      <c r="G264" s="1" t="s">
        <v>36</v>
      </c>
      <c r="H264" s="1" t="s">
        <v>29</v>
      </c>
      <c r="I264" s="1" t="str">
        <f ca="1">IFERROR(__xludf.DUMMYFUNCTION("GOOGLETRANSLATE(F264, ""auto"", ""en"")
"),"I really like the set. It works great for me. There are no complaints. Holds a charge for a long time, I don’t charge for 2 weeks")</f>
        <v>I really like the set. It works great for me. There are no complaints. Holds a charge for a long time, I don’t charge for 2 weeks</v>
      </c>
    </row>
    <row r="265" spans="1:9" x14ac:dyDescent="0.3">
      <c r="A265" s="1" t="s">
        <v>624</v>
      </c>
      <c r="B265" s="1" t="s">
        <v>625</v>
      </c>
      <c r="C265" s="1" t="s">
        <v>479</v>
      </c>
      <c r="D265" s="1" t="s">
        <v>152</v>
      </c>
      <c r="E265" s="1" t="s">
        <v>628</v>
      </c>
      <c r="F265" s="1" t="s">
        <v>858</v>
      </c>
      <c r="G265" s="1" t="s">
        <v>36</v>
      </c>
      <c r="H265" s="1" t="s">
        <v>29</v>
      </c>
      <c r="I265" s="1" t="str">
        <f ca="1">IFERROR(__xludf.DUMMYFUNCTION("GOOGLETRANSLATE(F265, ""auto"", ""en"")
"),"To begin with, let's talk about the game as a racing game. We all love NFS and we hardly see any competitors anymore. This game has nothing to do with NFS, so if anyone is looking for something new, this is it! In the game, cars cannot be transformed, you"&amp;" drive as they are. Cars are won gradually. only 75 cars and 4 motorcycles. During the race, you can turn anywhere and go deep into the city, not like in the NSF, where at every turn there is a fence and even though you are in the city, you still can’t es"&amp;"cape from the track. There are many interesting racing modes, especially those where you need to crash a lot of cars to win, or the one where you need to get to the goal without crashing, and your rivals will crash along the way. There are no famous brand"&amp;"s of cars in the game, all cars are similar to famous ones, but they have their own names, as they usually do in GTA. And yes, the accidents there are simply gorgeous!    Well, about the difference between the full version and the regular one. Of course, "&amp;"it’s nice that everything is completely in Russian. Now day gives way to night and so on; in normal times it was always day. Motorcycles appeared. And the question that bothered me most personally was whether it was possible to play for two? NO! You can c"&amp;"ompete with at least eight people, but all this on one gamepad in turn ((")</f>
        <v>To begin with, let's talk about the game as a racing game. We all love NFS and we hardly see any competitors anymore. This game has nothing to do with NFS, so if anyone is looking for something new, this is it! In the game, cars cannot be transformed, you drive as they are. Cars are won gradually. only 75 cars and 4 motorcycles. During the race, you can turn anywhere and go deep into the city, not like in the NSF, where at every turn there is a fence and even though you are in the city, you still can’t escape from the track. There are many interesting racing modes, especially those where you need to crash a lot of cars to win, or the one where you need to get to the goal without crashing, and your rivals will crash along the way. There are no famous brands of cars in the game, all cars are similar to famous ones, but they have their own names, as they usually do in GTA. And yes, the accidents there are simply gorgeous!    Well, about the difference between the full version and the regular one. Of course, it’s nice that everything is completely in Russian. Now day gives way to night and so on; in normal times it was always day. Motorcycles appeared. And the question that bothered me most personally was whether it was possible to play for two? NO! You can compete with at least eight people, but all this on one gamepad in turn ((</v>
      </c>
    </row>
    <row r="266" spans="1:9" x14ac:dyDescent="0.3">
      <c r="A266" s="1" t="s">
        <v>211</v>
      </c>
      <c r="B266" s="1" t="s">
        <v>212</v>
      </c>
      <c r="C266" s="1" t="s">
        <v>294</v>
      </c>
      <c r="D266" s="1" t="s">
        <v>565</v>
      </c>
      <c r="E266" s="1" t="s">
        <v>859</v>
      </c>
      <c r="F266" s="1" t="s">
        <v>860</v>
      </c>
      <c r="G266" s="1" t="s">
        <v>36</v>
      </c>
      <c r="H266" s="1" t="s">
        <v>29</v>
      </c>
      <c r="I266" s="1" t="str">
        <f ca="1">IFERROR(__xludf.DUMMYFUNCTION("GOOGLETRANSLATE(F266, ""auto"", ""en"")
"),"I have been using this hairdryer for 3 years, it was given to me for my birthday. There are no complaints, it blows very strongly, which in turn quickly dries out the hair. There is nothing superfluous, such as different attachments and brushes. I don’t u"&amp;"se an ionizer, so I can’t say anything. For those who need a regular hair dryer that blows hard, this model is for you!")</f>
        <v>I have been using this hairdryer for 3 years, it was given to me for my birthday. There are no complaints, it blows very strongly, which in turn quickly dries out the hair. There is nothing superfluous, such as different attachments and brushes. I don’t use an ionizer, so I can’t say anything. For those who need a regular hair dryer that blows hard, this model is for you!</v>
      </c>
    </row>
    <row r="267" spans="1:9" x14ac:dyDescent="0.3">
      <c r="A267" s="1" t="s">
        <v>149</v>
      </c>
      <c r="B267" s="1" t="s">
        <v>155</v>
      </c>
      <c r="C267" s="1" t="s">
        <v>63</v>
      </c>
      <c r="D267" s="1" t="s">
        <v>861</v>
      </c>
      <c r="E267" s="1" t="s">
        <v>862</v>
      </c>
      <c r="F267" s="1" t="s">
        <v>863</v>
      </c>
      <c r="G267" s="1" t="s">
        <v>49</v>
      </c>
      <c r="H267" s="1" t="s">
        <v>16</v>
      </c>
      <c r="I267" s="1" t="str">
        <f ca="1">IFERROR(__xludf.DUMMYFUNCTION("GOOGLETRANSLATE(F267, ""auto"", ""en"")
"),"do not buy this vacuum cleaner... 1. the second container is not removable... 2, oak nozzles... so cheap that they just click on the floor... and do not clean.  stuffy plastic - looks like a Chinese toy.... 3. Bosch is no longer Bosch...")</f>
        <v>do not buy this vacuum cleaner... 1. the second container is not removable... 2, oak nozzles... so cheap that they just click on the floor... and do not clean.  stuffy plastic - looks like a Chinese toy.... 3. Bosch is no longer Bosch...</v>
      </c>
    </row>
    <row r="268" spans="1:9" x14ac:dyDescent="0.3">
      <c r="A268" s="1" t="s">
        <v>211</v>
      </c>
      <c r="B268" s="1" t="s">
        <v>265</v>
      </c>
      <c r="C268" s="1" t="s">
        <v>294</v>
      </c>
      <c r="D268" s="1" t="s">
        <v>152</v>
      </c>
      <c r="E268" s="1" t="s">
        <v>864</v>
      </c>
      <c r="F268" s="1" t="s">
        <v>865</v>
      </c>
      <c r="G268" s="1" t="s">
        <v>36</v>
      </c>
      <c r="H268" s="1" t="s">
        <v>29</v>
      </c>
      <c r="I268" s="1" t="str">
        <f ca="1">IFERROR(__xludf.DUMMYFUNCTION("GOOGLETRANSLATE(F268, ""auto"", ""en"")
"),"I just bought it yesterday and already tried it out, it’s a wonderful little thing, very convenient and easy to use, I highly recommend it")</f>
        <v>I just bought it yesterday and already tried it out, it’s a wonderful little thing, very convenient and easy to use, I highly recommend it</v>
      </c>
    </row>
    <row r="269" spans="1:9" x14ac:dyDescent="0.3">
      <c r="A269" s="1" t="s">
        <v>37</v>
      </c>
      <c r="B269" s="1" t="s">
        <v>536</v>
      </c>
      <c r="C269" s="1" t="s">
        <v>151</v>
      </c>
      <c r="D269" s="1" t="s">
        <v>866</v>
      </c>
      <c r="E269" s="1" t="s">
        <v>178</v>
      </c>
      <c r="F269" s="1" t="s">
        <v>867</v>
      </c>
      <c r="G269" s="1" t="s">
        <v>36</v>
      </c>
      <c r="H269" s="1" t="s">
        <v>29</v>
      </c>
      <c r="I269" s="1" t="str">
        <f ca="1">IFERROR(__xludf.DUMMYFUNCTION("GOOGLETRANSLATE(F269, ""auto"", ""en"")
"),"Simba is convenient, that’s why I like this fact - everything is familiar. Everything is cool, but it turns out that nothing new has been invented in the world. It only became more powerful, better, bigger.")</f>
        <v>Simba is convenient, that’s why I like this fact - everything is familiar. Everything is cool, but it turns out that nothing new has been invented in the world. It only became more powerful, better, bigger.</v>
      </c>
    </row>
    <row r="270" spans="1:9" x14ac:dyDescent="0.3">
      <c r="A270" s="1" t="s">
        <v>9</v>
      </c>
      <c r="B270" s="1" t="s">
        <v>10</v>
      </c>
      <c r="C270" s="1" t="s">
        <v>407</v>
      </c>
      <c r="D270" s="1" t="s">
        <v>545</v>
      </c>
      <c r="E270" s="1" t="s">
        <v>868</v>
      </c>
      <c r="F270" s="1" t="s">
        <v>869</v>
      </c>
      <c r="G270" s="1" t="s">
        <v>36</v>
      </c>
      <c r="H270" s="1" t="s">
        <v>29</v>
      </c>
      <c r="I270" s="1" t="str">
        <f ca="1">IFERROR(__xludf.DUMMYFUNCTION("GOOGLETRANSLATE(F270, ""auto"", ""en"")
"),"We recently bought such a range hood for the kitchen, my husband installed it in no time. Very simple and easy to use, nothing superfluous. Beautiful! It looks interesting and doesn’t take up too much space. The controls are simple, there are three main s"&amp;"peeds. I use the first one more often, the second less often, my husband once used the third and said that it was very powerful. Therefore, they left it for special occasions when smoking guests come and you need to constantly extract the air. By the way,"&amp;" it copes with its main job, namely drawing out excess odors, perfectly, there’s nothing to complain about here at all! There is no feeling of stuffiness; it has become easier to be in the kitchen while cooking. It’s powerful and doesn’t make any noise, w"&amp;"hich surprised me. The filters are easy to clean, especially if you have a dishwasher like ours.")</f>
        <v>We recently bought such a range hood for the kitchen, my husband installed it in no time. Very simple and easy to use, nothing superfluous. Beautiful! It looks interesting and doesn’t take up too much space. The controls are simple, there are three main speeds. I use the first one more often, the second less often, my husband once used the third and said that it was very powerful. Therefore, they left it for special occasions when smoking guests come and you need to constantly extract the air. By the way, it copes with its main job, namely drawing out excess odors, perfectly, there’s nothing to complain about here at all! There is no feeling of stuffiness; it has become easier to be in the kitchen while cooking. It’s powerful and doesn’t make any noise, which surprised me. The filters are easy to clean, especially if you have a dishwasher like ours.</v>
      </c>
    </row>
    <row r="271" spans="1:9" x14ac:dyDescent="0.3">
      <c r="A271" s="1" t="s">
        <v>9</v>
      </c>
      <c r="B271" s="1" t="s">
        <v>137</v>
      </c>
      <c r="C271" s="1" t="s">
        <v>870</v>
      </c>
      <c r="D271" s="1" t="s">
        <v>871</v>
      </c>
      <c r="E271" s="1" t="s">
        <v>872</v>
      </c>
      <c r="F271" s="1" t="s">
        <v>873</v>
      </c>
      <c r="G271" s="1" t="s">
        <v>36</v>
      </c>
      <c r="H271" s="1" t="s">
        <v>29</v>
      </c>
      <c r="I271" s="1" t="str">
        <f ca="1">IFERROR(__xludf.DUMMYFUNCTION("GOOGLETRANSLATE(F271, ""auto"", ""en"")
"),"We bought it and connected it ourselves.  We've been using it for 3 months, no complaints")</f>
        <v>We bought it and connected it ourselves.  We've been using it for 3 months, no complaints</v>
      </c>
    </row>
    <row r="272" spans="1:9" x14ac:dyDescent="0.3">
      <c r="A272" s="1" t="s">
        <v>9</v>
      </c>
      <c r="B272" s="1" t="s">
        <v>874</v>
      </c>
      <c r="C272" s="1" t="s">
        <v>588</v>
      </c>
      <c r="D272" s="1" t="s">
        <v>875</v>
      </c>
      <c r="E272" s="1" t="s">
        <v>876</v>
      </c>
      <c r="F272" s="1" t="s">
        <v>877</v>
      </c>
      <c r="G272" s="1" t="s">
        <v>49</v>
      </c>
      <c r="H272" s="1" t="s">
        <v>16</v>
      </c>
      <c r="I272" s="1" t="str">
        <f ca="1">IFERROR(__xludf.DUMMYFUNCTION("GOOGLETRANSLATE(F272, ""auto"", ""en"")
"),"New equipment was purchased for the new apartment, incl. and a set of built-in appliances Hansa BCCI66136077 (hob + oven) and hood, also Hansa. When choosing, it captivated me with its design and country of origin (Poland). Elements made of polished steel"&amp;" and recessed handles became additional arguments in its favor. We waited for delivery from the store, and a few days later we installed this entire structure in a new kitchen set. We calcined it as written in the instructions and began to use it as usual"&amp;". They rejoiced at its appearance and the quality of the food cooked on it. But, unfortunately, the joy was short-lived. Less than a week later, while baking, there was a very loud bang that sounded like an “explosion.” It’s good that the wife was in the "&amp;"bathroom at that time. Rushing from the bathtub to the kitchen, she found the outer glass door shattered and shards all over the kitchen (an area of ​​11 square meters). What could happen if the wife were at the stove??? At a minimum, cuts and abrasions, "&amp;"and at most... there is no desire to think about it. How are these products sold in our stores? There is no limit to our indignation. Calls to the service center left a very unpleasant feeling. Using my own example, I declare that the Hansa BCCI66136077 s"&amp;"et of built-in appliances poses a potential threat to the life and health of users. Do not purchase this equipment under any circumstances. Apparently, we are not the only ones. After rummaging through the Internet, I found several similar cases with Hans"&amp;"a equipment.")</f>
        <v>New equipment was purchased for the new apartment, incl. and a set of built-in appliances Hansa BCCI66136077 (hob + oven) and hood, also Hansa. When choosing, it captivated me with its design and country of origin (Poland). Elements made of polished steel and recessed handles became additional arguments in its favor. We waited for delivery from the store, and a few days later we installed this entire structure in a new kitchen set. We calcined it as written in the instructions and began to use it as usual. They rejoiced at its appearance and the quality of the food cooked on it. But, unfortunately, the joy was short-lived. Less than a week later, while baking, there was a very loud bang that sounded like an “explosion.” It’s good that the wife was in the bathroom at that time. Rushing from the bathtub to the kitchen, she found the outer glass door shattered and shards all over the kitchen (an area of ​​11 square meters). What could happen if the wife were at the stove??? At a minimum, cuts and abrasions, and at most... there is no desire to think about it. How are these products sold in our stores? There is no limit to our indignation. Calls to the service center left a very unpleasant feeling. Using my own example, I declare that the Hansa BCCI66136077 set of built-in appliances poses a potential threat to the life and health of users. Do not purchase this equipment under any circumstances. Apparently, we are not the only ones. After rummaging through the Internet, I found several similar cases with Hansa equipment.</v>
      </c>
    </row>
    <row r="273" spans="1:9" x14ac:dyDescent="0.3">
      <c r="A273" s="1" t="s">
        <v>30</v>
      </c>
      <c r="B273" s="1" t="s">
        <v>31</v>
      </c>
      <c r="C273" s="1" t="s">
        <v>377</v>
      </c>
      <c r="D273" s="1" t="s">
        <v>52</v>
      </c>
      <c r="E273" s="1" t="s">
        <v>41</v>
      </c>
      <c r="F273" s="1" t="s">
        <v>878</v>
      </c>
      <c r="G273" s="1" t="s">
        <v>36</v>
      </c>
      <c r="H273" s="1" t="s">
        <v>29</v>
      </c>
      <c r="I273" s="1" t="str">
        <f ca="1">IFERROR(__xludf.DUMMYFUNCTION("GOOGLETRANSLATE(F273, ""auto"", ""en"")
"),"Good computer, good price. The processor is especially surprising with its speed...super!")</f>
        <v>Good computer, good price. The processor is especially surprising with its speed...super!</v>
      </c>
    </row>
    <row r="274" spans="1:9" x14ac:dyDescent="0.3">
      <c r="A274" s="1" t="s">
        <v>105</v>
      </c>
      <c r="B274" s="1" t="s">
        <v>106</v>
      </c>
      <c r="C274" s="1" t="s">
        <v>151</v>
      </c>
      <c r="D274" s="1" t="s">
        <v>879</v>
      </c>
      <c r="E274" s="1" t="s">
        <v>498</v>
      </c>
      <c r="F274" s="1" t="s">
        <v>880</v>
      </c>
      <c r="G274" s="1" t="s">
        <v>36</v>
      </c>
      <c r="H274" s="1" t="s">
        <v>29</v>
      </c>
      <c r="I274" s="1" t="str">
        <f ca="1">IFERROR(__xludf.DUMMYFUNCTION("GOOGLETRANSLATE(F274, ""auto"", ""en"")
"),"The player is super))) I never regretted purchasing it... a worthy replacement for an iPod... I recommend it to everyone,... the headphones included are super, great, they don’t shrink in the cold..)) I recommend it to everyone!!!")</f>
        <v>The player is super))) I never regretted purchasing it... a worthy replacement for an iPod... I recommend it to everyone,... the headphones included are super, great, they don’t shrink in the cold..)) I recommend it to everyone!!!</v>
      </c>
    </row>
    <row r="275" spans="1:9" x14ac:dyDescent="0.3">
      <c r="A275" s="1" t="s">
        <v>624</v>
      </c>
      <c r="B275" s="1" t="s">
        <v>881</v>
      </c>
      <c r="C275" s="1" t="s">
        <v>479</v>
      </c>
      <c r="D275" s="1" t="s">
        <v>882</v>
      </c>
      <c r="E275" s="1" t="s">
        <v>883</v>
      </c>
      <c r="F275" s="1" t="s">
        <v>884</v>
      </c>
      <c r="G275" s="1" t="s">
        <v>36</v>
      </c>
      <c r="H275" s="1" t="s">
        <v>29</v>
      </c>
      <c r="I275" s="1" t="str">
        <f ca="1">IFERROR(__xludf.DUMMYFUNCTION("GOOGLETRANSLATE(F275, ""auto"", ""en"")
"),"The game is super, a large selection of cars, the graphics are excellent, in general the game is super!!!")</f>
        <v>The game is super, a large selection of cars, the graphics are excellent, in general the game is super!!!</v>
      </c>
    </row>
    <row r="276" spans="1:9" x14ac:dyDescent="0.3">
      <c r="A276" s="1" t="s">
        <v>17</v>
      </c>
      <c r="B276" s="1" t="s">
        <v>18</v>
      </c>
      <c r="C276" s="1" t="s">
        <v>885</v>
      </c>
      <c r="D276" s="1" t="s">
        <v>565</v>
      </c>
      <c r="E276" s="1" t="s">
        <v>886</v>
      </c>
      <c r="F276" s="1" t="s">
        <v>887</v>
      </c>
      <c r="G276" s="1" t="s">
        <v>36</v>
      </c>
      <c r="H276" s="1" t="s">
        <v>29</v>
      </c>
      <c r="I276" s="1" t="str">
        <f ca="1">IFERROR(__xludf.DUMMYFUNCTION("GOOGLETRANSLATE(F276, ""auto"", ""en"")
"),"We bought the car in December and are very pleased. It works quietly, you even forget that washing is in progress! A big plus is a large load (i.e. saving water, all laundry can be placed in one wash).   The only negative is the electronic control; the me"&amp;"chanics are of course more reliable. We have a 5-story building and the voltage fluctuates, and therefore, when any other electronic devices are connected to the network, the machine begins to turn off.")</f>
        <v>We bought the car in December and are very pleased. It works quietly, you even forget that washing is in progress! A big plus is a large load (i.e. saving water, all laundry can be placed in one wash).   The only negative is the electronic control; the mechanics are of course more reliable. We have a 5-story building and the voltage fluctuates, and therefore, when any other electronic devices are connected to the network, the machine begins to turn off.</v>
      </c>
    </row>
    <row r="277" spans="1:9" x14ac:dyDescent="0.3">
      <c r="A277" s="1" t="s">
        <v>43</v>
      </c>
      <c r="B277" s="1" t="s">
        <v>502</v>
      </c>
      <c r="C277" s="1" t="s">
        <v>80</v>
      </c>
      <c r="D277" s="1" t="s">
        <v>888</v>
      </c>
      <c r="E277" s="1" t="s">
        <v>889</v>
      </c>
      <c r="F277" s="1" t="s">
        <v>890</v>
      </c>
      <c r="G277" s="1" t="s">
        <v>28</v>
      </c>
      <c r="H277" s="1" t="s">
        <v>29</v>
      </c>
      <c r="I277" s="1" t="str">
        <f ca="1">IFERROR(__xludf.DUMMYFUNCTION("GOOGLETRANSLATE(F277, ""auto"", ""en"")
"),"I bought it from M-Video for 8000 rubles. I've been using it for a couple of weeks. Overall, I'm satisfied. It performs its function to the best of its power and is quiet. However, it does not have a night mode (as stated on the website) and the window in"&amp;" the center is not a display - it is just a receiver of remote control signals. And one more thing: during installation, the technicians paid attention to some “budgetary” execution of the external unit, although not critical")</f>
        <v>I bought it from M-Video for 8000 rubles. I've been using it for a couple of weeks. Overall, I'm satisfied. It performs its function to the best of its power and is quiet. However, it does not have a night mode (as stated on the website) and the window in the center is not a display - it is just a receiver of remote control signals. And one more thing: during installation, the technicians paid attention to some “budgetary” execution of the external unit, although not critical</v>
      </c>
    </row>
    <row r="278" spans="1:9" x14ac:dyDescent="0.3">
      <c r="A278" s="1" t="s">
        <v>624</v>
      </c>
      <c r="B278" s="1" t="s">
        <v>625</v>
      </c>
      <c r="C278" s="1" t="s">
        <v>479</v>
      </c>
      <c r="D278" s="1" t="s">
        <v>891</v>
      </c>
      <c r="E278" s="1" t="s">
        <v>543</v>
      </c>
      <c r="F278" s="1" t="s">
        <v>892</v>
      </c>
      <c r="G278" s="1" t="s">
        <v>28</v>
      </c>
      <c r="H278" s="1" t="s">
        <v>29</v>
      </c>
      <c r="I278" s="1" t="str">
        <f ca="1">IFERROR(__xludf.DUMMYFUNCTION("GOOGLETRANSLATE(F278, ""auto"", ""en"")
"),"Funny incident. I bought it for my daughter, looking at the 12+ rating. Result: a complaint in the spirit of “too difficult!”  Result 2: I started playing by myself so hard that you couldn’t pull me away by the ears. Too addictive, but not suitable for a "&amp;"child: he will simply not be able to level up characters to level 9999, then reset all experience and level up again for the sake of increased characteristics. But for more or less adults - that’s it. And the game is filled with humor, which only an avid "&amp;"fan of anime and video games, but not a child, can understand.")</f>
        <v>Funny incident. I bought it for my daughter, looking at the 12+ rating. Result: a complaint in the spirit of “too difficult!”  Result 2: I started playing by myself so hard that you couldn’t pull me away by the ears. Too addictive, but not suitable for a child: he will simply not be able to level up characters to level 9999, then reset all experience and level up again for the sake of increased characteristics. But for more or less adults - that’s it. And the game is filled with humor, which only an avid fan of anime and video games, but not a child, can understand.</v>
      </c>
    </row>
    <row r="279" spans="1:9" x14ac:dyDescent="0.3">
      <c r="A279" s="1" t="s">
        <v>61</v>
      </c>
      <c r="B279" s="1" t="s">
        <v>145</v>
      </c>
      <c r="C279" s="1" t="s">
        <v>146</v>
      </c>
      <c r="D279" s="1" t="s">
        <v>893</v>
      </c>
      <c r="E279" s="1" t="s">
        <v>894</v>
      </c>
      <c r="F279" s="1" t="s">
        <v>895</v>
      </c>
      <c r="G279" s="1" t="s">
        <v>36</v>
      </c>
      <c r="H279" s="1" t="s">
        <v>29</v>
      </c>
      <c r="I279" s="1" t="str">
        <f ca="1">IFERROR(__xludf.DUMMYFUNCTION("GOOGLETRANSLATE(F279, ""auto"", ""en"")
"),"This device was given to us as a gift. At first we were skeptical, but after the first open jar, our opinion changed. I showed my wife how to use a knife - she lost her kitchen assistant in me))!")</f>
        <v>This device was given to us as a gift. At first we were skeptical, but after the first open jar, our opinion changed. I showed my wife how to use a knife - she lost her kitchen assistant in me))!</v>
      </c>
    </row>
    <row r="280" spans="1:9" x14ac:dyDescent="0.3">
      <c r="A280" s="1" t="s">
        <v>67</v>
      </c>
      <c r="B280" s="1" t="s">
        <v>68</v>
      </c>
      <c r="C280" s="1" t="s">
        <v>69</v>
      </c>
      <c r="D280" s="1" t="s">
        <v>896</v>
      </c>
      <c r="E280" s="1" t="s">
        <v>897</v>
      </c>
      <c r="F280" s="1" t="s">
        <v>898</v>
      </c>
      <c r="G280" s="1" t="s">
        <v>36</v>
      </c>
      <c r="H280" s="1" t="s">
        <v>29</v>
      </c>
      <c r="I280" s="1" t="str">
        <f ca="1">IFERROR(__xludf.DUMMYFUNCTION("GOOGLETRANSLATE(F280, ""auto"", ""en"")
"),"We bought an iron, the iron is excellent, the steam boost allows you to quickly iron complex fabrics, with this iron ironing has become much easier and more enjoyable!")</f>
        <v>We bought an iron, the iron is excellent, the steam boost allows you to quickly iron complex fabrics, with this iron ironing has become much easier and more enjoyable!</v>
      </c>
    </row>
    <row r="281" spans="1:9" x14ac:dyDescent="0.3">
      <c r="A281" s="1" t="s">
        <v>211</v>
      </c>
      <c r="B281" s="1" t="s">
        <v>899</v>
      </c>
      <c r="C281" s="1" t="s">
        <v>213</v>
      </c>
      <c r="D281" s="1" t="s">
        <v>724</v>
      </c>
      <c r="E281" s="1" t="s">
        <v>900</v>
      </c>
      <c r="F281" s="1" t="s">
        <v>901</v>
      </c>
      <c r="G281" s="1" t="s">
        <v>36</v>
      </c>
      <c r="H281" s="1" t="s">
        <v>29</v>
      </c>
      <c r="I281" s="1" t="str">
        <f ca="1">IFERROR(__xludf.DUMMYFUNCTION("GOOGLETRANSLATE(F281, ""auto"", ""en"")
"),"I took it 4 years ago and have never regretted such a waste. Very convenient - charging for one person with 2 single uses lasts for 5 days, you can take it with you on short trips without a charger. Changing attachments is simple. It cleans well, I had pr"&amp;"oblems with my gums and for the past 4 years I haven’t had these problems, thanks to the brush for that. You can take it with you on vacation as a family brush - you just buy a separate attachment for each one and everything is ok. The brush is very ergon"&amp;"omic - it fits well in the hand. Management is elementary. The indicator shows when the battery begins to discharge, the cleaning power decreases somewhat (with time you will begin to notice. The charger is laconic and simple - contactless charging and yo"&amp;"u don’t have to worry that water will get somewhere and short-circuit something. And the brush itself is so convenient that you can use it even under water - no liquid will get into it and will not short-circuit anything. An excellent purchase and a very "&amp;"good investment in your health. I I would ask the manufacturers to come up with some kind of case or bag for transportation for the brush - it would be ideal if it came included.")</f>
        <v>I took it 4 years ago and have never regretted such a waste. Very convenient - charging for one person with 2 single uses lasts for 5 days, you can take it with you on short trips without a charger. Changing attachments is simple. It cleans well, I had problems with my gums and for the past 4 years I haven’t had these problems, thanks to the brush for that. You can take it with you on vacation as a family brush - you just buy a separate attachment for each one and everything is ok. The brush is very ergonomic - it fits well in the hand. Management is elementary. The indicator shows when the battery begins to discharge, the cleaning power decreases somewhat (with time you will begin to notice. The charger is laconic and simple - contactless charging and you don’t have to worry that water will get somewhere and short-circuit something. And the brush itself is so convenient that you can use it even under water - no liquid will get into it and will not short-circuit anything. An excellent purchase and a very good investment in your health. I I would ask the manufacturers to come up with some kind of case or bag for transportation for the brush - it would be ideal if it came included.</v>
      </c>
    </row>
    <row r="282" spans="1:9" x14ac:dyDescent="0.3">
      <c r="A282" s="1" t="s">
        <v>105</v>
      </c>
      <c r="B282" s="1" t="s">
        <v>106</v>
      </c>
      <c r="C282" s="1" t="s">
        <v>69</v>
      </c>
      <c r="D282" s="1" t="s">
        <v>902</v>
      </c>
      <c r="E282" s="1" t="s">
        <v>903</v>
      </c>
      <c r="F282" s="1" t="s">
        <v>904</v>
      </c>
      <c r="G282" s="1" t="s">
        <v>36</v>
      </c>
      <c r="H282" s="1" t="s">
        <v>29</v>
      </c>
      <c r="I282" s="1" t="str">
        <f ca="1">IFERROR(__xludf.DUMMYFUNCTION("GOOGLETRANSLATE(F282, ""auto"", ""en"")
"),"Satisfied. very comfortable. no complaints.")</f>
        <v>Satisfied. very comfortable. no complaints.</v>
      </c>
    </row>
    <row r="283" spans="1:9" x14ac:dyDescent="0.3">
      <c r="A283" s="1" t="s">
        <v>105</v>
      </c>
      <c r="B283" s="1" t="s">
        <v>106</v>
      </c>
      <c r="C283" s="1" t="s">
        <v>97</v>
      </c>
      <c r="D283" s="1" t="s">
        <v>742</v>
      </c>
      <c r="E283" s="1" t="s">
        <v>905</v>
      </c>
      <c r="F283" s="1" t="s">
        <v>906</v>
      </c>
      <c r="G283" s="1" t="s">
        <v>15</v>
      </c>
      <c r="H283" s="1" t="s">
        <v>16</v>
      </c>
      <c r="I283" s="1" t="str">
        <f ca="1">IFERROR(__xludf.DUMMYFUNCTION("GOOGLETRANSLATE(F283, ""auto"", ""en"")
"),"I want to tell you frankly, the sound quality is rather low, which is not acceptable for Sony, the equalizer is terrible, there is no way to achieve normal sound, no matter how you look at it, in the literal sense of the word. The ""Bass"" function create"&amp;"s a sound quality similar to a cassette recorder. No comments. In general, guys, I don’t know by what criteria you evaluate (as described above) or what you listen to, but at its price I don’t recommend this player to anyone who appreciates music. And who"&amp;" needs a mash of bass and high frequencies, then please... Briefly. Good luck to you.")</f>
        <v>I want to tell you frankly, the sound quality is rather low, which is not acceptable for Sony, the equalizer is terrible, there is no way to achieve normal sound, no matter how you look at it, in the literal sense of the word. The "Bass" function creates a sound quality similar to a cassette recorder. No comments. In general, guys, I don’t know by what criteria you evaluate (as described above) or what you listen to, but at its price I don’t recommend this player to anyone who appreciates music. And who needs a mash of bass and high frequencies, then please... Briefly. Good luck to you.</v>
      </c>
    </row>
    <row r="284" spans="1:9" x14ac:dyDescent="0.3">
      <c r="A284" s="1" t="s">
        <v>17</v>
      </c>
      <c r="B284" s="1" t="s">
        <v>18</v>
      </c>
      <c r="C284" s="1" t="s">
        <v>277</v>
      </c>
      <c r="D284" s="1" t="s">
        <v>907</v>
      </c>
      <c r="E284" s="1" t="s">
        <v>841</v>
      </c>
      <c r="F284" s="1" t="s">
        <v>908</v>
      </c>
      <c r="G284" s="1" t="s">
        <v>15</v>
      </c>
      <c r="H284" s="1" t="s">
        <v>16</v>
      </c>
      <c r="I284" s="1" t="str">
        <f ca="1">IFERROR(__xludf.DUMMYFUNCTION("GOOGLETRANSLATE(F284, ""auto"", ""en"")
"),"VERY LOUD during any wash cycle, electronic control is a big minus, if you have a child at home and load the machine in a hurry, you may forget to add a spin or select the temperature. for this money you can buy indesit and not have any worries, we bought"&amp;" it in a big hurry, I don’t recommend it to anyone!")</f>
        <v>VERY LOUD during any wash cycle, electronic control is a big minus, if you have a child at home and load the machine in a hurry, you may forget to add a spin or select the temperature. for this money you can buy indesit and not have any worries, we bought it in a big hurry, I don’t recommend it to anyone!</v>
      </c>
    </row>
    <row r="285" spans="1:9" x14ac:dyDescent="0.3">
      <c r="A285" s="1" t="s">
        <v>61</v>
      </c>
      <c r="B285" s="1" t="s">
        <v>318</v>
      </c>
      <c r="C285" s="1" t="s">
        <v>745</v>
      </c>
      <c r="D285" s="1" t="s">
        <v>909</v>
      </c>
      <c r="E285" s="1" t="s">
        <v>775</v>
      </c>
      <c r="F285" s="1" t="s">
        <v>910</v>
      </c>
      <c r="G285" s="1" t="s">
        <v>15</v>
      </c>
      <c r="H285" s="1" t="s">
        <v>16</v>
      </c>
      <c r="I285" s="1" t="str">
        <f ca="1">IFERROR(__xludf.DUMMYFUNCTION("GOOGLETRANSLATE(F285, ""auto"", ""en"")
"),"At first I seemed to like it! It boils quickly, the backlight is blue when turned off and red when working. But after two weeks the smell of plastic began to appear, and the further it went, the more it became. It became impossible to drink tea from it. I"&amp;"n the end I had to buy a new one. It’s not clear what kind of plastic is used in its manufacture!")</f>
        <v>At first I seemed to like it! It boils quickly, the backlight is blue when turned off and red when working. But after two weeks the smell of plastic began to appear, and the further it went, the more it became. It became impossible to drink tea from it. In the end I had to buy a new one. It’s not clear what kind of plastic is used in its manufacture!</v>
      </c>
    </row>
    <row r="286" spans="1:9" x14ac:dyDescent="0.3">
      <c r="A286" s="1" t="s">
        <v>211</v>
      </c>
      <c r="B286" s="1" t="s">
        <v>212</v>
      </c>
      <c r="C286" s="1" t="s">
        <v>381</v>
      </c>
      <c r="D286" s="1" t="s">
        <v>911</v>
      </c>
      <c r="E286" s="1" t="s">
        <v>912</v>
      </c>
      <c r="F286" s="1" t="s">
        <v>913</v>
      </c>
      <c r="G286" s="1" t="s">
        <v>15</v>
      </c>
      <c r="H286" s="1" t="s">
        <v>16</v>
      </c>
      <c r="I286" s="1" t="str">
        <f ca="1">IFERROR(__xludf.DUMMYFUNCTION("GOOGLETRANSLATE(F286, ""auto"", ""en"")
"),"For me personally, the thing is useless, it doesn’t curl anything even a little.")</f>
        <v>For me personally, the thing is useless, it doesn’t curl anything even a little.</v>
      </c>
    </row>
    <row r="287" spans="1:9" x14ac:dyDescent="0.3">
      <c r="A287" s="1" t="s">
        <v>211</v>
      </c>
      <c r="B287" s="1" t="s">
        <v>410</v>
      </c>
      <c r="C287" s="1" t="s">
        <v>213</v>
      </c>
      <c r="D287" s="1" t="s">
        <v>186</v>
      </c>
      <c r="E287" s="1" t="s">
        <v>914</v>
      </c>
      <c r="F287" s="1" t="s">
        <v>915</v>
      </c>
      <c r="G287" s="1" t="s">
        <v>36</v>
      </c>
      <c r="H287" s="1" t="s">
        <v>29</v>
      </c>
      <c r="I287" s="1" t="str">
        <f ca="1">IFERROR(__xludf.DUMMYFUNCTION("GOOGLETRANSLATE(F287, ""auto"", ""en"")
"),"I really liked it, and I used this company before, good glide, trimmer for leveling!!! just a quality shave!!! without pulling out hair, does not discharge for a long time, just a miracle of technology))) thank you for the opportunity to shave comfortably"&amp;"!!))")</f>
        <v>I really liked it, and I used this company before, good glide, trimmer for leveling!!! just a quality shave!!! without pulling out hair, does not discharge for a long time, just a miracle of technology))) thank you for the opportunity to shave comfortably!!))</v>
      </c>
    </row>
    <row r="288" spans="1:9" x14ac:dyDescent="0.3">
      <c r="A288" s="1" t="s">
        <v>477</v>
      </c>
      <c r="B288" s="1" t="s">
        <v>478</v>
      </c>
      <c r="C288" s="1" t="s">
        <v>479</v>
      </c>
      <c r="D288" s="1" t="s">
        <v>916</v>
      </c>
      <c r="E288" s="1" t="s">
        <v>917</v>
      </c>
      <c r="F288" s="1" t="s">
        <v>918</v>
      </c>
      <c r="G288" s="1" t="s">
        <v>28</v>
      </c>
      <c r="H288" s="1" t="s">
        <v>29</v>
      </c>
      <c r="I288" s="1" t="str">
        <f ca="1">IFERROR(__xludf.DUMMYFUNCTION("GOOGLETRANSLATE(F288, ""auto"", ""en"")
"),"so it’s a normal game, but it’s bad that it’s updated continuously")</f>
        <v>so it’s a normal game, but it’s bad that it’s updated continuously</v>
      </c>
    </row>
    <row r="289" spans="1:9" x14ac:dyDescent="0.3">
      <c r="A289" s="1" t="s">
        <v>9</v>
      </c>
      <c r="B289" s="1" t="s">
        <v>10</v>
      </c>
      <c r="C289" s="1" t="s">
        <v>466</v>
      </c>
      <c r="D289" s="1" t="s">
        <v>919</v>
      </c>
      <c r="E289" s="1" t="s">
        <v>920</v>
      </c>
      <c r="F289" s="1" t="s">
        <v>921</v>
      </c>
      <c r="G289" s="1" t="s">
        <v>28</v>
      </c>
      <c r="H289" s="1" t="s">
        <v>29</v>
      </c>
      <c r="I289" s="1" t="str">
        <f ca="1">IFERROR(__xludf.DUMMYFUNCTION("GOOGLETRANSLATE(F289, ""auto"", ""en"")
"),"They brought me this hood on September 14th. At first everything was in order... The speed indication always appeared on the display in the form of numbers from 1 to 3, depending on the selected mode... But after 9 days, instead of the speed number, a sig"&amp;"n in the form of the letter “C” began to appear, regardless of what the current speed was. When you set a 15-minute timer, instead of a flashing number, there is still the same flashing “C”. It doesn’t seem to be a big deal, but it’s still very unpleasant"&amp;" that not everything is as it should be. So now, instead of indicating, I determine by the sound what speed is currently on - the louder, the correspondingly more))) I don’t even know what to do now, the hood is firmly attached to the wall, I have no desi"&amp;"re to remove it and take it for repairs... So far I’m happy with the technical characteristics and performance, as well as the appearance... Time will tell how reliable it is.")</f>
        <v>They brought me this hood on September 14th. At first everything was in order... The speed indication always appeared on the display in the form of numbers from 1 to 3, depending on the selected mode... But after 9 days, instead of the speed number, a sign in the form of the letter “C” began to appear, regardless of what the current speed was. When you set a 15-minute timer, instead of a flashing number, there is still the same flashing “C”. It doesn’t seem to be a big deal, but it’s still very unpleasant that not everything is as it should be. So now, instead of indicating, I determine by the sound what speed is currently on - the louder, the correspondingly more))) I don’t even know what to do now, the hood is firmly attached to the wall, I have no desire to remove it and take it for repairs... So far I’m happy with the technical characteristics and performance, as well as the appearance... Time will tell how reliable it is.</v>
      </c>
    </row>
    <row r="290" spans="1:9" x14ac:dyDescent="0.3">
      <c r="A290" s="1" t="s">
        <v>211</v>
      </c>
      <c r="B290" s="1" t="s">
        <v>212</v>
      </c>
      <c r="C290" s="1" t="s">
        <v>294</v>
      </c>
      <c r="D290" s="1" t="s">
        <v>922</v>
      </c>
      <c r="E290" s="1" t="s">
        <v>917</v>
      </c>
      <c r="F290" s="1" t="s">
        <v>923</v>
      </c>
      <c r="G290" s="1" t="s">
        <v>36</v>
      </c>
      <c r="H290" s="1" t="s">
        <v>29</v>
      </c>
      <c r="I290" s="1" t="str">
        <f ca="1">IFERROR(__xludf.DUMMYFUNCTION("GOOGLETRANSLATE(F290, ""auto"", ""en"")
"),"I've been using this hairdryer for several months now. The hairdryer is wonderful, one might even say almost professional. Very powerful, dries quickly. For such a very inexpensive price, the quality is simply super! The only minor drawback is that the ha"&amp;"irdryer may seem a little heavy, but in any case, on the 2nd and 3rd you immediately get used to it. In general, I use it and enjoy it!")</f>
        <v>I've been using this hairdryer for several months now. The hairdryer is wonderful, one might even say almost professional. Very powerful, dries quickly. For such a very inexpensive price, the quality is simply super! The only minor drawback is that the hairdryer may seem a little heavy, but in any case, on the 2nd and 3rd you immediately get used to it. In general, I use it and enjoy it!</v>
      </c>
    </row>
    <row r="291" spans="1:9" x14ac:dyDescent="0.3">
      <c r="A291" s="1" t="s">
        <v>149</v>
      </c>
      <c r="B291" s="1" t="s">
        <v>423</v>
      </c>
      <c r="C291" s="1" t="s">
        <v>314</v>
      </c>
      <c r="D291" s="1" t="s">
        <v>52</v>
      </c>
      <c r="E291" s="1" t="s">
        <v>924</v>
      </c>
      <c r="F291" s="1" t="s">
        <v>925</v>
      </c>
      <c r="G291" s="1" t="s">
        <v>36</v>
      </c>
      <c r="H291" s="1" t="s">
        <v>29</v>
      </c>
      <c r="I291" s="1" t="str">
        <f ca="1">IFERROR(__xludf.DUMMYFUNCTION("GOOGLETRANSLATE(F291, ""auto"", ""en"")
"),"Good day! Here are some important points to consider when working with this model of vacuum cleaner: 1. Do not use the shampoo substitute powder that is included in the kit. It does not dissolve in water and clogs the nozzle on the spray nozzle. Many buye"&amp;"rs take the vacuum cleaner back for this very reason, believing that the vacuum cleaner does not function.   2. When filling containers with water, make sure that its level does not exceed the marks marked on the containers.  3. If a lot of foam forms in "&amp;"the aquafilter when working, it means there are some detergents on the surface being treated, or this is a consequence of using shampoo not intended for washing vacuum cleaners. Shampoo for a washing vacuum cleaner has a low foaming coefficient.")</f>
        <v>Good day! Here are some important points to consider when working with this model of vacuum cleaner: 1. Do not use the shampoo substitute powder that is included in the kit. It does not dissolve in water and clogs the nozzle on the spray nozzle. Many buyers take the vacuum cleaner back for this very reason, believing that the vacuum cleaner does not function.   2. When filling containers with water, make sure that its level does not exceed the marks marked on the containers.  3. If a lot of foam forms in the aquafilter when working, it means there are some detergents on the surface being treated, or this is a consequence of using shampoo not intended for washing vacuum cleaners. Shampoo for a washing vacuum cleaner has a low foaming coefficient.</v>
      </c>
    </row>
    <row r="292" spans="1:9" x14ac:dyDescent="0.3">
      <c r="A292" s="1" t="s">
        <v>61</v>
      </c>
      <c r="B292" s="1" t="s">
        <v>73</v>
      </c>
      <c r="C292" s="1" t="s">
        <v>85</v>
      </c>
      <c r="D292" s="1" t="s">
        <v>39</v>
      </c>
      <c r="E292" s="1" t="s">
        <v>926</v>
      </c>
      <c r="F292" s="1" t="s">
        <v>927</v>
      </c>
      <c r="G292" s="1" t="s">
        <v>28</v>
      </c>
      <c r="H292" s="1" t="s">
        <v>29</v>
      </c>
      <c r="I292" s="1" t="str">
        <f ca="1">IFERROR(__xludf.DUMMYFUNCTION("GOOGLETRANSLATE(F292, ""auto"", ""en"")
"),"In general, the meat grinder is not even bad, I have no complaints about the motor, but as always there is one thing, but the gear on the auger is rather weak after 2 years of use and was sharpened and when loading meat, the auger simply did not spin, I h"&amp;"ad to buy a new one. A trifle, but not pleasant!!! Therefore 4!")</f>
        <v>In general, the meat grinder is not even bad, I have no complaints about the motor, but as always there is one thing, but the gear on the auger is rather weak after 2 years of use and was sharpened and when loading meat, the auger simply did not spin, I had to buy a new one. A trifle, but not pleasant!!! Therefore 4!</v>
      </c>
    </row>
    <row r="293" spans="1:9" x14ac:dyDescent="0.3">
      <c r="A293" s="1" t="s">
        <v>67</v>
      </c>
      <c r="B293" s="1" t="s">
        <v>68</v>
      </c>
      <c r="C293" s="1" t="s">
        <v>185</v>
      </c>
      <c r="D293" s="1" t="s">
        <v>232</v>
      </c>
      <c r="E293" s="1" t="s">
        <v>753</v>
      </c>
      <c r="F293" s="1" t="s">
        <v>928</v>
      </c>
      <c r="G293" s="1" t="s">
        <v>36</v>
      </c>
      <c r="H293" s="1" t="s">
        <v>29</v>
      </c>
      <c r="I293" s="1" t="str">
        <f ca="1">IFERROR(__xludf.DUMMYFUNCTION("GOOGLETRANSLATE(F293, ""auto"", ""en"")
"),"This device turned out to be much more convenient than the iron I was used to. At first it seemed that these wires would get in the way, but it turned out not! Ironing is much more convenient and easier; you don’t have to go through the same place twice. "&amp;"Why am I writing as an expert? That’s why I prefer to put my things in order myself, ever since I was in the army. In general, I realized that a steam generator is a thing!")</f>
        <v>This device turned out to be much more convenient than the iron I was used to. At first it seemed that these wires would get in the way, but it turned out not! Ironing is much more convenient and easier; you don’t have to go through the same place twice. Why am I writing as an expert? That’s why I prefer to put my things in order myself, ever since I was in the army. In general, I realized that a steam generator is a thing!</v>
      </c>
    </row>
    <row r="294" spans="1:9" x14ac:dyDescent="0.3">
      <c r="A294" s="1" t="s">
        <v>9</v>
      </c>
      <c r="B294" s="1" t="s">
        <v>137</v>
      </c>
      <c r="C294" s="1" t="s">
        <v>870</v>
      </c>
      <c r="D294" s="1" t="s">
        <v>929</v>
      </c>
      <c r="E294" s="1" t="s">
        <v>930</v>
      </c>
      <c r="F294" s="1" t="s">
        <v>931</v>
      </c>
      <c r="G294" s="1" t="s">
        <v>36</v>
      </c>
      <c r="H294" s="1" t="s">
        <v>29</v>
      </c>
      <c r="I294" s="1" t="str">
        <f ca="1">IFERROR(__xludf.DUMMYFUNCTION("GOOGLETRANSLATE(F294, ""auto"", ""en"")
"),"I’ve been using it for about three years and have no complaints, only positive emotions!  I was specifically looking for a panel with four separate grates - very easy to clean. I recommend it to everyone!")</f>
        <v>I’ve been using it for about three years and have no complaints, only positive emotions!  I was specifically looking for a panel with four separate grates - very easy to clean. I recommend it to everyone!</v>
      </c>
    </row>
    <row r="295" spans="1:9" x14ac:dyDescent="0.3">
      <c r="A295" s="1" t="s">
        <v>67</v>
      </c>
      <c r="B295" s="1" t="s">
        <v>68</v>
      </c>
      <c r="C295" s="1" t="s">
        <v>69</v>
      </c>
      <c r="D295" s="1" t="s">
        <v>521</v>
      </c>
      <c r="E295" s="1" t="s">
        <v>932</v>
      </c>
      <c r="F295" s="1" t="s">
        <v>933</v>
      </c>
      <c r="G295" s="1" t="s">
        <v>28</v>
      </c>
      <c r="H295" s="1" t="s">
        <v>29</v>
      </c>
      <c r="I295" s="1" t="str">
        <f ca="1">IFERROR(__xludf.DUMMYFUNCTION("GOOGLETRANSLATE(F295, ""auto"", ""en"")
"),"Just like Elena from Ryazan, she spent a long time choosing an iron based on reviews. I bought it only recently, so I can’t express strong emotions, but the first impression is pleasant, although it hisses loudly.")</f>
        <v>Just like Elena from Ryazan, she spent a long time choosing an iron based on reviews. I bought it only recently, so I can’t express strong emotions, but the first impression is pleasant, although it hisses loudly.</v>
      </c>
    </row>
    <row r="296" spans="1:9" x14ac:dyDescent="0.3">
      <c r="A296" s="1" t="s">
        <v>211</v>
      </c>
      <c r="B296" s="1" t="s">
        <v>212</v>
      </c>
      <c r="C296" s="1" t="s">
        <v>294</v>
      </c>
      <c r="D296" s="1" t="s">
        <v>934</v>
      </c>
      <c r="E296" s="1" t="s">
        <v>379</v>
      </c>
      <c r="F296" s="1" t="s">
        <v>935</v>
      </c>
      <c r="G296" s="1" t="s">
        <v>28</v>
      </c>
      <c r="H296" s="1" t="s">
        <v>29</v>
      </c>
      <c r="I296" s="1" t="str">
        <f ca="1">IFERROR(__xludf.DUMMYFUNCTION("GOOGLETRANSLATE(F296, ""auto"", ""en"")
"),"It's comfortable, lightweight, and gets the job done. The effect of ionization is noticeable, the hair is not electrified at all, as was the case with the old straightener.  But, I agree with Anastasia, the on/off button is very inconveniently located. An"&amp;"d the ceramic plates are located close to the edges, they were fired a couple of times")</f>
        <v>It's comfortable, lightweight, and gets the job done. The effect of ionization is noticeable, the hair is not electrified at all, as was the case with the old straightener.  But, I agree with Anastasia, the on/off button is very inconveniently located. And the ceramic plates are located close to the edges, they were fired a couple of times</v>
      </c>
    </row>
    <row r="297" spans="1:9" x14ac:dyDescent="0.3">
      <c r="A297" s="1" t="s">
        <v>149</v>
      </c>
      <c r="B297" s="1" t="s">
        <v>155</v>
      </c>
      <c r="C297" s="1" t="s">
        <v>159</v>
      </c>
      <c r="D297" s="1" t="s">
        <v>521</v>
      </c>
      <c r="E297" s="1" t="s">
        <v>585</v>
      </c>
      <c r="F297" s="1" t="s">
        <v>936</v>
      </c>
      <c r="G297" s="1" t="s">
        <v>36</v>
      </c>
      <c r="H297" s="1" t="s">
        <v>29</v>
      </c>
      <c r="I297" s="1" t="str">
        <f ca="1">IFERROR(__xludf.DUMMYFUNCTION("GOOGLETRANSLATE(F297, ""auto"", ""en"")
"),"The vacuum cleaner was appreciated! great thing, collected as much dust in our apartment in two trips as the old vacuum cleaner didn’t collect in a year! we are pleasantly surprised.")</f>
        <v>The vacuum cleaner was appreciated! great thing, collected as much dust in our apartment in two trips as the old vacuum cleaner didn’t collect in a year! we are pleasantly surprised.</v>
      </c>
    </row>
    <row r="298" spans="1:9" x14ac:dyDescent="0.3">
      <c r="A298" s="1" t="s">
        <v>852</v>
      </c>
      <c r="B298" s="1" t="s">
        <v>853</v>
      </c>
      <c r="C298" s="1" t="s">
        <v>356</v>
      </c>
      <c r="D298" s="1" t="s">
        <v>774</v>
      </c>
      <c r="E298" s="1" t="s">
        <v>937</v>
      </c>
      <c r="F298" s="1" t="s">
        <v>938</v>
      </c>
      <c r="G298" s="1" t="s">
        <v>15</v>
      </c>
      <c r="H298" s="1" t="s">
        <v>16</v>
      </c>
      <c r="I298" s="1" t="str">
        <f ca="1">IFERROR(__xludf.DUMMYFUNCTION("GOOGLETRANSLATE(F298, ""auto"", ""en"")
"),"Guys, you all here are giving this laptop the highest marks.. And explain why that kind of money?? For the same money you can buy a Sony Vaio, which is not inferior in stylish design, and the technical parameters are even better (RAM, hard drive, diagonal"&amp;", frequency, etc.). So why pay that kind of money? Why is he better than others? Please tell me. I’m just now faced with choosing a laptop... I would like to hear advice from someone who knows a lot about these matters")</f>
        <v>Guys, you all here are giving this laptop the highest marks.. And explain why that kind of money?? For the same money you can buy a Sony Vaio, which is not inferior in stylish design, and the technical parameters are even better (RAM, hard drive, diagonal, frequency, etc.). So why pay that kind of money? Why is he better than others? Please tell me. I’m just now faced with choosing a laptop... I would like to hear advice from someone who knows a lot about these matters</v>
      </c>
    </row>
    <row r="299" spans="1:9" x14ac:dyDescent="0.3">
      <c r="A299" s="1" t="s">
        <v>169</v>
      </c>
      <c r="B299" s="1" t="s">
        <v>170</v>
      </c>
      <c r="C299" s="1" t="s">
        <v>122</v>
      </c>
      <c r="D299" s="1" t="s">
        <v>102</v>
      </c>
      <c r="E299" s="1" t="s">
        <v>784</v>
      </c>
      <c r="F299" s="1" t="s">
        <v>939</v>
      </c>
      <c r="G299" s="1" t="s">
        <v>28</v>
      </c>
      <c r="H299" s="1" t="s">
        <v>29</v>
      </c>
      <c r="I299" s="1" t="str">
        <f ca="1">IFERROR(__xludf.DUMMYFUNCTION("GOOGLETRANSLATE(F299, ""auto"", ""en"")
"),"The sound affects the auricle, and not the auditory canal - this is their advantage for ridiculous money. Stable sound quality and production culture from year to year and not a high price. The bowls are not on a hinge - there will be losses in bass on an"&amp;" adult's head, but for schoolchildren that's fine.")</f>
        <v>The sound affects the auricle, and not the auditory canal - this is their advantage for ridiculous money. Stable sound quality and production culture from year to year and not a high price. The bowls are not on a hinge - there will be losses in bass on an adult's head, but for schoolchildren that's fine.</v>
      </c>
    </row>
    <row r="300" spans="1:9" x14ac:dyDescent="0.3">
      <c r="A300" s="1" t="s">
        <v>211</v>
      </c>
      <c r="B300" s="1" t="s">
        <v>410</v>
      </c>
      <c r="C300" s="1" t="s">
        <v>57</v>
      </c>
      <c r="D300" s="1" t="s">
        <v>940</v>
      </c>
      <c r="E300" s="1" t="s">
        <v>214</v>
      </c>
      <c r="F300" s="1" t="s">
        <v>941</v>
      </c>
      <c r="G300" s="1" t="s">
        <v>49</v>
      </c>
      <c r="H300" s="1" t="s">
        <v>16</v>
      </c>
      <c r="I300" s="1" t="str">
        <f ca="1">IFERROR(__xludf.DUMMYFUNCTION("GOOGLETRANSLATE(F300, ""auto"", ""en"")
"),"very bad razor, battery died after 5 minutes of use")</f>
        <v>very bad razor, battery died after 5 minutes of use</v>
      </c>
    </row>
    <row r="301" spans="1:9" x14ac:dyDescent="0.3">
      <c r="A301" s="1" t="s">
        <v>369</v>
      </c>
      <c r="B301" s="1" t="s">
        <v>370</v>
      </c>
      <c r="C301" s="1" t="s">
        <v>159</v>
      </c>
      <c r="D301" s="1" t="s">
        <v>305</v>
      </c>
      <c r="E301" s="1" t="s">
        <v>817</v>
      </c>
      <c r="F301" s="1" t="s">
        <v>942</v>
      </c>
      <c r="G301" s="1" t="s">
        <v>36</v>
      </c>
      <c r="H301" s="1" t="s">
        <v>29</v>
      </c>
      <c r="I301" s="1" t="str">
        <f ca="1">IFERROR(__xludf.DUMMYFUNCTION("GOOGLETRANSLATE(F301, ""auto"", ""en"")
"),"Nice stove. The function of quick heating of the burners is especially useful - now I have it as a full-fledged competitor with the microwave oven.  The lack of a power cable in the kit is somewhat unpleasant - but on the other hand, the option is budget "&amp;"(this is the price here, it usually costs 17-18 thousand) and the cable from an old stove can be used.")</f>
        <v>Nice stove. The function of quick heating of the burners is especially useful - now I have it as a full-fledged competitor with the microwave oven.  The lack of a power cable in the kit is somewhat unpleasant - but on the other hand, the option is budget (this is the price here, it usually costs 17-18 thousand) and the cable from an old stove can be used.</v>
      </c>
    </row>
    <row r="302" spans="1:9" x14ac:dyDescent="0.3">
      <c r="A302" s="1" t="s">
        <v>89</v>
      </c>
      <c r="B302" s="1" t="s">
        <v>90</v>
      </c>
      <c r="C302" s="1" t="s">
        <v>745</v>
      </c>
      <c r="D302" s="1" t="s">
        <v>943</v>
      </c>
      <c r="E302" s="1" t="s">
        <v>944</v>
      </c>
      <c r="F302" s="1" t="s">
        <v>945</v>
      </c>
      <c r="G302" s="1" t="s">
        <v>36</v>
      </c>
      <c r="H302" s="1" t="s">
        <v>29</v>
      </c>
      <c r="I302" s="1" t="str">
        <f ca="1">IFERROR(__xludf.DUMMYFUNCTION("GOOGLETRANSLATE(F302, ""auto"", ""en"")
"),"All")</f>
        <v>All</v>
      </c>
    </row>
    <row r="303" spans="1:9" x14ac:dyDescent="0.3">
      <c r="A303" s="1" t="s">
        <v>120</v>
      </c>
      <c r="B303" s="1" t="s">
        <v>196</v>
      </c>
      <c r="C303" s="1" t="s">
        <v>69</v>
      </c>
      <c r="D303" s="1" t="s">
        <v>946</v>
      </c>
      <c r="E303" s="1" t="s">
        <v>947</v>
      </c>
      <c r="F303" s="1" t="s">
        <v>948</v>
      </c>
      <c r="G303" s="1" t="s">
        <v>36</v>
      </c>
      <c r="H303" s="1" t="s">
        <v>29</v>
      </c>
      <c r="I303" s="1" t="str">
        <f ca="1">IFERROR(__xludf.DUMMYFUNCTION("GOOGLETRANSLATE(F303, ""auto"", ""en"")
"),"The Zhashka is worthy of attention. The picture, when compared with Sony cameras of the same price category, seems to me to be more impressive. The white tint is more believable or something. But overall I'm happy with the purchase. TV shows with a poor s"&amp;"ignal are so-so, but with a proper signal, the display of everything that happens on a 42"" matrix is ​​WONDERFUL. From Blu-ray discs and nesting dolls with a capacity of 10 GB, the image is gorgeous, and with an AVI of 1.5 GB it also looks not bad. Adjus"&amp;"tment of different formats is more or less adequate, but still not perfect, cannot cut off the side sides (probably the most noticeable drawback in this model) and the menu is a little overdone... I’m reviewing the entire film library for the second month"&amp;". There is one thing - the diagonal is too small. After a week, the eyes adapt to the diagonal and I want more. BUT the price is only one and a half times higher for 47"" compared to 42"".")</f>
        <v>The Zhashka is worthy of attention. The picture, when compared with Sony cameras of the same price category, seems to me to be more impressive. The white tint is more believable or something. But overall I'm happy with the purchase. TV shows with a poor signal are so-so, but with a proper signal, the display of everything that happens on a 42" matrix is ​​WONDERFUL. From Blu-ray discs and nesting dolls with a capacity of 10 GB, the image is gorgeous, and with an AVI of 1.5 GB it also looks not bad. Adjustment of different formats is more or less adequate, but still not perfect, cannot cut off the side sides (probably the most noticeable drawback in this model) and the menu is a little overdone... I’m reviewing the entire film library for the second month. There is one thing - the diagonal is too small. After a week, the eyes adapt to the diagonal and I want more. BUT the price is only one and a half times higher for 47" compared to 42".</v>
      </c>
    </row>
    <row r="304" spans="1:9" x14ac:dyDescent="0.3">
      <c r="A304" s="1" t="s">
        <v>811</v>
      </c>
      <c r="B304" s="1" t="s">
        <v>812</v>
      </c>
      <c r="C304" s="1" t="s">
        <v>949</v>
      </c>
      <c r="D304" s="1" t="s">
        <v>39</v>
      </c>
      <c r="E304" s="1" t="s">
        <v>950</v>
      </c>
      <c r="F304" s="1" t="s">
        <v>951</v>
      </c>
      <c r="G304" s="1" t="s">
        <v>36</v>
      </c>
      <c r="H304" s="1" t="s">
        <v>29</v>
      </c>
      <c r="I304" s="1" t="str">
        <f ca="1">IFERROR(__xludf.DUMMYFUNCTION("GOOGLETRANSLATE(F304, ""auto"", ""en"")
"),"I liked the tripod. Lightweight, yet quite durable and stable in working position. Quickly unfolds/folds (30-40 seconds with leisurely body movements - timed). The head is made of metal and is quite mobile, easy to adjust. There is a removable platform, o"&amp;"f course. Over time, you can buy an additional ball head for compactness (which is what I did, but I liked working with my original head more - I probably took a weak, small ball :)).  The central column is collapsible, you can turn it over and take a pho"&amp;"to “upside down” (I haven’t tried it). And if you unscrew the lower part of the central column and stretch your legs to the sides, you can take pictures almost close to the ground. So there are no problems with transformational opportunities.  The tripod "&amp;"can be carried either with or without the supplied case (I have a photo backpack), the length when folded is about 40 cm - just right.  I would lower the rating for the price (in some stores in Moscow, after searching, you can get it almost one and a half"&amp;" times cheaper), but I bought it with a gift card and not in Moscow, so in this particular case, no complaints.  I'm happy with the purchase. I use it in tandem with Nikon D3000 + different lenses (55-200 is the longest).")</f>
        <v>I liked the tripod. Lightweight, yet quite durable and stable in working position. Quickly unfolds/folds (30-40 seconds with leisurely body movements - timed). The head is made of metal and is quite mobile, easy to adjust. There is a removable platform, of course. Over time, you can buy an additional ball head for compactness (which is what I did, but I liked working with my original head more - I probably took a weak, small ball :)).  The central column is collapsible, you can turn it over and take a photo “upside down” (I haven’t tried it). And if you unscrew the lower part of the central column and stretch your legs to the sides, you can take pictures almost close to the ground. So there are no problems with transformational opportunities.  The tripod can be carried either with or without the supplied case (I have a photo backpack), the length when folded is about 40 cm - just right.  I would lower the rating for the price (in some stores in Moscow, after searching, you can get it almost one and a half times cheaper), but I bought it with a gift card and not in Moscow, so in this particular case, no complaints.  I'm happy with the purchase. I use it in tandem with Nikon D3000 + different lenses (55-200 is the longest).</v>
      </c>
    </row>
    <row r="305" spans="1:9" x14ac:dyDescent="0.3">
      <c r="A305" s="1" t="s">
        <v>120</v>
      </c>
      <c r="B305" s="1" t="s">
        <v>196</v>
      </c>
      <c r="C305" s="1" t="s">
        <v>151</v>
      </c>
      <c r="D305" s="1" t="s">
        <v>39</v>
      </c>
      <c r="E305" s="1" t="s">
        <v>597</v>
      </c>
      <c r="F305" s="1" t="s">
        <v>952</v>
      </c>
      <c r="G305" s="1" t="s">
        <v>49</v>
      </c>
      <c r="H305" s="1" t="s">
        <v>16</v>
      </c>
      <c r="I305" s="1" t="str">
        <f ca="1">IFERROR(__xludf.DUMMYFUNCTION("GOOGLETRANSLATE(F305, ""auto"", ""en"")
"),"After buying and connecting the TV at home, I was happy for exactly 7 minutes, then it began to turn off and on on its own, and stopped responding to the remote control and touch panel presses. Reflashing the software from the Samsung website did not corr"&amp;"ect the situation - I’ll go back tomorrow.")</f>
        <v>After buying and connecting the TV at home, I was happy for exactly 7 minutes, then it began to turn off and on on its own, and stopped responding to the remote control and touch panel presses. Reflashing the software from the Samsung website did not correct the situation - I’ll go back tomorrow.</v>
      </c>
    </row>
    <row r="306" spans="1:9" x14ac:dyDescent="0.3">
      <c r="A306" s="1" t="s">
        <v>43</v>
      </c>
      <c r="B306" s="1" t="s">
        <v>303</v>
      </c>
      <c r="C306" s="1" t="s">
        <v>220</v>
      </c>
      <c r="D306" s="1" t="s">
        <v>280</v>
      </c>
      <c r="E306" s="1" t="s">
        <v>649</v>
      </c>
      <c r="F306" s="1" t="s">
        <v>953</v>
      </c>
      <c r="G306" s="1" t="s">
        <v>36</v>
      </c>
      <c r="H306" s="1" t="s">
        <v>29</v>
      </c>
      <c r="I306" s="1" t="str">
        <f ca="1">IFERROR(__xludf.DUMMYFUNCTION("GOOGLETRANSLATE(F306, ""auto"", ""en"")
"),"I bought it a long time ago. An excellent model, it heats up a full tank in 40 minutes, which is indispensable for homes where there is no hot water for six months. Convenient almost touch display, stylish metal case. I recommend it.")</f>
        <v>I bought it a long time ago. An excellent model, it heats up a full tank in 40 minutes, which is indispensable for homes where there is no hot water for six months. Convenient almost touch display, stylish metal case. I recommend it.</v>
      </c>
    </row>
    <row r="307" spans="1:9" x14ac:dyDescent="0.3">
      <c r="A307" s="1" t="s">
        <v>624</v>
      </c>
      <c r="B307" s="1" t="s">
        <v>625</v>
      </c>
      <c r="C307" s="1" t="s">
        <v>479</v>
      </c>
      <c r="D307" s="1" t="s">
        <v>474</v>
      </c>
      <c r="E307" s="1" t="s">
        <v>954</v>
      </c>
      <c r="F307" s="1" t="s">
        <v>955</v>
      </c>
      <c r="G307" s="1" t="s">
        <v>36</v>
      </c>
      <c r="H307" s="1" t="s">
        <v>29</v>
      </c>
      <c r="I307" s="1" t="str">
        <f ca="1">IFERROR(__xludf.DUMMYFUNCTION("GOOGLETRANSLATE(F307, ""auto"", ""en"")
"),"A wonderful game not only for a company, but also for the family as a whole! My nephew plays with us, and even beats everyone! (he is 4 years old) Interesting, impossible to tear yourself away!")</f>
        <v>A wonderful game not only for a company, but also for the family as a whole! My nephew plays with us, and even beats everyone! (he is 4 years old) Interesting, impossible to tear yourself away!</v>
      </c>
    </row>
    <row r="308" spans="1:9" x14ac:dyDescent="0.3">
      <c r="A308" s="1" t="s">
        <v>732</v>
      </c>
      <c r="B308" s="1" t="s">
        <v>733</v>
      </c>
      <c r="C308" s="1" t="s">
        <v>80</v>
      </c>
      <c r="D308" s="1" t="s">
        <v>280</v>
      </c>
      <c r="E308" s="1" t="s">
        <v>956</v>
      </c>
      <c r="F308" s="1" t="s">
        <v>957</v>
      </c>
      <c r="G308" s="1" t="s">
        <v>36</v>
      </c>
      <c r="H308" s="1" t="s">
        <v>29</v>
      </c>
      <c r="I308" s="1" t="str">
        <f ca="1">IFERROR(__xludf.DUMMYFUNCTION("GOOGLETRANSLATE(F308, ""auto"", ""en"")
"),"excellent monitor)) quality is better than price)) works for half a year, no complaints) good purchase)")</f>
        <v>excellent monitor)) quality is better than price)) works for half a year, no complaints) good purchase)</v>
      </c>
    </row>
    <row r="309" spans="1:9" x14ac:dyDescent="0.3">
      <c r="A309" s="1" t="s">
        <v>95</v>
      </c>
      <c r="B309" s="1" t="s">
        <v>958</v>
      </c>
      <c r="C309" s="1" t="s">
        <v>403</v>
      </c>
      <c r="D309" s="1" t="s">
        <v>959</v>
      </c>
      <c r="E309" s="1" t="s">
        <v>960</v>
      </c>
      <c r="F309" s="1" t="s">
        <v>961</v>
      </c>
      <c r="G309" s="1" t="s">
        <v>36</v>
      </c>
      <c r="H309" s="1" t="s">
        <v>29</v>
      </c>
      <c r="I309" s="1" t="str">
        <f ca="1">IFERROR(__xludf.DUMMYFUNCTION("GOOGLETRANSLATE(F309, ""auto"", ""en"")
"),"Cool thing, I played it in Germany, every family there has a Nintendo! If you have the opportunity, buy it, you won’t regret it. Suitable for having fun in your free time with friends and family (the quality of games is much better than on a computer)!")</f>
        <v>Cool thing, I played it in Germany, every family there has a Nintendo! If you have the opportunity, buy it, you won’t regret it. Suitable for having fun in your free time with friends and family (the quality of games is much better than on a computer)!</v>
      </c>
    </row>
    <row r="310" spans="1:9" x14ac:dyDescent="0.3">
      <c r="A310" s="1" t="s">
        <v>95</v>
      </c>
      <c r="B310" s="1" t="s">
        <v>648</v>
      </c>
      <c r="C310" s="1" t="s">
        <v>97</v>
      </c>
      <c r="D310" s="1" t="s">
        <v>962</v>
      </c>
      <c r="E310" s="1" t="s">
        <v>708</v>
      </c>
      <c r="F310" s="1" t="s">
        <v>963</v>
      </c>
      <c r="G310" s="1" t="s">
        <v>36</v>
      </c>
      <c r="H310" s="1" t="s">
        <v>29</v>
      </c>
      <c r="I310" s="1" t="str">
        <f ca="1">IFERROR(__xludf.DUMMYFUNCTION("GOOGLETRANSLATE(F310, ""auto"", ""en"")
"),"Psp go is a very good device - psp go is a compact computer!!) Which can be carried anywhere. I had (psp 2008 slim&amp;lite psp 3008 psp go) But I liked the psp go the most")</f>
        <v>Psp go is a very good device - psp go is a compact computer!!) Which can be carried anywhere. I had (psp 2008 slim&amp;lite psp 3008 psp go) But I liked the psp go the most</v>
      </c>
    </row>
    <row r="311" spans="1:9" x14ac:dyDescent="0.3">
      <c r="A311" s="1" t="s">
        <v>149</v>
      </c>
      <c r="B311" s="1" t="s">
        <v>576</v>
      </c>
      <c r="C311" s="1" t="s">
        <v>69</v>
      </c>
      <c r="D311" s="1" t="s">
        <v>142</v>
      </c>
      <c r="E311" s="1" t="s">
        <v>590</v>
      </c>
      <c r="F311" s="1" t="s">
        <v>964</v>
      </c>
      <c r="G311" s="1" t="s">
        <v>36</v>
      </c>
      <c r="H311" s="1" t="s">
        <v>29</v>
      </c>
      <c r="I311" s="1" t="str">
        <f ca="1">IFERROR(__xludf.DUMMYFUNCTION("GOOGLETRANSLATE(F311, ""auto"", ""en"")
"),"We bought a vacuum cleaner a week ago!  Many thanks to the sales consultants at \""M-Video\""!  Now about the vacuum cleaner - a great thing! It collects dust like a charm! There is a small child in the house and an animal that loves to shed - that is, a "&amp;"cat, with the previous vacuum cleaner there was no such cleanliness, I removed all the cat hair from the carpets. But the turbo brush is a different story - carpets with long pile - the pile lifts and collects all the dirt. I don’t remember such clean and"&amp;", if I may say so, combed carpets. About cleaning the turbo brush - it’s not difficult - even your hair is long, you’ll have to clean the comb after yourself! About static electricity shocks - the instructions say so! And comrades, remember the physics co"&amp;"urse at school and all questions will disappear - with such power. Yes, of course, it would be possible to make insulation somewhere or vacuum only the plastic part, but at full power this electricity still accumulates - I think the manufacturers have eve"&amp;"rything ahead of them. We tried to walk at full power on the linoleum - when we stopped - it lifted! Of course, it’s difficult to match the taste and color with anyone, but from me, thanks to the vacuum cleaner!")</f>
        <v>We bought a vacuum cleaner a week ago!  Many thanks to the sales consultants at \"M-Video\"!  Now about the vacuum cleaner - a great thing! It collects dust like a charm! There is a small child in the house and an animal that loves to shed - that is, a cat, with the previous vacuum cleaner there was no such cleanliness, I removed all the cat hair from the carpets. But the turbo brush is a different story - carpets with long pile - the pile lifts and collects all the dirt. I don’t remember such clean and, if I may say so, combed carpets. About cleaning the turbo brush - it’s not difficult - even your hair is long, you’ll have to clean the comb after yourself! About static electricity shocks - the instructions say so! And comrades, remember the physics course at school and all questions will disappear - with such power. Yes, of course, it would be possible to make insulation somewhere or vacuum only the plastic part, but at full power this electricity still accumulates - I think the manufacturers have everything ahead of them. We tried to walk at full power on the linoleum - when we stopped - it lifted! Of course, it’s difficult to match the taste and color with anyone, but from me, thanks to the vacuum cleaner!</v>
      </c>
    </row>
    <row r="312" spans="1:9" x14ac:dyDescent="0.3">
      <c r="A312" s="1" t="s">
        <v>965</v>
      </c>
      <c r="B312" s="1" t="s">
        <v>966</v>
      </c>
      <c r="C312" s="1" t="s">
        <v>967</v>
      </c>
      <c r="D312" s="1" t="s">
        <v>968</v>
      </c>
      <c r="E312" s="1" t="s">
        <v>969</v>
      </c>
      <c r="F312" s="1" t="s">
        <v>970</v>
      </c>
      <c r="G312" s="1" t="s">
        <v>28</v>
      </c>
      <c r="H312" s="1" t="s">
        <v>29</v>
      </c>
      <c r="I312" s="1" t="str">
        <f ca="1">IFERROR(__xludf.DUMMYFUNCTION("GOOGLETRANSLATE(F312, ""auto"", ""en"")
"),"Connected to LED TV, sound is normal. But on the computer the sound turned out to be absolutely amazing, you can feel the full depth of the bass, apparently the sound system has a strong influence.   I have never listened to it at full volume - 70% is ver"&amp;"y loud.  It is best to set the bass in the middle position.  One of the minuses is that the input signal connector is rather weak and crackles.")</f>
        <v>Connected to LED TV, sound is normal. But on the computer the sound turned out to be absolutely amazing, you can feel the full depth of the bass, apparently the sound system has a strong influence.   I have never listened to it at full volume - 70% is very loud.  It is best to set the bass in the middle position.  One of the minuses is that the input signal connector is rather weak and crackles.</v>
      </c>
    </row>
    <row r="313" spans="1:9" x14ac:dyDescent="0.3">
      <c r="A313" s="1" t="s">
        <v>61</v>
      </c>
      <c r="B313" s="1" t="s">
        <v>726</v>
      </c>
      <c r="C313" s="1" t="s">
        <v>122</v>
      </c>
      <c r="D313" s="1" t="s">
        <v>774</v>
      </c>
      <c r="E313" s="1" t="s">
        <v>971</v>
      </c>
      <c r="F313" s="1" t="s">
        <v>972</v>
      </c>
      <c r="G313" s="1" t="s">
        <v>36</v>
      </c>
      <c r="H313" s="1" t="s">
        <v>29</v>
      </c>
      <c r="I313" s="1" t="str">
        <f ca="1">IFERROR(__xludf.DUMMYFUNCTION("GOOGLETRANSLATE(F313, ""auto"", ""en"")
"),"Six months ago we bought a bread machine, during which time we bought a store-bought one only twice. Everyone is happy, we recommend it to everyone.")</f>
        <v>Six months ago we bought a bread machine, during which time we bought a store-bought one only twice. Everyone is happy, we recommend it to everyone.</v>
      </c>
    </row>
    <row r="314" spans="1:9" x14ac:dyDescent="0.3">
      <c r="A314" s="1" t="s">
        <v>211</v>
      </c>
      <c r="B314" s="1" t="s">
        <v>212</v>
      </c>
      <c r="C314" s="1" t="s">
        <v>69</v>
      </c>
      <c r="D314" s="1" t="s">
        <v>335</v>
      </c>
      <c r="E314" s="1" t="s">
        <v>386</v>
      </c>
      <c r="F314" s="1" t="s">
        <v>973</v>
      </c>
      <c r="G314" s="1" t="s">
        <v>15</v>
      </c>
      <c r="H314" s="1" t="s">
        <v>16</v>
      </c>
      <c r="I314" s="1" t="str">
        <f ca="1">IFERROR(__xludf.DUMMYFUNCTION("GOOGLETRANSLATE(F314, ""auto"", ""en"")
"),"I have a previous model of this brush, I can’t find a better hairdryer...calm hot air...stay and style for your health. It became scary that it might break, etc. The model is no longer sold, I bought this one...I'm at a loss?!!!!?? Slightly warm air is bl"&amp;"owing (how to style it like this?) but the most interesting thing... I want to let the ends of my hair be styled inward... or outward... (is it a hairdryer brush? for styling?) and the air flow is just CRAZY, even on the minimum setting. The hair just fli"&amp;"es out of the brush! How so??? Have the manufacturers tried to use them at all? In general, an excellent alternative to a REGULAR hair dryer for drying.... but not for styling.")</f>
        <v>I have a previous model of this brush, I can’t find a better hairdryer...calm hot air...stay and style for your health. It became scary that it might break, etc. The model is no longer sold, I bought this one...I'm at a loss?!!!!?? Slightly warm air is blowing (how to style it like this?) but the most interesting thing... I want to let the ends of my hair be styled inward... or outward... (is it a hairdryer brush? for styling?) and the air flow is just CRAZY, even on the minimum setting. The hair just flies out of the brush! How so??? Have the manufacturers tried to use them at all? In general, an excellent alternative to a REGULAR hair dryer for drying.... but not for styling.</v>
      </c>
    </row>
    <row r="315" spans="1:9" x14ac:dyDescent="0.3">
      <c r="A315" s="1" t="s">
        <v>811</v>
      </c>
      <c r="B315" s="1" t="s">
        <v>812</v>
      </c>
      <c r="C315" s="1" t="s">
        <v>974</v>
      </c>
      <c r="D315" s="1" t="s">
        <v>86</v>
      </c>
      <c r="E315" s="1" t="s">
        <v>975</v>
      </c>
      <c r="F315" s="1" t="s">
        <v>976</v>
      </c>
      <c r="G315" s="1" t="s">
        <v>36</v>
      </c>
      <c r="H315" s="1" t="s">
        <v>29</v>
      </c>
      <c r="I315" s="1" t="str">
        <f ca="1">IFERROR(__xludf.DUMMYFUNCTION("GOOGLETRANSLATE(F315, ""auto"", ""en"")
"),"Very convenient, high quality, good tripod. An irreplaceable thing in nature. I recommend it to everyone!!!")</f>
        <v>Very convenient, high quality, good tripod. An irreplaceable thing in nature. I recommend it to everyone!!!</v>
      </c>
    </row>
    <row r="316" spans="1:9" x14ac:dyDescent="0.3">
      <c r="A316" s="1" t="s">
        <v>61</v>
      </c>
      <c r="B316" s="1" t="s">
        <v>977</v>
      </c>
      <c r="C316" s="1" t="s">
        <v>74</v>
      </c>
      <c r="D316" s="1" t="s">
        <v>139</v>
      </c>
      <c r="E316" s="1" t="s">
        <v>978</v>
      </c>
      <c r="F316" s="1" t="s">
        <v>979</v>
      </c>
      <c r="G316" s="1" t="s">
        <v>49</v>
      </c>
      <c r="H316" s="1" t="s">
        <v>16</v>
      </c>
      <c r="I316" s="1" t="str">
        <f ca="1">IFERROR(__xludf.DUMMYFUNCTION("GOOGLETRANSLATE(F316, ""auto"", ""en"")
"),"The jug leaked on the 3rd day, the design of the knife’s fastening, in principle, does not imply its durable operation, thin plastic clips that hold the heavy glass jug. Complete disappointment. Changed it.")</f>
        <v>The jug leaked on the 3rd day, the design of the knife’s fastening, in principle, does not imply its durable operation, thin plastic clips that hold the heavy glass jug. Complete disappointment. Changed it.</v>
      </c>
    </row>
    <row r="317" spans="1:9" x14ac:dyDescent="0.3">
      <c r="A317" s="1" t="s">
        <v>30</v>
      </c>
      <c r="B317" s="1" t="s">
        <v>31</v>
      </c>
      <c r="C317" s="1" t="s">
        <v>32</v>
      </c>
      <c r="D317" s="1" t="s">
        <v>327</v>
      </c>
      <c r="E317" s="1" t="s">
        <v>980</v>
      </c>
      <c r="F317" s="1" t="s">
        <v>981</v>
      </c>
      <c r="G317" s="1" t="s">
        <v>36</v>
      </c>
      <c r="H317" s="1" t="s">
        <v>29</v>
      </c>
      <c r="I317" s="1" t="str">
        <f ca="1">IFERROR(__xludf.DUMMYFUNCTION("GOOGLETRANSLATE(F317, ""auto"", ""en"")
"),"Great computer.  I purchased it for my regular customers, today, I was able to “play around” for about three hours in the process of preparing for use. I myself am the owner of an Acer X3810 with a quad-core and 4 gigs of RAM - a model of the previous gen"&amp;"eration. I’ll note right away that most of the minor flaws that were a little annoying in the X3300-X3810, -12 series have been fixed here - Acer has done a good job on the bugs. A convenient power button that is not too bright when working in the dark, a"&amp;" quietly closing DVD drive tray, a more strict “square” design without protruding elements (easier to wipe off dust), improved ventilation of the video card - now it is much easier for it to maintain an acceptable temperature due to additional holes in th"&amp;"e upper wall of the case, which means that under load like games or video capture, the computer will work more quietly. There are fewer glossy surfaces - and again, I’ll write this down as a plus for this model. Acer has finally changed its hard drive sup"&amp;"plier - now these models are equipped with WD screws, which are very quiet, cool and reliable. Unfortunately, Hitachi's previous models run much hotter - 60 degrees (I replaced it with a Seagate ST3500418AS, 50 degrees).  This computer is equipped with a "&amp;"good set of software - 64-bit ""seven"" Home Basic, also carries on board a lightweight version of Nero, the Microsoft Works package, although it would be nicer to see instead MS Office Starter, a utility for conveniently managing hot keys and on-screen m"&amp;"enus, a WinLocker encryption utility, supplemented with a secure data deletion function, and a proprietary multimedia shell for convenient viewing of media files Acer, which complements the functionality of the OS.  Also, the McAfee Internet Security secu"&amp;"rity package was noticed, but only for 15 days of use. You can replace this with a 90-day trial of Northon Internet Security, which is what I did. There is a huge selection of mini-games, but their duration is limited - about an hour for each game.  The c"&amp;"omputer is equipped with the proprietary Acer eRecovery recovery system, which is useful in especially difficult cases. Recovery discs are not included - the manufacturer includes 2 blank DVDs for creating them yourself using this utility. A small inciden"&amp;"t occurred during the creation of these disks - the program during the creation process requested a 3rd one - there was not enough space, and as luck would have it, it was not at hand. I recommend Be sure to purchase a couple of discs in addition to the c"&amp;"omplete ones and follow the procedure for creating recovery disks - this will save your time, nerves and money, believe me. At least part of them.  In terms of configuration, the computer is assembled from components with an outstanding price-quality rati"&amp;"o, especially for the video card and processor. The company's motto is maximum productivity for a minimum of money, and it honestly fulfills this motto. Demanding users should replace the included keyboard and mouse with something more comfortable. Yes, t"&amp;"he kit includes an adapter for connecting DVI-VGA monitors.  I'll end where I started - a great computer!)")</f>
        <v>Great computer.  I purchased it for my regular customers, today, I was able to “play around” for about three hours in the process of preparing for use. I myself am the owner of an Acer X3810 with a quad-core and 4 gigs of RAM - a model of the previous generation. I’ll note right away that most of the minor flaws that were a little annoying in the X3300-X3810, -12 series have been fixed here - Acer has done a good job on the bugs. A convenient power button that is not too bright when working in the dark, a quietly closing DVD drive tray, a more strict “square” design without protruding elements (easier to wipe off dust), improved ventilation of the video card - now it is much easier for it to maintain an acceptable temperature due to additional holes in the upper wall of the case, which means that under load like games or video capture, the computer will work more quietly. There are fewer glossy surfaces - and again, I’ll write this down as a plus for this model. Acer has finally changed its hard drive supplier - now these models are equipped with WD screws, which are very quiet, cool and reliable. Unfortunately, Hitachi's previous models run much hotter - 60 degrees (I replaced it with a Seagate ST3500418AS, 50 degrees).  This computer is equipped with a good set of software - 64-bit "seven" Home Basic, also carries on board a lightweight version of Nero, the Microsoft Works package, although it would be nicer to see instead MS Office Starter, a utility for conveniently managing hot keys and on-screen menus, a WinLocker encryption utility, supplemented with a secure data deletion function, and a proprietary multimedia shell for convenient viewing of media files Acer, which complements the functionality of the OS.  Also, the McAfee Internet Security security package was noticed, but only for 15 days of use. You can replace this with a 90-day trial of Northon Internet Security, which is what I did. There is a huge selection of mini-games, but their duration is limited - about an hour for each game.  The computer is equipped with the proprietary Acer eRecovery recovery system, which is useful in especially difficult cases. Recovery discs are not included - the manufacturer includes 2 blank DVDs for creating them yourself using this utility. A small incident occurred during the creation of these disks - the program during the creation process requested a 3rd one - there was not enough space, and as luck would have it, it was not at hand. I recommend Be sure to purchase a couple of discs in addition to the complete ones and follow the procedure for creating recovery disks - this will save your time, nerves and money, believe me. At least part of them.  In terms of configuration, the computer is assembled from components with an outstanding price-quality ratio, especially for the video card and processor. The company's motto is maximum productivity for a minimum of money, and it honestly fulfills this motto. Demanding users should replace the included keyboard and mouse with something more comfortable. Yes, the kit includes an adapter for connecting DVI-VGA monitors.  I'll end where I started - a great computer!)</v>
      </c>
    </row>
    <row r="318" spans="1:9" x14ac:dyDescent="0.3">
      <c r="A318" s="1" t="s">
        <v>149</v>
      </c>
      <c r="B318" s="1" t="s">
        <v>150</v>
      </c>
      <c r="C318" s="1" t="s">
        <v>982</v>
      </c>
      <c r="D318" s="1" t="s">
        <v>152</v>
      </c>
      <c r="E318" s="1" t="s">
        <v>983</v>
      </c>
      <c r="F318" s="1" t="s">
        <v>984</v>
      </c>
      <c r="G318" s="1" t="s">
        <v>36</v>
      </c>
      <c r="H318" s="1" t="s">
        <v>29</v>
      </c>
      <c r="I318" s="1" t="str">
        <f ca="1">IFERROR(__xludf.DUMMYFUNCTION("GOOGLETRANSLATE(F318, ""auto"", ""en"")
"),"The Germans know their stuff! I bought this sink today. He arrived, assembled it in five minutes and immediately started washing the car! I poured washing liquid into the container. I rinsed the car (the pressure is just wonderful), changed the nozzle (a "&amp;"simple and convenient lock will help you with this), sprayed the car with foam, waited and rinsed off! That's it, the car is shiny, I didn't even wipe it with a cloth! There is a mesh on the back of the sink, you can put a power cord and all sorts of smal"&amp;"l things in it, for example a water filter (buy it right away, the car wash will last longer!) Let's see what happens next, I advise everyone!")</f>
        <v>The Germans know their stuff! I bought this sink today. He arrived, assembled it in five minutes and immediately started washing the car! I poured washing liquid into the container. I rinsed the car (the pressure is just wonderful), changed the nozzle (a simple and convenient lock will help you with this), sprayed the car with foam, waited and rinsed off! That's it, the car is shiny, I didn't even wipe it with a cloth! There is a mesh on the back of the sink, you can put a power cord and all sorts of small things in it, for example a water filter (buy it right away, the car wash will last longer!) Let's see what happens next, I advise everyone!</v>
      </c>
    </row>
    <row r="319" spans="1:9" x14ac:dyDescent="0.3">
      <c r="A319" s="1" t="s">
        <v>211</v>
      </c>
      <c r="B319" s="1" t="s">
        <v>515</v>
      </c>
      <c r="C319" s="1" t="s">
        <v>69</v>
      </c>
      <c r="D319" s="1" t="s">
        <v>471</v>
      </c>
      <c r="E319" s="1" t="s">
        <v>985</v>
      </c>
      <c r="F319" s="1" t="s">
        <v>986</v>
      </c>
      <c r="G319" s="1" t="s">
        <v>28</v>
      </c>
      <c r="H319" s="1" t="s">
        <v>29</v>
      </c>
      <c r="I319" s="1" t="str">
        <f ca="1">IFERROR(__xludf.DUMMYFUNCTION("GOOGLETRANSLATE(F319, ""auto"", ""en"")
"),"I've been using it for over a year now. It buzzes a lot! both the main one and one for delicate areas. Tweezers are just a cool thing. Over time, the epilator began to tear off hairs rather than uproot them, which made it necessary to epilate much more of"&amp;"ten. Hair removal takes about an hour, but overall I’m happy with the purchase!")</f>
        <v>I've been using it for over a year now. It buzzes a lot! both the main one and one for delicate areas. Tweezers are just a cool thing. Over time, the epilator began to tear off hairs rather than uproot them, which made it necessary to epilate much more often. Hair removal takes about an hour, but overall I’m happy with the purchase!</v>
      </c>
    </row>
    <row r="320" spans="1:9" x14ac:dyDescent="0.3">
      <c r="A320" s="1" t="s">
        <v>120</v>
      </c>
      <c r="B320" s="1" t="s">
        <v>121</v>
      </c>
      <c r="C320" s="1" t="s">
        <v>69</v>
      </c>
      <c r="D320" s="1" t="s">
        <v>987</v>
      </c>
      <c r="E320" s="1" t="s">
        <v>988</v>
      </c>
      <c r="F320" s="1" t="s">
        <v>989</v>
      </c>
      <c r="G320" s="1" t="s">
        <v>28</v>
      </c>
      <c r="H320" s="1" t="s">
        <v>29</v>
      </c>
      <c r="I320" s="1" t="str">
        <f ca="1">IFERROR(__xludf.DUMMYFUNCTION("GOOGLETRANSLATE(F320, ""auto"", ""en"")
"),"We just recently bought this TV. Already on the first day a problem appeared. When I connect the game console via HDMI there is no sound, only image. You have to unplug and reinsert the cable several times. Then everything is fine. And when the HD Natural"&amp;" Motion setting is turned on during a game, it happens that the TV just clicks and turns off. After a few seconds it turns on again. And the TV has a total of 4 HDMI inputs, but the cable goes all the way into only one! And the cable simply does not fit c"&amp;"ompletely into the other three inputs.")</f>
        <v>We just recently bought this TV. Already on the first day a problem appeared. When I connect the game console via HDMI there is no sound, only image. You have to unplug and reinsert the cable several times. Then everything is fine. And when the HD Natural Motion setting is turned on during a game, it happens that the TV just clicks and turns off. After a few seconds it turns on again. And the TV has a total of 4 HDMI inputs, but the cable goes all the way into only one! And the cable simply does not fit completely into the other three inputs.</v>
      </c>
    </row>
    <row r="321" spans="1:9" x14ac:dyDescent="0.3">
      <c r="A321" s="1" t="s">
        <v>17</v>
      </c>
      <c r="B321" s="1" t="s">
        <v>18</v>
      </c>
      <c r="C321" s="1" t="s">
        <v>243</v>
      </c>
      <c r="D321" s="1" t="s">
        <v>32</v>
      </c>
      <c r="E321" s="1" t="s">
        <v>523</v>
      </c>
      <c r="F321" s="1" t="s">
        <v>990</v>
      </c>
      <c r="G321" s="1" t="s">
        <v>49</v>
      </c>
      <c r="H321" s="1" t="s">
        <v>16</v>
      </c>
      <c r="I321" s="1" t="str">
        <f ca="1">IFERROR(__xludf.DUMMYFUNCTION("GOOGLETRANSLATE(F321, ""auto"", ""en"")
"),"We bought the machine because...  there is not enough space in the bathroom and we read good reviews on the M-Video website. I'm not happy with the machine. Fits very little laundry, because... very narrow drum. If you load it completely, it won’t wash an"&amp;"ything at all, even light, non-sticky stains. You have to put a little laundry in and wash it many times. It is impossible to wash large things such as a blanket.  The car jumps all over the bathroom. I'm going to buy another one, with a larger drum volum"&amp;"e, although I'll have to rehang the door in the bathroom. If you have a large family and do a lot of laundry, do not choose too narrow machines.")</f>
        <v>We bought the machine because...  there is not enough space in the bathroom and we read good reviews on the M-Video website. I'm not happy with the machine. Fits very little laundry, because... very narrow drum. If you load it completely, it won’t wash anything at all, even light, non-sticky stains. You have to put a little laundry in and wash it many times. It is impossible to wash large things such as a blanket.  The car jumps all over the bathroom. I'm going to buy another one, with a larger drum volume, although I'll have to rehang the door in the bathroom. If you have a large family and do a lot of laundry, do not choose too narrow machines.</v>
      </c>
    </row>
    <row r="322" spans="1:9" x14ac:dyDescent="0.3">
      <c r="A322" s="1" t="s">
        <v>43</v>
      </c>
      <c r="B322" s="1" t="s">
        <v>502</v>
      </c>
      <c r="C322" s="1" t="s">
        <v>122</v>
      </c>
      <c r="D322" s="1" t="s">
        <v>39</v>
      </c>
      <c r="E322" s="1" t="s">
        <v>727</v>
      </c>
      <c r="F322" s="1" t="s">
        <v>991</v>
      </c>
      <c r="G322" s="1" t="s">
        <v>28</v>
      </c>
      <c r="H322" s="1" t="s">
        <v>29</v>
      </c>
      <c r="I322" s="1" t="str">
        <f ca="1">IFERROR(__xludf.DUMMYFUNCTION("GOOGLETRANSLATE(F322, ""auto"", ""en"")
"),"The air conditioner is not bad, but there is no indication on the indoor unit other than the power light, and even that goes out after a few minutes... For the seven, it is large, both the indoor unit and the external one. It takes quite a long time to re"&amp;"ach full capacity. It blows strongly, it’s easy to catch a cold, and the adjustment is very limited. The plastic of the indoor unit is mediocre, thin, bends, and after attaching it to the wall it was not possible to press it completely - there was a gap l"&amp;"eft. The plastic is clearly warped. The indoor unit operates quite silently, the external unit is quite noisy. Installed through the M-video service. Everything was done efficiently, no complaints yet. Let's see how it performs when used in extreme condit"&amp;"ions...")</f>
        <v>The air conditioner is not bad, but there is no indication on the indoor unit other than the power light, and even that goes out after a few minutes... For the seven, it is large, both the indoor unit and the external one. It takes quite a long time to reach full capacity. It blows strongly, it’s easy to catch a cold, and the adjustment is very limited. The plastic of the indoor unit is mediocre, thin, bends, and after attaching it to the wall it was not possible to press it completely - there was a gap left. The plastic is clearly warped. The indoor unit operates quite silently, the external unit is quite noisy. Installed through the M-video service. Everything was done efficiently, no complaints yet. Let's see how it performs when used in extreme conditions...</v>
      </c>
    </row>
    <row r="323" spans="1:9" x14ac:dyDescent="0.3">
      <c r="A323" s="1" t="s">
        <v>9</v>
      </c>
      <c r="B323" s="1" t="s">
        <v>10</v>
      </c>
      <c r="C323" s="1" t="s">
        <v>407</v>
      </c>
      <c r="D323" s="1" t="s">
        <v>280</v>
      </c>
      <c r="E323" s="1" t="s">
        <v>992</v>
      </c>
      <c r="F323" s="1" t="s">
        <v>993</v>
      </c>
      <c r="G323" s="1" t="s">
        <v>49</v>
      </c>
      <c r="H323" s="1" t="s">
        <v>16</v>
      </c>
      <c r="I323" s="1" t="str">
        <f ca="1">IFERROR(__xludf.DUMMYFUNCTION("GOOGLETRANSLATE(F323, ""auto"", ""en"")
"),"Worked for 13 months (warranty period 12 months). The fan began to jam during operation. It turns out that there are no bearings in the electric fan motor, and bushings are installed instead.   I don't recommend it!!!")</f>
        <v>Worked for 13 months (warranty period 12 months). The fan began to jam during operation. It turns out that there are no bearings in the electric fan motor, and bushings are installed instead.   I don't recommend it!!!</v>
      </c>
    </row>
    <row r="324" spans="1:9" x14ac:dyDescent="0.3">
      <c r="A324" s="1" t="s">
        <v>624</v>
      </c>
      <c r="B324" s="1" t="s">
        <v>625</v>
      </c>
      <c r="C324" s="1" t="s">
        <v>479</v>
      </c>
      <c r="D324" s="1" t="s">
        <v>545</v>
      </c>
      <c r="E324" s="1" t="s">
        <v>994</v>
      </c>
      <c r="F324" s="1" t="s">
        <v>995</v>
      </c>
      <c r="G324" s="1" t="s">
        <v>36</v>
      </c>
      <c r="H324" s="1" t="s">
        <v>29</v>
      </c>
      <c r="I324" s="1" t="str">
        <f ca="1">IFERROR(__xludf.DUMMYFUNCTION("GOOGLETRANSLATE(F324, ""auto"", ""en"")
"),"I want to buy it, but some people say that the game is not in Russian yet! Who knows if there is a game in Russian, otherwise I really want it!")</f>
        <v>I want to buy it, but some people say that the game is not in Russian yet! Who knows if there is a game in Russian, otherwise I really want it!</v>
      </c>
    </row>
    <row r="325" spans="1:9" x14ac:dyDescent="0.3">
      <c r="A325" s="1" t="s">
        <v>149</v>
      </c>
      <c r="B325" s="1" t="s">
        <v>155</v>
      </c>
      <c r="C325" s="1" t="s">
        <v>996</v>
      </c>
      <c r="D325" s="1" t="s">
        <v>113</v>
      </c>
      <c r="E325" s="1" t="s">
        <v>817</v>
      </c>
      <c r="F325" s="1" t="s">
        <v>997</v>
      </c>
      <c r="G325" s="1" t="s">
        <v>36</v>
      </c>
      <c r="H325" s="1" t="s">
        <v>29</v>
      </c>
      <c r="I325" s="1" t="str">
        <f ca="1">IFERROR(__xludf.DUMMYFUNCTION("GOOGLETRANSLATE(F325, ""auto"", ""en"")
"),"the vacuum cleaner is excellent! Ours have learned to make good household appliances...unlike cars")</f>
        <v>the vacuum cleaner is excellent! Ours have learned to make good household appliances...unlike cars</v>
      </c>
    </row>
    <row r="326" spans="1:9" x14ac:dyDescent="0.3">
      <c r="A326" s="1" t="s">
        <v>105</v>
      </c>
      <c r="B326" s="1" t="s">
        <v>106</v>
      </c>
      <c r="C326" s="1" t="s">
        <v>107</v>
      </c>
      <c r="D326" s="1" t="s">
        <v>75</v>
      </c>
      <c r="E326" s="1" t="s">
        <v>998</v>
      </c>
      <c r="F326" s="1" t="s">
        <v>999</v>
      </c>
      <c r="G326" s="1" t="s">
        <v>36</v>
      </c>
      <c r="H326" s="1" t="s">
        <v>29</v>
      </c>
      <c r="I326" s="1" t="str">
        <f ca="1">IFERROR(__xludf.DUMMYFUNCTION("GOOGLETRANSLATE(F326, ""auto"", ""en"")
"),"I read what was written here...I don’t agree...I bought this player a year ago...works great...holds charge for a long time...files can be deleted both from the computer and from the player...The sound is excellent if you buy good quality headphones...nev"&amp;"er glitched...songs are switched with 1 press of a button...radio picks up perfectly...lots of memory...slot for a flash drive...The battery indicator never disappears...here on I agree about the converter, it’s not very good!!!")</f>
        <v>I read what was written here...I don’t agree...I bought this player a year ago...works great...holds charge for a long time...files can be deleted both from the computer and from the player...The sound is excellent if you buy good quality headphones...never glitched...songs are switched with 1 press of a button...radio picks up perfectly...lots of memory...slot for a flash drive...The battery indicator never disappears...here on I agree about the converter, it’s not very good!!!</v>
      </c>
    </row>
    <row r="327" spans="1:9" x14ac:dyDescent="0.3">
      <c r="A327" s="1" t="s">
        <v>30</v>
      </c>
      <c r="B327" s="1" t="s">
        <v>50</v>
      </c>
      <c r="C327" s="1" t="s">
        <v>377</v>
      </c>
      <c r="D327" s="1" t="s">
        <v>152</v>
      </c>
      <c r="E327" s="1" t="s">
        <v>1000</v>
      </c>
      <c r="F327" s="1" t="s">
        <v>1001</v>
      </c>
      <c r="G327" s="1" t="s">
        <v>36</v>
      </c>
      <c r="H327" s="1" t="s">
        <v>29</v>
      </c>
      <c r="I327" s="1" t="str">
        <f ca="1">IFERROR(__xludf.DUMMYFUNCTION("GOOGLETRANSLATE(F327, ""auto"", ""en"")
"),"I am very pleased, I set it up until I realized that I was not mistaken, my hands are reaching out to such a laptop. They talk about the system - it’s a normal system, if a person doesn’t like it or doesn’t know how to configure it, then he’d take it with"&amp;" Vista or Linux, what does that have to do with a laptop. Moreover, you can officially downgrade. After all, an operating system is a license.   Of the minuses, the lows through the speakers seemed rather weak. I envy my kids, I’ll save up some money and "&amp;"get one from the same series for myself. I advise everyone, but I don’t recommend taking the version with an AMD processor - they brought it to me and set it up (318 ER) - some glitches and slowdowns were observed, but I did everything the same :(")</f>
        <v>I am very pleased, I set it up until I realized that I was not mistaken, my hands are reaching out to such a laptop. They talk about the system - it’s a normal system, if a person doesn’t like it or doesn’t know how to configure it, then he’d take it with Vista or Linux, what does that have to do with a laptop. Moreover, you can officially downgrade. After all, an operating system is a license.   Of the minuses, the lows through the speakers seemed rather weak. I envy my kids, I’ll save up some money and get one from the same series for myself. I advise everyone, but I don’t recommend taking the version with an AMD processor - they brought it to me and set it up (318 ER) - some glitches and slowdowns were observed, but I did everything the same :(</v>
      </c>
    </row>
    <row r="328" spans="1:9" x14ac:dyDescent="0.3">
      <c r="A328" s="1" t="s">
        <v>624</v>
      </c>
      <c r="B328" s="1" t="s">
        <v>881</v>
      </c>
      <c r="C328" s="1" t="s">
        <v>479</v>
      </c>
      <c r="D328" s="1" t="s">
        <v>287</v>
      </c>
      <c r="E328" s="1" t="s">
        <v>21</v>
      </c>
      <c r="F328" s="1" t="s">
        <v>1002</v>
      </c>
      <c r="G328" s="1" t="s">
        <v>15</v>
      </c>
      <c r="H328" s="1" t="s">
        <v>16</v>
      </c>
      <c r="I328" s="1" t="str">
        <f ca="1">IFERROR(__xludf.DUMMYFUNCTION("GOOGLETRANSLATE(F328, ""auto"", ""en"")
"),"A stupid, ugly, two-dimensional “puzzle” (in the PSP version) that discourages the desire to play games, the place of which in the “budget” category of discs is for “stillborns”!")</f>
        <v>A stupid, ugly, two-dimensional “puzzle” (in the PSP version) that discourages the desire to play games, the place of which in the “budget” category of discs is for “stillborns”!</v>
      </c>
    </row>
    <row r="329" spans="1:9" x14ac:dyDescent="0.3">
      <c r="A329" s="1" t="s">
        <v>30</v>
      </c>
      <c r="B329" s="1" t="s">
        <v>50</v>
      </c>
      <c r="C329" s="1" t="s">
        <v>1003</v>
      </c>
      <c r="D329" s="1" t="s">
        <v>1004</v>
      </c>
      <c r="E329" s="1" t="s">
        <v>1005</v>
      </c>
      <c r="F329" s="1" t="s">
        <v>1006</v>
      </c>
      <c r="G329" s="1" t="s">
        <v>36</v>
      </c>
      <c r="H329" s="1" t="s">
        <v>29</v>
      </c>
      <c r="I329" s="1" t="str">
        <f ca="1">IFERROR(__xludf.DUMMYFUNCTION("GOOGLETRANSLATE(F329, ""auto"", ""en"")
"),"It’s an excellent laptop, although I’m a noob, but somehow I quickly mastered all the settings without any outside help; nevertheless, its speed and capabilities pleased me very much. The design is very nice, the downside is that it heats up quickly.")</f>
        <v>It’s an excellent laptop, although I’m a noob, but somehow I quickly mastered all the settings without any outside help; nevertheless, its speed and capabilities pleased me very much. The design is very nice, the downside is that it heats up quickly.</v>
      </c>
    </row>
    <row r="330" spans="1:9" x14ac:dyDescent="0.3">
      <c r="A330" s="1" t="s">
        <v>61</v>
      </c>
      <c r="B330" s="1" t="s">
        <v>224</v>
      </c>
      <c r="C330" s="1" t="s">
        <v>57</v>
      </c>
      <c r="D330" s="1" t="s">
        <v>295</v>
      </c>
      <c r="E330" s="1" t="s">
        <v>971</v>
      </c>
      <c r="F330" s="1" t="s">
        <v>1007</v>
      </c>
      <c r="G330" s="1" t="s">
        <v>36</v>
      </c>
      <c r="H330" s="1" t="s">
        <v>29</v>
      </c>
      <c r="I330" s="1" t="str">
        <f ca="1">IFERROR(__xludf.DUMMYFUNCTION("GOOGLETRANSLATE(F330, ""auto"", ""en"")
"),"I bought it recently, it’s convenient to use - it’s easy to disassemble and clean, the foam separates from the juice container, I recommend it")</f>
        <v>I bought it recently, it’s convenient to use - it’s easy to disassemble and clean, the foam separates from the juice container, I recommend it</v>
      </c>
    </row>
    <row r="331" spans="1:9" x14ac:dyDescent="0.3">
      <c r="A331" s="1" t="s">
        <v>43</v>
      </c>
      <c r="B331" s="1" t="s">
        <v>303</v>
      </c>
      <c r="C331" s="1" t="s">
        <v>665</v>
      </c>
      <c r="D331" s="1" t="s">
        <v>1008</v>
      </c>
      <c r="E331" s="1" t="s">
        <v>1009</v>
      </c>
      <c r="F331" s="1" t="s">
        <v>1010</v>
      </c>
      <c r="G331" s="1" t="s">
        <v>36</v>
      </c>
      <c r="H331" s="1" t="s">
        <v>29</v>
      </c>
      <c r="I331" s="1" t="str">
        <f ca="1">IFERROR(__xludf.DUMMYFUNCTION("GOOGLETRANSLATE(F331, ""auto"", ""en"")
"),"Great build, cute. I installed it slowly in about two hours, although in order to hang it on the top hooks, I had to ask for help, it’s very heavy. An hour after turning it on, we were already swimming, the power regulator is in the middle, I didn’t measu"&amp;"re the temperature, but the water felt quite hot, I never saw a lamp burning in idle mode, apparently it holds the temperature like a thermos. I definitely recommend purchasing this model, especially for a family of 3 or more people.")</f>
        <v>Great build, cute. I installed it slowly in about two hours, although in order to hang it on the top hooks, I had to ask for help, it’s very heavy. An hour after turning it on, we were already swimming, the power regulator is in the middle, I didn’t measure the temperature, but the water felt quite hot, I never saw a lamp burning in idle mode, apparently it holds the temperature like a thermos. I definitely recommend purchasing this model, especially for a family of 3 or more people.</v>
      </c>
    </row>
    <row r="332" spans="1:9" x14ac:dyDescent="0.3">
      <c r="A332" s="1" t="s">
        <v>37</v>
      </c>
      <c r="B332" s="1" t="s">
        <v>38</v>
      </c>
      <c r="C332" s="1" t="s">
        <v>151</v>
      </c>
      <c r="D332" s="1" t="s">
        <v>1011</v>
      </c>
      <c r="E332" s="1" t="s">
        <v>1012</v>
      </c>
      <c r="F332" s="1" t="s">
        <v>1013</v>
      </c>
      <c r="G332" s="1" t="s">
        <v>28</v>
      </c>
      <c r="H332" s="1" t="s">
        <v>29</v>
      </c>
      <c r="I332" s="1" t="str">
        <f ca="1">IFERROR(__xludf.DUMMYFUNCTION("GOOGLETRANSLATE(F332, ""auto"", ""en"")
"),"A normal phone, intended only for calls. It charges quickly, about 30-40 minutes, the charge lasts for about a week.")</f>
        <v>A normal phone, intended only for calls. It charges quickly, about 30-40 minutes, the charge lasts for about a week.</v>
      </c>
    </row>
    <row r="333" spans="1:9" x14ac:dyDescent="0.3">
      <c r="A333" s="1" t="s">
        <v>149</v>
      </c>
      <c r="B333" s="1" t="s">
        <v>155</v>
      </c>
      <c r="C333" s="1" t="s">
        <v>151</v>
      </c>
      <c r="D333" s="1" t="s">
        <v>589</v>
      </c>
      <c r="E333" s="1" t="s">
        <v>1014</v>
      </c>
      <c r="F333" s="1" t="s">
        <v>1015</v>
      </c>
      <c r="G333" s="1" t="s">
        <v>36</v>
      </c>
      <c r="H333" s="1" t="s">
        <v>29</v>
      </c>
      <c r="I333" s="1" t="str">
        <f ca="1">IFERROR(__xludf.DUMMYFUNCTION("GOOGLETRANSLATE(F333, ""auto"", ""en"")
"),"Quite powerful and easy to use.")</f>
        <v>Quite powerful and easy to use.</v>
      </c>
    </row>
    <row r="334" spans="1:9" x14ac:dyDescent="0.3">
      <c r="A334" s="1" t="s">
        <v>61</v>
      </c>
      <c r="B334" s="1" t="s">
        <v>318</v>
      </c>
      <c r="C334" s="1" t="s">
        <v>85</v>
      </c>
      <c r="D334" s="1" t="s">
        <v>52</v>
      </c>
      <c r="E334" s="1" t="s">
        <v>1016</v>
      </c>
      <c r="F334" s="1" t="s">
        <v>1017</v>
      </c>
      <c r="G334" s="1" t="s">
        <v>36</v>
      </c>
      <c r="H334" s="1" t="s">
        <v>29</v>
      </c>
      <c r="I334" s="1" t="str">
        <f ca="1">IFERROR(__xludf.DUMMYFUNCTION("GOOGLETRANSLATE(F334, ""auto"", ""en"")
"),"teapot like teapot")</f>
        <v>teapot like teapot</v>
      </c>
    </row>
    <row r="335" spans="1:9" x14ac:dyDescent="0.3">
      <c r="A335" s="1" t="s">
        <v>17</v>
      </c>
      <c r="B335" s="1" t="s">
        <v>18</v>
      </c>
      <c r="C335" s="1" t="s">
        <v>870</v>
      </c>
      <c r="D335" s="1" t="s">
        <v>152</v>
      </c>
      <c r="E335" s="1" t="s">
        <v>53</v>
      </c>
      <c r="F335" s="1" t="s">
        <v>1018</v>
      </c>
      <c r="G335" s="1" t="s">
        <v>28</v>
      </c>
      <c r="H335" s="1" t="s">
        <v>29</v>
      </c>
      <c r="I335" s="1" t="str">
        <f ca="1">IFERROR(__xludf.DUMMYFUNCTION("GOOGLETRANSLATE(F335, ""auto"", ""en"")
"),"We recently bought it at the M VIDEO store, on sale. It’s an automatic machine, the first one, so we don’t know many things about it and are wary of any sounds and moments.  Although it is written that the load is 5 kg, this is not in all operating modes,"&amp;" but only in several. When I tried to put 5 kg in and put it in the quick wash mode, the attempt was a fiasco. The machine simply refused to rotate this amount of laundry. I have to remove the excess laundry, or set another operating mode designed for thi"&amp;"s weight.  But this is by and large correct, if it says such a weight, then why overload, but then again, why then write that the load is 5 kg.  in general this is how it is")</f>
        <v>We recently bought it at the M VIDEO store, on sale. It’s an automatic machine, the first one, so we don’t know many things about it and are wary of any sounds and moments.  Although it is written that the load is 5 kg, this is not in all operating modes, but only in several. When I tried to put 5 kg in and put it in the quick wash mode, the attempt was a fiasco. The machine simply refused to rotate this amount of laundry. I have to remove the excess laundry, or set another operating mode designed for this weight.  But this is by and large correct, if it says such a weight, then why overload, but then again, why then write that the load is 5 kg.  in general this is how it is</v>
      </c>
    </row>
    <row r="336" spans="1:9" x14ac:dyDescent="0.3">
      <c r="A336" s="1" t="s">
        <v>211</v>
      </c>
      <c r="B336" s="1" t="s">
        <v>212</v>
      </c>
      <c r="C336" s="1" t="s">
        <v>69</v>
      </c>
      <c r="D336" s="1" t="s">
        <v>46</v>
      </c>
      <c r="E336" s="1" t="s">
        <v>1019</v>
      </c>
      <c r="F336" s="1" t="s">
        <v>1020</v>
      </c>
      <c r="G336" s="1" t="s">
        <v>36</v>
      </c>
      <c r="H336" s="1" t="s">
        <v>29</v>
      </c>
      <c r="I336" s="1" t="str">
        <f ca="1">IFERROR(__xludf.DUMMYFUNCTION("GOOGLETRANSLATE(F336, ""auto"", ""en"")
"),"The curlers are simply gorgeous! They save a lot of time, especially in the morning when you are in a hurry to get to work and need to do a hundred things at once! The curls last all day, which is especially surprising for my unruly hair! True, using hair"&amp;"pins requires training, but you can also buy special hairpins, so this is not critical. Solid five!")</f>
        <v>The curlers are simply gorgeous! They save a lot of time, especially in the morning when you are in a hurry to get to work and need to do a hundred things at once! The curls last all day, which is especially surprising for my unruly hair! True, using hairpins requires training, but you can also buy special hairpins, so this is not critical. Solid five!</v>
      </c>
    </row>
    <row r="337" spans="1:9" x14ac:dyDescent="0.3">
      <c r="A337" s="1" t="s">
        <v>211</v>
      </c>
      <c r="B337" s="1" t="s">
        <v>212</v>
      </c>
      <c r="C337" s="1" t="s">
        <v>381</v>
      </c>
      <c r="D337" s="1" t="s">
        <v>1021</v>
      </c>
      <c r="E337" s="1" t="s">
        <v>153</v>
      </c>
      <c r="F337" s="1" t="s">
        <v>1022</v>
      </c>
      <c r="G337" s="1" t="s">
        <v>28</v>
      </c>
      <c r="H337" s="1" t="s">
        <v>29</v>
      </c>
      <c r="I337" s="1" t="str">
        <f ca="1">IFERROR(__xludf.DUMMYFUNCTION("GOOGLETRANSLATE(F337, ""auto"", ""en"")
"),"I used it for almost 2 years, without any complaints. But it has a huge disadvantage - when it falls or gets hit, the attachment breaks off, so it fell on me several times, and that’s it, the attachment is of no use - it all chipped off. And I would love "&amp;"to remove it altogether, but I can’t. Because it is attached to the hair dryer itself. And now you can’t stretch your hair with it unless you just dry it. Now I have to buy a new hair dryer. Although it works well on its own. Although there is a feeling t"&amp;"hat at first it made the hair shinier. I don’t know, maybe it’s the ionizer.")</f>
        <v>I used it for almost 2 years, without any complaints. But it has a huge disadvantage - when it falls or gets hit, the attachment breaks off, so it fell on me several times, and that’s it, the attachment is of no use - it all chipped off. And I would love to remove it altogether, but I can’t. Because it is attached to the hair dryer itself. And now you can’t stretch your hair with it unless you just dry it. Now I have to buy a new hair dryer. Although it works well on its own. Although there is a feeling that at first it made the hair shinier. I don’t know, maybe it’s the ionizer.</v>
      </c>
    </row>
    <row r="338" spans="1:9" x14ac:dyDescent="0.3">
      <c r="A338" s="1" t="s">
        <v>149</v>
      </c>
      <c r="B338" s="1" t="s">
        <v>423</v>
      </c>
      <c r="C338" s="1" t="s">
        <v>531</v>
      </c>
      <c r="D338" s="1" t="s">
        <v>1023</v>
      </c>
      <c r="E338" s="1" t="s">
        <v>1024</v>
      </c>
      <c r="F338" s="1" t="s">
        <v>1025</v>
      </c>
      <c r="G338" s="1" t="s">
        <v>36</v>
      </c>
      <c r="H338" s="1" t="s">
        <v>29</v>
      </c>
      <c r="I338" s="1" t="str">
        <f ca="1">IFERROR(__xludf.DUMMYFUNCTION("GOOGLETRANSLATE(F338, ""auto"", ""en"")
"),"I have been using the vacuum cleaner for more than a year, in all that time I have only had to change the HEPA once... The quality of cleaning is excellent! The only drawback is the weight... However, thanks to its mobility and ease of operation, it is al"&amp;"most unnoticeable! I wash the carpets with a vacuum cleaner, after cleaning the air is cleaner than before! That is, cleaning is carried out not only with carpets or floors, but also with air! I recommend!")</f>
        <v>I have been using the vacuum cleaner for more than a year, in all that time I have only had to change the HEPA once... The quality of cleaning is excellent! The only drawback is the weight... However, thanks to its mobility and ease of operation, it is almost unnoticeable! I wash the carpets with a vacuum cleaner, after cleaning the air is cleaner than before! That is, cleaning is carried out not only with carpets or floors, but also with air! I recommend!</v>
      </c>
    </row>
    <row r="339" spans="1:9" x14ac:dyDescent="0.3">
      <c r="A339" s="1" t="s">
        <v>519</v>
      </c>
      <c r="B339" s="1" t="s">
        <v>1026</v>
      </c>
      <c r="C339" s="1" t="s">
        <v>246</v>
      </c>
      <c r="D339" s="1" t="s">
        <v>305</v>
      </c>
      <c r="E339" s="1" t="s">
        <v>692</v>
      </c>
      <c r="F339" s="1" t="s">
        <v>1027</v>
      </c>
      <c r="G339" s="1" t="s">
        <v>36</v>
      </c>
      <c r="H339" s="1" t="s">
        <v>29</v>
      </c>
      <c r="I339" s="1" t="str">
        <f ca="1">IFERROR(__xludf.DUMMYFUNCTION("GOOGLETRANSLATE(F339, ""auto"", ""en"")
"),"06/16/2016 I bought a Tefal lid for a frying pan that I had purchased earlier. The lid fits the pan and saucepan perfectly. The purchase was completely worth it.")</f>
        <v>06/16/2016 I bought a Tefal lid for a frying pan that I had purchased earlier. The lid fits the pan and saucepan perfectly. The purchase was completely worth it.</v>
      </c>
    </row>
    <row r="340" spans="1:9" x14ac:dyDescent="0.3">
      <c r="A340" s="1" t="s">
        <v>61</v>
      </c>
      <c r="B340" s="1" t="s">
        <v>73</v>
      </c>
      <c r="C340" s="1" t="s">
        <v>146</v>
      </c>
      <c r="D340" s="1" t="s">
        <v>1028</v>
      </c>
      <c r="E340" s="1" t="s">
        <v>1029</v>
      </c>
      <c r="F340" s="1" t="s">
        <v>1030</v>
      </c>
      <c r="G340" s="1" t="s">
        <v>36</v>
      </c>
      <c r="H340" s="1" t="s">
        <v>29</v>
      </c>
      <c r="I340" s="1" t="str">
        <f ca="1">IFERROR(__xludf.DUMMYFUNCTION("GOOGLETRANSLATE(F340, ""auto"", ""en"")
"),"Everything is learned by comparison.   Unlike my previous meat grinder, this one requires ABSOLUTELY NO EFFORT on my part. You just throw in the meat, and you don’t even have time to take out the masher, but the meat already comes out in the form of mince"&amp;"d meat. This is a very powerful meat grinder; meat grinders from other well-known companies are not even on the same level with it.   The set with the meat grinder comes with different grates for chopping minced meat of various diameters - smaller, in pie"&amp;"ces, etc. In addition, the manufacturers thought of making a lid for the meat grinder. If you step away for a while, you can be sure that nothing will get inside.  Regarding spare parts: I didn’t have to buy or sharpen anything, pah-pah-pah.   I’ve been u"&amp;"sing it for four years now and couldn’t be happier! I recommend it to everyone! Definitely buy! Don't save on yourself and your health! Of course, this meat grinder is worth its price.")</f>
        <v>Everything is learned by comparison.   Unlike my previous meat grinder, this one requires ABSOLUTELY NO EFFORT on my part. You just throw in the meat, and you don’t even have time to take out the masher, but the meat already comes out in the form of minced meat. This is a very powerful meat grinder; meat grinders from other well-known companies are not even on the same level with it.   The set with the meat grinder comes with different grates for chopping minced meat of various diameters - smaller, in pieces, etc. In addition, the manufacturers thought of making a lid for the meat grinder. If you step away for a while, you can be sure that nothing will get inside.  Regarding spare parts: I didn’t have to buy or sharpen anything, pah-pah-pah.   I’ve been using it for four years now and couldn’t be happier! I recommend it to everyone! Definitely buy! Don't save on yourself and your health! Of course, this meat grinder is worth its price.</v>
      </c>
    </row>
    <row r="341" spans="1:9" x14ac:dyDescent="0.3">
      <c r="A341" s="1" t="s">
        <v>1031</v>
      </c>
      <c r="B341" s="1" t="s">
        <v>1032</v>
      </c>
      <c r="C341" s="1" t="s">
        <v>1033</v>
      </c>
      <c r="D341" s="1" t="s">
        <v>308</v>
      </c>
      <c r="E341" s="1" t="s">
        <v>1034</v>
      </c>
      <c r="F341" s="1" t="s">
        <v>1035</v>
      </c>
      <c r="G341" s="1" t="s">
        <v>36</v>
      </c>
      <c r="H341" s="1" t="s">
        <v>29</v>
      </c>
      <c r="I341" s="1" t="str">
        <f ca="1">IFERROR(__xludf.DUMMYFUNCTION("GOOGLETRANSLATE(F341, ""auto"", ""en"")
"),"A universal liquid, this is its main advantage. It can be used to clean spoons and forks, various attachments for my mixer, even the surface of my refrigerator, in general, everything in the kitchen is made of steel. It’s very convenient that you don’t ne"&amp;"ed to buy a lot of different liquids and only one substance can handle everything. I am very pleased with the price of this product, I think it will be available to everyone.")</f>
        <v>A universal liquid, this is its main advantage. It can be used to clean spoons and forks, various attachments for my mixer, even the surface of my refrigerator, in general, everything in the kitchen is made of steel. It’s very convenient that you don’t need to buy a lot of different liquids and only one substance can handle everything. I am very pleased with the price of this product, I think it will be available to everyone.</v>
      </c>
    </row>
    <row r="342" spans="1:9" x14ac:dyDescent="0.3">
      <c r="A342" s="1" t="s">
        <v>37</v>
      </c>
      <c r="B342" s="1" t="s">
        <v>38</v>
      </c>
      <c r="C342" s="1" t="s">
        <v>151</v>
      </c>
      <c r="D342" s="1" t="s">
        <v>1036</v>
      </c>
      <c r="E342" s="1" t="s">
        <v>1037</v>
      </c>
      <c r="F342" s="1" t="s">
        <v>1038</v>
      </c>
      <c r="G342" s="1" t="s">
        <v>36</v>
      </c>
      <c r="H342" s="1" t="s">
        <v>29</v>
      </c>
      <c r="I342" s="1" t="str">
        <f ca="1">IFERROR(__xludf.DUMMYFUNCTION("GOOGLETRANSLATE(F342, ""auto"", ""en"")
"),"Anton install ICQ turn JAD and there will be no problems")</f>
        <v>Anton install ICQ turn JAD and there will be no problems</v>
      </c>
    </row>
    <row r="343" spans="1:9" x14ac:dyDescent="0.3">
      <c r="A343" s="1" t="s">
        <v>95</v>
      </c>
      <c r="B343" s="1" t="s">
        <v>648</v>
      </c>
      <c r="C343" s="1" t="s">
        <v>97</v>
      </c>
      <c r="D343" s="1" t="s">
        <v>172</v>
      </c>
      <c r="E343" s="1" t="s">
        <v>1039</v>
      </c>
      <c r="F343" s="1" t="s">
        <v>1040</v>
      </c>
      <c r="G343" s="1" t="s">
        <v>36</v>
      </c>
      <c r="H343" s="1" t="s">
        <v>29</v>
      </c>
      <c r="I343" s="1" t="str">
        <f ca="1">IFERROR(__xludf.DUMMYFUNCTION("GOOGLETRANSLATE(F343, ""auto"", ""en"")
"),"Artyom, I’m going to buy it now, I’ll write back when I get there :)")</f>
        <v>Artyom, I’m going to buy it now, I’ll write back when I get there :)</v>
      </c>
    </row>
    <row r="344" spans="1:9" x14ac:dyDescent="0.3">
      <c r="A344" s="1" t="s">
        <v>37</v>
      </c>
      <c r="B344" s="1" t="s">
        <v>38</v>
      </c>
      <c r="C344" s="1" t="s">
        <v>163</v>
      </c>
      <c r="D344" s="1" t="s">
        <v>665</v>
      </c>
      <c r="E344" s="1" t="s">
        <v>201</v>
      </c>
      <c r="F344" s="1" t="s">
        <v>1041</v>
      </c>
      <c r="G344" s="1" t="s">
        <v>36</v>
      </c>
      <c r="H344" s="1" t="s">
        <v>29</v>
      </c>
      <c r="I344" s="1" t="str">
        <f ca="1">IFERROR(__xludf.DUMMYFUNCTION("GOOGLETRANSLATE(F344, ""auto"", ""en"")
"),"1.5 years of phone - no problems, in all that time only once with a 4 Gb Flash card the phone began to slow down, formatted the flash drive - everything became normal.  Just like you downloaded something from a video or audio onto your phone - update the "&amp;"music library in the player and there will be no problems later.  The battery lasts well for 2-3 days, if you listen to music all day (without skipping many tracks) it’s enough for 2 days.  The call is loud enough, it suits me, I haven’t listened to much "&amp;"music through the speaker - but I don’t think that this should be done, buy normal headphones.  The Internet is easy to set up and comes with a convenient NokiaMini browser. There is GPRS - for mail, ICQ is enough.  And I have no complaints about the firm"&amp;"ware; the Nokia S40 has few glitches, unlike Sony Ericcson.  Yes, the applications do not minimize - this is a pity minus, but I’m happy with everything.  And the fact that the phones are broken is most likely your fault, your hands are crooked, or someth"&amp;"ing else. Two more have the same phones (less than a year old) - no problems either.")</f>
        <v>1.5 years of phone - no problems, in all that time only once with a 4 Gb Flash card the phone began to slow down, formatted the flash drive - everything became normal.  Just like you downloaded something from a video or audio onto your phone - update the music library in the player and there will be no problems later.  The battery lasts well for 2-3 days, if you listen to music all day (without skipping many tracks) it’s enough for 2 days.  The call is loud enough, it suits me, I haven’t listened to much music through the speaker - but I don’t think that this should be done, buy normal headphones.  The Internet is easy to set up and comes with a convenient NokiaMini browser. There is GPRS - for mail, ICQ is enough.  And I have no complaints about the firmware; the Nokia S40 has few glitches, unlike Sony Ericcson.  Yes, the applications do not minimize - this is a pity minus, but I’m happy with everything.  And the fact that the phones are broken is most likely your fault, your hands are crooked, or something else. Two more have the same phones (less than a year old) - no problems either.</v>
      </c>
    </row>
    <row r="345" spans="1:9" x14ac:dyDescent="0.3">
      <c r="A345" s="1" t="s">
        <v>149</v>
      </c>
      <c r="B345" s="1" t="s">
        <v>155</v>
      </c>
      <c r="C345" s="1" t="s">
        <v>101</v>
      </c>
      <c r="D345" s="1" t="s">
        <v>1042</v>
      </c>
      <c r="E345" s="1" t="s">
        <v>87</v>
      </c>
      <c r="F345" s="1" t="s">
        <v>1043</v>
      </c>
      <c r="G345" s="1" t="s">
        <v>15</v>
      </c>
      <c r="H345" s="1" t="s">
        <v>16</v>
      </c>
      <c r="I345" s="1" t="str">
        <f ca="1">IFERROR(__xludf.DUMMYFUNCTION("GOOGLETRANSLATE(F345, ""auto"", ""en"")
"),"I bought this vacuum cleaner as a quick fix. I needed the vacuum cleaner urgently, but I didn’t have much money. I regretted it after the first use. I’m not talking about the short handle, but the filter needs to be cleaned constantly. The power is very l"&amp;"ow, especially when you don’t clean this filter. The brush is bad, it doesn’t clean the carpet well and the hole in it is small. You need to immediately buy a turbo brush for it, which costs more than half the vacuum cleaner itself. And as already They wr"&amp;"ote it smells like burnt plastic.")</f>
        <v>I bought this vacuum cleaner as a quick fix. I needed the vacuum cleaner urgently, but I didn’t have much money. I regretted it after the first use. I’m not talking about the short handle, but the filter needs to be cleaned constantly. The power is very low, especially when you don’t clean this filter. The brush is bad, it doesn’t clean the carpet well and the hole in it is small. You need to immediately buy a turbo brush for it, which costs more than half the vacuum cleaner itself. And as already They wrote it smells like burnt plastic.</v>
      </c>
    </row>
    <row r="346" spans="1:9" x14ac:dyDescent="0.3">
      <c r="A346" s="1" t="s">
        <v>149</v>
      </c>
      <c r="B346" s="1" t="s">
        <v>155</v>
      </c>
      <c r="C346" s="1" t="s">
        <v>80</v>
      </c>
      <c r="D346" s="1" t="s">
        <v>152</v>
      </c>
      <c r="E346" s="1" t="s">
        <v>1044</v>
      </c>
      <c r="F346" s="1" t="s">
        <v>1045</v>
      </c>
      <c r="G346" s="1" t="s">
        <v>36</v>
      </c>
      <c r="H346" s="1" t="s">
        <v>29</v>
      </c>
      <c r="I346" s="1" t="str">
        <f ca="1">IFERROR(__xludf.DUMMYFUNCTION("GOOGLETRANSLATE(F346, ""auto"", ""en"")
"),"We bought this one a month ago. The impressions are only positive! I was very pleased with the suction power; at maximum power it was difficult to tear the brush off the carpet. The dust compression system is not a marketing ploy, but a really functional "&amp;"and useful thing. Not noisy, the dust container is very easy to clean. In general, I advise everyone to take one. You won't regret it!")</f>
        <v>We bought this one a month ago. The impressions are only positive! I was very pleased with the suction power; at maximum power it was difficult to tear the brush off the carpet. The dust compression system is not a marketing ploy, but a really functional and useful thing. Not noisy, the dust container is very easy to clean. In general, I advise everyone to take one. You won't regret it!</v>
      </c>
    </row>
    <row r="347" spans="1:9" x14ac:dyDescent="0.3">
      <c r="A347" s="1" t="s">
        <v>211</v>
      </c>
      <c r="B347" s="1" t="s">
        <v>515</v>
      </c>
      <c r="C347" s="1" t="s">
        <v>69</v>
      </c>
      <c r="D347" s="1" t="s">
        <v>471</v>
      </c>
      <c r="E347" s="1" t="s">
        <v>1046</v>
      </c>
      <c r="F347" s="1" t="s">
        <v>1047</v>
      </c>
      <c r="G347" s="1" t="s">
        <v>36</v>
      </c>
      <c r="H347" s="1" t="s">
        <v>29</v>
      </c>
      <c r="I347" s="1" t="str">
        <f ca="1">IFERROR(__xludf.DUMMYFUNCTION("GOOGLETRANSLATE(F347, ""auto"", ""en"")
"),"I want to justify this epilator, it’s certainly not ideal, but still. An excellent budget option, it epilates well, removes almost all hairs except microscopic ones (by the way, the instructions say how long it can handle). Very loud. I've been using it f"&amp;"or two years now, no complaints. It works properly and is convenient for travel because it doesn’t take up much space. Has two speeds. The result lasts a long time. I'm happy with the purchase, take it, you won't regret it.")</f>
        <v>I want to justify this epilator, it’s certainly not ideal, but still. An excellent budget option, it epilates well, removes almost all hairs except microscopic ones (by the way, the instructions say how long it can handle). Very loud. I've been using it for two years now, no complaints. It works properly and is convenient for travel because it doesn’t take up much space. Has two speeds. The result lasts a long time. I'm happy with the purchase, take it, you won't regret it.</v>
      </c>
    </row>
    <row r="348" spans="1:9" x14ac:dyDescent="0.3">
      <c r="A348" s="1" t="s">
        <v>61</v>
      </c>
      <c r="B348" s="1" t="s">
        <v>318</v>
      </c>
      <c r="C348" s="1" t="s">
        <v>101</v>
      </c>
      <c r="D348" s="1" t="s">
        <v>12</v>
      </c>
      <c r="E348" s="1" t="s">
        <v>1048</v>
      </c>
      <c r="F348" s="1" t="s">
        <v>1049</v>
      </c>
      <c r="G348" s="1" t="s">
        <v>28</v>
      </c>
      <c r="H348" s="1" t="s">
        <v>29</v>
      </c>
      <c r="I348" s="1" t="str">
        <f ca="1">IFERROR(__xludf.DUMMYFUNCTION("GOOGLETRANSLATE(F348, ""auto"", ""en"")
"),"Thermopot is convenient. You can “heat” 3 liters of water at once and drink tea with a large group without constantly adding water to the kettle. And the water stays hot - it's like a big thermos. A small disadvantage is that you need to wait until the wa"&amp;"ter boils, but for the sake of such volumes you can wait.")</f>
        <v>Thermopot is convenient. You can “heat” 3 liters of water at once and drink tea with a large group without constantly adding water to the kettle. And the water stays hot - it's like a big thermos. A small disadvantage is that you need to wait until the water boils, but for the sake of such volumes you can wait.</v>
      </c>
    </row>
    <row r="349" spans="1:9" x14ac:dyDescent="0.3">
      <c r="A349" s="1" t="s">
        <v>120</v>
      </c>
      <c r="B349" s="1" t="s">
        <v>196</v>
      </c>
      <c r="C349" s="1" t="s">
        <v>97</v>
      </c>
      <c r="D349" s="1" t="s">
        <v>139</v>
      </c>
      <c r="E349" s="1" t="s">
        <v>115</v>
      </c>
      <c r="F349" s="1" t="s">
        <v>1050</v>
      </c>
      <c r="G349" s="1" t="s">
        <v>28</v>
      </c>
      <c r="H349" s="1" t="s">
        <v>29</v>
      </c>
      <c r="I349" s="1" t="str">
        <f ca="1">IFERROR(__xludf.DUMMYFUNCTION("GOOGLETRANSLATE(F349, ""auto"", ""en"")
"),"I'll start with the simple: - the design is 10 out of 10 points - a very convenient bullet - a clear menu - the location of the buttons on the TV is not very good, but they are very easy to press and do not stick - the panel on the stand is stable - the p"&amp;"icture quality when watching analog TV is acceptable - noise reduction works, but with strong noise reduction, moving objects leave a terrible blurry trace, so I watch without noise reduction.  -when watching a DVD, the picture is a delight (when viewed t"&amp;"hrough an analog input) -the screen is very bright and rich in colors -the acoustics of the TV are wonderful -I haven’t been able to test the HDMI inputs yet, I just have to buy a movie theater)) Conclusion: in general, the device is excellent, the number"&amp;" of inputs is good, the picture quality is excellent, but not great =) Well, for reference. I have this LCD panel in a room of 20 square meters and these 40"" are quite enough, if it were smaller, then it would not be convenient to watch, but if it was la"&amp;"rger, then you are guaranteed to have a bunch of eyes. Happy shopping))")</f>
        <v>I'll start with the simple: - the design is 10 out of 10 points - a very convenient bullet - a clear menu - the location of the buttons on the TV is not very good, but they are very easy to press and do not stick - the panel on the stand is stable - the picture quality when watching analog TV is acceptable - noise reduction works, but with strong noise reduction, moving objects leave a terrible blurry trace, so I watch without noise reduction.  -when watching a DVD, the picture is a delight (when viewed through an analog input) -the screen is very bright and rich in colors -the acoustics of the TV are wonderful -I haven’t been able to test the HDMI inputs yet, I just have to buy a movie theater)) Conclusion: in general, the device is excellent, the number of inputs is good, the picture quality is excellent, but not great =) Well, for reference. I have this LCD panel in a room of 20 square meters and these 40" are quite enough, if it were smaller, then it would not be convenient to watch, but if it was larger, then you are guaranteed to have a bunch of eyes. Happy shopping))</v>
      </c>
    </row>
    <row r="350" spans="1:9" x14ac:dyDescent="0.3">
      <c r="A350" s="1" t="s">
        <v>89</v>
      </c>
      <c r="B350" s="1" t="s">
        <v>231</v>
      </c>
      <c r="C350" s="1" t="s">
        <v>61</v>
      </c>
      <c r="D350" s="1" t="s">
        <v>305</v>
      </c>
      <c r="E350" s="1" t="s">
        <v>1051</v>
      </c>
      <c r="F350" s="1" t="s">
        <v>1052</v>
      </c>
      <c r="G350" s="1" t="s">
        <v>36</v>
      </c>
      <c r="H350" s="1" t="s">
        <v>29</v>
      </c>
      <c r="I350" s="1" t="str">
        <f ca="1">IFERROR(__xludf.DUMMYFUNCTION("GOOGLETRANSLATE(F350, ""auto"", ""en"")
"),"The car is great. We figured out the controls in no time. The presence of a display is a big plus. I recommend it. We bought a C5 before, but had to exchange it because the program switch was too tight (I was preparing the coffee that was triggered when I"&amp;" turned the knob)")</f>
        <v>The car is great. We figured out the controls in no time. The presence of a display is a big plus. I recommend it. We bought a C5 before, but had to exchange it because the program switch was too tight (I was preparing the coffee that was triggered when I turned the knob)</v>
      </c>
    </row>
    <row r="351" spans="1:9" x14ac:dyDescent="0.3">
      <c r="A351" s="1" t="s">
        <v>43</v>
      </c>
      <c r="B351" s="1" t="s">
        <v>502</v>
      </c>
      <c r="C351" s="1" t="s">
        <v>151</v>
      </c>
      <c r="D351" s="1" t="s">
        <v>52</v>
      </c>
      <c r="E351" s="1" t="s">
        <v>1053</v>
      </c>
      <c r="F351" s="1" t="s">
        <v>1054</v>
      </c>
      <c r="G351" s="1" t="s">
        <v>49</v>
      </c>
      <c r="H351" s="1" t="s">
        <v>16</v>
      </c>
      <c r="I351" s="1" t="str">
        <f ca="1">IFERROR(__xludf.DUMMYFUNCTION("GOOGLETRANSLATE(F351, ""auto"", ""en"")
"),"Bought it a week ago. We were very sorry - there is a very strong vibration and hum from the external unit, like from a DT-75 tractor.  The installers said that this is a disease of all Samsungs and nothing can be done.  Don't take it - it's a waste of mo"&amp;"ney. It would be better to take a more expensive one, but a normal air conditioner.")</f>
        <v>Bought it a week ago. We were very sorry - there is a very strong vibration and hum from the external unit, like from a DT-75 tractor.  The installers said that this is a disease of all Samsungs and nothing can be done.  Don't take it - it's a waste of money. It would be better to take a more expensive one, but a normal air conditioner.</v>
      </c>
    </row>
    <row r="352" spans="1:9" x14ac:dyDescent="0.3">
      <c r="A352" s="1" t="s">
        <v>373</v>
      </c>
      <c r="B352" s="1" t="s">
        <v>374</v>
      </c>
      <c r="C352" s="1" t="s">
        <v>243</v>
      </c>
      <c r="D352" s="1" t="s">
        <v>1055</v>
      </c>
      <c r="E352" s="1" t="s">
        <v>1056</v>
      </c>
      <c r="F352" s="1" t="s">
        <v>1057</v>
      </c>
      <c r="G352" s="1" t="s">
        <v>28</v>
      </c>
      <c r="H352" s="1" t="s">
        <v>29</v>
      </c>
      <c r="I352" s="1" t="str">
        <f ca="1">IFERROR(__xludf.DUMMYFUNCTION("GOOGLETRANSLATE(F352, ""auto"", ""en"")
"),"I bought the car by accident. I went to the store to ask the price, and there was a new car there, it had a dent on the side, and there was a good discount. I bought it right away. Works without problems. I've had it for 3.5 years now. Now I have no probl"&amp;"ems with my hands (dry skin). I advise everyone to buy it.")</f>
        <v>I bought the car by accident. I went to the store to ask the price, and there was a new car there, it had a dent on the side, and there was a good discount. I bought it right away. Works without problems. I've had it for 3.5 years now. Now I have no problems with my hands (dry skin). I advise everyone to buy it.</v>
      </c>
    </row>
    <row r="353" spans="1:9" x14ac:dyDescent="0.3">
      <c r="A353" s="1" t="s">
        <v>811</v>
      </c>
      <c r="B353" s="1" t="s">
        <v>812</v>
      </c>
      <c r="C353" s="1" t="s">
        <v>813</v>
      </c>
      <c r="D353" s="1" t="s">
        <v>208</v>
      </c>
      <c r="E353" s="1" t="s">
        <v>1058</v>
      </c>
      <c r="F353" s="1" t="s">
        <v>1059</v>
      </c>
      <c r="G353" s="1" t="s">
        <v>36</v>
      </c>
      <c r="H353" s="1" t="s">
        <v>29</v>
      </c>
      <c r="I353" s="1" t="str">
        <f ca="1">IFERROR(__xludf.DUMMYFUNCTION("GOOGLETRANSLATE(F353, ""auto"", ""en"")
"),"I was pleasantly surprised by the quality of the product for the money. This tripod occupies the middle stage ")</f>
        <v xml:space="preserve">I was pleasantly surprised by the quality of the product for the money. This tripod occupies the middle stage </v>
      </c>
    </row>
    <row r="354" spans="1:9" x14ac:dyDescent="0.3">
      <c r="A354" s="1" t="s">
        <v>55</v>
      </c>
      <c r="B354" s="1" t="s">
        <v>56</v>
      </c>
      <c r="C354" s="1" t="s">
        <v>57</v>
      </c>
      <c r="D354" s="1" t="s">
        <v>172</v>
      </c>
      <c r="E354" s="1" t="s">
        <v>1060</v>
      </c>
      <c r="F354" s="1" t="s">
        <v>1061</v>
      </c>
      <c r="G354" s="1" t="s">
        <v>36</v>
      </c>
      <c r="H354" s="1" t="s">
        <v>29</v>
      </c>
      <c r="I354" s="1" t="str">
        <f ca="1">IFERROR(__xludf.DUMMYFUNCTION("GOOGLETRANSLATE(F354, ""auto"", ""en"")
"),"I want to stand up for the air humidifier and fight back against the “negativity”: 1) “The lid opens tightly, if you don’t screw it on well, it leaks.” So, you need to screw it evenly! Watch this closely. Unscrew: yes, I agree it’s “tight”, but pay attent"&amp;"ion to the center of the filter!!! For example, a screwdriver fits perfectly into the grooves, which can be used as a lever (crosswise). Tested by a fragile girl, everything opens up wonderfully. By the way, you can twist it in the same way.  2) “White co"&amp;"ating” - yes, it does appear (especially on the TV body) and depends on water. But it doesn't cause discomfort. After the “procedure”, take it and wipe it... 3) “The steam has become less intense.” After “emptying” the tank, disassemble the humidifier! cl"&amp;"ean it!! especially the ""spray""!!! and dry everything!!!! after that, refill and use) 4) “The water goes out” - no comments, read point No. 3. If you are leaving somewhere, drain the water.  5) “Leaks” - you need to place it on a flat surface. Plus we r"&amp;"ead point No. 1 - the lid must be screwed evenly and tightly) Of course, this does not apply to cracks on the case and defects.  It copes with its functions: moisturizes, it’s really easier to breathe. Well, the dust has become significantly less. Who doe"&amp;"sn’t need extra bells and whistles in the form of timers, displays, wi-fi)), etc. - this “Vitek” is for you!!!)")</f>
        <v>I want to stand up for the air humidifier and fight back against the “negativity”: 1) “The lid opens tightly, if you don’t screw it on well, it leaks.” So, you need to screw it evenly! Watch this closely. Unscrew: yes, I agree it’s “tight”, but pay attention to the center of the filter!!! For example, a screwdriver fits perfectly into the grooves, which can be used as a lever (crosswise). Tested by a fragile girl, everything opens up wonderfully. By the way, you can twist it in the same way.  2) “White coating” - yes, it does appear (especially on the TV body) and depends on water. But it doesn't cause discomfort. After the “procedure”, take it and wipe it... 3) “The steam has become less intense.” After “emptying” the tank, disassemble the humidifier! clean it!! especially the "spray"!!! and dry everything!!!! after that, refill and use) 4) “The water goes out” - no comments, read point No. 3. If you are leaving somewhere, drain the water.  5) “Leaks” - you need to place it on a flat surface. Plus we read point No. 1 - the lid must be screwed evenly and tightly) Of course, this does not apply to cracks on the case and defects.  It copes with its functions: moisturizes, it’s really easier to breathe. Well, the dust has become significantly less. Who doesn’t need extra bells and whistles in the form of timers, displays, wi-fi)), etc. - this “Vitek” is for you!!!)</v>
      </c>
    </row>
    <row r="355" spans="1:9" x14ac:dyDescent="0.3">
      <c r="A355" s="1" t="s">
        <v>105</v>
      </c>
      <c r="B355" s="1" t="s">
        <v>106</v>
      </c>
      <c r="C355" s="1" t="s">
        <v>69</v>
      </c>
      <c r="D355" s="1" t="s">
        <v>1062</v>
      </c>
      <c r="E355" s="1" t="s">
        <v>1063</v>
      </c>
      <c r="F355" s="1" t="s">
        <v>1064</v>
      </c>
      <c r="G355" s="1" t="s">
        <v>36</v>
      </c>
      <c r="H355" s="1" t="s">
        <v>29</v>
      </c>
      <c r="I355" s="1" t="str">
        <f ca="1">IFERROR(__xludf.DUMMYFUNCTION("GOOGLETRANSLATE(F355, ""auto"", ""en"")
"),"Vitaly from Kursk, to listen to real live sound, you don’t need it to explode your ears with volume!! !")</f>
        <v>Vitaly from Kursk, to listen to real live sound, you don’t need it to explode your ears with volume!! !</v>
      </c>
    </row>
    <row r="356" spans="1:9" x14ac:dyDescent="0.3">
      <c r="A356" s="1" t="s">
        <v>120</v>
      </c>
      <c r="B356" s="1" t="s">
        <v>256</v>
      </c>
      <c r="C356" s="1" t="s">
        <v>151</v>
      </c>
      <c r="D356" s="1" t="s">
        <v>280</v>
      </c>
      <c r="E356" s="1" t="s">
        <v>1065</v>
      </c>
      <c r="F356" s="1" t="s">
        <v>1066</v>
      </c>
      <c r="G356" s="1" t="s">
        <v>28</v>
      </c>
      <c r="H356" s="1" t="s">
        <v>29</v>
      </c>
      <c r="I356" s="1" t="str">
        <f ca="1">IFERROR(__xludf.DUMMYFUNCTION("GOOGLETRANSLATE(F356, ""auto"", ""en"")
"),"Bought 3 days ago.  There is no sound in the headphones.")</f>
        <v>Bought 3 days ago.  There is no sound in the headphones.</v>
      </c>
    </row>
    <row r="357" spans="1:9" x14ac:dyDescent="0.3">
      <c r="A357" s="1" t="s">
        <v>211</v>
      </c>
      <c r="B357" s="1" t="s">
        <v>601</v>
      </c>
      <c r="C357" s="1" t="s">
        <v>602</v>
      </c>
      <c r="D357" s="1" t="s">
        <v>211</v>
      </c>
      <c r="E357" s="1" t="s">
        <v>92</v>
      </c>
      <c r="F357" s="1" t="s">
        <v>1067</v>
      </c>
      <c r="G357" s="1" t="s">
        <v>36</v>
      </c>
      <c r="H357" s="1" t="s">
        <v>29</v>
      </c>
      <c r="I357" s="1" t="str">
        <f ca="1">IFERROR(__xludf.DUMMYFUNCTION("GOOGLETRANSLATE(F357, ""auto"", ""en"")
"),"On Ali Express 4 such attachments cost 115 rubles.")</f>
        <v>On Ali Express 4 such attachments cost 115 rubles.</v>
      </c>
    </row>
    <row r="358" spans="1:9" x14ac:dyDescent="0.3">
      <c r="A358" s="1" t="s">
        <v>37</v>
      </c>
      <c r="B358" s="1" t="s">
        <v>536</v>
      </c>
      <c r="C358" s="1" t="s">
        <v>189</v>
      </c>
      <c r="D358" s="1" t="s">
        <v>1068</v>
      </c>
      <c r="E358" s="1" t="s">
        <v>176</v>
      </c>
      <c r="F358" s="1" t="s">
        <v>1069</v>
      </c>
      <c r="G358" s="1" t="s">
        <v>49</v>
      </c>
      <c r="H358" s="1" t="s">
        <v>16</v>
      </c>
      <c r="I358" s="1" t="str">
        <f ca="1">IFERROR(__xludf.DUMMYFUNCTION("GOOGLETRANSLATE(F358, ""auto"", ""en"")
"),"There is too little RAM, applications will crash constantly, charging lasts for a maximum of a day, the display is not visible at all in the sun. the only plus is hard keyboard and navitel")</f>
        <v>There is too little RAM, applications will crash constantly, charging lasts for a maximum of a day, the display is not visible at all in the sun. the only plus is hard keyboard and navitel</v>
      </c>
    </row>
    <row r="359" spans="1:9" x14ac:dyDescent="0.3">
      <c r="A359" s="1" t="s">
        <v>557</v>
      </c>
      <c r="B359" s="1" t="s">
        <v>558</v>
      </c>
      <c r="C359" s="1" t="s">
        <v>816</v>
      </c>
      <c r="D359" s="1" t="s">
        <v>232</v>
      </c>
      <c r="E359" s="1" t="s">
        <v>1070</v>
      </c>
      <c r="F359" s="1" t="s">
        <v>1071</v>
      </c>
      <c r="G359" s="1" t="s">
        <v>28</v>
      </c>
      <c r="H359" s="1" t="s">
        <v>29</v>
      </c>
      <c r="I359" s="1" t="str">
        <f ca="1">IFERROR(__xludf.DUMMYFUNCTION("GOOGLETRANSLATE(F359, ""auto"", ""en"")
"),"I bought this model with an additional handset for use at work. I'm happy with the purchase. I don’t join the review above, since I didn’t find all the listed shortcomings in the phone (I turned off the call on the base, Caller ID works; when there is an "&amp;"incoming call, the handset rings very loudly and clearly, I had to turn down the ringer volume by 1 :), otherwise employees from neighboring offices complain :); The clock only resets when the base is disconnected from the power supply, like many other ra"&amp;"diotelephones). Shortcomings in the operation of the phone that I discovered during operation: 1. The melody is not always played synchronously (in tune) on two handsets when there is an incoming call. 2. Caller ID works after at least 3 rings (colleagues"&amp;" sometimes don’t call due to lack of patience, but at work this is even a + :)). 3. The range in (our) office is about 20 meters. The advantages include: convenient buttons; clear menu; color display; phone book for 100 numbers. For this price - a good ch"&amp;"oice!!")</f>
        <v>I bought this model with an additional handset for use at work. I'm happy with the purchase. I don’t join the review above, since I didn’t find all the listed shortcomings in the phone (I turned off the call on the base, Caller ID works; when there is an incoming call, the handset rings very loudly and clearly, I had to turn down the ringer volume by 1 :), otherwise employees from neighboring offices complain :); The clock only resets when the base is disconnected from the power supply, like many other radiotelephones). Shortcomings in the operation of the phone that I discovered during operation: 1. The melody is not always played synchronously (in tune) on two handsets when there is an incoming call. 2. Caller ID works after at least 3 rings (colleagues sometimes don’t call due to lack of patience, but at work this is even a + :)). 3. The range in (our) office is about 20 meters. The advantages include: convenient buttons; clear menu; color display; phone book for 100 numbers. For this price - a good choice!!</v>
      </c>
    </row>
    <row r="360" spans="1:9" x14ac:dyDescent="0.3">
      <c r="A360" s="1" t="s">
        <v>89</v>
      </c>
      <c r="B360" s="1" t="s">
        <v>231</v>
      </c>
      <c r="C360" s="1" t="s">
        <v>1072</v>
      </c>
      <c r="D360" s="1" t="s">
        <v>247</v>
      </c>
      <c r="E360" s="1" t="s">
        <v>1073</v>
      </c>
      <c r="F360" s="1" t="s">
        <v>1074</v>
      </c>
      <c r="G360" s="1" t="s">
        <v>28</v>
      </c>
      <c r="H360" s="1" t="s">
        <v>29</v>
      </c>
      <c r="I360" s="1" t="str">
        <f ca="1">IFERROR(__xludf.DUMMYFUNCTION("GOOGLETRANSLATE(F360, ""auto"", ""en"")
"),"A good model in terms of price/quality ratio. Easy to use, with great capabilities. You can easily adjust the coffee strength, the amount of coffee and milk per cup, temperature, etc. Prepares cappuccino with one touch. Easy car care.")</f>
        <v>A good model in terms of price/quality ratio. Easy to use, with great capabilities. You can easily adjust the coffee strength, the amount of coffee and milk per cup, temperature, etc. Prepares cappuccino with one touch. Easy car care.</v>
      </c>
    </row>
    <row r="361" spans="1:9" x14ac:dyDescent="0.3">
      <c r="A361" s="1" t="s">
        <v>61</v>
      </c>
      <c r="B361" s="1" t="s">
        <v>145</v>
      </c>
      <c r="C361" s="1" t="s">
        <v>57</v>
      </c>
      <c r="D361" s="1" t="s">
        <v>474</v>
      </c>
      <c r="E361" s="1" t="s">
        <v>1075</v>
      </c>
      <c r="F361" s="1" t="s">
        <v>1076</v>
      </c>
      <c r="G361" s="1" t="s">
        <v>28</v>
      </c>
      <c r="H361" s="1" t="s">
        <v>29</v>
      </c>
      <c r="I361" s="1" t="str">
        <f ca="1">IFERROR(__xludf.DUMMYFUNCTION("GOOGLETRANSLATE(F361, ""auto"", ""en"")
"),"My husband and I bought it for two, that’s it. The potatoes turned out delicious, we are happy. The advantages include small size, oil consumption of only 0.5 liters, convenient thermostat, and the ability to prepare fondue. It’s really not very convenien"&amp;"t to wash, but that’s probably a matter of taste. We haven't yet figured out how to attach the basket in position to allow the oil to drain after cooking.")</f>
        <v>My husband and I bought it for two, that’s it. The potatoes turned out delicious, we are happy. The advantages include small size, oil consumption of only 0.5 liters, convenient thermostat, and the ability to prepare fondue. It’s really not very convenient to wash, but that’s probably a matter of taste. We haven't yet figured out how to attach the basket in position to allow the oil to drain after cooking.</v>
      </c>
    </row>
    <row r="362" spans="1:9" x14ac:dyDescent="0.3">
      <c r="A362" s="1" t="s">
        <v>361</v>
      </c>
      <c r="B362" s="1" t="s">
        <v>1077</v>
      </c>
      <c r="C362" s="1" t="s">
        <v>561</v>
      </c>
      <c r="D362" s="1" t="s">
        <v>1078</v>
      </c>
      <c r="E362" s="1" t="s">
        <v>1079</v>
      </c>
      <c r="F362" s="1" t="s">
        <v>1080</v>
      </c>
      <c r="G362" s="1" t="s">
        <v>15</v>
      </c>
      <c r="H362" s="1" t="s">
        <v>16</v>
      </c>
      <c r="I362" s="1" t="str">
        <f ca="1">IFERROR(__xludf.DUMMYFUNCTION("GOOGLETRANSLATE(F362, ""auto"", ""en"")
"),"I bought this kettle today; When pouring water into a cup, water flows from the spout in two streams - from the central hole and from under the whistle. Is it really marriage...")</f>
        <v>I bought this kettle today; When pouring water into a cup, water flows from the spout in two streams - from the central hole and from under the whistle. Is it really marriage...</v>
      </c>
    </row>
    <row r="363" spans="1:9" x14ac:dyDescent="0.3">
      <c r="A363" s="1" t="s">
        <v>55</v>
      </c>
      <c r="B363" s="1" t="s">
        <v>184</v>
      </c>
      <c r="C363" s="1" t="s">
        <v>57</v>
      </c>
      <c r="D363" s="1" t="s">
        <v>152</v>
      </c>
      <c r="E363" s="1" t="s">
        <v>992</v>
      </c>
      <c r="F363" s="1" t="s">
        <v>1081</v>
      </c>
      <c r="G363" s="1" t="s">
        <v>15</v>
      </c>
      <c r="H363" s="1" t="s">
        <v>16</v>
      </c>
      <c r="I363" s="1" t="str">
        <f ca="1">IFERROR(__xludf.DUMMYFUNCTION("GOOGLETRANSLATE(F363, ""auto"", ""en"")
"),"I bought 12 meters for a room, but such a heater is only good for placing under your feet, so that it blows directly and immediately warms you up. The power is not enough for any room, but to be honest, what you paid for is what you got. Miracles don’t ha"&amp;"ppen for fifteen hundred. Next time I’ll be smarter, I’ll take either three times more powerful or save up for an air conditioner). Don’t make my mistake.")</f>
        <v>I bought 12 meters for a room, but such a heater is only good for placing under your feet, so that it blows directly and immediately warms you up. The power is not enough for any room, but to be honest, what you paid for is what you got. Miracles don’t happen for fifteen hundred. Next time I’ll be smarter, I’ll take either three times more powerful or save up for an air conditioner). Don’t make my mistake.</v>
      </c>
    </row>
    <row r="364" spans="1:9" x14ac:dyDescent="0.3">
      <c r="A364" s="1" t="s">
        <v>37</v>
      </c>
      <c r="B364" s="1" t="s">
        <v>38</v>
      </c>
      <c r="C364" s="1" t="s">
        <v>163</v>
      </c>
      <c r="D364" s="1" t="s">
        <v>1082</v>
      </c>
      <c r="E364" s="1" t="s">
        <v>393</v>
      </c>
      <c r="F364" s="1" t="s">
        <v>1083</v>
      </c>
      <c r="G364" s="1" t="s">
        <v>36</v>
      </c>
      <c r="H364" s="1" t="s">
        <v>29</v>
      </c>
      <c r="I364" s="1" t="str">
        <f ca="1">IFERROR(__xludf.DUMMYFUNCTION("GOOGLETRANSLATE(F364, ""auto"", ""en"")
"),"SOOO COOL PHONE!!! As a teenager, I rate it 5!!! A good screen, the camera is also great, not all games work (((and those that work just fly!! The sound quality is excellent!!! I used to want a smartphone... but didn’t have enough money, I decided to buy "&amp;"this one!!! I don’t regret it at all! I bought it for 3999!!!! This is the best thing in this range! And believe me. It’s BETTER than the nokia5130XM!!!!")</f>
        <v>SOOO COOL PHONE!!! As a teenager, I rate it 5!!! A good screen, the camera is also great, not all games work (((and those that work just fly!! The sound quality is excellent!!! I used to want a smartphone... but didn’t have enough money, I decided to buy this one!!! I don’t regret it at all! I bought it for 3999!!!! This is the best thing in this range! And believe me. It’s BETTER than the nokia5130XM!!!!</v>
      </c>
    </row>
    <row r="365" spans="1:9" x14ac:dyDescent="0.3">
      <c r="A365" s="1" t="s">
        <v>61</v>
      </c>
      <c r="B365" s="1" t="s">
        <v>977</v>
      </c>
      <c r="C365" s="1" t="s">
        <v>69</v>
      </c>
      <c r="D365" s="1" t="s">
        <v>12</v>
      </c>
      <c r="E365" s="1" t="s">
        <v>1084</v>
      </c>
      <c r="F365" s="1" t="s">
        <v>1085</v>
      </c>
      <c r="G365" s="1" t="s">
        <v>36</v>
      </c>
      <c r="H365" s="1" t="s">
        <v>29</v>
      </c>
      <c r="I365" s="1" t="str">
        <f ca="1">IFERROR(__xludf.DUMMYFUNCTION("GOOGLETRANSLATE(F365, ""auto"", ""en"")
"),"The blender is great. Grinds, beats, and makes purees well. The only small drawback is that when used, it creates a small vacuum; you have to forcefully lift it into the mass being ground.  Overall - satisfied.")</f>
        <v>The blender is great. Grinds, beats, and makes purees well. The only small drawback is that when used, it creates a small vacuum; you have to forcefully lift it into the mass being ground.  Overall - satisfied.</v>
      </c>
    </row>
    <row r="366" spans="1:9" x14ac:dyDescent="0.3">
      <c r="A366" s="1" t="s">
        <v>37</v>
      </c>
      <c r="B366" s="1" t="s">
        <v>38</v>
      </c>
      <c r="C366" s="1" t="s">
        <v>39</v>
      </c>
      <c r="D366" s="1" t="s">
        <v>52</v>
      </c>
      <c r="E366" s="1" t="s">
        <v>1086</v>
      </c>
      <c r="F366" s="1" t="s">
        <v>1087</v>
      </c>
      <c r="G366" s="1" t="s">
        <v>28</v>
      </c>
      <c r="H366" s="1" t="s">
        <v>29</v>
      </c>
      <c r="I366" s="1" t="str">
        <f ca="1">IFERROR(__xludf.DUMMYFUNCTION("GOOGLETRANSLATE(F366, ""auto"", ""en"")
"),"I bought it a month ago from Mvideo. No glitches or slowdowns during this time... The design is rather masculine, but I have seen such handsets several times on women with hinged panels of a different color :-) All the necessary functions of the phone are"&amp;" present in abundance. Moreover, making calls and sending SMS is quite convenient, even very convenient. Duplicate functions through menu items are more pleasing than frustrating - everything is at your fingertips! And now... WALKMAN!!! All balalaikas, su"&amp;"ch as SAMSUNG, LG and NOKIA, quietly smoke on the sidelines... And for a long time and sadly... All these comrades are far from the sound in SONY products. In addition to the phone and the player, you can try a lot of different multimedia features here (f"&amp;"or example, I really liked the Internet browser) and have fun :-)")</f>
        <v>I bought it a month ago from Mvideo. No glitches or slowdowns during this time... The design is rather masculine, but I have seen such handsets several times on women with hinged panels of a different color :-) All the necessary functions of the phone are present in abundance. Moreover, making calls and sending SMS is quite convenient, even very convenient. Duplicate functions through menu items are more pleasing than frustrating - everything is at your fingertips! And now... WALKMAN!!! All balalaikas, such as SAMSUNG, LG and NOKIA, quietly smoke on the sidelines... And for a long time and sadly... All these comrades are far from the sound in SONY products. In addition to the phone and the player, you can try a lot of different multimedia features here (for example, I really liked the Internet browser) and have fun :-)</v>
      </c>
    </row>
    <row r="367" spans="1:9" x14ac:dyDescent="0.3">
      <c r="A367" s="1" t="s">
        <v>211</v>
      </c>
      <c r="B367" s="1" t="s">
        <v>212</v>
      </c>
      <c r="C367" s="1" t="s">
        <v>57</v>
      </c>
      <c r="D367" s="1" t="s">
        <v>471</v>
      </c>
      <c r="E367" s="1" t="s">
        <v>1088</v>
      </c>
      <c r="F367" s="1" t="s">
        <v>1089</v>
      </c>
      <c r="G367" s="1" t="s">
        <v>36</v>
      </c>
      <c r="H367" s="1" t="s">
        <v>29</v>
      </c>
      <c r="I367" s="1" t="str">
        <f ca="1">IFERROR(__xludf.DUMMYFUNCTION("GOOGLETRANSLATE(F367, ""auto"", ""en"")
"),"The hairdryer worked for 6 years! I used it once a week, but I still didn’t think that it would work for SO long) For that amount, a solid “5”!!!")</f>
        <v>The hairdryer worked for 6 years! I used it once a week, but I still didn’t think that it would work for SO long) For that amount, a solid “5”!!!</v>
      </c>
    </row>
    <row r="368" spans="1:9" x14ac:dyDescent="0.3">
      <c r="A368" s="1" t="s">
        <v>111</v>
      </c>
      <c r="B368" s="1" t="s">
        <v>1090</v>
      </c>
      <c r="C368" s="1" t="s">
        <v>1091</v>
      </c>
      <c r="D368" s="1" t="s">
        <v>1092</v>
      </c>
      <c r="E368" s="1" t="s">
        <v>1093</v>
      </c>
      <c r="F368" s="1" t="s">
        <v>1094</v>
      </c>
      <c r="G368" s="1" t="s">
        <v>36</v>
      </c>
      <c r="H368" s="1" t="s">
        <v>29</v>
      </c>
      <c r="I368" s="1" t="str">
        <f ca="1">IFERROR(__xludf.DUMMYFUNCTION("GOOGLETRANSLATE(F368, ""auto"", ""en"")
"),"Exactly the same lamp, exactly 1 in 1, was given to me 14 years ago. And it's still working.  Never even replaced a light bulb. The adjustment is really loose and loose a little.")</f>
        <v>Exactly the same lamp, exactly 1 in 1, was given to me 14 years ago. And it's still working.  Never even replaced a light bulb. The adjustment is really loose and loose a little.</v>
      </c>
    </row>
    <row r="369" spans="1:9" x14ac:dyDescent="0.3">
      <c r="A369" s="1" t="s">
        <v>211</v>
      </c>
      <c r="B369" s="1" t="s">
        <v>212</v>
      </c>
      <c r="C369" s="1" t="s">
        <v>381</v>
      </c>
      <c r="D369" s="1" t="s">
        <v>682</v>
      </c>
      <c r="E369" s="1" t="s">
        <v>1095</v>
      </c>
      <c r="F369" s="1" t="s">
        <v>1096</v>
      </c>
      <c r="G369" s="1" t="s">
        <v>28</v>
      </c>
      <c r="H369" s="1" t="s">
        <v>29</v>
      </c>
      <c r="I369" s="1" t="str">
        <f ca="1">IFERROR(__xludf.DUMMYFUNCTION("GOOGLETRANSLATE(F369, ""auto"", ""en"")
"),"Lightweight straightener")</f>
        <v>Lightweight straightener</v>
      </c>
    </row>
    <row r="370" spans="1:9" x14ac:dyDescent="0.3">
      <c r="A370" s="1" t="s">
        <v>30</v>
      </c>
      <c r="B370" s="1" t="s">
        <v>50</v>
      </c>
      <c r="C370" s="1" t="s">
        <v>1003</v>
      </c>
      <c r="D370" s="1" t="s">
        <v>52</v>
      </c>
      <c r="E370" s="1" t="s">
        <v>820</v>
      </c>
      <c r="F370" s="1" t="s">
        <v>1097</v>
      </c>
      <c r="G370" s="1" t="s">
        <v>49</v>
      </c>
      <c r="H370" s="1" t="s">
        <v>16</v>
      </c>
      <c r="I370" s="1" t="str">
        <f ca="1">IFERROR(__xludf.DUMMYFUNCTION("GOOGLETRANSLATE(F370, ""auto"", ""en"")
"),"I took a laptop with an LED monitor, after 3 hours I was in tears, my eyes were red, generally terrible!!!    I had to sell it at half price and buy it with regular backlighting, not LED!!!    LED monitors suck!!!")</f>
        <v>I took a laptop with an LED monitor, after 3 hours I was in tears, my eyes were red, generally terrible!!!    I had to sell it at half price and buy it with regular backlighting, not LED!!!    LED monitors suck!!!</v>
      </c>
    </row>
    <row r="371" spans="1:9" x14ac:dyDescent="0.3">
      <c r="A371" s="1" t="s">
        <v>61</v>
      </c>
      <c r="B371" s="1" t="s">
        <v>73</v>
      </c>
      <c r="C371" s="1" t="s">
        <v>122</v>
      </c>
      <c r="D371" s="1" t="s">
        <v>33</v>
      </c>
      <c r="E371" s="1" t="s">
        <v>872</v>
      </c>
      <c r="F371" s="1" t="s">
        <v>1098</v>
      </c>
      <c r="G371" s="1" t="s">
        <v>36</v>
      </c>
      <c r="H371" s="1" t="s">
        <v>29</v>
      </c>
      <c r="I371" s="1" t="str">
        <f ca="1">IFERROR(__xludf.DUMMYFUNCTION("GOOGLETRANSLATE(F371, ""auto"", ""en"")
"),"The meat grinder is just super, my wife and I bought it together, we really liked it, it doesn’t make so much noise. We processed 10 kg of meat in 30 minutes, it’s just super.")</f>
        <v>The meat grinder is just super, my wife and I bought it together, we really liked it, it doesn’t make so much noise. We processed 10 kg of meat in 30 minutes, it’s just super.</v>
      </c>
    </row>
    <row r="372" spans="1:9" x14ac:dyDescent="0.3">
      <c r="A372" s="1" t="s">
        <v>149</v>
      </c>
      <c r="B372" s="1" t="s">
        <v>423</v>
      </c>
      <c r="C372" s="1" t="s">
        <v>424</v>
      </c>
      <c r="D372" s="1" t="s">
        <v>152</v>
      </c>
      <c r="E372" s="1" t="s">
        <v>1099</v>
      </c>
      <c r="F372" s="1" t="s">
        <v>1100</v>
      </c>
      <c r="G372" s="1" t="s">
        <v>15</v>
      </c>
      <c r="H372" s="1" t="s">
        <v>16</v>
      </c>
      <c r="I372" s="1" t="str">
        <f ca="1">IFERROR(__xludf.DUMMYFUNCTION("GOOGLETRANSLATE(F372, ""auto"", ""en"")
"),"The water supply hose on the nozzle fell off after the first use. The plastic is really “very liquid” for a vacuum cleaner, plus the hose is short, so if the brush turns to the maximum possible angle during the cleaning process, the hose will stretch and "&amp;"break the fasteners, since it is glued to them with glue, which is apparently much stronger than the plastic itself. It’s definitely not worth taking without additional maintenance, since I would have to buy a brush at my own expense. Although, I’m afraid"&amp;" to even imagine how many times during these two years the brush may still break. Therefore, for your own peace of mind, it’s better not to buy this miracle at all (I don’t know how many nerves it will take me, since I’m just about to turn to m-video)")</f>
        <v>The water supply hose on the nozzle fell off after the first use. The plastic is really “very liquid” for a vacuum cleaner, plus the hose is short, so if the brush turns to the maximum possible angle during the cleaning process, the hose will stretch and break the fasteners, since it is glued to them with glue, which is apparently much stronger than the plastic itself. It’s definitely not worth taking without additional maintenance, since I would have to buy a brush at my own expense. Although, I’m afraid to even imagine how many times during these two years the brush may still break. Therefore, for your own peace of mind, it’s better not to buy this miracle at all (I don’t know how many nerves it will take me, since I’m just about to turn to m-video)</v>
      </c>
    </row>
    <row r="373" spans="1:9" x14ac:dyDescent="0.3">
      <c r="A373" s="1" t="s">
        <v>55</v>
      </c>
      <c r="B373" s="1" t="s">
        <v>184</v>
      </c>
      <c r="C373" s="1" t="s">
        <v>45</v>
      </c>
      <c r="D373" s="1" t="s">
        <v>1101</v>
      </c>
      <c r="E373" s="1" t="s">
        <v>1102</v>
      </c>
      <c r="F373" s="1" t="s">
        <v>1103</v>
      </c>
      <c r="G373" s="1" t="s">
        <v>36</v>
      </c>
      <c r="H373" s="1" t="s">
        <v>29</v>
      </c>
      <c r="I373" s="1" t="str">
        <f ca="1">IFERROR(__xludf.DUMMYFUNCTION("GOOGLETRANSLATE(F373, ""auto"", ""en"")
"),"I rarely write reviews. I couldn’t resist here. There are only positives about this device. Bought for work, used mercilessly. Warms a room of 30 sq.m. very quickly. The second season is running smoothly. Convenient controls, informative display, and a re"&amp;"mote control.")</f>
        <v>I rarely write reviews. I couldn’t resist here. There are only positives about this device. Bought for work, used mercilessly. Warms a room of 30 sq.m. very quickly. The second season is running smoothly. Convenient controls, informative display, and a remote control.</v>
      </c>
    </row>
    <row r="374" spans="1:9" x14ac:dyDescent="0.3">
      <c r="A374" s="1" t="s">
        <v>9</v>
      </c>
      <c r="B374" s="1" t="s">
        <v>10</v>
      </c>
      <c r="C374" s="1" t="s">
        <v>407</v>
      </c>
      <c r="D374" s="1" t="s">
        <v>247</v>
      </c>
      <c r="E374" s="1" t="s">
        <v>1104</v>
      </c>
      <c r="F374" s="1" t="s">
        <v>1105</v>
      </c>
      <c r="G374" s="1" t="s">
        <v>49</v>
      </c>
      <c r="H374" s="1" t="s">
        <v>16</v>
      </c>
      <c r="I374" s="1" t="str">
        <f ca="1">IFERROR(__xludf.DUMMYFUNCTION("GOOGLETRANSLATE(F374, ""auto"", ""en"")
"),"Read customer reviews carefully. I ignored a fairly large number of negative reviews for this product and bought it. Now I'm waiting for the conclusion from the SC. The hood does not work: it switches from any operating mode to speed 4 and does not turn o"&amp;"ff. It's a shame, it was faulty from the beginning, but we were able to check it only 2 months after purchase. This defect appeared during installation.   We draw conclusions: be sure to check the equipment within the current period. 2 weeks. And I still "&amp;"have to wait for the conclusion of the SC for another 30 days (out of 45 by law). I wonder how it will all end.")</f>
        <v>Read customer reviews carefully. I ignored a fairly large number of negative reviews for this product and bought it. Now I'm waiting for the conclusion from the SC. The hood does not work: it switches from any operating mode to speed 4 and does not turn off. It's a shame, it was faulty from the beginning, but we were able to check it only 2 months after purchase. This defect appeared during installation.   We draw conclusions: be sure to check the equipment within the current period. 2 weeks. And I still have to wait for the conclusion of the SC for another 30 days (out of 45 by law). I wonder how it will all end.</v>
      </c>
    </row>
    <row r="375" spans="1:9" x14ac:dyDescent="0.3">
      <c r="A375" s="1" t="s">
        <v>89</v>
      </c>
      <c r="B375" s="1" t="s">
        <v>1106</v>
      </c>
      <c r="C375" s="1" t="s">
        <v>69</v>
      </c>
      <c r="D375" s="1" t="s">
        <v>305</v>
      </c>
      <c r="E375" s="1" t="s">
        <v>1107</v>
      </c>
      <c r="F375" s="1" t="s">
        <v>1108</v>
      </c>
      <c r="G375" s="1" t="s">
        <v>36</v>
      </c>
      <c r="H375" s="1" t="s">
        <v>29</v>
      </c>
      <c r="I375" s="1" t="str">
        <f ca="1">IFERROR(__xludf.DUMMYFUNCTION("GOOGLETRANSLATE(F375, ""auto"", ""en"")
"),"I got it yesterday. The impressions are only positive. Brews coffee quickly and pours it where you need it. The coffee turns out strong and rich (provided that you do not skimp, but follow the proportions as written in the instructions). It cooks quietly "&amp;"and turns off automatically. Now about the disadvantages. There are two of them, but for me they are not particularly significant: 1. After switching off, there is noise, since a few drops of cold water remaining in the tank flow onto the still hot heatin"&amp;"g element. The sound is similar to an iron steamer. It doesn't bother me. 2. There is no stationary filter. You need to buy paper ones. But for some, on the contrary, this will seem like a plus. The filter is always new without dirt or deposits. 100 piece"&amp;"s cost approximately from 130 to 170 rubles. Overall, I'm happy with the purchase!")</f>
        <v>I got it yesterday. The impressions are only positive. Brews coffee quickly and pours it where you need it. The coffee turns out strong and rich (provided that you do not skimp, but follow the proportions as written in the instructions). It cooks quietly and turns off automatically. Now about the disadvantages. There are two of them, but for me they are not particularly significant: 1. After switching off, there is noise, since a few drops of cold water remaining in the tank flow onto the still hot heating element. The sound is similar to an iron steamer. It doesn't bother me. 2. There is no stationary filter. You need to buy paper ones. But for some, on the contrary, this will seem like a plus. The filter is always new without dirt or deposits. 100 pieces cost approximately from 130 to 170 rubles. Overall, I'm happy with the purchase!</v>
      </c>
    </row>
    <row r="376" spans="1:9" x14ac:dyDescent="0.3">
      <c r="A376" s="1" t="s">
        <v>61</v>
      </c>
      <c r="B376" s="1" t="s">
        <v>145</v>
      </c>
      <c r="C376" s="1" t="s">
        <v>246</v>
      </c>
      <c r="D376" s="1" t="s">
        <v>565</v>
      </c>
      <c r="E376" s="1" t="s">
        <v>1109</v>
      </c>
      <c r="F376" s="1" t="s">
        <v>1110</v>
      </c>
      <c r="G376" s="1" t="s">
        <v>28</v>
      </c>
      <c r="H376" s="1" t="s">
        <v>29</v>
      </c>
      <c r="I376" s="1" t="str">
        <f ca="1">IFERROR(__xludf.DUMMYFUNCTION("GOOGLETRANSLATE(F376, ""auto"", ""en"")
"),"I thought long and hard before buying a deep fryer. The child really loves French fries, but at McDonald's they are not very healthy. I finally waited for the discounts and bought it! If you cut the potatoes into thin slices and place them not wet, you ge"&amp;"t normal French fries! I even made sweet potatoes with teriyaki sauce and it turned out just like Yakitoria. I will definitely try some meat recipes. The downside is that it is quite bulky and makes noise during cooking. And so - a great thing!")</f>
        <v>I thought long and hard before buying a deep fryer. The child really loves French fries, but at McDonald's they are not very healthy. I finally waited for the discounts and bought it! If you cut the potatoes into thin slices and place them not wet, you get normal French fries! I even made sweet potatoes with teriyaki sauce and it turned out just like Yakitoria. I will definitely try some meat recipes. The downside is that it is quite bulky and makes noise during cooking. And so - a great thing!</v>
      </c>
    </row>
    <row r="377" spans="1:9" x14ac:dyDescent="0.3">
      <c r="A377" s="1" t="s">
        <v>211</v>
      </c>
      <c r="B377" s="1" t="s">
        <v>515</v>
      </c>
      <c r="C377" s="1" t="s">
        <v>213</v>
      </c>
      <c r="D377" s="1" t="s">
        <v>1111</v>
      </c>
      <c r="E377" s="1" t="s">
        <v>1112</v>
      </c>
      <c r="F377" s="1" t="s">
        <v>1113</v>
      </c>
      <c r="G377" s="1" t="s">
        <v>36</v>
      </c>
      <c r="H377" s="1" t="s">
        <v>29</v>
      </c>
      <c r="I377" s="1" t="str">
        <f ca="1">IFERROR(__xludf.DUMMYFUNCTION("GOOGLETRANSLATE(F377, ""auto"", ""en"")
"),"Compact ")</f>
        <v xml:space="preserve">Compact </v>
      </c>
    </row>
    <row r="378" spans="1:9" x14ac:dyDescent="0.3">
      <c r="A378" s="1" t="s">
        <v>61</v>
      </c>
      <c r="B378" s="1" t="s">
        <v>73</v>
      </c>
      <c r="C378" s="1" t="s">
        <v>74</v>
      </c>
      <c r="D378" s="1" t="s">
        <v>139</v>
      </c>
      <c r="E378" s="1" t="s">
        <v>128</v>
      </c>
      <c r="F378" s="1" t="s">
        <v>1114</v>
      </c>
      <c r="G378" s="1" t="s">
        <v>36</v>
      </c>
      <c r="H378" s="1" t="s">
        <v>29</v>
      </c>
      <c r="I378" s="1" t="str">
        <f ca="1">IFERROR(__xludf.DUMMYFUNCTION("GOOGLETRANSLATE(F378, ""auto"", ""en"")
"),"We have been using the meat grinder for more than 3 years. No problem. There was a problem like “There’s no use in power if you have to unscrew everything after 15 seconds of twisting the tenderloin!”, but it arose due to loose assembly of the “filling” o"&amp;"f the meat grinder, which was successfully resolved.")</f>
        <v>We have been using the meat grinder for more than 3 years. No problem. There was a problem like “There’s no use in power if you have to unscrew everything after 15 seconds of twisting the tenderloin!”, but it arose due to loose assembly of the “filling” of the meat grinder, which was successfully resolved.</v>
      </c>
    </row>
    <row r="379" spans="1:9" x14ac:dyDescent="0.3">
      <c r="A379" s="1" t="s">
        <v>17</v>
      </c>
      <c r="B379" s="1" t="s">
        <v>325</v>
      </c>
      <c r="C379" s="1" t="s">
        <v>326</v>
      </c>
      <c r="D379" s="1" t="s">
        <v>471</v>
      </c>
      <c r="E379" s="1" t="s">
        <v>1115</v>
      </c>
      <c r="F379" s="1" t="s">
        <v>1116</v>
      </c>
      <c r="G379" s="1" t="s">
        <v>36</v>
      </c>
      <c r="H379" s="1" t="s">
        <v>29</v>
      </c>
      <c r="I379" s="1" t="str">
        <f ca="1">IFERROR(__xludf.DUMMYFUNCTION("GOOGLETRANSLATE(F379, ""auto"", ""en"")
"),"We bought it as a temporary one, because... The automatic machine broke down. It washes perfectly. For its price it's a very good machine. Helps us out a lot.")</f>
        <v>We bought it as a temporary one, because... The automatic machine broke down. It washes perfectly. For its price it's a very good machine. Helps us out a lot.</v>
      </c>
    </row>
    <row r="380" spans="1:9" x14ac:dyDescent="0.3">
      <c r="A380" s="1" t="s">
        <v>120</v>
      </c>
      <c r="B380" s="1" t="s">
        <v>121</v>
      </c>
      <c r="C380" s="1" t="s">
        <v>97</v>
      </c>
      <c r="D380" s="1" t="s">
        <v>1117</v>
      </c>
      <c r="E380" s="1" t="s">
        <v>571</v>
      </c>
      <c r="F380" s="1" t="s">
        <v>1118</v>
      </c>
      <c r="G380" s="1" t="s">
        <v>36</v>
      </c>
      <c r="H380" s="1" t="s">
        <v>29</v>
      </c>
      <c r="I380" s="1" t="str">
        <f ca="1">IFERROR(__xludf.DUMMYFUNCTION("GOOGLETRANSLATE(F380, ""auto"", ""en"")
"),"An excellent TV in the HD-ready line, ""32 and price category up to 20 thousand. For a long time I was choosing between the LG 32 LH2000 and this TV. LG is cheaper and more popular, judging by the reviews on the Internet. But the decisive factor was still"&amp;" not the price, but the ability to play files from digital media, in other words, I was interested in whether I could watch video files using a USB flash drive. Judging by the reviews on the Internet, LG is this The function is supported, but only after a"&amp;" simple re-flashing. The Sony specification stated that it would play video files, but the M-Video sales assistant persistently convinced me that I couldn’t do it with movies from a flash drive. In general, I took a chance and bought a Sony. Because it lo"&amp;"oks better. I found out at home that the video via the USB port simply works, the file needs to be converted to MPEG format (1,2) and that’s it!!! very I'm glad. Take this TV, don't hesitate. The picture is excellent, the menu is convenient, the FM tuner "&amp;"is a bonus.")</f>
        <v>An excellent TV in the HD-ready line, "32 and price category up to 20 thousand. For a long time I was choosing between the LG 32 LH2000 and this TV. LG is cheaper and more popular, judging by the reviews on the Internet. But the decisive factor was still not the price, but the ability to play files from digital media, in other words, I was interested in whether I could watch video files using a USB flash drive. Judging by the reviews on the Internet, LG is this The function is supported, but only after a simple re-flashing. The Sony specification stated that it would play video files, but the M-Video sales assistant persistently convinced me that I couldn’t do it with movies from a flash drive. In general, I took a chance and bought a Sony. Because it looks better. I found out at home that the video via the USB port simply works, the file needs to be converted to MPEG format (1,2) and that’s it!!! very I'm glad. Take this TV, don't hesitate. The picture is excellent, the menu is convenient, the FM tuner is a bonus.</v>
      </c>
    </row>
    <row r="381" spans="1:9" x14ac:dyDescent="0.3">
      <c r="A381" s="1" t="s">
        <v>1119</v>
      </c>
      <c r="B381" s="1" t="s">
        <v>1120</v>
      </c>
      <c r="C381" s="1" t="s">
        <v>97</v>
      </c>
      <c r="D381" s="1" t="s">
        <v>1121</v>
      </c>
      <c r="E381" s="1" t="s">
        <v>1122</v>
      </c>
      <c r="F381" s="1" t="s">
        <v>1123</v>
      </c>
      <c r="G381" s="1" t="s">
        <v>36</v>
      </c>
      <c r="H381" s="1" t="s">
        <v>29</v>
      </c>
      <c r="I381" s="1" t="str">
        <f ca="1">IFERROR(__xludf.DUMMYFUNCTION("GOOGLETRANSLATE(F381, ""auto"", ""en"")
"),"Excellent video camera, very simple and light, I have no complaints about the camera. Great purchase!")</f>
        <v>Excellent video camera, very simple and light, I have no complaints about the camera. Great purchase!</v>
      </c>
    </row>
    <row r="382" spans="1:9" x14ac:dyDescent="0.3">
      <c r="A382" s="1" t="s">
        <v>120</v>
      </c>
      <c r="B382" s="1" t="s">
        <v>121</v>
      </c>
      <c r="C382" s="1" t="s">
        <v>80</v>
      </c>
      <c r="D382" s="1" t="s">
        <v>1124</v>
      </c>
      <c r="E382" s="1" t="s">
        <v>824</v>
      </c>
      <c r="F382" s="1" t="s">
        <v>1125</v>
      </c>
      <c r="G382" s="1" t="s">
        <v>36</v>
      </c>
      <c r="H382" s="1" t="s">
        <v>29</v>
      </c>
      <c r="I382" s="1" t="str">
        <f ca="1">IFERROR(__xludf.DUMMYFUNCTION("GOOGLETRANSLATE(F382, ""auto"", ""en"")
"),"I’ve been using it for a year (I took it before the new year 2009) - I’m happy, there were no problems, the price-quality ratio is good.")</f>
        <v>I’ve been using it for a year (I took it before the new year 2009) - I’m happy, there were no problems, the price-quality ratio is good.</v>
      </c>
    </row>
    <row r="383" spans="1:9" x14ac:dyDescent="0.3">
      <c r="A383" s="1" t="s">
        <v>61</v>
      </c>
      <c r="B383" s="1" t="s">
        <v>1126</v>
      </c>
      <c r="C383" s="1" t="s">
        <v>57</v>
      </c>
      <c r="D383" s="1" t="s">
        <v>295</v>
      </c>
      <c r="E383" s="1" t="s">
        <v>267</v>
      </c>
      <c r="F383" s="1" t="s">
        <v>1127</v>
      </c>
      <c r="G383" s="1" t="s">
        <v>36</v>
      </c>
      <c r="H383" s="1" t="s">
        <v>29</v>
      </c>
      <c r="I383" s="1" t="str">
        <f ca="1">IFERROR(__xludf.DUMMYFUNCTION("GOOGLETRANSLATE(F383, ""auto"", ""en"")
"),"I've been using it for 3-4 years now. Weigh accurately. Minor disadvantages: Small platform. They turn off on their own. It would be better if you could control this process yourself.")</f>
        <v>I've been using it for 3-4 years now. Weigh accurately. Minor disadvantages: Small platform. They turn off on their own. It would be better if you could control this process yourself.</v>
      </c>
    </row>
    <row r="384" spans="1:9" x14ac:dyDescent="0.3">
      <c r="A384" s="1" t="s">
        <v>61</v>
      </c>
      <c r="B384" s="1" t="s">
        <v>977</v>
      </c>
      <c r="C384" s="1" t="s">
        <v>85</v>
      </c>
      <c r="D384" s="1" t="s">
        <v>589</v>
      </c>
      <c r="E384" s="1" t="s">
        <v>708</v>
      </c>
      <c r="F384" s="1" t="s">
        <v>1128</v>
      </c>
      <c r="G384" s="1" t="s">
        <v>28</v>
      </c>
      <c r="H384" s="1" t="s">
        <v>29</v>
      </c>
      <c r="I384" s="1" t="str">
        <f ca="1">IFERROR(__xludf.DUMMYFUNCTION("GOOGLETRANSLATE(F384, ""auto"", ""en"")
"),"The blender whips up liquid products well, but copes worse with solid ones. After grinding, solid products rise up in the glass and do not fall on the knives and the blender runs empty.")</f>
        <v>The blender whips up liquid products well, but copes worse with solid ones. After grinding, solid products rise up in the glass and do not fall on the knives and the blender runs empty.</v>
      </c>
    </row>
    <row r="385" spans="1:9" x14ac:dyDescent="0.3">
      <c r="A385" s="1" t="s">
        <v>17</v>
      </c>
      <c r="B385" s="1" t="s">
        <v>18</v>
      </c>
      <c r="C385" s="1" t="s">
        <v>243</v>
      </c>
      <c r="D385" s="1" t="s">
        <v>565</v>
      </c>
      <c r="E385" s="1" t="s">
        <v>1129</v>
      </c>
      <c r="F385" s="1" t="s">
        <v>1130</v>
      </c>
      <c r="G385" s="1" t="s">
        <v>49</v>
      </c>
      <c r="H385" s="1" t="s">
        <v>16</v>
      </c>
      <c r="I385" s="1" t="str">
        <f ca="1">IFERROR(__xludf.DUMMYFUNCTION("GOOGLETRANSLATE(F385, ""auto"", ""en"")
"),"It doesn't wash very well, but when it wrings it out it's very loud. on the second wash, it flew away (it knocked so hard that it was scary to approach it; when draining, the water flowed straight onto the floor). The M-video master came and said, “I don’"&amp;"t know anything, we’ll take it to the service center tomorrow.” As a result - no answer, no hello... The machine is 2 weeks old from the moment of installation.")</f>
        <v>It doesn't wash very well, but when it wrings it out it's very loud. on the second wash, it flew away (it knocked so hard that it was scary to approach it; when draining, the water flowed straight onto the floor). The M-video master came and said, “I don’t know anything, we’ll take it to the service center tomorrow.” As a result - no answer, no hello... The machine is 2 weeks old from the moment of installation.</v>
      </c>
    </row>
    <row r="386" spans="1:9" x14ac:dyDescent="0.3">
      <c r="A386" s="1" t="s">
        <v>43</v>
      </c>
      <c r="B386" s="1" t="s">
        <v>44</v>
      </c>
      <c r="C386" s="1" t="s">
        <v>45</v>
      </c>
      <c r="D386" s="1" t="s">
        <v>562</v>
      </c>
      <c r="E386" s="1" t="s">
        <v>1131</v>
      </c>
      <c r="F386" s="1" t="s">
        <v>1132</v>
      </c>
      <c r="G386" s="1" t="s">
        <v>36</v>
      </c>
      <c r="H386" s="1" t="s">
        <v>29</v>
      </c>
      <c r="I386" s="1" t="str">
        <f ca="1">IFERROR(__xludf.DUMMYFUNCTION("GOOGLETRANSLATE(F386, ""auto"", ""en"")
"),"Bought in May 2012 as a birthday present for my mother. We are very glad that we bought this fan! It blows powerfully! There are 3 modes - choose for every taste! Even at first speed the air flows great for me. There is rotation both vertically and horizo"&amp;"ntally. Any position can be fixed. We took it apart for the winter, everything is very simple and convenient. Never let me down. Saved me in the heat with a bang! And the price is quite reasonable.")</f>
        <v>Bought in May 2012 as a birthday present for my mother. We are very glad that we bought this fan! It blows powerfully! There are 3 modes - choose for every taste! Even at first speed the air flows great for me. There is rotation both vertically and horizontally. Any position can be fixed. We took it apart for the winter, everything is very simple and convenient. Never let me down. Saved me in the heat with a bang! And the price is quite reasonable.</v>
      </c>
    </row>
    <row r="387" spans="1:9" x14ac:dyDescent="0.3">
      <c r="A387" s="1" t="s">
        <v>238</v>
      </c>
      <c r="B387" s="1" t="s">
        <v>276</v>
      </c>
      <c r="C387" s="1" t="s">
        <v>277</v>
      </c>
      <c r="D387" s="1" t="s">
        <v>81</v>
      </c>
      <c r="E387" s="1" t="s">
        <v>1133</v>
      </c>
      <c r="F387" s="1" t="s">
        <v>1134</v>
      </c>
      <c r="G387" s="1" t="s">
        <v>36</v>
      </c>
      <c r="H387" s="1" t="s">
        <v>29</v>
      </c>
      <c r="I387" s="1" t="str">
        <f ca="1">IFERROR(__xludf.DUMMYFUNCTION("GOOGLETRANSLATE(F387, ""auto"", ""en"")
"),"We needed an inexpensive refrigerator.  It freezes perfectly, everything fits (young family - 3 people), works silently.  After the reviews I had my doubts, but now I’m just glad. Thanks m-video!  Everything I buy works, that's the main thing!")</f>
        <v>We needed an inexpensive refrigerator.  It freezes perfectly, everything fits (young family - 3 people), works silently.  After the reviews I had my doubts, but now I’m just glad. Thanks m-video!  Everything I buy works, that's the main thing!</v>
      </c>
    </row>
    <row r="388" spans="1:9" x14ac:dyDescent="0.3">
      <c r="A388" s="1" t="s">
        <v>206</v>
      </c>
      <c r="B388" s="1" t="s">
        <v>261</v>
      </c>
      <c r="C388" s="1" t="s">
        <v>262</v>
      </c>
      <c r="D388" s="1" t="s">
        <v>1135</v>
      </c>
      <c r="E388" s="1" t="s">
        <v>1136</v>
      </c>
      <c r="F388" s="1" t="s">
        <v>1137</v>
      </c>
      <c r="G388" s="1" t="s">
        <v>36</v>
      </c>
      <c r="H388" s="1" t="s">
        <v>29</v>
      </c>
      <c r="I388" s="1" t="str">
        <f ca="1">IFERROR(__xludf.DUMMYFUNCTION("GOOGLETRANSLATE(F388, ""auto"", ""en"")
"),"It picks up the signal steadily, the kit includes a mounting kit and a long cable, enough to attach the antenna to the rear window.")</f>
        <v>It picks up the signal steadily, the kit includes a mounting kit and a long cable, enough to attach the antenna to the rear window.</v>
      </c>
    </row>
    <row r="389" spans="1:9" x14ac:dyDescent="0.3">
      <c r="A389" s="1" t="s">
        <v>43</v>
      </c>
      <c r="B389" s="1" t="s">
        <v>334</v>
      </c>
      <c r="C389" s="1" t="s">
        <v>1138</v>
      </c>
      <c r="D389" s="1" t="s">
        <v>280</v>
      </c>
      <c r="E389" s="1" t="s">
        <v>1139</v>
      </c>
      <c r="F389" s="1" t="s">
        <v>1140</v>
      </c>
      <c r="G389" s="1" t="s">
        <v>36</v>
      </c>
      <c r="H389" s="1" t="s">
        <v>29</v>
      </c>
      <c r="I389" s="1" t="str">
        <f ca="1">IFERROR(__xludf.DUMMYFUNCTION("GOOGLETRANSLATE(F389, ""auto"", ""en"")
"),"Dear customers, don't listen to anyone. The fan is excellent and gives 100% value for money. I agree that its design is not ideal, but nothing breaks. Everything works as it should. I’ve been using it for 2 months and am grateful to Bimatek for this mirac"&amp;"le.")</f>
        <v>Dear customers, don't listen to anyone. The fan is excellent and gives 100% value for money. I agree that its design is not ideal, but nothing breaks. Everything works as it should. I’ve been using it for 2 months and am grateful to Bimatek for this miracle.</v>
      </c>
    </row>
    <row r="390" spans="1:9" x14ac:dyDescent="0.3">
      <c r="A390" s="1" t="s">
        <v>111</v>
      </c>
      <c r="B390" s="1" t="s">
        <v>1090</v>
      </c>
      <c r="C390" s="1" t="s">
        <v>1091</v>
      </c>
      <c r="D390" s="1" t="s">
        <v>81</v>
      </c>
      <c r="E390" s="1" t="s">
        <v>1141</v>
      </c>
      <c r="F390" s="1" t="s">
        <v>1142</v>
      </c>
      <c r="G390" s="1" t="s">
        <v>36</v>
      </c>
      <c r="H390" s="1" t="s">
        <v>29</v>
      </c>
      <c r="I390" s="1" t="str">
        <f ca="1">IFERROR(__xludf.DUMMYFUNCTION("GOOGLETRANSLATE(F390, ""auto"", ""en"")
"),"Excellent lamp, lasted a year and will live longer")</f>
        <v>Excellent lamp, lasted a year and will live longer</v>
      </c>
    </row>
    <row r="391" spans="1:9" x14ac:dyDescent="0.3">
      <c r="A391" s="1" t="s">
        <v>206</v>
      </c>
      <c r="B391" s="1" t="s">
        <v>207</v>
      </c>
      <c r="C391" s="1" t="s">
        <v>1143</v>
      </c>
      <c r="D391" s="1" t="s">
        <v>39</v>
      </c>
      <c r="E391" s="1" t="s">
        <v>1144</v>
      </c>
      <c r="F391" s="1" t="s">
        <v>1145</v>
      </c>
      <c r="G391" s="1" t="s">
        <v>36</v>
      </c>
      <c r="H391" s="1" t="s">
        <v>29</v>
      </c>
      <c r="I391" s="1" t="str">
        <f ca="1">IFERROR(__xludf.DUMMYFUNCTION("GOOGLETRANSLATE(F391, ""auto"", ""en"")
"),"I've been driving with him for more than 2 years, no complaints. An excellent buffer at a relatively normal price, it's worth it, believe me. Plus I installed a Kicks amplifier and a 1.5 farat capacitor (it doesn’t need more), they work like family. I adv"&amp;"ise...")</f>
        <v>I've been driving with him for more than 2 years, no complaints. An excellent buffer at a relatively normal price, it's worth it, believe me. Plus I installed a Kicks amplifier and a 1.5 farat capacitor (it doesn’t need more), they work like family. I advise...</v>
      </c>
    </row>
    <row r="392" spans="1:9" x14ac:dyDescent="0.3">
      <c r="A392" s="1" t="s">
        <v>477</v>
      </c>
      <c r="B392" s="1" t="s">
        <v>478</v>
      </c>
      <c r="C392" s="1" t="s">
        <v>479</v>
      </c>
      <c r="D392" s="1" t="s">
        <v>52</v>
      </c>
      <c r="E392" s="1" t="s">
        <v>1051</v>
      </c>
      <c r="F392" s="1" t="s">
        <v>1146</v>
      </c>
      <c r="G392" s="1" t="s">
        <v>36</v>
      </c>
      <c r="H392" s="1" t="s">
        <v>29</v>
      </c>
      <c r="I392" s="1" t="str">
        <f ca="1">IFERROR(__xludf.DUMMYFUNCTION("GOOGLETRANSLATE(F392, ""auto"", ""en"")
"),"In each of us, by nature, cruelty is inherent; over time, morality, a certain etiquette of behavior and norms of communication in society are imposed on a person. Who didn’t like burying “firefighter beetles” alive in a matchbox during the happy times of "&amp;"childhood, crushing cockroaches, ants and other insects? ManHunt allows you to realize your wildest fantasies, the cruelty of which is hard to imagine.")</f>
        <v>In each of us, by nature, cruelty is inherent; over time, morality, a certain etiquette of behavior and norms of communication in society are imposed on a person. Who didn’t like burying “firefighter beetles” alive in a matchbox during the happy times of childhood, crushing cockroaches, ants and other insects? ManHunt allows you to realize your wildest fantasies, the cruelty of which is hard to imagine.</v>
      </c>
    </row>
    <row r="393" spans="1:9" x14ac:dyDescent="0.3">
      <c r="A393" s="1" t="s">
        <v>61</v>
      </c>
      <c r="B393" s="1" t="s">
        <v>318</v>
      </c>
      <c r="C393" s="1" t="s">
        <v>246</v>
      </c>
      <c r="D393" s="1" t="s">
        <v>1147</v>
      </c>
      <c r="E393" s="1" t="s">
        <v>1148</v>
      </c>
      <c r="F393" s="1" t="s">
        <v>1149</v>
      </c>
      <c r="G393" s="1" t="s">
        <v>36</v>
      </c>
      <c r="H393" s="1" t="s">
        <v>29</v>
      </c>
      <c r="I393" s="1" t="str">
        <f ca="1">IFERROR(__xludf.DUMMYFUNCTION("GOOGLETRANSLATE(F393, ""auto"", ""en"")
"),"This model worked for us for 6 years without any problems, including the thermostat. A very successful kettle! And only in the last couple of months it began to leak after boiling. And then the ten burnt out. At the moment I am considering the same model "&amp;"again. Since the ratio of price, quality and convenience of the handle is very good! Well, what people write about leakage and a bad regulator, I think these are isolated shortcomings! Everything needs to be changed. And without marriage, unfortunately, p"&amp;"ractically nothing happens!")</f>
        <v>This model worked for us for 6 years without any problems, including the thermostat. A very successful kettle! And only in the last couple of months it began to leak after boiling. And then the ten burnt out. At the moment I am considering the same model again. Since the ratio of price, quality and convenience of the handle is very good! Well, what people write about leakage and a bad regulator, I think these are isolated shortcomings! Everything needs to be changed. And without marriage, unfortunately, practically nothing happens!</v>
      </c>
    </row>
    <row r="394" spans="1:9" x14ac:dyDescent="0.3">
      <c r="A394" s="1" t="s">
        <v>61</v>
      </c>
      <c r="B394" s="1" t="s">
        <v>977</v>
      </c>
      <c r="C394" s="1" t="s">
        <v>63</v>
      </c>
      <c r="D394" s="1" t="s">
        <v>456</v>
      </c>
      <c r="E394" s="1" t="s">
        <v>1150</v>
      </c>
      <c r="F394" s="1" t="s">
        <v>1151</v>
      </c>
      <c r="G394" s="1" t="s">
        <v>36</v>
      </c>
      <c r="H394" s="1" t="s">
        <v>29</v>
      </c>
      <c r="I394" s="1" t="str">
        <f ca="1">IFERROR(__xludf.DUMMYFUNCTION("GOOGLETRANSLATE(F394, ""auto"", ""en"")
"),"I needed both a blender and a mixer. It took a long time to choose. I really didn’t want to buy “two boxes”. As a result, we chose this model. And they didn’t regret it! The mixer is silent (the child does not wake up), the blender is excellent (purees fo"&amp;"r the child are prepared in an instant), the chopper has replaced the grater from the kitchen forever. 5+++")</f>
        <v>I needed both a blender and a mixer. It took a long time to choose. I really didn’t want to buy “two boxes”. As a result, we chose this model. And they didn’t regret it! The mixer is silent (the child does not wake up), the blender is excellent (purees for the child are prepared in an instant), the chopper has replaced the grater from the kitchen forever. 5+++</v>
      </c>
    </row>
    <row r="395" spans="1:9" x14ac:dyDescent="0.3">
      <c r="A395" s="1" t="s">
        <v>9</v>
      </c>
      <c r="B395" s="1" t="s">
        <v>133</v>
      </c>
      <c r="C395" s="1" t="s">
        <v>151</v>
      </c>
      <c r="D395" s="1" t="s">
        <v>1152</v>
      </c>
      <c r="E395" s="1" t="s">
        <v>92</v>
      </c>
      <c r="F395" s="1" t="s">
        <v>1153</v>
      </c>
      <c r="G395" s="1" t="s">
        <v>36</v>
      </c>
      <c r="H395" s="1" t="s">
        <v>29</v>
      </c>
      <c r="I395" s="1" t="str">
        <f ca="1">IFERROR(__xludf.DUMMYFUNCTION("GOOGLETRANSLATE(F395, ""auto"", ""en"")
"),"In use for over a year. It doesn’t cause any particular complaints; it copes with its tasks with a bang. The baked goods are amazing.  Cord included, but no plug. This is normal practice for all ovens.")</f>
        <v>In use for over a year. It doesn’t cause any particular complaints; it copes with its tasks with a bang. The baked goods are amazing.  Cord included, but no plug. This is normal practice for all ovens.</v>
      </c>
    </row>
    <row r="396" spans="1:9" x14ac:dyDescent="0.3">
      <c r="A396" s="1" t="s">
        <v>9</v>
      </c>
      <c r="B396" s="1" t="s">
        <v>10</v>
      </c>
      <c r="C396" s="1" t="s">
        <v>407</v>
      </c>
      <c r="D396" s="1" t="s">
        <v>1154</v>
      </c>
      <c r="E396" s="1" t="s">
        <v>1155</v>
      </c>
      <c r="F396" s="1" t="s">
        <v>1156</v>
      </c>
      <c r="G396" s="1" t="s">
        <v>36</v>
      </c>
      <c r="H396" s="1" t="s">
        <v>29</v>
      </c>
      <c r="I396" s="1" t="str">
        <f ca="1">IFERROR(__xludf.DUMMYFUNCTION("GOOGLETRANSLATE(F396, ""auto"", ""en"")
"),"I looked at this hood at work and accidentally looked into their department when I came to Mvideo to buy a tablet. I think - wow, all the hoods around are screaming and rattling, but why is this one turned off? It turned out that it was on! The issue with"&amp;" the purchase was resolved as soon as I looked at the price tag! such a beautiful, powerful, and at the same time silent hood, and for such a price - just a “grab and run” product. Actually, that's what I did. It costs less than a tablet, but brings a lot"&amp;" of benefits. I like to smoke in the kitchen in the winter, and I constantly have to listen to my parents’ tirades about how I’m ruining not only myself, but also their health, passive smoking is also smoking, and stuff like that. I brought the hood, inst"&amp;"alling it was not a very difficult task. By the time my parents arrived, I had smoked three cigarettes, and when they came in and sniffed the air, they praised me for stopping smoking in the apartment! Well, then my mother was pleased with how the hood na"&amp;"turally removed all the smells of cooking food. Well, the soft lighting, which is installed in the hood at the rear end, generally does not turn off in the evenings; everyone likes the cozy, diffused soft light. Made in China, but you can never tell from "&amp;"it! In short, a product is a thing!")</f>
        <v>I looked at this hood at work and accidentally looked into their department when I came to Mvideo to buy a tablet. I think - wow, all the hoods around are screaming and rattling, but why is this one turned off? It turned out that it was on! The issue with the purchase was resolved as soon as I looked at the price tag! such a beautiful, powerful, and at the same time silent hood, and for such a price - just a “grab and run” product. Actually, that's what I did. It costs less than a tablet, but brings a lot of benefits. I like to smoke in the kitchen in the winter, and I constantly have to listen to my parents’ tirades about how I’m ruining not only myself, but also their health, passive smoking is also smoking, and stuff like that. I brought the hood, installing it was not a very difficult task. By the time my parents arrived, I had smoked three cigarettes, and when they came in and sniffed the air, they praised me for stopping smoking in the apartment! Well, then my mother was pleased with how the hood naturally removed all the smells of cooking food. Well, the soft lighting, which is installed in the hood at the rear end, generally does not turn off in the evenings; everyone likes the cozy, diffused soft light. Made in China, but you can never tell from it! In short, a product is a thing!</v>
      </c>
    </row>
    <row r="397" spans="1:9" x14ac:dyDescent="0.3">
      <c r="A397" s="1" t="s">
        <v>37</v>
      </c>
      <c r="B397" s="1" t="s">
        <v>536</v>
      </c>
      <c r="C397" s="1" t="s">
        <v>163</v>
      </c>
      <c r="D397" s="1" t="s">
        <v>280</v>
      </c>
      <c r="E397" s="1" t="s">
        <v>937</v>
      </c>
      <c r="F397" s="1" t="s">
        <v>1157</v>
      </c>
      <c r="G397" s="1" t="s">
        <v>36</v>
      </c>
      <c r="H397" s="1" t="s">
        <v>29</v>
      </c>
      <c r="I397" s="1" t="str">
        <f ca="1">IFERROR(__xludf.DUMMYFUNCTION("GOOGLETRANSLATE(F397, ""auto"", ""en"")
"),"A very good smart phone for the money, I’ve been using it for the 5th day now - I haven’t played enough yet. There is plenty of software, you can download licensed music for free for a year without restrictions as a gift. Satellite navigation. Battery 132"&amp;"0. In short, super. I'm happy.")</f>
        <v>A very good smart phone for the money, I’ve been using it for the 5th day now - I haven’t played enough yet. There is plenty of software, you can download licensed music for free for a year without restrictions as a gift. Satellite navigation. Battery 1320. In short, super. I'm happy.</v>
      </c>
    </row>
    <row r="398" spans="1:9" x14ac:dyDescent="0.3">
      <c r="A398" s="1" t="s">
        <v>61</v>
      </c>
      <c r="B398" s="1" t="s">
        <v>977</v>
      </c>
      <c r="C398" s="1" t="s">
        <v>63</v>
      </c>
      <c r="D398" s="1" t="s">
        <v>1158</v>
      </c>
      <c r="E398" s="1" t="s">
        <v>379</v>
      </c>
      <c r="F398" s="1" t="s">
        <v>1159</v>
      </c>
      <c r="G398" s="1" t="s">
        <v>36</v>
      </c>
      <c r="H398" s="1" t="s">
        <v>29</v>
      </c>
      <c r="I398" s="1" t="str">
        <f ca="1">IFERROR(__xludf.DUMMYFUNCTION("GOOGLETRANSLATE(F398, ""auto"", ""en"")
"),"very good mixer. beats egg whites perfectly and makes sponge cake.")</f>
        <v>very good mixer. beats egg whites perfectly and makes sponge cake.</v>
      </c>
    </row>
    <row r="399" spans="1:9" x14ac:dyDescent="0.3">
      <c r="A399" s="1" t="s">
        <v>17</v>
      </c>
      <c r="B399" s="1" t="s">
        <v>18</v>
      </c>
      <c r="C399" s="1" t="s">
        <v>243</v>
      </c>
      <c r="D399" s="1" t="s">
        <v>1160</v>
      </c>
      <c r="E399" s="1" t="s">
        <v>1161</v>
      </c>
      <c r="F399" s="1" t="s">
        <v>1162</v>
      </c>
      <c r="G399" s="1" t="s">
        <v>36</v>
      </c>
      <c r="H399" s="1" t="s">
        <v>29</v>
      </c>
      <c r="I399" s="1" t="str">
        <f ca="1">IFERROR(__xludf.DUMMYFUNCTION("GOOGLETRANSLATE(F399, ""auto"", ""en"")
"),"It worked for me for 5 years without problems, now the heating element has burned out, I’ll buy the same one, one minus is noisy! For this price, this is the best, minimum electronics, reliable.")</f>
        <v>It worked for me for 5 years without problems, now the heating element has burned out, I’ll buy the same one, one minus is noisy! For this price, this is the best, minimum electronics, reliable.</v>
      </c>
    </row>
    <row r="400" spans="1:9" x14ac:dyDescent="0.3">
      <c r="A400" s="1" t="s">
        <v>78</v>
      </c>
      <c r="B400" s="1" t="s">
        <v>1163</v>
      </c>
      <c r="C400" s="1" t="s">
        <v>80</v>
      </c>
      <c r="D400" s="1" t="s">
        <v>1119</v>
      </c>
      <c r="E400" s="1" t="s">
        <v>1164</v>
      </c>
      <c r="F400" s="1" t="s">
        <v>1165</v>
      </c>
      <c r="G400" s="1" t="s">
        <v>36</v>
      </c>
      <c r="H400" s="1" t="s">
        <v>29</v>
      </c>
      <c r="I400" s="1" t="str">
        <f ca="1">IFERROR(__xludf.DUMMYFUNCTION("GOOGLETRANSLATE(F400, ""auto"", ""en"")
"),"This microwave is good for students. Heats up quickly, is easy to use and not expensive.")</f>
        <v>This microwave is good for students. Heats up quickly, is easy to use and not expensive.</v>
      </c>
    </row>
    <row r="401" spans="1:9" x14ac:dyDescent="0.3">
      <c r="A401" s="1" t="s">
        <v>61</v>
      </c>
      <c r="B401" s="1" t="s">
        <v>726</v>
      </c>
      <c r="C401" s="1" t="s">
        <v>74</v>
      </c>
      <c r="D401" s="1" t="s">
        <v>1166</v>
      </c>
      <c r="E401" s="1" t="s">
        <v>1167</v>
      </c>
      <c r="F401" s="1" t="s">
        <v>1168</v>
      </c>
      <c r="G401" s="1" t="s">
        <v>36</v>
      </c>
      <c r="H401" s="1" t="s">
        <v>29</v>
      </c>
      <c r="I401" s="1" t="str">
        <f ca="1">IFERROR(__xludf.DUMMYFUNCTION("GOOGLETRANSLATE(F401, ""auto"", ""en"")
"),"The oven is wonderful, I tried many recipes - I liked them all very much, but for the crust to be very dark, tasty and crispy, you need to set it to color 3 and after cooking, put it on the wire rack and cover with a towel, but it works out great without "&amp;"it! no extra time needed! only if you chose the wrong program and it’s not ready, then install it!")</f>
        <v>The oven is wonderful, I tried many recipes - I liked them all very much, but for the crust to be very dark, tasty and crispy, you need to set it to color 3 and after cooking, put it on the wire rack and cover with a towel, but it works out great without it! no extra time needed! only if you chose the wrong program and it’s not ready, then install it!</v>
      </c>
    </row>
    <row r="402" spans="1:9" x14ac:dyDescent="0.3">
      <c r="A402" s="1" t="s">
        <v>17</v>
      </c>
      <c r="B402" s="1" t="s">
        <v>18</v>
      </c>
      <c r="C402" s="1" t="s">
        <v>19</v>
      </c>
      <c r="D402" s="1" t="s">
        <v>117</v>
      </c>
      <c r="E402" s="1" t="s">
        <v>1169</v>
      </c>
      <c r="F402" s="1" t="s">
        <v>1170</v>
      </c>
      <c r="G402" s="1" t="s">
        <v>36</v>
      </c>
      <c r="H402" s="1" t="s">
        <v>29</v>
      </c>
      <c r="I402" s="1" t="str">
        <f ca="1">IFERROR(__xludf.DUMMYFUNCTION("GOOGLETRANSLATE(F402, ""auto"", ""en"")
"),"A very good purchase in terms of price-quality ratio. It has been working for me for 2 weeks, almost without a break. It makes moderate noise, there is not much vibration, it erases acceptable. If you want a good, non-capricious machine, this is it. Every"&amp;" machine has noise and vibration. Overall I'm happy. For a machine at this price I give it a 5!")</f>
        <v>A very good purchase in terms of price-quality ratio. It has been working for me for 2 weeks, almost without a break. It makes moderate noise, there is not much vibration, it erases acceptable. If you want a good, non-capricious machine, this is it. Every machine has noise and vibration. Overall I'm happy. For a machine at this price I give it a 5!</v>
      </c>
    </row>
    <row r="403" spans="1:9" x14ac:dyDescent="0.3">
      <c r="A403" s="1" t="s">
        <v>61</v>
      </c>
      <c r="B403" s="1" t="s">
        <v>73</v>
      </c>
      <c r="C403" s="1" t="s">
        <v>146</v>
      </c>
      <c r="D403" s="1" t="s">
        <v>1171</v>
      </c>
      <c r="E403" s="1" t="s">
        <v>1172</v>
      </c>
      <c r="F403" s="1" t="s">
        <v>1173</v>
      </c>
      <c r="G403" s="1" t="s">
        <v>36</v>
      </c>
      <c r="H403" s="1" t="s">
        <v>29</v>
      </c>
      <c r="I403" s="1" t="str">
        <f ca="1">IFERROR(__xludf.DUMMYFUNCTION("GOOGLETRANSLATE(F403, ""auto"", ""en"")
"),"I’m happy with the purchase, I called the store for a long time and looked for reviews and decided that this one is the most productive, plus the price-quality ratio. Grinds very well. Doesn't fuss with veins. There is a fairly wide hole where we place th"&amp;"e pieces - there is no need to finely chop the meat. Convenient storage of attachments and cord. For a meat grinder of this class and this size, the noise level during grinding pleasantly amazes with its delicacy; I expected it to roar like a beast. Previ"&amp;"ously, I used a BROWN, an ordinary household meat grinder, so it roared much louder and suffered from every stringy piece.")</f>
        <v>I’m happy with the purchase, I called the store for a long time and looked for reviews and decided that this one is the most productive, plus the price-quality ratio. Grinds very well. Doesn't fuss with veins. There is a fairly wide hole where we place the pieces - there is no need to finely chop the meat. Convenient storage of attachments and cord. For a meat grinder of this class and this size, the noise level during grinding pleasantly amazes with its delicacy; I expected it to roar like a beast. Previously, I used a BROWN, an ordinary household meat grinder, so it roared much louder and suffered from every stringy piece.</v>
      </c>
    </row>
    <row r="404" spans="1:9" x14ac:dyDescent="0.3">
      <c r="A404" s="1" t="s">
        <v>1174</v>
      </c>
      <c r="B404" s="1" t="s">
        <v>1175</v>
      </c>
      <c r="C404" s="1" t="s">
        <v>1176</v>
      </c>
      <c r="D404" s="1" t="s">
        <v>483</v>
      </c>
      <c r="E404" s="1" t="s">
        <v>1177</v>
      </c>
      <c r="F404" s="1" t="s">
        <v>1178</v>
      </c>
      <c r="G404" s="1" t="s">
        <v>36</v>
      </c>
      <c r="H404" s="1" t="s">
        <v>29</v>
      </c>
      <c r="I404" s="1" t="str">
        <f ca="1">IFERROR(__xludf.DUMMYFUNCTION("GOOGLETRANSLATE(F404, ""auto"", ""en"")
"),"The case is excellent! Fits tight like a glove!!! Take it - you won't regret it!!!")</f>
        <v>The case is excellent! Fits tight like a glove!!! Take it - you won't regret it!!!</v>
      </c>
    </row>
    <row r="405" spans="1:9" x14ac:dyDescent="0.3">
      <c r="A405" s="1" t="s">
        <v>149</v>
      </c>
      <c r="B405" s="1" t="s">
        <v>423</v>
      </c>
      <c r="C405" s="1" t="s">
        <v>531</v>
      </c>
      <c r="D405" s="1" t="s">
        <v>75</v>
      </c>
      <c r="E405" s="1" t="s">
        <v>1179</v>
      </c>
      <c r="F405" s="1" t="s">
        <v>1180</v>
      </c>
      <c r="G405" s="1" t="s">
        <v>36</v>
      </c>
      <c r="H405" s="1" t="s">
        <v>29</v>
      </c>
      <c r="I405" s="1" t="str">
        <f ca="1">IFERROR(__xludf.DUMMYFUNCTION("GOOGLETRANSLATE(F405, ""auto"", ""en"")
"),"Bought it yesterday and tried all the features right away! Laminate cleans perfectly, but linoleum not so much! It doesn’t spoil the overall picture, we’re happy with the purchase!")</f>
        <v>Bought it yesterday and tried all the features right away! Laminate cleans perfectly, but linoleum not so much! It doesn’t spoil the overall picture, we’re happy with the purchase!</v>
      </c>
    </row>
    <row r="406" spans="1:9" x14ac:dyDescent="0.3">
      <c r="A406" s="1" t="s">
        <v>120</v>
      </c>
      <c r="B406" s="1" t="s">
        <v>126</v>
      </c>
      <c r="C406" s="1" t="s">
        <v>122</v>
      </c>
      <c r="D406" s="1" t="s">
        <v>171</v>
      </c>
      <c r="E406" s="1" t="s">
        <v>1181</v>
      </c>
      <c r="F406" s="1" t="s">
        <v>1182</v>
      </c>
      <c r="G406" s="1" t="s">
        <v>36</v>
      </c>
      <c r="H406" s="1" t="s">
        <v>29</v>
      </c>
      <c r="I406" s="1" t="str">
        <f ca="1">IFERROR(__xludf.DUMMYFUNCTION("GOOGLETRANSLATE(F406, ""auto"", ""en"")
"),"I bought a TV as a New Year's gift. I'm 100% happy with everything, only the glare is a little annoying when the room is bright. Excellent quality for both cable television (analog) and DVD, etc. Soft colors. The sound is good for built-in speakers. Assem"&amp;"bly in the Czech Republic!!! 3 year warranty!!! I recommend it to everyone.")</f>
        <v>I bought a TV as a New Year's gift. I'm 100% happy with everything, only the glare is a little annoying when the room is bright. Excellent quality for both cable television (analog) and DVD, etc. Soft colors. The sound is good for built-in speakers. Assembly in the Czech Republic!!! 3 year warranty!!! I recommend it to everyone.</v>
      </c>
    </row>
    <row r="407" spans="1:9" x14ac:dyDescent="0.3">
      <c r="A407" s="1" t="s">
        <v>169</v>
      </c>
      <c r="B407" s="1" t="s">
        <v>170</v>
      </c>
      <c r="C407" s="1" t="s">
        <v>171</v>
      </c>
      <c r="D407" s="1" t="s">
        <v>1183</v>
      </c>
      <c r="E407" s="1" t="s">
        <v>822</v>
      </c>
      <c r="F407" s="1" t="s">
        <v>1184</v>
      </c>
      <c r="G407" s="1" t="s">
        <v>28</v>
      </c>
      <c r="H407" s="1" t="s">
        <v>29</v>
      </c>
      <c r="I407" s="1" t="str">
        <f ca="1">IFERROR(__xludf.DUMMYFUNCTION("GOOGLETRANSLATE(F407, ""auto"", ""en"")
"),"I recently purchased these headphones.  I was pleased with the good design, as well as the very soft silicone wire. Low frequencies up to 35Hz are reproduced quite well, but understated. Starting from 60Hz, up to 17-18 kHz the sound is good, crystal clear"&amp;", almost linear. Sound insulation is normal, I think it’s just right for the metro (at an average volume level). The disadvantage is that any vibration is transmitted through the wire to the earphone. The place where the wire branches and also enters the "&amp;"earphone is not trustworthy. Overall rating 4 out of 5. For this price category, they completely pay for themselves.")</f>
        <v>I recently purchased these headphones.  I was pleased with the good design, as well as the very soft silicone wire. Low frequencies up to 35Hz are reproduced quite well, but understated. Starting from 60Hz, up to 17-18 kHz the sound is good, crystal clear, almost linear. Sound insulation is normal, I think it’s just right for the metro (at an average volume level). The disadvantage is that any vibration is transmitted through the wire to the earphone. The place where the wire branches and also enters the earphone is not trustworthy. Overall rating 4 out of 5. For this price category, they completely pay for themselves.</v>
      </c>
    </row>
    <row r="408" spans="1:9" x14ac:dyDescent="0.3">
      <c r="A408" s="1" t="s">
        <v>9</v>
      </c>
      <c r="B408" s="1" t="s">
        <v>133</v>
      </c>
      <c r="C408" s="1" t="s">
        <v>159</v>
      </c>
      <c r="D408" s="1" t="s">
        <v>166</v>
      </c>
      <c r="E408" s="1" t="s">
        <v>1185</v>
      </c>
      <c r="F408" s="1" t="s">
        <v>1186</v>
      </c>
      <c r="G408" s="1" t="s">
        <v>36</v>
      </c>
      <c r="H408" s="1" t="s">
        <v>29</v>
      </c>
      <c r="I408" s="1" t="str">
        <f ca="1">IFERROR(__xludf.DUMMYFUNCTION("GOOGLETRANSLATE(F408, ""auto"", ""en"")
"),"We also purchased this oven, partly chose it based on reviews on the website, and in principle we are happy with the oven. The only thing is that we haven’t figured out all the functions yet.")</f>
        <v>We also purchased this oven, partly chose it based on reviews on the website, and in principle we are happy with the oven. The only thing is that we haven’t figured out all the functions yet.</v>
      </c>
    </row>
    <row r="409" spans="1:9" x14ac:dyDescent="0.3">
      <c r="A409" s="1" t="s">
        <v>149</v>
      </c>
      <c r="B409" s="1" t="s">
        <v>155</v>
      </c>
      <c r="C409" s="1" t="s">
        <v>1187</v>
      </c>
      <c r="D409" s="1" t="s">
        <v>1188</v>
      </c>
      <c r="E409" s="1" t="s">
        <v>405</v>
      </c>
      <c r="F409" s="1" t="s">
        <v>1189</v>
      </c>
      <c r="G409" s="1" t="s">
        <v>36</v>
      </c>
      <c r="H409" s="1" t="s">
        <v>29</v>
      </c>
      <c r="I409" s="1" t="str">
        <f ca="1">IFERROR(__xludf.DUMMYFUNCTION("GOOGLETRANSLATE(F409, ""auto"", ""en"")
"),"I bought it yesterday and immediately started cleaning!! Great vacuum cleaner!! Excellent power, cleans efficiently!  Carpets, furniture, laminate, tiles! everything is just perfect!! I have long hair, it constantly climbs, so it constantly accumulates on"&amp;" the carpets! Not a single hair after cleaning!!!! At first I wanted to buy a detergent (the price is the same), but the consultant dissuaded me and suggested this one (although I had been looking at it for a long time, I even wanted to buy it, but for so"&amp;"me reason I continued to use the old one!).  The price matches the quality! Very satisfied!!!!")</f>
        <v>I bought it yesterday and immediately started cleaning!! Great vacuum cleaner!! Excellent power, cleans efficiently!  Carpets, furniture, laminate, tiles! everything is just perfect!! I have long hair, it constantly climbs, so it constantly accumulates on the carpets! Not a single hair after cleaning!!!! At first I wanted to buy a detergent (the price is the same), but the consultant dissuaded me and suggested this one (although I had been looking at it for a long time, I even wanted to buy it, but for some reason I continued to use the old one!).  The price matches the quality! Very satisfied!!!!</v>
      </c>
    </row>
    <row r="410" spans="1:9" x14ac:dyDescent="0.3">
      <c r="A410" s="1" t="s">
        <v>120</v>
      </c>
      <c r="B410" s="1" t="s">
        <v>126</v>
      </c>
      <c r="C410" s="1" t="s">
        <v>151</v>
      </c>
      <c r="D410" s="1" t="s">
        <v>46</v>
      </c>
      <c r="E410" s="1" t="s">
        <v>1190</v>
      </c>
      <c r="F410" s="1" t="s">
        <v>1191</v>
      </c>
      <c r="G410" s="1" t="s">
        <v>36</v>
      </c>
      <c r="H410" s="1" t="s">
        <v>29</v>
      </c>
      <c r="I410" s="1" t="str">
        <f ca="1">IFERROR(__xludf.DUMMYFUNCTION("GOOGLETRANSLATE(F410, ""auto"", ""en"")
"),"Cool site!...thank you all!..we recently bought ourselves such a TV...everything is great, but it was annoying that it turned on and off!...but thanks to Alexey’s advice, everything was fixed!..thank you!....very happy with the TV!")</f>
        <v>Cool site!...thank you all!..we recently bought ourselves such a TV...everything is great, but it was annoying that it turned on and off!...but thanks to Alexey’s advice, everything was fixed!..thank you!....very happy with the TV!</v>
      </c>
    </row>
    <row r="411" spans="1:9" x14ac:dyDescent="0.3">
      <c r="A411" s="1" t="s">
        <v>30</v>
      </c>
      <c r="B411" s="1" t="s">
        <v>50</v>
      </c>
      <c r="C411" s="1" t="s">
        <v>32</v>
      </c>
      <c r="D411" s="1" t="s">
        <v>232</v>
      </c>
      <c r="E411" s="1" t="s">
        <v>971</v>
      </c>
      <c r="F411" s="1" t="s">
        <v>1192</v>
      </c>
      <c r="G411" s="1" t="s">
        <v>36</v>
      </c>
      <c r="H411" s="1" t="s">
        <v>29</v>
      </c>
      <c r="I411" s="1" t="str">
        <f ca="1">IFERROR(__xludf.DUMMYFUNCTION("GOOGLETRANSLATE(F411, ""auto"", ""en"")
"),"Support for Acer laptops here http://www.acer.ru We go to service and support, then drivers and utilities, then select Notebook, then Aspire, then Acer Aspire 8942G (Aspire 8942G &lt; Aspire &lt; Notebook) of course there is only support for Windows 7 32-64 bit"&amp;" all versions. There you will find utilities, drivers, new versions Bios, packs, documentation. Everything is intuitive, clear, simpler and the manufacturer couldn’t be more clear in this regard. If this is not enough, there are many third-party sites on "&amp;"the Internet with drivers for laptops for various OSes.")</f>
        <v>Support for Acer laptops here http://www.acer.ru We go to service and support, then drivers and utilities, then select Notebook, then Aspire, then Acer Aspire 8942G (Aspire 8942G &lt; Aspire &lt; Notebook) of course there is only support for Windows 7 32-64 bit all versions. There you will find utilities, drivers, new versions Bios, packs, documentation. Everything is intuitive, clear, simpler and the manufacturer couldn’t be more clear in this regard. If this is not enough, there are many third-party sites on the Internet with drivers for laptops for various OSes.</v>
      </c>
    </row>
    <row r="412" spans="1:9" x14ac:dyDescent="0.3">
      <c r="A412" s="1" t="s">
        <v>169</v>
      </c>
      <c r="B412" s="1" t="s">
        <v>170</v>
      </c>
      <c r="C412" s="1" t="s">
        <v>193</v>
      </c>
      <c r="D412" s="1" t="s">
        <v>1193</v>
      </c>
      <c r="E412" s="1" t="s">
        <v>841</v>
      </c>
      <c r="F412" s="1" t="s">
        <v>1194</v>
      </c>
      <c r="G412" s="1" t="s">
        <v>36</v>
      </c>
      <c r="H412" s="1" t="s">
        <v>29</v>
      </c>
      <c r="I412" s="1" t="str">
        <f ca="1">IFERROR(__xludf.DUMMYFUNCTION("GOOGLETRANSLATE(F412, ""auto"", ""en"")
"),"excellent headphones for the price for both music and movies")</f>
        <v>excellent headphones for the price for both music and movies</v>
      </c>
    </row>
    <row r="413" spans="1:9" x14ac:dyDescent="0.3">
      <c r="A413" s="1" t="s">
        <v>149</v>
      </c>
      <c r="B413" s="1" t="s">
        <v>155</v>
      </c>
      <c r="C413" s="1" t="s">
        <v>80</v>
      </c>
      <c r="D413" s="1" t="s">
        <v>64</v>
      </c>
      <c r="E413" s="1" t="s">
        <v>1195</v>
      </c>
      <c r="F413" s="1" t="s">
        <v>1196</v>
      </c>
      <c r="G413" s="1" t="s">
        <v>36</v>
      </c>
      <c r="H413" s="1" t="s">
        <v>29</v>
      </c>
      <c r="I413" s="1" t="str">
        <f ca="1">IFERROR(__xludf.DUMMYFUNCTION("GOOGLETRANSLATE(F413, ""auto"", ""en"")
"),"We bought an LG vacuum cleaner to replace the old one, even though it still didn’t work, but my soul wanted something new, beautiful)) What a surprise I was when I started vacuuming, it felt like I wasn’t vacuuming with the old one at all, but was just mo"&amp;"ving it over the carpet. It sucks dust so strongly that it lifts the carpet off the floor. I simply need such power, because... There are pets in the house, as well as an allergy sufferer. I also liked the cleanliness of the air and the absence of the sme"&amp;"ll of burnt dust; all these disadvantages are not present here.  The vacuum cleaner fully met my expectations, I didn’t find any cons, I’m very pleased, LG didn’t let me down!")</f>
        <v>We bought an LG vacuum cleaner to replace the old one, even though it still didn’t work, but my soul wanted something new, beautiful)) What a surprise I was when I started vacuuming, it felt like I wasn’t vacuuming with the old one at all, but was just moving it over the carpet. It sucks dust so strongly that it lifts the carpet off the floor. I simply need such power, because... There are pets in the house, as well as an allergy sufferer. I also liked the cleanliness of the air and the absence of the smell of burnt dust; all these disadvantages are not present here.  The vacuum cleaner fully met my expectations, I didn’t find any cons, I’m very pleased, LG didn’t let me down!</v>
      </c>
    </row>
    <row r="414" spans="1:9" x14ac:dyDescent="0.3">
      <c r="A414" s="1" t="s">
        <v>61</v>
      </c>
      <c r="B414" s="1" t="s">
        <v>977</v>
      </c>
      <c r="C414" s="1" t="s">
        <v>63</v>
      </c>
      <c r="D414" s="1" t="s">
        <v>695</v>
      </c>
      <c r="E414" s="1" t="s">
        <v>1197</v>
      </c>
      <c r="F414" s="1" t="s">
        <v>1198</v>
      </c>
      <c r="G414" s="1" t="s">
        <v>36</v>
      </c>
      <c r="H414" s="1" t="s">
        <v>29</v>
      </c>
      <c r="I414" s="1" t="str">
        <f ca="1">IFERROR(__xludf.DUMMYFUNCTION("GOOGLETRANSLATE(F414, ""auto"", ""en"")
"),"I've been using it for 4 months. Great blender.   There are two minor drawbacks: - there is no wall holder;  - no whisk.")</f>
        <v>I've been using it for 4 months. Great blender.   There are two minor drawbacks: - there is no wall holder;  - no whisk.</v>
      </c>
    </row>
    <row r="415" spans="1:9" x14ac:dyDescent="0.3">
      <c r="A415" s="1" t="s">
        <v>30</v>
      </c>
      <c r="B415" s="1" t="s">
        <v>50</v>
      </c>
      <c r="C415" s="1" t="s">
        <v>51</v>
      </c>
      <c r="D415" s="1" t="s">
        <v>1199</v>
      </c>
      <c r="E415" s="1" t="s">
        <v>1172</v>
      </c>
      <c r="F415" s="1" t="s">
        <v>1200</v>
      </c>
      <c r="G415" s="1" t="s">
        <v>36</v>
      </c>
      <c r="H415" s="1" t="s">
        <v>29</v>
      </c>
      <c r="I415" s="1" t="str">
        <f ca="1">IFERROR(__xludf.DUMMYFUNCTION("GOOGLETRANSLATE(F415, ""auto"", ""en"")
"),"The device is good and reliable, it has been working for me for six months without glitches. Children play any of my games, it plays them without problems, encodes music and video quickly, without loss of quality. It is cheap, but impressively equipped. T"&amp;"hank you Acer for a great laptop.")</f>
        <v>The device is good and reliable, it has been working for me for six months without glitches. Children play any of my games, it plays them without problems, encodes music and video quickly, without loss of quality. It is cheap, but impressively equipped. Thank you Acer for a great laptop.</v>
      </c>
    </row>
    <row r="416" spans="1:9" x14ac:dyDescent="0.3">
      <c r="A416" s="1" t="s">
        <v>169</v>
      </c>
      <c r="B416" s="1" t="s">
        <v>170</v>
      </c>
      <c r="C416" s="1" t="s">
        <v>193</v>
      </c>
      <c r="D416" s="1" t="s">
        <v>114</v>
      </c>
      <c r="E416" s="1" t="s">
        <v>1201</v>
      </c>
      <c r="F416" s="1" t="s">
        <v>1202</v>
      </c>
      <c r="G416" s="1" t="s">
        <v>36</v>
      </c>
      <c r="H416" s="1" t="s">
        <v>29</v>
      </c>
      <c r="I416" s="1" t="str">
        <f ca="1">IFERROR(__xludf.DUMMYFUNCTION("GOOGLETRANSLATE(F416, ""auto"", ""en"")
"),"I was very pleased with the sound! I listen to heavy music in the style of children, grind, etc. All frequencies are perfectly supported, as already mentioned, every little thing can be heard.   The build quality is similar to 5, they fell and fell consta"&amp;"ntly, I didn’t take much care of them, but despite this - only a couple of scratches.")</f>
        <v>I was very pleased with the sound! I listen to heavy music in the style of children, grind, etc. All frequencies are perfectly supported, as already mentioned, every little thing can be heard.   The build quality is similar to 5, they fell and fell constantly, I didn’t take much care of them, but despite this - only a couple of scratches.</v>
      </c>
    </row>
    <row r="417" spans="1:9" x14ac:dyDescent="0.3">
      <c r="A417" s="1" t="s">
        <v>67</v>
      </c>
      <c r="B417" s="1" t="s">
        <v>68</v>
      </c>
      <c r="C417" s="1" t="s">
        <v>246</v>
      </c>
      <c r="D417" s="1" t="s">
        <v>474</v>
      </c>
      <c r="E417" s="1" t="s">
        <v>1203</v>
      </c>
      <c r="F417" s="1" t="s">
        <v>1204</v>
      </c>
      <c r="G417" s="1" t="s">
        <v>36</v>
      </c>
      <c r="H417" s="1" t="s">
        <v>29</v>
      </c>
      <c r="I417" s="1" t="str">
        <f ca="1">IFERROR(__xludf.DUMMYFUNCTION("GOOGLETRANSLATE(F417, ""auto"", ""en"")
"),"Over the past 13 years, I have already purchased my third Tefal iron. I wouldn't exchange it for any other. I iron everything on my face with steam, from my blouse to my jeans. Great ironing, easy to clean. And if someone has rusty drops, then you need to"&amp;" pour boiled water into the tank, or even better, distilled water, so that there is no scale. I'm pouring hot water from the kettle!!! I recommend!!!")</f>
        <v>Over the past 13 years, I have already purchased my third Tefal iron. I wouldn't exchange it for any other. I iron everything on my face with steam, from my blouse to my jeans. Great ironing, easy to clean. And if someone has rusty drops, then you need to pour boiled water into the tank, or even better, distilled water, so that there is no scale. I'm pouring hot water from the kettle!!! I recommend!!!</v>
      </c>
    </row>
    <row r="418" spans="1:9" x14ac:dyDescent="0.3">
      <c r="A418" s="1" t="s">
        <v>120</v>
      </c>
      <c r="B418" s="1" t="s">
        <v>1205</v>
      </c>
      <c r="C418" s="1" t="s">
        <v>1206</v>
      </c>
      <c r="D418" s="1" t="s">
        <v>127</v>
      </c>
      <c r="E418" s="1" t="s">
        <v>1207</v>
      </c>
      <c r="F418" s="1" t="s">
        <v>1208</v>
      </c>
      <c r="G418" s="1" t="s">
        <v>36</v>
      </c>
      <c r="H418" s="1" t="s">
        <v>29</v>
      </c>
      <c r="I418" s="1" t="str">
        <f ca="1">IFERROR(__xludf.DUMMYFUNCTION("GOOGLETRANSLATE(F418, ""auto"", ""en"")
"),"Tricolor is a very good solution for those whose simple antennas do not show well. It’s not difficult to install it yourself (at the dacha); setup takes a couple of minutes (using SatFinder - 500 rubles).")</f>
        <v>Tricolor is a very good solution for those whose simple antennas do not show well. It’s not difficult to install it yourself (at the dacha); setup takes a couple of minutes (using SatFinder - 500 rubles).</v>
      </c>
    </row>
    <row r="419" spans="1:9" x14ac:dyDescent="0.3">
      <c r="A419" s="1" t="s">
        <v>105</v>
      </c>
      <c r="B419" s="1" t="s">
        <v>106</v>
      </c>
      <c r="C419" s="1" t="s">
        <v>1209</v>
      </c>
      <c r="D419" s="1" t="s">
        <v>86</v>
      </c>
      <c r="E419" s="1" t="s">
        <v>1210</v>
      </c>
      <c r="F419" s="1" t="s">
        <v>1211</v>
      </c>
      <c r="G419" s="1" t="s">
        <v>36</v>
      </c>
      <c r="H419" s="1" t="s">
        <v>29</v>
      </c>
      <c r="I419" s="1" t="str">
        <f ca="1">IFERROR(__xludf.DUMMYFUNCTION("GOOGLETRANSLATE(F419, ""auto"", ""en"")
"),"music 5 video 5 radio 5 games 4- (I wanted more) TV 4+ (some interference)) voice recorder 3 or 5 too sensitive (average 4) price 5 total 5")</f>
        <v>music 5 video 5 radio 5 games 4- (I wanted more) TV 4+ (some interference)) voice recorder 3 or 5 too sensitive (average 4) price 5 total 5</v>
      </c>
    </row>
    <row r="420" spans="1:9" x14ac:dyDescent="0.3">
      <c r="A420" s="1" t="s">
        <v>43</v>
      </c>
      <c r="B420" s="1" t="s">
        <v>502</v>
      </c>
      <c r="C420" s="1" t="s">
        <v>151</v>
      </c>
      <c r="D420" s="1" t="s">
        <v>152</v>
      </c>
      <c r="E420" s="1" t="s">
        <v>1212</v>
      </c>
      <c r="F420" s="1" t="s">
        <v>1213</v>
      </c>
      <c r="G420" s="1" t="s">
        <v>15</v>
      </c>
      <c r="H420" s="1" t="s">
        <v>16</v>
      </c>
      <c r="I420" s="1" t="str">
        <f ca="1">IFERROR(__xludf.DUMMYFUNCTION("GOOGLETRANSLATE(F420, ""auto"", ""en"")
"),"Before buying, I read reviews and often came across the noise of the external unit, I ignored it, bought into the power and speed of cooling, but after installation, immediately after turning it on, I almost fainted - the strongest vibration and hum was l"&amp;"ike in a corn plane. You have to believe the reviews, many people think that they were ordered... but what’s the point of trashing one specific model, if all the equipment were Samsung, then it’s clear - anti-advertising. In general, I like Samsungs.")</f>
        <v>Before buying, I read reviews and often came across the noise of the external unit, I ignored it, bought into the power and speed of cooling, but after installation, immediately after turning it on, I almost fainted - the strongest vibration and hum was like in a corn plane. You have to believe the reviews, many people think that they were ordered... but what’s the point of trashing one specific model, if all the equipment were Samsung, then it’s clear - anti-advertising. In general, I like Samsungs.</v>
      </c>
    </row>
    <row r="421" spans="1:9" x14ac:dyDescent="0.3">
      <c r="A421" s="1" t="s">
        <v>37</v>
      </c>
      <c r="B421" s="1" t="s">
        <v>38</v>
      </c>
      <c r="C421" s="1" t="s">
        <v>151</v>
      </c>
      <c r="D421" s="1" t="s">
        <v>172</v>
      </c>
      <c r="E421" s="1" t="s">
        <v>824</v>
      </c>
      <c r="F421" s="1" t="s">
        <v>1214</v>
      </c>
      <c r="G421" s="1" t="s">
        <v>36</v>
      </c>
      <c r="H421" s="1" t="s">
        <v>29</v>
      </c>
      <c r="I421" s="1" t="str">
        <f ca="1">IFERROR(__xludf.DUMMYFUNCTION("GOOGLETRANSLATE(F421, ""auto"", ""en"")
"),"Ksenia Have you tried reading the instructions?? It's funny to read reviews like yours.  The sound in the headphones is excellent, both the radio and the player, the player turns on itself after a conversation.")</f>
        <v>Ksenia Have you tried reading the instructions?? It's funny to read reviews like yours.  The sound in the headphones is excellent, both the radio and the player, the player turns on itself after a conversation.</v>
      </c>
    </row>
    <row r="422" spans="1:9" x14ac:dyDescent="0.3">
      <c r="A422" s="1" t="s">
        <v>211</v>
      </c>
      <c r="B422" s="1" t="s">
        <v>265</v>
      </c>
      <c r="C422" s="1" t="s">
        <v>266</v>
      </c>
      <c r="D422" s="1" t="s">
        <v>1215</v>
      </c>
      <c r="E422" s="1" t="s">
        <v>1216</v>
      </c>
      <c r="F422" s="1" t="s">
        <v>1217</v>
      </c>
      <c r="G422" s="1" t="s">
        <v>36</v>
      </c>
      <c r="H422" s="1" t="s">
        <v>29</v>
      </c>
      <c r="I422" s="1" t="str">
        <f ca="1">IFERROR(__xludf.DUMMYFUNCTION("GOOGLETRANSLATE(F422, ""auto"", ""en"")
"),"At first they bought one for my dad to remove hair from his nose and ears. And then I bought one for myself - a cool thing if you sometimes have to cut or pull out hairs in hard-to-reach places :-)")</f>
        <v>At first they bought one for my dad to remove hair from his nose and ears. And then I bought one for myself - a cool thing if you sometimes have to cut or pull out hairs in hard-to-reach places :-)</v>
      </c>
    </row>
    <row r="423" spans="1:9" x14ac:dyDescent="0.3">
      <c r="A423" s="1" t="s">
        <v>43</v>
      </c>
      <c r="B423" s="1" t="s">
        <v>502</v>
      </c>
      <c r="C423" s="1" t="s">
        <v>151</v>
      </c>
      <c r="D423" s="1" t="s">
        <v>1218</v>
      </c>
      <c r="E423" s="1" t="s">
        <v>1219</v>
      </c>
      <c r="F423" s="1" t="s">
        <v>1220</v>
      </c>
      <c r="G423" s="1" t="s">
        <v>36</v>
      </c>
      <c r="H423" s="1" t="s">
        <v>29</v>
      </c>
      <c r="I423" s="1" t="str">
        <f ca="1">IFERROR(__xludf.DUMMYFUNCTION("GOOGLETRANSLATE(F423, ""auto"", ""en"")
"),"Installed today. Room 18 sq/m. The air conditioner cooled down to a temperature of 20 in 2 hours. And it was 30. The noise is quite acceptable. I was pleased that the guys who installed it said that they had practically no refusals for Samsung. Well, over"&amp;"all I’m very pleased.")</f>
        <v>Installed today. Room 18 sq/m. The air conditioner cooled down to a temperature of 20 in 2 hours. And it was 30. The noise is quite acceptable. I was pleased that the guys who installed it said that they had practically no refusals for Samsung. Well, overall I’m very pleased.</v>
      </c>
    </row>
    <row r="424" spans="1:9" x14ac:dyDescent="0.3">
      <c r="A424" s="1" t="s">
        <v>61</v>
      </c>
      <c r="B424" s="1" t="s">
        <v>977</v>
      </c>
      <c r="C424" s="1" t="s">
        <v>101</v>
      </c>
      <c r="D424" s="1" t="s">
        <v>39</v>
      </c>
      <c r="E424" s="1" t="s">
        <v>1221</v>
      </c>
      <c r="F424" s="1" t="s">
        <v>1222</v>
      </c>
      <c r="G424" s="1" t="s">
        <v>28</v>
      </c>
      <c r="H424" s="1" t="s">
        <v>29</v>
      </c>
      <c r="I424" s="1" t="str">
        <f ca="1">IFERROR(__xludf.DUMMYFUNCTION("GOOGLETRANSLATE(F424, ""auto"", ""en"")
"),"I was looking for a budget mixer for making cocktails and purees, and decided to go with this model. I've been using it for six months now. It copes with its main function - whipping, and nothing more is required from it. Satisfied so far!")</f>
        <v>I was looking for a budget mixer for making cocktails and purees, and decided to go with this model. I've been using it for six months now. It copes with its main function - whipping, and nothing more is required from it. Satisfied so far!</v>
      </c>
    </row>
    <row r="425" spans="1:9" x14ac:dyDescent="0.3">
      <c r="A425" s="1" t="s">
        <v>61</v>
      </c>
      <c r="B425" s="1" t="s">
        <v>977</v>
      </c>
      <c r="C425" s="1" t="s">
        <v>69</v>
      </c>
      <c r="D425" s="1" t="s">
        <v>172</v>
      </c>
      <c r="E425" s="1" t="s">
        <v>153</v>
      </c>
      <c r="F425" s="1" t="s">
        <v>1223</v>
      </c>
      <c r="G425" s="1" t="s">
        <v>36</v>
      </c>
      <c r="H425" s="1" t="s">
        <v>29</v>
      </c>
      <c r="I425" s="1" t="str">
        <f ca="1">IFERROR(__xludf.DUMMYFUNCTION("GOOGLETRANSLATE(F425, ""auto"", ""en"")
"),"About a month ago I bought a younger model Philips HR 1371/90 (without a small cup and whisk). A week later I made cranberry and orange jam and apparently overheated it. A little smoke came out from the junction with the nozzle. Either the overheating pro"&amp;"tection system did not work, or it simply isn’t there. After it cooled down, turned it on again - the engine runs. The next day, while grinding cheese, the blender worked for about 10 seconds and died. I went to change it. In the M-Video service area they"&amp;" connected it and confirmed that it was broken. Without any questions asked, they offered to either return the money or exchange it. For exchange I chose this model HR 1372/90. The specification says that it is equipped with an overheating protection syst"&amp;"em (which is not said in the younger model, although they look the same). I tried it in all operating modes, I am very pleased, there are no complaints. Unlike most other devices, there is a large selection of speeds. This is very important when chopping "&amp;"different products. Although there is a protection system, I work with it carefully, avoiding overheating. I follow the instructions in the technical data sheet regarding operating time, which I wish for everyone in order to avoid improper operation and p"&amp;"ossible breakdowns. I am very pleased with the product and especially with the quality of service of the M-Video company. Thank you!")</f>
        <v>About a month ago I bought a younger model Philips HR 1371/90 (without a small cup and whisk). A week later I made cranberry and orange jam and apparently overheated it. A little smoke came out from the junction with the nozzle. Either the overheating protection system did not work, or it simply isn’t there. After it cooled down, turned it on again - the engine runs. The next day, while grinding cheese, the blender worked for about 10 seconds and died. I went to change it. In the M-Video service area they connected it and confirmed that it was broken. Without any questions asked, they offered to either return the money or exchange it. For exchange I chose this model HR 1372/90. The specification says that it is equipped with an overheating protection system (which is not said in the younger model, although they look the same). I tried it in all operating modes, I am very pleased, there are no complaints. Unlike most other devices, there is a large selection of speeds. This is very important when chopping different products. Although there is a protection system, I work with it carefully, avoiding overheating. I follow the instructions in the technical data sheet regarding operating time, which I wish for everyone in order to avoid improper operation and possible breakdowns. I am very pleased with the product and especially with the quality of service of the M-Video company. Thank you!</v>
      </c>
    </row>
    <row r="426" spans="1:9" x14ac:dyDescent="0.3">
      <c r="A426" s="1" t="s">
        <v>78</v>
      </c>
      <c r="B426" s="1" t="s">
        <v>79</v>
      </c>
      <c r="C426" s="1" t="s">
        <v>1224</v>
      </c>
      <c r="D426" s="1" t="s">
        <v>305</v>
      </c>
      <c r="E426" s="1" t="s">
        <v>1225</v>
      </c>
      <c r="F426" s="1" t="s">
        <v>1226</v>
      </c>
      <c r="G426" s="1" t="s">
        <v>36</v>
      </c>
      <c r="H426" s="1" t="s">
        <v>29</v>
      </c>
      <c r="I426" s="1" t="str">
        <f ca="1">IFERROR(__xludf.DUMMYFUNCTION("GOOGLETRANSLATE(F426, ""auto"", ""en"")
"),"Excellent technique!!! Compact, powerful, eye-catching design. Only the menu is a little complicated. To start using the microwave, you must read the instructions exactly.")</f>
        <v>Excellent technique!!! Compact, powerful, eye-catching design. Only the menu is a little complicated. To start using the microwave, you must read the instructions exactly.</v>
      </c>
    </row>
    <row r="427" spans="1:9" x14ac:dyDescent="0.3">
      <c r="A427" s="1" t="s">
        <v>169</v>
      </c>
      <c r="B427" s="1" t="s">
        <v>170</v>
      </c>
      <c r="C427" s="1" t="s">
        <v>193</v>
      </c>
      <c r="D427" s="1" t="s">
        <v>1227</v>
      </c>
      <c r="E427" s="1" t="s">
        <v>1228</v>
      </c>
      <c r="F427" s="1" t="s">
        <v>1229</v>
      </c>
      <c r="G427" s="1" t="s">
        <v>36</v>
      </c>
      <c r="H427" s="1" t="s">
        <v>29</v>
      </c>
      <c r="I427" s="1" t="str">
        <f ca="1">IFERROR(__xludf.DUMMYFUNCTION("GOOGLETRANSLATE(F427, ""auto"", ""en"")
"),"I write music and do DJing and have no complaints about the headphones, this is what I need, the sound is clear, you can hear everything down to the smallest detail. You won't regret it!")</f>
        <v>I write music and do DJing and have no complaints about the headphones, this is what I need, the sound is clear, you can hear everything down to the smallest detail. You won't regret it!</v>
      </c>
    </row>
    <row r="428" spans="1:9" x14ac:dyDescent="0.3">
      <c r="A428" s="1" t="s">
        <v>111</v>
      </c>
      <c r="B428" s="1" t="s">
        <v>112</v>
      </c>
      <c r="C428" s="1" t="s">
        <v>1230</v>
      </c>
      <c r="D428" s="1" t="s">
        <v>749</v>
      </c>
      <c r="E428" s="1" t="s">
        <v>1231</v>
      </c>
      <c r="F428" s="1" t="s">
        <v>1232</v>
      </c>
      <c r="G428" s="1" t="s">
        <v>28</v>
      </c>
      <c r="H428" s="1" t="s">
        <v>29</v>
      </c>
      <c r="I428" s="1" t="str">
        <f ca="1">IFERROR(__xludf.DUMMYFUNCTION("GOOGLETRANSLATE(F428, ""auto"", ""en"")
"),"6 years everything works “ok”, the on/off button is weak, if you don’t touch it it will work for a long time")</f>
        <v>6 years everything works “ok”, the on/off button is weak, if you don’t touch it it will work for a long time</v>
      </c>
    </row>
    <row r="429" spans="1:9" x14ac:dyDescent="0.3">
      <c r="A429" s="1" t="s">
        <v>61</v>
      </c>
      <c r="B429" s="1" t="s">
        <v>180</v>
      </c>
      <c r="C429" s="1" t="s">
        <v>69</v>
      </c>
      <c r="D429" s="1" t="s">
        <v>1233</v>
      </c>
      <c r="E429" s="1" t="s">
        <v>248</v>
      </c>
      <c r="F429" s="1" t="s">
        <v>1234</v>
      </c>
      <c r="G429" s="1" t="s">
        <v>36</v>
      </c>
      <c r="H429" s="1" t="s">
        <v>29</v>
      </c>
      <c r="I429" s="1" t="str">
        <f ca="1">IFERROR(__xludf.DUMMYFUNCTION("GOOGLETRANSLATE(F429, ""auto"", ""en"")
"),"Nice toaster! I also agree with the statements! It toasts everything and it’s convenient that you can even stop it during cooking if you see that the bread is already as it should be! :) I’m happy with the toaster! I didn’t choose it for a particularly lo"&amp;"ng time, because I liked everything, from the price to the quality! And there is even a 2-year warranty, not like everyone else :) Conclusion - a good toaster, for a reasonable price :) I also recommend it!!!")</f>
        <v>Nice toaster! I also agree with the statements! It toasts everything and it’s convenient that you can even stop it during cooking if you see that the bread is already as it should be! :) I’m happy with the toaster! I didn’t choose it for a particularly long time, because I liked everything, from the price to the quality! And there is even a 2-year warranty, not like everyone else :) Conclusion - a good toaster, for a reasonable price :) I also recommend it!!!</v>
      </c>
    </row>
    <row r="430" spans="1:9" x14ac:dyDescent="0.3">
      <c r="A430" s="1" t="s">
        <v>557</v>
      </c>
      <c r="B430" s="1" t="s">
        <v>558</v>
      </c>
      <c r="C430" s="1" t="s">
        <v>122</v>
      </c>
      <c r="D430" s="1" t="s">
        <v>1235</v>
      </c>
      <c r="E430" s="1" t="s">
        <v>1236</v>
      </c>
      <c r="F430" s="1" t="s">
        <v>1237</v>
      </c>
      <c r="G430" s="1" t="s">
        <v>36</v>
      </c>
      <c r="H430" s="1" t="s">
        <v>29</v>
      </c>
      <c r="I430" s="1" t="str">
        <f ca="1">IFERROR(__xludf.DUMMYFUNCTION("GOOGLETRANSLATE(F430, ""auto"", ""en"")
"),"I've been using it for 6 months and am very pleased. High-quality plastic. The backlight is excellent even during the day.")</f>
        <v>I've been using it for 6 months and am very pleased. High-quality plastic. The backlight is excellent even during the day.</v>
      </c>
    </row>
    <row r="431" spans="1:9" x14ac:dyDescent="0.3">
      <c r="A431" s="1" t="s">
        <v>169</v>
      </c>
      <c r="B431" s="1" t="s">
        <v>170</v>
      </c>
      <c r="C431" s="1" t="s">
        <v>69</v>
      </c>
      <c r="D431" s="1" t="s">
        <v>152</v>
      </c>
      <c r="E431" s="1" t="s">
        <v>400</v>
      </c>
      <c r="F431" s="1" t="s">
        <v>1238</v>
      </c>
      <c r="G431" s="1" t="s">
        <v>36</v>
      </c>
      <c r="H431" s="1" t="s">
        <v>29</v>
      </c>
      <c r="I431" s="1" t="str">
        <f ca="1">IFERROR(__xludf.DUMMYFUNCTION("GOOGLETRANSLATE(F431, ""auto"", ""en"")
"),"Excellent headphones for their price! Served for more than 2 years!")</f>
        <v>Excellent headphones for their price! Served for more than 2 years!</v>
      </c>
    </row>
    <row r="432" spans="1:9" x14ac:dyDescent="0.3">
      <c r="A432" s="1" t="s">
        <v>61</v>
      </c>
      <c r="B432" s="1" t="s">
        <v>977</v>
      </c>
      <c r="C432" s="1" t="s">
        <v>246</v>
      </c>
      <c r="D432" s="1" t="s">
        <v>565</v>
      </c>
      <c r="E432" s="1" t="s">
        <v>1239</v>
      </c>
      <c r="F432" s="1" t="s">
        <v>1240</v>
      </c>
      <c r="G432" s="1" t="s">
        <v>36</v>
      </c>
      <c r="H432" s="1" t="s">
        <v>29</v>
      </c>
      <c r="I432" s="1" t="str">
        <f ca="1">IFERROR(__xludf.DUMMYFUNCTION("GOOGLETRANSLATE(F432, ""auto"", ""en"")
"),"I’ve been using it for 2.5 years now, I’m completely satisfied! Every time I am glad that he has such an ingenious cord winding system! Very fast, simple and nothing gets in the way! All household appliances need to have a compartment like this =) It work"&amp;"s well and is quiet! Lightweight, compact, comfortable to hold, beautiful streamlined shape.")</f>
        <v>I’ve been using it for 2.5 years now, I’m completely satisfied! Every time I am glad that he has such an ingenious cord winding system! Very fast, simple and nothing gets in the way! All household appliances need to have a compartment like this =) It works well and is quiet! Lightweight, compact, comfortable to hold, beautiful streamlined shape.</v>
      </c>
    </row>
    <row r="433" spans="1:9" x14ac:dyDescent="0.3">
      <c r="A433" s="1" t="s">
        <v>61</v>
      </c>
      <c r="B433" s="1" t="s">
        <v>180</v>
      </c>
      <c r="C433" s="1" t="s">
        <v>63</v>
      </c>
      <c r="D433" s="1" t="s">
        <v>1241</v>
      </c>
      <c r="E433" s="1" t="s">
        <v>894</v>
      </c>
      <c r="F433" s="1" t="s">
        <v>1242</v>
      </c>
      <c r="G433" s="1" t="s">
        <v>36</v>
      </c>
      <c r="H433" s="1" t="s">
        <v>29</v>
      </c>
      <c r="I433" s="1" t="str">
        <f ca="1">IFERROR(__xludf.DUMMYFUNCTION("GOOGLETRANSLATE(F433, ""auto"", ""en"")
"),"Excellent cook)))))))")</f>
        <v>Excellent cook)))))))</v>
      </c>
    </row>
    <row r="434" spans="1:9" x14ac:dyDescent="0.3">
      <c r="A434" s="1" t="s">
        <v>211</v>
      </c>
      <c r="B434" s="1" t="s">
        <v>899</v>
      </c>
      <c r="C434" s="1" t="s">
        <v>213</v>
      </c>
      <c r="D434" s="1" t="s">
        <v>407</v>
      </c>
      <c r="E434" s="1" t="s">
        <v>285</v>
      </c>
      <c r="F434" s="1" t="s">
        <v>1243</v>
      </c>
      <c r="G434" s="1" t="s">
        <v>36</v>
      </c>
      <c r="H434" s="1" t="s">
        <v>29</v>
      </c>
      <c r="I434" s="1" t="str">
        <f ca="1">IFERROR(__xludf.DUMMYFUNCTION("GOOGLETRANSLATE(F434, ""auto"", ""en"")
"),"Everything is the same as in more expensive models, with the exception of the second speed and a significant difference in price.")</f>
        <v>Everything is the same as in more expensive models, with the exception of the second speed and a significant difference in price.</v>
      </c>
    </row>
    <row r="435" spans="1:9" x14ac:dyDescent="0.3">
      <c r="A435" s="1" t="s">
        <v>732</v>
      </c>
      <c r="B435" s="1" t="s">
        <v>733</v>
      </c>
      <c r="C435" s="1" t="s">
        <v>151</v>
      </c>
      <c r="D435" s="1" t="s">
        <v>1244</v>
      </c>
      <c r="E435" s="1" t="s">
        <v>1245</v>
      </c>
      <c r="F435" s="1" t="s">
        <v>1246</v>
      </c>
      <c r="G435" s="1" t="s">
        <v>49</v>
      </c>
      <c r="H435" s="1" t="s">
        <v>16</v>
      </c>
      <c r="I435" s="1" t="str">
        <f ca="1">IFERROR(__xludf.DUMMYFUNCTION("GOOGLETRANSLATE(F435, ""auto"", ""en"")
"),"Terrible monitor! It is impossible to work behind it; it has a matte finish with grain that is very noticeable to the eye. Don’t take it if you work long hours and your eyes are expensive.")</f>
        <v>Terrible monitor! It is impossible to work behind it; it has a matte finish with grain that is very noticeable to the eye. Don’t take it if you work long hours and your eyes are expensive.</v>
      </c>
    </row>
    <row r="436" spans="1:9" x14ac:dyDescent="0.3">
      <c r="A436" s="1" t="s">
        <v>206</v>
      </c>
      <c r="B436" s="1" t="s">
        <v>207</v>
      </c>
      <c r="C436" s="1" t="s">
        <v>45</v>
      </c>
      <c r="D436" s="1" t="s">
        <v>1247</v>
      </c>
      <c r="E436" s="1" t="s">
        <v>1248</v>
      </c>
      <c r="F436" s="1" t="s">
        <v>1249</v>
      </c>
      <c r="G436" s="1" t="s">
        <v>36</v>
      </c>
      <c r="H436" s="1" t="s">
        <v>29</v>
      </c>
      <c r="I436" s="1" t="str">
        <f ca="1">IFERROR(__xludf.DUMMYFUNCTION("GOOGLETRANSLATE(F436, ""auto"", ""en"")
"),"I installed this kit for myself and have no regrets. Very cool Mystery set, you won’t regret buying it.")</f>
        <v>I installed this kit for myself and have no regrets. Very cool Mystery set, you won’t regret buying it.</v>
      </c>
    </row>
    <row r="437" spans="1:9" x14ac:dyDescent="0.3">
      <c r="A437" s="1" t="s">
        <v>61</v>
      </c>
      <c r="B437" s="1" t="s">
        <v>224</v>
      </c>
      <c r="C437" s="1" t="s">
        <v>74</v>
      </c>
      <c r="D437" s="1" t="s">
        <v>308</v>
      </c>
      <c r="E437" s="1" t="s">
        <v>1084</v>
      </c>
      <c r="F437" s="1" t="s">
        <v>1250</v>
      </c>
      <c r="G437" s="1" t="s">
        <v>36</v>
      </c>
      <c r="H437" s="1" t="s">
        <v>29</v>
      </c>
      <c r="I437" s="1" t="str">
        <f ca="1">IFERROR(__xludf.DUMMYFUNCTION("GOOGLETRANSLATE(F437, ""auto"", ""en"")
"),"Thanks for the feedback!!! Honestly, a super juicer! Squeezes in seconds - you don’t have time to look back! The juice is pure, without any impurities from fruits! And what a pleasure it is that it can be disassembled and washed very quickly and easily! C"&amp;"ool! I couldn’t be happier!!!")</f>
        <v>Thanks for the feedback!!! Honestly, a super juicer! Squeezes in seconds - you don’t have time to look back! The juice is pure, without any impurities from fruits! And what a pleasure it is that it can be disassembled and washed very quickly and easily! Cool! I couldn’t be happier!!!</v>
      </c>
    </row>
    <row r="438" spans="1:9" x14ac:dyDescent="0.3">
      <c r="A438" s="1" t="s">
        <v>113</v>
      </c>
      <c r="B438" s="1" t="s">
        <v>1251</v>
      </c>
      <c r="C438" s="1" t="s">
        <v>122</v>
      </c>
      <c r="D438" s="1" t="s">
        <v>52</v>
      </c>
      <c r="E438" s="1" t="s">
        <v>905</v>
      </c>
      <c r="F438" s="1" t="s">
        <v>1252</v>
      </c>
      <c r="G438" s="1" t="s">
        <v>28</v>
      </c>
      <c r="H438" s="1" t="s">
        <v>29</v>
      </c>
      <c r="I438" s="1" t="str">
        <f ca="1">IFERROR(__xludf.DUMMYFUNCTION("GOOGLETRANSLATE(F438, ""auto"", ""en"")
"),"Good inexpensive model. I took it quite quickly, I was glad that the old flash drives fit, I removed them from the old phone and put them in the adapter, in general, I got a flash drive for a gig for free. The photos themselves are quite tolerable, they a"&amp;"re uploaded to the computer quickly, so I’m not complaining about the quality.")</f>
        <v>Good inexpensive model. I took it quite quickly, I was glad that the old flash drives fit, I removed them from the old phone and put them in the adapter, in general, I got a flash drive for a gig for free. The photos themselves are quite tolerable, they are uploaded to the computer quickly, so I’m not complaining about the quality.</v>
      </c>
    </row>
    <row r="439" spans="1:9" x14ac:dyDescent="0.3">
      <c r="A439" s="1" t="s">
        <v>206</v>
      </c>
      <c r="B439" s="1" t="s">
        <v>1253</v>
      </c>
      <c r="C439" s="1" t="s">
        <v>1254</v>
      </c>
      <c r="D439" s="1" t="s">
        <v>1255</v>
      </c>
      <c r="E439" s="1" t="s">
        <v>346</v>
      </c>
      <c r="F439" s="1" t="s">
        <v>1256</v>
      </c>
      <c r="G439" s="1" t="s">
        <v>28</v>
      </c>
      <c r="H439" s="1" t="s">
        <v>29</v>
      </c>
      <c r="I439" s="1" t="str">
        <f ca="1">IFERROR(__xludf.DUMMYFUNCTION("GOOGLETRANSLATE(F439, ""auto"", ""en"")
"),"Normal walkie-talkie. But the declared 10 km does not smell. In the city you can't hear more than 2 houses. But in open space the distance is decent.")</f>
        <v>Normal walkie-talkie. But the declared 10 km does not smell. In the city you can't hear more than 2 houses. But in open space the distance is decent.</v>
      </c>
    </row>
    <row r="440" spans="1:9" x14ac:dyDescent="0.3">
      <c r="A440" s="1" t="s">
        <v>61</v>
      </c>
      <c r="B440" s="1" t="s">
        <v>318</v>
      </c>
      <c r="C440" s="1" t="s">
        <v>85</v>
      </c>
      <c r="D440" s="1" t="s">
        <v>305</v>
      </c>
      <c r="E440" s="1" t="s">
        <v>1257</v>
      </c>
      <c r="F440" s="1" t="s">
        <v>1258</v>
      </c>
      <c r="G440" s="1" t="s">
        <v>15</v>
      </c>
      <c r="H440" s="1" t="s">
        <v>16</v>
      </c>
      <c r="I440" s="1" t="str">
        <f ca="1">IFERROR(__xludf.DUMMYFUNCTION("GOOGLETRANSLATE(F440, ""auto"", ""en"")
"),"benefits of temperature control")</f>
        <v>benefits of temperature control</v>
      </c>
    </row>
    <row r="441" spans="1:9" x14ac:dyDescent="0.3">
      <c r="A441" s="1" t="s">
        <v>149</v>
      </c>
      <c r="B441" s="1" t="s">
        <v>155</v>
      </c>
      <c r="C441" s="1" t="s">
        <v>1187</v>
      </c>
      <c r="D441" s="1" t="s">
        <v>1259</v>
      </c>
      <c r="E441" s="1" t="s">
        <v>153</v>
      </c>
      <c r="F441" s="1" t="s">
        <v>1260</v>
      </c>
      <c r="G441" s="1" t="s">
        <v>28</v>
      </c>
      <c r="H441" s="1" t="s">
        <v>29</v>
      </c>
      <c r="I441" s="1" t="str">
        <f ca="1">IFERROR(__xludf.DUMMYFUNCTION("GOOGLETRANSLATE(F441, ""auto"", ""en"")
"),"I was disappointed. I agree small, compact. But it’s noisy and the carpet doesn’t clean well, dog hair remains, I expected better. I would gladly exchange it for another one.")</f>
        <v>I was disappointed. I agree small, compact. But it’s noisy and the carpet doesn’t clean well, dog hair remains, I expected better. I would gladly exchange it for another one.</v>
      </c>
    </row>
    <row r="442" spans="1:9" x14ac:dyDescent="0.3">
      <c r="A442" s="1" t="s">
        <v>120</v>
      </c>
      <c r="B442" s="1" t="s">
        <v>121</v>
      </c>
      <c r="C442" s="1" t="s">
        <v>80</v>
      </c>
      <c r="D442" s="1" t="s">
        <v>1261</v>
      </c>
      <c r="E442" s="1" t="s">
        <v>460</v>
      </c>
      <c r="F442" s="1" t="s">
        <v>1262</v>
      </c>
      <c r="G442" s="1" t="s">
        <v>28</v>
      </c>
      <c r="H442" s="1" t="s">
        <v>29</v>
      </c>
      <c r="I442" s="1" t="str">
        <f ca="1">IFERROR(__xludf.DUMMYFUNCTION("GOOGLETRANSLATE(F442, ""auto"", ""en"")
"),"“Please sort it out”, how do you still activate USB using a phone with IR? I looked on different sites and didn’t find anything intelligible... (((")</f>
        <v>“Please sort it out”, how do you still activate USB using a phone with IR? I looked on different sites and didn’t find anything intelligible... (((</v>
      </c>
    </row>
    <row r="443" spans="1:9" x14ac:dyDescent="0.3">
      <c r="A443" s="1" t="s">
        <v>30</v>
      </c>
      <c r="B443" s="1" t="s">
        <v>50</v>
      </c>
      <c r="C443" s="1" t="s">
        <v>32</v>
      </c>
      <c r="D443" s="1" t="s">
        <v>117</v>
      </c>
      <c r="E443" s="1" t="s">
        <v>1263</v>
      </c>
      <c r="F443" s="1" t="s">
        <v>1264</v>
      </c>
      <c r="G443" s="1" t="s">
        <v>36</v>
      </c>
      <c r="H443" s="1" t="s">
        <v>29</v>
      </c>
      <c r="I443" s="1" t="str">
        <f ca="1">IFERROR(__xludf.DUMMYFUNCTION("GOOGLETRANSLATE(F443, ""auto"", ""en"")
"),"I bought one of these recently, so far I have no complaints. It gets hot, but not so much, depending on how much you work on it. The only frustrating thing is that from the very beginning of using it, it contains a whole list of programs that no one reall"&amp;"y needs. Because of these programs, there are minor slowdowns. because the registry is full of all sorts of crap. I advise you to immediately burn a recovery disc and remove the OS. install a new one. And so everything is okay. Large, comfortable, a littl"&amp;"e heavy. A good laptop that can be purchased for that kind of money, so to speak, we take the maximum for the minimum!!")</f>
        <v>I bought one of these recently, so far I have no complaints. It gets hot, but not so much, depending on how much you work on it. The only frustrating thing is that from the very beginning of using it, it contains a whole list of programs that no one really needs. Because of these programs, there are minor slowdowns. because the registry is full of all sorts of crap. I advise you to immediately burn a recovery disc and remove the OS. install a new one. And so everything is okay. Large, comfortable, a little heavy. A good laptop that can be purchased for that kind of money, so to speak, we take the maximum for the minimum!!</v>
      </c>
    </row>
    <row r="444" spans="1:9" x14ac:dyDescent="0.3">
      <c r="A444" s="1" t="s">
        <v>211</v>
      </c>
      <c r="B444" s="1" t="s">
        <v>265</v>
      </c>
      <c r="C444" s="1" t="s">
        <v>294</v>
      </c>
      <c r="D444" s="1" t="s">
        <v>327</v>
      </c>
      <c r="E444" s="1" t="s">
        <v>1265</v>
      </c>
      <c r="F444" s="1" t="s">
        <v>1266</v>
      </c>
      <c r="G444" s="1" t="s">
        <v>36</v>
      </c>
      <c r="H444" s="1" t="s">
        <v>29</v>
      </c>
      <c r="I444" s="1" t="str">
        <f ca="1">IFERROR(__xludf.DUMMYFUNCTION("GOOGLETRANSLATE(F444, ""auto"", ""en"")
"),"An excellent machine, it handles well, the blades don’t get dull yet. It’s convenient to use for a beard and hair on the head, it’s not very good as a razor, but it’s not very good for trimming around the beard or shaving the entire chin, and the instruct"&amp;"ions say not to overuse it. I'm great at trimming my beard, temples and the back of my head, in general that's all I need. Separately, a beard trimmer and a machine are a little expensive, but it’s all in one and doesn’t lie around, there’s a convenient s"&amp;"tand. Overall I'm happy.")</f>
        <v>An excellent machine, it handles well, the blades don’t get dull yet. It’s convenient to use for a beard and hair on the head, it’s not very good as a razor, but it’s not very good for trimming around the beard or shaving the entire chin, and the instructions say not to overuse it. I'm great at trimming my beard, temples and the back of my head, in general that's all I need. Separately, a beard trimmer and a machine are a little expensive, but it’s all in one and doesn’t lie around, there’s a convenient stand. Overall I'm happy.</v>
      </c>
    </row>
    <row r="445" spans="1:9" x14ac:dyDescent="0.3">
      <c r="A445" s="1" t="s">
        <v>55</v>
      </c>
      <c r="B445" s="1" t="s">
        <v>56</v>
      </c>
      <c r="C445" s="1" t="s">
        <v>57</v>
      </c>
      <c r="D445" s="1" t="s">
        <v>33</v>
      </c>
      <c r="E445" s="1" t="s">
        <v>1267</v>
      </c>
      <c r="F445" s="1" t="s">
        <v>1268</v>
      </c>
      <c r="G445" s="1" t="s">
        <v>49</v>
      </c>
      <c r="H445" s="1" t="s">
        <v>16</v>
      </c>
      <c r="I445" s="1" t="str">
        <f ca="1">IFERROR(__xludf.DUMMYFUNCTION("GOOGLETRANSLATE(F445, ""auto"", ""en"")
"),"I did not expect that this model does not have such a basic function that cheaper models of humidifiers have.")</f>
        <v>I did not expect that this model does not have such a basic function that cheaper models of humidifiers have.</v>
      </c>
    </row>
    <row r="446" spans="1:9" x14ac:dyDescent="0.3">
      <c r="A446" s="1" t="s">
        <v>95</v>
      </c>
      <c r="B446" s="1" t="s">
        <v>402</v>
      </c>
      <c r="C446" s="1" t="s">
        <v>403</v>
      </c>
      <c r="D446" s="1" t="s">
        <v>1269</v>
      </c>
      <c r="E446" s="1" t="s">
        <v>1270</v>
      </c>
      <c r="F446" s="1" t="s">
        <v>1271</v>
      </c>
      <c r="G446" s="1" t="s">
        <v>36</v>
      </c>
      <c r="H446" s="1" t="s">
        <v>29</v>
      </c>
      <c r="I446" s="1" t="str">
        <f ca="1">IFERROR(__xludf.DUMMYFUNCTION("GOOGLETRANSLATE(F446, ""auto"", ""en"")
"),"I really like the console, the 3D effects are good, it doesn’t hurt my eyes. The starting line of the games was a little disappointing, but fortunately they released Zelda, soon there will be Kid Icarus, Mario, Resident Evil, and most importantly - the ne"&amp;"w Super Smash Bros.! I advise you to buy the console. And the other brand, it seems to me, will not surpass the 3DS with its Android and games.")</f>
        <v>I really like the console, the 3D effects are good, it doesn’t hurt my eyes. The starting line of the games was a little disappointing, but fortunately they released Zelda, soon there will be Kid Icarus, Mario, Resident Evil, and most importantly - the new Super Smash Bros.! I advise you to buy the console. And the other brand, it seems to me, will not surpass the 3DS with its Android and games.</v>
      </c>
    </row>
    <row r="447" spans="1:9" x14ac:dyDescent="0.3">
      <c r="A447" s="1" t="s">
        <v>37</v>
      </c>
      <c r="B447" s="1" t="s">
        <v>38</v>
      </c>
      <c r="C447" s="1" t="s">
        <v>163</v>
      </c>
      <c r="D447" s="1" t="s">
        <v>1272</v>
      </c>
      <c r="E447" s="1" t="s">
        <v>1273</v>
      </c>
      <c r="F447" s="1" t="s">
        <v>1274</v>
      </c>
      <c r="G447" s="1" t="s">
        <v>36</v>
      </c>
      <c r="H447" s="1" t="s">
        <v>29</v>
      </c>
      <c r="I447" s="1" t="str">
        <f ca="1">IFERROR(__xludf.DUMMYFUNCTION("GOOGLETRANSLATE(F447, ""auto"", ""en"")
"),"Great phone number! I love it. The sound is excellent, it's just a little buggy (")</f>
        <v>Great phone number! I love it. The sound is excellent, it's just a little buggy (</v>
      </c>
    </row>
    <row r="448" spans="1:9" x14ac:dyDescent="0.3">
      <c r="A448" s="1" t="s">
        <v>120</v>
      </c>
      <c r="B448" s="1" t="s">
        <v>121</v>
      </c>
      <c r="C448" s="1" t="s">
        <v>122</v>
      </c>
      <c r="D448" s="1" t="s">
        <v>20</v>
      </c>
      <c r="E448" s="1" t="s">
        <v>1275</v>
      </c>
      <c r="F448" s="1" t="s">
        <v>1276</v>
      </c>
      <c r="G448" s="1" t="s">
        <v>28</v>
      </c>
      <c r="H448" s="1" t="s">
        <v>29</v>
      </c>
      <c r="I448" s="1" t="str">
        <f ca="1">IFERROR(__xludf.DUMMYFUNCTION("GOOGLETRANSLATE(F448, ""auto"", ""en"")
"),"In the store, my eye fell on this Panasonic, I liked that it looked strict and stylish. Compared to my old one, the screen here is healthy. I like the image, the color rendition is good. In general, sometimes I connect a set-top box or DVD, but mostly, of"&amp;" course, the broadcast. Convenient remote control and menu. And in general, it was easy for me to understand it. In general, for the money I paid for it, I got a good TV.")</f>
        <v>In the store, my eye fell on this Panasonic, I liked that it looked strict and stylish. Compared to my old one, the screen here is healthy. I like the image, the color rendition is good. In general, sometimes I connect a set-top box or DVD, but mostly, of course, the broadcast. Convenient remote control and menu. And in general, it was easy for me to understand it. In general, for the money I paid for it, I got a good TV.</v>
      </c>
    </row>
    <row r="449" spans="1:9" x14ac:dyDescent="0.3">
      <c r="A449" s="1" t="s">
        <v>149</v>
      </c>
      <c r="B449" s="1" t="s">
        <v>155</v>
      </c>
      <c r="C449" s="1" t="s">
        <v>151</v>
      </c>
      <c r="D449" s="1" t="s">
        <v>75</v>
      </c>
      <c r="E449" s="1" t="s">
        <v>1277</v>
      </c>
      <c r="F449" s="1" t="s">
        <v>1278</v>
      </c>
      <c r="G449" s="1" t="s">
        <v>36</v>
      </c>
      <c r="H449" s="1" t="s">
        <v>29</v>
      </c>
      <c r="I449" s="1" t="str">
        <f ca="1">IFERROR(__xludf.DUMMYFUNCTION("GOOGLETRANSLATE(F449, ""auto"", ""en"")
"),"It’s been working for 3 years now, it started humming a week ago, let’s buy the same one, and for 3 years it’s even sucked up the linoleum! And in order not to clean after every cleaning, you don’t need to run the apartment so that it’s full after one cle"&amp;"aning! I clean 3 times a week, and once a week I clean it!")</f>
        <v>It’s been working for 3 years now, it started humming a week ago, let’s buy the same one, and for 3 years it’s even sucked up the linoleum! And in order not to clean after every cleaning, you don’t need to run the apartment so that it’s full after one cleaning! I clean 3 times a week, and once a week I clean it!</v>
      </c>
    </row>
    <row r="450" spans="1:9" x14ac:dyDescent="0.3">
      <c r="A450" s="1" t="s">
        <v>61</v>
      </c>
      <c r="B450" s="1" t="s">
        <v>224</v>
      </c>
      <c r="C450" s="1" t="s">
        <v>74</v>
      </c>
      <c r="D450" s="1" t="s">
        <v>1279</v>
      </c>
      <c r="E450" s="1" t="s">
        <v>1280</v>
      </c>
      <c r="F450" s="1" t="s">
        <v>1281</v>
      </c>
      <c r="G450" s="1" t="s">
        <v>36</v>
      </c>
      <c r="H450" s="1" t="s">
        <v>29</v>
      </c>
      <c r="I450" s="1" t="str">
        <f ca="1">IFERROR(__xludf.DUMMYFUNCTION("GOOGLETRANSLATE(F450, ""auto"", ""en"")
"),"Excellent juicer, I like it!!!  Easy to assemble, disassemble and easy to clean.  The vibration is barely noticeable, and there is not much noise either.    If you turn on speed 2, you get a strong jerk, so don’t put it on sliding surfaces.    from a larg"&amp;"e apple with a diameter of 8 cm I got 200 ml of delicious juice (probably depends on the apples :)) and from one orange identical in size to an apple I got 180 ml.     I recommend it, it's great!")</f>
        <v>Excellent juicer, I like it!!!  Easy to assemble, disassemble and easy to clean.  The vibration is barely noticeable, and there is not much noise either.    If you turn on speed 2, you get a strong jerk, so don’t put it on sliding surfaces.    from a large apple with a diameter of 8 cm I got 200 ml of delicious juice (probably depends on the apples :)) and from one orange identical in size to an apple I got 180 ml.     I recommend it, it's great!</v>
      </c>
    </row>
    <row r="451" spans="1:9" x14ac:dyDescent="0.3">
      <c r="A451" s="1" t="s">
        <v>111</v>
      </c>
      <c r="B451" s="1" t="s">
        <v>112</v>
      </c>
      <c r="C451" s="1" t="s">
        <v>113</v>
      </c>
      <c r="D451" s="1" t="s">
        <v>127</v>
      </c>
      <c r="E451" s="1" t="s">
        <v>1282</v>
      </c>
      <c r="F451" s="1" t="s">
        <v>1283</v>
      </c>
      <c r="G451" s="1" t="s">
        <v>49</v>
      </c>
      <c r="H451" s="1" t="s">
        <v>16</v>
      </c>
      <c r="I451" s="1" t="str">
        <f ca="1">IFERROR(__xludf.DUMMYFUNCTION("GOOGLETRANSLATE(F451, ""auto"", ""en"")
"),"Design, successful PR for cheap Chinese goods")</f>
        <v>Design, successful PR for cheap Chinese goods</v>
      </c>
    </row>
    <row r="452" spans="1:9" x14ac:dyDescent="0.3">
      <c r="A452" s="1" t="s">
        <v>61</v>
      </c>
      <c r="B452" s="1" t="s">
        <v>318</v>
      </c>
      <c r="C452" s="1" t="s">
        <v>69</v>
      </c>
      <c r="D452" s="1" t="s">
        <v>186</v>
      </c>
      <c r="E452" s="1" t="s">
        <v>131</v>
      </c>
      <c r="F452" s="1" t="s">
        <v>1284</v>
      </c>
      <c r="G452" s="1" t="s">
        <v>15</v>
      </c>
      <c r="H452" s="1" t="s">
        <v>16</v>
      </c>
      <c r="I452" s="1" t="str">
        <f ca="1">IFERROR(__xludf.DUMMYFUNCTION("GOOGLETRANSLATE(F452, ""auto"", ""en"")
"),"In appearance, the kettle is simply gorgeous: metal, beautiful lighting.  But about a month of use passed, and the kettle stopped turning off when boiling. Thank God, we managed to turn it off before it boiled dry.  You'll have to get a new one. It's a sh"&amp;"ame.")</f>
        <v>In appearance, the kettle is simply gorgeous: metal, beautiful lighting.  But about a month of use passed, and the kettle stopped turning off when boiling. Thank God, we managed to turn it off before it boiled dry.  You'll have to get a new one. It's a shame.</v>
      </c>
    </row>
    <row r="453" spans="1:9" x14ac:dyDescent="0.3">
      <c r="A453" s="1" t="s">
        <v>9</v>
      </c>
      <c r="B453" s="1" t="s">
        <v>133</v>
      </c>
      <c r="C453" s="1" t="s">
        <v>870</v>
      </c>
      <c r="D453" s="1" t="s">
        <v>12</v>
      </c>
      <c r="E453" s="1" t="s">
        <v>1285</v>
      </c>
      <c r="F453" s="1" t="s">
        <v>1286</v>
      </c>
      <c r="G453" s="1" t="s">
        <v>36</v>
      </c>
      <c r="H453" s="1" t="s">
        <v>29</v>
      </c>
      <c r="I453" s="1" t="str">
        <f ca="1">IFERROR(__xludf.DUMMYFUNCTION("GOOGLETRANSLATE(F453, ""auto"", ""en"")
"),"Beautiful, beige, non-staining, nothing superfluous!")</f>
        <v>Beautiful, beige, non-staining, nothing superfluous!</v>
      </c>
    </row>
    <row r="454" spans="1:9" x14ac:dyDescent="0.3">
      <c r="A454" s="1" t="s">
        <v>17</v>
      </c>
      <c r="B454" s="1" t="s">
        <v>18</v>
      </c>
      <c r="C454" s="1" t="s">
        <v>19</v>
      </c>
      <c r="D454" s="1" t="s">
        <v>75</v>
      </c>
      <c r="E454" s="1" t="s">
        <v>1287</v>
      </c>
      <c r="F454" s="1" t="s">
        <v>1288</v>
      </c>
      <c r="G454" s="1" t="s">
        <v>36</v>
      </c>
      <c r="H454" s="1" t="s">
        <v>29</v>
      </c>
      <c r="I454" s="1" t="str">
        <f ca="1">IFERROR(__xludf.DUMMYFUNCTION("GOOGLETRANSLATE(F454, ""auto"", ""en"")
"),"We bought this beauty 3.5 years ago, such models have just begun to appear. My display is slightly different and the load is 6 kg. Over the years, I haven’t been a bit disappointed in this machine. I’m very happy with the size of the hatch, even a double "&amp;"synthetic blanket fits in the machine, I also wash pillows, two at a time, and everything is washed and rinsed well.  Convenient and simple display, excellent washing quality, even after so many years. The main advice is not to pour too much powder, take "&amp;"care of nature.")</f>
        <v>We bought this beauty 3.5 years ago, such models have just begun to appear. My display is slightly different and the load is 6 kg. Over the years, I haven’t been a bit disappointed in this machine. I’m very happy with the size of the hatch, even a double synthetic blanket fits in the machine, I also wash pillows, two at a time, and everything is washed and rinsed well.  Convenient and simple display, excellent washing quality, even after so many years. The main advice is not to pour too much powder, take care of nature.</v>
      </c>
    </row>
    <row r="455" spans="1:9" x14ac:dyDescent="0.3">
      <c r="A455" s="1" t="s">
        <v>37</v>
      </c>
      <c r="B455" s="1" t="s">
        <v>38</v>
      </c>
      <c r="C455" s="1" t="s">
        <v>163</v>
      </c>
      <c r="D455" s="1" t="s">
        <v>1289</v>
      </c>
      <c r="E455" s="1" t="s">
        <v>1290</v>
      </c>
      <c r="F455" s="1" t="s">
        <v>1291</v>
      </c>
      <c r="G455" s="1" t="s">
        <v>28</v>
      </c>
      <c r="H455" s="1" t="s">
        <v>29</v>
      </c>
      <c r="I455" s="1" t="str">
        <f ca="1">IFERROR(__xludf.DUMMYFUNCTION("GOOGLETRANSLATE(F455, ""auto"", ""en"")
"),"excellent phone) recently bought, no complaints. loud, comfortable, light and beautiful) really like it)")</f>
        <v>excellent phone) recently bought, no complaints. loud, comfortable, light and beautiful) really like it)</v>
      </c>
    </row>
    <row r="456" spans="1:9" x14ac:dyDescent="0.3">
      <c r="A456" s="1" t="s">
        <v>211</v>
      </c>
      <c r="B456" s="1" t="s">
        <v>265</v>
      </c>
      <c r="C456" s="1" t="s">
        <v>122</v>
      </c>
      <c r="D456" s="1" t="s">
        <v>589</v>
      </c>
      <c r="E456" s="1" t="s">
        <v>1292</v>
      </c>
      <c r="F456" s="1" t="s">
        <v>1293</v>
      </c>
      <c r="G456" s="1" t="s">
        <v>36</v>
      </c>
      <c r="H456" s="1" t="s">
        <v>29</v>
      </c>
      <c r="I456" s="1" t="str">
        <f ca="1">IFERROR(__xludf.DUMMYFUNCTION("GOOGLETRANSLATE(F456, ""auto"", ""en"")
"),"We bought this model in 2007. There are three men in the house. Used both for cutting hair and for trimming mustaches and beards. The problem has only arisen now, 10 years later. Battery! Charging does not help, i.e. It doesn't work at all without the pow"&amp;"er on.  Although work from the network is no longer the same. But I still recommend it. For such a price - such service life and quality.")</f>
        <v>We bought this model in 2007. There are three men in the house. Used both for cutting hair and for trimming mustaches and beards. The problem has only arisen now, 10 years later. Battery! Charging does not help, i.e. It doesn't work at all without the power on.  Although work from the network is no longer the same. But I still recommend it. For such a price - such service life and quality.</v>
      </c>
    </row>
    <row r="457" spans="1:9" x14ac:dyDescent="0.3">
      <c r="A457" s="1" t="s">
        <v>811</v>
      </c>
      <c r="B457" s="1" t="s">
        <v>1294</v>
      </c>
      <c r="C457" s="1" t="s">
        <v>1295</v>
      </c>
      <c r="D457" s="1" t="s">
        <v>203</v>
      </c>
      <c r="E457" s="1" t="s">
        <v>1296</v>
      </c>
      <c r="F457" s="1" t="s">
        <v>1297</v>
      </c>
      <c r="G457" s="1" t="s">
        <v>36</v>
      </c>
      <c r="H457" s="1" t="s">
        <v>29</v>
      </c>
      <c r="I457" s="1" t="str">
        <f ca="1">IFERROR(__xludf.DUMMYFUNCTION("GOOGLETRANSLATE(F457, ""auto"", ""en"")
"),"The accessory is real. Cleaned the optics perfectly.  I recommend it. Easy to use.")</f>
        <v>The accessory is real. Cleaned the optics perfectly.  I recommend it. Easy to use.</v>
      </c>
    </row>
    <row r="458" spans="1:9" x14ac:dyDescent="0.3">
      <c r="A458" s="1" t="s">
        <v>211</v>
      </c>
      <c r="B458" s="1" t="s">
        <v>212</v>
      </c>
      <c r="C458" s="1" t="s">
        <v>381</v>
      </c>
      <c r="D458" s="1" t="s">
        <v>64</v>
      </c>
      <c r="E458" s="1" t="s">
        <v>1298</v>
      </c>
      <c r="F458" s="1" t="s">
        <v>1299</v>
      </c>
      <c r="G458" s="1" t="s">
        <v>36</v>
      </c>
      <c r="H458" s="1" t="s">
        <v>29</v>
      </c>
      <c r="I458" s="1" t="str">
        <f ca="1">IFERROR(__xludf.DUMMYFUNCTION("GOOGLETRANSLATE(F458, ""auto"", ""en"")
"),"I purchased this hair dryer two months ago, based on reviews from the site. And I have never regretted it! Very powerful, compact, comfortable to hold, does not overheat. Two levels of hot flow and cold flow. No complaints about the work!")</f>
        <v>I purchased this hair dryer two months ago, based on reviews from the site. And I have never regretted it! Very powerful, compact, comfortable to hold, does not overheat. Two levels of hot flow and cold flow. No complaints about the work!</v>
      </c>
    </row>
    <row r="459" spans="1:9" x14ac:dyDescent="0.3">
      <c r="A459" s="1" t="s">
        <v>17</v>
      </c>
      <c r="B459" s="1" t="s">
        <v>18</v>
      </c>
      <c r="C459" s="1" t="s">
        <v>243</v>
      </c>
      <c r="D459" s="1" t="s">
        <v>247</v>
      </c>
      <c r="E459" s="1" t="s">
        <v>1300</v>
      </c>
      <c r="F459" s="1" t="s">
        <v>1301</v>
      </c>
      <c r="G459" s="1" t="s">
        <v>49</v>
      </c>
      <c r="H459" s="1" t="s">
        <v>16</v>
      </c>
      <c r="I459" s="1" t="str">
        <f ca="1">IFERROR(__xludf.DUMMYFUNCTION("GOOGLETRANSLATE(F459, ""auto"", ""en"")
"),"We renovated the bathroom, spent a lot of money, and decided to buy the cheapest Indesit MISK 605 (CIS) machine. The renovation was recently completed, the machine was connected, and the washing began. We sat down in the kitchen to drink tea with satisfie"&amp;"d faces. After some time, there was a terrible roar, we ran into the bathroom, and the machine was already jumping near the door, a little more and the hoses would tear out, my husband and I couldn’t hold it together, we had to turn it off. A dent appeare"&amp;"d on the corner of the machine - clearly at the level of the bathroom, therefore, while jumping, it hit. I’m going to buy an anti-vibration mat, maybe we can help. Buy another machine, don't save! I’ve never seen this before... Although if you want to see"&amp;" the spectacle that we saw, buy it for fun)")</f>
        <v>We renovated the bathroom, spent a lot of money, and decided to buy the cheapest Indesit MISK 605 (CIS) machine. The renovation was recently completed, the machine was connected, and the washing began. We sat down in the kitchen to drink tea with satisfied faces. After some time, there was a terrible roar, we ran into the bathroom, and the machine was already jumping near the door, a little more and the hoses would tear out, my husband and I couldn’t hold it together, we had to turn it off. A dent appeared on the corner of the machine - clearly at the level of the bathroom, therefore, while jumping, it hit. I’m going to buy an anti-vibration mat, maybe we can help. Buy another machine, don't save! I’ve never seen this before... Although if you want to see the spectacle that we saw, buy it for fun)</v>
      </c>
    </row>
    <row r="460" spans="1:9" x14ac:dyDescent="0.3">
      <c r="A460" s="1" t="s">
        <v>61</v>
      </c>
      <c r="B460" s="1" t="s">
        <v>318</v>
      </c>
      <c r="C460" s="1" t="s">
        <v>57</v>
      </c>
      <c r="D460" s="1" t="s">
        <v>308</v>
      </c>
      <c r="E460" s="1" t="s">
        <v>1302</v>
      </c>
      <c r="F460" s="1" t="s">
        <v>1303</v>
      </c>
      <c r="G460" s="1" t="s">
        <v>36</v>
      </c>
      <c r="H460" s="1" t="s">
        <v>29</v>
      </c>
      <c r="I460" s="1" t="str">
        <f ca="1">IFERROR(__xludf.DUMMYFUNCTION("GOOGLETRANSLATE(F460, ""auto"", ""en"")
"),"this model worked for about 8-9 (!!!) years. The lid peeled off after 2-3 years. The function of the strainer remains unclear, as it simply dangles. The lid fell off after 3 years. Otherwise, there are no complaints. I think with such impeccable work, the"&amp;"se are all little things. Now we are considering buying exactly the same kettle. provided that it was used constantly, I think this is an excellent model for little money! and I think the service life speaks in its favor.")</f>
        <v>this model worked for about 8-9 (!!!) years. The lid peeled off after 2-3 years. The function of the strainer remains unclear, as it simply dangles. The lid fell off after 3 years. Otherwise, there are no complaints. I think with such impeccable work, these are all little things. Now we are considering buying exactly the same kettle. provided that it was used constantly, I think this is an excellent model for little money! and I think the service life speaks in its favor.</v>
      </c>
    </row>
    <row r="461" spans="1:9" x14ac:dyDescent="0.3">
      <c r="A461" s="1" t="s">
        <v>206</v>
      </c>
      <c r="B461" s="1" t="s">
        <v>261</v>
      </c>
      <c r="C461" s="1" t="s">
        <v>262</v>
      </c>
      <c r="D461" s="1" t="s">
        <v>1304</v>
      </c>
      <c r="E461" s="1" t="s">
        <v>1305</v>
      </c>
      <c r="F461" s="1" t="s">
        <v>1306</v>
      </c>
      <c r="G461" s="1" t="s">
        <v>36</v>
      </c>
      <c r="H461" s="1" t="s">
        <v>29</v>
      </c>
      <c r="I461" s="1" t="str">
        <f ca="1">IFERROR(__xludf.DUMMYFUNCTION("GOOGLETRANSLATE(F461, ""auto"", ""en"")
"),"I have an amplifier and subwoofer installed. cinema on the 6th, two pancakes in the doors, two in the back, and beepers in the dashboard. When I turned up the volume of the sound, all the interior lighting + headlights blinked from the bass. In order to r"&amp;"emove such a drawdown, I bought this capacitor, installed it, and the drawdowns were eliminated, and the sound became cleaner.")</f>
        <v>I have an amplifier and subwoofer installed. cinema on the 6th, two pancakes in the doors, two in the back, and beepers in the dashboard. When I turned up the volume of the sound, all the interior lighting + headlights blinked from the bass. In order to remove such a drawdown, I bought this capacitor, installed it, and the drawdowns were eliminated, and the sound became cleaner.</v>
      </c>
    </row>
    <row r="462" spans="1:9" x14ac:dyDescent="0.3">
      <c r="A462" s="1" t="s">
        <v>37</v>
      </c>
      <c r="B462" s="1" t="s">
        <v>38</v>
      </c>
      <c r="C462" s="1" t="s">
        <v>151</v>
      </c>
      <c r="D462" s="1" t="s">
        <v>1307</v>
      </c>
      <c r="E462" s="1" t="s">
        <v>886</v>
      </c>
      <c r="F462" s="1" t="s">
        <v>1308</v>
      </c>
      <c r="G462" s="1" t="s">
        <v>36</v>
      </c>
      <c r="H462" s="1" t="s">
        <v>29</v>
      </c>
      <c r="I462" s="1" t="str">
        <f ca="1">IFERROR(__xludf.DUMMYFUNCTION("GOOGLETRANSLATE(F462, ""auto"", ""en"")
"),"I’ve had this phone for 2 years and now it’s broken (the screen is glitchy, the camera doesn’t work, the slider mechanism is broken) I’m very upset because... The phone is great and I don't want anything else. The screen is bright, the photos are super, s"&amp;"tylish, battery. lasts a long time. There's only one downside, and that's not for everyone. It's hard to install anything on Samsung... But if you think about it, it's possible. So, I’ll take it in for repairs, maybe they’ll fix it..")</f>
        <v>I’ve had this phone for 2 years and now it’s broken (the screen is glitchy, the camera doesn’t work, the slider mechanism is broken) I’m very upset because... The phone is great and I don't want anything else. The screen is bright, the photos are super, stylish, battery. lasts a long time. There's only one downside, and that's not for everyone. It's hard to install anything on Samsung... But if you think about it, it's possible. So, I’ll take it in for repairs, maybe they’ll fix it..</v>
      </c>
    </row>
    <row r="463" spans="1:9" x14ac:dyDescent="0.3">
      <c r="A463" s="1" t="s">
        <v>477</v>
      </c>
      <c r="B463" s="1" t="s">
        <v>478</v>
      </c>
      <c r="C463" s="1" t="s">
        <v>479</v>
      </c>
      <c r="D463" s="1" t="s">
        <v>172</v>
      </c>
      <c r="E463" s="1" t="s">
        <v>994</v>
      </c>
      <c r="F463" s="1" t="s">
        <v>1309</v>
      </c>
      <c r="G463" s="1" t="s">
        <v>28</v>
      </c>
      <c r="H463" s="1" t="s">
        <v>29</v>
      </c>
      <c r="I463" s="1" t="str">
        <f ca="1">IFERROR(__xludf.DUMMYFUNCTION("GOOGLETRANSLATE(F463, ""auto"", ""en"")
"),"Good game. It's very interesting to play online. Just a little tired after a month of playing. One minus is monotony.")</f>
        <v>Good game. It's very interesting to play online. Just a little tired after a month of playing. One minus is monotony.</v>
      </c>
    </row>
    <row r="464" spans="1:9" x14ac:dyDescent="0.3">
      <c r="A464" s="1" t="s">
        <v>206</v>
      </c>
      <c r="B464" s="1" t="s">
        <v>207</v>
      </c>
      <c r="C464" s="1" t="s">
        <v>97</v>
      </c>
      <c r="D464" s="1" t="s">
        <v>33</v>
      </c>
      <c r="E464" s="1" t="s">
        <v>1310</v>
      </c>
      <c r="F464" s="1" t="s">
        <v>1311</v>
      </c>
      <c r="G464" s="1" t="s">
        <v>28</v>
      </c>
      <c r="H464" s="1" t="s">
        <v>29</v>
      </c>
      <c r="I464" s="1" t="str">
        <f ca="1">IFERROR(__xludf.DUMMYFUNCTION("GOOGLETRANSLATE(F464, ""auto"", ""en"")
"),"Good sub....Clean and crisp sound without any buzzing! The only thing in terms of power was that I expected more from it!")</f>
        <v>Good sub....Clean and crisp sound without any buzzing! The only thing in terms of power was that I expected more from it!</v>
      </c>
    </row>
    <row r="465" spans="1:9" x14ac:dyDescent="0.3">
      <c r="A465" s="1" t="s">
        <v>369</v>
      </c>
      <c r="B465" s="1" t="s">
        <v>587</v>
      </c>
      <c r="C465" s="1" t="s">
        <v>290</v>
      </c>
      <c r="D465" s="1" t="s">
        <v>20</v>
      </c>
      <c r="E465" s="1" t="s">
        <v>1312</v>
      </c>
      <c r="F465" s="1" t="s">
        <v>1313</v>
      </c>
      <c r="G465" s="1" t="s">
        <v>28</v>
      </c>
      <c r="H465" s="1" t="s">
        <v>29</v>
      </c>
      <c r="I465" s="1" t="str">
        <f ca="1">IFERROR(__xludf.DUMMYFUNCTION("GOOGLETRANSLATE(F465, ""auto"", ""en"")
"),"After the purchase, the light bulb was already burnt out, and the stove was taken out of the original packaging. There is a play on the top cover, about half a centimeter on one side, which can be tightened after complete disassembly, as the gas man said."&amp;" About two weeks of use so far.")</f>
        <v>After the purchase, the light bulb was already burnt out, and the stove was taken out of the original packaging. There is a play on the top cover, about half a centimeter on one side, which can be tightened after complete disassembly, as the gas man said. About two weeks of use so far.</v>
      </c>
    </row>
    <row r="466" spans="1:9" x14ac:dyDescent="0.3">
      <c r="A466" s="1" t="s">
        <v>37</v>
      </c>
      <c r="B466" s="1" t="s">
        <v>536</v>
      </c>
      <c r="C466" s="1" t="s">
        <v>163</v>
      </c>
      <c r="D466" s="1" t="s">
        <v>39</v>
      </c>
      <c r="E466" s="1" t="s">
        <v>1267</v>
      </c>
      <c r="F466" s="1" t="s">
        <v>1314</v>
      </c>
      <c r="G466" s="1" t="s">
        <v>28</v>
      </c>
      <c r="H466" s="1" t="s">
        <v>29</v>
      </c>
      <c r="I466" s="1" t="str">
        <f ca="1">IFERROR(__xludf.DUMMYFUNCTION("GOOGLETRANSLATE(F466, ""auto"", ""en"")
"),"I'm happy with the phone. I bought it a year ago and everything works perfectly. In general, the phone is cool!!!")</f>
        <v>I'm happy with the phone. I bought it a year ago and everything works perfectly. In general, the phone is cool!!!</v>
      </c>
    </row>
    <row r="467" spans="1:9" x14ac:dyDescent="0.3">
      <c r="A467" s="1" t="s">
        <v>61</v>
      </c>
      <c r="B467" s="1" t="s">
        <v>73</v>
      </c>
      <c r="C467" s="1" t="s">
        <v>74</v>
      </c>
      <c r="D467" s="1" t="s">
        <v>247</v>
      </c>
      <c r="E467" s="1" t="s">
        <v>1315</v>
      </c>
      <c r="F467" s="1" t="s">
        <v>1316</v>
      </c>
      <c r="G467" s="1" t="s">
        <v>28</v>
      </c>
      <c r="H467" s="1" t="s">
        <v>29</v>
      </c>
      <c r="I467" s="1" t="str">
        <f ca="1">IFERROR(__xludf.DUMMYFUNCTION("GOOGLETRANSLATE(F467, ""auto"", ""en"")
"),"The meat grinder works great, and also as a vegetable cutter. But as a vegetable cutter, there is one drawback - the nozzle for vegetables has a large outlet, when working, the finished chopped vegetables scatter around the kitchen, you have to come up wi"&amp;"th something to cover the nozzle from the sides so that the chopped vegetables fall into the container. I looked through the instructions again, thinking that maybe I missed something in the assembly, but no.")</f>
        <v>The meat grinder works great, and also as a vegetable cutter. But as a vegetable cutter, there is one drawback - the nozzle for vegetables has a large outlet, when working, the finished chopped vegetables scatter around the kitchen, you have to come up with something to cover the nozzle from the sides so that the chopped vegetables fall into the container. I looked through the instructions again, thinking that maybe I missed something in the assembly, but no.</v>
      </c>
    </row>
    <row r="468" spans="1:9" x14ac:dyDescent="0.3">
      <c r="A468" s="1" t="s">
        <v>477</v>
      </c>
      <c r="B468" s="1" t="s">
        <v>478</v>
      </c>
      <c r="C468" s="1" t="s">
        <v>479</v>
      </c>
      <c r="D468" s="1" t="s">
        <v>1317</v>
      </c>
      <c r="E468" s="1" t="s">
        <v>617</v>
      </c>
      <c r="F468" s="1" t="s">
        <v>1318</v>
      </c>
      <c r="G468" s="1" t="s">
        <v>36</v>
      </c>
      <c r="H468" s="1" t="s">
        <v>29</v>
      </c>
      <c r="I468" s="1" t="str">
        <f ca="1">IFERROR(__xludf.DUMMYFUNCTION("GOOGLETRANSLATE(F468, ""auto"", ""en"")
"),"I WAS BANNED FOR CHEATING, BUT NOTHING, THE GAME COSTS ONLY $10, and in the WEST it’s $49, SO I WILL BUY 4 MORE DISCS OF LITSUCHA AND WILL CONTINUE TO CHEAT FOR A YEAR, THAT’S ENOUGH, THE LAST WALLHACK WAS ABLE TO WORK FOR 3 MONTHS AND THEN BAN!")</f>
        <v>I WAS BANNED FOR CHEATING, BUT NOTHING, THE GAME COSTS ONLY $10, and in the WEST it’s $49, SO I WILL BUY 4 MORE DISCS OF LITSUCHA AND WILL CONTINUE TO CHEAT FOR A YEAR, THAT’S ENOUGH, THE LAST WALLHACK WAS ABLE TO WORK FOR 3 MONTHS AND THEN BAN!</v>
      </c>
    </row>
    <row r="469" spans="1:9" x14ac:dyDescent="0.3">
      <c r="A469" s="1" t="s">
        <v>149</v>
      </c>
      <c r="B469" s="1" t="s">
        <v>155</v>
      </c>
      <c r="C469" s="1" t="s">
        <v>80</v>
      </c>
      <c r="D469" s="1" t="s">
        <v>152</v>
      </c>
      <c r="E469" s="1" t="s">
        <v>1319</v>
      </c>
      <c r="F469" s="1" t="s">
        <v>1320</v>
      </c>
      <c r="G469" s="1" t="s">
        <v>28</v>
      </c>
      <c r="H469" s="1" t="s">
        <v>29</v>
      </c>
      <c r="I469" s="1" t="str">
        <f ca="1">IFERROR(__xludf.DUMMYFUNCTION("GOOGLETRANSLATE(F469, ""auto"", ""en"")
"),"It’s a good vacuum cleaner. At least my family liked it... Quite a good suction power of 410 W. How many times have I vacuumed the power adjustment, I never touched the power adjustment, I don’t know how people manage it :-) The dust container is more or "&amp;"less convenient, I didn’t experience any difficulties with emptying debris... The container is really not very convenient to wash if the water pressure is low... well, these are minor things compared to the advantages. In short, a normal vacuum cleaner.")</f>
        <v>It’s a good vacuum cleaner. At least my family liked it... Quite a good suction power of 410 W. How many times have I vacuumed the power adjustment, I never touched the power adjustment, I don’t know how people manage it :-) The dust container is more or less convenient, I didn’t experience any difficulties with emptying debris... The container is really not very convenient to wash if the water pressure is low... well, these are minor things compared to the advantages. In short, a normal vacuum cleaner.</v>
      </c>
    </row>
    <row r="470" spans="1:9" x14ac:dyDescent="0.3">
      <c r="A470" s="1" t="s">
        <v>30</v>
      </c>
      <c r="B470" s="1" t="s">
        <v>50</v>
      </c>
      <c r="C470" s="1" t="s">
        <v>32</v>
      </c>
      <c r="D470" s="1" t="s">
        <v>152</v>
      </c>
      <c r="E470" s="1" t="s">
        <v>1321</v>
      </c>
      <c r="F470" s="1" t="s">
        <v>1322</v>
      </c>
      <c r="G470" s="1" t="s">
        <v>36</v>
      </c>
      <c r="H470" s="1" t="s">
        <v>29</v>
      </c>
      <c r="I470" s="1" t="str">
        <f ca="1">IFERROR(__xludf.DUMMYFUNCTION("GOOGLETRANSLATE(F470, ""auto"", ""en"")
"),"Simply a wonderful machine, extremely convenient due to the large monitor and backlit keyboard. In addition, you can increase the amount of memory - add a disk, there is an additional one. slot")</f>
        <v>Simply a wonderful machine, extremely convenient due to the large monitor and backlit keyboard. In addition, you can increase the amount of memory - add a disk, there is an additional one. slot</v>
      </c>
    </row>
    <row r="471" spans="1:9" x14ac:dyDescent="0.3">
      <c r="A471" s="1" t="s">
        <v>30</v>
      </c>
      <c r="B471" s="1" t="s">
        <v>50</v>
      </c>
      <c r="C471" s="1" t="s">
        <v>1003</v>
      </c>
      <c r="D471" s="1" t="s">
        <v>117</v>
      </c>
      <c r="E471" s="1" t="s">
        <v>960</v>
      </c>
      <c r="F471" s="1" t="s">
        <v>1323</v>
      </c>
      <c r="G471" s="1" t="s">
        <v>28</v>
      </c>
      <c r="H471" s="1" t="s">
        <v>29</v>
      </c>
      <c r="I471" s="1" t="str">
        <f ca="1">IFERROR(__xludf.DUMMYFUNCTION("GOOGLETRANSLATE(F471, ""auto"", ""en"")
"),"I bought this laptop in December last year. At first I was simply delighted. Everything worked just fine, there were no problems with games or movies.   But after half a year it began to get very hot on the left side, and it got so hot that it became scar"&amp;"y. Now you can’t even touch it, it’s like a hot iron. All games, applications and movies began to slow down insanely. I'm thinking of sending it to a service center, maybe it's due to dust. I hope the M-video guarantee helps.  There are no other complaint"&amp;"s.")</f>
        <v>I bought this laptop in December last year. At first I was simply delighted. Everything worked just fine, there were no problems with games or movies.   But after half a year it began to get very hot on the left side, and it got so hot that it became scary. Now you can’t even touch it, it’s like a hot iron. All games, applications and movies began to slow down insanely. I'm thinking of sending it to a service center, maybe it's due to dust. I hope the M-video guarantee helps.  There are no other complaints.</v>
      </c>
    </row>
    <row r="472" spans="1:9" x14ac:dyDescent="0.3">
      <c r="A472" s="1" t="s">
        <v>17</v>
      </c>
      <c r="B472" s="1" t="s">
        <v>18</v>
      </c>
      <c r="C472" s="1" t="s">
        <v>134</v>
      </c>
      <c r="D472" s="1" t="s">
        <v>967</v>
      </c>
      <c r="E472" s="1" t="s">
        <v>1324</v>
      </c>
      <c r="F472" s="1" t="s">
        <v>1325</v>
      </c>
      <c r="G472" s="1" t="s">
        <v>49</v>
      </c>
      <c r="H472" s="1" t="s">
        <v>16</v>
      </c>
      <c r="I472" s="1" t="str">
        <f ca="1">IFERROR(__xludf.DUMMYFUNCTION("GOOGLETRANSLATE(F472, ""auto"", ""en"")
"),"On the first day of purchase, the hatch handle broke.")</f>
        <v>On the first day of purchase, the hatch handle broke.</v>
      </c>
    </row>
    <row r="473" spans="1:9" x14ac:dyDescent="0.3">
      <c r="A473" s="1" t="s">
        <v>105</v>
      </c>
      <c r="B473" s="1" t="s">
        <v>106</v>
      </c>
      <c r="C473" s="1" t="s">
        <v>97</v>
      </c>
      <c r="D473" s="1" t="s">
        <v>1326</v>
      </c>
      <c r="E473" s="1" t="s">
        <v>1327</v>
      </c>
      <c r="F473" s="1" t="s">
        <v>1328</v>
      </c>
      <c r="G473" s="1" t="s">
        <v>36</v>
      </c>
      <c r="H473" s="1" t="s">
        <v>29</v>
      </c>
      <c r="I473" s="1" t="str">
        <f ca="1">IFERROR(__xludf.DUMMYFUNCTION("GOOGLETRANSLATE(F473, ""auto"", ""en"")
"),"Great player. All its advantages have already been said, and I completely agree with people’s opinions. As for headphones, I haven’t seen a player that comes with high-quality headphones.")</f>
        <v>Great player. All its advantages have already been said, and I completely agree with people’s opinions. As for headphones, I haven’t seen a player that comes with high-quality headphones.</v>
      </c>
    </row>
    <row r="474" spans="1:9" x14ac:dyDescent="0.3">
      <c r="A474" s="1" t="s">
        <v>149</v>
      </c>
      <c r="B474" s="1" t="s">
        <v>576</v>
      </c>
      <c r="C474" s="1" t="s">
        <v>85</v>
      </c>
      <c r="D474" s="1" t="s">
        <v>1329</v>
      </c>
      <c r="E474" s="1" t="s">
        <v>1330</v>
      </c>
      <c r="F474" s="1" t="s">
        <v>1331</v>
      </c>
      <c r="G474" s="1" t="s">
        <v>15</v>
      </c>
      <c r="H474" s="1" t="s">
        <v>16</v>
      </c>
      <c r="I474" s="1" t="str">
        <f ca="1">IFERROR(__xludf.DUMMYFUNCTION("GOOGLETRANSLATE(F474, ""auto"", ""en"")
"),"We purchased a vacuum cleaner about 3 months ago and didn’t have time to really evaluate it. We understood only one thing - it heats up like an iron, you can probably even cook on it. The owner definitely didn’t like it, and yesterday he completely switch"&amp;"ed off on his own. Then it cooled down and started working again. Let's try contacting the store where we purchased it.")</f>
        <v>We purchased a vacuum cleaner about 3 months ago and didn’t have time to really evaluate it. We understood only one thing - it heats up like an iron, you can probably even cook on it. The owner definitely didn’t like it, and yesterday he completely switched off on his own. Then it cooled down and started working again. Let's try contacting the store where we purchased it.</v>
      </c>
    </row>
    <row r="475" spans="1:9" x14ac:dyDescent="0.3">
      <c r="A475" s="1" t="s">
        <v>17</v>
      </c>
      <c r="B475" s="1" t="s">
        <v>18</v>
      </c>
      <c r="C475" s="1" t="s">
        <v>159</v>
      </c>
      <c r="D475" s="1" t="s">
        <v>592</v>
      </c>
      <c r="E475" s="1" t="s">
        <v>1332</v>
      </c>
      <c r="F475" s="1" t="s">
        <v>1333</v>
      </c>
      <c r="G475" s="1" t="s">
        <v>28</v>
      </c>
      <c r="H475" s="1" t="s">
        <v>29</v>
      </c>
      <c r="I475" s="1" t="str">
        <f ca="1">IFERROR(__xludf.DUMMYFUNCTION("GOOGLETRANSLATE(F475, ""auto"", ""en"")
"),"Decent machine. It works quietly, one might say delicately. There is a quick wash mode: convenient when you don’t have time.  Before this, I used real Italian Ardo for 12 years. The dimensions, judging by the technical data sheet, are the same, but for so"&amp;"me reason the new Electrolux did not “fit” into the space intended for it. It turned out to be literally 1 cm wider. Now it sticks out in the bathroom more than it should have.  One inconvenience: the remaining wash time is not reflected in any way. In th"&amp;"e old machine, the lever gradually moved during the washing process, and it was clear how much time was left.")</f>
        <v>Decent machine. It works quietly, one might say delicately. There is a quick wash mode: convenient when you don’t have time.  Before this, I used real Italian Ardo for 12 years. The dimensions, judging by the technical data sheet, are the same, but for some reason the new Electrolux did not “fit” into the space intended for it. It turned out to be literally 1 cm wider. Now it sticks out in the bathroom more than it should have.  One inconvenience: the remaining wash time is not reflected in any way. In the old machine, the lever gradually moved during the washing process, and it was clear how much time was left.</v>
      </c>
    </row>
    <row r="476" spans="1:9" x14ac:dyDescent="0.3">
      <c r="A476" s="1" t="s">
        <v>95</v>
      </c>
      <c r="B476" s="1" t="s">
        <v>1334</v>
      </c>
      <c r="C476" s="1" t="s">
        <v>487</v>
      </c>
      <c r="D476" s="1" t="s">
        <v>1335</v>
      </c>
      <c r="E476" s="1" t="s">
        <v>1336</v>
      </c>
      <c r="F476" s="1" t="s">
        <v>1337</v>
      </c>
      <c r="G476" s="1" t="s">
        <v>36</v>
      </c>
      <c r="H476" s="1" t="s">
        <v>29</v>
      </c>
      <c r="I476" s="1" t="str">
        <f ca="1">IFERROR(__xludf.DUMMYFUNCTION("GOOGLETRANSLATE(F476, ""auto"", ""en"")
"),"Excellent controller, adjustable crosspiece, high-quality material, pleasant to the touch, buttons work flawlessly - easily and clearly, wireless, a little heavier than analog - the quality of vibration feedback is even more realistic and noticeable. I've"&amp;" been using it for almost a year now and I'm happy with it! I recommend! Enjoy your experience on Xbox 360.")</f>
        <v>Excellent controller, adjustable crosspiece, high-quality material, pleasant to the touch, buttons work flawlessly - easily and clearly, wireless, a little heavier than analog - the quality of vibration feedback is even more realistic and noticeable. I've been using it for almost a year now and I'm happy with it! I recommend! Enjoy your experience on Xbox 360.</v>
      </c>
    </row>
    <row r="477" spans="1:9" x14ac:dyDescent="0.3">
      <c r="A477" s="1" t="s">
        <v>169</v>
      </c>
      <c r="B477" s="1" t="s">
        <v>170</v>
      </c>
      <c r="C477" s="1" t="s">
        <v>122</v>
      </c>
      <c r="D477" s="1" t="s">
        <v>1338</v>
      </c>
      <c r="E477" s="1" t="s">
        <v>1339</v>
      </c>
      <c r="F477" s="1" t="s">
        <v>1340</v>
      </c>
      <c r="G477" s="1" t="s">
        <v>36</v>
      </c>
      <c r="H477" s="1" t="s">
        <v>29</v>
      </c>
      <c r="I477" s="1" t="str">
        <f ca="1">IFERROR(__xludf.DUMMYFUNCTION("GOOGLETRANSLATE(F477, ""auto"", ""en"")
"),"The headphones are excellent, the high mids are excellent, the lows are not particularly deep but are very accurate, you can easily make out the sound of individual bass guitar strings.  We were very pleased and met expectations. 3rd day of use. The cord "&amp;"looks a little flimsy, but if you don’t use it in the cold, then I think it will be in order.")</f>
        <v>The headphones are excellent, the high mids are excellent, the lows are not particularly deep but are very accurate, you can easily make out the sound of individual bass guitar strings.  We were very pleased and met expectations. 3rd day of use. The cord looks a little flimsy, but if you don’t use it in the cold, then I think it will be in order.</v>
      </c>
    </row>
    <row r="478" spans="1:9" x14ac:dyDescent="0.3">
      <c r="A478" s="1" t="s">
        <v>55</v>
      </c>
      <c r="B478" s="1" t="s">
        <v>235</v>
      </c>
      <c r="C478" s="1" t="s">
        <v>1341</v>
      </c>
      <c r="D478" s="1" t="s">
        <v>203</v>
      </c>
      <c r="E478" s="1" t="s">
        <v>1342</v>
      </c>
      <c r="F478" s="1" t="s">
        <v>1343</v>
      </c>
      <c r="G478" s="1" t="s">
        <v>36</v>
      </c>
      <c r="H478" s="1" t="s">
        <v>29</v>
      </c>
      <c r="I478" s="1" t="str">
        <f ca="1">IFERROR(__xludf.DUMMYFUNCTION("GOOGLETRANSLATE(F478, ""auto"", ""en"")
"),"great thing! Light, small and surprisingly powerful, produces hot air instantly, very pleased with the purchase")</f>
        <v>great thing! Light, small and surprisingly powerful, produces hot air instantly, very pleased with the purchase</v>
      </c>
    </row>
    <row r="479" spans="1:9" x14ac:dyDescent="0.3">
      <c r="A479" s="1" t="s">
        <v>61</v>
      </c>
      <c r="B479" s="1" t="s">
        <v>224</v>
      </c>
      <c r="C479" s="1" t="s">
        <v>74</v>
      </c>
      <c r="D479" s="1" t="s">
        <v>592</v>
      </c>
      <c r="E479" s="1" t="s">
        <v>375</v>
      </c>
      <c r="F479" s="1" t="s">
        <v>1344</v>
      </c>
      <c r="G479" s="1" t="s">
        <v>36</v>
      </c>
      <c r="H479" s="1" t="s">
        <v>29</v>
      </c>
      <c r="I479" s="1" t="str">
        <f ca="1">IFERROR(__xludf.DUMMYFUNCTION("GOOGLETRANSLATE(F479, ""auto"", ""en"")
"),"I agree with Sasha and Natasha. The best, most comfortable! I’ve been using it for several years and bought a second one for the dacha. Very easy to disassemble, assemble and clean!")</f>
        <v>I agree with Sasha and Natasha. The best, most comfortable! I’ve been using it for several years and bought a second one for the dacha. Very easy to disassemble, assemble and clean!</v>
      </c>
    </row>
    <row r="480" spans="1:9" x14ac:dyDescent="0.3">
      <c r="A480" s="1" t="s">
        <v>169</v>
      </c>
      <c r="B480" s="1" t="s">
        <v>170</v>
      </c>
      <c r="C480" s="1" t="s">
        <v>193</v>
      </c>
      <c r="D480" s="1" t="s">
        <v>172</v>
      </c>
      <c r="E480" s="1" t="s">
        <v>1345</v>
      </c>
      <c r="F480" s="1" t="s">
        <v>1346</v>
      </c>
      <c r="G480" s="1" t="s">
        <v>36</v>
      </c>
      <c r="H480" s="1" t="s">
        <v>29</v>
      </c>
      <c r="I480" s="1" t="str">
        <f ca="1">IFERROR(__xludf.DUMMYFUNCTION("GOOGLETRANSLATE(F480, ""auto"", ""en"")
"),"By the way, not so long ago I came across an article where the Sennheiser HD-215 and Sennheiser HD-485 were compared, as a result, the rating of 215 was slightly higher, I think this circumstance is not so important, the headphones are practically of the "&amp;"same class, but if you take into account the fact that the headphones were tested in many parameters by experts, then... of course, judge for yourself.))) But in my personal opinion, the 215 is more practical, a twisted detachable wire, the ear rim is “un"&amp;"der the skin” + hinge on the right ;-)")</f>
        <v>By the way, not so long ago I came across an article where the Sennheiser HD-215 and Sennheiser HD-485 were compared, as a result, the rating of 215 was slightly higher, I think this circumstance is not so important, the headphones are practically of the same class, but if you take into account the fact that the headphones were tested in many parameters by experts, then... of course, judge for yourself.))) But in my personal opinion, the 215 is more practical, a twisted detachable wire, the ear rim is “under the skin” + hinge on the right ;-)</v>
      </c>
    </row>
    <row r="481" spans="1:9" x14ac:dyDescent="0.3">
      <c r="A481" s="1" t="s">
        <v>206</v>
      </c>
      <c r="B481" s="1" t="s">
        <v>207</v>
      </c>
      <c r="C481" s="1" t="s">
        <v>262</v>
      </c>
      <c r="D481" s="1" t="s">
        <v>117</v>
      </c>
      <c r="E481" s="1" t="s">
        <v>1347</v>
      </c>
      <c r="F481" s="1" t="s">
        <v>1348</v>
      </c>
      <c r="G481" s="1" t="s">
        <v>36</v>
      </c>
      <c r="H481" s="1" t="s">
        <v>29</v>
      </c>
      <c r="I481" s="1" t="str">
        <f ca="1">IFERROR(__xludf.DUMMYFUNCTION("GOOGLETRANSLATE(F481, ""auto"", ""en"")
"),"The set is excellent, I bought it for a doublet, I really like everything, it plays 100%, the bass is just gorgeous, everything that can rattle rattles, I was told that their amp is crap, nothing like that, take it perfectly, you won’t regret it!)))")</f>
        <v>The set is excellent, I bought it for a doublet, I really like everything, it plays 100%, the bass is just gorgeous, everything that can rattle rattles, I was told that their amp is crap, nothing like that, take it perfectly, you won’t regret it!)))</v>
      </c>
    </row>
    <row r="482" spans="1:9" x14ac:dyDescent="0.3">
      <c r="A482" s="1" t="s">
        <v>206</v>
      </c>
      <c r="B482" s="1" t="s">
        <v>1349</v>
      </c>
      <c r="C482" s="1" t="s">
        <v>262</v>
      </c>
      <c r="D482" s="1" t="s">
        <v>345</v>
      </c>
      <c r="E482" s="1" t="s">
        <v>1350</v>
      </c>
      <c r="F482" s="1" t="s">
        <v>1351</v>
      </c>
      <c r="G482" s="1" t="s">
        <v>36</v>
      </c>
      <c r="H482" s="1" t="s">
        <v>29</v>
      </c>
      <c r="I482" s="1" t="str">
        <f ca="1">IFERROR(__xludf.DUMMYFUNCTION("GOOGLETRANSLATE(F482, ""auto"", ""en"")
"),"The radio makes me happy, everything works well, but I can’t start the GPS navigator...")</f>
        <v>The radio makes me happy, everything works well, but I can’t start the GPS navigator...</v>
      </c>
    </row>
    <row r="483" spans="1:9" x14ac:dyDescent="0.3">
      <c r="A483" s="1" t="s">
        <v>37</v>
      </c>
      <c r="B483" s="1" t="s">
        <v>38</v>
      </c>
      <c r="C483" s="1" t="s">
        <v>163</v>
      </c>
      <c r="D483" s="1" t="s">
        <v>545</v>
      </c>
      <c r="E483" s="1" t="s">
        <v>1352</v>
      </c>
      <c r="F483" s="1" t="s">
        <v>1353</v>
      </c>
      <c r="G483" s="1" t="s">
        <v>36</v>
      </c>
      <c r="H483" s="1" t="s">
        <v>29</v>
      </c>
      <c r="I483" s="1" t="str">
        <f ca="1">IFERROR(__xludf.DUMMYFUNCTION("GOOGLETRANSLATE(F483, ""auto"", ""en"")
"),"I like and am happy with this phone!")</f>
        <v>I like and am happy with this phone!</v>
      </c>
    </row>
    <row r="484" spans="1:9" x14ac:dyDescent="0.3">
      <c r="A484" s="1" t="s">
        <v>30</v>
      </c>
      <c r="B484" s="1" t="s">
        <v>31</v>
      </c>
      <c r="C484" s="1" t="s">
        <v>32</v>
      </c>
      <c r="D484" s="1" t="s">
        <v>345</v>
      </c>
      <c r="E484" s="1" t="s">
        <v>1122</v>
      </c>
      <c r="F484" s="1" t="s">
        <v>1354</v>
      </c>
      <c r="G484" s="1" t="s">
        <v>36</v>
      </c>
      <c r="H484" s="1" t="s">
        <v>29</v>
      </c>
      <c r="I484" s="1" t="str">
        <f ca="1">IFERROR(__xludf.DUMMYFUNCTION("GOOGLETRANSLATE(F484, ""auto"", ""en"")
"),"The computer is of very high quality, not counting the fact that it has a 32-bit system, but I don’t think it’s a problem to reinstall)) so I’m very happy with the purchase... the best computer!!!")</f>
        <v>The computer is of very high quality, not counting the fact that it has a 32-bit system, but I don’t think it’s a problem to reinstall)) so I’m very happy with the purchase... the best computer!!!</v>
      </c>
    </row>
    <row r="485" spans="1:9" x14ac:dyDescent="0.3">
      <c r="A485" s="1" t="s">
        <v>557</v>
      </c>
      <c r="B485" s="1" t="s">
        <v>558</v>
      </c>
      <c r="C485" s="1" t="s">
        <v>122</v>
      </c>
      <c r="D485" s="1" t="s">
        <v>39</v>
      </c>
      <c r="E485" s="1" t="s">
        <v>1355</v>
      </c>
      <c r="F485" s="1" t="s">
        <v>1356</v>
      </c>
      <c r="G485" s="1" t="s">
        <v>49</v>
      </c>
      <c r="H485" s="1" t="s">
        <v>16</v>
      </c>
      <c r="I485" s="1" t="str">
        <f ca="1">IFERROR(__xludf.DUMMYFUNCTION("GOOGLETRANSLATE(F485, ""auto"", ""en"")
"),"The included battery does not hold up due to old age or the phone. consumes a lot of energy. After less than a minute on speakerphone, the phone interrupts the call, the screen goes blank, and the phone reboots. It's scary!!!")</f>
        <v>The included battery does not hold up due to old age or the phone. consumes a lot of energy. After less than a minute on speakerphone, the phone interrupts the call, the screen goes blank, and the phone reboots. It's scary!!!</v>
      </c>
    </row>
    <row r="486" spans="1:9" x14ac:dyDescent="0.3">
      <c r="A486" s="1" t="s">
        <v>238</v>
      </c>
      <c r="B486" s="1" t="s">
        <v>239</v>
      </c>
      <c r="C486" s="1" t="s">
        <v>151</v>
      </c>
      <c r="D486" s="1" t="s">
        <v>61</v>
      </c>
      <c r="E486" s="1" t="s">
        <v>1207</v>
      </c>
      <c r="F486" s="1" t="s">
        <v>1357</v>
      </c>
      <c r="G486" s="1" t="s">
        <v>36</v>
      </c>
      <c r="H486" s="1" t="s">
        <v>29</v>
      </c>
      <c r="I486" s="1" t="str">
        <f ca="1">IFERROR(__xludf.DUMMYFUNCTION("GOOGLETRANSLATE(F486, ""auto"", ""en"")
"),"Awesome refrigerator... haven't found any cons yet)))")</f>
        <v>Awesome refrigerator... haven't found any cons yet)))</v>
      </c>
    </row>
    <row r="487" spans="1:9" x14ac:dyDescent="0.3">
      <c r="A487" s="1" t="s">
        <v>61</v>
      </c>
      <c r="B487" s="1" t="s">
        <v>726</v>
      </c>
      <c r="C487" s="1" t="s">
        <v>146</v>
      </c>
      <c r="D487" s="1" t="s">
        <v>127</v>
      </c>
      <c r="E487" s="1" t="s">
        <v>563</v>
      </c>
      <c r="F487" s="1" t="s">
        <v>1358</v>
      </c>
      <c r="G487" s="1" t="s">
        <v>36</v>
      </c>
      <c r="H487" s="1" t="s">
        <v>29</v>
      </c>
      <c r="I487" s="1" t="str">
        <f ca="1">IFERROR(__xludf.DUMMYFUNCTION("GOOGLETRANSLATE(F487, ""auto"", ""en"")
"),"I have been using the stove for 4 years and am very pleased. I bought a round bucket for it in an online store. I don’t recommend cooking jam in it, it will just ruin the seal. Rye bread turns out wonderful on program 5 (French bread) without sourdough, b"&amp;"ut with the same yeast. I rarely bake buns, but I do make pizza dough. I am very pleased with the stove. I don't dilute the milk. Here is the recipe for rye bread that I make: Warm water 600 ml salt 2 tsp. wheat flour 200g. rye flour 500g. instant dry yea"&amp;"st 1.5 tsp.")</f>
        <v>I have been using the stove for 4 years and am very pleased. I bought a round bucket for it in an online store. I don’t recommend cooking jam in it, it will just ruin the seal. Rye bread turns out wonderful on program 5 (French bread) without sourdough, but with the same yeast. I rarely bake buns, but I do make pizza dough. I am very pleased with the stove. I don't dilute the milk. Here is the recipe for rye bread that I make: Warm water 600 ml salt 2 tsp. wheat flour 200g. rye flour 500g. instant dry yeast 1.5 tsp.</v>
      </c>
    </row>
    <row r="488" spans="1:9" x14ac:dyDescent="0.3">
      <c r="A488" s="1" t="s">
        <v>61</v>
      </c>
      <c r="B488" s="1" t="s">
        <v>318</v>
      </c>
      <c r="C488" s="1" t="s">
        <v>63</v>
      </c>
      <c r="D488" s="1" t="s">
        <v>891</v>
      </c>
      <c r="E488" s="1" t="s">
        <v>1359</v>
      </c>
      <c r="F488" s="1" t="s">
        <v>1360</v>
      </c>
      <c r="G488" s="1" t="s">
        <v>49</v>
      </c>
      <c r="H488" s="1" t="s">
        <v>16</v>
      </c>
      <c r="I488" s="1" t="str">
        <f ca="1">IFERROR(__xludf.DUMMYFUNCTION("GOOGLETRANSLATE(F488, ""auto"", ""en"")
"),"I respect Bosch, I haven’t stopped respecting even after THIS... However, THIS model is something! Pours boiling water past the cup with any volume of water in the kettle!  I was surprised to see that they were still riveting it and trying to sell it. I’v"&amp;"e seen a lot of bad teapots, but only this “miracle” of German design can pour so neatly!..")</f>
        <v>I respect Bosch, I haven’t stopped respecting even after THIS... However, THIS model is something! Pours boiling water past the cup with any volume of water in the kettle!  I was surprised to see that they were still riveting it and trying to sell it. I’ve seen a lot of bad teapots, but only this “miracle” of German design can pour so neatly!..</v>
      </c>
    </row>
    <row r="489" spans="1:9" x14ac:dyDescent="0.3">
      <c r="A489" s="1" t="s">
        <v>211</v>
      </c>
      <c r="B489" s="1" t="s">
        <v>212</v>
      </c>
      <c r="C489" s="1" t="s">
        <v>381</v>
      </c>
      <c r="D489" s="1" t="s">
        <v>1361</v>
      </c>
      <c r="E489" s="1" t="s">
        <v>1362</v>
      </c>
      <c r="F489" s="1" t="s">
        <v>1363</v>
      </c>
      <c r="G489" s="1" t="s">
        <v>36</v>
      </c>
      <c r="H489" s="1" t="s">
        <v>29</v>
      </c>
      <c r="I489" s="1" t="str">
        <f ca="1">IFERROR(__xludf.DUMMYFUNCTION("GOOGLETRANSLATE(F489, ""auto"", ""en"")
"),"I bought it, I liked it, I don’t regret it. Home delivery through the online store is very convenient.")</f>
        <v>I bought it, I liked it, I don’t regret it. Home delivery through the online store is very convenient.</v>
      </c>
    </row>
    <row r="490" spans="1:9" x14ac:dyDescent="0.3">
      <c r="A490" s="1" t="s">
        <v>30</v>
      </c>
      <c r="B490" s="1" t="s">
        <v>50</v>
      </c>
      <c r="C490" s="1" t="s">
        <v>32</v>
      </c>
      <c r="D490" s="1" t="s">
        <v>52</v>
      </c>
      <c r="E490" s="1" t="s">
        <v>675</v>
      </c>
      <c r="F490" s="1" t="s">
        <v>1364</v>
      </c>
      <c r="G490" s="1" t="s">
        <v>28</v>
      </c>
      <c r="H490" s="1" t="s">
        <v>29</v>
      </c>
      <c r="I490" s="1" t="str">
        <f ca="1">IFERROR(__xludf.DUMMYFUNCTION("GOOGLETRANSLATE(F490, ""auto"", ""en"")
"),"I bought this laptop two days ago and am happy with everything about it, except for the antivirus software. I decided to install NOD32 64bit on 7, everything was installed, but after subsequent reboots the machine froze. I’m thinking about switching to th"&amp;"e usual XP, but the laptop is worth the money.")</f>
        <v>I bought this laptop two days ago and am happy with everything about it, except for the antivirus software. I decided to install NOD32 64bit on 7, everything was installed, but after subsequent reboots the machine froze. I’m thinking about switching to the usual XP, but the laptop is worth the money.</v>
      </c>
    </row>
    <row r="491" spans="1:9" x14ac:dyDescent="0.3">
      <c r="A491" s="1" t="s">
        <v>78</v>
      </c>
      <c r="B491" s="1" t="s">
        <v>493</v>
      </c>
      <c r="C491" s="1" t="s">
        <v>122</v>
      </c>
      <c r="D491" s="1" t="s">
        <v>471</v>
      </c>
      <c r="E491" s="1" t="s">
        <v>1365</v>
      </c>
      <c r="F491" s="1" t="s">
        <v>1366</v>
      </c>
      <c r="G491" s="1" t="s">
        <v>36</v>
      </c>
      <c r="H491" s="1" t="s">
        <v>29</v>
      </c>
      <c r="I491" s="1" t="str">
        <f ca="1">IFERROR(__xludf.DUMMYFUNCTION("GOOGLETRANSLATE(F491, ""auto"", ""en"")
"),"Very good oven. It’s powerful, and most importantly, it’s been working for us for 6 years.")</f>
        <v>Very good oven. It’s powerful, and most importantly, it’s been working for us for 6 years.</v>
      </c>
    </row>
    <row r="492" spans="1:9" x14ac:dyDescent="0.3">
      <c r="A492" s="1" t="s">
        <v>120</v>
      </c>
      <c r="B492" s="1" t="s">
        <v>121</v>
      </c>
      <c r="C492" s="1" t="s">
        <v>69</v>
      </c>
      <c r="D492" s="1" t="s">
        <v>1367</v>
      </c>
      <c r="E492" s="1" t="s">
        <v>498</v>
      </c>
      <c r="F492" s="1" t="s">
        <v>1368</v>
      </c>
      <c r="G492" s="1" t="s">
        <v>36</v>
      </c>
      <c r="H492" s="1" t="s">
        <v>29</v>
      </c>
      <c r="I492" s="1" t="str">
        <f ca="1">IFERROR(__xludf.DUMMYFUNCTION("GOOGLETRANSLATE(F492, ""auto"", ""en"")
"),"I've been using TV for a week now. The positive aspects include: good image (compared to my previous TV), affordable price, good design and swivel stand. The only thing that disappointed me was the poor placement of the speakers, which distorts the sound!")</f>
        <v>I've been using TV for a week now. The positive aspects include: good image (compared to my previous TV), affordable price, good design and swivel stand. The only thing that disappointed me was the poor placement of the speakers, which distorts the sound!</v>
      </c>
    </row>
    <row r="493" spans="1:9" x14ac:dyDescent="0.3">
      <c r="A493" s="1" t="s">
        <v>30</v>
      </c>
      <c r="B493" s="1" t="s">
        <v>50</v>
      </c>
      <c r="C493" s="1" t="s">
        <v>32</v>
      </c>
      <c r="D493" s="1" t="s">
        <v>417</v>
      </c>
      <c r="E493" s="1" t="s">
        <v>393</v>
      </c>
      <c r="F493" s="1" t="s">
        <v>1369</v>
      </c>
      <c r="G493" s="1" t="s">
        <v>36</v>
      </c>
      <c r="H493" s="1" t="s">
        <v>29</v>
      </c>
      <c r="I493" s="1" t="str">
        <f ca="1">IFERROR(__xludf.DUMMYFUNCTION("GOOGLETRANSLATE(F493, ""auto"", ""en"")
"),"I bought it, I don’t regret anything, I answer Liliya no, it finally doesn’t vibrate (due to the load) and doesn’t make any noise at all for no reason, I don’t know about you, but I’m not going to change Win7 to HP, the performance is greater than on a co"&amp;"mputer, i.e. 5.9 op/sec CPU bus, the design is very pleasing, the screen is 15.6, but that’s enough for me, the colors on the camera are super, but if you’re a noob or If you need less than half of the functions of this laptop, then you are better off cho"&amp;"osing something simpler (see Emachines)")</f>
        <v>I bought it, I don’t regret anything, I answer Liliya no, it finally doesn’t vibrate (due to the load) and doesn’t make any noise at all for no reason, I don’t know about you, but I’m not going to change Win7 to HP, the performance is greater than on a computer, i.e. 5.9 op/sec CPU bus, the design is very pleasing, the screen is 15.6, but that’s enough for me, the colors on the camera are super, but if you’re a noob or If you need less than half of the functions of this laptop, then you are better off choosing something simpler (see Emachines)</v>
      </c>
    </row>
    <row r="494" spans="1:9" x14ac:dyDescent="0.3">
      <c r="A494" s="1" t="s">
        <v>43</v>
      </c>
      <c r="B494" s="1" t="s">
        <v>1370</v>
      </c>
      <c r="C494" s="1" t="s">
        <v>304</v>
      </c>
      <c r="D494" s="1" t="s">
        <v>172</v>
      </c>
      <c r="E494" s="1" t="s">
        <v>1371</v>
      </c>
      <c r="F494" s="1" t="s">
        <v>1372</v>
      </c>
      <c r="G494" s="1" t="s">
        <v>36</v>
      </c>
      <c r="H494" s="1" t="s">
        <v>29</v>
      </c>
      <c r="I494" s="1" t="str">
        <f ca="1">IFERROR(__xludf.DUMMYFUNCTION("GOOGLETRANSLATE(F494, ""auto"", ""en"")
"),"I live in Uralmash in a Khrushchev building, and there are frequent interruptions in hot water. I bought myself Etalon 5, installed it and had no problems. It has been working for 4 years now! I recommend it to everyone!")</f>
        <v>I live in Uralmash in a Khrushchev building, and there are frequent interruptions in hot water. I bought myself Etalon 5, installed it and had no problems. It has been working for 4 years now! I recommend it to everyone!</v>
      </c>
    </row>
    <row r="495" spans="1:9" x14ac:dyDescent="0.3">
      <c r="A495" s="1" t="s">
        <v>55</v>
      </c>
      <c r="B495" s="1" t="s">
        <v>56</v>
      </c>
      <c r="C495" s="1" t="s">
        <v>1373</v>
      </c>
      <c r="D495" s="1" t="s">
        <v>232</v>
      </c>
      <c r="E495" s="1" t="s">
        <v>1374</v>
      </c>
      <c r="F495" s="1" t="s">
        <v>1375</v>
      </c>
      <c r="G495" s="1" t="s">
        <v>36</v>
      </c>
      <c r="H495" s="1" t="s">
        <v>29</v>
      </c>
      <c r="I495" s="1" t="str">
        <f ca="1">IFERROR(__xludf.DUMMYFUNCTION("GOOGLETRANSLATE(F495, ""auto"", ""en"")
"),"Air humidifier Boneco 7135. Perfectly humidifies the air. It doesn't buzz. You can't hear him at night. Large water tank - more than 6 liters, does not require frequent addition of water. Very powerful. For a seven-year-old child, the air in the room was "&amp;"not too dry and, as a result, the nasal congestion went away the next morning, which had been treated for a month by rinsing with lek. means with sea water, and whatever else they treated. Thanks to the Swiss for the idea and to the Rostovites for the pro"&amp;"duct.")</f>
        <v>Air humidifier Boneco 7135. Perfectly humidifies the air. It doesn't buzz. You can't hear him at night. Large water tank - more than 6 liters, does not require frequent addition of water. Very powerful. For a seven-year-old child, the air in the room was not too dry and, as a result, the nasal congestion went away the next morning, which had been treated for a month by rinsing with lek. means with sea water, and whatever else they treated. Thanks to the Swiss for the idea and to the Rostovites for the product.</v>
      </c>
    </row>
    <row r="496" spans="1:9" x14ac:dyDescent="0.3">
      <c r="A496" s="1" t="s">
        <v>30</v>
      </c>
      <c r="B496" s="1" t="s">
        <v>50</v>
      </c>
      <c r="C496" s="1" t="s">
        <v>32</v>
      </c>
      <c r="D496" s="1" t="s">
        <v>919</v>
      </c>
      <c r="E496" s="1" t="s">
        <v>1376</v>
      </c>
      <c r="F496" s="1" t="s">
        <v>1377</v>
      </c>
      <c r="G496" s="1" t="s">
        <v>36</v>
      </c>
      <c r="H496" s="1" t="s">
        <v>29</v>
      </c>
      <c r="I496" s="1" t="str">
        <f ca="1">IFERROR(__xludf.DUMMYFUNCTION("GOOGLETRANSLATE(F496, ""auto"", ""en"")
"),"Miracle beech with a miracle price))))")</f>
        <v>Miracle beech with a miracle price))))</v>
      </c>
    </row>
    <row r="497" spans="1:9" x14ac:dyDescent="0.3">
      <c r="A497" s="1" t="s">
        <v>105</v>
      </c>
      <c r="B497" s="1" t="s">
        <v>106</v>
      </c>
      <c r="C497" s="1" t="s">
        <v>107</v>
      </c>
      <c r="D497" s="1" t="s">
        <v>1378</v>
      </c>
      <c r="E497" s="1" t="s">
        <v>538</v>
      </c>
      <c r="F497" s="1" t="s">
        <v>1379</v>
      </c>
      <c r="G497" s="1" t="s">
        <v>36</v>
      </c>
      <c r="H497" s="1" t="s">
        <v>29</v>
      </c>
      <c r="I497" s="1" t="str">
        <f ca="1">IFERROR(__xludf.DUMMYFUNCTION("GOOGLETRANSLATE(F497, ""auto"", ""en"")
"),"I've been using it for a year now and have never had it repaired.  the sound is great!  There is not enough charge, I advise you to buy, class 5+")</f>
        <v>I've been using it for a year now and have never had it repaired.  the sound is great!  There is not enough charge, I advise you to buy, class 5+</v>
      </c>
    </row>
    <row r="498" spans="1:9" x14ac:dyDescent="0.3">
      <c r="A498" s="1" t="s">
        <v>149</v>
      </c>
      <c r="B498" s="1" t="s">
        <v>155</v>
      </c>
      <c r="C498" s="1" t="s">
        <v>101</v>
      </c>
      <c r="D498" s="1" t="s">
        <v>75</v>
      </c>
      <c r="E498" s="1" t="s">
        <v>1380</v>
      </c>
      <c r="F498" s="1" t="s">
        <v>1381</v>
      </c>
      <c r="G498" s="1" t="s">
        <v>28</v>
      </c>
      <c r="H498" s="1" t="s">
        <v>29</v>
      </c>
      <c r="I498" s="1" t="str">
        <f ca="1">IFERROR(__xludf.DUMMYFUNCTION("GOOGLETRANSLATE(F498, ""auto"", ""en"")
"),"I bought this vacuum cleaner in 2009. At first I really liked it. But then the power dropped. It turned out the filter was clogged. Dust can be washed out of it only under a powerful stream of water. I recently went into a store and wanted to buy a new fi"&amp;"lter, but the seller replied that they don’t exist and don’t exist. Accordingly, the question arises why consumables are not sold in the store where this model of vacuum cleaner is sold. If the filter completely dies, should I throw out the vacuum cleaner"&amp;" too? Next time I’m buying, I’ll think about whether I need a vacuum cleaner with a HEPA filter or whether it’s easier to buy a bag one.")</f>
        <v>I bought this vacuum cleaner in 2009. At first I really liked it. But then the power dropped. It turned out the filter was clogged. Dust can be washed out of it only under a powerful stream of water. I recently went into a store and wanted to buy a new filter, but the seller replied that they don’t exist and don’t exist. Accordingly, the question arises why consumables are not sold in the store where this model of vacuum cleaner is sold. If the filter completely dies, should I throw out the vacuum cleaner too? Next time I’m buying, I’ll think about whether I need a vacuum cleaner with a HEPA filter or whether it’s easier to buy a bag one.</v>
      </c>
    </row>
    <row r="499" spans="1:9" x14ac:dyDescent="0.3">
      <c r="A499" s="1" t="s">
        <v>43</v>
      </c>
      <c r="B499" s="1" t="s">
        <v>1382</v>
      </c>
      <c r="C499" s="1" t="s">
        <v>57</v>
      </c>
      <c r="D499" s="1" t="s">
        <v>1383</v>
      </c>
      <c r="E499" s="1" t="s">
        <v>1384</v>
      </c>
      <c r="F499" s="1" t="s">
        <v>1385</v>
      </c>
      <c r="G499" s="1" t="s">
        <v>36</v>
      </c>
      <c r="H499" s="1" t="s">
        <v>29</v>
      </c>
      <c r="I499" s="1" t="str">
        <f ca="1">IFERROR(__xludf.DUMMYFUNCTION("GOOGLETRANSLATE(F499, ""auto"", ""en"")
"),"Super powerful!)))))) SATISFIED!")</f>
        <v>Super powerful!)))))) SATISFIED!</v>
      </c>
    </row>
    <row r="500" spans="1:9" x14ac:dyDescent="0.3">
      <c r="A500" s="1" t="s">
        <v>30</v>
      </c>
      <c r="B500" s="1" t="s">
        <v>50</v>
      </c>
      <c r="C500" s="1" t="s">
        <v>1386</v>
      </c>
      <c r="D500" s="1" t="s">
        <v>411</v>
      </c>
      <c r="E500" s="1" t="s">
        <v>1387</v>
      </c>
      <c r="F500" s="1" t="s">
        <v>1388</v>
      </c>
      <c r="G500" s="1" t="s">
        <v>36</v>
      </c>
      <c r="H500" s="1" t="s">
        <v>29</v>
      </c>
      <c r="I500" s="1" t="str">
        <f ca="1">IFERROR(__xludf.DUMMYFUNCTION("GOOGLETRANSLATE(F500, ""auto"", ""en"")
"),"I bought this beech a month ago for 24,990 rubles. Very pleased! All toys are available. The screen is a fairy tale, the sound is loud. I don’t know about others, but Windows 7 suits me quite well.")</f>
        <v>I bought this beech a month ago for 24,990 rubles. Very pleased! All toys are available. The screen is a fairy tale, the sound is loud. I don’t know about others, but Windows 7 suits me quite well.</v>
      </c>
    </row>
    <row r="501" spans="1:9" x14ac:dyDescent="0.3">
      <c r="A501" s="1" t="s">
        <v>211</v>
      </c>
      <c r="B501" s="1" t="s">
        <v>212</v>
      </c>
      <c r="C501" s="1" t="s">
        <v>381</v>
      </c>
      <c r="D501" s="1" t="s">
        <v>308</v>
      </c>
      <c r="E501" s="1" t="s">
        <v>1389</v>
      </c>
      <c r="F501" s="1" t="s">
        <v>1390</v>
      </c>
      <c r="G501" s="1" t="s">
        <v>36</v>
      </c>
      <c r="H501" s="1" t="s">
        <v>29</v>
      </c>
      <c r="I501" s="1" t="str">
        <f ca="1">IFERROR(__xludf.DUMMYFUNCTION("GOOGLETRANSLATE(F501, ""auto"", ""en"")
"),"Lightweight, compact, convenient location of buttons, good power, does not overheat, no foreign odors, different operating modes, very competitive price!")</f>
        <v>Lightweight, compact, convenient location of buttons, good power, does not overheat, no foreign odors, different operating modes, very competitive price!</v>
      </c>
    </row>
    <row r="502" spans="1:9" x14ac:dyDescent="0.3">
      <c r="A502" s="1" t="s">
        <v>61</v>
      </c>
      <c r="B502" s="1" t="s">
        <v>145</v>
      </c>
      <c r="C502" s="1" t="s">
        <v>69</v>
      </c>
      <c r="D502" s="1" t="s">
        <v>1391</v>
      </c>
      <c r="E502" s="1" t="s">
        <v>854</v>
      </c>
      <c r="F502" s="1" t="s">
        <v>1392</v>
      </c>
      <c r="G502" s="1" t="s">
        <v>28</v>
      </c>
      <c r="H502" s="1" t="s">
        <v>29</v>
      </c>
      <c r="I502" s="1" t="str">
        <f ca="1">IFERROR(__xludf.DUMMYFUNCTION("GOOGLETRANSLATE(F502, ""auto"", ""en"")
"),"I bought it two months ago. The wife is happy. The vegetables turn out great. You can also make watermelon honey and dry churchkhela.")</f>
        <v>I bought it two months ago. The wife is happy. The vegetables turn out great. You can also make watermelon honey and dry churchkhela.</v>
      </c>
    </row>
    <row r="503" spans="1:9" x14ac:dyDescent="0.3">
      <c r="A503" s="1" t="s">
        <v>30</v>
      </c>
      <c r="B503" s="1" t="s">
        <v>50</v>
      </c>
      <c r="C503" s="1" t="s">
        <v>1003</v>
      </c>
      <c r="D503" s="1" t="s">
        <v>203</v>
      </c>
      <c r="E503" s="1" t="s">
        <v>118</v>
      </c>
      <c r="F503" s="1" t="s">
        <v>1393</v>
      </c>
      <c r="G503" s="1" t="s">
        <v>36</v>
      </c>
      <c r="H503" s="1" t="s">
        <v>29</v>
      </c>
      <c r="I503" s="1" t="str">
        <f ca="1">IFERROR(__xludf.DUMMYFUNCTION("GOOGLETRANSLATE(F503, ""auto"", ""en"")
"),"Excellent price-quality ratio. For 24,000 rub. this is the most acceptable option. It is suitable for both most games and work. Good characteristics, quite a large amount of memory. In general, I am pleased with the choice, I also want to say about the re"&amp;"ally excellent external design, very convenient buttons, non-standard, nothing superfluous.")</f>
        <v>Excellent price-quality ratio. For 24,000 rub. this is the most acceptable option. It is suitable for both most games and work. Good characteristics, quite a large amount of memory. In general, I am pleased with the choice, I also want to say about the really excellent external design, very convenient buttons, non-standard, nothing superfluous.</v>
      </c>
    </row>
    <row r="504" spans="1:9" x14ac:dyDescent="0.3">
      <c r="A504" s="1" t="s">
        <v>111</v>
      </c>
      <c r="B504" s="1" t="s">
        <v>112</v>
      </c>
      <c r="C504" s="1" t="s">
        <v>257</v>
      </c>
      <c r="D504" s="1" t="s">
        <v>589</v>
      </c>
      <c r="E504" s="1" t="s">
        <v>750</v>
      </c>
      <c r="F504" s="1" t="s">
        <v>1394</v>
      </c>
      <c r="G504" s="1" t="s">
        <v>49</v>
      </c>
      <c r="H504" s="1" t="s">
        <v>16</v>
      </c>
      <c r="I504" s="1" t="str">
        <f ca="1">IFERROR(__xludf.DUMMYFUNCTION("GOOGLETRANSLATE(F504, ""auto"", ""en"")
"),"Broke after a couple of weeks. You press the power button on the socket and something crackles; The button backlight comes on and off. I had to throw it away.")</f>
        <v>Broke after a couple of weeks. You press the power button on the socket and something crackles; The button backlight comes on and off. I had to throw it away.</v>
      </c>
    </row>
    <row r="505" spans="1:9" x14ac:dyDescent="0.3">
      <c r="A505" s="1" t="s">
        <v>9</v>
      </c>
      <c r="B505" s="1" t="s">
        <v>10</v>
      </c>
      <c r="C505" s="1" t="s">
        <v>407</v>
      </c>
      <c r="D505" s="1" t="s">
        <v>565</v>
      </c>
      <c r="E505" s="1" t="s">
        <v>1395</v>
      </c>
      <c r="F505" s="1" t="s">
        <v>1396</v>
      </c>
      <c r="G505" s="1" t="s">
        <v>36</v>
      </c>
      <c r="H505" s="1" t="s">
        <v>29</v>
      </c>
      <c r="I505" s="1" t="str">
        <f ca="1">IFERROR(__xludf.DUMMYFUNCTION("GOOGLETRANSLATE(F505, ""auto"", ""en"")
"),"Very happy with the purchase! It turns on with one touch, turns off too, there is a timer, it works quietly, a glass visor covers the filter, convenient backlighting, stylish design. Pulls great, absorbs all kitchen odors. Super!")</f>
        <v>Very happy with the purchase! It turns on with one touch, turns off too, there is a timer, it works quietly, a glass visor covers the filter, convenient backlighting, stylish design. Pulls great, absorbs all kitchen odors. Super!</v>
      </c>
    </row>
    <row r="506" spans="1:9" x14ac:dyDescent="0.3">
      <c r="A506" s="1" t="s">
        <v>37</v>
      </c>
      <c r="B506" s="1" t="s">
        <v>38</v>
      </c>
      <c r="C506" s="1" t="s">
        <v>151</v>
      </c>
      <c r="D506" s="1" t="s">
        <v>1397</v>
      </c>
      <c r="E506" s="1" t="s">
        <v>1398</v>
      </c>
      <c r="F506" s="1" t="s">
        <v>1399</v>
      </c>
      <c r="G506" s="1" t="s">
        <v>36</v>
      </c>
      <c r="H506" s="1" t="s">
        <v>29</v>
      </c>
      <c r="I506" s="1" t="str">
        <f ca="1">IFERROR(__xludf.DUMMYFUNCTION("GOOGLETRANSLATE(F506, ""auto"", ""en"")
"),"how to set up wifi, it catches the dots, but for some reason it doesn’t log in. Please tell me")</f>
        <v>how to set up wifi, it catches the dots, but for some reason it doesn’t log in. Please tell me</v>
      </c>
    </row>
    <row r="507" spans="1:9" x14ac:dyDescent="0.3">
      <c r="A507" s="1" t="s">
        <v>78</v>
      </c>
      <c r="B507" s="1" t="s">
        <v>79</v>
      </c>
      <c r="C507" s="1" t="s">
        <v>1224</v>
      </c>
      <c r="D507" s="1" t="s">
        <v>1400</v>
      </c>
      <c r="E507" s="1" t="s">
        <v>1401</v>
      </c>
      <c r="F507" s="1" t="s">
        <v>1402</v>
      </c>
      <c r="G507" s="1" t="s">
        <v>36</v>
      </c>
      <c r="H507" s="1" t="s">
        <v>29</v>
      </c>
      <c r="I507" s="1" t="str">
        <f ca="1">IFERROR(__xludf.DUMMYFUNCTION("GOOGLETRANSLATE(F507, ""auto"", ""en"")
"),"It’s a normal stove, I didn’t notice any particular shortcomings, it’s convenient and easy to use.")</f>
        <v>It’s a normal stove, I didn’t notice any particular shortcomings, it’s convenient and easy to use.</v>
      </c>
    </row>
    <row r="508" spans="1:9" x14ac:dyDescent="0.3">
      <c r="A508" s="1" t="s">
        <v>211</v>
      </c>
      <c r="B508" s="1" t="s">
        <v>384</v>
      </c>
      <c r="C508" s="1" t="s">
        <v>246</v>
      </c>
      <c r="D508" s="1" t="s">
        <v>545</v>
      </c>
      <c r="E508" s="1" t="s">
        <v>1403</v>
      </c>
      <c r="F508" s="1" t="s">
        <v>1404</v>
      </c>
      <c r="G508" s="1" t="s">
        <v>36</v>
      </c>
      <c r="H508" s="1" t="s">
        <v>29</v>
      </c>
      <c r="I508" s="1" t="str">
        <f ca="1">IFERROR(__xludf.DUMMYFUNCTION("GOOGLETRANSLATE(F508, ""auto"", ""en"")
"),"I bought this model. I was VERY pleased. Even if you weigh yourself several times in a row, the weight is always displayed the same. In addition, the scale shows the same weight if I weigh myself in a room on linoleum or on tiles in the kitchen.")</f>
        <v>I bought this model. I was VERY pleased. Even if you weigh yourself several times in a row, the weight is always displayed the same. In addition, the scale shows the same weight if I weigh myself in a room on linoleum or on tiles in the kitchen.</v>
      </c>
    </row>
    <row r="509" spans="1:9" x14ac:dyDescent="0.3">
      <c r="A509" s="1" t="s">
        <v>30</v>
      </c>
      <c r="B509" s="1" t="s">
        <v>50</v>
      </c>
      <c r="C509" s="1" t="s">
        <v>1003</v>
      </c>
      <c r="D509" s="1" t="s">
        <v>568</v>
      </c>
      <c r="E509" s="1" t="s">
        <v>1065</v>
      </c>
      <c r="F509" s="1" t="s">
        <v>1405</v>
      </c>
      <c r="G509" s="1" t="s">
        <v>36</v>
      </c>
      <c r="H509" s="1" t="s">
        <v>29</v>
      </c>
      <c r="I509" s="1" t="str">
        <f ca="1">IFERROR(__xludf.DUMMYFUNCTION("GOOGLETRANSLATE(F509, ""auto"", ""en"")
"),"Great laptop, games just fly!!!")</f>
        <v>Great laptop, games just fly!!!</v>
      </c>
    </row>
    <row r="510" spans="1:9" x14ac:dyDescent="0.3">
      <c r="A510" s="1" t="s">
        <v>211</v>
      </c>
      <c r="B510" s="1" t="s">
        <v>899</v>
      </c>
      <c r="C510" s="1" t="s">
        <v>213</v>
      </c>
      <c r="D510" s="1" t="s">
        <v>548</v>
      </c>
      <c r="E510" s="1" t="s">
        <v>1406</v>
      </c>
      <c r="F510" s="1" t="s">
        <v>1407</v>
      </c>
      <c r="G510" s="1" t="s">
        <v>36</v>
      </c>
      <c r="H510" s="1" t="s">
        <v>29</v>
      </c>
      <c r="I510" s="1" t="str">
        <f ca="1">IFERROR(__xludf.DUMMYFUNCTION("GOOGLETRANSLATE(F510, ""auto"", ""en"")
"),"A very good toothbrush, the gums do not bleed when brushing, the bristles are soft, the brush head is easy to remove, and it works quietly. You can immediately see that the quality is excellent!")</f>
        <v>A very good toothbrush, the gums do not bleed when brushing, the bristles are soft, the brush head is easy to remove, and it works quietly. You can immediately see that the quality is excellent!</v>
      </c>
    </row>
    <row r="511" spans="1:9" x14ac:dyDescent="0.3">
      <c r="A511" s="1" t="s">
        <v>149</v>
      </c>
      <c r="B511" s="1" t="s">
        <v>423</v>
      </c>
      <c r="C511" s="1" t="s">
        <v>314</v>
      </c>
      <c r="D511" s="1" t="s">
        <v>171</v>
      </c>
      <c r="E511" s="1" t="s">
        <v>1408</v>
      </c>
      <c r="F511" s="1" t="s">
        <v>1409</v>
      </c>
      <c r="G511" s="1" t="s">
        <v>36</v>
      </c>
      <c r="H511" s="1" t="s">
        <v>29</v>
      </c>
      <c r="I511" s="1" t="str">
        <f ca="1">IFERROR(__xludf.DUMMYFUNCTION("GOOGLETRANSLATE(F511, ""auto"", ""en"")
"),"All ))")</f>
        <v>All ))</v>
      </c>
    </row>
    <row r="512" spans="1:9" x14ac:dyDescent="0.3">
      <c r="A512" s="1" t="s">
        <v>169</v>
      </c>
      <c r="B512" s="1" t="s">
        <v>170</v>
      </c>
      <c r="C512" s="1" t="s">
        <v>69</v>
      </c>
      <c r="D512" s="1" t="s">
        <v>32</v>
      </c>
      <c r="E512" s="1" t="s">
        <v>1410</v>
      </c>
      <c r="F512" s="1" t="s">
        <v>1411</v>
      </c>
      <c r="G512" s="1" t="s">
        <v>28</v>
      </c>
      <c r="H512" s="1" t="s">
        <v>29</v>
      </c>
      <c r="I512" s="1" t="str">
        <f ca="1">IFERROR(__xludf.DUMMYFUNCTION("GOOGLETRANSLATE(F512, ""auto"", ""en"")
"),"GOOD SOUND")</f>
        <v>GOOD SOUND</v>
      </c>
    </row>
    <row r="513" spans="1:9" x14ac:dyDescent="0.3">
      <c r="A513" s="1" t="s">
        <v>37</v>
      </c>
      <c r="B513" s="1" t="s">
        <v>38</v>
      </c>
      <c r="C513" s="1" t="s">
        <v>163</v>
      </c>
      <c r="D513" s="1" t="s">
        <v>891</v>
      </c>
      <c r="E513" s="1" t="s">
        <v>717</v>
      </c>
      <c r="F513" s="1" t="s">
        <v>1412</v>
      </c>
      <c r="G513" s="1" t="s">
        <v>36</v>
      </c>
      <c r="H513" s="1" t="s">
        <v>29</v>
      </c>
      <c r="I513" s="1" t="str">
        <f ca="1">IFERROR(__xludf.DUMMYFUNCTION("GOOGLETRANSLATE(F513, ""auto"", ""en"")
"),"I’ve had my phone for six months, I always buy only Nokia phones, high-quality and good phones. Nokia 6303 - I like the price-quality ratio, the price is very low for its functionality, I recommend it to everyone.")</f>
        <v>I’ve had my phone for six months, I always buy only Nokia phones, high-quality and good phones. Nokia 6303 - I like the price-quality ratio, the price is very low for its functionality, I recommend it to everyone.</v>
      </c>
    </row>
    <row r="514" spans="1:9" x14ac:dyDescent="0.3">
      <c r="A514" s="1" t="s">
        <v>89</v>
      </c>
      <c r="B514" s="1" t="s">
        <v>231</v>
      </c>
      <c r="C514" s="1" t="s">
        <v>185</v>
      </c>
      <c r="D514" s="1" t="s">
        <v>102</v>
      </c>
      <c r="E514" s="1" t="s">
        <v>1155</v>
      </c>
      <c r="F514" s="1" t="s">
        <v>1413</v>
      </c>
      <c r="G514" s="1" t="s">
        <v>36</v>
      </c>
      <c r="H514" s="1" t="s">
        <v>29</v>
      </c>
      <c r="I514" s="1" t="str">
        <f ca="1">IFERROR(__xludf.DUMMYFUNCTION("GOOGLETRANSLATE(F514, ""auto"", ""en"")
"),"Great coffee machine! We used one of the previous models for 8 years, it still works, we decided to update, bought the same one, only of a new generation. Works like a clock! very satisfied.")</f>
        <v>Great coffee machine! We used one of the previous models for 8 years, it still works, we decided to update, bought the same one, only of a new generation. Works like a clock! very satisfied.</v>
      </c>
    </row>
    <row r="515" spans="1:9" x14ac:dyDescent="0.3">
      <c r="A515" s="1" t="s">
        <v>624</v>
      </c>
      <c r="B515" s="1" t="s">
        <v>625</v>
      </c>
      <c r="C515" s="1" t="s">
        <v>479</v>
      </c>
      <c r="D515" s="1" t="s">
        <v>39</v>
      </c>
      <c r="E515" s="1" t="s">
        <v>1414</v>
      </c>
      <c r="F515" s="1" t="s">
        <v>1415</v>
      </c>
      <c r="G515" s="1" t="s">
        <v>36</v>
      </c>
      <c r="H515" s="1" t="s">
        <v>29</v>
      </c>
      <c r="I515" s="1" t="str">
        <f ca="1">IFERROR(__xludf.DUMMYFUNCTION("GOOGLETRANSLATE(F515, ""auto"", ""en"")
"),"Having bought the collector's edition, I realized this is not just a game! She amazes from the first minutes! There is always something to do in the game. You can test your license, take part in special races against a NASCAR champion or a WRC champion, o"&amp;"r drive along one of the most difficult tracks in the world.  Complete a career in A-spec or B-spec, you can buy cars and collect them. There are also many parts for car tuning. I recommend it to everyone!")</f>
        <v>Having bought the collector's edition, I realized this is not just a game! She amazes from the first minutes! There is always something to do in the game. You can test your license, take part in special races against a NASCAR champion or a WRC champion, or drive along one of the most difficult tracks in the world.  Complete a career in A-spec or B-spec, you can buy cars and collect them. There are also many parts for car tuning. I recommend it to everyone!</v>
      </c>
    </row>
    <row r="516" spans="1:9" x14ac:dyDescent="0.3">
      <c r="A516" s="1" t="s">
        <v>61</v>
      </c>
      <c r="B516" s="1" t="s">
        <v>318</v>
      </c>
      <c r="C516" s="1" t="s">
        <v>57</v>
      </c>
      <c r="D516" s="1" t="s">
        <v>1416</v>
      </c>
      <c r="E516" s="1" t="s">
        <v>1417</v>
      </c>
      <c r="F516" s="1" t="s">
        <v>1418</v>
      </c>
      <c r="G516" s="1" t="s">
        <v>28</v>
      </c>
      <c r="H516" s="1" t="s">
        <v>29</v>
      </c>
      <c r="I516" s="1" t="str">
        <f ca="1">IFERROR(__xludf.DUMMYFUNCTION("GOOGLETRANSLATE(F516, ""auto"", ""en"")
"),"I’ve been using the kettle for more than 3 years - it boils water, what else do you need?.. All the “chrome” coating has peeled off. The lid fell off on top - now it just sits on the kettle and can be removed completely if you need to pour or pour water i"&amp;"nto a cup. I'm considering buying the same kettle as soon as this one breaks completely, but it works and doesn't break :)")</f>
        <v>I’ve been using the kettle for more than 3 years - it boils water, what else do you need?.. All the “chrome” coating has peeled off. The lid fell off on top - now it just sits on the kettle and can be removed completely if you need to pour or pour water into a cup. I'm considering buying the same kettle as soon as this one breaks completely, but it works and doesn't break :)</v>
      </c>
    </row>
    <row r="517" spans="1:9" x14ac:dyDescent="0.3">
      <c r="A517" s="1" t="s">
        <v>37</v>
      </c>
      <c r="B517" s="1" t="s">
        <v>536</v>
      </c>
      <c r="C517" s="1" t="s">
        <v>1419</v>
      </c>
      <c r="D517" s="1" t="s">
        <v>152</v>
      </c>
      <c r="E517" s="1" t="s">
        <v>363</v>
      </c>
      <c r="F517" s="1" t="s">
        <v>1420</v>
      </c>
      <c r="G517" s="1" t="s">
        <v>36</v>
      </c>
      <c r="H517" s="1" t="s">
        <v>29</v>
      </c>
      <c r="I517" s="1" t="str">
        <f ca="1">IFERROR(__xludf.DUMMYFUNCTION("GOOGLETRANSLATE(F517, ""auto"", ""en"")
"),"I bought it on March 13, with bonuses it cost 8390. The sound from the speakers is good. I didn't figure it out right away with GPS. If you're good at picking up satellites, put it near the window for 30 minutes, or even better, sit outside with it. The c"&amp;"amera, to be honest...well, you get the idea. When I set the backlight brightness to minimum, the screen sometimes blinks. But for me these are not disadvantages. They are corrected by programs. There are many good sites about communicators in RuNet. Yes,"&amp;" the most important thing: Windows Mobile 6.5. After my SE, the K550i is just heaven. In general, if you need a “constructor” or a good assistant, then take the S8, and if you just need a phone and ICQ in it, then don’t even look in the direction of the r"&amp;"over.")</f>
        <v>I bought it on March 13, with bonuses it cost 8390. The sound from the speakers is good. I didn't figure it out right away with GPS. If you're good at picking up satellites, put it near the window for 30 minutes, or even better, sit outside with it. The camera, to be honest...well, you get the idea. When I set the backlight brightness to minimum, the screen sometimes blinks. But for me these are not disadvantages. They are corrected by programs. There are many good sites about communicators in RuNet. Yes, the most important thing: Windows Mobile 6.5. After my SE, the K550i is just heaven. In general, if you need a “constructor” or a good assistant, then take the S8, and if you just need a phone and ICQ in it, then don’t even look in the direction of the rover.</v>
      </c>
    </row>
    <row r="518" spans="1:9" x14ac:dyDescent="0.3">
      <c r="A518" s="1" t="s">
        <v>61</v>
      </c>
      <c r="B518" s="1" t="s">
        <v>224</v>
      </c>
      <c r="C518" s="1" t="s">
        <v>74</v>
      </c>
      <c r="D518" s="1" t="s">
        <v>592</v>
      </c>
      <c r="E518" s="1" t="s">
        <v>932</v>
      </c>
      <c r="F518" s="1" t="s">
        <v>1421</v>
      </c>
      <c r="G518" s="1" t="s">
        <v>28</v>
      </c>
      <c r="H518" s="1" t="s">
        <v>29</v>
      </c>
      <c r="I518" s="1" t="str">
        <f ca="1">IFERROR(__xludf.DUMMYFUNCTION("GOOGLETRANSLATE(F518, ""auto"", ""en"")
"),"I bought this model yesterday, tried orange juice, it squeezes out well, rotates in both directions, it’s convenient that there are two filters (with and without pulp). Beautiful design, easy to maintain. The only thing I think is that the power is too sm"&amp;"all, but I looked at similar models, the power ranges from 20 to 40, probably this is enough for citrus fruits. I would also like to not press the fruit with my hand, but to have a press included. Overall I'm happy with the purchase, I recommend it!")</f>
        <v>I bought this model yesterday, tried orange juice, it squeezes out well, rotates in both directions, it’s convenient that there are two filters (with and without pulp). Beautiful design, easy to maintain. The only thing I think is that the power is too small, but I looked at similar models, the power ranges from 20 to 40, probably this is enough for citrus fruits. I would also like to not press the fruit with my hand, but to have a press included. Overall I'm happy with the purchase, I recommend it!</v>
      </c>
    </row>
    <row r="519" spans="1:9" x14ac:dyDescent="0.3">
      <c r="A519" s="1" t="s">
        <v>477</v>
      </c>
      <c r="B519" s="1" t="s">
        <v>478</v>
      </c>
      <c r="C519" s="1" t="s">
        <v>479</v>
      </c>
      <c r="D519" s="1" t="s">
        <v>152</v>
      </c>
      <c r="E519" s="1" t="s">
        <v>814</v>
      </c>
      <c r="F519" s="1" t="s">
        <v>1422</v>
      </c>
      <c r="G519" s="1" t="s">
        <v>36</v>
      </c>
      <c r="H519" s="1" t="s">
        <v>29</v>
      </c>
      <c r="I519" s="1" t="str">
        <f ca="1">IFERROR(__xludf.DUMMYFUNCTION("GOOGLETRANSLATE(F519, ""auto"", ""en"")
"),"Little good-natured toy! But it's fun especially with the lights off!")</f>
        <v>Little good-natured toy! But it's fun especially with the lights off!</v>
      </c>
    </row>
    <row r="520" spans="1:9" x14ac:dyDescent="0.3">
      <c r="A520" s="1" t="s">
        <v>61</v>
      </c>
      <c r="B520" s="1" t="s">
        <v>318</v>
      </c>
      <c r="C520" s="1" t="s">
        <v>85</v>
      </c>
      <c r="D520" s="1" t="s">
        <v>280</v>
      </c>
      <c r="E520" s="1" t="s">
        <v>1423</v>
      </c>
      <c r="F520" s="1" t="s">
        <v>1424</v>
      </c>
      <c r="G520" s="1" t="s">
        <v>49</v>
      </c>
      <c r="H520" s="1" t="s">
        <v>16</v>
      </c>
      <c r="I520" s="1" t="str">
        <f ca="1">IFERROR(__xludf.DUMMYFUNCTION("GOOGLETRANSLATE(F520, ""auto"", ""en"")
"),"I find it difficult to name. ")</f>
        <v xml:space="preserve">I find it difficult to name. </v>
      </c>
    </row>
    <row r="521" spans="1:9" x14ac:dyDescent="0.3">
      <c r="A521" s="1" t="s">
        <v>105</v>
      </c>
      <c r="B521" s="1" t="s">
        <v>106</v>
      </c>
      <c r="C521" s="1" t="s">
        <v>97</v>
      </c>
      <c r="D521" s="1" t="s">
        <v>545</v>
      </c>
      <c r="E521" s="1" t="s">
        <v>1310</v>
      </c>
      <c r="F521" s="1" t="s">
        <v>1425</v>
      </c>
      <c r="G521" s="1" t="s">
        <v>36</v>
      </c>
      <c r="H521" s="1" t="s">
        <v>29</v>
      </c>
      <c r="I521" s="1" t="str">
        <f ca="1">IFERROR(__xludf.DUMMYFUNCTION("GOOGLETRANSLATE(F521, ""auto"", ""en"")
"),"I’m very pleased)) I just bought it today and probably haven’t figured it all out yet, but so far I have no serious complaints) It’s just everything, I started using it right away. The sound is great!  Of course, the included headphones are not ice, and I"&amp;" immediately took new ones.  And the cover for the USB input is a little worrying....it doesn't lock in very well, I wouldn't lose it. But having shown miracles of ingenuity and placed a tiny piece of paper - now I’m calm, you won’t tear it off))))")</f>
        <v>I’m very pleased)) I just bought it today and probably haven’t figured it all out yet, but so far I have no serious complaints) It’s just everything, I started using it right away. The sound is great!  Of course, the included headphones are not ice, and I immediately took new ones.  And the cover for the USB input is a little worrying....it doesn't lock in very well, I wouldn't lose it. But having shown miracles of ingenuity and placed a tiny piece of paper - now I’m calm, you won’t tear it off))))</v>
      </c>
    </row>
    <row r="522" spans="1:9" x14ac:dyDescent="0.3">
      <c r="A522" s="1" t="s">
        <v>61</v>
      </c>
      <c r="B522" s="1" t="s">
        <v>180</v>
      </c>
      <c r="C522" s="1" t="s">
        <v>74</v>
      </c>
      <c r="D522" s="1" t="s">
        <v>327</v>
      </c>
      <c r="E522" s="1" t="s">
        <v>1426</v>
      </c>
      <c r="F522" s="1" t="s">
        <v>1427</v>
      </c>
      <c r="G522" s="1" t="s">
        <v>36</v>
      </c>
      <c r="H522" s="1" t="s">
        <v>29</v>
      </c>
      <c r="I522" s="1" t="str">
        <f ca="1">IFERROR(__xludf.DUMMYFUNCTION("GOOGLETRANSLATE(F522, ""auto"", ""en"")
"),"Literally 2-3 minutes and a hot sandwich with sausage and cheese is ready. The crust of the bread is crispy, just what you need. So if you like hot sandwiches with coffee in the morning, you won’t regret buying them.")</f>
        <v>Literally 2-3 minutes and a hot sandwich with sausage and cheese is ready. The crust of the bread is crispy, just what you need. So if you like hot sandwiches with coffee in the morning, you won’t regret buying them.</v>
      </c>
    </row>
    <row r="523" spans="1:9" x14ac:dyDescent="0.3">
      <c r="A523" s="1" t="s">
        <v>149</v>
      </c>
      <c r="B523" s="1" t="s">
        <v>150</v>
      </c>
      <c r="C523" s="1" t="s">
        <v>57</v>
      </c>
      <c r="D523" s="1" t="s">
        <v>139</v>
      </c>
      <c r="E523" s="1" t="s">
        <v>1428</v>
      </c>
      <c r="F523" s="1" t="s">
        <v>1429</v>
      </c>
      <c r="G523" s="1" t="s">
        <v>36</v>
      </c>
      <c r="H523" s="1" t="s">
        <v>29</v>
      </c>
      <c r="I523" s="1" t="str">
        <f ca="1">IFERROR(__xludf.DUMMYFUNCTION("GOOGLETRANSLATE(F523, ""auto"", ""en"")
"),"I think the purchase of this car vacuum cleaner pays off within the first month or two after purchase. As I have two small children who actively travel with me in the car, it probably paid for itself in a month, but I didn’t leave the car wash or vacuumed"&amp;" at a gas station every other day. The vacuum cleaner is excellent in all respects - power, cleaning quality, convenience, cord length, set of necessary brushes, filtration quality. I didn’t find any shortcomings and I think that after three months of act"&amp;"ive use I won’t find any more.")</f>
        <v>I think the purchase of this car vacuum cleaner pays off within the first month or two after purchase. As I have two small children who actively travel with me in the car, it probably paid for itself in a month, but I didn’t leave the car wash or vacuumed at a gas station every other day. The vacuum cleaner is excellent in all respects - power, cleaning quality, convenience, cord length, set of necessary brushes, filtration quality. I didn’t find any shortcomings and I think that after three months of active use I won’t find any more.</v>
      </c>
    </row>
    <row r="524" spans="1:9" x14ac:dyDescent="0.3">
      <c r="A524" s="1" t="s">
        <v>120</v>
      </c>
      <c r="B524" s="1" t="s">
        <v>1205</v>
      </c>
      <c r="C524" s="1" t="s">
        <v>1430</v>
      </c>
      <c r="D524" s="1" t="s">
        <v>1431</v>
      </c>
      <c r="E524" s="1" t="s">
        <v>1432</v>
      </c>
      <c r="F524" s="1" t="s">
        <v>1433</v>
      </c>
      <c r="G524" s="1" t="s">
        <v>36</v>
      </c>
      <c r="H524" s="1" t="s">
        <v>29</v>
      </c>
      <c r="I524" s="1" t="str">
        <f ca="1">IFERROR(__xludf.DUMMYFUNCTION("GOOGLETRANSLATE(F524, ""auto"", ""en"")
"),"bought it a month ago. The complete installation took about 1 -1.5 hours. I found the satellite immediately and immediately with a 100% signal level, so it’s very easy to install it yourself. When installing the antenna, I was guided by the dishes install"&amp;"ed on our house.  The picture quality is excellent.  I recommend!")</f>
        <v>bought it a month ago. The complete installation took about 1 -1.5 hours. I found the satellite immediately and immediately with a 100% signal level, so it’s very easy to install it yourself. When installing the antenna, I was guided by the dishes installed on our house.  The picture quality is excellent.  I recommend!</v>
      </c>
    </row>
    <row r="525" spans="1:9" x14ac:dyDescent="0.3">
      <c r="A525" s="1" t="s">
        <v>9</v>
      </c>
      <c r="B525" s="1" t="s">
        <v>133</v>
      </c>
      <c r="C525" s="1" t="s">
        <v>588</v>
      </c>
      <c r="D525" s="1" t="s">
        <v>64</v>
      </c>
      <c r="E525" s="1" t="s">
        <v>1434</v>
      </c>
      <c r="F525" s="1" t="s">
        <v>1435</v>
      </c>
      <c r="G525" s="1" t="s">
        <v>36</v>
      </c>
      <c r="H525" s="1" t="s">
        <v>29</v>
      </c>
      <c r="I525" s="1" t="str">
        <f ca="1">IFERROR(__xludf.DUMMYFUNCTION("GOOGLETRANSLATE(F525, ""auto"", ""en"")
"),"Stylish, functional, grill, childproof, easy to operate")</f>
        <v>Stylish, functional, grill, childproof, easy to operate</v>
      </c>
    </row>
    <row r="526" spans="1:9" x14ac:dyDescent="0.3">
      <c r="A526" s="1" t="s">
        <v>61</v>
      </c>
      <c r="B526" s="1" t="s">
        <v>318</v>
      </c>
      <c r="C526" s="1" t="s">
        <v>101</v>
      </c>
      <c r="D526" s="1" t="s">
        <v>474</v>
      </c>
      <c r="E526" s="1" t="s">
        <v>1436</v>
      </c>
      <c r="F526" s="1" t="s">
        <v>1437</v>
      </c>
      <c r="G526" s="1" t="s">
        <v>49</v>
      </c>
      <c r="H526" s="1" t="s">
        <v>16</v>
      </c>
      <c r="I526" s="1" t="str">
        <f ca="1">IFERROR(__xludf.DUMMYFUNCTION("GOOGLETRANSLATE(F526, ""auto"", ""en"")
"),"I bought it a week ago. The only advantages are the design and lighting. The smell of plastic overpowers even the most aromatic tea. If I find the receipt, I’ll return it to the store!")</f>
        <v>I bought it a week ago. The only advantages are the design and lighting. The smell of plastic overpowers even the most aromatic tea. If I find the receipt, I’ll return it to the store!</v>
      </c>
    </row>
    <row r="527" spans="1:9" x14ac:dyDescent="0.3">
      <c r="A527" s="1" t="s">
        <v>105</v>
      </c>
      <c r="B527" s="1" t="s">
        <v>106</v>
      </c>
      <c r="C527" s="1" t="s">
        <v>1209</v>
      </c>
      <c r="D527" s="1" t="s">
        <v>228</v>
      </c>
      <c r="E527" s="1" t="s">
        <v>405</v>
      </c>
      <c r="F527" s="1" t="s">
        <v>1438</v>
      </c>
      <c r="G527" s="1" t="s">
        <v>36</v>
      </c>
      <c r="H527" s="1" t="s">
        <v>29</v>
      </c>
      <c r="I527" s="1" t="str">
        <f ca="1">IFERROR(__xludf.DUMMYFUNCTION("GOOGLETRANSLATE(F527, ""auto"", ""en"")
"),"normal player, good color screen, plays all formats, what else do you need? what else do you want, it works well for me personally")</f>
        <v>normal player, good color screen, plays all formats, what else do you need? what else do you want, it works well for me personally</v>
      </c>
    </row>
    <row r="528" spans="1:9" x14ac:dyDescent="0.3">
      <c r="A528" s="1" t="s">
        <v>43</v>
      </c>
      <c r="B528" s="1" t="s">
        <v>1370</v>
      </c>
      <c r="C528" s="1" t="s">
        <v>159</v>
      </c>
      <c r="D528" s="1" t="s">
        <v>1439</v>
      </c>
      <c r="E528" s="1" t="s">
        <v>985</v>
      </c>
      <c r="F528" s="1" t="s">
        <v>1440</v>
      </c>
      <c r="G528" s="1" t="s">
        <v>49</v>
      </c>
      <c r="H528" s="1" t="s">
        <v>16</v>
      </c>
      <c r="I528" s="1" t="str">
        <f ca="1">IFERROR(__xludf.DUMMYFUNCTION("GOOGLETRANSLATE(F528, ""auto"", ""en"")
"),"Absolute nonsense, I have never seen a worse water heater, I don’t advise anyone to buy it!")</f>
        <v>Absolute nonsense, I have never seen a worse water heater, I don’t advise anyone to buy it!</v>
      </c>
    </row>
    <row r="529" spans="1:9" x14ac:dyDescent="0.3">
      <c r="A529" s="1" t="s">
        <v>89</v>
      </c>
      <c r="B529" s="1" t="s">
        <v>90</v>
      </c>
      <c r="C529" s="1" t="s">
        <v>185</v>
      </c>
      <c r="D529" s="1" t="s">
        <v>545</v>
      </c>
      <c r="E529" s="1" t="s">
        <v>1441</v>
      </c>
      <c r="F529" s="1" t="s">
        <v>1442</v>
      </c>
      <c r="G529" s="1" t="s">
        <v>15</v>
      </c>
      <c r="H529" s="1" t="s">
        <v>16</v>
      </c>
      <c r="I529" s="1" t="str">
        <f ca="1">IFERROR(__xludf.DUMMYFUNCTION("GOOGLETRANSLATE(F529, ""auto"", ""en"")
"),"At first everything was fine, it worked for two months, a burning smell appeared, I often use it for cakes (I grind powdered sugar). Today I turned it on, ground one glass and, oops, surprise - IT DOESN’T WORK! I’ll go to exchange it, they took it with an"&amp;" additional guarantee, they assured me that if anything happens, they will replace it with the same model or the right price. I really hope for the integrity of this store.")</f>
        <v>At first everything was fine, it worked for two months, a burning smell appeared, I often use it for cakes (I grind powdered sugar). Today I turned it on, ground one glass and, oops, surprise - IT DOESN’T WORK! I’ll go to exchange it, they took it with an additional guarantee, they assured me that if anything happens, they will replace it with the same model or the right price. I really hope for the integrity of this store.</v>
      </c>
    </row>
    <row r="530" spans="1:9" x14ac:dyDescent="0.3">
      <c r="A530" s="1" t="s">
        <v>1443</v>
      </c>
      <c r="B530" s="1" t="s">
        <v>1444</v>
      </c>
      <c r="C530" s="1" t="s">
        <v>1445</v>
      </c>
      <c r="D530" s="1" t="s">
        <v>565</v>
      </c>
      <c r="E530" s="1" t="s">
        <v>1446</v>
      </c>
      <c r="F530" s="1" t="s">
        <v>1447</v>
      </c>
      <c r="G530" s="1" t="s">
        <v>28</v>
      </c>
      <c r="H530" s="1" t="s">
        <v>29</v>
      </c>
      <c r="I530" s="1" t="str">
        <f ca="1">IFERROR(__xludf.DUMMYFUNCTION("GOOGLETRANSLATE(F530, ""auto"", ""en"")
"),"Nothing, but the speed for recording in real mode from a cable or satellite receiver is not always enough, you need at least 12 Mbit/sec, problems arise on some channels, although another (cheap) Transcend model with a speed of 12 Mbit/sec works great.")</f>
        <v>Nothing, but the speed for recording in real mode from a cable or satellite receiver is not always enough, you need at least 12 Mbit/sec, problems arise on some channels, although another (cheap) Transcend model with a speed of 12 Mbit/sec works great.</v>
      </c>
    </row>
    <row r="531" spans="1:9" x14ac:dyDescent="0.3">
      <c r="A531" s="1" t="s">
        <v>149</v>
      </c>
      <c r="B531" s="1" t="s">
        <v>576</v>
      </c>
      <c r="C531" s="1" t="s">
        <v>151</v>
      </c>
      <c r="D531" s="1" t="s">
        <v>742</v>
      </c>
      <c r="E531" s="1" t="s">
        <v>1448</v>
      </c>
      <c r="F531" s="1" t="s">
        <v>1449</v>
      </c>
      <c r="G531" s="1" t="s">
        <v>36</v>
      </c>
      <c r="H531" s="1" t="s">
        <v>29</v>
      </c>
      <c r="I531" s="1" t="str">
        <f ca="1">IFERROR(__xludf.DUMMYFUNCTION("GOOGLETRANSLATE(F531, ""auto"", ""en"")
"),"Good vacuum cleaner. Seems to be high quality. Yes, it is noisy, but for me personally this is not critical.")</f>
        <v>Good vacuum cleaner. Seems to be high quality. Yes, it is noisy, but for me personally this is not critical.</v>
      </c>
    </row>
    <row r="532" spans="1:9" x14ac:dyDescent="0.3">
      <c r="A532" s="1" t="s">
        <v>120</v>
      </c>
      <c r="B532" s="1" t="s">
        <v>196</v>
      </c>
      <c r="C532" s="1" t="s">
        <v>151</v>
      </c>
      <c r="D532" s="1" t="s">
        <v>33</v>
      </c>
      <c r="E532" s="1" t="s">
        <v>1450</v>
      </c>
      <c r="F532" s="1" t="s">
        <v>1451</v>
      </c>
      <c r="G532" s="1" t="s">
        <v>49</v>
      </c>
      <c r="H532" s="1" t="s">
        <v>16</v>
      </c>
      <c r="I532" s="1" t="str">
        <f ca="1">IFERROR(__xludf.DUMMYFUNCTION("GOOGLETRANSLATE(F532, ""auto"", ""en"")
"),"Same thing as others....started to shut down on its own...this device is 5-6 months old...will have to take it to a workshop...I’m unlikely to buy Samsung again, although before this I trusted TV equipment from this brand")</f>
        <v>Same thing as others....started to shut down on its own...this device is 5-6 months old...will have to take it to a workshop...I’m unlikely to buy Samsung again, although before this I trusted TV equipment from this brand</v>
      </c>
    </row>
    <row r="533" spans="1:9" x14ac:dyDescent="0.3">
      <c r="A533" s="1" t="s">
        <v>624</v>
      </c>
      <c r="B533" s="1" t="s">
        <v>625</v>
      </c>
      <c r="C533" s="1" t="s">
        <v>479</v>
      </c>
      <c r="D533" s="1" t="s">
        <v>152</v>
      </c>
      <c r="E533" s="1" t="s">
        <v>1452</v>
      </c>
      <c r="F533" s="1" t="s">
        <v>1453</v>
      </c>
      <c r="G533" s="1" t="s">
        <v>28</v>
      </c>
      <c r="H533" s="1" t="s">
        <v>29</v>
      </c>
      <c r="I533" s="1" t="str">
        <f ca="1">IFERROR(__xludf.DUMMYFUNCTION("GOOGLETRANSLATE(F533, ""auto"", ""en"")
"),"At first the game is very good, the wild west, in all its glory! There are a lot of things you can do in addition to missions, but after the 3rd game, which is about 40 percent of the game, I got tired of it, jumping to the other side of the world because"&amp;" of an uninteresting mission is boring!   In general, GTA 4 is much more interesting!")</f>
        <v>At first the game is very good, the wild west, in all its glory! There are a lot of things you can do in addition to missions, but after the 3rd game, which is about 40 percent of the game, I got tired of it, jumping to the other side of the world because of an uninteresting mission is boring!   In general, GTA 4 is much more interesting!</v>
      </c>
    </row>
    <row r="534" spans="1:9" x14ac:dyDescent="0.3">
      <c r="A534" s="1" t="s">
        <v>61</v>
      </c>
      <c r="B534" s="1" t="s">
        <v>318</v>
      </c>
      <c r="C534" s="1" t="s">
        <v>246</v>
      </c>
      <c r="D534" s="1" t="s">
        <v>139</v>
      </c>
      <c r="E534" s="1" t="s">
        <v>1454</v>
      </c>
      <c r="F534" s="1" t="s">
        <v>1455</v>
      </c>
      <c r="G534" s="1" t="s">
        <v>36</v>
      </c>
      <c r="H534" s="1" t="s">
        <v>29</v>
      </c>
      <c r="I534" s="1" t="str">
        <f ca="1">IFERROR(__xludf.DUMMYFUNCTION("GOOGLETRANSLATE(F534, ""auto"", ""en"")
"),"The plastic does not “stink” at all, which is very pleasing for the price. It boils 1.5 liters in 3.5 minutes - a standard indicator... And if something happens, there is always a guarantee, and it’s two years.  For the money, I don’t think it’s better to"&amp;" think of anything.")</f>
        <v>The plastic does not “stink” at all, which is very pleasing for the price. It boils 1.5 liters in 3.5 minutes - a standard indicator... And if something happens, there is always a guarantee, and it’s two years.  For the money, I don’t think it’s better to think of anything.</v>
      </c>
    </row>
    <row r="535" spans="1:9" x14ac:dyDescent="0.3">
      <c r="A535" s="1" t="s">
        <v>30</v>
      </c>
      <c r="B535" s="1" t="s">
        <v>50</v>
      </c>
      <c r="C535" s="1" t="s">
        <v>1386</v>
      </c>
      <c r="D535" s="1" t="s">
        <v>1456</v>
      </c>
      <c r="E535" s="1" t="s">
        <v>1457</v>
      </c>
      <c r="F535" s="1" t="s">
        <v>1458</v>
      </c>
      <c r="G535" s="1" t="s">
        <v>36</v>
      </c>
      <c r="H535" s="1" t="s">
        <v>29</v>
      </c>
      <c r="I535" s="1" t="str">
        <f ca="1">IFERROR(__xludf.DUMMYFUNCTION("GOOGLETRANSLATE(F535, ""auto"", ""en"")
"),"Format the hard drive and remove Vista, you will have 160 GB, and install XP SP3, not because I am against Vista, the computer in it does not work as quickly as I would like.")</f>
        <v>Format the hard drive and remove Vista, you will have 160 GB, and install XP SP3, not because I am against Vista, the computer in it does not work as quickly as I would like.</v>
      </c>
    </row>
    <row r="536" spans="1:9" x14ac:dyDescent="0.3">
      <c r="A536" s="1" t="s">
        <v>206</v>
      </c>
      <c r="B536" s="1" t="s">
        <v>207</v>
      </c>
      <c r="C536" s="1" t="s">
        <v>1143</v>
      </c>
      <c r="D536" s="1" t="s">
        <v>1459</v>
      </c>
      <c r="E536" s="1" t="s">
        <v>1387</v>
      </c>
      <c r="F536" s="1" t="s">
        <v>1460</v>
      </c>
      <c r="G536" s="1" t="s">
        <v>36</v>
      </c>
      <c r="H536" s="1" t="s">
        <v>29</v>
      </c>
      <c r="I536" s="1" t="str">
        <f ca="1">IFERROR(__xludf.DUMMYFUNCTION("GOOGLETRANSLATE(F536, ""auto"", ""en"")
"),"Sub is super, I'm 1000% satisfied")</f>
        <v>Sub is super, I'm 1000% satisfied</v>
      </c>
    </row>
    <row r="537" spans="1:9" x14ac:dyDescent="0.3">
      <c r="A537" s="1" t="s">
        <v>61</v>
      </c>
      <c r="B537" s="1" t="s">
        <v>318</v>
      </c>
      <c r="C537" s="1" t="s">
        <v>1461</v>
      </c>
      <c r="D537" s="1" t="s">
        <v>1431</v>
      </c>
      <c r="E537" s="1" t="s">
        <v>430</v>
      </c>
      <c r="F537" s="1" t="s">
        <v>1462</v>
      </c>
      <c r="G537" s="1" t="s">
        <v>49</v>
      </c>
      <c r="H537" s="1" t="s">
        <v>16</v>
      </c>
      <c r="I537" s="1" t="str">
        <f ca="1">IFERROR(__xludf.DUMMYFUNCTION("GOOGLETRANSLATE(F537, ""auto"", ""en"")
"),"I bought a kettle a week ago. I was looking for one where the inside of the body is purely metal, without plastic inserts and even without gaskets between the bottom and walls, i.e. all-metal (for me this is very important, because plastic and rubber can "&amp;"give off an odor to the water, and this greatly spoils the tea). And this teapot is one of the rarest examples of its kind. However, it is very important that the steel is of high quality, because... I heard that low-quality steel can release harmful subs"&amp;"tances into water when boiled, and this is already damaging not only for tea, but also for health.   In the kettle's passport I saw information about compliance with several GOSTs and decided that everything was in order, since the kettle was tested by RO"&amp;"STEST. But at home I discovered that there was a slight metallic taste in boiled water. I decided to look on the Internet what kind of GOST standards the kettle complies with. It turned out that they all relate to electrical and electromagnetic safety. Th"&amp;"ere is no additional information on the Verloni website either.   Then, on the same website, I asked a question about the safety of steel for health. The next working day, in the morning, I received an e-mail message assuring me that everything had been c"&amp;"hecked by ROSTEST and there was nothing to worry about. When I asked to indicate specific certificates (as the company did for electrical safety) for food (chemical) safety, the answer was silence.   So, it seems that this kettle is not made of food-grade"&amp;" steel, at least it has not been tested, and therefore may be hazardous to health (and given the obvious aftertaste of the water after boiling, apparently it is indeed dangerous).  And the Verloni company is trying to hide the lack of testing of steel for"&amp;" chemical safety by referring to the list of GOSTs, without indicating that they are for electrical safety. That is, the company is trying to mislead customers.")</f>
        <v>I bought a kettle a week ago. I was looking for one where the inside of the body is purely metal, without plastic inserts and even without gaskets between the bottom and walls, i.e. all-metal (for me this is very important, because plastic and rubber can give off an odor to the water, and this greatly spoils the tea). And this teapot is one of the rarest examples of its kind. However, it is very important that the steel is of high quality, because... I heard that low-quality steel can release harmful substances into water when boiled, and this is already damaging not only for tea, but also for health.   In the kettle's passport I saw information about compliance with several GOSTs and decided that everything was in order, since the kettle was tested by ROSTEST. But at home I discovered that there was a slight metallic taste in boiled water. I decided to look on the Internet what kind of GOST standards the kettle complies with. It turned out that they all relate to electrical and electromagnetic safety. There is no additional information on the Verloni website either.   Then, on the same website, I asked a question about the safety of steel for health. The next working day, in the morning, I received an e-mail message assuring me that everything had been checked by ROSTEST and there was nothing to worry about. When I asked to indicate specific certificates (as the company did for electrical safety) for food (chemical) safety, the answer was silence.   So, it seems that this kettle is not made of food-grade steel, at least it has not been tested, and therefore may be hazardous to health (and given the obvious aftertaste of the water after boiling, apparently it is indeed dangerous).  And the Verloni company is trying to hide the lack of testing of steel for chemical safety by referring to the list of GOSTs, without indicating that they are for electrical safety. That is, the company is trying to mislead customers.</v>
      </c>
    </row>
    <row r="538" spans="1:9" x14ac:dyDescent="0.3">
      <c r="A538" s="1" t="s">
        <v>624</v>
      </c>
      <c r="B538" s="1" t="s">
        <v>625</v>
      </c>
      <c r="C538" s="1" t="s">
        <v>479</v>
      </c>
      <c r="D538" s="1" t="s">
        <v>305</v>
      </c>
      <c r="E538" s="1" t="s">
        <v>1463</v>
      </c>
      <c r="F538" s="1" t="s">
        <v>1464</v>
      </c>
      <c r="G538" s="1" t="s">
        <v>36</v>
      </c>
      <c r="H538" s="1" t="s">
        <v>29</v>
      </c>
      <c r="I538" s="1" t="str">
        <f ca="1">IFERROR(__xludf.DUMMYFUNCTION("GOOGLETRANSLATE(F538, ""auto"", ""en"")
"),"Heavy Rain can easily be called the flagship of PS3 exclusives; it is a completely new stage in the gaming industry. The interactive drama will make you both happy and worried, and what’s more, you will often experience panic, a rapid pulse and high blood"&amp;" pressure are guaranteed. Those who have not yet completed the game will get a storm of emotions, I even envy you a little. And for those who were thinking about purchasing a PlayStation 3, now you have a wonderful reason not to postpone this event any lo"&amp;"nger")</f>
        <v>Heavy Rain can easily be called the flagship of PS3 exclusives; it is a completely new stage in the gaming industry. The interactive drama will make you both happy and worried, and what’s more, you will often experience panic, a rapid pulse and high blood pressure are guaranteed. Those who have not yet completed the game will get a storm of emotions, I even envy you a little. And for those who were thinking about purchasing a PlayStation 3, now you have a wonderful reason not to postpone this event any longer</v>
      </c>
    </row>
    <row r="539" spans="1:9" x14ac:dyDescent="0.3">
      <c r="A539" s="1" t="s">
        <v>61</v>
      </c>
      <c r="B539" s="1" t="s">
        <v>318</v>
      </c>
      <c r="C539" s="1" t="s">
        <v>85</v>
      </c>
      <c r="D539" s="1" t="s">
        <v>589</v>
      </c>
      <c r="E539" s="1" t="s">
        <v>1465</v>
      </c>
      <c r="F539" s="1" t="s">
        <v>1466</v>
      </c>
      <c r="G539" s="1" t="s">
        <v>36</v>
      </c>
      <c r="H539" s="1" t="s">
        <v>29</v>
      </c>
      <c r="I539" s="1" t="str">
        <f ca="1">IFERROR(__xludf.DUMMYFUNCTION("GOOGLETRANSLATE(F539, ""auto"", ""en"")
"),"For me, it has 2 functions that are simply necessary - the fact that you can set the start time and adjust the strength of the brew to your taste.  The kettle copes with all this perfectly. In short, I’m happy) I like to show off this device to my guests."&amp;" P.S. It also fits perfectly into my kitchen interior. All Borks have a great design, of course!")</f>
        <v>For me, it has 2 functions that are simply necessary - the fact that you can set the start time and adjust the strength of the brew to your taste.  The kettle copes with all this perfectly. In short, I’m happy) I like to show off this device to my guests. P.S. It also fits perfectly into my kitchen interior. All Borks have a great design, of course!</v>
      </c>
    </row>
    <row r="540" spans="1:9" x14ac:dyDescent="0.3">
      <c r="A540" s="1" t="s">
        <v>61</v>
      </c>
      <c r="B540" s="1" t="s">
        <v>180</v>
      </c>
      <c r="C540" s="1" t="s">
        <v>69</v>
      </c>
      <c r="D540" s="1" t="s">
        <v>152</v>
      </c>
      <c r="E540" s="1" t="s">
        <v>1467</v>
      </c>
      <c r="F540" s="1" t="s">
        <v>1468</v>
      </c>
      <c r="G540" s="1" t="s">
        <v>36</v>
      </c>
      <c r="H540" s="1" t="s">
        <v>29</v>
      </c>
      <c r="I540" s="1" t="str">
        <f ca="1">IFERROR(__xludf.DUMMYFUNCTION("GOOGLETRANSLATE(F540, ""auto"", ""en"")
"),"An excellent toaster that has served me faithfully for over a year. I use it at least once a day, it fries bread perfectly on both sides. Simple and reliable, like an AK, there hasn’t been a single misfire the entire time.")</f>
        <v>An excellent toaster that has served me faithfully for over a year. I use it at least once a day, it fries bread perfectly on both sides. Simple and reliable, like an AK, there hasn’t been a single misfire the entire time.</v>
      </c>
    </row>
    <row r="541" spans="1:9" x14ac:dyDescent="0.3">
      <c r="A541" s="1" t="s">
        <v>211</v>
      </c>
      <c r="B541" s="1" t="s">
        <v>212</v>
      </c>
      <c r="C541" s="1" t="s">
        <v>213</v>
      </c>
      <c r="D541" s="1" t="s">
        <v>247</v>
      </c>
      <c r="E541" s="1" t="s">
        <v>1012</v>
      </c>
      <c r="F541" s="1" t="s">
        <v>1469</v>
      </c>
      <c r="G541" s="1" t="s">
        <v>36</v>
      </c>
      <c r="H541" s="1" t="s">
        <v>29</v>
      </c>
      <c r="I541" s="1" t="str">
        <f ca="1">IFERROR(__xludf.DUMMYFUNCTION("GOOGLETRANSLATE(F541, ""auto"", ""en"")
"),"I'm very pleased. Not everyone can straighten my very curly hair, but this unit did it.")</f>
        <v>I'm very pleased. Not everyone can straighten my very curly hair, but this unit did it.</v>
      </c>
    </row>
    <row r="542" spans="1:9" x14ac:dyDescent="0.3">
      <c r="A542" s="1" t="s">
        <v>206</v>
      </c>
      <c r="B542" s="1" t="s">
        <v>207</v>
      </c>
      <c r="C542" s="1" t="s">
        <v>351</v>
      </c>
      <c r="D542" s="1" t="s">
        <v>280</v>
      </c>
      <c r="E542" s="1" t="s">
        <v>1470</v>
      </c>
      <c r="F542" s="1" t="s">
        <v>1471</v>
      </c>
      <c r="G542" s="1" t="s">
        <v>28</v>
      </c>
      <c r="H542" s="1" t="s">
        <v>29</v>
      </c>
      <c r="I542" s="1" t="str">
        <f ca="1">IFERROR(__xludf.DUMMYFUNCTION("GOOGLETRANSLATE(F542, ""auto"", ""en"")
"),"I've always wanted to install good music in my car!!! I doubted the choice of acoustics for a very long time, not to mention the amplifier!!! I took a break from the entire Internet and asked everyone I knew, I decided and bought it!!! It took a long time"&amp;" to prepare and connect everything!!! After the first setup (wrong, by the way), I realized that I bought it for good reason!!! It doesn't play very well!!! I liked it!!! P.S. Don’t believe that the battery drains in 15 minutes!!! In the summer I held a d"&amp;"isco on a river with an open trunk within a radius of 300-350 meters for 4-5 hours and no signs of a dead battery (the car has 8 speakers: 4-13, 2-16 and 2 oval)")</f>
        <v>I've always wanted to install good music in my car!!! I doubted the choice of acoustics for a very long time, not to mention the amplifier!!! I took a break from the entire Internet and asked everyone I knew, I decided and bought it!!! It took a long time to prepare and connect everything!!! After the first setup (wrong, by the way), I realized that I bought it for good reason!!! It doesn't play very well!!! I liked it!!! P.S. Don’t believe that the battery drains in 15 minutes!!! In the summer I held a disco on a river with an open trunk within a radius of 300-350 meters for 4-5 hours and no signs of a dead battery (the car has 8 speakers: 4-13, 2-16 and 2 oval)</v>
      </c>
    </row>
    <row r="543" spans="1:9" x14ac:dyDescent="0.3">
      <c r="A543" s="1" t="s">
        <v>9</v>
      </c>
      <c r="B543" s="1" t="s">
        <v>137</v>
      </c>
      <c r="C543" s="1" t="s">
        <v>466</v>
      </c>
      <c r="D543" s="1" t="s">
        <v>1472</v>
      </c>
      <c r="E543" s="1" t="s">
        <v>708</v>
      </c>
      <c r="F543" s="1" t="s">
        <v>1473</v>
      </c>
      <c r="G543" s="1" t="s">
        <v>49</v>
      </c>
      <c r="H543" s="1" t="s">
        <v>16</v>
      </c>
      <c r="I543" s="1" t="str">
        <f ca="1">IFERROR(__xludf.DUMMYFUNCTION("GOOGLETRANSLATE(F543, ""auto"", ""en"")
"),"Terrible model. Torment with ignition, after a year of use the glass broke while cooking. It is cheaper to buy a new one than to replace the glass.")</f>
        <v>Terrible model. Torment with ignition, after a year of use the glass broke while cooking. It is cheaper to buy a new one than to replace the glass.</v>
      </c>
    </row>
    <row r="544" spans="1:9" x14ac:dyDescent="0.3">
      <c r="A544" s="1" t="s">
        <v>89</v>
      </c>
      <c r="B544" s="1" t="s">
        <v>90</v>
      </c>
      <c r="C544" s="1" t="s">
        <v>57</v>
      </c>
      <c r="D544" s="1" t="s">
        <v>1055</v>
      </c>
      <c r="E544" s="1" t="s">
        <v>1474</v>
      </c>
      <c r="F544" s="1" t="s">
        <v>1475</v>
      </c>
      <c r="G544" s="1" t="s">
        <v>36</v>
      </c>
      <c r="H544" s="1" t="s">
        <v>29</v>
      </c>
      <c r="I544" s="1" t="str">
        <f ca="1">IFERROR(__xludf.DUMMYFUNCTION("GOOGLETRANSLATE(F544, ""auto"", ""en"")
"),"An excellent coffee grinder for a reasonable price, completely satisfying. I like that the body is metal. Simple and convenient.")</f>
        <v>An excellent coffee grinder for a reasonable price, completely satisfying. I like that the body is metal. Simple and convenient.</v>
      </c>
    </row>
    <row r="545" spans="1:9" x14ac:dyDescent="0.3">
      <c r="A545" s="1" t="s">
        <v>105</v>
      </c>
      <c r="B545" s="1" t="s">
        <v>106</v>
      </c>
      <c r="C545" s="1" t="s">
        <v>69</v>
      </c>
      <c r="D545" s="1" t="s">
        <v>1476</v>
      </c>
      <c r="E545" s="1" t="s">
        <v>460</v>
      </c>
      <c r="F545" s="1" t="s">
        <v>1477</v>
      </c>
      <c r="G545" s="1" t="s">
        <v>36</v>
      </c>
      <c r="H545" s="1" t="s">
        <v>29</v>
      </c>
      <c r="I545" s="1" t="str">
        <f ca="1">IFERROR(__xludf.DUMMYFUNCTION("GOOGLETRANSLATE(F545, ""auto"", ""en"")
"),"literally proud of my player) considering the price of this product, we can safely say that I DID NOT PAY EXTRA) regarding the problems described above, Sergei (Nizhnekamsk): 1. there are no problems with the headphones included in the kit, they never hun"&amp;"g, did not slow down, etc.    2. The player, with its 10-hour battery, is not designed for listening to audiobooks.     one minus) but rather not a minus, but a shortcoming: it’s a pity that the kit does not come with a charger for the socket; I was too l"&amp;"azy to buy it separately)")</f>
        <v>literally proud of my player) considering the price of this product, we can safely say that I DID NOT PAY EXTRA) regarding the problems described above, Sergei (Nizhnekamsk): 1. there are no problems with the headphones included in the kit, they never hung, did not slow down, etc.    2. The player, with its 10-hour battery, is not designed for listening to audiobooks.     one minus) but rather not a minus, but a shortcoming: it’s a pity that the kit does not come with a charger for the socket; I was too lazy to buy it separately)</v>
      </c>
    </row>
    <row r="546" spans="1:9" x14ac:dyDescent="0.3">
      <c r="A546" s="1" t="s">
        <v>624</v>
      </c>
      <c r="B546" s="1" t="s">
        <v>625</v>
      </c>
      <c r="C546" s="1" t="s">
        <v>479</v>
      </c>
      <c r="D546" s="1" t="s">
        <v>39</v>
      </c>
      <c r="E546" s="1" t="s">
        <v>675</v>
      </c>
      <c r="F546" s="1" t="s">
        <v>1478</v>
      </c>
      <c r="G546" s="1" t="s">
        <v>28</v>
      </c>
      <c r="H546" s="1" t="s">
        <v>29</v>
      </c>
      <c r="I546" s="1" t="str">
        <f ca="1">IFERROR(__xludf.DUMMYFUNCTION("GOOGLETRANSLATE(F546, ""auto"", ""en"")
"),"An interesting game)) True, this is not the same Midnight Club that it was before)) Although Rockstar keeps the brand))) Those who love tuning, expensive cars and breakneck speed - a must have)))")</f>
        <v>An interesting game)) True, this is not the same Midnight Club that it was before)) Although Rockstar keeps the brand))) Those who love tuning, expensive cars and breakneck speed - a must have)))</v>
      </c>
    </row>
    <row r="547" spans="1:9" x14ac:dyDescent="0.3">
      <c r="A547" s="1" t="s">
        <v>61</v>
      </c>
      <c r="B547" s="1" t="s">
        <v>318</v>
      </c>
      <c r="C547" s="1" t="s">
        <v>57</v>
      </c>
      <c r="D547" s="1" t="s">
        <v>1479</v>
      </c>
      <c r="E547" s="1" t="s">
        <v>656</v>
      </c>
      <c r="F547" s="1" t="s">
        <v>1480</v>
      </c>
      <c r="G547" s="1" t="s">
        <v>36</v>
      </c>
      <c r="H547" s="1" t="s">
        <v>29</v>
      </c>
      <c r="I547" s="1" t="str">
        <f ca="1">IFERROR(__xludf.DUMMYFUNCTION("GOOGLETRANSLATE(F547, ""auto"", ""en"")
"),"We recently acquired this miracle appliance in our kitchen. Stylish design, hot water at any time of the day, it turns out to be so convenient!!! There was no smell, as some people write. My family rated the device 5+.  Buy it and you won't regret it.")</f>
        <v>We recently acquired this miracle appliance in our kitchen. Stylish design, hot water at any time of the day, it turns out to be so convenient!!! There was no smell, as some people write. My family rated the device 5+.  Buy it and you won't regret it.</v>
      </c>
    </row>
    <row r="548" spans="1:9" x14ac:dyDescent="0.3">
      <c r="A548" s="1" t="s">
        <v>149</v>
      </c>
      <c r="B548" s="1" t="s">
        <v>576</v>
      </c>
      <c r="C548" s="1" t="s">
        <v>69</v>
      </c>
      <c r="D548" s="1" t="s">
        <v>33</v>
      </c>
      <c r="E548" s="1" t="s">
        <v>1481</v>
      </c>
      <c r="F548" s="1" t="s">
        <v>1482</v>
      </c>
      <c r="G548" s="1" t="s">
        <v>36</v>
      </c>
      <c r="H548" s="1" t="s">
        <v>29</v>
      </c>
      <c r="I548" s="1" t="str">
        <f ca="1">IFERROR(__xludf.DUMMYFUNCTION("GOOGLETRANSLATE(F548, ""auto"", ""en"")
"),"An excellent vacuum cleaner, no words, it gives an electric shock if you use a turbo brush due to static electricity. But it’s not scary... A quiet and powerful vacuum cleaner, the disposable dust collector lasted for 2 weeks the first time, I use it for "&amp;"the same amount of time and am satisfied.")</f>
        <v>An excellent vacuum cleaner, no words, it gives an electric shock if you use a turbo brush due to static electricity. But it’s not scary... A quiet and powerful vacuum cleaner, the disposable dust collector lasted for 2 weeks the first time, I use it for the same amount of time and am satisfied.</v>
      </c>
    </row>
    <row r="549" spans="1:9" x14ac:dyDescent="0.3">
      <c r="A549" s="1" t="s">
        <v>61</v>
      </c>
      <c r="B549" s="1" t="s">
        <v>73</v>
      </c>
      <c r="C549" s="1" t="s">
        <v>74</v>
      </c>
      <c r="D549" s="1" t="s">
        <v>1483</v>
      </c>
      <c r="E549" s="1" t="s">
        <v>1484</v>
      </c>
      <c r="F549" s="1" t="s">
        <v>1485</v>
      </c>
      <c r="G549" s="1" t="s">
        <v>49</v>
      </c>
      <c r="H549" s="1" t="s">
        <v>16</v>
      </c>
      <c r="I549" s="1" t="str">
        <f ca="1">IFERROR(__xludf.DUMMYFUNCTION("GOOGLETRANSLATE(F549, ""auto"", ""en"")
"),"We bought this meat grinder! And they regretted it within a day. Initially, when I was watching it, I asked the consultant why the fastening was so weak? To which they replied that this is a display sample, so they have already loosened it! OK! We started"&amp;" twisting the meat, it’s a nightmare how she chews it, it gets clogged instantly, and I was twisting the tenderloin without any veins or bones! I twisted 1 kg of meat, gathered it in my arms and ran to hand it over, BUT they didn’t accept it from me, the "&amp;"product was normal, working! In general, don't take this nonsense!&amp;nbsp;")</f>
        <v>We bought this meat grinder! And they regretted it within a day. Initially, when I was watching it, I asked the consultant why the fastening was so weak? To which they replied that this is a display sample, so they have already loosened it! OK! We started twisting the meat, it’s a nightmare how she chews it, it gets clogged instantly, and I was twisting the tenderloin without any veins or bones! I twisted 1 kg of meat, gathered it in my arms and ran to hand it over, BUT they didn’t accept it from me, the product was normal, working! In general, don't take this nonsense!&amp;nbsp;</v>
      </c>
    </row>
    <row r="550" spans="1:9" x14ac:dyDescent="0.3">
      <c r="A550" s="1" t="s">
        <v>61</v>
      </c>
      <c r="B550" s="1" t="s">
        <v>434</v>
      </c>
      <c r="C550" s="1" t="s">
        <v>101</v>
      </c>
      <c r="D550" s="1" t="s">
        <v>295</v>
      </c>
      <c r="E550" s="1" t="s">
        <v>432</v>
      </c>
      <c r="F550" s="1" t="s">
        <v>1486</v>
      </c>
      <c r="G550" s="1" t="s">
        <v>36</v>
      </c>
      <c r="H550" s="1" t="s">
        <v>29</v>
      </c>
      <c r="I550" s="1" t="str">
        <f ca="1">IFERROR(__xludf.DUMMYFUNCTION("GOOGLETRANSLATE(F550, ""auto"", ""en"")
"),"Yesterday I bought a mini oven Scarlett sc-099 black! On the way from m.Video I bought salmon. At home I first heated up the empty stove (the whole apartment was in smoke)! Then I baked my favorite salmon in it! The fish turned out amazingly tasty!!!! I d"&amp;"idn’t even expect this. After all, the company seems to be not very popular!! I advise everyone who has problems with the oven or for the dacha the best option!!!!")</f>
        <v>Yesterday I bought a mini oven Scarlett sc-099 black! On the way from m.Video I bought salmon. At home I first heated up the empty stove (the whole apartment was in smoke)! Then I baked my favorite salmon in it! The fish turned out amazingly tasty!!!! I didn’t even expect this. After all, the company seems to be not very popular!! I advise everyone who has problems with the oven or for the dacha the best option!!!!</v>
      </c>
    </row>
    <row r="551" spans="1:9" x14ac:dyDescent="0.3">
      <c r="A551" s="1" t="s">
        <v>89</v>
      </c>
      <c r="B551" s="1" t="s">
        <v>90</v>
      </c>
      <c r="C551" s="1" t="s">
        <v>185</v>
      </c>
      <c r="D551" s="1" t="s">
        <v>232</v>
      </c>
      <c r="E551" s="1" t="s">
        <v>1487</v>
      </c>
      <c r="F551" s="1" t="s">
        <v>1488</v>
      </c>
      <c r="G551" s="1" t="s">
        <v>36</v>
      </c>
      <c r="H551" s="1" t="s">
        <v>29</v>
      </c>
      <c r="I551" s="1" t="str">
        <f ca="1">IFERROR(__xludf.DUMMYFUNCTION("GOOGLETRANSLATE(F551, ""auto"", ""en"")
"),"I was never upset with the purchase, it grinds finely, there is an indication. And the most important thing is that the bowl is removable, so you can pour out coffee or wash it without any problems!")</f>
        <v>I was never upset with the purchase, it grinds finely, there is an indication. And the most important thing is that the bowl is removable, so you can pour out coffee or wash it without any problems!</v>
      </c>
    </row>
    <row r="552" spans="1:9" x14ac:dyDescent="0.3">
      <c r="A552" s="1" t="s">
        <v>1443</v>
      </c>
      <c r="B552" s="1" t="s">
        <v>1444</v>
      </c>
      <c r="C552" s="1" t="s">
        <v>1489</v>
      </c>
      <c r="D552" s="1" t="s">
        <v>171</v>
      </c>
      <c r="E552" s="1" t="s">
        <v>1490</v>
      </c>
      <c r="F552" s="1" t="s">
        <v>1491</v>
      </c>
      <c r="G552" s="1" t="s">
        <v>36</v>
      </c>
      <c r="H552" s="1" t="s">
        <v>29</v>
      </c>
      <c r="I552" s="1" t="str">
        <f ca="1">IFERROR(__xludf.DUMMYFUNCTION("GOOGLETRANSLATE(F552, ""auto"", ""en"")
"),"Price and speed")</f>
        <v>Price and speed</v>
      </c>
    </row>
    <row r="553" spans="1:9" x14ac:dyDescent="0.3">
      <c r="A553" s="1" t="s">
        <v>55</v>
      </c>
      <c r="B553" s="1" t="s">
        <v>752</v>
      </c>
      <c r="C553" s="1" t="s">
        <v>185</v>
      </c>
      <c r="D553" s="1" t="s">
        <v>139</v>
      </c>
      <c r="E553" s="1" t="s">
        <v>1492</v>
      </c>
      <c r="F553" s="1" t="s">
        <v>1493</v>
      </c>
      <c r="G553" s="1" t="s">
        <v>36</v>
      </c>
      <c r="H553" s="1" t="s">
        <v>29</v>
      </c>
      <c r="I553" s="1" t="str">
        <f ca="1">IFERROR(__xludf.DUMMYFUNCTION("GOOGLETRANSLATE(F553, ""auto"", ""en"")
"),"They recommended it in the store, they said one of the best radiators in its segment, I was convinced that this was so! Heats very well, is not noisy, there is additional heat airflow, there is a thermostat. In general, an A for anyone who wants to heat a"&amp;" large area!!!")</f>
        <v>They recommended it in the store, they said one of the best radiators in its segment, I was convinced that this was so! Heats very well, is not noisy, there is additional heat airflow, there is a thermostat. In general, an A for anyone who wants to heat a large area!!!</v>
      </c>
    </row>
    <row r="554" spans="1:9" x14ac:dyDescent="0.3">
      <c r="A554" s="1" t="s">
        <v>61</v>
      </c>
      <c r="B554" s="1" t="s">
        <v>73</v>
      </c>
      <c r="C554" s="1" t="s">
        <v>314</v>
      </c>
      <c r="D554" s="1" t="s">
        <v>295</v>
      </c>
      <c r="E554" s="1" t="s">
        <v>1494</v>
      </c>
      <c r="F554" s="1" t="s">
        <v>1495</v>
      </c>
      <c r="G554" s="1" t="s">
        <v>36</v>
      </c>
      <c r="H554" s="1" t="s">
        <v>29</v>
      </c>
      <c r="I554" s="1" t="str">
        <f ca="1">IFERROR(__xludf.DUMMYFUNCTION("GOOGLETRANSLATE(F554, ""auto"", ""en"")
"),"I bought it last week. A wonderful meat grinder, no problems when chopping beef or chicken fillet. Squeezes juice without problems.")</f>
        <v>I bought it last week. A wonderful meat grinder, no problems when chopping beef or chicken fillet. Squeezes juice without problems.</v>
      </c>
    </row>
    <row r="555" spans="1:9" x14ac:dyDescent="0.3">
      <c r="A555" s="1" t="s">
        <v>30</v>
      </c>
      <c r="B555" s="1" t="s">
        <v>31</v>
      </c>
      <c r="C555" s="1" t="s">
        <v>32</v>
      </c>
      <c r="D555" s="1" t="s">
        <v>1496</v>
      </c>
      <c r="E555" s="1" t="s">
        <v>1497</v>
      </c>
      <c r="F555" s="1" t="s">
        <v>1498</v>
      </c>
      <c r="G555" s="1" t="s">
        <v>36</v>
      </c>
      <c r="H555" s="1" t="s">
        <v>29</v>
      </c>
      <c r="I555" s="1" t="str">
        <f ca="1">IFERROR(__xludf.DUMMYFUNCTION("GOOGLETRANSLATE(F555, ""auto"", ""en"")
"),"I bought it 3 months ago, I’m happy with the purchase, I just had to install a 64-bit operating system to make it work faster. There is one drawback that I noticed - sometimes the curtains on the drive and the lower compartment rattle, but it is practical"&amp;"ly silent.")</f>
        <v>I bought it 3 months ago, I’m happy with the purchase, I just had to install a 64-bit operating system to make it work faster. There is one drawback that I noticed - sometimes the curtains on the drive and the lower compartment rattle, but it is practically silent.</v>
      </c>
    </row>
    <row r="556" spans="1:9" x14ac:dyDescent="0.3">
      <c r="A556" s="1" t="s">
        <v>149</v>
      </c>
      <c r="B556" s="1" t="s">
        <v>423</v>
      </c>
      <c r="C556" s="1" t="s">
        <v>531</v>
      </c>
      <c r="D556" s="1" t="s">
        <v>1499</v>
      </c>
      <c r="E556" s="1" t="s">
        <v>1500</v>
      </c>
      <c r="F556" s="1" t="s">
        <v>1501</v>
      </c>
      <c r="G556" s="1" t="s">
        <v>36</v>
      </c>
      <c r="H556" s="1" t="s">
        <v>29</v>
      </c>
      <c r="I556" s="1" t="str">
        <f ca="1">IFERROR(__xludf.DUMMYFUNCTION("GOOGLETRANSLATE(F556, ""auto"", ""en"")
"),"comfortable handle, long power cable, optimal set of attachments, easy to use and wash after cleaning")</f>
        <v>comfortable handle, long power cable, optimal set of attachments, easy to use and wash after cleaning</v>
      </c>
    </row>
    <row r="557" spans="1:9" x14ac:dyDescent="0.3">
      <c r="A557" s="1" t="s">
        <v>55</v>
      </c>
      <c r="B557" s="1" t="s">
        <v>56</v>
      </c>
      <c r="C557" s="1" t="s">
        <v>1502</v>
      </c>
      <c r="D557" s="1" t="s">
        <v>1503</v>
      </c>
      <c r="E557" s="1" t="s">
        <v>1504</v>
      </c>
      <c r="F557" s="1" t="s">
        <v>1505</v>
      </c>
      <c r="G557" s="1" t="s">
        <v>28</v>
      </c>
      <c r="H557" s="1" t="s">
        <v>29</v>
      </c>
      <c r="I557" s="1" t="str">
        <f ca="1">IFERROR(__xludf.DUMMYFUNCTION("GOOGLETRANSLATE(F557, ""auto"", ""en"")
"),"Bought. We use it.  I agree with the previous review - it’s not enough for an 18m2 room, but we put it next to the bed at night. After an hour of operation, the humidity shows about 50%. It cannot produce more humidity during such operation.   If it fits "&amp;"the footage, then it’s a very nice device. Quiet and there is no white coating on furniture from water.  Tip: When purchasing in a store, check that it is in good condition, because... Something came loose and we repaired it ourselves (screwed it on) at o"&amp;"ur own peril and risk, risking losing the warranty, but we were too lazy to take it back and change it :)")</f>
        <v>Bought. We use it.  I agree with the previous review - it’s not enough for an 18m2 room, but we put it next to the bed at night. After an hour of operation, the humidity shows about 50%. It cannot produce more humidity during such operation.   If it fits the footage, then it’s a very nice device. Quiet and there is no white coating on furniture from water.  Tip: When purchasing in a store, check that it is in good condition, because... Something came loose and we repaired it ourselves (screwed it on) at our own peril and risk, risking losing the warranty, but we were too lazy to take it back and change it :)</v>
      </c>
    </row>
    <row r="558" spans="1:9" x14ac:dyDescent="0.3">
      <c r="A558" s="1" t="s">
        <v>43</v>
      </c>
      <c r="B558" s="1" t="s">
        <v>502</v>
      </c>
      <c r="C558" s="1" t="s">
        <v>151</v>
      </c>
      <c r="D558" s="1" t="s">
        <v>1506</v>
      </c>
      <c r="E558" s="1" t="s">
        <v>1507</v>
      </c>
      <c r="F558" s="1" t="s">
        <v>1508</v>
      </c>
      <c r="G558" s="1" t="s">
        <v>49</v>
      </c>
      <c r="H558" s="1" t="s">
        <v>16</v>
      </c>
      <c r="I558" s="1" t="str">
        <f ca="1">IFERROR(__xludf.DUMMYFUNCTION("GOOGLETRANSLATE(F558, ""auto"", ""en"")
"),"I bought it on sale with installation 10 days ago. The installers arrived yesterday. We were poking around until 23-00. Installed. Doesn't work at all. There is not a drop of freon in the device. The repairmen say that they either deliberately did not fil"&amp;"l it, or forgot to fill it, or all the freon leaked out. Super technique. Today I'm going to the store to exchange for another brand.")</f>
        <v>I bought it on sale with installation 10 days ago. The installers arrived yesterday. We were poking around until 23-00. Installed. Doesn't work at all. There is not a drop of freon in the device. The repairmen say that they either deliberately did not fill it, or forgot to fill it, or all the freon leaked out. Super technique. Today I'm going to the store to exchange for another brand.</v>
      </c>
    </row>
    <row r="559" spans="1:9" x14ac:dyDescent="0.3">
      <c r="A559" s="1" t="s">
        <v>37</v>
      </c>
      <c r="B559" s="1" t="s">
        <v>38</v>
      </c>
      <c r="C559" s="1" t="s">
        <v>151</v>
      </c>
      <c r="D559" s="1" t="s">
        <v>1509</v>
      </c>
      <c r="E559" s="1" t="s">
        <v>1510</v>
      </c>
      <c r="F559" s="1" t="s">
        <v>1511</v>
      </c>
      <c r="G559" s="1" t="s">
        <v>28</v>
      </c>
      <c r="H559" s="1" t="s">
        <v>29</v>
      </c>
      <c r="I559" s="1" t="str">
        <f ca="1">IFERROR(__xludf.DUMMYFUNCTION("GOOGLETRANSLATE(F559, ""auto"", ""en"")
"),"I don’t have black! but metallic gray, BUT that’s not the point! please tell me how to use the second camera and how it turns on. I can't do it!")</f>
        <v>I don’t have black! but metallic gray, BUT that’s not the point! please tell me how to use the second camera and how it turns on. I can't do it!</v>
      </c>
    </row>
    <row r="560" spans="1:9" x14ac:dyDescent="0.3">
      <c r="A560" s="1" t="s">
        <v>61</v>
      </c>
      <c r="B560" s="1" t="s">
        <v>318</v>
      </c>
      <c r="C560" s="1" t="s">
        <v>63</v>
      </c>
      <c r="D560" s="1" t="s">
        <v>86</v>
      </c>
      <c r="E560" s="1" t="s">
        <v>734</v>
      </c>
      <c r="F560" s="1" t="s">
        <v>1512</v>
      </c>
      <c r="G560" s="1" t="s">
        <v>28</v>
      </c>
      <c r="H560" s="1" t="s">
        <v>29</v>
      </c>
      <c r="I560" s="1" t="str">
        <f ca="1">IFERROR(__xludf.DUMMYFUNCTION("GOOGLETRANSLATE(F560, ""auto"", ""en"")
"),"I have had two similar kettles for more than three years (this + Siemens twin). They won't break at all. One actually began to pour past after it was poured above the Max mark; the top of the flask seemed to be slightly deformed from the heat. Was sent to"&amp;" the dacha.")</f>
        <v>I have had two similar kettles for more than three years (this + Siemens twin). They won't break at all. One actually began to pour past after it was poured above the Max mark; the top of the flask seemed to be slightly deformed from the heat. Was sent to the dacha.</v>
      </c>
    </row>
    <row r="561" spans="1:9" x14ac:dyDescent="0.3">
      <c r="A561" s="1" t="s">
        <v>61</v>
      </c>
      <c r="B561" s="1" t="s">
        <v>145</v>
      </c>
      <c r="C561" s="1" t="s">
        <v>146</v>
      </c>
      <c r="D561" s="1" t="s">
        <v>64</v>
      </c>
      <c r="E561" s="1" t="s">
        <v>1513</v>
      </c>
      <c r="F561" s="1" t="s">
        <v>1514</v>
      </c>
      <c r="G561" s="1" t="s">
        <v>36</v>
      </c>
      <c r="H561" s="1" t="s">
        <v>29</v>
      </c>
      <c r="I561" s="1" t="str">
        <f ca="1">IFERROR(__xludf.DUMMYFUNCTION("GOOGLETRANSLATE(F561, ""auto"", ""en"")
"),"I bought the opener a week ago, I’m completely satisfied with it, my husband and I started opening all the cans and sharpening knives. Very convenient - takes up very little space in the kitchen. In general, I recommend it to everyone!")</f>
        <v>I bought the opener a week ago, I’m completely satisfied with it, my husband and I started opening all the cans and sharpening knives. Very convenient - takes up very little space in the kitchen. In general, I recommend it to everyone!</v>
      </c>
    </row>
    <row r="562" spans="1:9" x14ac:dyDescent="0.3">
      <c r="A562" s="1" t="s">
        <v>61</v>
      </c>
      <c r="B562" s="1" t="s">
        <v>145</v>
      </c>
      <c r="C562" s="1" t="s">
        <v>85</v>
      </c>
      <c r="D562" s="1" t="s">
        <v>75</v>
      </c>
      <c r="E562" s="1" t="s">
        <v>1515</v>
      </c>
      <c r="F562" s="1" t="s">
        <v>1516</v>
      </c>
      <c r="G562" s="1" t="s">
        <v>36</v>
      </c>
      <c r="H562" s="1" t="s">
        <v>29</v>
      </c>
      <c r="I562" s="1" t="str">
        <f ca="1">IFERROR(__xludf.DUMMYFUNCTION("GOOGLETRANSLATE(F562, ""auto"", ""en"")
"),"Can be cooked in small portions, several dishes, compact, easy to wash, reliable ")</f>
        <v xml:space="preserve">Can be cooked in small portions, several dishes, compact, easy to wash, reliable </v>
      </c>
    </row>
    <row r="563" spans="1:9" x14ac:dyDescent="0.3">
      <c r="A563" s="1" t="s">
        <v>17</v>
      </c>
      <c r="B563" s="1" t="s">
        <v>18</v>
      </c>
      <c r="C563" s="1" t="s">
        <v>24</v>
      </c>
      <c r="D563" s="1" t="s">
        <v>127</v>
      </c>
      <c r="E563" s="1" t="s">
        <v>1517</v>
      </c>
      <c r="F563" s="1" t="s">
        <v>1518</v>
      </c>
      <c r="G563" s="1" t="s">
        <v>36</v>
      </c>
      <c r="H563" s="1" t="s">
        <v>29</v>
      </c>
      <c r="I563" s="1" t="str">
        <f ca="1">IFERROR(__xludf.DUMMYFUNCTION("GOOGLETRANSLATE(F563, ""auto"", ""en"")
"),"It washes well, wrings out, and if you set it to “light ironing”, you practically don’t have to iron it)))")</f>
        <v>It washes well, wrings out, and if you set it to “light ironing”, you practically don’t have to iron it)))</v>
      </c>
    </row>
    <row r="564" spans="1:9" x14ac:dyDescent="0.3">
      <c r="A564" s="1" t="s">
        <v>30</v>
      </c>
      <c r="B564" s="1" t="s">
        <v>50</v>
      </c>
      <c r="C564" s="1" t="s">
        <v>32</v>
      </c>
      <c r="D564" s="1" t="s">
        <v>52</v>
      </c>
      <c r="E564" s="1" t="s">
        <v>784</v>
      </c>
      <c r="F564" s="1" t="s">
        <v>1519</v>
      </c>
      <c r="G564" s="1" t="s">
        <v>36</v>
      </c>
      <c r="H564" s="1" t="s">
        <v>29</v>
      </c>
      <c r="I564" s="1" t="str">
        <f ca="1">IFERROR(__xludf.DUMMYFUNCTION("GOOGLETRANSLATE(F564, ""auto"", ""en"")
"),"A good laptop, the processor is suitable for working with the antivirus program turned on, the Celerons slow down noticeably more. Economical, fast video.")</f>
        <v>A good laptop, the processor is suitable for working with the antivirus program turned on, the Celerons slow down noticeably more. Economical, fast video.</v>
      </c>
    </row>
    <row r="565" spans="1:9" x14ac:dyDescent="0.3">
      <c r="A565" s="1" t="s">
        <v>496</v>
      </c>
      <c r="B565" s="1" t="s">
        <v>497</v>
      </c>
      <c r="C565" s="1" t="s">
        <v>1520</v>
      </c>
      <c r="D565" s="1" t="s">
        <v>1521</v>
      </c>
      <c r="E565" s="1" t="s">
        <v>446</v>
      </c>
      <c r="F565" s="1" t="s">
        <v>1522</v>
      </c>
      <c r="G565" s="1" t="s">
        <v>36</v>
      </c>
      <c r="H565" s="1" t="s">
        <v>29</v>
      </c>
      <c r="I565" s="1" t="str">
        <f ca="1">IFERROR(__xludf.DUMMYFUNCTION("GOOGLETRANSLATE(F565, ""auto"", ""en"")
"),"All this is nonsense, the girl advertised it unsuccessfully in the post above. He doesn’t scream like a victim, this is a thing of the past. I’ve been using it for 2 or 3 years now, the antivirus is excellent.")</f>
        <v>All this is nonsense, the girl advertised it unsuccessfully in the post above. He doesn’t scream like a victim, this is a thing of the past. I’ve been using it for 2 or 3 years now, the antivirus is excellent.</v>
      </c>
    </row>
    <row r="566" spans="1:9" x14ac:dyDescent="0.3">
      <c r="A566" s="1" t="s">
        <v>369</v>
      </c>
      <c r="B566" s="1" t="s">
        <v>587</v>
      </c>
      <c r="C566" s="1" t="s">
        <v>588</v>
      </c>
      <c r="D566" s="1" t="s">
        <v>64</v>
      </c>
      <c r="E566" s="1" t="s">
        <v>316</v>
      </c>
      <c r="F566" s="1" t="s">
        <v>1523</v>
      </c>
      <c r="G566" s="1" t="s">
        <v>28</v>
      </c>
      <c r="H566" s="1" t="s">
        <v>29</v>
      </c>
      <c r="I566" s="1" t="str">
        <f ca="1">IFERROR(__xludf.DUMMYFUNCTION("GOOGLETRANSLATE(F566, ""auto"", ""en"")
"),"Yesterday the stove was delivered, it’s cute! The description does not indicate that the stove has a lid and it is not present in the photo either - this was a pleasant surprise, also in the specification there is nothing about the presence of a power cor"&amp;"d (for ignition and lighting) - this was an unpleasant surprise, because... pulling the wiring to the stove in my kitchen is inconvenient. A good drawer for utensils, the burners are noisy, but it’s not annoying, because... The food also squeaks. And rega"&amp;"rding the long press on the oven ignition knob: this is child protection, and just hold it for 5 seconds. Good stuff - buy it!")</f>
        <v>Yesterday the stove was delivered, it’s cute! The description does not indicate that the stove has a lid and it is not present in the photo either - this was a pleasant surprise, also in the specification there is nothing about the presence of a power cord (for ignition and lighting) - this was an unpleasant surprise, because... pulling the wiring to the stove in my kitchen is inconvenient. A good drawer for utensils, the burners are noisy, but it’s not annoying, because... The food also squeaks. And regarding the long press on the oven ignition knob: this is child protection, and just hold it for 5 seconds. Good stuff - buy it!</v>
      </c>
    </row>
    <row r="567" spans="1:9" x14ac:dyDescent="0.3">
      <c r="A567" s="1" t="s">
        <v>169</v>
      </c>
      <c r="B567" s="1" t="s">
        <v>170</v>
      </c>
      <c r="C567" s="1" t="s">
        <v>193</v>
      </c>
      <c r="D567" s="1" t="s">
        <v>152</v>
      </c>
      <c r="E567" s="1" t="s">
        <v>1524</v>
      </c>
      <c r="F567" s="1" t="s">
        <v>1525</v>
      </c>
      <c r="G567" s="1" t="s">
        <v>36</v>
      </c>
      <c r="H567" s="1" t="s">
        <v>29</v>
      </c>
      <c r="I567" s="1" t="str">
        <f ca="1">IFERROR(__xludf.DUMMYFUNCTION("GOOGLETRANSLATE(F567, ""auto"", ""en"")
"),"They fit well on the head, the sound is super. The best ears for the money.")</f>
        <v>They fit well on the head, the sound is super. The best ears for the money.</v>
      </c>
    </row>
    <row r="568" spans="1:9" x14ac:dyDescent="0.3">
      <c r="A568" s="1" t="s">
        <v>105</v>
      </c>
      <c r="B568" s="1" t="s">
        <v>106</v>
      </c>
      <c r="C568" s="1" t="s">
        <v>1526</v>
      </c>
      <c r="D568" s="1" t="s">
        <v>39</v>
      </c>
      <c r="E568" s="1" t="s">
        <v>1527</v>
      </c>
      <c r="F568" s="1" t="s">
        <v>1528</v>
      </c>
      <c r="G568" s="1" t="s">
        <v>36</v>
      </c>
      <c r="H568" s="1" t="s">
        <v>29</v>
      </c>
      <c r="I568" s="1" t="str">
        <f ca="1">IFERROR(__xludf.DUMMYFUNCTION("GOOGLETRANSLATE(F568, ""auto"", ""en"")
"),"Cool player. The sound quality is good! Video is even better if encoded correctly! Convert video to 320*240 size via XvID to avi!  For the money this is a good thing! Everything is extremely simple!")</f>
        <v>Cool player. The sound quality is good! Video is even better if encoded correctly! Convert video to 320*240 size via XvID to avi!  For the money this is a good thing! Everything is extremely simple!</v>
      </c>
    </row>
    <row r="569" spans="1:9" x14ac:dyDescent="0.3">
      <c r="A569" s="1" t="s">
        <v>61</v>
      </c>
      <c r="B569" s="1" t="s">
        <v>145</v>
      </c>
      <c r="C569" s="1" t="s">
        <v>85</v>
      </c>
      <c r="D569" s="1" t="s">
        <v>385</v>
      </c>
      <c r="E569" s="1" t="s">
        <v>1529</v>
      </c>
      <c r="F569" s="1" t="s">
        <v>1530</v>
      </c>
      <c r="G569" s="1" t="s">
        <v>36</v>
      </c>
      <c r="H569" s="1" t="s">
        <v>29</v>
      </c>
      <c r="I569" s="1" t="str">
        <f ca="1">IFERROR(__xludf.DUMMYFUNCTION("GOOGLETRANSLATE(F569, ""auto"", ""en"")
"),"We've been using it for 2 years now. No complaints. Cracks in the plastic appeared after the lid fell. But this doesn’t bother me. To be honest, I doubted that I would cook with it at all. But everything is so conveniently done (simple and clear) that I c"&amp;"ook with it all the time. Doesn't mix smells. At first it smelled a little like plastic. But now it’s not anymore. The function of simultaneous cooking of dishes is not always convenient. For example, if I cook rice for 40 minutes and then decide to put v"&amp;"egetables in another compartment for 20 minutes. Then the steamer will automatically make the vegetables cook at the same time as the rice. in 40 minutes! But this is not always necessary. Maybe this function is disabled somewhere? As for the rest, it’s j"&amp;"ust salvation from burnt porridge)) Vegetables, cereals, fish, meat, omelet - everything is always very tasty!")</f>
        <v>We've been using it for 2 years now. No complaints. Cracks in the plastic appeared after the lid fell. But this doesn’t bother me. To be honest, I doubted that I would cook with it at all. But everything is so conveniently done (simple and clear) that I cook with it all the time. Doesn't mix smells. At first it smelled a little like plastic. But now it’s not anymore. The function of simultaneous cooking of dishes is not always convenient. For example, if I cook rice for 40 minutes and then decide to put vegetables in another compartment for 20 minutes. Then the steamer will automatically make the vegetables cook at the same time as the rice. in 40 minutes! But this is not always necessary. Maybe this function is disabled somewhere? As for the rest, it’s just salvation from burnt porridge)) Vegetables, cereals, fish, meat, omelet - everything is always very tasty!</v>
      </c>
    </row>
    <row r="570" spans="1:9" x14ac:dyDescent="0.3">
      <c r="A570" s="1" t="s">
        <v>78</v>
      </c>
      <c r="B570" s="1" t="s">
        <v>493</v>
      </c>
      <c r="C570" s="1" t="s">
        <v>80</v>
      </c>
      <c r="D570" s="1" t="s">
        <v>171</v>
      </c>
      <c r="E570" s="1" t="s">
        <v>534</v>
      </c>
      <c r="F570" s="1" t="s">
        <v>1531</v>
      </c>
      <c r="G570" s="1" t="s">
        <v>36</v>
      </c>
      <c r="H570" s="1" t="s">
        <v>29</v>
      </c>
      <c r="I570" s="1" t="str">
        <f ca="1">IFERROR(__xludf.DUMMYFUNCTION("GOOGLETRANSLATE(F570, ""auto"", ""en"")
"),"Nice looking microwave. I bought it 4 months ago, the power is 900 W, there is a grill. Heats everything up very well, I recommend it.")</f>
        <v>Nice looking microwave. I bought it 4 months ago, the power is 900 W, there is a grill. Heats everything up very well, I recommend it.</v>
      </c>
    </row>
    <row r="571" spans="1:9" x14ac:dyDescent="0.3">
      <c r="A571" s="1" t="s">
        <v>89</v>
      </c>
      <c r="B571" s="1" t="s">
        <v>90</v>
      </c>
      <c r="C571" s="1" t="s">
        <v>57</v>
      </c>
      <c r="D571" s="1" t="s">
        <v>1532</v>
      </c>
      <c r="E571" s="1" t="s">
        <v>1533</v>
      </c>
      <c r="F571" s="1" t="s">
        <v>1534</v>
      </c>
      <c r="G571" s="1" t="s">
        <v>94</v>
      </c>
      <c r="H571" s="1" t="s">
        <v>29</v>
      </c>
      <c r="I571" s="1" t="str">
        <f ca="1">IFERROR(__xludf.DUMMYFUNCTION("GOOGLETRANSLATE(F571, ""auto"", ""en"")
"),"Low noise, compact, stainless steel body.")</f>
        <v>Low noise, compact, stainless steel body.</v>
      </c>
    </row>
    <row r="572" spans="1:9" x14ac:dyDescent="0.3">
      <c r="A572" s="1" t="s">
        <v>211</v>
      </c>
      <c r="B572" s="1" t="s">
        <v>410</v>
      </c>
      <c r="C572" s="1" t="s">
        <v>69</v>
      </c>
      <c r="D572" s="1" t="s">
        <v>1535</v>
      </c>
      <c r="E572" s="1" t="s">
        <v>1536</v>
      </c>
      <c r="F572" s="1" t="s">
        <v>1537</v>
      </c>
      <c r="G572" s="1" t="s">
        <v>28</v>
      </c>
      <c r="H572" s="1" t="s">
        <v>29</v>
      </c>
      <c r="I572" s="1" t="str">
        <f ca="1">IFERROR(__xludf.DUMMYFUNCTION("GOOGLETRANSLATE(F572, ""auto"", ""en"")
"),"I've been using it for 3 years. Satisfied. My skin is problematic, it dries out, and I get acne. It got better with an electric razor. At first I shaved wet and there was irritation because... It cleaned up a lot, now I shave dry. I have medium-hard brist"&amp;"les: when dry, it leaves a little hair on my neck, but if I walk through it, everything is clean. When wet it's clean the first time. Pros: quiet, long battery life (lithium) can be charged at any time.&amp;nbsp; There are no vibrations like mesh. Inexpensive"&amp;" spare knives on the Mvideo network!&amp;nbsp; Cons: In the third year of use, the on/off button sank slightly and the plastic covering the top of it cracked. Not quite a travel option, more like a home option. Rating 5 out of 4. Slightly overpriced. I'm happ"&amp;"y with it, I'm not going to change it. P.S. Don't forget to change knives, the quality of shaving depends on this.")</f>
        <v>I've been using it for 3 years. Satisfied. My skin is problematic, it dries out, and I get acne. It got better with an electric razor. At first I shaved wet and there was irritation because... It cleaned up a lot, now I shave dry. I have medium-hard bristles: when dry, it leaves a little hair on my neck, but if I walk through it, everything is clean. When wet it's clean the first time. Pros: quiet, long battery life (lithium) can be charged at any time.&amp;nbsp; There are no vibrations like mesh. Inexpensive spare knives on the Mvideo network!&amp;nbsp; Cons: In the third year of use, the on/off button sank slightly and the plastic covering the top of it cracked. Not quite a travel option, more like a home option. Rating 5 out of 4. Slightly overpriced. I'm happy with it, I'm not going to change it. P.S. Don't forget to change knives, the quality of shaving depends on this.</v>
      </c>
    </row>
    <row r="573" spans="1:9" x14ac:dyDescent="0.3">
      <c r="A573" s="1" t="s">
        <v>61</v>
      </c>
      <c r="B573" s="1" t="s">
        <v>224</v>
      </c>
      <c r="C573" s="1" t="s">
        <v>74</v>
      </c>
      <c r="D573" s="1" t="s">
        <v>1538</v>
      </c>
      <c r="E573" s="1" t="s">
        <v>225</v>
      </c>
      <c r="F573" s="1" t="s">
        <v>1539</v>
      </c>
      <c r="G573" s="1" t="s">
        <v>36</v>
      </c>
      <c r="H573" s="1" t="s">
        <v>29</v>
      </c>
      <c r="I573" s="1" t="str">
        <f ca="1">IFERROR(__xludf.DUMMYFUNCTION("GOOGLETRANSLATE(F573, ""auto"", ""en"")
"),"We bought this juicer this week, I’ve already made tomato juice!!! So far I am very pleased with this technique!")</f>
        <v>We bought this juicer this week, I’ve already made tomato juice!!! So far I am very pleased with this technique!</v>
      </c>
    </row>
    <row r="574" spans="1:9" x14ac:dyDescent="0.3">
      <c r="A574" s="1" t="s">
        <v>78</v>
      </c>
      <c r="B574" s="1" t="s">
        <v>1163</v>
      </c>
      <c r="C574" s="1" t="s">
        <v>80</v>
      </c>
      <c r="D574" s="1" t="s">
        <v>308</v>
      </c>
      <c r="E574" s="1" t="s">
        <v>1540</v>
      </c>
      <c r="F574" s="1" t="s">
        <v>1541</v>
      </c>
      <c r="G574" s="1" t="s">
        <v>36</v>
      </c>
      <c r="H574" s="1" t="s">
        <v>29</v>
      </c>
      <c r="I574" s="1" t="str">
        <f ca="1">IFERROR(__xludf.DUMMYFUNCTION("GOOGLETRANSLATE(F574, ""auto"", ""en"")
"),"Great oven. We've been using it for about a year, it doesn't let us down) It warms everything up well, warms it up and the jacket potatoes turn out just excellent)) Take it, you won't regret it")</f>
        <v>Great oven. We've been using it for about a year, it doesn't let us down) It warms everything up well, warms it up and the jacket potatoes turn out just excellent)) Take it, you won't regret it</v>
      </c>
    </row>
    <row r="575" spans="1:9" x14ac:dyDescent="0.3">
      <c r="A575" s="1" t="s">
        <v>282</v>
      </c>
      <c r="B575" s="1" t="s">
        <v>283</v>
      </c>
      <c r="C575" s="1" t="s">
        <v>284</v>
      </c>
      <c r="D575" s="1" t="s">
        <v>1542</v>
      </c>
      <c r="E575" s="1" t="s">
        <v>792</v>
      </c>
      <c r="F575" s="1" t="s">
        <v>1543</v>
      </c>
      <c r="G575" s="1" t="s">
        <v>36</v>
      </c>
      <c r="H575" s="1" t="s">
        <v>29</v>
      </c>
      <c r="I575" s="1" t="str">
        <f ca="1">IFERROR(__xludf.DUMMYFUNCTION("GOOGLETRANSLATE(F575, ""auto"", ""en"")
"),"Will they sell seasons 4 and 5?")</f>
        <v>Will they sell seasons 4 and 5?</v>
      </c>
    </row>
    <row r="576" spans="1:9" x14ac:dyDescent="0.3">
      <c r="A576" s="1" t="s">
        <v>17</v>
      </c>
      <c r="B576" s="1" t="s">
        <v>18</v>
      </c>
      <c r="C576" s="1" t="s">
        <v>80</v>
      </c>
      <c r="D576" s="1" t="s">
        <v>1544</v>
      </c>
      <c r="E576" s="1" t="s">
        <v>1545</v>
      </c>
      <c r="F576" s="1" t="s">
        <v>1546</v>
      </c>
      <c r="G576" s="1" t="s">
        <v>36</v>
      </c>
      <c r="H576" s="1" t="s">
        <v>29</v>
      </c>
      <c r="I576" s="1" t="str">
        <f ca="1">IFERROR(__xludf.DUMMYFUNCTION("GOOGLETRANSLATE(F576, ""auto"", ""en"")
"),"We bought it on 07/22/10, washed it in the cotton, synthetic, quick wash mode, so far everything is fine. I really like the machine (especially in design and functions), despite the fact that there is strong vibration when spinning at 800-1000 rpm. But th"&amp;"is is because we have wooden floors. And everything is great!")</f>
        <v>We bought it on 07/22/10, washed it in the cotton, synthetic, quick wash mode, so far everything is fine. I really like the machine (especially in design and functions), despite the fact that there is strong vibration when spinning at 800-1000 rpm. But this is because we have wooden floors. And everything is great!</v>
      </c>
    </row>
    <row r="577" spans="1:9" x14ac:dyDescent="0.3">
      <c r="A577" s="1" t="s">
        <v>120</v>
      </c>
      <c r="B577" s="1" t="s">
        <v>126</v>
      </c>
      <c r="C577" s="1" t="s">
        <v>80</v>
      </c>
      <c r="D577" s="1" t="s">
        <v>232</v>
      </c>
      <c r="E577" s="1" t="s">
        <v>661</v>
      </c>
      <c r="F577" s="1" t="s">
        <v>1547</v>
      </c>
      <c r="G577" s="1" t="s">
        <v>36</v>
      </c>
      <c r="H577" s="1" t="s">
        <v>29</v>
      </c>
      <c r="I577" s="1" t="str">
        <f ca="1">IFERROR(__xludf.DUMMYFUNCTION("GOOGLETRANSLATE(F577, ""auto"", ""en"")
"),"I bought it yesterday and didn’t regret the money! There is nothing superfluous, just functionality! It reads everything from USB, as long as the AVI files are encoded in DiVX.")</f>
        <v>I bought it yesterday and didn’t regret the money! There is nothing superfluous, just functionality! It reads everything from USB, as long as the AVI files are encoded in DiVX.</v>
      </c>
    </row>
    <row r="578" spans="1:9" x14ac:dyDescent="0.3">
      <c r="A578" s="1" t="s">
        <v>78</v>
      </c>
      <c r="B578" s="1" t="s">
        <v>79</v>
      </c>
      <c r="C578" s="1" t="s">
        <v>151</v>
      </c>
      <c r="D578" s="1" t="s">
        <v>152</v>
      </c>
      <c r="E578" s="1" t="s">
        <v>1548</v>
      </c>
      <c r="F578" s="1" t="s">
        <v>1549</v>
      </c>
      <c r="G578" s="1" t="s">
        <v>36</v>
      </c>
      <c r="H578" s="1" t="s">
        <v>29</v>
      </c>
      <c r="I578" s="1" t="str">
        <f ca="1">IFERROR(__xludf.DUMMYFUNCTION("GOOGLETRANSLATE(F578, ""auto"", ""en"")
"),"We bought it a little less than a year ago. We use it often, mainly for heating, we only used the grill a couple of times. Everything is fine, good device!")</f>
        <v>We bought it a little less than a year ago. We use it often, mainly for heating, we only used the grill a couple of times. Everything is fine, good device!</v>
      </c>
    </row>
    <row r="579" spans="1:9" x14ac:dyDescent="0.3">
      <c r="A579" s="1" t="s">
        <v>67</v>
      </c>
      <c r="B579" s="1" t="s">
        <v>68</v>
      </c>
      <c r="C579" s="1" t="s">
        <v>69</v>
      </c>
      <c r="D579" s="1" t="s">
        <v>1456</v>
      </c>
      <c r="E579" s="1" t="s">
        <v>1548</v>
      </c>
      <c r="F579" s="1" t="s">
        <v>1550</v>
      </c>
      <c r="G579" s="1" t="s">
        <v>36</v>
      </c>
      <c r="H579" s="1" t="s">
        <v>29</v>
      </c>
      <c r="I579" s="1" t="str">
        <f ca="1">IFERROR(__xludf.DUMMYFUNCTION("GOOGLETRANSLATE(F579, ""auto"", ""en"")
"),"I bought this iron 3 years ago. Didn’t break at all. Excellent iron for the money. I recommend it to everyone!")</f>
        <v>I bought this iron 3 years ago. Didn’t break at all. Excellent iron for the money. I recommend it to everyone!</v>
      </c>
    </row>
    <row r="580" spans="1:9" x14ac:dyDescent="0.3">
      <c r="A580" s="1" t="s">
        <v>30</v>
      </c>
      <c r="B580" s="1" t="s">
        <v>31</v>
      </c>
      <c r="C580" s="1" t="s">
        <v>32</v>
      </c>
      <c r="D580" s="1" t="s">
        <v>152</v>
      </c>
      <c r="E580" s="1" t="s">
        <v>1321</v>
      </c>
      <c r="F580" s="1" t="s">
        <v>1551</v>
      </c>
      <c r="G580" s="1" t="s">
        <v>15</v>
      </c>
      <c r="H580" s="1" t="s">
        <v>16</v>
      </c>
      <c r="I580" s="1" t="str">
        <f ca="1">IFERROR(__xludf.DUMMYFUNCTION("GOOGLETRANSLATE(F580, ""auto"", ""en"")
"),"Terrible computer..... for the same money you can buy much more productive, this model is designed for rich people who do not understand hardware.")</f>
        <v>Terrible computer..... for the same money you can buy much more productive, this model is designed for rich people who do not understand hardware.</v>
      </c>
    </row>
    <row r="581" spans="1:9" x14ac:dyDescent="0.3">
      <c r="A581" s="1" t="s">
        <v>67</v>
      </c>
      <c r="B581" s="1" t="s">
        <v>68</v>
      </c>
      <c r="C581" s="1" t="s">
        <v>246</v>
      </c>
      <c r="D581" s="1" t="s">
        <v>1552</v>
      </c>
      <c r="E581" s="1" t="s">
        <v>1553</v>
      </c>
      <c r="F581" s="1" t="s">
        <v>1554</v>
      </c>
      <c r="G581" s="1" t="s">
        <v>36</v>
      </c>
      <c r="H581" s="1" t="s">
        <v>29</v>
      </c>
      <c r="I581" s="1" t="str">
        <f ca="1">IFERROR(__xludf.DUMMYFUNCTION("GOOGLETRANSLATE(F581, ""auto"", ""en"")
"),"Great iron. Only during the first ironing did it smell like burnt plastic, but the instructions warn that this is normal for the first time. Everything is fine now. By the way, the sole does not leave streaks on knitwear, so ironing is a pleasure")</f>
        <v>Great iron. Only during the first ironing did it smell like burnt plastic, but the instructions warn that this is normal for the first time. Everything is fine now. By the way, the sole does not leave streaks on knitwear, so ironing is a pleasure</v>
      </c>
    </row>
    <row r="582" spans="1:9" x14ac:dyDescent="0.3">
      <c r="A582" s="1" t="s">
        <v>61</v>
      </c>
      <c r="B582" s="1" t="s">
        <v>318</v>
      </c>
      <c r="C582" s="1" t="s">
        <v>57</v>
      </c>
      <c r="D582" s="1" t="s">
        <v>1555</v>
      </c>
      <c r="E582" s="1" t="s">
        <v>1263</v>
      </c>
      <c r="F582" s="1" t="s">
        <v>1556</v>
      </c>
      <c r="G582" s="1" t="s">
        <v>28</v>
      </c>
      <c r="H582" s="1" t="s">
        <v>29</v>
      </c>
      <c r="I582" s="1" t="str">
        <f ca="1">IFERROR(__xludf.DUMMYFUNCTION("GOOGLETRANSLATE(F582, ""auto"", ""en"")
"),"I bought a kettle in May, I’m happy with the choice, it’s a good thing.")</f>
        <v>I bought a kettle in May, I’m happy with the choice, it’s a good thing.</v>
      </c>
    </row>
    <row r="583" spans="1:9" x14ac:dyDescent="0.3">
      <c r="A583" s="1" t="s">
        <v>95</v>
      </c>
      <c r="B583" s="1" t="s">
        <v>573</v>
      </c>
      <c r="C583" s="1" t="s">
        <v>97</v>
      </c>
      <c r="D583" s="1" t="s">
        <v>1557</v>
      </c>
      <c r="E583" s="1" t="s">
        <v>285</v>
      </c>
      <c r="F583" s="1" t="s">
        <v>1558</v>
      </c>
      <c r="G583" s="1" t="s">
        <v>36</v>
      </c>
      <c r="H583" s="1" t="s">
        <v>29</v>
      </c>
      <c r="I583" s="1" t="str">
        <f ca="1">IFERROR(__xludf.DUMMYFUNCTION("GOOGLETRANSLATE(F583, ""auto"", ""en"")
"),"excellent product for a very good price!  I’ll go buy it tomorrow.. the main thing is that it’s in the store))")</f>
        <v>excellent product for a very good price!  I’ll go buy it tomorrow.. the main thing is that it’s in the store))</v>
      </c>
    </row>
    <row r="584" spans="1:9" x14ac:dyDescent="0.3">
      <c r="A584" s="1" t="s">
        <v>30</v>
      </c>
      <c r="B584" s="1" t="s">
        <v>50</v>
      </c>
      <c r="C584" s="1" t="s">
        <v>694</v>
      </c>
      <c r="D584" s="1" t="s">
        <v>1559</v>
      </c>
      <c r="E584" s="1" t="s">
        <v>631</v>
      </c>
      <c r="F584" s="1" t="s">
        <v>1560</v>
      </c>
      <c r="G584" s="1" t="s">
        <v>28</v>
      </c>
      <c r="H584" s="1" t="s">
        <v>29</v>
      </c>
      <c r="I584" s="1" t="str">
        <f ca="1">IFERROR(__xludf.DUMMYFUNCTION("GOOGLETRANSLATE(F584, ""auto"", ""en"")
"),"In principle, a good model, but many difficulties arose. One of them is that I don’t know how to set the background image. The second one constantly asks for an activation key in Microsoft Offce Qutlook. I enter it and it tells me that the code is incorre"&amp;"ct. Perhaps I misunderstand something, but still, how can I solve these problems. I will be glad to help.")</f>
        <v>In principle, a good model, but many difficulties arose. One of them is that I don’t know how to set the background image. The second one constantly asks for an activation key in Microsoft Offce Qutlook. I enter it and it tells me that the code is incorrect. Perhaps I misunderstand something, but still, how can I solve these problems. I will be glad to help.</v>
      </c>
    </row>
    <row r="585" spans="1:9" x14ac:dyDescent="0.3">
      <c r="A585" s="1" t="s">
        <v>95</v>
      </c>
      <c r="B585" s="1" t="s">
        <v>1334</v>
      </c>
      <c r="C585" s="1" t="s">
        <v>487</v>
      </c>
      <c r="D585" s="1" t="s">
        <v>1561</v>
      </c>
      <c r="E585" s="1" t="s">
        <v>1562</v>
      </c>
      <c r="F585" s="1" t="s">
        <v>1563</v>
      </c>
      <c r="G585" s="1" t="s">
        <v>28</v>
      </c>
      <c r="H585" s="1" t="s">
        <v>29</v>
      </c>
      <c r="I585" s="1" t="str">
        <f ca="1">IFERROR(__xludf.DUMMYFUNCTION("GOOGLETRANSLATE(F585, ""auto"", ""en"")
"),"The gamepad is very beautiful, stylish and comfortable. In general, a good gamepad, but the battery compartment is terribly inconvenient for me personally. Since the days of Playstation 1, I have been accustomed to holding the gamepad so that my two middl"&amp;"e fingers hold it from below, that is, they are slightly directed towards the center of the gamepad. So this battery compartment is terribly inconvenient for me, it ties up my fingers (this applies to all wireless gamepads for the Xbox 360. There are no c"&amp;"omplaints about wired ones, everything is convenient there) and does not allow me to relax calmly. Before purchasing, I advise everyone to come to the store and try how the gamepad feels in your hand; Mvideo has such an opportunity at the Xbox 360 stand.")</f>
        <v>The gamepad is very beautiful, stylish and comfortable. In general, a good gamepad, but the battery compartment is terribly inconvenient for me personally. Since the days of Playstation 1, I have been accustomed to holding the gamepad so that my two middle fingers hold it from below, that is, they are slightly directed towards the center of the gamepad. So this battery compartment is terribly inconvenient for me, it ties up my fingers (this applies to all wireless gamepads for the Xbox 360. There are no complaints about wired ones, everything is convenient there) and does not allow me to relax calmly. Before purchasing, I advise everyone to come to the store and try how the gamepad feels in your hand; Mvideo has such an opportunity at the Xbox 360 stand.</v>
      </c>
    </row>
    <row r="586" spans="1:9" x14ac:dyDescent="0.3">
      <c r="A586" s="1" t="s">
        <v>105</v>
      </c>
      <c r="B586" s="1" t="s">
        <v>106</v>
      </c>
      <c r="C586" s="1" t="s">
        <v>1209</v>
      </c>
      <c r="D586" s="1" t="s">
        <v>943</v>
      </c>
      <c r="E586" s="1" t="s">
        <v>1327</v>
      </c>
      <c r="F586" s="1" t="s">
        <v>1564</v>
      </c>
      <c r="G586" s="1" t="s">
        <v>36</v>
      </c>
      <c r="H586" s="1" t="s">
        <v>29</v>
      </c>
      <c r="I586" s="1" t="str">
        <f ca="1">IFERROR(__xludf.DUMMYFUNCTION("GOOGLETRANSLATE(F586, ""auto"", ""en"")
"),"We gave this model a player as a gift last spring. Still works great. Of course, lately the right button has been stuck, but overall there are no complaints.  Recently I dropped it so much that the glass fell out and now the screen is clean (only with a c"&amp;"ouple of fragments that I couldn’t peel off), but even after that the player works great!")</f>
        <v>We gave this model a player as a gift last spring. Still works great. Of course, lately the right button has been stuck, but overall there are no complaints.  Recently I dropped it so much that the glass fell out and now the screen is clean (only with a couple of fragments that I couldn’t peel off), but even after that the player works great!</v>
      </c>
    </row>
    <row r="587" spans="1:9" x14ac:dyDescent="0.3">
      <c r="A587" s="1" t="s">
        <v>17</v>
      </c>
      <c r="B587" s="1" t="s">
        <v>18</v>
      </c>
      <c r="C587" s="1" t="s">
        <v>243</v>
      </c>
      <c r="D587" s="1" t="s">
        <v>335</v>
      </c>
      <c r="E587" s="1" t="s">
        <v>1565</v>
      </c>
      <c r="F587" s="1" t="s">
        <v>1566</v>
      </c>
      <c r="G587" s="1" t="s">
        <v>36</v>
      </c>
      <c r="H587" s="1" t="s">
        <v>29</v>
      </c>
      <c r="I587" s="1" t="str">
        <f ca="1">IFERROR(__xludf.DUMMYFUNCTION("GOOGLETRANSLATE(F587, ""auto"", ""en"")
"),"I bought this washing machine 2 years ago from Mvideo, no problems arose during use. I wash a lot, 10 cycles a week. I wash everything in it: from blouses to rugs and sneakers.  The car is easy to operate, no frills, just everything you need.")</f>
        <v>I bought this washing machine 2 years ago from Mvideo, no problems arose during use. I wash a lot, 10 cycles a week. I wash everything in it: from blouses to rugs and sneakers.  The car is easy to operate, no frills, just everything you need.</v>
      </c>
    </row>
    <row r="588" spans="1:9" x14ac:dyDescent="0.3">
      <c r="A588" s="1" t="s">
        <v>30</v>
      </c>
      <c r="B588" s="1" t="s">
        <v>50</v>
      </c>
      <c r="C588" s="1" t="s">
        <v>694</v>
      </c>
      <c r="D588" s="1" t="s">
        <v>1567</v>
      </c>
      <c r="E588" s="1" t="s">
        <v>430</v>
      </c>
      <c r="F588" s="1" t="s">
        <v>1568</v>
      </c>
      <c r="G588" s="1" t="s">
        <v>36</v>
      </c>
      <c r="H588" s="1" t="s">
        <v>29</v>
      </c>
      <c r="I588" s="1" t="str">
        <f ca="1">IFERROR(__xludf.DUMMYFUNCTION("GOOGLETRANSLATE(F588, ""auto"", ""en"")
"),"I was very pleased with the purchase, although I strongly doubted the quality of this model. Everything works great.  After reinstalling the OS from native to win7 maximum, I encountered some problem with the radio modules not working. I tried everything "&amp;"possible, drivers, switch, device settings... etc. The problem was solved very simply :) by installing Lenovo Energy Menegament.")</f>
        <v>I was very pleased with the purchase, although I strongly doubted the quality of this model. Everything works great.  After reinstalling the OS from native to win7 maximum, I encountered some problem with the radio modules not working. I tried everything possible, drivers, switch, device settings... etc. The problem was solved very simply :) by installing Lenovo Energy Menegament.</v>
      </c>
    </row>
    <row r="589" spans="1:9" x14ac:dyDescent="0.3">
      <c r="A589" s="1" t="s">
        <v>61</v>
      </c>
      <c r="B589" s="1" t="s">
        <v>318</v>
      </c>
      <c r="C589" s="1" t="s">
        <v>745</v>
      </c>
      <c r="D589" s="1" t="s">
        <v>474</v>
      </c>
      <c r="E589" s="1" t="s">
        <v>1569</v>
      </c>
      <c r="F589" s="1" t="s">
        <v>1570</v>
      </c>
      <c r="G589" s="1" t="s">
        <v>36</v>
      </c>
      <c r="H589" s="1" t="s">
        <v>29</v>
      </c>
      <c r="I589" s="1" t="str">
        <f ca="1">IFERROR(__xludf.DUMMYFUNCTION("GOOGLETRANSLATE(F589, ""auto"", ""en"")
"),"worked 3 years")</f>
        <v>worked 3 years</v>
      </c>
    </row>
    <row r="590" spans="1:9" x14ac:dyDescent="0.3">
      <c r="A590" s="1" t="s">
        <v>61</v>
      </c>
      <c r="B590" s="1" t="s">
        <v>726</v>
      </c>
      <c r="C590" s="1" t="s">
        <v>74</v>
      </c>
      <c r="D590" s="1" t="s">
        <v>247</v>
      </c>
      <c r="E590" s="1" t="s">
        <v>1571</v>
      </c>
      <c r="F590" s="1" t="s">
        <v>1572</v>
      </c>
      <c r="G590" s="1" t="s">
        <v>28</v>
      </c>
      <c r="H590" s="1" t="s">
        <v>29</v>
      </c>
      <c r="I590" s="1" t="str">
        <f ca="1">IFERROR(__xludf.DUMMYFUNCTION("GOOGLETRANSLATE(F590, ""auto"", ""en"")
"),"The bread maker is good, one minus is that the top crust does not toast. Overall satisfied.")</f>
        <v>The bread maker is good, one minus is that the top crust does not toast. Overall satisfied.</v>
      </c>
    </row>
    <row r="591" spans="1:9" x14ac:dyDescent="0.3">
      <c r="A591" s="1" t="s">
        <v>211</v>
      </c>
      <c r="B591" s="1" t="s">
        <v>410</v>
      </c>
      <c r="C591" s="1" t="s">
        <v>213</v>
      </c>
      <c r="D591" s="1" t="s">
        <v>52</v>
      </c>
      <c r="E591" s="1" t="s">
        <v>1573</v>
      </c>
      <c r="F591" s="1" t="s">
        <v>1574</v>
      </c>
      <c r="G591" s="1" t="s">
        <v>36</v>
      </c>
      <c r="H591" s="1" t="s">
        <v>29</v>
      </c>
      <c r="I591" s="1" t="str">
        <f ca="1">IFERROR(__xludf.DUMMYFUNCTION("GOOGLETRANSLATE(F591, ""auto"", ""en"")
"),"Cool razor. The cleaning system is great!")</f>
        <v>Cool razor. The cleaning system is great!</v>
      </c>
    </row>
    <row r="592" spans="1:9" x14ac:dyDescent="0.3">
      <c r="A592" s="1" t="s">
        <v>206</v>
      </c>
      <c r="B592" s="1" t="s">
        <v>207</v>
      </c>
      <c r="C592" s="1" t="s">
        <v>45</v>
      </c>
      <c r="D592" s="1" t="s">
        <v>1575</v>
      </c>
      <c r="E592" s="1" t="s">
        <v>1576</v>
      </c>
      <c r="F592" s="1" t="s">
        <v>1577</v>
      </c>
      <c r="G592" s="1" t="s">
        <v>36</v>
      </c>
      <c r="H592" s="1" t="s">
        <v>29</v>
      </c>
      <c r="I592" s="1" t="str">
        <f ca="1">IFERROR(__xludf.DUMMYFUNCTION("GOOGLETRANSLATE(F592, ""auto"", ""en"")
"),"An excellent kit, but it’s better to replace the amplifier with a monoblock of the same class from Mystery and add a capacitor to the kit without it.")</f>
        <v>An excellent kit, but it’s better to replace the amplifier with a monoblock of the same class from Mystery and add a capacitor to the kit without it.</v>
      </c>
    </row>
    <row r="593" spans="1:9" x14ac:dyDescent="0.3">
      <c r="A593" s="1" t="s">
        <v>17</v>
      </c>
      <c r="B593" s="1" t="s">
        <v>18</v>
      </c>
      <c r="C593" s="1" t="s">
        <v>243</v>
      </c>
      <c r="D593" s="1" t="s">
        <v>565</v>
      </c>
      <c r="E593" s="1" t="s">
        <v>1578</v>
      </c>
      <c r="F593" s="1" t="s">
        <v>1579</v>
      </c>
      <c r="G593" s="1" t="s">
        <v>1580</v>
      </c>
      <c r="H593" s="1" t="s">
        <v>29</v>
      </c>
      <c r="I593" s="1" t="str">
        <f ca="1">IFERROR(__xludf.DUMMYFUNCTION("GOOGLETRANSLATE(F593, ""auto"", ""en"")
"),"In 7 years of use it has never broken, after 7 years the bearing flew.")</f>
        <v>In 7 years of use it has never broken, after 7 years the bearing flew.</v>
      </c>
    </row>
    <row r="594" spans="1:9" x14ac:dyDescent="0.3">
      <c r="A594" s="1" t="s">
        <v>120</v>
      </c>
      <c r="B594" s="1" t="s">
        <v>121</v>
      </c>
      <c r="C594" s="1" t="s">
        <v>151</v>
      </c>
      <c r="D594" s="1" t="s">
        <v>1581</v>
      </c>
      <c r="E594" s="1" t="s">
        <v>400</v>
      </c>
      <c r="F594" s="1" t="s">
        <v>1582</v>
      </c>
      <c r="G594" s="1" t="s">
        <v>36</v>
      </c>
      <c r="H594" s="1" t="s">
        <v>29</v>
      </c>
      <c r="I594" s="1" t="str">
        <f ca="1">IFERROR(__xludf.DUMMYFUNCTION("GOOGLETRANSLATE(F594, ""auto"", ""en"")
"),"In general, the TV is good, as long as it pleases the eye. Especially watching movies from a flash drive. But one day my wife pressed something and while watching any channels on the left, an advertising-type picture about this TV began to appear on the s"&amp;"creen, every 10 seconds. Does anyone know how to remove it. Thanks in advance.")</f>
        <v>In general, the TV is good, as long as it pleases the eye. Especially watching movies from a flash drive. But one day my wife pressed something and while watching any channels on the left, an advertising-type picture about this TV began to appear on the screen, every 10 seconds. Does anyone know how to remove it. Thanks in advance.</v>
      </c>
    </row>
    <row r="595" spans="1:9" x14ac:dyDescent="0.3">
      <c r="A595" s="1" t="s">
        <v>624</v>
      </c>
      <c r="B595" s="1" t="s">
        <v>881</v>
      </c>
      <c r="C595" s="1" t="s">
        <v>479</v>
      </c>
      <c r="D595" s="1" t="s">
        <v>81</v>
      </c>
      <c r="E595" s="1" t="s">
        <v>386</v>
      </c>
      <c r="F595" s="1" t="s">
        <v>1583</v>
      </c>
      <c r="G595" s="1" t="s">
        <v>36</v>
      </c>
      <c r="H595" s="1" t="s">
        <v>29</v>
      </c>
      <c r="I595" s="1" t="str">
        <f ca="1">IFERROR(__xludf.DUMMYFUNCTION("GOOGLETRANSLATE(F595, ""auto"", ""en"")
"),"Very good game. I play in one go. Very exciting. There are very few games of this class. I recommend it to everyone.")</f>
        <v>Very good game. I play in one go. Very exciting. There are very few games of this class. I recommend it to everyone.</v>
      </c>
    </row>
    <row r="596" spans="1:9" x14ac:dyDescent="0.3">
      <c r="A596" s="1" t="s">
        <v>43</v>
      </c>
      <c r="B596" s="1" t="s">
        <v>502</v>
      </c>
      <c r="C596" s="1" t="s">
        <v>122</v>
      </c>
      <c r="D596" s="1" t="s">
        <v>1584</v>
      </c>
      <c r="E596" s="1" t="s">
        <v>386</v>
      </c>
      <c r="F596" s="1" t="s">
        <v>1585</v>
      </c>
      <c r="G596" s="1" t="s">
        <v>28</v>
      </c>
      <c r="H596" s="1" t="s">
        <v>29</v>
      </c>
      <c r="I596" s="1" t="str">
        <f ca="1">IFERROR(__xludf.DUMMYFUNCTION("GOOGLETRANSLATE(F596, ""auto"", ""en"")
"),"It blows strongly at minimum fan speeds (in drying mode it is barely noticeable), but this only pleases. Occasionally, the control unit goes crazy and the air conditioner stops maintaining the set temperature. It can be treated by simply restarting (Off-O"&amp;"n) from the remote control. It’s been running for three years now, it works in the summer without turning off, last summer it threshed for a couple of months without stopping the compressor at all, there are no serious complaints.")</f>
        <v>It blows strongly at minimum fan speeds (in drying mode it is barely noticeable), but this only pleases. Occasionally, the control unit goes crazy and the air conditioner stops maintaining the set temperature. It can be treated by simply restarting (Off-On) from the remote control. It’s been running for three years now, it works in the summer without turning off, last summer it threshed for a couple of months without stopping the compressor at all, there are no serious complaints.</v>
      </c>
    </row>
    <row r="597" spans="1:9" x14ac:dyDescent="0.3">
      <c r="A597" s="1" t="s">
        <v>17</v>
      </c>
      <c r="B597" s="1" t="s">
        <v>18</v>
      </c>
      <c r="C597" s="1" t="s">
        <v>80</v>
      </c>
      <c r="D597" s="1" t="s">
        <v>52</v>
      </c>
      <c r="E597" s="1" t="s">
        <v>1586</v>
      </c>
      <c r="F597" s="1" t="s">
        <v>1587</v>
      </c>
      <c r="G597" s="1" t="s">
        <v>36</v>
      </c>
      <c r="H597" s="1" t="s">
        <v>29</v>
      </c>
      <c r="I597" s="1" t="str">
        <f ca="1">IFERROR(__xludf.DUMMYFUNCTION("GOOGLETRANSLATE(F597, ""auto"", ""en"")
"),"The machine is excellent, we bought it to replace the LG 7 kg. the family has shrunk. It washes perfectly, quietly, does not jump, and is economical. There is only one drawback - it has a habit of carefully putting everything in the duvet cover; sometimes"&amp;" you have to do the last spin after taking out the laundry separately.")</f>
        <v>The machine is excellent, we bought it to replace the LG 7 kg. the family has shrunk. It washes perfectly, quietly, does not jump, and is economical. There is only one drawback - it has a habit of carefully putting everything in the duvet cover; sometimes you have to do the last spin after taking out the laundry separately.</v>
      </c>
    </row>
    <row r="598" spans="1:9" x14ac:dyDescent="0.3">
      <c r="A598" s="1" t="s">
        <v>30</v>
      </c>
      <c r="B598" s="1" t="s">
        <v>50</v>
      </c>
      <c r="C598" s="1" t="s">
        <v>32</v>
      </c>
      <c r="D598" s="1" t="s">
        <v>33</v>
      </c>
      <c r="E598" s="1" t="s">
        <v>532</v>
      </c>
      <c r="F598" s="1" t="s">
        <v>1588</v>
      </c>
      <c r="G598" s="1" t="s">
        <v>28</v>
      </c>
      <c r="H598" s="1" t="s">
        <v>29</v>
      </c>
      <c r="I598" s="1" t="str">
        <f ca="1">IFERROR(__xludf.DUMMYFUNCTION("GOOGLETRANSLATE(F598, ""auto"", ""en"")
"),"The laptop is good, but in games at a maximum resolution of 1366 by 768, they all come with a resolution of 1024 by 768. Because of this, there are black bars on the left and right.")</f>
        <v>The laptop is good, but in games at a maximum resolution of 1366 by 768, they all come with a resolution of 1024 by 768. Because of this, there are black bars on the left and right.</v>
      </c>
    </row>
    <row r="599" spans="1:9" x14ac:dyDescent="0.3">
      <c r="A599" s="1" t="s">
        <v>477</v>
      </c>
      <c r="B599" s="1" t="s">
        <v>478</v>
      </c>
      <c r="C599" s="1" t="s">
        <v>479</v>
      </c>
      <c r="D599" s="1" t="s">
        <v>39</v>
      </c>
      <c r="E599" s="1" t="s">
        <v>1589</v>
      </c>
      <c r="F599" s="1" t="s">
        <v>1590</v>
      </c>
      <c r="G599" s="1" t="s">
        <v>36</v>
      </c>
      <c r="H599" s="1" t="s">
        <v>29</v>
      </c>
      <c r="I599" s="1" t="str">
        <f ca="1">IFERROR(__xludf.DUMMYFUNCTION("GOOGLETRANSLATE(F599, ""auto"", ""en"")
"),"Like the first part - a brilliant game, not a single game since Fallout 1-2 has captivated me so much. And the graphics are nice, and the controls, and the plot, and the forks and EVERYTHING EVERYTHING is in it. I don’t understand why so many people criti"&amp;"cize the second part. It’s a little different from the first one, but by the end of the game you realize that this is still a masterpiece!)")</f>
        <v>Like the first part - a brilliant game, not a single game since Fallout 1-2 has captivated me so much. And the graphics are nice, and the controls, and the plot, and the forks and EVERYTHING EVERYTHING is in it. I don’t understand why so many people criticize the second part. It’s a little different from the first one, but by the end of the game you realize that this is still a masterpiece!)</v>
      </c>
    </row>
    <row r="600" spans="1:9" x14ac:dyDescent="0.3">
      <c r="A600" s="1" t="s">
        <v>211</v>
      </c>
      <c r="B600" s="1" t="s">
        <v>212</v>
      </c>
      <c r="C600" s="1" t="s">
        <v>1591</v>
      </c>
      <c r="D600" s="1" t="s">
        <v>12</v>
      </c>
      <c r="E600" s="1" t="s">
        <v>1046</v>
      </c>
      <c r="F600" s="1" t="s">
        <v>1592</v>
      </c>
      <c r="G600" s="1" t="s">
        <v>28</v>
      </c>
      <c r="H600" s="1" t="s">
        <v>29</v>
      </c>
      <c r="I600" s="1" t="str">
        <f ca="1">IFERROR(__xludf.DUMMYFUNCTION("GOOGLETRANSLATE(F600, ""auto"", ""en"")
"),"I would like to leave my review. I really wanted this thing, I slept and saw it. &amp;nbsp;I bought it, what can I say. In action, I personally only need one attachment that rotates. The rest are completely useless, overpayment of money. So far I've only used"&amp;" it once, I expected better, I was even a little upset. Yes, it straightens the hair, makes it soft and shiny. But I don’t notice any volume; rather, they are sleek. I'm thinking of exchanging it for another manufacturer, cheaper. I chose for a long time,"&amp;" looked for information, but decided to take the more expensive one, in vain, I regret it. They all have the same meaning. Pulls hair a little. Plus - quick styling, hair shine. Suitable for those with thick and curly hair.")</f>
        <v>I would like to leave my review. I really wanted this thing, I slept and saw it. &amp;nbsp;I bought it, what can I say. In action, I personally only need one attachment that rotates. The rest are completely useless, overpayment of money. So far I've only used it once, I expected better, I was even a little upset. Yes, it straightens the hair, makes it soft and shiny. But I don’t notice any volume; rather, they are sleek. I'm thinking of exchanging it for another manufacturer, cheaper. I chose for a long time, looked for information, but decided to take the more expensive one, in vain, I regret it. They all have the same meaning. Pulls hair a little. Plus - quick styling, hair shine. Suitable for those with thick and curly hair.</v>
      </c>
    </row>
    <row r="601" spans="1:9" x14ac:dyDescent="0.3">
      <c r="A601" s="1" t="s">
        <v>811</v>
      </c>
      <c r="B601" s="1" t="s">
        <v>812</v>
      </c>
      <c r="C601" s="1" t="s">
        <v>949</v>
      </c>
      <c r="D601" s="1" t="s">
        <v>1593</v>
      </c>
      <c r="E601" s="1" t="s">
        <v>1280</v>
      </c>
      <c r="F601" s="1" t="s">
        <v>1594</v>
      </c>
      <c r="G601" s="1" t="s">
        <v>36</v>
      </c>
      <c r="H601" s="1" t="s">
        <v>29</v>
      </c>
      <c r="I601" s="1" t="str">
        <f ca="1">IFERROR(__xludf.DUMMYFUNCTION("GOOGLETRANSLATE(F601, ""auto"", ""en"")
"),"This tripod is perfect for me! very stable, can rise to both high and low heights, can rotate in all directions (up and down as well), and shooting in a vertical position is also possible. Not too heavy. There's even a case ;) In general, for me it's the "&amp;"best. I'm very glad I bought it")</f>
        <v>This tripod is perfect for me! very stable, can rise to both high and low heights, can rotate in all directions (up and down as well), and shooting in a vertical position is also possible. Not too heavy. There's even a case ;) In general, for me it's the best. I'm very glad I bought it</v>
      </c>
    </row>
    <row r="602" spans="1:9" x14ac:dyDescent="0.3">
      <c r="A602" s="1" t="s">
        <v>89</v>
      </c>
      <c r="B602" s="1" t="s">
        <v>90</v>
      </c>
      <c r="C602" s="1" t="s">
        <v>185</v>
      </c>
      <c r="D602" s="1" t="s">
        <v>1595</v>
      </c>
      <c r="E602" s="1" t="s">
        <v>82</v>
      </c>
      <c r="F602" s="1" t="s">
        <v>1596</v>
      </c>
      <c r="G602" s="1" t="s">
        <v>36</v>
      </c>
      <c r="H602" s="1" t="s">
        <v>29</v>
      </c>
      <c r="I602" s="1" t="str">
        <f ca="1">IFERROR(__xludf.DUMMYFUNCTION("GOOGLETRANSLATE(F602, ""auto"", ""en"")
"),"It has served for a year without any complaints. The cord is a bit short, and coffee powder accumulates in the opening in front of the container, but the quality of the grind more than compensates for these little things.")</f>
        <v>It has served for a year without any complaints. The cord is a bit short, and coffee powder accumulates in the opening in front of the container, but the quality of the grind more than compensates for these little things.</v>
      </c>
    </row>
    <row r="603" spans="1:9" x14ac:dyDescent="0.3">
      <c r="A603" s="1" t="s">
        <v>169</v>
      </c>
      <c r="B603" s="1" t="s">
        <v>170</v>
      </c>
      <c r="C603" s="1" t="s">
        <v>193</v>
      </c>
      <c r="D603" s="1" t="s">
        <v>327</v>
      </c>
      <c r="E603" s="1" t="s">
        <v>1597</v>
      </c>
      <c r="F603" s="1" t="s">
        <v>1598</v>
      </c>
      <c r="G603" s="1" t="s">
        <v>94</v>
      </c>
      <c r="H603" s="1" t="s">
        <v>29</v>
      </c>
      <c r="I603" s="1" t="str">
        <f ca="1">IFERROR(__xludf.DUMMYFUNCTION("GOOGLETRANSLATE(F603, ""auto"", ""en"")
"),"SOUND, Sensitivity, Maximum Power")</f>
        <v>SOUND, Sensitivity, Maximum Power</v>
      </c>
    </row>
    <row r="604" spans="1:9" x14ac:dyDescent="0.3">
      <c r="A604" s="1" t="s">
        <v>811</v>
      </c>
      <c r="B604" s="1" t="s">
        <v>1599</v>
      </c>
      <c r="C604" s="1" t="s">
        <v>1600</v>
      </c>
      <c r="D604" s="1" t="s">
        <v>64</v>
      </c>
      <c r="E604" s="1" t="s">
        <v>1601</v>
      </c>
      <c r="F604" s="1" t="s">
        <v>1602</v>
      </c>
      <c r="G604" s="1" t="s">
        <v>36</v>
      </c>
      <c r="H604" s="1" t="s">
        <v>29</v>
      </c>
      <c r="I604" s="1" t="str">
        <f ca="1">IFERROR(__xludf.DUMMYFUNCTION("GOOGLETRANSLATE(F604, ""auto"", ""en"")
"),"dense plastic case, fastening on a trouser belt, for carrying over the shoulder and in the hand, three internal compartments")</f>
        <v>dense plastic case, fastening on a trouser belt, for carrying over the shoulder and in the hand, three internal compartments</v>
      </c>
    </row>
    <row r="605" spans="1:9" x14ac:dyDescent="0.3">
      <c r="A605" s="1" t="s">
        <v>120</v>
      </c>
      <c r="B605" s="1" t="s">
        <v>121</v>
      </c>
      <c r="C605" s="1" t="s">
        <v>69</v>
      </c>
      <c r="D605" s="1" t="s">
        <v>240</v>
      </c>
      <c r="E605" s="1" t="s">
        <v>1603</v>
      </c>
      <c r="F605" s="1" t="s">
        <v>1604</v>
      </c>
      <c r="G605" s="1" t="s">
        <v>36</v>
      </c>
      <c r="H605" s="1" t="s">
        <v>29</v>
      </c>
      <c r="I605" s="1" t="str">
        <f ca="1">IFERROR(__xludf.DUMMYFUNCTION("GOOGLETRANSLATE(F605, ""auto"", ""en"")
"),"I really like TV. I bought it a year ago and have never been disappointed. The sound and video are super, it is very easy to connect any devices to it, there are a lot of connectors. Easy to use.")</f>
        <v>I really like TV. I bought it a year ago and have never been disappointed. The sound and video are super, it is very easy to connect any devices to it, there are a lot of connectors. Easy to use.</v>
      </c>
    </row>
    <row r="606" spans="1:9" x14ac:dyDescent="0.3">
      <c r="A606" s="1" t="s">
        <v>43</v>
      </c>
      <c r="B606" s="1" t="s">
        <v>303</v>
      </c>
      <c r="C606" s="1" t="s">
        <v>665</v>
      </c>
      <c r="D606" s="1" t="s">
        <v>1605</v>
      </c>
      <c r="E606" s="1" t="s">
        <v>1606</v>
      </c>
      <c r="F606" s="1" t="s">
        <v>1607</v>
      </c>
      <c r="G606" s="1" t="s">
        <v>36</v>
      </c>
      <c r="H606" s="1" t="s">
        <v>29</v>
      </c>
      <c r="I606" s="1" t="str">
        <f ca="1">IFERROR(__xludf.DUMMYFUNCTION("GOOGLETRANSLATE(F606, ""auto"", ""en"")
"),"We spent a long time choosing a water heater, settled on this model and did not regret it. The best solution for your money. The water heats up quickly, but due to the high power, when we turn on other household appliances, our machine often goes off. At "&amp;"first they were patient, but then my husband decided to install a load optimizer on the power grid, like the oel-820, and the problem was solved.")</f>
        <v>We spent a long time choosing a water heater, settled on this model and did not regret it. The best solution for your money. The water heats up quickly, but due to the high power, when we turn on other household appliances, our machine often goes off. At first they were patient, but then my husband decided to install a load optimizer on the power grid, like the oel-820, and the problem was solved.</v>
      </c>
    </row>
    <row r="607" spans="1:9" x14ac:dyDescent="0.3">
      <c r="A607" s="1" t="s">
        <v>120</v>
      </c>
      <c r="B607" s="1" t="s">
        <v>196</v>
      </c>
      <c r="C607" s="1" t="s">
        <v>658</v>
      </c>
      <c r="D607" s="1" t="s">
        <v>1329</v>
      </c>
      <c r="E607" s="1" t="s">
        <v>1608</v>
      </c>
      <c r="F607" s="1" t="s">
        <v>1609</v>
      </c>
      <c r="G607" s="1" t="s">
        <v>36</v>
      </c>
      <c r="H607" s="1" t="s">
        <v>29</v>
      </c>
      <c r="I607" s="1" t="str">
        <f ca="1">IFERROR(__xludf.DUMMYFUNCTION("GOOGLETRANSLATE(F607, ""auto"", ""en"")
"),"TV is great! Color rendition is much different from others - LG, Samsung, etc. ...")</f>
        <v>TV is great! Color rendition is much different from others - LG, Samsung, etc. ...</v>
      </c>
    </row>
    <row r="608" spans="1:9" x14ac:dyDescent="0.3">
      <c r="A608" s="1" t="s">
        <v>211</v>
      </c>
      <c r="B608" s="1" t="s">
        <v>212</v>
      </c>
      <c r="C608" s="1" t="s">
        <v>69</v>
      </c>
      <c r="D608" s="1" t="s">
        <v>1610</v>
      </c>
      <c r="E608" s="1" t="s">
        <v>1611</v>
      </c>
      <c r="F608" s="1" t="s">
        <v>1612</v>
      </c>
      <c r="G608" s="1" t="s">
        <v>36</v>
      </c>
      <c r="H608" s="1" t="s">
        <v>29</v>
      </c>
      <c r="I608" s="1" t="str">
        <f ca="1">IFERROR(__xludf.DUMMYFUNCTION("GOOGLETRANSLATE(F608, ""auto"", ""en"")
"),"just a super thing!")</f>
        <v>just a super thing!</v>
      </c>
    </row>
    <row r="609" spans="1:9" x14ac:dyDescent="0.3">
      <c r="A609" s="1" t="s">
        <v>211</v>
      </c>
      <c r="B609" s="1" t="s">
        <v>212</v>
      </c>
      <c r="C609" s="1" t="s">
        <v>294</v>
      </c>
      <c r="D609" s="1" t="s">
        <v>1613</v>
      </c>
      <c r="E609" s="1" t="s">
        <v>1614</v>
      </c>
      <c r="F609" s="1" t="s">
        <v>1615</v>
      </c>
      <c r="G609" s="1" t="s">
        <v>36</v>
      </c>
      <c r="H609" s="1" t="s">
        <v>29</v>
      </c>
      <c r="I609" s="1" t="str">
        <f ca="1">IFERROR(__xludf.DUMMYFUNCTION("GOOGLETRANSLATE(F609, ""auto"", ""en"")
"),"Powerful, very light, compact, perfect for traveling. Quickly copes with drying, very convenient nozzle for styling, convenient location of the buttons, you won’t accidentally touch them during use.   Great stuff!")</f>
        <v>Powerful, very light, compact, perfect for traveling. Quickly copes with drying, very convenient nozzle for styling, convenient location of the buttons, you won’t accidentally touch them during use.   Great stuff!</v>
      </c>
    </row>
    <row r="610" spans="1:9" x14ac:dyDescent="0.3">
      <c r="A610" s="1" t="s">
        <v>43</v>
      </c>
      <c r="B610" s="1" t="s">
        <v>1616</v>
      </c>
      <c r="C610" s="1" t="s">
        <v>1138</v>
      </c>
      <c r="D610" s="1" t="s">
        <v>1121</v>
      </c>
      <c r="E610" s="1" t="s">
        <v>1617</v>
      </c>
      <c r="F610" s="1" t="s">
        <v>1618</v>
      </c>
      <c r="G610" s="1" t="s">
        <v>36</v>
      </c>
      <c r="H610" s="1" t="s">
        <v>29</v>
      </c>
      <c r="I610" s="1" t="str">
        <f ca="1">IFERROR(__xludf.DUMMYFUNCTION("GOOGLETRANSLATE(F610, ""auto"", ""en"")
"),"Excellent air conditioner. I have something to compare with; this one works great despite its small dimensions.")</f>
        <v>Excellent air conditioner. I have something to compare with; this one works great despite its small dimensions.</v>
      </c>
    </row>
    <row r="611" spans="1:9" x14ac:dyDescent="0.3">
      <c r="A611" s="1" t="s">
        <v>67</v>
      </c>
      <c r="B611" s="1" t="s">
        <v>68</v>
      </c>
      <c r="C611" s="1" t="s">
        <v>69</v>
      </c>
      <c r="D611" s="1" t="s">
        <v>1619</v>
      </c>
      <c r="E611" s="1" t="s">
        <v>569</v>
      </c>
      <c r="F611" s="1" t="s">
        <v>1620</v>
      </c>
      <c r="G611" s="1" t="s">
        <v>36</v>
      </c>
      <c r="H611" s="1" t="s">
        <v>29</v>
      </c>
      <c r="I611" s="1" t="str">
        <f ca="1">IFERROR(__xludf.DUMMYFUNCTION("GOOGLETRANSLATE(F611, ""auto"", ""en"")
"),"I bought the iron two months ago. Having spent a small amount of money I received a reliable and convenient product. Water does not leak out during steaming and heats up quickly. Overall satisfied!")</f>
        <v>I bought the iron two months ago. Having spent a small amount of money I received a reliable and convenient product. Water does not leak out during steaming and heats up quickly. Overall satisfied!</v>
      </c>
    </row>
    <row r="612" spans="1:9" x14ac:dyDescent="0.3">
      <c r="A612" s="1" t="s">
        <v>211</v>
      </c>
      <c r="B612" s="1" t="s">
        <v>212</v>
      </c>
      <c r="C612" s="1" t="s">
        <v>381</v>
      </c>
      <c r="D612" s="1" t="s">
        <v>545</v>
      </c>
      <c r="E612" s="1" t="s">
        <v>140</v>
      </c>
      <c r="F612" s="1" t="s">
        <v>1621</v>
      </c>
      <c r="G612" s="1" t="s">
        <v>36</v>
      </c>
      <c r="H612" s="1" t="s">
        <v>29</v>
      </c>
      <c r="I612" s="1" t="str">
        <f ca="1">IFERROR(__xludf.DUMMYFUNCTION("GOOGLETRANSLATE(F612, ""auto"", ""en"")
"),"The hairdryer is excellent, but for professionals, it’s too heavy for household use. This is the second “Roventa” I bought for the salon, the previous one worked like a bee for 7 years! Every day for several hours. I’ve been using this for two weeks and I"&amp;" hope it will also hold up. I like it even more: in the cold mode there is really cold air (and not warm, as everyone usually does; even thick, heavy hair is quickly dried hot (powerful motor); the touch sensor is very convenient, you don’t have to consta"&amp;"ntly turn it on and off when drying your hair; a long cord is what you need for a salon, you don’t have to throw it over the client; the hair really doesn’t get electrified thanks to the ionizer. In general, it looks good and stylish. Excellent quality. I"&amp;" definitely recommend it.")</f>
        <v>The hairdryer is excellent, but for professionals, it’s too heavy for household use. This is the second “Roventa” I bought for the salon, the previous one worked like a bee for 7 years! Every day for several hours. I’ve been using this for two weeks and I hope it will also hold up. I like it even more: in the cold mode there is really cold air (and not warm, as everyone usually does; even thick, heavy hair is quickly dried hot (powerful motor); the touch sensor is very convenient, you don’t have to constantly turn it on and off when drying your hair; a long cord is what you need for a salon, you don’t have to throw it over the client; the hair really doesn’t get electrified thanks to the ionizer. In general, it looks good and stylish. Excellent quality. I definitely recommend it.</v>
      </c>
    </row>
    <row r="613" spans="1:9" x14ac:dyDescent="0.3">
      <c r="A613" s="1" t="s">
        <v>17</v>
      </c>
      <c r="B613" s="1" t="s">
        <v>18</v>
      </c>
      <c r="C613" s="1" t="s">
        <v>151</v>
      </c>
      <c r="D613" s="1" t="s">
        <v>1021</v>
      </c>
      <c r="E613" s="1" t="s">
        <v>115</v>
      </c>
      <c r="F613" s="1" t="s">
        <v>1622</v>
      </c>
      <c r="G613" s="1" t="s">
        <v>36</v>
      </c>
      <c r="H613" s="1" t="s">
        <v>29</v>
      </c>
      <c r="I613" s="1" t="str">
        <f ca="1">IFERROR(__xludf.DUMMYFUNCTION("GOOGLETRANSLATE(F613, ""auto"", ""en"")
"),"Hello! My husband and I have only owned the car for a couple of days... But we have a lot of impressions, all positive... We like everything. Both design and performance...We are satisfied.")</f>
        <v>Hello! My husband and I have only owned the car for a couple of days... But we have a lot of impressions, all positive... We like everything. Both design and performance...We are satisfied.</v>
      </c>
    </row>
    <row r="614" spans="1:9" x14ac:dyDescent="0.3">
      <c r="A614" s="1" t="s">
        <v>149</v>
      </c>
      <c r="B614" s="1" t="s">
        <v>155</v>
      </c>
      <c r="C614" s="1" t="s">
        <v>101</v>
      </c>
      <c r="D614" s="1" t="s">
        <v>690</v>
      </c>
      <c r="E614" s="1" t="s">
        <v>1623</v>
      </c>
      <c r="F614" s="1" t="s">
        <v>1624</v>
      </c>
      <c r="G614" s="1" t="s">
        <v>28</v>
      </c>
      <c r="H614" s="1" t="s">
        <v>29</v>
      </c>
      <c r="I614" s="1" t="str">
        <f ca="1">IFERROR(__xludf.DUMMYFUNCTION("GOOGLETRANSLATE(F614, ""auto"", ""en"")
"),"+: light, absorbs well.  -: the telescopic handle is short, it would be possible to add another section. Taking out the fine filter and putting it back is inconvenient!")</f>
        <v>+: light, absorbs well.  -: the telescopic handle is short, it would be possible to add another section. Taking out the fine filter and putting it back is inconvenient!</v>
      </c>
    </row>
    <row r="615" spans="1:9" x14ac:dyDescent="0.3">
      <c r="A615" s="1" t="s">
        <v>61</v>
      </c>
      <c r="B615" s="1" t="s">
        <v>318</v>
      </c>
      <c r="C615" s="1" t="s">
        <v>101</v>
      </c>
      <c r="D615" s="1" t="s">
        <v>1625</v>
      </c>
      <c r="E615" s="1" t="s">
        <v>612</v>
      </c>
      <c r="F615" s="1" t="s">
        <v>1626</v>
      </c>
      <c r="G615" s="1" t="s">
        <v>36</v>
      </c>
      <c r="H615" s="1" t="s">
        <v>29</v>
      </c>
      <c r="I615" s="1" t="str">
        <f ca="1">IFERROR(__xludf.DUMMYFUNCTION("GOOGLETRANSLATE(F615, ""auto"", ""en"")
"),"I’ll write about a convenient, roomy electric kettle from Scarlett. I was looking for a powerful and voluminous one for the dacha, of course it’s too beautiful for the dacha, but oh well. It always boils quickly, there is not much noise from it at all, bu"&amp;"t the click can be heard from another room, but the cord is short, which will be a minus for some. In general, the kettle is not bad, you can buy it with confidence.")</f>
        <v>I’ll write about a convenient, roomy electric kettle from Scarlett. I was looking for a powerful and voluminous one for the dacha, of course it’s too beautiful for the dacha, but oh well. It always boils quickly, there is not much noise from it at all, but the click can be heard from another room, but the cord is short, which will be a minus for some. In general, the kettle is not bad, you can buy it with confidence.</v>
      </c>
    </row>
    <row r="616" spans="1:9" x14ac:dyDescent="0.3">
      <c r="A616" s="1" t="s">
        <v>43</v>
      </c>
      <c r="B616" s="1" t="s">
        <v>502</v>
      </c>
      <c r="C616" s="1" t="s">
        <v>1627</v>
      </c>
      <c r="D616" s="1" t="s">
        <v>114</v>
      </c>
      <c r="E616" s="1" t="s">
        <v>1628</v>
      </c>
      <c r="F616" s="1" t="s">
        <v>1629</v>
      </c>
      <c r="G616" s="1" t="s">
        <v>28</v>
      </c>
      <c r="H616" s="1" t="s">
        <v>29</v>
      </c>
      <c r="I616" s="1" t="str">
        <f ca="1">IFERROR(__xludf.DUMMYFUNCTION("GOOGLETRANSLATE(F616, ""auto"", ""en"")
"),"The split system is good. The air flow is dry, does not stink, there are removable filters (easy to clean) and two bacterial filters. Everything can be easily removed, just open the top cover of the indoor unit. The external unit is very quiet, almost no "&amp;"noise. There is a protective cover to the connection points of wires and routes from rain. Among the disadvantages: power to the split system comes from the outdoor unit; the kit does NOT include: a power cable and a signal cable between the outdoor and i"&amp;"ndoor units. I had to buy an additional 2x8m cable. I took regular PVS, the price was 300 rubles.")</f>
        <v>The split system is good. The air flow is dry, does not stink, there are removable filters (easy to clean) and two bacterial filters. Everything can be easily removed, just open the top cover of the indoor unit. The external unit is very quiet, almost no noise. There is a protective cover to the connection points of wires and routes from rain. Among the disadvantages: power to the split system comes from the outdoor unit; the kit does NOT include: a power cable and a signal cable between the outdoor and indoor units. I had to buy an additional 2x8m cable. I took regular PVS, the price was 300 rubles.</v>
      </c>
    </row>
    <row r="617" spans="1:9" x14ac:dyDescent="0.3">
      <c r="A617" s="1" t="s">
        <v>211</v>
      </c>
      <c r="B617" s="1" t="s">
        <v>212</v>
      </c>
      <c r="C617" s="1" t="s">
        <v>294</v>
      </c>
      <c r="D617" s="1" t="s">
        <v>32</v>
      </c>
      <c r="E617" s="1" t="s">
        <v>841</v>
      </c>
      <c r="F617" s="1" t="s">
        <v>1630</v>
      </c>
      <c r="G617" s="1" t="s">
        <v>15</v>
      </c>
      <c r="H617" s="1" t="s">
        <v>16</v>
      </c>
      <c r="I617" s="1" t="str">
        <f ca="1">IFERROR(__xludf.DUMMYFUNCTION("GOOGLETRANSLATE(F617, ""auto"", ""en"")
"),"A hairdryer is not suitable for everyone. Personally, I absolutely did not like the fact that the ionization function is constant, that is, it cannot be turned off, which means that you can forget about the volume when styling, your hair is sleek (neither"&amp;" combs nor styling products help). Drying with a concentrator is like torture, since the flow rate decreases sharply, the turbo button doesn’t really help either. As a result, a lot of time wasted, and the result is a shapeless “hairstyle”. Exchange.")</f>
        <v>A hairdryer is not suitable for everyone. Personally, I absolutely did not like the fact that the ionization function is constant, that is, it cannot be turned off, which means that you can forget about the volume when styling, your hair is sleek (neither combs nor styling products help). Drying with a concentrator is like torture, since the flow rate decreases sharply, the turbo button doesn’t really help either. As a result, a lot of time wasted, and the result is a shapeless “hairstyle”. Exchange.</v>
      </c>
    </row>
    <row r="618" spans="1:9" x14ac:dyDescent="0.3">
      <c r="A618" s="1" t="s">
        <v>37</v>
      </c>
      <c r="B618" s="1" t="s">
        <v>38</v>
      </c>
      <c r="C618" s="1" t="s">
        <v>163</v>
      </c>
      <c r="D618" s="1" t="s">
        <v>1631</v>
      </c>
      <c r="E618" s="1" t="s">
        <v>1632</v>
      </c>
      <c r="F618" s="1" t="s">
        <v>1633</v>
      </c>
      <c r="G618" s="1" t="s">
        <v>49</v>
      </c>
      <c r="H618" s="1" t="s">
        <v>16</v>
      </c>
      <c r="I618" s="1" t="str">
        <f ca="1">IFERROR(__xludf.DUMMYFUNCTION("GOOGLETRANSLATE(F618, ""auto"", ""en"")
"),"I agree with Mikhail! For such a typical set of functions and a small display, the price is clearly too high! reminds me of the Samsung C-100))) only the Samsung didn’t have a camera, but the polyphony was jammed)))")</f>
        <v>I agree with Mikhail! For such a typical set of functions and a small display, the price is clearly too high! reminds me of the Samsung C-100))) only the Samsung didn’t have a camera, but the polyphony was jammed)))</v>
      </c>
    </row>
    <row r="619" spans="1:9" x14ac:dyDescent="0.3">
      <c r="A619" s="1" t="s">
        <v>67</v>
      </c>
      <c r="B619" s="1" t="s">
        <v>340</v>
      </c>
      <c r="C619" s="1" t="s">
        <v>1634</v>
      </c>
      <c r="D619" s="1" t="s">
        <v>521</v>
      </c>
      <c r="E619" s="1" t="s">
        <v>610</v>
      </c>
      <c r="F619" s="1" t="s">
        <v>1635</v>
      </c>
      <c r="G619" s="1" t="s">
        <v>36</v>
      </c>
      <c r="H619" s="1" t="s">
        <v>29</v>
      </c>
      <c r="I619" s="1" t="str">
        <f ca="1">IFERROR(__xludf.DUMMYFUNCTION("GOOGLETRANSLATE(F619, ""auto"", ""en"")
"),"I recommend it to everyone who is starting to sew, of course, if you have a desire to sew, but overall, for the money it’s just a miracle machine. We gave it to my mother, and even at the age of 65 she mastered it very quickly.")</f>
        <v>I recommend it to everyone who is starting to sew, of course, if you have a desire to sew, but overall, for the money it’s just a miracle machine. We gave it to my mother, and even at the age of 65 she mastered it very quickly.</v>
      </c>
    </row>
    <row r="620" spans="1:9" x14ac:dyDescent="0.3">
      <c r="A620" s="1" t="s">
        <v>67</v>
      </c>
      <c r="B620" s="1" t="s">
        <v>68</v>
      </c>
      <c r="C620" s="1" t="s">
        <v>101</v>
      </c>
      <c r="D620" s="1" t="s">
        <v>1121</v>
      </c>
      <c r="E620" s="1" t="s">
        <v>1636</v>
      </c>
      <c r="F620" s="1" t="s">
        <v>1637</v>
      </c>
      <c r="G620" s="1" t="s">
        <v>49</v>
      </c>
      <c r="H620" s="1" t="s">
        <v>16</v>
      </c>
      <c r="I620" s="1" t="str">
        <f ca="1">IFERROR(__xludf.DUMMYFUNCTION("GOOGLETRANSLATE(F620, ""auto"", ""en"")
"),"It doesn’t smooth out anything, the steam that it produces is sooooo little,")</f>
        <v>It doesn’t smooth out anything, the steam that it produces is sooooo little,</v>
      </c>
    </row>
    <row r="621" spans="1:9" x14ac:dyDescent="0.3">
      <c r="A621" s="1" t="s">
        <v>17</v>
      </c>
      <c r="B621" s="1" t="s">
        <v>18</v>
      </c>
      <c r="C621" s="1" t="s">
        <v>243</v>
      </c>
      <c r="D621" s="1" t="s">
        <v>943</v>
      </c>
      <c r="E621" s="1" t="s">
        <v>1527</v>
      </c>
      <c r="F621" s="1" t="s">
        <v>1638</v>
      </c>
      <c r="G621" s="1" t="s">
        <v>15</v>
      </c>
      <c r="H621" s="1" t="s">
        <v>16</v>
      </c>
      <c r="I621" s="1" t="str">
        <f ca="1">IFERROR(__xludf.DUMMYFUNCTION("GOOGLETRANSLATE(F621, ""auto"", ""en"")
"),"We bought a car 2 years ago. From the very first day problems began. First with the drum, when washing it shook like crazy, then with the circuit, I had to change it, with the bolts, it started to leak. This is terrible. DO NOT BUY!!!!!")</f>
        <v>We bought a car 2 years ago. From the very first day problems began. First with the drum, when washing it shook like crazy, then with the circuit, I had to change it, with the bolts, it started to leak. This is terrible. DO NOT BUY!!!!!</v>
      </c>
    </row>
    <row r="622" spans="1:9" x14ac:dyDescent="0.3">
      <c r="A622" s="1" t="s">
        <v>55</v>
      </c>
      <c r="B622" s="1" t="s">
        <v>752</v>
      </c>
      <c r="C622" s="1" t="s">
        <v>57</v>
      </c>
      <c r="D622" s="1" t="s">
        <v>411</v>
      </c>
      <c r="E622" s="1" t="s">
        <v>1639</v>
      </c>
      <c r="F622" s="1" t="s">
        <v>1640</v>
      </c>
      <c r="G622" s="1" t="s">
        <v>49</v>
      </c>
      <c r="H622" s="1" t="s">
        <v>16</v>
      </c>
      <c r="I622" s="1" t="str">
        <f ca="1">IFERROR(__xludf.DUMMYFUNCTION("GOOGLETRANSLATE(F622, ""auto"", ""en"")
"),"It heats up really quickly, the design is excellent, it's easy to move on wheels and stands securely.    One problem: it started leaking in the second hour of use. I will change it to the same one or Scarlett SC-1155")</f>
        <v>It heats up really quickly, the design is excellent, it's easy to move on wheels and stands securely.    One problem: it started leaking in the second hour of use. I will change it to the same one or Scarlett SC-1155</v>
      </c>
    </row>
    <row r="623" spans="1:9" x14ac:dyDescent="0.3">
      <c r="A623" s="1" t="s">
        <v>61</v>
      </c>
      <c r="B623" s="1" t="s">
        <v>62</v>
      </c>
      <c r="C623" s="1" t="s">
        <v>63</v>
      </c>
      <c r="D623" s="1" t="s">
        <v>1641</v>
      </c>
      <c r="E623" s="1" t="s">
        <v>357</v>
      </c>
      <c r="F623" s="1" t="s">
        <v>1642</v>
      </c>
      <c r="G623" s="1" t="s">
        <v>36</v>
      </c>
      <c r="H623" s="1" t="s">
        <v>29</v>
      </c>
      <c r="I623" s="1" t="str">
        <f ca="1">IFERROR(__xludf.DUMMYFUNCTION("GOOGLETRANSLATE(F623, ""auto"", ""en"")
"),"I agree with Svetlana’s opinion. I’ve been using the food processor for a year, and in addition to everything mentioned, I quickly prepare my own mayonnaise (recipe in the instructions). Unfortunately, I can’t buy additional attachments for the meat grind"&amp;"er. The model is excellent, the whole family uses it.")</f>
        <v>I agree with Svetlana’s opinion. I’ve been using the food processor for a year, and in addition to everything mentioned, I quickly prepare my own mayonnaise (recipe in the instructions). Unfortunately, I can’t buy additional attachments for the meat grinder. The model is excellent, the whole family uses it.</v>
      </c>
    </row>
    <row r="624" spans="1:9" x14ac:dyDescent="0.3">
      <c r="A624" s="1" t="s">
        <v>120</v>
      </c>
      <c r="B624" s="1" t="s">
        <v>121</v>
      </c>
      <c r="C624" s="1" t="s">
        <v>97</v>
      </c>
      <c r="D624" s="1" t="s">
        <v>127</v>
      </c>
      <c r="E624" s="1" t="s">
        <v>1643</v>
      </c>
      <c r="F624" s="1" t="s">
        <v>1644</v>
      </c>
      <c r="G624" s="1" t="s">
        <v>36</v>
      </c>
      <c r="H624" s="1" t="s">
        <v>29</v>
      </c>
      <c r="I624" s="1" t="str">
        <f ca="1">IFERROR(__xludf.DUMMYFUNCTION("GOOGLETRANSLATE(F624, ""auto"", ""en"")
"),"I bought this TV for my parents a few days ago. Before purchasing, I stood and chose it in the M-Video store for a good half hour from a dozen other similar models of different brands, peering at the same demo row on their screen. If you take a close look"&amp;", the clarity, contrast and preservation of picture dynamics without blurring in the 32"" Sony KLV-32 BX301 turned out to be not much, but still better than its competitors. The built-in sound is loud and clear enough for such a thin body. Terrestrial TV,"&amp;" perhaps, shows no better than its competitors, but there is nothing special to watch there. But it’s worth connecting it to digital TV via HDMI or DVD, or Blu-Ray, and the picture just sings! From disadvantages - there is no headphone input, the photo is"&amp;" read only in .jpeg format. The sales manager said that this model was assembled in Russia, but in fact it turned out to be Malaysia. There were no serious questions about the build quality.")</f>
        <v>I bought this TV for my parents a few days ago. Before purchasing, I stood and chose it in the M-Video store for a good half hour from a dozen other similar models of different brands, peering at the same demo row on their screen. If you take a close look, the clarity, contrast and preservation of picture dynamics without blurring in the 32" Sony KLV-32 BX301 turned out to be not much, but still better than its competitors. The built-in sound is loud and clear enough for such a thin body. Terrestrial TV, perhaps, shows no better than its competitors, but there is nothing special to watch there. But it’s worth connecting it to digital TV via HDMI or DVD, or Blu-Ray, and the picture just sings! From disadvantages - there is no headphone input, the photo is read only in .jpeg format. The sales manager said that this model was assembled in Russia, but in fact it turned out to be Malaysia. There were no serious questions about the build quality.</v>
      </c>
    </row>
    <row r="625" spans="1:9" x14ac:dyDescent="0.3">
      <c r="A625" s="1" t="s">
        <v>30</v>
      </c>
      <c r="B625" s="1" t="s">
        <v>50</v>
      </c>
      <c r="C625" s="1" t="s">
        <v>694</v>
      </c>
      <c r="D625" s="1" t="s">
        <v>1645</v>
      </c>
      <c r="E625" s="1" t="s">
        <v>1646</v>
      </c>
      <c r="F625" s="1" t="s">
        <v>1647</v>
      </c>
      <c r="G625" s="1" t="s">
        <v>28</v>
      </c>
      <c r="H625" s="1" t="s">
        <v>29</v>
      </c>
      <c r="I625" s="1" t="str">
        <f ca="1">IFERROR(__xludf.DUMMYFUNCTION("GOOGLETRANSLATE(F625, ""auto"", ""en"")
"),"Good value for money, especially considering that we bought it not for 17 but for 11,000. Thanks to M video for having a cumulative discount system.")</f>
        <v>Good value for money, especially considering that we bought it not for 17 but for 11,000. Thanks to M video for having a cumulative discount system.</v>
      </c>
    </row>
    <row r="626" spans="1:9" x14ac:dyDescent="0.3">
      <c r="A626" s="1" t="s">
        <v>105</v>
      </c>
      <c r="B626" s="1" t="s">
        <v>106</v>
      </c>
      <c r="C626" s="1" t="s">
        <v>1209</v>
      </c>
      <c r="D626" s="1" t="s">
        <v>1648</v>
      </c>
      <c r="E626" s="1" t="s">
        <v>1649</v>
      </c>
      <c r="F626" s="1" t="s">
        <v>1650</v>
      </c>
      <c r="G626" s="1" t="s">
        <v>49</v>
      </c>
      <c r="H626" s="1" t="s">
        <v>16</v>
      </c>
      <c r="I626" s="1" t="str">
        <f ca="1">IFERROR(__xludf.DUMMYFUNCTION("GOOGLETRANSLATE(F626, ""auto"", ""en"")
"),"The player is disgusting. First, the rewind buttons failed, now the headphone input has failed (completely, one headphone has been disconnected since the second day of the player's operation). And this is considering the fact that I treat the player very "&amp;"tenderly. The menu is disgusting, and so are the playback modes.")</f>
        <v>The player is disgusting. First, the rewind buttons failed, now the headphone input has failed (completely, one headphone has been disconnected since the second day of the player's operation). And this is considering the fact that I treat the player very tenderly. The menu is disgusting, and so are the playback modes.</v>
      </c>
    </row>
    <row r="627" spans="1:9" x14ac:dyDescent="0.3">
      <c r="A627" s="1" t="s">
        <v>37</v>
      </c>
      <c r="B627" s="1" t="s">
        <v>536</v>
      </c>
      <c r="C627" s="1" t="s">
        <v>1419</v>
      </c>
      <c r="D627" s="1" t="s">
        <v>152</v>
      </c>
      <c r="E627" s="1" t="s">
        <v>1651</v>
      </c>
      <c r="F627" s="1" t="s">
        <v>1652</v>
      </c>
      <c r="G627" s="1" t="s">
        <v>49</v>
      </c>
      <c r="H627" s="1" t="s">
        <v>16</v>
      </c>
      <c r="I627" s="1" t="str">
        <f ca="1">IFERROR(__xludf.DUMMYFUNCTION("GOOGLETRANSLATE(F627, ""auto"", ""en"")
"),"Terrible model. Very huge, not comfortable. Despite the fact that the display is not recessed, it is impossible to use your finger! The only advantage is a relatively powerful processor and a decent amount of RAM. There are better gadgets for the same mon"&amp;"ey.")</f>
        <v>Terrible model. Very huge, not comfortable. Despite the fact that the display is not recessed, it is impossible to use your finger! The only advantage is a relatively powerful processor and a decent amount of RAM. There are better gadgets for the same money.</v>
      </c>
    </row>
    <row r="628" spans="1:9" x14ac:dyDescent="0.3">
      <c r="A628" s="1" t="s">
        <v>120</v>
      </c>
      <c r="B628" s="1" t="s">
        <v>121</v>
      </c>
      <c r="C628" s="1" t="s">
        <v>80</v>
      </c>
      <c r="D628" s="1" t="s">
        <v>1653</v>
      </c>
      <c r="E628" s="1" t="s">
        <v>1654</v>
      </c>
      <c r="F628" s="1" t="s">
        <v>1655</v>
      </c>
      <c r="G628" s="1" t="s">
        <v>36</v>
      </c>
      <c r="H628" s="1" t="s">
        <v>29</v>
      </c>
      <c r="I628" s="1" t="str">
        <f ca="1">IFERROR(__xludf.DUMMYFUNCTION("GOOGLETRANSLATE(F628, ""auto"", ""en"")
"),"TV is normal. I unlocked the USB by flashing it. Does everyone have a low volume level through their headphones or do they need to adjust something somewhere?")</f>
        <v>TV is normal. I unlocked the USB by flashing it. Does everyone have a low volume level through their headphones or do they need to adjust something somewhere?</v>
      </c>
    </row>
    <row r="629" spans="1:9" x14ac:dyDescent="0.3">
      <c r="A629" s="1" t="s">
        <v>37</v>
      </c>
      <c r="B629" s="1" t="s">
        <v>38</v>
      </c>
      <c r="C629" s="1" t="s">
        <v>163</v>
      </c>
      <c r="D629" s="1" t="s">
        <v>1656</v>
      </c>
      <c r="E629" s="1" t="s">
        <v>1657</v>
      </c>
      <c r="F629" s="1" t="s">
        <v>1658</v>
      </c>
      <c r="G629" s="1" t="s">
        <v>36</v>
      </c>
      <c r="H629" s="1" t="s">
        <v>29</v>
      </c>
      <c r="I629" s="1" t="str">
        <f ca="1">IFERROR(__xludf.DUMMYFUNCTION("GOOGLETRANSLATE(F629, ""auto"", ""en"")
"),"I had many different phones (like everyone else), but! Even among Nokia, this phone is good. convenient menu, good sound, large screen))) disadvantages: you need to get used to the buttons, they are flat. Touch typing is inconvenient")</f>
        <v>I had many different phones (like everyone else), but! Even among Nokia, this phone is good. convenient menu, good sound, large screen))) disadvantages: you need to get used to the buttons, they are flat. Touch typing is inconvenient</v>
      </c>
    </row>
    <row r="630" spans="1:9" x14ac:dyDescent="0.3">
      <c r="A630" s="1" t="s">
        <v>61</v>
      </c>
      <c r="B630" s="1" t="s">
        <v>318</v>
      </c>
      <c r="C630" s="1" t="s">
        <v>1461</v>
      </c>
      <c r="D630" s="1" t="s">
        <v>1659</v>
      </c>
      <c r="E630" s="1" t="s">
        <v>1660</v>
      </c>
      <c r="F630" s="1" t="s">
        <v>1661</v>
      </c>
      <c r="G630" s="1" t="s">
        <v>15</v>
      </c>
      <c r="H630" s="1" t="s">
        <v>16</v>
      </c>
      <c r="I630" s="1" t="str">
        <f ca="1">IFERROR(__xludf.DUMMYFUNCTION("GOOGLETRANSLATE(F630, ""auto"", ""en"")
"),"I don’t recommend buying a kettle; it doesn’t turn itself off every once in a while when it boils, and then doesn’t turn on.")</f>
        <v>I don’t recommend buying a kettle; it doesn’t turn itself off every once in a while when it boils, and then doesn’t turn on.</v>
      </c>
    </row>
    <row r="631" spans="1:9" x14ac:dyDescent="0.3">
      <c r="A631" s="1" t="s">
        <v>17</v>
      </c>
      <c r="B631" s="1" t="s">
        <v>18</v>
      </c>
      <c r="C631" s="1" t="s">
        <v>243</v>
      </c>
      <c r="D631" s="1" t="s">
        <v>1662</v>
      </c>
      <c r="E631" s="1" t="s">
        <v>386</v>
      </c>
      <c r="F631" s="1" t="s">
        <v>1663</v>
      </c>
      <c r="G631" s="1" t="s">
        <v>36</v>
      </c>
      <c r="H631" s="1" t="s">
        <v>29</v>
      </c>
      <c r="I631" s="1" t="str">
        <f ca="1">IFERROR(__xludf.DUMMYFUNCTION("GOOGLETRANSLATE(F631, ""auto"", ""en"")
"),"The magician worked for about 6-7 years. In principle a very good machine. there are no cons. It only makes noise if it is installed incorrectly... overall I'm happy!")</f>
        <v>The magician worked for about 6-7 years. In principle a very good machine. there are no cons. It only makes noise if it is installed incorrectly... overall I'm happy!</v>
      </c>
    </row>
    <row r="632" spans="1:9" x14ac:dyDescent="0.3">
      <c r="A632" s="1" t="s">
        <v>206</v>
      </c>
      <c r="B632" s="1" t="s">
        <v>207</v>
      </c>
      <c r="C632" s="1" t="s">
        <v>152</v>
      </c>
      <c r="D632" s="1" t="s">
        <v>114</v>
      </c>
      <c r="E632" s="1" t="s">
        <v>1664</v>
      </c>
      <c r="F632" s="1" t="s">
        <v>1665</v>
      </c>
      <c r="G632" s="1" t="s">
        <v>36</v>
      </c>
      <c r="H632" s="1" t="s">
        <v>29</v>
      </c>
      <c r="I632" s="1" t="str">
        <f ca="1">IFERROR(__xludf.DUMMYFUNCTION("GOOGLETRANSLATE(F632, ""auto"", ""en"")
"),"I bought it and liked it. I wanted to buy a sub right away, but I thought I’ll buy it later. But now I don’t want to at all, the rear speakers are no worse than the subwoofer, my head hurts.")</f>
        <v>I bought it and liked it. I wanted to buy a sub right away, but I thought I’ll buy it later. But now I don’t want to at all, the rear speakers are no worse than the subwoofer, my head hurts.</v>
      </c>
    </row>
    <row r="633" spans="1:9" x14ac:dyDescent="0.3">
      <c r="A633" s="1" t="s">
        <v>369</v>
      </c>
      <c r="B633" s="1" t="s">
        <v>370</v>
      </c>
      <c r="C633" s="1" t="s">
        <v>290</v>
      </c>
      <c r="D633" s="1" t="s">
        <v>64</v>
      </c>
      <c r="E633" s="1" t="s">
        <v>1666</v>
      </c>
      <c r="F633" s="1" t="s">
        <v>1667</v>
      </c>
      <c r="G633" s="1" t="s">
        <v>36</v>
      </c>
      <c r="H633" s="1" t="s">
        <v>29</v>
      </c>
      <c r="I633" s="1" t="str">
        <f ca="1">IFERROR(__xludf.DUMMYFUNCTION("GOOGLETRANSLATE(F633, ""auto"", ""en"")
"),"The stove makes me happy. The burners are of quite different diameters. The oven bakes perfectly. Telescopic guides are very helpful. There are more than enough modes in the oven. Top and bottom heat, baking with ventilation separately and with bottom hea"&amp;"t, grill and other modes. It washes well not only with special products, but also with dishwashing detergent. There is a scraper if food is burnt. Only the dishes should not be aluminum or cast iron. If you use it carefully, the stove will last a long tim"&amp;"e.")</f>
        <v>The stove makes me happy. The burners are of quite different diameters. The oven bakes perfectly. Telescopic guides are very helpful. There are more than enough modes in the oven. Top and bottom heat, baking with ventilation separately and with bottom heat, grill and other modes. It washes well not only with special products, but also with dishwashing detergent. There is a scraper if food is burnt. Only the dishes should not be aluminum or cast iron. If you use it carefully, the stove will last a long time.</v>
      </c>
    </row>
    <row r="634" spans="1:9" x14ac:dyDescent="0.3">
      <c r="A634" s="1" t="s">
        <v>120</v>
      </c>
      <c r="B634" s="1" t="s">
        <v>126</v>
      </c>
      <c r="C634" s="1" t="s">
        <v>122</v>
      </c>
      <c r="D634" s="1" t="s">
        <v>81</v>
      </c>
      <c r="E634" s="1" t="s">
        <v>391</v>
      </c>
      <c r="F634" s="1" t="s">
        <v>1668</v>
      </c>
      <c r="G634" s="1" t="s">
        <v>28</v>
      </c>
      <c r="H634" s="1" t="s">
        <v>29</v>
      </c>
      <c r="I634" s="1" t="str">
        <f ca="1">IFERROR(__xludf.DUMMYFUNCTION("GOOGLETRANSLATE(F634, ""auto"", ""en"")
"),"TV is very good! But in the store, the sellers kept silent about the fact that there is no digital tuner. Plasma is purchased for 10-15 years of operation, and the transition to digital broadcasting threatens with additional costs! Sad.")</f>
        <v>TV is very good! But in the store, the sellers kept silent about the fact that there is no digital tuner. Plasma is purchased for 10-15 years of operation, and the transition to digital broadcasting threatens with additional costs! Sad.</v>
      </c>
    </row>
    <row r="635" spans="1:9" x14ac:dyDescent="0.3">
      <c r="A635" s="1" t="s">
        <v>169</v>
      </c>
      <c r="B635" s="1" t="s">
        <v>170</v>
      </c>
      <c r="C635" s="1" t="s">
        <v>97</v>
      </c>
      <c r="D635" s="1" t="s">
        <v>200</v>
      </c>
      <c r="E635" s="1" t="s">
        <v>1669</v>
      </c>
      <c r="F635" s="1" t="s">
        <v>1670</v>
      </c>
      <c r="G635" s="1" t="s">
        <v>36</v>
      </c>
      <c r="H635" s="1" t="s">
        <v>29</v>
      </c>
      <c r="I635" s="1" t="str">
        <f ca="1">IFERROR(__xludf.DUMMYFUNCTION("GOOGLETRANSLATE(F635, ""auto"", ""en"")
"),"The headphones are super, (BASS is great), take it, you won’t regret it")</f>
        <v>The headphones are super, (BASS is great), take it, you won’t regret it</v>
      </c>
    </row>
    <row r="636" spans="1:9" x14ac:dyDescent="0.3">
      <c r="A636" s="1" t="s">
        <v>61</v>
      </c>
      <c r="B636" s="1" t="s">
        <v>224</v>
      </c>
      <c r="C636" s="1" t="s">
        <v>85</v>
      </c>
      <c r="D636" s="1" t="s">
        <v>934</v>
      </c>
      <c r="E636" s="1" t="s">
        <v>1671</v>
      </c>
      <c r="F636" s="1" t="s">
        <v>1672</v>
      </c>
      <c r="G636" s="1" t="s">
        <v>36</v>
      </c>
      <c r="H636" s="1" t="s">
        <v>29</v>
      </c>
      <c r="I636" s="1" t="str">
        <f ca="1">IFERROR(__xludf.DUMMYFUNCTION("GOOGLETRANSLATE(F636, ""auto"", ""en"")
"),"Excellent juicer. We planned to buy a juicer from another manufacturer, but the consultant convinced us otherwise. There really is a lot of plastic, or rather all the juice. plastic. We took Bork and are happy! Green apples, firm pears, carrots, everythin"&amp;"g is amazing, the pulp is dry!!! I couldn't even squeeze out a drop. I was surprised! The juice turns out delicious, and most importantly, quickly and healthy. To prevent pulp from getting into the glass, use the jug that comes with it. There is a special"&amp;" lid, all the foam falls on it, and pure juice is in your glass. (a glass of juice - 200 ml, there is only 3 ml of foam on the surface. This is nonsense.) Citrus fruits - also squeezes well, the pulp is certainly not as dry as from apples, but it suits me"&amp;" quite well. There is no need to run it a second time. Again, you can make it with pulp, or you can do it without. Washing is also not a hassle. I rinsed it with water, wiped it with a brush and everything was clean. Powerful, stylish, reliable. I recomme"&amp;"nd it. :)")</f>
        <v>Excellent juicer. We planned to buy a juicer from another manufacturer, but the consultant convinced us otherwise. There really is a lot of plastic, or rather all the juice. plastic. We took Bork and are happy! Green apples, firm pears, carrots, everything is amazing, the pulp is dry!!! I couldn't even squeeze out a drop. I was surprised! The juice turns out delicious, and most importantly, quickly and healthy. To prevent pulp from getting into the glass, use the jug that comes with it. There is a special lid, all the foam falls on it, and pure juice is in your glass. (a glass of juice - 200 ml, there is only 3 ml of foam on the surface. This is nonsense.) Citrus fruits - also squeezes well, the pulp is certainly not as dry as from apples, but it suits me quite well. There is no need to run it a second time. Again, you can make it with pulp, or you can do it without. Washing is also not a hassle. I rinsed it with water, wiped it with a brush and everything was clean. Powerful, stylish, reliable. I recommend it. :)</v>
      </c>
    </row>
    <row r="637" spans="1:9" x14ac:dyDescent="0.3">
      <c r="A637" s="1" t="s">
        <v>149</v>
      </c>
      <c r="B637" s="1" t="s">
        <v>423</v>
      </c>
      <c r="C637" s="1" t="s">
        <v>424</v>
      </c>
      <c r="D637" s="1" t="s">
        <v>545</v>
      </c>
      <c r="E637" s="1" t="s">
        <v>1673</v>
      </c>
      <c r="F637" s="1" t="s">
        <v>1674</v>
      </c>
      <c r="G637" s="1" t="s">
        <v>36</v>
      </c>
      <c r="H637" s="1" t="s">
        <v>29</v>
      </c>
      <c r="I637" s="1" t="str">
        <f ca="1">IFERROR(__xludf.DUMMYFUNCTION("GOOGLETRANSLATE(F637, ""auto"", ""en"")
"),"Excellent vacuum cleaner. It copes with cleaning floors 5 points. Easy to assemble/disassemble, easy to clean. After cleaning, the floors are immediately dry and can be walked on. It collects dog hair perfectly. During the repair, it simply helped me out;"&amp;" not a single rag will collect dirt so cleanly. It washes both linoleum and laminate (it can also handle parquet). The set includes detergents for floors and carpets, packages of 1 and 0.5 liters. You can pour in any other product (whatever is in the hous"&amp;"e, that’s what I fill in).   The water supply tube came out of the floor brush. I glued it with tape and it holds. The instructions do not explain well how to properly turn on/off the water supply. I learned from my own experience: first turn off the pump"&amp;", then the switch on the brush, then collect water from the floor, and turn it on the other way around - first the brush, then the pump, then wet the floor.")</f>
        <v>Excellent vacuum cleaner. It copes with cleaning floors 5 points. Easy to assemble/disassemble, easy to clean. After cleaning, the floors are immediately dry and can be walked on. It collects dog hair perfectly. During the repair, it simply helped me out; not a single rag will collect dirt so cleanly. It washes both linoleum and laminate (it can also handle parquet). The set includes detergents for floors and carpets, packages of 1 and 0.5 liters. You can pour in any other product (whatever is in the house, that’s what I fill in).   The water supply tube came out of the floor brush. I glued it with tape and it holds. The instructions do not explain well how to properly turn on/off the water supply. I learned from my own experience: first turn off the pump, then the switch on the brush, then collect water from the floor, and turn it on the other way around - first the brush, then the pump, then wet the floor.</v>
      </c>
    </row>
    <row r="638" spans="1:9" x14ac:dyDescent="0.3">
      <c r="A638" s="1" t="s">
        <v>149</v>
      </c>
      <c r="B638" s="1" t="s">
        <v>576</v>
      </c>
      <c r="C638" s="1" t="s">
        <v>69</v>
      </c>
      <c r="D638" s="1" t="s">
        <v>12</v>
      </c>
      <c r="E638" s="1" t="s">
        <v>1675</v>
      </c>
      <c r="F638" s="1" t="s">
        <v>1676</v>
      </c>
      <c r="G638" s="1" t="s">
        <v>36</v>
      </c>
      <c r="H638" s="1" t="s">
        <v>29</v>
      </c>
      <c r="I638" s="1" t="str">
        <f ca="1">IFERROR(__xludf.DUMMYFUNCTION("GOOGLETRANSLATE(F638, ""auto"", ""en"")
"),"We were very pleased with the vacuum cleaner, but it burned out (first the cord was changed, and then it burned out. Although we don’t have carpets or upholstered furniture. The children’s sofa is leather and the small rug is lint-free, that is, it didn’t"&amp;" have a lot of work. I won’t buy the same one, because now I’m not sure of its durability. It worked for 3 years. In comparison, a Samsung brand vacuum cleaner worked for us for 10 years) I’ll probably buy the same one.")</f>
        <v>We were very pleased with the vacuum cleaner, but it burned out (first the cord was changed, and then it burned out. Although we don’t have carpets or upholstered furniture. The children’s sofa is leather and the small rug is lint-free, that is, it didn’t have a lot of work. I won’t buy the same one, because now I’m not sure of its durability. It worked for 3 years. In comparison, a Samsung brand vacuum cleaner worked for us for 10 years) I’ll probably buy the same one.</v>
      </c>
    </row>
    <row r="639" spans="1:9" x14ac:dyDescent="0.3">
      <c r="A639" s="1" t="s">
        <v>238</v>
      </c>
      <c r="B639" s="1" t="s">
        <v>276</v>
      </c>
      <c r="C639" s="1" t="s">
        <v>1677</v>
      </c>
      <c r="D639" s="1" t="s">
        <v>1431</v>
      </c>
      <c r="E639" s="1" t="s">
        <v>1678</v>
      </c>
      <c r="F639" s="1" t="s">
        <v>1679</v>
      </c>
      <c r="G639" s="1" t="s">
        <v>15</v>
      </c>
      <c r="H639" s="1" t="s">
        <v>16</v>
      </c>
      <c r="I639" s="1" t="str">
        <f ca="1">IFERROR(__xludf.DUMMYFUNCTION("GOOGLETRANSLATE(F639, ""auto"", ""en"")
"),"I liked this cold drink. Roomy, color matches, etc. etc. But it makes a lot of noise! During the day, of course, this noise is not noticeable, but at night it’s just terrible, it’s cackling, buzzing and everything else. Extremely dissatisfied with the pur"&amp;"chase. The old one was quieter...")</f>
        <v>I liked this cold drink. Roomy, color matches, etc. etc. But it makes a lot of noise! During the day, of course, this noise is not noticeable, but at night it’s just terrible, it’s cackling, buzzing and everything else. Extremely dissatisfied with the purchase. The old one was quieter...</v>
      </c>
    </row>
    <row r="640" spans="1:9" x14ac:dyDescent="0.3">
      <c r="A640" s="1" t="s">
        <v>732</v>
      </c>
      <c r="B640" s="1" t="s">
        <v>733</v>
      </c>
      <c r="C640" s="1" t="s">
        <v>1680</v>
      </c>
      <c r="D640" s="1" t="s">
        <v>1681</v>
      </c>
      <c r="E640" s="1" t="s">
        <v>1682</v>
      </c>
      <c r="F640" s="1" t="s">
        <v>1683</v>
      </c>
      <c r="G640" s="1" t="s">
        <v>36</v>
      </c>
      <c r="H640" s="1" t="s">
        <v>29</v>
      </c>
      <c r="I640" s="1" t="str">
        <f ca="1">IFERROR(__xludf.DUMMYFUNCTION("GOOGLETRANSLATE(F640, ""auto"", ""en"")
"),"I spent a long time choosing between http://www.mvideo.ru/product_review/30011296.html Still, I made the right choice)) I was very pleased with the neon lighting, if you can call it that, if anything you can turn it off, the monitor is easily mounted on t"&amp;"he wall, of course I had a little doubt about the ViewSonic brand, but I didn’t regret what I took, the monitor is super) The picture quality is excellent")</f>
        <v>I spent a long time choosing between http://www.mvideo.ru/product_review/30011296.html Still, I made the right choice)) I was very pleased with the neon lighting, if you can call it that, if anything you can turn it off, the monitor is easily mounted on the wall, of course I had a little doubt about the ViewSonic brand, but I didn’t regret what I took, the monitor is super) The picture quality is excellent</v>
      </c>
    </row>
    <row r="641" spans="1:9" x14ac:dyDescent="0.3">
      <c r="A641" s="1" t="s">
        <v>206</v>
      </c>
      <c r="B641" s="1" t="s">
        <v>207</v>
      </c>
      <c r="C641" s="1" t="s">
        <v>45</v>
      </c>
      <c r="D641" s="1" t="s">
        <v>33</v>
      </c>
      <c r="E641" s="1" t="s">
        <v>285</v>
      </c>
      <c r="F641" s="1" t="s">
        <v>1684</v>
      </c>
      <c r="G641" s="1" t="s">
        <v>28</v>
      </c>
      <c r="H641" s="1" t="s">
        <v>29</v>
      </c>
      <c r="I641" s="1" t="str">
        <f ca="1">IFERROR(__xludf.DUMMYFUNCTION("GOOGLETRANSLATE(F641, ""auto"", ""en"")
"),"I purchased it on Thursday and installed it in my PASSAT b3 (sedan). Two minuses: there is no wire from the amplifier to the subwoofer, the bass depth is not very good. No, of course it bangs well, but the sound depth is not very good. Although, in princi"&amp;"ple, for that kind of money, and even a set... A solid four!")</f>
        <v>I purchased it on Thursday and installed it in my PASSAT b3 (sedan). Two minuses: there is no wire from the amplifier to the subwoofer, the bass depth is not very good. No, of course it bangs well, but the sound depth is not very good. Although, in principle, for that kind of money, and even a set... A solid four!</v>
      </c>
    </row>
    <row r="642" spans="1:9" x14ac:dyDescent="0.3">
      <c r="A642" s="1" t="s">
        <v>61</v>
      </c>
      <c r="B642" s="1" t="s">
        <v>977</v>
      </c>
      <c r="C642" s="1" t="s">
        <v>63</v>
      </c>
      <c r="D642" s="1" t="s">
        <v>1685</v>
      </c>
      <c r="E642" s="1" t="s">
        <v>1686</v>
      </c>
      <c r="F642" s="1" t="s">
        <v>1687</v>
      </c>
      <c r="G642" s="1" t="s">
        <v>36</v>
      </c>
      <c r="H642" s="1" t="s">
        <v>29</v>
      </c>
      <c r="I642" s="1" t="str">
        <f ca="1">IFERROR(__xludf.DUMMYFUNCTION("GOOGLETRANSLATE(F642, ""auto"", ""en"")
"),"It whips and kneads well, I use it almost every day. It is always on the table. It is very useful that there is a lot of power, although the lower speed is still not low, that is, it is still impossible to simply mix it slightly, all speeds are powerful. "&amp;"The bowl is large, you can immediately knead a large amount of dough, etc.")</f>
        <v>It whips and kneads well, I use it almost every day. It is always on the table. It is very useful that there is a lot of power, although the lower speed is still not low, that is, it is still impossible to simply mix it slightly, all speeds are powerful. The bowl is large, you can immediately knead a large amount of dough, etc.</v>
      </c>
    </row>
    <row r="643" spans="1:9" x14ac:dyDescent="0.3">
      <c r="A643" s="1" t="s">
        <v>169</v>
      </c>
      <c r="B643" s="1" t="s">
        <v>170</v>
      </c>
      <c r="C643" s="1" t="s">
        <v>69</v>
      </c>
      <c r="D643" s="1" t="s">
        <v>474</v>
      </c>
      <c r="E643" s="1" t="s">
        <v>1688</v>
      </c>
      <c r="F643" s="1" t="s">
        <v>1689</v>
      </c>
      <c r="G643" s="1" t="s">
        <v>15</v>
      </c>
      <c r="H643" s="1" t="s">
        <v>16</v>
      </c>
      <c r="I643" s="1" t="str">
        <f ca="1">IFERROR(__xludf.DUMMYFUNCTION("GOOGLETRANSLATE(F643, ""auto"", ""en"")
"),"At first I really liked the headphones, they were comfortable, the sound was good.  But six months later, the wire fell out of my ear, and now they only work on one ear.  In general, I initially liked the wire, it was soft and rubberized, but after six mo"&amp;"nths cracks began to appear in different places, and then everything began to fall apart.")</f>
        <v>At first I really liked the headphones, they were comfortable, the sound was good.  But six months later, the wire fell out of my ear, and now they only work on one ear.  In general, I initially liked the wire, it was soft and rubberized, but after six months cracks began to appear in different places, and then everything began to fall apart.</v>
      </c>
    </row>
    <row r="644" spans="1:9" x14ac:dyDescent="0.3">
      <c r="A644" s="1" t="s">
        <v>373</v>
      </c>
      <c r="B644" s="1" t="s">
        <v>374</v>
      </c>
      <c r="C644" s="1" t="s">
        <v>159</v>
      </c>
      <c r="D644" s="1" t="s">
        <v>471</v>
      </c>
      <c r="E644" s="1" t="s">
        <v>1690</v>
      </c>
      <c r="F644" s="1" t="s">
        <v>1691</v>
      </c>
      <c r="G644" s="1" t="s">
        <v>49</v>
      </c>
      <c r="H644" s="1" t="s">
        <v>16</v>
      </c>
      <c r="I644" s="1" t="str">
        <f ca="1">IFERROR(__xludf.DUMMYFUNCTION("GOOGLETRANSLATE(F644, ""auto"", ""en"")
"),"Maybe we were so lucky, but it broke after 3 months. Although even before this we were not delighted - it doesn’t wash well, at first we had to wash everything out, then we experimentally found out that the filter was not fully installed and all the resid"&amp;"ues settled back on the dishes in fine particles. Then they tightened the filter, but still food residue remains on the dishes. And now it's completely broken. We want to return it and get another brand. The washing and drying classes may be lower, but Ge"&amp;"rmany is Germany.")</f>
        <v>Maybe we were so lucky, but it broke after 3 months. Although even before this we were not delighted - it doesn’t wash well, at first we had to wash everything out, then we experimentally found out that the filter was not fully installed and all the residues settled back on the dishes in fine particles. Then they tightened the filter, but still food residue remains on the dishes. And now it's completely broken. We want to return it and get another brand. The washing and drying classes may be lower, but Germany is Germany.</v>
      </c>
    </row>
    <row r="645" spans="1:9" x14ac:dyDescent="0.3">
      <c r="A645" s="1" t="s">
        <v>17</v>
      </c>
      <c r="B645" s="1" t="s">
        <v>325</v>
      </c>
      <c r="C645" s="1" t="s">
        <v>326</v>
      </c>
      <c r="D645" s="1" t="s">
        <v>280</v>
      </c>
      <c r="E645" s="1" t="s">
        <v>1692</v>
      </c>
      <c r="F645" s="1" t="s">
        <v>1693</v>
      </c>
      <c r="G645" s="1" t="s">
        <v>28</v>
      </c>
      <c r="H645" s="1" t="s">
        <v>29</v>
      </c>
      <c r="I645" s="1" t="str">
        <f ca="1">IFERROR(__xludf.DUMMYFUNCTION("GOOGLETRANSLATE(F645, ""auto"", ""en"")
"),"Price")</f>
        <v>Price</v>
      </c>
    </row>
    <row r="646" spans="1:9" x14ac:dyDescent="0.3">
      <c r="A646" s="1" t="s">
        <v>732</v>
      </c>
      <c r="B646" s="1" t="s">
        <v>733</v>
      </c>
      <c r="C646" s="1" t="s">
        <v>80</v>
      </c>
      <c r="D646" s="1" t="s">
        <v>1694</v>
      </c>
      <c r="E646" s="1" t="s">
        <v>1695</v>
      </c>
      <c r="F646" s="1" t="s">
        <v>1696</v>
      </c>
      <c r="G646" s="1" t="s">
        <v>28</v>
      </c>
      <c r="H646" s="1" t="s">
        <v>29</v>
      </c>
      <c r="I646" s="1" t="str">
        <f ca="1">IFERROR(__xludf.DUMMYFUNCTION("GOOGLETRANSLATE(F646, ""auto"", ""en"")
"),"The monitor is beautiful, cheap (I got it for 5600 on sale), but I bought it in 2009, I came across a copy that sometimes whistled terribly, and it was repaired under warranty.")</f>
        <v>The monitor is beautiful, cheap (I got it for 5600 on sale), but I bought it in 2009, I came across a copy that sometimes whistled terribly, and it was repaired under warranty.</v>
      </c>
    </row>
    <row r="647" spans="1:9" x14ac:dyDescent="0.3">
      <c r="A647" s="1" t="s">
        <v>169</v>
      </c>
      <c r="B647" s="1" t="s">
        <v>170</v>
      </c>
      <c r="C647" s="1" t="s">
        <v>97</v>
      </c>
      <c r="D647" s="1" t="s">
        <v>1697</v>
      </c>
      <c r="E647" s="1" t="s">
        <v>594</v>
      </c>
      <c r="F647" s="1" t="s">
        <v>1698</v>
      </c>
      <c r="G647" s="1" t="s">
        <v>36</v>
      </c>
      <c r="H647" s="1" t="s">
        <v>29</v>
      </c>
      <c r="I647" s="1" t="str">
        <f ca="1">IFERROR(__xludf.DUMMYFUNCTION("GOOGLETRANSLATE(F647, ""auto"", ""en"")
"),"Personally, these headphones lasted me 4 years. They broke recently, so I'm going to buy exactly the same ones.  Their sound quality is very acceptable, the bass is heard quite well. And, by the way, another advantage is that the wire is thicker than that"&amp;" of other Sony headphones, and other brands as well, which is probably why the MDR-E818 are more durable.")</f>
        <v>Personally, these headphones lasted me 4 years. They broke recently, so I'm going to buy exactly the same ones.  Their sound quality is very acceptable, the bass is heard quite well. And, by the way, another advantage is that the wire is thicker than that of other Sony headphones, and other brands as well, which is probably why the MDR-E818 are more durable.</v>
      </c>
    </row>
    <row r="648" spans="1:9" x14ac:dyDescent="0.3">
      <c r="A648" s="1" t="s">
        <v>149</v>
      </c>
      <c r="B648" s="1" t="s">
        <v>155</v>
      </c>
      <c r="C648" s="1" t="s">
        <v>159</v>
      </c>
      <c r="D648" s="1" t="s">
        <v>1699</v>
      </c>
      <c r="E648" s="1" t="s">
        <v>1700</v>
      </c>
      <c r="F648" s="1" t="s">
        <v>1701</v>
      </c>
      <c r="G648" s="1" t="s">
        <v>36</v>
      </c>
      <c r="H648" s="1" t="s">
        <v>29</v>
      </c>
      <c r="I648" s="1" t="str">
        <f ca="1">IFERROR(__xludf.DUMMYFUNCTION("GOOGLETRANSLATE(F648, ""auto"", ""en"")
"),"very satisfied")</f>
        <v>very satisfied</v>
      </c>
    </row>
    <row r="649" spans="1:9" x14ac:dyDescent="0.3">
      <c r="A649" s="1" t="s">
        <v>43</v>
      </c>
      <c r="B649" s="1" t="s">
        <v>219</v>
      </c>
      <c r="C649" s="1" t="s">
        <v>665</v>
      </c>
      <c r="D649" s="1" t="s">
        <v>52</v>
      </c>
      <c r="E649" s="1" t="s">
        <v>1702</v>
      </c>
      <c r="F649" s="1" t="s">
        <v>1703</v>
      </c>
      <c r="G649" s="1" t="s">
        <v>36</v>
      </c>
      <c r="H649" s="1" t="s">
        <v>29</v>
      </c>
      <c r="I649" s="1" t="str">
        <f ca="1">IFERROR(__xludf.DUMMYFUNCTION("GOOGLETRANSLATE(F649, ""auto"", ""en"")
"),"Heats water very quickly")</f>
        <v>Heats water very quickly</v>
      </c>
    </row>
    <row r="650" spans="1:9" x14ac:dyDescent="0.3">
      <c r="A650" s="1" t="s">
        <v>169</v>
      </c>
      <c r="B650" s="1" t="s">
        <v>170</v>
      </c>
      <c r="C650" s="1" t="s">
        <v>193</v>
      </c>
      <c r="D650" s="1" t="s">
        <v>139</v>
      </c>
      <c r="E650" s="1" t="s">
        <v>53</v>
      </c>
      <c r="F650" s="1" t="s">
        <v>1704</v>
      </c>
      <c r="G650" s="1" t="s">
        <v>36</v>
      </c>
      <c r="H650" s="1" t="s">
        <v>29</v>
      </c>
      <c r="I650" s="1" t="str">
        <f ca="1">IFERROR(__xludf.DUMMYFUNCTION("GOOGLETRANSLATE(F650, ""auto"", ""en"")
"),"My girlfriend just gave me this wonderful thing! I’ll say right away, the Germans understand music. The sound is just WOW!!! Within 2000 wooden ones, this is just a great choice))) I recommend it to all music lovers!")</f>
        <v>My girlfriend just gave me this wonderful thing! I’ll say right away, the Germans understand music. The sound is just WOW!!! Within 2000 wooden ones, this is just a great choice))) I recommend it to all music lovers!</v>
      </c>
    </row>
    <row r="651" spans="1:9" x14ac:dyDescent="0.3">
      <c r="A651" s="1" t="s">
        <v>211</v>
      </c>
      <c r="B651" s="1" t="s">
        <v>212</v>
      </c>
      <c r="C651" s="1" t="s">
        <v>101</v>
      </c>
      <c r="D651" s="1" t="s">
        <v>166</v>
      </c>
      <c r="E651" s="1" t="s">
        <v>1705</v>
      </c>
      <c r="F651" s="1" t="s">
        <v>1706</v>
      </c>
      <c r="G651" s="1" t="s">
        <v>15</v>
      </c>
      <c r="H651" s="1" t="s">
        <v>16</v>
      </c>
      <c r="I651" s="1" t="str">
        <f ca="1">IFERROR(__xludf.DUMMYFUNCTION("GOOGLETRANSLATE(F651, ""auto"", ""en"")
"),"It pulls hair out terribly! The feeling is terribly unpleasant!! I bought it half a year ago and hardly ever use it. I made curls, they hold well, and they turn out smooth, but you have to endure it because the hair really pulls terribly, and this happens"&amp;" because the plates are not evenly pressed to each other. On one side there is a gap. Overall terrible. And by the way, the button really switches constantly ((")</f>
        <v>It pulls hair out terribly! The feeling is terribly unpleasant!! I bought it half a year ago and hardly ever use it. I made curls, they hold well, and they turn out smooth, but you have to endure it because the hair really pulls terribly, and this happens because the plates are not evenly pressed to each other. On one side there is a gap. Overall terrible. And by the way, the button really switches constantly ((</v>
      </c>
    </row>
    <row r="652" spans="1:9" x14ac:dyDescent="0.3">
      <c r="A652" s="1" t="s">
        <v>30</v>
      </c>
      <c r="B652" s="1" t="s">
        <v>50</v>
      </c>
      <c r="C652" s="1" t="s">
        <v>694</v>
      </c>
      <c r="D652" s="1" t="s">
        <v>152</v>
      </c>
      <c r="E652" s="1" t="s">
        <v>1707</v>
      </c>
      <c r="F652" s="1" t="s">
        <v>1708</v>
      </c>
      <c r="G652" s="1" t="s">
        <v>36</v>
      </c>
      <c r="H652" s="1" t="s">
        <v>29</v>
      </c>
      <c r="I652" s="1" t="str">
        <f ca="1">IFERROR(__xludf.DUMMYFUNCTION("GOOGLETRANSLATE(F652, ""auto"", ""en"")
"),"The laptop justifies its price by 110%. After purchase, I immediately added 2GB of memory. Problems arose that were quickly resolved by flashing the BIOS (the firmware is available on the Lenova website). The battery of the laptop is weak, but this model "&amp;"is compatible with batteries from Lenovo S9 and, if desired, you can buy a 6 or even 9-cell battery (4 and 6 hours of operation, respectively).")</f>
        <v>The laptop justifies its price by 110%. After purchase, I immediately added 2GB of memory. Problems arose that were quickly resolved by flashing the BIOS (the firmware is available on the Lenova website). The battery of the laptop is weak, but this model is compatible with batteries from Lenovo S9 and, if desired, you can buy a 6 or even 9-cell battery (4 and 6 hours of operation, respectively).</v>
      </c>
    </row>
    <row r="653" spans="1:9" x14ac:dyDescent="0.3">
      <c r="A653" s="1" t="s">
        <v>61</v>
      </c>
      <c r="B653" s="1" t="s">
        <v>145</v>
      </c>
      <c r="C653" s="1" t="s">
        <v>246</v>
      </c>
      <c r="D653" s="1" t="s">
        <v>335</v>
      </c>
      <c r="E653" s="1" t="s">
        <v>1709</v>
      </c>
      <c r="F653" s="1" t="s">
        <v>1710</v>
      </c>
      <c r="G653" s="1" t="s">
        <v>36</v>
      </c>
      <c r="H653" s="1" t="s">
        <v>29</v>
      </c>
      <c r="I653" s="1" t="str">
        <f ca="1">IFERROR(__xludf.DUMMYFUNCTION("GOOGLETRANSLATE(F653, ""auto"", ""en"")
"),"I bought it because of the knife. It sharpens knives so-so, but it will do, and the bottle opener is something! very convenient and fast! There are no more cut fingers, the edges of the can bend well, and sometimes even piercing the can before opening is "&amp;"difficult, but here there are no worries, no hassle! very pleased. I advise")</f>
        <v>I bought it because of the knife. It sharpens knives so-so, but it will do, and the bottle opener is something! very convenient and fast! There are no more cut fingers, the edges of the can bend well, and sometimes even piercing the can before opening is difficult, but here there are no worries, no hassle! very pleased. I advise</v>
      </c>
    </row>
    <row r="654" spans="1:9" x14ac:dyDescent="0.3">
      <c r="A654" s="1" t="s">
        <v>61</v>
      </c>
      <c r="B654" s="1" t="s">
        <v>318</v>
      </c>
      <c r="C654" s="1" t="s">
        <v>246</v>
      </c>
      <c r="D654" s="1" t="s">
        <v>308</v>
      </c>
      <c r="E654" s="1" t="s">
        <v>590</v>
      </c>
      <c r="F654" s="1" t="s">
        <v>1711</v>
      </c>
      <c r="G654" s="1" t="s">
        <v>15</v>
      </c>
      <c r="H654" s="1" t="s">
        <v>16</v>
      </c>
      <c r="I654" s="1" t="str">
        <f ca="1">IFERROR(__xludf.DUMMYFUNCTION("GOOGLETRANSLATE(F654, ""auto"", ""en"")
"),"Less than a month after purchasing the kettle, the lid fell off and rust appeared on the bottom. Rust - it turned out to be good, because... Under warranty, a collapsed cover means mechanical damage that is not subject to warranty. That's why they returne"&amp;"d it due to rust. Hurray, hurray hurray, I didn’t like him right away, my husband insisted.")</f>
        <v>Less than a month after purchasing the kettle, the lid fell off and rust appeared on the bottom. Rust - it turned out to be good, because... Under warranty, a collapsed cover means mechanical damage that is not subject to warranty. That's why they returned it due to rust. Hurray, hurray hurray, I didn’t like him right away, my husband insisted.</v>
      </c>
    </row>
    <row r="655" spans="1:9" x14ac:dyDescent="0.3">
      <c r="A655" s="1" t="s">
        <v>811</v>
      </c>
      <c r="B655" s="1" t="s">
        <v>1712</v>
      </c>
      <c r="C655" s="1" t="s">
        <v>1645</v>
      </c>
      <c r="D655" s="1" t="s">
        <v>1713</v>
      </c>
      <c r="E655" s="1" t="s">
        <v>118</v>
      </c>
      <c r="F655" s="1" t="s">
        <v>1714</v>
      </c>
      <c r="G655" s="1" t="s">
        <v>36</v>
      </c>
      <c r="H655" s="1" t="s">
        <v>29</v>
      </c>
      <c r="I655" s="1" t="str">
        <f ca="1">IFERROR(__xludf.DUMMYFUNCTION("GOOGLETRANSLATE(F655, ""auto"", ""en"")
"),"The menu is Russified! I bought it for myself to “gut” it. For little money - a display and a board with a card reader and USB. Let's reflash this gadget. :)")</f>
        <v>The menu is Russified! I bought it for myself to “gut” it. For little money - a display and a board with a card reader and USB. Let's reflash this gadget. :)</v>
      </c>
    </row>
    <row r="656" spans="1:9" x14ac:dyDescent="0.3">
      <c r="A656" s="1" t="s">
        <v>169</v>
      </c>
      <c r="B656" s="1" t="s">
        <v>170</v>
      </c>
      <c r="C656" s="1" t="s">
        <v>122</v>
      </c>
      <c r="D656" s="1" t="s">
        <v>39</v>
      </c>
      <c r="E656" s="1" t="s">
        <v>1039</v>
      </c>
      <c r="F656" s="1" t="s">
        <v>1715</v>
      </c>
      <c r="G656" s="1" t="s">
        <v>36</v>
      </c>
      <c r="H656" s="1" t="s">
        <v>29</v>
      </c>
      <c r="I656" s="1" t="str">
        <f ca="1">IFERROR(__xludf.DUMMYFUNCTION("GOOGLETRANSLATE(F656, ""auto"", ""en"")
"),"The headphones are very good, the sound is perfect.")</f>
        <v>The headphones are very good, the sound is perfect.</v>
      </c>
    </row>
    <row r="657" spans="1:9" x14ac:dyDescent="0.3">
      <c r="A657" s="1" t="s">
        <v>43</v>
      </c>
      <c r="B657" s="1" t="s">
        <v>1616</v>
      </c>
      <c r="C657" s="1" t="s">
        <v>257</v>
      </c>
      <c r="D657" s="1" t="s">
        <v>139</v>
      </c>
      <c r="E657" s="1" t="s">
        <v>1657</v>
      </c>
      <c r="F657" s="1" t="s">
        <v>1716</v>
      </c>
      <c r="G657" s="1" t="s">
        <v>36</v>
      </c>
      <c r="H657" s="1" t="s">
        <v>29</v>
      </c>
      <c r="I657" s="1" t="str">
        <f ca="1">IFERROR(__xludf.DUMMYFUNCTION("GOOGLETRANSLATE(F657, ""auto"", ""en"")
"),"The air conditioner is good - I liked the low power, but the child will not catch a cold. And the noise is tolerable - the child sleeps under it.")</f>
        <v>The air conditioner is good - I liked the low power, but the child will not catch a cold. And the noise is tolerable - the child sleeps under it.</v>
      </c>
    </row>
    <row r="658" spans="1:9" x14ac:dyDescent="0.3">
      <c r="A658" s="1" t="s">
        <v>89</v>
      </c>
      <c r="B658" s="1" t="s">
        <v>90</v>
      </c>
      <c r="C658" s="1" t="s">
        <v>63</v>
      </c>
      <c r="D658" s="1" t="s">
        <v>46</v>
      </c>
      <c r="E658" s="1" t="s">
        <v>1490</v>
      </c>
      <c r="F658" s="1" t="s">
        <v>1717</v>
      </c>
      <c r="G658" s="1" t="s">
        <v>36</v>
      </c>
      <c r="H658" s="1" t="s">
        <v>29</v>
      </c>
      <c r="I658" s="1" t="str">
        <f ca="1">IFERROR(__xludf.DUMMYFUNCTION("GOOGLETRANSLATE(F658, ""auto"", ""en"")
"),"Fast grinding, easy maintenance, durability")</f>
        <v>Fast grinding, easy maintenance, durability</v>
      </c>
    </row>
    <row r="659" spans="1:9" x14ac:dyDescent="0.3">
      <c r="A659" s="1" t="s">
        <v>17</v>
      </c>
      <c r="B659" s="1" t="s">
        <v>18</v>
      </c>
      <c r="C659" s="1" t="s">
        <v>19</v>
      </c>
      <c r="D659" s="1" t="s">
        <v>295</v>
      </c>
      <c r="E659" s="1" t="s">
        <v>1718</v>
      </c>
      <c r="F659" s="1" t="s">
        <v>1719</v>
      </c>
      <c r="G659" s="1" t="s">
        <v>49</v>
      </c>
      <c r="H659" s="1" t="s">
        <v>16</v>
      </c>
      <c r="I659" s="1" t="str">
        <f ca="1">IFERROR(__xludf.DUMMYFUNCTION("GOOGLETRANSLATE(F659, ""auto"", ""en"")
"),"We bought the car in March 2012, less than 2 years later the engine died!!! Diagnostics showed a factory defect! The engine cannot be repaired, and new engines of this kind are not yet produced, since the machine is new and so far few have apparently brok"&amp;"en down! In general, you will have to take another machine, but what to do with this one?! Money down the drain! and not a little money!!!")</f>
        <v>We bought the car in March 2012, less than 2 years later the engine died!!! Diagnostics showed a factory defect! The engine cannot be repaired, and new engines of this kind are not yet produced, since the machine is new and so far few have apparently broken down! In general, you will have to take another machine, but what to do with this one?! Money down the drain! and not a little money!!!</v>
      </c>
    </row>
    <row r="660" spans="1:9" x14ac:dyDescent="0.3">
      <c r="A660" s="1" t="s">
        <v>211</v>
      </c>
      <c r="B660" s="1" t="s">
        <v>212</v>
      </c>
      <c r="C660" s="1" t="s">
        <v>63</v>
      </c>
      <c r="D660" s="1" t="s">
        <v>1055</v>
      </c>
      <c r="E660" s="1" t="s">
        <v>704</v>
      </c>
      <c r="F660" s="1" t="s">
        <v>1720</v>
      </c>
      <c r="G660" s="1" t="s">
        <v>36</v>
      </c>
      <c r="H660" s="1" t="s">
        <v>29</v>
      </c>
      <c r="I660" s="1" t="str">
        <f ca="1">IFERROR(__xludf.DUMMYFUNCTION("GOOGLETRANSLATE(F660, ""auto"", ""en"")
"),"Lightweight, compact, inexpensive. I used it for 7 years, almost every day. Just the other day it burned down. I think 7 years of trouble free service says something. Now I’ll go to the store and buy this one, I won’t even look at other hair dryers)))")</f>
        <v>Lightweight, compact, inexpensive. I used it for 7 years, almost every day. Just the other day it burned down. I think 7 years of trouble free service says something. Now I’ll go to the store and buy this one, I won’t even look at other hair dryers)))</v>
      </c>
    </row>
    <row r="661" spans="1:9" x14ac:dyDescent="0.3">
      <c r="A661" s="1" t="s">
        <v>43</v>
      </c>
      <c r="B661" s="1" t="s">
        <v>303</v>
      </c>
      <c r="C661" s="1" t="s">
        <v>1721</v>
      </c>
      <c r="D661" s="1" t="s">
        <v>420</v>
      </c>
      <c r="E661" s="1" t="s">
        <v>504</v>
      </c>
      <c r="F661" s="1" t="s">
        <v>1722</v>
      </c>
      <c r="G661" s="1" t="s">
        <v>36</v>
      </c>
      <c r="H661" s="1" t="s">
        <v>29</v>
      </c>
      <c r="I661" s="1" t="str">
        <f ca="1">IFERROR(__xludf.DUMMYFUNCTION("GOOGLETRANSLATE(F661, ""auto"", ""en"")
"),"A wonderful device. From the “set it and forget it” category)) When purchasing, there was no fastening included, but it is not needed, because This water heater can be hung literally on two nails.")</f>
        <v>A wonderful device. From the “set it and forget it” category)) When purchasing, there was no fastening included, but it is not needed, because This water heater can be hung literally on two nails.</v>
      </c>
    </row>
    <row r="662" spans="1:9" x14ac:dyDescent="0.3">
      <c r="A662" s="1" t="s">
        <v>30</v>
      </c>
      <c r="B662" s="1" t="s">
        <v>50</v>
      </c>
      <c r="C662" s="1" t="s">
        <v>189</v>
      </c>
      <c r="D662" s="1" t="s">
        <v>417</v>
      </c>
      <c r="E662" s="1" t="s">
        <v>1723</v>
      </c>
      <c r="F662" s="1" t="s">
        <v>1724</v>
      </c>
      <c r="G662" s="1" t="s">
        <v>36</v>
      </c>
      <c r="H662" s="1" t="s">
        <v>29</v>
      </c>
      <c r="I662" s="1" t="str">
        <f ca="1">IFERROR(__xludf.DUMMYFUNCTION("GOOGLETRANSLATE(F662, ""auto"", ""en"")
"),"The laptop is excellent, suitable for games and work, I agree. But it’s also not possible to upgrade, and the Aero functions are very necessary(")</f>
        <v>The laptop is excellent, suitable for games and work, I agree. But it’s also not possible to upgrade, and the Aero functions are very necessary(</v>
      </c>
    </row>
    <row r="663" spans="1:9" x14ac:dyDescent="0.3">
      <c r="A663" s="1" t="s">
        <v>61</v>
      </c>
      <c r="B663" s="1" t="s">
        <v>62</v>
      </c>
      <c r="C663" s="1" t="s">
        <v>146</v>
      </c>
      <c r="D663" s="1" t="s">
        <v>1725</v>
      </c>
      <c r="E663" s="1" t="s">
        <v>1401</v>
      </c>
      <c r="F663" s="1" t="s">
        <v>1726</v>
      </c>
      <c r="G663" s="1" t="s">
        <v>28</v>
      </c>
      <c r="H663" s="1" t="s">
        <v>29</v>
      </c>
      <c r="I663" s="1" t="str">
        <f ca="1">IFERROR(__xludf.DUMMYFUNCTION("GOOGLETRANSLATE(F663, ""auto"", ""en"")
"),"Very noisy! During use there is a smell of burning plastic.")</f>
        <v>Very noisy! During use there is a smell of burning plastic.</v>
      </c>
    </row>
    <row r="664" spans="1:9" x14ac:dyDescent="0.3">
      <c r="A664" s="1" t="s">
        <v>61</v>
      </c>
      <c r="B664" s="1" t="s">
        <v>1727</v>
      </c>
      <c r="C664" s="1" t="s">
        <v>122</v>
      </c>
      <c r="D664" s="1" t="s">
        <v>295</v>
      </c>
      <c r="E664" s="1" t="s">
        <v>1728</v>
      </c>
      <c r="F664" s="1" t="s">
        <v>1729</v>
      </c>
      <c r="G664" s="1" t="s">
        <v>36</v>
      </c>
      <c r="H664" s="1" t="s">
        <v>29</v>
      </c>
      <c r="I664" s="1" t="str">
        <f ca="1">IFERROR(__xludf.DUMMYFUNCTION("GOOGLETRANSLATE(F664, ""auto"", ""en"")
"),"a great thing, when I bought it I had it for a week, I was afraid to start cooking, now I’m thinking about buying a second one - soup in one, dessert in the second or a second, it saves all the time, nerves, food too - everything cooked is eaten with a ba"&amp;"ng!")</f>
        <v>a great thing, when I bought it I had it for a week, I was afraid to start cooking, now I’m thinking about buying a second one - soup in one, dessert in the second or a second, it saves all the time, nerves, food too - everything cooked is eaten with a bang!</v>
      </c>
    </row>
    <row r="665" spans="1:9" x14ac:dyDescent="0.3">
      <c r="A665" s="1" t="s">
        <v>9</v>
      </c>
      <c r="B665" s="1" t="s">
        <v>133</v>
      </c>
      <c r="C665" s="1" t="s">
        <v>588</v>
      </c>
      <c r="D665" s="1" t="s">
        <v>589</v>
      </c>
      <c r="E665" s="1" t="s">
        <v>1730</v>
      </c>
      <c r="F665" s="1" t="s">
        <v>1731</v>
      </c>
      <c r="G665" s="1" t="s">
        <v>36</v>
      </c>
      <c r="H665" s="1" t="s">
        <v>29</v>
      </c>
      <c r="I665" s="1" t="str">
        <f ca="1">IFERROR(__xludf.DUMMYFUNCTION("GOOGLETRANSLATE(F665, ""auto"", ""en"")
"),"We bought an oven together with a Hansa BHCI63306 hob for a ridiculous price, we are happy with the purchase. The oven is simple: 4 cooking modes (top, bottom, top+bottom and grill) and natural convection; 2 control knobs (temperature and cooking mode). I"&amp;"t is quite roomy, although at first it seemed small to me, it heats up quickly. The set includes 2 baking sheets of different depths and a wire rack. One drawback is that the metal guides are not very convenient; they do not extend across the entire depth"&amp;" of the oven, which is why the back of the baking sheet and wire rack falls over, but you can get used to it. Before use, the manufacturer recommends washing the oven and preheating it for half an hour at 250 degrees with good ventilation of the room... t"&amp;"his is a test, because the smell is terrible and corrodes the eyes. You need to open the windows and leave the room. After this procedure, you need to wash the oven again and you can use it for its intended purpose, but the smell will persist for some tim"&amp;"e, but it is not coming from inside, which is undoubtedly pleasing. I haven’t used the grill yet, so I can’t say anything about it.")</f>
        <v>We bought an oven together with a Hansa BHCI63306 hob for a ridiculous price, we are happy with the purchase. The oven is simple: 4 cooking modes (top, bottom, top+bottom and grill) and natural convection; 2 control knobs (temperature and cooking mode). It is quite roomy, although at first it seemed small to me, it heats up quickly. The set includes 2 baking sheets of different depths and a wire rack. One drawback is that the metal guides are not very convenient; they do not extend across the entire depth of the oven, which is why the back of the baking sheet and wire rack falls over, but you can get used to it. Before use, the manufacturer recommends washing the oven and preheating it for half an hour at 250 degrees with good ventilation of the room... this is a test, because the smell is terrible and corrodes the eyes. You need to open the windows and leave the room. After this procedure, you need to wash the oven again and you can use it for its intended purpose, but the smell will persist for some time, but it is not coming from inside, which is undoubtedly pleasing. I haven’t used the grill yet, so I can’t say anything about it.</v>
      </c>
    </row>
    <row r="666" spans="1:9" x14ac:dyDescent="0.3">
      <c r="A666" s="1" t="s">
        <v>111</v>
      </c>
      <c r="B666" s="1" t="s">
        <v>636</v>
      </c>
      <c r="C666" s="1" t="s">
        <v>637</v>
      </c>
      <c r="D666" s="1" t="s">
        <v>280</v>
      </c>
      <c r="E666" s="1" t="s">
        <v>1732</v>
      </c>
      <c r="F666" s="1" t="s">
        <v>1733</v>
      </c>
      <c r="G666" s="1" t="s">
        <v>28</v>
      </c>
      <c r="H666" s="1" t="s">
        <v>29</v>
      </c>
      <c r="I666" s="1" t="str">
        <f ca="1">IFERROR(__xludf.DUMMYFUNCTION("GOOGLETRANSLATE(F666, ""auto"", ""en"")
"),"They gave it as a gift.  It shows the temperature quite accurately (there is a 2nd fast digital thermometer from RST - there is something to compare it with), but with a delay of 1 hour. Temperature-sensitive elements are hidden deep in the housings and s"&amp;"lowly heat up and cool down. It predicts long rains (and “long” weather conditions in general) quite well, but it does not predict local short-lived downpours at all. The time synchronizes only if the indoor unit is on the windowsill, which is not conveni"&amp;"ent. Yes, and the pressure does not show. That's why it's 4ka.")</f>
        <v>They gave it as a gift.  It shows the temperature quite accurately (there is a 2nd fast digital thermometer from RST - there is something to compare it with), but with a delay of 1 hour. Temperature-sensitive elements are hidden deep in the housings and slowly heat up and cool down. It predicts long rains (and “long” weather conditions in general) quite well, but it does not predict local short-lived downpours at all. The time synchronizes only if the indoor unit is on the windowsill, which is not convenient. Yes, and the pressure does not show. That's why it's 4ka.</v>
      </c>
    </row>
    <row r="667" spans="1:9" x14ac:dyDescent="0.3">
      <c r="A667" s="1" t="s">
        <v>37</v>
      </c>
      <c r="B667" s="1" t="s">
        <v>38</v>
      </c>
      <c r="C667" s="1" t="s">
        <v>163</v>
      </c>
      <c r="D667" s="1" t="s">
        <v>940</v>
      </c>
      <c r="E667" s="1" t="s">
        <v>1398</v>
      </c>
      <c r="F667" s="1" t="s">
        <v>1734</v>
      </c>
      <c r="G667" s="1" t="s">
        <v>28</v>
      </c>
      <c r="H667" s="1" t="s">
        <v>29</v>
      </c>
      <c r="I667" s="1" t="str">
        <f ca="1">IFERROR(__xludf.DUMMYFUNCTION("GOOGLETRANSLATE(F667, ""auto"", ""en"")
"),"Hello everyone, well, it’s time to sum it up, the phone almost didn’t disappoint, I still think the quality of the conversation is not a big minus (I can’t always hear the interlocutor clearly, despite the volume of the speaker), otherwise I’m happy with "&amp;"everything about it, the body is strong, I’ve already dropped it a couple of times, the battery holds the same as on the first day.. If there is the same phone model, but with more memory (or with the ability to connect memory cards) and normal call quali"&amp;"ty, then I’ll gladly take it) the presence of a camera for amateur, I think that it is not particularly needed, although there have been cases when the camera was not enough :) the phone is waiting for the next level of quality control (1 year in the army"&amp;") I’ll check it and write it down) good luck everyone, see you in a year)")</f>
        <v>Hello everyone, well, it’s time to sum it up, the phone almost didn’t disappoint, I still think the quality of the conversation is not a big minus (I can’t always hear the interlocutor clearly, despite the volume of the speaker), otherwise I’m happy with everything about it, the body is strong, I’ve already dropped it a couple of times, the battery holds the same as on the first day.. If there is the same phone model, but with more memory (or with the ability to connect memory cards) and normal call quality, then I’ll gladly take it) the presence of a camera for amateur, I think that it is not particularly needed, although there have been cases when the camera was not enough :) the phone is waiting for the next level of quality control (1 year in the army) I’ll check it and write it down) good luck everyone, see you in a year)</v>
      </c>
    </row>
    <row r="668" spans="1:9" x14ac:dyDescent="0.3">
      <c r="A668" s="1" t="s">
        <v>211</v>
      </c>
      <c r="B668" s="1" t="s">
        <v>265</v>
      </c>
      <c r="C668" s="1" t="s">
        <v>122</v>
      </c>
      <c r="D668" s="1" t="s">
        <v>139</v>
      </c>
      <c r="E668" s="1" t="s">
        <v>1034</v>
      </c>
      <c r="F668" s="1" t="s">
        <v>1735</v>
      </c>
      <c r="G668" s="1" t="s">
        <v>49</v>
      </c>
      <c r="H668" s="1" t="s">
        <v>16</v>
      </c>
      <c r="I668" s="1" t="str">
        <f ca="1">IFERROR(__xludf.DUMMYFUNCTION("GOOGLETRANSLATE(F668, ""auto"", ""en"")
"),"Disgustingly cuts hair (i.e. does not cut hair at all)")</f>
        <v>Disgustingly cuts hair (i.e. does not cut hair at all)</v>
      </c>
    </row>
    <row r="669" spans="1:9" x14ac:dyDescent="0.3">
      <c r="A669" s="1" t="s">
        <v>811</v>
      </c>
      <c r="B669" s="1" t="s">
        <v>812</v>
      </c>
      <c r="C669" s="1" t="s">
        <v>813</v>
      </c>
      <c r="D669" s="1" t="s">
        <v>39</v>
      </c>
      <c r="E669" s="1" t="s">
        <v>1736</v>
      </c>
      <c r="F669" s="1" t="s">
        <v>1737</v>
      </c>
      <c r="G669" s="1" t="s">
        <v>49</v>
      </c>
      <c r="H669" s="1" t="s">
        <v>16</v>
      </c>
      <c r="I669" s="1" t="str">
        <f ca="1">IFERROR(__xludf.DUMMYFUNCTION("GOOGLETRANSLATE(F669, ""auto"", ""en"")
"),"Apparently this model has a problem with the plastic, namely with the locks on the legs. I bought it in one store, it turned out to be defective, I went to another store to exchange it, but all the tripods of this model there had broken fasteners. I had t"&amp;"o take the money, but the issue with the tripod remained open.")</f>
        <v>Apparently this model has a problem with the plastic, namely with the locks on the legs. I bought it in one store, it turned out to be defective, I went to another store to exchange it, but all the tripods of this model there had broken fasteners. I had to take the money, but the issue with the tripod remained open.</v>
      </c>
    </row>
    <row r="670" spans="1:9" x14ac:dyDescent="0.3">
      <c r="A670" s="1" t="s">
        <v>120</v>
      </c>
      <c r="B670" s="1" t="s">
        <v>256</v>
      </c>
      <c r="C670" s="1" t="s">
        <v>80</v>
      </c>
      <c r="D670" s="1" t="s">
        <v>327</v>
      </c>
      <c r="E670" s="1" t="s">
        <v>1738</v>
      </c>
      <c r="F670" s="1" t="s">
        <v>1739</v>
      </c>
      <c r="G670" s="1" t="s">
        <v>36</v>
      </c>
      <c r="H670" s="1" t="s">
        <v>29</v>
      </c>
      <c r="I670" s="1" t="str">
        <f ca="1">IFERROR(__xludf.DUMMYFUNCTION("GOOGLETRANSLATE(F670, ""auto"", ""en"")
"),"The TV is not bad, but there is one flaw. To view the current time, press the ""OK"" button on the remote control.  I would like to see the current time without clicking on the ""OK"" button")</f>
        <v>The TV is not bad, but there is one flaw. To view the current time, press the "OK" button on the remote control.  I would like to see the current time without clicking on the "OK" button</v>
      </c>
    </row>
    <row r="671" spans="1:9" x14ac:dyDescent="0.3">
      <c r="A671" s="1" t="s">
        <v>95</v>
      </c>
      <c r="B671" s="1" t="s">
        <v>227</v>
      </c>
      <c r="C671" s="1" t="s">
        <v>97</v>
      </c>
      <c r="D671" s="1" t="s">
        <v>152</v>
      </c>
      <c r="E671" s="1" t="s">
        <v>1740</v>
      </c>
      <c r="F671" s="1" t="s">
        <v>1741</v>
      </c>
      <c r="G671" s="1" t="s">
        <v>28</v>
      </c>
      <c r="H671" s="1" t="s">
        <v>29</v>
      </c>
      <c r="I671" s="1" t="str">
        <f ca="1">IFERROR(__xludf.DUMMYFUNCTION("GOOGLETRANSLATE(F671, ""auto"", ""en"")
"),"The disk takes a long time to load, extraneous noise, jams. It slows down during the video.")</f>
        <v>The disk takes a long time to load, extraneous noise, jams. It slows down during the video.</v>
      </c>
    </row>
    <row r="672" spans="1:9" x14ac:dyDescent="0.3">
      <c r="A672" s="1" t="s">
        <v>30</v>
      </c>
      <c r="B672" s="1" t="s">
        <v>50</v>
      </c>
      <c r="C672" s="1" t="s">
        <v>51</v>
      </c>
      <c r="D672" s="1" t="s">
        <v>327</v>
      </c>
      <c r="E672" s="1" t="s">
        <v>1742</v>
      </c>
      <c r="F672" s="1" t="s">
        <v>1743</v>
      </c>
      <c r="G672" s="1" t="s">
        <v>28</v>
      </c>
      <c r="H672" s="1" t="s">
        <v>29</v>
      </c>
      <c r="I672" s="1" t="str">
        <f ca="1">IFERROR(__xludf.DUMMYFUNCTION("GOOGLETRANSLATE(F672, ""auto"", ""en"")
"),"Dmitry, in principle, to install a second HDD, a slide is not required, a standard mount is enough. I installed the second screw in the same way, since the laptop has a second SATA connector for the HDD.")</f>
        <v>Dmitry, in principle, to install a second HDD, a slide is not required, a standard mount is enough. I installed the second screw in the same way, since the laptop has a second SATA connector for the HDD.</v>
      </c>
    </row>
    <row r="673" spans="1:9" x14ac:dyDescent="0.3">
      <c r="A673" s="1" t="s">
        <v>211</v>
      </c>
      <c r="B673" s="1" t="s">
        <v>212</v>
      </c>
      <c r="C673" s="1" t="s">
        <v>381</v>
      </c>
      <c r="D673" s="1" t="s">
        <v>1744</v>
      </c>
      <c r="E673" s="1" t="s">
        <v>1745</v>
      </c>
      <c r="F673" s="1" t="s">
        <v>1746</v>
      </c>
      <c r="G673" s="1" t="s">
        <v>36</v>
      </c>
      <c r="H673" s="1" t="s">
        <v>29</v>
      </c>
      <c r="I673" s="1" t="str">
        <f ca="1">IFERROR(__xludf.DUMMYFUNCTION("GOOGLETRANSLATE(F673, ""auto"", ""en"")
"),"I bought this hair dryer in 2008 for work (I’m a hairdresser), more than five years have passed, and it still works and has never even overheated. I really like the hairdryer.")</f>
        <v>I bought this hair dryer in 2008 for work (I’m a hairdresser), more than five years have passed, and it still works and has never even overheated. I really like the hairdryer.</v>
      </c>
    </row>
    <row r="674" spans="1:9" x14ac:dyDescent="0.3">
      <c r="A674" s="1" t="s">
        <v>211</v>
      </c>
      <c r="B674" s="1" t="s">
        <v>212</v>
      </c>
      <c r="C674" s="1" t="s">
        <v>294</v>
      </c>
      <c r="D674" s="1" t="s">
        <v>1747</v>
      </c>
      <c r="E674" s="1" t="s">
        <v>1129</v>
      </c>
      <c r="F674" s="1" t="s">
        <v>1748</v>
      </c>
      <c r="G674" s="1" t="s">
        <v>36</v>
      </c>
      <c r="H674" s="1" t="s">
        <v>29</v>
      </c>
      <c r="I674" s="1" t="str">
        <f ca="1">IFERROR(__xludf.DUMMYFUNCTION("GOOGLETRANSLATE(F674, ""auto"", ""en"")
"),"Ksyusha, there is actually no ionization there. The body heats up so that you can make curls; the tip, in theory, should not heat up so that the styler cools down faster; the kit includes a special case.")</f>
        <v>Ksyusha, there is actually no ionization there. The body heats up so that you can make curls; the tip, in theory, should not heat up so that the styler cools down faster; the kit includes a special case.</v>
      </c>
    </row>
    <row r="675" spans="1:9" x14ac:dyDescent="0.3">
      <c r="A675" s="1" t="s">
        <v>206</v>
      </c>
      <c r="B675" s="1" t="s">
        <v>207</v>
      </c>
      <c r="C675" s="1" t="s">
        <v>1143</v>
      </c>
      <c r="D675" s="1" t="s">
        <v>52</v>
      </c>
      <c r="E675" s="1" t="s">
        <v>1749</v>
      </c>
      <c r="F675" s="1" t="s">
        <v>1750</v>
      </c>
      <c r="G675" s="1" t="s">
        <v>36</v>
      </c>
      <c r="H675" s="1" t="s">
        <v>29</v>
      </c>
      <c r="I675" s="1" t="str">
        <f ca="1">IFERROR(__xludf.DUMMYFUNCTION("GOOGLETRANSLATE(F675, ""auto"", ""en"")
"),"Megabasic!!! With a mono-channel Pioneer GM-D8601 - blood is about to flow from your ears :)")</f>
        <v>Megabasic!!! With a mono-channel Pioneer GM-D8601 - blood is about to flow from your ears :)</v>
      </c>
    </row>
    <row r="676" spans="1:9" x14ac:dyDescent="0.3">
      <c r="A676" s="1" t="s">
        <v>61</v>
      </c>
      <c r="B676" s="1" t="s">
        <v>62</v>
      </c>
      <c r="C676" s="1" t="s">
        <v>63</v>
      </c>
      <c r="D676" s="1" t="s">
        <v>545</v>
      </c>
      <c r="E676" s="1" t="s">
        <v>1751</v>
      </c>
      <c r="F676" s="1" t="s">
        <v>1752</v>
      </c>
      <c r="G676" s="1" t="s">
        <v>28</v>
      </c>
      <c r="H676" s="1" t="s">
        <v>29</v>
      </c>
      <c r="I676" s="1" t="str">
        <f ca="1">IFERROR(__xludf.DUMMYFUNCTION("GOOGLETRANSLATE(F676, ""auto"", ""en"")
"),"I've been using the combine for a year. Great stuff! But there is one drawback - these are disgusting graters (there is a lot of waste left and the cuts are very large), so I don’t use this function.")</f>
        <v>I've been using the combine for a year. Great stuff! But there is one drawback - these are disgusting graters (there is a lot of waste left and the cuts are very large), so I don’t use this function.</v>
      </c>
    </row>
    <row r="677" spans="1:9" x14ac:dyDescent="0.3">
      <c r="A677" s="1" t="s">
        <v>30</v>
      </c>
      <c r="B677" s="1" t="s">
        <v>50</v>
      </c>
      <c r="C677" s="1" t="s">
        <v>189</v>
      </c>
      <c r="D677" s="1" t="s">
        <v>1605</v>
      </c>
      <c r="E677" s="1" t="s">
        <v>1005</v>
      </c>
      <c r="F677" s="1" t="s">
        <v>1753</v>
      </c>
      <c r="G677" s="1" t="s">
        <v>28</v>
      </c>
      <c r="H677" s="1" t="s">
        <v>29</v>
      </c>
      <c r="I677" s="1" t="str">
        <f ca="1">IFERROR(__xludf.DUMMYFUNCTION("GOOGLETRANSLATE(F677, ""auto"", ""en"")
"),"Great laptop. Stylish, Modern, Lightweight and Reliable. But this laptop is not suitable for gamers. Although if it came out 2 years ago it would have been the most powerful of Asus. But then it would cost like Sony")</f>
        <v>Great laptop. Stylish, Modern, Lightweight and Reliable. But this laptop is not suitable for gamers. Although if it came out 2 years ago it would have been the most powerful of Asus. But then it would cost like Sony</v>
      </c>
    </row>
    <row r="678" spans="1:9" x14ac:dyDescent="0.3">
      <c r="A678" s="1" t="s">
        <v>1119</v>
      </c>
      <c r="B678" s="1" t="s">
        <v>1120</v>
      </c>
      <c r="C678" s="1" t="s">
        <v>97</v>
      </c>
      <c r="D678" s="1" t="s">
        <v>1754</v>
      </c>
      <c r="E678" s="1" t="s">
        <v>1463</v>
      </c>
      <c r="F678" s="1" t="s">
        <v>1755</v>
      </c>
      <c r="G678" s="1" t="s">
        <v>36</v>
      </c>
      <c r="H678" s="1" t="s">
        <v>29</v>
      </c>
      <c r="I678" s="1" t="str">
        <f ca="1">IFERROR(__xludf.DUMMYFUNCTION("GOOGLETRANSLATE(F678, ""auto"", ""en"")
"),"This video camera is very easy to operate. Great camera!!!")</f>
        <v>This video camera is very easy to operate. Great camera!!!</v>
      </c>
    </row>
    <row r="679" spans="1:9" x14ac:dyDescent="0.3">
      <c r="A679" s="1" t="s">
        <v>37</v>
      </c>
      <c r="B679" s="1" t="s">
        <v>536</v>
      </c>
      <c r="C679" s="1" t="s">
        <v>32</v>
      </c>
      <c r="D679" s="1" t="s">
        <v>232</v>
      </c>
      <c r="E679" s="1" t="s">
        <v>1756</v>
      </c>
      <c r="F679" s="1" t="s">
        <v>1757</v>
      </c>
      <c r="G679" s="1" t="s">
        <v>36</v>
      </c>
      <c r="H679" s="1" t="s">
        <v>29</v>
      </c>
      <c r="I679" s="1" t="str">
        <f ca="1">IFERROR(__xludf.DUMMYFUNCTION("GOOGLETRANSLATE(F679, ""auto"", ""en"")
"),"the soul sings - class is like changing from a Cossack to a Mercedes!!!")</f>
        <v>the soul sings - class is like changing from a Cossack to a Mercedes!!!</v>
      </c>
    </row>
    <row r="680" spans="1:9" x14ac:dyDescent="0.3">
      <c r="A680" s="1" t="s">
        <v>17</v>
      </c>
      <c r="B680" s="1" t="s">
        <v>18</v>
      </c>
      <c r="C680" s="1" t="s">
        <v>665</v>
      </c>
      <c r="D680" s="1" t="s">
        <v>1758</v>
      </c>
      <c r="E680" s="1" t="s">
        <v>1759</v>
      </c>
      <c r="F680" s="1" t="s">
        <v>1760</v>
      </c>
      <c r="G680" s="1" t="s">
        <v>36</v>
      </c>
      <c r="H680" s="1" t="s">
        <v>29</v>
      </c>
      <c r="I680" s="1" t="str">
        <f ca="1">IFERROR(__xludf.DUMMYFUNCTION("GOOGLETRANSLATE(F680, ""auto"", ""en"")
"),"Only positive emotions. It washes clean and looks beautiful. However, upon first start-up, the water shut-off valve did not work. The machine took on water immediately after turning it on until the error light came on. But the truth leaked everything itse"&amp;"lf and after that it didn’t happen anymore. Works like a clock. Quiet.")</f>
        <v>Only positive emotions. It washes clean and looks beautiful. However, upon first start-up, the water shut-off valve did not work. The machine took on water immediately after turning it on until the error light came on. But the truth leaked everything itself and after that it didn’t happen anymore. Works like a clock. Quiet.</v>
      </c>
    </row>
    <row r="681" spans="1:9" x14ac:dyDescent="0.3">
      <c r="A681" s="1" t="s">
        <v>211</v>
      </c>
      <c r="B681" s="1" t="s">
        <v>212</v>
      </c>
      <c r="C681" s="1" t="s">
        <v>69</v>
      </c>
      <c r="D681" s="1" t="s">
        <v>474</v>
      </c>
      <c r="E681" s="1" t="s">
        <v>517</v>
      </c>
      <c r="F681" s="1" t="s">
        <v>1761</v>
      </c>
      <c r="G681" s="1" t="s">
        <v>36</v>
      </c>
      <c r="H681" s="1" t="s">
        <v>29</v>
      </c>
      <c r="I681" s="1" t="str">
        <f ca="1">IFERROR(__xludf.DUMMYFUNCTION("GOOGLETRANSLATE(F681, ""auto"", ""en"")
"),"1. Ionizer 2. Reliability 3. Power 4. Lightweight 5. Convenient")</f>
        <v>1. Ionizer 2. Reliability 3. Power 4. Lightweight 5. Convenient</v>
      </c>
    </row>
    <row r="682" spans="1:9" x14ac:dyDescent="0.3">
      <c r="A682" s="1" t="s">
        <v>211</v>
      </c>
      <c r="B682" s="1" t="s">
        <v>212</v>
      </c>
      <c r="C682" s="1" t="s">
        <v>294</v>
      </c>
      <c r="D682" s="1" t="s">
        <v>521</v>
      </c>
      <c r="E682" s="1" t="s">
        <v>1762</v>
      </c>
      <c r="F682" s="1" t="s">
        <v>1763</v>
      </c>
      <c r="G682" s="1" t="s">
        <v>36</v>
      </c>
      <c r="H682" s="1" t="s">
        <v>29</v>
      </c>
      <c r="I682" s="1" t="str">
        <f ca="1">IFERROR(__xludf.DUMMYFUNCTION("GOOGLETRANSLATE(F682, ""auto"", ""en"")
"),"Convenient to use. Hair becomes smooth and shiny. You can adjust the temperature, which is important. And the price is reasonable. I recommend it.")</f>
        <v>Convenient to use. Hair becomes smooth and shiny. You can adjust the temperature, which is important. And the price is reasonable. I recommend it.</v>
      </c>
    </row>
    <row r="683" spans="1:9" x14ac:dyDescent="0.3">
      <c r="A683" s="1" t="s">
        <v>95</v>
      </c>
      <c r="B683" s="1" t="s">
        <v>486</v>
      </c>
      <c r="C683" s="1" t="s">
        <v>487</v>
      </c>
      <c r="D683" s="1" t="s">
        <v>1764</v>
      </c>
      <c r="E683" s="1" t="s">
        <v>1765</v>
      </c>
      <c r="F683" s="1" t="s">
        <v>1766</v>
      </c>
      <c r="G683" s="1" t="s">
        <v>36</v>
      </c>
      <c r="H683" s="1" t="s">
        <v>29</v>
      </c>
      <c r="I683" s="1" t="str">
        <f ca="1">IFERROR(__xludf.DUMMYFUNCTION("GOOGLETRANSLATE(F683, ""auto"", ""en"")
"),"Well, to be honest, I haven’t played it yet, but I’ve read a lot and I think that XBOX360 (not only this one) is good.   But the question immediately arises: why is it better than the PS3?  1st - this is the graphics, 2nd - it breaks much less, well, I wo"&amp;"n’t list the rest.  in short, if you can’t choose what you need, then decide what you want to play.   Well, the XBOX360 is better and games are released on it earlier.   In short, take an XBOX360, I hope my comment will help you.")</f>
        <v>Well, to be honest, I haven’t played it yet, but I’ve read a lot and I think that XBOX360 (not only this one) is good.   But the question immediately arises: why is it better than the PS3?  1st - this is the graphics, 2nd - it breaks much less, well, I won’t list the rest.  in short, if you can’t choose what you need, then decide what you want to play.   Well, the XBOX360 is better and games are released on it earlier.   In short, take an XBOX360, I hope my comment will help you.</v>
      </c>
    </row>
    <row r="684" spans="1:9" x14ac:dyDescent="0.3">
      <c r="A684" s="1" t="s">
        <v>211</v>
      </c>
      <c r="B684" s="1" t="s">
        <v>265</v>
      </c>
      <c r="C684" s="1" t="s">
        <v>122</v>
      </c>
      <c r="D684" s="1" t="s">
        <v>33</v>
      </c>
      <c r="E684" s="1" t="s">
        <v>1767</v>
      </c>
      <c r="F684" s="1" t="s">
        <v>1768</v>
      </c>
      <c r="G684" s="1" t="s">
        <v>36</v>
      </c>
      <c r="H684" s="1" t="s">
        <v>29</v>
      </c>
      <c r="I684" s="1" t="str">
        <f ca="1">IFERROR(__xludf.DUMMYFUNCTION("GOOGLETRANSLATE(F684, ""auto"", ""en"")
"),"1) I really like Razor. I read dissatisfied reviews, but why don’t I find these disadvantages.  2) One minus, and it’s not very important, is that when you take off the trimmer to shave your head, sometimes the hair pulls unpleasantly, perhaps the problem"&amp;" is that I color my beard heavily, and then I shave bald and the hair is strongly pulled into the razor mechanism.   3) It’s washable and that’s great, I recommend it to everyone.")</f>
        <v>1) I really like Razor. I read dissatisfied reviews, but why don’t I find these disadvantages.  2) One minus, and it’s not very important, is that when you take off the trimmer to shave your head, sometimes the hair pulls unpleasantly, perhaps the problem is that I color my beard heavily, and then I shave bald and the hair is strongly pulled into the razor mechanism.   3) It’s washable and that’s great, I recommend it to everyone.</v>
      </c>
    </row>
    <row r="685" spans="1:9" x14ac:dyDescent="0.3">
      <c r="A685" s="1" t="s">
        <v>206</v>
      </c>
      <c r="B685" s="1" t="s">
        <v>207</v>
      </c>
      <c r="C685" s="1" t="s">
        <v>152</v>
      </c>
      <c r="D685" s="1" t="s">
        <v>171</v>
      </c>
      <c r="E685" s="1" t="s">
        <v>1350</v>
      </c>
      <c r="F685" s="1" t="s">
        <v>1769</v>
      </c>
      <c r="G685" s="1" t="s">
        <v>36</v>
      </c>
      <c r="H685" s="1" t="s">
        <v>29</v>
      </c>
      <c r="I685" s="1" t="str">
        <f ca="1">IFERROR(__xludf.DUMMYFUNCTION("GOOGLETRANSLATE(F685, ""auto"", ""en"")
"),"It’s been working for 4 years now and without problems, always almost at maximum, of course the 1.5 kilowatt sub doesn’t swing, but in general it sounds decent on the sub.")</f>
        <v>It’s been working for 4 years now and without problems, always almost at maximum, of course the 1.5 kilowatt sub doesn’t swing, but in general it sounds decent on the sub.</v>
      </c>
    </row>
    <row r="686" spans="1:9" x14ac:dyDescent="0.3">
      <c r="A686" s="1" t="s">
        <v>30</v>
      </c>
      <c r="B686" s="1" t="s">
        <v>50</v>
      </c>
      <c r="C686" s="1" t="s">
        <v>32</v>
      </c>
      <c r="D686" s="1" t="s">
        <v>152</v>
      </c>
      <c r="E686" s="1" t="s">
        <v>1275</v>
      </c>
      <c r="F686" s="1" t="s">
        <v>1770</v>
      </c>
      <c r="G686" s="1" t="s">
        <v>36</v>
      </c>
      <c r="H686" s="1" t="s">
        <v>29</v>
      </c>
      <c r="I686" s="1" t="str">
        <f ca="1">IFERROR(__xludf.DUMMYFUNCTION("GOOGLETRANSLATE(F686, ""auto"", ""en"")
"),"I bought it a week ago, everything works fine without any brakes, games run fine too, the processor is excellent, I thought it would be difficult to play on 14, but it turned out to be very convenient!!  I advise you to buy this laptop!")</f>
        <v>I bought it a week ago, everything works fine without any brakes, games run fine too, the processor is excellent, I thought it would be difficult to play on 14, but it turned out to be very convenient!!  I advise you to buy this laptop!</v>
      </c>
    </row>
    <row r="687" spans="1:9" x14ac:dyDescent="0.3">
      <c r="A687" s="1" t="s">
        <v>206</v>
      </c>
      <c r="B687" s="1" t="s">
        <v>1349</v>
      </c>
      <c r="C687" s="1" t="s">
        <v>1771</v>
      </c>
      <c r="D687" s="1" t="s">
        <v>1772</v>
      </c>
      <c r="E687" s="1" t="s">
        <v>1773</v>
      </c>
      <c r="F687" s="1" t="s">
        <v>1774</v>
      </c>
      <c r="G687" s="1" t="s">
        <v>28</v>
      </c>
      <c r="H687" s="1" t="s">
        <v>29</v>
      </c>
      <c r="I687" s="1" t="str">
        <f ca="1">IFERROR(__xludf.DUMMYFUNCTION("GOOGLETRANSLATE(F687, ""auto"", ""en"")
"),"+ high-quality sound + high-quality video + harmonious design with lighting options will fit into any interior - volume control (at least there is a mute button) - radio control - no remote control included +/- removing the panel is completely nonsense, f"&amp;"or someone who is not carrying a tablet or a folder or what?")</f>
        <v>+ high-quality sound + high-quality video + harmonious design with lighting options will fit into any interior - volume control (at least there is a mute button) - radio control - no remote control included +/- removing the panel is completely nonsense, for someone who is not carrying a tablet or a folder or what?</v>
      </c>
    </row>
    <row r="688" spans="1:9" x14ac:dyDescent="0.3">
      <c r="A688" s="1" t="s">
        <v>361</v>
      </c>
      <c r="B688" s="1" t="s">
        <v>362</v>
      </c>
      <c r="C688" s="1" t="s">
        <v>246</v>
      </c>
      <c r="D688" s="1" t="s">
        <v>247</v>
      </c>
      <c r="E688" s="1" t="s">
        <v>634</v>
      </c>
      <c r="F688" s="1" t="s">
        <v>1775</v>
      </c>
      <c r="G688" s="1" t="s">
        <v>36</v>
      </c>
      <c r="H688" s="1" t="s">
        <v>29</v>
      </c>
      <c r="I688" s="1" t="str">
        <f ca="1">IFERROR(__xludf.DUMMYFUNCTION("GOOGLETRANSLATE(F688, ""auto"", ""en"")
"),"What are you??? Maybe you're using a potato peeler incorrectly???? I haven’t seen a better potato peeler in 20 years!!! cleans effortlessly!!!!!")</f>
        <v>What are you??? Maybe you're using a potato peeler incorrectly???? I haven’t seen a better potato peeler in 20 years!!! cleans effortlessly!!!!!</v>
      </c>
    </row>
    <row r="689" spans="1:9" x14ac:dyDescent="0.3">
      <c r="A689" s="1" t="s">
        <v>1443</v>
      </c>
      <c r="B689" s="1" t="s">
        <v>1444</v>
      </c>
      <c r="C689" s="1" t="s">
        <v>1489</v>
      </c>
      <c r="D689" s="1" t="s">
        <v>1776</v>
      </c>
      <c r="E689" s="1" t="s">
        <v>330</v>
      </c>
      <c r="F689" s="1" t="s">
        <v>1777</v>
      </c>
      <c r="G689" s="1" t="s">
        <v>36</v>
      </c>
      <c r="H689" s="1" t="s">
        <v>29</v>
      </c>
      <c r="I689" s="1" t="str">
        <f ca="1">IFERROR(__xludf.DUMMYFUNCTION("GOOGLETRANSLATE(F689, ""auto"", ""en"")
"),"There are absolutely no complaints about the work. The simplest and most comfortable to wear. A well-known company, how many times have I dealt with Kingston products, they have never let me down.")</f>
        <v>There are absolutely no complaints about the work. The simplest and most comfortable to wear. A well-known company, how many times have I dealt with Kingston products, they have never let me down.</v>
      </c>
    </row>
    <row r="690" spans="1:9" x14ac:dyDescent="0.3">
      <c r="A690" s="1" t="s">
        <v>169</v>
      </c>
      <c r="B690" s="1" t="s">
        <v>170</v>
      </c>
      <c r="C690" s="1" t="s">
        <v>122</v>
      </c>
      <c r="D690" s="1" t="s">
        <v>1778</v>
      </c>
      <c r="E690" s="1" t="s">
        <v>1207</v>
      </c>
      <c r="F690" s="1" t="s">
        <v>1779</v>
      </c>
      <c r="G690" s="1" t="s">
        <v>36</v>
      </c>
      <c r="H690" s="1" t="s">
        <v>29</v>
      </c>
      <c r="I690" s="1" t="str">
        <f ca="1">IFERROR(__xludf.DUMMYFUNCTION("GOOGLETRANSLATE(F690, ""auto"", ""en"")
"),"very good headphones. There are a lot of advantages: 1. you can’t hear the metro 2. the sound is very good 3. they themselves are very comfortable")</f>
        <v>very good headphones. There are a lot of advantages: 1. you can’t hear the metro 2. the sound is very good 3. they themselves are very comfortable</v>
      </c>
    </row>
    <row r="691" spans="1:9" x14ac:dyDescent="0.3">
      <c r="A691" s="1" t="s">
        <v>55</v>
      </c>
      <c r="B691" s="1" t="s">
        <v>56</v>
      </c>
      <c r="C691" s="1" t="s">
        <v>1373</v>
      </c>
      <c r="D691" s="1" t="s">
        <v>102</v>
      </c>
      <c r="E691" s="1" t="s">
        <v>1780</v>
      </c>
      <c r="F691" s="1" t="s">
        <v>1781</v>
      </c>
      <c r="G691" s="1" t="s">
        <v>36</v>
      </c>
      <c r="H691" s="1" t="s">
        <v>29</v>
      </c>
      <c r="I691" s="1" t="str">
        <f ca="1">IFERROR(__xludf.DUMMYFUNCTION("GOOGLETRANSLATE(F691, ""auto"", ""en"")
"),"We use the year. Satisfied. Big tank. Clear programming.  It reminds you of the need to clean.")</f>
        <v>We use the year. Satisfied. Big tank. Clear programming.  It reminds you of the need to clean.</v>
      </c>
    </row>
    <row r="692" spans="1:9" x14ac:dyDescent="0.3">
      <c r="A692" s="1" t="s">
        <v>95</v>
      </c>
      <c r="B692" s="1" t="s">
        <v>227</v>
      </c>
      <c r="C692" s="1" t="s">
        <v>97</v>
      </c>
      <c r="D692" s="1" t="s">
        <v>1782</v>
      </c>
      <c r="E692" s="1" t="s">
        <v>229</v>
      </c>
      <c r="F692" s="1" t="s">
        <v>1783</v>
      </c>
      <c r="G692" s="1" t="s">
        <v>36</v>
      </c>
      <c r="H692" s="1" t="s">
        <v>29</v>
      </c>
      <c r="I692" s="1" t="str">
        <f ca="1">IFERROR(__xludf.DUMMYFUNCTION("GOOGLETRANSLATE(F692, ""auto"", ""en"")
"),"ps3 is of course good, but I haven’t bought it yet, I’m going to. Can anyone tell me whether it reads 3D movies or not??? there seem to be some games already. Or will there be some kind of updated version coming out?! Will I really have to buy a separate "&amp;"3D player?! ((After all, the near future is 3D!!!")</f>
        <v>ps3 is of course good, but I haven’t bought it yet, I’m going to. Can anyone tell me whether it reads 3D movies or not??? there seem to be some games already. Or will there be some kind of updated version coming out?! Will I really have to buy a separate 3D player?! ((After all, the near future is 3D!!!</v>
      </c>
    </row>
    <row r="693" spans="1:9" x14ac:dyDescent="0.3">
      <c r="A693" s="1" t="s">
        <v>211</v>
      </c>
      <c r="B693" s="1" t="s">
        <v>265</v>
      </c>
      <c r="C693" s="1" t="s">
        <v>69</v>
      </c>
      <c r="D693" s="1" t="s">
        <v>86</v>
      </c>
      <c r="E693" s="1" t="s">
        <v>1784</v>
      </c>
      <c r="F693" s="1" t="s">
        <v>1785</v>
      </c>
      <c r="G693" s="1" t="s">
        <v>36</v>
      </c>
      <c r="H693" s="1" t="s">
        <v>29</v>
      </c>
      <c r="I693" s="1" t="str">
        <f ca="1">IFERROR(__xludf.DUMMYFUNCTION("GOOGLETRANSLATE(F693, ""auto"", ""en"")
"),"Great machine. The previous one lasted 3 years and still cuts hair (though it’s a bit tight, so I bought a new one). Cuts any type of hair, and costs mere pennies. I'm very pleased.")</f>
        <v>Great machine. The previous one lasted 3 years and still cuts hair (though it’s a bit tight, so I bought a new one). Cuts any type of hair, and costs mere pennies. I'm very pleased.</v>
      </c>
    </row>
    <row r="694" spans="1:9" x14ac:dyDescent="0.3">
      <c r="A694" s="1" t="s">
        <v>61</v>
      </c>
      <c r="B694" s="1" t="s">
        <v>977</v>
      </c>
      <c r="C694" s="1" t="s">
        <v>69</v>
      </c>
      <c r="D694" s="1" t="s">
        <v>64</v>
      </c>
      <c r="E694" s="1" t="s">
        <v>1786</v>
      </c>
      <c r="F694" s="1" t="s">
        <v>1787</v>
      </c>
      <c r="G694" s="1" t="s">
        <v>36</v>
      </c>
      <c r="H694" s="1" t="s">
        <v>29</v>
      </c>
      <c r="I694" s="1" t="str">
        <f ca="1">IFERROR(__xludf.DUMMYFUNCTION("GOOGLETRANSLATE(F694, ""auto"", ""en"")
"),"Everything works great and looks great: no scratches or cracks. We highly recommend it.")</f>
        <v>Everything works great and looks great: no scratches or cracks. We highly recommend it.</v>
      </c>
    </row>
    <row r="695" spans="1:9" x14ac:dyDescent="0.3">
      <c r="A695" s="1" t="s">
        <v>9</v>
      </c>
      <c r="B695" s="1" t="s">
        <v>10</v>
      </c>
      <c r="C695" s="1" t="s">
        <v>466</v>
      </c>
      <c r="D695" s="1" t="s">
        <v>305</v>
      </c>
      <c r="E695" s="1" t="s">
        <v>1788</v>
      </c>
      <c r="F695" s="1" t="s">
        <v>1789</v>
      </c>
      <c r="G695" s="1" t="s">
        <v>28</v>
      </c>
      <c r="H695" s="1" t="s">
        <v>29</v>
      </c>
      <c r="I695" s="1" t="str">
        <f ca="1">IFERROR(__xludf.DUMMYFUNCTION("GOOGLETRANSLATE(F695, ""auto"", ""en"")
"),"You need to read the instructions. they have the letter c. The screws are rattling, tighten everything.")</f>
        <v>You need to read the instructions. they have the letter c. The screws are rattling, tighten everything.</v>
      </c>
    </row>
    <row r="696" spans="1:9" x14ac:dyDescent="0.3">
      <c r="A696" s="1" t="s">
        <v>61</v>
      </c>
      <c r="B696" s="1" t="s">
        <v>726</v>
      </c>
      <c r="C696" s="1" t="s">
        <v>146</v>
      </c>
      <c r="D696" s="1" t="s">
        <v>247</v>
      </c>
      <c r="E696" s="1" t="s">
        <v>1586</v>
      </c>
      <c r="F696" s="1" t="s">
        <v>1790</v>
      </c>
      <c r="G696" s="1" t="s">
        <v>28</v>
      </c>
      <c r="H696" s="1" t="s">
        <v>29</v>
      </c>
      <c r="I696" s="1" t="str">
        <f ca="1">IFERROR(__xludf.DUMMYFUNCTION("GOOGLETRANSLATE(F696, ""auto"", ""en"")
"),"I bought it to exchange an old one. I’m still getting used to it. But I’ll say one thing. + this is that the dough is separate, the dough for dumplings is separate. It’s not very noisy.  - this is that the recipes are terrible. I use the recipes from my o"&amp;"ld Mulinex and take them from the forums. When it squeaks for additives, it’s better to mix in the leftovers from the corners with a spatula. It seems to me that the quality of the bucket could be made like the one from Mulinex. Maybe that’s why the taste"&amp;" is different.")</f>
        <v>I bought it to exchange an old one. I’m still getting used to it. But I’ll say one thing. + this is that the dough is separate, the dough for dumplings is separate. It’s not very noisy.  - this is that the recipes are terrible. I use the recipes from my old Mulinex and take them from the forums. When it squeaks for additives, it’s better to mix in the leftovers from the corners with a spatula. It seems to me that the quality of the bucket could be made like the one from Mulinex. Maybe that’s why the taste is different.</v>
      </c>
    </row>
    <row r="697" spans="1:9" x14ac:dyDescent="0.3">
      <c r="A697" s="1" t="s">
        <v>169</v>
      </c>
      <c r="B697" s="1" t="s">
        <v>170</v>
      </c>
      <c r="C697" s="1" t="s">
        <v>193</v>
      </c>
      <c r="D697" s="1" t="s">
        <v>305</v>
      </c>
      <c r="E697" s="1" t="s">
        <v>1454</v>
      </c>
      <c r="F697" s="1" t="s">
        <v>1791</v>
      </c>
      <c r="G697" s="1" t="s">
        <v>36</v>
      </c>
      <c r="H697" s="1" t="s">
        <v>29</v>
      </c>
      <c r="I697" s="1" t="str">
        <f ca="1">IFERROR(__xludf.DUMMYFUNCTION("GOOGLETRANSLATE(F697, ""auto"", ""en"")
"),"I bought these cool headphones a couple of days ago. Before going to the store, I read a lot of reviews about headphones from different companies and different models. Sennheiser produces professional audio equipment. The headphones are great, they don’t "&amp;"put pressure on your ears, they stay firmly on your head, the sound is excellent (I don’t even feel like taking them off)!!!!!")</f>
        <v>I bought these cool headphones a couple of days ago. Before going to the store, I read a lot of reviews about headphones from different companies and different models. Sennheiser produces professional audio equipment. The headphones are great, they don’t put pressure on your ears, they stay firmly on your head, the sound is excellent (I don’t even feel like taking them off)!!!!!</v>
      </c>
    </row>
    <row r="698" spans="1:9" x14ac:dyDescent="0.3">
      <c r="A698" s="1" t="s">
        <v>89</v>
      </c>
      <c r="B698" s="1" t="s">
        <v>1106</v>
      </c>
      <c r="C698" s="1" t="s">
        <v>63</v>
      </c>
      <c r="D698" s="1" t="s">
        <v>240</v>
      </c>
      <c r="E698" s="1" t="s">
        <v>1792</v>
      </c>
      <c r="F698" s="1" t="s">
        <v>1793</v>
      </c>
      <c r="G698" s="1" t="s">
        <v>36</v>
      </c>
      <c r="H698" s="1" t="s">
        <v>29</v>
      </c>
      <c r="I698" s="1" t="str">
        <f ca="1">IFERROR(__xludf.DUMMYFUNCTION("GOOGLETRANSLATE(F698, ""auto"", ""en"")
"),"The coffee maker is excellent, my husband and I like it. We’ve been using it for two years now. I advised a friend to buy the same one, and she is very pleased. I determine the water level by first pouring it into the flask.")</f>
        <v>The coffee maker is excellent, my husband and I like it. We’ve been using it for two years now. I advised a friend to buy the same one, and she is very pleased. I determine the water level by first pouring it into the flask.</v>
      </c>
    </row>
    <row r="699" spans="1:9" x14ac:dyDescent="0.3">
      <c r="A699" s="1" t="s">
        <v>206</v>
      </c>
      <c r="B699" s="1" t="s">
        <v>261</v>
      </c>
      <c r="C699" s="1" t="s">
        <v>152</v>
      </c>
      <c r="D699" s="1" t="s">
        <v>208</v>
      </c>
      <c r="E699" s="1" t="s">
        <v>1794</v>
      </c>
      <c r="F699" s="1" t="s">
        <v>1795</v>
      </c>
      <c r="G699" s="1" t="s">
        <v>49</v>
      </c>
      <c r="H699" s="1" t="s">
        <v>16</v>
      </c>
      <c r="I699" s="1" t="str">
        <f ca="1">IFERROR(__xludf.DUMMYFUNCTION("GOOGLETRANSLATE(F699, ""auto"", ""en"")
"),"No")</f>
        <v>No</v>
      </c>
    </row>
    <row r="700" spans="1:9" x14ac:dyDescent="0.3">
      <c r="A700" s="1" t="s">
        <v>95</v>
      </c>
      <c r="B700" s="1" t="s">
        <v>227</v>
      </c>
      <c r="C700" s="1" t="s">
        <v>97</v>
      </c>
      <c r="D700" s="1" t="s">
        <v>1796</v>
      </c>
      <c r="E700" s="1" t="s">
        <v>1738</v>
      </c>
      <c r="F700" s="1" t="s">
        <v>1797</v>
      </c>
      <c r="G700" s="1" t="s">
        <v>36</v>
      </c>
      <c r="H700" s="1" t="s">
        <v>29</v>
      </c>
      <c r="I700" s="1" t="str">
        <f ca="1">IFERROR(__xludf.DUMMYFUNCTION("GOOGLETRANSLATE(F700, ""auto"", ""en"")
"),"Today a friend bought this console, the reviews are only excellent, he just said that Killzone 2 is hard to play because of the controls, since in his life he has never played anything other than a computer and a curling iron 1) But over time he will get "&amp;"used to it. The graphics are beautiful, the gameplay is great, that is, curling iron 3 fully justifies its price. In the store he played uncharted 2 - this is his next goal in terms of games.  In general, he was going for an Xbox 360, but the seller recom"&amp;"mended a curling iron in terms of graphics and performance; it is certainly cooler, and also of better quality, it does not break down like a 360 box in a year (the arcade version with old chips quickly throws off the ends). In short, I advise everyone - "&amp;"you won’t regret it, but after the summer I’ll buy it myself, I need to earn some money)")</f>
        <v>Today a friend bought this console, the reviews are only excellent, he just said that Killzone 2 is hard to play because of the controls, since in his life he has never played anything other than a computer and a curling iron 1) But over time he will get used to it. The graphics are beautiful, the gameplay is great, that is, curling iron 3 fully justifies its price. In the store he played uncharted 2 - this is his next goal in terms of games.  In general, he was going for an Xbox 360, but the seller recommended a curling iron in terms of graphics and performance; it is certainly cooler, and also of better quality, it does not break down like a 360 box in a year (the arcade version with old chips quickly throws off the ends). In short, I advise everyone - you won’t regret it, but after the summer I’ll buy it myself, I need to earn some money)</v>
      </c>
    </row>
    <row r="701" spans="1:9" x14ac:dyDescent="0.3">
      <c r="A701" s="1" t="s">
        <v>61</v>
      </c>
      <c r="B701" s="1" t="s">
        <v>62</v>
      </c>
      <c r="C701" s="1" t="s">
        <v>146</v>
      </c>
      <c r="D701" s="1" t="s">
        <v>1798</v>
      </c>
      <c r="E701" s="1" t="s">
        <v>1799</v>
      </c>
      <c r="F701" s="1" t="s">
        <v>1800</v>
      </c>
      <c r="G701" s="1" t="s">
        <v>36</v>
      </c>
      <c r="H701" s="1" t="s">
        <v>29</v>
      </c>
      <c r="I701" s="1" t="str">
        <f ca="1">IFERROR(__xludf.DUMMYFUNCTION("GOOGLETRANSLATE(F701, ""auto"", ""en"")
"),"I really liked it!	  Easy to disassemble and assemble, easy to clean, quite compact. Legs with suction cups.  Value for money.")</f>
        <v>I really liked it!	  Easy to disassemble and assemble, easy to clean, quite compact. Legs with suction cups.  Value for money.</v>
      </c>
    </row>
    <row r="702" spans="1:9" x14ac:dyDescent="0.3">
      <c r="A702" s="1" t="s">
        <v>9</v>
      </c>
      <c r="B702" s="1" t="s">
        <v>133</v>
      </c>
      <c r="C702" s="1" t="s">
        <v>588</v>
      </c>
      <c r="D702" s="1" t="s">
        <v>565</v>
      </c>
      <c r="E702" s="1" t="s">
        <v>1801</v>
      </c>
      <c r="F702" s="1" t="s">
        <v>1802</v>
      </c>
      <c r="G702" s="1" t="s">
        <v>36</v>
      </c>
      <c r="H702" s="1" t="s">
        <v>29</v>
      </c>
      <c r="I702" s="1" t="str">
        <f ca="1">IFERROR(__xludf.DUMMYFUNCTION("GOOGLETRANSLATE(F702, ""auto"", ""en"")
"),"I will add to my review for September 26th. Traces of glue were removed with a folk remedy - vegetable oil, quickly and with a bang. After which I made the first launch, as described in the instructions. Yes, there was a smell, but not pungent, as is usua"&amp;"lly the case with equipment. Then I washed the inside of the oven and calcined it again. Yesterday I already cooked in it, everything turned out great in it and there was no smell. I don't regret purchasing this item)")</f>
        <v>I will add to my review for September 26th. Traces of glue were removed with a folk remedy - vegetable oil, quickly and with a bang. After which I made the first launch, as described in the instructions. Yes, there was a smell, but not pungent, as is usually the case with equipment. Then I washed the inside of the oven and calcined it again. Yesterday I already cooked in it, everything turned out great in it and there was no smell. I don't regret purchasing this item)</v>
      </c>
    </row>
    <row r="703" spans="1:9" x14ac:dyDescent="0.3">
      <c r="A703" s="1" t="s">
        <v>211</v>
      </c>
      <c r="B703" s="1" t="s">
        <v>384</v>
      </c>
      <c r="C703" s="1" t="s">
        <v>101</v>
      </c>
      <c r="D703" s="1" t="s">
        <v>1329</v>
      </c>
      <c r="E703" s="1" t="s">
        <v>508</v>
      </c>
      <c r="F703" s="1" t="s">
        <v>1803</v>
      </c>
      <c r="G703" s="1" t="s">
        <v>36</v>
      </c>
      <c r="H703" s="1" t="s">
        <v>29</v>
      </c>
      <c r="I703" s="1" t="str">
        <f ca="1">IFERROR(__xludf.DUMMYFUNCTION("GOOGLETRANSLATE(F703, ""auto"", ""en"")
"),"I bought the scales two years ago, they work great, without errors! I recommend them to everyone!")</f>
        <v>I bought the scales two years ago, they work great, without errors! I recommend them to everyone!</v>
      </c>
    </row>
    <row r="704" spans="1:9" x14ac:dyDescent="0.3">
      <c r="A704" s="1" t="s">
        <v>61</v>
      </c>
      <c r="B704" s="1" t="s">
        <v>180</v>
      </c>
      <c r="C704" s="1" t="s">
        <v>74</v>
      </c>
      <c r="D704" s="1" t="s">
        <v>589</v>
      </c>
      <c r="E704" s="1" t="s">
        <v>1804</v>
      </c>
      <c r="F704" s="1" t="s">
        <v>1805</v>
      </c>
      <c r="G704" s="1" t="s">
        <v>36</v>
      </c>
      <c r="H704" s="1" t="s">
        <v>29</v>
      </c>
      <c r="I704" s="1" t="str">
        <f ca="1">IFERROR(__xludf.DUMMYFUNCTION("GOOGLETRANSLATE(F704, ""auto"", ""en"")
"),"convenient to use, easy to cook and wash")</f>
        <v>convenient to use, easy to cook and wash</v>
      </c>
    </row>
    <row r="705" spans="1:9" x14ac:dyDescent="0.3">
      <c r="A705" s="1" t="s">
        <v>30</v>
      </c>
      <c r="B705" s="1" t="s">
        <v>50</v>
      </c>
      <c r="C705" s="1" t="s">
        <v>32</v>
      </c>
      <c r="D705" s="1" t="s">
        <v>934</v>
      </c>
      <c r="E705" s="1" t="s">
        <v>484</v>
      </c>
      <c r="F705" s="1" t="s">
        <v>1806</v>
      </c>
      <c r="G705" s="1" t="s">
        <v>36</v>
      </c>
      <c r="H705" s="1" t="s">
        <v>29</v>
      </c>
      <c r="I705" s="1" t="str">
        <f ca="1">IFERROR(__xludf.DUMMYFUNCTION("GOOGLETRANSLATE(F705, ""auto"", ""en"")
"),"I bought a laptop about a month ago, ordered it from the M.video website, everything is good, and the graphics in games are excellent, everything works at high settings without brakes, but sometimes there is indeed flickering in places. And, in general, t"&amp;"he ideal combination of price and quality.")</f>
        <v>I bought a laptop about a month ago, ordered it from the M.video website, everything is good, and the graphics in games are excellent, everything works at high settings without brakes, but sometimes there is indeed flickering in places. And, in general, the ideal combination of price and quality.</v>
      </c>
    </row>
    <row r="706" spans="1:9" x14ac:dyDescent="0.3">
      <c r="A706" s="1" t="s">
        <v>61</v>
      </c>
      <c r="B706" s="1" t="s">
        <v>180</v>
      </c>
      <c r="C706" s="1" t="s">
        <v>85</v>
      </c>
      <c r="D706" s="1" t="s">
        <v>568</v>
      </c>
      <c r="E706" s="1" t="s">
        <v>1807</v>
      </c>
      <c r="F706" s="1" t="s">
        <v>1808</v>
      </c>
      <c r="G706" s="1" t="s">
        <v>28</v>
      </c>
      <c r="H706" s="1" t="s">
        <v>29</v>
      </c>
      <c r="I706" s="1" t="str">
        <f ca="1">IFERROR(__xludf.DUMMYFUNCTION("GOOGLETRANSLATE(F706, ""auto"", ""en"")
"),"I would like to share my impressions from the purchase to the start of using the Bork toaster. First of all, I was very attracted by the design (Bork can do it). The seller really praised the smooth immersion of the bread slices and also their exit! It's "&amp;"really true! The fact that there is no familiar clanging and clicking like the previous one is also a plus! I've been using it for almost half a year and it hasn't let me down once. For the New Year we are planning to purchase a Bork juicer from the store"&amp;".")</f>
        <v>I would like to share my impressions from the purchase to the start of using the Bork toaster. First of all, I was very attracted by the design (Bork can do it). The seller really praised the smooth immersion of the bread slices and also their exit! It's really true! The fact that there is no familiar clanging and clicking like the previous one is also a plus! I've been using it for almost half a year and it hasn't let me down once. For the New Year we are planning to purchase a Bork juicer from the store.</v>
      </c>
    </row>
    <row r="707" spans="1:9" x14ac:dyDescent="0.3">
      <c r="A707" s="1" t="s">
        <v>624</v>
      </c>
      <c r="B707" s="1" t="s">
        <v>881</v>
      </c>
      <c r="C707" s="1" t="s">
        <v>479</v>
      </c>
      <c r="D707" s="1" t="s">
        <v>152</v>
      </c>
      <c r="E707" s="1" t="s">
        <v>1359</v>
      </c>
      <c r="F707" s="1" t="s">
        <v>1809</v>
      </c>
      <c r="G707" s="1" t="s">
        <v>36</v>
      </c>
      <c r="H707" s="1" t="s">
        <v>29</v>
      </c>
      <c r="I707" s="1" t="str">
        <f ca="1">IFERROR(__xludf.DUMMYFUNCTION("GOOGLETRANSLATE(F707, ""auto"", ""en"")
"),"The game is awesome!  A friend bought it yesterday. Day 1 of the game - he’s just in shock to buy food tomorrow!")</f>
        <v>The game is awesome!  A friend bought it yesterday. Day 1 of the game - he’s just in shock to buy food tomorrow!</v>
      </c>
    </row>
    <row r="708" spans="1:9" x14ac:dyDescent="0.3">
      <c r="A708" s="1" t="s">
        <v>206</v>
      </c>
      <c r="B708" s="1" t="s">
        <v>261</v>
      </c>
      <c r="C708" s="1" t="s">
        <v>257</v>
      </c>
      <c r="D708" s="1" t="s">
        <v>1810</v>
      </c>
      <c r="E708" s="1" t="s">
        <v>1811</v>
      </c>
      <c r="F708" s="1" t="s">
        <v>1812</v>
      </c>
      <c r="G708" s="1" t="s">
        <v>28</v>
      </c>
      <c r="H708" s="1" t="s">
        <v>29</v>
      </c>
      <c r="I708" s="1" t="str">
        <f ca="1">IFERROR(__xludf.DUMMYFUNCTION("GOOGLETRANSLATE(F708, ""auto"", ""en"")
"),"I bought this product and I don’t understand whether I need a fuse for it or not!!??? if so, which one exactly is needed? Ordinary ones simply don’t fit there... the spring is large and without a fuse it ensures tight contact! It seems that it was not pro"&amp;"vided there... although the instructions show how to change it... it is not included in the kit... will it work without it? and how reliable will it be?")</f>
        <v>I bought this product and I don’t understand whether I need a fuse for it or not!!??? if so, which one exactly is needed? Ordinary ones simply don’t fit there... the spring is large and without a fuse it ensures tight contact! It seems that it was not provided there... although the instructions show how to change it... it is not included in the kit... will it work without it? and how reliable will it be?</v>
      </c>
    </row>
    <row r="709" spans="1:9" x14ac:dyDescent="0.3">
      <c r="A709" s="1" t="s">
        <v>1119</v>
      </c>
      <c r="B709" s="1" t="s">
        <v>1120</v>
      </c>
      <c r="C709" s="1" t="s">
        <v>122</v>
      </c>
      <c r="D709" s="1" t="s">
        <v>52</v>
      </c>
      <c r="E709" s="1" t="s">
        <v>824</v>
      </c>
      <c r="F709" s="1" t="s">
        <v>1813</v>
      </c>
      <c r="G709" s="1" t="s">
        <v>28</v>
      </c>
      <c r="H709" s="1" t="s">
        <v>29</v>
      </c>
      <c r="I709" s="1" t="str">
        <f ca="1">IFERROR(__xludf.DUMMYFUNCTION("GOOGLETRANSLATE(F709, ""auto"", ""en"")
"),"Good time of day everyone. I decided to buy a flash camera here, the seller recommended this model, and decided to buy it. From the beginning there was a lot of negativity, I wanted to return the camera (14 days had not passed yet), but then, having figur"&amp;"ed out the settings, I decided to leave it. You just need to configure it correctly there. It shoots just fine outdoors, indoors, in poor lighting, of course it’s worse... but you can watch it. For the money it justifies itself, the design is super, light"&amp;"weight - these are the advantages. I rate it a 4. Oh yes, the zoom is just super!!!")</f>
        <v>Good time of day everyone. I decided to buy a flash camera here, the seller recommended this model, and decided to buy it. From the beginning there was a lot of negativity, I wanted to return the camera (14 days had not passed yet), but then, having figured out the settings, I decided to leave it. You just need to configure it correctly there. It shoots just fine outdoors, indoors, in poor lighting, of course it’s worse... but you can watch it. For the money it justifies itself, the design is super, lightweight - these are the advantages. I rate it a 4. Oh yes, the zoom is just super!!!</v>
      </c>
    </row>
    <row r="710" spans="1:9" x14ac:dyDescent="0.3">
      <c r="A710" s="1" t="s">
        <v>61</v>
      </c>
      <c r="B710" s="1" t="s">
        <v>62</v>
      </c>
      <c r="C710" s="1" t="s">
        <v>63</v>
      </c>
      <c r="D710" s="1" t="s">
        <v>327</v>
      </c>
      <c r="E710" s="1" t="s">
        <v>1814</v>
      </c>
      <c r="F710" s="1" t="s">
        <v>1815</v>
      </c>
      <c r="G710" s="1" t="s">
        <v>15</v>
      </c>
      <c r="H710" s="1" t="s">
        <v>16</v>
      </c>
      <c r="I710" s="1" t="str">
        <f ca="1">IFERROR(__xludf.DUMMYFUNCTION("GOOGLETRANSLATE(F710, ""auto"", ""en"")
"),"&amp;nbsp;Bosch disappointed. Everything is flimsy, there is noise and vibration, and the latches and fastenings are simply a mockery of the user! It's a pity, it's a pity :( I will return the money and buy another company. I used it twice for 2 days.")</f>
        <v>&amp;nbsp;Bosch disappointed. Everything is flimsy, there is noise and vibration, and the latches and fastenings are simply a mockery of the user! It's a pity, it's a pity :( I will return the money and buy another company. I used it twice for 2 days.</v>
      </c>
    </row>
    <row r="711" spans="1:9" x14ac:dyDescent="0.3">
      <c r="A711" s="1" t="s">
        <v>61</v>
      </c>
      <c r="B711" s="1" t="s">
        <v>62</v>
      </c>
      <c r="C711" s="1" t="s">
        <v>74</v>
      </c>
      <c r="D711" s="1" t="s">
        <v>75</v>
      </c>
      <c r="E711" s="1" t="s">
        <v>1816</v>
      </c>
      <c r="F711" s="1" t="s">
        <v>1817</v>
      </c>
      <c r="G711" s="1" t="s">
        <v>36</v>
      </c>
      <c r="H711" s="1" t="s">
        <v>29</v>
      </c>
      <c r="I711" s="1" t="str">
        <f ca="1">IFERROR(__xludf.DUMMYFUNCTION("GOOGLETRANSLATE(F711, ""auto"", ""en"")
"),"I have been using this device for more than 3 years, so far there have been no disappointments. Most often I use a blender (large and small), a meat grinder, a dough mixer, and a mixer, no complaints. I also tried graters, no complaints, especially if you"&amp;" need to grate a large volume. The juicer is working. The blender makes wonderful cocktails. This thing does a lot of other things, I haven’t used half of the attachments yet. I have never regretted this purchase, one car, so many possibilities.")</f>
        <v>I have been using this device for more than 3 years, so far there have been no disappointments. Most often I use a blender (large and small), a meat grinder, a dough mixer, and a mixer, no complaints. I also tried graters, no complaints, especially if you need to grate a large volume. The juicer is working. The blender makes wonderful cocktails. This thing does a lot of other things, I haven’t used half of the attachments yet. I have never regretted this purchase, one car, so many possibilities.</v>
      </c>
    </row>
    <row r="712" spans="1:9" x14ac:dyDescent="0.3">
      <c r="A712" s="1" t="s">
        <v>211</v>
      </c>
      <c r="B712" s="1" t="s">
        <v>1818</v>
      </c>
      <c r="C712" s="1" t="s">
        <v>213</v>
      </c>
      <c r="D712" s="1" t="s">
        <v>471</v>
      </c>
      <c r="E712" s="1" t="s">
        <v>529</v>
      </c>
      <c r="F712" s="1" t="s">
        <v>1819</v>
      </c>
      <c r="G712" s="1" t="s">
        <v>36</v>
      </c>
      <c r="H712" s="1" t="s">
        <v>29</v>
      </c>
      <c r="I712" s="1" t="str">
        <f ca="1">IFERROR(__xludf.DUMMYFUNCTION("GOOGLETRANSLATE(F712, ""auto"", ""en"")
"),"This comb was given as a gift on March 8th. It’s just super, the hair doesn’t become electrified, it becomes smooth and even, I’m very happy with it!")</f>
        <v>This comb was given as a gift on March 8th. It’s just super, the hair doesn’t become electrified, it becomes smooth and even, I’m very happy with it!</v>
      </c>
    </row>
    <row r="713" spans="1:9" x14ac:dyDescent="0.3">
      <c r="A713" s="1" t="s">
        <v>149</v>
      </c>
      <c r="B713" s="1" t="s">
        <v>155</v>
      </c>
      <c r="C713" s="1" t="s">
        <v>151</v>
      </c>
      <c r="D713" s="1" t="s">
        <v>1610</v>
      </c>
      <c r="E713" s="1" t="s">
        <v>1603</v>
      </c>
      <c r="F713" s="1" t="s">
        <v>1820</v>
      </c>
      <c r="G713" s="1" t="s">
        <v>36</v>
      </c>
      <c r="H713" s="1" t="s">
        <v>29</v>
      </c>
      <c r="I713" s="1" t="str">
        <f ca="1">IFERROR(__xludf.DUMMYFUNCTION("GOOGLETRANSLATE(F713, ""auto"", ""en"")
"),"I’ve been using it for a year and a half now. It works great. And this is taking into account that I haven’t changed the filter yet. And the store told me to change it every six months.  I wash it as needed, dry it and put it back in again.  I use it ever"&amp;"y day, since I have a small child! No complaints!!!")</f>
        <v>I’ve been using it for a year and a half now. It works great. And this is taking into account that I haven’t changed the filter yet. And the store told me to change it every six months.  I wash it as needed, dry it and put it back in again.  I use it every day, since I have a small child! No complaints!!!</v>
      </c>
    </row>
    <row r="714" spans="1:9" x14ac:dyDescent="0.3">
      <c r="A714" s="1" t="s">
        <v>451</v>
      </c>
      <c r="B714" s="1" t="s">
        <v>452</v>
      </c>
      <c r="C714" s="1" t="s">
        <v>710</v>
      </c>
      <c r="D714" s="1" t="s">
        <v>589</v>
      </c>
      <c r="E714" s="1" t="s">
        <v>1821</v>
      </c>
      <c r="F714" s="1" t="s">
        <v>1822</v>
      </c>
      <c r="G714" s="1" t="s">
        <v>49</v>
      </c>
      <c r="H714" s="1" t="s">
        <v>16</v>
      </c>
      <c r="I714" s="1" t="str">
        <f ca="1">IFERROR(__xludf.DUMMYFUNCTION("GOOGLETRANSLATE(F714, ""auto"", ""en"")
"),"Not suitable for Zelmer 986.87, although it is stated on the packaging (((money wasted...")</f>
        <v>Not suitable for Zelmer 986.87, although it is stated on the packaging (((money wasted...</v>
      </c>
    </row>
    <row r="715" spans="1:9" x14ac:dyDescent="0.3">
      <c r="A715" s="1" t="s">
        <v>1823</v>
      </c>
      <c r="B715" s="1" t="s">
        <v>1824</v>
      </c>
      <c r="C715" s="1" t="s">
        <v>1825</v>
      </c>
      <c r="D715" s="1" t="s">
        <v>113</v>
      </c>
      <c r="E715" s="1" t="s">
        <v>1826</v>
      </c>
      <c r="F715" s="1" t="s">
        <v>1827</v>
      </c>
      <c r="G715" s="1" t="s">
        <v>28</v>
      </c>
      <c r="H715" s="1" t="s">
        <v>29</v>
      </c>
      <c r="I715" s="1" t="str">
        <f ca="1">IFERROR(__xludf.DUMMYFUNCTION("GOOGLETRANSLATE(F715, ""auto"", ""en"")
"),"Five days ago I bought a Gimi Mitico Silver board. I liked the board: stepwise height adjustment, included an extension cord with a socket, a bracket for the wire, a pull-out shelf for linen not at the bottom, but on the right. Folds up easily. Heavy, mor"&amp;"e than 9 kg. The only thing I don’t like is the accompanying information about the product, both on Mvideo and the manufacturer. The manufacturer informs about the product on a poster that is wrapped around the board. How to fold and unfold is not shown. "&amp;"On the back of the poster there is test information in 4 languages, but not in Russian. Information marked with the letter E - means in English, for some reason ends with a sentence in German. Strange. Such blunders usually happen with counterfeit goods. "&amp;"I tried to automatically translate the Italian text, but it worked - sometimes I wash it with soap and an abrasive brush. I don’t know what is actually written there. There is no information on how to care for the case and backing.")</f>
        <v>Five days ago I bought a Gimi Mitico Silver board. I liked the board: stepwise height adjustment, included an extension cord with a socket, a bracket for the wire, a pull-out shelf for linen not at the bottom, but on the right. Folds up easily. Heavy, more than 9 kg. The only thing I don’t like is the accompanying information about the product, both on Mvideo and the manufacturer. The manufacturer informs about the product on a poster that is wrapped around the board. How to fold and unfold is not shown. On the back of the poster there is test information in 4 languages, but not in Russian. Information marked with the letter E - means in English, for some reason ends with a sentence in German. Strange. Such blunders usually happen with counterfeit goods. I tried to automatically translate the Italian text, but it worked - sometimes I wash it with soap and an abrasive brush. I don’t know what is actually written there. There is no information on how to care for the case and backing.</v>
      </c>
    </row>
    <row r="716" spans="1:9" x14ac:dyDescent="0.3">
      <c r="A716" s="1" t="s">
        <v>43</v>
      </c>
      <c r="B716" s="1" t="s">
        <v>502</v>
      </c>
      <c r="C716" s="1" t="s">
        <v>1627</v>
      </c>
      <c r="D716" s="1" t="s">
        <v>232</v>
      </c>
      <c r="E716" s="1" t="s">
        <v>1009</v>
      </c>
      <c r="F716" s="1" t="s">
        <v>1828</v>
      </c>
      <c r="G716" s="1" t="s">
        <v>36</v>
      </c>
      <c r="H716" s="1" t="s">
        <v>29</v>
      </c>
      <c r="I716" s="1" t="str">
        <f ca="1">IFERROR(__xludf.DUMMYFUNCTION("GOOGLETRANSLATE(F716, ""auto"", ""en"")
"),"It has been working for the second year without any complaints. Doesn't make noise, doesn't smell, quite powerful. Unless antibacterial filters are small in size, they are unlikely to capture much, covering about a quarter of the surface that is covered b"&amp;"y conventional dust filters.")</f>
        <v>It has been working for the second year without any complaints. Doesn't make noise, doesn't smell, quite powerful. Unless antibacterial filters are small in size, they are unlikely to capture much, covering about a quarter of the surface that is covered by conventional dust filters.</v>
      </c>
    </row>
    <row r="717" spans="1:9" x14ac:dyDescent="0.3">
      <c r="A717" s="1" t="s">
        <v>37</v>
      </c>
      <c r="B717" s="1" t="s">
        <v>1829</v>
      </c>
      <c r="C717" s="1" t="s">
        <v>151</v>
      </c>
      <c r="D717" s="1" t="s">
        <v>1830</v>
      </c>
      <c r="E717" s="1" t="s">
        <v>1831</v>
      </c>
      <c r="F717" s="1" t="s">
        <v>1832</v>
      </c>
      <c r="G717" s="1" t="s">
        <v>36</v>
      </c>
      <c r="H717" s="1" t="s">
        <v>29</v>
      </c>
      <c r="I717" s="1" t="str">
        <f ca="1">IFERROR(__xludf.DUMMYFUNCTION("GOOGLETRANSLATE(F717, ""auto"", ""en"")
"),"Excellent device! I took it from 03/26/2013 to 03/27/2013. In Dr. In the store, the price was higher... The device itself is fast! It's fast, it can handle everything I've tried so far. F-tsional is at its best. Very pleased with this product. I recommend"&amp;"!")</f>
        <v>Excellent device! I took it from 03/26/2013 to 03/27/2013. In Dr. In the store, the price was higher... The device itself is fast! It's fast, it can handle everything I've tried so far. F-tsional is at its best. Very pleased with this product. I recommend!</v>
      </c>
    </row>
    <row r="718" spans="1:9" x14ac:dyDescent="0.3">
      <c r="A718" s="1" t="s">
        <v>149</v>
      </c>
      <c r="B718" s="1" t="s">
        <v>576</v>
      </c>
      <c r="C718" s="1" t="s">
        <v>69</v>
      </c>
      <c r="D718" s="1" t="s">
        <v>943</v>
      </c>
      <c r="E718" s="1" t="s">
        <v>1833</v>
      </c>
      <c r="F718" s="1" t="s">
        <v>1834</v>
      </c>
      <c r="G718" s="1" t="s">
        <v>36</v>
      </c>
      <c r="H718" s="1" t="s">
        <v>29</v>
      </c>
      <c r="I718" s="1" t="str">
        <f ca="1">IFERROR(__xludf.DUMMYFUNCTION("GOOGLETRANSLATE(F718, ""auto"", ""en"")
"),"We have been using this vacuum cleaner for almost 7 years. The suction power has not deteriorated.  The only negative is that the bags have become very expensive. There's an obaka and a cat in the house, she's doing great")</f>
        <v>We have been using this vacuum cleaner for almost 7 years. The suction power has not deteriorated.  The only negative is that the bags have become very expensive. There's an obaka and a cat in the house, she's doing great</v>
      </c>
    </row>
    <row r="719" spans="1:9" x14ac:dyDescent="0.3">
      <c r="A719" s="1" t="s">
        <v>149</v>
      </c>
      <c r="B719" s="1" t="s">
        <v>576</v>
      </c>
      <c r="C719" s="1" t="s">
        <v>1835</v>
      </c>
      <c r="D719" s="1" t="s">
        <v>1836</v>
      </c>
      <c r="E719" s="1" t="s">
        <v>651</v>
      </c>
      <c r="F719" s="1" t="s">
        <v>1837</v>
      </c>
      <c r="G719" s="1" t="s">
        <v>36</v>
      </c>
      <c r="H719" s="1" t="s">
        <v>29</v>
      </c>
      <c r="I719" s="1" t="str">
        <f ca="1">IFERROR(__xludf.DUMMYFUNCTION("GOOGLETRANSLATE(F719, ""auto"", ""en"")
"),"The second mile is even more pleasing, apparently they have improved it. The old one at the dacha makes me happy, the model is successful. Mikhail is right about the mean time between failures. Everything hits softly, thanks to the soft plastic and rubber"&amp;"ized sides. He moves easily, his wife is delighted with him. Ready to buy a 3rd one, but nowhere to go ;)")</f>
        <v>The second mile is even more pleasing, apparently they have improved it. The old one at the dacha makes me happy, the model is successful. Mikhail is right about the mean time between failures. Everything hits softly, thanks to the soft plastic and rubberized sides. He moves easily, his wife is delighted with him. Ready to buy a 3rd one, but nowhere to go ;)</v>
      </c>
    </row>
    <row r="720" spans="1:9" x14ac:dyDescent="0.3">
      <c r="A720" s="1" t="s">
        <v>149</v>
      </c>
      <c r="B720" s="1" t="s">
        <v>423</v>
      </c>
      <c r="C720" s="1" t="s">
        <v>424</v>
      </c>
      <c r="D720" s="1" t="s">
        <v>75</v>
      </c>
      <c r="E720" s="1" t="s">
        <v>1838</v>
      </c>
      <c r="F720" s="1" t="s">
        <v>1839</v>
      </c>
      <c r="G720" s="1" t="s">
        <v>36</v>
      </c>
      <c r="H720" s="1" t="s">
        <v>29</v>
      </c>
      <c r="I720" s="1" t="str">
        <f ca="1">IFERROR(__xludf.DUMMYFUNCTION("GOOGLETRANSLATE(F720, ""auto"", ""en"")
"),"It took me a long time to choose a washing vacuum cleaner, because... The house has carpeting and white upholstered furniture, and we have a small child. For some reason, it was Vax who aroused trust. I thought the assembly would be difficult, but no, I d"&amp;"id it myself and did the cleaning right away. I didn't realize that carpeting collected so much dirt. :( I’m happy with the purchase, I liked the suction power and the quality of cleaning. The only negative is that everywhere the container for clean water"&amp;" is 4 liters, but in fact it is 3. I had to change the water several times, it doesn’t last long. The location of the filter is also inconvenient, it is located directly under the engine, it’s problematic to clean the dirt from there. Washing the vacuum c"&amp;"leaner, in principle, is not difficult, but it takes time. And this must be done after each cleaning. I think I will still wash ordinary floors with my hands. :)")</f>
        <v>It took me a long time to choose a washing vacuum cleaner, because... The house has carpeting and white upholstered furniture, and we have a small child. For some reason, it was Vax who aroused trust. I thought the assembly would be difficult, but no, I did it myself and did the cleaning right away. I didn't realize that carpeting collected so much dirt. :( I’m happy with the purchase, I liked the suction power and the quality of cleaning. The only negative is that everywhere the container for clean water is 4 liters, but in fact it is 3. I had to change the water several times, it doesn’t last long. The location of the filter is also inconvenient, it is located directly under the engine, it’s problematic to clean the dirt from there. Washing the vacuum cleaner, in principle, is not difficult, but it takes time. And this must be done after each cleaning. I think I will still wash ordinary floors with my hands. :)</v>
      </c>
    </row>
    <row r="721" spans="1:9" x14ac:dyDescent="0.3">
      <c r="A721" s="1" t="s">
        <v>55</v>
      </c>
      <c r="B721" s="1" t="s">
        <v>184</v>
      </c>
      <c r="C721" s="1" t="s">
        <v>45</v>
      </c>
      <c r="D721" s="1" t="s">
        <v>1840</v>
      </c>
      <c r="E721" s="1" t="s">
        <v>1841</v>
      </c>
      <c r="F721" s="1" t="s">
        <v>1842</v>
      </c>
      <c r="G721" s="1" t="s">
        <v>36</v>
      </c>
      <c r="H721" s="1" t="s">
        <v>29</v>
      </c>
      <c r="I721" s="1" t="str">
        <f ca="1">IFERROR(__xludf.DUMMYFUNCTION("GOOGLETRANSLATE(F721, ""auto"", ""en"")
"),"I really liked it. Heats up the room very quickly and does not smell of anything! I'm very glad that we bought it!")</f>
        <v>I really liked it. Heats up the room very quickly and does not smell of anything! I'm very glad that we bought it!</v>
      </c>
    </row>
    <row r="722" spans="1:9" x14ac:dyDescent="0.3">
      <c r="A722" s="1" t="s">
        <v>557</v>
      </c>
      <c r="B722" s="1" t="s">
        <v>558</v>
      </c>
      <c r="C722" s="1" t="s">
        <v>122</v>
      </c>
      <c r="D722" s="1" t="s">
        <v>545</v>
      </c>
      <c r="E722" s="1" t="s">
        <v>1843</v>
      </c>
      <c r="F722" s="1" t="s">
        <v>1844</v>
      </c>
      <c r="G722" s="1" t="s">
        <v>36</v>
      </c>
      <c r="H722" s="1" t="s">
        <v>29</v>
      </c>
      <c r="I722" s="1" t="str">
        <f ca="1">IFERROR(__xludf.DUMMYFUNCTION("GOOGLETRANSLATE(F722, ""auto"", ""en"")
"),"The phone fully met our expectations, we are already purchasing a second one for pensioners, they are happy. The price suited us accordingly.")</f>
        <v>The phone fully met our expectations, we are already purchasing a second one for pensioners, they are happy. The price suited us accordingly.</v>
      </c>
    </row>
    <row r="723" spans="1:9" x14ac:dyDescent="0.3">
      <c r="A723" s="1" t="s">
        <v>17</v>
      </c>
      <c r="B723" s="1" t="s">
        <v>18</v>
      </c>
      <c r="C723" s="1" t="s">
        <v>243</v>
      </c>
      <c r="D723" s="1" t="s">
        <v>86</v>
      </c>
      <c r="E723" s="1" t="s">
        <v>1845</v>
      </c>
      <c r="F723" s="1" t="s">
        <v>1846</v>
      </c>
      <c r="G723" s="1" t="s">
        <v>28</v>
      </c>
      <c r="H723" s="1" t="s">
        <v>29</v>
      </c>
      <c r="I723" s="1" t="str">
        <f ca="1">IFERROR(__xludf.DUMMYFUNCTION("GOOGLETRANSLATE(F723, ""auto"", ""en"")
"),"A good machine, compact, quiet, lightweight, no problems with installation. Works. Happy as an elephant. THANK YOU.")</f>
        <v>A good machine, compact, quiet, lightweight, no problems with installation. Works. Happy as an elephant. THANK YOU.</v>
      </c>
    </row>
    <row r="724" spans="1:9" x14ac:dyDescent="0.3">
      <c r="A724" s="1" t="s">
        <v>211</v>
      </c>
      <c r="B724" s="1" t="s">
        <v>410</v>
      </c>
      <c r="C724" s="1" t="s">
        <v>69</v>
      </c>
      <c r="D724" s="1" t="s">
        <v>568</v>
      </c>
      <c r="E724" s="1" t="s">
        <v>1847</v>
      </c>
      <c r="F724" s="1" t="s">
        <v>1848</v>
      </c>
      <c r="G724" s="1" t="s">
        <v>49</v>
      </c>
      <c r="H724" s="1" t="s">
        <v>16</v>
      </c>
      <c r="I724" s="1" t="str">
        <f ca="1">IFERROR(__xludf.DUMMYFUNCTION("GOOGLETRANSLATE(F724, ""auto"", ""en"")
"),"I completely disagree with everything that was written here, the razor is terrible, I would have expressed everything in a different tone, but I’m afraid it’s too rude. Razor Nothing, doesn't shave properly, it took me 20 minutes to shave the stubble off "&amp;"one cheek. I am returning the razor back, not happy.")</f>
        <v>I completely disagree with everything that was written here, the razor is terrible, I would have expressed everything in a different tone, but I’m afraid it’s too rude. Razor Nothing, doesn't shave properly, it took me 20 minutes to shave the stubble off one cheek. I am returning the razor back, not happy.</v>
      </c>
    </row>
    <row r="725" spans="1:9" x14ac:dyDescent="0.3">
      <c r="A725" s="1" t="s">
        <v>61</v>
      </c>
      <c r="B725" s="1" t="s">
        <v>62</v>
      </c>
      <c r="C725" s="1" t="s">
        <v>63</v>
      </c>
      <c r="D725" s="1" t="s">
        <v>32</v>
      </c>
      <c r="E725" s="1" t="s">
        <v>1849</v>
      </c>
      <c r="F725" s="1" t="s">
        <v>1850</v>
      </c>
      <c r="G725" s="1" t="s">
        <v>36</v>
      </c>
      <c r="H725" s="1" t="s">
        <v>29</v>
      </c>
      <c r="I725" s="1" t="str">
        <f ca="1">IFERROR(__xludf.DUMMYFUNCTION("GOOGLETRANSLATE(F725, ""auto"", ""en"")
"),"I've been using it since 2012. Never had any problems with him! Some positive emotions, a lot of time saved and a lot of delicious dishes. My only miscalculation is that I bought a model without a cube cutter :( And now this model is not on the website")</f>
        <v>I've been using it since 2012. Never had any problems with him! Some positive emotions, a lot of time saved and a lot of delicious dishes. My only miscalculation is that I bought a model without a cube cutter :( And now this model is not on the website</v>
      </c>
    </row>
    <row r="726" spans="1:9" x14ac:dyDescent="0.3">
      <c r="A726" s="1" t="s">
        <v>37</v>
      </c>
      <c r="B726" s="1" t="s">
        <v>38</v>
      </c>
      <c r="C726" s="1" t="s">
        <v>163</v>
      </c>
      <c r="D726" s="1" t="s">
        <v>1851</v>
      </c>
      <c r="E726" s="1" t="s">
        <v>1852</v>
      </c>
      <c r="F726" s="1" t="s">
        <v>1853</v>
      </c>
      <c r="G726" s="1" t="s">
        <v>28</v>
      </c>
      <c r="H726" s="1" t="s">
        <v>29</v>
      </c>
      <c r="I726" s="1" t="str">
        <f ca="1">IFERROR(__xludf.DUMMYFUNCTION("GOOGLETRANSLATE(F726, ""auto"", ""en"")
"),"budget version, but looks like a high-end phone. Good, loud sound, indestructible body... Of the minuses, I can note that it is thoughtful and applications do not minimize.")</f>
        <v>budget version, but looks like a high-end phone. Good, loud sound, indestructible body... Of the minuses, I can note that it is thoughtful and applications do not minimize.</v>
      </c>
    </row>
    <row r="727" spans="1:9" x14ac:dyDescent="0.3">
      <c r="A727" s="1" t="s">
        <v>95</v>
      </c>
      <c r="B727" s="1" t="s">
        <v>648</v>
      </c>
      <c r="C727" s="1" t="s">
        <v>97</v>
      </c>
      <c r="D727" s="1" t="s">
        <v>1854</v>
      </c>
      <c r="E727" s="1" t="s">
        <v>820</v>
      </c>
      <c r="F727" s="1" t="s">
        <v>1855</v>
      </c>
      <c r="G727" s="1" t="s">
        <v>36</v>
      </c>
      <c r="H727" s="1" t="s">
        <v>29</v>
      </c>
      <c r="I727" s="1" t="str">
        <f ca="1">IFERROR(__xludf.DUMMYFUNCTION("GOOGLETRANSLATE(F727, ""auto"", ""en"")
"),"I really liked the PSP GO. It has 16 g bluetooth memory, very light and compact.")</f>
        <v>I really liked the PSP GO. It has 16 g bluetooth memory, very light and compact.</v>
      </c>
    </row>
    <row r="728" spans="1:9" x14ac:dyDescent="0.3">
      <c r="A728" s="1" t="s">
        <v>61</v>
      </c>
      <c r="B728" s="1" t="s">
        <v>180</v>
      </c>
      <c r="C728" s="1" t="s">
        <v>63</v>
      </c>
      <c r="D728" s="1" t="s">
        <v>208</v>
      </c>
      <c r="E728" s="1" t="s">
        <v>1856</v>
      </c>
      <c r="F728" s="1" t="s">
        <v>1857</v>
      </c>
      <c r="G728" s="1" t="s">
        <v>36</v>
      </c>
      <c r="H728" s="1" t="s">
        <v>29</v>
      </c>
      <c r="I728" s="1" t="str">
        <f ca="1">IFERROR(__xludf.DUMMYFUNCTION("GOOGLETRANSLATE(F728, ""auto"", ""en"")
"),"It’s a good thing, the quality and looks good in appearance, it’s convenient, but there is one thing, after 2 months of work the lever began to jam and soon stopped clamping the bread completely, I had to change it.")</f>
        <v>It’s a good thing, the quality and looks good in appearance, it’s convenient, but there is one thing, after 2 months of work the lever began to jam and soon stopped clamping the bread completely, I had to change it.</v>
      </c>
    </row>
    <row r="729" spans="1:9" x14ac:dyDescent="0.3">
      <c r="A729" s="1" t="s">
        <v>211</v>
      </c>
      <c r="B729" s="1" t="s">
        <v>265</v>
      </c>
      <c r="C729" s="1" t="s">
        <v>57</v>
      </c>
      <c r="D729" s="1" t="s">
        <v>565</v>
      </c>
      <c r="E729" s="1" t="s">
        <v>1858</v>
      </c>
      <c r="F729" s="1" t="s">
        <v>1859</v>
      </c>
      <c r="G729" s="1" t="s">
        <v>49</v>
      </c>
      <c r="H729" s="1" t="s">
        <v>16</v>
      </c>
      <c r="I729" s="1" t="str">
        <f ca="1">IFERROR(__xludf.DUMMYFUNCTION("GOOGLETRANSLATE(F729, ""auto"", ""en"")
"),"Yes, I managed to buy it... It's a pity that I didn't read the reviews earlier. The machine lay idle for a year, because... At the first use, we realized that it was not cutting, but tearing hair. Now I’m thinking, how can I even use it? Probably not...")</f>
        <v>Yes, I managed to buy it... It's a pity that I didn't read the reviews earlier. The machine lay idle for a year, because... At the first use, we realized that it was not cutting, but tearing hair. Now I’m thinking, how can I even use it? Probably not...</v>
      </c>
    </row>
    <row r="730" spans="1:9" x14ac:dyDescent="0.3">
      <c r="A730" s="1" t="s">
        <v>169</v>
      </c>
      <c r="B730" s="1" t="s">
        <v>170</v>
      </c>
      <c r="C730" s="1" t="s">
        <v>193</v>
      </c>
      <c r="D730" s="1" t="s">
        <v>1008</v>
      </c>
      <c r="E730" s="1" t="s">
        <v>1723</v>
      </c>
      <c r="F730" s="1" t="s">
        <v>1860</v>
      </c>
      <c r="G730" s="1" t="s">
        <v>36</v>
      </c>
      <c r="H730" s="1" t="s">
        <v>29</v>
      </c>
      <c r="I730" s="1" t="str">
        <f ca="1">IFERROR(__xludf.DUMMYFUNCTION("GOOGLETRANSLATE(F730, ""auto"", ""en"")
"),"I've been using them for 1 year. Comfortable, good sound, I like it. Ears don't get tired. The case is convenient for travel and is not needed at home.")</f>
        <v>I've been using them for 1 year. Comfortable, good sound, I like it. Ears don't get tired. The case is convenient for travel and is not needed at home.</v>
      </c>
    </row>
    <row r="731" spans="1:9" x14ac:dyDescent="0.3">
      <c r="A731" s="1" t="s">
        <v>61</v>
      </c>
      <c r="B731" s="1" t="s">
        <v>318</v>
      </c>
      <c r="C731" s="1" t="s">
        <v>101</v>
      </c>
      <c r="D731" s="1" t="s">
        <v>64</v>
      </c>
      <c r="E731" s="1" t="s">
        <v>1861</v>
      </c>
      <c r="F731" s="1" t="s">
        <v>1862</v>
      </c>
      <c r="G731" s="1" t="s">
        <v>49</v>
      </c>
      <c r="H731" s="1" t="s">
        <v>16</v>
      </c>
      <c r="I731" s="1" t="str">
        <f ca="1">IFERROR(__xludf.DUMMYFUNCTION("GOOGLETRANSLATE(F731, ""auto"", ""en"")
"),"beautiful design")</f>
        <v>beautiful design</v>
      </c>
    </row>
    <row r="732" spans="1:9" x14ac:dyDescent="0.3">
      <c r="A732" s="1" t="s">
        <v>169</v>
      </c>
      <c r="B732" s="1" t="s">
        <v>170</v>
      </c>
      <c r="C732" s="1" t="s">
        <v>122</v>
      </c>
      <c r="D732" s="1" t="s">
        <v>1863</v>
      </c>
      <c r="E732" s="1" t="s">
        <v>1864</v>
      </c>
      <c r="F732" s="1" t="s">
        <v>1865</v>
      </c>
      <c r="G732" s="1" t="s">
        <v>49</v>
      </c>
      <c r="H732" s="1" t="s">
        <v>16</v>
      </c>
      <c r="I732" s="1" t="str">
        <f ca="1">IFERROR(__xludf.DUMMYFUNCTION("GOOGLETRANSLATE(F732, ""auto"", ""en"")
"),"the sound is quiet (albeit clear), they don’t sit very comfortably, the headphone cord is short (both for PC and phone)!  Single + bass")</f>
        <v>the sound is quiet (albeit clear), they don’t sit very comfortably, the headphone cord is short (both for PC and phone)!  Single + bass</v>
      </c>
    </row>
    <row r="733" spans="1:9" x14ac:dyDescent="0.3">
      <c r="A733" s="1" t="s">
        <v>120</v>
      </c>
      <c r="B733" s="1" t="s">
        <v>121</v>
      </c>
      <c r="C733" s="1" t="s">
        <v>122</v>
      </c>
      <c r="D733" s="1" t="s">
        <v>152</v>
      </c>
      <c r="E733" s="1" t="s">
        <v>1866</v>
      </c>
      <c r="F733" s="1" t="s">
        <v>1867</v>
      </c>
      <c r="G733" s="1" t="s">
        <v>36</v>
      </c>
      <c r="H733" s="1" t="s">
        <v>29</v>
      </c>
      <c r="I733" s="1" t="str">
        <f ca="1">IFERROR(__xludf.DUMMYFUNCTION("GOOGLETRANSLATE(F733, ""auto"", ""en"")
"),"Overall the TV is excellent.  The only negative is that it plays video from a flash drive in *.mp4 format. The *.avi format is not visible. Otherwise everything is very good.")</f>
        <v>Overall the TV is excellent.  The only negative is that it plays video from a flash drive in *.mp4 format. The *.avi format is not visible. Otherwise everything is very good.</v>
      </c>
    </row>
    <row r="734" spans="1:9" x14ac:dyDescent="0.3">
      <c r="A734" s="1" t="s">
        <v>61</v>
      </c>
      <c r="B734" s="1" t="s">
        <v>145</v>
      </c>
      <c r="C734" s="1" t="s">
        <v>45</v>
      </c>
      <c r="D734" s="1" t="s">
        <v>64</v>
      </c>
      <c r="E734" s="1" t="s">
        <v>1868</v>
      </c>
      <c r="F734" s="1" t="s">
        <v>1869</v>
      </c>
      <c r="G734" s="1" t="s">
        <v>36</v>
      </c>
      <c r="H734" s="1" t="s">
        <v>29</v>
      </c>
      <c r="I734" s="1" t="str">
        <f ca="1">IFERROR(__xludf.DUMMYFUNCTION("GOOGLETRANSLATE(F734, ""auto"", ""en"")
"),"A wonderful air fryer, easy to operate. Dishes are prepared even faster than in the oven, they are easy to clean, everything is tasty and fast, now I can easily spoil my household with goodies.")</f>
        <v>A wonderful air fryer, easy to operate. Dishes are prepared even faster than in the oven, they are easy to clean, everything is tasty and fast, now I can easily spoil my household with goodies.</v>
      </c>
    </row>
    <row r="735" spans="1:9" x14ac:dyDescent="0.3">
      <c r="A735" s="1" t="s">
        <v>43</v>
      </c>
      <c r="B735" s="1" t="s">
        <v>334</v>
      </c>
      <c r="C735" s="1" t="s">
        <v>101</v>
      </c>
      <c r="D735" s="1" t="s">
        <v>305</v>
      </c>
      <c r="E735" s="1" t="s">
        <v>755</v>
      </c>
      <c r="F735" s="1" t="s">
        <v>1870</v>
      </c>
      <c r="G735" s="1" t="s">
        <v>15</v>
      </c>
      <c r="H735" s="1" t="s">
        <v>16</v>
      </c>
      <c r="I735" s="1" t="str">
        <f ca="1">IFERROR(__xludf.DUMMYFUNCTION("GOOGLETRANSLATE(F735, ""auto"", ""en"")
"),"noisy. air flow is weak. It’s better to take a floor one.")</f>
        <v>noisy. air flow is weak. It’s better to take a floor one.</v>
      </c>
    </row>
    <row r="736" spans="1:9" x14ac:dyDescent="0.3">
      <c r="A736" s="1" t="s">
        <v>811</v>
      </c>
      <c r="B736" s="1" t="s">
        <v>1294</v>
      </c>
      <c r="C736" s="1" t="s">
        <v>1295</v>
      </c>
      <c r="D736" s="1" t="s">
        <v>52</v>
      </c>
      <c r="E736" s="1" t="s">
        <v>1871</v>
      </c>
      <c r="F736" s="1" t="s">
        <v>1872</v>
      </c>
      <c r="G736" s="1" t="s">
        <v>28</v>
      </c>
      <c r="H736" s="1" t="s">
        <v>29</v>
      </c>
      <c r="I736" s="1" t="str">
        <f ca="1">IFERROR(__xludf.DUMMYFUNCTION("GOOGLETRANSLATE(F736, ""auto"", ""en"")
"),"Andrey (Chelyabinsk) why do you spoil the optics by wiping them with gasoline, that’s the point of the graphite part, to remove fingerprints from the glass.")</f>
        <v>Andrey (Chelyabinsk) why do you spoil the optics by wiping them with gasoline, that’s the point of the graphite part, to remove fingerprints from the glass.</v>
      </c>
    </row>
    <row r="737" spans="1:9" x14ac:dyDescent="0.3">
      <c r="A737" s="1" t="s">
        <v>61</v>
      </c>
      <c r="B737" s="1" t="s">
        <v>145</v>
      </c>
      <c r="C737" s="1" t="s">
        <v>69</v>
      </c>
      <c r="D737" s="1" t="s">
        <v>280</v>
      </c>
      <c r="E737" s="1" t="s">
        <v>822</v>
      </c>
      <c r="F737" s="1" t="s">
        <v>1873</v>
      </c>
      <c r="G737" s="1" t="s">
        <v>28</v>
      </c>
      <c r="H737" s="1" t="s">
        <v>29</v>
      </c>
      <c r="I737" s="1" t="str">
        <f ca="1">IFERROR(__xludf.DUMMYFUNCTION("GOOGLETRANSLATE(F737, ""auto"", ""en"")
"),"For me, this is a completely normal thing, I don’t know what kind of buckwheat they have in Voronezh, but it cooks in 50 minutes. by timer.")</f>
        <v>For me, this is a completely normal thing, I don’t know what kind of buckwheat they have in Voronezh, but it cooks in 50 minutes. by timer.</v>
      </c>
    </row>
    <row r="738" spans="1:9" x14ac:dyDescent="0.3">
      <c r="A738" s="1" t="s">
        <v>30</v>
      </c>
      <c r="B738" s="1" t="s">
        <v>31</v>
      </c>
      <c r="C738" s="1" t="s">
        <v>32</v>
      </c>
      <c r="D738" s="1" t="s">
        <v>1874</v>
      </c>
      <c r="E738" s="1" t="s">
        <v>1875</v>
      </c>
      <c r="F738" s="1" t="s">
        <v>1876</v>
      </c>
      <c r="G738" s="1" t="s">
        <v>36</v>
      </c>
      <c r="H738" s="1" t="s">
        <v>29</v>
      </c>
      <c r="I738" s="1" t="str">
        <f ca="1">IFERROR(__xludf.DUMMYFUNCTION("GOOGLETRANSLATE(F738, ""auto"", ""en"")
"),"Great device! Happy with everything except the temperature. The processor heats up to 88 degrees! And yet it works fine, oddly enough.  Performance evaluation in Win 7 at 3.3")</f>
        <v>Great device! Happy with everything except the temperature. The processor heats up to 88 degrees! And yet it works fine, oddly enough.  Performance evaluation in Win 7 at 3.3</v>
      </c>
    </row>
    <row r="739" spans="1:9" x14ac:dyDescent="0.3">
      <c r="A739" s="1" t="s">
        <v>17</v>
      </c>
      <c r="B739" s="1" t="s">
        <v>18</v>
      </c>
      <c r="C739" s="1" t="s">
        <v>159</v>
      </c>
      <c r="D739" s="1" t="s">
        <v>1877</v>
      </c>
      <c r="E739" s="1" t="s">
        <v>1275</v>
      </c>
      <c r="F739" s="1" t="s">
        <v>1878</v>
      </c>
      <c r="G739" s="1" t="s">
        <v>28</v>
      </c>
      <c r="H739" s="1" t="s">
        <v>29</v>
      </c>
      <c r="I739" s="1" t="str">
        <f ca="1">IFERROR(__xludf.DUMMYFUNCTION("GOOGLETRANSLATE(F739, ""auto"", ""en"")
"),"Quite quiet, washes perfectly, controls are convenient. The only thing I don’t like is the lack of child protection; when purchasing, the manager said that if the program is running, but you can’t turn it off by pressing the buttons, only if you unplug it"&amp;" from the network - but this is not the case, pressing the buttons easily breaks the program, and irrevocably.")</f>
        <v>Quite quiet, washes perfectly, controls are convenient. The only thing I don’t like is the lack of child protection; when purchasing, the manager said that if the program is running, but you can’t turn it off by pressing the buttons, only if you unplug it from the network - but this is not the case, pressing the buttons easily breaks the program, and irrevocably.</v>
      </c>
    </row>
    <row r="740" spans="1:9" x14ac:dyDescent="0.3">
      <c r="A740" s="1" t="s">
        <v>211</v>
      </c>
      <c r="B740" s="1" t="s">
        <v>265</v>
      </c>
      <c r="C740" s="1" t="s">
        <v>122</v>
      </c>
      <c r="D740" s="1" t="s">
        <v>52</v>
      </c>
      <c r="E740" s="1" t="s">
        <v>1879</v>
      </c>
      <c r="F740" s="1" t="s">
        <v>1880</v>
      </c>
      <c r="G740" s="1" t="s">
        <v>36</v>
      </c>
      <c r="H740" s="1" t="s">
        <v>29</v>
      </c>
      <c r="I740" s="1" t="str">
        <f ca="1">IFERROR(__xludf.DUMMYFUNCTION("GOOGLETRANSLATE(F740, ""auto"", ""en"")
"),"Inexpensive and convenient washable trimmer with a declared resource of 3 years from one battery. Happy with the purchase!")</f>
        <v>Inexpensive and convenient washable trimmer with a declared resource of 3 years from one battery. Happy with the purchase!</v>
      </c>
    </row>
    <row r="741" spans="1:9" x14ac:dyDescent="0.3">
      <c r="A741" s="1" t="s">
        <v>89</v>
      </c>
      <c r="B741" s="1" t="s">
        <v>90</v>
      </c>
      <c r="C741" s="1" t="s">
        <v>57</v>
      </c>
      <c r="D741" s="1" t="s">
        <v>545</v>
      </c>
      <c r="E741" s="1" t="s">
        <v>1881</v>
      </c>
      <c r="F741" s="1" t="s">
        <v>1882</v>
      </c>
      <c r="G741" s="1" t="s">
        <v>36</v>
      </c>
      <c r="H741" s="1" t="s">
        <v>29</v>
      </c>
      <c r="I741" s="1" t="str">
        <f ca="1">IFERROR(__xludf.DUMMYFUNCTION("GOOGLETRANSLATE(F741, ""auto"", ""en"")
"),"Quite powerful (easily copes with coffee beans, dried zest and cereals. Grinding is even). Simple, compact, easy to clean. The transparent lid is very convenient. The cord retracts into the coffee grinder itself. Great coffee grinder. A small minus is the"&amp;" small download.")</f>
        <v>Quite powerful (easily copes with coffee beans, dried zest and cereals. Grinding is even). Simple, compact, easy to clean. The transparent lid is very convenient. The cord retracts into the coffee grinder itself. Great coffee grinder. A small minus is the small download.</v>
      </c>
    </row>
    <row r="742" spans="1:9" x14ac:dyDescent="0.3">
      <c r="A742" s="1" t="s">
        <v>9</v>
      </c>
      <c r="B742" s="1" t="s">
        <v>23</v>
      </c>
      <c r="C742" s="1" t="s">
        <v>134</v>
      </c>
      <c r="D742" s="1" t="s">
        <v>152</v>
      </c>
      <c r="E742" s="1" t="s">
        <v>1883</v>
      </c>
      <c r="F742" s="1" t="s">
        <v>1884</v>
      </c>
      <c r="G742" s="1" t="s">
        <v>36</v>
      </c>
      <c r="H742" s="1" t="s">
        <v>29</v>
      </c>
      <c r="I742" s="1" t="str">
        <f ca="1">IFERROR(__xludf.DUMMYFUNCTION("GOOGLETRANSLATE(F742, ""auto"", ""en"")
"),"Assembly, country of production, brand")</f>
        <v>Assembly, country of production, brand</v>
      </c>
    </row>
    <row r="743" spans="1:9" x14ac:dyDescent="0.3">
      <c r="A743" s="1" t="s">
        <v>206</v>
      </c>
      <c r="B743" s="1" t="s">
        <v>261</v>
      </c>
      <c r="C743" s="1" t="s">
        <v>45</v>
      </c>
      <c r="D743" s="1" t="s">
        <v>411</v>
      </c>
      <c r="E743" s="1" t="s">
        <v>1742</v>
      </c>
      <c r="F743" s="1" t="s">
        <v>1885</v>
      </c>
      <c r="G743" s="1" t="s">
        <v>36</v>
      </c>
      <c r="H743" s="1" t="s">
        <v>29</v>
      </c>
      <c r="I743" s="1" t="str">
        <f ca="1">IFERROR(__xludf.DUMMYFUNCTION("GOOGLETRANSLATE(F743, ""auto"", ""en"")
"),"An excellent modulator, with the necessary set of functions, including a remote control (built-in equalizer, volume control, scrolling through tracks, etc.). For me, this copy solved the problem of buying a new radio, because I stopped reading CDs, and I "&amp;"also have a radio and a lot of my favorite music at hand, and the price did not make me disappointed. Rating ""5"".")</f>
        <v>An excellent modulator, with the necessary set of functions, including a remote control (built-in equalizer, volume control, scrolling through tracks, etc.). For me, this copy solved the problem of buying a new radio, because I stopped reading CDs, and I also have a radio and a lot of my favorite music at hand, and the price did not make me disappointed. Rating "5".</v>
      </c>
    </row>
    <row r="744" spans="1:9" x14ac:dyDescent="0.3">
      <c r="A744" s="1" t="s">
        <v>624</v>
      </c>
      <c r="B744" s="1" t="s">
        <v>881</v>
      </c>
      <c r="C744" s="1" t="s">
        <v>479</v>
      </c>
      <c r="D744" s="1" t="s">
        <v>1520</v>
      </c>
      <c r="E744" s="1" t="s">
        <v>1886</v>
      </c>
      <c r="F744" s="1" t="s">
        <v>1887</v>
      </c>
      <c r="G744" s="1" t="s">
        <v>36</v>
      </c>
      <c r="H744" s="1" t="s">
        <v>29</v>
      </c>
      <c r="I744" s="1" t="str">
        <f ca="1">IFERROR(__xludf.DUMMYFUNCTION("GOOGLETRANSLATE(F744, ""auto"", ""en"")
"),"the game is certainly cool, but the camera is rather weak, it comes with the game")</f>
        <v>the game is certainly cool, but the camera is rather weak, it comes with the game</v>
      </c>
    </row>
    <row r="745" spans="1:9" x14ac:dyDescent="0.3">
      <c r="A745" s="1" t="s">
        <v>67</v>
      </c>
      <c r="B745" s="1" t="s">
        <v>340</v>
      </c>
      <c r="C745" s="1" t="s">
        <v>1634</v>
      </c>
      <c r="D745" s="1" t="s">
        <v>12</v>
      </c>
      <c r="E745" s="1" t="s">
        <v>1888</v>
      </c>
      <c r="F745" s="1" t="s">
        <v>1889</v>
      </c>
      <c r="G745" s="1" t="s">
        <v>36</v>
      </c>
      <c r="H745" s="1" t="s">
        <v>29</v>
      </c>
      <c r="I745" s="1" t="str">
        <f ca="1">IFERROR(__xludf.DUMMYFUNCTION("GOOGLETRANSLATE(F745, ""auto"", ""en"")
"),"I bought it 2 years ago, I’m very pleased, it’s perfect for home use. Easy to use, nothing superfluous.")</f>
        <v>I bought it 2 years ago, I’m very pleased, it’s perfect for home use. Easy to use, nothing superfluous.</v>
      </c>
    </row>
    <row r="746" spans="1:9" x14ac:dyDescent="0.3">
      <c r="A746" s="1" t="s">
        <v>61</v>
      </c>
      <c r="B746" s="1" t="s">
        <v>145</v>
      </c>
      <c r="C746" s="1" t="s">
        <v>57</v>
      </c>
      <c r="D746" s="1" t="s">
        <v>1890</v>
      </c>
      <c r="E746" s="1" t="s">
        <v>1891</v>
      </c>
      <c r="F746" s="1" t="s">
        <v>1892</v>
      </c>
      <c r="G746" s="1" t="s">
        <v>36</v>
      </c>
      <c r="H746" s="1" t="s">
        <v>29</v>
      </c>
      <c r="I746" s="1" t="str">
        <f ca="1">IFERROR(__xludf.DUMMYFUNCTION("GOOGLETRANSLATE(F746, ""auto"", ""en"")
"),"I’ve been looking for a deep fryer for a long time, let’s put it this way: value for money. I read a lot of reviews about both expensive and not so expensive ones. I decided on this one, came to the store and was amazed at how small the mesh was (designed"&amp;" for 400 g), but decided to take a risk since I was buying it for children. I came home and almost immediately started testing... To my surprise, the deep fryer coped with its task with a bang, it took about 8 minutes to prepare, it turned out, of course,"&amp;" not like in a McDuck, but it was also very tasty, the children ate for their dear soul. In general, I have never regretted that I chose her. I recommend")</f>
        <v>I’ve been looking for a deep fryer for a long time, let’s put it this way: value for money. I read a lot of reviews about both expensive and not so expensive ones. I decided on this one, came to the store and was amazed at how small the mesh was (designed for 400 g), but decided to take a risk since I was buying it for children. I came home and almost immediately started testing... To my surprise, the deep fryer coped with its task with a bang, it took about 8 minutes to prepare, it turned out, of course, not like in a McDuck, but it was also very tasty, the children ate for their dear soul. In general, I have never regretted that I chose her. I recommend</v>
      </c>
    </row>
    <row r="747" spans="1:9" x14ac:dyDescent="0.3">
      <c r="A747" s="1" t="s">
        <v>17</v>
      </c>
      <c r="B747" s="1" t="s">
        <v>18</v>
      </c>
      <c r="C747" s="1" t="s">
        <v>63</v>
      </c>
      <c r="D747" s="1" t="s">
        <v>113</v>
      </c>
      <c r="E747" s="1" t="s">
        <v>400</v>
      </c>
      <c r="F747" s="1" t="s">
        <v>1893</v>
      </c>
      <c r="G747" s="1" t="s">
        <v>15</v>
      </c>
      <c r="H747" s="1" t="s">
        <v>16</v>
      </c>
      <c r="I747" s="1" t="str">
        <f ca="1">IFERROR(__xludf.DUMMYFUNCTION("GOOGLETRANSLATE(F747, ""auto"", ""en"")
"),"We bought it 4 years ago. I washed it, but it broke. Ordinary car repair companies didn’t want to take on the job, it’s electronics. They say you need to contact the Bosch service center. Calling a specialist 1500 rub. He didn’t even open the car. He said"&amp;" that the electronic unit and lock needed to be changed. And it will cost 8500 rubles. I refused. I'm now looking for a new car without electronics...")</f>
        <v>We bought it 4 years ago. I washed it, but it broke. Ordinary car repair companies didn’t want to take on the job, it’s electronics. They say you need to contact the Bosch service center. Calling a specialist 1500 rub. He didn’t even open the car. He said that the electronic unit and lock needed to be changed. And it will cost 8500 rubles. I refused. I'm now looking for a new car without electronics...</v>
      </c>
    </row>
    <row r="748" spans="1:9" x14ac:dyDescent="0.3">
      <c r="A748" s="1" t="s">
        <v>811</v>
      </c>
      <c r="B748" s="1" t="s">
        <v>812</v>
      </c>
      <c r="C748" s="1" t="s">
        <v>813</v>
      </c>
      <c r="D748" s="1" t="s">
        <v>1894</v>
      </c>
      <c r="E748" s="1" t="s">
        <v>1895</v>
      </c>
      <c r="F748" s="1" t="s">
        <v>1896</v>
      </c>
      <c r="G748" s="1" t="s">
        <v>28</v>
      </c>
      <c r="H748" s="1" t="s">
        <v>29</v>
      </c>
      <c r="I748" s="1" t="str">
        <f ca="1">IFERROR(__xludf.DUMMYFUNCTION("GOOGLETRANSLATE(F748, ""auto"", ""en"")
"),"A good tripod for the price. I deliberately tried to handle it carelessly, everything is clear there. The tripod deserves a solid B, and that’s because the locking tab near the thread doesn’t fit my Sony camera. I have it in another place. If you need an "&amp;"inexpensive tripod for occasional shooting, this is what you need, but it also has a carrying bag.")</f>
        <v>A good tripod for the price. I deliberately tried to handle it carelessly, everything is clear there. The tripod deserves a solid B, and that’s because the locking tab near the thread doesn’t fit my Sony camera. I have it in another place. If you need an inexpensive tripod for occasional shooting, this is what you need, but it also has a carrying bag.</v>
      </c>
    </row>
    <row r="749" spans="1:9" x14ac:dyDescent="0.3">
      <c r="A749" s="1" t="s">
        <v>30</v>
      </c>
      <c r="B749" s="1" t="s">
        <v>50</v>
      </c>
      <c r="C749" s="1" t="s">
        <v>32</v>
      </c>
      <c r="D749" s="1" t="s">
        <v>52</v>
      </c>
      <c r="E749" s="1" t="s">
        <v>1406</v>
      </c>
      <c r="F749" s="1" t="s">
        <v>1897</v>
      </c>
      <c r="G749" s="1" t="s">
        <v>36</v>
      </c>
      <c r="H749" s="1" t="s">
        <v>29</v>
      </c>
      <c r="I749" s="1" t="str">
        <f ca="1">IFERROR(__xludf.DUMMYFUNCTION("GOOGLETRANSLATE(F749, ""auto"", ""en"")
"),"In fact, there was a problem with the noise of the DVD-ROM (I also thought about the lid), there was also a crackling sound in the speakers, but now everything seems to be fine. Otherwise, an excellent laptop!")</f>
        <v>In fact, there was a problem with the noise of the DVD-ROM (I also thought about the lid), there was also a crackling sound in the speakers, but now everything seems to be fine. Otherwise, an excellent laptop!</v>
      </c>
    </row>
    <row r="750" spans="1:9" x14ac:dyDescent="0.3">
      <c r="A750" s="1" t="s">
        <v>95</v>
      </c>
      <c r="B750" s="1" t="s">
        <v>227</v>
      </c>
      <c r="C750" s="1" t="s">
        <v>97</v>
      </c>
      <c r="D750" s="1" t="s">
        <v>1898</v>
      </c>
      <c r="E750" s="1" t="s">
        <v>1899</v>
      </c>
      <c r="F750" s="1" t="s">
        <v>1900</v>
      </c>
      <c r="G750" s="1" t="s">
        <v>36</v>
      </c>
      <c r="H750" s="1" t="s">
        <v>29</v>
      </c>
      <c r="I750" s="1" t="str">
        <f ca="1">IFERROR(__xludf.DUMMYFUNCTION("GOOGLETRANSLATE(F750, ""auto"", ""en"")
"),"I think it’s better to have both consoles, since both consoles have great games, and I like the PS3 better/")</f>
        <v>I think it’s better to have both consoles, since both consoles have great games, and I like the PS3 better/</v>
      </c>
    </row>
    <row r="751" spans="1:9" x14ac:dyDescent="0.3">
      <c r="A751" s="1" t="s">
        <v>9</v>
      </c>
      <c r="B751" s="1" t="s">
        <v>137</v>
      </c>
      <c r="C751" s="1" t="s">
        <v>63</v>
      </c>
      <c r="D751" s="1" t="s">
        <v>152</v>
      </c>
      <c r="E751" s="1" t="s">
        <v>1901</v>
      </c>
      <c r="F751" s="1" t="s">
        <v>1902</v>
      </c>
      <c r="G751" s="1" t="s">
        <v>36</v>
      </c>
      <c r="H751" s="1" t="s">
        <v>29</v>
      </c>
      <c r="I751" s="1" t="str">
        <f ca="1">IFERROR(__xludf.DUMMYFUNCTION("GOOGLETRANSLATE(F751, ""auto"", ""en"")
"),"We have been using this panel for the second year, no complaints, easy to clean, no stains left, gas control, overall the panel is excellent!")</f>
        <v>We have been using this panel for the second year, no complaints, easy to clean, no stains left, gas control, overall the panel is excellent!</v>
      </c>
    </row>
    <row r="752" spans="1:9" x14ac:dyDescent="0.3">
      <c r="A752" s="1" t="s">
        <v>238</v>
      </c>
      <c r="B752" s="1" t="s">
        <v>276</v>
      </c>
      <c r="C752" s="1" t="s">
        <v>19</v>
      </c>
      <c r="D752" s="1" t="s">
        <v>280</v>
      </c>
      <c r="E752" s="1" t="s">
        <v>498</v>
      </c>
      <c r="F752" s="1" t="s">
        <v>1903</v>
      </c>
      <c r="G752" s="1" t="s">
        <v>36</v>
      </c>
      <c r="H752" s="1" t="s">
        <v>29</v>
      </c>
      <c r="I752" s="1" t="str">
        <f ca="1">IFERROR(__xludf.DUMMYFUNCTION("GOOGLETRANSLATE(F752, ""auto"", ""en"")
"),"Great refrigerator. It's been working for 2 years now and I haven't noticed any downsides.")</f>
        <v>Great refrigerator. It's been working for 2 years now and I haven't noticed any downsides.</v>
      </c>
    </row>
    <row r="753" spans="1:9" x14ac:dyDescent="0.3">
      <c r="A753" s="1" t="s">
        <v>211</v>
      </c>
      <c r="B753" s="1" t="s">
        <v>384</v>
      </c>
      <c r="C753" s="1" t="s">
        <v>246</v>
      </c>
      <c r="D753" s="1" t="s">
        <v>102</v>
      </c>
      <c r="E753" s="1" t="s">
        <v>1540</v>
      </c>
      <c r="F753" s="1" t="s">
        <v>1904</v>
      </c>
      <c r="G753" s="1" t="s">
        <v>36</v>
      </c>
      <c r="H753" s="1" t="s">
        <v>29</v>
      </c>
      <c r="I753" s="1" t="str">
        <f ca="1">IFERROR(__xludf.DUMMYFUNCTION("GOOGLETRANSLATE(F753, ""auto"", ""en"")
"),"I was given these scales as a gift, so far I’m very pleased, they show a pretty realistic weight, no complaints, we’ll see what happens next!")</f>
        <v>I was given these scales as a gift, so far I’m very pleased, they show a pretty realistic weight, no complaints, we’ll see what happens next!</v>
      </c>
    </row>
    <row r="754" spans="1:9" x14ac:dyDescent="0.3">
      <c r="A754" s="1" t="s">
        <v>67</v>
      </c>
      <c r="B754" s="1" t="s">
        <v>68</v>
      </c>
      <c r="C754" s="1" t="s">
        <v>69</v>
      </c>
      <c r="D754" s="1" t="s">
        <v>589</v>
      </c>
      <c r="E754" s="1" t="s">
        <v>1905</v>
      </c>
      <c r="F754" s="1" t="s">
        <v>1906</v>
      </c>
      <c r="G754" s="1" t="s">
        <v>36</v>
      </c>
      <c r="H754" s="1" t="s">
        <v>29</v>
      </c>
      <c r="I754" s="1" t="str">
        <f ca="1">IFERROR(__xludf.DUMMYFUNCTION("GOOGLETRANSLATE(F754, ""auto"", ""en"")
"),"It took me a long time to choose the iron model, because... there was nothing to compare with, before that there was an iron from Soviet times, and then a steamer!  Heats up quickly, doesn't make much noise, good power, long cord, soft, comfortable handle"&amp;". Very nice to iron. Glides great. The wheel spins effortlessly. I was very pleased with the large hole for water and the kit included a measuring cup, although this was not indicated anywhere - a definite plus. The design and color of the iron are also g"&amp;"reat!  I hope it will serve for a long time!  Thank you Mvideo for the discount!")</f>
        <v>It took me a long time to choose the iron model, because... there was nothing to compare with, before that there was an iron from Soviet times, and then a steamer!  Heats up quickly, doesn't make much noise, good power, long cord, soft, comfortable handle. Very nice to iron. Glides great. The wheel spins effortlessly. I was very pleased with the large hole for water and the kit included a measuring cup, although this was not indicated anywhere - a definite plus. The design and color of the iron are also great!  I hope it will serve for a long time!  Thank you Mvideo for the discount!</v>
      </c>
    </row>
    <row r="755" spans="1:9" x14ac:dyDescent="0.3">
      <c r="A755" s="1" t="s">
        <v>61</v>
      </c>
      <c r="B755" s="1" t="s">
        <v>318</v>
      </c>
      <c r="C755" s="1" t="s">
        <v>63</v>
      </c>
      <c r="D755" s="1" t="s">
        <v>232</v>
      </c>
      <c r="E755" s="1" t="s">
        <v>1907</v>
      </c>
      <c r="F755" s="1" t="s">
        <v>1908</v>
      </c>
      <c r="G755" s="1" t="s">
        <v>28</v>
      </c>
      <c r="H755" s="1" t="s">
        <v>29</v>
      </c>
      <c r="I755" s="1" t="str">
        <f ca="1">IFERROR(__xludf.DUMMYFUNCTION("GOOGLETRANSLATE(F755, ""auto"", ""en"")
"),"It leaked after 2 years, it seems through the screws...")</f>
        <v>It leaked after 2 years, it seems through the screws...</v>
      </c>
    </row>
    <row r="756" spans="1:9" x14ac:dyDescent="0.3">
      <c r="A756" s="1" t="s">
        <v>120</v>
      </c>
      <c r="B756" s="1" t="s">
        <v>121</v>
      </c>
      <c r="C756" s="1" t="s">
        <v>80</v>
      </c>
      <c r="D756" s="1" t="s">
        <v>345</v>
      </c>
      <c r="E756" s="1" t="s">
        <v>1909</v>
      </c>
      <c r="F756" s="1" t="s">
        <v>1910</v>
      </c>
      <c r="G756" s="1" t="s">
        <v>36</v>
      </c>
      <c r="H756" s="1" t="s">
        <v>29</v>
      </c>
      <c r="I756" s="1" t="str">
        <f ca="1">IFERROR(__xludf.DUMMYFUNCTION("GOOGLETRANSLATE(F756, ""auto"", ""en"")
"),"An excellent TV... I bought it for 19200... I struggled for a long time with unlocking the USB light and IR diodes... Maybe the firmware is new, maybe my hands are crooked... One forum helped, where they talked about unlocking using a universal remote con"&amp;"trol... I bought one for all 7931... and lo and behold! the treasured squares appeared, entered the password and that’s it....enjoying watching the video")</f>
        <v>An excellent TV... I bought it for 19200... I struggled for a long time with unlocking the USB light and IR diodes... Maybe the firmware is new, maybe my hands are crooked... One forum helped, where they talked about unlocking using a universal remote control... I bought one for all 7931... and lo and behold! the treasured squares appeared, entered the password and that’s it....enjoying watching the video</v>
      </c>
    </row>
    <row r="757" spans="1:9" x14ac:dyDescent="0.3">
      <c r="A757" s="1" t="s">
        <v>9</v>
      </c>
      <c r="B757" s="1" t="s">
        <v>10</v>
      </c>
      <c r="C757" s="1" t="s">
        <v>407</v>
      </c>
      <c r="D757" s="1" t="s">
        <v>1911</v>
      </c>
      <c r="E757" s="1" t="s">
        <v>1912</v>
      </c>
      <c r="F757" s="1" t="s">
        <v>1913</v>
      </c>
      <c r="G757" s="1" t="s">
        <v>36</v>
      </c>
      <c r="H757" s="1" t="s">
        <v>29</v>
      </c>
      <c r="I757" s="1" t="str">
        <f ca="1">IFERROR(__xludf.DUMMYFUNCTION("GOOGLETRANSLATE(F757, ""auto"", ""en"")
"),"We have a very specific design in our kitchen, so when we were looking for a hood, we first of all paid attention to the design, and that’s how we decided to buy this particular model from Shindo, although we had heard little from this brand, but your con"&amp;"sultants helped us decide for sure that this model would still decorate our kitchen. The installation was easy and simple, there were no problems, as well as in the controls - everything was very clear, there was even nothing to figure out. There are four"&amp;" operating modes, although I never set it to maximum - firstly, it’s a little noisy, and secondly, there’s simply no need, because even at the second speed it pretty well absorbs all the unpleasant odors in the kitchen. We were definitely pleased with thi"&amp;"s choice!")</f>
        <v>We have a very specific design in our kitchen, so when we were looking for a hood, we first of all paid attention to the design, and that’s how we decided to buy this particular model from Shindo, although we had heard little from this brand, but your consultants helped us decide for sure that this model would still decorate our kitchen. The installation was easy and simple, there were no problems, as well as in the controls - everything was very clear, there was even nothing to figure out. There are four operating modes, although I never set it to maximum - firstly, it’s a little noisy, and secondly, there’s simply no need, because even at the second speed it pretty well absorbs all the unpleasant odors in the kitchen. We were definitely pleased with this choice!</v>
      </c>
    </row>
    <row r="758" spans="1:9" x14ac:dyDescent="0.3">
      <c r="A758" s="1" t="s">
        <v>1823</v>
      </c>
      <c r="B758" s="1" t="s">
        <v>1824</v>
      </c>
      <c r="C758" s="1" t="s">
        <v>69</v>
      </c>
      <c r="D758" s="1" t="s">
        <v>565</v>
      </c>
      <c r="E758" s="1" t="s">
        <v>1914</v>
      </c>
      <c r="F758" s="1" t="s">
        <v>1915</v>
      </c>
      <c r="G758" s="1" t="s">
        <v>36</v>
      </c>
      <c r="H758" s="1" t="s">
        <v>29</v>
      </c>
      <c r="I758" s="1" t="str">
        <f ca="1">IFERROR(__xludf.DUMMYFUNCTION("GOOGLETRANSLATE(F758, ""auto"", ""en"")
"),"Very cool ironing board!!! It is very convenient to iron shirts on it! Sustainable! And suitable for irons with a steam generator! The quality of the board itself and materials is very high!")</f>
        <v>Very cool ironing board!!! It is very convenient to iron shirts on it! Sustainable! And suitable for irons with a steam generator! The quality of the board itself and materials is very high!</v>
      </c>
    </row>
    <row r="759" spans="1:9" x14ac:dyDescent="0.3">
      <c r="A759" s="1" t="s">
        <v>211</v>
      </c>
      <c r="B759" s="1" t="s">
        <v>410</v>
      </c>
      <c r="C759" s="1" t="s">
        <v>213</v>
      </c>
      <c r="D759" s="1" t="s">
        <v>366</v>
      </c>
      <c r="E759" s="1" t="s">
        <v>897</v>
      </c>
      <c r="F759" s="1" t="s">
        <v>1916</v>
      </c>
      <c r="G759" s="1" t="s">
        <v>36</v>
      </c>
      <c r="H759" s="1" t="s">
        <v>29</v>
      </c>
      <c r="I759" s="1" t="str">
        <f ca="1">IFERROR(__xludf.DUMMYFUNCTION("GOOGLETRANSLATE(F759, ""auto"", ""en"")
"),"The family gave it as a gift on February 23rd. All my life I have been shaving with good razors, I gained the experience of using an electric razor for the first time at the age of 16 (Kharkov), but the experience turned out to be sad. Now I’m 46 and expe"&amp;"rimenting again. This time - 7730. The result is obvious. Shaves hard-to-reach places without irritation. I tried both dry and with foam. I’ve been using it for four days now, and now I’ll probably only remember about the machine during periods of nostalg"&amp;"ia, or when the 7730 breaks down. I recommend it to anyone who shaves daily.")</f>
        <v>The family gave it as a gift on February 23rd. All my life I have been shaving with good razors, I gained the experience of using an electric razor for the first time at the age of 16 (Kharkov), but the experience turned out to be sad. Now I’m 46 and experimenting again. This time - 7730. The result is obvious. Shaves hard-to-reach places without irritation. I tried both dry and with foam. I’ve been using it for four days now, and now I’ll probably only remember about the machine during periods of nostalgia, or when the 7730 breaks down. I recommend it to anyone who shaves daily.</v>
      </c>
    </row>
    <row r="760" spans="1:9" x14ac:dyDescent="0.3">
      <c r="A760" s="1" t="s">
        <v>61</v>
      </c>
      <c r="B760" s="1" t="s">
        <v>318</v>
      </c>
      <c r="C760" s="1" t="s">
        <v>57</v>
      </c>
      <c r="D760" s="1" t="s">
        <v>1917</v>
      </c>
      <c r="E760" s="1" t="s">
        <v>1448</v>
      </c>
      <c r="F760" s="1" t="s">
        <v>1918</v>
      </c>
      <c r="G760" s="1" t="s">
        <v>36</v>
      </c>
      <c r="H760" s="1" t="s">
        <v>29</v>
      </c>
      <c r="I760" s="1" t="str">
        <f ca="1">IFERROR(__xludf.DUMMYFUNCTION("GOOGLETRANSLATE(F760, ""auto"", ""en"")
"),"Quite a good kettle. It boils in about 2-2.5 minutes. Nice design. Build quality is good. There are no foreign odors during boiling; the water after boiling has not changed its taste.")</f>
        <v>Quite a good kettle. It boils in about 2-2.5 minutes. Nice design. Build quality is good. There are no foreign odors during boiling; the water after boiling has not changed its taste.</v>
      </c>
    </row>
    <row r="761" spans="1:9" x14ac:dyDescent="0.3">
      <c r="A761" s="1" t="s">
        <v>9</v>
      </c>
      <c r="B761" s="1" t="s">
        <v>137</v>
      </c>
      <c r="C761" s="1" t="s">
        <v>63</v>
      </c>
      <c r="D761" s="1" t="s">
        <v>114</v>
      </c>
      <c r="E761" s="1" t="s">
        <v>87</v>
      </c>
      <c r="F761" s="1" t="s">
        <v>1919</v>
      </c>
      <c r="G761" s="1" t="s">
        <v>28</v>
      </c>
      <c r="H761" s="1" t="s">
        <v>29</v>
      </c>
      <c r="I761" s="1" t="str">
        <f ca="1">IFERROR(__xludf.DUMMYFUNCTION("GOOGLETRANSLATE(F761, ""auto"", ""en"")
"),"The controls are a little inconvenient, but it's all a matter of habit.  Heats up very quickly and cleans well!")</f>
        <v>The controls are a little inconvenient, but it's all a matter of habit.  Heats up very quickly and cleans well!</v>
      </c>
    </row>
    <row r="762" spans="1:9" x14ac:dyDescent="0.3">
      <c r="A762" s="1" t="s">
        <v>30</v>
      </c>
      <c r="B762" s="1" t="s">
        <v>50</v>
      </c>
      <c r="C762" s="1" t="s">
        <v>189</v>
      </c>
      <c r="D762" s="1" t="s">
        <v>33</v>
      </c>
      <c r="E762" s="1" t="s">
        <v>1122</v>
      </c>
      <c r="F762" s="1" t="s">
        <v>1920</v>
      </c>
      <c r="G762" s="1" t="s">
        <v>28</v>
      </c>
      <c r="H762" s="1" t="s">
        <v>29</v>
      </c>
      <c r="I762" s="1" t="str">
        <f ca="1">IFERROR(__xludf.DUMMYFUNCTION("GOOGLETRANSLATE(F762, ""auto"", ""en"")
"),"I’ve been the happy owner of this car for 10 months now, I won’t talk about the advantages since there are many of them!!! Let's move on to the minuses, so: 1: the laptop is all glossy a la carbon, a couple of minutes on your hands and all in your fingers"&amp;" that are difficult to wipe off, scratches appear on it like on a clockwork case, it is made of plastic that chips even if you don’t drop it and slightly touch it with something, there is a sin I put an ashtray on the lid a couple of times, so now it’s im"&amp;"mediately obvious now where to always put it because of the scratches!  2: the frame around the screen is generally the flimsiest and does not fit tightly to it, which is not very good! Under the monitor where its mounts are located is a graveyard of dust"&amp;", which is also not easy to remove!  3: the web camera is simply terrible in my opinion that it is worse than 0.30mp in room lighting, my interlocutor sees me in black and white colors, moreover, the drivers for it repeatedly fall off!!!  4: the microphon"&amp;"e is very cleverly located at the bottom of the screen frame next to the place where the cooling vents and the keyboard are located (so talking through this microphone with a girl and at the same time chatting on ICQ with other girls threatens to blow you"&amp;"r brain) your interlocutor will constantly hear you in the background and like a woodpecker!  5: over the entire 10 months I had to restore to the zero state (the state from the counter) 2 times. The reasons are the appearance of brakes, slow loading of t"&amp;"he operating system and sometimes the inability to wake up the laptop from sleep mode!   and almost 6: I really didn’t like the sound on this car because it’s really missing something! I’ll change it!")</f>
        <v>I’ve been the happy owner of this car for 10 months now, I won’t talk about the advantages since there are many of them!!! Let's move on to the minuses, so: 1: the laptop is all glossy a la carbon, a couple of minutes on your hands and all in your fingers that are difficult to wipe off, scratches appear on it like on a clockwork case, it is made of plastic that chips even if you don’t drop it and slightly touch it with something, there is a sin I put an ashtray on the lid a couple of times, so now it’s immediately obvious now where to always put it because of the scratches!  2: the frame around the screen is generally the flimsiest and does not fit tightly to it, which is not very good! Under the monitor where its mounts are located is a graveyard of dust, which is also not easy to remove!  3: the web camera is simply terrible in my opinion that it is worse than 0.30mp in room lighting, my interlocutor sees me in black and white colors, moreover, the drivers for it repeatedly fall off!!!  4: the microphone is very cleverly located at the bottom of the screen frame next to the place where the cooling vents and the keyboard are located (so talking through this microphone with a girl and at the same time chatting on ICQ with other girls threatens to blow your brain) your interlocutor will constantly hear you in the background and like a woodpecker!  5: over the entire 10 months I had to restore to the zero state (the state from the counter) 2 times. The reasons are the appearance of brakes, slow loading of the operating system and sometimes the inability to wake up the laptop from sleep mode!   and almost 6: I really didn’t like the sound on this car because it’s really missing something! I’ll change it!</v>
      </c>
    </row>
    <row r="763" spans="1:9" x14ac:dyDescent="0.3">
      <c r="A763" s="1" t="s">
        <v>105</v>
      </c>
      <c r="B763" s="1" t="s">
        <v>106</v>
      </c>
      <c r="C763" s="1" t="s">
        <v>1921</v>
      </c>
      <c r="D763" s="1" t="s">
        <v>127</v>
      </c>
      <c r="E763" s="1" t="s">
        <v>1922</v>
      </c>
      <c r="F763" s="1" t="s">
        <v>1923</v>
      </c>
      <c r="G763" s="1" t="s">
        <v>36</v>
      </c>
      <c r="H763" s="1" t="s">
        <v>29</v>
      </c>
      <c r="I763" s="1" t="str">
        <f ca="1">IFERROR(__xludf.DUMMYFUNCTION("GOOGLETRANSLATE(F763, ""auto"", ""en"")
"),"I bought it 4 days ago, I’m happy with everything, it’s an excellent player, the fact that it turns on/off differently from others doesn’t bother me.     There are no shortcomings, except for one trifle, when you play Tetris and press “left”, the figure s"&amp;"ometimes moves “right” =)")</f>
        <v>I bought it 4 days ago, I’m happy with everything, it’s an excellent player, the fact that it turns on/off differently from others doesn’t bother me.     There are no shortcomings, except for one trifle, when you play Tetris and press “left”, the figure sometimes moves “right” =)</v>
      </c>
    </row>
    <row r="764" spans="1:9" x14ac:dyDescent="0.3">
      <c r="A764" s="1" t="s">
        <v>238</v>
      </c>
      <c r="B764" s="1" t="s">
        <v>239</v>
      </c>
      <c r="C764" s="1" t="s">
        <v>240</v>
      </c>
      <c r="D764" s="1" t="s">
        <v>1924</v>
      </c>
      <c r="E764" s="1" t="s">
        <v>13</v>
      </c>
      <c r="F764" s="1" t="s">
        <v>1925</v>
      </c>
      <c r="G764" s="1" t="s">
        <v>36</v>
      </c>
      <c r="H764" s="1" t="s">
        <v>29</v>
      </c>
      <c r="I764" s="1" t="str">
        <f ca="1">IFERROR(__xludf.DUMMYFUNCTION("GOOGLETRANSLATE(F764, ""auto"", ""en"")
"),"We bought it from M.Video and have been using the refrigerator for two years. We chose between another and Liebherr, in the end we settled on the latter and never regretted it. There are a lot of advantages: Truly, it is dimensionless! For any family and "&amp;"friendly events, birthdays, May Day, New Year and any holidays, when there is especially a lot of food - everything fits in reserve! There is no need to take anything out into the cold, look for a second refrigerator, etc. On other days, food for a family"&amp;" of 6 people fits even more. And the refrigerator still doesn’t look half empty or, on the contrary, overloaded, everything is in its place. The freezer is also huge, a whole cabinet with 8 drawers, which is very convenient. Freezes and cools perfectly, w"&amp;"orks silently. Multiple temperature settings for refrigerator and freezer. The refrigerator is a drip type, the inner back wall is wet, as it should be. The shelves are glass, but durable; they can withstand the weight of a full pan or a three-liter jar. "&amp;"The freezer has plastic drawers. The surface of the refrigerator does not stain and is easy to clean, both outside and inside. Separate installation is available if desired. All fasteners and necessary plugs are included. You can place the refrigerator in"&amp;" one corner and the freezer in the other. You can install them together, it looks more solid and impressive. But not cumbersome. It fits perfectly in a 3x4 kitchen. No shortcomings were identified during the entire period of use. I recommend it to everyon"&amp;"e.")</f>
        <v>We bought it from M.Video and have been using the refrigerator for two years. We chose between another and Liebherr, in the end we settled on the latter and never regretted it. There are a lot of advantages: Truly, it is dimensionless! For any family and friendly events, birthdays, May Day, New Year and any holidays, when there is especially a lot of food - everything fits in reserve! There is no need to take anything out into the cold, look for a second refrigerator, etc. On other days, food for a family of 6 people fits even more. And the refrigerator still doesn’t look half empty or, on the contrary, overloaded, everything is in its place. The freezer is also huge, a whole cabinet with 8 drawers, which is very convenient. Freezes and cools perfectly, works silently. Multiple temperature settings for refrigerator and freezer. The refrigerator is a drip type, the inner back wall is wet, as it should be. The shelves are glass, but durable; they can withstand the weight of a full pan or a three-liter jar. The freezer has plastic drawers. The surface of the refrigerator does not stain and is easy to clean, both outside and inside. Separate installation is available if desired. All fasteners and necessary plugs are included. You can place the refrigerator in one corner and the freezer in the other. You can install them together, it looks more solid and impressive. But not cumbersome. It fits perfectly in a 3x4 kitchen. No shortcomings were identified during the entire period of use. I recommend it to everyone.</v>
      </c>
    </row>
    <row r="765" spans="1:9" x14ac:dyDescent="0.3">
      <c r="A765" s="1" t="s">
        <v>211</v>
      </c>
      <c r="B765" s="1" t="s">
        <v>212</v>
      </c>
      <c r="C765" s="1" t="s">
        <v>294</v>
      </c>
      <c r="D765" s="1" t="s">
        <v>46</v>
      </c>
      <c r="E765" s="1" t="s">
        <v>886</v>
      </c>
      <c r="F765" s="1" t="s">
        <v>1926</v>
      </c>
      <c r="G765" s="1" t="s">
        <v>36</v>
      </c>
      <c r="H765" s="1" t="s">
        <v>29</v>
      </c>
      <c r="I765" s="1" t="str">
        <f ca="1">IFERROR(__xludf.DUMMYFUNCTION("GOOGLETRANSLATE(F765, ""auto"", ""en"")
"),"I read the reviews and bought these electric curling irons for my mother-in-law, she is very pleased, they heat up quickly and do not damage the hair, the curls last a long time, I recommend them to everyone, they are inexpensive and of excellent quality,"&amp;" plus I was pleased with the thermal cover - it is very convenient to take with you.")</f>
        <v>I read the reviews and bought these electric curling irons for my mother-in-law, she is very pleased, they heat up quickly and do not damage the hair, the curls last a long time, I recommend them to everyone, they are inexpensive and of excellent quality, plus I was pleased with the thermal cover - it is very convenient to take with you.</v>
      </c>
    </row>
    <row r="766" spans="1:9" x14ac:dyDescent="0.3">
      <c r="A766" s="1" t="s">
        <v>9</v>
      </c>
      <c r="B766" s="1" t="s">
        <v>10</v>
      </c>
      <c r="C766" s="1" t="s">
        <v>466</v>
      </c>
      <c r="D766" s="1" t="s">
        <v>919</v>
      </c>
      <c r="E766" s="1" t="s">
        <v>798</v>
      </c>
      <c r="F766" s="1" t="s">
        <v>1927</v>
      </c>
      <c r="G766" s="1" t="s">
        <v>28</v>
      </c>
      <c r="H766" s="1" t="s">
        <v>29</v>
      </c>
      <c r="I766" s="1" t="str">
        <f ca="1">IFERROR(__xludf.DUMMYFUNCTION("GOOGLETRANSLATE(F766, ""auto"", ""en"")
"),"Somehow I went to the manufacturer’s website and found the answer to fixing the problem in the form of the letter “C” on the display. I hasten (albeit belatedly) to share this news. It's very simple!  Here is the answer: The indication “C” on the display "&amp;"of your hood means that the grease filters are dirty.   To eliminate the indication, you must perform the following actions: 1) turn off the hood from the network;  2) rinse and dry the filters thoroughly;  3) install filters, turn on the hood;  4) press "&amp;"and hold the power button (the leftmost button) for a little more than 3 seconds; when a flashing “E” appears on the display, you must select any other speed;  5) after turning off the hood, the “C” indication will disappear from the hood display.    P.S:"&amp;" I didn’t turn anything off or wash anything, I just held the button and everything became OK! Now the filters are dirty, but everything is fine with the display! I'm glad if my review helps someone.")</f>
        <v>Somehow I went to the manufacturer’s website and found the answer to fixing the problem in the form of the letter “C” on the display. I hasten (albeit belatedly) to share this news. It's very simple!  Here is the answer: The indication “C” on the display of your hood means that the grease filters are dirty.   To eliminate the indication, you must perform the following actions: 1) turn off the hood from the network;  2) rinse and dry the filters thoroughly;  3) install filters, turn on the hood;  4) press and hold the power button (the leftmost button) for a little more than 3 seconds; when a flashing “E” appears on the display, you must select any other speed;  5) after turning off the hood, the “C” indication will disappear from the hood display.    P.S: I didn’t turn anything off or wash anything, I just held the button and everything became OK! Now the filters are dirty, but everything is fine with the display! I'm glad if my review helps someone.</v>
      </c>
    </row>
    <row r="767" spans="1:9" x14ac:dyDescent="0.3">
      <c r="A767" s="1" t="s">
        <v>9</v>
      </c>
      <c r="B767" s="1" t="s">
        <v>23</v>
      </c>
      <c r="C767" s="1" t="s">
        <v>63</v>
      </c>
      <c r="D767" s="1" t="s">
        <v>1193</v>
      </c>
      <c r="E767" s="1" t="s">
        <v>82</v>
      </c>
      <c r="F767" s="1" t="s">
        <v>1928</v>
      </c>
      <c r="G767" s="1" t="s">
        <v>36</v>
      </c>
      <c r="H767" s="1" t="s">
        <v>29</v>
      </c>
      <c r="I767" s="1" t="str">
        <f ca="1">IFERROR(__xludf.DUMMYFUNCTION("GOOGLETRANSLATE(F767, ""auto"", ""en"")
"),"We bought this machine and are very pleased. They took it because they carry big things. And generally a good thing. Saves time and energy. I recommend it.")</f>
        <v>We bought this machine and are very pleased. They took it because they carry big things. And generally a good thing. Saves time and energy. I recommend it.</v>
      </c>
    </row>
    <row r="768" spans="1:9" x14ac:dyDescent="0.3">
      <c r="A768" s="1" t="s">
        <v>211</v>
      </c>
      <c r="B768" s="1" t="s">
        <v>212</v>
      </c>
      <c r="C768" s="1" t="s">
        <v>294</v>
      </c>
      <c r="D768" s="1" t="s">
        <v>474</v>
      </c>
      <c r="E768" s="1" t="s">
        <v>1929</v>
      </c>
      <c r="F768" s="1" t="s">
        <v>1930</v>
      </c>
      <c r="G768" s="1" t="s">
        <v>36</v>
      </c>
      <c r="H768" s="1" t="s">
        <v>29</v>
      </c>
      <c r="I768" s="1" t="str">
        <f ca="1">IFERROR(__xludf.DUMMYFUNCTION("GOOGLETRANSLATE(F768, ""auto"", ""en"")
"),"Excellent electric tongs! The device is easy to use, heats up quickly, and forms elastic and beautiful strands. Delicate curling is guaranteed. I recommend!")</f>
        <v>Excellent electric tongs! The device is easy to use, heats up quickly, and forms elastic and beautiful strands. Delicate curling is guaranteed. I recommend!</v>
      </c>
    </row>
    <row r="769" spans="1:9" x14ac:dyDescent="0.3">
      <c r="A769" s="1" t="s">
        <v>149</v>
      </c>
      <c r="B769" s="1" t="s">
        <v>155</v>
      </c>
      <c r="C769" s="1" t="s">
        <v>1187</v>
      </c>
      <c r="D769" s="1" t="s">
        <v>940</v>
      </c>
      <c r="E769" s="1" t="s">
        <v>1931</v>
      </c>
      <c r="F769" s="1" t="s">
        <v>1932</v>
      </c>
      <c r="G769" s="1" t="s">
        <v>36</v>
      </c>
      <c r="H769" s="1" t="s">
        <v>29</v>
      </c>
      <c r="I769" s="1" t="str">
        <f ca="1">IFERROR(__xludf.DUMMYFUNCTION("GOOGLETRANSLATE(F769, ""auto"", ""en"")
"),"Expensive, but I don’t regret the money spent. I’ve been using it for three years!!! At home and in the country, I have a dog. It’s just a super-wonderful masterpiece of a vacuum cleaner. Very powerful, absolutely no smells when cleaning. Carpets and rugs"&amp;" look like new after cleaning. It’s very fascinating to watch how the dust gets captured in the transparent body and spins in a circle at breakneck speed. No bags are needed - I easily removed the container, poured the garbage into the bag (stunned what w"&amp;"e breathe!!!) and put it in place. After cleaning, there was a feeling of real freshness and renewal.")</f>
        <v>Expensive, but I don’t regret the money spent. I’ve been using it for three years!!! At home and in the country, I have a dog. It’s just a super-wonderful masterpiece of a vacuum cleaner. Very powerful, absolutely no smells when cleaning. Carpets and rugs look like new after cleaning. It’s very fascinating to watch how the dust gets captured in the transparent body and spins in a circle at breakneck speed. No bags are needed - I easily removed the container, poured the garbage into the bag (stunned what we breathe!!!) and put it in place. After cleaning, there was a feeling of real freshness and renewal.</v>
      </c>
    </row>
    <row r="770" spans="1:9" x14ac:dyDescent="0.3">
      <c r="A770" s="1" t="s">
        <v>111</v>
      </c>
      <c r="B770" s="1" t="s">
        <v>1090</v>
      </c>
      <c r="C770" s="1" t="s">
        <v>1091</v>
      </c>
      <c r="D770" s="1" t="s">
        <v>1933</v>
      </c>
      <c r="E770" s="1" t="s">
        <v>1487</v>
      </c>
      <c r="F770" s="1" t="s">
        <v>1934</v>
      </c>
      <c r="G770" s="1" t="s">
        <v>36</v>
      </c>
      <c r="H770" s="1" t="s">
        <v>29</v>
      </c>
      <c r="I770" s="1" t="str">
        <f ca="1">IFERROR(__xludf.DUMMYFUNCTION("GOOGLETRANSLATE(F770, ""auto"", ""en"")
"),"Excellent light bulbs. I took them for bonuses at the beginning of summer. It shines with a nice cool light. Economical and practical. I definitely advise everyone to take them.")</f>
        <v>Excellent light bulbs. I took them for bonuses at the beginning of summer. It shines with a nice cool light. Economical and practical. I definitely advise everyone to take them.</v>
      </c>
    </row>
    <row r="771" spans="1:9" x14ac:dyDescent="0.3">
      <c r="A771" s="1" t="s">
        <v>1443</v>
      </c>
      <c r="B771" s="1" t="s">
        <v>1444</v>
      </c>
      <c r="C771" s="1" t="s">
        <v>1445</v>
      </c>
      <c r="D771" s="1" t="s">
        <v>152</v>
      </c>
      <c r="E771" s="1" t="s">
        <v>1935</v>
      </c>
      <c r="F771" s="1" t="s">
        <v>1936</v>
      </c>
      <c r="G771" s="1" t="s">
        <v>36</v>
      </c>
      <c r="H771" s="1" t="s">
        <v>29</v>
      </c>
      <c r="I771" s="1" t="str">
        <f ca="1">IFERROR(__xludf.DUMMYFUNCTION("GOOGLETRANSLATE(F771, ""auto"", ""en"")
"),"It was in the USB port of the radio. My one and a half year old son grabbed the flash drive and pressed it with all his might, like a lever. The retractable connector was severely bent, but the flash drive continued to work properly in this state. I bent "&amp;"it back with force. It became somewhat difficult to slide out and slide into the housing, but it functions perfectly. The quality of the construction is beyond praise.")</f>
        <v>It was in the USB port of the radio. My one and a half year old son grabbed the flash drive and pressed it with all his might, like a lever. The retractable connector was severely bent, but the flash drive continued to work properly in this state. I bent it back with force. It became somewhat difficult to slide out and slide into the housing, but it functions perfectly. The quality of the construction is beyond praise.</v>
      </c>
    </row>
    <row r="772" spans="1:9" x14ac:dyDescent="0.3">
      <c r="A772" s="1" t="s">
        <v>211</v>
      </c>
      <c r="B772" s="1" t="s">
        <v>212</v>
      </c>
      <c r="C772" s="1" t="s">
        <v>381</v>
      </c>
      <c r="D772" s="1" t="s">
        <v>545</v>
      </c>
      <c r="E772" s="1" t="s">
        <v>1937</v>
      </c>
      <c r="F772" s="1" t="s">
        <v>1938</v>
      </c>
      <c r="G772" s="1" t="s">
        <v>28</v>
      </c>
      <c r="H772" s="1" t="s">
        <v>29</v>
      </c>
      <c r="I772" s="1" t="str">
        <f ca="1">IFERROR(__xludf.DUMMYFUNCTION("GOOGLETRANSLATE(F772, ""auto"", ""en"")
"),"Yesterday I bought Rowenta CF 3150FO electric curling irons and I immediately really liked them. Moreover, what I looked at in the store was slightly different from the contents of the box. They look much better and are easier to use. I haven't noticed an"&amp;"y shortcomings yet.")</f>
        <v>Yesterday I bought Rowenta CF 3150FO electric curling irons and I immediately really liked them. Moreover, what I looked at in the store was slightly different from the contents of the box. They look much better and are easier to use. I haven't noticed any shortcomings yet.</v>
      </c>
    </row>
    <row r="773" spans="1:9" x14ac:dyDescent="0.3">
      <c r="A773" s="1" t="s">
        <v>120</v>
      </c>
      <c r="B773" s="1" t="s">
        <v>121</v>
      </c>
      <c r="C773" s="1" t="s">
        <v>151</v>
      </c>
      <c r="D773" s="1" t="s">
        <v>385</v>
      </c>
      <c r="E773" s="1" t="s">
        <v>443</v>
      </c>
      <c r="F773" s="1" t="s">
        <v>1939</v>
      </c>
      <c r="G773" s="1" t="s">
        <v>36</v>
      </c>
      <c r="H773" s="1" t="s">
        <v>29</v>
      </c>
      <c r="I773" s="1" t="str">
        <f ca="1">IFERROR(__xludf.DUMMYFUNCTION("GOOGLETRANSLATE(F773, ""auto"", ""en"")
"),"Great TV. Who else is interested in a detailed description of muting the sound when turning it on and off. then here is the menu - Plug&amp;Play - General - Melody - off.")</f>
        <v>Great TV. Who else is interested in a detailed description of muting the sound when turning it on and off. then here is the menu - Plug&amp;Play - General - Melody - off.</v>
      </c>
    </row>
    <row r="774" spans="1:9" x14ac:dyDescent="0.3">
      <c r="A774" s="1" t="s">
        <v>9</v>
      </c>
      <c r="B774" s="1" t="s">
        <v>133</v>
      </c>
      <c r="C774" s="1" t="s">
        <v>151</v>
      </c>
      <c r="D774" s="1" t="s">
        <v>1940</v>
      </c>
      <c r="E774" s="1" t="s">
        <v>538</v>
      </c>
      <c r="F774" s="1" t="s">
        <v>1941</v>
      </c>
      <c r="G774" s="1" t="s">
        <v>36</v>
      </c>
      <c r="H774" s="1" t="s">
        <v>29</v>
      </c>
      <c r="I774" s="1" t="str">
        <f ca="1">IFERROR(__xludf.DUMMYFUNCTION("GOOGLETRANSLATE(F774, ""auto"", ""en"")
"),"I’ve been using it with pleasure for 3 years, I bought it from the video.  You won't be disappointed, buy it.")</f>
        <v>I’ve been using it with pleasure for 3 years, I bought it from the video.  You won't be disappointed, buy it.</v>
      </c>
    </row>
    <row r="775" spans="1:9" x14ac:dyDescent="0.3">
      <c r="A775" s="1" t="s">
        <v>17</v>
      </c>
      <c r="B775" s="1" t="s">
        <v>18</v>
      </c>
      <c r="C775" s="1" t="s">
        <v>243</v>
      </c>
      <c r="D775" s="1" t="s">
        <v>1942</v>
      </c>
      <c r="E775" s="1" t="s">
        <v>1943</v>
      </c>
      <c r="F775" s="1" t="s">
        <v>1944</v>
      </c>
      <c r="G775" s="1" t="s">
        <v>36</v>
      </c>
      <c r="H775" s="1" t="s">
        <v>29</v>
      </c>
      <c r="I775" s="1" t="str">
        <f ca="1">IFERROR(__xludf.DUMMYFUNCTION("GOOGLETRANSLATE(F775, ""auto"", ""en"")
"),"Excellent machine for a reasonable price. It washes efficiently in any mode, but I don’t see the point in express mode for 15 minutes. Doesn't make noise, doesn't shake. Satisfied with the purchase!!!")</f>
        <v>Excellent machine for a reasonable price. It washes efficiently in any mode, but I don’t see the point in express mode for 15 minutes. Doesn't make noise, doesn't shake. Satisfied with the purchase!!!</v>
      </c>
    </row>
    <row r="776" spans="1:9" x14ac:dyDescent="0.3">
      <c r="A776" s="1" t="s">
        <v>61</v>
      </c>
      <c r="B776" s="1" t="s">
        <v>977</v>
      </c>
      <c r="C776" s="1" t="s">
        <v>63</v>
      </c>
      <c r="D776" s="1" t="s">
        <v>1945</v>
      </c>
      <c r="E776" s="1" t="s">
        <v>1946</v>
      </c>
      <c r="F776" s="1" t="s">
        <v>1947</v>
      </c>
      <c r="G776" s="1" t="s">
        <v>36</v>
      </c>
      <c r="H776" s="1" t="s">
        <v>29</v>
      </c>
      <c r="I776" s="1" t="str">
        <f ca="1">IFERROR(__xludf.DUMMYFUNCTION("GOOGLETRANSLATE(F776, ""auto"", ""en"")
"),"I bought it as a gift for my father last New Year, but I use it myself more often. Very convenient, I loaded all the ingredients for the pancake dough, turned it on and went to play on the computer, after half an hour a good dough without lumps was ready.")</f>
        <v>I bought it as a gift for my father last New Year, but I use it myself more often. Very convenient, I loaded all the ingredients for the pancake dough, turned it on and went to play on the computer, after half an hour a good dough without lumps was ready.</v>
      </c>
    </row>
    <row r="777" spans="1:9" x14ac:dyDescent="0.3">
      <c r="A777" s="1" t="s">
        <v>120</v>
      </c>
      <c r="B777" s="1" t="s">
        <v>121</v>
      </c>
      <c r="C777" s="1" t="s">
        <v>69</v>
      </c>
      <c r="D777" s="1" t="s">
        <v>232</v>
      </c>
      <c r="E777" s="1" t="s">
        <v>1948</v>
      </c>
      <c r="F777" s="1" t="s">
        <v>1949</v>
      </c>
      <c r="G777" s="1" t="s">
        <v>36</v>
      </c>
      <c r="H777" s="1" t="s">
        <v>29</v>
      </c>
      <c r="I777" s="1" t="str">
        <f ca="1">IFERROR(__xludf.DUMMYFUNCTION("GOOGLETRANSLATE(F777, ""auto"", ""en"")
"),"For the promotional price of RUB 19,990, it’s the best you can find. DVDs are generally shown very well - very bright, movements are smooth, there are many colors, the sound is of good quality.  Thanks to M.Video for the product provided.  All that remain"&amp;"s is to purchase a BR drive. One of these days...")</f>
        <v>For the promotional price of RUB 19,990, it’s the best you can find. DVDs are generally shown very well - very bright, movements are smooth, there are many colors, the sound is of good quality.  Thanks to M.Video for the product provided.  All that remains is to purchase a BR drive. One of these days...</v>
      </c>
    </row>
    <row r="778" spans="1:9" x14ac:dyDescent="0.3">
      <c r="A778" s="1" t="s">
        <v>369</v>
      </c>
      <c r="B778" s="1" t="s">
        <v>587</v>
      </c>
      <c r="C778" s="1" t="s">
        <v>588</v>
      </c>
      <c r="D778" s="1" t="s">
        <v>152</v>
      </c>
      <c r="E778" s="1" t="s">
        <v>1950</v>
      </c>
      <c r="F778" s="1" t="s">
        <v>1951</v>
      </c>
      <c r="G778" s="1" t="s">
        <v>36</v>
      </c>
      <c r="H778" s="1" t="s">
        <v>29</v>
      </c>
      <c r="I778" s="1" t="str">
        <f ca="1">IFERROR(__xludf.DUMMYFUNCTION("GOOGLETRANSLATE(F778, ""auto"", ""en"")
"),"The stove is simply wonderful: beautiful design, the oven bakes very well, a well-thought-out cooking part with cast iron grates. I don't know about the service life.")</f>
        <v>The stove is simply wonderful: beautiful design, the oven bakes very well, a well-thought-out cooking part with cast iron grates. I don't know about the service life.</v>
      </c>
    </row>
    <row r="779" spans="1:9" x14ac:dyDescent="0.3">
      <c r="A779" s="1" t="s">
        <v>37</v>
      </c>
      <c r="B779" s="1" t="s">
        <v>38</v>
      </c>
      <c r="C779" s="1" t="s">
        <v>163</v>
      </c>
      <c r="D779" s="1" t="s">
        <v>1952</v>
      </c>
      <c r="E779" s="1" t="s">
        <v>443</v>
      </c>
      <c r="F779" s="1" t="s">
        <v>1953</v>
      </c>
      <c r="G779" s="1" t="s">
        <v>36</v>
      </c>
      <c r="H779" s="1" t="s">
        <v>29</v>
      </c>
      <c r="I779" s="1" t="str">
        <f ca="1">IFERROR(__xludf.DUMMYFUNCTION("GOOGLETRANSLATE(F779, ""auto"", ""en"")
"),"phone 3 years old - super!!!! no complaints.")</f>
        <v>phone 3 years old - super!!!! no complaints.</v>
      </c>
    </row>
    <row r="780" spans="1:9" x14ac:dyDescent="0.3">
      <c r="A780" s="1" t="s">
        <v>61</v>
      </c>
      <c r="B780" s="1" t="s">
        <v>318</v>
      </c>
      <c r="C780" s="1" t="s">
        <v>69</v>
      </c>
      <c r="D780" s="1" t="s">
        <v>186</v>
      </c>
      <c r="E780" s="1" t="s">
        <v>1500</v>
      </c>
      <c r="F780" s="1" t="s">
        <v>1954</v>
      </c>
      <c r="G780" s="1" t="s">
        <v>28</v>
      </c>
      <c r="H780" s="1" t="s">
        <v>29</v>
      </c>
      <c r="I780" s="1" t="str">
        <f ca="1">IFERROR(__xludf.DUMMYFUNCTION("GOOGLETRANSLATE(F780, ""auto"", ""en"")
"),"Design. Water level indicator on the body on both sides. Backlight.")</f>
        <v>Design. Water level indicator on the body on both sides. Backlight.</v>
      </c>
    </row>
    <row r="781" spans="1:9" x14ac:dyDescent="0.3">
      <c r="A781" s="1" t="s">
        <v>95</v>
      </c>
      <c r="B781" s="1" t="s">
        <v>227</v>
      </c>
      <c r="C781" s="1" t="s">
        <v>97</v>
      </c>
      <c r="D781" s="1" t="s">
        <v>114</v>
      </c>
      <c r="E781" s="1" t="s">
        <v>1955</v>
      </c>
      <c r="F781" s="1" t="s">
        <v>1956</v>
      </c>
      <c r="G781" s="1" t="s">
        <v>36</v>
      </c>
      <c r="H781" s="1" t="s">
        <v>29</v>
      </c>
      <c r="I781" s="1" t="str">
        <f ca="1">IFERROR(__xludf.DUMMYFUNCTION("GOOGLETRANSLATE(F781, ""auto"", ""en"")
"),"Of those who bought it, who can tell me what firmware is in this model?")</f>
        <v>Of those who bought it, who can tell me what firmware is in this model?</v>
      </c>
    </row>
    <row r="782" spans="1:9" x14ac:dyDescent="0.3">
      <c r="A782" s="1" t="s">
        <v>211</v>
      </c>
      <c r="B782" s="1" t="s">
        <v>601</v>
      </c>
      <c r="C782" s="1" t="s">
        <v>69</v>
      </c>
      <c r="D782" s="1" t="s">
        <v>52</v>
      </c>
      <c r="E782" s="1" t="s">
        <v>92</v>
      </c>
      <c r="F782" s="1" t="s">
        <v>1957</v>
      </c>
      <c r="G782" s="1" t="s">
        <v>36</v>
      </c>
      <c r="H782" s="1" t="s">
        <v>29</v>
      </c>
      <c r="I782" s="1" t="str">
        <f ca="1">IFERROR(__xludf.DUMMYFUNCTION("GOOGLETRANSLATE(F782, ""auto"", ""en"")
"),"Cleans well, the set includes 2 pieces with different colored rings, two people can use them.")</f>
        <v>Cleans well, the set includes 2 pieces with different colored rings, two people can use them.</v>
      </c>
    </row>
    <row r="783" spans="1:9" x14ac:dyDescent="0.3">
      <c r="A783" s="1" t="s">
        <v>211</v>
      </c>
      <c r="B783" s="1" t="s">
        <v>212</v>
      </c>
      <c r="C783" s="1" t="s">
        <v>69</v>
      </c>
      <c r="D783" s="1" t="s">
        <v>1958</v>
      </c>
      <c r="E783" s="1" t="s">
        <v>1959</v>
      </c>
      <c r="F783" s="1" t="s">
        <v>1960</v>
      </c>
      <c r="G783" s="1" t="s">
        <v>36</v>
      </c>
      <c r="H783" s="1" t="s">
        <v>29</v>
      </c>
      <c r="I783" s="1" t="str">
        <f ca="1">IFERROR(__xludf.DUMMYFUNCTION("GOOGLETRANSLATE(F783, ""auto"", ""en"")
"),"I purchased the product about 2 years ago, it straightens perfectly, and it curls, too)). And today it burned out ((. it’s a shame, I’ll go get a new one now!")</f>
        <v>I purchased the product about 2 years ago, it straightens perfectly, and it curls, too)). And today it burned out ((. it’s a shame, I’ll go get a new one now!</v>
      </c>
    </row>
    <row r="784" spans="1:9" x14ac:dyDescent="0.3">
      <c r="A784" s="1" t="s">
        <v>624</v>
      </c>
      <c r="B784" s="1" t="s">
        <v>625</v>
      </c>
      <c r="C784" s="1" t="s">
        <v>479</v>
      </c>
      <c r="D784" s="1" t="s">
        <v>81</v>
      </c>
      <c r="E784" s="1" t="s">
        <v>960</v>
      </c>
      <c r="F784" s="1" t="s">
        <v>1961</v>
      </c>
      <c r="G784" s="1" t="s">
        <v>36</v>
      </c>
      <c r="H784" s="1" t="s">
        <v>29</v>
      </c>
      <c r="I784" s="1" t="str">
        <f ca="1">IFERROR(__xludf.DUMMYFUNCTION("GOOGLETRANSLATE(F784, ""auto"", ""en"")
"),"Don't listen to negative reviews, everyone who has a PS3 should buy it. But before that, I advise you to carefully familiarize yourself with all aspects of the game, on various sites, all the most decent gaming sites (Gaming Mania, GameLand and a couple m"&amp;"ore) gave It a minimum of 9, Gambling Mania gave It 10, like many other sites, The Game is aiming for the title of Game of the Year on many sites, and there are 3 types of people who speak negatively about this game, who don’t like the genre, or rather, w"&amp;"ho didn’t like the genre of the game - *Interactive Cinema Thriller*, who simply couldn’t understand It, I saw a lot of people under 16 in the category, or who simply didn’t play it. Buy with confidence. The only small minus of the game is that it is not "&amp;"very long. Approximately 10 hours if you go through everything feeling in the game for the first time. and so - a Masterpiece.")</f>
        <v>Don't listen to negative reviews, everyone who has a PS3 should buy it. But before that, I advise you to carefully familiarize yourself with all aspects of the game, on various sites, all the most decent gaming sites (Gaming Mania, GameLand and a couple more) gave It a minimum of 9, Gambling Mania gave It 10, like many other sites, The Game is aiming for the title of Game of the Year on many sites, and there are 3 types of people who speak negatively about this game, who don’t like the genre, or rather, who didn’t like the genre of the game - *Interactive Cinema Thriller*, who simply couldn’t understand It, I saw a lot of people under 16 in the category, or who simply didn’t play it. Buy with confidence. The only small minus of the game is that it is not very long. Approximately 10 hours if you go through everything feeling in the game for the first time. and so - a Masterpiece.</v>
      </c>
    </row>
    <row r="785" spans="1:9" x14ac:dyDescent="0.3">
      <c r="A785" s="1" t="s">
        <v>95</v>
      </c>
      <c r="B785" s="1" t="s">
        <v>227</v>
      </c>
      <c r="C785" s="1" t="s">
        <v>97</v>
      </c>
      <c r="D785" s="1" t="s">
        <v>345</v>
      </c>
      <c r="E785" s="1" t="s">
        <v>1962</v>
      </c>
      <c r="F785" s="1" t="s">
        <v>1963</v>
      </c>
      <c r="G785" s="1" t="s">
        <v>36</v>
      </c>
      <c r="H785" s="1" t="s">
        <v>29</v>
      </c>
      <c r="I785" s="1" t="str">
        <f ca="1">IFERROR(__xludf.DUMMYFUNCTION("GOOGLETRANSLATE(F785, ""auto"", ""en"")
"),"When I bought this console I was very happy!!! And now I'm delighted with her. Some write that it is noisy, but I have had it for over a month now and so far I have not heard anything, I hope that I will not hear anything. And the funniest thing about ps "&amp;"move.  In short, I recommend it to everyone!!")</f>
        <v>When I bought this console I was very happy!!! And now I'm delighted with her. Some write that it is noisy, but I have had it for over a month now and so far I have not heard anything, I hope that I will not hear anything. And the funniest thing about ps move.  In short, I recommend it to everyone!!</v>
      </c>
    </row>
    <row r="786" spans="1:9" x14ac:dyDescent="0.3">
      <c r="A786" s="1" t="s">
        <v>238</v>
      </c>
      <c r="B786" s="1" t="s">
        <v>239</v>
      </c>
      <c r="C786" s="1" t="s">
        <v>240</v>
      </c>
      <c r="D786" s="1" t="s">
        <v>295</v>
      </c>
      <c r="E786" s="1" t="s">
        <v>1964</v>
      </c>
      <c r="F786" s="1" t="s">
        <v>1965</v>
      </c>
      <c r="G786" s="1" t="s">
        <v>36</v>
      </c>
      <c r="H786" s="1" t="s">
        <v>29</v>
      </c>
      <c r="I786" s="1" t="str">
        <f ca="1">IFERROR(__xludf.DUMMYFUNCTION("GOOGLETRANSLATE(F786, ""auto"", ""en"")
"),"I'm delighted with the refrigerator! Outwardly it looks very compact, although the capacity is incredible. Very quiet operation of the engines (despite the fact that there are 2 of them!). Very easy to operate. I recommend it to everyone!")</f>
        <v>I'm delighted with the refrigerator! Outwardly it looks very compact, although the capacity is incredible. Very quiet operation of the engines (despite the fact that there are 2 of them!). Very easy to operate. I recommend it to everyone!</v>
      </c>
    </row>
    <row r="787" spans="1:9" x14ac:dyDescent="0.3">
      <c r="A787" s="1" t="s">
        <v>67</v>
      </c>
      <c r="B787" s="1" t="s">
        <v>340</v>
      </c>
      <c r="C787" s="1" t="s">
        <v>341</v>
      </c>
      <c r="D787" s="1" t="s">
        <v>1966</v>
      </c>
      <c r="E787" s="1" t="s">
        <v>1967</v>
      </c>
      <c r="F787" s="1" t="s">
        <v>1968</v>
      </c>
      <c r="G787" s="1" t="s">
        <v>36</v>
      </c>
      <c r="H787" s="1" t="s">
        <v>29</v>
      </c>
      <c r="I787" s="1" t="str">
        <f ca="1">IFERROR(__xludf.DUMMYFUNCTION("GOOGLETRANSLATE(F787, ""auto"", ""en"")
"),"I bought it 2 months ago and have no regrets. Easy to use, you can set the mode you need. Does not tangle the threads, smooth, neat seam. The needle does not tear the fabric. I advise you to buy such a machine.")</f>
        <v>I bought it 2 months ago and have no regrets. Easy to use, you can set the mode you need. Does not tangle the threads, smooth, neat seam. The needle does not tear the fabric. I advise you to buy such a machine.</v>
      </c>
    </row>
    <row r="788" spans="1:9" x14ac:dyDescent="0.3">
      <c r="A788" s="1" t="s">
        <v>149</v>
      </c>
      <c r="B788" s="1" t="s">
        <v>576</v>
      </c>
      <c r="C788" s="1" t="s">
        <v>69</v>
      </c>
      <c r="D788" s="1" t="s">
        <v>247</v>
      </c>
      <c r="E788" s="1" t="s">
        <v>1969</v>
      </c>
      <c r="F788" s="1" t="s">
        <v>1970</v>
      </c>
      <c r="G788" s="1" t="s">
        <v>36</v>
      </c>
      <c r="H788" s="1" t="s">
        <v>29</v>
      </c>
      <c r="I788" s="1" t="str">
        <f ca="1">IFERROR(__xludf.DUMMYFUNCTION("GOOGLETRANSLATE(F788, ""auto"", ""en"")
"),"I bought this vacuum cleaner six months ago. In general, the vacuum cleaner is good, it removes cat hair perfectly, and it sucks right through the rug by the front door on which the cat sleeps. It removes wool, etc. well from upholstered furniture and rug"&amp;"s. The floor brush cleans corners well and collects all debris from crevices at once. I recommend this excellent vacuum cleaner to everyone...")</f>
        <v>I bought this vacuum cleaner six months ago. In general, the vacuum cleaner is good, it removes cat hair perfectly, and it sucks right through the rug by the front door on which the cat sleeps. It removes wool, etc. well from upholstered furniture and rugs. The floor brush cleans corners well and collects all debris from crevices at once. I recommend this excellent vacuum cleaner to everyone...</v>
      </c>
    </row>
    <row r="789" spans="1:9" x14ac:dyDescent="0.3">
      <c r="A789" s="1" t="s">
        <v>9</v>
      </c>
      <c r="B789" s="1" t="s">
        <v>137</v>
      </c>
      <c r="C789" s="1" t="s">
        <v>290</v>
      </c>
      <c r="D789" s="1" t="s">
        <v>305</v>
      </c>
      <c r="E789" s="1" t="s">
        <v>1971</v>
      </c>
      <c r="F789" s="1" t="s">
        <v>1972</v>
      </c>
      <c r="G789" s="1" t="s">
        <v>36</v>
      </c>
      <c r="H789" s="1" t="s">
        <v>29</v>
      </c>
      <c r="I789" s="1" t="str">
        <f ca="1">IFERROR(__xludf.DUMMYFUNCTION("GOOGLETRANSLATE(F789, ""auto"", ""en"")
"),"I bought the panel in June 2015. Lots of conveniences - there is no metal edging of the panel, under which dirt usually gets clogged, Burning reliability, fast heating, functionality - I set the cooking time, it beeped and turned off. Certainly nothing wi"&amp;"ll boil away or burn too much.   Like all glass ceramics, it is easy to clean.")</f>
        <v>I bought the panel in June 2015. Lots of conveniences - there is no metal edging of the panel, under which dirt usually gets clogged, Burning reliability, fast heating, functionality - I set the cooking time, it beeped and turned off. Certainly nothing will boil away or burn too much.   Like all glass ceramics, it is easy to clean.</v>
      </c>
    </row>
    <row r="790" spans="1:9" x14ac:dyDescent="0.3">
      <c r="A790" s="1" t="s">
        <v>9</v>
      </c>
      <c r="B790" s="1" t="s">
        <v>133</v>
      </c>
      <c r="C790" s="1" t="s">
        <v>466</v>
      </c>
      <c r="D790" s="1" t="s">
        <v>64</v>
      </c>
      <c r="E790" s="1" t="s">
        <v>666</v>
      </c>
      <c r="F790" s="1" t="s">
        <v>1973</v>
      </c>
      <c r="G790" s="1" t="s">
        <v>49</v>
      </c>
      <c r="H790" s="1" t="s">
        <v>16</v>
      </c>
      <c r="I790" s="1" t="str">
        <f ca="1">IFERROR(__xludf.DUMMYFUNCTION("GOOGLETRANSLATE(F790, ""auto"", ""en"")
"),"First time cooking dinner! The gas oven is DISGUSTING! the panel and control knobs are HOT, but what if there is a child? I will return it")</f>
        <v>First time cooking dinner! The gas oven is DISGUSTING! the panel and control knobs are HOT, but what if there is a child? I will return it</v>
      </c>
    </row>
    <row r="791" spans="1:9" x14ac:dyDescent="0.3">
      <c r="A791" s="1" t="s">
        <v>30</v>
      </c>
      <c r="B791" s="1" t="s">
        <v>50</v>
      </c>
      <c r="C791" s="1" t="s">
        <v>189</v>
      </c>
      <c r="D791" s="1" t="s">
        <v>1974</v>
      </c>
      <c r="E791" s="1" t="s">
        <v>1975</v>
      </c>
      <c r="F791" s="1" t="s">
        <v>1976</v>
      </c>
      <c r="G791" s="1" t="s">
        <v>28</v>
      </c>
      <c r="H791" s="1" t="s">
        <v>29</v>
      </c>
      <c r="I791" s="1" t="str">
        <f ca="1">IFERROR(__xludf.DUMMYFUNCTION("GOOGLETRANSLATE(F791, ""auto"", ""en"")
"),"I really liked the laptop, the only thing is that when I got home, I spent 1.5 hours removing unnecessary, and it’s not clear why, pre-installed software from ASUS, as well as antivirus from Symantec, and MS Office 2007, which I very intrusively offered t"&amp;"o buy.  It would be better to install a free antivirus from Microsoft (naturally, when the release comes out, although you can use it now) and Open Office.")</f>
        <v>I really liked the laptop, the only thing is that when I got home, I spent 1.5 hours removing unnecessary, and it’s not clear why, pre-installed software from ASUS, as well as antivirus from Symantec, and MS Office 2007, which I very intrusively offered to buy.  It would be better to install a free antivirus from Microsoft (naturally, when the release comes out, although you can use it now) and Open Office.</v>
      </c>
    </row>
    <row r="792" spans="1:9" x14ac:dyDescent="0.3">
      <c r="A792" s="1" t="s">
        <v>557</v>
      </c>
      <c r="B792" s="1" t="s">
        <v>1977</v>
      </c>
      <c r="C792" s="1" t="s">
        <v>369</v>
      </c>
      <c r="D792" s="1" t="s">
        <v>12</v>
      </c>
      <c r="E792" s="1" t="s">
        <v>1978</v>
      </c>
      <c r="F792" s="1" t="s">
        <v>1979</v>
      </c>
      <c r="G792" s="1" t="s">
        <v>28</v>
      </c>
      <c r="H792" s="1" t="s">
        <v>29</v>
      </c>
      <c r="I792" s="1" t="str">
        <f ca="1">IFERROR(__xludf.DUMMYFUNCTION("GOOGLETRANSLATE(F792, ""auto"", ""en"")
"),"Yesterday I bought a phone. I chose it on the MVideo website, liked it, went and bought it. Only at home, after reading the instructions, I realized that in the phone. It is impossible to enter in the book the person to whom the phone number belongs, I wa"&amp;"s very puzzled by this, i.e. You can enter the phone number, but who does it belong to? you need to keep it either on a separately written piece of paper or in your head.")</f>
        <v>Yesterday I bought a phone. I chose it on the MVideo website, liked it, went and bought it. Only at home, after reading the instructions, I realized that in the phone. It is impossible to enter in the book the person to whom the phone number belongs, I was very puzzled by this, i.e. You can enter the phone number, but who does it belong to? you need to keep it either on a separately written piece of paper or in your head.</v>
      </c>
    </row>
    <row r="793" spans="1:9" x14ac:dyDescent="0.3">
      <c r="A793" s="1" t="s">
        <v>120</v>
      </c>
      <c r="B793" s="1" t="s">
        <v>196</v>
      </c>
      <c r="C793" s="1" t="s">
        <v>1677</v>
      </c>
      <c r="D793" s="1" t="s">
        <v>411</v>
      </c>
      <c r="E793" s="1" t="s">
        <v>1245</v>
      </c>
      <c r="F793" s="1" t="s">
        <v>1980</v>
      </c>
      <c r="G793" s="1" t="s">
        <v>36</v>
      </c>
      <c r="H793" s="1" t="s">
        <v>29</v>
      </c>
      <c r="I793" s="1" t="str">
        <f ca="1">IFERROR(__xludf.DUMMYFUNCTION("GOOGLETRANSLATE(F793, ""auto"", ""en"")
"),"I agree with Dmitry, the sound is not great, the remote control is not ergonomic. In general, it all depends on the settings; in the additional functions for the screen, I removed the backlight from 100% to 50% and the faces became “alive”. The basis of i"&amp;"mage quality depends only on the signal, ideally a satellite dish. And regarding Blu-ray there is something more interesting: a media player with a terabit hard drive, for example IOMEGA SCREENPLAY DIRECTOR HD 1TB and you don’t need to buy any disks.")</f>
        <v>I agree with Dmitry, the sound is not great, the remote control is not ergonomic. In general, it all depends on the settings; in the additional functions for the screen, I removed the backlight from 100% to 50% and the faces became “alive”. The basis of image quality depends only on the signal, ideally a satellite dish. And regarding Blu-ray there is something more interesting: a media player with a terabit hard drive, for example IOMEGA SCREENPLAY DIRECTOR HD 1TB and you don’t need to buy any disks.</v>
      </c>
    </row>
    <row r="794" spans="1:9" x14ac:dyDescent="0.3">
      <c r="A794" s="1" t="s">
        <v>61</v>
      </c>
      <c r="B794" s="1" t="s">
        <v>145</v>
      </c>
      <c r="C794" s="1" t="s">
        <v>1981</v>
      </c>
      <c r="D794" s="1" t="s">
        <v>305</v>
      </c>
      <c r="E794" s="1" t="s">
        <v>1982</v>
      </c>
      <c r="F794" s="1" t="s">
        <v>1983</v>
      </c>
      <c r="G794" s="1" t="s">
        <v>36</v>
      </c>
      <c r="H794" s="1" t="s">
        <v>29</v>
      </c>
      <c r="I794" s="1" t="str">
        <f ca="1">IFERROR(__xludf.DUMMYFUNCTION("GOOGLETRANSLATE(F794, ""auto"", ""en"")
"),"Friends gave me one for my birthday. Very pleased!!! Excellent thermal control system, the green light comes on, open it, you're done. Super non-stick coating. Once before cooking I greased it with sunflower oil, and not a single pancake was lumpy. Thanks"&amp;" friends, thanks Saverin, thanks MVideo.")</f>
        <v>Friends gave me one for my birthday. Very pleased!!! Excellent thermal control system, the green light comes on, open it, you're done. Super non-stick coating. Once before cooking I greased it with sunflower oil, and not a single pancake was lumpy. Thanks friends, thanks Saverin, thanks MVideo.</v>
      </c>
    </row>
    <row r="795" spans="1:9" x14ac:dyDescent="0.3">
      <c r="A795" s="1" t="s">
        <v>67</v>
      </c>
      <c r="B795" s="1" t="s">
        <v>68</v>
      </c>
      <c r="C795" s="1" t="s">
        <v>246</v>
      </c>
      <c r="D795" s="1" t="s">
        <v>308</v>
      </c>
      <c r="E795" s="1" t="s">
        <v>1984</v>
      </c>
      <c r="F795" s="1" t="s">
        <v>1985</v>
      </c>
      <c r="G795" s="1" t="s">
        <v>36</v>
      </c>
      <c r="H795" s="1" t="s">
        <v>29</v>
      </c>
      <c r="I795" s="1" t="str">
        <f ca="1">IFERROR(__xludf.DUMMYFUNCTION("GOOGLETRANSLATE(F795, ""auto"", ""en"")
"),"A very good iron for little money. Irons great, steams with a bang! The only negative: for some reason they did not provide a measuring cup for adding water. And I’m very satisfied, I recommend it.")</f>
        <v>A very good iron for little money. Irons great, steams with a bang! The only negative: for some reason they did not provide a measuring cup for adding water. And I’m very satisfied, I recommend it.</v>
      </c>
    </row>
    <row r="796" spans="1:9" x14ac:dyDescent="0.3">
      <c r="A796" s="1" t="s">
        <v>9</v>
      </c>
      <c r="B796" s="1" t="s">
        <v>137</v>
      </c>
      <c r="C796" s="1" t="s">
        <v>151</v>
      </c>
      <c r="D796" s="1" t="s">
        <v>52</v>
      </c>
      <c r="E796" s="1" t="s">
        <v>1986</v>
      </c>
      <c r="F796" s="1" t="s">
        <v>1987</v>
      </c>
      <c r="G796" s="1" t="s">
        <v>49</v>
      </c>
      <c r="H796" s="1" t="s">
        <v>16</v>
      </c>
      <c r="I796" s="1" t="str">
        <f ca="1">IFERROR(__xludf.DUMMYFUNCTION("GOOGLETRANSLATE(F796, ""auto"", ""en"")
"),"Let me tell you straight away that the stove is bad! It does not heat badly, there is no dispute about that, but the quality leaves much to be desired!!! We bought it at the end of July and started using it at the beginning of October since the custom-mad"&amp;"e kitchen was not yet ready! When they installed it for me, everything worked well, worked properly, we only used tiles that are closer to the body, as they say, everything would have been fine, but an incident happened after the New Year. On January 5th "&amp;"or 6th of this year, we got up in the morning and the slab burst in half (the glass broke). The stripe ran across exactly two distant tiles that were not used at all!")</f>
        <v>Let me tell you straight away that the stove is bad! It does not heat badly, there is no dispute about that, but the quality leaves much to be desired!!! We bought it at the end of July and started using it at the beginning of October since the custom-made kitchen was not yet ready! When they installed it for me, everything worked well, worked properly, we only used tiles that are closer to the body, as they say, everything would have been fine, but an incident happened after the New Year. On January 5th or 6th of this year, we got up in the morning and the slab burst in half (the glass broke). The stripe ran across exactly two distant tiles that were not used at all!</v>
      </c>
    </row>
    <row r="797" spans="1:9" x14ac:dyDescent="0.3">
      <c r="A797" s="1" t="s">
        <v>169</v>
      </c>
      <c r="B797" s="1" t="s">
        <v>170</v>
      </c>
      <c r="C797" s="1" t="s">
        <v>171</v>
      </c>
      <c r="D797" s="1" t="s">
        <v>483</v>
      </c>
      <c r="E797" s="1" t="s">
        <v>1988</v>
      </c>
      <c r="F797" s="1" t="s">
        <v>1989</v>
      </c>
      <c r="G797" s="1" t="s">
        <v>49</v>
      </c>
      <c r="H797" s="1" t="s">
        <v>16</v>
      </c>
      <c r="I797" s="1" t="str">
        <f ca="1">IFERROR(__xludf.DUMMYFUNCTION("GOOGLETRANSLATE(F797, ""auto"", ""en"")
"),"I tried a lot of headphones due to the fact that this product is quite short-lived, they don’t last more than 3-4 months. Believe me, I have something to compare with.  Headphones fail, as a rule, due to wear and tear of the wire at the connection points."&amp;"   What won me over in these headphones was the good range of reproduced frequencies declared by the manufacturer and the good braiding of the wire (see the photo on the website; this braiding is clearly visible on the packaging of the product in the stor"&amp;"e. I will say right away that this braiding ends before it even begins - its length is about 4 cm, and the wire is very, very flimsy (apparently the cheapest of those that the manufacturer had at its disposal). The contact at the place where the plug is c"&amp;"onnected began It starts acting up already on the first day of use (the sound in the right earphone drops out periodically) The sound is a complete mess, I have never heard of a earphone that sounds so bad.")</f>
        <v>I tried a lot of headphones due to the fact that this product is quite short-lived, they don’t last more than 3-4 months. Believe me, I have something to compare with.  Headphones fail, as a rule, due to wear and tear of the wire at the connection points.   What won me over in these headphones was the good range of reproduced frequencies declared by the manufacturer and the good braiding of the wire (see the photo on the website; this braiding is clearly visible on the packaging of the product in the store. I will say right away that this braiding ends before it even begins - its length is about 4 cm, and the wire is very, very flimsy (apparently the cheapest of those that the manufacturer had at its disposal). The contact at the place where the plug is connected began It starts acting up already on the first day of use (the sound in the right earphone drops out periodically) The sound is a complete mess, I have never heard of a earphone that sounds so bad.</v>
      </c>
    </row>
    <row r="798" spans="1:9" x14ac:dyDescent="0.3">
      <c r="A798" s="1" t="s">
        <v>55</v>
      </c>
      <c r="B798" s="1" t="s">
        <v>84</v>
      </c>
      <c r="C798" s="1" t="s">
        <v>159</v>
      </c>
      <c r="D798" s="1" t="s">
        <v>1990</v>
      </c>
      <c r="E798" s="1" t="s">
        <v>1682</v>
      </c>
      <c r="F798" s="1" t="s">
        <v>1991</v>
      </c>
      <c r="G798" s="1" t="s">
        <v>15</v>
      </c>
      <c r="H798" s="1" t="s">
        <v>16</v>
      </c>
      <c r="I798" s="1" t="str">
        <f ca="1">IFERROR(__xludf.DUMMYFUNCTION("GOOGLETRANSLATE(F798, ""auto"", ""en"")
"),"I just bought an electrolux ehaw 6515 humidifier. It seems to me that the discs in the tray are not spinning (or shouldn’t they be spinning? Malfunction?). The fan works, but makes a noise like a buzzing wire. The instructions are not detailed. Not easy t"&amp;"o carry. Short wire. I haven't assessed the quality yet. But it is inconvenient to assemble and wash")</f>
        <v>I just bought an electrolux ehaw 6515 humidifier. It seems to me that the discs in the tray are not spinning (or shouldn’t they be spinning? Malfunction?). The fan works, but makes a noise like a buzzing wire. The instructions are not detailed. Not easy to carry. Short wire. I haven't assessed the quality yet. But it is inconvenient to assemble and wash</v>
      </c>
    </row>
    <row r="799" spans="1:9" x14ac:dyDescent="0.3">
      <c r="A799" s="1" t="s">
        <v>17</v>
      </c>
      <c r="B799" s="1" t="s">
        <v>18</v>
      </c>
      <c r="C799" s="1" t="s">
        <v>63</v>
      </c>
      <c r="D799" s="1" t="s">
        <v>483</v>
      </c>
      <c r="E799" s="1" t="s">
        <v>1992</v>
      </c>
      <c r="F799" s="1" t="s">
        <v>1993</v>
      </c>
      <c r="G799" s="1" t="s">
        <v>28</v>
      </c>
      <c r="H799" s="1" t="s">
        <v>29</v>
      </c>
      <c r="I799" s="1" t="str">
        <f ca="1">IFERROR(__xludf.DUMMYFUNCTION("GOOGLETRANSLATE(F799, ""auto"", ""en"")
"),"The problems with the 15 minute wash are the same as stated above.  In addition to this, the pump to drain the water is unstable. More precisely, the washing will end, and there will be half a tank of water.")</f>
        <v>The problems with the 15 minute wash are the same as stated above.  In addition to this, the pump to drain the water is unstable. More precisely, the washing will end, and there will be half a tank of water.</v>
      </c>
    </row>
    <row r="800" spans="1:9" x14ac:dyDescent="0.3">
      <c r="A800" s="1" t="s">
        <v>169</v>
      </c>
      <c r="B800" s="1" t="s">
        <v>170</v>
      </c>
      <c r="C800" s="1" t="s">
        <v>171</v>
      </c>
      <c r="D800" s="1" t="s">
        <v>280</v>
      </c>
      <c r="E800" s="1" t="s">
        <v>1994</v>
      </c>
      <c r="F800" s="1" t="s">
        <v>1995</v>
      </c>
      <c r="G800" s="1" t="s">
        <v>28</v>
      </c>
      <c r="H800" s="1" t="s">
        <v>29</v>
      </c>
      <c r="I800" s="1" t="str">
        <f ca="1">IFERROR(__xludf.DUMMYFUNCTION("GOOGLETRANSLATE(F800, ""auto"", ""en"")
"),"I’ll note right away that I’m a bass lover, and these headphones did an excellent job with it, good sensitivity, so they won’t disappoint at the tops either.    + Soft rubberized wire, clear sound, bass - Mini jack, made with the letter “G”, I prefer a di"&amp;"rect connection")</f>
        <v>I’ll note right away that I’m a bass lover, and these headphones did an excellent job with it, good sensitivity, so they won’t disappoint at the tops either.    + Soft rubberized wire, clear sound, bass - Mini jack, made with the letter “G”, I prefer a direct connection</v>
      </c>
    </row>
    <row r="801" spans="1:9" x14ac:dyDescent="0.3">
      <c r="A801" s="1" t="s">
        <v>211</v>
      </c>
      <c r="B801" s="1" t="s">
        <v>789</v>
      </c>
      <c r="C801" s="1" t="s">
        <v>69</v>
      </c>
      <c r="D801" s="1" t="s">
        <v>1996</v>
      </c>
      <c r="E801" s="1" t="s">
        <v>1997</v>
      </c>
      <c r="F801" s="1" t="s">
        <v>1998</v>
      </c>
      <c r="G801" s="1" t="s">
        <v>28</v>
      </c>
      <c r="H801" s="1" t="s">
        <v>29</v>
      </c>
      <c r="I801" s="1" t="str">
        <f ca="1">IFERROR(__xludf.DUMMYFUNCTION("GOOGLETRANSLATE(F801, ""auto"", ""en"")
"),"Reviews were sad about this product. Maybe someone has problems with this product, but everything is fine for me, I like everything. In general, I have no complaints yet, the quality is good. Thank you.")</f>
        <v>Reviews were sad about this product. Maybe someone has problems with this product, but everything is fine for me, I like everything. In general, I have no complaints yet, the quality is good. Thank you.</v>
      </c>
    </row>
    <row r="802" spans="1:9" x14ac:dyDescent="0.3">
      <c r="A802" s="1" t="s">
        <v>78</v>
      </c>
      <c r="B802" s="1" t="s">
        <v>1163</v>
      </c>
      <c r="C802" s="1" t="s">
        <v>80</v>
      </c>
      <c r="D802" s="1" t="s">
        <v>81</v>
      </c>
      <c r="E802" s="1" t="s">
        <v>460</v>
      </c>
      <c r="F802" s="1" t="s">
        <v>1999</v>
      </c>
      <c r="G802" s="1" t="s">
        <v>15</v>
      </c>
      <c r="H802" s="1" t="s">
        <v>16</v>
      </c>
      <c r="I802" s="1" t="str">
        <f ca="1">IFERROR(__xludf.DUMMYFUNCTION("GOOGLETRANSLATE(F802, ""auto"", ""en"")
"),"We had the same microwave, they gave it to us for our birthday! It stood for 3 years and seemed to work normally! Then, when I was putting the food to heat up, I turned on the microwave and suddenly a bright flash sparkled! I immediately turned it off, th"&amp;"en turned it on again and it sparkled again! I opened the door and saw a small burnt hole on the plate in the right corner of the microwave! The microwave wasn’t broken yet, but I didn’t take the risk and decided to buy another one; repairs would have bee"&amp;"n more expensive! And I decided to disassemble that microwave for parts!")</f>
        <v>We had the same microwave, they gave it to us for our birthday! It stood for 3 years and seemed to work normally! Then, when I was putting the food to heat up, I turned on the microwave and suddenly a bright flash sparkled! I immediately turned it off, then turned it on again and it sparkled again! I opened the door and saw a small burnt hole on the plate in the right corner of the microwave! The microwave wasn’t broken yet, but I didn’t take the risk and decided to buy another one; repairs would have been more expensive! And I decided to disassemble that microwave for parts!</v>
      </c>
    </row>
    <row r="803" spans="1:9" x14ac:dyDescent="0.3">
      <c r="A803" s="1" t="s">
        <v>211</v>
      </c>
      <c r="B803" s="1" t="s">
        <v>212</v>
      </c>
      <c r="C803" s="1" t="s">
        <v>381</v>
      </c>
      <c r="D803" s="1" t="s">
        <v>565</v>
      </c>
      <c r="E803" s="1" t="s">
        <v>2000</v>
      </c>
      <c r="F803" s="1" t="s">
        <v>2001</v>
      </c>
      <c r="G803" s="1" t="s">
        <v>36</v>
      </c>
      <c r="H803" s="1" t="s">
        <v>29</v>
      </c>
      <c r="I803" s="1" t="str">
        <f ca="1">IFERROR(__xludf.DUMMYFUNCTION("GOOGLETRANSLATE(F803, ""auto"", ""en"")
"),"I've been using this hair dryer for 4 years now. I have always suffered with my unruly hair - dry, faded, feels like straw.... In a word - a squirrel's tail. But with this hairdryer everything changed! It doesn’t make the hair stupidly straight, but stret"&amp;"ches it out and gently puts it into beautiful curls (I have long hair). My hair looks well-groomed and shiny! It’s a pity that it’s not compact, but still you can’t live without it!!!  I recommend it to everyone. And for those who complain that the nozzle"&amp;" falls off, I advise you to secure it correctly; this new model is not so simple with this. The previous model was simpler - the click was audible.")</f>
        <v>I've been using this hair dryer for 4 years now. I have always suffered with my unruly hair - dry, faded, feels like straw.... In a word - a squirrel's tail. But with this hairdryer everything changed! It doesn’t make the hair stupidly straight, but stretches it out and gently puts it into beautiful curls (I have long hair). My hair looks well-groomed and shiny! It’s a pity that it’s not compact, but still you can’t live without it!!!  I recommend it to everyone. And for those who complain that the nozzle falls off, I advise you to secure it correctly; this new model is not so simple with this. The previous model was simpler - the click was audible.</v>
      </c>
    </row>
    <row r="804" spans="1:9" x14ac:dyDescent="0.3">
      <c r="A804" s="1" t="s">
        <v>282</v>
      </c>
      <c r="B804" s="1" t="s">
        <v>283</v>
      </c>
      <c r="C804" s="1" t="s">
        <v>284</v>
      </c>
      <c r="D804" s="1" t="s">
        <v>2002</v>
      </c>
      <c r="E804" s="1" t="s">
        <v>285</v>
      </c>
      <c r="F804" s="1" t="s">
        <v>2003</v>
      </c>
      <c r="G804" s="1" t="s">
        <v>36</v>
      </c>
      <c r="H804" s="1" t="s">
        <v>29</v>
      </c>
      <c r="I804" s="1" t="str">
        <f ca="1">IFERROR(__xludf.DUMMYFUNCTION("GOOGLETRANSLATE(F804, ""auto"", ""en"")
"),"Crazy racing, squealing tires.........")</f>
        <v>Crazy racing, squealing tires.........</v>
      </c>
    </row>
    <row r="805" spans="1:9" x14ac:dyDescent="0.3">
      <c r="A805" s="1" t="s">
        <v>61</v>
      </c>
      <c r="B805" s="1" t="s">
        <v>318</v>
      </c>
      <c r="C805" s="1" t="s">
        <v>101</v>
      </c>
      <c r="D805" s="1" t="s">
        <v>152</v>
      </c>
      <c r="E805" s="1" t="s">
        <v>2004</v>
      </c>
      <c r="F805" s="1" t="s">
        <v>2005</v>
      </c>
      <c r="G805" s="1" t="s">
        <v>49</v>
      </c>
      <c r="H805" s="1" t="s">
        <v>16</v>
      </c>
      <c r="I805" s="1" t="str">
        <f ca="1">IFERROR(__xludf.DUMMYFUNCTION("GOOGLETRANSLATE(F805, ""auto"", ""en"")
"),"Once again he paid for his stinginess. Three-day poisoning, fever and ambulance. Doctors told the ins and outs of cheap plastic. I will continue to boil on the stove, maybe someday I’ll buy some glass, but my luck scares me.")</f>
        <v>Once again he paid for his stinginess. Three-day poisoning, fever and ambulance. Doctors told the ins and outs of cheap plastic. I will continue to boil on the stove, maybe someday I’ll buy some glass, but my luck scares me.</v>
      </c>
    </row>
    <row r="806" spans="1:9" x14ac:dyDescent="0.3">
      <c r="A806" s="1" t="s">
        <v>105</v>
      </c>
      <c r="B806" s="1" t="s">
        <v>106</v>
      </c>
      <c r="C806" s="1" t="s">
        <v>107</v>
      </c>
      <c r="D806" s="1" t="s">
        <v>232</v>
      </c>
      <c r="E806" s="1" t="s">
        <v>2006</v>
      </c>
      <c r="F806" s="1" t="s">
        <v>2007</v>
      </c>
      <c r="G806" s="1" t="s">
        <v>49</v>
      </c>
      <c r="H806" s="1" t="s">
        <v>16</v>
      </c>
      <c r="I806" s="1" t="str">
        <f ca="1">IFERROR(__xludf.DUMMYFUNCTION("GOOGLETRANSLATE(F806, ""auto"", ""en"")
"),"MP3 playback quality is quite satisfactory, the receiver sensitivity is average. When recording from the radio, there was a strong crackling sound that made it difficult to understand what was being said. There was a lot of noise when recording the voice."&amp;" I changed it to Sony NWZ-E443.")</f>
        <v>MP3 playback quality is quite satisfactory, the receiver sensitivity is average. When recording from the radio, there was a strong crackling sound that made it difficult to understand what was being said. There was a lot of noise when recording the voice. I changed it to Sony NWZ-E443.</v>
      </c>
    </row>
    <row r="807" spans="1:9" x14ac:dyDescent="0.3">
      <c r="A807" s="1" t="s">
        <v>37</v>
      </c>
      <c r="B807" s="1" t="s">
        <v>536</v>
      </c>
      <c r="C807" s="1" t="s">
        <v>39</v>
      </c>
      <c r="D807" s="1" t="s">
        <v>1581</v>
      </c>
      <c r="E807" s="1" t="s">
        <v>2008</v>
      </c>
      <c r="F807" s="1" t="s">
        <v>2009</v>
      </c>
      <c r="G807" s="1" t="s">
        <v>28</v>
      </c>
      <c r="H807" s="1" t="s">
        <v>29</v>
      </c>
      <c r="I807" s="1" t="str">
        <f ca="1">IFERROR(__xludf.DUMMYFUNCTION("GOOGLETRANSLATE(F807, ""auto"", ""en"")
"),"I purchased this device (only black) a week ago. Impressed with the features, options, menu, package.  Great display, no lags or glitches. The touch display is easy to use, the stylus is only needed when working in the browser, otherwise there is practica"&amp;"lly no need for it. I didn’t really test the camera - in good lighting the pictures were still okay, I expected more. Therefore, you should not expect a professional photo from this model. The battery is of small capacity. A few short calls and SMS - it d"&amp;"efinitely lasts 2 days, a little short of 3. If you listen to music, etc. etc. - You need to charge it every day.   Overall I'm happy. Cons - the photo is not very good, the battery is weak, there are no pre-installed video codecs (if anyone is interested"&amp;"), it does not play unconverted video, there is no third-party software that can solve this nuance either. But the converted video goes with a bang. For the sake of testing, I checked the playback of a 2 Gb movie - without brakes, the picture quality is e"&amp;"xcellent, it doesn’t even get stuck when rewinding. But the battery charge is only enough to watch 1.5 -2 movies.")</f>
        <v>I purchased this device (only black) a week ago. Impressed with the features, options, menu, package.  Great display, no lags or glitches. The touch display is easy to use, the stylus is only needed when working in the browser, otherwise there is practically no need for it. I didn’t really test the camera - in good lighting the pictures were still okay, I expected more. Therefore, you should not expect a professional photo from this model. The battery is of small capacity. A few short calls and SMS - it definitely lasts 2 days, a little short of 3. If you listen to music, etc. etc. - You need to charge it every day.   Overall I'm happy. Cons - the photo is not very good, the battery is weak, there are no pre-installed video codecs (if anyone is interested), it does not play unconverted video, there is no third-party software that can solve this nuance either. But the converted video goes with a bang. For the sake of testing, I checked the playback of a 2 Gb movie - without brakes, the picture quality is excellent, it doesn’t even get stuck when rewinding. But the battery charge is only enough to watch 1.5 -2 movies.</v>
      </c>
    </row>
    <row r="808" spans="1:9" x14ac:dyDescent="0.3">
      <c r="A808" s="1" t="s">
        <v>30</v>
      </c>
      <c r="B808" s="1" t="s">
        <v>50</v>
      </c>
      <c r="C808" s="1" t="s">
        <v>189</v>
      </c>
      <c r="D808" s="1" t="s">
        <v>2010</v>
      </c>
      <c r="E808" s="1" t="s">
        <v>2011</v>
      </c>
      <c r="F808" s="1" t="s">
        <v>2012</v>
      </c>
      <c r="G808" s="1" t="s">
        <v>36</v>
      </c>
      <c r="H808" s="1" t="s">
        <v>29</v>
      </c>
      <c r="I808" s="1" t="str">
        <f ca="1">IFERROR(__xludf.DUMMYFUNCTION("GOOGLETRANSLATE(F808, ""auto"", ""en"")
"),"I bought it! Very good but kind..! I can’t configure anything, the themes don’t change, they need to be changed!")</f>
        <v>I bought it! Very good but kind..! I can’t configure anything, the themes don’t change, they need to be changed!</v>
      </c>
    </row>
    <row r="809" spans="1:9" x14ac:dyDescent="0.3">
      <c r="A809" s="1" t="s">
        <v>105</v>
      </c>
      <c r="B809" s="1" t="s">
        <v>106</v>
      </c>
      <c r="C809" s="1" t="s">
        <v>97</v>
      </c>
      <c r="D809" s="1" t="s">
        <v>280</v>
      </c>
      <c r="E809" s="1" t="s">
        <v>269</v>
      </c>
      <c r="F809" s="1" t="s">
        <v>2013</v>
      </c>
      <c r="G809" s="1" t="s">
        <v>36</v>
      </c>
      <c r="H809" s="1" t="s">
        <v>29</v>
      </c>
      <c r="I809" s="1" t="str">
        <f ca="1">IFERROR(__xludf.DUMMYFUNCTION("GOOGLETRANSLATE(F809, ""auto"", ""en"")
"),"I don't know why no one can connect it to a computer? It says in normal letters that you need Windovs XP and Windovs media player.    As for the sound quality, I’m willing to argue with Vyacheslav (who doesn’t recommend it) it could have happened that you"&amp;" simply didn’t notice the button at the top of the player called “BASS” (because if you remove the bass, the sound becomes, roughly speaking, flat). I liked the player and that’s it.")</f>
        <v>I don't know why no one can connect it to a computer? It says in normal letters that you need Windovs XP and Windovs media player.    As for the sound quality, I’m willing to argue with Vyacheslav (who doesn’t recommend it) it could have happened that you simply didn’t notice the button at the top of the player called “BASS” (because if you remove the bass, the sound becomes, roughly speaking, flat). I liked the player and that’s it.</v>
      </c>
    </row>
    <row r="810" spans="1:9" x14ac:dyDescent="0.3">
      <c r="A810" s="1" t="s">
        <v>37</v>
      </c>
      <c r="B810" s="1" t="s">
        <v>38</v>
      </c>
      <c r="C810" s="1" t="s">
        <v>163</v>
      </c>
      <c r="D810" s="1" t="s">
        <v>2014</v>
      </c>
      <c r="E810" s="1" t="s">
        <v>1275</v>
      </c>
      <c r="F810" s="1" t="s">
        <v>2015</v>
      </c>
      <c r="G810" s="1" t="s">
        <v>36</v>
      </c>
      <c r="H810" s="1" t="s">
        <v>29</v>
      </c>
      <c r="I810" s="1" t="str">
        <f ca="1">IFERROR(__xludf.DUMMYFUNCTION("GOOGLETRANSLATE(F810, ""auto"", ""en"")
"),"It’s a good phone, everything works (everything I need is calls, sends SMS, I have internet). I’ve been using it for 2 years, there was only one problem, the external speaker died, but they replaced it at the Nokia center without any problems under warran"&amp;"ty.")</f>
        <v>It’s a good phone, everything works (everything I need is calls, sends SMS, I have internet). I’ve been using it for 2 years, there was only one problem, the external speaker died, but they replaced it at the Nokia center without any problems under warranty.</v>
      </c>
    </row>
    <row r="811" spans="1:9" x14ac:dyDescent="0.3">
      <c r="A811" s="1" t="s">
        <v>149</v>
      </c>
      <c r="B811" s="1" t="s">
        <v>150</v>
      </c>
      <c r="C811" s="1" t="s">
        <v>2016</v>
      </c>
      <c r="D811" s="1" t="s">
        <v>295</v>
      </c>
      <c r="E811" s="1" t="s">
        <v>92</v>
      </c>
      <c r="F811" s="1" t="s">
        <v>2017</v>
      </c>
      <c r="G811" s="1" t="s">
        <v>36</v>
      </c>
      <c r="H811" s="1" t="s">
        <v>29</v>
      </c>
      <c r="I811" s="1" t="str">
        <f ca="1">IFERROR(__xludf.DUMMYFUNCTION("GOOGLETRANSLATE(F811, ""auto"", ""en"")
"),"Powerful, comfortable, stylish. WE LOVE IT!!! WE ARE SATISFIED!!!")</f>
        <v>Powerful, comfortable, stylish. WE LOVE IT!!! WE ARE SATISFIED!!!</v>
      </c>
    </row>
    <row r="812" spans="1:9" x14ac:dyDescent="0.3">
      <c r="A812" s="1" t="s">
        <v>624</v>
      </c>
      <c r="B812" s="1" t="s">
        <v>625</v>
      </c>
      <c r="C812" s="1" t="s">
        <v>479</v>
      </c>
      <c r="D812" s="1" t="s">
        <v>729</v>
      </c>
      <c r="E812" s="1" t="s">
        <v>628</v>
      </c>
      <c r="F812" s="1" t="s">
        <v>2018</v>
      </c>
      <c r="G812" s="1" t="s">
        <v>36</v>
      </c>
      <c r="H812" s="1" t="s">
        <v>29</v>
      </c>
      <c r="I812" s="1" t="str">
        <f ca="1">IFERROR(__xludf.DUMMYFUNCTION("GOOGLETRANSLATE(F812, ""auto"", ""en"")
"),"The ps3 has the best version of the game, the plasma graphics are super, much better than the xbox360, I advise everyone to buy on the ps3!")</f>
        <v>The ps3 has the best version of the game, the plasma graphics are super, much better than the xbox360, I advise everyone to buy on the ps3!</v>
      </c>
    </row>
    <row r="813" spans="1:9" x14ac:dyDescent="0.3">
      <c r="A813" s="1" t="s">
        <v>95</v>
      </c>
      <c r="B813" s="1" t="s">
        <v>648</v>
      </c>
      <c r="C813" s="1" t="s">
        <v>97</v>
      </c>
      <c r="D813" s="1" t="s">
        <v>2019</v>
      </c>
      <c r="E813" s="1" t="s">
        <v>229</v>
      </c>
      <c r="F813" s="1" t="s">
        <v>2020</v>
      </c>
      <c r="G813" s="1" t="s">
        <v>36</v>
      </c>
      <c r="H813" s="1" t="s">
        <v>29</v>
      </c>
      <c r="I813" s="1" t="str">
        <f ca="1">IFERROR(__xludf.DUMMYFUNCTION("GOOGLETRANSLATE(F813, ""auto"", ""en"")
"),"What is the firmware version? Tell me please)))")</f>
        <v>What is the firmware version? Tell me please)))</v>
      </c>
    </row>
    <row r="814" spans="1:9" x14ac:dyDescent="0.3">
      <c r="A814" s="1" t="s">
        <v>169</v>
      </c>
      <c r="B814" s="1" t="s">
        <v>170</v>
      </c>
      <c r="C814" s="1" t="s">
        <v>171</v>
      </c>
      <c r="D814" s="1" t="s">
        <v>305</v>
      </c>
      <c r="E814" s="1" t="s">
        <v>1181</v>
      </c>
      <c r="F814" s="1" t="s">
        <v>2021</v>
      </c>
      <c r="G814" s="1" t="s">
        <v>36</v>
      </c>
      <c r="H814" s="1" t="s">
        <v>29</v>
      </c>
      <c r="I814" s="1" t="str">
        <f ca="1">IFERROR(__xludf.DUMMYFUNCTION("GOOGLETRANSLATE(F814, ""auto"", ""en"")
"),"I've been using headphones for a year now. Excellent sound quality. Lightweight, comfortable and relatively inexpensive. Does not allow external noise to pass through. I recommend it.")</f>
        <v>I've been using headphones for a year now. Excellent sound quality. Lightweight, comfortable and relatively inexpensive. Does not allow external noise to pass through. I recommend it.</v>
      </c>
    </row>
    <row r="815" spans="1:9" x14ac:dyDescent="0.3">
      <c r="A815" s="1" t="s">
        <v>149</v>
      </c>
      <c r="B815" s="1" t="s">
        <v>155</v>
      </c>
      <c r="C815" s="1" t="s">
        <v>80</v>
      </c>
      <c r="D815" s="1" t="s">
        <v>420</v>
      </c>
      <c r="E815" s="1" t="s">
        <v>2022</v>
      </c>
      <c r="F815" s="1" t="s">
        <v>2023</v>
      </c>
      <c r="G815" s="1" t="s">
        <v>36</v>
      </c>
      <c r="H815" s="1" t="s">
        <v>29</v>
      </c>
      <c r="I815" s="1" t="str">
        <f ca="1">IFERROR(__xludf.DUMMYFUNCTION("GOOGLETRANSLATE(F815, ""auto"", ""en"")
"),"In principle, the most normal and ordinary vacuum cleaner, with a good filter, a normal price and durable and resistant material. The cleaning was satisfactory; after it, everything was clean and tidied up to a good standard.")</f>
        <v>In principle, the most normal and ordinary vacuum cleaner, with a good filter, a normal price and durable and resistant material. The cleaning was satisfactory; after it, everything was clean and tidied up to a good standard.</v>
      </c>
    </row>
    <row r="816" spans="1:9" x14ac:dyDescent="0.3">
      <c r="A816" s="1" t="s">
        <v>120</v>
      </c>
      <c r="B816" s="1" t="s">
        <v>121</v>
      </c>
      <c r="C816" s="1" t="s">
        <v>69</v>
      </c>
      <c r="D816" s="1" t="s">
        <v>2024</v>
      </c>
      <c r="E816" s="1" t="s">
        <v>920</v>
      </c>
      <c r="F816" s="1" t="s">
        <v>2025</v>
      </c>
      <c r="G816" s="1" t="s">
        <v>28</v>
      </c>
      <c r="H816" s="1" t="s">
        <v>29</v>
      </c>
      <c r="I816" s="1" t="str">
        <f ca="1">IFERROR(__xludf.DUMMYFUNCTION("GOOGLETRANSLATE(F816, ""auto"", ""en"")
"),"I bought a Philips TV 32 PFL 5604H/12, the model is not bad, I’m happy with the 1080! and reading files from a flash drive. The weak point is the sound!!! I connected the cinema, watched the movie, switched to channel viewing mode, no sound. I exchanged i"&amp;"t for another one, same problem, but on the new one the sound appeared later. the cinema is connected via HDMI, the sound does not come out to the TV only to the cinema speakers.... I decided to output the sound to the TV as well. The problem was solved a"&amp;"fter watching movies the sound stopped disappearing.")</f>
        <v>I bought a Philips TV 32 PFL 5604H/12, the model is not bad, I’m happy with the 1080! and reading files from a flash drive. The weak point is the sound!!! I connected the cinema, watched the movie, switched to channel viewing mode, no sound. I exchanged it for another one, same problem, but on the new one the sound appeared later. the cinema is connected via HDMI, the sound does not come out to the TV only to the cinema speakers.... I decided to output the sound to the TV as well. The problem was solved after watching movies the sound stopped disappearing.</v>
      </c>
    </row>
    <row r="817" spans="1:9" x14ac:dyDescent="0.3">
      <c r="A817" s="1" t="s">
        <v>206</v>
      </c>
      <c r="B817" s="1" t="s">
        <v>2026</v>
      </c>
      <c r="C817" s="1" t="s">
        <v>351</v>
      </c>
      <c r="D817" s="1" t="s">
        <v>52</v>
      </c>
      <c r="E817" s="1" t="s">
        <v>386</v>
      </c>
      <c r="F817" s="1" t="s">
        <v>2027</v>
      </c>
      <c r="G817" s="1" t="s">
        <v>28</v>
      </c>
      <c r="H817" s="1" t="s">
        <v>29</v>
      </c>
      <c r="I817" s="1" t="str">
        <f ca="1">IFERROR(__xludf.DUMMYFUNCTION("GOOGLETRANSLATE(F817, ""auto"", ""en"")
"),"I bought it half a year ago from my brother, my brother used it for 4 months... there is a jamb with disks, it doesn’t come out the first time, sometimes he doesn’t see the flash drive.. but still for the money this is the best option.")</f>
        <v>I bought it half a year ago from my brother, my brother used it for 4 months... there is a jamb with disks, it doesn’t come out the first time, sometimes he doesn’t see the flash drive.. but still for the money this is the best option.</v>
      </c>
    </row>
    <row r="818" spans="1:9" x14ac:dyDescent="0.3">
      <c r="A818" s="1" t="s">
        <v>61</v>
      </c>
      <c r="B818" s="1" t="s">
        <v>73</v>
      </c>
      <c r="C818" s="1" t="s">
        <v>101</v>
      </c>
      <c r="D818" s="1" t="s">
        <v>305</v>
      </c>
      <c r="E818" s="1" t="s">
        <v>2028</v>
      </c>
      <c r="F818" s="1" t="s">
        <v>2029</v>
      </c>
      <c r="G818" s="1" t="s">
        <v>36</v>
      </c>
      <c r="H818" s="1" t="s">
        <v>29</v>
      </c>
      <c r="I818" s="1" t="str">
        <f ca="1">IFERROR(__xludf.DUMMYFUNCTION("GOOGLETRANSLATE(F818, ""auto"", ""en"")
"),"We purchased it today and at first glance it was assembled very well. The shaft is metal and fastens very well. We'll try it tomorrow and I'll be sure to post the results.")</f>
        <v>We purchased it today and at first glance it was assembled very well. The shaft is metal and fastens very well. We'll try it tomorrow and I'll be sure to post the results.</v>
      </c>
    </row>
    <row r="819" spans="1:9" x14ac:dyDescent="0.3">
      <c r="A819" s="1" t="s">
        <v>557</v>
      </c>
      <c r="B819" s="1" t="s">
        <v>558</v>
      </c>
      <c r="C819" s="1" t="s">
        <v>122</v>
      </c>
      <c r="D819" s="1" t="s">
        <v>208</v>
      </c>
      <c r="E819" s="1" t="s">
        <v>2030</v>
      </c>
      <c r="F819" s="1" t="s">
        <v>2031</v>
      </c>
      <c r="G819" s="1" t="s">
        <v>36</v>
      </c>
      <c r="H819" s="1" t="s">
        <v>29</v>
      </c>
      <c r="I819" s="1" t="str">
        <f ca="1">IFERROR(__xludf.DUMMYFUNCTION("GOOGLETRANSLATE(F819, ""auto"", ""en"")
"),"Pros: Price-quality is excellent, it took me a long time to choose for my parents (simple, but at the same time very functional - it has everything you need (you can see it in the next tab)). The battery is really a “monster”, the phone is light... Cons: "&amp;"the assembly is terrifying, before it was a Panasonic KX-A141 - no gaps, the material is beyond praise, but here it’s Chinese plastic (not very good to the touch) - it’s so cheap, I took the black one - so it’s partly black - don’t believe this picture, i"&amp;"t’s much lighter. About the backlight: also “not ice”, not the keys are illuminated, but only the outline and in the dark “everything” is visible - the gaps are terribly large and you can see the insides of the phone. The font and size of the text are als"&amp;"o not optimal - it seems large and readable, but alas, they overdid it and made it ugly. Personally, I was not very pleased with the volume, as well as the sound quality.    Despite all the disadvantages, there are many more advantages: this is an excelle"&amp;"nt budget device, for that kind of money I have never seen such functionality anywhere else.")</f>
        <v>Pros: Price-quality is excellent, it took me a long time to choose for my parents (simple, but at the same time very functional - it has everything you need (you can see it in the next tab)). The battery is really a “monster”, the phone is light... Cons: the assembly is terrifying, before it was a Panasonic KX-A141 - no gaps, the material is beyond praise, but here it’s Chinese plastic (not very good to the touch) - it’s so cheap, I took the black one - so it’s partly black - don’t believe this picture, it’s much lighter. About the backlight: also “not ice”, not the keys are illuminated, but only the outline and in the dark “everything” is visible - the gaps are terribly large and you can see the insides of the phone. The font and size of the text are also not optimal - it seems large and readable, but alas, they overdid it and made it ugly. Personally, I was not very pleased with the volume, as well as the sound quality.    Despite all the disadvantages, there are many more advantages: this is an excellent budget device, for that kind of money I have never seen such functionality anywhere else.</v>
      </c>
    </row>
    <row r="820" spans="1:9" x14ac:dyDescent="0.3">
      <c r="A820" s="1" t="s">
        <v>1174</v>
      </c>
      <c r="B820" s="1" t="s">
        <v>1175</v>
      </c>
      <c r="C820" s="1" t="s">
        <v>356</v>
      </c>
      <c r="D820" s="1" t="s">
        <v>39</v>
      </c>
      <c r="E820" s="1" t="s">
        <v>817</v>
      </c>
      <c r="F820" s="1" t="s">
        <v>2032</v>
      </c>
      <c r="G820" s="1" t="s">
        <v>49</v>
      </c>
      <c r="H820" s="1" t="s">
        <v>16</v>
      </c>
      <c r="I820" s="1" t="str">
        <f ca="1">IFERROR(__xludf.DUMMYFUNCTION("GOOGLETRANSLATE(F820, ""auto"", ""en"")
"),"After buying the iPod, the very next day I went and bought myself new headphones. Standard headphones: quiet, fall out of your ears, and on the subway you can’t hear them at all. For this price you can buy much better headphones.")</f>
        <v>After buying the iPod, the very next day I went and bought myself new headphones. Standard headphones: quiet, fall out of your ears, and on the subway you can’t hear them at all. For this price you can buy much better headphones.</v>
      </c>
    </row>
    <row r="821" spans="1:9" x14ac:dyDescent="0.3">
      <c r="A821" s="1" t="s">
        <v>9</v>
      </c>
      <c r="B821" s="1" t="s">
        <v>133</v>
      </c>
      <c r="C821" s="1" t="s">
        <v>290</v>
      </c>
      <c r="D821" s="1" t="s">
        <v>1681</v>
      </c>
      <c r="E821" s="1" t="s">
        <v>2033</v>
      </c>
      <c r="F821" s="1" t="s">
        <v>2034</v>
      </c>
      <c r="G821" s="1" t="s">
        <v>36</v>
      </c>
      <c r="H821" s="1" t="s">
        <v>29</v>
      </c>
      <c r="I821" s="1" t="str">
        <f ca="1">IFERROR(__xludf.DUMMYFUNCTION("GOOGLETRANSLATE(F821, ""auto"", ""en"")
"),"Not a bad oven at all. It’s big, it doesn’t radiate heat into the kitchen, the case is cooled separately! And most importantly, PIES! Evenly fried, we were happy with it, our friends liked it too)))")</f>
        <v>Not a bad oven at all. It’s big, it doesn’t radiate heat into the kitchen, the case is cooled separately! And most importantly, PIES! Evenly fried, we were happy with it, our friends liked it too)))</v>
      </c>
    </row>
    <row r="822" spans="1:9" x14ac:dyDescent="0.3">
      <c r="A822" s="1" t="s">
        <v>211</v>
      </c>
      <c r="B822" s="1" t="s">
        <v>384</v>
      </c>
      <c r="C822" s="1" t="s">
        <v>246</v>
      </c>
      <c r="D822" s="1" t="s">
        <v>64</v>
      </c>
      <c r="E822" s="1" t="s">
        <v>2035</v>
      </c>
      <c r="F822" s="1" t="s">
        <v>2036</v>
      </c>
      <c r="G822" s="1" t="s">
        <v>49</v>
      </c>
      <c r="H822" s="1" t="s">
        <v>16</v>
      </c>
      <c r="I822" s="1" t="str">
        <f ca="1">IFERROR(__xludf.DUMMYFUNCTION("GOOGLETRANSLATE(F822, ""auto"", ""en"")
"),"They give out 114, they worked for a month, during which it was difficult to weigh themselves, they showed the weight every other time, and then they stopped working altogether. I'm terribly unhappy with these scales!")</f>
        <v>They give out 114, they worked for a month, during which it was difficult to weigh themselves, they showed the weight every other time, and then they stopped working altogether. I'm terribly unhappy with these scales!</v>
      </c>
    </row>
    <row r="823" spans="1:9" x14ac:dyDescent="0.3">
      <c r="A823" s="1" t="s">
        <v>149</v>
      </c>
      <c r="B823" s="1" t="s">
        <v>155</v>
      </c>
      <c r="C823" s="1" t="s">
        <v>151</v>
      </c>
      <c r="D823" s="1" t="s">
        <v>2037</v>
      </c>
      <c r="E823" s="1" t="s">
        <v>2038</v>
      </c>
      <c r="F823" s="1" t="s">
        <v>2039</v>
      </c>
      <c r="G823" s="1" t="s">
        <v>36</v>
      </c>
      <c r="H823" s="1" t="s">
        <v>29</v>
      </c>
      <c r="I823" s="1" t="str">
        <f ca="1">IFERROR(__xludf.DUMMYFUNCTION("GOOGLETRANSLATE(F823, ""auto"", ""en"")
"),"I bought this vacuum cleaner for my home, as soon as I vacuumed it, I saw how much dust there was in the house. Works great, not too noisy. I give it a solid five. This is a good choice.")</f>
        <v>I bought this vacuum cleaner for my home, as soon as I vacuumed it, I saw how much dust there was in the house. Works great, not too noisy. I give it a solid five. This is a good choice.</v>
      </c>
    </row>
    <row r="824" spans="1:9" x14ac:dyDescent="0.3">
      <c r="A824" s="1" t="s">
        <v>61</v>
      </c>
      <c r="B824" s="1" t="s">
        <v>145</v>
      </c>
      <c r="C824" s="1" t="s">
        <v>69</v>
      </c>
      <c r="D824" s="1" t="s">
        <v>2040</v>
      </c>
      <c r="E824" s="1" t="s">
        <v>1992</v>
      </c>
      <c r="F824" s="1" t="s">
        <v>2041</v>
      </c>
      <c r="G824" s="1" t="s">
        <v>49</v>
      </c>
      <c r="H824" s="1" t="s">
        <v>16</v>
      </c>
      <c r="I824" s="1" t="str">
        <f ca="1">IFERROR(__xludf.DUMMYFUNCTION("GOOGLETRANSLATE(F824, ""auto"", ""en"")
"),"I don’t recommend it to anyone, the unfortunate buckwheat was cooked for an hour, in the end it remained raw and we can’t change it ((((")</f>
        <v>I don’t recommend it to anyone, the unfortunate buckwheat was cooked for an hour, in the end it remained raw and we can’t change it ((((</v>
      </c>
    </row>
    <row r="825" spans="1:9" x14ac:dyDescent="0.3">
      <c r="A825" s="1" t="s">
        <v>30</v>
      </c>
      <c r="B825" s="1" t="s">
        <v>50</v>
      </c>
      <c r="C825" s="1" t="s">
        <v>32</v>
      </c>
      <c r="D825" s="1" t="s">
        <v>52</v>
      </c>
      <c r="E825" s="1" t="s">
        <v>418</v>
      </c>
      <c r="F825" s="1" t="s">
        <v>2042</v>
      </c>
      <c r="G825" s="1" t="s">
        <v>28</v>
      </c>
      <c r="H825" s="1" t="s">
        <v>29</v>
      </c>
      <c r="I825" s="1" t="str">
        <f ca="1">IFERROR(__xludf.DUMMYFUNCTION("GOOGLETRANSLATE(F825, ""auto"", ""en"")
"),"A whole 3 days of use, the flight is normal, and even with such a discount, in other stores the cost is much higher than 28-something thousand. The only thing I didn’t like was the viewing angles of the screen up and down, the colors change a lot + chargi"&amp;"ng gets very hot. Otherwise, the super laptop Assassin 2 is a blast, although only on network power, because... It seems that the performance of the video card in this case is maximum. I recommend this laptop to everyone, because... it has modern hardware"&amp;" on board, such as i3 percent, ddr3 as much as 3 gigs, powerful video, etc., etc., of course I would like a connector for expansion cards, but for the money everything is super. I recommend this laptop to everyone!!!")</f>
        <v>A whole 3 days of use, the flight is normal, and even with such a discount, in other stores the cost is much higher than 28-something thousand. The only thing I didn’t like was the viewing angles of the screen up and down, the colors change a lot + charging gets very hot. Otherwise, the super laptop Assassin 2 is a blast, although only on network power, because... It seems that the performance of the video card in this case is maximum. I recommend this laptop to everyone, because... it has modern hardware on board, such as i3 percent, ddr3 as much as 3 gigs, powerful video, etc., etc., of course I would like a connector for expansion cards, but for the money everything is super. I recommend this laptop to everyone!!!</v>
      </c>
    </row>
    <row r="826" spans="1:9" x14ac:dyDescent="0.3">
      <c r="A826" s="1" t="s">
        <v>89</v>
      </c>
      <c r="B826" s="1" t="s">
        <v>1106</v>
      </c>
      <c r="C826" s="1" t="s">
        <v>63</v>
      </c>
      <c r="D826" s="1" t="s">
        <v>32</v>
      </c>
      <c r="E826" s="1" t="s">
        <v>2043</v>
      </c>
      <c r="F826" s="1" t="s">
        <v>2044</v>
      </c>
      <c r="G826" s="1" t="s">
        <v>36</v>
      </c>
      <c r="H826" s="1" t="s">
        <v>29</v>
      </c>
      <c r="I826" s="1" t="str">
        <f ca="1">IFERROR(__xludf.DUMMYFUNCTION("GOOGLETRANSLATE(F826, ""auto"", ""en"")
"),"I’ll tell you, the coffee maker is excellent. We bought it on the advice of our parents (they’ve had one for two years now). It has no downsides. It’s very good, it works like an A+ with ++++++++) Buy it, you won’t regret it!")</f>
        <v>I’ll tell you, the coffee maker is excellent. We bought it on the advice of our parents (they’ve had one for two years now). It has no downsides. It’s very good, it works like an A+ with ++++++++) Buy it, you won’t regret it!</v>
      </c>
    </row>
    <row r="827" spans="1:9" x14ac:dyDescent="0.3">
      <c r="A827" s="1" t="s">
        <v>557</v>
      </c>
      <c r="B827" s="1" t="s">
        <v>1977</v>
      </c>
      <c r="C827" s="1" t="s">
        <v>122</v>
      </c>
      <c r="D827" s="1" t="s">
        <v>2045</v>
      </c>
      <c r="E827" s="1" t="s">
        <v>2046</v>
      </c>
      <c r="F827" s="1" t="s">
        <v>2047</v>
      </c>
      <c r="G827" s="1" t="s">
        <v>49</v>
      </c>
      <c r="H827" s="1" t="s">
        <v>16</v>
      </c>
      <c r="I827" s="1" t="str">
        <f ca="1">IFERROR(__xludf.DUMMYFUNCTION("GOOGLETRANSLATE(F827, ""auto"", ""en"")
"),"I was looking for a budget phone option on the Internet and settled on this one. I liked the design, the price, and the availability of caller ID. At home, it turned out that the date and time were not being set, and the Caller ID was also not working. Pr"&amp;"eviously, I read in reviews about problems with the date and time of this model, but I hoped that it was a defect of one particular batch. It turned out that there was a problem with the model as a whole.")</f>
        <v>I was looking for a budget phone option on the Internet and settled on this one. I liked the design, the price, and the availability of caller ID. At home, it turned out that the date and time were not being set, and the Caller ID was also not working. Previously, I read in reviews about problems with the date and time of this model, but I hoped that it was a defect of one particular batch. It turned out that there was a problem with the model as a whole.</v>
      </c>
    </row>
    <row r="828" spans="1:9" x14ac:dyDescent="0.3">
      <c r="A828" s="1" t="s">
        <v>89</v>
      </c>
      <c r="B828" s="1" t="s">
        <v>1106</v>
      </c>
      <c r="C828" s="1" t="s">
        <v>69</v>
      </c>
      <c r="D828" s="1" t="s">
        <v>39</v>
      </c>
      <c r="E828" s="1" t="s">
        <v>2048</v>
      </c>
      <c r="F828" s="1" t="s">
        <v>2049</v>
      </c>
      <c r="G828" s="1" t="s">
        <v>36</v>
      </c>
      <c r="H828" s="1" t="s">
        <v>29</v>
      </c>
      <c r="I828" s="1" t="str">
        <f ca="1">IFERROR(__xludf.DUMMYFUNCTION("GOOGLETRANSLATE(F828, ""auto"", ""en"")
"),"I have been using this coffee maker for three months (since December 9), and quite intensively - I make coffee for myself 3-4 times a day. The impressions are only positive.  Unlike the previous commentator, I consider the replaceable filter a huge plus. "&amp;"These filters really cost pennies - 149 rubles. for 100 pieces here (Tomsk) in M-Video. I immediately bought 2 packs when I picked up the coffee maker from the store. It's still not over yet. Very convenient - cook it, throw it away, no need to rinse anyt"&amp;"hing. A couple of times in the old coffee maker I forgot to clean the permanent filter in time and left for a few days. days. After this, I had to wash the entire unit with a cleaning agent. A disposable filter is much more convenient and practical.  I wo"&amp;"uld like to especially note the well-thought-out lid of the thermopot.   Firstly, coffee flows from it in a clear stream, without splashing to the sides.  Secondly, the anti-drip valve is very solid and durable. On my last coffee maker, it suddenly just b"&amp;"roke in a thin place. Here, I am sure, this cannot happen by definition. Simply because such a thin leg is not here.  By the way, it holds heat very well. You can brew a full coffee maker in the evening and in the morning the coffee will not be lukewarm, "&amp;"but hot. Well, this is, of course, if you leave the thermopot full overnight.  All in all, this is an excellent drip coffee maker.")</f>
        <v>I have been using this coffee maker for three months (since December 9), and quite intensively - I make coffee for myself 3-4 times a day. The impressions are only positive.  Unlike the previous commentator, I consider the replaceable filter a huge plus. These filters really cost pennies - 149 rubles. for 100 pieces here (Tomsk) in M-Video. I immediately bought 2 packs when I picked up the coffee maker from the store. It's still not over yet. Very convenient - cook it, throw it away, no need to rinse anything. A couple of times in the old coffee maker I forgot to clean the permanent filter in time and left for a few days. days. After this, I had to wash the entire unit with a cleaning agent. A disposable filter is much more convenient and practical.  I would like to especially note the well-thought-out lid of the thermopot.   Firstly, coffee flows from it in a clear stream, without splashing to the sides.  Secondly, the anti-drip valve is very solid and durable. On my last coffee maker, it suddenly just broke in a thin place. Here, I am sure, this cannot happen by definition. Simply because such a thin leg is not here.  By the way, it holds heat very well. You can brew a full coffee maker in the evening and in the morning the coffee will not be lukewarm, but hot. Well, this is, of course, if you leave the thermopot full overnight.  All in all, this is an excellent drip coffee maker.</v>
      </c>
    </row>
    <row r="829" spans="1:9" x14ac:dyDescent="0.3">
      <c r="A829" s="1" t="s">
        <v>105</v>
      </c>
      <c r="B829" s="1" t="s">
        <v>106</v>
      </c>
      <c r="C829" s="1" t="s">
        <v>97</v>
      </c>
      <c r="D829" s="1" t="s">
        <v>599</v>
      </c>
      <c r="E829" s="1" t="s">
        <v>2050</v>
      </c>
      <c r="F829" s="1" t="s">
        <v>2051</v>
      </c>
      <c r="G829" s="1" t="s">
        <v>28</v>
      </c>
      <c r="H829" s="1" t="s">
        <v>29</v>
      </c>
      <c r="I829" s="1" t="str">
        <f ca="1">IFERROR(__xludf.DUMMYFUNCTION("GOOGLETRANSLATE(F829, ""auto"", ""en"")
"),"The player itself is not bad, but I don’t like the fact that the lid (on the right) is quickly lost and there is not enough memory... 4 Giga is cool, 2 is not enough)")</f>
        <v>The player itself is not bad, but I don’t like the fact that the lid (on the right) is quickly lost and there is not enough memory... 4 Giga is cool, 2 is not enough)</v>
      </c>
    </row>
    <row r="830" spans="1:9" x14ac:dyDescent="0.3">
      <c r="A830" s="1" t="s">
        <v>67</v>
      </c>
      <c r="B830" s="1" t="s">
        <v>68</v>
      </c>
      <c r="C830" s="1" t="s">
        <v>69</v>
      </c>
      <c r="D830" s="1" t="s">
        <v>2052</v>
      </c>
      <c r="E830" s="1" t="s">
        <v>2053</v>
      </c>
      <c r="F830" s="1" t="s">
        <v>2054</v>
      </c>
      <c r="G830" s="1" t="s">
        <v>36</v>
      </c>
      <c r="H830" s="1" t="s">
        <v>29</v>
      </c>
      <c r="I830" s="1" t="str">
        <f ca="1">IFERROR(__xludf.DUMMYFUNCTION("GOOGLETRANSLATE(F830, ""auto"", ""en"")
"),"very good iron, nothing burns, no need to use any attachments!!!")</f>
        <v>very good iron, nothing burns, no need to use any attachments!!!</v>
      </c>
    </row>
    <row r="831" spans="1:9" x14ac:dyDescent="0.3">
      <c r="A831" s="1" t="s">
        <v>105</v>
      </c>
      <c r="B831" s="1" t="s">
        <v>106</v>
      </c>
      <c r="C831" s="1" t="s">
        <v>1526</v>
      </c>
      <c r="D831" s="1" t="s">
        <v>2055</v>
      </c>
      <c r="E831" s="1" t="s">
        <v>736</v>
      </c>
      <c r="F831" s="1" t="s">
        <v>2056</v>
      </c>
      <c r="G831" s="1" t="s">
        <v>36</v>
      </c>
      <c r="H831" s="1" t="s">
        <v>29</v>
      </c>
      <c r="I831" s="1" t="str">
        <f ca="1">IFERROR(__xludf.DUMMYFUNCTION("GOOGLETRANSLATE(F831, ""auto"", ""en"")
"),"I bought the player 2 weeks ago and have never used it yet. I listen to it for about an hour a day. So far I like everything, easy to use, strong, reliable, good sound even with original headphones. I'm happy with the purchase!")</f>
        <v>I bought the player 2 weeks ago and have never used it yet. I listen to it for about an hour a day. So far I like everything, easy to use, strong, reliable, good sound even with original headphones. I'm happy with the purchase!</v>
      </c>
    </row>
    <row r="832" spans="1:9" x14ac:dyDescent="0.3">
      <c r="A832" s="1" t="s">
        <v>37</v>
      </c>
      <c r="B832" s="1" t="s">
        <v>38</v>
      </c>
      <c r="C832" s="1" t="s">
        <v>39</v>
      </c>
      <c r="D832" s="1" t="s">
        <v>81</v>
      </c>
      <c r="E832" s="1" t="s">
        <v>2057</v>
      </c>
      <c r="F832" s="1" t="s">
        <v>2058</v>
      </c>
      <c r="G832" s="1" t="s">
        <v>36</v>
      </c>
      <c r="H832" s="1" t="s">
        <v>29</v>
      </c>
      <c r="I832" s="1" t="str">
        <f ca="1">IFERROR(__xludf.DUMMYFUNCTION("GOOGLETRANSLATE(F832, ""auto"", ""en"")
"),"Overall the phone is Super!! I advise you to take it...)))")</f>
        <v>Overall the phone is Super!! I advise you to take it...)))</v>
      </c>
    </row>
    <row r="833" spans="1:9" x14ac:dyDescent="0.3">
      <c r="A833" s="1" t="s">
        <v>105</v>
      </c>
      <c r="B833" s="1" t="s">
        <v>106</v>
      </c>
      <c r="C833" s="1" t="s">
        <v>1921</v>
      </c>
      <c r="D833" s="1" t="s">
        <v>232</v>
      </c>
      <c r="E833" s="1" t="s">
        <v>2059</v>
      </c>
      <c r="F833" s="1" t="s">
        <v>2060</v>
      </c>
      <c r="G833" s="1" t="s">
        <v>28</v>
      </c>
      <c r="H833" s="1" t="s">
        <v>29</v>
      </c>
      <c r="I833" s="1" t="str">
        <f ca="1">IFERROR(__xludf.DUMMYFUNCTION("GOOGLETRANSLATE(F833, ""auto"", ""en"")
"),"A normal player, of course it’s funny when you turn it on, but you get used to it right away. The first thing that struck me was the lack of a key lock, but he didn’t need it, then he fiddled with it for a while to quickly turn it on on the same track tha"&amp;"t he turned it off. You can't adjust the sound during Tetris, and the game doesn't save, which isn't very encouraging. And as a player, it’s very good: the sound is excellent, the headphones are tolerable, the receiver works at 5. I switched to it from ir"&amp;"iver and, in principle, I don’t regret it (I’ve been using it for about a month, 2-4 hours a day, enough for 7-9 days)")</f>
        <v>A normal player, of course it’s funny when you turn it on, but you get used to it right away. The first thing that struck me was the lack of a key lock, but he didn’t need it, then he fiddled with it for a while to quickly turn it on on the same track that he turned it off. You can't adjust the sound during Tetris, and the game doesn't save, which isn't very encouraging. And as a player, it’s very good: the sound is excellent, the headphones are tolerable, the receiver works at 5. I switched to it from iriver and, in principle, I don’t regret it (I’ve been using it for about a month, 2-4 hours a day, enough for 7-9 days)</v>
      </c>
    </row>
    <row r="834" spans="1:9" x14ac:dyDescent="0.3">
      <c r="A834" s="1" t="s">
        <v>43</v>
      </c>
      <c r="B834" s="1" t="s">
        <v>44</v>
      </c>
      <c r="C834" s="1" t="s">
        <v>45</v>
      </c>
      <c r="D834" s="1" t="s">
        <v>916</v>
      </c>
      <c r="E834" s="1" t="s">
        <v>2061</v>
      </c>
      <c r="F834" s="1" t="s">
        <v>2062</v>
      </c>
      <c r="G834" s="1" t="s">
        <v>36</v>
      </c>
      <c r="H834" s="1" t="s">
        <v>29</v>
      </c>
      <c r="I834" s="1" t="str">
        <f ca="1">IFERROR(__xludf.DUMMYFUNCTION("GOOGLETRANSLATE(F834, ""auto"", ""en"")
"),"Compact and easy to carry packaging. Simple assembly, design typical for all analogues. During the first couple of hours of operation, the smell of grease is noticeable. The inscription on the back of the case promises a service life of 5 years. It looks "&amp;"normal, works quietly and without any clicks/knocks (like models costing 200-300 rubles). The modes are well chosen. The first speed is quite calm, barely noticeable from three meters. The second is already decent, the third is generally powerful. For you"&amp;"r money, there is no better alternative.")</f>
        <v>Compact and easy to carry packaging. Simple assembly, design typical for all analogues. During the first couple of hours of operation, the smell of grease is noticeable. The inscription on the back of the case promises a service life of 5 years. It looks normal, works quietly and without any clicks/knocks (like models costing 200-300 rubles). The modes are well chosen. The first speed is quite calm, barely noticeable from three meters. The second is already decent, the third is generally powerful. For your money, there is no better alternative.</v>
      </c>
    </row>
    <row r="835" spans="1:9" x14ac:dyDescent="0.3">
      <c r="A835" s="1" t="s">
        <v>55</v>
      </c>
      <c r="B835" s="1" t="s">
        <v>84</v>
      </c>
      <c r="C835" s="1" t="s">
        <v>85</v>
      </c>
      <c r="D835" s="1" t="s">
        <v>64</v>
      </c>
      <c r="E835" s="1" t="s">
        <v>2063</v>
      </c>
      <c r="F835" s="1" t="s">
        <v>2064</v>
      </c>
      <c r="G835" s="1" t="s">
        <v>15</v>
      </c>
      <c r="H835" s="1" t="s">
        <v>16</v>
      </c>
      <c r="I835" s="1" t="str">
        <f ca="1">IFERROR(__xludf.DUMMYFUNCTION("GOOGLETRANSLATE(F835, ""auto"", ""en"")
"),"It's not true that it works silently. Of course, if the house is near the highway, then maybe you can’t hear it over the hum of the cars... But it sounds like the sound of a helicopter. In terms of the degree of moisture content, you need to take a smalle"&amp;"r area than indicated in the instructions, otherwise it will not reach the desired humidity level of 50-55%. We took it due to the birth of a child. And I have to turn it off at night because of the noise. If you set it to the minimum level, then nothing "&amp;"is moistened; the humidity does not rise above 35%. We are thinking of exchanging for another model")</f>
        <v>It's not true that it works silently. Of course, if the house is near the highway, then maybe you can’t hear it over the hum of the cars... But it sounds like the sound of a helicopter. In terms of the degree of moisture content, you need to take a smaller area than indicated in the instructions, otherwise it will not reach the desired humidity level of 50-55%. We took it due to the birth of a child. And I have to turn it off at night because of the noise. If you set it to the minimum level, then nothing is moistened; the humidity does not rise above 35%. We are thinking of exchanging for another model</v>
      </c>
    </row>
    <row r="836" spans="1:9" x14ac:dyDescent="0.3">
      <c r="A836" s="1" t="s">
        <v>61</v>
      </c>
      <c r="B836" s="1" t="s">
        <v>73</v>
      </c>
      <c r="C836" s="1" t="s">
        <v>85</v>
      </c>
      <c r="D836" s="1" t="s">
        <v>545</v>
      </c>
      <c r="E836" s="1" t="s">
        <v>164</v>
      </c>
      <c r="F836" s="1" t="s">
        <v>2065</v>
      </c>
      <c r="G836" s="1" t="s">
        <v>49</v>
      </c>
      <c r="H836" s="1" t="s">
        <v>16</v>
      </c>
      <c r="I836" s="1" t="str">
        <f ca="1">IFERROR(__xludf.DUMMYFUNCTION("GOOGLETRANSLATE(F836, ""auto"", ""en"")
"),"I have never seen more terrible technology than that of this company. It’s not clear why they take that kind of money. The stated productivity is 2.5 kg of meat per minute, so you will spend half a day turning these 2.5 kg and you won’t see minced meat, b"&amp;"ut you will see an incomprehensible mess.")</f>
        <v>I have never seen more terrible technology than that of this company. It’s not clear why they take that kind of money. The stated productivity is 2.5 kg of meat per minute, so you will spend half a day turning these 2.5 kg and you won’t see minced meat, but you will see an incomprehensible mess.</v>
      </c>
    </row>
    <row r="837" spans="1:9" x14ac:dyDescent="0.3">
      <c r="A837" s="1" t="s">
        <v>43</v>
      </c>
      <c r="B837" s="1" t="s">
        <v>1382</v>
      </c>
      <c r="C837" s="1" t="s">
        <v>45</v>
      </c>
      <c r="D837" s="1" t="s">
        <v>39</v>
      </c>
      <c r="E837" s="1" t="s">
        <v>2066</v>
      </c>
      <c r="F837" s="1" t="s">
        <v>2067</v>
      </c>
      <c r="G837" s="1" t="s">
        <v>36</v>
      </c>
      <c r="H837" s="1" t="s">
        <v>29</v>
      </c>
      <c r="I837" s="1" t="str">
        <f ca="1">IFERROR(__xludf.DUMMYFUNCTION("GOOGLETRANSLATE(F837, ""auto"", ""en"")
"),"To be honest, I didn’t expect this from this company!!!! everything is super: design, quality, lighting!!! From my bed to him - 50 cm and I sleep great!!!")</f>
        <v>To be honest, I didn’t expect this from this company!!!! everything is super: design, quality, lighting!!! From my bed to him - 50 cm and I sleep great!!!</v>
      </c>
    </row>
    <row r="838" spans="1:9" x14ac:dyDescent="0.3">
      <c r="A838" s="1" t="s">
        <v>95</v>
      </c>
      <c r="B838" s="1" t="s">
        <v>486</v>
      </c>
      <c r="C838" s="1" t="s">
        <v>487</v>
      </c>
      <c r="D838" s="1" t="s">
        <v>2068</v>
      </c>
      <c r="E838" s="1" t="s">
        <v>1586</v>
      </c>
      <c r="F838" s="1" t="s">
        <v>2069</v>
      </c>
      <c r="G838" s="1" t="s">
        <v>36</v>
      </c>
      <c r="H838" s="1" t="s">
        <v>29</v>
      </c>
      <c r="I838" s="1" t="str">
        <f ca="1">IFERROR(__xludf.DUMMYFUNCTION("GOOGLETRANSLATE(F838, ""auto"", ""en"")
"),"I bought it before the New Year and so far no problems or freezes!  I’m very pleased, I want to buy a Kinect too!")</f>
        <v>I bought it before the New Year and so far no problems or freezes!  I’m very pleased, I want to buy a Kinect too!</v>
      </c>
    </row>
    <row r="839" spans="1:9" x14ac:dyDescent="0.3">
      <c r="A839" s="1" t="s">
        <v>61</v>
      </c>
      <c r="B839" s="1" t="s">
        <v>145</v>
      </c>
      <c r="C839" s="1" t="s">
        <v>1981</v>
      </c>
      <c r="D839" s="1" t="s">
        <v>305</v>
      </c>
      <c r="E839" s="1" t="s">
        <v>2070</v>
      </c>
      <c r="F839" s="1" t="s">
        <v>2071</v>
      </c>
      <c r="G839" s="1" t="s">
        <v>28</v>
      </c>
      <c r="H839" s="1" t="s">
        <v>29</v>
      </c>
      <c r="I839" s="1" t="str">
        <f ca="1">IFERROR(__xludf.DUMMYFUNCTION("GOOGLETRANSLATE(F839, ""auto"", ""en"")
"),"A brilliant invention :-) No need to keep track of anything. I poured as much water as indicated, installed the eggs, pressed the button and left. Signal. Took the eggs. Perfectly cooked!")</f>
        <v>A brilliant invention :-) No need to keep track of anything. I poured as much water as indicated, installed the eggs, pressed the button and left. Signal. Took the eggs. Perfectly cooked!</v>
      </c>
    </row>
    <row r="840" spans="1:9" x14ac:dyDescent="0.3">
      <c r="A840" s="1" t="s">
        <v>120</v>
      </c>
      <c r="B840" s="1" t="s">
        <v>121</v>
      </c>
      <c r="C840" s="1" t="s">
        <v>69</v>
      </c>
      <c r="D840" s="1" t="s">
        <v>171</v>
      </c>
      <c r="E840" s="1" t="s">
        <v>680</v>
      </c>
      <c r="F840" s="1" t="s">
        <v>2072</v>
      </c>
      <c r="G840" s="1" t="s">
        <v>36</v>
      </c>
      <c r="H840" s="1" t="s">
        <v>29</v>
      </c>
      <c r="I840" s="1" t="str">
        <f ca="1">IFERROR(__xludf.DUMMYFUNCTION("GOOGLETRANSLATE(F840, ""auto"", ""en"")
"),"I bought it a month ago for 19,990 rubles. Very pleased. Doesn't get hot, doesn't smell, doesn't make noise! 4:3 image format available!! But not installed by default. You just need to enable in Settings (Autofotmat): ""AUTOSCALING"" instead of ""Autofill"&amp;"""! And that's all - please! Image without cropping and without distortion of proportions. Moreover, if a widescreen film is broadcast automatically in full screen - great! From a flash drive (4GB, 8GB) it only reads video of a certain size. It may be fix"&amp;"ed in the future with firmware. Terrestrial television still leaves much to be desired (at least no worse than CRT televisions). We will wait for digital broadcasting, fortunately there is a tuner in the “Hungarian” assembly (32PFL5604H/12)! Convenient lo"&amp;"cation of connectors. There is a headphone output with separate (from the built-in speakers) volume control. Cool TV!! Very happy with the purchase! Support and everything about Philips 32PFL5604H/12 on the page http://www.p4c.philips.com/cgi-bin/dcbint/c"&amp;"pindex.pl?ctn=32PFL5604H/12&amp;scy=ru&amp;slg=ru")</f>
        <v>I bought it a month ago for 19,990 rubles. Very pleased. Doesn't get hot, doesn't smell, doesn't make noise! 4:3 image format available!! But not installed by default. You just need to enable in Settings (Autofotmat): "AUTOSCALING" instead of "Autofill"! And that's all - please! Image without cropping and without distortion of proportions. Moreover, if a widescreen film is broadcast automatically in full screen - great! From a flash drive (4GB, 8GB) it only reads video of a certain size. It may be fixed in the future with firmware. Terrestrial television still leaves much to be desired (at least no worse than CRT televisions). We will wait for digital broadcasting, fortunately there is a tuner in the “Hungarian” assembly (32PFL5604H/12)! Convenient location of connectors. There is a headphone output with separate (from the built-in speakers) volume control. Cool TV!! Very happy with the purchase! Support and everything about Philips 32PFL5604H/12 on the page http://www.p4c.philips.com/cgi-bin/dcbint/cpindex.pl?ctn=32PFL5604H/12&amp;scy=ru&amp;slg=ru</v>
      </c>
    </row>
    <row r="841" spans="1:9" x14ac:dyDescent="0.3">
      <c r="A841" s="1" t="s">
        <v>965</v>
      </c>
      <c r="B841" s="1" t="s">
        <v>966</v>
      </c>
      <c r="C841" s="1" t="s">
        <v>967</v>
      </c>
      <c r="D841" s="1" t="s">
        <v>2073</v>
      </c>
      <c r="E841" s="1" t="s">
        <v>164</v>
      </c>
      <c r="F841" s="1" t="s">
        <v>2074</v>
      </c>
      <c r="G841" s="1" t="s">
        <v>28</v>
      </c>
      <c r="H841" s="1" t="s">
        <v>29</v>
      </c>
      <c r="I841" s="1" t="str">
        <f ca="1">IFERROR(__xludf.DUMMYFUNCTION("GOOGLETRANSLATE(F841, ""auto"", ""en"")
"),"Purely my opinion. The speakers are good, they sound great, I've been using them for over a year now. The only downside is that all the controls are on the subwoofer, as long as I have it on the floor, bending down doesn’t bother me much. I’m also a littl"&amp;"e short on the cable length of the left satellite. In general, anyone who needs good and inexpensive 2.1 wooden speakers should pay attention to this model.")</f>
        <v>Purely my opinion. The speakers are good, they sound great, I've been using them for over a year now. The only downside is that all the controls are on the subwoofer, as long as I have it on the floor, bending down doesn’t bother me much. I’m also a little short on the cable length of the left satellite. In general, anyone who needs good and inexpensive 2.1 wooden speakers should pay attention to this model.</v>
      </c>
    </row>
    <row r="842" spans="1:9" x14ac:dyDescent="0.3">
      <c r="A842" s="1" t="s">
        <v>9</v>
      </c>
      <c r="B842" s="1" t="s">
        <v>137</v>
      </c>
      <c r="C842" s="1" t="s">
        <v>63</v>
      </c>
      <c r="D842" s="1" t="s">
        <v>12</v>
      </c>
      <c r="E842" s="1" t="s">
        <v>2075</v>
      </c>
      <c r="F842" s="1" t="s">
        <v>2076</v>
      </c>
      <c r="G842" s="1" t="s">
        <v>15</v>
      </c>
      <c r="H842" s="1" t="s">
        <v>16</v>
      </c>
      <c r="I842" s="1" t="str">
        <f ca="1">IFERROR(__xludf.DUMMYFUNCTION("GOOGLETRANSLATE(F842, ""auto"", ""en"")
"),"I bought a gas hob in April 2015. I don’t use it every day. When I turn on the apron of the burners, the “handles” get very hot. The surface is very easily soiled and needs to be washed after each cooking. and after washing (even delicately) a “cobweb” of"&amp;" scratches remains.")</f>
        <v>I bought a gas hob in April 2015. I don’t use it every day. When I turn on the apron of the burners, the “handles” get very hot. The surface is very easily soiled and needs to be washed after each cooking. and after washing (even delicately) a “cobweb” of scratches remains.</v>
      </c>
    </row>
    <row r="843" spans="1:9" x14ac:dyDescent="0.3">
      <c r="A843" s="1" t="s">
        <v>61</v>
      </c>
      <c r="B843" s="1" t="s">
        <v>73</v>
      </c>
      <c r="C843" s="1" t="s">
        <v>85</v>
      </c>
      <c r="D843" s="1" t="s">
        <v>152</v>
      </c>
      <c r="E843" s="1" t="s">
        <v>1481</v>
      </c>
      <c r="F843" s="1" t="s">
        <v>2077</v>
      </c>
      <c r="G843" s="1" t="s">
        <v>49</v>
      </c>
      <c r="H843" s="1" t="s">
        <v>16</v>
      </c>
      <c r="I843" s="1" t="str">
        <f ca="1">IFERROR(__xludf.DUMMYFUNCTION("GOOGLETRANSLATE(F843, ""auto"", ""en"")
"),"The BORK MG RNP 1215 WT meat grinder is simply HORROR. The money that the store sells it for is not worth it. This meat grinder only has a beautiful design, this model does not have meat grinder functions.")</f>
        <v>The BORK MG RNP 1215 WT meat grinder is simply HORROR. The money that the store sells it for is not worth it. This meat grinder only has a beautiful design, this model does not have meat grinder functions.</v>
      </c>
    </row>
    <row r="844" spans="1:9" x14ac:dyDescent="0.3">
      <c r="A844" s="1" t="s">
        <v>30</v>
      </c>
      <c r="B844" s="1" t="s">
        <v>31</v>
      </c>
      <c r="C844" s="1" t="s">
        <v>32</v>
      </c>
      <c r="D844" s="1" t="s">
        <v>2078</v>
      </c>
      <c r="E844" s="1" t="s">
        <v>225</v>
      </c>
      <c r="F844" s="1" t="s">
        <v>2079</v>
      </c>
      <c r="G844" s="1" t="s">
        <v>36</v>
      </c>
      <c r="H844" s="1" t="s">
        <v>29</v>
      </c>
      <c r="I844" s="1" t="str">
        <f ca="1">IFERROR(__xludf.DUMMYFUNCTION("GOOGLETRANSLATE(F844, ""auto"", ""en"")
"),"In general, an excellent system builder!!! I reinstalled the maximum x64 on the seven and now I have all 4 gigs and everything works and flies perfectly!!!! I set all games to maximum settings and not a single game slows down, as they wrote earlier!!! So "&amp;"buy it, you won’t regret it!")</f>
        <v>In general, an excellent system builder!!! I reinstalled the maximum x64 on the seven and now I have all 4 gigs and everything works and flies perfectly!!!! I set all games to maximum settings and not a single game slows down, as they wrote earlier!!! So buy it, you won’t regret it!</v>
      </c>
    </row>
    <row r="845" spans="1:9" x14ac:dyDescent="0.3">
      <c r="A845" s="1" t="s">
        <v>120</v>
      </c>
      <c r="B845" s="1" t="s">
        <v>196</v>
      </c>
      <c r="C845" s="1" t="s">
        <v>151</v>
      </c>
      <c r="D845" s="1" t="s">
        <v>589</v>
      </c>
      <c r="E845" s="1" t="s">
        <v>817</v>
      </c>
      <c r="F845" s="1" t="s">
        <v>2080</v>
      </c>
      <c r="G845" s="1" t="s">
        <v>36</v>
      </c>
      <c r="H845" s="1" t="s">
        <v>29</v>
      </c>
      <c r="I845" s="1" t="str">
        <f ca="1">IFERROR(__xludf.DUMMYFUNCTION("GOOGLETRANSLATE(F845, ""auto"", ""en"")
"),"The TV was beautiful, when they arrived and unpacked it, we were delighted with how it looked in the room. With a terrible analog signal, the broadcast shows tolerably. Connected to a WD media player, the image is amazing, the clarity and color are excell"&amp;"ent even for 2-5GB mkv files. Music when turning on and off can be very easily made quieter or completely turned off in the menu. You need to read the instructions. I rate the price-quality ratio of this TV as 5+.")</f>
        <v>The TV was beautiful, when they arrived and unpacked it, we were delighted with how it looked in the room. With a terrible analog signal, the broadcast shows tolerably. Connected to a WD media player, the image is amazing, the clarity and color are excellent even for 2-5GB mkv files. Music when turning on and off can be very easily made quieter or completely turned off in the menu. You need to read the instructions. I rate the price-quality ratio of this TV as 5+.</v>
      </c>
    </row>
    <row r="846" spans="1:9" x14ac:dyDescent="0.3">
      <c r="A846" s="1" t="s">
        <v>206</v>
      </c>
      <c r="B846" s="1" t="s">
        <v>1349</v>
      </c>
      <c r="C846" s="1" t="s">
        <v>351</v>
      </c>
      <c r="D846" s="1" t="s">
        <v>2081</v>
      </c>
      <c r="E846" s="1" t="s">
        <v>1454</v>
      </c>
      <c r="F846" s="1" t="s">
        <v>2082</v>
      </c>
      <c r="G846" s="1" t="s">
        <v>36</v>
      </c>
      <c r="H846" s="1" t="s">
        <v>29</v>
      </c>
      <c r="I846" s="1" t="str">
        <f ca="1">IFERROR(__xludf.DUMMYFUNCTION("GOOGLETRANSLATE(F846, ""auto"", ""en"")
"),"09.2010 I bought a radio, it was immediately a factory defect, the screen lights up, the radio sings, but doesn’t show anything, I replaced it with the same one, everything is fine. I connected it to the standard ISO connector on a VW Passat b5 1998, I ha"&amp;"d to move the yellow power wire in the chip to a different place (where the “+” is on the car chip), I connected the blue wire at the radio to control the SAB (with a built-in amplifier), that’s all OK, it pumps. The pink “parking” wire goes straight to g"&amp;"round so that the video shows. The only thing I don’t understand is why the backlight glows red when you remove the panel???")</f>
        <v>09.2010 I bought a radio, it was immediately a factory defect, the screen lights up, the radio sings, but doesn’t show anything, I replaced it with the same one, everything is fine. I connected it to the standard ISO connector on a VW Passat b5 1998, I had to move the yellow power wire in the chip to a different place (where the “+” is on the car chip), I connected the blue wire at the radio to control the SAB (with a built-in amplifier), that’s all OK, it pumps. The pink “parking” wire goes straight to ground so that the video shows. The only thing I don’t understand is why the backlight glows red when you remove the panel???</v>
      </c>
    </row>
    <row r="847" spans="1:9" x14ac:dyDescent="0.3">
      <c r="A847" s="1" t="s">
        <v>17</v>
      </c>
      <c r="B847" s="1" t="s">
        <v>18</v>
      </c>
      <c r="C847" s="1" t="s">
        <v>243</v>
      </c>
      <c r="D847" s="1" t="s">
        <v>1008</v>
      </c>
      <c r="E847" s="1" t="s">
        <v>1780</v>
      </c>
      <c r="F847" s="1" t="s">
        <v>2083</v>
      </c>
      <c r="G847" s="1" t="s">
        <v>36</v>
      </c>
      <c r="H847" s="1" t="s">
        <v>29</v>
      </c>
      <c r="I847" s="1" t="str">
        <f ca="1">IFERROR(__xludf.DUMMYFUNCTION("GOOGLETRANSLATE(F847, ""auto"", ""en"")
"),"It's a good machine, I've been using it for half a year. No complaints.")</f>
        <v>It's a good machine, I've been using it for half a year. No complaints.</v>
      </c>
    </row>
    <row r="848" spans="1:9" x14ac:dyDescent="0.3">
      <c r="A848" s="1" t="s">
        <v>67</v>
      </c>
      <c r="B848" s="1" t="s">
        <v>340</v>
      </c>
      <c r="C848" s="1" t="s">
        <v>341</v>
      </c>
      <c r="D848" s="1" t="s">
        <v>2084</v>
      </c>
      <c r="E848" s="1" t="s">
        <v>2085</v>
      </c>
      <c r="F848" s="1" t="s">
        <v>2086</v>
      </c>
      <c r="G848" s="1" t="s">
        <v>36</v>
      </c>
      <c r="H848" s="1" t="s">
        <v>29</v>
      </c>
      <c r="I848" s="1" t="str">
        <f ca="1">IFERROR(__xludf.DUMMYFUNCTION("GOOGLETRANSLATE(F848, ""auto"", ""en"")
"),"The machine is simply excellent for the money :-) I’ve been using it for two years and it has never let me down. And there was also a story about the raised foot, I suffered for three hours, could not understand what was wrong, then I discovered that the "&amp;"pin for winding the thread on the bobbin was moved, returned it to its place, and everything worked like clockwork))) and Dec. I hem jeans with stitches, it looks just super")</f>
        <v>The machine is simply excellent for the money :-) I’ve been using it for two years and it has never let me down. And there was also a story about the raised foot, I suffered for three hours, could not understand what was wrong, then I discovered that the pin for winding the thread on the bobbin was moved, returned it to its place, and everything worked like clockwork))) and Dec. I hem jeans with stitches, it looks just super</v>
      </c>
    </row>
    <row r="849" spans="1:9" x14ac:dyDescent="0.3">
      <c r="A849" s="1" t="s">
        <v>2087</v>
      </c>
      <c r="B849" s="1" t="s">
        <v>2088</v>
      </c>
      <c r="C849" s="1" t="s">
        <v>69</v>
      </c>
      <c r="D849" s="1" t="s">
        <v>20</v>
      </c>
      <c r="E849" s="1" t="s">
        <v>2089</v>
      </c>
      <c r="F849" s="1" t="s">
        <v>2090</v>
      </c>
      <c r="G849" s="1" t="s">
        <v>36</v>
      </c>
      <c r="H849" s="1" t="s">
        <v>29</v>
      </c>
      <c r="I849" s="1" t="str">
        <f ca="1">IFERROR(__xludf.DUMMYFUNCTION("GOOGLETRANSLATE(F849, ""auto"", ""en"")
"),"I'm very pleased with the player, reads everything, loads the Blu-Ray disc very quickly, reads MKV without problems, in general it met all my expectations, a clean five")</f>
        <v>I'm very pleased with the player, reads everything, loads the Blu-Ray disc very quickly, reads MKV without problems, in general it met all my expectations, a clean five</v>
      </c>
    </row>
    <row r="850" spans="1:9" x14ac:dyDescent="0.3">
      <c r="A850" s="1" t="s">
        <v>557</v>
      </c>
      <c r="B850" s="1" t="s">
        <v>558</v>
      </c>
      <c r="C850" s="1" t="s">
        <v>1921</v>
      </c>
      <c r="D850" s="1" t="s">
        <v>2091</v>
      </c>
      <c r="E850" s="1" t="s">
        <v>1219</v>
      </c>
      <c r="F850" s="1" t="s">
        <v>2092</v>
      </c>
      <c r="G850" s="1" t="s">
        <v>36</v>
      </c>
      <c r="H850" s="1" t="s">
        <v>29</v>
      </c>
      <c r="I850" s="1" t="str">
        <f ca="1">IFERROR(__xludf.DUMMYFUNCTION("GOOGLETRANSLATE(F850, ""auto"", ""en"")
"),"Excellent phone, beautiful design, this phone has an ID and even detects cell phones")</f>
        <v>Excellent phone, beautiful design, this phone has an ID and even detects cell phones</v>
      </c>
    </row>
    <row r="851" spans="1:9" x14ac:dyDescent="0.3">
      <c r="A851" s="1" t="s">
        <v>30</v>
      </c>
      <c r="B851" s="1" t="s">
        <v>50</v>
      </c>
      <c r="C851" s="1" t="s">
        <v>1386</v>
      </c>
      <c r="D851" s="1" t="s">
        <v>2093</v>
      </c>
      <c r="E851" s="1" t="s">
        <v>2094</v>
      </c>
      <c r="F851" s="1" t="s">
        <v>2095</v>
      </c>
      <c r="G851" s="1" t="s">
        <v>28</v>
      </c>
      <c r="H851" s="1" t="s">
        <v>29</v>
      </c>
      <c r="I851" s="1" t="str">
        <f ca="1">IFERROR(__xludf.DUMMYFUNCTION("GOOGLETRANSLATE(F851, ""auto"", ""en"")
"),"I recently bought it, so far I’m happy with everything, I don’t have a video camera, the video card is ok, the processor is a bit weak, everything else is super!")</f>
        <v>I recently bought it, so far I’m happy with everything, I don’t have a video camera, the video card is ok, the processor is a bit weak, everything else is super!</v>
      </c>
    </row>
    <row r="852" spans="1:9" x14ac:dyDescent="0.3">
      <c r="A852" s="1" t="s">
        <v>61</v>
      </c>
      <c r="B852" s="1" t="s">
        <v>977</v>
      </c>
      <c r="C852" s="1" t="s">
        <v>85</v>
      </c>
      <c r="D852" s="1" t="s">
        <v>2096</v>
      </c>
      <c r="E852" s="1" t="s">
        <v>2097</v>
      </c>
      <c r="F852" s="1" t="s">
        <v>2098</v>
      </c>
      <c r="G852" s="1" t="s">
        <v>36</v>
      </c>
      <c r="H852" s="1" t="s">
        <v>29</v>
      </c>
      <c r="I852" s="1" t="str">
        <f ca="1">IFERROR(__xludf.DUMMYFUNCTION("GOOGLETRANSLATE(F852, ""auto"", ""en"")
"),"I have been using this blender for more than a year, I am very pleased with its performance, I recommend it to everyone. A beautiful, high-quality, powerful model. Excellent and fast grinding of any product. An indispensable assistant in the kitchen.")</f>
        <v>I have been using this blender for more than a year, I am very pleased with its performance, I recommend it to everyone. A beautiful, high-quality, powerful model. Excellent and fast grinding of any product. An indispensable assistant in the kitchen.</v>
      </c>
    </row>
    <row r="853" spans="1:9" x14ac:dyDescent="0.3">
      <c r="A853" s="1" t="s">
        <v>61</v>
      </c>
      <c r="B853" s="1" t="s">
        <v>318</v>
      </c>
      <c r="C853" s="1" t="s">
        <v>146</v>
      </c>
      <c r="D853" s="1" t="s">
        <v>12</v>
      </c>
      <c r="E853" s="1" t="s">
        <v>1228</v>
      </c>
      <c r="F853" s="1" t="s">
        <v>2099</v>
      </c>
      <c r="G853" s="1" t="s">
        <v>36</v>
      </c>
      <c r="H853" s="1" t="s">
        <v>29</v>
      </c>
      <c r="I853" s="1" t="str">
        <f ca="1">IFERROR(__xludf.DUMMYFUNCTION("GOOGLETRANSLATE(F853, ""auto"", ""en"")
"),"Served me for 2.5 years - until my husband burned me ((, very comfortable and compact. I'll go buy one tomorrow)")</f>
        <v>Served me for 2.5 years - until my husband burned me ((, very comfortable and compact. I'll go buy one tomorrow)</v>
      </c>
    </row>
    <row r="854" spans="1:9" x14ac:dyDescent="0.3">
      <c r="A854" s="1" t="s">
        <v>37</v>
      </c>
      <c r="B854" s="1" t="s">
        <v>38</v>
      </c>
      <c r="C854" s="1" t="s">
        <v>39</v>
      </c>
      <c r="D854" s="1" t="s">
        <v>20</v>
      </c>
      <c r="E854" s="1" t="s">
        <v>971</v>
      </c>
      <c r="F854" s="1" t="s">
        <v>2100</v>
      </c>
      <c r="G854" s="1" t="s">
        <v>36</v>
      </c>
      <c r="H854" s="1" t="s">
        <v>29</v>
      </c>
      <c r="I854" s="1" t="str">
        <f ca="1">IFERROR(__xludf.DUMMYFUNCTION("GOOGLETRANSLATE(F854, ""auto"", ""en"")
"),"The phone is super, the camera is good, the sound is excellent. Take it, you won't regret it!!!")</f>
        <v>The phone is super, the camera is good, the sound is excellent. Take it, you won't regret it!!!</v>
      </c>
    </row>
    <row r="855" spans="1:9" x14ac:dyDescent="0.3">
      <c r="A855" s="1" t="s">
        <v>1823</v>
      </c>
      <c r="B855" s="1" t="s">
        <v>2101</v>
      </c>
      <c r="C855" s="1" t="s">
        <v>1825</v>
      </c>
      <c r="D855" s="1" t="s">
        <v>2102</v>
      </c>
      <c r="E855" s="1" t="s">
        <v>2103</v>
      </c>
      <c r="F855" s="1" t="s">
        <v>2104</v>
      </c>
      <c r="G855" s="1" t="s">
        <v>36</v>
      </c>
      <c r="H855" s="1" t="s">
        <v>29</v>
      </c>
      <c r="I855" s="1" t="str">
        <f ca="1">IFERROR(__xludf.DUMMYFUNCTION("GOOGLETRANSLATE(F855, ""auto"", ""en"")
"),"Well, these cases, of course, have strange designs..)) But personally, I have bamboo, I’m not complaining, I like it and am not tired of it yet, although I’ve been using it for a year now. During this time, it just didn’t work for me - I was doused with w"&amp;"ater from the iron, and its high temperatures, but nowhere were there any traces of the water or the iron itself. Well, at worst, you can always throw the cover in the washing machine and that’s it. BUT I advise you to throw it ONLY with clothes of the sa"&amp;"me color, otherwise you never know, and at 30 degrees, otherwise it may become deformed, but this is clearly not necessary.")</f>
        <v>Well, these cases, of course, have strange designs..)) But personally, I have bamboo, I’m not complaining, I like it and am not tired of it yet, although I’ve been using it for a year now. During this time, it just didn’t work for me - I was doused with water from the iron, and its high temperatures, but nowhere were there any traces of the water or the iron itself. Well, at worst, you can always throw the cover in the washing machine and that’s it. BUT I advise you to throw it ONLY with clothes of the same color, otherwise you never know, and at 30 degrees, otherwise it may become deformed, but this is clearly not necessary.</v>
      </c>
    </row>
    <row r="856" spans="1:9" x14ac:dyDescent="0.3">
      <c r="A856" s="1" t="s">
        <v>61</v>
      </c>
      <c r="B856" s="1" t="s">
        <v>977</v>
      </c>
      <c r="C856" s="1" t="s">
        <v>69</v>
      </c>
      <c r="D856" s="1" t="s">
        <v>52</v>
      </c>
      <c r="E856" s="1" t="s">
        <v>2105</v>
      </c>
      <c r="F856" s="1" t="s">
        <v>2106</v>
      </c>
      <c r="G856" s="1" t="s">
        <v>36</v>
      </c>
      <c r="H856" s="1" t="s">
        <v>29</v>
      </c>
      <c r="I856" s="1" t="str">
        <f ca="1">IFERROR(__xludf.DUMMYFUNCTION("GOOGLETRANSLATE(F856, ""auto"", ""en"")
"),"I've been using it for 7 months. Very pleased. I took it mainly for cocktails. The blender is very powerful. Beat cottage cheese, boiled eggs with milk at 1st speed until drink. The meat is chopped into mince, just add in small portions (for better mixing"&amp;"). Vegetables, fruits (any), nuts, chocolate - crumbled. I make mayonnaise with a whisk - super. Very easy to use and easy to clean. I recommend!")</f>
        <v>I've been using it for 7 months. Very pleased. I took it mainly for cocktails. The blender is very powerful. Beat cottage cheese, boiled eggs with milk at 1st speed until drink. The meat is chopped into mince, just add in small portions (for better mixing). Vegetables, fruits (any), nuts, chocolate - crumbled. I make mayonnaise with a whisk - super. Very easy to use and easy to clean. I recommend!</v>
      </c>
    </row>
    <row r="857" spans="1:9" x14ac:dyDescent="0.3">
      <c r="A857" s="1" t="s">
        <v>624</v>
      </c>
      <c r="B857" s="1" t="s">
        <v>2107</v>
      </c>
      <c r="C857" s="1" t="s">
        <v>479</v>
      </c>
      <c r="D857" s="1" t="s">
        <v>2108</v>
      </c>
      <c r="E857" s="1" t="s">
        <v>2028</v>
      </c>
      <c r="F857" s="1" t="s">
        <v>2109</v>
      </c>
      <c r="G857" s="1" t="s">
        <v>36</v>
      </c>
      <c r="H857" s="1" t="s">
        <v>29</v>
      </c>
      <c r="I857" s="1" t="str">
        <f ca="1">IFERROR(__xludf.DUMMYFUNCTION("GOOGLETRANSLATE(F857, ""auto"", ""en"")
"),"It's worth playing...and the weapons are acceptable...and the plot, graphics are as always...high! I recommend it to everyone...")</f>
        <v>It's worth playing...and the weapons are acceptable...and the plot, graphics are as always...high! I recommend it to everyone...</v>
      </c>
    </row>
    <row r="858" spans="1:9" x14ac:dyDescent="0.3">
      <c r="A858" s="1" t="s">
        <v>17</v>
      </c>
      <c r="B858" s="1" t="s">
        <v>18</v>
      </c>
      <c r="C858" s="1" t="s">
        <v>151</v>
      </c>
      <c r="D858" s="1" t="s">
        <v>474</v>
      </c>
      <c r="E858" s="1" t="s">
        <v>2110</v>
      </c>
      <c r="F858" s="1" t="s">
        <v>2111</v>
      </c>
      <c r="G858" s="1" t="s">
        <v>36</v>
      </c>
      <c r="H858" s="1" t="s">
        <v>29</v>
      </c>
      <c r="I858" s="1" t="str">
        <f ca="1">IFERROR(__xludf.DUMMYFUNCTION("GOOGLETRANSLATE(F858, ""auto"", ""en"")
"),"1). &amp;quot;Error&amp;quot; 2H is not an error, it is “2 hours”. In English the word ""hour"" starting with the letter ""N"" begins. The machine shows you that it will wash for more than 99 minutes, which the display can display. There are 2 numbers on the disp"&amp;"lay, and 100 minutes is not shown. She will wash and wash and start counting back from 99 on time. 2). It “twists” for a long time. spin, this means the laundry is curled up in a ball or one big thing. The drum ""walks"" from improper weight distribution "&amp;"and the smart machine protects itself and does not gain momentum. Pause, open the drum, distribute the laundry evenly, close and continue washing. ALL THE BUSINESS! 3). Who has something “rattling” there? and ""jumps""? Remove the shipping screws and leve"&amp;"l the machine. Excellent cars from Samsung - we have already bought the third one for our family. Grandma-1, auntie-2, me-3.")</f>
        <v>1). &amp;quot;Error&amp;quot; 2H is not an error, it is “2 hours”. In English the word "hour" starting with the letter "N" begins. The machine shows you that it will wash for more than 99 minutes, which the display can display. There are 2 numbers on the display, and 100 minutes is not shown. She will wash and wash and start counting back from 99 on time. 2). It “twists” for a long time. spin, this means the laundry is curled up in a ball or one big thing. The drum "walks" from improper weight distribution and the smart machine protects itself and does not gain momentum. Pause, open the drum, distribute the laundry evenly, close and continue washing. ALL THE BUSINESS! 3). Who has something “rattling” there? and "jumps"? Remove the shipping screws and level the machine. Excellent cars from Samsung - we have already bought the third one for our family. Grandma-1, auntie-2, me-3.</v>
      </c>
    </row>
    <row r="859" spans="1:9" x14ac:dyDescent="0.3">
      <c r="A859" s="1" t="s">
        <v>211</v>
      </c>
      <c r="B859" s="1" t="s">
        <v>212</v>
      </c>
      <c r="C859" s="1" t="s">
        <v>745</v>
      </c>
      <c r="D859" s="1" t="s">
        <v>2112</v>
      </c>
      <c r="E859" s="1" t="s">
        <v>2113</v>
      </c>
      <c r="F859" s="1" t="s">
        <v>2114</v>
      </c>
      <c r="G859" s="1" t="s">
        <v>36</v>
      </c>
      <c r="H859" s="1" t="s">
        <v>29</v>
      </c>
      <c r="I859" s="1" t="str">
        <f ca="1">IFERROR(__xludf.DUMMYFUNCTION("GOOGLETRANSLATE(F859, ""auto"", ""en"")
"),"Initially, I chose a hair dryer brush to create voluminous styling. The volume is good, the only negative is the lack of ionization, so first I dry it with a professional hairdryer, then I style it with this. For such a price, the device completely justif"&amp;"ies itself.")</f>
        <v>Initially, I chose a hair dryer brush to create voluminous styling. The volume is good, the only negative is the lack of ionization, so first I dry it with a professional hairdryer, then I style it with this. For such a price, the device completely justifies itself.</v>
      </c>
    </row>
    <row r="860" spans="1:9" x14ac:dyDescent="0.3">
      <c r="A860" s="1" t="s">
        <v>113</v>
      </c>
      <c r="B860" s="1" t="s">
        <v>1251</v>
      </c>
      <c r="C860" s="1" t="s">
        <v>2115</v>
      </c>
      <c r="D860" s="1" t="s">
        <v>142</v>
      </c>
      <c r="E860" s="1" t="s">
        <v>1172</v>
      </c>
      <c r="F860" s="1" t="s">
        <v>2116</v>
      </c>
      <c r="G860" s="1" t="s">
        <v>36</v>
      </c>
      <c r="H860" s="1" t="s">
        <v>29</v>
      </c>
      <c r="I860" s="1" t="str">
        <f ca="1">IFERROR(__xludf.DUMMYFUNCTION("GOOGLETRANSLATE(F860, ""auto"", ""en"")
"),"Excellent photo. For those who don't want to bother. Nothing extra and a great price.")</f>
        <v>Excellent photo. For those who don't want to bother. Nothing extra and a great price.</v>
      </c>
    </row>
    <row r="861" spans="1:9" x14ac:dyDescent="0.3">
      <c r="A861" s="1" t="s">
        <v>206</v>
      </c>
      <c r="B861" s="1" t="s">
        <v>207</v>
      </c>
      <c r="C861" s="1" t="s">
        <v>351</v>
      </c>
      <c r="D861" s="1" t="s">
        <v>305</v>
      </c>
      <c r="E861" s="1" t="s">
        <v>577</v>
      </c>
      <c r="F861" s="1" t="s">
        <v>2117</v>
      </c>
      <c r="G861" s="1" t="s">
        <v>36</v>
      </c>
      <c r="H861" s="1" t="s">
        <v>29</v>
      </c>
      <c r="I861" s="1" t="str">
        <f ca="1">IFERROR(__xludf.DUMMYFUNCTION("GOOGLETRANSLATE(F861, ""auto"", ""en"")
"),"Plays with Alpine SBG-1244BP, does not heat up, does not ring, the bass is clear. The main thing is to connect correctly.")</f>
        <v>Plays with Alpine SBG-1244BP, does not heat up, does not ring, the bass is clear. The main thing is to connect correctly.</v>
      </c>
    </row>
    <row r="862" spans="1:9" x14ac:dyDescent="0.3">
      <c r="A862" s="1" t="s">
        <v>369</v>
      </c>
      <c r="B862" s="1" t="s">
        <v>587</v>
      </c>
      <c r="C862" s="1" t="s">
        <v>588</v>
      </c>
      <c r="D862" s="1" t="s">
        <v>327</v>
      </c>
      <c r="E862" s="1" t="s">
        <v>2118</v>
      </c>
      <c r="F862" s="1" t="s">
        <v>2119</v>
      </c>
      <c r="G862" s="1" t="s">
        <v>36</v>
      </c>
      <c r="H862" s="1" t="s">
        <v>29</v>
      </c>
      <c r="I862" s="1" t="str">
        <f ca="1">IFERROR(__xludf.DUMMYFUNCTION("GOOGLETRANSLATE(F862, ""auto"", ""en"")
"),"We bought this stove for the New Year holidays, this model has already been discontinued - whoever is looking for it, hurry up, the follower is 2 thousand more expensive, the arrangement of the burners turned out to be 150% suitable for our kitchen, the o"&amp;"ven is very good with a thermostat, the grill works well, the surface is easy to clean, the only thing that still causes inconvenience (not used to it) is opening the burners with a counterclockwise handle")</f>
        <v>We bought this stove for the New Year holidays, this model has already been discontinued - whoever is looking for it, hurry up, the follower is 2 thousand more expensive, the arrangement of the burners turned out to be 150% suitable for our kitchen, the oven is very good with a thermostat, the grill works well, the surface is easy to clean, the only thing that still causes inconvenience (not used to it) is opening the burners with a counterclockwise handle</v>
      </c>
    </row>
    <row r="863" spans="1:9" x14ac:dyDescent="0.3">
      <c r="A863" s="1" t="s">
        <v>120</v>
      </c>
      <c r="B863" s="1" t="s">
        <v>196</v>
      </c>
      <c r="C863" s="1" t="s">
        <v>151</v>
      </c>
      <c r="D863" s="1" t="s">
        <v>471</v>
      </c>
      <c r="E863" s="1" t="s">
        <v>2120</v>
      </c>
      <c r="F863" s="1" t="s">
        <v>2121</v>
      </c>
      <c r="G863" s="1" t="s">
        <v>36</v>
      </c>
      <c r="H863" s="1" t="s">
        <v>29</v>
      </c>
      <c r="I863" s="1" t="str">
        <f ca="1">IFERROR(__xludf.DUMMYFUNCTION("GOOGLETRANSLATE(F863, ""auto"", ""en"")
"),"I bought a TV in m video in Moscow, the price-quality ratio is very excellent.  Only for some reason the 2 channels STS and TNT are poorly shown, everything ripples on them, and on the old TV the image was excellent. Maybe someone knows what needs to be d"&amp;"one?")</f>
        <v>I bought a TV in m video in Moscow, the price-quality ratio is very excellent.  Only for some reason the 2 channels STS and TNT are poorly shown, everything ripples on them, and on the old TV the image was excellent. Maybe someone knows what needs to be done?</v>
      </c>
    </row>
    <row r="864" spans="1:9" x14ac:dyDescent="0.3">
      <c r="A864" s="1" t="s">
        <v>17</v>
      </c>
      <c r="B864" s="1" t="s">
        <v>18</v>
      </c>
      <c r="C864" s="1" t="s">
        <v>243</v>
      </c>
      <c r="D864" s="1" t="s">
        <v>2122</v>
      </c>
      <c r="E864" s="1" t="s">
        <v>2123</v>
      </c>
      <c r="F864" s="1" t="s">
        <v>2124</v>
      </c>
      <c r="G864" s="1" t="s">
        <v>49</v>
      </c>
      <c r="H864" s="1" t="s">
        <v>16</v>
      </c>
      <c r="I864" s="1" t="str">
        <f ca="1">IFERROR(__xludf.DUMMYFUNCTION("GOOGLETRANSLATE(F864, ""auto"", ""en"")
"),"1) In fact, the machine worked great, but only for the first 4 years. There is an excellent program - washing in 15 minutes, which saves energy, time, and water. But at one point, during the spin cycle, it began to rattle and jump a lot. As it turned out,"&amp;" something went wrong, I can’t say for sure (my husband looked and said that the repair would cost half the price of the washing machine, so there was no point in repairing it).")</f>
        <v>1) In fact, the machine worked great, but only for the first 4 years. There is an excellent program - washing in 15 minutes, which saves energy, time, and water. But at one point, during the spin cycle, it began to rattle and jump a lot. As it turned out, something went wrong, I can’t say for sure (my husband looked and said that the repair would cost half the price of the washing machine, so there was no point in repairing it).</v>
      </c>
    </row>
    <row r="865" spans="1:9" x14ac:dyDescent="0.3">
      <c r="A865" s="1" t="s">
        <v>30</v>
      </c>
      <c r="B865" s="1" t="s">
        <v>50</v>
      </c>
      <c r="C865" s="1" t="s">
        <v>189</v>
      </c>
      <c r="D865" s="1" t="s">
        <v>2125</v>
      </c>
      <c r="E865" s="1" t="s">
        <v>2126</v>
      </c>
      <c r="F865" s="1" t="s">
        <v>2127</v>
      </c>
      <c r="G865" s="1" t="s">
        <v>36</v>
      </c>
      <c r="H865" s="1" t="s">
        <v>29</v>
      </c>
      <c r="I865" s="1" t="str">
        <f ca="1">IFERROR(__xludf.DUMMYFUNCTION("GOOGLETRANSLATE(F865, ""auto"", ""en"")
"),"About the power of beech. It depends on the beech. If this... well, in general, in terms of characteristics, it is a good beech for the price. Lags in the game are not a defect. There is not very strong video in this beech. The processor is ok, but GTA is"&amp;" very demanding. I'll try other simpler games. Dmitry, I don’t think this is a malfunction. Re-read the instructions. Maybe you misunderstood? It seems to me that there is nothing to find fault with the light bulb.")</f>
        <v>About the power of beech. It depends on the beech. If this... well, in general, in terms of characteristics, it is a good beech for the price. Lags in the game are not a defect. There is not very strong video in this beech. The processor is ok, but GTA is very demanding. I'll try other simpler games. Dmitry, I don’t think this is a malfunction. Re-read the instructions. Maybe you misunderstood? It seems to me that there is nothing to find fault with the light bulb.</v>
      </c>
    </row>
    <row r="866" spans="1:9" x14ac:dyDescent="0.3">
      <c r="A866" s="1" t="s">
        <v>61</v>
      </c>
      <c r="B866" s="1" t="s">
        <v>977</v>
      </c>
      <c r="C866" s="1" t="s">
        <v>63</v>
      </c>
      <c r="D866" s="1" t="s">
        <v>2128</v>
      </c>
      <c r="E866" s="1" t="s">
        <v>824</v>
      </c>
      <c r="F866" s="1" t="s">
        <v>2129</v>
      </c>
      <c r="G866" s="1" t="s">
        <v>36</v>
      </c>
      <c r="H866" s="1" t="s">
        <v>29</v>
      </c>
      <c r="I866" s="1" t="str">
        <f ca="1">IFERROR(__xludf.DUMMYFUNCTION("GOOGLETRANSLATE(F866, ""auto"", ""en"")
"),"An excellent blender, high-quality plastic, the country of origin inspires confidence that it will last a long time. But the power is not enough; for this price you can buy 2 times more powerful from other brands! What was upsetting was that there was als"&amp;"o a whisk on the display case, but it wasn’t included in the kit.")</f>
        <v>An excellent blender, high-quality plastic, the country of origin inspires confidence that it will last a long time. But the power is not enough; for this price you can buy 2 times more powerful from other brands! What was upsetting was that there was also a whisk on the display case, but it wasn’t included in the kit.</v>
      </c>
    </row>
    <row r="867" spans="1:9" x14ac:dyDescent="0.3">
      <c r="A867" s="1" t="s">
        <v>206</v>
      </c>
      <c r="B867" s="1" t="s">
        <v>1349</v>
      </c>
      <c r="C867" s="1" t="s">
        <v>262</v>
      </c>
      <c r="D867" s="1" t="s">
        <v>2130</v>
      </c>
      <c r="E867" s="1" t="s">
        <v>2131</v>
      </c>
      <c r="F867" s="1" t="s">
        <v>2132</v>
      </c>
      <c r="G867" s="1" t="s">
        <v>49</v>
      </c>
      <c r="H867" s="1" t="s">
        <v>16</v>
      </c>
      <c r="I867" s="1" t="str">
        <f ca="1">IFERROR(__xludf.DUMMYFUNCTION("GOOGLETRANSLATE(F867, ""auto"", ""en"")
"),"The device is bad, it worked for a week, the radio turned off, I sent it in for repair, after repair it worked for 30 minutes, then everything turned off.")</f>
        <v>The device is bad, it worked for a week, the radio turned off, I sent it in for repair, after repair it worked for 30 minutes, then everything turned off.</v>
      </c>
    </row>
    <row r="868" spans="1:9" x14ac:dyDescent="0.3">
      <c r="A868" s="1" t="s">
        <v>211</v>
      </c>
      <c r="B868" s="1" t="s">
        <v>212</v>
      </c>
      <c r="C868" s="1" t="s">
        <v>381</v>
      </c>
      <c r="D868" s="1" t="s">
        <v>33</v>
      </c>
      <c r="E868" s="1" t="s">
        <v>2038</v>
      </c>
      <c r="F868" s="1" t="s">
        <v>2133</v>
      </c>
      <c r="G868" s="1" t="s">
        <v>28</v>
      </c>
      <c r="H868" s="1" t="s">
        <v>29</v>
      </c>
      <c r="I868" s="1" t="str">
        <f ca="1">IFERROR(__xludf.DUMMYFUNCTION("GOOGLETRANSLATE(F868, ""auto"", ""en"")
"),"I gave it to my wife as a gift for New Year, she liked it.  The only negative is that the lock did not work at first; it was impossible to press this button. In 3 weeks. Looks like it's starting to close. Apparently developed) A trifle, of course, but it "&amp;"was a little unpleasant.")</f>
        <v>I gave it to my wife as a gift for New Year, she liked it.  The only negative is that the lock did not work at first; it was impossible to press this button. In 3 weeks. Looks like it's starting to close. Apparently developed) A trifle, of course, but it was a little unpleasant.</v>
      </c>
    </row>
    <row r="869" spans="1:9" x14ac:dyDescent="0.3">
      <c r="A869" s="1" t="s">
        <v>30</v>
      </c>
      <c r="B869" s="1" t="s">
        <v>50</v>
      </c>
      <c r="C869" s="1" t="s">
        <v>1003</v>
      </c>
      <c r="D869" s="1" t="s">
        <v>345</v>
      </c>
      <c r="E869" s="1" t="s">
        <v>750</v>
      </c>
      <c r="F869" s="1" t="s">
        <v>2134</v>
      </c>
      <c r="G869" s="1" t="s">
        <v>28</v>
      </c>
      <c r="H869" s="1" t="s">
        <v>29</v>
      </c>
      <c r="I869" s="1" t="str">
        <f ca="1">IFERROR(__xludf.DUMMYFUNCTION("GOOGLETRANSLATE(F869, ""auto"", ""en"")
"),"I bought it at about the same time as Alexander and, on the whole, I’m just as happy as a well-fed elephant.  What was upsetting: - unpleasant, frightening sounds made by the hard drive, with no freezes or errors during testing. It's been like this for a "&amp;"long time. SMART is normal. Just in case, I back up weekly - despite the initial optimism, it didn’t work out well to install XP on this machine: it will be installed, but there will be problems with the drivers for the video card (!), sound and a couple "&amp;"of system devices. And it’s especially bad with video (even “suitable” drivers give a sad result. Conclusion: 7 and only it. - it heats up quite noticeably, but there are no problems. It’s just very warm. - the screen operating modes are switched “aggress"&amp;"ively” (economy-normal) - it blinks. Dell and HP n610c were not guilty of this, it’s unusual - it’s quite dirty after all. Especially the keys and touchpad - if you don’t wipe at least three once a week, it looks sloppy. But in general, it’s the aesthetic"&amp;"s that captivate you. And the keyboard, almost like a Mac’s, is smooth, neat, and doesn’t jump around under your fingers.")</f>
        <v>I bought it at about the same time as Alexander and, on the whole, I’m just as happy as a well-fed elephant.  What was upsetting: - unpleasant, frightening sounds made by the hard drive, with no freezes or errors during testing. It's been like this for a long time. SMART is normal. Just in case, I back up weekly - despite the initial optimism, it didn’t work out well to install XP on this machine: it will be installed, but there will be problems with the drivers for the video card (!), sound and a couple of system devices. And it’s especially bad with video (even “suitable” drivers give a sad result. Conclusion: 7 and only it. - it heats up quite noticeably, but there are no problems. It’s just very warm. - the screen operating modes are switched “aggressively” (economy-normal) - it blinks. Dell and HP n610c were not guilty of this, it’s unusual - it’s quite dirty after all. Especially the keys and touchpad - if you don’t wipe at least three once a week, it looks sloppy. But in general, it’s the aesthetics that captivate you. And the keyboard, almost like a Mac’s, is smooth, neat, and doesn’t jump around under your fingers.</v>
      </c>
    </row>
    <row r="870" spans="1:9" x14ac:dyDescent="0.3">
      <c r="A870" s="1" t="s">
        <v>61</v>
      </c>
      <c r="B870" s="1" t="s">
        <v>224</v>
      </c>
      <c r="C870" s="1" t="s">
        <v>85</v>
      </c>
      <c r="D870" s="1" t="s">
        <v>232</v>
      </c>
      <c r="E870" s="1" t="s">
        <v>2135</v>
      </c>
      <c r="F870" s="1" t="s">
        <v>2136</v>
      </c>
      <c r="G870" s="1" t="s">
        <v>49</v>
      </c>
      <c r="H870" s="1" t="s">
        <v>16</v>
      </c>
      <c r="I870" s="1" t="str">
        <f ca="1">IFERROR(__xludf.DUMMYFUNCTION("GOOGLETRANSLATE(F870, ""auto"", ""en"")
"),"I bought this juicer because I had faith in the brand. In fact, it turned out to be complete nonsense. I don’t know why many people write about dry cake. The juice just flows from the pulp. I tried to run the cake several times and still the cake was raw,"&amp;" and there were also large pieces of vegetables or fruits in the cake. Before that, I used our (made in the USSR) juicer, and it squeezes a hundred times better. In general, I don’t recommend it to anyone!")</f>
        <v>I bought this juicer because I had faith in the brand. In fact, it turned out to be complete nonsense. I don’t know why many people write about dry cake. The juice just flows from the pulp. I tried to run the cake several times and still the cake was raw, and there were also large pieces of vegetables or fruits in the cake. Before that, I used our (made in the USSR) juicer, and it squeezes a hundred times better. In general, I don’t recommend it to anyone!</v>
      </c>
    </row>
    <row r="871" spans="1:9" x14ac:dyDescent="0.3">
      <c r="A871" s="1" t="s">
        <v>43</v>
      </c>
      <c r="B871" s="1" t="s">
        <v>1370</v>
      </c>
      <c r="C871" s="1" t="s">
        <v>2137</v>
      </c>
      <c r="D871" s="1" t="s">
        <v>2138</v>
      </c>
      <c r="E871" s="1" t="s">
        <v>2139</v>
      </c>
      <c r="F871" s="1" t="s">
        <v>2140</v>
      </c>
      <c r="G871" s="1" t="s">
        <v>49</v>
      </c>
      <c r="H871" s="1" t="s">
        <v>16</v>
      </c>
      <c r="I871" s="1" t="str">
        <f ca="1">IFERROR(__xludf.DUMMYFUNCTION("GOOGLETRANSLATE(F871, ""auto"", ""en"")
"),"I bought it yesterday, connected it - it doesn't work. I opened the case, removed the neutral wire from the ten, put it on, assembled it - it didn’t work. I took the tester and started ringing the switch. The result... the wires were not put on the closin"&amp;"g contacts, I swapped them - everything worked. Half an hour of fuss... but surprisingly it heats well")</f>
        <v>I bought it yesterday, connected it - it doesn't work. I opened the case, removed the neutral wire from the ten, put it on, assembled it - it didn’t work. I took the tester and started ringing the switch. The result... the wires were not put on the closing contacts, I swapped them - everything worked. Half an hour of fuss... but surprisingly it heats well</v>
      </c>
    </row>
    <row r="872" spans="1:9" x14ac:dyDescent="0.3">
      <c r="A872" s="1" t="s">
        <v>55</v>
      </c>
      <c r="B872" s="1" t="s">
        <v>184</v>
      </c>
      <c r="C872" s="1" t="s">
        <v>101</v>
      </c>
      <c r="D872" s="1" t="s">
        <v>75</v>
      </c>
      <c r="E872" s="1" t="s">
        <v>2141</v>
      </c>
      <c r="F872" s="1" t="s">
        <v>2142</v>
      </c>
      <c r="G872" s="1" t="s">
        <v>36</v>
      </c>
      <c r="H872" s="1" t="s">
        <v>29</v>
      </c>
      <c r="I872" s="1" t="str">
        <f ca="1">IFERROR(__xludf.DUMMYFUNCTION("GOOGLETRANSLATE(F872, ""auto"", ""en"")
"),"We bought this fan three years ago. Heats a room of 20 sq.m. Great. Unfortunately, time takes its toll; the rollover shutdown button and the thermostat have stopped working. You have to turn it on and off manually. I recommend! A good device for the money"&amp;".")</f>
        <v>We bought this fan three years ago. Heats a room of 20 sq.m. Great. Unfortunately, time takes its toll; the rollover shutdown button and the thermostat have stopped working. You have to turn it on and off manually. I recommend! A good device for the money.</v>
      </c>
    </row>
    <row r="873" spans="1:9" x14ac:dyDescent="0.3">
      <c r="A873" s="1" t="s">
        <v>361</v>
      </c>
      <c r="B873" s="1" t="s">
        <v>362</v>
      </c>
      <c r="C873" s="1" t="s">
        <v>2143</v>
      </c>
      <c r="D873" s="1" t="s">
        <v>1744</v>
      </c>
      <c r="E873" s="1" t="s">
        <v>1063</v>
      </c>
      <c r="F873" s="1" t="s">
        <v>2144</v>
      </c>
      <c r="G873" s="1" t="s">
        <v>36</v>
      </c>
      <c r="H873" s="1" t="s">
        <v>29</v>
      </c>
      <c r="I873" s="1" t="str">
        <f ca="1">IFERROR(__xludf.DUMMYFUNCTION("GOOGLETRANSLATE(F873, ""auto"", ""en"")
"),"An elegant set with a narrow, neat base is pleasant to hold in your hand.  One downside is that the matte base gets scratched over time.")</f>
        <v>An elegant set with a narrow, neat base is pleasant to hold in your hand.  One downside is that the matte base gets scratched over time.</v>
      </c>
    </row>
    <row r="874" spans="1:9" x14ac:dyDescent="0.3">
      <c r="A874" s="1" t="s">
        <v>477</v>
      </c>
      <c r="B874" s="1" t="s">
        <v>478</v>
      </c>
      <c r="C874" s="1" t="s">
        <v>479</v>
      </c>
      <c r="D874" s="1" t="s">
        <v>2145</v>
      </c>
      <c r="E874" s="1" t="s">
        <v>2146</v>
      </c>
      <c r="F874" s="1" t="s">
        <v>2147</v>
      </c>
      <c r="G874" s="1" t="s">
        <v>36</v>
      </c>
      <c r="H874" s="1" t="s">
        <v>29</v>
      </c>
      <c r="I874" s="1" t="str">
        <f ca="1">IFERROR(__xludf.DUMMYFUNCTION("GOOGLETRANSLATE(F874, ""auto"", ""en"")
"),"The toy is just super! But for children under 21, it’s not suitable at all!")</f>
        <v>The toy is just super! But for children under 21, it’s not suitable at all!</v>
      </c>
    </row>
    <row r="875" spans="1:9" x14ac:dyDescent="0.3">
      <c r="A875" s="1" t="s">
        <v>211</v>
      </c>
      <c r="B875" s="1" t="s">
        <v>265</v>
      </c>
      <c r="C875" s="1" t="s">
        <v>69</v>
      </c>
      <c r="D875" s="1" t="s">
        <v>39</v>
      </c>
      <c r="E875" s="1" t="s">
        <v>1457</v>
      </c>
      <c r="F875" s="1" t="s">
        <v>2148</v>
      </c>
      <c r="G875" s="1" t="s">
        <v>36</v>
      </c>
      <c r="H875" s="1" t="s">
        <v>29</v>
      </c>
      <c r="I875" s="1" t="str">
        <f ca="1">IFERROR(__xludf.DUMMYFUNCTION("GOOGLETRANSLATE(F875, ""auto"", ""en"")
"),"Excuse me, what kind of hair do you have on your head? My previous model worked successfully for 4 years. It didn't break, the wire broke. I bought this one. Cuts the same, good. Well, yes, of course this is a machine, apparently not a professional one, b"&amp;"ut for the home, it’s just what you need.")</f>
        <v>Excuse me, what kind of hair do you have on your head? My previous model worked successfully for 4 years. It didn't break, the wire broke. I bought this one. Cuts the same, good. Well, yes, of course this is a machine, apparently not a professional one, but for the home, it’s just what you need.</v>
      </c>
    </row>
    <row r="876" spans="1:9" x14ac:dyDescent="0.3">
      <c r="A876" s="1" t="s">
        <v>965</v>
      </c>
      <c r="B876" s="1" t="s">
        <v>966</v>
      </c>
      <c r="C876" s="1" t="s">
        <v>2149</v>
      </c>
      <c r="D876" s="1" t="s">
        <v>39</v>
      </c>
      <c r="E876" s="1" t="s">
        <v>2150</v>
      </c>
      <c r="F876" s="1" t="s">
        <v>2151</v>
      </c>
      <c r="G876" s="1" t="s">
        <v>36</v>
      </c>
      <c r="H876" s="1" t="s">
        <v>29</v>
      </c>
      <c r="I876" s="1" t="str">
        <f ca="1">IFERROR(__xludf.DUMMYFUNCTION("GOOGLETRANSLATE(F876, ""auto"", ""en"")
"),"Guys, I bought these speakers on 10/16/10, or rather exchanged them, bought them 3 days ago, “Set of speaker systems BBK MA-970S”, it’s such a crap sound;  When I brought it back from the store, I turned everything on to medium in the kitchen, my mom was "&amp;"washing the dishes, my room is behind the wall but the sink is a bit far away, Doug turned it on in the sink, all the dishes started screaming, my mom immediately came running))) Take it guys, you won’t regret it.  Of course, I found 1 minus: there aren’t"&amp;" enough beepers, okay, I have beepers so you turn them on and the sound is excellent, but it can’t compare with the Pioneer)))")</f>
        <v>Guys, I bought these speakers on 10/16/10, or rather exchanged them, bought them 3 days ago, “Set of speaker systems BBK MA-970S”, it’s such a crap sound;  When I brought it back from the store, I turned everything on to medium in the kitchen, my mom was washing the dishes, my room is behind the wall but the sink is a bit far away, Doug turned it on in the sink, all the dishes started screaming, my mom immediately came running))) Take it guys, you won’t regret it.  Of course, I found 1 minus: there aren’t enough beepers, okay, I have beepers so you turn them on and the sound is excellent, but it can’t compare with the Pioneer)))</v>
      </c>
    </row>
    <row r="877" spans="1:9" x14ac:dyDescent="0.3">
      <c r="A877" s="1" t="s">
        <v>61</v>
      </c>
      <c r="B877" s="1" t="s">
        <v>726</v>
      </c>
      <c r="C877" s="1" t="s">
        <v>74</v>
      </c>
      <c r="D877" s="1" t="s">
        <v>2152</v>
      </c>
      <c r="E877" s="1" t="s">
        <v>2153</v>
      </c>
      <c r="F877" s="1" t="s">
        <v>2154</v>
      </c>
      <c r="G877" s="1" t="s">
        <v>28</v>
      </c>
      <c r="H877" s="1" t="s">
        <v>29</v>
      </c>
      <c r="I877" s="1" t="str">
        <f ca="1">IFERROR(__xludf.DUMMYFUNCTION("GOOGLETRANSLATE(F877, ""auto"", ""en"")
"),"The oven is EXCELLENT, I have no regrets... everything works out the first time, the main thing is to maintain the proportions, there is only one drawback... the crust is not baked well...")</f>
        <v>The oven is EXCELLENT, I have no regrets... everything works out the first time, the main thing is to maintain the proportions, there is only one drawback... the crust is not baked well...</v>
      </c>
    </row>
    <row r="878" spans="1:9" x14ac:dyDescent="0.3">
      <c r="A878" s="1" t="s">
        <v>17</v>
      </c>
      <c r="B878" s="1" t="s">
        <v>18</v>
      </c>
      <c r="C878" s="1" t="s">
        <v>63</v>
      </c>
      <c r="D878" s="1" t="s">
        <v>592</v>
      </c>
      <c r="E878" s="1" t="s">
        <v>559</v>
      </c>
      <c r="F878" s="1" t="s">
        <v>2155</v>
      </c>
      <c r="G878" s="1" t="s">
        <v>36</v>
      </c>
      <c r="H878" s="1" t="s">
        <v>29</v>
      </c>
      <c r="I878" s="1" t="str">
        <f ca="1">IFERROR(__xludf.DUMMYFUNCTION("GOOGLETRANSLATE(F878, ""auto"", ""en"")
"),"Great machine! When I was looking, I read a bunch of everything, now I have a great choice, now I would choose the same model! I’ve been using it for about 5 years now - no complaints, the main thing is to set it straight right away, then it will work qui"&amp;"etly. I really like the quality of washing and spinning, even at 30 degrees it washes perfectly, I will buy the same one for my mother.")</f>
        <v>Great machine! When I was looking, I read a bunch of everything, now I have a great choice, now I would choose the same model! I’ve been using it for about 5 years now - no complaints, the main thing is to set it straight right away, then it will work quietly. I really like the quality of washing and spinning, even at 30 degrees it washes perfectly, I will buy the same one for my mother.</v>
      </c>
    </row>
    <row r="879" spans="1:9" x14ac:dyDescent="0.3">
      <c r="A879" s="1" t="s">
        <v>149</v>
      </c>
      <c r="B879" s="1" t="s">
        <v>423</v>
      </c>
      <c r="C879" s="1" t="s">
        <v>531</v>
      </c>
      <c r="D879" s="1" t="s">
        <v>474</v>
      </c>
      <c r="E879" s="1" t="s">
        <v>2156</v>
      </c>
      <c r="F879" s="1" t="s">
        <v>2157</v>
      </c>
      <c r="G879" s="1" t="s">
        <v>49</v>
      </c>
      <c r="H879" s="1" t="s">
        <v>16</v>
      </c>
      <c r="I879" s="1" t="str">
        <f ca="1">IFERROR(__xludf.DUMMYFUNCTION("GOOGLETRANSLATE(F879, ""auto"", ""en"")
"),"I bought a vacuum cleaner 3 years ago, six months later the button broke - it was under warranty - they repaired it for free. Not long ago it began to smoke - first it hummed, and then began to smoke. And frankly, constantly washing it takes as much time "&amp;"as cleaning itself. Rather, it is suitable for people who clean once a week, wash it every day, since we have small children - we clean every day - it is better to wash the floor with your hands! If you wash it badly, it really stinks. Don't buy! Not only"&amp;" will it break, the manufacturer is not reliable, but you will also suffer.")</f>
        <v>I bought a vacuum cleaner 3 years ago, six months later the button broke - it was under warranty - they repaired it for free. Not long ago it began to smoke - first it hummed, and then began to smoke. And frankly, constantly washing it takes as much time as cleaning itself. Rather, it is suitable for people who clean once a week, wash it every day, since we have small children - we clean every day - it is better to wash the floor with your hands! If you wash it badly, it really stinks. Don't buy! Not only will it break, the manufacturer is not reliable, but you will also suffer.</v>
      </c>
    </row>
    <row r="880" spans="1:9" x14ac:dyDescent="0.3">
      <c r="A880" s="1" t="s">
        <v>2087</v>
      </c>
      <c r="B880" s="1" t="s">
        <v>2088</v>
      </c>
      <c r="C880" s="1" t="s">
        <v>69</v>
      </c>
      <c r="D880" s="1" t="s">
        <v>139</v>
      </c>
      <c r="E880" s="1" t="s">
        <v>2158</v>
      </c>
      <c r="F880" s="1" t="s">
        <v>2159</v>
      </c>
      <c r="G880" s="1" t="s">
        <v>28</v>
      </c>
      <c r="H880" s="1" t="s">
        <v>29</v>
      </c>
      <c r="I880" s="1" t="str">
        <f ca="1">IFERROR(__xludf.DUMMYFUNCTION("GOOGLETRANSLATE(F880, ""auto"", ""en"")
"),"Responsive and reads all major audio and video formats and photos.  The most important thing is that the quality of the picture, video, photo and sound is very decent. The remote control is very convenient, the ergonomics pleased me. This player has been "&amp;"in use for over a year. Supports external HDD drives, NTFS format via USB, tried an external capacity of 640 GB.")</f>
        <v>Responsive and reads all major audio and video formats and photos.  The most important thing is that the quality of the picture, video, photo and sound is very decent. The remote control is very convenient, the ergonomics pleased me. This player has been in use for over a year. Supports external HDD drives, NTFS format via USB, tried an external capacity of 640 GB.</v>
      </c>
    </row>
    <row r="881" spans="1:9" x14ac:dyDescent="0.3">
      <c r="A881" s="1" t="s">
        <v>211</v>
      </c>
      <c r="B881" s="1" t="s">
        <v>410</v>
      </c>
      <c r="C881" s="1" t="s">
        <v>213</v>
      </c>
      <c r="D881" s="1" t="s">
        <v>172</v>
      </c>
      <c r="E881" s="1" t="s">
        <v>2160</v>
      </c>
      <c r="F881" s="1" t="s">
        <v>2161</v>
      </c>
      <c r="G881" s="1" t="s">
        <v>36</v>
      </c>
      <c r="H881" s="1" t="s">
        <v>29</v>
      </c>
      <c r="I881" s="1" t="str">
        <f ca="1">IFERROR(__xludf.DUMMYFUNCTION("GOOGLETRANSLATE(F881, ""auto"", ""en"")
"),"An excellent razor for the money, I’ve been using it for 3 years and have no complaints.")</f>
        <v>An excellent razor for the money, I’ve been using it for 3 years and have no complaints.</v>
      </c>
    </row>
    <row r="882" spans="1:9" x14ac:dyDescent="0.3">
      <c r="A882" s="1" t="s">
        <v>17</v>
      </c>
      <c r="B882" s="1" t="s">
        <v>18</v>
      </c>
      <c r="C882" s="1" t="s">
        <v>151</v>
      </c>
      <c r="D882" s="1" t="s">
        <v>280</v>
      </c>
      <c r="E882" s="1" t="s">
        <v>2162</v>
      </c>
      <c r="F882" s="1" t="s">
        <v>2163</v>
      </c>
      <c r="G882" s="1" t="s">
        <v>28</v>
      </c>
      <c r="H882" s="1" t="s">
        <v>29</v>
      </c>
      <c r="I882" s="1" t="str">
        <f ca="1">IFERROR(__xludf.DUMMYFUNCTION("GOOGLETRANSLATE(F882, ""auto"", ""en"")
"),"A year of use, almost no complaints... Pros: Not loud, does not vibrate, washes normally, just like everything else... Cons: 1) If in the quick wash mode (29 minutes, 30 degrees C) you adjust it to 40 degrees C, then the washing time doubles.   2) Consump"&amp;"tion of 40 liters, regardless of mode.")</f>
        <v>A year of use, almost no complaints... Pros: Not loud, does not vibrate, washes normally, just like everything else... Cons: 1) If in the quick wash mode (29 minutes, 30 degrees C) you adjust it to 40 degrees C, then the washing time doubles.   2) Consumption of 40 liters, regardless of mode.</v>
      </c>
    </row>
    <row r="883" spans="1:9" x14ac:dyDescent="0.3">
      <c r="A883" s="1" t="s">
        <v>30</v>
      </c>
      <c r="B883" s="1" t="s">
        <v>50</v>
      </c>
      <c r="C883" s="1" t="s">
        <v>694</v>
      </c>
      <c r="D883" s="1" t="s">
        <v>33</v>
      </c>
      <c r="E883" s="1" t="s">
        <v>1181</v>
      </c>
      <c r="F883" s="1" t="s">
        <v>2164</v>
      </c>
      <c r="G883" s="1" t="s">
        <v>36</v>
      </c>
      <c r="H883" s="1" t="s">
        <v>29</v>
      </c>
      <c r="I883" s="1" t="str">
        <f ca="1">IFERROR(__xludf.DUMMYFUNCTION("GOOGLETRANSLATE(F883, ""auto"", ""en"")
"),"I bought it 2 months ago, I couldn’t be happier, for the money it’s a super machine... all games run at maximum without any slowdowns... GTA 4 with the latest patch doesn’t slow down at all, rating 5+++")</f>
        <v>I bought it 2 months ago, I couldn’t be happier, for the money it’s a super machine... all games run at maximum without any slowdowns... GTA 4 with the latest patch doesn’t slow down at all, rating 5+++</v>
      </c>
    </row>
    <row r="884" spans="1:9" x14ac:dyDescent="0.3">
      <c r="A884" s="1" t="s">
        <v>89</v>
      </c>
      <c r="B884" s="1" t="s">
        <v>90</v>
      </c>
      <c r="C884" s="1" t="s">
        <v>63</v>
      </c>
      <c r="D884" s="1" t="s">
        <v>742</v>
      </c>
      <c r="E884" s="1" t="s">
        <v>2165</v>
      </c>
      <c r="F884" s="1" t="s">
        <v>2166</v>
      </c>
      <c r="G884" s="1" t="s">
        <v>36</v>
      </c>
      <c r="H884" s="1" t="s">
        <v>29</v>
      </c>
      <c r="I884" s="1" t="str">
        <f ca="1">IFERROR(__xludf.DUMMYFUNCTION("GOOGLETRANSLATE(F884, ""auto"", ""en"")
"),"The coffee grinder is great. Very quiet. The grind is fine (like dust)")</f>
        <v>The coffee grinder is great. Very quiet. The grind is fine (like dust)</v>
      </c>
    </row>
    <row r="885" spans="1:9" x14ac:dyDescent="0.3">
      <c r="A885" s="1" t="s">
        <v>43</v>
      </c>
      <c r="B885" s="1" t="s">
        <v>44</v>
      </c>
      <c r="C885" s="1" t="s">
        <v>45</v>
      </c>
      <c r="D885" s="1" t="s">
        <v>2167</v>
      </c>
      <c r="E885" s="1" t="s">
        <v>2168</v>
      </c>
      <c r="F885" s="1" t="s">
        <v>2169</v>
      </c>
      <c r="G885" s="1" t="s">
        <v>36</v>
      </c>
      <c r="H885" s="1" t="s">
        <v>29</v>
      </c>
      <c r="I885" s="1" t="str">
        <f ca="1">IFERROR(__xludf.DUMMYFUNCTION("GOOGLETRANSLATE(F885, ""auto"", ""en"")
"),"My first fan worked for about 10 seconds - the fan as a whole turned on, but could hardly turn the blades. MVideo exchanged it for a similar model without any problems, in about 10 minutes, and the second one was immediately checked in the goods delivery "&amp;"department. The second one has been working for several days now, no problems observed. As for the assembly of both fans, the design looks flimsy, but if you tighten all the screws well, it turns out to be very stable. Doesn't creak, doesn't make much noi"&amp;"se, blows great. I really like the backlight - it allows you to immediately identify it in the dark. In general, if you want a fan with an excellent price/quality ratio, choose this model (the price as of June 2, 2014 is the best in Moscow time). If you g"&amp;"et a defective one, don’t be afraid and don’t be lazy to contact the store for an exchange.")</f>
        <v>My first fan worked for about 10 seconds - the fan as a whole turned on, but could hardly turn the blades. MVideo exchanged it for a similar model without any problems, in about 10 minutes, and the second one was immediately checked in the goods delivery department. The second one has been working for several days now, no problems observed. As for the assembly of both fans, the design looks flimsy, but if you tighten all the screws well, it turns out to be very stable. Doesn't creak, doesn't make much noise, blows great. I really like the backlight - it allows you to immediately identify it in the dark. In general, if you want a fan with an excellent price/quality ratio, choose this model (the price as of June 2, 2014 is the best in Moscow time). If you get a defective one, don’t be afraid and don’t be lazy to contact the store for an exchange.</v>
      </c>
    </row>
    <row r="886" spans="1:9" x14ac:dyDescent="0.3">
      <c r="A886" s="1" t="s">
        <v>169</v>
      </c>
      <c r="B886" s="1" t="s">
        <v>170</v>
      </c>
      <c r="C886" s="1" t="s">
        <v>193</v>
      </c>
      <c r="D886" s="1" t="s">
        <v>1917</v>
      </c>
      <c r="E886" s="1" t="s">
        <v>1871</v>
      </c>
      <c r="F886" s="1" t="s">
        <v>2170</v>
      </c>
      <c r="G886" s="1" t="s">
        <v>28</v>
      </c>
      <c r="H886" s="1" t="s">
        <v>29</v>
      </c>
      <c r="I886" s="1" t="str">
        <f ca="1">IFERROR(__xludf.DUMMYFUNCTION("GOOGLETRANSLATE(F886, ""auto"", ""en"")
"),"I have experience using this product. The advantages include decent sound quality and the price. But there is one and very significant drawback - a very weak wire. It’s simply impossible. And this is with careful use. This device lasted me for a little ov"&amp;"er three months. The weak point of all Sennheiser wires.")</f>
        <v>I have experience using this product. The advantages include decent sound quality and the price. But there is one and very significant drawback - a very weak wire. It’s simply impossible. And this is with careful use. This device lasted me for a little over three months. The weak point of all Sennheiser wires.</v>
      </c>
    </row>
    <row r="887" spans="1:9" x14ac:dyDescent="0.3">
      <c r="A887" s="1" t="s">
        <v>61</v>
      </c>
      <c r="B887" s="1" t="s">
        <v>180</v>
      </c>
      <c r="C887" s="1" t="s">
        <v>69</v>
      </c>
      <c r="D887" s="1" t="s">
        <v>64</v>
      </c>
      <c r="E887" s="1" t="s">
        <v>2171</v>
      </c>
      <c r="F887" s="1" t="s">
        <v>2172</v>
      </c>
      <c r="G887" s="1" t="s">
        <v>28</v>
      </c>
      <c r="H887" s="1" t="s">
        <v>29</v>
      </c>
      <c r="I887" s="1" t="str">
        <f ca="1">IFERROR(__xludf.DUMMYFUNCTION("GOOGLETRANSLATE(F887, ""auto"", ""en"")
"),"I used to fry toast in a frying pan. It was very inconvenient and the bread often burned, and the smell of burnt crumbs lingered throughout the house for a long time. I chose an inexpensive Philips model. First I had to practice baking bread at different "&amp;"settings. Finally found the right one for me. The ruddy color of the bread is not important to me, what is important is that it is hot and crispy on the outside, but soft on the inside. What else do you need for toast? The power of this model allows you t"&amp;"o get ready-made toast very quickly. There is a tray for crumbs - convenient, take it out, pour out the crumbs and use it again. If the pieces of bread are small, they are really inconvenient to take out. And in the instructions there is a note that in th"&amp;"is case you need to lift the lever up. There is a stop button and defrost. I hardly ever use them. Overall, for the money I'm very pleased. Coffee and toast with cream cheese is my favorite breakfast. The last piece of advice: don’t cut the bread thinner "&amp;"than 1 cm, it won’t be toast, but a crouton.")</f>
        <v>I used to fry toast in a frying pan. It was very inconvenient and the bread often burned, and the smell of burnt crumbs lingered throughout the house for a long time. I chose an inexpensive Philips model. First I had to practice baking bread at different settings. Finally found the right one for me. The ruddy color of the bread is not important to me, what is important is that it is hot and crispy on the outside, but soft on the inside. What else do you need for toast? The power of this model allows you to get ready-made toast very quickly. There is a tray for crumbs - convenient, take it out, pour out the crumbs and use it again. If the pieces of bread are small, they are really inconvenient to take out. And in the instructions there is a note that in this case you need to lift the lever up. There is a stop button and defrost. I hardly ever use them. Overall, for the money I'm very pleased. Coffee and toast with cream cheese is my favorite breakfast. The last piece of advice: don’t cut the bread thinner than 1 cm, it won’t be toast, but a crouton.</v>
      </c>
    </row>
    <row r="888" spans="1:9" x14ac:dyDescent="0.3">
      <c r="A888" s="1" t="s">
        <v>211</v>
      </c>
      <c r="B888" s="1" t="s">
        <v>856</v>
      </c>
      <c r="C888" s="1" t="s">
        <v>57</v>
      </c>
      <c r="D888" s="1" t="s">
        <v>1383</v>
      </c>
      <c r="E888" s="1" t="s">
        <v>2173</v>
      </c>
      <c r="F888" s="1" t="s">
        <v>2174</v>
      </c>
      <c r="G888" s="1" t="s">
        <v>49</v>
      </c>
      <c r="H888" s="1" t="s">
        <v>16</v>
      </c>
      <c r="I888" s="1" t="str">
        <f ca="1">IFERROR(__xludf.DUMMYFUNCTION("GOOGLETRANSLATE(F888, ""auto"", ""en"")
"),"The bubbles are practically useless. I’m not happy with the purchase. I’ll return it.")</f>
        <v>The bubbles are practically useless. I’m not happy with the purchase. I’ll return it.</v>
      </c>
    </row>
    <row r="889" spans="1:9" x14ac:dyDescent="0.3">
      <c r="A889" s="1" t="s">
        <v>105</v>
      </c>
      <c r="B889" s="1" t="s">
        <v>106</v>
      </c>
      <c r="C889" s="1" t="s">
        <v>1209</v>
      </c>
      <c r="D889" s="1" t="s">
        <v>2175</v>
      </c>
      <c r="E889" s="1" t="s">
        <v>2176</v>
      </c>
      <c r="F889" s="1" t="s">
        <v>2177</v>
      </c>
      <c r="G889" s="1" t="s">
        <v>28</v>
      </c>
      <c r="H889" s="1" t="s">
        <v>29</v>
      </c>
      <c r="I889" s="1" t="str">
        <f ca="1">IFERROR(__xludf.DUMMYFUNCTION("GOOGLETRANSLATE(F889, ""auto"", ""en"")
"),"In general, the player is fine, but the manufacturer soldered the otsen sara cable in vain, I could have just installed a loan, I just had to unsolder it and solder it back.")</f>
        <v>In general, the player is fine, but the manufacturer soldered the otsen sara cable in vain, I could have just installed a loan, I just had to unsolder it and solder it back.</v>
      </c>
    </row>
    <row r="890" spans="1:9" x14ac:dyDescent="0.3">
      <c r="A890" s="1" t="s">
        <v>30</v>
      </c>
      <c r="B890" s="1" t="s">
        <v>50</v>
      </c>
      <c r="C890" s="1" t="s">
        <v>189</v>
      </c>
      <c r="D890" s="1" t="s">
        <v>2178</v>
      </c>
      <c r="E890" s="1" t="s">
        <v>1723</v>
      </c>
      <c r="F890" s="1" t="s">
        <v>2179</v>
      </c>
      <c r="G890" s="1" t="s">
        <v>28</v>
      </c>
      <c r="H890" s="1" t="s">
        <v>29</v>
      </c>
      <c r="I890" s="1" t="str">
        <f ca="1">IFERROR(__xludf.DUMMYFUNCTION("GOOGLETRANSLATE(F890, ""auto"", ""en"")
"),"The laptop is good, but the DVD is noisy")</f>
        <v>The laptop is good, but the DVD is noisy</v>
      </c>
    </row>
    <row r="891" spans="1:9" x14ac:dyDescent="0.3">
      <c r="A891" s="1" t="s">
        <v>211</v>
      </c>
      <c r="B891" s="1" t="s">
        <v>515</v>
      </c>
      <c r="C891" s="1" t="s">
        <v>69</v>
      </c>
      <c r="D891" s="1" t="s">
        <v>75</v>
      </c>
      <c r="E891" s="1" t="s">
        <v>708</v>
      </c>
      <c r="F891" s="1" t="s">
        <v>2180</v>
      </c>
      <c r="G891" s="1" t="s">
        <v>15</v>
      </c>
      <c r="H891" s="1" t="s">
        <v>16</v>
      </c>
      <c r="I891" s="1" t="str">
        <f ca="1">IFERROR(__xludf.DUMMYFUNCTION("GOOGLETRANSLATE(F891, ""auto"", ""en"")
"),"I personally didn’t like it because it couldn’t be particularly smooth, even after passing it over the same place for the fifth time. Of course, I expected more, but apparently for such a price you won’t get more ((((and as for the pain, I can say that it"&amp;"’s more likely to be called ticklish than painful)))))")</f>
        <v>I personally didn’t like it because it couldn’t be particularly smooth, even after passing it over the same place for the fifth time. Of course, I expected more, but apparently for such a price you won’t get more ((((and as for the pain, I can say that it’s more likely to be called ticklish than painful)))))</v>
      </c>
    </row>
    <row r="892" spans="1:9" x14ac:dyDescent="0.3">
      <c r="A892" s="1" t="s">
        <v>149</v>
      </c>
      <c r="B892" s="1" t="s">
        <v>576</v>
      </c>
      <c r="C892" s="1" t="s">
        <v>69</v>
      </c>
      <c r="D892" s="1" t="s">
        <v>2181</v>
      </c>
      <c r="E892" s="1" t="s">
        <v>1871</v>
      </c>
      <c r="F892" s="1" t="s">
        <v>2182</v>
      </c>
      <c r="G892" s="1" t="s">
        <v>36</v>
      </c>
      <c r="H892" s="1" t="s">
        <v>29</v>
      </c>
      <c r="I892" s="1" t="str">
        <f ca="1">IFERROR(__xludf.DUMMYFUNCTION("GOOGLETRANSLATE(F892, ""auto"", ""en"")
"),"I bought it a week ago along with synthetic bags, thanks to them it works at all its 500 W. After cleaning the furniture, especially dark surfaces, it acquired its original shade. Super maneuverable, will fit under any table. The only thing is that you sh"&amp;"ouldn’t clean where there is a lot of sand; sometimes the sensor for filling the dust bag can be triggered! During the entire cleaning, and this is 3 full-sized carpets, I received an electric shock 2 times (static, again, not fatal), you should not lean "&amp;"against the metal tube. I recommend: during long cleaning, from time to time the pipe comes into contact with metal table legs and other objects, this way you can remove static electricity.")</f>
        <v>I bought it a week ago along with synthetic bags, thanks to them it works at all its 500 W. After cleaning the furniture, especially dark surfaces, it acquired its original shade. Super maneuverable, will fit under any table. The only thing is that you shouldn’t clean where there is a lot of sand; sometimes the sensor for filling the dust bag can be triggered! During the entire cleaning, and this is 3 full-sized carpets, I received an electric shock 2 times (static, again, not fatal), you should not lean against the metal tube. I recommend: during long cleaning, from time to time the pipe comes into contact with metal table legs and other objects, this way you can remove static electricity.</v>
      </c>
    </row>
    <row r="893" spans="1:9" x14ac:dyDescent="0.3">
      <c r="A893" s="1" t="s">
        <v>61</v>
      </c>
      <c r="B893" s="1" t="s">
        <v>977</v>
      </c>
      <c r="C893" s="1" t="s">
        <v>85</v>
      </c>
      <c r="D893" s="1" t="s">
        <v>2183</v>
      </c>
      <c r="E893" s="1" t="s">
        <v>1115</v>
      </c>
      <c r="F893" s="1" t="s">
        <v>2184</v>
      </c>
      <c r="G893" s="1" t="s">
        <v>36</v>
      </c>
      <c r="H893" s="1" t="s">
        <v>29</v>
      </c>
      <c r="I893" s="1" t="str">
        <f ca="1">IFERROR(__xludf.DUMMYFUNCTION("GOOGLETRANSLATE(F893, ""auto"", ""en"")
"),"It’s just a beast, we’ve had it for over a year and a half now and it’s been doing everything for us. It hasn’t broken once yet. We’re very happy with it. The cocktails are simply amazing! We load it with fruit plus ice and grind it and it turns out to be"&amp;" a heavenly cooling vitamin miracle. I highly recommend it to everyone.")</f>
        <v>It’s just a beast, we’ve had it for over a year and a half now and it’s been doing everything for us. It hasn’t broken once yet. We’re very happy with it. The cocktails are simply amazing! We load it with fruit plus ice and grind it and it turns out to be a heavenly cooling vitamin miracle. I highly recommend it to everyone.</v>
      </c>
    </row>
    <row r="894" spans="1:9" x14ac:dyDescent="0.3">
      <c r="A894" s="1" t="s">
        <v>1443</v>
      </c>
      <c r="B894" s="1" t="s">
        <v>1444</v>
      </c>
      <c r="C894" s="1" t="s">
        <v>1445</v>
      </c>
      <c r="D894" s="1" t="s">
        <v>2185</v>
      </c>
      <c r="E894" s="1" t="s">
        <v>2186</v>
      </c>
      <c r="F894" s="1" t="s">
        <v>2187</v>
      </c>
      <c r="G894" s="1" t="s">
        <v>36</v>
      </c>
      <c r="H894" s="1" t="s">
        <v>29</v>
      </c>
      <c r="I894" s="1" t="str">
        <f ca="1">IFERROR(__xludf.DUMMYFUNCTION("GOOGLETRANSLATE(F894, ""auto"", ""en"")
"),"Gave it for my birthday 2 years ago. It still works and I’m absolutely delighted, I especially like that it’s in a rubber casing")</f>
        <v>Gave it for my birthday 2 years ago. It still works and I’m absolutely delighted, I especially like that it’s in a rubber casing</v>
      </c>
    </row>
    <row r="895" spans="1:9" x14ac:dyDescent="0.3">
      <c r="A895" s="1" t="s">
        <v>149</v>
      </c>
      <c r="B895" s="1" t="s">
        <v>155</v>
      </c>
      <c r="C895" s="1" t="s">
        <v>80</v>
      </c>
      <c r="D895" s="1" t="s">
        <v>565</v>
      </c>
      <c r="E895" s="1" t="s">
        <v>2188</v>
      </c>
      <c r="F895" s="1" t="s">
        <v>2189</v>
      </c>
      <c r="G895" s="1" t="s">
        <v>36</v>
      </c>
      <c r="H895" s="1" t="s">
        <v>29</v>
      </c>
      <c r="I895" s="1" t="str">
        <f ca="1">IFERROR(__xludf.DUMMYFUNCTION("GOOGLETRANSLATE(F895, ""auto"", ""en"")
"),"We bought it in 2013 before the New Year and have never regretted it. There is a fluffy, very fluffy cat living in the apartment, so after purchasing a vacuum cleaner, her fluffiness no longer bothers her (previously, every other day she ran around with a"&amp;" brush and water cleaning the carpets in Karachik :(). After 3 cleanings, we rinse the container, filters, and it’s like a vacuum cleaner just from the store—it doesn’t lose power! For an apartment of 70 sq.m. it’s simply amazing!!!")</f>
        <v>We bought it in 2013 before the New Year and have never regretted it. There is a fluffy, very fluffy cat living in the apartment, so after purchasing a vacuum cleaner, her fluffiness no longer bothers her (previously, every other day she ran around with a brush and water cleaning the carpets in Karachik :(). After 3 cleanings, we rinse the container, filters, and it’s like a vacuum cleaner just from the store—it doesn’t lose power! For an apartment of 70 sq.m. it’s simply amazing!!!</v>
      </c>
    </row>
    <row r="896" spans="1:9" x14ac:dyDescent="0.3">
      <c r="A896" s="1" t="s">
        <v>149</v>
      </c>
      <c r="B896" s="1" t="s">
        <v>155</v>
      </c>
      <c r="C896" s="1" t="s">
        <v>80</v>
      </c>
      <c r="D896" s="1" t="s">
        <v>695</v>
      </c>
      <c r="E896" s="1" t="s">
        <v>2190</v>
      </c>
      <c r="F896" s="1" t="s">
        <v>2191</v>
      </c>
      <c r="G896" s="1" t="s">
        <v>36</v>
      </c>
      <c r="H896" s="1" t="s">
        <v>29</v>
      </c>
      <c r="I896" s="1" t="str">
        <f ca="1">IFERROR(__xludf.DUMMYFUNCTION("GOOGLETRANSLATE(F896, ""auto"", ""en"")
"),"The store reviewed all possible options for vacuum cleaners. We couldn't find a more convenient LG. The first and most important thing is that the container is emptied in one motion. By pressing the button, the container bowl is removed and dumped into a "&amp;"bucket or toilet. After which it is simply washed under the tap. The amount of dust and fur from the cat upon first use was amazing! This is despite the fact that the apartment was cleaned with an old vacuum cleaner twice a week! Two rooms yielded two ful"&amp;"l compressed containers of dirt! The downside is that you need to get used to using it. The universal brush included in the kit works great on carpet, but on linoleum it sticks tightly to the floor :). The solution is simple - you need to slightly reduce "&amp;"the power on the handle. As for the expensive filter (the one on the back). There is an excellent way out of the situation - when it becomes clogged, you need to carefully trim the mesh with a blade or knife, and insert inside a piece of filter fabric for"&amp;" hoods cut to size (a large package of it costs about 200 rubles, sold both in MVideo and in Auchan). This fabric contains activated carbon and will reliably retain both dust and odors. One package of fabric will last for 100 years.")</f>
        <v>The store reviewed all possible options for vacuum cleaners. We couldn't find a more convenient LG. The first and most important thing is that the container is emptied in one motion. By pressing the button, the container bowl is removed and dumped into a bucket or toilet. After which it is simply washed under the tap. The amount of dust and fur from the cat upon first use was amazing! This is despite the fact that the apartment was cleaned with an old vacuum cleaner twice a week! Two rooms yielded two full compressed containers of dirt! The downside is that you need to get used to using it. The universal brush included in the kit works great on carpet, but on linoleum it sticks tightly to the floor :). The solution is simple - you need to slightly reduce the power on the handle. As for the expensive filter (the one on the back). There is an excellent way out of the situation - when it becomes clogged, you need to carefully trim the mesh with a blade or knife, and insert inside a piece of filter fabric for hoods cut to size (a large package of it costs about 200 rubles, sold both in MVideo and in Auchan). This fabric contains activated carbon and will reliably retain both dust and odors. One package of fabric will last for 100 years.</v>
      </c>
    </row>
    <row r="897" spans="1:9" x14ac:dyDescent="0.3">
      <c r="A897" s="1" t="s">
        <v>120</v>
      </c>
      <c r="B897" s="1" t="s">
        <v>121</v>
      </c>
      <c r="C897" s="1" t="s">
        <v>69</v>
      </c>
      <c r="D897" s="1" t="s">
        <v>152</v>
      </c>
      <c r="E897" s="1" t="s">
        <v>1723</v>
      </c>
      <c r="F897" s="1" t="s">
        <v>2192</v>
      </c>
      <c r="G897" s="1" t="s">
        <v>36</v>
      </c>
      <c r="H897" s="1" t="s">
        <v>29</v>
      </c>
      <c r="I897" s="1" t="str">
        <f ca="1">IFERROR(__xludf.DUMMYFUNCTION("GOOGLETRANSLATE(F897, ""auto"", ""en"")
"),"I bought it before the New Year, and was not disappointed in the purchase!")</f>
        <v>I bought it before the New Year, and was not disappointed in the purchase!</v>
      </c>
    </row>
    <row r="898" spans="1:9" x14ac:dyDescent="0.3">
      <c r="A898" s="1" t="s">
        <v>67</v>
      </c>
      <c r="B898" s="1" t="s">
        <v>68</v>
      </c>
      <c r="C898" s="1" t="s">
        <v>246</v>
      </c>
      <c r="D898" s="1" t="s">
        <v>456</v>
      </c>
      <c r="E898" s="1" t="s">
        <v>2193</v>
      </c>
      <c r="F898" s="1" t="s">
        <v>2194</v>
      </c>
      <c r="G898" s="1" t="s">
        <v>36</v>
      </c>
      <c r="H898" s="1" t="s">
        <v>29</v>
      </c>
      <c r="I898" s="1" t="str">
        <f ca="1">IFERROR(__xludf.DUMMYFUNCTION("GOOGLETRANSLATE(F898, ""auto"", ""en"")
"),"I bought it today, the price and quality were fine. I immediately took a test drive at home, no smell, no noise. Irons perfectly))).")</f>
        <v>I bought it today, the price and quality were fine. I immediately took a test drive at home, no smell, no noise. Irons perfectly))).</v>
      </c>
    </row>
    <row r="899" spans="1:9" x14ac:dyDescent="0.3">
      <c r="A899" s="1" t="s">
        <v>30</v>
      </c>
      <c r="B899" s="1" t="s">
        <v>50</v>
      </c>
      <c r="C899" s="1" t="s">
        <v>1003</v>
      </c>
      <c r="D899" s="1" t="s">
        <v>305</v>
      </c>
      <c r="E899" s="1" t="s">
        <v>1975</v>
      </c>
      <c r="F899" s="1" t="s">
        <v>2195</v>
      </c>
      <c r="G899" s="1" t="s">
        <v>36</v>
      </c>
      <c r="H899" s="1" t="s">
        <v>29</v>
      </c>
      <c r="I899" s="1" t="str">
        <f ca="1">IFERROR(__xludf.DUMMYFUNCTION("GOOGLETRANSLATE(F899, ""auto"", ""en"")
"),"I recently bought one of these and am completely satisfied! A bunch of USEFUL software from HP, almost nothing was removed. Pleasant controls: The touchpad is comfortable, large keyboard with numpad. Great potential for overclocking (up to 8 GB of RAM). A"&amp;"t this price the best choice. It looks strictly, nothing superfluous.")</f>
        <v>I recently bought one of these and am completely satisfied! A bunch of USEFUL software from HP, almost nothing was removed. Pleasant controls: The touchpad is comfortable, large keyboard with numpad. Great potential for overclocking (up to 8 GB of RAM). At this price the best choice. It looks strictly, nothing superfluous.</v>
      </c>
    </row>
    <row r="900" spans="1:9" x14ac:dyDescent="0.3">
      <c r="A900" s="1" t="s">
        <v>95</v>
      </c>
      <c r="B900" s="1" t="s">
        <v>2196</v>
      </c>
      <c r="C900" s="1" t="s">
        <v>166</v>
      </c>
      <c r="D900" s="1" t="s">
        <v>171</v>
      </c>
      <c r="E900" s="1" t="s">
        <v>2197</v>
      </c>
      <c r="F900" s="1" t="s">
        <v>2198</v>
      </c>
      <c r="G900" s="1" t="s">
        <v>36</v>
      </c>
      <c r="H900" s="1" t="s">
        <v>29</v>
      </c>
      <c r="I900" s="1" t="str">
        <f ca="1">IFERROR(__xludf.DUMMYFUNCTION("GOOGLETRANSLATE(F900, ""auto"", ""en"")
"),"With this steering wheel you can play on both PC and PS!!!")</f>
        <v>With this steering wheel you can play on both PC and PS!!!</v>
      </c>
    </row>
    <row r="901" spans="1:9" x14ac:dyDescent="0.3">
      <c r="A901" s="1" t="s">
        <v>149</v>
      </c>
      <c r="B901" s="1" t="s">
        <v>150</v>
      </c>
      <c r="C901" s="1" t="s">
        <v>57</v>
      </c>
      <c r="D901" s="1" t="s">
        <v>2199</v>
      </c>
      <c r="E901" s="1" t="s">
        <v>597</v>
      </c>
      <c r="F901" s="1" t="s">
        <v>2200</v>
      </c>
      <c r="G901" s="1" t="s">
        <v>28</v>
      </c>
      <c r="H901" s="1" t="s">
        <v>29</v>
      </c>
      <c r="I901" s="1" t="str">
        <f ca="1">IFERROR(__xludf.DUMMYFUNCTION("GOOGLETRANSLATE(F901, ""auto"", ""en"")
"),"I bought a Pelican vacuum cleaner as a gift - it’s beautiful, the power is good, nozzles, washable filters; It is also very good that there is a liquid collection function. One thing is frustrating - the attached user manual is difficult to use as instruc"&amp;"tions - there are no answers to such (for me personally, pressing) questions - 1) is it possible to operate the vacuum cleaner only from the vacuum cleaner battery or does it have to be connected to the car battery? (the writing is unclear) 2) how long do"&amp;"es it take to charge the battery the second and subsequent times? (the instructions only say about the first time).")</f>
        <v>I bought a Pelican vacuum cleaner as a gift - it’s beautiful, the power is good, nozzles, washable filters; It is also very good that there is a liquid collection function. One thing is frustrating - the attached user manual is difficult to use as instructions - there are no answers to such (for me personally, pressing) questions - 1) is it possible to operate the vacuum cleaner only from the vacuum cleaner battery or does it have to be connected to the car battery? (the writing is unclear) 2) how long does it take to charge the battery the second and subsequent times? (the instructions only say about the first time).</v>
      </c>
    </row>
    <row r="902" spans="1:9" x14ac:dyDescent="0.3">
      <c r="A902" s="1" t="s">
        <v>169</v>
      </c>
      <c r="B902" s="1" t="s">
        <v>170</v>
      </c>
      <c r="C902" s="1" t="s">
        <v>171</v>
      </c>
      <c r="D902" s="1" t="s">
        <v>2201</v>
      </c>
      <c r="E902" s="1" t="s">
        <v>2202</v>
      </c>
      <c r="F902" s="1" t="s">
        <v>2203</v>
      </c>
      <c r="G902" s="1" t="s">
        <v>36</v>
      </c>
      <c r="H902" s="1" t="s">
        <v>29</v>
      </c>
      <c r="I902" s="1" t="str">
        <f ca="1">IFERROR(__xludf.DUMMYFUNCTION("GOOGLETRANSLATE(F902, ""auto"", ""en"")
"),"Pros: Excellent moderately soft bass!  They play high frequencies well!  The suction cups hold perfectly in the ears!  The kit includes additional suction cups.  There's a clothespin!  Cons: There is slight distortion at low frequencies.  The mids are a b"&amp;"it lacking.  P.S: Good headphones for the money they cost! I don't know about quality. I've only been using it for one day. So far they evoke only positive emotions.")</f>
        <v>Pros: Excellent moderately soft bass!  They play high frequencies well!  The suction cups hold perfectly in the ears!  The kit includes additional suction cups.  There's a clothespin!  Cons: There is slight distortion at low frequencies.  The mids are a bit lacking.  P.S: Good headphones for the money they cost! I don't know about quality. I've only been using it for one day. So far they evoke only positive emotions.</v>
      </c>
    </row>
    <row r="903" spans="1:9" x14ac:dyDescent="0.3">
      <c r="A903" s="1" t="s">
        <v>149</v>
      </c>
      <c r="B903" s="1" t="s">
        <v>576</v>
      </c>
      <c r="C903" s="1" t="s">
        <v>69</v>
      </c>
      <c r="D903" s="1" t="s">
        <v>2204</v>
      </c>
      <c r="E903" s="1" t="s">
        <v>1487</v>
      </c>
      <c r="F903" s="1" t="s">
        <v>2205</v>
      </c>
      <c r="G903" s="1" t="s">
        <v>36</v>
      </c>
      <c r="H903" s="1" t="s">
        <v>29</v>
      </c>
      <c r="I903" s="1" t="str">
        <f ca="1">IFERROR(__xludf.DUMMYFUNCTION("GOOGLETRANSLATE(F903, ""auto"", ""en"")
"),"1) Pros: The design is beautiful, the assembly is high-quality, the power is strong, even at average power. There is a fragrance, which gives additional freshness to the room (when purchasing, I was given 1 piece as a gift to try). The brush is excellent "&amp;"- I bought it for laminate flooring (it doesn’t scratch). The tube rotates at the base (an excellent plus, it will not twist or break).  2) Cons: Dust bag included 1 (reusable). At maximum power it is very noisy.   3) Very happy with the purchase. I was p"&amp;"leased with the color and design. High quality and fast. The power is amazing, however, the cat is shocked by the noise at maximum)))")</f>
        <v>1) Pros: The design is beautiful, the assembly is high-quality, the power is strong, even at average power. There is a fragrance, which gives additional freshness to the room (when purchasing, I was given 1 piece as a gift to try). The brush is excellent - I bought it for laminate flooring (it doesn’t scratch). The tube rotates at the base (an excellent plus, it will not twist or break).  2) Cons: Dust bag included 1 (reusable). At maximum power it is very noisy.   3) Very happy with the purchase. I was pleased with the color and design. High quality and fast. The power is amazing, however, the cat is shocked by the noise at maximum)))</v>
      </c>
    </row>
    <row r="904" spans="1:9" x14ac:dyDescent="0.3">
      <c r="A904" s="1" t="s">
        <v>37</v>
      </c>
      <c r="B904" s="1" t="s">
        <v>38</v>
      </c>
      <c r="C904" s="1" t="s">
        <v>151</v>
      </c>
      <c r="D904" s="1" t="s">
        <v>943</v>
      </c>
      <c r="E904" s="1" t="s">
        <v>2206</v>
      </c>
      <c r="F904" s="1" t="s">
        <v>2207</v>
      </c>
      <c r="G904" s="1" t="s">
        <v>28</v>
      </c>
      <c r="H904" s="1" t="s">
        <v>29</v>
      </c>
      <c r="I904" s="1" t="str">
        <f ca="1">IFERROR(__xludf.DUMMYFUNCTION("GOOGLETRANSLATE(F904, ""auto"", ""en"")
"),"Pros: - loud speaker - presence of all necessary functions - simultaneous operation of two SIM cards Cons: - when switching from one SIM card to another, rebooting the phone is simply infuriating (although the specifications say the opposite) - there is n"&amp;"o cord and no software package - the settings are inconvenient (although I have used Samsung before).")</f>
        <v>Pros: - loud speaker - presence of all necessary functions - simultaneous operation of two SIM cards Cons: - when switching from one SIM card to another, rebooting the phone is simply infuriating (although the specifications say the opposite) - there is no cord and no software package - the settings are inconvenient (although I have used Samsung before).</v>
      </c>
    </row>
    <row r="905" spans="1:9" x14ac:dyDescent="0.3">
      <c r="A905" s="1" t="s">
        <v>120</v>
      </c>
      <c r="B905" s="1" t="s">
        <v>196</v>
      </c>
      <c r="C905" s="1" t="s">
        <v>151</v>
      </c>
      <c r="D905" s="1" t="s">
        <v>327</v>
      </c>
      <c r="E905" s="1" t="s">
        <v>680</v>
      </c>
      <c r="F905" s="1" t="s">
        <v>2208</v>
      </c>
      <c r="G905" s="1" t="s">
        <v>36</v>
      </c>
      <c r="H905" s="1" t="s">
        <v>29</v>
      </c>
      <c r="I905" s="1" t="str">
        <f ca="1">IFERROR(__xludf.DUMMYFUNCTION("GOOGLETRANSLATE(F905, ""auto"", ""en"")
"),"The TV is quite satisfactory. Very good viewing angles (you can watch from any corner of the room and the picture does not brighten). At first I bought a Toshiba 42AV-635, but it had no viewing angle, so I took it back to the store. I bought this model - "&amp;"super. The picture, sound, colors are very decent. Of the minuses... the quality of the TV broadcast is much to be desired... You connect a DVD or HD Media Player - SUPER !!!  I haven't connected it to the computer yet...")</f>
        <v>The TV is quite satisfactory. Very good viewing angles (you can watch from any corner of the room and the picture does not brighten). At first I bought a Toshiba 42AV-635, but it had no viewing angle, so I took it back to the store. I bought this model - super. The picture, sound, colors are very decent. Of the minuses... the quality of the TV broadcast is much to be desired... You connect a DVD or HD Media Player - SUPER !!!  I haven't connected it to the computer yet...</v>
      </c>
    </row>
    <row r="906" spans="1:9" x14ac:dyDescent="0.3">
      <c r="A906" s="1" t="s">
        <v>211</v>
      </c>
      <c r="B906" s="1" t="s">
        <v>515</v>
      </c>
      <c r="C906" s="1" t="s">
        <v>69</v>
      </c>
      <c r="D906" s="1" t="s">
        <v>2209</v>
      </c>
      <c r="E906" s="1" t="s">
        <v>157</v>
      </c>
      <c r="F906" s="1" t="s">
        <v>2210</v>
      </c>
      <c r="G906" s="1" t="s">
        <v>36</v>
      </c>
      <c r="H906" s="1" t="s">
        <v>29</v>
      </c>
      <c r="I906" s="1" t="str">
        <f ca="1">IFERROR(__xludf.DUMMYFUNCTION("GOOGLETRANSLATE(F906, ""auto"", ""en"")
"),"I am happy with everything about this epilator. Starting with the fact that hair removal is almost painless (before this I used a different epilator for 5 years) and ending with the fact that there is almost no irritation and redness on the skin. Love the"&amp;" bikini trimmer that you can take with you anywhere, and the light-up tweezers!")</f>
        <v>I am happy with everything about this epilator. Starting with the fact that hair removal is almost painless (before this I used a different epilator for 5 years) and ending with the fact that there is almost no irritation and redness on the skin. Love the bikini trimmer that you can take with you anywhere, and the light-up tweezers!</v>
      </c>
    </row>
    <row r="907" spans="1:9" x14ac:dyDescent="0.3">
      <c r="A907" s="1" t="s">
        <v>37</v>
      </c>
      <c r="B907" s="1" t="s">
        <v>536</v>
      </c>
      <c r="C907" s="1" t="s">
        <v>151</v>
      </c>
      <c r="D907" s="1" t="s">
        <v>308</v>
      </c>
      <c r="E907" s="1" t="s">
        <v>1362</v>
      </c>
      <c r="F907" s="1" t="s">
        <v>2211</v>
      </c>
      <c r="G907" s="1" t="s">
        <v>28</v>
      </c>
      <c r="H907" s="1" t="s">
        <v>29</v>
      </c>
      <c r="I907" s="1" t="str">
        <f ca="1">IFERROR(__xludf.DUMMYFUNCTION("GOOGLETRANSLATE(F907, ""auto"", ""en"")
"),"I’ve been using this phone for 6 months, I prefer Samsung, so I always keep an eye on new products and buy them whenever possible. Well, what can I say... I’m not entirely satisfied, I’ve already had to contact the warranty workshop twice with the same pr"&amp;"oblem, the camera shutter jams and often hangs. Now I would NOT buy this model!")</f>
        <v>I’ve been using this phone for 6 months, I prefer Samsung, so I always keep an eye on new products and buy them whenever possible. Well, what can I say... I’m not entirely satisfied, I’ve already had to contact the warranty workshop twice with the same problem, the camera shutter jams and often hangs. Now I would NOT buy this model!</v>
      </c>
    </row>
    <row r="908" spans="1:9" x14ac:dyDescent="0.3">
      <c r="A908" s="1" t="s">
        <v>9</v>
      </c>
      <c r="B908" s="1" t="s">
        <v>133</v>
      </c>
      <c r="C908" s="1" t="s">
        <v>588</v>
      </c>
      <c r="D908" s="1" t="s">
        <v>247</v>
      </c>
      <c r="E908" s="1" t="s">
        <v>2212</v>
      </c>
      <c r="F908" s="1" t="s">
        <v>2213</v>
      </c>
      <c r="G908" s="1" t="s">
        <v>36</v>
      </c>
      <c r="H908" s="1" t="s">
        <v>29</v>
      </c>
      <c r="I908" s="1" t="str">
        <f ca="1">IFERROR(__xludf.DUMMYFUNCTION("GOOGLETRANSLATE(F908, ""auto"", ""en"")
"),"Excellent quality, versatility, stylish appearance, price")</f>
        <v>Excellent quality, versatility, stylish appearance, price</v>
      </c>
    </row>
    <row r="909" spans="1:9" x14ac:dyDescent="0.3">
      <c r="A909" s="1" t="s">
        <v>169</v>
      </c>
      <c r="B909" s="1" t="s">
        <v>170</v>
      </c>
      <c r="C909" s="1" t="s">
        <v>193</v>
      </c>
      <c r="D909" s="1" t="s">
        <v>280</v>
      </c>
      <c r="E909" s="1" t="s">
        <v>201</v>
      </c>
      <c r="F909" s="1" t="s">
        <v>2214</v>
      </c>
      <c r="G909" s="1" t="s">
        <v>36</v>
      </c>
      <c r="H909" s="1" t="s">
        <v>29</v>
      </c>
      <c r="I909" s="1" t="str">
        <f ca="1">IFERROR(__xludf.DUMMYFUNCTION("GOOGLETRANSLATE(F909, ""auto"", ""en"")
"),"I've been using headphones for a year. no problem. the sound is clear. no complaints. I was afraid that I would regret it because of the price. I didn't regret it. The only thing I don’t know is whether the ear pads can be changed or not.")</f>
        <v>I've been using headphones for a year. no problem. the sound is clear. no complaints. I was afraid that I would regret it because of the price. I didn't regret it. The only thing I don’t know is whether the ear pads can be changed or not.</v>
      </c>
    </row>
    <row r="910" spans="1:9" x14ac:dyDescent="0.3">
      <c r="A910" s="1" t="s">
        <v>105</v>
      </c>
      <c r="B910" s="1" t="s">
        <v>106</v>
      </c>
      <c r="C910" s="1" t="s">
        <v>97</v>
      </c>
      <c r="D910" s="1" t="s">
        <v>117</v>
      </c>
      <c r="E910" s="1" t="s">
        <v>2215</v>
      </c>
      <c r="F910" s="1" t="s">
        <v>2216</v>
      </c>
      <c r="G910" s="1" t="s">
        <v>36</v>
      </c>
      <c r="H910" s="1" t="s">
        <v>29</v>
      </c>
      <c r="I910" s="1" t="str">
        <f ca="1">IFERROR(__xludf.DUMMYFUNCTION("GOOGLETRANSLATE(F910, ""auto"", ""en"")
"),"A very good thing, I didn’t regret a minute that I bought it. Sony is great as always. The sound is awesome, there is more than enough volume, in general I advise everyone to take it, although there is one drawback, in my opinion, the headphones in the pa"&amp;"ckage are not very good, at least I didn’t really like them, but overall it’s a great thing!!!")</f>
        <v>A very good thing, I didn’t regret a minute that I bought it. Sony is great as always. The sound is awesome, there is more than enough volume, in general I advise everyone to take it, although there is one drawback, in my opinion, the headphones in the package are not very good, at least I didn’t really like them, but overall it’s a great thing!!!</v>
      </c>
    </row>
    <row r="911" spans="1:9" x14ac:dyDescent="0.3">
      <c r="A911" s="1" t="s">
        <v>37</v>
      </c>
      <c r="B911" s="1" t="s">
        <v>536</v>
      </c>
      <c r="C911" s="1" t="s">
        <v>1419</v>
      </c>
      <c r="D911" s="1" t="s">
        <v>2217</v>
      </c>
      <c r="E911" s="1" t="s">
        <v>889</v>
      </c>
      <c r="F911" s="1" t="s">
        <v>2218</v>
      </c>
      <c r="G911" s="1" t="s">
        <v>28</v>
      </c>
      <c r="H911" s="1" t="s">
        <v>29</v>
      </c>
      <c r="I911" s="1" t="str">
        <f ca="1">IFERROR(__xludf.DUMMYFUNCTION("GOOGLETRANSLATE(F911, ""auto"", ""en"")
"),"please tell me, is it just my ringtones that are very quiet or is it for everyone... I can’t understand anything on the player, more or less plays, I set the ringer to ring very quietly... thanks in advance")</f>
        <v>please tell me, is it just my ringtones that are very quiet or is it for everyone... I can’t understand anything on the player, more or less plays, I set the ringer to ring very quietly... thanks in advance</v>
      </c>
    </row>
    <row r="912" spans="1:9" x14ac:dyDescent="0.3">
      <c r="A912" s="1" t="s">
        <v>37</v>
      </c>
      <c r="B912" s="1" t="s">
        <v>38</v>
      </c>
      <c r="C912" s="1" t="s">
        <v>163</v>
      </c>
      <c r="D912" s="1" t="s">
        <v>114</v>
      </c>
      <c r="E912" s="1" t="s">
        <v>511</v>
      </c>
      <c r="F912" s="1" t="s">
        <v>2219</v>
      </c>
      <c r="G912" s="1" t="s">
        <v>36</v>
      </c>
      <c r="H912" s="1" t="s">
        <v>29</v>
      </c>
      <c r="I912" s="1" t="str">
        <f ca="1">IFERROR(__xludf.DUMMYFUNCTION("GOOGLETRANSLATE(F912, ""auto"", ""en"")
"),"the phone is indestructible, the camera is excellent, the battery is powerful and lasts for a long time. Disadvantages - it is quiet and a year after the purchase, it began to think for a long time when turning it on (for 15-20 minutes nothing is availabl"&amp;"e except entering the menu) and very often began to turn off when it wanted 7-8 times a day, even updating the software did not help")</f>
        <v>the phone is indestructible, the camera is excellent, the battery is powerful and lasts for a long time. Disadvantages - it is quiet and a year after the purchase, it began to think for a long time when turning it on (for 15-20 minutes nothing is available except entering the menu) and very often began to turn off when it wanted 7-8 times a day, even updating the software did not help</v>
      </c>
    </row>
    <row r="913" spans="1:9" x14ac:dyDescent="0.3">
      <c r="A913" s="1" t="s">
        <v>965</v>
      </c>
      <c r="B913" s="1" t="s">
        <v>966</v>
      </c>
      <c r="C913" s="1" t="s">
        <v>2220</v>
      </c>
      <c r="D913" s="1" t="s">
        <v>919</v>
      </c>
      <c r="E913" s="1" t="s">
        <v>1553</v>
      </c>
      <c r="F913" s="1" t="s">
        <v>2221</v>
      </c>
      <c r="G913" s="1" t="s">
        <v>36</v>
      </c>
      <c r="H913" s="1" t="s">
        <v>29</v>
      </c>
      <c r="I913" s="1" t="str">
        <f ca="1">IFERROR(__xludf.DUMMYFUNCTION("GOOGLETRANSLATE(F913, ""auto"", ""en"")
"),"I've been using the speakers for 1.5 years, quite often. There are no shortcomings that I can see so far. The sound does not fade, the bass is felt the same as when purchased. The bass, even at low volume, is felt on the other side of the apartment. One m"&amp;"inus, but it does not apply to the speakers - the glass rattles ;). On weekends I scare my neighbors with House. The satellites are very well balanced, they do not shout over the subwoofer and do not fade out. For 30W the output is very decent. I recommen"&amp;"d it for home use, no doubt.")</f>
        <v>I've been using the speakers for 1.5 years, quite often. There are no shortcomings that I can see so far. The sound does not fade, the bass is felt the same as when purchased. The bass, even at low volume, is felt on the other side of the apartment. One minus, but it does not apply to the speakers - the glass rattles ;). On weekends I scare my neighbors with House. The satellites are very well balanced, they do not shout over the subwoofer and do not fade out. For 30W the output is very decent. I recommend it for home use, no doubt.</v>
      </c>
    </row>
    <row r="914" spans="1:9" x14ac:dyDescent="0.3">
      <c r="A914" s="1" t="s">
        <v>61</v>
      </c>
      <c r="B914" s="1" t="s">
        <v>224</v>
      </c>
      <c r="C914" s="1" t="s">
        <v>63</v>
      </c>
      <c r="D914" s="1" t="s">
        <v>152</v>
      </c>
      <c r="E914" s="1" t="s">
        <v>2222</v>
      </c>
      <c r="F914" s="1" t="s">
        <v>2223</v>
      </c>
      <c r="G914" s="1" t="s">
        <v>36</v>
      </c>
      <c r="H914" s="1" t="s">
        <v>29</v>
      </c>
      <c r="I914" s="1" t="str">
        <f ca="1">IFERROR(__xludf.DUMMYFUNCTION("GOOGLETRANSLATE(F914, ""auto"", ""en"")
"),"This juicer is just super!!!!!! It can be used both for a glass of juice for every day, and for preparations for the winter (10 liters of juice at a time)")</f>
        <v>This juicer is just super!!!!!! It can be used both for a glass of juice for every day, and for preparations for the winter (10 liters of juice at a time)</v>
      </c>
    </row>
    <row r="915" spans="1:9" x14ac:dyDescent="0.3">
      <c r="A915" s="1" t="s">
        <v>61</v>
      </c>
      <c r="B915" s="1" t="s">
        <v>224</v>
      </c>
      <c r="C915" s="1" t="s">
        <v>101</v>
      </c>
      <c r="D915" s="1" t="s">
        <v>280</v>
      </c>
      <c r="E915" s="1" t="s">
        <v>932</v>
      </c>
      <c r="F915" s="1" t="s">
        <v>2224</v>
      </c>
      <c r="G915" s="1" t="s">
        <v>15</v>
      </c>
      <c r="H915" s="1" t="s">
        <v>16</v>
      </c>
      <c r="I915" s="1" t="str">
        <f ca="1">IFERROR(__xludf.DUMMYFUNCTION("GOOGLETRANSLATE(F915, ""auto"", ""en"")
"),"We’re not happy with the juicer, it’s just a nightmare, noisy, crackling, rattling. He doesn’t take the whole carrot, it all gets choked. To make juice, you need to chop everything finely, although the neck for loading fruits and vegetables is large. Weak"&amp;" engine. In general, a super-duper mega budget option, for those who are rich and like to buy cheap things. They gave it to us... And it only served for six months!")</f>
        <v>We’re not happy with the juicer, it’s just a nightmare, noisy, crackling, rattling. He doesn’t take the whole carrot, it all gets choked. To make juice, you need to chop everything finely, although the neck for loading fruits and vegetables is large. Weak engine. In general, a super-duper mega budget option, for those who are rich and like to buy cheap things. They gave it to us... And it only served for six months!</v>
      </c>
    </row>
    <row r="916" spans="1:9" x14ac:dyDescent="0.3">
      <c r="A916" s="1" t="s">
        <v>211</v>
      </c>
      <c r="B916" s="1" t="s">
        <v>265</v>
      </c>
      <c r="C916" s="1" t="s">
        <v>1591</v>
      </c>
      <c r="D916" s="1" t="s">
        <v>2225</v>
      </c>
      <c r="E916" s="1" t="s">
        <v>2226</v>
      </c>
      <c r="F916" s="1" t="s">
        <v>2227</v>
      </c>
      <c r="G916" s="1" t="s">
        <v>36</v>
      </c>
      <c r="H916" s="1" t="s">
        <v>29</v>
      </c>
      <c r="I916" s="1" t="str">
        <f ca="1">IFERROR(__xludf.DUMMYFUNCTION("GOOGLETRANSLATE(F916, ""auto"", ""en"")
"),"Before this, I had a trimmer with only one attachment for my beard and mustache. In principle, I had enough of it until they started sending me on business trips for two to three weeks. That’s why I decided to buy a more advanced model, with all sorts of "&amp;"attachments for the hair and nose, a comb and scissors are also included. When traveling, this set helps me out a lot; I don’t have to run around an unfamiliar city looking for a good hairdresser.")</f>
        <v>Before this, I had a trimmer with only one attachment for my beard and mustache. In principle, I had enough of it until they started sending me on business trips for two to three weeks. That’s why I decided to buy a more advanced model, with all sorts of attachments for the hair and nose, a comb and scissors are also included. When traveling, this set helps me out a lot; I don’t have to run around an unfamiliar city looking for a good hairdresser.</v>
      </c>
    </row>
    <row r="917" spans="1:9" x14ac:dyDescent="0.3">
      <c r="A917" s="1" t="s">
        <v>17</v>
      </c>
      <c r="B917" s="1" t="s">
        <v>18</v>
      </c>
      <c r="C917" s="1" t="s">
        <v>19</v>
      </c>
      <c r="D917" s="1" t="s">
        <v>1456</v>
      </c>
      <c r="E917" s="1" t="s">
        <v>2228</v>
      </c>
      <c r="F917" s="1" t="s">
        <v>2229</v>
      </c>
      <c r="G917" s="1" t="s">
        <v>28</v>
      </c>
      <c r="H917" s="1" t="s">
        <v>29</v>
      </c>
      <c r="I917" s="1" t="str">
        <f ca="1">IFERROR(__xludf.DUMMYFUNCTION("GOOGLETRANSLATE(F917, ""auto"", ""en"")
"),"There are quick washing programs, eco-programs for water rights activists, and it can also hold a lot of laundry - 7 kilograms.   I've been using the machine for about six months. As it turned out, almost everything about the car is good - it is noisy, bu"&amp;"t tolerable, it is beautiful, easy to drive. I usually use the hour program – it washes well and doesn’t take much time. BUT. The new machine turned out to be obscenely high, of course, definitely taller than my old machine and under the tabletop, it didn"&amp;"’t fit in the place of the old one. Check the sizes!")</f>
        <v>There are quick washing programs, eco-programs for water rights activists, and it can also hold a lot of laundry - 7 kilograms.   I've been using the machine for about six months. As it turned out, almost everything about the car is good - it is noisy, but tolerable, it is beautiful, easy to drive. I usually use the hour program – it washes well and doesn’t take much time. BUT. The new machine turned out to be obscenely high, of course, definitely taller than my old machine and under the tabletop, it didn’t fit in the place of the old one. Check the sizes!</v>
      </c>
    </row>
    <row r="918" spans="1:9" x14ac:dyDescent="0.3">
      <c r="A918" s="1" t="s">
        <v>61</v>
      </c>
      <c r="B918" s="1" t="s">
        <v>224</v>
      </c>
      <c r="C918" s="1" t="s">
        <v>63</v>
      </c>
      <c r="D918" s="1" t="s">
        <v>1744</v>
      </c>
      <c r="E918" s="1" t="s">
        <v>397</v>
      </c>
      <c r="F918" s="1" t="s">
        <v>2230</v>
      </c>
      <c r="G918" s="1" t="s">
        <v>36</v>
      </c>
      <c r="H918" s="1" t="s">
        <v>29</v>
      </c>
      <c r="I918" s="1" t="str">
        <f ca="1">IFERROR(__xludf.DUMMYFUNCTION("GOOGLETRANSLATE(F918, ""auto"", ""en"")
"),"Attractive design, build quality of the juicer. Legs with suction cups, vibration is not strong, works 5 points.")</f>
        <v>Attractive design, build quality of the juicer. Legs with suction cups, vibration is not strong, works 5 points.</v>
      </c>
    </row>
    <row r="919" spans="1:9" x14ac:dyDescent="0.3">
      <c r="A919" s="1" t="s">
        <v>732</v>
      </c>
      <c r="B919" s="1" t="s">
        <v>733</v>
      </c>
      <c r="C919" s="1" t="s">
        <v>151</v>
      </c>
      <c r="D919" s="1" t="s">
        <v>172</v>
      </c>
      <c r="E919" s="1" t="s">
        <v>2231</v>
      </c>
      <c r="F919" s="1" t="s">
        <v>2232</v>
      </c>
      <c r="G919" s="1" t="s">
        <v>36</v>
      </c>
      <c r="H919" s="1" t="s">
        <v>29</v>
      </c>
      <c r="I919" s="1" t="str">
        <f ca="1">IFERROR(__xludf.DUMMYFUNCTION("GOOGLETRANSLATE(F919, ""auto"", ""en"")
"),"I’ve been using the monitor for three months, the image is excellent, it’s nice to watch movies and play games, the preset modes are convenient!!! One minus I’ve had from the very beginning of using it is a frozen blue pixel.")</f>
        <v>I’ve been using the monitor for three months, the image is excellent, it’s nice to watch movies and play games, the preset modes are convenient!!! One minus I’ve had from the very beginning of using it is a frozen blue pixel.</v>
      </c>
    </row>
    <row r="920" spans="1:9" x14ac:dyDescent="0.3">
      <c r="A920" s="1" t="s">
        <v>211</v>
      </c>
      <c r="B920" s="1" t="s">
        <v>212</v>
      </c>
      <c r="C920" s="1" t="s">
        <v>381</v>
      </c>
      <c r="D920" s="1" t="s">
        <v>2233</v>
      </c>
      <c r="E920" s="1" t="s">
        <v>2234</v>
      </c>
      <c r="F920" s="1" t="s">
        <v>2235</v>
      </c>
      <c r="G920" s="1" t="s">
        <v>49</v>
      </c>
      <c r="H920" s="1" t="s">
        <v>16</v>
      </c>
      <c r="I920" s="1" t="str">
        <f ca="1">IFERROR(__xludf.DUMMYFUNCTION("GOOGLETRANSLATE(F920, ""auto"", ""en"")
"),"Only curls the ends. I gave it to my mom, she has short hair, she liked it, it gives volume.")</f>
        <v>Only curls the ends. I gave it to my mom, she has short hair, she liked it, it gives volume.</v>
      </c>
    </row>
    <row r="921" spans="1:9" x14ac:dyDescent="0.3">
      <c r="A921" s="1" t="s">
        <v>67</v>
      </c>
      <c r="B921" s="1" t="s">
        <v>68</v>
      </c>
      <c r="C921" s="1" t="s">
        <v>69</v>
      </c>
      <c r="D921" s="1" t="s">
        <v>565</v>
      </c>
      <c r="E921" s="1" t="s">
        <v>2236</v>
      </c>
      <c r="F921" s="1" t="s">
        <v>2237</v>
      </c>
      <c r="G921" s="1" t="s">
        <v>36</v>
      </c>
      <c r="H921" s="1" t="s">
        <v>29</v>
      </c>
      <c r="I921" s="1" t="str">
        <f ca="1">IFERROR(__xludf.DUMMYFUNCTION("GOOGLETRANSLATE(F921, ""auto"", ""en"")
"),"When choosing an iron, I first of all paid attention to the power of the iron and the price. I bought Philips GC 3632/02. I was very pleased until I discovered that this model does not have an auto-shut-off function, which I consider an integral part of t"&amp;"he iron. I had a previous Braun, with automatic shut-off, and using it, I quickly got used to the fact that I didn’t have to worry about whether I turned off the iron when leaving?! I had to get used to it again with Philips. But overall the iron is excel"&amp;"lent.")</f>
        <v>When choosing an iron, I first of all paid attention to the power of the iron and the price. I bought Philips GC 3632/02. I was very pleased until I discovered that this model does not have an auto-shut-off function, which I consider an integral part of the iron. I had a previous Braun, with automatic shut-off, and using it, I quickly got used to the fact that I didn’t have to worry about whether I turned off the iron when leaving?! I had to get used to it again with Philips. But overall the iron is excellent.</v>
      </c>
    </row>
    <row r="922" spans="1:9" x14ac:dyDescent="0.3">
      <c r="A922" s="1" t="s">
        <v>30</v>
      </c>
      <c r="B922" s="1" t="s">
        <v>50</v>
      </c>
      <c r="C922" s="1" t="s">
        <v>32</v>
      </c>
      <c r="D922" s="1" t="s">
        <v>305</v>
      </c>
      <c r="E922" s="1" t="s">
        <v>2131</v>
      </c>
      <c r="F922" s="1" t="s">
        <v>2238</v>
      </c>
      <c r="G922" s="1" t="s">
        <v>28</v>
      </c>
      <c r="H922" s="1" t="s">
        <v>29</v>
      </c>
      <c r="I922" s="1" t="str">
        <f ca="1">IFERROR(__xludf.DUMMYFUNCTION("GOOGLETRANSLATE(F922, ""auto"", ""en"")
"),"For that kind of money, the laptop is simply amazing, but the fly in the ointment is Win7 HB 64, I’ll probably set it to Maximum 64. Well, they crammed all sorts of crap into the pre-installed system, I lost time while I cleaned it out.")</f>
        <v>For that kind of money, the laptop is simply amazing, but the fly in the ointment is Win7 HB 64, I’ll probably set it to Maximum 64. Well, they crammed all sorts of crap into the pre-installed system, I lost time while I cleaned it out.</v>
      </c>
    </row>
    <row r="923" spans="1:9" x14ac:dyDescent="0.3">
      <c r="A923" s="1" t="s">
        <v>211</v>
      </c>
      <c r="B923" s="1" t="s">
        <v>212</v>
      </c>
      <c r="C923" s="1" t="s">
        <v>745</v>
      </c>
      <c r="D923" s="1" t="s">
        <v>2239</v>
      </c>
      <c r="E923" s="1" t="s">
        <v>2240</v>
      </c>
      <c r="F923" s="1" t="s">
        <v>2241</v>
      </c>
      <c r="G923" s="1" t="s">
        <v>36</v>
      </c>
      <c r="H923" s="1" t="s">
        <v>29</v>
      </c>
      <c r="I923" s="1" t="str">
        <f ca="1">IFERROR(__xludf.DUMMYFUNCTION("GOOGLETRANSLATE(F923, ""auto"", ""en"")
"),"I've been using it for three years now and it hasn't broken once! The volume is good. Only cold air blows warm, so I try to style thin hair only in this mode.")</f>
        <v>I've been using it for three years now and it hasn't broken once! The volume is good. Only cold air blows warm, so I try to style thin hair only in this mode.</v>
      </c>
    </row>
    <row r="924" spans="1:9" x14ac:dyDescent="0.3">
      <c r="A924" s="1" t="s">
        <v>43</v>
      </c>
      <c r="B924" s="1" t="s">
        <v>1382</v>
      </c>
      <c r="C924" s="1" t="s">
        <v>45</v>
      </c>
      <c r="D924" s="1" t="s">
        <v>411</v>
      </c>
      <c r="E924" s="1" t="s">
        <v>2242</v>
      </c>
      <c r="F924" s="1" t="s">
        <v>2243</v>
      </c>
      <c r="G924" s="1" t="s">
        <v>49</v>
      </c>
      <c r="H924" s="1" t="s">
        <v>16</v>
      </c>
      <c r="I924" s="1" t="str">
        <f ca="1">IFERROR(__xludf.DUMMYFUNCTION("GOOGLETRANSLATE(F924, ""auto"", ""en"")
"),"It worked well all season, but sat through the winter and stopped working. Super technique.....")</f>
        <v>It worked well all season, but sat through the winter and stopped working. Super technique.....</v>
      </c>
    </row>
    <row r="925" spans="1:9" x14ac:dyDescent="0.3">
      <c r="A925" s="1" t="s">
        <v>211</v>
      </c>
      <c r="B925" s="1" t="s">
        <v>410</v>
      </c>
      <c r="C925" s="1" t="s">
        <v>69</v>
      </c>
      <c r="D925" s="1" t="s">
        <v>1092</v>
      </c>
      <c r="E925" s="1" t="s">
        <v>2244</v>
      </c>
      <c r="F925" s="1" t="s">
        <v>2245</v>
      </c>
      <c r="G925" s="1" t="s">
        <v>36</v>
      </c>
      <c r="H925" s="1" t="s">
        <v>29</v>
      </c>
      <c r="I925" s="1" t="str">
        <f ca="1">IFERROR(__xludf.DUMMYFUNCTION("GOOGLETRANSLATE(F925, ""auto"", ""en"")
"),"Before this I used a foil razor, after two uses I threw it in the drawer and shaved with a simple razor, because... I didn't shave my neck. And my wife gave this miracle Philips razor for her birthday, shaving became a pleasure, it shave quickly and effic"&amp;"iently, you don’t have to shave it 100 times and shave your neck.")</f>
        <v>Before this I used a foil razor, after two uses I threw it in the drawer and shaved with a simple razor, because... I didn't shave my neck. And my wife gave this miracle Philips razor for her birthday, shaving became a pleasure, it shave quickly and efficiently, you don’t have to shave it 100 times and shave your neck.</v>
      </c>
    </row>
    <row r="926" spans="1:9" x14ac:dyDescent="0.3">
      <c r="A926" s="1" t="s">
        <v>120</v>
      </c>
      <c r="B926" s="1" t="s">
        <v>121</v>
      </c>
      <c r="C926" s="1" t="s">
        <v>97</v>
      </c>
      <c r="D926" s="1" t="s">
        <v>2246</v>
      </c>
      <c r="E926" s="1" t="s">
        <v>288</v>
      </c>
      <c r="F926" s="1" t="s">
        <v>2247</v>
      </c>
      <c r="G926" s="1" t="s">
        <v>36</v>
      </c>
      <c r="H926" s="1" t="s">
        <v>29</v>
      </c>
      <c r="I926" s="1" t="str">
        <f ca="1">IFERROR(__xludf.DUMMYFUNCTION("GOOGLETRANSLATE(F926, ""auto"", ""en"")
"),"I really liked this model, I’ve been using it for 2 weeks, I haven’t found any shortcomings, the image and sound are all excellent!")</f>
        <v>I really liked this model, I’ve been using it for 2 weeks, I haven’t found any shortcomings, the image and sound are all excellent!</v>
      </c>
    </row>
    <row r="927" spans="1:9" x14ac:dyDescent="0.3">
      <c r="A927" s="1" t="s">
        <v>17</v>
      </c>
      <c r="B927" s="1" t="s">
        <v>18</v>
      </c>
      <c r="C927" s="1" t="s">
        <v>243</v>
      </c>
      <c r="D927" s="1" t="s">
        <v>172</v>
      </c>
      <c r="E927" s="1" t="s">
        <v>2248</v>
      </c>
      <c r="F927" s="1" t="s">
        <v>2249</v>
      </c>
      <c r="G927" s="1" t="s">
        <v>36</v>
      </c>
      <c r="H927" s="1" t="s">
        <v>29</v>
      </c>
      <c r="I927" s="1" t="str">
        <f ca="1">IFERROR(__xludf.DUMMYFUNCTION("GOOGLETRANSLATE(F927, ""auto"", ""en"")
"),"The machine has been in service since 2011. During this period, it has survived two moves and regular power outages (and water at the same time) and is working properly. The only caveat is that it is no longer enough for a family of 5 people. + I will buy"&amp;" a machine with drying =)")</f>
        <v>The machine has been in service since 2011. During this period, it has survived two moves and regular power outages (and water at the same time) and is working properly. The only caveat is that it is no longer enough for a family of 5 people. + I will buy a machine with drying =)</v>
      </c>
    </row>
    <row r="928" spans="1:9" x14ac:dyDescent="0.3">
      <c r="A928" s="1" t="s">
        <v>61</v>
      </c>
      <c r="B928" s="1" t="s">
        <v>145</v>
      </c>
      <c r="C928" s="1" t="s">
        <v>69</v>
      </c>
      <c r="D928" s="1" t="s">
        <v>2250</v>
      </c>
      <c r="E928" s="1" t="s">
        <v>2251</v>
      </c>
      <c r="F928" s="1" t="s">
        <v>2252</v>
      </c>
      <c r="G928" s="1" t="s">
        <v>36</v>
      </c>
      <c r="H928" s="1" t="s">
        <v>29</v>
      </c>
      <c r="I928" s="1" t="str">
        <f ca="1">IFERROR(__xludf.DUMMYFUNCTION("GOOGLETRANSLATE(F928, ""auto"", ""en"")
"),"Yesterday I cooked in it for the first time. I bought red fish specially, salted it, peppered it, and sprinkled it with lemon. I cut the potatoes coarsely, salted them a little and sprinkled dill on top. I put potatoes on the lower tier, and fish above it"&amp;", and turned it on for 30 minutes. The fish turned out excellent! I didn't even expect it. But I had to “steam” the potatoes for another 20 minutes, but this, I think, was because the variety was not overcooked and next time I will cut them smaller. In th"&amp;"e end, I’m happy with the potatoes too! So the first experiment was a success.   This is my first steamer. I was choosing between the German one (due to Germany and the lack of electronics). But Phillips won with its functionality. Among the disadvantages"&amp;", I note the need to wash a lot of dishes after cooking (bowls, lid, tray) and the need to pour water from the base. I will cook in it again. I hope my review will be useful to someone.")</f>
        <v>Yesterday I cooked in it for the first time. I bought red fish specially, salted it, peppered it, and sprinkled it with lemon. I cut the potatoes coarsely, salted them a little and sprinkled dill on top. I put potatoes on the lower tier, and fish above it, and turned it on for 30 minutes. The fish turned out excellent! I didn't even expect it. But I had to “steam” the potatoes for another 20 minutes, but this, I think, was because the variety was not overcooked and next time I will cut them smaller. In the end, I’m happy with the potatoes too! So the first experiment was a success.   This is my first steamer. I was choosing between the German one (due to Germany and the lack of electronics). But Phillips won with its functionality. Among the disadvantages, I note the need to wash a lot of dishes after cooking (bowls, lid, tray) and the need to pour water from the base. I will cook in it again. I hope my review will be useful to someone.</v>
      </c>
    </row>
    <row r="929" spans="1:9" x14ac:dyDescent="0.3">
      <c r="A929" s="1" t="s">
        <v>149</v>
      </c>
      <c r="B929" s="1" t="s">
        <v>576</v>
      </c>
      <c r="C929" s="1" t="s">
        <v>80</v>
      </c>
      <c r="D929" s="1" t="s">
        <v>171</v>
      </c>
      <c r="E929" s="1" t="s">
        <v>552</v>
      </c>
      <c r="F929" s="1" t="s">
        <v>2253</v>
      </c>
      <c r="G929" s="1" t="s">
        <v>28</v>
      </c>
      <c r="H929" s="1" t="s">
        <v>29</v>
      </c>
      <c r="I929" s="1" t="str">
        <f ca="1">IFERROR(__xludf.DUMMYFUNCTION("GOOGLETRANSLATE(F929, ""auto"", ""en"")
"),"The vacuum cleaner is good, matches the price, the suction power depends on the bags: with a reusable one it’s a beast, it’s understandable for large garbage, with paper bags it sucks noticeably worse, with bags made of synthetic material it’s very good!")</f>
        <v>The vacuum cleaner is good, matches the price, the suction power depends on the bags: with a reusable one it’s a beast, it’s understandable for large garbage, with paper bags it sucks noticeably worse, with bags made of synthetic material it’s very good!</v>
      </c>
    </row>
    <row r="930" spans="1:9" x14ac:dyDescent="0.3">
      <c r="A930" s="1" t="s">
        <v>373</v>
      </c>
      <c r="B930" s="1" t="s">
        <v>374</v>
      </c>
      <c r="C930" s="1" t="s">
        <v>63</v>
      </c>
      <c r="D930" s="1" t="s">
        <v>774</v>
      </c>
      <c r="E930" s="1" t="s">
        <v>2254</v>
      </c>
      <c r="F930" s="1" t="s">
        <v>2255</v>
      </c>
      <c r="G930" s="1" t="s">
        <v>36</v>
      </c>
      <c r="H930" s="1" t="s">
        <v>29</v>
      </c>
      <c r="I930" s="1" t="str">
        <f ca="1">IFERROR(__xludf.DUMMYFUNCTION("GOOGLETRANSLATE(F930, ""auto"", ""en"")
"),"I haven't been using it for long, but I'm already delighted with the purchase. The dishes are perfectly clean and dry!!! Regarding detergents, in a short program the best results are achieved by using traditional dishwashing detergents in combination with"&amp;" special salt and rinse aid added separately. Main + there is a lot of free time left!")</f>
        <v>I haven't been using it for long, but I'm already delighted with the purchase. The dishes are perfectly clean and dry!!! Regarding detergents, in a short program the best results are achieved by using traditional dishwashing detergents in combination with special salt and rinse aid added separately. Main + there is a lot of free time left!</v>
      </c>
    </row>
    <row r="931" spans="1:9" x14ac:dyDescent="0.3">
      <c r="A931" s="1" t="s">
        <v>61</v>
      </c>
      <c r="B931" s="1" t="s">
        <v>318</v>
      </c>
      <c r="C931" s="1" t="s">
        <v>246</v>
      </c>
      <c r="D931" s="1" t="s">
        <v>12</v>
      </c>
      <c r="E931" s="1" t="s">
        <v>2256</v>
      </c>
      <c r="F931" s="1" t="s">
        <v>2257</v>
      </c>
      <c r="G931" s="1" t="s">
        <v>15</v>
      </c>
      <c r="H931" s="1" t="s">
        <v>16</v>
      </c>
      <c r="I931" s="1" t="str">
        <f ca="1">IFERROR(__xludf.DUMMYFUNCTION("GOOGLETRANSLATE(F931, ""auto"", ""en"")
"),"The only plus is that it boils. Well, it seems like a teapot should, so I don’t even know if it’s worth writing this into its merits. The noise is wild! Moreover, during the entire boiling process. It takes a long time to warm up, Express could have done "&amp;"it faster! The design is nothing special. In general, it is hardly worth paying for the brand.")</f>
        <v>The only plus is that it boils. Well, it seems like a teapot should, so I don’t even know if it’s worth writing this into its merits. The noise is wild! Moreover, during the entire boiling process. It takes a long time to warm up, Express could have done it faster! The design is nothing special. In general, it is hardly worth paying for the brand.</v>
      </c>
    </row>
    <row r="932" spans="1:9" x14ac:dyDescent="0.3">
      <c r="A932" s="1" t="s">
        <v>624</v>
      </c>
      <c r="B932" s="1" t="s">
        <v>2107</v>
      </c>
      <c r="C932" s="1" t="s">
        <v>479</v>
      </c>
      <c r="D932" s="1" t="s">
        <v>232</v>
      </c>
      <c r="E932" s="1" t="s">
        <v>2258</v>
      </c>
      <c r="F932" s="1" t="s">
        <v>2259</v>
      </c>
      <c r="G932" s="1" t="s">
        <v>36</v>
      </c>
      <c r="H932" s="1" t="s">
        <v>29</v>
      </c>
      <c r="I932" s="1" t="str">
        <f ca="1">IFERROR(__xludf.DUMMYFUNCTION("GOOGLETRANSLATE(F932, ""auto"", ""en"")
"),"I bought it a long time ago, it’s a very fun game, well worth the money. First, we perform simple actions in front of the camera, and then watch a hilarious trailer for a movie with you in the leading role. The camera is already included. In addition, thi"&amp;"s camera is compatible with a regular computer and is a good webcam. Also using this camera on Xbox, the video chat function is available; many older games have camera support for video chat in the game or creating an avatar with your face. In general, a "&amp;"very good thing for a penny, I recommend it.")</f>
        <v>I bought it a long time ago, it’s a very fun game, well worth the money. First, we perform simple actions in front of the camera, and then watch a hilarious trailer for a movie with you in the leading role. The camera is already included. In addition, this camera is compatible with a regular computer and is a good webcam. Also using this camera on Xbox, the video chat function is available; many older games have camera support for video chat in the game or creating an avatar with your face. In general, a very good thing for a penny, I recommend it.</v>
      </c>
    </row>
    <row r="933" spans="1:9" x14ac:dyDescent="0.3">
      <c r="A933" s="1" t="s">
        <v>169</v>
      </c>
      <c r="B933" s="1" t="s">
        <v>170</v>
      </c>
      <c r="C933" s="1" t="s">
        <v>193</v>
      </c>
      <c r="D933" s="1" t="s">
        <v>39</v>
      </c>
      <c r="E933" s="1" t="s">
        <v>2260</v>
      </c>
      <c r="F933" s="1" t="s">
        <v>2261</v>
      </c>
      <c r="G933" s="1" t="s">
        <v>36</v>
      </c>
      <c r="H933" s="1" t="s">
        <v>29</v>
      </c>
      <c r="I933" s="1" t="str">
        <f ca="1">IFERROR(__xludf.DUMMYFUNCTION("GOOGLETRANSLATE(F933, ""auto"", ""en"")
"),"I've been using it constantly for about two years. They fit well. Excellent sound for wireless headphones. Batteries are easy to replace. Good noise immunity (there are also wireless Philips phones at home in the same price category, their noise immunity "&amp;"is much worse).")</f>
        <v>I've been using it constantly for about two years. They fit well. Excellent sound for wireless headphones. Batteries are easy to replace. Good noise immunity (there are also wireless Philips phones at home in the same price category, their noise immunity is much worse).</v>
      </c>
    </row>
    <row r="934" spans="1:9" x14ac:dyDescent="0.3">
      <c r="A934" s="1" t="s">
        <v>30</v>
      </c>
      <c r="B934" s="1" t="s">
        <v>50</v>
      </c>
      <c r="C934" s="1" t="s">
        <v>32</v>
      </c>
      <c r="D934" s="1" t="s">
        <v>152</v>
      </c>
      <c r="E934" s="1" t="s">
        <v>2262</v>
      </c>
      <c r="F934" s="1" t="s">
        <v>2263</v>
      </c>
      <c r="G934" s="1" t="s">
        <v>36</v>
      </c>
      <c r="H934" s="1" t="s">
        <v>29</v>
      </c>
      <c r="I934" s="1" t="str">
        <f ca="1">IFERROR(__xludf.DUMMYFUNCTION("GOOGLETRANSLATE(F934, ""auto"", ""en"")
"),"I recently purchased this device, the reviews so far have only been positive. The configuration is balanced, games run at a good level for laptops. The keyboard is comfortable, a little easily soiled (the top cover also collects fingerprints quite well). "&amp;"The brightness and contrast of the display are at a good level. The sound for a laptop is simply excellent. In terms of build quality and materials used (compared to my previous laptop from the same company), I note a big step forward.")</f>
        <v>I recently purchased this device, the reviews so far have only been positive. The configuration is balanced, games run at a good level for laptops. The keyboard is comfortable, a little easily soiled (the top cover also collects fingerprints quite well). The brightness and contrast of the display are at a good level. The sound for a laptop is simply excellent. In terms of build quality and materials used (compared to my previous laptop from the same company), I note a big step forward.</v>
      </c>
    </row>
    <row r="935" spans="1:9" x14ac:dyDescent="0.3">
      <c r="A935" s="1" t="s">
        <v>120</v>
      </c>
      <c r="B935" s="1" t="s">
        <v>121</v>
      </c>
      <c r="C935" s="1" t="s">
        <v>97</v>
      </c>
      <c r="D935" s="1" t="s">
        <v>2264</v>
      </c>
      <c r="E935" s="1" t="s">
        <v>2265</v>
      </c>
      <c r="F935" s="1" t="s">
        <v>2266</v>
      </c>
      <c r="G935" s="1" t="s">
        <v>28</v>
      </c>
      <c r="H935" s="1" t="s">
        <v>29</v>
      </c>
      <c r="I935" s="1" t="str">
        <f ca="1">IFERROR(__xludf.DUMMYFUNCTION("GOOGLETRANSLATE(F935, ""auto"", ""en"")
"),"The TV has been in use since November, criticism of the quality and matrix is ​​not justified. All TVs in this price range have the same matrices. I was choosing between Sharp Toshiba and Sony. The price won... Sony has a lot of settings, and there is a l"&amp;"ow-voltage mode. consumption, which is turned on by default, which is why the picture seems not bright. For those who like bright colors, this mode can simply be turned off. With proper connection via RGB, colors are perfectly reproduced; HDMI is also pre"&amp;"sent if there are few tulips. The sound is high quality, there is a radio, but why it is needed is not clear, although the radio sounds good")</f>
        <v>The TV has been in use since November, criticism of the quality and matrix is ​​not justified. All TVs in this price range have the same matrices. I was choosing between Sharp Toshiba and Sony. The price won... Sony has a lot of settings, and there is a low-voltage mode. consumption, which is turned on by default, which is why the picture seems not bright. For those who like bright colors, this mode can simply be turned off. With proper connection via RGB, colors are perfectly reproduced; HDMI is also present if there are few tulips. The sound is high quality, there is a radio, but why it is needed is not clear, although the radio sounds good</v>
      </c>
    </row>
    <row r="936" spans="1:9" x14ac:dyDescent="0.3">
      <c r="A936" s="1" t="s">
        <v>61</v>
      </c>
      <c r="B936" s="1" t="s">
        <v>318</v>
      </c>
      <c r="C936" s="1" t="s">
        <v>101</v>
      </c>
      <c r="D936" s="1" t="s">
        <v>295</v>
      </c>
      <c r="E936" s="1" t="s">
        <v>802</v>
      </c>
      <c r="F936" s="1" t="s">
        <v>2267</v>
      </c>
      <c r="G936" s="1" t="s">
        <v>36</v>
      </c>
      <c r="H936" s="1" t="s">
        <v>29</v>
      </c>
      <c r="I936" s="1" t="str">
        <f ca="1">IFERROR(__xludf.DUMMYFUNCTION("GOOGLETRANSLATE(F936, ""auto"", ""en"")
"),"An excellent kettle, quite large, 2 liter capacity. Transparent and you can always see how much water is in it. Rotates 360. Convenient. There is a filter on the spout, scale will not pass through. If there is less water than normal, it will not turn on. "&amp;"Nice, comfortable and looks very cool. Neon lighting is absolutely cool.")</f>
        <v>An excellent kettle, quite large, 2 liter capacity. Transparent and you can always see how much water is in it. Rotates 360. Convenient. There is a filter on the spout, scale will not pass through. If there is less water than normal, it will not turn on. Nice, comfortable and looks very cool. Neon lighting is absolutely cool.</v>
      </c>
    </row>
    <row r="937" spans="1:9" x14ac:dyDescent="0.3">
      <c r="A937" s="1" t="s">
        <v>206</v>
      </c>
      <c r="B937" s="1" t="s">
        <v>207</v>
      </c>
      <c r="C937" s="1" t="s">
        <v>97</v>
      </c>
      <c r="D937" s="1" t="s">
        <v>420</v>
      </c>
      <c r="E937" s="1" t="s">
        <v>1861</v>
      </c>
      <c r="F937" s="1" t="s">
        <v>2268</v>
      </c>
      <c r="G937" s="1" t="s">
        <v>15</v>
      </c>
      <c r="H937" s="1" t="s">
        <v>16</v>
      </c>
      <c r="I937" s="1" t="str">
        <f ca="1">IFERROR(__xludf.DUMMYFUNCTION("GOOGLETRANSLATE(F937, ""auto"", ""en"")
"),"No")</f>
        <v>No</v>
      </c>
    </row>
    <row r="938" spans="1:9" x14ac:dyDescent="0.3">
      <c r="A938" s="1" t="s">
        <v>61</v>
      </c>
      <c r="B938" s="1" t="s">
        <v>977</v>
      </c>
      <c r="C938" s="1" t="s">
        <v>63</v>
      </c>
      <c r="D938" s="1" t="s">
        <v>474</v>
      </c>
      <c r="E938" s="1" t="s">
        <v>2269</v>
      </c>
      <c r="F938" s="1" t="s">
        <v>2270</v>
      </c>
      <c r="G938" s="1" t="s">
        <v>36</v>
      </c>
      <c r="H938" s="1" t="s">
        <v>29</v>
      </c>
      <c r="I938" s="1" t="str">
        <f ca="1">IFERROR(__xludf.DUMMYFUNCTION("GOOGLETRANSLATE(F938, ""auto"", ""en"")
"),"I bought it two months ago as a gift for my mother. My hopes and wishes were justified, my mother is very pleased with this mixer, she uses it very often, as she often bakes, so she kneads dough using the mixer and she likes how this model copes with this"&amp;" task. And now my mother highly recommends this mixer to me! And in operation it is really not noisy.")</f>
        <v>I bought it two months ago as a gift for my mother. My hopes and wishes were justified, my mother is very pleased with this mixer, she uses it very often, as she often bakes, so she kneads dough using the mixer and she likes how this model copes with this task. And now my mother highly recommends this mixer to me! And in operation it is really not noisy.</v>
      </c>
    </row>
    <row r="939" spans="1:9" x14ac:dyDescent="0.3">
      <c r="A939" s="1" t="s">
        <v>211</v>
      </c>
      <c r="B939" s="1" t="s">
        <v>410</v>
      </c>
      <c r="C939" s="1" t="s">
        <v>69</v>
      </c>
      <c r="D939" s="1" t="s">
        <v>102</v>
      </c>
      <c r="E939" s="1" t="s">
        <v>2271</v>
      </c>
      <c r="F939" s="1" t="s">
        <v>2272</v>
      </c>
      <c r="G939" s="1" t="s">
        <v>36</v>
      </c>
      <c r="H939" s="1" t="s">
        <v>29</v>
      </c>
      <c r="I939" s="1" t="str">
        <f ca="1">IFERROR(__xludf.DUMMYFUNCTION("GOOGLETRANSLATE(F939, ""auto"", ""en"")
"),"Great electric razor!")</f>
        <v>Great electric razor!</v>
      </c>
    </row>
    <row r="940" spans="1:9" x14ac:dyDescent="0.3">
      <c r="A940" s="1" t="s">
        <v>557</v>
      </c>
      <c r="B940" s="1" t="s">
        <v>558</v>
      </c>
      <c r="C940" s="1" t="s">
        <v>122</v>
      </c>
      <c r="D940" s="1" t="s">
        <v>295</v>
      </c>
      <c r="E940" s="1" t="s">
        <v>1112</v>
      </c>
      <c r="F940" s="1" t="s">
        <v>2273</v>
      </c>
      <c r="G940" s="1" t="s">
        <v>36</v>
      </c>
      <c r="H940" s="1" t="s">
        <v>29</v>
      </c>
      <c r="I940" s="1" t="str">
        <f ca="1">IFERROR(__xludf.DUMMYFUNCTION("GOOGLETRANSLATE(F940, ""auto"", ""en"")
"),"There is a speakerphone")</f>
        <v>There is a speakerphone</v>
      </c>
    </row>
    <row r="941" spans="1:9" x14ac:dyDescent="0.3">
      <c r="A941" s="1" t="s">
        <v>9</v>
      </c>
      <c r="B941" s="1" t="s">
        <v>137</v>
      </c>
      <c r="C941" s="1" t="s">
        <v>134</v>
      </c>
      <c r="D941" s="1" t="s">
        <v>471</v>
      </c>
      <c r="E941" s="1" t="s">
        <v>2173</v>
      </c>
      <c r="F941" s="1" t="s">
        <v>2274</v>
      </c>
      <c r="G941" s="1" t="s">
        <v>36</v>
      </c>
      <c r="H941" s="1" t="s">
        <v>29</v>
      </c>
      <c r="I941" s="1" t="str">
        <f ca="1">IFERROR(__xludf.DUMMYFUNCTION("GOOGLETRANSLATE(F941, ""auto"", ""en"")
"),"I think you always need to keep up with the times and buy new, modern equipment. For example, update the kitchen once every five or six years at least.  So, following this principle of mine, I bought this gas panel about three months ago, got rid of my ol"&amp;"d stove, and installed this miracle)) My husband coped with the installation himself, there was nothing very difficult to call the experts. In general, I liked this panel mainly for several reasons: firstly, it is an interesting design. I really liked the"&amp;" color, it’s so silver, it looks beautiful)) At first I thought it would be difficult to clean and the color would quickly fade, but in reality it turned out not to be the case at all! It still looks just super awesome)) Secondly, what is very convenient "&amp;"for me is the control panel, which is installed on the right, and not in front, like other models! Firstly, children now cannot reach the regulators, and secondly, this is even much more convenient than when they are in front. Another plus I would like to"&amp;" mention is the dual-flame burner, a very convenient thing when you need to cook something quickly. The pan heats up much faster and more evenly now. The model left the best impressions, I recommend it!")</f>
        <v>I think you always need to keep up with the times and buy new, modern equipment. For example, update the kitchen once every five or six years at least.  So, following this principle of mine, I bought this gas panel about three months ago, got rid of my old stove, and installed this miracle)) My husband coped with the installation himself, there was nothing very difficult to call the experts. In general, I liked this panel mainly for several reasons: firstly, it is an interesting design. I really liked the color, it’s so silver, it looks beautiful)) At first I thought it would be difficult to clean and the color would quickly fade, but in reality it turned out not to be the case at all! It still looks just super awesome)) Secondly, what is very convenient for me is the control panel, which is installed on the right, and not in front, like other models! Firstly, children now cannot reach the regulators, and secondly, this is even much more convenient than when they are in front. Another plus I would like to mention is the dual-flame burner, a very convenient thing when you need to cook something quickly. The pan heats up much faster and more evenly now. The model left the best impressions, I recommend it!</v>
      </c>
    </row>
    <row r="942" spans="1:9" x14ac:dyDescent="0.3">
      <c r="A942" s="1" t="s">
        <v>206</v>
      </c>
      <c r="B942" s="1" t="s">
        <v>261</v>
      </c>
      <c r="C942" s="1" t="s">
        <v>351</v>
      </c>
      <c r="D942" s="1" t="s">
        <v>52</v>
      </c>
      <c r="E942" s="1" t="s">
        <v>2275</v>
      </c>
      <c r="F942" s="1" t="s">
        <v>2276</v>
      </c>
      <c r="G942" s="1" t="s">
        <v>49</v>
      </c>
      <c r="H942" s="1" t="s">
        <v>16</v>
      </c>
      <c r="I942" s="1" t="str">
        <f ca="1">IFERROR(__xludf.DUMMYFUNCTION("GOOGLETRANSLATE(F942, ""auto"", ""en"")
"),"I bought it before going to the sea. It's good that I checked it the day before. I stuck the recorder and navigator into it, the third slot remained empty for phones. After a couple of minutes the smell of smoke appeared. Choose an alternative splitter.")</f>
        <v>I bought it before going to the sea. It's good that I checked it the day before. I stuck the recorder and navigator into it, the third slot remained empty for phones. After a couple of minutes the smell of smoke appeared. Choose an alternative splitter.</v>
      </c>
    </row>
    <row r="943" spans="1:9" x14ac:dyDescent="0.3">
      <c r="A943" s="1" t="s">
        <v>105</v>
      </c>
      <c r="B943" s="1" t="s">
        <v>106</v>
      </c>
      <c r="C943" s="1" t="s">
        <v>1419</v>
      </c>
      <c r="D943" s="1" t="s">
        <v>2277</v>
      </c>
      <c r="E943" s="1" t="s">
        <v>2278</v>
      </c>
      <c r="F943" s="1" t="s">
        <v>2279</v>
      </c>
      <c r="G943" s="1" t="s">
        <v>15</v>
      </c>
      <c r="H943" s="1" t="s">
        <v>16</v>
      </c>
      <c r="I943" s="1" t="str">
        <f ca="1">IFERROR(__xludf.DUMMYFUNCTION("GOOGLETRANSLATE(F943, ""auto"", ""en"")
"),"I bought it yesterday and used it for a few hours. It seems like the player is like a player, it plays what is written. But the sound is very quiet. Quieter than my old player. It’s enough to listen to music, but audio books (some of not very high quality"&amp;") will not be heard in a minibus or tram. Even good headphones won't save you.")</f>
        <v>I bought it yesterday and used it for a few hours. It seems like the player is like a player, it plays what is written. But the sound is very quiet. Quieter than my old player. It’s enough to listen to music, but audio books (some of not very high quality) will not be heard in a minibus or tram. Even good headphones won't save you.</v>
      </c>
    </row>
    <row r="944" spans="1:9" x14ac:dyDescent="0.3">
      <c r="A944" s="1" t="s">
        <v>361</v>
      </c>
      <c r="B944" s="1" t="s">
        <v>1077</v>
      </c>
      <c r="C944" s="1" t="s">
        <v>2143</v>
      </c>
      <c r="D944" s="1" t="s">
        <v>1021</v>
      </c>
      <c r="E944" s="1" t="s">
        <v>2280</v>
      </c>
      <c r="F944" s="1" t="s">
        <v>2281</v>
      </c>
      <c r="G944" s="1" t="s">
        <v>15</v>
      </c>
      <c r="H944" s="1" t="s">
        <v>16</v>
      </c>
      <c r="I944" s="1" t="str">
        <f ca="1">IFERROR(__xludf.DUMMYFUNCTION("GOOGLETRANSLATE(F944, ""auto"", ""en"")
"),"Six months later, the vaunted “double bottom” split into two so that less than a liter could fit into it")</f>
        <v>Six months later, the vaunted “double bottom” split into two so that less than a liter could fit into it</v>
      </c>
    </row>
    <row r="945" spans="1:9" x14ac:dyDescent="0.3">
      <c r="A945" s="1" t="s">
        <v>169</v>
      </c>
      <c r="B945" s="1" t="s">
        <v>170</v>
      </c>
      <c r="C945" s="1" t="s">
        <v>193</v>
      </c>
      <c r="D945" s="1" t="s">
        <v>2282</v>
      </c>
      <c r="E945" s="1" t="s">
        <v>622</v>
      </c>
      <c r="F945" s="1" t="s">
        <v>2283</v>
      </c>
      <c r="G945" s="1" t="s">
        <v>36</v>
      </c>
      <c r="H945" s="1" t="s">
        <v>29</v>
      </c>
      <c r="I945" s="1" t="str">
        <f ca="1">IFERROR(__xludf.DUMMYFUNCTION("GOOGLETRANSLATE(F945, ""auto"", ""en"")
"),"I bought headphones today, I hadn’t seen any reviews until now, I liked the quality very much, so I bought them, I don’t regret it) I recommend")</f>
        <v>I bought headphones today, I hadn’t seen any reviews until now, I liked the quality very much, so I bought them, I don’t regret it) I recommend</v>
      </c>
    </row>
    <row r="946" spans="1:9" x14ac:dyDescent="0.3">
      <c r="A946" s="1" t="s">
        <v>61</v>
      </c>
      <c r="B946" s="1" t="s">
        <v>318</v>
      </c>
      <c r="C946" s="1" t="s">
        <v>57</v>
      </c>
      <c r="D946" s="1" t="s">
        <v>1092</v>
      </c>
      <c r="E946" s="1" t="s">
        <v>359</v>
      </c>
      <c r="F946" s="1" t="s">
        <v>2284</v>
      </c>
      <c r="G946" s="1" t="s">
        <v>28</v>
      </c>
      <c r="H946" s="1" t="s">
        <v>29</v>
      </c>
      <c r="I946" s="1" t="str">
        <f ca="1">IFERROR(__xludf.DUMMYFUNCTION("GOOGLETRANSLATE(F946, ""auto"", ""en"")
"),"There is no shutdown button. The cord is too stiff and thick.")</f>
        <v>There is no shutdown button. The cord is too stiff and thick.</v>
      </c>
    </row>
    <row r="947" spans="1:9" x14ac:dyDescent="0.3">
      <c r="A947" s="1" t="s">
        <v>61</v>
      </c>
      <c r="B947" s="1" t="s">
        <v>1727</v>
      </c>
      <c r="C947" s="1" t="s">
        <v>122</v>
      </c>
      <c r="D947" s="1" t="s">
        <v>2285</v>
      </c>
      <c r="E947" s="1" t="s">
        <v>2141</v>
      </c>
      <c r="F947" s="1" t="s">
        <v>2286</v>
      </c>
      <c r="G947" s="1" t="s">
        <v>15</v>
      </c>
      <c r="H947" s="1" t="s">
        <v>16</v>
      </c>
      <c r="I947" s="1" t="str">
        <f ca="1">IFERROR(__xludf.DUMMYFUNCTION("GOOGLETRANSLATE(F947, ""auto"", ""en"")
"),"I was convinced from my own experience that cooking in this multicooker is not a pleasure, as you might think just by looking at this little blue baby, but just disappointment and hassle. And it’s all about the incredibly low power; my microwave is even m"&amp;"any times more powerful than this little blue saucepan. All dishes, without exception, take a very long time to prepare. And if you need to set the table and prepare the first and second course and dessert for tea, then a day probably won’t be enough")</f>
        <v>I was convinced from my own experience that cooking in this multicooker is not a pleasure, as you might think just by looking at this little blue baby, but just disappointment and hassle. And it’s all about the incredibly low power; my microwave is even many times more powerful than this little blue saucepan. All dishes, without exception, take a very long time to prepare. And if you need to set the table and prepare the first and second course and dessert for tea, then a day probably won’t be enough</v>
      </c>
    </row>
    <row r="948" spans="1:9" x14ac:dyDescent="0.3">
      <c r="A948" s="1" t="s">
        <v>30</v>
      </c>
      <c r="B948" s="1" t="s">
        <v>31</v>
      </c>
      <c r="C948" s="1" t="s">
        <v>32</v>
      </c>
      <c r="D948" s="1" t="s">
        <v>305</v>
      </c>
      <c r="E948" s="1" t="s">
        <v>1454</v>
      </c>
      <c r="F948" s="1" t="s">
        <v>2287</v>
      </c>
      <c r="G948" s="1" t="s">
        <v>36</v>
      </c>
      <c r="H948" s="1" t="s">
        <v>29</v>
      </c>
      <c r="I948" s="1" t="str">
        <f ca="1">IFERROR(__xludf.DUMMYFUNCTION("GOOGLETRANSLATE(F948, ""auto"", ""en"")
"),"Why so cheap?  It seems that the equipment is very good and cannot cost that much!")</f>
        <v>Why so cheap?  It seems that the equipment is very good and cannot cost that much!</v>
      </c>
    </row>
    <row r="949" spans="1:9" x14ac:dyDescent="0.3">
      <c r="A949" s="1" t="s">
        <v>55</v>
      </c>
      <c r="B949" s="1" t="s">
        <v>184</v>
      </c>
      <c r="C949" s="1" t="s">
        <v>101</v>
      </c>
      <c r="D949" s="1" t="s">
        <v>295</v>
      </c>
      <c r="E949" s="1" t="s">
        <v>2288</v>
      </c>
      <c r="F949" s="1" t="s">
        <v>2289</v>
      </c>
      <c r="G949" s="1" t="s">
        <v>28</v>
      </c>
      <c r="H949" s="1" t="s">
        <v>29</v>
      </c>
      <c r="I949" s="1" t="str">
        <f ca="1">IFERROR(__xludf.DUMMYFUNCTION("GOOGLETRANSLATE(F949, ""auto"", ""en"")
"),"I bought this fan heater 2 years ago. Room 12 sq.m. with the door closed, it heats up in 20 minutes from a temperature of 19 to 22 degrees. Problems inherent in all fan heaters - the air dries out and is noisy. I turn it off at night. It works flawlessly,"&amp;" there was a smell, but it went away after a few uses.")</f>
        <v>I bought this fan heater 2 years ago. Room 12 sq.m. with the door closed, it heats up in 20 minutes from a temperature of 19 to 22 degrees. Problems inherent in all fan heaters - the air dries out and is noisy. I turn it off at night. It works flawlessly, there was a smell, but it went away after a few uses.</v>
      </c>
    </row>
    <row r="950" spans="1:9" x14ac:dyDescent="0.3">
      <c r="A950" s="1" t="s">
        <v>37</v>
      </c>
      <c r="B950" s="1" t="s">
        <v>536</v>
      </c>
      <c r="C950" s="1" t="s">
        <v>1419</v>
      </c>
      <c r="D950" s="1" t="s">
        <v>2290</v>
      </c>
      <c r="E950" s="1" t="s">
        <v>164</v>
      </c>
      <c r="F950" s="1" t="s">
        <v>2291</v>
      </c>
      <c r="G950" s="1" t="s">
        <v>28</v>
      </c>
      <c r="H950" s="1" t="s">
        <v>29</v>
      </c>
      <c r="I950" s="1" t="str">
        <f ca="1">IFERROR(__xludf.DUMMYFUNCTION("GOOGLETRANSLATE(F950, ""auto"", ""en"")
"),"I've been using it for 3 months. The screen is excellent, the resolution shows itself only in applications with large, primitive graphics (in a calculator, for example). The ease of use with a finger is excellent (for clarity, compare with witu). The spea"&amp;"ker is somewhat weak; there is no protection against calling up applications from the screen during a conversation. Battery life is 2 days (my previous glofisch X800 was enough for a day with a much lighter load). Build quality, plastic can be taken as a "&amp;"standard. The device could use a flash, but in daytime natural or sufficient artificial light the quality of the pictures is good. The speed of work in various positions will not disappoint. If the size does not bother you, but comfort when viewing text, "&amp;"photos and videos is important, high-quality radio, assembly, if you remove the stylus every time you think it's inconvenient, it's your choice")</f>
        <v>I've been using it for 3 months. The screen is excellent, the resolution shows itself only in applications with large, primitive graphics (in a calculator, for example). The ease of use with a finger is excellent (for clarity, compare with witu). The speaker is somewhat weak; there is no protection against calling up applications from the screen during a conversation. Battery life is 2 days (my previous glofisch X800 was enough for a day with a much lighter load). Build quality, plastic can be taken as a standard. The device could use a flash, but in daytime natural or sufficient artificial light the quality of the pictures is good. The speed of work in various positions will not disappoint. If the size does not bother you, but comfort when viewing text, photos and videos is important, high-quality radio, assembly, if you remove the stylus every time you think it's inconvenient, it's your choice</v>
      </c>
    </row>
    <row r="951" spans="1:9" x14ac:dyDescent="0.3">
      <c r="A951" s="1" t="s">
        <v>43</v>
      </c>
      <c r="B951" s="1" t="s">
        <v>303</v>
      </c>
      <c r="C951" s="1" t="s">
        <v>2292</v>
      </c>
      <c r="D951" s="1" t="s">
        <v>2293</v>
      </c>
      <c r="E951" s="1" t="s">
        <v>2294</v>
      </c>
      <c r="F951" s="1" t="s">
        <v>2295</v>
      </c>
      <c r="G951" s="1" t="s">
        <v>36</v>
      </c>
      <c r="H951" s="1" t="s">
        <v>29</v>
      </c>
      <c r="I951" s="1" t="str">
        <f ca="1">IFERROR(__xludf.DUMMYFUNCTION("GOOGLETRANSLATE(F951, ""auto"", ""en"")
"),"An excellent water heater, the thermal insulation is really good (lasts about a week). I don’t consider the fact that there are no fasteners to be a minus (it costs a penny).")</f>
        <v>An excellent water heater, the thermal insulation is really good (lasts about a week). I don’t consider the fact that there are no fasteners to be a minus (it costs a penny).</v>
      </c>
    </row>
    <row r="952" spans="1:9" x14ac:dyDescent="0.3">
      <c r="A952" s="1" t="s">
        <v>120</v>
      </c>
      <c r="B952" s="1" t="s">
        <v>121</v>
      </c>
      <c r="C952" s="1" t="s">
        <v>80</v>
      </c>
      <c r="D952" s="1" t="s">
        <v>2296</v>
      </c>
      <c r="E952" s="1" t="s">
        <v>1225</v>
      </c>
      <c r="F952" s="1" t="s">
        <v>2297</v>
      </c>
      <c r="G952" s="1" t="s">
        <v>36</v>
      </c>
      <c r="H952" s="1" t="s">
        <v>29</v>
      </c>
      <c r="I952" s="1" t="str">
        <f ca="1">IFERROR(__xludf.DUMMYFUNCTION("GOOGLETRANSLATE(F952, ""auto"", ""en"")
"),"Shows broadcast channels decently, reproduces almost any video format from a flash drive (there are problems with HD movies - either the video curve codec or audio - about 1 out of 15), the photos are super, the colors are natural, I didn’t need any adjus"&amp;"tments (the black color is similar to black), the 200 Hz effect is strange, as if theatrical, but it has a positive effect on the image, there is practically no blurring of the contour (I haven’t tried toys, but as an RGB monitor it’s beyond praise), if y"&amp;"ou turn on the sensor, it’s practically doesn't heat up.")</f>
        <v>Shows broadcast channels decently, reproduces almost any video format from a flash drive (there are problems with HD movies - either the video curve codec or audio - about 1 out of 15), the photos are super, the colors are natural, I didn’t need any adjustments (the black color is similar to black), the 200 Hz effect is strange, as if theatrical, but it has a positive effect on the image, there is practically no blurring of the contour (I haven’t tried toys, but as an RGB monitor it’s beyond praise), if you turn on the sensor, it’s practically doesn't heat up.</v>
      </c>
    </row>
    <row r="953" spans="1:9" x14ac:dyDescent="0.3">
      <c r="A953" s="1" t="s">
        <v>43</v>
      </c>
      <c r="B953" s="1" t="s">
        <v>303</v>
      </c>
      <c r="C953" s="1" t="s">
        <v>159</v>
      </c>
      <c r="D953" s="1" t="s">
        <v>172</v>
      </c>
      <c r="E953" s="1" t="s">
        <v>2298</v>
      </c>
      <c r="F953" s="1" t="s">
        <v>2299</v>
      </c>
      <c r="G953" s="1" t="s">
        <v>36</v>
      </c>
      <c r="H953" s="1" t="s">
        <v>29</v>
      </c>
      <c r="I953" s="1" t="str">
        <f ca="1">IFERROR(__xludf.DUMMYFUNCTION("GOOGLETRANSLATE(F953, ""auto"", ""en"")
"),"You won't find a better water heater. I've had it for 10 years and no problems. It has already served its term, I will change it. Its main property is Teng, they rarely burn out and then they can be changed without draining the water. Dry heating element "&amp;"is placed in a tube that is welded into the tank.")</f>
        <v>You won't find a better water heater. I've had it for 10 years and no problems. It has already served its term, I will change it. Its main property is Teng, they rarely burn out and then they can be changed without draining the water. Dry heating element is placed in a tube that is welded into the tank.</v>
      </c>
    </row>
    <row r="954" spans="1:9" x14ac:dyDescent="0.3">
      <c r="A954" s="1" t="s">
        <v>211</v>
      </c>
      <c r="B954" s="1" t="s">
        <v>410</v>
      </c>
      <c r="C954" s="1" t="s">
        <v>57</v>
      </c>
      <c r="D954" s="1" t="s">
        <v>152</v>
      </c>
      <c r="E954" s="1" t="s">
        <v>2300</v>
      </c>
      <c r="F954" s="1" t="s">
        <v>2301</v>
      </c>
      <c r="G954" s="1" t="s">
        <v>36</v>
      </c>
      <c r="H954" s="1" t="s">
        <v>29</v>
      </c>
      <c r="I954" s="1" t="str">
        <f ca="1">IFERROR(__xludf.DUMMYFUNCTION("GOOGLETRANSLATE(F954, ""auto"", ""en"")
"),"My stepfather bought one, I tried it, liked it, went to buy the same one for myself, Gillette Mach3 Turbo is now on the shelf. Apparently I came across a successful model, I have medium stubble, I shave every morning for about 2 minutes, the battery lasts"&amp;" so much that I forget when I charged it, I decided to check it, wrote the charging number on a piece of paper and put it under the razor stand, charging was required in the fifth week of use, more than a month. I'm shocked! In the fourth year of use, the"&amp;" knives needed to be replaced. .")</f>
        <v>My stepfather bought one, I tried it, liked it, went to buy the same one for myself, Gillette Mach3 Turbo is now on the shelf. Apparently I came across a successful model, I have medium stubble, I shave every morning for about 2 minutes, the battery lasts so much that I forget when I charged it, I decided to check it, wrote the charging number on a piece of paper and put it under the razor stand, charging was required in the fifth week of use, more than a month. I'm shocked! In the fourth year of use, the knives needed to be replaced. .</v>
      </c>
    </row>
    <row r="955" spans="1:9" x14ac:dyDescent="0.3">
      <c r="A955" s="1" t="s">
        <v>211</v>
      </c>
      <c r="B955" s="1" t="s">
        <v>212</v>
      </c>
      <c r="C955" s="1" t="s">
        <v>294</v>
      </c>
      <c r="D955" s="1" t="s">
        <v>545</v>
      </c>
      <c r="E955" s="1" t="s">
        <v>2030</v>
      </c>
      <c r="F955" s="1" t="s">
        <v>2302</v>
      </c>
      <c r="G955" s="1" t="s">
        <v>36</v>
      </c>
      <c r="H955" s="1" t="s">
        <v>29</v>
      </c>
      <c r="I955" s="1" t="str">
        <f ca="1">IFERROR(__xludf.DUMMYFUNCTION("GOOGLETRANSLATE(F955, ""auto"", ""en"")
"),"Yesterday my husband gave me a hair straightener. I tried it now and really liked it. Heats up instantly, very convenient - remembers the desired temperature, very light. Straightened my wavy hair perfectly and quickly. Included is a handbag, comb, hairpi"&amp;"ns - this is a small thing, but nice! 100% satisfied!!!")</f>
        <v>Yesterday my husband gave me a hair straightener. I tried it now and really liked it. Heats up instantly, very convenient - remembers the desired temperature, very light. Straightened my wavy hair perfectly and quickly. Included is a handbag, comb, hairpins - this is a small thing, but nice! 100% satisfied!!!</v>
      </c>
    </row>
    <row r="956" spans="1:9" x14ac:dyDescent="0.3">
      <c r="A956" s="1" t="s">
        <v>61</v>
      </c>
      <c r="B956" s="1" t="s">
        <v>73</v>
      </c>
      <c r="C956" s="1" t="s">
        <v>146</v>
      </c>
      <c r="D956" s="1" t="s">
        <v>521</v>
      </c>
      <c r="E956" s="1" t="s">
        <v>638</v>
      </c>
      <c r="F956" s="1" t="s">
        <v>2303</v>
      </c>
      <c r="G956" s="1" t="s">
        <v>28</v>
      </c>
      <c r="H956" s="1" t="s">
        <v>29</v>
      </c>
      <c r="I956" s="1" t="str">
        <f ca="1">IFERROR(__xludf.DUMMYFUNCTION("GOOGLETRANSLATE(F956, ""auto"", ""en"")
"),"1) Pros: * high-quality fastening, completely metal!;  * all meat grinders, approximately up to 15 tr. with plastic, and the fastening quickly becomes loose;  * auto shutdown when overheated - a great feature!;  * perfectly grinds different fruits and veg"&amp;"etables at the same time, despite the fact that many of them have slippery skins and produce a lot of juice (adzhika cooked 20 liters).    2) Cons: I didn’t find any!    3) Comments: * this meat grinder perfectly combines cost and quality, nothing superfl"&amp;"uous and quite reliable!  * I want to note about plastic “gears”, as the above-signed noted (by the way, the comment about gears is repeated several times, perhaps someone is just copying and spamming it), they are now in all meat grinders to reduce noise"&amp;" and reduce the cost! More expensive than 15 tr. I haven’t looked into it, maybe they have a similar story.   * Knives can always be sharpened))) this is not an indicator at all in a meat grinder!!!  * In M.Video, unlike other stores, they were able to gi"&amp;"ve normal advice and absolutely not intrusively!!!  * I’m happy with the meat grinder, and I can recommend it for home use!     Any equipment breaks down if you don’t know how to use it, and no one has canceled the warranty)) Moreover, now you can get add"&amp;"itional insurance for ridiculous money!    P.S.: Special thanks to the sellers of the store in Perm, Kuibysheva St., 16, TRC ""Colosseum"".")</f>
        <v>1) Pros: * high-quality fastening, completely metal!;  * all meat grinders, approximately up to 15 tr. with plastic, and the fastening quickly becomes loose;  * auto shutdown when overheated - a great feature!;  * perfectly grinds different fruits and vegetables at the same time, despite the fact that many of them have slippery skins and produce a lot of juice (adzhika cooked 20 liters).    2) Cons: I didn’t find any!    3) Comments: * this meat grinder perfectly combines cost and quality, nothing superfluous and quite reliable!  * I want to note about plastic “gears”, as the above-signed noted (by the way, the comment about gears is repeated several times, perhaps someone is just copying and spamming it), they are now in all meat grinders to reduce noise and reduce the cost! More expensive than 15 tr. I haven’t looked into it, maybe they have a similar story.   * Knives can always be sharpened))) this is not an indicator at all in a meat grinder!!!  * In M.Video, unlike other stores, they were able to give normal advice and absolutely not intrusively!!!  * I’m happy with the meat grinder, and I can recommend it for home use!     Any equipment breaks down if you don’t know how to use it, and no one has canceled the warranty)) Moreover, now you can get additional insurance for ridiculous money!    P.S.: Special thanks to the sellers of the store in Perm, Kuibysheva St., 16, TRC "Colosseum".</v>
      </c>
    </row>
    <row r="957" spans="1:9" x14ac:dyDescent="0.3">
      <c r="A957" s="1" t="s">
        <v>61</v>
      </c>
      <c r="B957" s="1" t="s">
        <v>73</v>
      </c>
      <c r="C957" s="1" t="s">
        <v>314</v>
      </c>
      <c r="D957" s="1" t="s">
        <v>64</v>
      </c>
      <c r="E957" s="1" t="s">
        <v>889</v>
      </c>
      <c r="F957" s="1" t="s">
        <v>2304</v>
      </c>
      <c r="G957" s="1" t="s">
        <v>36</v>
      </c>
      <c r="H957" s="1" t="s">
        <v>29</v>
      </c>
      <c r="I957" s="1" t="str">
        <f ca="1">IFERROR(__xludf.DUMMYFUNCTION("GOOGLETRANSLATE(F957, ""auto"", ""en"")
"),"I've been using it for 3 months and I'm very pleased. It quickly chops any meat, offal, fish, vegetables, and is not very noisy.")</f>
        <v>I've been using it for 3 months and I'm very pleased. It quickly chops any meat, offal, fish, vegetables, and is not very noisy.</v>
      </c>
    </row>
    <row r="958" spans="1:9" x14ac:dyDescent="0.3">
      <c r="A958" s="1" t="s">
        <v>732</v>
      </c>
      <c r="B958" s="1" t="s">
        <v>733</v>
      </c>
      <c r="C958" s="1" t="s">
        <v>32</v>
      </c>
      <c r="D958" s="1" t="s">
        <v>232</v>
      </c>
      <c r="E958" s="1" t="s">
        <v>2305</v>
      </c>
      <c r="F958" s="1" t="s">
        <v>2306</v>
      </c>
      <c r="G958" s="1" t="s">
        <v>28</v>
      </c>
      <c r="H958" s="1" t="s">
        <v>29</v>
      </c>
      <c r="I958" s="1" t="str">
        <f ca="1">IFERROR(__xludf.DUMMYFUNCTION("GOOGLETRANSLATE(F958, ""auto"", ""en"")
"),"I bought this monitor yesterday through an online store. Overall I'm satisfied, the screen size is quite large, color rendition is normal. Naturally, it’s a little worse than my old Samsung, but at this price with such a diagonal you won’t find anything b"&amp;"etter. The only thing that disappointed me was the lack of an HDMI connector... In general, the price-quality ratio is good. Let's see how long it lasts.")</f>
        <v>I bought this monitor yesterday through an online store. Overall I'm satisfied, the screen size is quite large, color rendition is normal. Naturally, it’s a little worse than my old Samsung, but at this price with such a diagonal you won’t find anything better. The only thing that disappointed me was the lack of an HDMI connector... In general, the price-quality ratio is good. Let's see how long it lasts.</v>
      </c>
    </row>
    <row r="959" spans="1:9" x14ac:dyDescent="0.3">
      <c r="A959" s="1" t="s">
        <v>211</v>
      </c>
      <c r="B959" s="1" t="s">
        <v>384</v>
      </c>
      <c r="C959" s="1" t="s">
        <v>246</v>
      </c>
      <c r="D959" s="1" t="s">
        <v>64</v>
      </c>
      <c r="E959" s="1" t="s">
        <v>1548</v>
      </c>
      <c r="F959" s="1" t="s">
        <v>2307</v>
      </c>
      <c r="G959" s="1" t="s">
        <v>49</v>
      </c>
      <c r="H959" s="1" t="s">
        <v>16</v>
      </c>
      <c r="I959" s="1" t="str">
        <f ca="1">IFERROR(__xludf.DUMMYFUNCTION("GOOGLETRANSLATE(F959, ""auto"", ""en"")
"),"We worked steadily for only three months. Now it shows the wrong weight, the discrepancy with the real one is from 10 to 20 kg, with a weight of 50 kg the display shows 39 kg, with a weight of 94 kg they show 75. Neither changing batteries nor other manip"&amp;"ulations help. Uselessly wasted money. I DO NOT recommend buying this model.")</f>
        <v>We worked steadily for only three months. Now it shows the wrong weight, the discrepancy with the real one is from 10 to 20 kg, with a weight of 50 kg the display shows 39 kg, with a weight of 94 kg they show 75. Neither changing batteries nor other manipulations help. Uselessly wasted money. I DO NOT recommend buying this model.</v>
      </c>
    </row>
    <row r="960" spans="1:9" x14ac:dyDescent="0.3">
      <c r="A960" s="1" t="s">
        <v>61</v>
      </c>
      <c r="B960" s="1" t="s">
        <v>62</v>
      </c>
      <c r="C960" s="1" t="s">
        <v>63</v>
      </c>
      <c r="D960" s="1" t="s">
        <v>308</v>
      </c>
      <c r="E960" s="1" t="s">
        <v>2308</v>
      </c>
      <c r="F960" s="1" t="s">
        <v>2309</v>
      </c>
      <c r="G960" s="1" t="s">
        <v>36</v>
      </c>
      <c r="H960" s="1" t="s">
        <v>29</v>
      </c>
      <c r="I960" s="1" t="str">
        <f ca="1">IFERROR(__xludf.DUMMYFUNCTION("GOOGLETRANSLATE(F960, ""auto"", ""en"")
"),"An excellent food processor, very simple and easy to use, now I cook cabbage much more often, I used to be too lazy to cut it, but now it takes 5 minutes and it’s done. Vegetable stew is also no problem. Everything suits me. I've been using it for more th"&amp;"an six months.")</f>
        <v>An excellent food processor, very simple and easy to use, now I cook cabbage much more often, I used to be too lazy to cut it, but now it takes 5 minutes and it’s done. Vegetable stew is also no problem. Everything suits me. I've been using it for more than six months.</v>
      </c>
    </row>
    <row r="961" spans="1:9" x14ac:dyDescent="0.3">
      <c r="A961" s="1" t="s">
        <v>30</v>
      </c>
      <c r="B961" s="1" t="s">
        <v>50</v>
      </c>
      <c r="C961" s="1" t="s">
        <v>32</v>
      </c>
      <c r="D961" s="1" t="s">
        <v>749</v>
      </c>
      <c r="E961" s="1" t="s">
        <v>2310</v>
      </c>
      <c r="F961" s="1" t="s">
        <v>2311</v>
      </c>
      <c r="G961" s="1" t="s">
        <v>36</v>
      </c>
      <c r="H961" s="1" t="s">
        <v>29</v>
      </c>
      <c r="I961" s="1" t="str">
        <f ca="1">IFERROR(__xludf.DUMMYFUNCTION("GOOGLETRANSLATE(F961, ""auto"", ""en"")
"),"I bought a beech book 2 weeks ago, I’m not happy!!!!! everything is super!!! except, as already said, clicking when listening to MP3s, I think this problem can be sorted out))) !!! well, everything is fine!!!")</f>
        <v>I bought a beech book 2 weeks ago, I’m not happy!!!!! everything is super!!! except, as already said, clicking when listening to MP3s, I think this problem can be sorted out))) !!! well, everything is fine!!!</v>
      </c>
    </row>
    <row r="962" spans="1:9" x14ac:dyDescent="0.3">
      <c r="A962" s="1" t="s">
        <v>37</v>
      </c>
      <c r="B962" s="1" t="s">
        <v>38</v>
      </c>
      <c r="C962" s="1" t="s">
        <v>151</v>
      </c>
      <c r="D962" s="1" t="s">
        <v>152</v>
      </c>
      <c r="E962" s="1" t="s">
        <v>1167</v>
      </c>
      <c r="F962" s="1" t="s">
        <v>2312</v>
      </c>
      <c r="G962" s="1" t="s">
        <v>28</v>
      </c>
      <c r="H962" s="1" t="s">
        <v>29</v>
      </c>
      <c r="I962" s="1" t="str">
        <f ca="1">IFERROR(__xludf.DUMMYFUNCTION("GOOGLETRANSLATE(F962, ""auto"", ""en"")
"),"The phone is very good, especially in design and ergonomics. But apparently there is a software error; when you go to the contacts menu and use the search, you always have to select the Russian language, which is turned on only the second time.")</f>
        <v>The phone is very good, especially in design and ergonomics. But apparently there is a software error; when you go to the contacts menu and use the search, you always have to select the Russian language, which is turned on only the second time.</v>
      </c>
    </row>
    <row r="963" spans="1:9" x14ac:dyDescent="0.3">
      <c r="A963" s="1" t="s">
        <v>149</v>
      </c>
      <c r="B963" s="1" t="s">
        <v>155</v>
      </c>
      <c r="C963" s="1" t="s">
        <v>151</v>
      </c>
      <c r="D963" s="1" t="s">
        <v>39</v>
      </c>
      <c r="E963" s="1" t="s">
        <v>2313</v>
      </c>
      <c r="F963" s="1" t="s">
        <v>2314</v>
      </c>
      <c r="G963" s="1" t="s">
        <v>49</v>
      </c>
      <c r="H963" s="1" t="s">
        <v>16</v>
      </c>
      <c r="I963" s="1" t="str">
        <f ca="1">IFERROR(__xludf.DUMMYFUNCTION("GOOGLETRANSLATE(F963, ""auto"", ""en"")
"),"The vacuum cleaner is really bad. Dust from the carpet is not absorbed well. The engine died immediately after the warranty expired. I don't recommend buying. If someone still decides to buy, I recommend that after each (!) cleaning they not only shake ou"&amp;"t the dust, but also wash the filters; also buy HEPA filters for future use. The only advantage of the vacuum cleaner is the control on the handle.")</f>
        <v>The vacuum cleaner is really bad. Dust from the carpet is not absorbed well. The engine died immediately after the warranty expired. I don't recommend buying. If someone still decides to buy, I recommend that after each (!) cleaning they not only shake out the dust, but also wash the filters; also buy HEPA filters for future use. The only advantage of the vacuum cleaner is the control on the handle.</v>
      </c>
    </row>
    <row r="964" spans="1:9" x14ac:dyDescent="0.3">
      <c r="A964" s="1" t="s">
        <v>211</v>
      </c>
      <c r="B964" s="1" t="s">
        <v>212</v>
      </c>
      <c r="C964" s="1" t="s">
        <v>63</v>
      </c>
      <c r="D964" s="1" t="s">
        <v>1890</v>
      </c>
      <c r="E964" s="1" t="s">
        <v>2315</v>
      </c>
      <c r="F964" s="1" t="s">
        <v>2316</v>
      </c>
      <c r="G964" s="1" t="s">
        <v>36</v>
      </c>
      <c r="H964" s="1" t="s">
        <v>29</v>
      </c>
      <c r="I964" s="1" t="str">
        <f ca="1">IFERROR(__xludf.DUMMYFUNCTION("GOOGLETRANSLATE(F964, ""auto"", ""en"")
"),"The first time I received such a hair dryer as a gift was about 5 years ago. I used brush attachments and a straightening attachment (most often)! The styling is like in a salon, volume, straightening, and lasts a long time, etc.!!! ! There can be no down"&amp;"sides here. But nothing lasts forever, even if the thing is good! Having received a hairdryer as a gift again, I am enjoying the styling procedures! ))) So take it, you won’t regret it!")</f>
        <v>The first time I received such a hair dryer as a gift was about 5 years ago. I used brush attachments and a straightening attachment (most often)! The styling is like in a salon, volume, straightening, and lasts a long time, etc.!!! ! There can be no downsides here. But nothing lasts forever, even if the thing is good! Having received a hairdryer as a gift again, I am enjoying the styling procedures! ))) So take it, you won’t regret it!</v>
      </c>
    </row>
    <row r="965" spans="1:9" x14ac:dyDescent="0.3">
      <c r="A965" s="1" t="s">
        <v>43</v>
      </c>
      <c r="B965" s="1" t="s">
        <v>502</v>
      </c>
      <c r="C965" s="1" t="s">
        <v>151</v>
      </c>
      <c r="D965" s="1" t="s">
        <v>64</v>
      </c>
      <c r="E965" s="1" t="s">
        <v>1219</v>
      </c>
      <c r="F965" s="1" t="s">
        <v>2317</v>
      </c>
      <c r="G965" s="1" t="s">
        <v>36</v>
      </c>
      <c r="H965" s="1" t="s">
        <v>29</v>
      </c>
      <c r="I965" s="1" t="str">
        <f ca="1">IFERROR(__xludf.DUMMYFUNCTION("GOOGLETRANSLATE(F965, ""auto"", ""en"")
"),"Bought 06/12/10. Area 30 sq.m.  works like a beast! Super! Low temperature 16 degrees. I recommend!")</f>
        <v>Bought 06/12/10. Area 30 sq.m.  works like a beast! Super! Low temperature 16 degrees. I recommend!</v>
      </c>
    </row>
    <row r="966" spans="1:9" x14ac:dyDescent="0.3">
      <c r="A966" s="1" t="s">
        <v>111</v>
      </c>
      <c r="B966" s="1" t="s">
        <v>112</v>
      </c>
      <c r="C966" s="1" t="s">
        <v>113</v>
      </c>
      <c r="D966" s="1" t="s">
        <v>33</v>
      </c>
      <c r="E966" s="1" t="s">
        <v>2318</v>
      </c>
      <c r="F966" s="1" t="s">
        <v>2319</v>
      </c>
      <c r="G966" s="1" t="s">
        <v>36</v>
      </c>
      <c r="H966" s="1" t="s">
        <v>29</v>
      </c>
      <c r="I966" s="1" t="str">
        <f ca="1">IFERROR(__xludf.DUMMYFUNCTION("GOOGLETRANSLATE(F966, ""auto"", ""en"")
"),"Not cheap, but an excellent surge protector, I’ve been using it for 3 years now. I recommend it to everyone.")</f>
        <v>Not cheap, but an excellent surge protector, I’ve been using it for 3 years now. I recommend it to everyone.</v>
      </c>
    </row>
    <row r="967" spans="1:9" x14ac:dyDescent="0.3">
      <c r="A967" s="1" t="s">
        <v>37</v>
      </c>
      <c r="B967" s="1" t="s">
        <v>38</v>
      </c>
      <c r="C967" s="1" t="s">
        <v>163</v>
      </c>
      <c r="D967" s="1" t="s">
        <v>2320</v>
      </c>
      <c r="E967" s="1" t="s">
        <v>2321</v>
      </c>
      <c r="F967" s="1" t="s">
        <v>2322</v>
      </c>
      <c r="G967" s="1" t="s">
        <v>36</v>
      </c>
      <c r="H967" s="1" t="s">
        <v>29</v>
      </c>
      <c r="I967" s="1" t="str">
        <f ca="1">IFERROR(__xludf.DUMMYFUNCTION("GOOGLETRANSLATE(F967, ""auto"", ""en"")
"),"SUPER PHONE!!! I've been using it for 3 months...everything is great!!! You just need to choose normal headphones for them!  Pros - photo quality is 5+!!!, sound is normal... autofocus... the flash drive is 4 Gb... doesn't seem to slow down Cons - the sta"&amp;"ndard earphone is bad...")</f>
        <v>SUPER PHONE!!! I've been using it for 3 months...everything is great!!! You just need to choose normal headphones for them!  Pros - photo quality is 5+!!!, sound is normal... autofocus... the flash drive is 4 Gb... doesn't seem to slow down Cons - the standard earphone is bad...</v>
      </c>
    </row>
    <row r="968" spans="1:9" x14ac:dyDescent="0.3">
      <c r="A968" s="1" t="s">
        <v>61</v>
      </c>
      <c r="B968" s="1" t="s">
        <v>62</v>
      </c>
      <c r="C968" s="1" t="s">
        <v>63</v>
      </c>
      <c r="D968" s="1" t="s">
        <v>280</v>
      </c>
      <c r="E968" s="1" t="s">
        <v>2323</v>
      </c>
      <c r="F968" s="1" t="s">
        <v>2324</v>
      </c>
      <c r="G968" s="1" t="s">
        <v>28</v>
      </c>
      <c r="H968" s="1" t="s">
        <v>29</v>
      </c>
      <c r="I968" s="1" t="str">
        <f ca="1">IFERROR(__xludf.DUMMYFUNCTION("GOOGLETRANSLATE(F968, ""auto"", ""en"")
"),"Excellent, powerful, multifunctional harvester. We tried all the functions in 3 weeks. During the first two weeks we tried to use it to the maximum. In the fourth week from the date of purchase, while preparing a cocktail in a blender, the plastic housing"&amp;" of the food processor burst, an extraneous sound appeared, and the shaft did not rotate under load. However, the instructions say that you can crush ice in the blender.  The service center carried out a technical inspection and said that the cause was me"&amp;"chanical damage and the plastic case needed to be replaced. There are no visible chips or impact marks on the housing; I don’t think that replacing the housing will cause the shaft to move.  Probably, the combine could not cope with the load, the shaft sq"&amp;"ueezed out the housing and caused some damage inside.")</f>
        <v>Excellent, powerful, multifunctional harvester. We tried all the functions in 3 weeks. During the first two weeks we tried to use it to the maximum. In the fourth week from the date of purchase, while preparing a cocktail in a blender, the plastic housing of the food processor burst, an extraneous sound appeared, and the shaft did not rotate under load. However, the instructions say that you can crush ice in the blender.  The service center carried out a technical inspection and said that the cause was mechanical damage and the plastic case needed to be replaced. There are no visible chips or impact marks on the housing; I don’t think that replacing the housing will cause the shaft to move.  Probably, the combine could not cope with the load, the shaft squeezed out the housing and caused some damage inside.</v>
      </c>
    </row>
    <row r="969" spans="1:9" x14ac:dyDescent="0.3">
      <c r="A969" s="1" t="s">
        <v>17</v>
      </c>
      <c r="B969" s="1" t="s">
        <v>18</v>
      </c>
      <c r="C969" s="1" t="s">
        <v>277</v>
      </c>
      <c r="D969" s="1" t="s">
        <v>1416</v>
      </c>
      <c r="E969" s="1" t="s">
        <v>2325</v>
      </c>
      <c r="F969" s="1" t="s">
        <v>2326</v>
      </c>
      <c r="G969" s="1" t="s">
        <v>28</v>
      </c>
      <c r="H969" s="1" t="s">
        <v>29</v>
      </c>
      <c r="I969" s="1" t="str">
        <f ca="1">IFERROR(__xludf.DUMMYFUNCTION("GOOGLETRANSLATE(F969, ""auto"", ""en"")
"),"Good washing even without heating the water. One minus - the spin cycle is rather weak. I've been using it for almost a year.")</f>
        <v>Good washing even without heating the water. One minus - the spin cycle is rather weak. I've been using it for almost a year.</v>
      </c>
    </row>
    <row r="970" spans="1:9" x14ac:dyDescent="0.3">
      <c r="A970" s="1" t="s">
        <v>211</v>
      </c>
      <c r="B970" s="1" t="s">
        <v>899</v>
      </c>
      <c r="C970" s="1" t="s">
        <v>213</v>
      </c>
      <c r="D970" s="1" t="s">
        <v>2327</v>
      </c>
      <c r="E970" s="1" t="s">
        <v>2328</v>
      </c>
      <c r="F970" s="1" t="s">
        <v>2329</v>
      </c>
      <c r="G970" s="1" t="s">
        <v>36</v>
      </c>
      <c r="H970" s="1" t="s">
        <v>29</v>
      </c>
      <c r="I970" s="1" t="str">
        <f ca="1">IFERROR(__xludf.DUMMYFUNCTION("GOOGLETRANSLATE(F970, ""auto"", ""en"")
"),"I have been using an Oral-B electric brush for two years now. Before that, I used a regular brush, plaque remained on my teeth, and my gums bled. But Oral-B solved these problems. Now I can’t imagine life without this brush, I recommend it to all my frien"&amp;"ds. The original attachments will last quite a long time, their bristles are not rough, and they are pleasant to brush your teeth with. The battery holds a charge perfectly, there is a charge indicator light. I don't regret the purchase one bit!")</f>
        <v>I have been using an Oral-B electric brush for two years now. Before that, I used a regular brush, plaque remained on my teeth, and my gums bled. But Oral-B solved these problems. Now I can’t imagine life without this brush, I recommend it to all my friends. The original attachments will last quite a long time, their bristles are not rough, and they are pleasant to brush your teeth with. The battery holds a charge perfectly, there is a charge indicator light. I don't regret the purchase one bit!</v>
      </c>
    </row>
    <row r="971" spans="1:9" x14ac:dyDescent="0.3">
      <c r="A971" s="1" t="s">
        <v>17</v>
      </c>
      <c r="B971" s="1" t="s">
        <v>18</v>
      </c>
      <c r="C971" s="1" t="s">
        <v>243</v>
      </c>
      <c r="D971" s="1" t="s">
        <v>589</v>
      </c>
      <c r="E971" s="1" t="s">
        <v>1434</v>
      </c>
      <c r="F971" s="1" t="s">
        <v>2330</v>
      </c>
      <c r="G971" s="1" t="s">
        <v>36</v>
      </c>
      <c r="H971" s="1" t="s">
        <v>29</v>
      </c>
      <c r="I971" s="1" t="str">
        <f ca="1">IFERROR(__xludf.DUMMYFUNCTION("GOOGLETRANSLATE(F971, ""auto"", ""en"")
"),"comfortable, quiet, doesn't bounce, roomy, purchased on 10/17/2016. I'm absolutely delighted!")</f>
        <v>comfortable, quiet, doesn't bounce, roomy, purchased on 10/17/2016. I'm absolutely delighted!</v>
      </c>
    </row>
    <row r="972" spans="1:9" x14ac:dyDescent="0.3">
      <c r="A972" s="1" t="s">
        <v>1823</v>
      </c>
      <c r="B972" s="1" t="s">
        <v>1824</v>
      </c>
      <c r="C972" s="1" t="s">
        <v>69</v>
      </c>
      <c r="D972" s="1" t="s">
        <v>102</v>
      </c>
      <c r="E972" s="1" t="s">
        <v>2331</v>
      </c>
      <c r="F972" s="1" t="s">
        <v>2332</v>
      </c>
      <c r="G972" s="1" t="s">
        <v>36</v>
      </c>
      <c r="H972" s="1" t="s">
        <v>29</v>
      </c>
      <c r="I972" s="1" t="str">
        <f ca="1">IFERROR(__xludf.DUMMYFUNCTION("GOOGLETRANSLATE(F972, ""auto"", ""en"")
"),"Comfortable, high quality")</f>
        <v>Comfortable, high quality</v>
      </c>
    </row>
    <row r="973" spans="1:9" x14ac:dyDescent="0.3">
      <c r="A973" s="1" t="s">
        <v>30</v>
      </c>
      <c r="B973" s="1" t="s">
        <v>50</v>
      </c>
      <c r="C973" s="1" t="s">
        <v>32</v>
      </c>
      <c r="D973" s="1" t="s">
        <v>548</v>
      </c>
      <c r="E973" s="1" t="s">
        <v>2333</v>
      </c>
      <c r="F973" s="1" t="s">
        <v>2334</v>
      </c>
      <c r="G973" s="1" t="s">
        <v>15</v>
      </c>
      <c r="H973" s="1" t="s">
        <v>16</v>
      </c>
      <c r="I973" s="1" t="str">
        <f ca="1">IFERROR(__xludf.DUMMYFUNCTION("GOOGLETRANSLATE(F973, ""auto"", ""en"")
"),"I will continue my thought below (06/19/2010 Laptop Acer AS5740G-333G25Mi) anyone who thinks that games will run on a laptop even for a price over 20,000 rubles is mistaken! For games, I think this model will suit you gamers (http://chelyabinsk.mvideo.ru/"&amp;"products/30011868.html) - this is the ratio: PRICE-GAMES-QUALITY-PERFORMANCE. And for everything but not for GAMES!!!")</f>
        <v>I will continue my thought below (06/19/2010 Laptop Acer AS5740G-333G25Mi) anyone who thinks that games will run on a laptop even for a price over 20,000 rubles is mistaken! For games, I think this model will suit you gamers (http://chelyabinsk.mvideo.ru/products/30011868.html) - this is the ratio: PRICE-GAMES-QUALITY-PERFORMANCE. And for everything but not for GAMES!!!</v>
      </c>
    </row>
    <row r="974" spans="1:9" x14ac:dyDescent="0.3">
      <c r="A974" s="1" t="s">
        <v>37</v>
      </c>
      <c r="B974" s="1" t="s">
        <v>38</v>
      </c>
      <c r="C974" s="1" t="s">
        <v>39</v>
      </c>
      <c r="D974" s="1" t="s">
        <v>172</v>
      </c>
      <c r="E974" s="1" t="s">
        <v>2150</v>
      </c>
      <c r="F974" s="1" t="s">
        <v>2335</v>
      </c>
      <c r="G974" s="1" t="s">
        <v>28</v>
      </c>
      <c r="H974" s="1" t="s">
        <v>29</v>
      </c>
      <c r="I974" s="1" t="str">
        <f ca="1">IFERROR(__xludf.DUMMYFUNCTION("GOOGLETRANSLATE(F974, ""auto"", ""en"")
"),"The phone is excellent, everything you need in a phone is there. Good screen, sound, Java, 3g... only one very significant minus - I stopped reading SIM cards for no reason at all. I need to change it now while it's still under warranty.")</f>
        <v>The phone is excellent, everything you need in a phone is there. Good screen, sound, Java, 3g... only one very significant minus - I stopped reading SIM cards for no reason at all. I need to change it now while it's still under warranty.</v>
      </c>
    </row>
    <row r="975" spans="1:9" x14ac:dyDescent="0.3">
      <c r="A975" s="1" t="s">
        <v>369</v>
      </c>
      <c r="B975" s="1" t="s">
        <v>587</v>
      </c>
      <c r="C975" s="1" t="s">
        <v>588</v>
      </c>
      <c r="D975" s="1" t="s">
        <v>2336</v>
      </c>
      <c r="E975" s="1" t="s">
        <v>886</v>
      </c>
      <c r="F975" s="1" t="s">
        <v>2337</v>
      </c>
      <c r="G975" s="1" t="s">
        <v>28</v>
      </c>
      <c r="H975" s="1" t="s">
        <v>29</v>
      </c>
      <c r="I975" s="1" t="str">
        <f ca="1">IFERROR(__xludf.DUMMYFUNCTION("GOOGLETRANSLATE(F975, ""auto"", ""en"")
"),"A very good stove (I bought it on June 23), I liked cooking on it, but I haven’t cooked in the oven yet, I liked the electric ignition (before that I had a simpler stove), but when it works on high heat, gas comes out loudly (my mother even thought that g"&amp;"as was coming out of the connection between the stove and the pipe). And most importantly, to install the stove, it is better to immediately invite Mosgaz, since paying 990 rubles for installation does not mean that it will be installed (there must be pro"&amp;"tection for the pipe).")</f>
        <v>A very good stove (I bought it on June 23), I liked cooking on it, but I haven’t cooked in the oven yet, I liked the electric ignition (before that I had a simpler stove), but when it works on high heat, gas comes out loudly (my mother even thought that gas was coming out of the connection between the stove and the pipe). And most importantly, to install the stove, it is better to immediately invite Mosgaz, since paying 990 rubles for installation does not mean that it will be installed (there must be protection for the pipe).</v>
      </c>
    </row>
    <row r="976" spans="1:9" x14ac:dyDescent="0.3">
      <c r="A976" s="1" t="s">
        <v>55</v>
      </c>
      <c r="B976" s="1" t="s">
        <v>235</v>
      </c>
      <c r="C976" s="1" t="s">
        <v>185</v>
      </c>
      <c r="D976" s="1" t="s">
        <v>335</v>
      </c>
      <c r="E976" s="1" t="s">
        <v>2338</v>
      </c>
      <c r="F976" s="1" t="s">
        <v>2339</v>
      </c>
      <c r="G976" s="1" t="s">
        <v>36</v>
      </c>
      <c r="H976" s="1" t="s">
        <v>29</v>
      </c>
      <c r="I976" s="1" t="str">
        <f ca="1">IFERROR(__xludf.DUMMYFUNCTION("GOOGLETRANSLATE(F976, ""auto"", ""en"")
"),"A gorgeous fan heats up the rooms without being too noisy!")</f>
        <v>A gorgeous fan heats up the rooms without being too noisy!</v>
      </c>
    </row>
    <row r="977" spans="1:9" x14ac:dyDescent="0.3">
      <c r="A977" s="1" t="s">
        <v>37</v>
      </c>
      <c r="B977" s="1" t="s">
        <v>355</v>
      </c>
      <c r="C977" s="1" t="s">
        <v>356</v>
      </c>
      <c r="D977" s="1" t="s">
        <v>2340</v>
      </c>
      <c r="E977" s="1" t="s">
        <v>2341</v>
      </c>
      <c r="F977" s="1" t="s">
        <v>2342</v>
      </c>
      <c r="G977" s="1" t="s">
        <v>36</v>
      </c>
      <c r="H977" s="1" t="s">
        <v>29</v>
      </c>
      <c r="I977" s="1" t="str">
        <f ca="1">IFERROR(__xludf.DUMMYFUNCTION("GOOGLETRANSLATE(F977, ""auto"", ""en"")
"),"The best phone!!!! I don’t have it yet, well, I sleep and see it! It’s a dream :(((")</f>
        <v>The best phone!!!! I don’t have it yet, well, I sleep and see it! It’s a dream :(((</v>
      </c>
    </row>
    <row r="978" spans="1:9" x14ac:dyDescent="0.3">
      <c r="A978" s="1" t="s">
        <v>17</v>
      </c>
      <c r="B978" s="1" t="s">
        <v>18</v>
      </c>
      <c r="C978" s="1" t="s">
        <v>243</v>
      </c>
      <c r="D978" s="1" t="s">
        <v>2343</v>
      </c>
      <c r="E978" s="1" t="s">
        <v>2344</v>
      </c>
      <c r="F978" s="1" t="s">
        <v>2345</v>
      </c>
      <c r="G978" s="1" t="s">
        <v>49</v>
      </c>
      <c r="H978" s="1" t="s">
        <v>16</v>
      </c>
      <c r="I978" s="1" t="str">
        <f ca="1">IFERROR(__xludf.DUMMYFUNCTION("GOOGLETRANSLATE(F978, ""auto"", ""en"")
"),"jumps, makes a lot of noise")</f>
        <v>jumps, makes a lot of noise</v>
      </c>
    </row>
    <row r="979" spans="1:9" x14ac:dyDescent="0.3">
      <c r="A979" s="1" t="s">
        <v>477</v>
      </c>
      <c r="B979" s="1" t="s">
        <v>478</v>
      </c>
      <c r="C979" s="1" t="s">
        <v>479</v>
      </c>
      <c r="D979" s="1" t="s">
        <v>139</v>
      </c>
      <c r="E979" s="1" t="s">
        <v>2008</v>
      </c>
      <c r="F979" s="1" t="s">
        <v>2346</v>
      </c>
      <c r="G979" s="1" t="s">
        <v>36</v>
      </c>
      <c r="H979" s="1" t="s">
        <v>29</v>
      </c>
      <c r="I979" s="1" t="str">
        <f ca="1">IFERROR(__xludf.DUMMYFUNCTION("GOOGLETRANSLATE(F979, ""auto"", ""en"")
"),"the game is just super")</f>
        <v>the game is just super</v>
      </c>
    </row>
    <row r="980" spans="1:9" x14ac:dyDescent="0.3">
      <c r="A980" s="1" t="s">
        <v>477</v>
      </c>
      <c r="B980" s="1" t="s">
        <v>478</v>
      </c>
      <c r="C980" s="1" t="s">
        <v>479</v>
      </c>
      <c r="D980" s="1" t="s">
        <v>2347</v>
      </c>
      <c r="E980" s="1" t="s">
        <v>2348</v>
      </c>
      <c r="F980" s="1" t="s">
        <v>2349</v>
      </c>
      <c r="G980" s="1" t="s">
        <v>36</v>
      </c>
      <c r="H980" s="1" t="s">
        <v>29</v>
      </c>
      <c r="I980" s="1" t="str">
        <f ca="1">IFERROR(__xludf.DUMMYFUNCTION("GOOGLETRANSLATE(F980, ""auto"", ""en"")
"),"I won’t describe what kind of game this is, you can read on the box that the game is a top seller, it is a cult and subculture.")</f>
        <v>I won’t describe what kind of game this is, you can read on the box that the game is a top seller, it is a cult and subculture.</v>
      </c>
    </row>
    <row r="981" spans="1:9" x14ac:dyDescent="0.3">
      <c r="A981" s="1" t="s">
        <v>17</v>
      </c>
      <c r="B981" s="1" t="s">
        <v>18</v>
      </c>
      <c r="C981" s="1" t="s">
        <v>19</v>
      </c>
      <c r="D981" s="1" t="s">
        <v>114</v>
      </c>
      <c r="E981" s="1" t="s">
        <v>2350</v>
      </c>
      <c r="F981" s="1" t="s">
        <v>2351</v>
      </c>
      <c r="G981" s="1" t="s">
        <v>28</v>
      </c>
      <c r="H981" s="1" t="s">
        <v>29</v>
      </c>
      <c r="I981" s="1" t="str">
        <f ca="1">IFERROR(__xludf.DUMMYFUNCTION("GOOGLETRANSLATE(F981, ""auto"", ""en"")
"),"I bought it 3 months ago. There are no complaints about the quality of washing. Doesn't jump. It washes quietly, sometimes it makes a hum when spinning and draining the water, possibly due to the extended hose (5 meters). The door lock clicks very loudly.")</f>
        <v>I bought it 3 months ago. There are no complaints about the quality of washing. Doesn't jump. It washes quietly, sometimes it makes a hum when spinning and draining the water, possibly due to the extended hose (5 meters). The door lock clicks very loudly.</v>
      </c>
    </row>
    <row r="982" spans="1:9" x14ac:dyDescent="0.3">
      <c r="A982" s="1" t="s">
        <v>61</v>
      </c>
      <c r="B982" s="1" t="s">
        <v>1126</v>
      </c>
      <c r="C982" s="1" t="s">
        <v>57</v>
      </c>
      <c r="D982" s="1" t="s">
        <v>568</v>
      </c>
      <c r="E982" s="1" t="s">
        <v>2352</v>
      </c>
      <c r="F982" s="1" t="s">
        <v>2353</v>
      </c>
      <c r="G982" s="1" t="s">
        <v>36</v>
      </c>
      <c r="H982" s="1" t="s">
        <v>29</v>
      </c>
      <c r="I982" s="1" t="str">
        <f ca="1">IFERROR(__xludf.DUMMYFUNCTION("GOOGLETRANSLATE(F982, ""auto"", ""en"")
"),"They are really accurate down to the gram, I tested them with weights (100, 50, 20, 10 grams). They will come in handy in the kitchen in any way!")</f>
        <v>They are really accurate down to the gram, I tested them with weights (100, 50, 20, 10 grams). They will come in handy in the kitchen in any way!</v>
      </c>
    </row>
    <row r="983" spans="1:9" x14ac:dyDescent="0.3">
      <c r="A983" s="1" t="s">
        <v>9</v>
      </c>
      <c r="B983" s="1" t="s">
        <v>23</v>
      </c>
      <c r="C983" s="1" t="s">
        <v>466</v>
      </c>
      <c r="D983" s="1" t="s">
        <v>75</v>
      </c>
      <c r="E983" s="1" t="s">
        <v>2354</v>
      </c>
      <c r="F983" s="1" t="s">
        <v>2355</v>
      </c>
      <c r="G983" s="1" t="s">
        <v>15</v>
      </c>
      <c r="H983" s="1" t="s">
        <v>16</v>
      </c>
      <c r="I983" s="1" t="str">
        <f ca="1">IFERROR(__xludf.DUMMYFUNCTION("GOOGLETRANSLATE(F983, ""auto"", ""en"")
"),"We’ve been using it for three years, it hasn’t broken, but we’re not very happy with the dishwashing, it doesn’t wash. And very noisy")</f>
        <v>We’ve been using it for three years, it hasn’t broken, but we’re not very happy with the dishwashing, it doesn’t wash. And very noisy</v>
      </c>
    </row>
    <row r="984" spans="1:9" x14ac:dyDescent="0.3">
      <c r="A984" s="1" t="s">
        <v>17</v>
      </c>
      <c r="B984" s="1" t="s">
        <v>18</v>
      </c>
      <c r="C984" s="1" t="s">
        <v>151</v>
      </c>
      <c r="D984" s="1" t="s">
        <v>2356</v>
      </c>
      <c r="E984" s="1" t="s">
        <v>680</v>
      </c>
      <c r="F984" s="1" t="s">
        <v>2357</v>
      </c>
      <c r="G984" s="1" t="s">
        <v>36</v>
      </c>
      <c r="H984" s="1" t="s">
        <v>29</v>
      </c>
      <c r="I984" s="1" t="str">
        <f ca="1">IFERROR(__xludf.DUMMYFUNCTION("GOOGLETRANSLATE(F984, ""auto"", ""en"")
"),"No complaints yet. Everything works as it should. The controls are convenient (previously there was a machine with knobs, the buttons were more convenient) I’m satisfied.")</f>
        <v>No complaints yet. Everything works as it should. The controls are convenient (previously there was a machine with knobs, the buttons were more convenient) I’m satisfied.</v>
      </c>
    </row>
    <row r="985" spans="1:9" x14ac:dyDescent="0.3">
      <c r="A985" s="1" t="s">
        <v>238</v>
      </c>
      <c r="B985" s="1" t="s">
        <v>276</v>
      </c>
      <c r="C985" s="1" t="s">
        <v>243</v>
      </c>
      <c r="D985" s="1" t="s">
        <v>345</v>
      </c>
      <c r="E985" s="1" t="s">
        <v>2358</v>
      </c>
      <c r="F985" s="1" t="s">
        <v>2359</v>
      </c>
      <c r="G985" s="1" t="s">
        <v>49</v>
      </c>
      <c r="H985" s="1" t="s">
        <v>16</v>
      </c>
      <c r="I985" s="1" t="str">
        <f ca="1">IFERROR(__xludf.DUMMYFUNCTION("GOOGLETRANSLATE(F985, ""auto"", ""en"")
"),"The compressor turns on with a very loud click, runs loudly and for a long time for more than an hour.   After turning off the compressor, a strange sound of gurgling or vibration of something is made, it is difficult to understand.  I applied at the begi"&amp;"nning of that week, they said the master would be there on Friday. The repairman did not come, although there is a guarantee of additional service. It is not yet clear what its meaning is.  I'm going to exchange it for a refrigerator of a different brand,"&amp;" if they change it of course. In any case, I'll post it here.")</f>
        <v>The compressor turns on with a very loud click, runs loudly and for a long time for more than an hour.   After turning off the compressor, a strange sound of gurgling or vibration of something is made, it is difficult to understand.  I applied at the beginning of that week, they said the master would be there on Friday. The repairman did not come, although there is a guarantee of additional service. It is not yet clear what its meaning is.  I'm going to exchange it for a refrigerator of a different brand, if they change it of course. In any case, I'll post it here.</v>
      </c>
    </row>
    <row r="986" spans="1:9" x14ac:dyDescent="0.3">
      <c r="A986" s="1" t="s">
        <v>95</v>
      </c>
      <c r="B986" s="1" t="s">
        <v>227</v>
      </c>
      <c r="C986" s="1" t="s">
        <v>97</v>
      </c>
      <c r="D986" s="1" t="s">
        <v>172</v>
      </c>
      <c r="E986" s="1" t="s">
        <v>2360</v>
      </c>
      <c r="F986" s="1" t="s">
        <v>2361</v>
      </c>
      <c r="G986" s="1" t="s">
        <v>36</v>
      </c>
      <c r="H986" s="1" t="s">
        <v>29</v>
      </c>
      <c r="I986" s="1" t="str">
        <f ca="1">IFERROR(__xludf.DUMMYFUNCTION("GOOGLETRANSLATE(F986, ""auto"", ""en"")
"),"PS3 has already been hacked, but it still remains the best console of the new generation. The games are simply rubbish, there are many exclusives among the games for PS3. The Xbox 360 is not even close!")</f>
        <v>PS3 has already been hacked, but it still remains the best console of the new generation. The games are simply rubbish, there are many exclusives among the games for PS3. The Xbox 360 is not even close!</v>
      </c>
    </row>
    <row r="987" spans="1:9" x14ac:dyDescent="0.3">
      <c r="A987" s="1" t="s">
        <v>61</v>
      </c>
      <c r="B987" s="1" t="s">
        <v>180</v>
      </c>
      <c r="C987" s="1" t="s">
        <v>74</v>
      </c>
      <c r="D987" s="1" t="s">
        <v>545</v>
      </c>
      <c r="E987" s="1" t="s">
        <v>2362</v>
      </c>
      <c r="F987" s="1" t="s">
        <v>2363</v>
      </c>
      <c r="G987" s="1" t="s">
        <v>49</v>
      </c>
      <c r="H987" s="1" t="s">
        <v>16</v>
      </c>
      <c r="I987" s="1" t="str">
        <f ca="1">IFERROR(__xludf.DUMMYFUNCTION("GOOGLETRANSLATE(F987, ""auto"", ""en"")
"),"To use it, you must plug it into an outlet (with grounding, terrible). The moisture does not evaporate, so the bread is not very crunchy or fried, and the bread dries out a little. If you do it with filling, it’s inconvenient, the cheese leaks out and get"&amp;"s fried, and the filling doesn’t warm up.")</f>
        <v>To use it, you must plug it into an outlet (with grounding, terrible). The moisture does not evaporate, so the bread is not very crunchy or fried, and the bread dries out a little. If you do it with filling, it’s inconvenient, the cheese leaks out and gets fried, and the filling doesn’t warm up.</v>
      </c>
    </row>
    <row r="988" spans="1:9" x14ac:dyDescent="0.3">
      <c r="A988" s="1" t="s">
        <v>120</v>
      </c>
      <c r="B988" s="1" t="s">
        <v>126</v>
      </c>
      <c r="C988" s="1" t="s">
        <v>151</v>
      </c>
      <c r="D988" s="1" t="s">
        <v>2364</v>
      </c>
      <c r="E988" s="1" t="s">
        <v>2365</v>
      </c>
      <c r="F988" s="1" t="s">
        <v>2366</v>
      </c>
      <c r="G988" s="1" t="s">
        <v>49</v>
      </c>
      <c r="H988" s="1" t="s">
        <v>16</v>
      </c>
      <c r="I988" s="1" t="str">
        <f ca="1">IFERROR(__xludf.DUMMYFUNCTION("GOOGLETRANSLATE(F988, ""auto"", ""en"")
"),"I didn't like the TV.")</f>
        <v>I didn't like the TV.</v>
      </c>
    </row>
    <row r="989" spans="1:9" x14ac:dyDescent="0.3">
      <c r="A989" s="1" t="s">
        <v>17</v>
      </c>
      <c r="B989" s="1" t="s">
        <v>18</v>
      </c>
      <c r="C989" s="1" t="s">
        <v>243</v>
      </c>
      <c r="D989" s="1" t="s">
        <v>172</v>
      </c>
      <c r="E989" s="1" t="s">
        <v>2367</v>
      </c>
      <c r="F989" s="1" t="s">
        <v>2368</v>
      </c>
      <c r="G989" s="1" t="s">
        <v>36</v>
      </c>
      <c r="H989" s="1" t="s">
        <v>29</v>
      </c>
      <c r="I989" s="1" t="str">
        <f ca="1">IFERROR(__xludf.DUMMYFUNCTION("GOOGLETRANSLATE(F989, ""auto"", ""en"")
"),"I bought it on 03/09/2012 and it still works like a watch, excellent value for money!!!")</f>
        <v>I bought it on 03/09/2012 and it still works like a watch, excellent value for money!!!</v>
      </c>
    </row>
    <row r="990" spans="1:9" x14ac:dyDescent="0.3">
      <c r="A990" s="1" t="s">
        <v>169</v>
      </c>
      <c r="B990" s="1" t="s">
        <v>170</v>
      </c>
      <c r="C990" s="1" t="s">
        <v>69</v>
      </c>
      <c r="D990" s="1" t="s">
        <v>2369</v>
      </c>
      <c r="E990" s="1" t="s">
        <v>1084</v>
      </c>
      <c r="F990" s="1" t="s">
        <v>2370</v>
      </c>
      <c r="G990" s="1" t="s">
        <v>36</v>
      </c>
      <c r="H990" s="1" t="s">
        <v>29</v>
      </c>
      <c r="I990" s="1" t="str">
        <f ca="1">IFERROR(__xludf.DUMMYFUNCTION("GOOGLETRANSLATE(F990, ""auto"", ""en"")
"),"Headphones are amazing!!! We worked for 4 years, the wire began to act up, re-wired it and everything was fine again. They continue working.")</f>
        <v>Headphones are amazing!!! We worked for 4 years, the wire began to act up, re-wired it and everything was fine again. They continue working.</v>
      </c>
    </row>
    <row r="991" spans="1:9" x14ac:dyDescent="0.3">
      <c r="A991" s="1" t="s">
        <v>557</v>
      </c>
      <c r="B991" s="1" t="s">
        <v>558</v>
      </c>
      <c r="C991" s="1" t="s">
        <v>122</v>
      </c>
      <c r="D991" s="1" t="s">
        <v>280</v>
      </c>
      <c r="E991" s="1" t="s">
        <v>2371</v>
      </c>
      <c r="F991" s="1" t="s">
        <v>2372</v>
      </c>
      <c r="G991" s="1" t="s">
        <v>15</v>
      </c>
      <c r="H991" s="1" t="s">
        <v>16</v>
      </c>
      <c r="I991" s="1" t="str">
        <f ca="1">IFERROR(__xludf.DUMMYFUNCTION("GOOGLETRANSLATE(F991, ""auto"", ""en"")
"),"Weak batteries, worked for 1 year and died. Poor sound quality. The interlocutor is very hard to hear even at maximum volume. Quiet sounds are either “cut off” or become unintelligible. And all this - with the “pure sound” declared for this model. I didn'"&amp;"t expect this from Panasonic.")</f>
        <v>Weak batteries, worked for 1 year and died. Poor sound quality. The interlocutor is very hard to hear even at maximum volume. Quiet sounds are either “cut off” or become unintelligible. And all this - with the “pure sound” declared for this model. I didn't expect this from Panasonic.</v>
      </c>
    </row>
    <row r="992" spans="1:9" x14ac:dyDescent="0.3">
      <c r="A992" s="1" t="s">
        <v>30</v>
      </c>
      <c r="B992" s="1" t="s">
        <v>50</v>
      </c>
      <c r="C992" s="1" t="s">
        <v>51</v>
      </c>
      <c r="D992" s="1" t="s">
        <v>916</v>
      </c>
      <c r="E992" s="1" t="s">
        <v>2231</v>
      </c>
      <c r="F992" s="1" t="s">
        <v>2373</v>
      </c>
      <c r="G992" s="1" t="s">
        <v>36</v>
      </c>
      <c r="H992" s="1" t="s">
        <v>29</v>
      </c>
      <c r="I992" s="1" t="str">
        <f ca="1">IFERROR(__xludf.DUMMYFUNCTION("GOOGLETRANSLATE(F992, ""auto"", ""en"")
"),"I got a computer for the first time and the choice fell on this model, so far I’m happy with everything, the toys really fly, but I’m just a beginner user and haven’t yet appreciated the real working qualities, but I’m terribly happy with the purchase!!!")</f>
        <v>I got a computer for the first time and the choice fell on this model, so far I’m happy with everything, the toys really fly, but I’m just a beginner user and haven’t yet appreciated the real working qualities, but I’m terribly happy with the purchase!!!</v>
      </c>
    </row>
    <row r="993" spans="1:9" x14ac:dyDescent="0.3">
      <c r="A993" s="1" t="s">
        <v>61</v>
      </c>
      <c r="B993" s="1" t="s">
        <v>180</v>
      </c>
      <c r="C993" s="1" t="s">
        <v>101</v>
      </c>
      <c r="D993" s="1" t="s">
        <v>240</v>
      </c>
      <c r="E993" s="1" t="s">
        <v>2374</v>
      </c>
      <c r="F993" s="1" t="s">
        <v>2375</v>
      </c>
      <c r="G993" s="1" t="s">
        <v>28</v>
      </c>
      <c r="H993" s="1" t="s">
        <v>29</v>
      </c>
      <c r="I993" s="1" t="str">
        <f ca="1">IFERROR(__xludf.DUMMYFUNCTION("GOOGLETRANSLATE(F993, ""auto"", ""en"")
"),"A good thing for the right price. Now we make both sandwiches and just toast, despite the fact that at first it was planned to buy two different devices for these purposes in the kitchen. Here they are in one, and it is much more convenient.")</f>
        <v>A good thing for the right price. Now we make both sandwiches and just toast, despite the fact that at first it was planned to buy two different devices for these purposes in the kitchen. Here they are in one, and it is much more convenient.</v>
      </c>
    </row>
    <row r="994" spans="1:9" x14ac:dyDescent="0.3">
      <c r="A994" s="1" t="s">
        <v>120</v>
      </c>
      <c r="B994" s="1" t="s">
        <v>121</v>
      </c>
      <c r="C994" s="1" t="s">
        <v>97</v>
      </c>
      <c r="D994" s="1" t="s">
        <v>2376</v>
      </c>
      <c r="E994" s="1" t="s">
        <v>2341</v>
      </c>
      <c r="F994" s="1" t="s">
        <v>2377</v>
      </c>
      <c r="G994" s="1" t="s">
        <v>36</v>
      </c>
      <c r="H994" s="1" t="s">
        <v>29</v>
      </c>
      <c r="I994" s="1" t="str">
        <f ca="1">IFERROR(__xludf.DUMMYFUNCTION("GOOGLETRANSLATE(F994, ""auto"", ""en"")
"),"It shows over-the-air channels over the collective antenna perfectly, and the color rendition is generally the most realistic in its class. I took it, I don’t regret it)))")</f>
        <v>It shows over-the-air channels over the collective antenna perfectly, and the color rendition is generally the most realistic in its class. I took it, I don’t regret it)))</v>
      </c>
    </row>
    <row r="995" spans="1:9" x14ac:dyDescent="0.3">
      <c r="A995" s="1" t="s">
        <v>55</v>
      </c>
      <c r="B995" s="1" t="s">
        <v>184</v>
      </c>
      <c r="C995" s="1" t="s">
        <v>101</v>
      </c>
      <c r="D995" s="1" t="s">
        <v>171</v>
      </c>
      <c r="E995" s="1" t="s">
        <v>566</v>
      </c>
      <c r="F995" s="1" t="s">
        <v>2378</v>
      </c>
      <c r="G995" s="1" t="s">
        <v>28</v>
      </c>
      <c r="H995" s="1" t="s">
        <v>29</v>
      </c>
      <c r="I995" s="1" t="str">
        <f ca="1">IFERROR(__xludf.DUMMYFUNCTION("GOOGLETRANSLATE(F995, ""auto"", ""en"")
"),"We purchased it about 2 years ago, no problems arose during this time. Last winter, I even warmed up the engine in about 20 minutes per car. And this spring, for 2 months already, it has been working almost around the clock, because... small child at home"&amp;". The only negative is the noise during operation.")</f>
        <v>We purchased it about 2 years ago, no problems arose during this time. Last winter, I even warmed up the engine in about 20 minutes per car. And this spring, for 2 months already, it has been working almost around the clock, because... small child at home. The only negative is the noise during operation.</v>
      </c>
    </row>
    <row r="996" spans="1:9" x14ac:dyDescent="0.3">
      <c r="A996" s="1" t="s">
        <v>105</v>
      </c>
      <c r="B996" s="1" t="s">
        <v>106</v>
      </c>
      <c r="C996" s="1" t="s">
        <v>1419</v>
      </c>
      <c r="D996" s="1" t="s">
        <v>2379</v>
      </c>
      <c r="E996" s="1" t="s">
        <v>2380</v>
      </c>
      <c r="F996" s="1" t="s">
        <v>2381</v>
      </c>
      <c r="G996" s="1" t="s">
        <v>49</v>
      </c>
      <c r="H996" s="1" t="s">
        <v>16</v>
      </c>
      <c r="I996" s="1" t="str">
        <f ca="1">IFERROR(__xludf.DUMMYFUNCTION("GOOGLETRANSLATE(F996, ""auto"", ""en"")
"),"bought. I tried to turn it on, but it didn't work. I charged for 3 hours, I try to turn it on again - the ""menu"" button comes to life, the screen is silent. Draw your own conclusions")</f>
        <v>bought. I tried to turn it on, but it didn't work. I charged for 3 hours, I try to turn it on again - the "menu" button comes to life, the screen is silent. Draw your own conclusions</v>
      </c>
    </row>
    <row r="997" spans="1:9" x14ac:dyDescent="0.3">
      <c r="A997" s="1" t="s">
        <v>1443</v>
      </c>
      <c r="B997" s="1" t="s">
        <v>1444</v>
      </c>
      <c r="C997" s="1" t="s">
        <v>1489</v>
      </c>
      <c r="D997" s="1" t="s">
        <v>2382</v>
      </c>
      <c r="E997" s="1" t="s">
        <v>2383</v>
      </c>
      <c r="F997" s="1" t="s">
        <v>2384</v>
      </c>
      <c r="G997" s="1" t="s">
        <v>36</v>
      </c>
      <c r="H997" s="1" t="s">
        <v>29</v>
      </c>
      <c r="I997" s="1" t="str">
        <f ca="1">IFERROR(__xludf.DUMMYFUNCTION("GOOGLETRANSLATE(F997, ""auto"", ""en"")
"),"A good flash drive that has proven itself well. Didn't show any errors or crashes. Convenient to carry in your pocket and on your keys; in the car I often listen to music through the FM modulator. The speed suits me")</f>
        <v>A good flash drive that has proven itself well. Didn't show any errors or crashes. Convenient to carry in your pocket and on your keys; in the car I often listen to music through the FM modulator. The speed suits me</v>
      </c>
    </row>
    <row r="998" spans="1:9" x14ac:dyDescent="0.3">
      <c r="A998" s="1" t="s">
        <v>67</v>
      </c>
      <c r="B998" s="1" t="s">
        <v>68</v>
      </c>
      <c r="C998" s="1" t="s">
        <v>69</v>
      </c>
      <c r="D998" s="1" t="s">
        <v>39</v>
      </c>
      <c r="E998" s="1" t="s">
        <v>932</v>
      </c>
      <c r="F998" s="1" t="s">
        <v>2385</v>
      </c>
      <c r="G998" s="1" t="s">
        <v>36</v>
      </c>
      <c r="H998" s="1" t="s">
        <v>29</v>
      </c>
      <c r="I998" s="1" t="str">
        <f ca="1">IFERROR(__xludf.DUMMYFUNCTION("GOOGLETRANSLATE(F998, ""auto"", ""en"")
"),"I bought the iron as a gift, but decided to try it in practice before giving it, so to speak) And to be honest, I was surprised on the best side, it irons very well, there don’t seem to be any downsides, maybe it’s just heavy, but I think that’s even a pl"&amp;"us for the iron) in general, I think I’ll like the gift...")</f>
        <v>I bought the iron as a gift, but decided to try it in practice before giving it, so to speak) And to be honest, I was surprised on the best side, it irons very well, there don’t seem to be any downsides, maybe it’s just heavy, but I think that’s even a plus for the iron) in general, I think I’ll like the gift...</v>
      </c>
    </row>
    <row r="999" spans="1:9" x14ac:dyDescent="0.3">
      <c r="A999" s="1" t="s">
        <v>61</v>
      </c>
      <c r="B999" s="1" t="s">
        <v>318</v>
      </c>
      <c r="C999" s="1" t="s">
        <v>246</v>
      </c>
      <c r="D999" s="1" t="s">
        <v>2386</v>
      </c>
      <c r="E999" s="1" t="s">
        <v>956</v>
      </c>
      <c r="F999" s="1" t="s">
        <v>2387</v>
      </c>
      <c r="G999" s="1" t="s">
        <v>36</v>
      </c>
      <c r="H999" s="1" t="s">
        <v>29</v>
      </c>
      <c r="I999" s="1" t="str">
        <f ca="1">IFERROR(__xludf.DUMMYFUNCTION("GOOGLETRANSLATE(F999, ""auto"", ""en"")
"),"I’ve been using this kettle for 4 years now, everything is super, 5+++")</f>
        <v>I’ve been using this kettle for 4 years now, everything is super, 5+++</v>
      </c>
    </row>
    <row r="1000" spans="1:9" x14ac:dyDescent="0.3">
      <c r="A1000" s="1" t="s">
        <v>149</v>
      </c>
      <c r="B1000" s="1" t="s">
        <v>155</v>
      </c>
      <c r="C1000" s="1" t="s">
        <v>1187</v>
      </c>
      <c r="D1000" s="1" t="s">
        <v>171</v>
      </c>
      <c r="E1000" s="1" t="s">
        <v>2388</v>
      </c>
      <c r="F1000" s="1" t="s">
        <v>2389</v>
      </c>
      <c r="G1000" s="1" t="s">
        <v>28</v>
      </c>
      <c r="H1000" s="1" t="s">
        <v>29</v>
      </c>
      <c r="I1000" s="1" t="str">
        <f ca="1">IFERROR(__xludf.DUMMYFUNCTION("GOOGLETRANSLATE(F1000, ""auto"", ""en"")
"),"The only complaint is that the attachment of the hose to the vacuum cleaner itself is not very convenient - it does not detach and at the same time comes out of the body across the longitudinal axis, like the upper part of the letter b - you pull the hose"&amp;", and the vacuum cleaner goes somewhere to the side. And with the included brush it cleans hard surfaces well, the container can be removed/cleaned without problems, the filters are also easy to remove and wash. Of course it makes noise, but I haven’t enc"&amp;"ountered any noiseless vacuum cleaners. The overall impression is pleasant - a quality item.")</f>
        <v>The only complaint is that the attachment of the hose to the vacuum cleaner itself is not very convenient - it does not detach and at the same time comes out of the body across the longitudinal axis, like the upper part of the letter b - you pull the hose, and the vacuum cleaner goes somewhere to the side. And with the included brush it cleans hard surfaces well, the container can be removed/cleaned without problems, the filters are also easy to remove and wash. Of course it makes noise, but I haven’t encountered any noiseless vacuum cleaners. The overall impression is pleasant - a quality item.</v>
      </c>
    </row>
    <row r="1001" spans="1:9" x14ac:dyDescent="0.3">
      <c r="A1001" s="1" t="s">
        <v>120</v>
      </c>
      <c r="B1001" s="1" t="s">
        <v>126</v>
      </c>
      <c r="C1001" s="1" t="s">
        <v>151</v>
      </c>
      <c r="D1001" s="1" t="s">
        <v>327</v>
      </c>
      <c r="E1001" s="1" t="s">
        <v>661</v>
      </c>
      <c r="F1001" s="1" t="s">
        <v>2390</v>
      </c>
      <c r="G1001" s="1" t="s">
        <v>36</v>
      </c>
      <c r="H1001" s="1" t="s">
        <v>29</v>
      </c>
      <c r="I1001" s="1" t="str">
        <f ca="1">IFERROR(__xludf.DUMMYFUNCTION("GOOGLETRANSLATE(F1001, ""auto"", ""en"")
"),"I bought the TV and have no complaints, it works great! I updated the firmware to the latest version from the manufacturer's website, I didn't seem to notice any changes, but it didn't get any worse... As for unauthorized activation... there is a feature "&amp;"that tries to update the firmware... disabling automatic updates is corrected.  Justifies its price 100%")</f>
        <v>I bought the TV and have no complaints, it works great! I updated the firmware to the latest version from the manufacturer's website, I didn't seem to notice any changes, but it didn't get any worse... As for unauthorized activation... there is a feature that tries to update the firmware... disabling automatic updates is corrected.  Justifies its price 100%</v>
      </c>
    </row>
    <row r="1002" spans="1:9" x14ac:dyDescent="0.3">
      <c r="A1002" s="1" t="s">
        <v>369</v>
      </c>
      <c r="B1002" s="1" t="s">
        <v>370</v>
      </c>
      <c r="C1002" s="1" t="s">
        <v>290</v>
      </c>
      <c r="D1002" s="1" t="s">
        <v>1174</v>
      </c>
      <c r="E1002" s="1" t="s">
        <v>2186</v>
      </c>
      <c r="F1002" s="1" t="s">
        <v>2391</v>
      </c>
      <c r="G1002" s="1" t="s">
        <v>36</v>
      </c>
      <c r="H1002" s="1" t="s">
        <v>29</v>
      </c>
      <c r="I1002" s="1" t="str">
        <f ca="1">IFERROR(__xludf.DUMMYFUNCTION("GOOGLETRANSLATE(F1002, ""auto"", ""en"")
"),"Hello! I purchased the stove in March, all my family liked the design, which they immediately noted, the stove heats up quickly, there are no complaints, there are two zones, one would like to have a larger diameter, but it’s not scary, the stove cooks wi"&amp;"th a bang, there are many modes, from grill with convection to classic, it hasn’t let me down yet.   The only thing I can complain about is that it gets dirty a lot and the sensor doesn’t always react, but I practically don’t use it, it cooks very well co"&amp;"mpared to the previous Bosch stove.")</f>
        <v>Hello! I purchased the stove in March, all my family liked the design, which they immediately noted, the stove heats up quickly, there are no complaints, there are two zones, one would like to have a larger diameter, but it’s not scary, the stove cooks with a bang, there are many modes, from grill with convection to classic, it hasn’t let me down yet.   The only thing I can complain about is that it gets dirty a lot and the sensor doesn’t always react, but I practically don’t use it, it cooks very well compared to the previous Bosch stove.</v>
      </c>
    </row>
    <row r="1003" spans="1:9" x14ac:dyDescent="0.3">
      <c r="A1003" s="1" t="s">
        <v>624</v>
      </c>
      <c r="B1003" s="1" t="s">
        <v>625</v>
      </c>
      <c r="C1003" s="1" t="s">
        <v>479</v>
      </c>
      <c r="D1003" s="1" t="s">
        <v>127</v>
      </c>
      <c r="E1003" s="1" t="s">
        <v>201</v>
      </c>
      <c r="F1003" s="1" t="s">
        <v>2392</v>
      </c>
      <c r="G1003" s="1" t="s">
        <v>36</v>
      </c>
      <c r="H1003" s="1" t="s">
        <v>29</v>
      </c>
      <c r="I1003" s="1" t="str">
        <f ca="1">IFERROR(__xludf.DUMMYFUNCTION("GOOGLETRANSLATE(F1003, ""auto"", ""en"")
"),"Super!!!!! I bought it immediately on June 20, as soon as it was delivered, the same story as with GTA 4, maybe they will port it to PC, in the best case, by the new year, such hits are worth buying right away if they are not on PC, especially from Rockst"&amp;"ar, and not wait 8-10 months and there are no guarantees that it will even be released on PC.")</f>
        <v>Super!!!!! I bought it immediately on June 20, as soon as it was delivered, the same story as with GTA 4, maybe they will port it to PC, in the best case, by the new year, such hits are worth buying right away if they are not on PC, especially from Rockstar, and not wait 8-10 months and there are no guarantees that it will even be released on PC.</v>
      </c>
    </row>
    <row r="1004" spans="1:9" x14ac:dyDescent="0.3">
      <c r="A1004" s="1" t="s">
        <v>149</v>
      </c>
      <c r="B1004" s="1" t="s">
        <v>423</v>
      </c>
      <c r="C1004" s="1" t="s">
        <v>314</v>
      </c>
      <c r="D1004" s="1" t="s">
        <v>474</v>
      </c>
      <c r="E1004" s="1" t="s">
        <v>2393</v>
      </c>
      <c r="F1004" s="1" t="s">
        <v>2394</v>
      </c>
      <c r="G1004" s="1" t="s">
        <v>36</v>
      </c>
      <c r="H1004" s="1" t="s">
        <v>29</v>
      </c>
      <c r="I1004" s="1" t="str">
        <f ca="1">IFERROR(__xludf.DUMMYFUNCTION("GOOGLETRANSLATE(F1004, ""auto"", ""en"")
"),"Great price, functionality")</f>
        <v>Great price, functionality</v>
      </c>
    </row>
    <row r="1005" spans="1:9" x14ac:dyDescent="0.3">
      <c r="A1005" s="1" t="s">
        <v>55</v>
      </c>
      <c r="B1005" s="1" t="s">
        <v>184</v>
      </c>
      <c r="C1005" s="1" t="s">
        <v>45</v>
      </c>
      <c r="D1005" s="1" t="s">
        <v>589</v>
      </c>
      <c r="E1005" s="1" t="s">
        <v>1155</v>
      </c>
      <c r="F1005" s="1" t="s">
        <v>2395</v>
      </c>
      <c r="G1005" s="1" t="s">
        <v>36</v>
      </c>
      <c r="H1005" s="1" t="s">
        <v>29</v>
      </c>
      <c r="I1005" s="1" t="str">
        <f ca="1">IFERROR(__xludf.DUMMYFUNCTION("GOOGLETRANSLATE(F1005, ""auto"", ""en"")
"),"We have a rented apartment and our choice was not expensive. We really, really liked it, it warms up the room in no time, and we take it into the bath to warm up the child, the smell was there at the beginning, then it went away. I recommend it to everyon"&amp;"e.")</f>
        <v>We have a rented apartment and our choice was not expensive. We really, really liked it, it warms up the room in no time, and we take it into the bath to warm up the child, the smell was there at the beginning, then it went away. I recommend it to everyone.</v>
      </c>
    </row>
    <row r="1006" spans="1:9" x14ac:dyDescent="0.3">
      <c r="A1006" s="1" t="s">
        <v>9</v>
      </c>
      <c r="B1006" s="1" t="s">
        <v>137</v>
      </c>
      <c r="C1006" s="1" t="s">
        <v>151</v>
      </c>
      <c r="D1006" s="1" t="s">
        <v>152</v>
      </c>
      <c r="E1006" s="1" t="s">
        <v>2396</v>
      </c>
      <c r="F1006" s="1" t="s">
        <v>2397</v>
      </c>
      <c r="G1006" s="1" t="s">
        <v>36</v>
      </c>
      <c r="H1006" s="1" t="s">
        <v>29</v>
      </c>
      <c r="I1006" s="1" t="str">
        <f ca="1">IFERROR(__xludf.DUMMYFUNCTION("GOOGLETRANSLATE(F1006, ""auto"", ""en"")
"),"Manufacturability, four independent timers, expansion of the heating zone")</f>
        <v>Manufacturability, four independent timers, expansion of the heating zone</v>
      </c>
    </row>
    <row r="1007" spans="1:9" x14ac:dyDescent="0.3">
      <c r="A1007" s="1" t="s">
        <v>67</v>
      </c>
      <c r="B1007" s="1" t="s">
        <v>68</v>
      </c>
      <c r="C1007" s="1" t="s">
        <v>246</v>
      </c>
      <c r="D1007" s="1" t="s">
        <v>295</v>
      </c>
      <c r="E1007" s="1" t="s">
        <v>2398</v>
      </c>
      <c r="F1007" s="1" t="s">
        <v>2399</v>
      </c>
      <c r="G1007" s="1" t="s">
        <v>36</v>
      </c>
      <c r="H1007" s="1" t="s">
        <v>29</v>
      </c>
      <c r="I1007" s="1" t="str">
        <f ca="1">IFERROR(__xludf.DUMMYFUNCTION("GOOGLETRANSLATE(F1007, ""auto"", ""en"")
"),"My husband gave it to me for New Year. I'm very pleased, even though I've only used it for 4 months.  I highly recommend having such a thing if you have small children, ironing goes very quickly for me. Just fold the diaper 4 times and go through it a cou"&amp;"ple of times and you're done. And ironing bedding is such a pleasure.")</f>
        <v>My husband gave it to me for New Year. I'm very pleased, even though I've only used it for 4 months.  I highly recommend having such a thing if you have small children, ironing goes very quickly for me. Just fold the diaper 4 times and go through it a couple of times and you're done. And ironing bedding is such a pleasure.</v>
      </c>
    </row>
    <row r="1008" spans="1:9" x14ac:dyDescent="0.3">
      <c r="A1008" s="1" t="s">
        <v>557</v>
      </c>
      <c r="B1008" s="1" t="s">
        <v>558</v>
      </c>
      <c r="C1008" s="1" t="s">
        <v>122</v>
      </c>
      <c r="D1008" s="1" t="s">
        <v>2400</v>
      </c>
      <c r="E1008" s="1" t="s">
        <v>2401</v>
      </c>
      <c r="F1008" s="1" t="s">
        <v>2402</v>
      </c>
      <c r="G1008" s="1" t="s">
        <v>36</v>
      </c>
      <c r="H1008" s="1" t="s">
        <v>29</v>
      </c>
      <c r="I1008" s="1" t="str">
        <f ca="1">IFERROR(__xludf.DUMMYFUNCTION("GOOGLETRANSLATE(F1008, ""auto"", ""en"")
"),"The phone is great! Price-quality... Caller ID works)!")</f>
        <v>The phone is great! Price-quality... Caller ID works)!</v>
      </c>
    </row>
    <row r="1009" spans="1:9" x14ac:dyDescent="0.3">
      <c r="A1009" s="1" t="s">
        <v>43</v>
      </c>
      <c r="B1009" s="1" t="s">
        <v>219</v>
      </c>
      <c r="C1009" s="1" t="s">
        <v>220</v>
      </c>
      <c r="D1009" s="1" t="s">
        <v>232</v>
      </c>
      <c r="E1009" s="1" t="s">
        <v>1533</v>
      </c>
      <c r="F1009" s="1" t="s">
        <v>2403</v>
      </c>
      <c r="G1009" s="1" t="s">
        <v>36</v>
      </c>
      <c r="H1009" s="1" t="s">
        <v>29</v>
      </c>
      <c r="I1009" s="1" t="str">
        <f ca="1">IFERROR(__xludf.DUMMYFUNCTION("GOOGLETRANSLATE(F1009, ""auto"", ""en"")
"),"fast heating compact size")</f>
        <v>fast heating compact size</v>
      </c>
    </row>
    <row r="1010" spans="1:9" x14ac:dyDescent="0.3">
      <c r="A1010" s="1" t="s">
        <v>120</v>
      </c>
      <c r="B1010" s="1" t="s">
        <v>121</v>
      </c>
      <c r="C1010" s="1" t="s">
        <v>80</v>
      </c>
      <c r="D1010" s="1" t="s">
        <v>2217</v>
      </c>
      <c r="E1010" s="1" t="s">
        <v>1732</v>
      </c>
      <c r="F1010" s="1" t="s">
        <v>2404</v>
      </c>
      <c r="G1010" s="1" t="s">
        <v>36</v>
      </c>
      <c r="H1010" s="1" t="s">
        <v>29</v>
      </c>
      <c r="I1010" s="1" t="str">
        <f ca="1">IFERROR(__xludf.DUMMYFUNCTION("GOOGLETRANSLATE(F1010, ""auto"", ""en"")
"),"I bought this TV six months ago and have no regrets. I unlocked the USB, connected digital channels, everything works without any glitches. I bought it based on reviews on this site :)")</f>
        <v>I bought this TV six months ago and have no regrets. I unlocked the USB, connected digital channels, everything works without any glitches. I bought it based on reviews on this site :)</v>
      </c>
    </row>
    <row r="1011" spans="1:9" x14ac:dyDescent="0.3">
      <c r="A1011" s="1" t="s">
        <v>61</v>
      </c>
      <c r="B1011" s="1" t="s">
        <v>318</v>
      </c>
      <c r="C1011" s="1" t="s">
        <v>246</v>
      </c>
      <c r="D1011" s="1" t="s">
        <v>208</v>
      </c>
      <c r="E1011" s="1" t="s">
        <v>2405</v>
      </c>
      <c r="F1011" s="1" t="s">
        <v>2406</v>
      </c>
      <c r="G1011" s="1" t="s">
        <v>28</v>
      </c>
      <c r="H1011" s="1" t="s">
        <v>29</v>
      </c>
      <c r="I1011" s="1" t="str">
        <f ca="1">IFERROR(__xludf.DUMMYFUNCTION("GOOGLETRANSLATE(F1011, ""auto"", ""en"")
"),"I worked for 6 years without any major complaints. Now it’s leaking... The water level windows have become cloudy in places. Microcracks have appeared. You run your finger over these windows and you can see how the water oozes out. Within an hour, a decen"&amp;"t puddle forms.")</f>
        <v>I worked for 6 years without any major complaints. Now it’s leaking... The water level windows have become cloudy in places. Microcracks have appeared. You run your finger over these windows and you can see how the water oozes out. Within an hour, a decent puddle forms.</v>
      </c>
    </row>
    <row r="1012" spans="1:9" x14ac:dyDescent="0.3">
      <c r="A1012" s="1" t="s">
        <v>17</v>
      </c>
      <c r="B1012" s="1" t="s">
        <v>18</v>
      </c>
      <c r="C1012" s="1" t="s">
        <v>243</v>
      </c>
      <c r="D1012" s="1" t="s">
        <v>75</v>
      </c>
      <c r="E1012" s="1" t="s">
        <v>2407</v>
      </c>
      <c r="F1012" s="1" t="s">
        <v>2408</v>
      </c>
      <c r="G1012" s="1" t="s">
        <v>36</v>
      </c>
      <c r="H1012" s="1" t="s">
        <v>29</v>
      </c>
      <c r="I1012" s="1" t="str">
        <f ca="1">IFERROR(__xludf.DUMMYFUNCTION("GOOGLETRANSLATE(F1012, ""auto"", ""en"")
"),"I bought this machine in 2008, it still washes perfectly, it’s perfect for a small family!!!")</f>
        <v>I bought this machine in 2008, it still washes perfectly, it’s perfect for a small family!!!</v>
      </c>
    </row>
    <row r="1013" spans="1:9" x14ac:dyDescent="0.3">
      <c r="A1013" s="1" t="s">
        <v>624</v>
      </c>
      <c r="B1013" s="1" t="s">
        <v>625</v>
      </c>
      <c r="C1013" s="1" t="s">
        <v>479</v>
      </c>
      <c r="D1013" s="1" t="s">
        <v>232</v>
      </c>
      <c r="E1013" s="1" t="s">
        <v>1387</v>
      </c>
      <c r="F1013" s="1" t="s">
        <v>2409</v>
      </c>
      <c r="G1013" s="1" t="s">
        <v>36</v>
      </c>
      <c r="H1013" s="1" t="s">
        <v>29</v>
      </c>
      <c r="I1013" s="1" t="str">
        <f ca="1">IFERROR(__xludf.DUMMYFUNCTION("GOOGLETRANSLATE(F1013, ""auto"", ""en"")
"),"Great game, interesting plot, memorable characters. I highly recommend it to all fans of Japanese role-playing games, but for those who have not had time to join this genre, I advise you to take a closer look at this game. This is a real blockbuster that "&amp;"will leave behind a lot of positive emotions.")</f>
        <v>Great game, interesting plot, memorable characters. I highly recommend it to all fans of Japanese role-playing games, but for those who have not had time to join this genre, I advise you to take a closer look at this game. This is a real blockbuster that will leave behind a lot of positive emotions.</v>
      </c>
    </row>
    <row r="1014" spans="1:9" x14ac:dyDescent="0.3">
      <c r="A1014" s="1" t="s">
        <v>30</v>
      </c>
      <c r="B1014" s="1" t="s">
        <v>50</v>
      </c>
      <c r="C1014" s="1" t="s">
        <v>32</v>
      </c>
      <c r="D1014" s="1" t="s">
        <v>200</v>
      </c>
      <c r="E1014" s="1" t="s">
        <v>2410</v>
      </c>
      <c r="F1014" s="1" t="s">
        <v>2411</v>
      </c>
      <c r="G1014" s="1" t="s">
        <v>36</v>
      </c>
      <c r="H1014" s="1" t="s">
        <v>29</v>
      </c>
      <c r="I1014" s="1" t="str">
        <f ca="1">IFERROR(__xludf.DUMMYFUNCTION("GOOGLETRANSLATE(F1014, ""auto"", ""en"")
"),"I've been using it for a month and everything is fine, but I can't get the disks with factory settings to work.")</f>
        <v>I've been using it for a month and everything is fine, but I can't get the disks with factory settings to work.</v>
      </c>
    </row>
    <row r="1015" spans="1:9" x14ac:dyDescent="0.3">
      <c r="A1015" s="1" t="s">
        <v>211</v>
      </c>
      <c r="B1015" s="1" t="s">
        <v>265</v>
      </c>
      <c r="C1015" s="1" t="s">
        <v>1591</v>
      </c>
      <c r="D1015" s="1" t="s">
        <v>2412</v>
      </c>
      <c r="E1015" s="1" t="s">
        <v>309</v>
      </c>
      <c r="F1015" s="1" t="s">
        <v>2413</v>
      </c>
      <c r="G1015" s="1" t="s">
        <v>36</v>
      </c>
      <c r="H1015" s="1" t="s">
        <v>29</v>
      </c>
      <c r="I1015" s="1" t="str">
        <f ca="1">IFERROR(__xludf.DUMMYFUNCTION("GOOGLETRANSLATE(F1015, ""auto"", ""en"")
"),"I bought it here to help for home use, because... I have four men at home (brother, husband, son, father!) I’ve already cut everyone’s hair one by one, everyone was happy, they say it’s cooler than at the hairdresser. The machine is very easy to use, with"&amp;"out a cord and has self-sharpening blades. Men are already reaching agreements with each other and cutting each other’s hair :D")</f>
        <v>I bought it here to help for home use, because... I have four men at home (brother, husband, son, father!) I’ve already cut everyone’s hair one by one, everyone was happy, they say it’s cooler than at the hairdresser. The machine is very easy to use, without a cord and has self-sharpening blades. Men are already reaching agreements with each other and cutting each other’s hair :D</v>
      </c>
    </row>
    <row r="1016" spans="1:9" x14ac:dyDescent="0.3">
      <c r="A1016" s="1" t="s">
        <v>9</v>
      </c>
      <c r="B1016" s="1" t="s">
        <v>137</v>
      </c>
      <c r="C1016" s="1" t="s">
        <v>63</v>
      </c>
      <c r="D1016" s="1" t="s">
        <v>682</v>
      </c>
      <c r="E1016" s="1" t="s">
        <v>2414</v>
      </c>
      <c r="F1016" s="1" t="s">
        <v>2415</v>
      </c>
      <c r="G1016" s="1" t="s">
        <v>36</v>
      </c>
      <c r="H1016" s="1" t="s">
        <v>29</v>
      </c>
      <c r="I1016" s="1" t="str">
        <f ca="1">IFERROR(__xludf.DUMMYFUNCTION("GOOGLETRANSLATE(F1016, ""auto"", ""en"")
"),"Well, just a wonderful panel! This is our first time buying an induction stove and I never cease to be amazed at how convenient it is, even compared to the same gas stove. All dishes are prepared twice as fast, or even three! Simple controls and as many a"&amp;"s 17 power levels are simply magical! The water boils before you can blink your eye. By the way, if it spills on the panel, or the soup boils away, the panel will turn off itself! There is also a timer for each burner, so cooking is no longer a problem - "&amp;"eggs, pasta - I cook everything on the timer, you don’t have to worry about something burning or overcooking! It's very easy to clean, I just wipe it with a damp cloth and it's done. Everyone at home has already figured out the management and prepares the"&amp;"ir own breakfast. Thank you for such high quality!")</f>
        <v>Well, just a wonderful panel! This is our first time buying an induction stove and I never cease to be amazed at how convenient it is, even compared to the same gas stove. All dishes are prepared twice as fast, or even three! Simple controls and as many as 17 power levels are simply magical! The water boils before you can blink your eye. By the way, if it spills on the panel, or the soup boils away, the panel will turn off itself! There is also a timer for each burner, so cooking is no longer a problem - eggs, pasta - I cook everything on the timer, you don’t have to worry about something burning or overcooking! It's very easy to clean, I just wipe it with a damp cloth and it's done. Everyone at home has already figured out the management and prepares their own breakfast. Thank you for such high quality!</v>
      </c>
    </row>
    <row r="1017" spans="1:9" x14ac:dyDescent="0.3">
      <c r="A1017" s="1" t="s">
        <v>211</v>
      </c>
      <c r="B1017" s="1" t="s">
        <v>212</v>
      </c>
      <c r="C1017" s="1" t="s">
        <v>101</v>
      </c>
      <c r="D1017" s="1" t="s">
        <v>64</v>
      </c>
      <c r="E1017" s="1" t="s">
        <v>1589</v>
      </c>
      <c r="F1017" s="1" t="s">
        <v>2416</v>
      </c>
      <c r="G1017" s="1" t="s">
        <v>28</v>
      </c>
      <c r="H1017" s="1" t="s">
        <v>29</v>
      </c>
      <c r="I1017" s="1" t="str">
        <f ca="1">IFERROR(__xludf.DUMMYFUNCTION("GOOGLETRANSLATE(F1017, ""auto"", ""en"")
"),"Good straightener.  It pulls my hair a little (maybe I’m not used to it yet, I bought it yesterday) and the button is really poorly located, you can accidentally switch the heating temperature!")</f>
        <v>Good straightener.  It pulls my hair a little (maybe I’m not used to it yet, I bought it yesterday) and the button is really poorly located, you can accidentally switch the heating temperature!</v>
      </c>
    </row>
    <row r="1018" spans="1:9" x14ac:dyDescent="0.3">
      <c r="A1018" s="1" t="s">
        <v>61</v>
      </c>
      <c r="B1018" s="1" t="s">
        <v>318</v>
      </c>
      <c r="C1018" s="1" t="s">
        <v>57</v>
      </c>
      <c r="D1018" s="1" t="s">
        <v>327</v>
      </c>
      <c r="E1018" s="1" t="s">
        <v>2417</v>
      </c>
      <c r="F1018" s="1" t="s">
        <v>2418</v>
      </c>
      <c r="G1018" s="1" t="s">
        <v>36</v>
      </c>
      <c r="H1018" s="1" t="s">
        <v>29</v>
      </c>
      <c r="I1018" s="1" t="str">
        <f ca="1">IFERROR(__xludf.DUMMYFUNCTION("GOOGLETRANSLATE(F1018, ""auto"", ""en"")
"),"volume, ease of control, price")</f>
        <v>volume, ease of control, price</v>
      </c>
    </row>
    <row r="1019" spans="1:9" x14ac:dyDescent="0.3">
      <c r="A1019" s="1" t="s">
        <v>211</v>
      </c>
      <c r="B1019" s="1" t="s">
        <v>856</v>
      </c>
      <c r="C1019" s="1" t="s">
        <v>57</v>
      </c>
      <c r="D1019" s="1" t="s">
        <v>2217</v>
      </c>
      <c r="E1019" s="1" t="s">
        <v>585</v>
      </c>
      <c r="F1019" s="1" t="s">
        <v>2419</v>
      </c>
      <c r="G1019" s="1" t="s">
        <v>28</v>
      </c>
      <c r="H1019" s="1" t="s">
        <v>29</v>
      </c>
      <c r="I1019" s="1" t="str">
        <f ca="1">IFERROR(__xludf.DUMMYFUNCTION("GOOGLETRANSLATE(F1019, ""auto"", ""en"")
"),"We bought this unit.  The massage rollers at the top have 2 rotation speeds. If you place your foot on them, the rotational force is no longer enough, so you can only massage part of the foot.  I wish there were more rollers at the bottom of the bath so y"&amp;"ou could massage your feet on them.  Overall impressions so far have been pleasant.")</f>
        <v>We bought this unit.  The massage rollers at the top have 2 rotation speeds. If you place your foot on them, the rotational force is no longer enough, so you can only massage part of the foot.  I wish there were more rollers at the bottom of the bath so you could massage your feet on them.  Overall impressions so far have been pleasant.</v>
      </c>
    </row>
    <row r="1020" spans="1:9" x14ac:dyDescent="0.3">
      <c r="A1020" s="1" t="s">
        <v>477</v>
      </c>
      <c r="B1020" s="1" t="s">
        <v>478</v>
      </c>
      <c r="C1020" s="1" t="s">
        <v>479</v>
      </c>
      <c r="D1020" s="1" t="s">
        <v>1036</v>
      </c>
      <c r="E1020" s="1" t="s">
        <v>2231</v>
      </c>
      <c r="F1020" s="1" t="s">
        <v>2420</v>
      </c>
      <c r="G1020" s="1" t="s">
        <v>36</v>
      </c>
      <c r="H1020" s="1" t="s">
        <v>29</v>
      </c>
      <c r="I1020" s="1" t="str">
        <f ca="1">IFERROR(__xludf.DUMMYFUNCTION("GOOGLETRANSLATE(F1020, ""auto"", ""en"")
"),"A good disc with a good game! If you decide to buy, then do not spare the money, because on all servers in the game online you can only play with a license!")</f>
        <v>A good disc with a good game! If you decide to buy, then do not spare the money, because on all servers in the game online you can only play with a license!</v>
      </c>
    </row>
    <row r="1021" spans="1:9" x14ac:dyDescent="0.3">
      <c r="A1021" s="1" t="s">
        <v>61</v>
      </c>
      <c r="B1021" s="1" t="s">
        <v>318</v>
      </c>
      <c r="C1021" s="1" t="s">
        <v>74</v>
      </c>
      <c r="D1021" s="1" t="s">
        <v>2421</v>
      </c>
      <c r="E1021" s="1" t="s">
        <v>1387</v>
      </c>
      <c r="F1021" s="1" t="s">
        <v>2422</v>
      </c>
      <c r="G1021" s="1" t="s">
        <v>49</v>
      </c>
      <c r="H1021" s="1" t="s">
        <v>16</v>
      </c>
      <c r="I1021" s="1" t="str">
        <f ca="1">IFERROR(__xludf.DUMMYFUNCTION("GOOGLETRANSLATE(F1021, ""auto"", ""en"")
"),"bought on March 29.. yesterday evening - April 15, the power button broke..")</f>
        <v>bought on March 29.. yesterday evening - April 15, the power button broke..</v>
      </c>
    </row>
    <row r="1022" spans="1:9" x14ac:dyDescent="0.3">
      <c r="A1022" s="1" t="s">
        <v>61</v>
      </c>
      <c r="B1022" s="1" t="s">
        <v>726</v>
      </c>
      <c r="C1022" s="1" t="s">
        <v>85</v>
      </c>
      <c r="D1022" s="1" t="s">
        <v>308</v>
      </c>
      <c r="E1022" s="1" t="s">
        <v>2423</v>
      </c>
      <c r="F1022" s="1" t="s">
        <v>2424</v>
      </c>
      <c r="G1022" s="1" t="s">
        <v>36</v>
      </c>
      <c r="H1022" s="1" t="s">
        <v>29</v>
      </c>
      <c r="I1022" s="1" t="str">
        <f ca="1">IFERROR(__xludf.DUMMYFUNCTION("GOOGLETRANSLATE(F1022, ""auto"", ""en"")
"),"This is my first bread maker, I have nothing to compare it to, but I didn’t succeed the first time. Then I found out why, I had the window open for adding ingredients, so the bread did not rise, it was raw and heavy. Now I’ve learned and everything is gre"&amp;"at. The bread is very tasty, but I just can’t make the crust crispy, but I think with experience, I need to get used to it.")</f>
        <v>This is my first bread maker, I have nothing to compare it to, but I didn’t succeed the first time. Then I found out why, I had the window open for adding ingredients, so the bread did not rise, it was raw and heavy. Now I’ve learned and everything is great. The bread is very tasty, but I just can’t make the crust crispy, but I think with experience, I need to get used to it.</v>
      </c>
    </row>
    <row r="1023" spans="1:9" x14ac:dyDescent="0.3">
      <c r="A1023" s="1" t="s">
        <v>206</v>
      </c>
      <c r="B1023" s="1" t="s">
        <v>2026</v>
      </c>
      <c r="C1023" s="1" t="s">
        <v>2425</v>
      </c>
      <c r="D1023" s="1" t="s">
        <v>2426</v>
      </c>
      <c r="E1023" s="1" t="s">
        <v>1315</v>
      </c>
      <c r="F1023" s="1" t="s">
        <v>2427</v>
      </c>
      <c r="G1023" s="1" t="s">
        <v>49</v>
      </c>
      <c r="H1023" s="1" t="s">
        <v>16</v>
      </c>
      <c r="I1023" s="1" t="str">
        <f ca="1">IFERROR(__xludf.DUMMYFUNCTION("GOOGLETRANSLATE(F1023, ""auto"", ""en"")
"),"The car radio is not very good.  I bought it a year ago. The disc takes a very long time to load, the display does not write the names of the songs, you cannot switch from a folder to another folder without a TV.")</f>
        <v>The car radio is not very good.  I bought it a year ago. The disc takes a very long time to load, the display does not write the names of the songs, you cannot switch from a folder to another folder without a TV.</v>
      </c>
    </row>
    <row r="1024" spans="1:9" x14ac:dyDescent="0.3">
      <c r="A1024" s="1" t="s">
        <v>37</v>
      </c>
      <c r="B1024" s="1" t="s">
        <v>38</v>
      </c>
      <c r="C1024" s="1" t="s">
        <v>163</v>
      </c>
      <c r="D1024" s="1" t="s">
        <v>2428</v>
      </c>
      <c r="E1024" s="1" t="s">
        <v>1517</v>
      </c>
      <c r="F1024" s="1" t="s">
        <v>2429</v>
      </c>
      <c r="G1024" s="1" t="s">
        <v>36</v>
      </c>
      <c r="H1024" s="1" t="s">
        <v>29</v>
      </c>
      <c r="I1024" s="1" t="str">
        <f ca="1">IFERROR(__xludf.DUMMYFUNCTION("GOOGLETRANSLATE(F1024, ""auto"", ""en"")
"),"Yes, the phone is good, convenient as a player, I have one myself, for the 2nd year already. The case is very durable (I dropped it many times). I don’t charge it for 3 days (full charge), and then after 4-5 it starts to discharge.   Now I start switching"&amp;" off often on the street. I go out for 5 minutes, and then I have to warm it up, when it turns on it says that the battery is low. It happens that you’re heating it up outside, then you come home and it’s all on fire. Sometimes we had to cool it down in t"&amp;"he snow. But this is all in winter.  True, very loud speakers. When I turn on music, other phones, like quiet mice, quietly sing along. And about the vibration - in vain. On the contrary, strong. In general, about the sound and other matters related to mu"&amp;"sic - everything is just fine.   Large flash card. But I didn’t get it. Up to 4 MG. I don’t know why I felt the urge to choose blue, but when we returned, they had already bought red. What else can I say. Everything is fine. Oh yes, it used to cost 10,000"&amp;", now it has dropped to 6800. Yes, it is no longer in fashion, but still such a cool phone cannot cost so little.")</f>
        <v>Yes, the phone is good, convenient as a player, I have one myself, for the 2nd year already. The case is very durable (I dropped it many times). I don’t charge it for 3 days (full charge), and then after 4-5 it starts to discharge.   Now I start switching off often on the street. I go out for 5 minutes, and then I have to warm it up, when it turns on it says that the battery is low. It happens that you’re heating it up outside, then you come home and it’s all on fire. Sometimes we had to cool it down in the snow. But this is all in winter.  True, very loud speakers. When I turn on music, other phones, like quiet mice, quietly sing along. And about the vibration - in vain. On the contrary, strong. In general, about the sound and other matters related to music - everything is just fine.   Large flash card. But I didn’t get it. Up to 4 MG. I don’t know why I felt the urge to choose blue, but when we returned, they had already bought red. What else can I say. Everything is fine. Oh yes, it used to cost 10,000, now it has dropped to 6800. Yes, it is no longer in fashion, but still such a cool phone cannot cost so little.</v>
      </c>
    </row>
    <row r="1025" spans="1:9" x14ac:dyDescent="0.3">
      <c r="A1025" s="1" t="s">
        <v>732</v>
      </c>
      <c r="B1025" s="1" t="s">
        <v>733</v>
      </c>
      <c r="C1025" s="1" t="s">
        <v>1680</v>
      </c>
      <c r="D1025" s="1" t="s">
        <v>33</v>
      </c>
      <c r="E1025" s="1" t="s">
        <v>2430</v>
      </c>
      <c r="F1025" s="1" t="s">
        <v>2431</v>
      </c>
      <c r="G1025" s="1" t="s">
        <v>36</v>
      </c>
      <c r="H1025" s="1" t="s">
        <v>29</v>
      </c>
      <c r="I1025" s="1" t="str">
        <f ca="1">IFERROR(__xludf.DUMMYFUNCTION("GOOGLETRANSLATE(F1025, ""auto"", ""en"")
"),"Great monitor. I was pleased with the presence of all inputs (including 3.5mm for acoustic headphones) + built-in speakers (albeit simple ones).  The picture quality is excellent. Games began to look completely new (that support 1080)! After watching one "&amp;"film, I had a wild desire to watch all the films in Full HD.  The only downside is a slight flare along the bottom edge (due to the power button diode located in the middle), but it is very rarely visible.")</f>
        <v>Great monitor. I was pleased with the presence of all inputs (including 3.5mm for acoustic headphones) + built-in speakers (albeit simple ones).  The picture quality is excellent. Games began to look completely new (that support 1080)! After watching one film, I had a wild desire to watch all the films in Full HD.  The only downside is a slight flare along the bottom edge (due to the power button diode located in the middle), but it is very rarely visible.</v>
      </c>
    </row>
    <row r="1026" spans="1:9" x14ac:dyDescent="0.3">
      <c r="A1026" s="1" t="s">
        <v>624</v>
      </c>
      <c r="B1026" s="1" t="s">
        <v>2107</v>
      </c>
      <c r="C1026" s="1" t="s">
        <v>479</v>
      </c>
      <c r="D1026" s="1" t="s">
        <v>152</v>
      </c>
      <c r="E1026" s="1" t="s">
        <v>2432</v>
      </c>
      <c r="F1026" s="1" t="s">
        <v>2433</v>
      </c>
      <c r="G1026" s="1" t="s">
        <v>36</v>
      </c>
      <c r="H1026" s="1" t="s">
        <v>29</v>
      </c>
      <c r="I1026" s="1" t="str">
        <f ca="1">IFERROR(__xludf.DUMMYFUNCTION("GOOGLETRANSLATE(F1026, ""auto"", ""en"")
"),"The game is just great! It’s a pity that they don’t sell it here in Nefteyugansk; I would definitely buy it. And now a little about the game =) Mega speed, New character - Silver. An interesting and very serious storyline. But there is also a minus. A ter"&amp;"rible lot of glitches. But I still recommend playing!!!!!!")</f>
        <v>The game is just great! It’s a pity that they don’t sell it here in Nefteyugansk; I would definitely buy it. And now a little about the game =) Mega speed, New character - Silver. An interesting and very serious storyline. But there is also a minus. A terrible lot of glitches. But I still recommend playing!!!!!!</v>
      </c>
    </row>
    <row r="1027" spans="1:9" x14ac:dyDescent="0.3">
      <c r="A1027" s="1" t="s">
        <v>61</v>
      </c>
      <c r="B1027" s="1" t="s">
        <v>145</v>
      </c>
      <c r="C1027" s="1" t="s">
        <v>85</v>
      </c>
      <c r="D1027" s="1" t="s">
        <v>216</v>
      </c>
      <c r="E1027" s="1" t="s">
        <v>2434</v>
      </c>
      <c r="F1027" s="1" t="s">
        <v>2435</v>
      </c>
      <c r="G1027" s="1" t="s">
        <v>36</v>
      </c>
      <c r="H1027" s="1" t="s">
        <v>29</v>
      </c>
      <c r="I1027" s="1" t="str">
        <f ca="1">IFERROR(__xludf.DUMMYFUNCTION("GOOGLETRANSLATE(F1027, ""auto"", ""en"")
"),"cooks deliciously, quickly and healthy.")</f>
        <v>cooks deliciously, quickly and healthy.</v>
      </c>
    </row>
    <row r="1028" spans="1:9" x14ac:dyDescent="0.3">
      <c r="A1028" s="1" t="s">
        <v>624</v>
      </c>
      <c r="B1028" s="1" t="s">
        <v>625</v>
      </c>
      <c r="C1028" s="1" t="s">
        <v>479</v>
      </c>
      <c r="D1028" s="1" t="s">
        <v>2436</v>
      </c>
      <c r="E1028" s="1" t="s">
        <v>2298</v>
      </c>
      <c r="F1028" s="1" t="s">
        <v>2437</v>
      </c>
      <c r="G1028" s="1" t="s">
        <v>36</v>
      </c>
      <c r="H1028" s="1" t="s">
        <v>29</v>
      </c>
      <c r="I1028" s="1" t="str">
        <f ca="1">IFERROR(__xludf.DUMMYFUNCTION("GOOGLETRANSLATE(F1028, ""auto"", ""en"")
"),"A game worth five points, take it, you won’t regret it! And for those who like Westerns and everything related to cowboys (except Brokeback Mountain), Rockstar himself ordered!!! This is a hit like few others, a rare game of a rare genre. Nice in short!!!"&amp;" Everyone is required to take it, and those who have already taken it are waiting for you in multiplayer!     P.S.  YOU WILL UNDERSTAND EVERYTHING WHEN YOU LAUNCH RED DEAD REDEMPTION ON YOUR CONSOLE!")</f>
        <v>A game worth five points, take it, you won’t regret it! And for those who like Westerns and everything related to cowboys (except Brokeback Mountain), Rockstar himself ordered!!! This is a hit like few others, a rare game of a rare genre. Nice in short!!! Everyone is required to take it, and those who have already taken it are waiting for you in multiplayer!     P.S.  YOU WILL UNDERSTAND EVERYTHING WHEN YOU LAUNCH RED DEAD REDEMPTION ON YOUR CONSOLE!</v>
      </c>
    </row>
    <row r="1029" spans="1:9" x14ac:dyDescent="0.3">
      <c r="A1029" s="1" t="s">
        <v>120</v>
      </c>
      <c r="B1029" s="1" t="s">
        <v>121</v>
      </c>
      <c r="C1029" s="1" t="s">
        <v>151</v>
      </c>
      <c r="D1029" s="1" t="s">
        <v>81</v>
      </c>
      <c r="E1029" s="1" t="s">
        <v>1649</v>
      </c>
      <c r="F1029" s="1" t="s">
        <v>2438</v>
      </c>
      <c r="G1029" s="1" t="s">
        <v>36</v>
      </c>
      <c r="H1029" s="1" t="s">
        <v>29</v>
      </c>
      <c r="I1029" s="1" t="str">
        <f ca="1">IFERROR(__xludf.DUMMYFUNCTION("GOOGLETRANSLATE(F1029, ""auto"", ""en"")
"),"To delete an unnecessary channel: 1. Press CH LIST 2. Use the Joystick to select the channel to be deleted and confirm by pressing the yellow button 3. Press TOOLS and select ""Delete""")</f>
        <v>To delete an unnecessary channel: 1. Press CH LIST 2. Use the Joystick to select the channel to be deleted and confirm by pressing the yellow button 3. Press TOOLS and select "Delete"</v>
      </c>
    </row>
    <row r="1030" spans="1:9" x14ac:dyDescent="0.3">
      <c r="A1030" s="1" t="s">
        <v>9</v>
      </c>
      <c r="B1030" s="1" t="s">
        <v>10</v>
      </c>
      <c r="C1030" s="1" t="s">
        <v>407</v>
      </c>
      <c r="D1030" s="1" t="s">
        <v>2439</v>
      </c>
      <c r="E1030" s="1" t="s">
        <v>2440</v>
      </c>
      <c r="F1030" s="1" t="s">
        <v>2441</v>
      </c>
      <c r="G1030" s="1" t="s">
        <v>28</v>
      </c>
      <c r="H1030" s="1" t="s">
        <v>29</v>
      </c>
      <c r="I1030" s="1" t="str">
        <f ca="1">IFERROR(__xludf.DUMMYFUNCTION("GOOGLETRANSLATE(F1030, ""auto"", ""en"")
"),"Many people don’t understand why they buy such large and powerful hoods, but in addition to the fact that we have a gas stove, that is, we practically smoke all the time, since the gas is not absolutely harmless, all five people in the apartment also smok"&amp;"e. It’s good that I have such an assistant; she removes all the stench from the kitchen as if by magic. It looks amazingly simple, if the whole interior is not bad, then why disfigure it? It is also necessary to select worthy equipment. Not only powerful,"&amp;" but also beautiful and preferably quiet, like this hood. It works almost silently. There is an auto-timer, this is especially convenient when you are about to go to bed and need to clear the air before going to bed. You don’t sit in the kitchen, you don’"&amp;"t wait. I really like the light bulbs, and especially the fact that the brightness can be adjusted. One thing is unpleasant - fingerprints remain on the glass, I hit the hands of everyone who tries to get to it, I switch everything myself. But I can under"&amp;"stand the rest - touch control is inconvenient because the buttons are hard to find. I use it all the time and just stick with it from memory.")</f>
        <v>Many people don’t understand why they buy such large and powerful hoods, but in addition to the fact that we have a gas stove, that is, we practically smoke all the time, since the gas is not absolutely harmless, all five people in the apartment also smoke. It’s good that I have such an assistant; she removes all the stench from the kitchen as if by magic. It looks amazingly simple, if the whole interior is not bad, then why disfigure it? It is also necessary to select worthy equipment. Not only powerful, but also beautiful and preferably quiet, like this hood. It works almost silently. There is an auto-timer, this is especially convenient when you are about to go to bed and need to clear the air before going to bed. You don’t sit in the kitchen, you don’t wait. I really like the light bulbs, and especially the fact that the brightness can be adjusted. One thing is unpleasant - fingerprints remain on the glass, I hit the hands of everyone who tries to get to it, I switch everything myself. But I can understand the rest - touch control is inconvenient because the buttons are hard to find. I use it all the time and just stick with it from memory.</v>
      </c>
    </row>
    <row r="1031" spans="1:9" x14ac:dyDescent="0.3">
      <c r="A1031" s="1" t="s">
        <v>61</v>
      </c>
      <c r="B1031" s="1" t="s">
        <v>977</v>
      </c>
      <c r="C1031" s="1" t="s">
        <v>69</v>
      </c>
      <c r="D1031" s="1" t="s">
        <v>474</v>
      </c>
      <c r="E1031" s="1" t="s">
        <v>2442</v>
      </c>
      <c r="F1031" s="1" t="s">
        <v>2443</v>
      </c>
      <c r="G1031" s="1" t="s">
        <v>28</v>
      </c>
      <c r="H1031" s="1" t="s">
        <v>29</v>
      </c>
      <c r="I1031" s="1" t="str">
        <f ca="1">IFERROR(__xludf.DUMMYFUNCTION("GOOGLETRANSLATE(F1031, ""auto"", ""en"")
"),"Not very noisy, easy to clean. Easily handles strawberries and other soft fruits and vegetables, good for smoothies and purees!")</f>
        <v>Not very noisy, easy to clean. Easily handles strawberries and other soft fruits and vegetables, good for smoothies and purees!</v>
      </c>
    </row>
    <row r="1032" spans="1:9" x14ac:dyDescent="0.3">
      <c r="A1032" s="1" t="s">
        <v>105</v>
      </c>
      <c r="B1032" s="1" t="s">
        <v>106</v>
      </c>
      <c r="C1032" s="1" t="s">
        <v>107</v>
      </c>
      <c r="D1032" s="1" t="s">
        <v>1782</v>
      </c>
      <c r="E1032" s="1" t="s">
        <v>481</v>
      </c>
      <c r="F1032" s="1" t="s">
        <v>2444</v>
      </c>
      <c r="G1032" s="1" t="s">
        <v>15</v>
      </c>
      <c r="H1032" s="1" t="s">
        <v>16</v>
      </c>
      <c r="I1032" s="1" t="str">
        <f ca="1">IFERROR(__xludf.DUMMYFUNCTION("GOOGLETRANSLATE(F1032, ""auto"", ""en"")
"),"In short, I’ll say this: it doesn’t work. The only reason I gave it a rating of 2 out of 5 is that at least there is a screen))) and the buttons are generally ugly. They look like soap. It burned out a week after the purchase. So if you want to spend the "&amp;"money correctly, don’t buy it!")</f>
        <v>In short, I’ll say this: it doesn’t work. The only reason I gave it a rating of 2 out of 5 is that at least there is a screen))) and the buttons are generally ugly. They look like soap. It burned out a week after the purchase. So if you want to spend the money correctly, don’t buy it!</v>
      </c>
    </row>
    <row r="1033" spans="1:9" x14ac:dyDescent="0.3">
      <c r="A1033" s="1" t="s">
        <v>17</v>
      </c>
      <c r="B1033" s="1" t="s">
        <v>18</v>
      </c>
      <c r="C1033" s="1" t="s">
        <v>19</v>
      </c>
      <c r="D1033" s="1" t="s">
        <v>378</v>
      </c>
      <c r="E1033" s="1" t="s">
        <v>2445</v>
      </c>
      <c r="F1033" s="1" t="s">
        <v>2446</v>
      </c>
      <c r="G1033" s="1" t="s">
        <v>36</v>
      </c>
      <c r="H1033" s="1" t="s">
        <v>29</v>
      </c>
      <c r="I1033" s="1" t="str">
        <f ca="1">IFERROR(__xludf.DUMMYFUNCTION("GOOGLETRANSLATE(F1033, ""auto"", ""en"")
"),"A good machine for little money, I've been using it for a week to do different washes, I especially liked the shirt mode, it washes for 55 minutes in a lot of water, washes perfectly, rinses well too. I also liked the other programs. Regarding the volume,"&amp;" it is not quiet, it presses quite loudly, of course, during washing the noise is moderate, but after the old one, it seems like a miracle that I put it on the rubber feet of the stand and it doesn’t jump at all.")</f>
        <v>A good machine for little money, I've been using it for a week to do different washes, I especially liked the shirt mode, it washes for 55 minutes in a lot of water, washes perfectly, rinses well too. I also liked the other programs. Regarding the volume, it is not quiet, it presses quite loudly, of course, during washing the noise is moderate, but after the old one, it seems like a miracle that I put it on the rubber feet of the stand and it doesn’t jump at all.</v>
      </c>
    </row>
    <row r="1034" spans="1:9" x14ac:dyDescent="0.3">
      <c r="A1034" s="1" t="s">
        <v>30</v>
      </c>
      <c r="B1034" s="1" t="s">
        <v>50</v>
      </c>
      <c r="C1034" s="1" t="s">
        <v>32</v>
      </c>
      <c r="D1034" s="1" t="s">
        <v>152</v>
      </c>
      <c r="E1034" s="1" t="s">
        <v>1063</v>
      </c>
      <c r="F1034" s="1" t="s">
        <v>2447</v>
      </c>
      <c r="G1034" s="1" t="s">
        <v>36</v>
      </c>
      <c r="H1034" s="1" t="s">
        <v>29</v>
      </c>
      <c r="I1034" s="1" t="str">
        <f ca="1">IFERROR(__xludf.DUMMYFUNCTION("GOOGLETRANSLATE(F1034, ""auto"", ""en"")
"),"Some write that there is not enough charging, so Windows7 takes a lot of energy, in general, I installed Windows vista home premium, and it showed that there was 2 hours 56 minutes of charge left - almost 3 hours, but on Windows 7 it displayed 1 hour 50 m"&amp;"inutes. but maybe for someone it’s different, it’s displayed differently at intervals of 10-30 minutes, but still the 7th takes more energy consumption.  Therefore, if you need more charging, install either Vista or XP!  Since the processor is 64-bit, do "&amp;"not make a mistake when installing another operating system, otherwise the computer will not work!")</f>
        <v>Some write that there is not enough charging, so Windows7 takes a lot of energy, in general, I installed Windows vista home premium, and it showed that there was 2 hours 56 minutes of charge left - almost 3 hours, but on Windows 7 it displayed 1 hour 50 minutes. but maybe for someone it’s different, it’s displayed differently at intervals of 10-30 minutes, but still the 7th takes more energy consumption.  Therefore, if you need more charging, install either Vista or XP!  Since the processor is 64-bit, do not make a mistake when installing another operating system, otherwise the computer will not work!</v>
      </c>
    </row>
    <row r="1035" spans="1:9" x14ac:dyDescent="0.3">
      <c r="A1035" s="1" t="s">
        <v>61</v>
      </c>
      <c r="B1035" s="1" t="s">
        <v>145</v>
      </c>
      <c r="C1035" s="1" t="s">
        <v>85</v>
      </c>
      <c r="D1035" s="1" t="s">
        <v>2448</v>
      </c>
      <c r="E1035" s="1" t="s">
        <v>1347</v>
      </c>
      <c r="F1035" s="1" t="s">
        <v>2449</v>
      </c>
      <c r="G1035" s="1" t="s">
        <v>49</v>
      </c>
      <c r="H1035" s="1" t="s">
        <v>16</v>
      </c>
      <c r="I1035" s="1" t="str">
        <f ca="1">IFERROR(__xludf.DUMMYFUNCTION("GOOGLETRANSLATE(F1035, ""auto"", ""en"")
"),"I didn’t work even three months. Judging by the sound, a short circuit occurred after switching on. The service considered the case not to be covered by warranty, although judging by the reviews, the problem is common for this model.")</f>
        <v>I didn’t work even three months. Judging by the sound, a short circuit occurred after switching on. The service considered the case not to be covered by warranty, although judging by the reviews, the problem is common for this model.</v>
      </c>
    </row>
    <row r="1036" spans="1:9" x14ac:dyDescent="0.3">
      <c r="A1036" s="1" t="s">
        <v>37</v>
      </c>
      <c r="B1036" s="1" t="s">
        <v>38</v>
      </c>
      <c r="C1036" s="1" t="s">
        <v>39</v>
      </c>
      <c r="D1036" s="1" t="s">
        <v>75</v>
      </c>
      <c r="E1036" s="1" t="s">
        <v>53</v>
      </c>
      <c r="F1036" s="1" t="s">
        <v>2450</v>
      </c>
      <c r="G1036" s="1" t="s">
        <v>28</v>
      </c>
      <c r="H1036" s="1" t="s">
        <v>29</v>
      </c>
      <c r="I1036" s="1" t="str">
        <f ca="1">IFERROR(__xludf.DUMMYFUNCTION("GOOGLETRANSLATE(F1036, ""auto"", ""en"")
"),"The phone is really great! Convenient and easy to operate. But the only and significant drawback is that the buttons cracked very quickly.")</f>
        <v>The phone is really great! Convenient and easy to operate. But the only and significant drawback is that the buttons cracked very quickly.</v>
      </c>
    </row>
    <row r="1037" spans="1:9" x14ac:dyDescent="0.3">
      <c r="A1037" s="1" t="s">
        <v>811</v>
      </c>
      <c r="B1037" s="1" t="s">
        <v>812</v>
      </c>
      <c r="C1037" s="1" t="s">
        <v>949</v>
      </c>
      <c r="D1037" s="1" t="s">
        <v>695</v>
      </c>
      <c r="E1037" s="1" t="s">
        <v>357</v>
      </c>
      <c r="F1037" s="1" t="s">
        <v>2451</v>
      </c>
      <c r="G1037" s="1" t="s">
        <v>36</v>
      </c>
      <c r="H1037" s="1" t="s">
        <v>29</v>
      </c>
      <c r="I1037" s="1" t="str">
        <f ca="1">IFERROR(__xludf.DUMMYFUNCTION("GOOGLETRANSLATE(F1037, ""auto"", ""en"")
"),"I bought it and don’t regret it!   the legs are good + the extra height is just a plus!")</f>
        <v>I bought it and don’t regret it!   the legs are good + the extra height is just a plus!</v>
      </c>
    </row>
    <row r="1038" spans="1:9" x14ac:dyDescent="0.3">
      <c r="A1038" s="1" t="s">
        <v>89</v>
      </c>
      <c r="B1038" s="1" t="s">
        <v>231</v>
      </c>
      <c r="C1038" s="1" t="s">
        <v>185</v>
      </c>
      <c r="D1038" s="1" t="s">
        <v>2452</v>
      </c>
      <c r="E1038" s="1" t="s">
        <v>2453</v>
      </c>
      <c r="F1038" s="1" t="s">
        <v>2454</v>
      </c>
      <c r="G1038" s="1" t="s">
        <v>36</v>
      </c>
      <c r="H1038" s="1" t="s">
        <v>29</v>
      </c>
      <c r="I1038" s="1" t="str">
        <f ca="1">IFERROR(__xludf.DUMMYFUNCTION("GOOGLETRANSLATE(F1038, ""auto"", ""en"")
"),"Beautiful design, convenient menu.")</f>
        <v>Beautiful design, convenient menu.</v>
      </c>
    </row>
    <row r="1039" spans="1:9" x14ac:dyDescent="0.3">
      <c r="A1039" s="1" t="s">
        <v>1443</v>
      </c>
      <c r="B1039" s="1" t="s">
        <v>1444</v>
      </c>
      <c r="C1039" s="1" t="s">
        <v>1445</v>
      </c>
      <c r="D1039" s="1" t="s">
        <v>742</v>
      </c>
      <c r="E1039" s="1" t="s">
        <v>2455</v>
      </c>
      <c r="F1039" s="1" t="s">
        <v>2456</v>
      </c>
      <c r="G1039" s="1" t="s">
        <v>15</v>
      </c>
      <c r="H1039" s="1" t="s">
        <v>16</v>
      </c>
      <c r="I1039" s="1" t="str">
        <f ca="1">IFERROR(__xludf.DUMMYFUNCTION("GOOGLETRANSLATE(F1039, ""auto"", ""en"")
"),"The speed does not correspond to the declared one - it’s not worth the money... if you are looking for higher speed, then this flash drive is not for you")</f>
        <v>The speed does not correspond to the declared one - it’s not worth the money... if you are looking for higher speed, then this flash drive is not for you</v>
      </c>
    </row>
    <row r="1040" spans="1:9" x14ac:dyDescent="0.3">
      <c r="A1040" s="1" t="s">
        <v>61</v>
      </c>
      <c r="B1040" s="1" t="s">
        <v>977</v>
      </c>
      <c r="C1040" s="1" t="s">
        <v>63</v>
      </c>
      <c r="D1040" s="1" t="s">
        <v>64</v>
      </c>
      <c r="E1040" s="1" t="s">
        <v>608</v>
      </c>
      <c r="F1040" s="1" t="s">
        <v>2457</v>
      </c>
      <c r="G1040" s="1" t="s">
        <v>15</v>
      </c>
      <c r="H1040" s="1" t="s">
        <v>16</v>
      </c>
      <c r="I1040" s="1" t="str">
        <f ca="1">IFERROR(__xludf.DUMMYFUNCTION("GOOGLETRANSLATE(F1040, ""auto"", ""en"")
"),"It looks like there’s a whisk on the package, but there’s no one inside.")</f>
        <v>It looks like there’s a whisk on the package, but there’s no one inside.</v>
      </c>
    </row>
    <row r="1041" spans="1:9" x14ac:dyDescent="0.3">
      <c r="A1041" s="1" t="s">
        <v>9</v>
      </c>
      <c r="B1041" s="1" t="s">
        <v>10</v>
      </c>
      <c r="C1041" s="1" t="s">
        <v>466</v>
      </c>
      <c r="D1041" s="1" t="s">
        <v>2458</v>
      </c>
      <c r="E1041" s="1" t="s">
        <v>2459</v>
      </c>
      <c r="F1041" s="1" t="s">
        <v>2460</v>
      </c>
      <c r="G1041" s="1" t="s">
        <v>28</v>
      </c>
      <c r="H1041" s="1" t="s">
        <v>29</v>
      </c>
      <c r="I1041" s="1" t="str">
        <f ca="1">IFERROR(__xludf.DUMMYFUNCTION("GOOGLETRANSLATE(F1041, ""auto"", ""en"")
"),"Two year warranty. The hood is really suitable for a large kitchen. It illuminates the hob with two 50-watt bulbs. I manage without overhead light most often in the evenings. Even removes cigarette smoke.")</f>
        <v>Two year warranty. The hood is really suitable for a large kitchen. It illuminates the hob with two 50-watt bulbs. I manage without overhead light most often in the evenings. Even removes cigarette smoke.</v>
      </c>
    </row>
    <row r="1042" spans="1:9" x14ac:dyDescent="0.3">
      <c r="A1042" s="1" t="s">
        <v>169</v>
      </c>
      <c r="B1042" s="1" t="s">
        <v>170</v>
      </c>
      <c r="C1042" s="1" t="s">
        <v>193</v>
      </c>
      <c r="D1042" s="1" t="s">
        <v>39</v>
      </c>
      <c r="E1042" s="1" t="s">
        <v>1228</v>
      </c>
      <c r="F1042" s="1" t="s">
        <v>2461</v>
      </c>
      <c r="G1042" s="1" t="s">
        <v>36</v>
      </c>
      <c r="H1042" s="1" t="s">
        <v>29</v>
      </c>
      <c r="I1042" s="1" t="str">
        <f ca="1">IFERROR(__xludf.DUMMYFUNCTION("GOOGLETRANSLATE(F1042, ""auto"", ""en"")
"),"I was looking for good headphones for my father, the wishes were as follows: not earbuds, but of course comfortable, the sound did not hurt the ears and the price was no more than 2000 rubles. I surfed the internet, went shopping and ended up buying him t"&amp;"hese headphones! Very comfortable, they don’t press anywhere, and most importantly the sound, I had Sony mdr e71 earbuds, in general the sound of the Syncs is more pleasant. Well, I went and bought it for myself in the evening)))), now I’m listening to th"&amp;"em. Take these ears, you won't regret it!!!")</f>
        <v>I was looking for good headphones for my father, the wishes were as follows: not earbuds, but of course comfortable, the sound did not hurt the ears and the price was no more than 2000 rubles. I surfed the internet, went shopping and ended up buying him these headphones! Very comfortable, they don’t press anywhere, and most importantly the sound, I had Sony mdr e71 earbuds, in general the sound of the Syncs is more pleasant. Well, I went and bought it for myself in the evening)))), now I’m listening to them. Take these ears, you won't regret it!!!</v>
      </c>
    </row>
    <row r="1043" spans="1:9" x14ac:dyDescent="0.3">
      <c r="A1043" s="1" t="s">
        <v>105</v>
      </c>
      <c r="B1043" s="1" t="s">
        <v>106</v>
      </c>
      <c r="C1043" s="1" t="s">
        <v>1209</v>
      </c>
      <c r="D1043" s="1" t="s">
        <v>2462</v>
      </c>
      <c r="E1043" s="1" t="s">
        <v>176</v>
      </c>
      <c r="F1043" s="1" t="s">
        <v>2463</v>
      </c>
      <c r="G1043" s="1" t="s">
        <v>36</v>
      </c>
      <c r="H1043" s="1" t="s">
        <v>29</v>
      </c>
      <c r="I1043" s="1" t="str">
        <f ca="1">IFERROR(__xludf.DUMMYFUNCTION("GOOGLETRANSLATE(F1043, ""auto"", ""en"")
"),"I've been using it for 9 months and no problems. I listen to it every day and enjoy it, the sound is just super, I just need good headphones!!! I advise everyone, for this money you won’t find anything better!!!")</f>
        <v>I've been using it for 9 months and no problems. I listen to it every day and enjoy it, the sound is just super, I just need good headphones!!! I advise everyone, for this money you won’t find anything better!!!</v>
      </c>
    </row>
    <row r="1044" spans="1:9" x14ac:dyDescent="0.3">
      <c r="A1044" s="1" t="s">
        <v>105</v>
      </c>
      <c r="B1044" s="1" t="s">
        <v>106</v>
      </c>
      <c r="C1044" s="1" t="s">
        <v>1209</v>
      </c>
      <c r="D1044" s="1" t="s">
        <v>2464</v>
      </c>
      <c r="E1044" s="1" t="s">
        <v>443</v>
      </c>
      <c r="F1044" s="1" t="s">
        <v>2465</v>
      </c>
      <c r="G1044" s="1" t="s">
        <v>28</v>
      </c>
      <c r="H1044" s="1" t="s">
        <v>29</v>
      </c>
      <c r="I1044" s="1" t="str">
        <f ca="1">IFERROR(__xludf.DUMMYFUNCTION("GOOGLETRANSLATE(F1044, ""auto"", ""en"")
"),"I've been using this player for about three years.  I can only say that it completely justified its price.  It is quite enough for listening to songs, viewing some photos and viewing memory clips.  The first 1-1.5 years of use worked without any complaint"&amp;"s, 5 plus.    cons.  Later, one touch key went out, it works, but does not light up.. The key lock for it is awkwardly made, the top jumper on it often breaks.  This player may also have problems with the headphone jack.  In all the time I've been using i"&amp;"t, I've only sent it in for repairs once, and now it's starting to glitch a little.  but nothing happened to the player, he completely worked out his money.    If I buy only players from the same company, but more voluminous and with the ability to instal"&amp;"l additional microCDs, I recommend this player for this price to everyone, it will fully meet your expectations.")</f>
        <v>I've been using this player for about three years.  I can only say that it completely justified its price.  It is quite enough for listening to songs, viewing some photos and viewing memory clips.  The first 1-1.5 years of use worked without any complaints, 5 plus.    cons.  Later, one touch key went out, it works, but does not light up.. The key lock for it is awkwardly made, the top jumper on it often breaks.  This player may also have problems with the headphone jack.  In all the time I've been using it, I've only sent it in for repairs once, and now it's starting to glitch a little.  but nothing happened to the player, he completely worked out his money.    If I buy only players from the same company, but more voluminous and with the ability to install additional microCDs, I recommend this player for this price to everyone, it will fully meet your expectations.</v>
      </c>
    </row>
    <row r="1045" spans="1:9" x14ac:dyDescent="0.3">
      <c r="A1045" s="1" t="s">
        <v>61</v>
      </c>
      <c r="B1045" s="1" t="s">
        <v>180</v>
      </c>
      <c r="C1045" s="1" t="s">
        <v>74</v>
      </c>
      <c r="D1045" s="1" t="s">
        <v>46</v>
      </c>
      <c r="E1045" s="1" t="s">
        <v>2466</v>
      </c>
      <c r="F1045" s="1" t="s">
        <v>2467</v>
      </c>
      <c r="G1045" s="1" t="s">
        <v>36</v>
      </c>
      <c r="H1045" s="1" t="s">
        <v>29</v>
      </c>
      <c r="I1045" s="1" t="str">
        <f ca="1">IFERROR(__xludf.DUMMYFUNCTION("GOOGLETRANSLATE(F1045, ""auto"", ""en"")
"),"The thing is just super, at first we wanted to buy a toaster, and then we settled on this model, now in the morning tea with sandwiches is just right, the crust is just super.")</f>
        <v>The thing is just super, at first we wanted to buy a toaster, and then we settled on this model, now in the morning tea with sandwiches is just right, the crust is just super.</v>
      </c>
    </row>
    <row r="1046" spans="1:9" x14ac:dyDescent="0.3">
      <c r="A1046" s="1" t="s">
        <v>169</v>
      </c>
      <c r="B1046" s="1" t="s">
        <v>170</v>
      </c>
      <c r="C1046" s="1" t="s">
        <v>122</v>
      </c>
      <c r="D1046" s="1" t="s">
        <v>2055</v>
      </c>
      <c r="E1046" s="1" t="s">
        <v>2468</v>
      </c>
      <c r="F1046" s="1" t="s">
        <v>2469</v>
      </c>
      <c r="G1046" s="1" t="s">
        <v>28</v>
      </c>
      <c r="H1046" s="1" t="s">
        <v>29</v>
      </c>
      <c r="I1046" s="1" t="str">
        <f ca="1">IFERROR(__xludf.DUMMYFUNCTION("GOOGLETRANSLATE(F1046, ""auto"", ""en"")
"),"Unlike other headphones, they have a sensitivity of 100 dB. The sound is disgusting. The song sounds the way it should - no frequencies are missing. Perhaps, Sergey, this is your “extraneous noise” or the player is bad :) I use it with a Samsung yp-u5.  C"&amp;"ons: thin cable, I'm afraid to break it.")</f>
        <v>Unlike other headphones, they have a sensitivity of 100 dB. The sound is disgusting. The song sounds the way it should - no frequencies are missing. Perhaps, Sergey, this is your “extraneous noise” or the player is bad :) I use it with a Samsung yp-u5.  Cons: thin cable, I'm afraid to break it.</v>
      </c>
    </row>
    <row r="1047" spans="1:9" x14ac:dyDescent="0.3">
      <c r="A1047" s="1" t="s">
        <v>30</v>
      </c>
      <c r="B1047" s="1" t="s">
        <v>31</v>
      </c>
      <c r="C1047" s="1" t="s">
        <v>32</v>
      </c>
      <c r="D1047" s="1" t="s">
        <v>39</v>
      </c>
      <c r="E1047" s="1" t="s">
        <v>659</v>
      </c>
      <c r="F1047" s="1" t="s">
        <v>2470</v>
      </c>
      <c r="G1047" s="1" t="s">
        <v>28</v>
      </c>
      <c r="H1047" s="1" t="s">
        <v>29</v>
      </c>
      <c r="I1047" s="1" t="str">
        <f ca="1">IFERROR(__xludf.DUMMYFUNCTION("GOOGLETRANSLATE(F1047, ""auto"", ""en"")
"),"Gentlemen, Acer X3812 users, NVIDIA has released a new driver for our computer. I recommend installing it, I installed it, I’m afraid I’ll jinx it, but it seems to be better. I mean glitches with the video card. Before installation, just remember to turn "&amp;"off your antivirus.")</f>
        <v>Gentlemen, Acer X3812 users, NVIDIA has released a new driver for our computer. I recommend installing it, I installed it, I’m afraid I’ll jinx it, but it seems to be better. I mean glitches with the video card. Before installation, just remember to turn off your antivirus.</v>
      </c>
    </row>
    <row r="1048" spans="1:9" x14ac:dyDescent="0.3">
      <c r="A1048" s="1" t="s">
        <v>55</v>
      </c>
      <c r="B1048" s="1" t="s">
        <v>84</v>
      </c>
      <c r="C1048" s="1" t="s">
        <v>85</v>
      </c>
      <c r="D1048" s="1" t="s">
        <v>58</v>
      </c>
      <c r="E1048" s="1" t="s">
        <v>2471</v>
      </c>
      <c r="F1048" s="1" t="s">
        <v>2472</v>
      </c>
      <c r="G1048" s="1" t="s">
        <v>15</v>
      </c>
      <c r="H1048" s="1" t="s">
        <v>16</v>
      </c>
      <c r="I1048" s="1" t="str">
        <f ca="1">IFERROR(__xludf.DUMMYFUNCTION("GOOGLETRANSLATE(F1048, ""auto"", ""en"")
"),"It doesn’t moisturize well, I would say it doesn’t moisturize at all. It collects a little dust on the carbon filter and that's it. Two years later, the hygrometer broke, now it works as it wants... although there is no point in its operation at all.")</f>
        <v>It doesn’t moisturize well, I would say it doesn’t moisturize at all. It collects a little dust on the carbon filter and that's it. Two years later, the hygrometer broke, now it works as it wants... although there is no point in its operation at all.</v>
      </c>
    </row>
    <row r="1049" spans="1:9" x14ac:dyDescent="0.3">
      <c r="A1049" s="1" t="s">
        <v>43</v>
      </c>
      <c r="B1049" s="1" t="s">
        <v>303</v>
      </c>
      <c r="C1049" s="1" t="s">
        <v>304</v>
      </c>
      <c r="D1049" s="1" t="s">
        <v>456</v>
      </c>
      <c r="E1049" s="1" t="s">
        <v>2315</v>
      </c>
      <c r="F1049" s="1" t="s">
        <v>2473</v>
      </c>
      <c r="G1049" s="1" t="s">
        <v>49</v>
      </c>
      <c r="H1049" s="1" t="s">
        <v>16</v>
      </c>
      <c r="I1049" s="1" t="str">
        <f ca="1">IFERROR(__xludf.DUMMYFUNCTION("GOOGLETRANSLATE(F1049, ""auto"", ""en"")
"),"It paid off the costs, but rotted from the inside after 2 years.  And he was so good.")</f>
        <v>It paid off the costs, but rotted from the inside after 2 years.  And he was so good.</v>
      </c>
    </row>
    <row r="1050" spans="1:9" x14ac:dyDescent="0.3">
      <c r="A1050" s="1" t="s">
        <v>211</v>
      </c>
      <c r="B1050" s="1" t="s">
        <v>212</v>
      </c>
      <c r="C1050" s="1" t="s">
        <v>381</v>
      </c>
      <c r="D1050" s="1" t="s">
        <v>521</v>
      </c>
      <c r="E1050" s="1" t="s">
        <v>2474</v>
      </c>
      <c r="F1050" s="1" t="s">
        <v>2475</v>
      </c>
      <c r="G1050" s="1" t="s">
        <v>36</v>
      </c>
      <c r="H1050" s="1" t="s">
        <v>29</v>
      </c>
      <c r="I1050" s="1" t="str">
        <f ca="1">IFERROR(__xludf.DUMMYFUNCTION("GOOGLETRANSLATE(F1050, ""auto"", ""en"")
"),"An excellent hair dryer, it does its job very well, I’ve been using it for two years now, it doesn’t seem to be dying!))) I recommend it!!!)))")</f>
        <v>An excellent hair dryer, it does its job very well, I’ve been using it for two years now, it doesn’t seem to be dying!))) I recommend it!!!)))</v>
      </c>
    </row>
    <row r="1051" spans="1:9" x14ac:dyDescent="0.3">
      <c r="A1051" s="1" t="s">
        <v>852</v>
      </c>
      <c r="B1051" s="1" t="s">
        <v>2476</v>
      </c>
      <c r="C1051" s="1" t="s">
        <v>356</v>
      </c>
      <c r="D1051" s="1" t="s">
        <v>2477</v>
      </c>
      <c r="E1051" s="1" t="s">
        <v>1150</v>
      </c>
      <c r="F1051" s="1" t="s">
        <v>2478</v>
      </c>
      <c r="G1051" s="1" t="s">
        <v>36</v>
      </c>
      <c r="H1051" s="1" t="s">
        <v>29</v>
      </c>
      <c r="I1051" s="1" t="str">
        <f ca="1">IFERROR(__xludf.DUMMYFUNCTION("GOOGLETRANSLATE(F1051, ""auto"", ""en"")
"),"I thought for a long time before purchasing, since I had NEVER tried Mackintosh products before. But since I needed a PC with a large screen and I also wanted changes (I was tired of Windows OS...) I took a risk and took IMAC 21.5. On the first day after "&amp;"the purchase I still had doubts, I was choking, but already on the second or third day I slowly began to realize that this was really a very high-quality home computer with an excellent design and excellent capabilities and convenience of the OS. It's wor"&amp;"th the money with such a screen and design and quality. Working with documents, a browser, photos, videos and music - everything is fast and convenient, you need to try it to understand. And it’s just nice to sit at it... which is also important. There ar"&amp;"e also enough games for it, and if we are talking about super new high-capacity games, then it’s easier to buy a console. Bottom line: I took a risk and am very pleased that I bought it.")</f>
        <v>I thought for a long time before purchasing, since I had NEVER tried Mackintosh products before. But since I needed a PC with a large screen and I also wanted changes (I was tired of Windows OS...) I took a risk and took IMAC 21.5. On the first day after the purchase I still had doubts, I was choking, but already on the second or third day I slowly began to realize that this was really a very high-quality home computer with an excellent design and excellent capabilities and convenience of the OS. It's worth the money with such a screen and design and quality. Working with documents, a browser, photos, videos and music - everything is fast and convenient, you need to try it to understand. And it’s just nice to sit at it... which is also important. There are also enough games for it, and if we are talking about super new high-capacity games, then it’s easier to buy a console. Bottom line: I took a risk and am very pleased that I bought it.</v>
      </c>
    </row>
    <row r="1052" spans="1:9" x14ac:dyDescent="0.3">
      <c r="A1052" s="1" t="s">
        <v>120</v>
      </c>
      <c r="B1052" s="1" t="s">
        <v>256</v>
      </c>
      <c r="C1052" s="1" t="s">
        <v>80</v>
      </c>
      <c r="D1052" s="1" t="s">
        <v>1940</v>
      </c>
      <c r="E1052" s="1" t="s">
        <v>540</v>
      </c>
      <c r="F1052" s="1" t="s">
        <v>2479</v>
      </c>
      <c r="G1052" s="1" t="s">
        <v>36</v>
      </c>
      <c r="H1052" s="1" t="s">
        <v>29</v>
      </c>
      <c r="I1052" s="1" t="str">
        <f ca="1">IFERROR(__xludf.DUMMYFUNCTION("GOOGLETRANSLATE(F1052, ""auto"", ""en"")
"),"I bought it and am very pleased))) I don’t think I found any shortcomings, the sound is excellent, the image too, the price is generally good. I don’t see anything wrong with the fact that the assembly is Russian. It has everything you need.")</f>
        <v>I bought it and am very pleased))) I don’t think I found any shortcomings, the sound is excellent, the image too, the price is generally good. I don’t see anything wrong with the fact that the assembly is Russian. It has everything you need.</v>
      </c>
    </row>
    <row r="1053" spans="1:9" x14ac:dyDescent="0.3">
      <c r="A1053" s="1" t="s">
        <v>369</v>
      </c>
      <c r="B1053" s="1" t="s">
        <v>2480</v>
      </c>
      <c r="C1053" s="1" t="s">
        <v>453</v>
      </c>
      <c r="D1053" s="1" t="s">
        <v>12</v>
      </c>
      <c r="E1053" s="1" t="s">
        <v>2168</v>
      </c>
      <c r="F1053" s="1" t="s">
        <v>2481</v>
      </c>
      <c r="G1053" s="1" t="s">
        <v>36</v>
      </c>
      <c r="H1053" s="1" t="s">
        <v>29</v>
      </c>
      <c r="I1053" s="1" t="str">
        <f ca="1">IFERROR(__xludf.DUMMYFUNCTION("GOOGLETRANSLATE(F1053, ""auto"", ""en"")
"),"Compact, convenient tiles. Indeed, it heats up quickly and cools down immediately after switching off - saving energy. It looks stylish and is easy to care for.")</f>
        <v>Compact, convenient tiles. Indeed, it heats up quickly and cools down immediately after switching off - saving energy. It looks stylish and is easy to care for.</v>
      </c>
    </row>
    <row r="1054" spans="1:9" x14ac:dyDescent="0.3">
      <c r="A1054" s="1" t="s">
        <v>17</v>
      </c>
      <c r="B1054" s="1" t="s">
        <v>18</v>
      </c>
      <c r="C1054" s="1" t="s">
        <v>243</v>
      </c>
      <c r="D1054" s="1" t="s">
        <v>61</v>
      </c>
      <c r="E1054" s="1" t="s">
        <v>2482</v>
      </c>
      <c r="F1054" s="1" t="s">
        <v>2483</v>
      </c>
      <c r="G1054" s="1" t="s">
        <v>49</v>
      </c>
      <c r="H1054" s="1" t="s">
        <v>16</v>
      </c>
      <c r="I1054" s="1" t="str">
        <f ca="1">IFERROR(__xludf.DUMMYFUNCTION("GOOGLETRANSLATE(F1054, ""auto"", ""en"")
"),"I will not recommend this model to anyone. Doesn't wash things at all. I've been using it for over a month now and I'm not happy with it at all. Doesn't wash things with stains at all...")</f>
        <v>I will not recommend this model to anyone. Doesn't wash things at all. I've been using it for over a month now and I'm not happy with it at all. Doesn't wash things with stains at all...</v>
      </c>
    </row>
    <row r="1055" spans="1:9" x14ac:dyDescent="0.3">
      <c r="A1055" s="1" t="s">
        <v>211</v>
      </c>
      <c r="B1055" s="1" t="s">
        <v>384</v>
      </c>
      <c r="C1055" s="1" t="s">
        <v>246</v>
      </c>
      <c r="D1055" s="1" t="s">
        <v>64</v>
      </c>
      <c r="E1055" s="1" t="s">
        <v>2484</v>
      </c>
      <c r="F1055" s="1" t="s">
        <v>2485</v>
      </c>
      <c r="G1055" s="1" t="s">
        <v>49</v>
      </c>
      <c r="H1055" s="1" t="s">
        <v>16</v>
      </c>
      <c r="I1055" s="1" t="str">
        <f ca="1">IFERROR(__xludf.DUMMYFUNCTION("GOOGLETRANSLATE(F1055, ""auto"", ""en"")
"),"A month later the scales began to show 114 kg..))) I don’t weigh that much... I can’t do anything about this error... it’s a shame..")</f>
        <v>A month later the scales began to show 114 kg..))) I don’t weigh that much... I can’t do anything about this error... it’s a shame..</v>
      </c>
    </row>
    <row r="1056" spans="1:9" x14ac:dyDescent="0.3">
      <c r="A1056" s="1" t="s">
        <v>211</v>
      </c>
      <c r="B1056" s="1" t="s">
        <v>265</v>
      </c>
      <c r="C1056" s="1" t="s">
        <v>1591</v>
      </c>
      <c r="D1056" s="1" t="s">
        <v>474</v>
      </c>
      <c r="E1056" s="1" t="s">
        <v>2486</v>
      </c>
      <c r="F1056" s="1" t="s">
        <v>2487</v>
      </c>
      <c r="G1056" s="1" t="s">
        <v>36</v>
      </c>
      <c r="H1056" s="1" t="s">
        <v>29</v>
      </c>
      <c r="I1056" s="1" t="str">
        <f ca="1">IFERROR(__xludf.DUMMYFUNCTION("GOOGLETRANSLATE(F1056, ""auto"", ""en"")
"),"Great machine! Very high quality knives, I have been using them for more than a year and am happy. Convenient.")</f>
        <v>Great machine! Very high quality knives, I have been using them for more than a year and am happy. Convenient.</v>
      </c>
    </row>
    <row r="1057" spans="1:9" x14ac:dyDescent="0.3">
      <c r="A1057" s="1" t="s">
        <v>55</v>
      </c>
      <c r="B1057" s="1" t="s">
        <v>56</v>
      </c>
      <c r="C1057" s="1" t="s">
        <v>57</v>
      </c>
      <c r="D1057" s="1" t="s">
        <v>411</v>
      </c>
      <c r="E1057" s="1" t="s">
        <v>2488</v>
      </c>
      <c r="F1057" s="1" t="s">
        <v>2489</v>
      </c>
      <c r="G1057" s="1" t="s">
        <v>36</v>
      </c>
      <c r="H1057" s="1" t="s">
        <v>29</v>
      </c>
      <c r="I1057" s="1" t="str">
        <f ca="1">IFERROR(__xludf.DUMMYFUNCTION("GOOGLETRANSLATE(F1057, ""auto"", ""en"")
"),"I bought it in November 2013. It performs its functions perfectly and works every day.")</f>
        <v>I bought it in November 2013. It performs its functions perfectly and works every day.</v>
      </c>
    </row>
    <row r="1058" spans="1:9" x14ac:dyDescent="0.3">
      <c r="A1058" s="1" t="s">
        <v>211</v>
      </c>
      <c r="B1058" s="1" t="s">
        <v>515</v>
      </c>
      <c r="C1058" s="1" t="s">
        <v>213</v>
      </c>
      <c r="D1058" s="1" t="s">
        <v>565</v>
      </c>
      <c r="E1058" s="1" t="s">
        <v>1849</v>
      </c>
      <c r="F1058" s="1" t="s">
        <v>2490</v>
      </c>
      <c r="G1058" s="1" t="s">
        <v>36</v>
      </c>
      <c r="H1058" s="1" t="s">
        <v>29</v>
      </c>
      <c r="I1058" s="1" t="str">
        <f ca="1">IFERROR(__xludf.DUMMYFUNCTION("GOOGLETRANSLATE(F1058, ""auto"", ""en"")
"),"1) I have been using the Braun Silk-épil 1170 epilator for more than 2 years. I am very pleased with it, it does its job perfectly, almost without pain, no irritation or ingrown hairs. The epilator is easy to clean and comes with a convenient brush. Power"&amp;"ed by network. An excellent budget option.  2) no shortcomings were identified 3) a pleasant bonus: after using the Braun Silk-épil 1170 Epilator, the hairs become thin, light and soft. I recommend to buy! Great!")</f>
        <v>1) I have been using the Braun Silk-épil 1170 epilator for more than 2 years. I am very pleased with it, it does its job perfectly, almost without pain, no irritation or ingrown hairs. The epilator is easy to clean and comes with a convenient brush. Powered by network. An excellent budget option.  2) no shortcomings were identified 3) a pleasant bonus: after using the Braun Silk-épil 1170 Epilator, the hairs become thin, light and soft. I recommend to buy! Great!</v>
      </c>
    </row>
    <row r="1059" spans="1:9" x14ac:dyDescent="0.3">
      <c r="A1059" s="1" t="s">
        <v>43</v>
      </c>
      <c r="B1059" s="1" t="s">
        <v>219</v>
      </c>
      <c r="C1059" s="1" t="s">
        <v>665</v>
      </c>
      <c r="D1059" s="1" t="s">
        <v>2491</v>
      </c>
      <c r="E1059" s="1" t="s">
        <v>2492</v>
      </c>
      <c r="F1059" s="1" t="s">
        <v>2493</v>
      </c>
      <c r="G1059" s="1" t="s">
        <v>36</v>
      </c>
      <c r="H1059" s="1" t="s">
        <v>29</v>
      </c>
      <c r="I1059" s="1" t="str">
        <f ca="1">IFERROR(__xludf.DUMMYFUNCTION("GOOGLETRANSLATE(F1059, ""auto"", ""en"")
"),"I bought it and it’s already been working for 2 weeks. It heats up quickly - boiling water in 10-15 minutes, everything is as written in the specifications. It takes up little space. It’s not enough to take a bath, but it’s enough for one with a little wa"&amp;"ter pressure.")</f>
        <v>I bought it and it’s already been working for 2 weeks. It heats up quickly - boiling water in 10-15 minutes, everything is as written in the specifications. It takes up little space. It’s not enough to take a bath, but it’s enough for one with a little water pressure.</v>
      </c>
    </row>
    <row r="1060" spans="1:9" x14ac:dyDescent="0.3">
      <c r="A1060" s="1" t="s">
        <v>67</v>
      </c>
      <c r="B1060" s="1" t="s">
        <v>68</v>
      </c>
      <c r="C1060" s="1" t="s">
        <v>246</v>
      </c>
      <c r="D1060" s="1" t="s">
        <v>545</v>
      </c>
      <c r="E1060" s="1" t="s">
        <v>836</v>
      </c>
      <c r="F1060" s="1" t="s">
        <v>2494</v>
      </c>
      <c r="G1060" s="1" t="s">
        <v>36</v>
      </c>
      <c r="H1060" s="1" t="s">
        <v>29</v>
      </c>
      <c r="I1060" s="1" t="str">
        <f ca="1">IFERROR(__xludf.DUMMYFUNCTION("GOOGLETRANSLATE(F1060, ""auto"", ""en"")
"),"The iron is worth the money. No frills, irons and steams well. I recommend it.")</f>
        <v>The iron is worth the money. No frills, irons and steams well. I recommend it.</v>
      </c>
    </row>
    <row r="1061" spans="1:9" x14ac:dyDescent="0.3">
      <c r="A1061" s="1" t="s">
        <v>9</v>
      </c>
      <c r="B1061" s="1" t="s">
        <v>10</v>
      </c>
      <c r="C1061" s="1" t="s">
        <v>407</v>
      </c>
      <c r="D1061" s="1" t="s">
        <v>1890</v>
      </c>
      <c r="E1061" s="1" t="s">
        <v>2495</v>
      </c>
      <c r="F1061" s="1" t="s">
        <v>2496</v>
      </c>
      <c r="G1061" s="1" t="s">
        <v>15</v>
      </c>
      <c r="H1061" s="1" t="s">
        <v>16</v>
      </c>
      <c r="I1061" s="1" t="str">
        <f ca="1">IFERROR(__xludf.DUMMYFUNCTION("GOOGLETRANSLATE(F1061, ""auto"", ""en"")
"),"The hood is good according to its technical characteristics, but after 7 years the glass completely collapsed! It crumbled into very small glass fragments☹️☹️☹️")</f>
        <v>The hood is good according to its technical characteristics, but after 7 years the glass completely collapsed! It crumbled into very small glass fragments☹️☹️☹️</v>
      </c>
    </row>
    <row r="1062" spans="1:9" x14ac:dyDescent="0.3">
      <c r="A1062" s="1" t="s">
        <v>169</v>
      </c>
      <c r="B1062" s="1" t="s">
        <v>170</v>
      </c>
      <c r="C1062" s="1" t="s">
        <v>122</v>
      </c>
      <c r="D1062" s="1" t="s">
        <v>2497</v>
      </c>
      <c r="E1062" s="1" t="s">
        <v>585</v>
      </c>
      <c r="F1062" s="1" t="s">
        <v>2498</v>
      </c>
      <c r="G1062" s="1" t="s">
        <v>28</v>
      </c>
      <c r="H1062" s="1" t="s">
        <v>29</v>
      </c>
      <c r="I1062" s="1" t="str">
        <f ca="1">IFERROR(__xludf.DUMMYFUNCTION("GOOGLETRANSLATE(F1062, ""auto"", ""en"")
"),"Regular headphones. Nothing special. The sound is good, the quality is also good. So if you just need to listen to music or watch a movie with headphones, the Panasonic RP-HT6 is what you need)")</f>
        <v>Regular headphones. Nothing special. The sound is good, the quality is also good. So if you just need to listen to music or watch a movie with headphones, the Panasonic RP-HT6 is what you need)</v>
      </c>
    </row>
    <row r="1063" spans="1:9" x14ac:dyDescent="0.3">
      <c r="A1063" s="1" t="s">
        <v>43</v>
      </c>
      <c r="B1063" s="1" t="s">
        <v>219</v>
      </c>
      <c r="C1063" s="1" t="s">
        <v>220</v>
      </c>
      <c r="D1063" s="1" t="s">
        <v>2499</v>
      </c>
      <c r="E1063" s="1" t="s">
        <v>2500</v>
      </c>
      <c r="F1063" s="1" t="s">
        <v>2501</v>
      </c>
      <c r="G1063" s="1" t="s">
        <v>36</v>
      </c>
      <c r="H1063" s="1" t="s">
        <v>29</v>
      </c>
      <c r="I1063" s="1" t="str">
        <f ca="1">IFERROR(__xludf.DUMMYFUNCTION("GOOGLETRANSLATE(F1063, ""auto"", ""en"")
"),"Price. Quality.")</f>
        <v>Price. Quality.</v>
      </c>
    </row>
    <row r="1064" spans="1:9" x14ac:dyDescent="0.3">
      <c r="A1064" s="1" t="s">
        <v>105</v>
      </c>
      <c r="B1064" s="1" t="s">
        <v>106</v>
      </c>
      <c r="C1064" s="1" t="s">
        <v>1921</v>
      </c>
      <c r="D1064" s="1" t="s">
        <v>1509</v>
      </c>
      <c r="E1064" s="1" t="s">
        <v>2502</v>
      </c>
      <c r="F1064" s="1" t="s">
        <v>2503</v>
      </c>
      <c r="G1064" s="1" t="s">
        <v>36</v>
      </c>
      <c r="H1064" s="1" t="s">
        <v>29</v>
      </c>
      <c r="I1064" s="1" t="str">
        <f ca="1">IFERROR(__xludf.DUMMYFUNCTION("GOOGLETRANSLATE(F1064, ""auto"", ""en"")
"),"I don’t know, maybe you need to read the instructions and then use it. You can delete it here! And it’s also easy to exit the recording by holding down the letter “M”. and when you turn it off, the sound remains the same. I like this player everyone")</f>
        <v>I don’t know, maybe you need to read the instructions and then use it. You can delete it here! And it’s also easy to exit the recording by holding down the letter “M”. and when you turn it off, the sound remains the same. I like this player everyone</v>
      </c>
    </row>
    <row r="1065" spans="1:9" x14ac:dyDescent="0.3">
      <c r="A1065" s="1" t="s">
        <v>965</v>
      </c>
      <c r="B1065" s="1" t="s">
        <v>966</v>
      </c>
      <c r="C1065" s="1" t="s">
        <v>967</v>
      </c>
      <c r="D1065" s="1" t="s">
        <v>2504</v>
      </c>
      <c r="E1065" s="1" t="s">
        <v>1649</v>
      </c>
      <c r="F1065" s="1" t="s">
        <v>2505</v>
      </c>
      <c r="G1065" s="1" t="s">
        <v>36</v>
      </c>
      <c r="H1065" s="1" t="s">
        <v>29</v>
      </c>
      <c r="I1065" s="1" t="str">
        <f ca="1">IFERROR(__xludf.DUMMYFUNCTION("GOOGLETRANSLATE(F1065, ""auto"", ""en"")
"),"I took it today. Everything suits me. Good sub.")</f>
        <v>I took it today. Everything suits me. Good sub.</v>
      </c>
    </row>
    <row r="1066" spans="1:9" x14ac:dyDescent="0.3">
      <c r="A1066" s="1" t="s">
        <v>624</v>
      </c>
      <c r="B1066" s="1" t="s">
        <v>2107</v>
      </c>
      <c r="C1066" s="1" t="s">
        <v>479</v>
      </c>
      <c r="D1066" s="1" t="s">
        <v>2145</v>
      </c>
      <c r="E1066" s="1" t="s">
        <v>2506</v>
      </c>
      <c r="F1066" s="1" t="s">
        <v>2507</v>
      </c>
      <c r="G1066" s="1" t="s">
        <v>36</v>
      </c>
      <c r="H1066" s="1" t="s">
        <v>29</v>
      </c>
      <c r="I1066" s="1" t="str">
        <f ca="1">IFERROR(__xludf.DUMMYFUNCTION("GOOGLETRANSLATE(F1066, ""auto"", ""en"")
"),"I recommend everyone to play! There is a great co-op for 2 people! Nikita is right, you need to know English because all tasks are in English! I recommend this great game to everyone: a lot of blood, killings, fun!")</f>
        <v>I recommend everyone to play! There is a great co-op for 2 people! Nikita is right, you need to know English because all tasks are in English! I recommend this great game to everyone: a lot of blood, killings, fun!</v>
      </c>
    </row>
    <row r="1067" spans="1:9" x14ac:dyDescent="0.3">
      <c r="A1067" s="1" t="s">
        <v>211</v>
      </c>
      <c r="B1067" s="1" t="s">
        <v>212</v>
      </c>
      <c r="C1067" s="1" t="s">
        <v>381</v>
      </c>
      <c r="D1067" s="1" t="s">
        <v>474</v>
      </c>
      <c r="E1067" s="1" t="s">
        <v>1352</v>
      </c>
      <c r="F1067" s="1" t="s">
        <v>2508</v>
      </c>
      <c r="G1067" s="1" t="s">
        <v>28</v>
      </c>
      <c r="H1067" s="1" t="s">
        <v>29</v>
      </c>
      <c r="I1067" s="1" t="str">
        <f ca="1">IFERROR(__xludf.DUMMYFUNCTION("GOOGLETRANSLATE(F1067, ""auto"", ""en"")
"),"I bought it a year ago.   Pros: - straightens perfectly, - heats up quickly, - has a lock.  Cons: During use, one significant drawback emerged - the contacts connecting the cord to the body come off... as a result, the rectifier does not work. I had to re"&amp;"wind it with tape. The cord has never been bent or twisted. A friend has the same problem with this particular straightener.")</f>
        <v>I bought it a year ago.   Pros: - straightens perfectly, - heats up quickly, - has a lock.  Cons: During use, one significant drawback emerged - the contacts connecting the cord to the body come off... as a result, the rectifier does not work. I had to rewind it with tape. The cord has never been bent or twisted. A friend has the same problem with this particular straightener.</v>
      </c>
    </row>
    <row r="1068" spans="1:9" x14ac:dyDescent="0.3">
      <c r="A1068" s="1" t="s">
        <v>61</v>
      </c>
      <c r="B1068" s="1" t="s">
        <v>726</v>
      </c>
      <c r="C1068" s="1" t="s">
        <v>74</v>
      </c>
      <c r="D1068" s="1" t="s">
        <v>295</v>
      </c>
      <c r="E1068" s="1" t="s">
        <v>1723</v>
      </c>
      <c r="F1068" s="1" t="s">
        <v>2509</v>
      </c>
      <c r="G1068" s="1" t="s">
        <v>36</v>
      </c>
      <c r="H1068" s="1" t="s">
        <v>29</v>
      </c>
      <c r="I1068" s="1" t="str">
        <f ca="1">IFERROR(__xludf.DUMMYFUNCTION("GOOGLETRANSLATE(F1068, ""auto"", ""en"")
"),"I really liked the stove itself, but... I pressed something in it, it works, at least the programs switch, but don’t start, maybe someone knows how to deal with it.")</f>
        <v>I really liked the stove itself, but... I pressed something in it, it works, at least the programs switch, but don’t start, maybe someone knows how to deal with it.</v>
      </c>
    </row>
    <row r="1069" spans="1:9" x14ac:dyDescent="0.3">
      <c r="A1069" s="1" t="s">
        <v>61</v>
      </c>
      <c r="B1069" s="1" t="s">
        <v>224</v>
      </c>
      <c r="C1069" s="1" t="s">
        <v>74</v>
      </c>
      <c r="D1069" s="1" t="s">
        <v>75</v>
      </c>
      <c r="E1069" s="1" t="s">
        <v>1723</v>
      </c>
      <c r="F1069" s="1" t="s">
        <v>2510</v>
      </c>
      <c r="G1069" s="1" t="s">
        <v>36</v>
      </c>
      <c r="H1069" s="1" t="s">
        <v>29</v>
      </c>
      <c r="I1069" s="1" t="str">
        <f ca="1">IFERROR(__xludf.DUMMYFUNCTION("GOOGLETRANSLATE(F1069, ""auto"", ""en"")
"),"I've been using it for a week. We chose from powerful ones and not expensive ones. And for a steel body. Analogs were much more expensive.   Pros: ability to make a lot of juice at once, steel body.   Cons: Very large (takes up a lot of space in the kitch"&amp;"en) Overall, 5 stars, I really like it.")</f>
        <v>I've been using it for a week. We chose from powerful ones and not expensive ones. And for a steel body. Analogs were much more expensive.   Pros: ability to make a lot of juice at once, steel body.   Cons: Very large (takes up a lot of space in the kitchen) Overall, 5 stars, I really like it.</v>
      </c>
    </row>
    <row r="1070" spans="1:9" x14ac:dyDescent="0.3">
      <c r="A1070" s="1" t="s">
        <v>30</v>
      </c>
      <c r="B1070" s="1" t="s">
        <v>50</v>
      </c>
      <c r="C1070" s="1" t="s">
        <v>694</v>
      </c>
      <c r="D1070" s="1" t="s">
        <v>2511</v>
      </c>
      <c r="E1070" s="1" t="s">
        <v>2512</v>
      </c>
      <c r="F1070" s="1" t="s">
        <v>2513</v>
      </c>
      <c r="G1070" s="1" t="s">
        <v>36</v>
      </c>
      <c r="H1070" s="1" t="s">
        <v>29</v>
      </c>
      <c r="I1070" s="1" t="str">
        <f ca="1">IFERROR(__xludf.DUMMYFUNCTION("GOOGLETRANSLATE(F1070, ""auto"", ""en"")
"),"Rejoice! Key reassignment program found. Catch the link - teutonick.ru/download/sharpkeys3.zip The laptop is super, just the letter on the lEnovo mug has come off")</f>
        <v>Rejoice! Key reassignment program found. Catch the link - teutonick.ru/download/sharpkeys3.zip The laptop is super, just the letter on the lEnovo mug has come off</v>
      </c>
    </row>
    <row r="1071" spans="1:9" x14ac:dyDescent="0.3">
      <c r="A1071" s="1" t="s">
        <v>211</v>
      </c>
      <c r="B1071" s="1" t="s">
        <v>384</v>
      </c>
      <c r="C1071" s="1" t="s">
        <v>246</v>
      </c>
      <c r="D1071" s="1" t="s">
        <v>81</v>
      </c>
      <c r="E1071" s="1" t="s">
        <v>2514</v>
      </c>
      <c r="F1071" s="1" t="s">
        <v>2515</v>
      </c>
      <c r="G1071" s="1" t="s">
        <v>36</v>
      </c>
      <c r="H1071" s="1" t="s">
        <v>29</v>
      </c>
      <c r="I1071" s="1" t="str">
        <f ca="1">IFERROR(__xludf.DUMMYFUNCTION("GOOGLETRANSLATE(F1071, ""auto"", ""en"")
"),"Libra is super, they don’t lie 5+.")</f>
        <v>Libra is super, they don’t lie 5+.</v>
      </c>
    </row>
    <row r="1072" spans="1:9" x14ac:dyDescent="0.3">
      <c r="A1072" s="1" t="s">
        <v>624</v>
      </c>
      <c r="B1072" s="1" t="s">
        <v>2107</v>
      </c>
      <c r="C1072" s="1" t="s">
        <v>479</v>
      </c>
      <c r="D1072" s="1" t="s">
        <v>2516</v>
      </c>
      <c r="E1072" s="1" t="s">
        <v>1955</v>
      </c>
      <c r="F1072" s="1" t="s">
        <v>2517</v>
      </c>
      <c r="G1072" s="1" t="s">
        <v>36</v>
      </c>
      <c r="H1072" s="1" t="s">
        <v>29</v>
      </c>
      <c r="I1072" s="1" t="str">
        <f ca="1">IFERROR(__xludf.DUMMYFUNCTION("GOOGLETRANSLATE(F1072, ""auto"", ""en"")
"),"Cool:)")</f>
        <v>Cool:)</v>
      </c>
    </row>
    <row r="1073" spans="1:9" x14ac:dyDescent="0.3">
      <c r="A1073" s="1" t="s">
        <v>2087</v>
      </c>
      <c r="B1073" s="1" t="s">
        <v>2088</v>
      </c>
      <c r="C1073" s="1" t="s">
        <v>1771</v>
      </c>
      <c r="D1073" s="1" t="s">
        <v>208</v>
      </c>
      <c r="E1073" s="1" t="s">
        <v>2518</v>
      </c>
      <c r="F1073" s="1" t="s">
        <v>2519</v>
      </c>
      <c r="G1073" s="1" t="s">
        <v>28</v>
      </c>
      <c r="H1073" s="1" t="s">
        <v>29</v>
      </c>
      <c r="I1073" s="1" t="str">
        <f ca="1">IFERROR(__xludf.DUMMYFUNCTION("GOOGLETRANSLATE(F1073, ""auto"", ""en"")
"),"Guys, the device is good, but I ran into a problem. When watching Blu-ray discs, pixels run through some fragments, tell me what the problem is.")</f>
        <v>Guys, the device is good, but I ran into a problem. When watching Blu-ray discs, pixels run through some fragments, tell me what the problem is.</v>
      </c>
    </row>
    <row r="1074" spans="1:9" x14ac:dyDescent="0.3">
      <c r="A1074" s="1" t="s">
        <v>61</v>
      </c>
      <c r="B1074" s="1" t="s">
        <v>145</v>
      </c>
      <c r="C1074" s="1" t="s">
        <v>246</v>
      </c>
      <c r="D1074" s="1" t="s">
        <v>545</v>
      </c>
      <c r="E1074" s="1" t="s">
        <v>543</v>
      </c>
      <c r="F1074" s="1" t="s">
        <v>2520</v>
      </c>
      <c r="G1074" s="1" t="s">
        <v>36</v>
      </c>
      <c r="H1074" s="1" t="s">
        <v>29</v>
      </c>
      <c r="I1074" s="1" t="str">
        <f ca="1">IFERROR(__xludf.DUMMYFUNCTION("GOOGLETRANSLATE(F1074, ""auto"", ""en"")
"),"My husband and I looked at the deep fryer for a long time and decided to buy it. A very convenient thing, the most important thing is that the minimum amount of oil is needed for potatoes, I made the meat according to the recipe from the recipe book. Simp"&amp;"ly delicious. The family is happy.")</f>
        <v>My husband and I looked at the deep fryer for a long time and decided to buy it. A very convenient thing, the most important thing is that the minimum amount of oil is needed for potatoes, I made the meat according to the recipe from the recipe book. Simply delicious. The family is happy.</v>
      </c>
    </row>
    <row r="1075" spans="1:9" x14ac:dyDescent="0.3">
      <c r="A1075" s="1" t="s">
        <v>61</v>
      </c>
      <c r="B1075" s="1" t="s">
        <v>318</v>
      </c>
      <c r="C1075" s="1" t="s">
        <v>63</v>
      </c>
      <c r="D1075" s="1" t="s">
        <v>2521</v>
      </c>
      <c r="E1075" s="1" t="s">
        <v>569</v>
      </c>
      <c r="F1075" s="1" t="s">
        <v>2522</v>
      </c>
      <c r="G1075" s="1" t="s">
        <v>36</v>
      </c>
      <c r="H1075" s="1" t="s">
        <v>29</v>
      </c>
      <c r="I1075" s="1" t="str">
        <f ca="1">IFERROR(__xludf.DUMMYFUNCTION("GOOGLETRANSLATE(F1075, ""auto"", ""en"")
"),"I've been using it for 2.5 years. No problem. It heats up quickly and turns off immediately. It’s convenient to pour from it; nothing spills over.")</f>
        <v>I've been using it for 2.5 years. No problem. It heats up quickly and turns off immediately. It’s convenient to pour from it; nothing spills over.</v>
      </c>
    </row>
    <row r="1076" spans="1:9" x14ac:dyDescent="0.3">
      <c r="A1076" s="1" t="s">
        <v>211</v>
      </c>
      <c r="B1076" s="1" t="s">
        <v>856</v>
      </c>
      <c r="C1076" s="1" t="s">
        <v>57</v>
      </c>
      <c r="D1076" s="1" t="s">
        <v>305</v>
      </c>
      <c r="E1076" s="1" t="s">
        <v>1441</v>
      </c>
      <c r="F1076" s="1" t="s">
        <v>2523</v>
      </c>
      <c r="G1076" s="1" t="s">
        <v>36</v>
      </c>
      <c r="H1076" s="1" t="s">
        <v>29</v>
      </c>
      <c r="I1076" s="1" t="str">
        <f ca="1">IFERROR(__xludf.DUMMYFUNCTION("GOOGLETRANSLATE(F1076, ""auto"", ""en"")
"),"Helped cope with fatigue in both feet and knees. I really liked the price-to-quality ratio, but alas, there is a tiny minus - the massage nozzle on the surface of the bath is noisy.")</f>
        <v>Helped cope with fatigue in both feet and knees. I really liked the price-to-quality ratio, but alas, there is a tiny minus - the massage nozzle on the surface of the bath is noisy.</v>
      </c>
    </row>
    <row r="1077" spans="1:9" x14ac:dyDescent="0.3">
      <c r="A1077" s="1" t="s">
        <v>37</v>
      </c>
      <c r="B1077" s="1" t="s">
        <v>536</v>
      </c>
      <c r="C1077" s="1" t="s">
        <v>163</v>
      </c>
      <c r="D1077" s="1" t="s">
        <v>305</v>
      </c>
      <c r="E1077" s="1" t="s">
        <v>854</v>
      </c>
      <c r="F1077" s="1" t="s">
        <v>2524</v>
      </c>
      <c r="G1077" s="1" t="s">
        <v>36</v>
      </c>
      <c r="H1077" s="1" t="s">
        <v>29</v>
      </c>
      <c r="I1077" s="1" t="str">
        <f ca="1">IFERROR(__xludf.DUMMYFUNCTION("GOOGLETRANSLATE(F1077, ""auto"", ""en"")
"),"I recently bought it, I like everything, although my camera is not very good and one of the headphones is quieter than the other.")</f>
        <v>I recently bought it, I like everything, although my camera is not very good and one of the headphones is quieter than the other.</v>
      </c>
    </row>
    <row r="1078" spans="1:9" x14ac:dyDescent="0.3">
      <c r="A1078" s="1" t="s">
        <v>95</v>
      </c>
      <c r="B1078" s="1" t="s">
        <v>486</v>
      </c>
      <c r="C1078" s="1" t="s">
        <v>487</v>
      </c>
      <c r="D1078" s="1" t="s">
        <v>411</v>
      </c>
      <c r="E1078" s="1" t="s">
        <v>2525</v>
      </c>
      <c r="F1078" s="1" t="s">
        <v>2526</v>
      </c>
      <c r="G1078" s="1" t="s">
        <v>36</v>
      </c>
      <c r="H1078" s="1" t="s">
        <v>29</v>
      </c>
      <c r="I1078" s="1" t="str">
        <f ca="1">IFERROR(__xludf.DUMMYFUNCTION("GOOGLETRANSLATE(F1078, ""auto"", ""en"")
"),"Of course, Sony is losing out to Xbox in its golden era, this PlayStation 2 is, in my opinion, the best of Sony, but in all respects, Xbox outperforms their entire office.")</f>
        <v>Of course, Sony is losing out to Xbox in its golden era, this PlayStation 2 is, in my opinion, the best of Sony, but in all respects, Xbox outperforms their entire office.</v>
      </c>
    </row>
    <row r="1079" spans="1:9" x14ac:dyDescent="0.3">
      <c r="A1079" s="1" t="s">
        <v>61</v>
      </c>
      <c r="B1079" s="1" t="s">
        <v>318</v>
      </c>
      <c r="C1079" s="1" t="s">
        <v>213</v>
      </c>
      <c r="D1079" s="1" t="s">
        <v>2527</v>
      </c>
      <c r="E1079" s="1" t="s">
        <v>1675</v>
      </c>
      <c r="F1079" s="1" t="s">
        <v>2528</v>
      </c>
      <c r="G1079" s="1" t="s">
        <v>36</v>
      </c>
      <c r="H1079" s="1" t="s">
        <v>29</v>
      </c>
      <c r="I1079" s="1" t="str">
        <f ca="1">IFERROR(__xludf.DUMMYFUNCTION("GOOGLETRANSLATE(F1079, ""auto"", ""en"")
"),"I already forgot exactly when I bought it)) but definitely more than 8 years ago.  It's just now leaking. I haven’t noticed any downsides over so many years, and it’s a very nice design.  It’s a pity now the budget doesn’t allow it (((")</f>
        <v>I already forgot exactly when I bought it)) but definitely more than 8 years ago.  It's just now leaking. I haven’t noticed any downsides over so many years, and it’s a very nice design.  It’s a pity now the budget doesn’t allow it (((</v>
      </c>
    </row>
    <row r="1080" spans="1:9" x14ac:dyDescent="0.3">
      <c r="A1080" s="1" t="s">
        <v>37</v>
      </c>
      <c r="B1080" s="1" t="s">
        <v>355</v>
      </c>
      <c r="C1080" s="1" t="s">
        <v>356</v>
      </c>
      <c r="D1080" s="1" t="s">
        <v>568</v>
      </c>
      <c r="E1080" s="1" t="s">
        <v>2529</v>
      </c>
      <c r="F1080" s="1" t="s">
        <v>2530</v>
      </c>
      <c r="G1080" s="1" t="s">
        <v>36</v>
      </c>
      <c r="H1080" s="1" t="s">
        <v>29</v>
      </c>
      <c r="I1080" s="1" t="str">
        <f ca="1">IFERROR(__xludf.DUMMYFUNCTION("GOOGLETRANSLATE(F1080, ""auto"", ""en"")
"),"It's funny to read comments from WM or Symbian users, be it HTC or Samsung or Nokia. All your great smartphones, due to an unusable touch screen, turn into pieces of g...a stuffed with functions. I’m generally silent about ease of use. And all those disad"&amp;"vantages or supposedly missing functions only mean that you don’t know anything about iPhone OS. I used HTC Diamond 2, Nokia N900, Samsung WiTu, not cheap phones by the way, and all of them were not lying around precisely because of ease of use. And the w"&amp;"retched toys and programs on WM are generally funny and absurd. You can continue to defend your poor bricks here by omitting what you stupidly didn’t buy or sold without understanding.")</f>
        <v>It's funny to read comments from WM or Symbian users, be it HTC or Samsung or Nokia. All your great smartphones, due to an unusable touch screen, turn into pieces of g...a stuffed with functions. I’m generally silent about ease of use. And all those disadvantages or supposedly missing functions only mean that you don’t know anything about iPhone OS. I used HTC Diamond 2, Nokia N900, Samsung WiTu, not cheap phones by the way, and all of them were not lying around precisely because of ease of use. And the wretched toys and programs on WM are generally funny and absurd. You can continue to defend your poor bricks here by omitting what you stupidly didn’t buy or sold without understanding.</v>
      </c>
    </row>
    <row r="1081" spans="1:9" x14ac:dyDescent="0.3">
      <c r="A1081" s="1" t="s">
        <v>477</v>
      </c>
      <c r="B1081" s="1" t="s">
        <v>478</v>
      </c>
      <c r="C1081" s="1" t="s">
        <v>479</v>
      </c>
      <c r="D1081" s="1" t="s">
        <v>1917</v>
      </c>
      <c r="E1081" s="1" t="s">
        <v>2531</v>
      </c>
      <c r="F1081" s="1" t="s">
        <v>2532</v>
      </c>
      <c r="G1081" s="1" t="s">
        <v>36</v>
      </c>
      <c r="H1081" s="1" t="s">
        <v>29</v>
      </c>
      <c r="I1081" s="1" t="str">
        <f ca="1">IFERROR(__xludf.DUMMYFUNCTION("GOOGLETRANSLATE(F1081, ""auto"", ""en"")
"),"Today I'll go and buy it)))))")</f>
        <v>Today I'll go and buy it)))))</v>
      </c>
    </row>
    <row r="1082" spans="1:9" x14ac:dyDescent="0.3">
      <c r="A1082" s="1" t="s">
        <v>477</v>
      </c>
      <c r="B1082" s="1" t="s">
        <v>478</v>
      </c>
      <c r="C1082" s="1" t="s">
        <v>479</v>
      </c>
      <c r="D1082" s="1" t="s">
        <v>81</v>
      </c>
      <c r="E1082" s="1" t="s">
        <v>2533</v>
      </c>
      <c r="F1082" s="1" t="s">
        <v>2534</v>
      </c>
      <c r="G1082" s="1" t="s">
        <v>15</v>
      </c>
      <c r="H1082" s="1" t="s">
        <v>16</v>
      </c>
      <c r="I1082" s="1" t="str">
        <f ca="1">IFERROR(__xludf.DUMMYFUNCTION("GOOGLETRANSLATE(F1082, ""auto"", ""en"")
"),"Terrible. So much expectation - and such disappointment.  There is one consolation - I was waiting for the Xbox 360, but the release was delayed and I played a pirated game, I didn’t pay any money (and I was ready to pay more than 3 grand for the box vers"&amp;"ion, if necessary). Of course, I didn’t expect such a narrow-minded and stripped-down game. I'd rather buy RDR for the same money. In general, there have been some disappointments lately: Mafia 2, Splinter Cell, Dante's Inferno - everything is somehow slo"&amp;"ppily short and unfinished.    I hope Fable 3 doesn't let me down.")</f>
        <v>Terrible. So much expectation - and such disappointment.  There is one consolation - I was waiting for the Xbox 360, but the release was delayed and I played a pirated game, I didn’t pay any money (and I was ready to pay more than 3 grand for the box version, if necessary). Of course, I didn’t expect such a narrow-minded and stripped-down game. I'd rather buy RDR for the same money. In general, there have been some disappointments lately: Mafia 2, Splinter Cell, Dante's Inferno - everything is somehow sloppily short and unfinished.    I hope Fable 3 doesn't let me down.</v>
      </c>
    </row>
    <row r="1083" spans="1:9" x14ac:dyDescent="0.3">
      <c r="A1083" s="1" t="s">
        <v>61</v>
      </c>
      <c r="B1083" s="1" t="s">
        <v>145</v>
      </c>
      <c r="C1083" s="1" t="s">
        <v>69</v>
      </c>
      <c r="D1083" s="1" t="s">
        <v>139</v>
      </c>
      <c r="E1083" s="1" t="s">
        <v>2535</v>
      </c>
      <c r="F1083" s="1" t="s">
        <v>2536</v>
      </c>
      <c r="G1083" s="1" t="s">
        <v>36</v>
      </c>
      <c r="H1083" s="1" t="s">
        <v>29</v>
      </c>
      <c r="I1083" s="1" t="str">
        <f ca="1">IFERROR(__xludf.DUMMYFUNCTION("GOOGLETRANSLATE(F1083, ""auto"", ""en"")
"),"We’ve been using it for two years now, it’s an excellent steamer. We cook it often, it’s just super!")</f>
        <v>We’ve been using it for two years now, it’s an excellent steamer. We cook it often, it’s just super!</v>
      </c>
    </row>
    <row r="1084" spans="1:9" x14ac:dyDescent="0.3">
      <c r="A1084" s="1" t="s">
        <v>95</v>
      </c>
      <c r="B1084" s="1" t="s">
        <v>648</v>
      </c>
      <c r="C1084" s="1" t="s">
        <v>97</v>
      </c>
      <c r="D1084" s="1" t="s">
        <v>280</v>
      </c>
      <c r="E1084" s="1" t="s">
        <v>460</v>
      </c>
      <c r="F1084" s="1" t="s">
        <v>2537</v>
      </c>
      <c r="G1084" s="1" t="s">
        <v>36</v>
      </c>
      <c r="H1084" s="1" t="s">
        <v>29</v>
      </c>
      <c r="I1084" s="1" t="str">
        <f ca="1">IFERROR(__xludf.DUMMYFUNCTION("GOOGLETRANSLATE(F1084, ""auto"", ""en"")
"),"Rating 5+!!")</f>
        <v>Rating 5+!!</v>
      </c>
    </row>
    <row r="1085" spans="1:9" x14ac:dyDescent="0.3">
      <c r="A1085" s="1" t="s">
        <v>105</v>
      </c>
      <c r="B1085" s="1" t="s">
        <v>106</v>
      </c>
      <c r="C1085" s="1" t="s">
        <v>151</v>
      </c>
      <c r="D1085" s="1" t="s">
        <v>2250</v>
      </c>
      <c r="E1085" s="1" t="s">
        <v>2325</v>
      </c>
      <c r="F1085" s="1" t="s">
        <v>2538</v>
      </c>
      <c r="G1085" s="1" t="s">
        <v>28</v>
      </c>
      <c r="H1085" s="1" t="s">
        <v>29</v>
      </c>
      <c r="I1085" s="1" t="str">
        <f ca="1">IFERROR(__xludf.DUMMYFUNCTION("GOOGLETRANSLATE(F1085, ""auto"", ""en"")
"),"The player is wonderful.  The sound is wonderful.")</f>
        <v>The player is wonderful.  The sound is wonderful.</v>
      </c>
    </row>
    <row r="1086" spans="1:9" x14ac:dyDescent="0.3">
      <c r="A1086" s="1" t="s">
        <v>211</v>
      </c>
      <c r="B1086" s="1" t="s">
        <v>265</v>
      </c>
      <c r="C1086" s="1" t="s">
        <v>57</v>
      </c>
      <c r="D1086" s="1" t="s">
        <v>1659</v>
      </c>
      <c r="E1086" s="1" t="s">
        <v>750</v>
      </c>
      <c r="F1086" s="1" t="s">
        <v>2539</v>
      </c>
      <c r="G1086" s="1" t="s">
        <v>49</v>
      </c>
      <c r="H1086" s="1" t="s">
        <v>16</v>
      </c>
      <c r="I1086" s="1" t="str">
        <f ca="1">IFERROR(__xludf.DUMMYFUNCTION("GOOGLETRANSLATE(F1086, ""auto"", ""en"")
"),"The most terrible machine, it chooses the cutting speed itself, it takes a long time to charge, it pulls out hair, if you put on the attachment, it barely whines at all!!!")</f>
        <v>The most terrible machine, it chooses the cutting speed itself, it takes a long time to charge, it pulls out hair, if you put on the attachment, it barely whines at all!!!</v>
      </c>
    </row>
    <row r="1087" spans="1:9" x14ac:dyDescent="0.3">
      <c r="A1087" s="1" t="s">
        <v>811</v>
      </c>
      <c r="B1087" s="1" t="s">
        <v>812</v>
      </c>
      <c r="C1087" s="1" t="s">
        <v>813</v>
      </c>
      <c r="D1087" s="1" t="s">
        <v>171</v>
      </c>
      <c r="E1087" s="1" t="s">
        <v>2540</v>
      </c>
      <c r="F1087" s="1" t="s">
        <v>2541</v>
      </c>
      <c r="G1087" s="1" t="s">
        <v>36</v>
      </c>
      <c r="H1087" s="1" t="s">
        <v>29</v>
      </c>
      <c r="I1087" s="1" t="str">
        <f ca="1">IFERROR(__xludf.DUMMYFUNCTION("GOOGLETRANSLATE(F1087, ""auto"", ""en"")
"),"I looked at other tripods...and I liked this one more. Tall, light, easy to carry. There are no problems with him) Everything is fine. I recommend it to all beginners))")</f>
        <v>I looked at other tripods...and I liked this one more. Tall, light, easy to carry. There are no problems with him) Everything is fine. I recommend it to all beginners))</v>
      </c>
    </row>
    <row r="1088" spans="1:9" x14ac:dyDescent="0.3">
      <c r="A1088" s="1" t="s">
        <v>61</v>
      </c>
      <c r="B1088" s="1" t="s">
        <v>977</v>
      </c>
      <c r="C1088" s="1" t="s">
        <v>85</v>
      </c>
      <c r="D1088" s="1" t="s">
        <v>171</v>
      </c>
      <c r="E1088" s="1" t="s">
        <v>131</v>
      </c>
      <c r="F1088" s="1" t="s">
        <v>2542</v>
      </c>
      <c r="G1088" s="1" t="s">
        <v>49</v>
      </c>
      <c r="H1088" s="1" t="s">
        <v>16</v>
      </c>
      <c r="I1088" s="1" t="str">
        <f ca="1">IFERROR(__xludf.DUMMYFUNCTION("GOOGLETRANSLATE(F1088, ""auto"", ""en"")
"),"We bought it, everything is great, it grinds everything, just delight.....The joy ended a month after the end of the warranty period....refused to work for more than 1 second...took it to Bork service - the verdict was ""the brains died on the control boa"&amp;"rd - a new board entirely with work ~6000""... A good device, but it is not worth the money, for much more money .. reliability like Scarlet or Throne.... none !!!  I don't recommend it to anyone!!  But if someone really wants it, then they should take it"&amp;" right away with additional services...")</f>
        <v>We bought it, everything is great, it grinds everything, just delight.....The joy ended a month after the end of the warranty period....refused to work for more than 1 second...took it to Bork service - the verdict was "the brains died on the control board - a new board entirely with work ~6000"... A good device, but it is not worth the money, for much more money .. reliability like Scarlet or Throne.... none !!!  I don't recommend it to anyone!!  But if someone really wants it, then they should take it right away with additional services...</v>
      </c>
    </row>
    <row r="1089" spans="1:9" x14ac:dyDescent="0.3">
      <c r="A1089" s="1" t="s">
        <v>9</v>
      </c>
      <c r="B1089" s="1" t="s">
        <v>137</v>
      </c>
      <c r="C1089" s="1" t="s">
        <v>159</v>
      </c>
      <c r="D1089" s="1" t="s">
        <v>565</v>
      </c>
      <c r="E1089" s="1" t="s">
        <v>2543</v>
      </c>
      <c r="F1089" s="1" t="s">
        <v>2544</v>
      </c>
      <c r="G1089" s="1" t="s">
        <v>36</v>
      </c>
      <c r="H1089" s="1" t="s">
        <v>29</v>
      </c>
      <c r="I1089" s="1" t="str">
        <f ca="1">IFERROR(__xludf.DUMMYFUNCTION("GOOGLETRANSLATE(F1089, ""auto"", ""en"")
"),"We bought the panel a year ago and are very pleased with the quality of work and functionality.")</f>
        <v>We bought the panel a year ago and are very pleased with the quality of work and functionality.</v>
      </c>
    </row>
    <row r="1090" spans="1:9" x14ac:dyDescent="0.3">
      <c r="A1090" s="1" t="s">
        <v>169</v>
      </c>
      <c r="B1090" s="1" t="s">
        <v>170</v>
      </c>
      <c r="C1090" s="1" t="s">
        <v>2545</v>
      </c>
      <c r="D1090" s="1" t="s">
        <v>2546</v>
      </c>
      <c r="E1090" s="1" t="s">
        <v>800</v>
      </c>
      <c r="F1090" s="1" t="s">
        <v>2547</v>
      </c>
      <c r="G1090" s="1" t="s">
        <v>49</v>
      </c>
      <c r="H1090" s="1" t="s">
        <v>16</v>
      </c>
      <c r="I1090" s="1" t="str">
        <f ca="1">IFERROR(__xludf.DUMMYFUNCTION("GOOGLETRANSLATE(F1090, ""auto"", ""en"")
"),"These are not headphones.. These are some kind of top-of-the-line headphones.. A waste of money...")</f>
        <v>These are not headphones.. These are some kind of top-of-the-line headphones.. A waste of money...</v>
      </c>
    </row>
    <row r="1091" spans="1:9" x14ac:dyDescent="0.3">
      <c r="A1091" s="1" t="s">
        <v>149</v>
      </c>
      <c r="B1091" s="1" t="s">
        <v>423</v>
      </c>
      <c r="C1091" s="1" t="s">
        <v>314</v>
      </c>
      <c r="D1091" s="1" t="s">
        <v>102</v>
      </c>
      <c r="E1091" s="1" t="s">
        <v>2548</v>
      </c>
      <c r="F1091" s="1" t="s">
        <v>2549</v>
      </c>
      <c r="G1091" s="1" t="s">
        <v>49</v>
      </c>
      <c r="H1091" s="1" t="s">
        <v>16</v>
      </c>
      <c r="I1091" s="1" t="str">
        <f ca="1">IFERROR(__xludf.DUMMYFUNCTION("GOOGLETRANSLATE(F1091, ""auto"", ""en"")
"),"Beautiful")</f>
        <v>Beautiful</v>
      </c>
    </row>
    <row r="1092" spans="1:9" x14ac:dyDescent="0.3">
      <c r="A1092" s="1" t="s">
        <v>30</v>
      </c>
      <c r="B1092" s="1" t="s">
        <v>50</v>
      </c>
      <c r="C1092" s="1" t="s">
        <v>2550</v>
      </c>
      <c r="D1092" s="1" t="s">
        <v>2551</v>
      </c>
      <c r="E1092" s="1" t="s">
        <v>1273</v>
      </c>
      <c r="F1092" s="1" t="s">
        <v>2552</v>
      </c>
      <c r="G1092" s="1" t="s">
        <v>36</v>
      </c>
      <c r="H1092" s="1" t="s">
        <v>29</v>
      </c>
      <c r="I1092" s="1" t="str">
        <f ca="1">IFERROR(__xludf.DUMMYFUNCTION("GOOGLETRANSLATE(F1092, ""auto"", ""en"")
"),"The laptop in its price category is simply super, but if you want a powerful one, you will have to pay 50 thousand!!!!! I bought it for the Internet and for resorts since I have a good computer at home.  The computer is very thin and stylish, the battery "&amp;"is powerful, the speaker is not quiet or noisy. Everything is fine!!!")</f>
        <v>The laptop in its price category is simply super, but if you want a powerful one, you will have to pay 50 thousand!!!!! I bought it for the Internet and for resorts since I have a good computer at home.  The computer is very thin and stylish, the battery is powerful, the speaker is not quiet or noisy. Everything is fine!!!</v>
      </c>
    </row>
    <row r="1093" spans="1:9" x14ac:dyDescent="0.3">
      <c r="A1093" s="1" t="s">
        <v>169</v>
      </c>
      <c r="B1093" s="1" t="s">
        <v>170</v>
      </c>
      <c r="C1093" s="1" t="s">
        <v>171</v>
      </c>
      <c r="D1093" s="1" t="s">
        <v>2553</v>
      </c>
      <c r="E1093" s="1" t="s">
        <v>1586</v>
      </c>
      <c r="F1093" s="1" t="s">
        <v>2554</v>
      </c>
      <c r="G1093" s="1" t="s">
        <v>49</v>
      </c>
      <c r="H1093" s="1" t="s">
        <v>16</v>
      </c>
      <c r="I1093" s="1" t="str">
        <f ca="1">IFERROR(__xludf.DUMMYFUNCTION("GOOGLETRANSLATE(F1093, ""auto"", ""en"")
"),"The headphones initially pleased me. The sound is more or less good, but the design is not very strong, both the plug and the wires and the covers on the ears, they worked for 2 months and one of the headphones broke (the cover came off and everything fel"&amp;"l out)")</f>
        <v>The headphones initially pleased me. The sound is more or less good, but the design is not very strong, both the plug and the wires and the covers on the ears, they worked for 2 months and one of the headphones broke (the cover came off and everything fell out)</v>
      </c>
    </row>
    <row r="1094" spans="1:9" x14ac:dyDescent="0.3">
      <c r="A1094" s="1" t="s">
        <v>361</v>
      </c>
      <c r="B1094" s="1" t="s">
        <v>2555</v>
      </c>
      <c r="C1094" s="1" t="s">
        <v>875</v>
      </c>
      <c r="D1094" s="1" t="s">
        <v>1506</v>
      </c>
      <c r="E1094" s="1" t="s">
        <v>82</v>
      </c>
      <c r="F1094" s="1" t="s">
        <v>2556</v>
      </c>
      <c r="G1094" s="1" t="s">
        <v>36</v>
      </c>
      <c r="H1094" s="1" t="s">
        <v>29</v>
      </c>
      <c r="I1094" s="1" t="str">
        <f ca="1">IFERROR(__xludf.DUMMYFUNCTION("GOOGLETRANSLATE(F1094, ""auto"", ""en"")
"),"I bought it and decided to test it in action, of course I didn’t hang it outside in the cold, but the result was pleasant - I poured boiling water at 18:00 in the evening and at 22:00 the next day it was hot, in general I was pleased - beautiful and comfo"&amp;"rtable design, handle made of non-slip material. I strongly recommend it, however, the lid is a little high, if the travel bag is not high, it will stick out, although it was tested in a lying position - there are no problems, it doesn’t leak, everything "&amp;"is fine, especially now it’s on sale, don’t miss this opportunity.")</f>
        <v>I bought it and decided to test it in action, of course I didn’t hang it outside in the cold, but the result was pleasant - I poured boiling water at 18:00 in the evening and at 22:00 the next day it was hot, in general I was pleased - beautiful and comfortable design, handle made of non-slip material. I strongly recommend it, however, the lid is a little high, if the travel bag is not high, it will stick out, although it was tested in a lying position - there are no problems, it doesn’t leak, everything is fine, especially now it’s on sale, don’t miss this opportunity.</v>
      </c>
    </row>
    <row r="1095" spans="1:9" x14ac:dyDescent="0.3">
      <c r="A1095" s="1" t="s">
        <v>211</v>
      </c>
      <c r="B1095" s="1" t="s">
        <v>212</v>
      </c>
      <c r="C1095" s="1" t="s">
        <v>63</v>
      </c>
      <c r="D1095" s="1" t="s">
        <v>64</v>
      </c>
      <c r="E1095" s="1" t="s">
        <v>2557</v>
      </c>
      <c r="F1095" s="1" t="s">
        <v>2558</v>
      </c>
      <c r="G1095" s="1" t="s">
        <v>28</v>
      </c>
      <c r="H1095" s="1" t="s">
        <v>29</v>
      </c>
      <c r="I1095" s="1" t="str">
        <f ca="1">IFERROR(__xludf.DUMMYFUNCTION("GOOGLETRANSLATE(F1095, ""auto"", ""en"")
"),"Nice design, lightweight, powerful little thing. I bought it for the presence of a diffuser and light weight. Cold air is rather warm and you have to constantly press this button with your finger. In normal mode, the air is too hot, especially at the seco"&amp;"nd speed, it’s just scalding-squally.")</f>
        <v>Nice design, lightweight, powerful little thing. I bought it for the presence of a diffuser and light weight. Cold air is rather warm and you have to constantly press this button with your finger. In normal mode, the air is too hot, especially at the second speed, it’s just scalding-squally.</v>
      </c>
    </row>
    <row r="1096" spans="1:9" x14ac:dyDescent="0.3">
      <c r="A1096" s="1" t="s">
        <v>211</v>
      </c>
      <c r="B1096" s="1" t="s">
        <v>410</v>
      </c>
      <c r="C1096" s="1" t="s">
        <v>213</v>
      </c>
      <c r="D1096" s="1" t="s">
        <v>232</v>
      </c>
      <c r="E1096" s="1" t="s">
        <v>868</v>
      </c>
      <c r="F1096" s="1" t="s">
        <v>2559</v>
      </c>
      <c r="G1096" s="1" t="s">
        <v>28</v>
      </c>
      <c r="H1096" s="1" t="s">
        <v>29</v>
      </c>
      <c r="I1096" s="1" t="str">
        <f ca="1">IFERROR(__xludf.DUMMYFUNCTION("GOOGLETRANSLATE(F1096, ""auto"", ""en"")
"),"It took me a long time to choose a razor (before that there were 2 Philips), I didn’t really like the last one with the wet shaving system. I bought a Brown Series 7, I’m happy with my choice, it doesn’t pull out hair, it shave well, there’s no irritation"&amp;". I recommend")</f>
        <v>It took me a long time to choose a razor (before that there were 2 Philips), I didn’t really like the last one with the wet shaving system. I bought a Brown Series 7, I’m happy with my choice, it doesn’t pull out hair, it shave well, there’s no irritation. I recommend</v>
      </c>
    </row>
    <row r="1097" spans="1:9" x14ac:dyDescent="0.3">
      <c r="A1097" s="1" t="s">
        <v>61</v>
      </c>
      <c r="B1097" s="1" t="s">
        <v>726</v>
      </c>
      <c r="C1097" s="1" t="s">
        <v>85</v>
      </c>
      <c r="D1097" s="1" t="s">
        <v>2560</v>
      </c>
      <c r="E1097" s="1" t="s">
        <v>2561</v>
      </c>
      <c r="F1097" s="1" t="s">
        <v>2562</v>
      </c>
      <c r="G1097" s="1" t="s">
        <v>36</v>
      </c>
      <c r="H1097" s="1" t="s">
        <v>29</v>
      </c>
      <c r="I1097" s="1" t="str">
        <f ca="1">IFERROR(__xludf.DUMMYFUNCTION("GOOGLETRANSLATE(F1097, ""auto"", ""en"")
"),"Good bread maker. With a good crust, the smell throughout the apartment is very tasty.  I buy bread mixtures with different additives and it turns out excellent bread)))). There is no plastic smell.")</f>
        <v>Good bread maker. With a good crust, the smell throughout the apartment is very tasty.  I buy bread mixtures with different additives and it turns out excellent bread)))). There is no plastic smell.</v>
      </c>
    </row>
    <row r="1098" spans="1:9" x14ac:dyDescent="0.3">
      <c r="A1098" s="1" t="s">
        <v>61</v>
      </c>
      <c r="B1098" s="1" t="s">
        <v>62</v>
      </c>
      <c r="C1098" s="1" t="s">
        <v>146</v>
      </c>
      <c r="D1098" s="1" t="s">
        <v>875</v>
      </c>
      <c r="E1098" s="1" t="s">
        <v>2563</v>
      </c>
      <c r="F1098" s="1" t="s">
        <v>2564</v>
      </c>
      <c r="G1098" s="1" t="s">
        <v>36</v>
      </c>
      <c r="H1098" s="1" t="s">
        <v>29</v>
      </c>
      <c r="I1098" s="1" t="str">
        <f ca="1">IFERROR(__xludf.DUMMYFUNCTION("GOOGLETRANSLATE(F1098, ""auto"", ""en"")
"),"I bought it to help my mother)) I really liked the appearance - a metal case, a glass blender, a coffee grinder, and graters and shredders - standard!! A little noisy, but mom is happy. Now he’s asking for a meat grinder from the same company!)")</f>
        <v>I bought it to help my mother)) I really liked the appearance - a metal case, a glass blender, a coffee grinder, and graters and shredders - standard!! A little noisy, but mom is happy. Now he’s asking for a meat grinder from the same company!)</v>
      </c>
    </row>
    <row r="1099" spans="1:9" x14ac:dyDescent="0.3">
      <c r="A1099" s="1" t="s">
        <v>61</v>
      </c>
      <c r="B1099" s="1" t="s">
        <v>224</v>
      </c>
      <c r="C1099" s="1" t="s">
        <v>74</v>
      </c>
      <c r="D1099" s="1" t="s">
        <v>247</v>
      </c>
      <c r="E1099" s="1" t="s">
        <v>2565</v>
      </c>
      <c r="F1099" s="1" t="s">
        <v>2566</v>
      </c>
      <c r="G1099" s="1" t="s">
        <v>36</v>
      </c>
      <c r="H1099" s="1" t="s">
        <v>29</v>
      </c>
      <c r="I1099" s="1" t="str">
        <f ca="1">IFERROR(__xludf.DUMMYFUNCTION("GOOGLETRANSLATE(F1099, ""auto"", ""en"")
"),"Our family was given a juicer of this model. We tried it on the same day and were very pleased! Before this we used another one for a similar price, a good brand, but this one is better. At speed 2 the pulp is very dry. The juice comes out clean. If you a"&amp;"re looking to buy a non-industrial juicer and your kitchen is of modest size, then this juicer is worth a look.")</f>
        <v>Our family was given a juicer of this model. We tried it on the same day and were very pleased! Before this we used another one for a similar price, a good brand, but this one is better. At speed 2 the pulp is very dry. The juice comes out clean. If you are looking to buy a non-industrial juicer and your kitchen is of modest size, then this juicer is worth a look.</v>
      </c>
    </row>
    <row r="1100" spans="1:9" x14ac:dyDescent="0.3">
      <c r="A1100" s="1" t="s">
        <v>477</v>
      </c>
      <c r="B1100" s="1" t="s">
        <v>478</v>
      </c>
      <c r="C1100" s="1" t="s">
        <v>479</v>
      </c>
      <c r="D1100" s="1" t="s">
        <v>2567</v>
      </c>
      <c r="E1100" s="1" t="s">
        <v>285</v>
      </c>
      <c r="F1100" s="1" t="s">
        <v>2568</v>
      </c>
      <c r="G1100" s="1" t="s">
        <v>36</v>
      </c>
      <c r="H1100" s="1" t="s">
        <v>29</v>
      </c>
      <c r="I1100" s="1" t="str">
        <f ca="1">IFERROR(__xludf.DUMMYFUNCTION("GOOGLETRANSLATE(F1100, ""auto"", ""en"")
"),"The game is really good, but for those who love simulators (including managing people's lives).  The licensed version provides many benefits.")</f>
        <v>The game is really good, but for those who love simulators (including managing people's lives).  The licensed version provides many benefits.</v>
      </c>
    </row>
    <row r="1101" spans="1:9" x14ac:dyDescent="0.3">
      <c r="A1101" s="1" t="s">
        <v>89</v>
      </c>
      <c r="B1101" s="1" t="s">
        <v>90</v>
      </c>
      <c r="C1101" s="1" t="s">
        <v>63</v>
      </c>
      <c r="D1101" s="1" t="s">
        <v>2145</v>
      </c>
      <c r="E1101" s="1" t="s">
        <v>2569</v>
      </c>
      <c r="F1101" s="1" t="s">
        <v>2570</v>
      </c>
      <c r="G1101" s="1" t="s">
        <v>94</v>
      </c>
      <c r="H1101" s="1" t="s">
        <v>29</v>
      </c>
      <c r="I1101" s="1" t="str">
        <f ca="1">IFERROR(__xludf.DUMMYFUNCTION("GOOGLETRANSLATE(F1101, ""auto"", ""en"")
"),"price,")</f>
        <v>price,</v>
      </c>
    </row>
    <row r="1102" spans="1:9" x14ac:dyDescent="0.3">
      <c r="A1102" s="1" t="s">
        <v>105</v>
      </c>
      <c r="B1102" s="1" t="s">
        <v>106</v>
      </c>
      <c r="C1102" s="1" t="s">
        <v>151</v>
      </c>
      <c r="D1102" s="1" t="s">
        <v>152</v>
      </c>
      <c r="E1102" s="1" t="s">
        <v>2571</v>
      </c>
      <c r="F1102" s="1" t="s">
        <v>2572</v>
      </c>
      <c r="G1102" s="1" t="s">
        <v>49</v>
      </c>
      <c r="H1102" s="1" t="s">
        <v>16</v>
      </c>
      <c r="I1102" s="1" t="str">
        <f ca="1">IFERROR(__xludf.DUMMYFUNCTION("GOOGLETRANSLATE(F1102, ""auto"", ""en"")
"),"Disappointed: The battery lasts no more than 10 hours with the screen off and the volume at full volume.")</f>
        <v>Disappointed: The battery lasts no more than 10 hours with the screen off and the volume at full volume.</v>
      </c>
    </row>
    <row r="1103" spans="1:9" x14ac:dyDescent="0.3">
      <c r="A1103" s="1" t="s">
        <v>211</v>
      </c>
      <c r="B1103" s="1" t="s">
        <v>212</v>
      </c>
      <c r="C1103" s="1" t="s">
        <v>294</v>
      </c>
      <c r="D1103" s="1" t="s">
        <v>2573</v>
      </c>
      <c r="E1103" s="1" t="s">
        <v>1384</v>
      </c>
      <c r="F1103" s="1" t="s">
        <v>2574</v>
      </c>
      <c r="G1103" s="1" t="s">
        <v>36</v>
      </c>
      <c r="H1103" s="1" t="s">
        <v>29</v>
      </c>
      <c r="I1103" s="1" t="str">
        <f ca="1">IFERROR(__xludf.DUMMYFUNCTION("GOOGLETRANSLATE(F1103, ""auto"", ""en"")
"),"I really liked 1: it heats up quickly 2: it has Teflon fabric: the hair does not stick to the iron, it smoothes out the hair very quickly, even a large strand.. 3: the hair is shiny and does not electrify.. (and I have long hair and I am blonde) I recomme"&amp;"nd it to everyone!!! Much better than irons for 4000 thousand, etc. there are all sorts of roventa...")</f>
        <v>I really liked 1: it heats up quickly 2: it has Teflon fabric: the hair does not stick to the iron, it smoothes out the hair very quickly, even a large strand.. 3: the hair is shiny and does not electrify.. (and I have long hair and I am blonde) I recommend it to everyone!!! Much better than irons for 4000 thousand, etc. there are all sorts of roventa...</v>
      </c>
    </row>
    <row r="1104" spans="1:9" x14ac:dyDescent="0.3">
      <c r="A1104" s="1" t="s">
        <v>61</v>
      </c>
      <c r="B1104" s="1" t="s">
        <v>145</v>
      </c>
      <c r="C1104" s="1" t="s">
        <v>246</v>
      </c>
      <c r="D1104" s="1" t="s">
        <v>247</v>
      </c>
      <c r="E1104" s="1" t="s">
        <v>2575</v>
      </c>
      <c r="F1104" s="1" t="s">
        <v>2576</v>
      </c>
      <c r="G1104" s="1" t="s">
        <v>36</v>
      </c>
      <c r="H1104" s="1" t="s">
        <v>29</v>
      </c>
      <c r="I1104" s="1" t="str">
        <f ca="1">IFERROR(__xludf.DUMMYFUNCTION("GOOGLETRANSLATE(F1104, ""auto"", ""en"")
"),"I also received it as a gift. Great stuff. It bakes very quickly. The result is smooth, beautiful pancakes. My son loves them and always helps me bake them). My mother-in-law now wants one too. I'll have to donate it.)")</f>
        <v>I also received it as a gift. Great stuff. It bakes very quickly. The result is smooth, beautiful pancakes. My son loves them and always helps me bake them). My mother-in-law now wants one too. I'll have to donate it.)</v>
      </c>
    </row>
    <row r="1105" spans="1:9" x14ac:dyDescent="0.3">
      <c r="A1105" s="1" t="s">
        <v>61</v>
      </c>
      <c r="B1105" s="1" t="s">
        <v>224</v>
      </c>
      <c r="C1105" s="1" t="s">
        <v>85</v>
      </c>
      <c r="D1105" s="1" t="s">
        <v>295</v>
      </c>
      <c r="E1105" s="1" t="s">
        <v>2577</v>
      </c>
      <c r="F1105" s="1" t="s">
        <v>2578</v>
      </c>
      <c r="G1105" s="1" t="s">
        <v>36</v>
      </c>
      <c r="H1105" s="1" t="s">
        <v>29</v>
      </c>
      <c r="I1105" s="1" t="str">
        <f ca="1">IFERROR(__xludf.DUMMYFUNCTION("GOOGLETRANSLATE(F1105, ""auto"", ""en"")
"),"Wonderful juicer! Buy it, you won't regret it. We bought it about four years ago and squeezed the juice every morning. It still works. There have been comparisons, this juicer does not creak or break.")</f>
        <v>Wonderful juicer! Buy it, you won't regret it. We bought it about four years ago and squeezed the juice every morning. It still works. There have been comparisons, this juicer does not creak or break.</v>
      </c>
    </row>
    <row r="1106" spans="1:9" x14ac:dyDescent="0.3">
      <c r="A1106" s="1" t="s">
        <v>37</v>
      </c>
      <c r="B1106" s="1" t="s">
        <v>38</v>
      </c>
      <c r="C1106" s="1" t="s">
        <v>39</v>
      </c>
      <c r="D1106" s="1" t="s">
        <v>139</v>
      </c>
      <c r="E1106" s="1" t="s">
        <v>960</v>
      </c>
      <c r="F1106" s="1" t="s">
        <v>2579</v>
      </c>
      <c r="G1106" s="1" t="s">
        <v>49</v>
      </c>
      <c r="H1106" s="1" t="s">
        <v>16</v>
      </c>
      <c r="I1106" s="1" t="str">
        <f ca="1">IFERROR(__xludf.DUMMYFUNCTION("GOOGLETRANSLATE(F1106, ""auto"", ""en"")
"),"I didn’t like it, the charging port is weak, the software is also annoying, especially these glitches with the player")</f>
        <v>I didn’t like it, the charging port is weak, the software is also annoying, especially these glitches with the player</v>
      </c>
    </row>
    <row r="1107" spans="1:9" x14ac:dyDescent="0.3">
      <c r="A1107" s="1" t="s">
        <v>61</v>
      </c>
      <c r="B1107" s="1" t="s">
        <v>224</v>
      </c>
      <c r="C1107" s="1" t="s">
        <v>257</v>
      </c>
      <c r="D1107" s="1" t="s">
        <v>2580</v>
      </c>
      <c r="E1107" s="1" t="s">
        <v>817</v>
      </c>
      <c r="F1107" s="1" t="s">
        <v>2581</v>
      </c>
      <c r="G1107" s="1" t="s">
        <v>36</v>
      </c>
      <c r="H1107" s="1" t="s">
        <v>29</v>
      </c>
      <c r="I1107" s="1" t="str">
        <f ca="1">IFERROR(__xludf.DUMMYFUNCTION("GOOGLETRANSLATE(F1107, ""auto"", ""en"")
"),"Super copy of the Braun juicer! I’m absolutely delighted, I squeezed 1.5 kg of carrots and apples in 1.5 minutes and much cheaper. I didn’t even expect that you could buy such quality for such a price! Thank you.")</f>
        <v>Super copy of the Braun juicer! I’m absolutely delighted, I squeezed 1.5 kg of carrots and apples in 1.5 minutes and much cheaper. I didn’t even expect that you could buy such quality for such a price! Thank you.</v>
      </c>
    </row>
    <row r="1108" spans="1:9" x14ac:dyDescent="0.3">
      <c r="A1108" s="1" t="s">
        <v>169</v>
      </c>
      <c r="B1108" s="1" t="s">
        <v>170</v>
      </c>
      <c r="C1108" s="1" t="s">
        <v>69</v>
      </c>
      <c r="D1108" s="1" t="s">
        <v>916</v>
      </c>
      <c r="E1108" s="1" t="s">
        <v>2582</v>
      </c>
      <c r="F1108" s="1" t="s">
        <v>2583</v>
      </c>
      <c r="G1108" s="1" t="s">
        <v>28</v>
      </c>
      <c r="H1108" s="1" t="s">
        <v>29</v>
      </c>
      <c r="I1108" s="1" t="str">
        <f ca="1">IFERROR(__xludf.DUMMYFUNCTION("GOOGLETRANSLATE(F1108, ""auto"", ""en"")
"),"Pros: -good deep bass;  - ease of use (do not pinch, fit perfectly and ears do not sweat);  - clear sound, high frequencies are clearly audible;  Cons: - quiet sound (the comments above also write about this, I read on other forums, they say this is possi"&amp;"ble due to the fact that the cord is long) - I think this is the main disappointment.      There’s nothing to say about the cord, even if it’s long, but it’s up to everyone to decide whether they need one.")</f>
        <v>Pros: -good deep bass;  - ease of use (do not pinch, fit perfectly and ears do not sweat);  - clear sound, high frequencies are clearly audible;  Cons: - quiet sound (the comments above also write about this, I read on other forums, they say this is possible due to the fact that the cord is long) - I think this is the main disappointment.      There’s nothing to say about the cord, even if it’s long, but it’s up to everyone to decide whether they need one.</v>
      </c>
    </row>
    <row r="1109" spans="1:9" x14ac:dyDescent="0.3">
      <c r="A1109" s="1" t="s">
        <v>211</v>
      </c>
      <c r="B1109" s="1" t="s">
        <v>856</v>
      </c>
      <c r="C1109" s="1" t="s">
        <v>57</v>
      </c>
      <c r="D1109" s="1" t="s">
        <v>39</v>
      </c>
      <c r="E1109" s="1" t="s">
        <v>2584</v>
      </c>
      <c r="F1109" s="1" t="s">
        <v>2585</v>
      </c>
      <c r="G1109" s="1" t="s">
        <v>28</v>
      </c>
      <c r="H1109" s="1" t="s">
        <v>29</v>
      </c>
      <c r="I1109" s="1" t="str">
        <f ca="1">IFERROR(__xludf.DUMMYFUNCTION("GOOGLETRANSLATE(F1109, ""auto"", ""en"")
"),"Light (in weight), easy to control even during direct use. Really helps! not only for the legs, but also great for preparing for bed - sleep becomes deeper. ")</f>
        <v xml:space="preserve">Light (in weight), easy to control even during direct use. Really helps! not only for the legs, but also great for preparing for bed - sleep becomes deeper. </v>
      </c>
    </row>
    <row r="1110" spans="1:9" x14ac:dyDescent="0.3">
      <c r="A1110" s="1" t="s">
        <v>9</v>
      </c>
      <c r="B1110" s="1" t="s">
        <v>10</v>
      </c>
      <c r="C1110" s="1" t="s">
        <v>466</v>
      </c>
      <c r="D1110" s="1" t="s">
        <v>171</v>
      </c>
      <c r="E1110" s="1" t="s">
        <v>2586</v>
      </c>
      <c r="F1110" s="1" t="s">
        <v>2587</v>
      </c>
      <c r="G1110" s="1" t="s">
        <v>36</v>
      </c>
      <c r="H1110" s="1" t="s">
        <v>29</v>
      </c>
      <c r="I1110" s="1" t="str">
        <f ca="1">IFERROR(__xludf.DUMMYFUNCTION("GOOGLETRANSLATE(F1110, ""auto"", ""en"")
"),"I like everything about it, it couldn’t be better!")</f>
        <v>I like everything about it, it couldn’t be better!</v>
      </c>
    </row>
    <row r="1111" spans="1:9" x14ac:dyDescent="0.3">
      <c r="A1111" s="1" t="s">
        <v>55</v>
      </c>
      <c r="B1111" s="1" t="s">
        <v>184</v>
      </c>
      <c r="C1111" s="1" t="s">
        <v>185</v>
      </c>
      <c r="D1111" s="1" t="s">
        <v>64</v>
      </c>
      <c r="E1111" s="1" t="s">
        <v>2588</v>
      </c>
      <c r="F1111" s="1" t="s">
        <v>2589</v>
      </c>
      <c r="G1111" s="1" t="s">
        <v>36</v>
      </c>
      <c r="H1111" s="1" t="s">
        <v>29</v>
      </c>
      <c r="I1111" s="1" t="str">
        <f ca="1">IFERROR(__xludf.DUMMYFUNCTION("GOOGLETRANSLATE(F1111, ""auto"", ""en"")
"),"I bought it not long ago, I like it. They asked me to turn it on in the store, and it immediately started frying. The advantages of this model: the presence of a dust filter, a display with pleasant backlighting and a remote control, a rotary mechanism..."&amp;" For such a price, it’s very, very good!!! Especially remote control, mechanical switching is still not so convenient. It heats very well at maximum power. The squeaker is normal, the volume is average. Of the minuses: there is no temperature sensor. I'd "&amp;"like to, but I can't ask for it at that price. Of course it makes noise, yes, it does, but not too much, you get used to it.  Even weaker than the previous fan heater.  In general, I recommend it.")</f>
        <v>I bought it not long ago, I like it. They asked me to turn it on in the store, and it immediately started frying. The advantages of this model: the presence of a dust filter, a display with pleasant backlighting and a remote control, a rotary mechanism... For such a price, it’s very, very good!!! Especially remote control, mechanical switching is still not so convenient. It heats very well at maximum power. The squeaker is normal, the volume is average. Of the minuses: there is no temperature sensor. I'd like to, but I can't ask for it at that price. Of course it makes noise, yes, it does, but not too much, you get used to it.  Even weaker than the previous fan heater.  In general, I recommend it.</v>
      </c>
    </row>
    <row r="1112" spans="1:9" x14ac:dyDescent="0.3">
      <c r="A1112" s="1" t="s">
        <v>30</v>
      </c>
      <c r="B1112" s="1" t="s">
        <v>31</v>
      </c>
      <c r="C1112" s="1" t="s">
        <v>32</v>
      </c>
      <c r="D1112" s="1" t="s">
        <v>172</v>
      </c>
      <c r="E1112" s="1" t="s">
        <v>680</v>
      </c>
      <c r="F1112" s="1" t="s">
        <v>2590</v>
      </c>
      <c r="G1112" s="1" t="s">
        <v>36</v>
      </c>
      <c r="H1112" s="1" t="s">
        <v>29</v>
      </c>
      <c r="I1112" s="1" t="str">
        <f ca="1">IFERROR(__xludf.DUMMYFUNCTION("GOOGLETRANSLATE(F1112, ""auto"", ""en"")
"),"nimble, fast, I really liked it, bought it before the new year. It still works without glitches, and the kit also includes a mouse and keyboard. There is only one drawback: out of 4 GB of RAM, only 3 GB is available for use!!!!")</f>
        <v>nimble, fast, I really liked it, bought it before the new year. It still works without glitches, and the kit also includes a mouse and keyboard. There is only one drawback: out of 4 GB of RAM, only 3 GB is available for use!!!!</v>
      </c>
    </row>
    <row r="1113" spans="1:9" x14ac:dyDescent="0.3">
      <c r="A1113" s="1" t="s">
        <v>1119</v>
      </c>
      <c r="B1113" s="1" t="s">
        <v>1120</v>
      </c>
      <c r="C1113" s="1" t="s">
        <v>97</v>
      </c>
      <c r="D1113" s="1" t="s">
        <v>139</v>
      </c>
      <c r="E1113" s="1" t="s">
        <v>717</v>
      </c>
      <c r="F1113" s="1" t="s">
        <v>2591</v>
      </c>
      <c r="G1113" s="1" t="s">
        <v>15</v>
      </c>
      <c r="H1113" s="1" t="s">
        <v>16</v>
      </c>
      <c r="I1113" s="1" t="str">
        <f ca="1">IFERROR(__xludf.DUMMYFUNCTION("GOOGLETRANSLATE(F1113, ""auto"", ""en"")
"),"I didn't like this camera. There is no stabilization at all. The image shakes even if you try not to shake the camera. If the subject moves, the image becomes blurred. Maybe these circumstances don’t bother anyone, but for me, any camera takes better pict"&amp;"ures and I’ve never seen a worse camera, although before this one there were only film ones.")</f>
        <v>I didn't like this camera. There is no stabilization at all. The image shakes even if you try not to shake the camera. If the subject moves, the image becomes blurred. Maybe these circumstances don’t bother anyone, but for me, any camera takes better pictures and I’ve never seen a worse camera, although before this one there were only film ones.</v>
      </c>
    </row>
    <row r="1114" spans="1:9" x14ac:dyDescent="0.3">
      <c r="A1114" s="1" t="s">
        <v>61</v>
      </c>
      <c r="B1114" s="1" t="s">
        <v>180</v>
      </c>
      <c r="C1114" s="1" t="s">
        <v>63</v>
      </c>
      <c r="D1114" s="1" t="s">
        <v>2592</v>
      </c>
      <c r="E1114" s="1" t="s">
        <v>2593</v>
      </c>
      <c r="F1114" s="1" t="s">
        <v>2594</v>
      </c>
      <c r="G1114" s="1" t="s">
        <v>36</v>
      </c>
      <c r="H1114" s="1" t="s">
        <v>29</v>
      </c>
      <c r="I1114" s="1" t="str">
        <f ca="1">IFERROR(__xludf.DUMMYFUNCTION("GOOGLETRANSLATE(F1114, ""auto"", ""en"")
"),"I was given this toaster for my birthday. It is very convenient to use, toast in the morning is simply a delight. Now I want to buy this model as a gift for my sister. You can also heat food on it.")</f>
        <v>I was given this toaster for my birthday. It is very convenient to use, toast in the morning is simply a delight. Now I want to buy this model as a gift for my sister. You can also heat food on it.</v>
      </c>
    </row>
    <row r="1115" spans="1:9" x14ac:dyDescent="0.3">
      <c r="A1115" s="1" t="s">
        <v>211</v>
      </c>
      <c r="B1115" s="1" t="s">
        <v>212</v>
      </c>
      <c r="C1115" s="1" t="s">
        <v>69</v>
      </c>
      <c r="D1115" s="1" t="s">
        <v>2595</v>
      </c>
      <c r="E1115" s="1" t="s">
        <v>2596</v>
      </c>
      <c r="F1115" s="1" t="s">
        <v>2597</v>
      </c>
      <c r="G1115" s="1" t="s">
        <v>36</v>
      </c>
      <c r="H1115" s="1" t="s">
        <v>29</v>
      </c>
      <c r="I1115" s="1" t="str">
        <f ca="1">IFERROR(__xludf.DUMMYFUNCTION("GOOGLETRANSLATE(F1115, ""auto"", ""en"")
"),"I received it as a gift about a year ago. I’m very pleased, wonderful curling irons. They heat up quickly and cool down quickly, they’re gentle on your hair, and the cord is very convenient!")</f>
        <v>I received it as a gift about a year ago. I’m very pleased, wonderful curling irons. They heat up quickly and cool down quickly, they’re gentle on your hair, and the cord is very convenient!</v>
      </c>
    </row>
    <row r="1116" spans="1:9" x14ac:dyDescent="0.3">
      <c r="A1116" s="1" t="s">
        <v>169</v>
      </c>
      <c r="B1116" s="1" t="s">
        <v>170</v>
      </c>
      <c r="C1116" s="1" t="s">
        <v>97</v>
      </c>
      <c r="D1116" s="1" t="s">
        <v>127</v>
      </c>
      <c r="E1116" s="1" t="s">
        <v>1228</v>
      </c>
      <c r="F1116" s="1" t="s">
        <v>2598</v>
      </c>
      <c r="G1116" s="1" t="s">
        <v>15</v>
      </c>
      <c r="H1116" s="1" t="s">
        <v>16</v>
      </c>
      <c r="I1116" s="1" t="str">
        <f ca="1">IFERROR(__xludf.DUMMYFUNCTION("GOOGLETRANSLATE(F1116, ""auto"", ""en"")
"),"I recommend purchasing only after carefully listening to several copies, although consultants are reluctant to do this, since the packaging is a blister and not a box, i.e. opens only once. In general, it’s better to look at another model.  Pros - high de"&amp;"tail.  Cons - the first pair, like the second pair taken for exchange, turned out to be defective. Apparently the Thai assembly is taking its toll. They changed the first pair, but they don’t want the second pair anymore, citing the fact that these are no"&amp;"t HI-End headphones, and you shouldn’t expect anything more from them, so think for yourself. The defect consists of membrane rattling at above-average levels in the bass region. Moreover, on the first pair the left ear rattled, on the second - the right."&amp;"  P.S. I would like to point out that the headphones have a resistance of 70 ohms, which means that not every player can drive them to a sufficient volume.")</f>
        <v>I recommend purchasing only after carefully listening to several copies, although consultants are reluctant to do this, since the packaging is a blister and not a box, i.e. opens only once. In general, it’s better to look at another model.  Pros - high detail.  Cons - the first pair, like the second pair taken for exchange, turned out to be defective. Apparently the Thai assembly is taking its toll. They changed the first pair, but they don’t want the second pair anymore, citing the fact that these are not HI-End headphones, and you shouldn’t expect anything more from them, so think for yourself. The defect consists of membrane rattling at above-average levels in the bass region. Moreover, on the first pair the left ear rattled, on the second - the right.  P.S. I would like to point out that the headphones have a resistance of 70 ohms, which means that not every player can drive them to a sufficient volume.</v>
      </c>
    </row>
    <row r="1117" spans="1:9" x14ac:dyDescent="0.3">
      <c r="A1117" s="1" t="s">
        <v>149</v>
      </c>
      <c r="B1117" s="1" t="s">
        <v>423</v>
      </c>
      <c r="C1117" s="1" t="s">
        <v>548</v>
      </c>
      <c r="D1117" s="1" t="s">
        <v>1431</v>
      </c>
      <c r="E1117" s="1" t="s">
        <v>2599</v>
      </c>
      <c r="F1117" s="1" t="s">
        <v>2600</v>
      </c>
      <c r="G1117" s="1" t="s">
        <v>49</v>
      </c>
      <c r="H1117" s="1" t="s">
        <v>16</v>
      </c>
      <c r="I1117" s="1" t="str">
        <f ca="1">IFERROR(__xludf.DUMMYFUNCTION("GOOGLETRANSLATE(F1117, ""auto"", ""en"")
"),"Purchased in December 2013. Very weak suction power for such a Price. The plastic on the main brush at the point of attachment to the pipe broke! For three times cheaper you can buy an excellent LG without a dust bag, with a steel pipe and 4 times more su"&amp;"ction power.")</f>
        <v>Purchased in December 2013. Very weak suction power for such a Price. The plastic on the main brush at the point of attachment to the pipe broke! For three times cheaper you can buy an excellent LG without a dust bag, with a steel pipe and 4 times more suction power.</v>
      </c>
    </row>
    <row r="1118" spans="1:9" x14ac:dyDescent="0.3">
      <c r="A1118" s="1" t="s">
        <v>9</v>
      </c>
      <c r="B1118" s="1" t="s">
        <v>23</v>
      </c>
      <c r="C1118" s="1" t="s">
        <v>24</v>
      </c>
      <c r="D1118" s="1" t="s">
        <v>25</v>
      </c>
      <c r="E1118" s="1" t="s">
        <v>415</v>
      </c>
      <c r="F1118" s="1" t="s">
        <v>2601</v>
      </c>
      <c r="G1118" s="1" t="s">
        <v>28</v>
      </c>
      <c r="H1118" s="1" t="s">
        <v>29</v>
      </c>
      <c r="I1118" s="1" t="str">
        <f ca="1">IFERROR(__xludf.DUMMYFUNCTION("GOOGLETRANSLATE(F1118, ""auto"", ""en"")
"),"I saw about the promotion on the Internet and began to choose between Zanussi ZDTS 102 for 11990 rubles, Zanussi ZDTS 300 for 15830 rubles.  Electrolux ESL 45010 for 15,700 rubles. and Bosch SRV 33 A13 for 15,830 rubles. I immediately eliminated cars from"&amp;" other companies, because... there are not very good reviews about them on the Internet (I don’t mean famous, expensive brands).   Naturally, Zanussi 102 attracted me with its price; the only thing that bothered me was that it only had one program selecti"&amp;"on button. After thinking a little, I decided to buy it after all. Having installed and tried it in action, I realized that this is not a disadvantage, but an advantage! Now I don’t understand why there are so many buttons. Having looked through all the m"&amp;"odes, I settled on one optimal one and use only it, and the last used mode is saved in memory. Every time you turn it on, “my mode” immediately lights up, all I have to do is lay out the dishes, add the product and close the door, EVERYTHING IS BEAUTY!  A"&amp;"dvantages: + not expensive + washes dishes well + dries well + easy to operate Disadvantages: - a little noisy - no delay start (for those who need it).  Many reviews write that “the tablet compartment is always open after washing.” That's how it should b"&amp;"e! It's all normal!  I can’t say anything about the reliability of this machine yet, because... I bought it a few days ago. But so far I’m very happy!!!")</f>
        <v>I saw about the promotion on the Internet and began to choose between Zanussi ZDTS 102 for 11990 rubles, Zanussi ZDTS 300 for 15830 rubles.  Electrolux ESL 45010 for 15,700 rubles. and Bosch SRV 33 A13 for 15,830 rubles. I immediately eliminated cars from other companies, because... there are not very good reviews about them on the Internet (I don’t mean famous, expensive brands).   Naturally, Zanussi 102 attracted me with its price; the only thing that bothered me was that it only had one program selection button. After thinking a little, I decided to buy it after all. Having installed and tried it in action, I realized that this is not a disadvantage, but an advantage! Now I don’t understand why there are so many buttons. Having looked through all the modes, I settled on one optimal one and use only it, and the last used mode is saved in memory. Every time you turn it on, “my mode” immediately lights up, all I have to do is lay out the dishes, add the product and close the door, EVERYTHING IS BEAUTY!  Advantages: + not expensive + washes dishes well + dries well + easy to operate Disadvantages: - a little noisy - no delay start (for those who need it).  Many reviews write that “the tablet compartment is always open after washing.” That's how it should be! It's all normal!  I can’t say anything about the reliability of this machine yet, because... I bought it a few days ago. But so far I’m very happy!!!</v>
      </c>
    </row>
    <row r="1119" spans="1:9" x14ac:dyDescent="0.3">
      <c r="A1119" s="1" t="s">
        <v>557</v>
      </c>
      <c r="B1119" s="1" t="s">
        <v>558</v>
      </c>
      <c r="C1119" s="1" t="s">
        <v>122</v>
      </c>
      <c r="D1119" s="1" t="s">
        <v>52</v>
      </c>
      <c r="E1119" s="1" t="s">
        <v>1270</v>
      </c>
      <c r="F1119" s="1" t="s">
        <v>2602</v>
      </c>
      <c r="G1119" s="1" t="s">
        <v>36</v>
      </c>
      <c r="H1119" s="1" t="s">
        <v>29</v>
      </c>
      <c r="I1119" s="1" t="str">
        <f ca="1">IFERROR(__xludf.DUMMYFUNCTION("GOOGLETRANSLATE(F1119, ""auto"", ""en"")
"),"Very good phone, Convenient menu, good connection - not interrupted, receives everywhere without interference, charging lasts for a long time, there is synchronization with a landline phone (base), and even sets the time itself if you have caller ID, call"&amp;"s are loud - not intrusive. It is very convenient that there is a base and a radio handset (when the power is turned off, the base works like a regular phone). It works for six months - no complaints. In general, a decent device - convenient, practical, r"&amp;"eliable.")</f>
        <v>Very good phone, Convenient menu, good connection - not interrupted, receives everywhere without interference, charging lasts for a long time, there is synchronization with a landline phone (base), and even sets the time itself if you have caller ID, calls are loud - not intrusive. It is very convenient that there is a base and a radio handset (when the power is turned off, the base works like a regular phone). It works for six months - no complaints. In general, a decent device - convenient, practical, reliable.</v>
      </c>
    </row>
    <row r="1120" spans="1:9" x14ac:dyDescent="0.3">
      <c r="A1120" s="1" t="s">
        <v>43</v>
      </c>
      <c r="B1120" s="1" t="s">
        <v>334</v>
      </c>
      <c r="C1120" s="1" t="s">
        <v>101</v>
      </c>
      <c r="D1120" s="1" t="s">
        <v>1681</v>
      </c>
      <c r="E1120" s="1" t="s">
        <v>2603</v>
      </c>
      <c r="F1120" s="1" t="s">
        <v>2604</v>
      </c>
      <c r="G1120" s="1" t="s">
        <v>28</v>
      </c>
      <c r="H1120" s="1" t="s">
        <v>29</v>
      </c>
      <c r="I1120" s="1" t="str">
        <f ca="1">IFERROR(__xludf.DUMMYFUNCTION("GOOGLETRANSLATE(F1120, ""auto"", ""en"")
"),"Miracle fan - stands on the table, blows air. There are two speeds, but I personally don’t even need the second - the minimum is enough. The sound from operation is not annoying - not loud. And it takes up virtually no space on the table.")</f>
        <v>Miracle fan - stands on the table, blows air. There are two speeds, but I personally don’t even need the second - the minimum is enough. The sound from operation is not annoying - not loud. And it takes up virtually no space on the table.</v>
      </c>
    </row>
    <row r="1121" spans="1:9" x14ac:dyDescent="0.3">
      <c r="A1121" s="1" t="s">
        <v>120</v>
      </c>
      <c r="B1121" s="1" t="s">
        <v>256</v>
      </c>
      <c r="C1121" s="1" t="s">
        <v>151</v>
      </c>
      <c r="D1121" s="1" t="s">
        <v>102</v>
      </c>
      <c r="E1121" s="1" t="s">
        <v>2514</v>
      </c>
      <c r="F1121" s="1" t="s">
        <v>2605</v>
      </c>
      <c r="G1121" s="1" t="s">
        <v>28</v>
      </c>
      <c r="H1121" s="1" t="s">
        <v>29</v>
      </c>
      <c r="I1121" s="1" t="str">
        <f ca="1">IFERROR(__xludf.DUMMYFUNCTION("GOOGLETRANSLATE(F1121, ""auto"", ""en"")
"),"I bought it yesterday on a promotion! before that I had a Tomnoson (the diagonal is like a Samsung) and I’m happy with the purchase! Of the small drawbacks: I didn’t really like the sound - for listening and watching the news it’s ok, but for listening to"&amp;" music and watching movies you’ll have to buy acoustics, high frequencies predominate on the TV - and when adjusting the mid frequencies, the sound quality becomes like a bucket! As for the image, it’s also 4K! On most channels there’s some kind of ripple"&amp;"! In principle, it doesn’t really disturb the person - but to a person It’s natural to want the best! (I think if you connect digital TV, the ripples will disappear)!   As a result, I think it’s almost impossible to find in stores for 12,000! If someone w"&amp;"ants something better with such a diagonal, then take 25-30 thousand with you and go to the store! For that kind of money with such a diagonal you can already expect something excellent!")</f>
        <v>I bought it yesterday on a promotion! before that I had a Tomnoson (the diagonal is like a Samsung) and I’m happy with the purchase! Of the small drawbacks: I didn’t really like the sound - for listening and watching the news it’s ok, but for listening to music and watching movies you’ll have to buy acoustics, high frequencies predominate on the TV - and when adjusting the mid frequencies, the sound quality becomes like a bucket! As for the image, it’s also 4K! On most channels there’s some kind of ripple! In principle, it doesn’t really disturb the person - but to a person It’s natural to want the best! (I think if you connect digital TV, the ripples will disappear)!   As a result, I think it’s almost impossible to find in stores for 12,000! If someone wants something better with such a diagonal, then take 25-30 thousand with you and go to the store! For that kind of money with such a diagonal you can already expect something excellent!</v>
      </c>
    </row>
    <row r="1122" spans="1:9" x14ac:dyDescent="0.3">
      <c r="A1122" s="1" t="s">
        <v>89</v>
      </c>
      <c r="B1122" s="1" t="s">
        <v>231</v>
      </c>
      <c r="C1122" s="1" t="s">
        <v>1072</v>
      </c>
      <c r="D1122" s="1" t="s">
        <v>2560</v>
      </c>
      <c r="E1122" s="1" t="s">
        <v>2606</v>
      </c>
      <c r="F1122" s="1" t="s">
        <v>2607</v>
      </c>
      <c r="G1122" s="1" t="s">
        <v>36</v>
      </c>
      <c r="H1122" s="1" t="s">
        <v>29</v>
      </c>
      <c r="I1122" s="1" t="str">
        <f ca="1">IFERROR(__xludf.DUMMYFUNCTION("GOOGLETRANSLATE(F1122, ""auto"", ""en"")
"),"I bought a coffee machine for home, we prepare 6-8 cups of coffee a day, we like everything, now you can enjoy a delicious cappuccino at home. Thanks to the consultant!")</f>
        <v>I bought a coffee machine for home, we prepare 6-8 cups of coffee a day, we like everything, now you can enjoy a delicious cappuccino at home. Thanks to the consultant!</v>
      </c>
    </row>
    <row r="1123" spans="1:9" x14ac:dyDescent="0.3">
      <c r="A1123" s="1" t="s">
        <v>78</v>
      </c>
      <c r="B1123" s="1" t="s">
        <v>79</v>
      </c>
      <c r="C1123" s="1" t="s">
        <v>80</v>
      </c>
      <c r="D1123" s="1" t="s">
        <v>1152</v>
      </c>
      <c r="E1123" s="1" t="s">
        <v>2608</v>
      </c>
      <c r="F1123" s="1" t="s">
        <v>2609</v>
      </c>
      <c r="G1123" s="1" t="s">
        <v>36</v>
      </c>
      <c r="H1123" s="1" t="s">
        <v>29</v>
      </c>
      <c r="I1123" s="1" t="str">
        <f ca="1">IFERROR(__xludf.DUMMYFUNCTION("GOOGLETRANSLATE(F1123, ""auto"", ""en"")
"),"We've been using it for about a year now. Everything is fine, there were no malfunctions during the entire period of use. Looks great and the price is reasonable.")</f>
        <v>We've been using it for about a year now. Everything is fine, there were no malfunctions during the entire period of use. Looks great and the price is reasonable.</v>
      </c>
    </row>
    <row r="1124" spans="1:9" x14ac:dyDescent="0.3">
      <c r="A1124" s="1" t="s">
        <v>111</v>
      </c>
      <c r="B1124" s="1" t="s">
        <v>636</v>
      </c>
      <c r="C1124" s="1" t="s">
        <v>2610</v>
      </c>
      <c r="D1124" s="1" t="s">
        <v>1942</v>
      </c>
      <c r="E1124" s="1" t="s">
        <v>2611</v>
      </c>
      <c r="F1124" s="1" t="s">
        <v>2612</v>
      </c>
      <c r="G1124" s="1" t="s">
        <v>36</v>
      </c>
      <c r="H1124" s="1" t="s">
        <v>29</v>
      </c>
      <c r="I1124" s="1" t="str">
        <f ca="1">IFERROR(__xludf.DUMMYFUNCTION("GOOGLETRANSLATE(F1124, ""auto"", ""en"")
"),"An excellent alarm clock. I don’t hate it like my previous ones =) the music on it is normal and the light is not very bright, which is also important. It shows the temperature - it’s also convenient, I’m happy.")</f>
        <v>An excellent alarm clock. I don’t hate it like my previous ones =) the music on it is normal and the light is not very bright, which is also important. It shows the temperature - it’s also convenient, I’m happy.</v>
      </c>
    </row>
    <row r="1125" spans="1:9" x14ac:dyDescent="0.3">
      <c r="A1125" s="1" t="s">
        <v>211</v>
      </c>
      <c r="B1125" s="1" t="s">
        <v>265</v>
      </c>
      <c r="C1125" s="1" t="s">
        <v>69</v>
      </c>
      <c r="D1125" s="1" t="s">
        <v>247</v>
      </c>
      <c r="E1125" s="1" t="s">
        <v>1864</v>
      </c>
      <c r="F1125" s="1" t="s">
        <v>2613</v>
      </c>
      <c r="G1125" s="1" t="s">
        <v>36</v>
      </c>
      <c r="H1125" s="1" t="s">
        <v>29</v>
      </c>
      <c r="I1125" s="1" t="str">
        <f ca="1">IFERROR(__xludf.DUMMYFUNCTION("GOOGLETRANSLATE(F1125, ""auto"", ""en"")
"),"It's just a miracle! Like in a hairdresser, only there are many more advantages: - you know that half the city has not had their hair cut with this clipper - it is very hygienic;  - you can use the machine at any time of the day or night;  - the machine p"&amp;"ays for itself very quickly. And, of course, it is a pleasure to cut hair with it, it is very easy to operate and copes with the task very well.")</f>
        <v>It's just a miracle! Like in a hairdresser, only there are many more advantages: - you know that half the city has not had their hair cut with this clipper - it is very hygienic;  - you can use the machine at any time of the day or night;  - the machine pays for itself very quickly. And, of course, it is a pleasure to cut hair with it, it is very easy to operate and copes with the task very well.</v>
      </c>
    </row>
    <row r="1126" spans="1:9" x14ac:dyDescent="0.3">
      <c r="A1126" s="1" t="s">
        <v>211</v>
      </c>
      <c r="B1126" s="1" t="s">
        <v>212</v>
      </c>
      <c r="C1126" s="1" t="s">
        <v>381</v>
      </c>
      <c r="D1126" s="1" t="s">
        <v>247</v>
      </c>
      <c r="E1126" s="1" t="s">
        <v>2614</v>
      </c>
      <c r="F1126" s="1" t="s">
        <v>2615</v>
      </c>
      <c r="G1126" s="1" t="s">
        <v>36</v>
      </c>
      <c r="H1126" s="1" t="s">
        <v>29</v>
      </c>
      <c r="I1126" s="1" t="str">
        <f ca="1">IFERROR(__xludf.DUMMYFUNCTION("GOOGLETRANSLATE(F1126, ""auto"", ""en"")
"),"Fast heating, long cord that rotates, straightens and curls hair very well")</f>
        <v>Fast heating, long cord that rotates, straightens and curls hair very well</v>
      </c>
    </row>
    <row r="1127" spans="1:9" x14ac:dyDescent="0.3">
      <c r="A1127" s="1" t="s">
        <v>9</v>
      </c>
      <c r="B1127" s="1" t="s">
        <v>137</v>
      </c>
      <c r="C1127" s="1" t="s">
        <v>63</v>
      </c>
      <c r="D1127" s="1" t="s">
        <v>411</v>
      </c>
      <c r="E1127" s="1" t="s">
        <v>2616</v>
      </c>
      <c r="F1127" s="1" t="s">
        <v>2617</v>
      </c>
      <c r="G1127" s="1" t="s">
        <v>36</v>
      </c>
      <c r="H1127" s="1" t="s">
        <v>29</v>
      </c>
      <c r="I1127" s="1" t="str">
        <f ca="1">IFERROR(__xludf.DUMMYFUNCTION("GOOGLETRANSLATE(F1127, ""auto"", ""en"")
"),"Great stuff! I've been using it for half a year. No problem. The kitchen is small, so we had to take two burners, but they are enough for a family of three. The quality is super! Electric ignition of the burners and protection against accidental ignition "&amp;"are also pleasing because There is a small child in the house, one time he didn’t notice and the pasta boiled and the fire was poured, the gas shut off automatically! I recommend!")</f>
        <v>Great stuff! I've been using it for half a year. No problem. The kitchen is small, so we had to take two burners, but they are enough for a family of three. The quality is super! Electric ignition of the burners and protection against accidental ignition are also pleasing because There is a small child in the house, one time he didn’t notice and the pasta boiled and the fire was poured, the gas shut off automatically! I recommend!</v>
      </c>
    </row>
    <row r="1128" spans="1:9" x14ac:dyDescent="0.3">
      <c r="A1128" s="1" t="s">
        <v>477</v>
      </c>
      <c r="B1128" s="1" t="s">
        <v>478</v>
      </c>
      <c r="C1128" s="1" t="s">
        <v>479</v>
      </c>
      <c r="D1128" s="1" t="s">
        <v>2618</v>
      </c>
      <c r="E1128" s="1" t="s">
        <v>2619</v>
      </c>
      <c r="F1128" s="1" t="s">
        <v>2620</v>
      </c>
      <c r="G1128" s="1" t="s">
        <v>36</v>
      </c>
      <c r="H1128" s="1" t="s">
        <v>29</v>
      </c>
      <c r="I1128" s="1" t="str">
        <f ca="1">IFERROR(__xludf.DUMMYFUNCTION("GOOGLETRANSLATE(F1128, ""auto"", ""en"")
"),"The game is awesome, you can play with two people!")</f>
        <v>The game is awesome, you can play with two people!</v>
      </c>
    </row>
    <row r="1129" spans="1:9" x14ac:dyDescent="0.3">
      <c r="A1129" s="1" t="s">
        <v>95</v>
      </c>
      <c r="B1129" s="1" t="s">
        <v>486</v>
      </c>
      <c r="C1129" s="1" t="s">
        <v>487</v>
      </c>
      <c r="D1129" s="1" t="s">
        <v>2621</v>
      </c>
      <c r="E1129" s="1" t="s">
        <v>2622</v>
      </c>
      <c r="F1129" s="1" t="s">
        <v>2623</v>
      </c>
      <c r="G1129" s="1" t="s">
        <v>36</v>
      </c>
      <c r="H1129" s="1" t="s">
        <v>29</v>
      </c>
      <c r="I1129" s="1" t="str">
        <f ca="1">IFERROR(__xludf.DUMMYFUNCTION("GOOGLETRANSLATE(F1129, ""auto"", ""en"")
"),"Well done Microsoft!!! They don’t make marriage anymore, starting with Jaspers, and this new Walhalla won’t burn at all.. the new design is super, 250GB hard drive Wi-Fi, excellent games.. The xbox live service will open soon in Russia.. I sold my Sony, I"&amp;"’ll buy xbox games, actually more than from Sony and as a multiplatform it’s much better (games released on xbox and Sony always looked cooler on the box).. In short, Sony loses and that’s a fact.. and the new joysticks are generally super, they have a cr"&amp;"oss-piece that extends forward for greater convenience (the box’s joysticks are already cooler than the Sony’s, and here’s an improvement - it’s a gap, what can you say)..")</f>
        <v>Well done Microsoft!!! They don’t make marriage anymore, starting with Jaspers, and this new Walhalla won’t burn at all.. the new design is super, 250GB hard drive Wi-Fi, excellent games.. The xbox live service will open soon in Russia.. I sold my Sony, I’ll buy xbox games, actually more than from Sony and as a multiplatform it’s much better (games released on xbox and Sony always looked cooler on the box).. In short, Sony loses and that’s a fact.. and the new joysticks are generally super, they have a cross-piece that extends forward for greater convenience (the box’s joysticks are already cooler than the Sony’s, and here’s an improvement - it’s a gap, what can you say)..</v>
      </c>
    </row>
    <row r="1130" spans="1:9" x14ac:dyDescent="0.3">
      <c r="A1130" s="1" t="s">
        <v>43</v>
      </c>
      <c r="B1130" s="1" t="s">
        <v>1616</v>
      </c>
      <c r="C1130" s="1" t="s">
        <v>85</v>
      </c>
      <c r="D1130" s="1" t="s">
        <v>305</v>
      </c>
      <c r="E1130" s="1" t="s">
        <v>2624</v>
      </c>
      <c r="F1130" s="1" t="s">
        <v>2625</v>
      </c>
      <c r="G1130" s="1" t="s">
        <v>36</v>
      </c>
      <c r="H1130" s="1" t="s">
        <v>29</v>
      </c>
      <c r="I1130" s="1" t="str">
        <f ca="1">IFERROR(__xludf.DUMMYFUNCTION("GOOGLETRANSLATE(F1130, ""auto"", ""en"")
"),"I was amused about the sockets, considering that even here on the website in the characteristics the operating current is simply the first line :) Well, okay, to the point, we took the device to the office, it’s a great thing for the money, it works all y"&amp;"ear round, because there are cooling and heating modes, there is also a “drying” mode, but we practically didn’t use it, so we turned it on for interest and familiarization. The device has the ability to fill with water, which increases the cooling effect"&amp;", reduces energy consumption and makes the device less noisy, although in the office I did not hear any complaints about the noise from the device; ordinary conversations, the hum of computers and other sounds easily drown it out, so the result is a fairl"&amp;"y low noise level at high power. It has air filters, so it not only “drives” the air, but also cleans it. In winter, in heating mode, on the one hand, it heats the room, and on the other hand, it does not dry out the air in it - breathing is easy and plea"&amp;"sant. It is quite simple to clean, as well as to operate; I am not the one doing the cleaning, but I saw from the outside how it was disassembled and washed - everything is extremely simple. A good device for the money.")</f>
        <v>I was amused about the sockets, considering that even here on the website in the characteristics the operating current is simply the first line :) Well, okay, to the point, we took the device to the office, it’s a great thing for the money, it works all year round, because there are cooling and heating modes, there is also a “drying” mode, but we practically didn’t use it, so we turned it on for interest and familiarization. The device has the ability to fill with water, which increases the cooling effect, reduces energy consumption and makes the device less noisy, although in the office I did not hear any complaints about the noise from the device; ordinary conversations, the hum of computers and other sounds easily drown it out, so the result is a fairly low noise level at high power. It has air filters, so it not only “drives” the air, but also cleans it. In winter, in heating mode, on the one hand, it heats the room, and on the other hand, it does not dry out the air in it - breathing is easy and pleasant. It is quite simple to clean, as well as to operate; I am not the one doing the cleaning, but I saw from the outside how it was disassembled and washed - everything is extremely simple. A good device for the money.</v>
      </c>
    </row>
    <row r="1131" spans="1:9" x14ac:dyDescent="0.3">
      <c r="A1131" s="1" t="s">
        <v>17</v>
      </c>
      <c r="B1131" s="1" t="s">
        <v>18</v>
      </c>
      <c r="C1131" s="1" t="s">
        <v>134</v>
      </c>
      <c r="D1131" s="1" t="s">
        <v>86</v>
      </c>
      <c r="E1131" s="1" t="s">
        <v>1673</v>
      </c>
      <c r="F1131" s="1" t="s">
        <v>2626</v>
      </c>
      <c r="G1131" s="1" t="s">
        <v>36</v>
      </c>
      <c r="H1131" s="1" t="s">
        <v>29</v>
      </c>
      <c r="I1131" s="1" t="str">
        <f ca="1">IFERROR(__xludf.DUMMYFUNCTION("GOOGLETRANSLATE(F1131, ""auto"", ""en"")
"),"I recently became the owner of this car, before that I had a narrow Samsung that worked for 10 years without any problems, but alas, every technology has its limits. So my choice fell on the full-size Siemens. I chose it based on many parameters: quality,"&amp;" price, design, all this turned out to be in this car, the quality is pure German, the price is adequate, the design is super. During the first wash (plaid 2X2), the machine coped with the task at 5+, stood rooted to the spot, during washing you can’t hea"&amp;"r the engine running, very low noise during spinning, adherence to the time of the washing program (does not add time). In general, I didn’t notice any downsides at all. I recommend this machine to anyone who needs very good equipment. Special thanks to t"&amp;"he M.video delivery service, they delivered it promptly.")</f>
        <v>I recently became the owner of this car, before that I had a narrow Samsung that worked for 10 years without any problems, but alas, every technology has its limits. So my choice fell on the full-size Siemens. I chose it based on many parameters: quality, price, design, all this turned out to be in this car, the quality is pure German, the price is adequate, the design is super. During the first wash (plaid 2X2), the machine coped with the task at 5+, stood rooted to the spot, during washing you can’t hear the engine running, very low noise during spinning, adherence to the time of the washing program (does not add time). In general, I didn’t notice any downsides at all. I recommend this machine to anyone who needs very good equipment. Special thanks to the M.video delivery service, they delivered it promptly.</v>
      </c>
    </row>
    <row r="1132" spans="1:9" x14ac:dyDescent="0.3">
      <c r="A1132" s="1" t="s">
        <v>55</v>
      </c>
      <c r="B1132" s="1" t="s">
        <v>84</v>
      </c>
      <c r="C1132" s="1" t="s">
        <v>159</v>
      </c>
      <c r="D1132" s="1" t="s">
        <v>1295</v>
      </c>
      <c r="E1132" s="1" t="s">
        <v>2627</v>
      </c>
      <c r="F1132" s="1" t="s">
        <v>2628</v>
      </c>
      <c r="G1132" s="1" t="s">
        <v>36</v>
      </c>
      <c r="H1132" s="1" t="s">
        <v>29</v>
      </c>
      <c r="I1132" s="1" t="str">
        <f ca="1">IFERROR(__xludf.DUMMYFUNCTION("GOOGLETRANSLATE(F1132, ""auto"", ""en"")
"),"Gifted by relatives for their anniversary. I have long dreamed of such an air orderly, because... I suffer from allergies. At first I couldn’t take the discs out to wash them, but then I got the hang of it. It turned out that cleaning my device was not di"&amp;"fficult at all. And the air is really incomparable to when the humidifier is not turned on. Another thing I like is that you don’t have to change anything or buy new filters. It makes a little noise, well, there’s such a highway outside my windows that it"&amp;"’s not even noise. I would advise all asthmatics and allergy sufferers to buy it, don’t skimp on your health.")</f>
        <v>Gifted by relatives for their anniversary. I have long dreamed of such an air orderly, because... I suffer from allergies. At first I couldn’t take the discs out to wash them, but then I got the hang of it. It turned out that cleaning my device was not difficult at all. And the air is really incomparable to when the humidifier is not turned on. Another thing I like is that you don’t have to change anything or buy new filters. It makes a little noise, well, there’s such a highway outside my windows that it’s not even noise. I would advise all asthmatics and allergy sufferers to buy it, don’t skimp on your health.</v>
      </c>
    </row>
    <row r="1133" spans="1:9" x14ac:dyDescent="0.3">
      <c r="A1133" s="1" t="s">
        <v>37</v>
      </c>
      <c r="B1133" s="1" t="s">
        <v>1829</v>
      </c>
      <c r="C1133" s="1" t="s">
        <v>151</v>
      </c>
      <c r="D1133" s="1" t="s">
        <v>2068</v>
      </c>
      <c r="E1133" s="1" t="s">
        <v>1053</v>
      </c>
      <c r="F1133" s="1" t="s">
        <v>2629</v>
      </c>
      <c r="G1133" s="1" t="s">
        <v>36</v>
      </c>
      <c r="H1133" s="1" t="s">
        <v>29</v>
      </c>
      <c r="I1133" s="1" t="str">
        <f ca="1">IFERROR(__xludf.DUMMYFUNCTION("GOOGLETRANSLATE(F1133, ""auto"", ""en"")
"),"The device is good for everyone, I just expected more from the camera. Only pictures taken in good lighting conditions in sunny weather are not satisfactory. Indoors the picture quality is mediocre, even with flash, the photos come out dull. Pictures take"&amp;"n with the archaic Samsung Wave2 look much better (lighter) in comparison. The device takes a long time to focus, don’t expect instant shots. If the photographed object moved during shooting, the image will be blurry.")</f>
        <v>The device is good for everyone, I just expected more from the camera. Only pictures taken in good lighting conditions in sunny weather are not satisfactory. Indoors the picture quality is mediocre, even with flash, the photos come out dull. Pictures taken with the archaic Samsung Wave2 look much better (lighter) in comparison. The device takes a long time to focus, don’t expect instant shots. If the photographed object moved during shooting, the image will be blurry.</v>
      </c>
    </row>
    <row r="1134" spans="1:9" x14ac:dyDescent="0.3">
      <c r="A1134" s="1" t="s">
        <v>61</v>
      </c>
      <c r="B1134" s="1" t="s">
        <v>434</v>
      </c>
      <c r="C1134" s="1" t="s">
        <v>101</v>
      </c>
      <c r="D1134" s="1" t="s">
        <v>171</v>
      </c>
      <c r="E1134" s="1" t="s">
        <v>460</v>
      </c>
      <c r="F1134" s="1" t="s">
        <v>2630</v>
      </c>
      <c r="G1134" s="1" t="s">
        <v>36</v>
      </c>
      <c r="H1134" s="1" t="s">
        <v>29</v>
      </c>
      <c r="I1134" s="1" t="str">
        <f ca="1">IFERROR(__xludf.DUMMYFUNCTION("GOOGLETRANSLATE(F1134, ""auto"", ""en"")
"),"It works great, it’s a pity that the glass gets hot and there is no internal lighting, otherwise everything is OK.")</f>
        <v>It works great, it’s a pity that the glass gets hot and there is no internal lighting, otherwise everything is OK.</v>
      </c>
    </row>
    <row r="1135" spans="1:9" x14ac:dyDescent="0.3">
      <c r="A1135" s="1" t="s">
        <v>206</v>
      </c>
      <c r="B1135" s="1" t="s">
        <v>1349</v>
      </c>
      <c r="C1135" s="1" t="s">
        <v>262</v>
      </c>
      <c r="D1135" s="1" t="s">
        <v>2631</v>
      </c>
      <c r="E1135" s="1" t="s">
        <v>128</v>
      </c>
      <c r="F1135" s="1" t="s">
        <v>2632</v>
      </c>
      <c r="G1135" s="1" t="s">
        <v>36</v>
      </c>
      <c r="H1135" s="1" t="s">
        <v>29</v>
      </c>
      <c r="I1135" s="1" t="str">
        <f ca="1">IFERROR(__xludf.DUMMYFUNCTION("GOOGLETRANSLATE(F1135, ""auto"", ""en"")
"),"He plows like hell for half a year, 15 hours a day. Installing a GPS module has become a killer thing. You just need to handle the radio normally!")</f>
        <v>He plows like hell for half a year, 15 hours a day. Installing a GPS module has become a killer thing. You just need to handle the radio normally!</v>
      </c>
    </row>
    <row r="1136" spans="1:9" x14ac:dyDescent="0.3">
      <c r="A1136" s="1" t="s">
        <v>61</v>
      </c>
      <c r="B1136" s="1" t="s">
        <v>977</v>
      </c>
      <c r="C1136" s="1" t="s">
        <v>85</v>
      </c>
      <c r="D1136" s="1" t="s">
        <v>2633</v>
      </c>
      <c r="E1136" s="1" t="s">
        <v>2634</v>
      </c>
      <c r="F1136" s="1" t="s">
        <v>2635</v>
      </c>
      <c r="G1136" s="1" t="s">
        <v>36</v>
      </c>
      <c r="H1136" s="1" t="s">
        <v>29</v>
      </c>
      <c r="I1136" s="1" t="str">
        <f ca="1">IFERROR(__xludf.DUMMYFUNCTION("GOOGLETRANSLATE(F1136, ""auto"", ""en"")
"),"The meat chops well if you fill the bowl halfway. The chopped cutlets turn out decent.  In general, if the cup is not filled all the way, then everything is bad.")</f>
        <v>The meat chops well if you fill the bowl halfway. The chopped cutlets turn out decent.  In general, if the cup is not filled all the way, then everything is bad.</v>
      </c>
    </row>
    <row r="1137" spans="1:9" x14ac:dyDescent="0.3">
      <c r="A1137" s="1" t="s">
        <v>61</v>
      </c>
      <c r="B1137" s="1" t="s">
        <v>180</v>
      </c>
      <c r="C1137" s="1" t="s">
        <v>85</v>
      </c>
      <c r="D1137" s="1" t="s">
        <v>305</v>
      </c>
      <c r="E1137" s="1" t="s">
        <v>2636</v>
      </c>
      <c r="F1137" s="1" t="s">
        <v>2637</v>
      </c>
      <c r="G1137" s="1" t="s">
        <v>36</v>
      </c>
      <c r="H1137" s="1" t="s">
        <v>29</v>
      </c>
      <c r="I1137" s="1" t="str">
        <f ca="1">IFERROR(__xludf.DUMMYFUNCTION("GOOGLETRANSLATE(F1137, ""auto"", ""en"")
"),"When choosing a toaster, I didn’t doubt it for a minute; I already have a small collection of Bork appliances. It’s been working for several months now, but I can’t get enough of it, especially the smooth elevator function, it’s truly mesmerizing - I pres"&amp;"sed the button and the toast smoothly appeared and disappeared. In general, it works well, it hasn’t let me down yet, I recommend it to everyone.")</f>
        <v>When choosing a toaster, I didn’t doubt it for a minute; I already have a small collection of Bork appliances. It’s been working for several months now, but I can’t get enough of it, especially the smooth elevator function, it’s truly mesmerizing - I pressed the button and the toast smoothly appeared and disappeared. In general, it works well, it hasn’t let me down yet, I recommend it to everyone.</v>
      </c>
    </row>
    <row r="1138" spans="1:9" x14ac:dyDescent="0.3">
      <c r="A1138" s="1" t="s">
        <v>30</v>
      </c>
      <c r="B1138" s="1" t="s">
        <v>50</v>
      </c>
      <c r="C1138" s="1" t="s">
        <v>32</v>
      </c>
      <c r="D1138" s="1" t="s">
        <v>2638</v>
      </c>
      <c r="E1138" s="1" t="s">
        <v>1948</v>
      </c>
      <c r="F1138" s="1" t="s">
        <v>2639</v>
      </c>
      <c r="G1138" s="1" t="s">
        <v>36</v>
      </c>
      <c r="H1138" s="1" t="s">
        <v>29</v>
      </c>
      <c r="I1138" s="1" t="str">
        <f ca="1">IFERROR(__xludf.DUMMYFUNCTION("GOOGLETRANSLATE(F1138, ""auto"", ""en"")
"),"Cool thing...works like a charm...the only problem I've found so far is with bluetooth, it seems to turn on, but there's no use in it...and if you find fault with little things, I can add that the keyboard is like a toy, you press the buttons as much as t"&amp;"he whole keyboard bends =)... and one more little thing is that the cider is really kind of different, it constantly grumbles at me, making incomprehensible sounds =)... and in general, a cool book... and yes Its design is cool, in its price category only"&amp;" the HP Pavilion DV6 is inferior...")</f>
        <v>Cool thing...works like a charm...the only problem I've found so far is with bluetooth, it seems to turn on, but there's no use in it...and if you find fault with little things, I can add that the keyboard is like a toy, you press the buttons as much as the whole keyboard bends =)... and one more little thing is that the cider is really kind of different, it constantly grumbles at me, making incomprehensible sounds =)... and in general, a cool book... and yes Its design is cool, in its price category only the HP Pavilion DV6 is inferior...</v>
      </c>
    </row>
    <row r="1139" spans="1:9" x14ac:dyDescent="0.3">
      <c r="A1139" s="1" t="s">
        <v>30</v>
      </c>
      <c r="B1139" s="1" t="s">
        <v>50</v>
      </c>
      <c r="C1139" s="1" t="s">
        <v>151</v>
      </c>
      <c r="D1139" s="1" t="s">
        <v>39</v>
      </c>
      <c r="E1139" s="1" t="s">
        <v>2640</v>
      </c>
      <c r="F1139" s="1" t="s">
        <v>2641</v>
      </c>
      <c r="G1139" s="1" t="s">
        <v>36</v>
      </c>
      <c r="H1139" s="1" t="s">
        <v>29</v>
      </c>
      <c r="I1139" s="1" t="str">
        <f ca="1">IFERROR(__xludf.DUMMYFUNCTION("GOOGLETRANSLATE(F1139, ""auto"", ""en"")
"),"I am satisfied with the laptop in everything except the operating system. Vista clearly doesn't have enough resources. True, Microsoft has a program to replace Windows Vista with XPi. More details here: &gt;&gt;&gt; http://www.microsoft.com/rus/windows/vistatoxp/d"&amp;"efault.html I will send a request for a replacement, especially since Microsoft has already recognized Vista as a “failed” operating system.  Of the inaccuracies in the description (specification), two things can be highlighted: - the laptop has Vista Bas"&amp;"ic, not Premium - it does not have Bluetooth equipment.")</f>
        <v>I am satisfied with the laptop in everything except the operating system. Vista clearly doesn't have enough resources. True, Microsoft has a program to replace Windows Vista with XPi. More details here: &gt;&gt;&gt; http://www.microsoft.com/rus/windows/vistatoxp/default.html I will send a request for a replacement, especially since Microsoft has already recognized Vista as a “failed” operating system.  Of the inaccuracies in the description (specification), two things can be highlighted: - the laptop has Vista Basic, not Premium - it does not have Bluetooth equipment.</v>
      </c>
    </row>
    <row r="1140" spans="1:9" x14ac:dyDescent="0.3">
      <c r="A1140" s="1" t="s">
        <v>61</v>
      </c>
      <c r="B1140" s="1" t="s">
        <v>318</v>
      </c>
      <c r="C1140" s="1" t="s">
        <v>69</v>
      </c>
      <c r="D1140" s="1" t="s">
        <v>280</v>
      </c>
      <c r="E1140" s="1" t="s">
        <v>1937</v>
      </c>
      <c r="F1140" s="1" t="s">
        <v>2642</v>
      </c>
      <c r="G1140" s="1" t="s">
        <v>36</v>
      </c>
      <c r="H1140" s="1" t="s">
        <v>29</v>
      </c>
      <c r="I1140" s="1" t="str">
        <f ca="1">IFERROR(__xludf.DUMMYFUNCTION("GOOGLETRANSLATE(F1140, ""auto"", ""en"")
"),"The kettle is excellent. The weak link is the plastic indicator, which cracks and leaks over time. But it lasts for 4-5 years) After the first one broke, we bought exactly the same one.")</f>
        <v>The kettle is excellent. The weak link is the plastic indicator, which cracks and leaks over time. But it lasts for 4-5 years) After the first one broke, we bought exactly the same one.</v>
      </c>
    </row>
    <row r="1141" spans="1:9" x14ac:dyDescent="0.3">
      <c r="A1141" s="1" t="s">
        <v>451</v>
      </c>
      <c r="B1141" s="1" t="s">
        <v>452</v>
      </c>
      <c r="C1141" s="1" t="s">
        <v>710</v>
      </c>
      <c r="D1141" s="1" t="s">
        <v>2643</v>
      </c>
      <c r="E1141" s="1" t="s">
        <v>2644</v>
      </c>
      <c r="F1141" s="1" t="s">
        <v>2645</v>
      </c>
      <c r="G1141" s="1" t="s">
        <v>49</v>
      </c>
      <c r="H1141" s="1" t="s">
        <v>16</v>
      </c>
      <c r="I1141" s="1" t="str">
        <f ca="1">IFERROR(__xludf.DUMMYFUNCTION("GOOGLETRANSLATE(F1141, ""auto"", ""en"")
"),"It broke down pretty quickly for me. Both plastic and mesh. Although the price of the machine is average. Now I will only buy the more expensive Maxwell")</f>
        <v>It broke down pretty quickly for me. Both plastic and mesh. Although the price of the machine is average. Now I will only buy the more expensive Maxwell</v>
      </c>
    </row>
    <row r="1142" spans="1:9" x14ac:dyDescent="0.3">
      <c r="A1142" s="1" t="s">
        <v>43</v>
      </c>
      <c r="B1142" s="1" t="s">
        <v>502</v>
      </c>
      <c r="C1142" s="1" t="s">
        <v>151</v>
      </c>
      <c r="D1142" s="1" t="s">
        <v>186</v>
      </c>
      <c r="E1142" s="1" t="s">
        <v>2646</v>
      </c>
      <c r="F1142" s="1" t="s">
        <v>2647</v>
      </c>
      <c r="G1142" s="1" t="s">
        <v>36</v>
      </c>
      <c r="H1142" s="1" t="s">
        <v>29</v>
      </c>
      <c r="I1142" s="1" t="str">
        <f ca="1">IFERROR(__xludf.DUMMYFUNCTION("GOOGLETRANSLATE(F1142, ""auto"", ""en"")
"),"Excellent air conditioning, all units work quietly (the outer one is not audible at all, the inner one can only be heard as the air comes out and that’s all, a slight whisper at the strongest airflow). The house is brick and was installed without rubber s"&amp;"upports under the external unit; the installer said that they were not needed, because... after winter they will lose their function and will rattle. It all depends on the quality of installation, as well as on the air conditioner itself, of course, if th"&amp;"ere is no defect. What bad reviews write is a consequence of the installation and quality of the air conditioner itself. This is my opinion. I am very pleased with the purchase of this brand and its performance.")</f>
        <v>Excellent air conditioning, all units work quietly (the outer one is not audible at all, the inner one can only be heard as the air comes out and that’s all, a slight whisper at the strongest airflow). The house is brick and was installed without rubber supports under the external unit; the installer said that they were not needed, because... after winter they will lose their function and will rattle. It all depends on the quality of installation, as well as on the air conditioner itself, of course, if there is no defect. What bad reviews write is a consequence of the installation and quality of the air conditioner itself. This is my opinion. I am very pleased with the purchase of this brand and its performance.</v>
      </c>
    </row>
    <row r="1143" spans="1:9" x14ac:dyDescent="0.3">
      <c r="A1143" s="1" t="s">
        <v>9</v>
      </c>
      <c r="B1143" s="1" t="s">
        <v>133</v>
      </c>
      <c r="C1143" s="1" t="s">
        <v>24</v>
      </c>
      <c r="D1143" s="1" t="s">
        <v>545</v>
      </c>
      <c r="E1143" s="1" t="s">
        <v>2533</v>
      </c>
      <c r="F1143" s="1" t="s">
        <v>2648</v>
      </c>
      <c r="G1143" s="1" t="s">
        <v>49</v>
      </c>
      <c r="H1143" s="1" t="s">
        <v>16</v>
      </c>
      <c r="I1143" s="1" t="str">
        <f ca="1">IFERROR(__xludf.DUMMYFUNCTION("GOOGLETRANSLATE(F1143, ""auto"", ""en"")
"),"I already wrote earlier that condensation is forming. We changed the stove. We decided to take the same one, the problem remained. This time they told me to send it in for repairs, they sent it back, the craftsmen shrugged their shoulders. When opened, wa"&amp;"ter immediately flows onto the kitchen furniture.")</f>
        <v>I already wrote earlier that condensation is forming. We changed the stove. We decided to take the same one, the problem remained. This time they told me to send it in for repairs, they sent it back, the craftsmen shrugged their shoulders. When opened, water immediately flows onto the kitchen furniture.</v>
      </c>
    </row>
    <row r="1144" spans="1:9" x14ac:dyDescent="0.3">
      <c r="A1144" s="1" t="s">
        <v>89</v>
      </c>
      <c r="B1144" s="1" t="s">
        <v>90</v>
      </c>
      <c r="C1144" s="1" t="s">
        <v>63</v>
      </c>
      <c r="D1144" s="1" t="s">
        <v>456</v>
      </c>
      <c r="E1144" s="1" t="s">
        <v>2649</v>
      </c>
      <c r="F1144" s="1" t="s">
        <v>2650</v>
      </c>
      <c r="G1144" s="1" t="s">
        <v>36</v>
      </c>
      <c r="H1144" s="1" t="s">
        <v>29</v>
      </c>
      <c r="I1144" s="1" t="str">
        <f ca="1">IFERROR(__xludf.DUMMYFUNCTION("GOOGLETRANSLATE(F1144, ""auto"", ""en"")
"),"Pros: compact, easy to use, does not coke coffee under the knife Cons: perhaps a little noisy General impressions - it works for about 6 years. Every day 2-3 times with a month of grinding about a kilogram of grain. As of today, taking into account vacati"&amp;"ons and other absences, according to my calculations, about 70 kg have been ground) read the instructions, handle carefully and may you have coffee happiness.")</f>
        <v>Pros: compact, easy to use, does not coke coffee under the knife Cons: perhaps a little noisy General impressions - it works for about 6 years. Every day 2-3 times with a month of grinding about a kilogram of grain. As of today, taking into account vacations and other absences, according to my calculations, about 70 kg have been ground) read the instructions, handle carefully and may you have coffee happiness.</v>
      </c>
    </row>
    <row r="1145" spans="1:9" x14ac:dyDescent="0.3">
      <c r="A1145" s="1" t="s">
        <v>61</v>
      </c>
      <c r="B1145" s="1" t="s">
        <v>318</v>
      </c>
      <c r="C1145" s="1" t="s">
        <v>63</v>
      </c>
      <c r="D1145" s="1" t="s">
        <v>305</v>
      </c>
      <c r="E1145" s="1" t="s">
        <v>2651</v>
      </c>
      <c r="F1145" s="1" t="s">
        <v>2652</v>
      </c>
      <c r="G1145" s="1" t="s">
        <v>15</v>
      </c>
      <c r="H1145" s="1" t="s">
        <v>16</v>
      </c>
      <c r="I1145" s="1" t="str">
        <f ca="1">IFERROR(__xludf.DUMMYFUNCTION("GOOGLETRANSLATE(F1145, ""auto"", ""en"")
"),"After a year, the plastic of the lid began to lose its appearance, and after 1.5 years it began to leak.")</f>
        <v>After a year, the plastic of the lid began to lose its appearance, and after 1.5 years it began to leak.</v>
      </c>
    </row>
    <row r="1146" spans="1:9" x14ac:dyDescent="0.3">
      <c r="A1146" s="1" t="s">
        <v>61</v>
      </c>
      <c r="B1146" s="1" t="s">
        <v>145</v>
      </c>
      <c r="C1146" s="1" t="s">
        <v>146</v>
      </c>
      <c r="D1146" s="1" t="s">
        <v>2653</v>
      </c>
      <c r="E1146" s="1" t="s">
        <v>2654</v>
      </c>
      <c r="F1146" s="1" t="s">
        <v>2655</v>
      </c>
      <c r="G1146" s="1" t="s">
        <v>36</v>
      </c>
      <c r="H1146" s="1" t="s">
        <v>29</v>
      </c>
      <c r="I1146" s="1" t="str">
        <f ca="1">IFERROR(__xludf.DUMMYFUNCTION("GOOGLETRANSLATE(F1146, ""auto"", ""en"")
"),"super thing) I couldn’t open the jar myself, now I don’t need anyone’s help) and it sharpens knives with a bang.. I recommend")</f>
        <v>super thing) I couldn’t open the jar myself, now I don’t need anyone’s help) and it sharpens knives with a bang.. I recommend</v>
      </c>
    </row>
    <row r="1147" spans="1:9" x14ac:dyDescent="0.3">
      <c r="A1147" s="1" t="s">
        <v>55</v>
      </c>
      <c r="B1147" s="1" t="s">
        <v>184</v>
      </c>
      <c r="C1147" s="1" t="s">
        <v>45</v>
      </c>
      <c r="D1147" s="1" t="s">
        <v>565</v>
      </c>
      <c r="E1147" s="1" t="s">
        <v>2656</v>
      </c>
      <c r="F1147" s="1" t="s">
        <v>2657</v>
      </c>
      <c r="G1147" s="1" t="s">
        <v>36</v>
      </c>
      <c r="H1147" s="1" t="s">
        <v>29</v>
      </c>
      <c r="I1147" s="1" t="str">
        <f ca="1">IFERROR(__xludf.DUMMYFUNCTION("GOOGLETRANSLATE(F1147, ""auto"", ""en"")
"),"Excellent heater, very satisfied, heats up quickly and has been in service for the second season!")</f>
        <v>Excellent heater, very satisfied, heats up quickly and has been in service for the second season!</v>
      </c>
    </row>
    <row r="1148" spans="1:9" x14ac:dyDescent="0.3">
      <c r="A1148" s="1" t="s">
        <v>37</v>
      </c>
      <c r="B1148" s="1" t="s">
        <v>38</v>
      </c>
      <c r="C1148" s="1" t="s">
        <v>39</v>
      </c>
      <c r="D1148" s="1" t="s">
        <v>690</v>
      </c>
      <c r="E1148" s="1" t="s">
        <v>271</v>
      </c>
      <c r="F1148" s="1" t="s">
        <v>2658</v>
      </c>
      <c r="G1148" s="1" t="s">
        <v>36</v>
      </c>
      <c r="H1148" s="1" t="s">
        <v>29</v>
      </c>
      <c r="I1148" s="1" t="str">
        <f ca="1">IFERROR(__xludf.DUMMYFUNCTION("GOOGLETRANSLATE(F1148, ""auto"", ""en"")
"),"W902 is a good phone, its features are loud music and a 5.0 camera, it is even better than n82 and n95, but it’s a pity there is no Wi-Fi")</f>
        <v>W902 is a good phone, its features are loud music and a 5.0 camera, it is even better than n82 and n95, but it’s a pity there is no Wi-Fi</v>
      </c>
    </row>
    <row r="1149" spans="1:9" x14ac:dyDescent="0.3">
      <c r="A1149" s="1" t="s">
        <v>211</v>
      </c>
      <c r="B1149" s="1" t="s">
        <v>515</v>
      </c>
      <c r="C1149" s="1" t="s">
        <v>69</v>
      </c>
      <c r="D1149" s="1" t="s">
        <v>2659</v>
      </c>
      <c r="E1149" s="1" t="s">
        <v>926</v>
      </c>
      <c r="F1149" s="1" t="s">
        <v>2660</v>
      </c>
      <c r="G1149" s="1" t="s">
        <v>36</v>
      </c>
      <c r="H1149" s="1" t="s">
        <v>29</v>
      </c>
      <c r="I1149" s="1" t="str">
        <f ca="1">IFERROR(__xludf.DUMMYFUNCTION("GOOGLETRANSLATE(F1149, ""auto"", ""en"")
"),"I bought it today, I’m delighted!!! it’s a great item! Armpits and a deep bikini top! Almost no pain and leaves no hair!")</f>
        <v>I bought it today, I’m delighted!!! it’s a great item! Armpits and a deep bikini top! Almost no pain and leaves no hair!</v>
      </c>
    </row>
    <row r="1150" spans="1:9" x14ac:dyDescent="0.3">
      <c r="A1150" s="1" t="s">
        <v>9</v>
      </c>
      <c r="B1150" s="1" t="s">
        <v>133</v>
      </c>
      <c r="C1150" s="1" t="s">
        <v>19</v>
      </c>
      <c r="D1150" s="1" t="s">
        <v>653</v>
      </c>
      <c r="E1150" s="1" t="s">
        <v>1225</v>
      </c>
      <c r="F1150" s="1" t="s">
        <v>2661</v>
      </c>
      <c r="G1150" s="1" t="s">
        <v>36</v>
      </c>
      <c r="H1150" s="1" t="s">
        <v>29</v>
      </c>
      <c r="I1150" s="1" t="str">
        <f ca="1">IFERROR(__xludf.DUMMYFUNCTION("GOOGLETRANSLATE(F1150, ""auto"", ""en"")
"),"Great oven! I've been using it for 3 years with pleasure! I bake often and a lot, I’m always pleased with the result, for little money there are a lot of functions and a stylish appearance!")</f>
        <v>Great oven! I've been using it for 3 years with pleasure! I bake often and a lot, I’m always pleased with the result, for little money there are a lot of functions and a stylish appearance!</v>
      </c>
    </row>
    <row r="1151" spans="1:9" x14ac:dyDescent="0.3">
      <c r="A1151" s="1" t="s">
        <v>169</v>
      </c>
      <c r="B1151" s="1" t="s">
        <v>170</v>
      </c>
      <c r="C1151" s="1" t="s">
        <v>122</v>
      </c>
      <c r="D1151" s="1" t="s">
        <v>2662</v>
      </c>
      <c r="E1151" s="1" t="s">
        <v>2663</v>
      </c>
      <c r="F1151" s="1" t="s">
        <v>2664</v>
      </c>
      <c r="G1151" s="1" t="s">
        <v>36</v>
      </c>
      <c r="H1151" s="1" t="s">
        <v>29</v>
      </c>
      <c r="I1151" s="1" t="str">
        <f ca="1">IFERROR(__xludf.DUMMYFUNCTION("GOOGLETRANSLATE(F1151, ""auto"", ""en"")
"),"I bought it 2 days ago, the sound is good, the pads are soft, in general I’m satisfied, although I spent a long time choosing and came across these, take it, you won’t regret it, they may be defective, but the price is reassuring) The sound is also good, "&amp;"not very loud, but not very quiet either.")</f>
        <v>I bought it 2 days ago, the sound is good, the pads are soft, in general I’m satisfied, although I spent a long time choosing and came across these, take it, you won’t regret it, they may be defective, but the price is reassuring) The sound is also good, not very loud, but not very quiet either.</v>
      </c>
    </row>
    <row r="1152" spans="1:9" x14ac:dyDescent="0.3">
      <c r="A1152" s="1" t="s">
        <v>43</v>
      </c>
      <c r="B1152" s="1" t="s">
        <v>219</v>
      </c>
      <c r="C1152" s="1" t="s">
        <v>665</v>
      </c>
      <c r="D1152" s="1" t="s">
        <v>2665</v>
      </c>
      <c r="E1152" s="1" t="s">
        <v>2666</v>
      </c>
      <c r="F1152" s="1" t="s">
        <v>2667</v>
      </c>
      <c r="G1152" s="1" t="s">
        <v>28</v>
      </c>
      <c r="H1152" s="1" t="s">
        <v>29</v>
      </c>
      <c r="I1152" s="1" t="str">
        <f ca="1">IFERROR(__xludf.DUMMYFUNCTION("GOOGLETRANSLATE(F1152, ""auto"", ""en"")
"),"Heats up quickly")</f>
        <v>Heats up quickly</v>
      </c>
    </row>
    <row r="1153" spans="1:9" x14ac:dyDescent="0.3">
      <c r="A1153" s="1" t="s">
        <v>61</v>
      </c>
      <c r="B1153" s="1" t="s">
        <v>224</v>
      </c>
      <c r="C1153" s="1" t="s">
        <v>85</v>
      </c>
      <c r="D1153" s="1" t="s">
        <v>2668</v>
      </c>
      <c r="E1153" s="1" t="s">
        <v>2669</v>
      </c>
      <c r="F1153" s="1" t="s">
        <v>2670</v>
      </c>
      <c r="G1153" s="1" t="s">
        <v>36</v>
      </c>
      <c r="H1153" s="1" t="s">
        <v>29</v>
      </c>
      <c r="I1153" s="1" t="str">
        <f ca="1">IFERROR(__xludf.DUMMYFUNCTION("GOOGLETRANSLATE(F1153, ""auto"", ""en"")
"),"We bought this juicer today. We stopped by right away and bought carrots, oranges, and cream. We've already had two glasses of the most delicious juice, my husband and children loved it. And I really liked it: tasty and healthy, not as expensive as in the"&amp;" store, and all the parts were washed in the dishwasher - beauty from all sides.  Yes, and the cake was dry.")</f>
        <v>We bought this juicer today. We stopped by right away and bought carrots, oranges, and cream. We've already had two glasses of the most delicious juice, my husband and children loved it. And I really liked it: tasty and healthy, not as expensive as in the store, and all the parts were washed in the dishwasher - beauty from all sides.  Yes, and the cake was dry.</v>
      </c>
    </row>
    <row r="1154" spans="1:9" x14ac:dyDescent="0.3">
      <c r="A1154" s="1" t="s">
        <v>78</v>
      </c>
      <c r="B1154" s="1" t="s">
        <v>1163</v>
      </c>
      <c r="C1154" s="1" t="s">
        <v>1677</v>
      </c>
      <c r="D1154" s="1" t="s">
        <v>308</v>
      </c>
      <c r="E1154" s="1" t="s">
        <v>2298</v>
      </c>
      <c r="F1154" s="1" t="s">
        <v>2671</v>
      </c>
      <c r="G1154" s="1" t="s">
        <v>36</v>
      </c>
      <c r="H1154" s="1" t="s">
        <v>29</v>
      </c>
      <c r="I1154" s="1" t="str">
        <f ca="1">IFERROR(__xludf.DUMMYFUNCTION("GOOGLETRANSLATE(F1154, ""auto"", ""en"")
"),"Convenient controls, excellent design, easy to understand instructions in Russian, a well-known Japanese company, I like to cook everything in the microwave and it has a large internal volume and a larger dish than other microwaves with the same dimension"&amp;"s. We just recently bought it, we’ll use it longer and write about the results later. So far we can say that the buttons are obedient, only the sound signal is reminiscent of the power supply shutdown signal and is a little scary every time. the fan is no"&amp;"t noisy. Cooks according to the power and time set manually - excellent. Have not used the programmed programs yet.")</f>
        <v>Convenient controls, excellent design, easy to understand instructions in Russian, a well-known Japanese company, I like to cook everything in the microwave and it has a large internal volume and a larger dish than other microwaves with the same dimensions. We just recently bought it, we’ll use it longer and write about the results later. So far we can say that the buttons are obedient, only the sound signal is reminiscent of the power supply shutdown signal and is a little scary every time. the fan is not noisy. Cooks according to the power and time set manually - excellent. Have not used the programmed programs yet.</v>
      </c>
    </row>
    <row r="1155" spans="1:9" x14ac:dyDescent="0.3">
      <c r="A1155" s="1" t="s">
        <v>61</v>
      </c>
      <c r="B1155" s="1" t="s">
        <v>73</v>
      </c>
      <c r="C1155" s="1" t="s">
        <v>146</v>
      </c>
      <c r="D1155" s="1" t="s">
        <v>2068</v>
      </c>
      <c r="E1155" s="1" t="s">
        <v>1408</v>
      </c>
      <c r="F1155" s="1" t="s">
        <v>2672</v>
      </c>
      <c r="G1155" s="1" t="s">
        <v>36</v>
      </c>
      <c r="H1155" s="1" t="s">
        <v>29</v>
      </c>
      <c r="I1155" s="1" t="str">
        <f ca="1">IFERROR(__xludf.DUMMYFUNCTION("GOOGLETRANSLATE(F1155, ""auto"", ""en"")
"),"A little noisy")</f>
        <v>A little noisy</v>
      </c>
    </row>
    <row r="1156" spans="1:9" x14ac:dyDescent="0.3">
      <c r="A1156" s="1" t="s">
        <v>211</v>
      </c>
      <c r="B1156" s="1" t="s">
        <v>212</v>
      </c>
      <c r="C1156" s="1" t="s">
        <v>294</v>
      </c>
      <c r="D1156" s="1" t="s">
        <v>308</v>
      </c>
      <c r="E1156" s="1" t="s">
        <v>1660</v>
      </c>
      <c r="F1156" s="1" t="s">
        <v>2673</v>
      </c>
      <c r="G1156" s="1" t="s">
        <v>36</v>
      </c>
      <c r="H1156" s="1" t="s">
        <v>29</v>
      </c>
      <c r="I1156" s="1" t="str">
        <f ca="1">IFERROR(__xludf.DUMMYFUNCTION("GOOGLETRANSLATE(F1156, ""auto"", ""en"")
"),"I consider it a good purchase. I’ve been using it for a month and am very pleased, I didn’t think it was possible to straighten my curly hair so easily and quickly. Happy shopping everyone.")</f>
        <v>I consider it a good purchase. I’ve been using it for a month and am very pleased, I didn’t think it was possible to straighten my curly hair so easily and quickly. Happy shopping everyone.</v>
      </c>
    </row>
    <row r="1157" spans="1:9" x14ac:dyDescent="0.3">
      <c r="A1157" s="1" t="s">
        <v>61</v>
      </c>
      <c r="B1157" s="1" t="s">
        <v>318</v>
      </c>
      <c r="C1157" s="1" t="s">
        <v>85</v>
      </c>
      <c r="D1157" s="1" t="s">
        <v>117</v>
      </c>
      <c r="E1157" s="1" t="s">
        <v>1692</v>
      </c>
      <c r="F1157" s="1" t="s">
        <v>2674</v>
      </c>
      <c r="G1157" s="1" t="s">
        <v>36</v>
      </c>
      <c r="H1157" s="1" t="s">
        <v>29</v>
      </c>
      <c r="I1157" s="1" t="str">
        <f ca="1">IFERROR(__xludf.DUMMYFUNCTION("GOOGLETRANSLATE(F1157, ""auto"", ""en"")
"),"We have been using the Bork K800 kettle for more than a year, and during all this time we have not once regretted the money spent on the purchase. Firstly, thanks to the high power, the water boils quite quickly, and besides, it is possible to keep the wa"&amp;"ter hot for another 20 minutes. The temperature can also be maintained at different levels, for example, when brewing green tea, we do not use very boiling water - this way the taste will be the most correct. The technology for reducing noise during boili"&amp;"ng is also interesting. At least in the morning rush, the noise does not irritate or disturb the rest of the household.  Pros: fast boiling, temperature selection, low noise")</f>
        <v>We have been using the Bork K800 kettle for more than a year, and during all this time we have not once regretted the money spent on the purchase. Firstly, thanks to the high power, the water boils quite quickly, and besides, it is possible to keep the water hot for another 20 minutes. The temperature can also be maintained at different levels, for example, when brewing green tea, we do not use very boiling water - this way the taste will be the most correct. The technology for reducing noise during boiling is also interesting. At least in the morning rush, the noise does not irritate or disturb the rest of the household.  Pros: fast boiling, temperature selection, low noise</v>
      </c>
    </row>
    <row r="1158" spans="1:9" x14ac:dyDescent="0.3">
      <c r="A1158" s="1" t="s">
        <v>211</v>
      </c>
      <c r="B1158" s="1" t="s">
        <v>856</v>
      </c>
      <c r="C1158" s="1" t="s">
        <v>381</v>
      </c>
      <c r="D1158" s="1" t="s">
        <v>1055</v>
      </c>
      <c r="E1158" s="1" t="s">
        <v>2675</v>
      </c>
      <c r="F1158" s="1" t="s">
        <v>2676</v>
      </c>
      <c r="G1158" s="1" t="s">
        <v>28</v>
      </c>
      <c r="H1158" s="1" t="s">
        <v>29</v>
      </c>
      <c r="I1158" s="1" t="str">
        <f ca="1">IFERROR(__xludf.DUMMYFUNCTION("GOOGLETRANSLATE(F1158, ""auto"", ""en"")
"),"I completely agree about the lighting. But for me, another minus is that the mirror is not on a leg and it turns out that you always have to bend over to look. And so everything suits me.")</f>
        <v>I completely agree about the lighting. But for me, another minus is that the mirror is not on a leg and it turns out that you always have to bend over to look. And so everything suits me.</v>
      </c>
    </row>
    <row r="1159" spans="1:9" x14ac:dyDescent="0.3">
      <c r="A1159" s="1" t="s">
        <v>120</v>
      </c>
      <c r="B1159" s="1" t="s">
        <v>121</v>
      </c>
      <c r="C1159" s="1" t="s">
        <v>151</v>
      </c>
      <c r="D1159" s="1" t="s">
        <v>102</v>
      </c>
      <c r="E1159" s="1" t="s">
        <v>2677</v>
      </c>
      <c r="F1159" s="1" t="s">
        <v>2678</v>
      </c>
      <c r="G1159" s="1" t="s">
        <v>36</v>
      </c>
      <c r="H1159" s="1" t="s">
        <v>29</v>
      </c>
      <c r="I1159" s="1" t="str">
        <f ca="1">IFERROR(__xludf.DUMMYFUNCTION("GOOGLETRANSLATE(F1159, ""auto"", ""en"")
"),"I bought it with the goal of using it to watch cable and movies from a computer via HDMI. There were a couple of problems with HDMI, the first on a cheap cable with a resolution of 1920x1080 doubled the picture with vertical stripes. I had to take a Phili"&amp;"ps cable revision 1.3, it cost 1800 rubles for 3m. Everything is fine on it. Further, in the native resolution, small text was unreadable and looked rather disgusting due to the sharp edging around the edges of contrasting objects. It is cured, as it turn"&amp;"s out, by dancing with tambourines in the picture settings menu on the TV. I don’t remember exactly what I turned off and what I turned on, it seems there is an item there like “contrast edges” or something like that. Well, 1080p films compressed to 8-10 "&amp;"gigs look fantastic. Drag an active subwoofer to the TV and it’s almost like a cinema)")</f>
        <v>I bought it with the goal of using it to watch cable and movies from a computer via HDMI. There were a couple of problems with HDMI, the first on a cheap cable with a resolution of 1920x1080 doubled the picture with vertical stripes. I had to take a Philips cable revision 1.3, it cost 1800 rubles for 3m. Everything is fine on it. Further, in the native resolution, small text was unreadable and looked rather disgusting due to the sharp edging around the edges of contrasting objects. It is cured, as it turns out, by dancing with tambourines in the picture settings menu on the TV. I don’t remember exactly what I turned off and what I turned on, it seems there is an item there like “contrast edges” or something like that. Well, 1080p films compressed to 8-10 gigs look fantastic. Drag an active subwoofer to the TV and it’s almost like a cinema)</v>
      </c>
    </row>
    <row r="1160" spans="1:9" x14ac:dyDescent="0.3">
      <c r="A1160" s="1" t="s">
        <v>43</v>
      </c>
      <c r="B1160" s="1" t="s">
        <v>502</v>
      </c>
      <c r="C1160" s="1" t="s">
        <v>151</v>
      </c>
      <c r="D1160" s="1" t="s">
        <v>2679</v>
      </c>
      <c r="E1160" s="1" t="s">
        <v>2680</v>
      </c>
      <c r="F1160" s="1" t="s">
        <v>2681</v>
      </c>
      <c r="G1160" s="1" t="s">
        <v>36</v>
      </c>
      <c r="H1160" s="1" t="s">
        <v>29</v>
      </c>
      <c r="I1160" s="1" t="str">
        <f ca="1">IFERROR(__xludf.DUMMYFUNCTION("GOOGLETRANSLATE(F1160, ""auto"", ""en"")
"),"It's been working for a week now, very happy. Cools quickly and operates quietly. There is a removable filter that needs to be washed about once a month.")</f>
        <v>It's been working for a week now, very happy. Cools quickly and operates quietly. There is a removable filter that needs to be washed about once a month.</v>
      </c>
    </row>
    <row r="1161" spans="1:9" x14ac:dyDescent="0.3">
      <c r="A1161" s="1" t="s">
        <v>369</v>
      </c>
      <c r="B1161" s="1" t="s">
        <v>2480</v>
      </c>
      <c r="C1161" s="1" t="s">
        <v>453</v>
      </c>
      <c r="D1161" s="1" t="s">
        <v>2682</v>
      </c>
      <c r="E1161" s="1" t="s">
        <v>1347</v>
      </c>
      <c r="F1161" s="1" t="s">
        <v>2683</v>
      </c>
      <c r="G1161" s="1" t="s">
        <v>15</v>
      </c>
      <c r="H1161" s="1" t="s">
        <v>16</v>
      </c>
      <c r="I1161" s="1" t="str">
        <f ca="1">IFERROR(__xludf.DUMMYFUNCTION("GOOGLETRANSLATE(F1161, ""auto"", ""en"")
"),"I worked for 1.5 years and everything was covered! The service life is written: 3 years in the book. Sadness!")</f>
        <v>I worked for 1.5 years and everything was covered! The service life is written: 3 years in the book. Sadness!</v>
      </c>
    </row>
    <row r="1162" spans="1:9" x14ac:dyDescent="0.3">
      <c r="A1162" s="1" t="s">
        <v>211</v>
      </c>
      <c r="B1162" s="1" t="s">
        <v>384</v>
      </c>
      <c r="C1162" s="1" t="s">
        <v>101</v>
      </c>
      <c r="D1162" s="1" t="s">
        <v>474</v>
      </c>
      <c r="E1162" s="1" t="s">
        <v>2684</v>
      </c>
      <c r="F1162" s="1" t="s">
        <v>2685</v>
      </c>
      <c r="G1162" s="1" t="s">
        <v>36</v>
      </c>
      <c r="H1162" s="1" t="s">
        <v>29</v>
      </c>
      <c r="I1162" s="1" t="str">
        <f ca="1">IFERROR(__xludf.DUMMYFUNCTION("GOOGLETRANSLATE(F1162, ""auto"", ""en"")
"),"The scales are great and the price is good. They show accurately. In the store I weighed myself on different scales. Glass scales do not show accurately. (1 kg difference) But these show accurately, and are lightweight compared to glass ones. The battery "&amp;"is included. I bought it from M. Video.")</f>
        <v>The scales are great and the price is good. They show accurately. In the store I weighed myself on different scales. Glass scales do not show accurately. (1 kg difference) But these show accurately, and are lightweight compared to glass ones. The battery is included. I bought it from M. Video.</v>
      </c>
    </row>
    <row r="1163" spans="1:9" x14ac:dyDescent="0.3">
      <c r="A1163" s="1" t="s">
        <v>30</v>
      </c>
      <c r="B1163" s="1" t="s">
        <v>31</v>
      </c>
      <c r="C1163" s="1" t="s">
        <v>32</v>
      </c>
      <c r="D1163" s="1" t="s">
        <v>152</v>
      </c>
      <c r="E1163" s="1" t="s">
        <v>2686</v>
      </c>
      <c r="F1163" s="1" t="s">
        <v>2687</v>
      </c>
      <c r="G1163" s="1" t="s">
        <v>36</v>
      </c>
      <c r="H1163" s="1" t="s">
        <v>29</v>
      </c>
      <c r="I1163" s="1" t="str">
        <f ca="1">IFERROR(__xludf.DUMMYFUNCTION("GOOGLETRANSLATE(F1163, ""auto"", ""en"")
"),"I was very pleased with the ratio of price and characteristics of the components, and I will install the 64-bit operating system myself.")</f>
        <v>I was very pleased with the ratio of price and characteristics of the components, and I will install the 64-bit operating system myself.</v>
      </c>
    </row>
    <row r="1164" spans="1:9" x14ac:dyDescent="0.3">
      <c r="A1164" s="1" t="s">
        <v>61</v>
      </c>
      <c r="B1164" s="1" t="s">
        <v>318</v>
      </c>
      <c r="C1164" s="1" t="s">
        <v>57</v>
      </c>
      <c r="D1164" s="1" t="s">
        <v>46</v>
      </c>
      <c r="E1164" s="1" t="s">
        <v>2688</v>
      </c>
      <c r="F1164" s="1" t="s">
        <v>2689</v>
      </c>
      <c r="G1164" s="1" t="s">
        <v>36</v>
      </c>
      <c r="H1164" s="1" t="s">
        <v>29</v>
      </c>
      <c r="I1164" s="1" t="str">
        <f ca="1">IFERROR(__xludf.DUMMYFUNCTION("GOOGLETRANSLATE(F1164, ""auto"", ""en"")
"),"Yesterday the heating elements burned out, BUT!!! We are already using it, I'm afraid to make a mistake for more than 4 or 5 years. For all the time I used it, I have only positive memories, the only thing is that lately it has become a little noisy, but "&amp;"on the other hand, it should be expected for such a service life :) So I highly recommend it!")</f>
        <v>Yesterday the heating elements burned out, BUT!!! We are already using it, I'm afraid to make a mistake for more than 4 or 5 years. For all the time I used it, I have only positive memories, the only thing is that lately it has become a little noisy, but on the other hand, it should be expected for such a service life :) So I highly recommend it!</v>
      </c>
    </row>
    <row r="1165" spans="1:9" x14ac:dyDescent="0.3">
      <c r="A1165" s="1" t="s">
        <v>61</v>
      </c>
      <c r="B1165" s="1" t="s">
        <v>318</v>
      </c>
      <c r="C1165" s="1" t="s">
        <v>63</v>
      </c>
      <c r="D1165" s="1" t="s">
        <v>2336</v>
      </c>
      <c r="E1165" s="1" t="s">
        <v>128</v>
      </c>
      <c r="F1165" s="1" t="s">
        <v>2690</v>
      </c>
      <c r="G1165" s="1" t="s">
        <v>36</v>
      </c>
      <c r="H1165" s="1" t="s">
        <v>29</v>
      </c>
      <c r="I1165" s="1" t="str">
        <f ca="1">IFERROR(__xludf.DUMMYFUNCTION("GOOGLETRANSLATE(F1165, ""auto"", ""en"")
"),"I’ve been using this kettle for a year and a half now and I have no complaints about this product, after us our friends bought the same kettles")</f>
        <v>I’ve been using this kettle for a year and a half now and I have no complaints about this product, after us our friends bought the same kettles</v>
      </c>
    </row>
    <row r="1166" spans="1:9" x14ac:dyDescent="0.3">
      <c r="A1166" s="1" t="s">
        <v>9</v>
      </c>
      <c r="B1166" s="1" t="s">
        <v>874</v>
      </c>
      <c r="C1166" s="1" t="s">
        <v>588</v>
      </c>
      <c r="D1166" s="1" t="s">
        <v>327</v>
      </c>
      <c r="E1166" s="1" t="s">
        <v>2691</v>
      </c>
      <c r="F1166" s="1" t="s">
        <v>2692</v>
      </c>
      <c r="G1166" s="1" t="s">
        <v>36</v>
      </c>
      <c r="H1166" s="1" t="s">
        <v>29</v>
      </c>
      <c r="I1166" s="1" t="str">
        <f ca="1">IFERROR(__xludf.DUMMYFUNCTION("GOOGLETRANSLATE(F1166, ""auto"", ""en"")
"),"My wife really liked the set, she bought it in 2014, but now it costs more. The only problem was that the plastic on the handles was cracked")</f>
        <v>My wife really liked the set, she bought it in 2014, but now it costs more. The only problem was that the plastic on the handles was cracked</v>
      </c>
    </row>
    <row r="1167" spans="1:9" x14ac:dyDescent="0.3">
      <c r="A1167" s="1" t="s">
        <v>95</v>
      </c>
      <c r="B1167" s="1" t="s">
        <v>486</v>
      </c>
      <c r="C1167" s="1" t="s">
        <v>487</v>
      </c>
      <c r="D1167" s="1" t="s">
        <v>20</v>
      </c>
      <c r="E1167" s="1" t="s">
        <v>2693</v>
      </c>
      <c r="F1167" s="1" t="s">
        <v>2694</v>
      </c>
      <c r="G1167" s="1" t="s">
        <v>36</v>
      </c>
      <c r="H1167" s="1" t="s">
        <v>29</v>
      </c>
      <c r="I1167" s="1" t="str">
        <f ca="1">IFERROR(__xludf.DUMMYFUNCTION("GOOGLETRANSLATE(F1167, ""auto"", ""en"")
"),"ARE THE GAMES INCLUDED IN RUSSIFICATION????")</f>
        <v>ARE THE GAMES INCLUDED IN RUSSIFICATION????</v>
      </c>
    </row>
    <row r="1168" spans="1:9" x14ac:dyDescent="0.3">
      <c r="A1168" s="1" t="s">
        <v>149</v>
      </c>
      <c r="B1168" s="1" t="s">
        <v>576</v>
      </c>
      <c r="C1168" s="1" t="s">
        <v>1835</v>
      </c>
      <c r="D1168" s="1" t="s">
        <v>326</v>
      </c>
      <c r="E1168" s="1" t="s">
        <v>2695</v>
      </c>
      <c r="F1168" s="1" t="s">
        <v>2696</v>
      </c>
      <c r="G1168" s="1" t="s">
        <v>36</v>
      </c>
      <c r="H1168" s="1" t="s">
        <v>29</v>
      </c>
      <c r="I1168" s="1" t="str">
        <f ca="1">IFERROR(__xludf.DUMMYFUNCTION("GOOGLETRANSLATE(F1168, ""auto"", ""en"")
"),"The vacuum cleaner is super!!!! Excellent design and power! The child sleeps even when I vacuum. Everyone is happy. I recommend it to everyone!!!")</f>
        <v>The vacuum cleaner is super!!!! Excellent design and power! The child sleeps even when I vacuum. Everyone is happy. I recommend it to everyone!!!</v>
      </c>
    </row>
    <row r="1169" spans="1:9" x14ac:dyDescent="0.3">
      <c r="A1169" s="1" t="s">
        <v>477</v>
      </c>
      <c r="B1169" s="1" t="s">
        <v>478</v>
      </c>
      <c r="C1169" s="1" t="s">
        <v>479</v>
      </c>
      <c r="D1169" s="1" t="s">
        <v>2697</v>
      </c>
      <c r="E1169" s="1" t="s">
        <v>1228</v>
      </c>
      <c r="F1169" s="1" t="s">
        <v>2698</v>
      </c>
      <c r="G1169" s="1" t="s">
        <v>36</v>
      </c>
      <c r="H1169" s="1" t="s">
        <v>29</v>
      </c>
      <c r="I1169" s="1" t="str">
        <f ca="1">IFERROR(__xludf.DUMMYFUNCTION("GOOGLETRANSLATE(F1169, ""auto"", ""en"")
"),"The game is great! I bought it on December 19 last year on the release day. For those who have not played yet, I STRONGLY RECOMMEND to buy it! Ideal in almost everything!")</f>
        <v>The game is great! I bought it on December 19 last year on the release day. For those who have not played yet, I STRONGLY RECOMMEND to buy it! Ideal in almost everything!</v>
      </c>
    </row>
    <row r="1170" spans="1:9" x14ac:dyDescent="0.3">
      <c r="A1170" s="1" t="s">
        <v>61</v>
      </c>
      <c r="B1170" s="1" t="s">
        <v>726</v>
      </c>
      <c r="C1170" s="1" t="s">
        <v>74</v>
      </c>
      <c r="D1170" s="1" t="s">
        <v>232</v>
      </c>
      <c r="E1170" s="1" t="s">
        <v>1700</v>
      </c>
      <c r="F1170" s="1" t="s">
        <v>2699</v>
      </c>
      <c r="G1170" s="1" t="s">
        <v>36</v>
      </c>
      <c r="H1170" s="1" t="s">
        <v>29</v>
      </c>
      <c r="I1170" s="1" t="str">
        <f ca="1">IFERROR(__xludf.DUMMYFUNCTION("GOOGLETRANSLATE(F1170, ""auto"", ""en"")
"),"My wife and I have been wanting to buy a bread machine for a long time, we bought it today. We baked simple white bread at home, taking the recipe from the instruction manual. The bread turned out very tasty, well baked with a golden crust. I really liked"&amp;" the stove.")</f>
        <v>My wife and I have been wanting to buy a bread machine for a long time, we bought it today. We baked simple white bread at home, taking the recipe from the instruction manual. The bread turned out very tasty, well baked with a golden crust. I really liked the stove.</v>
      </c>
    </row>
    <row r="1171" spans="1:9" x14ac:dyDescent="0.3">
      <c r="A1171" s="1" t="s">
        <v>169</v>
      </c>
      <c r="B1171" s="1" t="s">
        <v>170</v>
      </c>
      <c r="C1171" s="1" t="s">
        <v>171</v>
      </c>
      <c r="D1171" s="1" t="s">
        <v>2700</v>
      </c>
      <c r="E1171" s="1" t="s">
        <v>418</v>
      </c>
      <c r="F1171" s="1" t="s">
        <v>2701</v>
      </c>
      <c r="G1171" s="1" t="s">
        <v>36</v>
      </c>
      <c r="H1171" s="1" t="s">
        <v>29</v>
      </c>
      <c r="I1171" s="1" t="str">
        <f ca="1">IFERROR(__xludf.DUMMYFUNCTION("GOOGLETRANSLATE(F1171, ""auto"", ""en"")
"),"I was pleased with the headphones. Perhaps there is too much bass, but both the mids and highs are audible with dignity, the sound is balanced, without strong distortions (""clacks"" and ""bumps""). They are quite large, so I don’t know how they will fit "&amp;"people with small ears, they fit perfectly in my big ones) The sound insulation is good, on the bus and on a busy street you can only hear music, I didn’t test it in the subway due to the lack of one in the city)) They look impressive, like bullets with a"&amp;" braided cable coming out of them in a silicone wrapper. This military-style accessory is clearly aimed at a male audience. The cable inspires confidence, but the connection to the jack inspires a little concern. Since the wire is rigid and the jack is sm"&amp;"all, but with a large hole for the cable, there is a risk of bending, so I recommend being careful. And in another place they are unlikely to break off.    The set is original, the size instructions generally resemble a poster, a denim bag with headphones"&amp;" is wrapped in it, which can then be used as a case for the player, the set includes 3 types of attachments, but, unfortunately, there are no “Christmas trees”, although the sound in the middle ones is quite digestible. In general, I recommend it for this"&amp;" price category.   Effective both in sound and design.")</f>
        <v>I was pleased with the headphones. Perhaps there is too much bass, but both the mids and highs are audible with dignity, the sound is balanced, without strong distortions ("clacks" and "bumps"). They are quite large, so I don’t know how they will fit people with small ears, they fit perfectly in my big ones) The sound insulation is good, on the bus and on a busy street you can only hear music, I didn’t test it in the subway due to the lack of one in the city)) They look impressive, like bullets with a braided cable coming out of them in a silicone wrapper. This military-style accessory is clearly aimed at a male audience. The cable inspires confidence, but the connection to the jack inspires a little concern. Since the wire is rigid and the jack is small, but with a large hole for the cable, there is a risk of bending, so I recommend being careful. And in another place they are unlikely to break off.    The set is original, the size instructions generally resemble a poster, a denim bag with headphones is wrapped in it, which can then be used as a case for the player, the set includes 3 types of attachments, but, unfortunately, there are no “Christmas trees”, although the sound in the middle ones is quite digestible. In general, I recommend it for this price category.   Effective both in sound and design.</v>
      </c>
    </row>
    <row r="1172" spans="1:9" x14ac:dyDescent="0.3">
      <c r="A1172" s="1" t="s">
        <v>9</v>
      </c>
      <c r="B1172" s="1" t="s">
        <v>137</v>
      </c>
      <c r="C1172" s="1" t="s">
        <v>290</v>
      </c>
      <c r="D1172" s="1" t="s">
        <v>327</v>
      </c>
      <c r="E1172" s="1" t="s">
        <v>2702</v>
      </c>
      <c r="F1172" s="1" t="s">
        <v>2703</v>
      </c>
      <c r="G1172" s="1" t="s">
        <v>28</v>
      </c>
      <c r="H1172" s="1" t="s">
        <v>29</v>
      </c>
      <c r="I1172" s="1" t="str">
        <f ca="1">IFERROR(__xludf.DUMMYFUNCTION("GOOGLETRANSLATE(F1172, ""auto"", ""en"")
"),"There are no nozzles for liquefied gas included, but otherwise everything is fine.")</f>
        <v>There are no nozzles for liquefied gas included, but otherwise everything is fine.</v>
      </c>
    </row>
    <row r="1173" spans="1:9" x14ac:dyDescent="0.3">
      <c r="A1173" s="1" t="s">
        <v>211</v>
      </c>
      <c r="B1173" s="1" t="s">
        <v>212</v>
      </c>
      <c r="C1173" s="1" t="s">
        <v>381</v>
      </c>
      <c r="D1173" s="1" t="s">
        <v>335</v>
      </c>
      <c r="E1173" s="1" t="s">
        <v>2704</v>
      </c>
      <c r="F1173" s="1" t="s">
        <v>2705</v>
      </c>
      <c r="G1173" s="1" t="s">
        <v>36</v>
      </c>
      <c r="H1173" s="1" t="s">
        <v>29</v>
      </c>
      <c r="I1173" s="1" t="str">
        <f ca="1">IFERROR(__xludf.DUMMYFUNCTION("GOOGLETRANSLATE(F1173, ""auto"", ""en"")
"),"I bought this hair dryer today, have already tried it, and am very pleased with the purchase! Dries quickly, hair is smooth, very comfortable design!")</f>
        <v>I bought this hair dryer today, have already tried it, and am very pleased with the purchase! Dries quickly, hair is smooth, very comfortable design!</v>
      </c>
    </row>
    <row r="1174" spans="1:9" x14ac:dyDescent="0.3">
      <c r="A1174" s="1" t="s">
        <v>61</v>
      </c>
      <c r="B1174" s="1" t="s">
        <v>318</v>
      </c>
      <c r="C1174" s="1" t="s">
        <v>85</v>
      </c>
      <c r="D1174" s="1" t="s">
        <v>295</v>
      </c>
      <c r="E1174" s="1" t="s">
        <v>2706</v>
      </c>
      <c r="F1174" s="1" t="s">
        <v>2707</v>
      </c>
      <c r="G1174" s="1" t="s">
        <v>49</v>
      </c>
      <c r="H1174" s="1" t="s">
        <v>16</v>
      </c>
      <c r="I1174" s="1" t="str">
        <f ca="1">IFERROR(__xludf.DUMMYFUNCTION("GOOGLETRANSLATE(F1174, ""auto"", ""en"")
"),"At first I was very happy with my purchase. But when, after several uses, I saw round spots of rust on the bottom, I was surprised and amazed. The water is exclusively mineral from natural wells. So what's the matter?? I bought the product at the Bork sto"&amp;"re. It was enough for 2 times. Friends advised me to boil citric acid - it really helps. And now I regularly, once a week, do this procedure. Thank you Bork, take care of your customers!")</f>
        <v>At first I was very happy with my purchase. But when, after several uses, I saw round spots of rust on the bottom, I was surprised and amazed. The water is exclusively mineral from natural wells. So what's the matter?? I bought the product at the Bork store. It was enough for 2 times. Friends advised me to boil citric acid - it really helps. And now I regularly, once a week, do this procedure. Thank you Bork, take care of your customers!</v>
      </c>
    </row>
    <row r="1175" spans="1:9" x14ac:dyDescent="0.3">
      <c r="A1175" s="1" t="s">
        <v>211</v>
      </c>
      <c r="B1175" s="1" t="s">
        <v>212</v>
      </c>
      <c r="C1175" s="1" t="s">
        <v>1591</v>
      </c>
      <c r="D1175" s="1" t="s">
        <v>565</v>
      </c>
      <c r="E1175" s="1" t="s">
        <v>2708</v>
      </c>
      <c r="F1175" s="1" t="s">
        <v>2709</v>
      </c>
      <c r="G1175" s="1" t="s">
        <v>36</v>
      </c>
      <c r="H1175" s="1" t="s">
        <v>29</v>
      </c>
      <c r="I1175" s="1" t="str">
        <f ca="1">IFERROR(__xludf.DUMMYFUNCTION("GOOGLETRANSLATE(F1175, ""auto"", ""en"")
"),"4 attachments seemed like a lot, but in the end I use them all. The large diameter nozzle creates beautiful styling, and the small diameter is perfect for bangs. The downside, for me personally, is that the round comb does not rotate in cold air, which is"&amp;" important for securing the hairstyle. But still, thank you very much Babyliss for such a wonderful styling device")</f>
        <v>4 attachments seemed like a lot, but in the end I use them all. The large diameter nozzle creates beautiful styling, and the small diameter is perfect for bangs. The downside, for me personally, is that the round comb does not rotate in cold air, which is important for securing the hairstyle. But still, thank you very much Babyliss for such a wonderful styling device</v>
      </c>
    </row>
    <row r="1176" spans="1:9" x14ac:dyDescent="0.3">
      <c r="A1176" s="1" t="s">
        <v>61</v>
      </c>
      <c r="B1176" s="1" t="s">
        <v>145</v>
      </c>
      <c r="C1176" s="1" t="s">
        <v>74</v>
      </c>
      <c r="D1176" s="1" t="s">
        <v>64</v>
      </c>
      <c r="E1176" s="1" t="s">
        <v>1497</v>
      </c>
      <c r="F1176" s="1" t="s">
        <v>2710</v>
      </c>
      <c r="G1176" s="1" t="s">
        <v>36</v>
      </c>
      <c r="H1176" s="1" t="s">
        <v>29</v>
      </c>
      <c r="I1176" s="1" t="str">
        <f ca="1">IFERROR(__xludf.DUMMYFUNCTION("GOOGLETRANSLATE(F1176, ""auto"", ""en"")
"),"excellent steamer!!! gifted to my mother for her birthday!! her happiness knows no bounds!! and she surprises us with her culinary masterpieces!!!")</f>
        <v>excellent steamer!!! gifted to my mother for her birthday!! her happiness knows no bounds!! and she surprises us with her culinary masterpieces!!!</v>
      </c>
    </row>
    <row r="1177" spans="1:9" x14ac:dyDescent="0.3">
      <c r="A1177" s="1" t="s">
        <v>624</v>
      </c>
      <c r="B1177" s="1" t="s">
        <v>625</v>
      </c>
      <c r="C1177" s="1" t="s">
        <v>479</v>
      </c>
      <c r="D1177" s="1" t="s">
        <v>1383</v>
      </c>
      <c r="E1177" s="1" t="s">
        <v>1955</v>
      </c>
      <c r="F1177" s="1" t="s">
        <v>2711</v>
      </c>
      <c r="G1177" s="1" t="s">
        <v>36</v>
      </c>
      <c r="H1177" s="1" t="s">
        <v>29</v>
      </c>
      <c r="I1177" s="1" t="str">
        <f ca="1">IFERROR(__xludf.DUMMYFUNCTION("GOOGLETRANSLATE(F1177, ""auto"", ""en"")
"),"Cool game!!!!!!!!!!!!!!!!")</f>
        <v>Cool game!!!!!!!!!!!!!!!!</v>
      </c>
    </row>
    <row r="1178" spans="1:9" x14ac:dyDescent="0.3">
      <c r="A1178" s="1" t="s">
        <v>206</v>
      </c>
      <c r="B1178" s="1" t="s">
        <v>207</v>
      </c>
      <c r="C1178" s="1" t="s">
        <v>262</v>
      </c>
      <c r="D1178" s="1" t="s">
        <v>2712</v>
      </c>
      <c r="E1178" s="1" t="s">
        <v>1452</v>
      </c>
      <c r="F1178" s="1" t="s">
        <v>2713</v>
      </c>
      <c r="G1178" s="1" t="s">
        <v>15</v>
      </c>
      <c r="H1178" s="1" t="s">
        <v>16</v>
      </c>
      <c r="I1178" s="1" t="str">
        <f ca="1">IFERROR(__xludf.DUMMYFUNCTION("GOOGLETRANSLATE(F1178, ""auto"", ""en"")
"),"It feels like it was glued to a pencil with glue and there is no smell of 500W")</f>
        <v>It feels like it was glued to a pencil with glue and there is no smell of 500W</v>
      </c>
    </row>
    <row r="1179" spans="1:9" x14ac:dyDescent="0.3">
      <c r="A1179" s="1" t="s">
        <v>9</v>
      </c>
      <c r="B1179" s="1" t="s">
        <v>23</v>
      </c>
      <c r="C1179" s="1" t="s">
        <v>466</v>
      </c>
      <c r="D1179" s="1" t="s">
        <v>2714</v>
      </c>
      <c r="E1179" s="1" t="s">
        <v>1492</v>
      </c>
      <c r="F1179" s="1" t="s">
        <v>2715</v>
      </c>
      <c r="G1179" s="1" t="s">
        <v>36</v>
      </c>
      <c r="H1179" s="1" t="s">
        <v>29</v>
      </c>
      <c r="I1179" s="1" t="str">
        <f ca="1">IFERROR(__xludf.DUMMYFUNCTION("GOOGLETRANSLATE(F1179, ""auto"", ""en"")
"),"The sink has been working for me for three years now. The washing quality is satisfactory. But you don’t need to put dishes with dried pieces of food in it, or if you save up washing for a long time, do a preliminary rinse. Select the correct rinse aid se"&amp;"tting. And most importantly, place the dishes in the machine correctly - and you will be happy!")</f>
        <v>The sink has been working for me for three years now. The washing quality is satisfactory. But you don’t need to put dishes with dried pieces of food in it, or if you save up washing for a long time, do a preliminary rinse. Select the correct rinse aid setting. And most importantly, place the dishes in the machine correctly - and you will be happy!</v>
      </c>
    </row>
    <row r="1180" spans="1:9" x14ac:dyDescent="0.3">
      <c r="A1180" s="1" t="s">
        <v>37</v>
      </c>
      <c r="B1180" s="1" t="s">
        <v>38</v>
      </c>
      <c r="C1180" s="1" t="s">
        <v>69</v>
      </c>
      <c r="D1180" s="1" t="s">
        <v>247</v>
      </c>
      <c r="E1180" s="1" t="s">
        <v>1273</v>
      </c>
      <c r="F1180" s="1" t="s">
        <v>2716</v>
      </c>
      <c r="G1180" s="1" t="s">
        <v>49</v>
      </c>
      <c r="H1180" s="1" t="s">
        <v>16</v>
      </c>
      <c r="I1180" s="1" t="str">
        <f ca="1">IFERROR(__xludf.DUMMYFUNCTION("GOOGLETRANSLATE(F1180, ""auto"", ""en"")
"),"So I bought it, and the main reason for the purchase was the “incredible” battery life. The battery lasted for 1.5 days, provided that during this time I talked 2 times for no more than 10 minutes. Maybe I was unsuccessful and the phone I got was not good"&amp;", or maybe the stated characteristics are not met, I sent the phone for examination and am waiting.")</f>
        <v>So I bought it, and the main reason for the purchase was the “incredible” battery life. The battery lasted for 1.5 days, provided that during this time I talked 2 times for no more than 10 minutes. Maybe I was unsuccessful and the phone I got was not good, or maybe the stated characteristics are not met, I sent the phone for examination and am waiting.</v>
      </c>
    </row>
    <row r="1181" spans="1:9" x14ac:dyDescent="0.3">
      <c r="A1181" s="1" t="s">
        <v>211</v>
      </c>
      <c r="B1181" s="1" t="s">
        <v>212</v>
      </c>
      <c r="C1181" s="1" t="s">
        <v>381</v>
      </c>
      <c r="D1181" s="1" t="s">
        <v>335</v>
      </c>
      <c r="E1181" s="1" t="s">
        <v>1718</v>
      </c>
      <c r="F1181" s="1" t="s">
        <v>2717</v>
      </c>
      <c r="G1181" s="1" t="s">
        <v>36</v>
      </c>
      <c r="H1181" s="1" t="s">
        <v>29</v>
      </c>
      <c r="I1181" s="1" t="str">
        <f ca="1">IFERROR(__xludf.DUMMYFUNCTION("GOOGLETRANSLATE(F1181, ""auto"", ""en"")
"),"The hair dryer is great! I recommend it to everyone! I have been using a hair dryer for more than 7 years. If, suddenly, I go somewhere without him, then I’m left as if without hands...)))")</f>
        <v>The hair dryer is great! I recommend it to everyone! I have been using a hair dryer for more than 7 years. If, suddenly, I go somewhere without him, then I’m left as if without hands...)))</v>
      </c>
    </row>
    <row r="1182" spans="1:9" x14ac:dyDescent="0.3">
      <c r="A1182" s="1" t="s">
        <v>95</v>
      </c>
      <c r="B1182" s="1" t="s">
        <v>227</v>
      </c>
      <c r="C1182" s="1" t="s">
        <v>97</v>
      </c>
      <c r="D1182" s="1" t="s">
        <v>139</v>
      </c>
      <c r="E1182" s="1" t="s">
        <v>484</v>
      </c>
      <c r="F1182" s="1" t="s">
        <v>2718</v>
      </c>
      <c r="G1182" s="1" t="s">
        <v>36</v>
      </c>
      <c r="H1182" s="1" t="s">
        <v>29</v>
      </c>
      <c r="I1182" s="1" t="str">
        <f ca="1">IFERROR(__xludf.DUMMYFUNCTION("GOOGLETRANSLATE(F1182, ""auto"", ""en"")
"),"After two dead boxes, I finally took the PS3. God, why didn't I buy it earlier..")</f>
        <v>After two dead boxes, I finally took the PS3. God, why didn't I buy it earlier..</v>
      </c>
    </row>
    <row r="1183" spans="1:9" x14ac:dyDescent="0.3">
      <c r="A1183" s="1" t="s">
        <v>211</v>
      </c>
      <c r="B1183" s="1" t="s">
        <v>515</v>
      </c>
      <c r="C1183" s="1" t="s">
        <v>213</v>
      </c>
      <c r="D1183" s="1" t="s">
        <v>456</v>
      </c>
      <c r="E1183" s="1" t="s">
        <v>713</v>
      </c>
      <c r="F1183" s="1" t="s">
        <v>2719</v>
      </c>
      <c r="G1183" s="1" t="s">
        <v>36</v>
      </c>
      <c r="H1183" s="1" t="s">
        <v>29</v>
      </c>
      <c r="I1183" s="1" t="str">
        <f ca="1">IFERROR(__xludf.DUMMYFUNCTION("GOOGLETRANSLATE(F1183, ""auto"", ""en"")
"),"Design, hair removal quality")</f>
        <v>Design, hair removal quality</v>
      </c>
    </row>
    <row r="1184" spans="1:9" x14ac:dyDescent="0.3">
      <c r="A1184" s="1" t="s">
        <v>95</v>
      </c>
      <c r="B1184" s="1" t="s">
        <v>486</v>
      </c>
      <c r="C1184" s="1" t="s">
        <v>487</v>
      </c>
      <c r="D1184" s="1" t="s">
        <v>2720</v>
      </c>
      <c r="E1184" s="1" t="s">
        <v>2721</v>
      </c>
      <c r="F1184" s="1" t="s">
        <v>2722</v>
      </c>
      <c r="G1184" s="1" t="s">
        <v>36</v>
      </c>
      <c r="H1184" s="1" t="s">
        <v>29</v>
      </c>
      <c r="I1184" s="1" t="str">
        <f ca="1">IFERROR(__xludf.DUMMYFUNCTION("GOOGLETRANSLATE(F1184, ""auto"", ""en"")
"),"I bought it yesterday, I’m very pleased with the good set-top box and the quality too!!!!!!)")</f>
        <v>I bought it yesterday, I’m very pleased with the good set-top box and the quality too!!!!!!)</v>
      </c>
    </row>
    <row r="1185" spans="1:9" x14ac:dyDescent="0.3">
      <c r="A1185" s="1" t="s">
        <v>149</v>
      </c>
      <c r="B1185" s="1" t="s">
        <v>155</v>
      </c>
      <c r="C1185" s="1" t="s">
        <v>996</v>
      </c>
      <c r="D1185" s="1" t="s">
        <v>305</v>
      </c>
      <c r="E1185" s="1" t="s">
        <v>1654</v>
      </c>
      <c r="F1185" s="1" t="s">
        <v>2723</v>
      </c>
      <c r="G1185" s="1" t="s">
        <v>36</v>
      </c>
      <c r="H1185" s="1" t="s">
        <v>29</v>
      </c>
      <c r="I1185" s="1" t="str">
        <f ca="1">IFERROR(__xludf.DUMMYFUNCTION("GOOGLETRANSLATE(F1185, ""auto"", ""en"")
"),"I bought it for 3990. From the very first minutes I was pleased with the quality, all the parts were made well, no complaints.  It assembles and disassembles perfectly.  All parts are adjusted so that there is no air leaking anywhere.  Long, comfortable h"&amp;"andle. I was pleased with the turbo brush that was included. It doesn't just clean, it knocks out the carpet so it doesn't leave behind dust, hair or small debris.   The suction power is amazing (it’s hard to tear it away from the linoleum), but I think t"&amp;"his is a big plus. I’ve been using it for 1 day, time will tell what happens with the filters and use.   The price/quality ratio is excellent. For this price, you most likely cannot find something better.   I recommend it to everyone. Very pleased!")</f>
        <v>I bought it for 3990. From the very first minutes I was pleased with the quality, all the parts were made well, no complaints.  It assembles and disassembles perfectly.  All parts are adjusted so that there is no air leaking anywhere.  Long, comfortable handle. I was pleased with the turbo brush that was included. It doesn't just clean, it knocks out the carpet so it doesn't leave behind dust, hair or small debris.   The suction power is amazing (it’s hard to tear it away from the linoleum), but I think this is a big plus. I’ve been using it for 1 day, time will tell what happens with the filters and use.   The price/quality ratio is excellent. For this price, you most likely cannot find something better.   I recommend it to everyone. Very pleased!</v>
      </c>
    </row>
    <row r="1186" spans="1:9" x14ac:dyDescent="0.3">
      <c r="A1186" s="1" t="s">
        <v>211</v>
      </c>
      <c r="B1186" s="1" t="s">
        <v>410</v>
      </c>
      <c r="C1186" s="1" t="s">
        <v>69</v>
      </c>
      <c r="D1186" s="1" t="s">
        <v>52</v>
      </c>
      <c r="E1186" s="1" t="s">
        <v>2724</v>
      </c>
      <c r="F1186" s="1" t="s">
        <v>2725</v>
      </c>
      <c r="G1186" s="1" t="s">
        <v>36</v>
      </c>
      <c r="H1186" s="1" t="s">
        <v>29</v>
      </c>
      <c r="I1186" s="1" t="str">
        <f ca="1">IFERROR(__xludf.DUMMYFUNCTION("GOOGLETRANSLATE(F1186, ""auto"", ""en"")
"),"I'm shaving for the second week. I really like the soft shaving. Before this, Philips did not have round heads, but flat ones. I like this one better.")</f>
        <v>I'm shaving for the second week. I really like the soft shaving. Before this, Philips did not have round heads, but flat ones. I like this one better.</v>
      </c>
    </row>
    <row r="1187" spans="1:9" x14ac:dyDescent="0.3">
      <c r="A1187" s="1" t="s">
        <v>89</v>
      </c>
      <c r="B1187" s="1" t="s">
        <v>90</v>
      </c>
      <c r="C1187" s="1" t="s">
        <v>63</v>
      </c>
      <c r="D1187" s="1" t="s">
        <v>2233</v>
      </c>
      <c r="E1187" s="1" t="s">
        <v>2726</v>
      </c>
      <c r="F1187" s="1" t="s">
        <v>2727</v>
      </c>
      <c r="G1187" s="1" t="s">
        <v>36</v>
      </c>
      <c r="H1187" s="1" t="s">
        <v>29</v>
      </c>
      <c r="I1187" s="1" t="str">
        <f ca="1">IFERROR(__xludf.DUMMYFUNCTION("GOOGLETRANSLATE(F1187, ""auto"", ""en"")
"),"I've been using this coffee grinder for over a year now.   The advantage is that it is compact and does not take up much space in the closet.   It grinds coffee beans just perfectly; thanks to the inclined bottom and sharp blades, no large pieces of beans"&amp;" remain. Grinds one load of grains in less than 30 seconds.    I haven't found any cons yet.   I took the same coffee grinder for my mother as a gift, I recommend it to everyone.")</f>
        <v>I've been using this coffee grinder for over a year now.   The advantage is that it is compact and does not take up much space in the closet.   It grinds coffee beans just perfectly; thanks to the inclined bottom and sharp blades, no large pieces of beans remain. Grinds one load of grains in less than 30 seconds.    I haven't found any cons yet.   I took the same coffee grinder for my mother as a gift, I recommend it to everyone.</v>
      </c>
    </row>
    <row r="1188" spans="1:9" x14ac:dyDescent="0.3">
      <c r="A1188" s="1" t="s">
        <v>43</v>
      </c>
      <c r="B1188" s="1" t="s">
        <v>303</v>
      </c>
      <c r="C1188" s="1" t="s">
        <v>665</v>
      </c>
      <c r="D1188" s="1" t="s">
        <v>2728</v>
      </c>
      <c r="E1188" s="1" t="s">
        <v>1136</v>
      </c>
      <c r="F1188" s="1" t="s">
        <v>2729</v>
      </c>
      <c r="G1188" s="1" t="s">
        <v>36</v>
      </c>
      <c r="H1188" s="1" t="s">
        <v>29</v>
      </c>
      <c r="I1188" s="1" t="str">
        <f ca="1">IFERROR(__xludf.DUMMYFUNCTION("GOOGLETRANSLATE(F1188, ""auto"", ""en"")
"),"Heats up quickly and the water stays hot for a long time.")</f>
        <v>Heats up quickly and the water stays hot for a long time.</v>
      </c>
    </row>
    <row r="1189" spans="1:9" x14ac:dyDescent="0.3">
      <c r="A1189" s="1" t="s">
        <v>206</v>
      </c>
      <c r="B1189" s="1" t="s">
        <v>207</v>
      </c>
      <c r="C1189" s="1" t="s">
        <v>152</v>
      </c>
      <c r="D1189" s="1" t="s">
        <v>1894</v>
      </c>
      <c r="E1189" s="1" t="s">
        <v>173</v>
      </c>
      <c r="F1189" s="1" t="s">
        <v>2730</v>
      </c>
      <c r="G1189" s="1" t="s">
        <v>28</v>
      </c>
      <c r="H1189" s="1" t="s">
        <v>29</v>
      </c>
      <c r="I1189" s="1" t="str">
        <f ca="1">IFERROR(__xludf.DUMMYFUNCTION("GOOGLETRANSLATE(F1189, ""auto"", ""en"")
"),"The speakers play great. I recommend them to everyone, however, problems may arise when installed in standard places due to the large magnet.")</f>
        <v>The speakers play great. I recommend them to everyone, however, problems may arise when installed in standard places due to the large magnet.</v>
      </c>
    </row>
    <row r="1190" spans="1:9" x14ac:dyDescent="0.3">
      <c r="A1190" s="1" t="s">
        <v>61</v>
      </c>
      <c r="B1190" s="1" t="s">
        <v>318</v>
      </c>
      <c r="C1190" s="1" t="s">
        <v>74</v>
      </c>
      <c r="D1190" s="1" t="s">
        <v>64</v>
      </c>
      <c r="E1190" s="1" t="s">
        <v>1150</v>
      </c>
      <c r="F1190" s="1" t="s">
        <v>2731</v>
      </c>
      <c r="G1190" s="1" t="s">
        <v>28</v>
      </c>
      <c r="H1190" s="1" t="s">
        <v>29</v>
      </c>
      <c r="I1190" s="1" t="str">
        <f ca="1">IFERROR(__xludf.DUMMYFUNCTION("GOOGLETRANSLATE(F1190, ""auto"", ""en"")
"),"We bought the kettle about 2 months ago. The kettle is basically good, the only downside is that it didn’t turn off automatically a couple of times! The rest is nothing but positives!")</f>
        <v>We bought the kettle about 2 months ago. The kettle is basically good, the only downside is that it didn’t turn off automatically a couple of times! The rest is nothing but positives!</v>
      </c>
    </row>
    <row r="1191" spans="1:9" x14ac:dyDescent="0.3">
      <c r="A1191" s="1" t="s">
        <v>120</v>
      </c>
      <c r="B1191" s="1" t="s">
        <v>126</v>
      </c>
      <c r="C1191" s="1" t="s">
        <v>122</v>
      </c>
      <c r="D1191" s="1" t="s">
        <v>2732</v>
      </c>
      <c r="E1191" s="1" t="s">
        <v>2733</v>
      </c>
      <c r="F1191" s="1" t="s">
        <v>2734</v>
      </c>
      <c r="G1191" s="1" t="s">
        <v>36</v>
      </c>
      <c r="H1191" s="1" t="s">
        <v>29</v>
      </c>
      <c r="I1191" s="1" t="str">
        <f ca="1">IFERROR(__xludf.DUMMYFUNCTION("GOOGLETRANSLATE(F1191, ""auto"", ""en"")
"),"An excellent device for viewing a standard satellite, cable, or antenna signal.")</f>
        <v>An excellent device for viewing a standard satellite, cable, or antenna signal.</v>
      </c>
    </row>
    <row r="1192" spans="1:9" x14ac:dyDescent="0.3">
      <c r="A1192" s="1" t="s">
        <v>624</v>
      </c>
      <c r="B1192" s="1" t="s">
        <v>2107</v>
      </c>
      <c r="C1192" s="1" t="s">
        <v>479</v>
      </c>
      <c r="D1192" s="1" t="s">
        <v>280</v>
      </c>
      <c r="E1192" s="1" t="s">
        <v>2735</v>
      </c>
      <c r="F1192" s="1" t="s">
        <v>2736</v>
      </c>
      <c r="G1192" s="1" t="s">
        <v>36</v>
      </c>
      <c r="H1192" s="1" t="s">
        <v>29</v>
      </c>
      <c r="I1192" s="1" t="str">
        <f ca="1">IFERROR(__xludf.DUMMYFUNCTION("GOOGLETRANSLATE(F1192, ""auto"", ""en"")
"),"By far the best game I've played!")</f>
        <v>By far the best game I've played!</v>
      </c>
    </row>
    <row r="1193" spans="1:9" x14ac:dyDescent="0.3">
      <c r="A1193" s="1" t="s">
        <v>120</v>
      </c>
      <c r="B1193" s="1" t="s">
        <v>256</v>
      </c>
      <c r="C1193" s="1" t="s">
        <v>32</v>
      </c>
      <c r="D1193" s="1" t="s">
        <v>1877</v>
      </c>
      <c r="E1193" s="1" t="s">
        <v>1858</v>
      </c>
      <c r="F1193" s="1" t="s">
        <v>2737</v>
      </c>
      <c r="G1193" s="1" t="s">
        <v>15</v>
      </c>
      <c r="H1193" s="1" t="s">
        <v>16</v>
      </c>
      <c r="I1193" s="1" t="str">
        <f ca="1">IFERROR(__xludf.DUMMYFUNCTION("GOOGLETRANSLATE(F1193, ""auto"", ""en"")
"),"Who likes to struggle with the user manual that comes on disk and just on printout, this is for you. The user manual is just terrible!  I tried to manually configure the channels - it was just terrible. There is no way to manually save the channels in the"&amp;" order I want.  I had to use the automatic setup function and then manually sort. It took a whole hour.  On the TV itself there is a sticker - LED Backlit - this is something like a diode backlight on the back of the TV. I didn't find any backlight.  The "&amp;"viewing angle is not very large.  The picture is generally normal and bright. There is a function to automatically dim the brightness depending on the lighting in the room")</f>
        <v>Who likes to struggle with the user manual that comes on disk and just on printout, this is for you. The user manual is just terrible!  I tried to manually configure the channels - it was just terrible. There is no way to manually save the channels in the order I want.  I had to use the automatic setup function and then manually sort. It took a whole hour.  On the TV itself there is a sticker - LED Backlit - this is something like a diode backlight on the back of the TV. I didn't find any backlight.  The viewing angle is not very large.  The picture is generally normal and bright. There is a function to automatically dim the brightness depending on the lighting in the room</v>
      </c>
    </row>
    <row r="1194" spans="1:9" x14ac:dyDescent="0.3">
      <c r="A1194" s="1" t="s">
        <v>9</v>
      </c>
      <c r="B1194" s="1" t="s">
        <v>137</v>
      </c>
      <c r="C1194" s="1" t="s">
        <v>870</v>
      </c>
      <c r="D1194" s="1" t="s">
        <v>81</v>
      </c>
      <c r="E1194" s="1" t="s">
        <v>1481</v>
      </c>
      <c r="F1194" s="1" t="s">
        <v>2738</v>
      </c>
      <c r="G1194" s="1" t="s">
        <v>36</v>
      </c>
      <c r="H1194" s="1" t="s">
        <v>29</v>
      </c>
      <c r="I1194" s="1" t="str">
        <f ca="1">IFERROR(__xludf.DUMMYFUNCTION("GOOGLETRANSLATE(F1194, ""auto"", ""en"")
"),"We've been using it for a month now. Everything is fine, the burners are super, everything heats up many times faster than on a regular gas one. Looks very stylish!  initially they wanted a glass surface plus quality and cast iron grates, the only drawbac"&amp;"k is that stains and water stains are visible... but it’s black and glass, you just need to wash it more often and everything will be beautiful!!!  I recommend it.")</f>
        <v>We've been using it for a month now. Everything is fine, the burners are super, everything heats up many times faster than on a regular gas one. Looks very stylish!  initially they wanted a glass surface plus quality and cast iron grates, the only drawback is that stains and water stains are visible... but it’s black and glass, you just need to wash it more often and everything will be beautiful!!!  I recommend it.</v>
      </c>
    </row>
    <row r="1195" spans="1:9" x14ac:dyDescent="0.3">
      <c r="A1195" s="1" t="s">
        <v>17</v>
      </c>
      <c r="B1195" s="1" t="s">
        <v>18</v>
      </c>
      <c r="C1195" s="1" t="s">
        <v>151</v>
      </c>
      <c r="D1195" s="1" t="s">
        <v>305</v>
      </c>
      <c r="E1195" s="1" t="s">
        <v>2739</v>
      </c>
      <c r="F1195" s="1" t="s">
        <v>2740</v>
      </c>
      <c r="G1195" s="1" t="s">
        <v>36</v>
      </c>
      <c r="H1195" s="1" t="s">
        <v>29</v>
      </c>
      <c r="I1195" s="1" t="str">
        <f ca="1">IFERROR(__xludf.DUMMYFUNCTION("GOOGLETRANSLATE(F1195, ""auto"", ""en"")
"),"I decided to go with Samsung and, as always, I was right. A really useful thing. We have water meters at home, so water consumption after buying the machine has decreased, but electrical energy consumption has practically not increased. I connected it mys"&amp;"elf, it doesn’t require any special skills. It washes well, my wife is happy. After removing it from the box without any twisting of the legs, the machine stood up like a monolith, at 1000 rpm there were barely noticeable vibrations, I’m very I'm happy - "&amp;"I recommend!")</f>
        <v>I decided to go with Samsung and, as always, I was right. A really useful thing. We have water meters at home, so water consumption after buying the machine has decreased, but electrical energy consumption has practically not increased. I connected it myself, it doesn’t require any special skills. It washes well, my wife is happy. After removing it from the box without any twisting of the legs, the machine stood up like a monolith, at 1000 rpm there were barely noticeable vibrations, I’m very I'm happy - I recommend!</v>
      </c>
    </row>
    <row r="1196" spans="1:9" x14ac:dyDescent="0.3">
      <c r="A1196" s="1" t="s">
        <v>120</v>
      </c>
      <c r="B1196" s="1" t="s">
        <v>121</v>
      </c>
      <c r="C1196" s="1" t="s">
        <v>80</v>
      </c>
      <c r="D1196" s="1" t="s">
        <v>152</v>
      </c>
      <c r="E1196" s="1" t="s">
        <v>1931</v>
      </c>
      <c r="F1196" s="1" t="s">
        <v>2741</v>
      </c>
      <c r="G1196" s="1" t="s">
        <v>49</v>
      </c>
      <c r="H1196" s="1" t="s">
        <v>16</v>
      </c>
      <c r="I1196" s="1" t="str">
        <f ca="1">IFERROR(__xludf.DUMMYFUNCTION("GOOGLETRANSLATE(F1196, ""auto"", ""en"")
"),"I turned on the TV, tuned in all the channels, then the TV turned off. The LED on the TV went out. Didn't react to anything. After 10 minutes the diode lit up. The TV turned on from the remote control. After 5 minutes it turned off. All. The diode no long"&amp;"er lights up, the TV does not work. I turned off the power, turned on the power, no result. The TV doesn't turn on.   Should I take it back to the store?!")</f>
        <v>I turned on the TV, tuned in all the channels, then the TV turned off. The LED on the TV went out. Didn't react to anything. After 10 minutes the diode lit up. The TV turned on from the remote control. After 5 minutes it turned off. All. The diode no longer lights up, the TV does not work. I turned off the power, turned on the power, no result. The TV doesn't turn on.   Should I take it back to the store?!</v>
      </c>
    </row>
    <row r="1197" spans="1:9" x14ac:dyDescent="0.3">
      <c r="A1197" s="1" t="s">
        <v>211</v>
      </c>
      <c r="B1197" s="1" t="s">
        <v>384</v>
      </c>
      <c r="C1197" s="1" t="s">
        <v>351</v>
      </c>
      <c r="D1197" s="1" t="s">
        <v>64</v>
      </c>
      <c r="E1197" s="1" t="s">
        <v>2742</v>
      </c>
      <c r="F1197" s="1" t="s">
        <v>2743</v>
      </c>
      <c r="G1197" s="1" t="s">
        <v>49</v>
      </c>
      <c r="H1197" s="1" t="s">
        <v>16</v>
      </c>
      <c r="I1197" s="1" t="str">
        <f ca="1">IFERROR(__xludf.DUMMYFUNCTION("GOOGLETRANSLATE(F1197, ""auto"", ""en"")
"),"Disgusting scales. They lie on any surface...")</f>
        <v>Disgusting scales. They lie on any surface...</v>
      </c>
    </row>
    <row r="1198" spans="1:9" x14ac:dyDescent="0.3">
      <c r="A1198" s="1" t="s">
        <v>9</v>
      </c>
      <c r="B1198" s="1" t="s">
        <v>137</v>
      </c>
      <c r="C1198" s="1" t="s">
        <v>290</v>
      </c>
      <c r="D1198" s="1" t="s">
        <v>420</v>
      </c>
      <c r="E1198" s="1" t="s">
        <v>1141</v>
      </c>
      <c r="F1198" s="1" t="s">
        <v>2744</v>
      </c>
      <c r="G1198" s="1" t="s">
        <v>36</v>
      </c>
      <c r="H1198" s="1" t="s">
        <v>29</v>
      </c>
      <c r="I1198" s="1" t="str">
        <f ca="1">IFERROR(__xludf.DUMMYFUNCTION("GOOGLETRANSLATE(F1198, ""auto"", ""en"")
"),"We purchased this panel a couple of months ago and were very pleased...Chic design, easy to clean, does not leave stains on the surface, very smart, easy to use and understandable, heats up instantly in about 6-9 seconds before full heating, there is a ti"&amp;"mer and other bells and whistles, the country of origin is Slovenia, I advise everyone, take it even despite the price, you will never regret it.")</f>
        <v>We purchased this panel a couple of months ago and were very pleased...Chic design, easy to clean, does not leave stains on the surface, very smart, easy to use and understandable, heats up instantly in about 6-9 seconds before full heating, there is a timer and other bells and whistles, the country of origin is Slovenia, I advise everyone, take it even despite the price, you will never regret it.</v>
      </c>
    </row>
    <row r="1199" spans="1:9" x14ac:dyDescent="0.3">
      <c r="A1199" s="1" t="s">
        <v>78</v>
      </c>
      <c r="B1199" s="1" t="s">
        <v>1163</v>
      </c>
      <c r="C1199" s="1" t="s">
        <v>80</v>
      </c>
      <c r="D1199" s="1" t="s">
        <v>411</v>
      </c>
      <c r="E1199" s="1" t="s">
        <v>386</v>
      </c>
      <c r="F1199" s="1" t="s">
        <v>2745</v>
      </c>
      <c r="G1199" s="1" t="s">
        <v>36</v>
      </c>
      <c r="H1199" s="1" t="s">
        <v>29</v>
      </c>
      <c r="I1199" s="1" t="str">
        <f ca="1">IFERROR(__xludf.DUMMYFUNCTION("GOOGLETRANSLATE(F1199, ""auto"", ""en"")
"),"My friend seems to have had one for several years now. The only thing that can be said is that it's just a microwave. She simply does what is required of her, that is, warms up.  They most actively use the “Quick Start” function (I think so?). Now I think"&amp;" it’s worth taking the same one for your apartment. no frills, just to reheat and defrost. What else do you need from a microwave?")</f>
        <v>My friend seems to have had one for several years now. The only thing that can be said is that it's just a microwave. She simply does what is required of her, that is, warms up.  They most actively use the “Quick Start” function (I think so?). Now I think it’s worth taking the same one for your apartment. no frills, just to reheat and defrost. What else do you need from a microwave?</v>
      </c>
    </row>
    <row r="1200" spans="1:9" x14ac:dyDescent="0.3">
      <c r="A1200" s="1" t="s">
        <v>105</v>
      </c>
      <c r="B1200" s="1" t="s">
        <v>106</v>
      </c>
      <c r="C1200" s="1" t="s">
        <v>1526</v>
      </c>
      <c r="D1200" s="1" t="s">
        <v>152</v>
      </c>
      <c r="E1200" s="1" t="s">
        <v>2746</v>
      </c>
      <c r="F1200" s="1" t="s">
        <v>2747</v>
      </c>
      <c r="G1200" s="1" t="s">
        <v>36</v>
      </c>
      <c r="H1200" s="1" t="s">
        <v>29</v>
      </c>
      <c r="I1200" s="1" t="str">
        <f ca="1">IFERROR(__xludf.DUMMYFUNCTION("GOOGLETRANSLATE(F1200, ""auto"", ""en"")
"),"Today I bought it from Mvideo, everything suits me, it’s not buggy. But we’ll see in the future... I installed the flash at 2GB and everything is fine... but it’s a pity that it doesn’t read all the videos..... and everything is super, I advise you to tak"&amp;"e this particular player!!!")</f>
        <v>Today I bought it from Mvideo, everything suits me, it’s not buggy. But we’ll see in the future... I installed the flash at 2GB and everything is fine... but it’s a pity that it doesn’t read all the videos..... and everything is super, I advise you to take this particular player!!!</v>
      </c>
    </row>
    <row r="1201" spans="1:9" x14ac:dyDescent="0.3">
      <c r="A1201" s="1" t="s">
        <v>732</v>
      </c>
      <c r="B1201" s="1" t="s">
        <v>733</v>
      </c>
      <c r="C1201" s="1" t="s">
        <v>69</v>
      </c>
      <c r="D1201" s="1" t="s">
        <v>1610</v>
      </c>
      <c r="E1201" s="1" t="s">
        <v>1888</v>
      </c>
      <c r="F1201" s="1" t="s">
        <v>2748</v>
      </c>
      <c r="G1201" s="1" t="s">
        <v>36</v>
      </c>
      <c r="H1201" s="1" t="s">
        <v>29</v>
      </c>
      <c r="I1201" s="1" t="str">
        <f ca="1">IFERROR(__xludf.DUMMYFUNCTION("GOOGLETRANSLATE(F1201, ""auto"", ""en"")
"),"I really liked him")</f>
        <v>I really liked him</v>
      </c>
    </row>
    <row r="1202" spans="1:9" x14ac:dyDescent="0.3">
      <c r="A1202" s="1" t="s">
        <v>78</v>
      </c>
      <c r="B1202" s="1" t="s">
        <v>79</v>
      </c>
      <c r="C1202" s="1" t="s">
        <v>151</v>
      </c>
      <c r="D1202" s="1" t="s">
        <v>2749</v>
      </c>
      <c r="E1202" s="1" t="s">
        <v>2251</v>
      </c>
      <c r="F1202" s="1" t="s">
        <v>2750</v>
      </c>
      <c r="G1202" s="1" t="s">
        <v>36</v>
      </c>
      <c r="H1202" s="1" t="s">
        <v>29</v>
      </c>
      <c r="I1202" s="1" t="str">
        <f ca="1">IFERROR(__xludf.DUMMYFUNCTION("GOOGLETRANSLATE(F1202, ""auto"", ""en"")
"),"Great stuff!  Easy to use, works perfectly!  It’s been a year since I purchased it, I couldn’t be more pleased!")</f>
        <v>Great stuff!  Easy to use, works perfectly!  It’s been a year since I purchased it, I couldn’t be more pleased!</v>
      </c>
    </row>
    <row r="1203" spans="1:9" x14ac:dyDescent="0.3">
      <c r="A1203" s="1" t="s">
        <v>30</v>
      </c>
      <c r="B1203" s="1" t="s">
        <v>50</v>
      </c>
      <c r="C1203" s="1" t="s">
        <v>658</v>
      </c>
      <c r="D1203" s="1" t="s">
        <v>102</v>
      </c>
      <c r="E1203" s="1" t="s">
        <v>118</v>
      </c>
      <c r="F1203" s="1" t="s">
        <v>2751</v>
      </c>
      <c r="G1203" s="1" t="s">
        <v>36</v>
      </c>
      <c r="H1203" s="1" t="s">
        <v>29</v>
      </c>
      <c r="I1203" s="1" t="str">
        <f ca="1">IFERROR(__xludf.DUMMYFUNCTION("GOOGLETRANSLATE(F1203, ""auto"", ""en"")
"),"Well, since there are such positive reviews about the laptop, I’ll take it one hundred percent, I really liked the beech in appearance and parameters, but at first I doubted the brand, but now I see that everything is ok. Thanks for your feedback.  And on"&amp;"e more thing, I would like to know more about the drivers for XP if I reinstall. Someone give me a link please..)")</f>
        <v>Well, since there are such positive reviews about the laptop, I’ll take it one hundred percent, I really liked the beech in appearance and parameters, but at first I doubted the brand, but now I see that everything is ok. Thanks for your feedback.  And one more thing, I would like to know more about the drivers for XP if I reinstall. Someone give me a link please..)</v>
      </c>
    </row>
    <row r="1204" spans="1:9" x14ac:dyDescent="0.3">
      <c r="A1204" s="1" t="s">
        <v>17</v>
      </c>
      <c r="B1204" s="1" t="s">
        <v>18</v>
      </c>
      <c r="C1204" s="1" t="s">
        <v>80</v>
      </c>
      <c r="D1204" s="1" t="s">
        <v>471</v>
      </c>
      <c r="E1204" s="1" t="s">
        <v>2752</v>
      </c>
      <c r="F1204" s="1" t="s">
        <v>2753</v>
      </c>
      <c r="G1204" s="1" t="s">
        <v>28</v>
      </c>
      <c r="H1204" s="1" t="s">
        <v>29</v>
      </c>
      <c r="I1204" s="1" t="str">
        <f ca="1">IFERROR(__xludf.DUMMYFUNCTION("GOOGLETRANSLATE(F1204, ""auto"", ""en"")
"),"Price. Design. ")</f>
        <v xml:space="preserve">Price. Design. </v>
      </c>
    </row>
    <row r="1205" spans="1:9" x14ac:dyDescent="0.3">
      <c r="A1205" s="1" t="s">
        <v>238</v>
      </c>
      <c r="B1205" s="1" t="s">
        <v>276</v>
      </c>
      <c r="C1205" s="1" t="s">
        <v>277</v>
      </c>
      <c r="D1205" s="1" t="s">
        <v>308</v>
      </c>
      <c r="E1205" s="1" t="s">
        <v>2754</v>
      </c>
      <c r="F1205" s="1" t="s">
        <v>2755</v>
      </c>
      <c r="G1205" s="1" t="s">
        <v>36</v>
      </c>
      <c r="H1205" s="1" t="s">
        <v>29</v>
      </c>
      <c r="I1205" s="1" t="str">
        <f ca="1">IFERROR(__xludf.DUMMYFUNCTION("GOOGLETRANSLATE(F1205, ""auto"", ""en"")
"),"I really liked the refrigerator. It works practically silently.")</f>
        <v>I really liked the refrigerator. It works practically silently.</v>
      </c>
    </row>
    <row r="1206" spans="1:9" x14ac:dyDescent="0.3">
      <c r="A1206" s="1" t="s">
        <v>67</v>
      </c>
      <c r="B1206" s="1" t="s">
        <v>68</v>
      </c>
      <c r="C1206" s="1" t="s">
        <v>246</v>
      </c>
      <c r="D1206" s="1" t="s">
        <v>64</v>
      </c>
      <c r="E1206" s="1" t="s">
        <v>2593</v>
      </c>
      <c r="F1206" s="1" t="s">
        <v>2756</v>
      </c>
      <c r="G1206" s="1" t="s">
        <v>36</v>
      </c>
      <c r="H1206" s="1" t="s">
        <v>29</v>
      </c>
      <c r="I1206" s="1" t="str">
        <f ca="1">IFERROR(__xludf.DUMMYFUNCTION("GOOGLETRANSLATE(F1206, ""auto"", ""en"")
"),"I've been using it for over a year. Great model. The steam supply is excellent, not only from the spout, as the girls from before reported. comments. I can’t even imagine how the sole can crumble.....)))")</f>
        <v>I've been using it for over a year. Great model. The steam supply is excellent, not only from the spout, as the girls from before reported. comments. I can’t even imagine how the sole can crumble.....)))</v>
      </c>
    </row>
    <row r="1207" spans="1:9" x14ac:dyDescent="0.3">
      <c r="A1207" s="1" t="s">
        <v>61</v>
      </c>
      <c r="B1207" s="1" t="s">
        <v>145</v>
      </c>
      <c r="C1207" s="1" t="s">
        <v>74</v>
      </c>
      <c r="D1207" s="1" t="s">
        <v>589</v>
      </c>
      <c r="E1207" s="1" t="s">
        <v>552</v>
      </c>
      <c r="F1207" s="1" t="s">
        <v>2757</v>
      </c>
      <c r="G1207" s="1" t="s">
        <v>36</v>
      </c>
      <c r="H1207" s="1" t="s">
        <v>29</v>
      </c>
      <c r="I1207" s="1" t="str">
        <f ca="1">IFERROR(__xludf.DUMMYFUNCTION("GOOGLETRANSLATE(F1207, ""auto"", ""en"")
"),"Wonderful thing! I'm very pleased. Grinds and mixes instantly! Great time saver in the kitchen! I've been using it for six months. Super!")</f>
        <v>Wonderful thing! I'm very pleased. Grinds and mixes instantly! Great time saver in the kitchen! I've been using it for six months. Super!</v>
      </c>
    </row>
    <row r="1208" spans="1:9" x14ac:dyDescent="0.3">
      <c r="A1208" s="1" t="s">
        <v>30</v>
      </c>
      <c r="B1208" s="1" t="s">
        <v>50</v>
      </c>
      <c r="C1208" s="1" t="s">
        <v>189</v>
      </c>
      <c r="D1208" s="1" t="s">
        <v>417</v>
      </c>
      <c r="E1208" s="1" t="s">
        <v>178</v>
      </c>
      <c r="F1208" s="1" t="s">
        <v>2758</v>
      </c>
      <c r="G1208" s="1" t="s">
        <v>36</v>
      </c>
      <c r="H1208" s="1" t="s">
        <v>29</v>
      </c>
      <c r="I1208" s="1" t="str">
        <f ca="1">IFERROR(__xludf.DUMMYFUNCTION("GOOGLETRANSLATE(F1208, ""auto"", ""en"")
"),"Igor, bring it to the warranty, it is for Asus for 2 years, if you took the M. Video certificate, then go to the store. My laptop has been working since December 2009, no complaints. This was the best gift for the New Year) Now it also works like clockwor"&amp;"k, I’m already used to it, I don’t have as much joy as in winter when I sit down)")</f>
        <v>Igor, bring it to the warranty, it is for Asus for 2 years, if you took the M. Video certificate, then go to the store. My laptop has been working since December 2009, no complaints. This was the best gift for the New Year) Now it also works like clockwork, I’m already used to it, I don’t have as much joy as in winter when I sit down)</v>
      </c>
    </row>
    <row r="1209" spans="1:9" x14ac:dyDescent="0.3">
      <c r="A1209" s="1" t="s">
        <v>61</v>
      </c>
      <c r="B1209" s="1" t="s">
        <v>726</v>
      </c>
      <c r="C1209" s="1" t="s">
        <v>146</v>
      </c>
      <c r="D1209" s="1" t="s">
        <v>742</v>
      </c>
      <c r="E1209" s="1" t="s">
        <v>2759</v>
      </c>
      <c r="F1209" s="1" t="s">
        <v>2760</v>
      </c>
      <c r="G1209" s="1" t="s">
        <v>36</v>
      </c>
      <c r="H1209" s="1" t="s">
        <v>29</v>
      </c>
      <c r="I1209" s="1" t="str">
        <f ca="1">IFERROR(__xludf.DUMMYFUNCTION("GOOGLETRANSLATE(F1209, ""auto"", ""en"")
"),"reliable, well made, looks powerful.")</f>
        <v>reliable, well made, looks powerful.</v>
      </c>
    </row>
    <row r="1210" spans="1:9" x14ac:dyDescent="0.3">
      <c r="A1210" s="1" t="s">
        <v>120</v>
      </c>
      <c r="B1210" s="1" t="s">
        <v>121</v>
      </c>
      <c r="C1210" s="1" t="s">
        <v>122</v>
      </c>
      <c r="D1210" s="1" t="s">
        <v>2761</v>
      </c>
      <c r="E1210" s="1" t="s">
        <v>1056</v>
      </c>
      <c r="F1210" s="1" t="s">
        <v>2762</v>
      </c>
      <c r="G1210" s="1" t="s">
        <v>36</v>
      </c>
      <c r="H1210" s="1" t="s">
        <v>29</v>
      </c>
      <c r="I1210" s="1" t="str">
        <f ca="1">IFERROR(__xludf.DUMMYFUNCTION("GOOGLETRANSLATE(F1210, ""auto"", ""en"")
"),"Super TV!!! I recommend it to everyone!!!!")</f>
        <v>Super TV!!! I recommend it to everyone!!!!</v>
      </c>
    </row>
    <row r="1211" spans="1:9" x14ac:dyDescent="0.3">
      <c r="A1211" s="1" t="s">
        <v>206</v>
      </c>
      <c r="B1211" s="1" t="s">
        <v>207</v>
      </c>
      <c r="C1211" s="1" t="s">
        <v>152</v>
      </c>
      <c r="D1211" s="1" t="s">
        <v>280</v>
      </c>
      <c r="E1211" s="1" t="s">
        <v>2165</v>
      </c>
      <c r="F1211" s="1" t="s">
        <v>2763</v>
      </c>
      <c r="G1211" s="1" t="s">
        <v>36</v>
      </c>
      <c r="H1211" s="1" t="s">
        <v>29</v>
      </c>
      <c r="I1211" s="1" t="str">
        <f ca="1">IFERROR(__xludf.DUMMYFUNCTION("GOOGLETRANSLATE(F1211, ""auto"", ""en"")
"),"Normal amplifier, bought more than a year ago. Everything still works, in conjunction with the Sony XS-GTX150 LE. The value on the amplifier is 6 dB, there is another 12, but too much. It beats very hard, if I had known, I would have assembled a weaker se"&amp;"t :-), I am not involved in car sound.")</f>
        <v>Normal amplifier, bought more than a year ago. Everything still works, in conjunction with the Sony XS-GTX150 LE. The value on the amplifier is 6 dB, there is another 12, but too much. It beats very hard, if I had known, I would have assembled a weaker set :-), I am not involved in car sound.</v>
      </c>
    </row>
    <row r="1212" spans="1:9" x14ac:dyDescent="0.3">
      <c r="A1212" s="1" t="s">
        <v>9</v>
      </c>
      <c r="B1212" s="1" t="s">
        <v>133</v>
      </c>
      <c r="C1212" s="1" t="s">
        <v>151</v>
      </c>
      <c r="D1212" s="1" t="s">
        <v>2764</v>
      </c>
      <c r="E1212" s="1" t="s">
        <v>836</v>
      </c>
      <c r="F1212" s="1" t="s">
        <v>2765</v>
      </c>
      <c r="G1212" s="1" t="s">
        <v>36</v>
      </c>
      <c r="H1212" s="1" t="s">
        <v>29</v>
      </c>
      <c r="I1212" s="1" t="str">
        <f ca="1">IFERROR(__xludf.DUMMYFUNCTION("GOOGLETRANSLATE(F1212, ""auto"", ""en"")
"),"Multifunctional, compact, nothing superfluous, the buttons don’t get in the way, because... recessed into the body. Microwave in the oven!!! Now there is free space on the countertop for other equipment. I couldn't be happier.")</f>
        <v>Multifunctional, compact, nothing superfluous, the buttons don’t get in the way, because... recessed into the body. Microwave in the oven!!! Now there is free space on the countertop for other equipment. I couldn't be happier.</v>
      </c>
    </row>
    <row r="1213" spans="1:9" x14ac:dyDescent="0.3">
      <c r="A1213" s="1" t="s">
        <v>61</v>
      </c>
      <c r="B1213" s="1" t="s">
        <v>318</v>
      </c>
      <c r="C1213" s="1" t="s">
        <v>122</v>
      </c>
      <c r="D1213" s="1" t="s">
        <v>1188</v>
      </c>
      <c r="E1213" s="1" t="s">
        <v>2766</v>
      </c>
      <c r="F1213" s="1" t="s">
        <v>2767</v>
      </c>
      <c r="G1213" s="1" t="s">
        <v>36</v>
      </c>
      <c r="H1213" s="1" t="s">
        <v>29</v>
      </c>
      <c r="I1213" s="1" t="str">
        <f ca="1">IFERROR(__xludf.DUMMYFUNCTION("GOOGLETRANSLATE(F1213, ""auto"", ""en"")
"),"I bought it for my sister as a gift. We were very pleased.")</f>
        <v>I bought it for my sister as a gift. We were very pleased.</v>
      </c>
    </row>
    <row r="1214" spans="1:9" x14ac:dyDescent="0.3">
      <c r="A1214" s="1" t="s">
        <v>120</v>
      </c>
      <c r="B1214" s="1" t="s">
        <v>121</v>
      </c>
      <c r="C1214" s="1" t="s">
        <v>97</v>
      </c>
      <c r="D1214" s="1" t="s">
        <v>2768</v>
      </c>
      <c r="E1214" s="1" t="s">
        <v>2769</v>
      </c>
      <c r="F1214" s="1" t="s">
        <v>2770</v>
      </c>
      <c r="G1214" s="1" t="s">
        <v>36</v>
      </c>
      <c r="H1214" s="1" t="s">
        <v>29</v>
      </c>
      <c r="I1214" s="1" t="str">
        <f ca="1">IFERROR(__xludf.DUMMYFUNCTION("GOOGLETRANSLATE(F1214, ""auto"", ""en"")
"),"We bought a TV yesterday, the quality is excellent, the downside is that a bar hangs above the screen during switching.")</f>
        <v>We bought a TV yesterday, the quality is excellent, the downside is that a bar hangs above the screen during switching.</v>
      </c>
    </row>
    <row r="1215" spans="1:9" x14ac:dyDescent="0.3">
      <c r="A1215" s="1" t="s">
        <v>61</v>
      </c>
      <c r="B1215" s="1" t="s">
        <v>434</v>
      </c>
      <c r="C1215" s="1" t="s">
        <v>101</v>
      </c>
      <c r="D1215" s="1" t="s">
        <v>2771</v>
      </c>
      <c r="E1215" s="1" t="s">
        <v>2772</v>
      </c>
      <c r="F1215" s="1" t="s">
        <v>2773</v>
      </c>
      <c r="G1215" s="1" t="s">
        <v>36</v>
      </c>
      <c r="H1215" s="1" t="s">
        <v>29</v>
      </c>
      <c r="I1215" s="1" t="str">
        <f ca="1">IFERROR(__xludf.DUMMYFUNCTION("GOOGLETRANSLATE(F1215, ""auto"", ""en"")
"),"I bought a mini-oven from an online store, I don’t regret it at all! Fries evenly on all sides, does not require turning food, the crust is golden brown. Moreover, the oven is very easy to use - you select the temperature, mode, set the timer for a certai"&amp;"n amount of time and do other things. But there is one small nuance - when you turned on the oven for the first time, it smoked a little, but then everything went away and now such nuances no longer arise, this usually happens with new ovens and stoves.")</f>
        <v>I bought a mini-oven from an online store, I don’t regret it at all! Fries evenly on all sides, does not require turning food, the crust is golden brown. Moreover, the oven is very easy to use - you select the temperature, mode, set the timer for a certain amount of time and do other things. But there is one small nuance - when you turned on the oven for the first time, it smoked a little, but then everything went away and now such nuances no longer arise, this usually happens with new ovens and stoves.</v>
      </c>
    </row>
    <row r="1216" spans="1:9" x14ac:dyDescent="0.3">
      <c r="A1216" s="1" t="s">
        <v>120</v>
      </c>
      <c r="B1216" s="1" t="s">
        <v>121</v>
      </c>
      <c r="C1216" s="1" t="s">
        <v>69</v>
      </c>
      <c r="D1216" s="1" t="s">
        <v>64</v>
      </c>
      <c r="E1216" s="1" t="s">
        <v>1065</v>
      </c>
      <c r="F1216" s="1" t="s">
        <v>2774</v>
      </c>
      <c r="G1216" s="1" t="s">
        <v>36</v>
      </c>
      <c r="H1216" s="1" t="s">
        <v>29</v>
      </c>
      <c r="I1216" s="1" t="str">
        <f ca="1">IFERROR(__xludf.DUMMYFUNCTION("GOOGLETRANSLATE(F1216, ""auto"", ""en"")
"),"The TV is super, you can watch movies from a flash drive, but it doesn’t show the photo. I downloaded it from my computer, took the photos on a Nokia N73, but the TV doesn’t support the format, otherwise it’s just great")</f>
        <v>The TV is super, you can watch movies from a flash drive, but it doesn’t show the photo. I downloaded it from my computer, took the photos on a Nokia N73, but the TV doesn’t support the format, otherwise it’s just great</v>
      </c>
    </row>
    <row r="1217" spans="1:9" x14ac:dyDescent="0.3">
      <c r="A1217" s="1" t="s">
        <v>169</v>
      </c>
      <c r="B1217" s="1" t="s">
        <v>170</v>
      </c>
      <c r="C1217" s="1" t="s">
        <v>171</v>
      </c>
      <c r="D1217" s="1" t="s">
        <v>2356</v>
      </c>
      <c r="E1217" s="1" t="s">
        <v>631</v>
      </c>
      <c r="F1217" s="1" t="s">
        <v>2775</v>
      </c>
      <c r="G1217" s="1" t="s">
        <v>36</v>
      </c>
      <c r="H1217" s="1" t="s">
        <v>29</v>
      </c>
      <c r="I1217" s="1" t="str">
        <f ca="1">IFERROR(__xludf.DUMMYFUNCTION("GOOGLETRANSLATE(F1217, ""auto"", ""en"")
"),"Excellent ears... at medium volume you completely stop hearing extraneous sounds...")</f>
        <v>Excellent ears... at medium volume you completely stop hearing extraneous sounds...</v>
      </c>
    </row>
    <row r="1218" spans="1:9" x14ac:dyDescent="0.3">
      <c r="A1218" s="1" t="s">
        <v>30</v>
      </c>
      <c r="B1218" s="1" t="s">
        <v>50</v>
      </c>
      <c r="C1218" s="1" t="s">
        <v>1003</v>
      </c>
      <c r="D1218" s="1" t="s">
        <v>327</v>
      </c>
      <c r="E1218" s="1" t="s">
        <v>628</v>
      </c>
      <c r="F1218" s="1" t="s">
        <v>2776</v>
      </c>
      <c r="G1218" s="1" t="s">
        <v>28</v>
      </c>
      <c r="H1218" s="1" t="s">
        <v>29</v>
      </c>
      <c r="I1218" s="1" t="str">
        <f ca="1">IFERROR(__xludf.DUMMYFUNCTION("GOOGLETRANSLATE(F1218, ""auto"", ""en"")
"),"COLOR RENDERING IS DISTURBED towards blue color.  Color calibration using the control panel does not give the desired result. The image becomes faded.  What is this? Defective matrix or video card.  Is this violation observed in the entire HP PAVILION DV6"&amp;" line? I have an HP PAVILION DV6 2112ER Radeon 4650 video card.")</f>
        <v>COLOR RENDERING IS DISTURBED towards blue color.  Color calibration using the control panel does not give the desired result. The image becomes faded.  What is this? Defective matrix or video card.  Is this violation observed in the entire HP PAVILION DV6 line? I have an HP PAVILION DV6 2112ER Radeon 4650 video card.</v>
      </c>
    </row>
    <row r="1219" spans="1:9" x14ac:dyDescent="0.3">
      <c r="A1219" s="1" t="s">
        <v>95</v>
      </c>
      <c r="B1219" s="1" t="s">
        <v>648</v>
      </c>
      <c r="C1219" s="1" t="s">
        <v>97</v>
      </c>
      <c r="D1219" s="1" t="s">
        <v>52</v>
      </c>
      <c r="E1219" s="1" t="s">
        <v>2035</v>
      </c>
      <c r="F1219" s="1" t="s">
        <v>2777</v>
      </c>
      <c r="G1219" s="1" t="s">
        <v>36</v>
      </c>
      <c r="H1219" s="1" t="s">
        <v>29</v>
      </c>
      <c r="I1219" s="1" t="str">
        <f ca="1">IFERROR(__xludf.DUMMYFUNCTION("GOOGLETRANSLATE(F1219, ""auto"", ""en"")
"),"I bought it for my child's 10th birthday. Firmware 6.20 is easy to install; virtual firmware is already working as of 02/07/2011. ISO games run without problems. The toy is just great.")</f>
        <v>I bought it for my child's 10th birthday. Firmware 6.20 is easy to install; virtual firmware is already working as of 02/07/2011. ISO games run without problems. The toy is just great.</v>
      </c>
    </row>
    <row r="1220" spans="1:9" x14ac:dyDescent="0.3">
      <c r="A1220" s="1" t="s">
        <v>111</v>
      </c>
      <c r="B1220" s="1" t="s">
        <v>636</v>
      </c>
      <c r="C1220" s="1" t="s">
        <v>637</v>
      </c>
      <c r="D1220" s="1" t="s">
        <v>335</v>
      </c>
      <c r="E1220" s="1" t="s">
        <v>2778</v>
      </c>
      <c r="F1220" s="1" t="s">
        <v>2779</v>
      </c>
      <c r="G1220" s="1" t="s">
        <v>36</v>
      </c>
      <c r="H1220" s="1" t="s">
        <v>29</v>
      </c>
      <c r="I1220" s="1" t="str">
        <f ca="1">IFERROR(__xludf.DUMMYFUNCTION("GOOGLETRANSLATE(F1220, ""auto"", ""en"")
"),"I chose this station because it has the ability to be hung on the wall (which is rare with others), and due to its small thickness it will be difficult to accidentally snag it while passing by. And I wanted some positive color - not black or gray, white t"&amp;"urned out to be just right.   Hangs by the door in the hallway. It fits tightly to the wall and practically does not protrude from it. Before leaving the house, I always know what the temperature is like outside and what the weather will be like in the ev"&amp;"ening. Very pleased with the purchase.")</f>
        <v>I chose this station because it has the ability to be hung on the wall (which is rare with others), and due to its small thickness it will be difficult to accidentally snag it while passing by. And I wanted some positive color - not black or gray, white turned out to be just right.   Hangs by the door in the hallway. It fits tightly to the wall and practically does not protrude from it. Before leaving the house, I always know what the temperature is like outside and what the weather will be like in the evening. Very pleased with the purchase.</v>
      </c>
    </row>
    <row r="1221" spans="1:9" x14ac:dyDescent="0.3">
      <c r="A1221" s="1" t="s">
        <v>120</v>
      </c>
      <c r="B1221" s="1" t="s">
        <v>121</v>
      </c>
      <c r="C1221" s="1" t="s">
        <v>80</v>
      </c>
      <c r="D1221" s="1" t="s">
        <v>127</v>
      </c>
      <c r="E1221" s="1" t="s">
        <v>2780</v>
      </c>
      <c r="F1221" s="1" t="s">
        <v>2781</v>
      </c>
      <c r="G1221" s="1" t="s">
        <v>36</v>
      </c>
      <c r="H1221" s="1" t="s">
        <v>29</v>
      </c>
      <c r="I1221" s="1" t="str">
        <f ca="1">IFERROR(__xludf.DUMMYFUNCTION("GOOGLETRANSLATE(F1221, ""auto"", ""en"")
"),"The easiest way is through diodes, because I don’t see any point in rolling back the firmware to the old one. And in case of failure, the warranty is canceled.  I disassembled the old remote control and soldered two wires to the IR diode. You can also scr"&amp;"ew it in. I didn’t desolder the diode from the remote control board. Why spoil the remote control?.))) Next, I disconnected one wire from the speakers. The one that goes to the second speaker is from the main one. I connected + and - to the soldered wires"&amp;" from the speaker. Then I launched the service menu file on the music player, at medium volume and directed IR diode on the TV. A password request appears. Enter 0000 and voila... we are in the menu.  Go to Option tools 3. And switch the EMF(JPEG,MP3) ite"&amp;"m to 1. Now both pictures and music via the USB port will be available.  Switch the Divx item to HD, now you can enjoy movies.  Files to enable the menu.. http://slil.ru/29233615 You need to play the top two. That is, where OK is OK.  But firmware 3.15..."&amp;".but this is at your own peril and risk.    Good luck to everyone. My rating is 5.")</f>
        <v>The easiest way is through diodes, because I don’t see any point in rolling back the firmware to the old one. And in case of failure, the warranty is canceled.  I disassembled the old remote control and soldered two wires to the IR diode. You can also screw it in. I didn’t desolder the diode from the remote control board. Why spoil the remote control?.))) Next, I disconnected one wire from the speakers. The one that goes to the second speaker is from the main one. I connected + and - to the soldered wires from the speaker. Then I launched the service menu file on the music player, at medium volume and directed IR diode on the TV. A password request appears. Enter 0000 and voila... we are in the menu.  Go to Option tools 3. And switch the EMF(JPEG,MP3) item to 1. Now both pictures and music via the USB port will be available.  Switch the Divx item to HD, now you can enjoy movies.  Files to enable the menu.. http://slil.ru/29233615 You need to play the top two. That is, where OK is OK.  But firmware 3.15....but this is at your own peril and risk.    Good luck to everyone. My rating is 5.</v>
      </c>
    </row>
    <row r="1222" spans="1:9" x14ac:dyDescent="0.3">
      <c r="A1222" s="1" t="s">
        <v>61</v>
      </c>
      <c r="B1222" s="1" t="s">
        <v>318</v>
      </c>
      <c r="C1222" s="1" t="s">
        <v>101</v>
      </c>
      <c r="D1222" s="1" t="s">
        <v>52</v>
      </c>
      <c r="E1222" s="1" t="s">
        <v>2782</v>
      </c>
      <c r="F1222" s="1" t="s">
        <v>2783</v>
      </c>
      <c r="G1222" s="1" t="s">
        <v>49</v>
      </c>
      <c r="H1222" s="1" t="s">
        <v>16</v>
      </c>
      <c r="I1222" s="1" t="str">
        <f ca="1">IFERROR(__xludf.DUMMYFUNCTION("GOOGLETRANSLATE(F1222, ""auto"", ""en"")
"),"I really didn’t like the kettle, the glass broke off in the area where the handle was attached, after two months of use I don’t recommend buying it!")</f>
        <v>I really didn’t like the kettle, the glass broke off in the area where the handle was attached, after two months of use I don’t recommend buying it!</v>
      </c>
    </row>
    <row r="1223" spans="1:9" x14ac:dyDescent="0.3">
      <c r="A1223" s="1" t="s">
        <v>169</v>
      </c>
      <c r="B1223" s="1" t="s">
        <v>170</v>
      </c>
      <c r="C1223" s="1" t="s">
        <v>97</v>
      </c>
      <c r="D1223" s="1" t="s">
        <v>39</v>
      </c>
      <c r="E1223" s="1" t="s">
        <v>1816</v>
      </c>
      <c r="F1223" s="1" t="s">
        <v>2784</v>
      </c>
      <c r="G1223" s="1" t="s">
        <v>28</v>
      </c>
      <c r="H1223" s="1" t="s">
        <v>29</v>
      </c>
      <c r="I1223" s="1" t="str">
        <f ca="1">IFERROR(__xludf.DUMMYFUNCTION("GOOGLETRANSLATE(F1223, ""auto"", ""en"")
"),"Not bad headphones, decent quality for the price! The sound is clear and pleasant! The only thing I didn’t like was the angled plug, but these are minor things!")</f>
        <v>Not bad headphones, decent quality for the price! The sound is clear and pleasant! The only thing I didn’t like was the angled plug, but these are minor things!</v>
      </c>
    </row>
    <row r="1224" spans="1:9" x14ac:dyDescent="0.3">
      <c r="A1224" s="1" t="s">
        <v>477</v>
      </c>
      <c r="B1224" s="1" t="s">
        <v>478</v>
      </c>
      <c r="C1224" s="1" t="s">
        <v>479</v>
      </c>
      <c r="D1224" s="1" t="s">
        <v>203</v>
      </c>
      <c r="E1224" s="1" t="s">
        <v>173</v>
      </c>
      <c r="F1224" s="1" t="s">
        <v>2785</v>
      </c>
      <c r="G1224" s="1" t="s">
        <v>36</v>
      </c>
      <c r="H1224" s="1" t="s">
        <v>29</v>
      </c>
      <c r="I1224" s="1" t="str">
        <f ca="1">IFERROR(__xludf.DUMMYFUNCTION("GOOGLETRANSLATE(F1224, ""auto"", ""en"")
"),"Definitely the best action movie from the CoD series, beautiful graphics, touching plot, incredible cruelty for the game, playing on a veteran, either in the campaign or in SpecOps, you just transfer everything that happens as if in reality... it’s defini"&amp;"tely worth buying this masterpiece action movie, you won’t even see this on cinema screens.")</f>
        <v>Definitely the best action movie from the CoD series, beautiful graphics, touching plot, incredible cruelty for the game, playing on a veteran, either in the campaign or in SpecOps, you just transfer everything that happens as if in reality... it’s definitely worth buying this masterpiece action movie, you won’t even see this on cinema screens.</v>
      </c>
    </row>
    <row r="1225" spans="1:9" x14ac:dyDescent="0.3">
      <c r="A1225" s="1" t="s">
        <v>369</v>
      </c>
      <c r="B1225" s="1" t="s">
        <v>587</v>
      </c>
      <c r="C1225" s="1" t="s">
        <v>308</v>
      </c>
      <c r="D1225" s="1" t="s">
        <v>2786</v>
      </c>
      <c r="E1225" s="1" t="s">
        <v>2787</v>
      </c>
      <c r="F1225" s="1" t="s">
        <v>2788</v>
      </c>
      <c r="G1225" s="1" t="s">
        <v>36</v>
      </c>
      <c r="H1225" s="1" t="s">
        <v>29</v>
      </c>
      <c r="I1225" s="1" t="str">
        <f ca="1">IFERROR(__xludf.DUMMYFUNCTION("GOOGLETRANSLATE(F1225, ""auto"", ""en"")
"),"It is not at all large in size, but for my kitchen &amp;ndash; it's just perfect! I really like the way the oven works.")</f>
        <v>It is not at all large in size, but for my kitchen &amp;ndash; it's just perfect! I really like the way the oven works.</v>
      </c>
    </row>
    <row r="1226" spans="1:9" x14ac:dyDescent="0.3">
      <c r="A1226" s="1" t="s">
        <v>206</v>
      </c>
      <c r="B1226" s="1" t="s">
        <v>207</v>
      </c>
      <c r="C1226" s="1" t="s">
        <v>262</v>
      </c>
      <c r="D1226" s="1" t="s">
        <v>152</v>
      </c>
      <c r="E1226" s="1" t="s">
        <v>2789</v>
      </c>
      <c r="F1226" s="1" t="s">
        <v>2790</v>
      </c>
      <c r="G1226" s="1" t="s">
        <v>28</v>
      </c>
      <c r="H1226" s="1" t="s">
        <v>29</v>
      </c>
      <c r="I1226" s="1" t="str">
        <f ca="1">IFERROR(__xludf.DUMMYFUNCTION("GOOGLETRANSLATE(F1226, ""auto"", ""en"")
"),"An excellent speaker, you need a box for 70 liters of normal (18mm) plywood type ZYA (closed box). I tried FI and didn’t like it. This box in the picture should be burned out of harm's way. Those who know how to count in a BassBox or something similar wil"&amp;"l be able to squeeze an acceptable low end out of it, I speak as an audiophile))")</f>
        <v>An excellent speaker, you need a box for 70 liters of normal (18mm) plywood type ZYA (closed box). I tried FI and didn’t like it. This box in the picture should be burned out of harm's way. Those who know how to count in a BassBox or something similar will be able to squeeze an acceptable low end out of it, I speak as an audiophile))</v>
      </c>
    </row>
    <row r="1227" spans="1:9" x14ac:dyDescent="0.3">
      <c r="A1227" s="1" t="s">
        <v>55</v>
      </c>
      <c r="B1227" s="1" t="s">
        <v>752</v>
      </c>
      <c r="C1227" s="1" t="s">
        <v>257</v>
      </c>
      <c r="D1227" s="1" t="s">
        <v>52</v>
      </c>
      <c r="E1227" s="1" t="s">
        <v>2735</v>
      </c>
      <c r="F1227" s="1" t="s">
        <v>2791</v>
      </c>
      <c r="G1227" s="1" t="s">
        <v>28</v>
      </c>
      <c r="H1227" s="1" t="s">
        <v>29</v>
      </c>
      <c r="I1227" s="1" t="str">
        <f ca="1">IFERROR(__xludf.DUMMYFUNCTION("GOOGLETRANSLATE(F1227, ""auto"", ""en"")
"),"I've been using the radiator for 3 days.        I chose a budget model with minimal functional requirements and more or less pretty. I don’t even need it to heat the entire room, but as a small-sized warm radiator nearby so that it doesn’t blow from the w"&amp;"indow. Upon briefly reading the label, it even seemed to me that it was made in Hong Kong. In fact, it simply turned out to be an exporting company. Manufacturer: Chinese. This is not indicated on the radiator and box labels, but the manufacturer's instru"&amp;"ctions indicate this. But this is so, for your information, so that there is no unnecessary seduction.        About virtues. It's a budget model and I didn't expect miracles from it. It performs the function that I need in it and is indicated above.      "&amp;"   About the shortcomings. If you want it to heat a room of 15 square meters. m - this is unlikely. It practically did not heat up my 11 m. But there are also cracks in the windows, i.e. There is a small draft. But let me remind you that this is a budget "&amp;"model with not the best heat transfer surface. For more expensive models, incl. This issue has been better addressed by this manufacturer. And don't wait for the thermostat to work correctly. It rather works like turning the heating on/off in principle, r"&amp;"ather than some kind of slight adjustment. I admit that in cheap models this is usually the case, and in more expensive ones the thermostat works more correctly. Well, the wheels on the radiator are made more than on a budget! This of course was a little "&amp;"surprising. Don't be surprised that they won't rotate for you. And at least during the first days of operation, when warming up from zero to maximum power, the radiator inside makes a dripping sound. It's as if the oil is falling drop by drop to the botto"&amp;"m.         Despite the uncritical reservations, I generally recommend it, because... The radiator performs the functions I need. Although if you take into account the reservations, it should cost less.")</f>
        <v>I've been using the radiator for 3 days.        I chose a budget model with minimal functional requirements and more or less pretty. I don’t even need it to heat the entire room, but as a small-sized warm radiator nearby so that it doesn’t blow from the window. Upon briefly reading the label, it even seemed to me that it was made in Hong Kong. In fact, it simply turned out to be an exporting company. Manufacturer: Chinese. This is not indicated on the radiator and box labels, but the manufacturer's instructions indicate this. But this is so, for your information, so that there is no unnecessary seduction.        About virtues. It's a budget model and I didn't expect miracles from it. It performs the function that I need in it and is indicated above.         About the shortcomings. If you want it to heat a room of 15 square meters. m - this is unlikely. It practically did not heat up my 11 m. But there are also cracks in the windows, i.e. There is a small draft. But let me remind you that this is a budget model with not the best heat transfer surface. For more expensive models, incl. This issue has been better addressed by this manufacturer. And don't wait for the thermostat to work correctly. It rather works like turning the heating on/off in principle, rather than some kind of slight adjustment. I admit that in cheap models this is usually the case, and in more expensive ones the thermostat works more correctly. Well, the wheels on the radiator are made more than on a budget! This of course was a little surprising. Don't be surprised that they won't rotate for you. And at least during the first days of operation, when warming up from zero to maximum power, the radiator inside makes a dripping sound. It's as if the oil is falling drop by drop to the bottom.         Despite the uncritical reservations, I generally recommend it, because... The radiator performs the functions I need. Although if you take into account the reservations, it should cost less.</v>
      </c>
    </row>
    <row r="1228" spans="1:9" x14ac:dyDescent="0.3">
      <c r="A1228" s="1" t="s">
        <v>30</v>
      </c>
      <c r="B1228" s="1" t="s">
        <v>31</v>
      </c>
      <c r="C1228" s="1" t="s">
        <v>377</v>
      </c>
      <c r="D1228" s="1" t="s">
        <v>2792</v>
      </c>
      <c r="E1228" s="1" t="s">
        <v>2793</v>
      </c>
      <c r="F1228" s="1" t="s">
        <v>2794</v>
      </c>
      <c r="G1228" s="1" t="s">
        <v>28</v>
      </c>
      <c r="H1228" s="1" t="s">
        <v>29</v>
      </c>
      <c r="I1228" s="1" t="str">
        <f ca="1">IFERROR(__xludf.DUMMYFUNCTION("GOOGLETRANSLATE(F1228, ""auto"", ""en"")
"),"We have been using this unit for two weeks now, I was pleased with the very quiet operation, I can’t hear the cracking of the hard drive at all!  The only thing we didn’t find in the system was Built-in. the Wi-Fi module, which is in the description of th"&amp;"e unit, or is it a typo or a flawed assembly.")</f>
        <v>We have been using this unit for two weeks now, I was pleased with the very quiet operation, I can’t hear the cracking of the hard drive at all!  The only thing we didn’t find in the system was Built-in. the Wi-Fi module, which is in the description of the unit, or is it a typo or a flawed assembly.</v>
      </c>
    </row>
    <row r="1229" spans="1:9" x14ac:dyDescent="0.3">
      <c r="A1229" s="1" t="s">
        <v>61</v>
      </c>
      <c r="B1229" s="1" t="s">
        <v>318</v>
      </c>
      <c r="C1229" s="1" t="s">
        <v>213</v>
      </c>
      <c r="D1229" s="1" t="s">
        <v>2209</v>
      </c>
      <c r="E1229" s="1" t="s">
        <v>1871</v>
      </c>
      <c r="F1229" s="1" t="s">
        <v>2795</v>
      </c>
      <c r="G1229" s="1" t="s">
        <v>36</v>
      </c>
      <c r="H1229" s="1" t="s">
        <v>29</v>
      </c>
      <c r="I1229" s="1" t="str">
        <f ca="1">IFERROR(__xludf.DUMMYFUNCTION("GOOGLETRANSLATE(F1229, ""auto"", ""en"")
"),"We have been using the kettle for 3 years now. The noise level is lower than that of Tefal and Kenwood kettles, there is no smell. I think it will serve us for a long time.")</f>
        <v>We have been using the kettle for 3 years now. The noise level is lower than that of Tefal and Kenwood kettles, there is no smell. I think it will serve us for a long time.</v>
      </c>
    </row>
    <row r="1230" spans="1:9" x14ac:dyDescent="0.3">
      <c r="A1230" s="1" t="s">
        <v>61</v>
      </c>
      <c r="B1230" s="1" t="s">
        <v>73</v>
      </c>
      <c r="C1230" s="1" t="s">
        <v>74</v>
      </c>
      <c r="D1230" s="1" t="s">
        <v>240</v>
      </c>
      <c r="E1230" s="1" t="s">
        <v>2796</v>
      </c>
      <c r="F1230" s="1" t="s">
        <v>2797</v>
      </c>
      <c r="G1230" s="1" t="s">
        <v>36</v>
      </c>
      <c r="H1230" s="1" t="s">
        <v>29</v>
      </c>
      <c r="I1230" s="1" t="str">
        <f ca="1">IFERROR(__xludf.DUMMYFUNCTION("GOOGLETRANSLATE(F1230, ""auto"", ""en"")
"),"I have been using the meat grinder for 4 months. asadke. It doesn’t splash, the minced meat neatly crawls into the bowl. If anyone doesn’t know, you need to cut the membranes off the beef! And also (I screwed up the first time due to an oversight), the kn"&amp;"ife should be placed with the blade towards the nozzle, and not inward (see instructions). A vegetable grater is very convenient: carrots and beets do not fly past the plate. I also grated the potatoes into thin slices, but the pepper didn’t go particular"&amp;"ly well. I recommend it.")</f>
        <v>I have been using the meat grinder for 4 months. asadke. It doesn’t splash, the minced meat neatly crawls into the bowl. If anyone doesn’t know, you need to cut the membranes off the beef! And also (I screwed up the first time due to an oversight), the knife should be placed with the blade towards the nozzle, and not inward (see instructions). A vegetable grater is very convenient: carrots and beets do not fly past the plate. I also grated the potatoes into thin slices, but the pepper didn’t go particularly well. I recommend it.</v>
      </c>
    </row>
    <row r="1231" spans="1:9" x14ac:dyDescent="0.3">
      <c r="A1231" s="1" t="s">
        <v>120</v>
      </c>
      <c r="B1231" s="1" t="s">
        <v>126</v>
      </c>
      <c r="C1231" s="1" t="s">
        <v>151</v>
      </c>
      <c r="D1231" s="1" t="s">
        <v>117</v>
      </c>
      <c r="E1231" s="1" t="s">
        <v>2035</v>
      </c>
      <c r="F1231" s="1" t="s">
        <v>2798</v>
      </c>
      <c r="G1231" s="1" t="s">
        <v>36</v>
      </c>
      <c r="H1231" s="1" t="s">
        <v>29</v>
      </c>
      <c r="I1231" s="1" t="str">
        <f ca="1">IFERROR(__xludf.DUMMYFUNCTION("GOOGLETRANSLATE(F1231, ""auto"", ""en"")
"),"I bought a TV 3 months ago. I spent a long time deciding between LCD and plasma. In terms of image quality, I settled on this particular model, since I watch a lot of broadcast channels. A significant advantage is that it sees any flash drive with any for"&amp;"mat. I connected it to a PC and use it as a monitor for games.")</f>
        <v>I bought a TV 3 months ago. I spent a long time deciding between LCD and plasma. In terms of image quality, I settled on this particular model, since I watch a lot of broadcast channels. A significant advantage is that it sees any flash drive with any format. I connected it to a PC and use it as a monitor for games.</v>
      </c>
    </row>
    <row r="1232" spans="1:9" x14ac:dyDescent="0.3">
      <c r="A1232" s="1" t="s">
        <v>965</v>
      </c>
      <c r="B1232" s="1" t="s">
        <v>966</v>
      </c>
      <c r="C1232" s="1" t="s">
        <v>967</v>
      </c>
      <c r="D1232" s="1" t="s">
        <v>2799</v>
      </c>
      <c r="E1232" s="1" t="s">
        <v>1065</v>
      </c>
      <c r="F1232" s="1" t="s">
        <v>2800</v>
      </c>
      <c r="G1232" s="1" t="s">
        <v>28</v>
      </c>
      <c r="H1232" s="1" t="s">
        <v>29</v>
      </c>
      <c r="I1232" s="1" t="str">
        <f ca="1">IFERROR(__xludf.DUMMYFUNCTION("GOOGLETRANSLATE(F1232, ""auto"", ""en"")
"),"The speakers are certainly good for their price, but the subwoofer and its amplifier are more powerful than the included desktop speakers (front), a complete mismatch, as a result, with constant loud listening, the front speakers began to emit unnecessary"&amp;" sounds, which are remarkably audible at low volumes, at higher volumes they disappear...")</f>
        <v>The speakers are certainly good for their price, but the subwoofer and its amplifier are more powerful than the included desktop speakers (front), a complete mismatch, as a result, with constant loud listening, the front speakers began to emit unnecessary sounds, which are remarkably audible at low volumes, at higher volumes they disappear...</v>
      </c>
    </row>
    <row r="1233" spans="1:9" x14ac:dyDescent="0.3">
      <c r="A1233" s="1" t="s">
        <v>55</v>
      </c>
      <c r="B1233" s="1" t="s">
        <v>752</v>
      </c>
      <c r="C1233" s="1" t="s">
        <v>185</v>
      </c>
      <c r="D1233" s="1" t="s">
        <v>308</v>
      </c>
      <c r="E1233" s="1" t="s">
        <v>1888</v>
      </c>
      <c r="F1233" s="1" t="s">
        <v>2801</v>
      </c>
      <c r="G1233" s="1" t="s">
        <v>36</v>
      </c>
      <c r="H1233" s="1" t="s">
        <v>29</v>
      </c>
      <c r="I1233" s="1" t="str">
        <f ca="1">IFERROR(__xludf.DUMMYFUNCTION("GOOGLETRANSLATE(F1233, ""auto"", ""en"")
"),"Excellent heating device!!! The radiator has a built-in fan heater, so it quickly heats the room, I recommend it to everyone!")</f>
        <v>Excellent heating device!!! The radiator has a built-in fan heater, so it quickly heats the room, I recommend it to everyone!</v>
      </c>
    </row>
    <row r="1234" spans="1:9" x14ac:dyDescent="0.3">
      <c r="A1234" s="1" t="s">
        <v>17</v>
      </c>
      <c r="B1234" s="1" t="s">
        <v>18</v>
      </c>
      <c r="C1234" s="1" t="s">
        <v>243</v>
      </c>
      <c r="D1234" s="1" t="s">
        <v>12</v>
      </c>
      <c r="E1234" s="1" t="s">
        <v>2802</v>
      </c>
      <c r="F1234" s="1" t="s">
        <v>2803</v>
      </c>
      <c r="G1234" s="1" t="s">
        <v>36</v>
      </c>
      <c r="H1234" s="1" t="s">
        <v>29</v>
      </c>
      <c r="I1234" s="1" t="str">
        <f ca="1">IFERROR(__xludf.DUMMYFUNCTION("GOOGLETRANSLATE(F1234, ""auto"", ""en"")
"),"Bought this for my mother's birthday two years ago. Works perfectly, without interruptions or breakdowns, easy to operate, compact! Mom is happy! I recommend it to everyone!")</f>
        <v>Bought this for my mother's birthday two years ago. Works perfectly, without interruptions or breakdowns, easy to operate, compact! Mom is happy! I recommend it to everyone!</v>
      </c>
    </row>
    <row r="1235" spans="1:9" x14ac:dyDescent="0.3">
      <c r="A1235" s="1" t="s">
        <v>149</v>
      </c>
      <c r="B1235" s="1" t="s">
        <v>155</v>
      </c>
      <c r="C1235" s="1" t="s">
        <v>151</v>
      </c>
      <c r="D1235" s="1" t="s">
        <v>64</v>
      </c>
      <c r="E1235" s="1" t="s">
        <v>2804</v>
      </c>
      <c r="F1235" s="1" t="s">
        <v>2805</v>
      </c>
      <c r="G1235" s="1" t="s">
        <v>36</v>
      </c>
      <c r="H1235" s="1" t="s">
        <v>29</v>
      </c>
      <c r="I1235" s="1" t="str">
        <f ca="1">IFERROR(__xludf.DUMMYFUNCTION("GOOGLETRANSLATE(F1235, ""auto"", ""en"")
"),"I just bought it, the first cleaning was 5+. Suction well, comfortable, compact. I also liked the turbo brush, the transparent container and the metal pipe on which the extras are attached. nozzles, and of course the price!")</f>
        <v>I just bought it, the first cleaning was 5+. Suction well, comfortable, compact. I also liked the turbo brush, the transparent container and the metal pipe on which the extras are attached. nozzles, and of course the price!</v>
      </c>
    </row>
    <row r="1236" spans="1:9" x14ac:dyDescent="0.3">
      <c r="A1236" s="1" t="s">
        <v>61</v>
      </c>
      <c r="B1236" s="1" t="s">
        <v>318</v>
      </c>
      <c r="C1236" s="1" t="s">
        <v>63</v>
      </c>
      <c r="D1236" s="1" t="s">
        <v>2764</v>
      </c>
      <c r="E1236" s="1" t="s">
        <v>2806</v>
      </c>
      <c r="F1236" s="1" t="s">
        <v>2807</v>
      </c>
      <c r="G1236" s="1" t="s">
        <v>36</v>
      </c>
      <c r="H1236" s="1" t="s">
        <v>29</v>
      </c>
      <c r="I1236" s="1" t="str">
        <f ca="1">IFERROR(__xludf.DUMMYFUNCTION("GOOGLETRANSLATE(F1236, ""auto"", ""en"")
"),"I’ve been using this kettle for 3 years, I have no complaints about it, it’s an excellent kettle. Now, apparently from old age, the plastic where the level shows has begun to crack and crumble.")</f>
        <v>I’ve been using this kettle for 3 years, I have no complaints about it, it’s an excellent kettle. Now, apparently from old age, the plastic where the level shows has begun to crack and crumble.</v>
      </c>
    </row>
    <row r="1237" spans="1:9" x14ac:dyDescent="0.3">
      <c r="A1237" s="1" t="s">
        <v>238</v>
      </c>
      <c r="B1237" s="1" t="s">
        <v>276</v>
      </c>
      <c r="C1237" s="1" t="s">
        <v>243</v>
      </c>
      <c r="D1237" s="1" t="s">
        <v>896</v>
      </c>
      <c r="E1237" s="1" t="s">
        <v>2176</v>
      </c>
      <c r="F1237" s="1" t="s">
        <v>2808</v>
      </c>
      <c r="G1237" s="1" t="s">
        <v>49</v>
      </c>
      <c r="H1237" s="1" t="s">
        <v>16</v>
      </c>
      <c r="I1237" s="1" t="str">
        <f ca="1">IFERROR(__xludf.DUMMYFUNCTION("GOOGLETRANSLATE(F1237, ""auto"", ""en"")
"),"The refrigerator broke down after serving for a little over a year, the worse thing is that the promised service for 3 years did not seem to exist - after calling all the indicated numbers, hearing a refusal everywhere, I realized that the company had not"&amp;" adjusted either the quality of the products or the service.  The refrigerator itself is ordinary, we bought it to save on drip defrosting. If you don’t save, take no-frost, and if you don’t save at all, don’t take Indesit.")</f>
        <v>The refrigerator broke down after serving for a little over a year, the worse thing is that the promised service for 3 years did not seem to exist - after calling all the indicated numbers, hearing a refusal everywhere, I realized that the company had not adjusted either the quality of the products or the service.  The refrigerator itself is ordinary, we bought it to save on drip defrosting. If you don’t save, take no-frost, and if you don’t save at all, don’t take Indesit.</v>
      </c>
    </row>
    <row r="1238" spans="1:9" x14ac:dyDescent="0.3">
      <c r="A1238" s="1" t="s">
        <v>9</v>
      </c>
      <c r="B1238" s="1" t="s">
        <v>137</v>
      </c>
      <c r="C1238" s="1" t="s">
        <v>134</v>
      </c>
      <c r="D1238" s="1" t="s">
        <v>2809</v>
      </c>
      <c r="E1238" s="1" t="s">
        <v>2810</v>
      </c>
      <c r="F1238" s="1" t="s">
        <v>2811</v>
      </c>
      <c r="G1238" s="1" t="s">
        <v>36</v>
      </c>
      <c r="H1238" s="1" t="s">
        <v>29</v>
      </c>
      <c r="I1238" s="1" t="str">
        <f ca="1">IFERROR(__xludf.DUMMYFUNCTION("GOOGLETRANSLATE(F1238, ""auto"", ""en"")
"),"Luxurious large stove with five electric burners. It’s clear that not everyone needs such a panel, but for my family, and especially taking into account the fact that we often have guests, such a luxurious stove is just the thing. I’m generally a fanatica"&amp;"l cook, and the fact that there are three burners with an expanded contour is just very useful for me. Since for absolutely any frying pan or saucepan you can adjust or find a burner according to the format. Even for ducklings, now I will definitely buy i"&amp;"t and start culinary experiments with poultry.")</f>
        <v>Luxurious large stove with five electric burners. It’s clear that not everyone needs such a panel, but for my family, and especially taking into account the fact that we often have guests, such a luxurious stove is just the thing. I’m generally a fanatical cook, and the fact that there are three burners with an expanded contour is just very useful for me. Since for absolutely any frying pan or saucepan you can adjust or find a burner according to the format. Even for ducklings, now I will definitely buy it and start culinary experiments with poultry.</v>
      </c>
    </row>
    <row r="1239" spans="1:9" x14ac:dyDescent="0.3">
      <c r="A1239" s="1" t="s">
        <v>17</v>
      </c>
      <c r="B1239" s="1" t="s">
        <v>18</v>
      </c>
      <c r="C1239" s="1" t="s">
        <v>151</v>
      </c>
      <c r="D1239" s="1" t="s">
        <v>852</v>
      </c>
      <c r="E1239" s="1" t="s">
        <v>2812</v>
      </c>
      <c r="F1239" s="1" t="s">
        <v>2813</v>
      </c>
      <c r="G1239" s="1" t="s">
        <v>36</v>
      </c>
      <c r="H1239" s="1" t="s">
        <v>29</v>
      </c>
      <c r="I1239" s="1" t="str">
        <f ca="1">IFERROR(__xludf.DUMMYFUNCTION("GOOGLETRANSLATE(F1239, ""auto"", ""en"")
"),"We bought it from the M-video online store for a promotion - We exchanged the old one for a new one (the old machine was broken). Delivery was a day later, everything was on time. But the connection was only a week later. However, the master arrived even "&amp;"ahead of time, all the work was done in 30 minutes. I can say about the machine that everything washes perfectly even for 29 minutes. when it is pressed, the sound is like that of an airplane taking off/landing. The time shown by the machine coincides wit"&amp;"h the real one. Tested in all modes, everything works. For that kind of money I recommend it!")</f>
        <v>We bought it from the M-video online store for a promotion - We exchanged the old one for a new one (the old machine was broken). Delivery was a day later, everything was on time. But the connection was only a week later. However, the master arrived even ahead of time, all the work was done in 30 minutes. I can say about the machine that everything washes perfectly even for 29 minutes. when it is pressed, the sound is like that of an airplane taking off/landing. The time shown by the machine coincides with the real one. Tested in all modes, everything works. For that kind of money I recommend it!</v>
      </c>
    </row>
    <row r="1240" spans="1:9" x14ac:dyDescent="0.3">
      <c r="A1240" s="1" t="s">
        <v>37</v>
      </c>
      <c r="B1240" s="1" t="s">
        <v>38</v>
      </c>
      <c r="C1240" s="1" t="s">
        <v>39</v>
      </c>
      <c r="D1240" s="1" t="s">
        <v>2814</v>
      </c>
      <c r="E1240" s="1" t="s">
        <v>2815</v>
      </c>
      <c r="F1240" s="1" t="s">
        <v>2816</v>
      </c>
      <c r="G1240" s="1" t="s">
        <v>36</v>
      </c>
      <c r="H1240" s="1" t="s">
        <v>29</v>
      </c>
      <c r="I1240" s="1" t="str">
        <f ca="1">IFERROR(__xludf.DUMMYFUNCTION("GOOGLETRANSLATE(F1240, ""auto"", ""en"")
"),"I surfed the forums and looked for reviews. I bought this phone after two weeks of “rape” of the Internet. As I thought, the phone turned out to be of extremely high quality. True, the camera is worthy of its 3.2 MPix only under good shooting conditions. "&amp;"The video shooting was absolutely amazing - 30 frames per second and without a single stupid thing!!! I got used to the buttons very quickly. rubber battery. the sound is great. in the hand like a glove. It’s a pity that the functions in the original firm"&amp;"ware were reduced: for example, you can’t set the display fade-out time, etc. in general the phone is SUGYO!!!")</f>
        <v>I surfed the forums and looked for reviews. I bought this phone after two weeks of “rape” of the Internet. As I thought, the phone turned out to be of extremely high quality. True, the camera is worthy of its 3.2 MPix only under good shooting conditions. The video shooting was absolutely amazing - 30 frames per second and without a single stupid thing!!! I got used to the buttons very quickly. rubber battery. the sound is great. in the hand like a glove. It’s a pity that the functions in the original firmware were reduced: for example, you can’t set the display fade-out time, etc. in general the phone is SUGYO!!!</v>
      </c>
    </row>
    <row r="1241" spans="1:9" x14ac:dyDescent="0.3">
      <c r="A1241" s="1" t="s">
        <v>30</v>
      </c>
      <c r="B1241" s="1" t="s">
        <v>31</v>
      </c>
      <c r="C1241" s="1" t="s">
        <v>32</v>
      </c>
      <c r="D1241" s="1" t="s">
        <v>1008</v>
      </c>
      <c r="E1241" s="1" t="s">
        <v>1494</v>
      </c>
      <c r="F1241" s="1" t="s">
        <v>2817</v>
      </c>
      <c r="G1241" s="1" t="s">
        <v>36</v>
      </c>
      <c r="H1241" s="1" t="s">
        <v>29</v>
      </c>
      <c r="I1241" s="1" t="str">
        <f ca="1">IFERROR(__xludf.DUMMYFUNCTION("GOOGLETRANSLATE(F1241, ""auto"", ""en"")
"),"Anyone who has a problem with freezes, try opening the case and just pull out the hard drive and drive from one sat socket and plug it into another, I suffered for half a year, bought a terabyte hard drive, opened the case, and poked it with cables and fo"&amp;"r 1.5 months it didn’t hang at all, then I completely disassembled it for parts. Under warranty, opening the warranty itself does not invalidate the warranty, the main thing is not to create mechanical defects inside and that’s all!!! Maybe it will help s"&amp;"omeone.")</f>
        <v>Anyone who has a problem with freezes, try opening the case and just pull out the hard drive and drive from one sat socket and plug it into another, I suffered for half a year, bought a terabyte hard drive, opened the case, and poked it with cables and for 1.5 months it didn’t hang at all, then I completely disassembled it for parts. Under warranty, opening the warranty itself does not invalidate the warranty, the main thing is not to create mechanical defects inside and that’s all!!! Maybe it will help someone.</v>
      </c>
    </row>
    <row r="1242" spans="1:9" x14ac:dyDescent="0.3">
      <c r="A1242" s="1" t="s">
        <v>211</v>
      </c>
      <c r="B1242" s="1" t="s">
        <v>2818</v>
      </c>
      <c r="C1242" s="1" t="s">
        <v>213</v>
      </c>
      <c r="D1242" s="1" t="s">
        <v>228</v>
      </c>
      <c r="E1242" s="1" t="s">
        <v>2819</v>
      </c>
      <c r="F1242" s="1" t="s">
        <v>2820</v>
      </c>
      <c r="G1242" s="1" t="s">
        <v>36</v>
      </c>
      <c r="H1242" s="1" t="s">
        <v>29</v>
      </c>
      <c r="I1242" s="1" t="str">
        <f ca="1">IFERROR(__xludf.DUMMYFUNCTION("GOOGLETRANSLATE(F1242, ""auto"", ""en"")
"),"Great liquid! The razor is always like new! If only they could come up with some new smells, I'm tired of the lemon one.")</f>
        <v>Great liquid! The razor is always like new! If only they could come up with some new smells, I'm tired of the lemon one.</v>
      </c>
    </row>
    <row r="1243" spans="1:9" x14ac:dyDescent="0.3">
      <c r="A1243" s="1" t="s">
        <v>67</v>
      </c>
      <c r="B1243" s="1" t="s">
        <v>68</v>
      </c>
      <c r="C1243" s="1" t="s">
        <v>185</v>
      </c>
      <c r="D1243" s="1" t="s">
        <v>232</v>
      </c>
      <c r="E1243" s="1" t="s">
        <v>2135</v>
      </c>
      <c r="F1243" s="1" t="s">
        <v>2821</v>
      </c>
      <c r="G1243" s="1" t="s">
        <v>28</v>
      </c>
      <c r="H1243" s="1" t="s">
        <v>29</v>
      </c>
      <c r="I1243" s="1" t="str">
        <f ca="1">IFERROR(__xludf.DUMMYFUNCTION("GOOGLETRANSLATE(F1243, ""auto"", ""en"")
"),"Cool iron, or rather steam generator. The water lasts for a long time, the steam is very powerful. I advise everyone, a smart choice.")</f>
        <v>Cool iron, or rather steam generator. The water lasts for a long time, the steam is very powerful. I advise everyone, a smart choice.</v>
      </c>
    </row>
    <row r="1244" spans="1:9" x14ac:dyDescent="0.3">
      <c r="A1244" s="1" t="s">
        <v>37</v>
      </c>
      <c r="B1244" s="1" t="s">
        <v>536</v>
      </c>
      <c r="C1244" s="1" t="s">
        <v>32</v>
      </c>
      <c r="D1244" s="1" t="s">
        <v>411</v>
      </c>
      <c r="E1244" s="1" t="s">
        <v>2432</v>
      </c>
      <c r="F1244" s="1" t="s">
        <v>2822</v>
      </c>
      <c r="G1244" s="1" t="s">
        <v>36</v>
      </c>
      <c r="H1244" s="1" t="s">
        <v>29</v>
      </c>
      <c r="I1244" s="1" t="str">
        <f ca="1">IFERROR(__xludf.DUMMYFUNCTION("GOOGLETRANSLATE(F1244, ""auto"", ""en"")
"),"I was looking for a new phone and came across this communicator, and I liked the shape, thinness, design, the fact that everything is touch-sensitive. There seem to be no buttons on the front. I read the characteristics and was very attracted. And the pri"&amp;"ce is not astronomical, compared to the Apple3G and Apple3GS. I noticed a lot of similarities with this device with the Apple3G. I advise you to buy the Acer Liquid S100 than the Apple3G. Cheaper, and a lot in common. The same thing in short. So I decided"&amp;" to save money for it. And while I’m suffering with the old buggy phone. I expect and really hope that the cost of this communicator will decrease by the time I save up for it. Acer makes excellent laptops and computers, I think that the phone They will d"&amp;"o the same quality and excellent work.")</f>
        <v>I was looking for a new phone and came across this communicator, and I liked the shape, thinness, design, the fact that everything is touch-sensitive. There seem to be no buttons on the front. I read the characteristics and was very attracted. And the price is not astronomical, compared to the Apple3G and Apple3GS. I noticed a lot of similarities with this device with the Apple3G. I advise you to buy the Acer Liquid S100 than the Apple3G. Cheaper, and a lot in common. The same thing in short. So I decided to save money for it. And while I’m suffering with the old buggy phone. I expect and really hope that the cost of this communicator will decrease by the time I save up for it. Acer makes excellent laptops and computers, I think that the phone They will do the same quality and excellent work.</v>
      </c>
    </row>
    <row r="1245" spans="1:9" x14ac:dyDescent="0.3">
      <c r="A1245" s="1" t="s">
        <v>17</v>
      </c>
      <c r="B1245" s="1" t="s">
        <v>18</v>
      </c>
      <c r="C1245" s="1" t="s">
        <v>290</v>
      </c>
      <c r="D1245" s="1" t="s">
        <v>896</v>
      </c>
      <c r="E1245" s="1" t="s">
        <v>2176</v>
      </c>
      <c r="F1245" s="1" t="s">
        <v>2823</v>
      </c>
      <c r="G1245" s="1" t="s">
        <v>28</v>
      </c>
      <c r="H1245" s="1" t="s">
        <v>29</v>
      </c>
      <c r="I1245" s="1" t="str">
        <f ca="1">IFERROR(__xludf.DUMMYFUNCTION("GOOGLETRANSLATE(F1245, ""auto"", ""en"")
"),"Excellent value for money!!!")</f>
        <v>Excellent value for money!!!</v>
      </c>
    </row>
    <row r="1246" spans="1:9" x14ac:dyDescent="0.3">
      <c r="A1246" s="1" t="s">
        <v>149</v>
      </c>
      <c r="B1246" s="1" t="s">
        <v>155</v>
      </c>
      <c r="C1246" s="1" t="s">
        <v>151</v>
      </c>
      <c r="D1246" s="1" t="s">
        <v>2096</v>
      </c>
      <c r="E1246" s="1" t="s">
        <v>2824</v>
      </c>
      <c r="F1246" s="1" t="s">
        <v>2825</v>
      </c>
      <c r="G1246" s="1" t="s">
        <v>36</v>
      </c>
      <c r="H1246" s="1" t="s">
        <v>29</v>
      </c>
      <c r="I1246" s="1" t="str">
        <f ca="1">IFERROR(__xludf.DUMMYFUNCTION("GOOGLETRANSLATE(F1246, ""auto"", ""en"")
"),"We liked that it just didn't suffer during the renovation. My husband vacuumed everything with it and came across stones and dust and nails. Very powerful, pulls everything... It’s already 3 years old, works great. Someone writes there that you need to cl"&amp;"ean it often, nothing like that, we cleaned it as it became clogged, washed it, dried it and everything was ok.")</f>
        <v>We liked that it just didn't suffer during the renovation. My husband vacuumed everything with it and came across stones and dust and nails. Very powerful, pulls everything... It’s already 3 years old, works great. Someone writes there that you need to clean it often, nothing like that, we cleaned it as it became clogged, washed it, dried it and everything was ok.</v>
      </c>
    </row>
    <row r="1247" spans="1:9" x14ac:dyDescent="0.3">
      <c r="A1247" s="1" t="s">
        <v>451</v>
      </c>
      <c r="B1247" s="1" t="s">
        <v>452</v>
      </c>
      <c r="C1247" s="1" t="s">
        <v>710</v>
      </c>
      <c r="D1247" s="1" t="s">
        <v>2826</v>
      </c>
      <c r="E1247" s="1" t="s">
        <v>2827</v>
      </c>
      <c r="F1247" s="1" t="s">
        <v>2828</v>
      </c>
      <c r="G1247" s="1" t="s">
        <v>36</v>
      </c>
      <c r="H1247" s="1" t="s">
        <v>29</v>
      </c>
      <c r="I1247" s="1" t="str">
        <f ca="1">IFERROR(__xludf.DUMMYFUNCTION("GOOGLETRANSLATE(F1247, ""auto"", ""en"")
"),"The main advantage is the handle, which is very convenient to use. I also liked the container. In a small machine, part of the cut fibers remains in the body, and part in the container, but in this model the bulk of the fibers goes into the container, whi"&amp;"ch makes it easier to clean. The machine runs on batteries and they last for 2-3 uses, but since I use lithium batteries that can be recharged, I don’t consider this a disadvantage.")</f>
        <v>The main advantage is the handle, which is very convenient to use. I also liked the container. In a small machine, part of the cut fibers remains in the body, and part in the container, but in this model the bulk of the fibers goes into the container, which makes it easier to clean. The machine runs on batteries and they last for 2-3 uses, but since I use lithium batteries that can be recharged, I don’t consider this a disadvantage.</v>
      </c>
    </row>
    <row r="1248" spans="1:9" x14ac:dyDescent="0.3">
      <c r="A1248" s="1" t="s">
        <v>206</v>
      </c>
      <c r="B1248" s="1" t="s">
        <v>2026</v>
      </c>
      <c r="C1248" s="1" t="s">
        <v>262</v>
      </c>
      <c r="D1248" s="1" t="s">
        <v>171</v>
      </c>
      <c r="E1248" s="1" t="s">
        <v>2829</v>
      </c>
      <c r="F1248" s="1" t="s">
        <v>2830</v>
      </c>
      <c r="G1248" s="1" t="s">
        <v>36</v>
      </c>
      <c r="H1248" s="1" t="s">
        <v>29</v>
      </c>
      <c r="I1248" s="1" t="str">
        <f ca="1">IFERROR(__xludf.DUMMYFUNCTION("GOOGLETRANSLATE(F1248, ""auto"", ""en"")
"),"The radio is great. There is ONLY a question.. How to switch folders?")</f>
        <v>The radio is great. There is ONLY a question.. How to switch folders?</v>
      </c>
    </row>
    <row r="1249" spans="1:9" x14ac:dyDescent="0.3">
      <c r="A1249" s="1" t="s">
        <v>211</v>
      </c>
      <c r="B1249" s="1" t="s">
        <v>789</v>
      </c>
      <c r="C1249" s="1" t="s">
        <v>69</v>
      </c>
      <c r="D1249" s="1" t="s">
        <v>1289</v>
      </c>
      <c r="E1249" s="1" t="s">
        <v>2611</v>
      </c>
      <c r="F1249" s="1" t="s">
        <v>2831</v>
      </c>
      <c r="G1249" s="1" t="s">
        <v>36</v>
      </c>
      <c r="H1249" s="1" t="s">
        <v>29</v>
      </c>
      <c r="I1249" s="1" t="str">
        <f ca="1">IFERROR(__xludf.DUMMYFUNCTION("GOOGLETRANSLATE(F1249, ""auto"", ""en"")
"),"I bought a baby monitor, everything works perfectly, I can hear the baby, nothing breaks, in a word, I’m happy.  Thank you")</f>
        <v>I bought a baby monitor, everything works perfectly, I can hear the baby, nothing breaks, in a word, I’m happy.  Thank you</v>
      </c>
    </row>
    <row r="1250" spans="1:9" x14ac:dyDescent="0.3">
      <c r="A1250" s="1" t="s">
        <v>169</v>
      </c>
      <c r="B1250" s="1" t="s">
        <v>170</v>
      </c>
      <c r="C1250" s="1" t="s">
        <v>193</v>
      </c>
      <c r="D1250" s="1" t="s">
        <v>139</v>
      </c>
      <c r="E1250" s="1" t="s">
        <v>427</v>
      </c>
      <c r="F1250" s="1" t="s">
        <v>2832</v>
      </c>
      <c r="G1250" s="1" t="s">
        <v>36</v>
      </c>
      <c r="H1250" s="1" t="s">
        <v>29</v>
      </c>
      <c r="I1250" s="1" t="str">
        <f ca="1">IFERROR(__xludf.DUMMYFUNCTION("GOOGLETRANSLATE(F1250, ""auto"", ""en"")
"),"I bought it recently, I’m very pleased, the sound is clear, the bass is spot on. I listen to it on my iPhone. I recommend it to anyone who needs inexpensive and high-quality headphones.")</f>
        <v>I bought it recently, I’m very pleased, the sound is clear, the bass is spot on. I listen to it on my iPhone. I recommend it to anyone who needs inexpensive and high-quality headphones.</v>
      </c>
    </row>
    <row r="1251" spans="1:9" x14ac:dyDescent="0.3">
      <c r="A1251" s="1" t="s">
        <v>105</v>
      </c>
      <c r="B1251" s="1" t="s">
        <v>106</v>
      </c>
      <c r="C1251" s="1" t="s">
        <v>97</v>
      </c>
      <c r="D1251" s="1" t="s">
        <v>2833</v>
      </c>
      <c r="E1251" s="1" t="s">
        <v>1481</v>
      </c>
      <c r="F1251" s="1" t="s">
        <v>2834</v>
      </c>
      <c r="G1251" s="1" t="s">
        <v>36</v>
      </c>
      <c r="H1251" s="1" t="s">
        <v>29</v>
      </c>
      <c r="I1251" s="1" t="str">
        <f ca="1">IFERROR(__xludf.DUMMYFUNCTION("GOOGLETRANSLATE(F1251, ""auto"", ""en"")
"),"good player for the money. excellent battery, great sound, no major drawbacks.")</f>
        <v>good player for the money. excellent battery, great sound, no major drawbacks.</v>
      </c>
    </row>
    <row r="1252" spans="1:9" x14ac:dyDescent="0.3">
      <c r="A1252" s="1" t="s">
        <v>61</v>
      </c>
      <c r="B1252" s="1" t="s">
        <v>180</v>
      </c>
      <c r="C1252" s="1" t="s">
        <v>246</v>
      </c>
      <c r="D1252" s="1" t="s">
        <v>305</v>
      </c>
      <c r="E1252" s="1" t="s">
        <v>2835</v>
      </c>
      <c r="F1252" s="1" t="s">
        <v>2836</v>
      </c>
      <c r="G1252" s="1" t="s">
        <v>15</v>
      </c>
      <c r="H1252" s="1" t="s">
        <v>16</v>
      </c>
      <c r="I1252" s="1" t="str">
        <f ca="1">IFERROR(__xludf.DUMMYFUNCTION("GOOGLETRANSLATE(F1252, ""auto"", ""en"")
"),"Toasts are not cooked evenly.  Not the right tray size. If a slice of a standard loaf is placed vertically, it will not be completely fried; if horizontally, it is difficult to get it out of there, you have to pick it with a fork.")</f>
        <v>Toasts are not cooked evenly.  Not the right tray size. If a slice of a standard loaf is placed vertically, it will not be completely fried; if horizontally, it is difficult to get it out of there, you have to pick it with a fork.</v>
      </c>
    </row>
    <row r="1253" spans="1:9" x14ac:dyDescent="0.3">
      <c r="A1253" s="1" t="s">
        <v>369</v>
      </c>
      <c r="B1253" s="1" t="s">
        <v>370</v>
      </c>
      <c r="C1253" s="1" t="s">
        <v>290</v>
      </c>
      <c r="D1253" s="1" t="s">
        <v>2837</v>
      </c>
      <c r="E1253" s="1" t="s">
        <v>2838</v>
      </c>
      <c r="F1253" s="1" t="s">
        <v>2839</v>
      </c>
      <c r="G1253" s="1" t="s">
        <v>36</v>
      </c>
      <c r="H1253" s="1" t="s">
        <v>29</v>
      </c>
      <c r="I1253" s="1" t="str">
        <f ca="1">IFERROR(__xludf.DUMMYFUNCTION("GOOGLETRANSLATE(F1253, ""auto"", ""en"")
"),"We bought this electric stove for my grandmother. She had had the tiles since her youth, and she didn’t want to part with them. And so! The moment finally came when we installed the stove and grandma cooked a dish on it. Just by the sight of her smile, we"&amp;" realized that she liked our tiles)) Grandma was delighted with the slab and we were delighted with the fact that she liked everything. How can you not like it?) The stove is very ergonomic, comfortable and not at all bulky. Looks great in the kitchen) Th"&amp;"e controls are mechanical, they were chosen specifically to make it easy for grandma to set up. The inner surface is made of enamel, easy to clean. Our stove has four burners, and the hob is made of high-quality glass ceramics; it is generally easy to cle"&amp;"an it from dirt. The burners are located very conveniently; it can perfectly accommodate several pots and pans. It heats up very quickly and cooking food does not bring any inconvenience. It works perfectly!)) And the built-in functions of grilling, conve"&amp;"ction, etc. We haven’t tried it yet, but the casserole turned out just right!))) Granny is happy and we are sure that this tile will serve for a long time!")</f>
        <v>We bought this electric stove for my grandmother. She had had the tiles since her youth, and she didn’t want to part with them. And so! The moment finally came when we installed the stove and grandma cooked a dish on it. Just by the sight of her smile, we realized that she liked our tiles)) Grandma was delighted with the slab and we were delighted with the fact that she liked everything. How can you not like it?) The stove is very ergonomic, comfortable and not at all bulky. Looks great in the kitchen) The controls are mechanical, they were chosen specifically to make it easy for grandma to set up. The inner surface is made of enamel, easy to clean. Our stove has four burners, and the hob is made of high-quality glass ceramics; it is generally easy to clean it from dirt. The burners are located very conveniently; it can perfectly accommodate several pots and pans. It heats up very quickly and cooking food does not bring any inconvenience. It works perfectly!)) And the built-in functions of grilling, convection, etc. We haven’t tried it yet, but the casserole turned out just right!))) Granny is happy and we are sure that this tile will serve for a long time!</v>
      </c>
    </row>
    <row r="1254" spans="1:9" x14ac:dyDescent="0.3">
      <c r="A1254" s="1" t="s">
        <v>61</v>
      </c>
      <c r="B1254" s="1" t="s">
        <v>318</v>
      </c>
      <c r="C1254" s="1" t="s">
        <v>2840</v>
      </c>
      <c r="D1254" s="1" t="s">
        <v>247</v>
      </c>
      <c r="E1254" s="1" t="s">
        <v>2841</v>
      </c>
      <c r="F1254" s="1" t="s">
        <v>2842</v>
      </c>
      <c r="G1254" s="1" t="s">
        <v>28</v>
      </c>
      <c r="H1254" s="1" t="s">
        <v>29</v>
      </c>
      <c r="I1254" s="1" t="str">
        <f ca="1">IFERROR(__xludf.DUMMYFUNCTION("GOOGLETRANSLATE(F1254, ""auto"", ""en"")
"),"Served for three months without any complaints.  They say that the button is inconvenient, but I got used to it very quickly, it was convenient for me.  Yes, it doesn’t turn off immediately, I often turned it off myself. But the glass, lighting, everythin"&amp;"g is stylish and beautiful. I was very happy.    BUT! The window opened from the wind - the kettle was in small pieces; I spent half a day collecting small glass all over the kitchen. Glass is glass. Alas. In addition to all the advantages, this is a huge"&amp;" disadvantage.   Now I'm sitting and thinking about what to buy instead of this model.")</f>
        <v>Served for three months without any complaints.  They say that the button is inconvenient, but I got used to it very quickly, it was convenient for me.  Yes, it doesn’t turn off immediately, I often turned it off myself. But the glass, lighting, everything is stylish and beautiful. I was very happy.    BUT! The window opened from the wind - the kettle was in small pieces; I spent half a day collecting small glass all over the kitchen. Glass is glass. Alas. In addition to all the advantages, this is a huge disadvantage.   Now I'm sitting and thinking about what to buy instead of this model.</v>
      </c>
    </row>
    <row r="1255" spans="1:9" x14ac:dyDescent="0.3">
      <c r="A1255" s="1" t="s">
        <v>557</v>
      </c>
      <c r="B1255" s="1" t="s">
        <v>558</v>
      </c>
      <c r="C1255" s="1" t="s">
        <v>122</v>
      </c>
      <c r="D1255" s="1" t="s">
        <v>592</v>
      </c>
      <c r="E1255" s="1" t="s">
        <v>167</v>
      </c>
      <c r="F1255" s="1" t="s">
        <v>2843</v>
      </c>
      <c r="G1255" s="1" t="s">
        <v>36</v>
      </c>
      <c r="H1255" s="1" t="s">
        <v>29</v>
      </c>
      <c r="I1255" s="1" t="str">
        <f ca="1">IFERROR(__xludf.DUMMYFUNCTION("GOOGLETRANSLATE(F1255, ""auto"", ""en"")
"),"Comfortable, beautiful, loud in dynamics")</f>
        <v>Comfortable, beautiful, loud in dynamics</v>
      </c>
    </row>
    <row r="1256" spans="1:9" x14ac:dyDescent="0.3">
      <c r="A1256" s="1" t="s">
        <v>61</v>
      </c>
      <c r="B1256" s="1" t="s">
        <v>224</v>
      </c>
      <c r="C1256" s="1" t="s">
        <v>74</v>
      </c>
      <c r="D1256" s="1" t="s">
        <v>64</v>
      </c>
      <c r="E1256" s="1" t="s">
        <v>781</v>
      </c>
      <c r="F1256" s="1" t="s">
        <v>2844</v>
      </c>
      <c r="G1256" s="1" t="s">
        <v>49</v>
      </c>
      <c r="H1256" s="1" t="s">
        <v>16</v>
      </c>
      <c r="I1256" s="1" t="str">
        <f ca="1">IFERROR(__xludf.DUMMYFUNCTION("GOOGLETRANSLATE(F1256, ""auto"", ""en"")
"),"We bought this juicer yesterday. Now I regret that I didn’t read all the foreign information about all the models first. The cake is very moist, you can press it further with your hands. When squeezing the grapes, the seeds flew out of the loading hole li"&amp;"ke bullets.")</f>
        <v>We bought this juicer yesterday. Now I regret that I didn’t read all the foreign information about all the models first. The cake is very moist, you can press it further with your hands. When squeezing the grapes, the seeds flew out of the loading hole like bullets.</v>
      </c>
    </row>
    <row r="1257" spans="1:9" x14ac:dyDescent="0.3">
      <c r="A1257" s="1" t="s">
        <v>61</v>
      </c>
      <c r="B1257" s="1" t="s">
        <v>318</v>
      </c>
      <c r="C1257" s="1" t="s">
        <v>63</v>
      </c>
      <c r="D1257" s="1" t="s">
        <v>39</v>
      </c>
      <c r="E1257" s="1" t="s">
        <v>2845</v>
      </c>
      <c r="F1257" s="1" t="s">
        <v>2846</v>
      </c>
      <c r="G1257" s="1" t="s">
        <v>36</v>
      </c>
      <c r="H1257" s="1" t="s">
        <v>29</v>
      </c>
      <c r="I1257" s="1" t="str">
        <f ca="1">IFERROR(__xludf.DUMMYFUNCTION("GOOGLETRANSLATE(F1257, ""auto"", ""en"")
"),"I have been using this kettle for 7 years and am very pleased. It does not leak, as was written here. Mine is in red. Power 2.2 kW boils quickly. After five years of service, it began to work noisier. What a great teapot!")</f>
        <v>I have been using this kettle for 7 years and am very pleased. It does not leak, as was written here. Mine is in red. Power 2.2 kW boils quickly. After five years of service, it began to work noisier. What a great teapot!</v>
      </c>
    </row>
    <row r="1258" spans="1:9" x14ac:dyDescent="0.3">
      <c r="A1258" s="1" t="s">
        <v>9</v>
      </c>
      <c r="B1258" s="1" t="s">
        <v>10</v>
      </c>
      <c r="C1258" s="1" t="s">
        <v>466</v>
      </c>
      <c r="D1258" s="1" t="s">
        <v>64</v>
      </c>
      <c r="E1258" s="1" t="s">
        <v>2466</v>
      </c>
      <c r="F1258" s="1" t="s">
        <v>2847</v>
      </c>
      <c r="G1258" s="1" t="s">
        <v>49</v>
      </c>
      <c r="H1258" s="1" t="s">
        <v>16</v>
      </c>
      <c r="I1258" s="1" t="str">
        <f ca="1">IFERROR(__xludf.DUMMYFUNCTION("GOOGLETRANSLATE(F1258, ""auto"", ""en"")
"),"It’s been two years since I bought this miracle of technology, and now I’m looking for something else. The noise from the operation of the hood is incredible, and this is at first speed; if you turn on more powerful speeds, the noise increases significant"&amp;"ly. The smells still remain in the kitchen, it feels like she’s not drawing in anything at all. In general - a completely worthless product.")</f>
        <v>It’s been two years since I bought this miracle of technology, and now I’m looking for something else. The noise from the operation of the hood is incredible, and this is at first speed; if you turn on more powerful speeds, the noise increases significantly. The smells still remain in the kitchen, it feels like she’s not drawing in anything at all. In general - a completely worthless product.</v>
      </c>
    </row>
    <row r="1259" spans="1:9" x14ac:dyDescent="0.3">
      <c r="A1259" s="1" t="s">
        <v>9</v>
      </c>
      <c r="B1259" s="1" t="s">
        <v>10</v>
      </c>
      <c r="C1259" s="1" t="s">
        <v>407</v>
      </c>
      <c r="D1259" s="1" t="s">
        <v>127</v>
      </c>
      <c r="E1259" s="1" t="s">
        <v>309</v>
      </c>
      <c r="F1259" s="1" t="s">
        <v>2848</v>
      </c>
      <c r="G1259" s="1" t="s">
        <v>36</v>
      </c>
      <c r="H1259" s="1" t="s">
        <v>29</v>
      </c>
      <c r="I1259" s="1" t="str">
        <f ca="1">IFERROR(__xludf.DUMMYFUNCTION("GOOGLETRANSLATE(F1259, ""auto"", ""en"")
"),"This model has been working for 4 years, there are no complaints. A little noisy at maximum speed.")</f>
        <v>This model has been working for 4 years, there are no complaints. A little noisy at maximum speed.</v>
      </c>
    </row>
    <row r="1260" spans="1:9" x14ac:dyDescent="0.3">
      <c r="A1260" s="1" t="s">
        <v>624</v>
      </c>
      <c r="B1260" s="1" t="s">
        <v>625</v>
      </c>
      <c r="C1260" s="1" t="s">
        <v>479</v>
      </c>
      <c r="D1260" s="1" t="s">
        <v>203</v>
      </c>
      <c r="E1260" s="1" t="s">
        <v>1219</v>
      </c>
      <c r="F1260" s="1" t="s">
        <v>2849</v>
      </c>
      <c r="G1260" s="1" t="s">
        <v>36</v>
      </c>
      <c r="H1260" s="1" t="s">
        <v>29</v>
      </c>
      <c r="I1260" s="1" t="str">
        <f ca="1">IFERROR(__xludf.DUMMYFUNCTION("GOOGLETRANSLATE(F1260, ""auto"", ""en"")
"),"As far as I know, this game with Russian subtitles simply does not exist. However, the game is super, I bought it, played it, and am very pleased, this game is even cooler than GTA4.")</f>
        <v>As far as I know, this game with Russian subtitles simply does not exist. However, the game is super, I bought it, played it, and am very pleased, this game is even cooler than GTA4.</v>
      </c>
    </row>
    <row r="1261" spans="1:9" x14ac:dyDescent="0.3">
      <c r="A1261" s="1" t="s">
        <v>169</v>
      </c>
      <c r="B1261" s="1" t="s">
        <v>170</v>
      </c>
      <c r="C1261" s="1" t="s">
        <v>69</v>
      </c>
      <c r="D1261" s="1" t="s">
        <v>232</v>
      </c>
      <c r="E1261" s="1" t="s">
        <v>491</v>
      </c>
      <c r="F1261" s="1" t="s">
        <v>2850</v>
      </c>
      <c r="G1261" s="1" t="s">
        <v>36</v>
      </c>
      <c r="H1261" s="1" t="s">
        <v>29</v>
      </c>
      <c r="I1261" s="1" t="str">
        <f ca="1">IFERROR(__xludf.DUMMYFUNCTION("GOOGLETRANSLATE(F1261, ""auto"", ""en"")
"),"I recommend all the ears are just great for the money.")</f>
        <v>I recommend all the ears are just great for the money.</v>
      </c>
    </row>
    <row r="1262" spans="1:9" x14ac:dyDescent="0.3">
      <c r="A1262" s="1" t="s">
        <v>211</v>
      </c>
      <c r="B1262" s="1" t="s">
        <v>265</v>
      </c>
      <c r="C1262" s="1" t="s">
        <v>57</v>
      </c>
      <c r="D1262" s="1" t="s">
        <v>64</v>
      </c>
      <c r="E1262" s="1" t="s">
        <v>443</v>
      </c>
      <c r="F1262" s="1" t="s">
        <v>2851</v>
      </c>
      <c r="G1262" s="1" t="s">
        <v>49</v>
      </c>
      <c r="H1262" s="1" t="s">
        <v>16</v>
      </c>
      <c r="I1262" s="1" t="str">
        <f ca="1">IFERROR(__xludf.DUMMYFUNCTION("GOOGLETRANSLATE(F1262, ""auto"", ""en"")
"),"disgusting thing, doesn't cut hair at all. threw it away.")</f>
        <v>disgusting thing, doesn't cut hair at all. threw it away.</v>
      </c>
    </row>
    <row r="1263" spans="1:9" x14ac:dyDescent="0.3">
      <c r="A1263" s="1" t="s">
        <v>37</v>
      </c>
      <c r="B1263" s="1" t="s">
        <v>355</v>
      </c>
      <c r="C1263" s="1" t="s">
        <v>356</v>
      </c>
      <c r="D1263" s="1" t="s">
        <v>2610</v>
      </c>
      <c r="E1263" s="1" t="s">
        <v>1992</v>
      </c>
      <c r="F1263" s="1" t="s">
        <v>2852</v>
      </c>
      <c r="G1263" s="1" t="s">
        <v>36</v>
      </c>
      <c r="H1263" s="1" t="s">
        <v>29</v>
      </c>
      <c r="I1263" s="1" t="str">
        <f ca="1">IFERROR(__xludf.DUMMYFUNCTION("GOOGLETRANSLATE(F1263, ""auto"", ""en"")
"),"I recently bought this thing for myself, and I can confidently give it a five. I recommend it to everyone!!")</f>
        <v>I recently bought this thing for myself, and I can confidently give it a five. I recommend it to everyone!!</v>
      </c>
    </row>
    <row r="1264" spans="1:9" x14ac:dyDescent="0.3">
      <c r="A1264" s="1" t="s">
        <v>149</v>
      </c>
      <c r="B1264" s="1" t="s">
        <v>576</v>
      </c>
      <c r="C1264" s="1" t="s">
        <v>85</v>
      </c>
      <c r="D1264" s="1" t="s">
        <v>474</v>
      </c>
      <c r="E1264" s="1" t="s">
        <v>2853</v>
      </c>
      <c r="F1264" s="1" t="s">
        <v>2854</v>
      </c>
      <c r="G1264" s="1" t="s">
        <v>28</v>
      </c>
      <c r="H1264" s="1" t="s">
        <v>29</v>
      </c>
      <c r="I1264" s="1" t="str">
        <f ca="1">IFERROR(__xludf.DUMMYFUNCTION("GOOGLETRANSLATE(F1264, ""auto"", ""en"")
"),"The vacuum cleaner is good, only one minus is the dust collectors. When buying a vacuum cleaner, they convinced me that one bag is enough for several months, even if the apartment is very dirty. For me, with a small area that the vacuum cleaner cleans, th"&amp;"e bag is enough for 2 cleanings, then the red light comes on and the vacuum cleaner stops working normally until you change the bag. The light comes on when the bag is exactly half full.")</f>
        <v>The vacuum cleaner is good, only one minus is the dust collectors. When buying a vacuum cleaner, they convinced me that one bag is enough for several months, even if the apartment is very dirty. For me, with a small area that the vacuum cleaner cleans, the bag is enough for 2 cleanings, then the red light comes on and the vacuum cleaner stops working normally until you change the bag. The light comes on when the bag is exactly half full.</v>
      </c>
    </row>
    <row r="1265" spans="1:9" x14ac:dyDescent="0.3">
      <c r="A1265" s="1" t="s">
        <v>17</v>
      </c>
      <c r="B1265" s="1" t="s">
        <v>18</v>
      </c>
      <c r="C1265" s="1" t="s">
        <v>243</v>
      </c>
      <c r="D1265" s="1" t="s">
        <v>232</v>
      </c>
      <c r="E1265" s="1" t="s">
        <v>2855</v>
      </c>
      <c r="F1265" s="1" t="s">
        <v>2856</v>
      </c>
      <c r="G1265" s="1" t="s">
        <v>1580</v>
      </c>
      <c r="H1265" s="1" t="s">
        <v>29</v>
      </c>
      <c r="I1265" s="1" t="str">
        <f ca="1">IFERROR(__xludf.DUMMYFUNCTION("GOOGLETRANSLATE(F1265, ""auto"", ""en"")
"),"Cheap, compact, reliable.")</f>
        <v>Cheap, compact, reliable.</v>
      </c>
    </row>
    <row r="1266" spans="1:9" x14ac:dyDescent="0.3">
      <c r="A1266" s="1" t="s">
        <v>120</v>
      </c>
      <c r="B1266" s="1" t="s">
        <v>834</v>
      </c>
      <c r="C1266" s="1" t="s">
        <v>151</v>
      </c>
      <c r="D1266" s="1" t="s">
        <v>305</v>
      </c>
      <c r="E1266" s="1" t="s">
        <v>1406</v>
      </c>
      <c r="F1266" s="1" t="s">
        <v>2857</v>
      </c>
      <c r="G1266" s="1" t="s">
        <v>36</v>
      </c>
      <c r="H1266" s="1" t="s">
        <v>29</v>
      </c>
      <c r="I1266" s="1" t="str">
        <f ca="1">IFERROR(__xludf.DUMMYFUNCTION("GOOGLETRANSLATE(F1266, ""auto"", ""en"")
"),"I'm happy with the device. The only thing that irritates is that dust sticks to it very strongly - for 30 minutes, all polished surfaces are covered with a thin layer.")</f>
        <v>I'm happy with the device. The only thing that irritates is that dust sticks to it very strongly - for 30 minutes, all polished surfaces are covered with a thin layer.</v>
      </c>
    </row>
    <row r="1267" spans="1:9" x14ac:dyDescent="0.3">
      <c r="A1267" s="1" t="s">
        <v>61</v>
      </c>
      <c r="B1267" s="1" t="s">
        <v>318</v>
      </c>
      <c r="C1267" s="1" t="s">
        <v>85</v>
      </c>
      <c r="D1267" s="1" t="s">
        <v>75</v>
      </c>
      <c r="E1267" s="1" t="s">
        <v>1515</v>
      </c>
      <c r="F1267" s="1" t="s">
        <v>2858</v>
      </c>
      <c r="G1267" s="1" t="s">
        <v>36</v>
      </c>
      <c r="H1267" s="1" t="s">
        <v>29</v>
      </c>
      <c r="I1267" s="1" t="str">
        <f ca="1">IFERROR(__xludf.DUMMYFUNCTION("GOOGLETRANSLATE(F1267, ""auto"", ""en"")
"),"Quality, many years of work")</f>
        <v>Quality, many years of work</v>
      </c>
    </row>
    <row r="1268" spans="1:9" x14ac:dyDescent="0.3">
      <c r="A1268" s="1" t="s">
        <v>61</v>
      </c>
      <c r="B1268" s="1" t="s">
        <v>73</v>
      </c>
      <c r="C1268" s="1" t="s">
        <v>122</v>
      </c>
      <c r="D1268" s="1" t="s">
        <v>2859</v>
      </c>
      <c r="E1268" s="1" t="s">
        <v>128</v>
      </c>
      <c r="F1268" s="1" t="s">
        <v>2860</v>
      </c>
      <c r="G1268" s="1" t="s">
        <v>36</v>
      </c>
      <c r="H1268" s="1" t="s">
        <v>29</v>
      </c>
      <c r="I1268" s="1" t="str">
        <f ca="1">IFERROR(__xludf.DUMMYFUNCTION("GOOGLETRANSLATE(F1268, ""auto"", ""en"")
"),"Everything grinds in a frozen form, not straight from fishing!")</f>
        <v>Everything grinds in a frozen form, not straight from fishing!</v>
      </c>
    </row>
    <row r="1269" spans="1:9" x14ac:dyDescent="0.3">
      <c r="A1269" s="1" t="s">
        <v>206</v>
      </c>
      <c r="B1269" s="1" t="s">
        <v>207</v>
      </c>
      <c r="C1269" s="1" t="s">
        <v>262</v>
      </c>
      <c r="D1269" s="1" t="s">
        <v>139</v>
      </c>
      <c r="E1269" s="1" t="s">
        <v>2861</v>
      </c>
      <c r="F1269" s="1" t="s">
        <v>2862</v>
      </c>
      <c r="G1269" s="1" t="s">
        <v>36</v>
      </c>
      <c r="H1269" s="1" t="s">
        <v>29</v>
      </c>
      <c r="I1269" s="1" t="str">
        <f ca="1">IFERROR(__xludf.DUMMYFUNCTION("GOOGLETRANSLATE(F1269, ""auto"", ""en"")
"),"I bought the Prology 1250 auto equipment set (Sub.+Amp.+Prov.) about a year ago. I installed it myself in the trunk of a VAZ 2110 (luckily the wires are included). At first, of course, I let it play out, I didn’t push it to the max, then I gradually incre"&amp;"ased it. What can I say about the sensations: the subwoofer itself is capable of a lot, but the amplifier that comes with the kit does not allow it to fully open up. But for those who don’t need to “rock” the entire street, but just complement the picture"&amp;" with bottoms, this set is completely suitable. I would advise others to buy a stronger amplifier and use this one, for example, on speakers. I belong to the first category, so I didn’t buy anything additional.  In general, I achieved a sound of music tha"&amp;"t completely satisfied me, and the subwoofer played an important role here. For beginners, I recommend this kit, only the trunk needs to be sealed with ShVI, otherwise it will rattle and make a barrel-like sound. Happy shopping everyone!")</f>
        <v>I bought the Prology 1250 auto equipment set (Sub.+Amp.+Prov.) about a year ago. I installed it myself in the trunk of a VAZ 2110 (luckily the wires are included). At first, of course, I let it play out, I didn’t push it to the max, then I gradually increased it. What can I say about the sensations: the subwoofer itself is capable of a lot, but the amplifier that comes with the kit does not allow it to fully open up. But for those who don’t need to “rock” the entire street, but just complement the picture with bottoms, this set is completely suitable. I would advise others to buy a stronger amplifier and use this one, for example, on speakers. I belong to the first category, so I didn’t buy anything additional.  In general, I achieved a sound of music that completely satisfied me, and the subwoofer played an important role here. For beginners, I recommend this kit, only the trunk needs to be sealed with ShVI, otherwise it will rattle and make a barrel-like sound. Happy shopping everyone!</v>
      </c>
    </row>
    <row r="1270" spans="1:9" x14ac:dyDescent="0.3">
      <c r="A1270" s="1" t="s">
        <v>30</v>
      </c>
      <c r="B1270" s="1" t="s">
        <v>31</v>
      </c>
      <c r="C1270" s="1" t="s">
        <v>32</v>
      </c>
      <c r="D1270" s="1" t="s">
        <v>2863</v>
      </c>
      <c r="E1270" s="1" t="s">
        <v>540</v>
      </c>
      <c r="F1270" s="1" t="s">
        <v>2864</v>
      </c>
      <c r="G1270" s="1" t="s">
        <v>28</v>
      </c>
      <c r="H1270" s="1" t="s">
        <v>29</v>
      </c>
      <c r="I1270" s="1" t="str">
        <f ca="1">IFERROR(__xludf.DUMMYFUNCTION("GOOGLETRANSLATE(F1270, ""auto"", ""en"")
"),"Everything works great, but there is one problem - vista home basic. Terrible operating system. Instead, you need to install the normal 64-bit version.")</f>
        <v>Everything works great, but there is one problem - vista home basic. Terrible operating system. Instead, you need to install the normal 64-bit version.</v>
      </c>
    </row>
    <row r="1271" spans="1:9" x14ac:dyDescent="0.3">
      <c r="A1271" s="1" t="s">
        <v>43</v>
      </c>
      <c r="B1271" s="1" t="s">
        <v>502</v>
      </c>
      <c r="C1271" s="1" t="s">
        <v>459</v>
      </c>
      <c r="D1271" s="1" t="s">
        <v>2865</v>
      </c>
      <c r="E1271" s="1" t="s">
        <v>2866</v>
      </c>
      <c r="F1271" s="1" t="s">
        <v>2867</v>
      </c>
      <c r="G1271" s="1" t="s">
        <v>28</v>
      </c>
      <c r="H1271" s="1" t="s">
        <v>29</v>
      </c>
      <c r="I1271" s="1" t="str">
        <f ca="1">IFERROR(__xludf.DUMMYFUNCTION("GOOGLETRANSLATE(F1271, ""auto"", ""en"")
"),"A good air conditioner, I was surprised by the very quiet operation of both the outdoor unit and the indoor unit. Convenient control panel. The workmanship is good. On the outdoor unit, at the air intake point, an additional plastic grille is installed ov"&amp;"er the entire evaporator to prevent poplar fluff from getting in. I have not seen such a grille on other air conditioners. I can’t say anything about reliability since I purchased it recently.")</f>
        <v>A good air conditioner, I was surprised by the very quiet operation of both the outdoor unit and the indoor unit. Convenient control panel. The workmanship is good. On the outdoor unit, at the air intake point, an additional plastic grille is installed over the entire evaporator to prevent poplar fluff from getting in. I have not seen such a grille on other air conditioners. I can’t say anything about reliability since I purchased it recently.</v>
      </c>
    </row>
    <row r="1272" spans="1:9" x14ac:dyDescent="0.3">
      <c r="A1272" s="1" t="s">
        <v>9</v>
      </c>
      <c r="B1272" s="1" t="s">
        <v>10</v>
      </c>
      <c r="C1272" s="1" t="s">
        <v>11</v>
      </c>
      <c r="D1272" s="1" t="s">
        <v>2868</v>
      </c>
      <c r="E1272" s="1" t="s">
        <v>443</v>
      </c>
      <c r="F1272" s="1" t="s">
        <v>2869</v>
      </c>
      <c r="G1272" s="1" t="s">
        <v>36</v>
      </c>
      <c r="H1272" s="1" t="s">
        <v>29</v>
      </c>
      <c r="I1272" s="1" t="str">
        <f ca="1">IFERROR(__xludf.DUMMYFUNCTION("GOOGLETRANSLATE(F1272, ""auto"", ""en"")
"),"We are very pleased with this hood, we have had it for 3 years now. There are no complaints during operation, it pulls out instantly. We have a Spanish assembly, maybe that’s why there are no complaints. I recommend it to everyone.")</f>
        <v>We are very pleased with this hood, we have had it for 3 years now. There are no complaints during operation, it pulls out instantly. We have a Spanish assembly, maybe that’s why there are no complaints. I recommend it to everyone.</v>
      </c>
    </row>
    <row r="1273" spans="1:9" x14ac:dyDescent="0.3">
      <c r="A1273" s="1" t="s">
        <v>43</v>
      </c>
      <c r="B1273" s="1" t="s">
        <v>303</v>
      </c>
      <c r="C1273" s="1" t="s">
        <v>304</v>
      </c>
      <c r="D1273" s="1" t="s">
        <v>456</v>
      </c>
      <c r="E1273" s="1" t="s">
        <v>2870</v>
      </c>
      <c r="F1273" s="1" t="s">
        <v>2871</v>
      </c>
      <c r="G1273" s="1" t="s">
        <v>36</v>
      </c>
      <c r="H1273" s="1" t="s">
        <v>29</v>
      </c>
      <c r="I1273" s="1" t="str">
        <f ca="1">IFERROR(__xludf.DUMMYFUNCTION("GOOGLETRANSLATE(F1273, ""auto"", ""en"")
"),"Cheap and cheerful")</f>
        <v>Cheap and cheerful</v>
      </c>
    </row>
    <row r="1274" spans="1:9" x14ac:dyDescent="0.3">
      <c r="A1274" s="1" t="s">
        <v>211</v>
      </c>
      <c r="B1274" s="1" t="s">
        <v>212</v>
      </c>
      <c r="C1274" s="1" t="s">
        <v>69</v>
      </c>
      <c r="D1274" s="1" t="s">
        <v>295</v>
      </c>
      <c r="E1274" s="1" t="s">
        <v>2482</v>
      </c>
      <c r="F1274" s="1" t="s">
        <v>2872</v>
      </c>
      <c r="G1274" s="1" t="s">
        <v>36</v>
      </c>
      <c r="H1274" s="1" t="s">
        <v>29</v>
      </c>
      <c r="I1274" s="1" t="str">
        <f ca="1">IFERROR(__xludf.DUMMYFUNCTION("GOOGLETRANSLATE(F1274, ""auto"", ""en"")
"),"Very good quality! And in general, Philips is my favorite brand! easy to use, not heavy, fits perfectly in the hand! not noisy, which is very important for me (I dried my hair while the baby was sleeping)! It doesn’t dry out and what I like is that it has"&amp;" ionization which makes the hair have a beautiful and healthy shine!")</f>
        <v>Very good quality! And in general, Philips is my favorite brand! easy to use, not heavy, fits perfectly in the hand! not noisy, which is very important for me (I dried my hair while the baby was sleeping)! It doesn’t dry out and what I like is that it has ionization which makes the hair have a beautiful and healthy shine!</v>
      </c>
    </row>
    <row r="1275" spans="1:9" x14ac:dyDescent="0.3">
      <c r="A1275" s="1" t="s">
        <v>624</v>
      </c>
      <c r="B1275" s="1" t="s">
        <v>881</v>
      </c>
      <c r="C1275" s="1" t="s">
        <v>479</v>
      </c>
      <c r="D1275" s="1" t="s">
        <v>2873</v>
      </c>
      <c r="E1275" s="1" t="s">
        <v>2874</v>
      </c>
      <c r="F1275" s="1" t="s">
        <v>2875</v>
      </c>
      <c r="G1275" s="1" t="s">
        <v>36</v>
      </c>
      <c r="H1275" s="1" t="s">
        <v>29</v>
      </c>
      <c r="I1275" s="1" t="str">
        <f ca="1">IFERROR(__xludf.DUMMYFUNCTION("GOOGLETRANSLATE(F1275, ""auto"", ""en"")
"),"And the game is in Russian?")</f>
        <v>And the game is in Russian?</v>
      </c>
    </row>
    <row r="1276" spans="1:9" x14ac:dyDescent="0.3">
      <c r="A1276" s="1" t="s">
        <v>211</v>
      </c>
      <c r="B1276" s="1" t="s">
        <v>265</v>
      </c>
      <c r="C1276" s="1" t="s">
        <v>122</v>
      </c>
      <c r="D1276" s="1" t="s">
        <v>545</v>
      </c>
      <c r="E1276" s="1" t="s">
        <v>2876</v>
      </c>
      <c r="F1276" s="1" t="s">
        <v>2877</v>
      </c>
      <c r="G1276" s="1" t="s">
        <v>49</v>
      </c>
      <c r="H1276" s="1" t="s">
        <v>16</v>
      </c>
      <c r="I1276" s="1" t="str">
        <f ca="1">IFERROR(__xludf.DUMMYFUNCTION("GOOGLETRANSLATE(F1276, ""auto"", ""en"")
"),"don’t even buy it, all the hair remains in it")</f>
        <v>don’t even buy it, all the hair remains in it</v>
      </c>
    </row>
    <row r="1277" spans="1:9" x14ac:dyDescent="0.3">
      <c r="A1277" s="1" t="s">
        <v>30</v>
      </c>
      <c r="B1277" s="1" t="s">
        <v>50</v>
      </c>
      <c r="C1277" s="1" t="s">
        <v>51</v>
      </c>
      <c r="D1277" s="1" t="s">
        <v>2878</v>
      </c>
      <c r="E1277" s="1" t="s">
        <v>2502</v>
      </c>
      <c r="F1277" s="1" t="s">
        <v>2879</v>
      </c>
      <c r="G1277" s="1" t="s">
        <v>36</v>
      </c>
      <c r="H1277" s="1" t="s">
        <v>29</v>
      </c>
      <c r="I1277" s="1" t="str">
        <f ca="1">IFERROR(__xludf.DUMMYFUNCTION("GOOGLETRANSLATE(F1277, ""auto"", ""en"")
"),"The laptop itself is stupid, and sometimes there are problems, and that’s not without it. Tell me, does anyone know why the video adapter itself is not recognized in the readm file? Thanks in advance.")</f>
        <v>The laptop itself is stupid, and sometimes there are problems, and that’s not without it. Tell me, does anyone know why the video adapter itself is not recognized in the readm file? Thanks in advance.</v>
      </c>
    </row>
    <row r="1278" spans="1:9" x14ac:dyDescent="0.3">
      <c r="A1278" s="1" t="s">
        <v>61</v>
      </c>
      <c r="B1278" s="1" t="s">
        <v>180</v>
      </c>
      <c r="C1278" s="1" t="s">
        <v>63</v>
      </c>
      <c r="D1278" s="1" t="s">
        <v>52</v>
      </c>
      <c r="E1278" s="1" t="s">
        <v>2880</v>
      </c>
      <c r="F1278" s="1" t="s">
        <v>2881</v>
      </c>
      <c r="G1278" s="1" t="s">
        <v>36</v>
      </c>
      <c r="H1278" s="1" t="s">
        <v>29</v>
      </c>
      <c r="I1278" s="1" t="str">
        <f ca="1">IFERROR(__xludf.DUMMYFUNCTION("GOOGLETRANSLATE(F1278, ""auto"", ""en"")
"),"It took me a long time to choose, we've been using it for a week and so far we're completely satisfied.")</f>
        <v>It took me a long time to choose, we've been using it for a week and so far we're completely satisfied.</v>
      </c>
    </row>
    <row r="1279" spans="1:9" x14ac:dyDescent="0.3">
      <c r="A1279" s="1" t="s">
        <v>61</v>
      </c>
      <c r="B1279" s="1" t="s">
        <v>73</v>
      </c>
      <c r="C1279" s="1" t="s">
        <v>74</v>
      </c>
      <c r="D1279" s="1" t="s">
        <v>39</v>
      </c>
      <c r="E1279" s="1" t="s">
        <v>2882</v>
      </c>
      <c r="F1279" s="1" t="s">
        <v>2883</v>
      </c>
      <c r="G1279" s="1" t="s">
        <v>36</v>
      </c>
      <c r="H1279" s="1" t="s">
        <v>29</v>
      </c>
      <c r="I1279" s="1" t="str">
        <f ca="1">IFERROR(__xludf.DUMMYFUNCTION("GOOGLETRANSLATE(F1279, ""auto"", ""en"")
"),"A meat grinder is a necessary kitchen appliance and a good helper for women and men. It took me a very long time to choose which meat grinder to buy, because if you buy it, then buy a worthwhile equipment. I bought my mother a Moulinex meat grinder 2 mont"&amp;"hs ago, she likes everything. The thing is very good. The meat grinder is simply super, and thanks to the sales consultants for the advice.")</f>
        <v>A meat grinder is a necessary kitchen appliance and a good helper for women and men. It took me a very long time to choose which meat grinder to buy, because if you buy it, then buy a worthwhile equipment. I bought my mother a Moulinex meat grinder 2 months ago, she likes everything. The thing is very good. The meat grinder is simply super, and thanks to the sales consultants for the advice.</v>
      </c>
    </row>
    <row r="1280" spans="1:9" x14ac:dyDescent="0.3">
      <c r="A1280" s="1" t="s">
        <v>89</v>
      </c>
      <c r="B1280" s="1" t="s">
        <v>231</v>
      </c>
      <c r="C1280" s="1" t="s">
        <v>185</v>
      </c>
      <c r="D1280" s="1" t="s">
        <v>139</v>
      </c>
      <c r="E1280" s="1" t="s">
        <v>2880</v>
      </c>
      <c r="F1280" s="1" t="s">
        <v>2884</v>
      </c>
      <c r="G1280" s="1" t="s">
        <v>36</v>
      </c>
      <c r="H1280" s="1" t="s">
        <v>29</v>
      </c>
      <c r="I1280" s="1" t="str">
        <f ca="1">IFERROR(__xludf.DUMMYFUNCTION("GOOGLETRANSLATE(F1280, ""auto"", ""en"")
"),"I've been choosing a car for a long time and reading reviews... I'm 100% happy with the car.   The coffee is great. Everything works. The cappuccino turns out great.   I compared it with Smeg, which costs 10 times more... I didn’t notice any differences i"&amp;"n taste. (cooked the same grains)")</f>
        <v>I've been choosing a car for a long time and reading reviews... I'm 100% happy with the car.   The coffee is great. Everything works. The cappuccino turns out great.   I compared it with Smeg, which costs 10 times more... I didn’t notice any differences in taste. (cooked the same grains)</v>
      </c>
    </row>
    <row r="1281" spans="1:9" x14ac:dyDescent="0.3">
      <c r="A1281" s="1" t="s">
        <v>89</v>
      </c>
      <c r="B1281" s="1" t="s">
        <v>1106</v>
      </c>
      <c r="C1281" s="1" t="s">
        <v>74</v>
      </c>
      <c r="D1281" s="1" t="s">
        <v>2764</v>
      </c>
      <c r="E1281" s="1" t="s">
        <v>1950</v>
      </c>
      <c r="F1281" s="1" t="s">
        <v>2885</v>
      </c>
      <c r="G1281" s="1" t="s">
        <v>28</v>
      </c>
      <c r="H1281" s="1" t="s">
        <v>29</v>
      </c>
      <c r="I1281" s="1" t="str">
        <f ca="1">IFERROR(__xludf.DUMMYFUNCTION("GOOGLETRANSLATE(F1281, ""auto"", ""en"")
"),"Good, fast, light, almost silent, easy to clean. It doesn’t turn off on its own, which is the only downside, but it’s not scary. There is nothing complicated about pressing the switch after cooking.")</f>
        <v>Good, fast, light, almost silent, easy to clean. It doesn’t turn off on its own, which is the only downside, but it’s not scary. There is nothing complicated about pressing the switch after cooking.</v>
      </c>
    </row>
    <row r="1282" spans="1:9" x14ac:dyDescent="0.3">
      <c r="A1282" s="1" t="s">
        <v>30</v>
      </c>
      <c r="B1282" s="1" t="s">
        <v>50</v>
      </c>
      <c r="C1282" s="1" t="s">
        <v>1386</v>
      </c>
      <c r="D1282" s="1" t="s">
        <v>2886</v>
      </c>
      <c r="E1282" s="1" t="s">
        <v>2887</v>
      </c>
      <c r="F1282" s="1" t="s">
        <v>2888</v>
      </c>
      <c r="G1282" s="1" t="s">
        <v>28</v>
      </c>
      <c r="H1282" s="1" t="s">
        <v>29</v>
      </c>
      <c r="I1282" s="1" t="str">
        <f ca="1">IFERROR(__xludf.DUMMYFUNCTION("GOOGLETRANSLATE(F1282, ""auto"", ""en"")
"),"In principle, this model EM250 copes with its task (cinema Internet and music. In principle, I don’t play games myself. But I think for the money, in principle, it’s a normal machine. I use it myself. The only thing that confuses me is that the machine it"&amp;"self changes the multiplier on the processor (it’s not dual-core!!! just with hypertrading) and there’s one memory slot and not two as indicated in the specifications. In general, if you want a mini computer, then this model is what you need. especially c"&amp;"onvenient in nature... the battery lasts about 3-4 hours.")</f>
        <v>In principle, this model EM250 copes with its task (cinema Internet and music. In principle, I don’t play games myself. But I think for the money, in principle, it’s a normal machine. I use it myself. The only thing that confuses me is that the machine itself changes the multiplier on the processor (it’s not dual-core!!! just with hypertrading) and there’s one memory slot and not two as indicated in the specifications. In general, if you want a mini computer, then this model is what you need. especially convenient in nature... the battery lasts about 3-4 hours.</v>
      </c>
    </row>
    <row r="1283" spans="1:9" x14ac:dyDescent="0.3">
      <c r="A1283" s="1" t="s">
        <v>496</v>
      </c>
      <c r="B1283" s="1" t="s">
        <v>497</v>
      </c>
      <c r="C1283" s="1" t="s">
        <v>487</v>
      </c>
      <c r="D1283" s="1" t="s">
        <v>916</v>
      </c>
      <c r="E1283" s="1" t="s">
        <v>2677</v>
      </c>
      <c r="F1283" s="1" t="s">
        <v>2889</v>
      </c>
      <c r="G1283" s="1" t="s">
        <v>36</v>
      </c>
      <c r="H1283" s="1" t="s">
        <v>29</v>
      </c>
      <c r="I1283" s="1" t="str">
        <f ca="1">IFERROR(__xludf.DUMMYFUNCTION("GOOGLETRANSLATE(F1283, ""auto"", ""en"")
"),"Seven is, in fact, not the seventh Windows released by Microsoft. If you start counting from version 3, in which a graphical interface has not yet been implemented. Of course, the seventh version is much better than whist. It consumes fewer resources, but"&amp;" it still consumes. The interface was beautifully made. It works much more stable than Vista. The work with network equipment was done very well, it will find everything for you and set it up better than ever.   As for programmers, I would still recommend"&amp;" the dear XP or 2003, no problems and very high stability!!!")</f>
        <v>Seven is, in fact, not the seventh Windows released by Microsoft. If you start counting from version 3, in which a graphical interface has not yet been implemented. Of course, the seventh version is much better than whist. It consumes fewer resources, but it still consumes. The interface was beautifully made. It works much more stable than Vista. The work with network equipment was done very well, it will find everything for you and set it up better than ever.   As for programmers, I would still recommend the dear XP or 2003, no problems and very high stability!!!</v>
      </c>
    </row>
    <row r="1284" spans="1:9" x14ac:dyDescent="0.3">
      <c r="A1284" s="1" t="s">
        <v>206</v>
      </c>
      <c r="B1284" s="1" t="s">
        <v>207</v>
      </c>
      <c r="C1284" s="1" t="s">
        <v>97</v>
      </c>
      <c r="D1284" s="1" t="s">
        <v>2890</v>
      </c>
      <c r="E1284" s="1" t="s">
        <v>2891</v>
      </c>
      <c r="F1284" s="1" t="s">
        <v>2892</v>
      </c>
      <c r="G1284" s="1" t="s">
        <v>36</v>
      </c>
      <c r="H1284" s="1" t="s">
        <v>29</v>
      </c>
      <c r="I1284" s="1" t="str">
        <f ca="1">IFERROR(__xludf.DUMMYFUNCTION("GOOGLETRANSLATE(F1284, ""auto"", ""en"")
"),"Powerful subic, the engine rocks for six months, the bass is not harsh, if the box is remade for the HF, it will be a big deal, take it, you won’t regret it, for everyone who loves clear bass!")</f>
        <v>Powerful subic, the engine rocks for six months, the bass is not harsh, if the box is remade for the HF, it will be a big deal, take it, you won’t regret it, for everyone who loves clear bass!</v>
      </c>
    </row>
    <row r="1285" spans="1:9" x14ac:dyDescent="0.3">
      <c r="A1285" s="1" t="s">
        <v>557</v>
      </c>
      <c r="B1285" s="1" t="s">
        <v>558</v>
      </c>
      <c r="C1285" s="1" t="s">
        <v>816</v>
      </c>
      <c r="D1285" s="1" t="s">
        <v>2893</v>
      </c>
      <c r="E1285" s="1" t="s">
        <v>379</v>
      </c>
      <c r="F1285" s="1" t="s">
        <v>2894</v>
      </c>
      <c r="G1285" s="1" t="s">
        <v>49</v>
      </c>
      <c r="H1285" s="1" t="s">
        <v>16</v>
      </c>
      <c r="I1285" s="1" t="str">
        <f ca="1">IFERROR(__xludf.DUMMYFUNCTION("GOOGLETRANSLATE(F1285, ""auto"", ""en"")
"),"I bought this wonderful device in the summer of 9, and the whole family already began to hate it. The reason is this: when they call us, it beeps, disconnects and starts searching for the base. What a wonderful phone this is.")</f>
        <v>I bought this wonderful device in the summer of 9, and the whole family already began to hate it. The reason is this: when they call us, it beeps, disconnects and starts searching for the base. What a wonderful phone this is.</v>
      </c>
    </row>
    <row r="1286" spans="1:9" x14ac:dyDescent="0.3">
      <c r="A1286" s="1" t="s">
        <v>206</v>
      </c>
      <c r="B1286" s="1" t="s">
        <v>207</v>
      </c>
      <c r="C1286" s="1" t="s">
        <v>152</v>
      </c>
      <c r="D1286" s="1" t="s">
        <v>52</v>
      </c>
      <c r="E1286" s="1" t="s">
        <v>182</v>
      </c>
      <c r="F1286" s="1" t="s">
        <v>2895</v>
      </c>
      <c r="G1286" s="1" t="s">
        <v>28</v>
      </c>
      <c r="H1286" s="1" t="s">
        <v>29</v>
      </c>
      <c r="I1286" s="1" t="str">
        <f ca="1">IFERROR(__xludf.DUMMYFUNCTION("GOOGLETRANSLATE(F1286, ""auto"", ""en"")
"),"The workmanship is good, there is a built-in capacitor (so a crossover is not needed), the downside is that the wires are short and need to be extended. the sound is quite decent, it’s pleasant to the ears - silk after all. They play with a 16cm Hertz dv1"&amp;"65 (the tweeters have long since died from them), put it in the corners of the door trim - where the mirrors are adjusted, you need to make something like a podium so that the sound is directed correctly - the right one at me, and the left one at the pass"&amp;"enger, the tweeter of course turns, but this is not enough, at least for my car, place them so that they do not play on the reflection it is necessary - the sound is distorted.")</f>
        <v>The workmanship is good, there is a built-in capacitor (so a crossover is not needed), the downside is that the wires are short and need to be extended. the sound is quite decent, it’s pleasant to the ears - silk after all. They play with a 16cm Hertz dv165 (the tweeters have long since died from them), put it in the corners of the door trim - where the mirrors are adjusted, you need to make something like a podium so that the sound is directed correctly - the right one at me, and the left one at the passenger, the tweeter of course turns, but this is not enough, at least for my car, place them so that they do not play on the reflection it is necessary - the sound is distorted.</v>
      </c>
    </row>
    <row r="1287" spans="1:9" x14ac:dyDescent="0.3">
      <c r="A1287" s="1" t="s">
        <v>120</v>
      </c>
      <c r="B1287" s="1" t="s">
        <v>121</v>
      </c>
      <c r="C1287" s="1" t="s">
        <v>80</v>
      </c>
      <c r="D1287" s="1" t="s">
        <v>127</v>
      </c>
      <c r="E1287" s="1" t="s">
        <v>2896</v>
      </c>
      <c r="F1287" s="1" t="s">
        <v>2897</v>
      </c>
      <c r="G1287" s="1" t="s">
        <v>36</v>
      </c>
      <c r="H1287" s="1" t="s">
        <v>29</v>
      </c>
      <c r="I1287" s="1" t="str">
        <f ca="1">IFERROR(__xludf.DUMMYFUNCTION("GOOGLETRANSLATE(F1287, ""auto"", ""en"")
"),"I bought this TV today. I'm happy with everything so far. I have everything I need.  My rating is 5. And now I turn to people who have activated USB. Tell me how to do this. Thank you.")</f>
        <v>I bought this TV today. I'm happy with everything so far. I have everything I need.  My rating is 5. And now I turn to people who have activated USB. Tell me how to do this. Thank you.</v>
      </c>
    </row>
    <row r="1288" spans="1:9" x14ac:dyDescent="0.3">
      <c r="A1288" s="1" t="s">
        <v>369</v>
      </c>
      <c r="B1288" s="1" t="s">
        <v>587</v>
      </c>
      <c r="C1288" s="1" t="s">
        <v>290</v>
      </c>
      <c r="D1288" s="1" t="s">
        <v>39</v>
      </c>
      <c r="E1288" s="1" t="s">
        <v>1982</v>
      </c>
      <c r="F1288" s="1" t="s">
        <v>2898</v>
      </c>
      <c r="G1288" s="1" t="s">
        <v>36</v>
      </c>
      <c r="H1288" s="1" t="s">
        <v>29</v>
      </c>
      <c r="I1288" s="1" t="str">
        <f ca="1">IFERROR(__xludf.DUMMYFUNCTION("GOOGLETRANSLATE(F1288, ""auto"", ""en"")
"),"When I chose a stove, it was a common choice between me and my girlfriend. After all, not only for me, but also for her to cook on it. In the end, we chose this stove. Since the purchase is capital and will last for a long time, we decided to buy the most"&amp;" sophisticated model. And almost all such slabs are wide. There are only a few narrow ones (and I just needed a narrow one, since I have a small kitchen with a small door). In the end we chose this one. The stove is very well made and easy to use. Auto-ig"&amp;"nition is very convenient. The burners are good. But keep in mind two facts: 1. There is a grill burner in the stove, but there is no spit with a motor. 2. The timer does have a very quiet signal. There are three signals to choose from, but all are very q"&amp;"uiet. These are not disadvantages, but features of this model of plates. Otherwise, everything is very cool, convenient and practical. The stove is definitely worth the money! If you, like me, have a small kitchen, you can buy it with confidence. Otherwis"&amp;"e, I recommend taking a wider slab - oddly enough, they are... cheaper! And at prices there are much more interesting offers there!")</f>
        <v>When I chose a stove, it was a common choice between me and my girlfriend. After all, not only for me, but also for her to cook on it. In the end, we chose this stove. Since the purchase is capital and will last for a long time, we decided to buy the most sophisticated model. And almost all such slabs are wide. There are only a few narrow ones (and I just needed a narrow one, since I have a small kitchen with a small door). In the end we chose this one. The stove is very well made and easy to use. Auto-ignition is very convenient. The burners are good. But keep in mind two facts: 1. There is a grill burner in the stove, but there is no spit with a motor. 2. The timer does have a very quiet signal. There are three signals to choose from, but all are very quiet. These are not disadvantages, but features of this model of plates. Otherwise, everything is very cool, convenient and practical. The stove is definitely worth the money! If you, like me, have a small kitchen, you can buy it with confidence. Otherwise, I recommend taking a wider slab - oddly enough, they are... cheaper! And at prices there are much more interesting offers there!</v>
      </c>
    </row>
    <row r="1289" spans="1:9" x14ac:dyDescent="0.3">
      <c r="A1289" s="1" t="s">
        <v>9</v>
      </c>
      <c r="B1289" s="1" t="s">
        <v>137</v>
      </c>
      <c r="C1289" s="1" t="s">
        <v>63</v>
      </c>
      <c r="D1289" s="1" t="s">
        <v>2899</v>
      </c>
      <c r="E1289" s="1" t="s">
        <v>2900</v>
      </c>
      <c r="F1289" s="1" t="s">
        <v>2901</v>
      </c>
      <c r="G1289" s="1" t="s">
        <v>28</v>
      </c>
      <c r="H1289" s="1" t="s">
        <v>29</v>
      </c>
      <c r="I1289" s="1" t="str">
        <f ca="1">IFERROR(__xludf.DUMMYFUNCTION("GOOGLETRANSLATE(F1289, ""auto"", ""en"")
"),"I bought it today. Installed. Everything seems to be working fine. Minus. Very thin stainless steel...")</f>
        <v>I bought it today. Installed. Everything seems to be working fine. Minus. Very thin stainless steel...</v>
      </c>
    </row>
    <row r="1290" spans="1:9" x14ac:dyDescent="0.3">
      <c r="A1290" s="1" t="s">
        <v>61</v>
      </c>
      <c r="B1290" s="1" t="s">
        <v>73</v>
      </c>
      <c r="C1290" s="1" t="s">
        <v>122</v>
      </c>
      <c r="D1290" s="1" t="s">
        <v>64</v>
      </c>
      <c r="E1290" s="1" t="s">
        <v>2000</v>
      </c>
      <c r="F1290" s="1" t="s">
        <v>2902</v>
      </c>
      <c r="G1290" s="1" t="s">
        <v>36</v>
      </c>
      <c r="H1290" s="1" t="s">
        <v>29</v>
      </c>
      <c r="I1290" s="1" t="str">
        <f ca="1">IFERROR(__xludf.DUMMYFUNCTION("GOOGLETRANSLATE(F1290, ""auto"", ""en"")
"),"I’ve been using this meat grinder for three years now, I’m very pleased, although I have nothing to compare it with - before that I used a manual one, and the thought of cooking minced meat made me feel suicidal. There were no problems with this unit duri"&amp;"ng this time. I regularly make minced meat and fish, twist everything, it is not necessary to cut out the veins from the meat, just cut it into digestible pieces according to the diameter of the hole. It is easy to disassemble and clean, all removable par"&amp;"ts, except the pusher, are made of metal, there is nothing to break. She hadn’t sharpened the knife even once during this time, but it didn’t make her work any worse. There is minimal waste left after rolling the meat. In short, I recommend it!")</f>
        <v>I’ve been using this meat grinder for three years now, I’m very pleased, although I have nothing to compare it with - before that I used a manual one, and the thought of cooking minced meat made me feel suicidal. There were no problems with this unit during this time. I regularly make minced meat and fish, twist everything, it is not necessary to cut out the veins from the meat, just cut it into digestible pieces according to the diameter of the hole. It is easy to disassemble and clean, all removable parts, except the pusher, are made of metal, there is nothing to break. She hadn’t sharpened the knife even once during this time, but it didn’t make her work any worse. There is minimal waste left after rolling the meat. In short, I recommend it!</v>
      </c>
    </row>
    <row r="1291" spans="1:9" x14ac:dyDescent="0.3">
      <c r="A1291" s="1" t="s">
        <v>211</v>
      </c>
      <c r="B1291" s="1" t="s">
        <v>265</v>
      </c>
      <c r="C1291" s="1" t="s">
        <v>122</v>
      </c>
      <c r="D1291" s="1" t="s">
        <v>2903</v>
      </c>
      <c r="E1291" s="1" t="s">
        <v>2904</v>
      </c>
      <c r="F1291" s="1" t="s">
        <v>2905</v>
      </c>
      <c r="G1291" s="1" t="s">
        <v>36</v>
      </c>
      <c r="H1291" s="1" t="s">
        <v>29</v>
      </c>
      <c r="I1291" s="1" t="str">
        <f ca="1">IFERROR(__xludf.DUMMYFUNCTION("GOOGLETRANSLATE(F1291, ""auto"", ""en"")
"),"It cuts smoothly, holds the charge for a long time, is light, the rest is in the description.")</f>
        <v>It cuts smoothly, holds the charge for a long time, is light, the rest is in the description.</v>
      </c>
    </row>
    <row r="1292" spans="1:9" x14ac:dyDescent="0.3">
      <c r="A1292" s="1" t="s">
        <v>149</v>
      </c>
      <c r="B1292" s="1" t="s">
        <v>423</v>
      </c>
      <c r="C1292" s="1" t="s">
        <v>314</v>
      </c>
      <c r="D1292" s="1" t="s">
        <v>456</v>
      </c>
      <c r="E1292" s="1" t="s">
        <v>2906</v>
      </c>
      <c r="F1292" s="1" t="s">
        <v>2907</v>
      </c>
      <c r="G1292" s="1" t="s">
        <v>94</v>
      </c>
      <c r="H1292" s="1" t="s">
        <v>29</v>
      </c>
      <c r="I1292" s="1" t="str">
        <f ca="1">IFERROR(__xludf.DUMMYFUNCTION("GOOGLETRANSLATE(F1292, ""auto"", ""en"")
"),"Convenient to assemble and disassemble, not many parts at all, not a construction kit like some other vacuum cleaners, powerful, cleans well")</f>
        <v>Convenient to assemble and disassemble, not many parts at all, not a construction kit like some other vacuum cleaners, powerful, cleans well</v>
      </c>
    </row>
    <row r="1293" spans="1:9" x14ac:dyDescent="0.3">
      <c r="A1293" s="1" t="s">
        <v>30</v>
      </c>
      <c r="B1293" s="1" t="s">
        <v>50</v>
      </c>
      <c r="C1293" s="1" t="s">
        <v>189</v>
      </c>
      <c r="D1293" s="1" t="s">
        <v>52</v>
      </c>
      <c r="E1293" s="1" t="s">
        <v>1723</v>
      </c>
      <c r="F1293" s="1" t="s">
        <v>2908</v>
      </c>
      <c r="G1293" s="1" t="s">
        <v>36</v>
      </c>
      <c r="H1293" s="1" t="s">
        <v>29</v>
      </c>
      <c r="I1293" s="1" t="str">
        <f ca="1">IFERROR(__xludf.DUMMYFUNCTION("GOOGLETRANSLATE(F1293, ""auto"", ""en"")
"),"I bought this device 2 weeks ago. I'm very happy with the car. Works great. The design is great. I advise everyone - what they need for the home, for the family: for work and for playing games.")</f>
        <v>I bought this device 2 weeks ago. I'm very happy with the car. Works great. The design is great. I advise everyone - what they need for the home, for the family: for work and for playing games.</v>
      </c>
    </row>
    <row r="1294" spans="1:9" x14ac:dyDescent="0.3">
      <c r="A1294" s="1" t="s">
        <v>17</v>
      </c>
      <c r="B1294" s="1" t="s">
        <v>18</v>
      </c>
      <c r="C1294" s="1" t="s">
        <v>277</v>
      </c>
      <c r="D1294" s="1" t="s">
        <v>2909</v>
      </c>
      <c r="E1294" s="1" t="s">
        <v>2910</v>
      </c>
      <c r="F1294" s="1" t="s">
        <v>2911</v>
      </c>
      <c r="G1294" s="1" t="s">
        <v>36</v>
      </c>
      <c r="H1294" s="1" t="s">
        <v>29</v>
      </c>
      <c r="I1294" s="1" t="str">
        <f ca="1">IFERROR(__xludf.DUMMYFUNCTION("GOOGLETRANSLATE(F1294, ""auto"", ""en"")
"),"was the cheapest in 2010")</f>
        <v>was the cheapest in 2010</v>
      </c>
    </row>
    <row r="1295" spans="1:9" x14ac:dyDescent="0.3">
      <c r="A1295" s="1" t="s">
        <v>17</v>
      </c>
      <c r="B1295" s="1" t="s">
        <v>18</v>
      </c>
      <c r="C1295" s="1" t="s">
        <v>63</v>
      </c>
      <c r="D1295" s="1" t="s">
        <v>335</v>
      </c>
      <c r="E1295" s="1" t="s">
        <v>889</v>
      </c>
      <c r="F1295" s="1" t="s">
        <v>2912</v>
      </c>
      <c r="G1295" s="1" t="s">
        <v>36</v>
      </c>
      <c r="H1295" s="1" t="s">
        <v>29</v>
      </c>
      <c r="I1295" s="1" t="str">
        <f ca="1">IFERROR(__xludf.DUMMYFUNCTION("GOOGLETRANSLATE(F1295, ""auto"", ""en"")
"),"I've always wanted a Bosch washing machine. I'm very pleased. Quiet, programs are convenient, it is possible to interrupt programs and perform additional actions after that.  For example, part of the program was completed, then I stopped it, added less di"&amp;"rty items and set a different mode. In general, convenience comes in variety.  And pretty! Both the design and the lights glow very nicely)) And I’m also very pleased with the installation - an excellent craftsman, everything was done on time and with hig"&amp;"h quality! First installation, I was nervous, but everything went well.  In general, I wash, wash, wash...))")</f>
        <v>I've always wanted a Bosch washing machine. I'm very pleased. Quiet, programs are convenient, it is possible to interrupt programs and perform additional actions after that.  For example, part of the program was completed, then I stopped it, added less dirty items and set a different mode. In general, convenience comes in variety.  And pretty! Both the design and the lights glow very nicely)) And I’m also very pleased with the installation - an excellent craftsman, everything was done on time and with high quality! First installation, I was nervous, but everything went well.  In general, I wash, wash, wash...))</v>
      </c>
    </row>
    <row r="1296" spans="1:9" x14ac:dyDescent="0.3">
      <c r="A1296" s="1" t="s">
        <v>95</v>
      </c>
      <c r="B1296" s="1" t="s">
        <v>486</v>
      </c>
      <c r="C1296" s="1" t="s">
        <v>487</v>
      </c>
      <c r="D1296" s="1" t="s">
        <v>2913</v>
      </c>
      <c r="E1296" s="1" t="s">
        <v>1565</v>
      </c>
      <c r="F1296" s="1" t="s">
        <v>2914</v>
      </c>
      <c r="G1296" s="1" t="s">
        <v>36</v>
      </c>
      <c r="H1296" s="1" t="s">
        <v>29</v>
      </c>
      <c r="I1296" s="1" t="str">
        <f ca="1">IFERROR(__xludf.DUMMYFUNCTION("GOOGLETRANSLATE(F1296, ""auto"", ""en"")
"),"The coolest console! Take it, you won't regret it!")</f>
        <v>The coolest console! Take it, you won't regret it!</v>
      </c>
    </row>
    <row r="1297" spans="1:9" x14ac:dyDescent="0.3">
      <c r="A1297" s="1" t="s">
        <v>120</v>
      </c>
      <c r="B1297" s="1" t="s">
        <v>121</v>
      </c>
      <c r="C1297" s="1" t="s">
        <v>69</v>
      </c>
      <c r="D1297" s="1" t="s">
        <v>2915</v>
      </c>
      <c r="E1297" s="1" t="s">
        <v>2916</v>
      </c>
      <c r="F1297" s="1" t="s">
        <v>2917</v>
      </c>
      <c r="G1297" s="1" t="s">
        <v>36</v>
      </c>
      <c r="H1297" s="1" t="s">
        <v>29</v>
      </c>
      <c r="I1297" s="1" t="str">
        <f ca="1">IFERROR(__xludf.DUMMYFUNCTION("GOOGLETRANSLATE(F1297, ""auto"", ""en"")
"),"Two weeks ago I bought a second TV of the same type. The TV is excellent, the picture is excellent (cable TV - 40 channels, analog signal), now they have also launched digital 25 channels via cable, the picture is absolutely lovely! Convenient media playe"&amp;"r option, reads almost everything, even MKV, but! no more than 2 GB in size. Reads from a 16 GB flash drive. I also connected an external 1 TB hard drive, but with external power, otherwise it doesn’t see, reads without brakes, very convenient, I listen t"&amp;"o music, AVI movies, photos, the sound is normal. Ambilight is certainly a nice thing. In general, I recommend buying!")</f>
        <v>Two weeks ago I bought a second TV of the same type. The TV is excellent, the picture is excellent (cable TV - 40 channels, analog signal), now they have also launched digital 25 channels via cable, the picture is absolutely lovely! Convenient media player option, reads almost everything, even MKV, but! no more than 2 GB in size. Reads from a 16 GB flash drive. I also connected an external 1 TB hard drive, but with external power, otherwise it doesn’t see, reads without brakes, very convenient, I listen to music, AVI movies, photos, the sound is normal. Ambilight is certainly a nice thing. In general, I recommend buying!</v>
      </c>
    </row>
    <row r="1298" spans="1:9" x14ac:dyDescent="0.3">
      <c r="A1298" s="1" t="s">
        <v>211</v>
      </c>
      <c r="B1298" s="1" t="s">
        <v>265</v>
      </c>
      <c r="C1298" s="1" t="s">
        <v>122</v>
      </c>
      <c r="D1298" s="1" t="s">
        <v>2918</v>
      </c>
      <c r="E1298" s="1" t="s">
        <v>2919</v>
      </c>
      <c r="F1298" s="1" t="s">
        <v>2920</v>
      </c>
      <c r="G1298" s="1" t="s">
        <v>36</v>
      </c>
      <c r="H1298" s="1" t="s">
        <v>29</v>
      </c>
      <c r="I1298" s="1" t="str">
        <f ca="1">IFERROR(__xludf.DUMMYFUNCTION("GOOGLETRANSLATE(F1298, ""auto"", ""en"")
"),"Small, comfortable, cuts a good haircut, for that price I can’t imagine anything better")</f>
        <v>Small, comfortable, cuts a good haircut, for that price I can’t imagine anything better</v>
      </c>
    </row>
    <row r="1299" spans="1:9" x14ac:dyDescent="0.3">
      <c r="A1299" s="1" t="s">
        <v>149</v>
      </c>
      <c r="B1299" s="1" t="s">
        <v>423</v>
      </c>
      <c r="C1299" s="1" t="s">
        <v>424</v>
      </c>
      <c r="D1299" s="1" t="s">
        <v>247</v>
      </c>
      <c r="E1299" s="1" t="s">
        <v>2921</v>
      </c>
      <c r="F1299" s="1" t="s">
        <v>2922</v>
      </c>
      <c r="G1299" s="1" t="s">
        <v>36</v>
      </c>
      <c r="H1299" s="1" t="s">
        <v>29</v>
      </c>
      <c r="I1299" s="1" t="str">
        <f ca="1">IFERROR(__xludf.DUMMYFUNCTION("GOOGLETRANSLATE(F1299, ""auto"", ""en"")
"),"The washing brush of the wax does not need to be held vertically, like other manufacturers, the entire washing process takes place inside the brush and there is no need to assemble anything additional! It could be under the bed. There is no need to follow"&amp;" any washing technology. You just move the brush as you would during normal cleaning with a regular vacuum cleaner. My next vacuum cleaner is definitely Vax!")</f>
        <v>The washing brush of the wax does not need to be held vertically, like other manufacturers, the entire washing process takes place inside the brush and there is no need to assemble anything additional! It could be under the bed. There is no need to follow any washing technology. You just move the brush as you would during normal cleaning with a regular vacuum cleaner. My next vacuum cleaner is definitely Vax!</v>
      </c>
    </row>
    <row r="1300" spans="1:9" x14ac:dyDescent="0.3">
      <c r="A1300" s="1" t="s">
        <v>120</v>
      </c>
      <c r="B1300" s="1" t="s">
        <v>1205</v>
      </c>
      <c r="C1300" s="1" t="s">
        <v>1430</v>
      </c>
      <c r="D1300" s="1" t="s">
        <v>2923</v>
      </c>
      <c r="E1300" s="1" t="s">
        <v>2924</v>
      </c>
      <c r="F1300" s="1" t="s">
        <v>2925</v>
      </c>
      <c r="G1300" s="1" t="s">
        <v>36</v>
      </c>
      <c r="H1300" s="1" t="s">
        <v>29</v>
      </c>
      <c r="I1300" s="1" t="str">
        <f ca="1">IFERROR(__xludf.DUMMYFUNCTION("GOOGLETRANSLATE(F1300, ""auto"", ""en"")
"),"People prices for NTV+ have dropped to a minimum. The cheapest satellite TV. The price for the set of equipment pleased me! Tariffs for channels are lower than those of a competitor, you need to switch to new cheap tariffs yourself! Basic package 600 rubl"&amp;"es and forever (22 channels). If you want more - 29 rubles per month and there will be 89 channels! And that’s 348 rubles a year! I'm shocked!!!")</f>
        <v>People prices for NTV+ have dropped to a minimum. The cheapest satellite TV. The price for the set of equipment pleased me! Tariffs for channels are lower than those of a competitor, you need to switch to new cheap tariffs yourself! Basic package 600 rubles and forever (22 channels). If you want more - 29 rubles per month and there will be 89 channels! And that’s 348 rubles a year! I'm shocked!!!</v>
      </c>
    </row>
    <row r="1301" spans="1:9" x14ac:dyDescent="0.3">
      <c r="A1301" s="1" t="s">
        <v>61</v>
      </c>
      <c r="B1301" s="1" t="s">
        <v>318</v>
      </c>
      <c r="C1301" s="1" t="s">
        <v>213</v>
      </c>
      <c r="D1301" s="1" t="s">
        <v>366</v>
      </c>
      <c r="E1301" s="1" t="s">
        <v>2926</v>
      </c>
      <c r="F1301" s="1" t="s">
        <v>2927</v>
      </c>
      <c r="G1301" s="1" t="s">
        <v>36</v>
      </c>
      <c r="H1301" s="1" t="s">
        <v>29</v>
      </c>
      <c r="I1301" s="1" t="str">
        <f ca="1">IFERROR(__xludf.DUMMYFUNCTION("GOOGLETRANSLATE(F1301, ""auto"", ""en"")
"),"It’s really an almost indestructible device, but today, after 7 years, the level indicator is leaking, now I’m struggling with the choice, most likely I’ll take the same one.")</f>
        <v>It’s really an almost indestructible device, but today, after 7 years, the level indicator is leaking, now I’m struggling with the choice, most likely I’ll take the same one.</v>
      </c>
    </row>
    <row r="1302" spans="1:9" x14ac:dyDescent="0.3">
      <c r="A1302" s="1" t="s">
        <v>206</v>
      </c>
      <c r="B1302" s="1" t="s">
        <v>207</v>
      </c>
      <c r="C1302" s="1" t="s">
        <v>152</v>
      </c>
      <c r="D1302" s="1" t="s">
        <v>232</v>
      </c>
      <c r="E1302" s="1" t="s">
        <v>2928</v>
      </c>
      <c r="F1302" s="1" t="s">
        <v>2929</v>
      </c>
      <c r="G1302" s="1" t="s">
        <v>36</v>
      </c>
      <c r="H1302" s="1" t="s">
        <v>29</v>
      </c>
      <c r="I1302" s="1" t="str">
        <f ca="1">IFERROR(__xludf.DUMMYFUNCTION("GOOGLETRANSLATE(F1302, ""auto"", ""en"")
"),"The speakers are disgusting, although for this money I couldn’t expect anything else, the first one started wheezing on the first day, the second one half a year later")</f>
        <v>The speakers are disgusting, although for this money I couldn’t expect anything else, the first one started wheezing on the first day, the second one half a year later</v>
      </c>
    </row>
    <row r="1303" spans="1:9" x14ac:dyDescent="0.3">
      <c r="A1303" s="1" t="s">
        <v>206</v>
      </c>
      <c r="B1303" s="1" t="s">
        <v>207</v>
      </c>
      <c r="C1303" s="1" t="s">
        <v>351</v>
      </c>
      <c r="D1303" s="1" t="s">
        <v>568</v>
      </c>
      <c r="E1303" s="1" t="s">
        <v>1978</v>
      </c>
      <c r="F1303" s="1" t="s">
        <v>2930</v>
      </c>
      <c r="G1303" s="1" t="s">
        <v>36</v>
      </c>
      <c r="H1303" s="1" t="s">
        <v>29</v>
      </c>
      <c r="I1303" s="1" t="str">
        <f ca="1">IFERROR(__xludf.DUMMYFUNCTION("GOOGLETRANSLATE(F1303, ""auto"", ""en"")
"),"In terms of price/quality ratio, you can't find anything better. I connected it to the Oriole subwoofer and to the Kicx front speakers. It plays great, although I had to come up with a switch for the positive wire, because... The amplifier is not disconne"&amp;"cted from the radio control wire. But basically everything is fine.")</f>
        <v>In terms of price/quality ratio, you can't find anything better. I connected it to the Oriole subwoofer and to the Kicx front speakers. It plays great, although I had to come up with a switch for the positive wire, because... The amplifier is not disconnected from the radio control wire. But basically everything is fine.</v>
      </c>
    </row>
    <row r="1304" spans="1:9" x14ac:dyDescent="0.3">
      <c r="A1304" s="1" t="s">
        <v>120</v>
      </c>
      <c r="B1304" s="1" t="s">
        <v>121</v>
      </c>
      <c r="C1304" s="1" t="s">
        <v>69</v>
      </c>
      <c r="D1304" s="1" t="s">
        <v>327</v>
      </c>
      <c r="E1304" s="1" t="s">
        <v>128</v>
      </c>
      <c r="F1304" s="1" t="s">
        <v>2931</v>
      </c>
      <c r="G1304" s="1" t="s">
        <v>36</v>
      </c>
      <c r="H1304" s="1" t="s">
        <v>29</v>
      </c>
      <c r="I1304" s="1" t="str">
        <f ca="1">IFERROR(__xludf.DUMMYFUNCTION("GOOGLETRANSLATE(F1304, ""auto"", ""en"")
"),"I can’t set up digital channels. The TV only asks for the frequency, and it’s not clear where to set QAM-64 and S/R 6875.")</f>
        <v>I can’t set up digital channels. The TV only asks for the frequency, and it’s not clear where to set QAM-64 and S/R 6875.</v>
      </c>
    </row>
    <row r="1305" spans="1:9" x14ac:dyDescent="0.3">
      <c r="A1305" s="1" t="s">
        <v>149</v>
      </c>
      <c r="B1305" s="1" t="s">
        <v>155</v>
      </c>
      <c r="C1305" s="1" t="s">
        <v>80</v>
      </c>
      <c r="D1305" s="1" t="s">
        <v>378</v>
      </c>
      <c r="E1305" s="1" t="s">
        <v>1129</v>
      </c>
      <c r="F1305" s="1" t="s">
        <v>2932</v>
      </c>
      <c r="G1305" s="1" t="s">
        <v>36</v>
      </c>
      <c r="H1305" s="1" t="s">
        <v>29</v>
      </c>
      <c r="I1305" s="1" t="str">
        <f ca="1">IFERROR(__xludf.DUMMYFUNCTION("GOOGLETRANSLATE(F1305, ""auto"", ""en"")
"),"Yesterday I just went to look at the vacuum cleaner and couldn’t resist - I bought it.... I came home and did some general cleaning... it’s powerful, it cleans well. The length of the cord is also important to me. I walked around all 4 rooms without switc"&amp;"hing from socket to socket. very pleased.")</f>
        <v>Yesterday I just went to look at the vacuum cleaner and couldn’t resist - I bought it.... I came home and did some general cleaning... it’s powerful, it cleans well. The length of the cord is also important to me. I walked around all 4 rooms without switching from socket to socket. very pleased.</v>
      </c>
    </row>
    <row r="1306" spans="1:9" x14ac:dyDescent="0.3">
      <c r="A1306" s="1" t="s">
        <v>30</v>
      </c>
      <c r="B1306" s="1" t="s">
        <v>50</v>
      </c>
      <c r="C1306" s="1" t="s">
        <v>1003</v>
      </c>
      <c r="D1306" s="1" t="s">
        <v>102</v>
      </c>
      <c r="E1306" s="1" t="s">
        <v>1723</v>
      </c>
      <c r="F1306" s="1" t="s">
        <v>2933</v>
      </c>
      <c r="G1306" s="1" t="s">
        <v>36</v>
      </c>
      <c r="H1306" s="1" t="s">
        <v>29</v>
      </c>
      <c r="I1306" s="1" t="str">
        <f ca="1">IFERROR(__xludf.DUMMYFUNCTION("GOOGLETRANSLATE(F1306, ""auto"", ""en"")
"),"I bought it yesterday, sat watching movies all night, the flight is normal, the laptop is powerful, you can play modern games and at the same time it’s multimedia enough for me, you can work with graphics, I slightly didn’t like that installing an antivir"&amp;"us office comes separately for an additional fee, but you can rummage around on the Internet and you can find everything. In general, the laptop is good, I recommend it.")</f>
        <v>I bought it yesterday, sat watching movies all night, the flight is normal, the laptop is powerful, you can play modern games and at the same time it’s multimedia enough for me, you can work with graphics, I slightly didn’t like that installing an antivirus office comes separately for an additional fee, but you can rummage around on the Internet and you can find everything. In general, the laptop is good, I recommend it.</v>
      </c>
    </row>
    <row r="1307" spans="1:9" x14ac:dyDescent="0.3">
      <c r="A1307" s="1" t="s">
        <v>61</v>
      </c>
      <c r="B1307" s="1" t="s">
        <v>318</v>
      </c>
      <c r="C1307" s="1" t="s">
        <v>2840</v>
      </c>
      <c r="D1307" s="1" t="s">
        <v>2934</v>
      </c>
      <c r="E1307" s="1" t="s">
        <v>2935</v>
      </c>
      <c r="F1307" s="1" t="s">
        <v>2936</v>
      </c>
      <c r="G1307" s="1" t="s">
        <v>36</v>
      </c>
      <c r="H1307" s="1" t="s">
        <v>29</v>
      </c>
      <c r="I1307" s="1" t="str">
        <f ca="1">IFERROR(__xludf.DUMMYFUNCTION("GOOGLETRANSLATE(F1307, ""auto"", ""en"")
"),"Great purchase! A very convenient, fast, beautiful, safe and generally just a cool kettle. The handle of the kettle never gets hot, it is always cold, the lid is very conveniently made: you don’t need to hold it at all, just twist it and it won’t fall out"&amp;"! My sister and I bought 2 pieces. During this time, neither she nor I found any disadvantages in relation to the operation of the kettle! The only thing, pay attention to the volume of 1 liter. If you have a large family, there won’t be enough for everyo"&amp;"ne at once. Although this is not a problem - it boils water quite quickly)")</f>
        <v>Great purchase! A very convenient, fast, beautiful, safe and generally just a cool kettle. The handle of the kettle never gets hot, it is always cold, the lid is very conveniently made: you don’t need to hold it at all, just twist it and it won’t fall out! My sister and I bought 2 pieces. During this time, neither she nor I found any disadvantages in relation to the operation of the kettle! The only thing, pay attention to the volume of 1 liter. If you have a large family, there won’t be enough for everyone at once. Although this is not a problem - it boils water quite quickly)</v>
      </c>
    </row>
    <row r="1308" spans="1:9" x14ac:dyDescent="0.3">
      <c r="A1308" s="1" t="s">
        <v>17</v>
      </c>
      <c r="B1308" s="1" t="s">
        <v>18</v>
      </c>
      <c r="C1308" s="1" t="s">
        <v>243</v>
      </c>
      <c r="D1308" s="1" t="s">
        <v>2937</v>
      </c>
      <c r="E1308" s="1" t="s">
        <v>2938</v>
      </c>
      <c r="F1308" s="1" t="s">
        <v>2939</v>
      </c>
      <c r="G1308" s="1" t="s">
        <v>36</v>
      </c>
      <c r="H1308" s="1" t="s">
        <v>29</v>
      </c>
      <c r="I1308" s="1" t="str">
        <f ca="1">IFERROR(__xludf.DUMMYFUNCTION("GOOGLETRANSLATE(F1308, ""auto"", ""en"")
"),"I bought it at a discount on 07/16/2014. Installed, connected, tested. It washes well, different programs, does not “run away” during the spin cycle - in 3.5 months of fairly intensive use it has not moved a centimeter. Uses electricity and water sparingl"&amp;"y. For the money this is quite the best option.")</f>
        <v>I bought it at a discount on 07/16/2014. Installed, connected, tested. It washes well, different programs, does not “run away” during the spin cycle - in 3.5 months of fairly intensive use it has not moved a centimeter. Uses electricity and water sparingly. For the money this is quite the best option.</v>
      </c>
    </row>
    <row r="1309" spans="1:9" x14ac:dyDescent="0.3">
      <c r="A1309" s="1" t="s">
        <v>61</v>
      </c>
      <c r="B1309" s="1" t="s">
        <v>318</v>
      </c>
      <c r="C1309" s="1" t="s">
        <v>57</v>
      </c>
      <c r="D1309" s="1" t="s">
        <v>152</v>
      </c>
      <c r="E1309" s="1" t="s">
        <v>798</v>
      </c>
      <c r="F1309" s="1" t="s">
        <v>2940</v>
      </c>
      <c r="G1309" s="1" t="s">
        <v>36</v>
      </c>
      <c r="H1309" s="1" t="s">
        <v>29</v>
      </c>
      <c r="I1309" s="1" t="str">
        <f ca="1">IFERROR(__xludf.DUMMYFUNCTION("GOOGLETRANSLATE(F1309, ""auto"", ""en"")
"),"Excellent kettle. Very easy to use, a special advantage is the correct spout, the type that teapots had in those days when boiling water did not pour onto the table in addition to glasses. I bought it for the first time three years ago, it worked for exac"&amp;"tly three years, as promised by the company. Only in recent months has it started to leak. Yesterday I bought a new one, the same one. It’s a pity that there were only two of these left in the store, they were brought from the warehouse. If you keep the h"&amp;"eater disk clean, following the recommendations, there will be little noise. The main drawback, in my opinion, is the absence of any noticeable float in the water level indicator, otherwise the level of clear water is not always clearly visible.")</f>
        <v>Excellent kettle. Very easy to use, a special advantage is the correct spout, the type that teapots had in those days when boiling water did not pour onto the table in addition to glasses. I bought it for the first time three years ago, it worked for exactly three years, as promised by the company. Only in recent months has it started to leak. Yesterday I bought a new one, the same one. It’s a pity that there were only two of these left in the store, they were brought from the warehouse. If you keep the heater disk clean, following the recommendations, there will be little noise. The main drawback, in my opinion, is the absence of any noticeable float in the water level indicator, otherwise the level of clear water is not always clearly visible.</v>
      </c>
    </row>
    <row r="1310" spans="1:9" x14ac:dyDescent="0.3">
      <c r="A1310" s="1" t="s">
        <v>95</v>
      </c>
      <c r="B1310" s="1" t="s">
        <v>402</v>
      </c>
      <c r="C1310" s="1" t="s">
        <v>403</v>
      </c>
      <c r="D1310" s="1" t="s">
        <v>152</v>
      </c>
      <c r="E1310" s="1" t="s">
        <v>859</v>
      </c>
      <c r="F1310" s="1" t="s">
        <v>2941</v>
      </c>
      <c r="G1310" s="1" t="s">
        <v>36</v>
      </c>
      <c r="H1310" s="1" t="s">
        <v>29</v>
      </c>
      <c r="I1310" s="1" t="str">
        <f ca="1">IFERROR(__xludf.DUMMYFUNCTION("GOOGLETRANSLATE(F1310, ""auto"", ""en"")
"),"I bought a 3 DS console a month ago. This is actually a new breakthrough for Nintendo Corporation. The console is super, the games are impressive, and the augmented reality AR included in the kit was simply surprising. In general, entertainment for childr"&amp;"en and adults is guaranteed for a long time! I recommend it to all fans of virtual entertainment.")</f>
        <v>I bought a 3 DS console a month ago. This is actually a new breakthrough for Nintendo Corporation. The console is super, the games are impressive, and the augmented reality AR included in the kit was simply surprising. In general, entertainment for children and adults is guaranteed for a long time! I recommend it to all fans of virtual entertainment.</v>
      </c>
    </row>
    <row r="1311" spans="1:9" x14ac:dyDescent="0.3">
      <c r="A1311" s="1" t="s">
        <v>61</v>
      </c>
      <c r="B1311" s="1" t="s">
        <v>318</v>
      </c>
      <c r="C1311" s="1" t="s">
        <v>213</v>
      </c>
      <c r="D1311" s="1" t="s">
        <v>232</v>
      </c>
      <c r="E1311" s="1" t="s">
        <v>2942</v>
      </c>
      <c r="F1311" s="1" t="s">
        <v>2943</v>
      </c>
      <c r="G1311" s="1" t="s">
        <v>36</v>
      </c>
      <c r="H1311" s="1" t="s">
        <v>29</v>
      </c>
      <c r="I1311" s="1" t="str">
        <f ca="1">IFERROR(__xludf.DUMMYFUNCTION("GOOGLETRANSLATE(F1311, ""auto"", ""en"")
"),"Excellent kettle, I've been using it since 2001.")</f>
        <v>Excellent kettle, I've been using it since 2001.</v>
      </c>
    </row>
    <row r="1312" spans="1:9" x14ac:dyDescent="0.3">
      <c r="A1312" s="1" t="s">
        <v>211</v>
      </c>
      <c r="B1312" s="1" t="s">
        <v>212</v>
      </c>
      <c r="C1312" s="1" t="s">
        <v>1591</v>
      </c>
      <c r="D1312" s="1" t="s">
        <v>2944</v>
      </c>
      <c r="E1312" s="1" t="s">
        <v>692</v>
      </c>
      <c r="F1312" s="1" t="s">
        <v>2945</v>
      </c>
      <c r="G1312" s="1" t="s">
        <v>36</v>
      </c>
      <c r="H1312" s="1" t="s">
        <v>29</v>
      </c>
      <c r="I1312" s="1" t="str">
        <f ca="1">IFERROR(__xludf.DUMMYFUNCTION("GOOGLETRANSLATE(F1312, ""auto"", ""en"")
"),"I watched a video review of this model on the Internet and really liked it. Several attachments are included here, so you can create styling for all occasions. The nozzles themselves are ceramic-coated and have cold airflow and ionization functions. The o"&amp;"nly thing was that it seemed to me that my hair would still get tangled in this brush, although I didn’t find a single negative review about this. In the end, I decided to buy and am very pleased! In operation, this model did not disappoint me, but on the"&amp;" contrary, I was very pleased. It’s convenient to use, it doesn’t tangle your hair, it’s already been tested)")</f>
        <v>I watched a video review of this model on the Internet and really liked it. Several attachments are included here, so you can create styling for all occasions. The nozzles themselves are ceramic-coated and have cold airflow and ionization functions. The only thing was that it seemed to me that my hair would still get tangled in this brush, although I didn’t find a single negative review about this. In the end, I decided to buy and am very pleased! In operation, this model did not disappoint me, but on the contrary, I was very pleased. It’s convenient to use, it doesn’t tangle your hair, it’s already been tested)</v>
      </c>
    </row>
    <row r="1313" spans="1:9" x14ac:dyDescent="0.3">
      <c r="A1313" s="1" t="s">
        <v>111</v>
      </c>
      <c r="B1313" s="1" t="s">
        <v>636</v>
      </c>
      <c r="C1313" s="1" t="s">
        <v>57</v>
      </c>
      <c r="D1313" s="1" t="s">
        <v>568</v>
      </c>
      <c r="E1313" s="1" t="s">
        <v>2946</v>
      </c>
      <c r="F1313" s="1" t="s">
        <v>2947</v>
      </c>
      <c r="G1313" s="1" t="s">
        <v>15</v>
      </c>
      <c r="H1313" s="1" t="s">
        <v>16</v>
      </c>
      <c r="I1313" s="1" t="str">
        <f ca="1">IFERROR(__xludf.DUMMYFUNCTION("GOOGLETRANSLATE(F1313, ""auto"", ""en"")
"),"It looks and feels like very cheap plastic.   Although the screen is color, its quality is not very good. Viewing angles are good, but when viewed from bottom to top, the contrast drops significantly.  It’s not at all clear how it shows pressure and anima"&amp;"ted weather - it’s raining all the time, then it’s sunny, you can play with the altitude above sea level for a long time, it would be of no use.  In general, it is a useless thing with huge errors in temperature and pressure.")</f>
        <v>It looks and feels like very cheap plastic.   Although the screen is color, its quality is not very good. Viewing angles are good, but when viewed from bottom to top, the contrast drops significantly.  It’s not at all clear how it shows pressure and animated weather - it’s raining all the time, then it’s sunny, you can play with the altitude above sea level for a long time, it would be of no use.  In general, it is a useless thing with huge errors in temperature and pressure.</v>
      </c>
    </row>
    <row r="1314" spans="1:9" x14ac:dyDescent="0.3">
      <c r="A1314" s="1" t="s">
        <v>211</v>
      </c>
      <c r="B1314" s="1" t="s">
        <v>899</v>
      </c>
      <c r="C1314" s="1" t="s">
        <v>213</v>
      </c>
      <c r="D1314" s="1" t="s">
        <v>327</v>
      </c>
      <c r="E1314" s="1" t="s">
        <v>2948</v>
      </c>
      <c r="F1314" s="1" t="s">
        <v>2949</v>
      </c>
      <c r="G1314" s="1" t="s">
        <v>36</v>
      </c>
      <c r="H1314" s="1" t="s">
        <v>29</v>
      </c>
      <c r="I1314" s="1" t="str">
        <f ca="1">IFERROR(__xludf.DUMMYFUNCTION("GOOGLETRANSLATE(F1314, ""auto"", ""en"")
"),"We've been using it for several months. The old one twisted and pulsated and this one does the same. The pressure sensor on the teeth reacts if you press so hard that the rotation of the brush is almost paralyzed... In addition to displaying the modes and"&amp;" stages of brushing, the screen has very... a useful function is a clock when you get up at night to go to the toilet)) Of the obvious advantages, there is a convenient container for storing 4 attachments, if for a family (strangely enough, it was this th"&amp;"at pushed me to choose this model). The kit includes a special case, you can easily take it on the road. It works quietly, several modes, incl. sensitive, the battery lasts for 5-6 days in a family of 3 people. I didn’t find any downsides to the brush, ot"&amp;"her than the fear of accidentally breaking it. In general, everything is expensive and rich, but for dental health, in my opinion, it’s better to have a brush for the same 2.5 thousand rubles, and spend the rest of the money on good toothpaste. If you hav"&amp;"e money and a desire to enjoy its top quality, take it, you won’t regret it.")</f>
        <v>We've been using it for several months. The old one twisted and pulsated and this one does the same. The pressure sensor on the teeth reacts if you press so hard that the rotation of the brush is almost paralyzed... In addition to displaying the modes and stages of brushing, the screen has very... a useful function is a clock when you get up at night to go to the toilet)) Of the obvious advantages, there is a convenient container for storing 4 attachments, if for a family (strangely enough, it was this that pushed me to choose this model). The kit includes a special case, you can easily take it on the road. It works quietly, several modes, incl. sensitive, the battery lasts for 5-6 days in a family of 3 people. I didn’t find any downsides to the brush, other than the fear of accidentally breaking it. In general, everything is expensive and rich, but for dental health, in my opinion, it’s better to have a brush for the same 2.5 thousand rubles, and spend the rest of the money on good toothpaste. If you have money and a desire to enjoy its top quality, take it, you won’t regret it.</v>
      </c>
    </row>
    <row r="1315" spans="1:9" x14ac:dyDescent="0.3">
      <c r="A1315" s="1" t="s">
        <v>965</v>
      </c>
      <c r="B1315" s="1" t="s">
        <v>966</v>
      </c>
      <c r="C1315" s="1" t="s">
        <v>967</v>
      </c>
      <c r="D1315" s="1" t="s">
        <v>2950</v>
      </c>
      <c r="E1315" s="1" t="s">
        <v>517</v>
      </c>
      <c r="F1315" s="1" t="s">
        <v>2951</v>
      </c>
      <c r="G1315" s="1" t="s">
        <v>36</v>
      </c>
      <c r="H1315" s="1" t="s">
        <v>29</v>
      </c>
      <c r="I1315" s="1" t="str">
        <f ca="1">IFERROR(__xludf.DUMMYFUNCTION("GOOGLETRANSLATE(F1315, ""auto"", ""en"")
"),"SOME ADVANTAGES")</f>
        <v>SOME ADVANTAGES</v>
      </c>
    </row>
    <row r="1316" spans="1:9" x14ac:dyDescent="0.3">
      <c r="A1316" s="1" t="s">
        <v>61</v>
      </c>
      <c r="B1316" s="1" t="s">
        <v>224</v>
      </c>
      <c r="C1316" s="1" t="s">
        <v>57</v>
      </c>
      <c r="D1316" s="1" t="s">
        <v>295</v>
      </c>
      <c r="E1316" s="1" t="s">
        <v>2030</v>
      </c>
      <c r="F1316" s="1" t="s">
        <v>2952</v>
      </c>
      <c r="G1316" s="1" t="s">
        <v>36</v>
      </c>
      <c r="H1316" s="1" t="s">
        <v>29</v>
      </c>
      <c r="I1316" s="1" t="str">
        <f ca="1">IFERROR(__xludf.DUMMYFUNCTION("GOOGLETRANSLATE(F1316, ""auto"", ""en"")
"),"Super juicer, I use it almost every day for 6 months. Before this there was a model from another brand, VITEK is much better. I recommend it to everyone.")</f>
        <v>Super juicer, I use it almost every day for 6 months. Before this there was a model from another brand, VITEK is much better. I recommend it to everyone.</v>
      </c>
    </row>
    <row r="1317" spans="1:9" x14ac:dyDescent="0.3">
      <c r="A1317" s="1" t="s">
        <v>89</v>
      </c>
      <c r="B1317" s="1" t="s">
        <v>90</v>
      </c>
      <c r="C1317" s="1" t="s">
        <v>101</v>
      </c>
      <c r="D1317" s="1" t="s">
        <v>2953</v>
      </c>
      <c r="E1317" s="1" t="s">
        <v>1636</v>
      </c>
      <c r="F1317" s="1" t="s">
        <v>2954</v>
      </c>
      <c r="G1317" s="1" t="s">
        <v>36</v>
      </c>
      <c r="H1317" s="1" t="s">
        <v>29</v>
      </c>
      <c r="I1317" s="1" t="str">
        <f ca="1">IFERROR(__xludf.DUMMYFUNCTION("GOOGLETRANSLATE(F1317, ""auto"", ""en"")
"),"I’ve been using this coffee grinder for more than two years, before it was an expensive model, but there’s absolutely no difference! It flies the same way and makes the same noise. normal coffee grinder!")</f>
        <v>I’ve been using this coffee grinder for more than two years, before it was an expensive model, but there’s absolutely no difference! It flies the same way and makes the same noise. normal coffee grinder!</v>
      </c>
    </row>
    <row r="1318" spans="1:9" x14ac:dyDescent="0.3">
      <c r="A1318" s="1" t="s">
        <v>211</v>
      </c>
      <c r="B1318" s="1" t="s">
        <v>212</v>
      </c>
      <c r="C1318" s="1" t="s">
        <v>294</v>
      </c>
      <c r="D1318" s="1" t="s">
        <v>335</v>
      </c>
      <c r="E1318" s="1" t="s">
        <v>2955</v>
      </c>
      <c r="F1318" s="1" t="s">
        <v>2956</v>
      </c>
      <c r="G1318" s="1" t="s">
        <v>36</v>
      </c>
      <c r="H1318" s="1" t="s">
        <v>29</v>
      </c>
      <c r="I1318" s="1" t="str">
        <f ca="1">IFERROR(__xludf.DUMMYFUNCTION("GOOGLETRANSLATE(F1318, ""auto"", ""en"")
"),"This is something... in my opinion, this is the only model with phone fabric... the gentle straightening effect lasts for several days... although my hair is terribly unmanageable! I recommend it! Take it, you won’t regret it! I bought it for myself as a "&amp;"gift)))")</f>
        <v>This is something... in my opinion, this is the only model with phone fabric... the gentle straightening effect lasts for several days... although my hair is terribly unmanageable! I recommend it! Take it, you won’t regret it! I bought it for myself as a gift)))</v>
      </c>
    </row>
    <row r="1319" spans="1:9" x14ac:dyDescent="0.3">
      <c r="A1319" s="1" t="s">
        <v>206</v>
      </c>
      <c r="B1319" s="1" t="s">
        <v>1349</v>
      </c>
      <c r="C1319" s="1" t="s">
        <v>262</v>
      </c>
      <c r="D1319" s="1" t="s">
        <v>327</v>
      </c>
      <c r="E1319" s="1" t="s">
        <v>2280</v>
      </c>
      <c r="F1319" s="1" t="s">
        <v>2957</v>
      </c>
      <c r="G1319" s="1" t="s">
        <v>49</v>
      </c>
      <c r="H1319" s="1" t="s">
        <v>16</v>
      </c>
      <c r="I1319" s="1" t="str">
        <f ca="1">IFERROR(__xludf.DUMMYFUNCTION("GOOGLETRANSLATE(F1319, ""auto"", ""en"")
"),"The main drawback is unreliability.")</f>
        <v>The main drawback is unreliability.</v>
      </c>
    </row>
    <row r="1320" spans="1:9" x14ac:dyDescent="0.3">
      <c r="A1320" s="1" t="s">
        <v>95</v>
      </c>
      <c r="B1320" s="1" t="s">
        <v>648</v>
      </c>
      <c r="C1320" s="1" t="s">
        <v>97</v>
      </c>
      <c r="D1320" s="1" t="s">
        <v>2958</v>
      </c>
      <c r="E1320" s="1" t="s">
        <v>1545</v>
      </c>
      <c r="F1320" s="1" t="s">
        <v>2959</v>
      </c>
      <c r="G1320" s="1" t="s">
        <v>36</v>
      </c>
      <c r="H1320" s="1" t="s">
        <v>29</v>
      </c>
      <c r="I1320" s="1" t="str">
        <f ca="1">IFERROR(__xludf.DUMMYFUNCTION("GOOGLETRANSLATE(F1320, ""auto"", ""en"")
"),"I bought the console in 2009, in August. I tried to flash it myself, I flashed it, but I couldn’t finish it, in the end I installed firmware version 6.00, now I regret it, of course it’s advisable to come to the gorbushka to give 1000 rubles, and not try "&amp;"to flash it yourself.  And the set-top box is excellent, unlike the previous version (3000-3008, etc. more colors), it has a microphone.  I highly recommend it.")</f>
        <v>I bought the console in 2009, in August. I tried to flash it myself, I flashed it, but I couldn’t finish it, in the end I installed firmware version 6.00, now I regret it, of course it’s advisable to come to the gorbushka to give 1000 rubles, and not try to flash it yourself.  And the set-top box is excellent, unlike the previous version (3000-3008, etc. more colors), it has a microphone.  I highly recommend it.</v>
      </c>
    </row>
    <row r="1321" spans="1:9" x14ac:dyDescent="0.3">
      <c r="A1321" s="1" t="s">
        <v>30</v>
      </c>
      <c r="B1321" s="1" t="s">
        <v>50</v>
      </c>
      <c r="C1321" s="1" t="s">
        <v>51</v>
      </c>
      <c r="D1321" s="1" t="s">
        <v>2960</v>
      </c>
      <c r="E1321" s="1" t="s">
        <v>164</v>
      </c>
      <c r="F1321" s="1" t="s">
        <v>2961</v>
      </c>
      <c r="G1321" s="1" t="s">
        <v>36</v>
      </c>
      <c r="H1321" s="1" t="s">
        <v>29</v>
      </c>
      <c r="I1321" s="1" t="str">
        <f ca="1">IFERROR(__xludf.DUMMYFUNCTION("GOOGLETRANSLATE(F1321, ""auto"", ""en"")
"),"This model is the best in its price group in terms of its technical characteristics. You simply can't find anything better for the money. Analogs from other manufacturers are 4-8 thousand rubles more expensive.")</f>
        <v>This model is the best in its price group in terms of its technical characteristics. You simply can't find anything better for the money. Analogs from other manufacturers are 4-8 thousand rubles more expensive.</v>
      </c>
    </row>
    <row r="1322" spans="1:9" x14ac:dyDescent="0.3">
      <c r="A1322" s="1" t="s">
        <v>61</v>
      </c>
      <c r="B1322" s="1" t="s">
        <v>145</v>
      </c>
      <c r="C1322" s="1" t="s">
        <v>246</v>
      </c>
      <c r="D1322" s="1" t="s">
        <v>172</v>
      </c>
      <c r="E1322" s="1" t="s">
        <v>2358</v>
      </c>
      <c r="F1322" s="1" t="s">
        <v>2962</v>
      </c>
      <c r="G1322" s="1" t="s">
        <v>15</v>
      </c>
      <c r="H1322" s="1" t="s">
        <v>16</v>
      </c>
      <c r="I1322" s="1" t="str">
        <f ca="1">IFERROR(__xludf.DUMMYFUNCTION("GOOGLETRANSLATE(F1322, ""auto"", ""en"")
"),"The steamer worked for the benefit of everyone for a year and a half and burned out... The power contact on the board burned out to a hole. Clearly a structural weakness. For such a price and such quality? It's a shame for you, Tefal..")</f>
        <v>The steamer worked for the benefit of everyone for a year and a half and burned out... The power contact on the board burned out to a hole. Clearly a structural weakness. For such a price and such quality? It's a shame for you, Tefal..</v>
      </c>
    </row>
    <row r="1323" spans="1:9" x14ac:dyDescent="0.3">
      <c r="A1323" s="1" t="s">
        <v>17</v>
      </c>
      <c r="B1323" s="1" t="s">
        <v>18</v>
      </c>
      <c r="C1323" s="1" t="s">
        <v>80</v>
      </c>
      <c r="D1323" s="1" t="s">
        <v>2963</v>
      </c>
      <c r="E1323" s="1" t="s">
        <v>2964</v>
      </c>
      <c r="F1323" s="1" t="s">
        <v>2965</v>
      </c>
      <c r="G1323" s="1" t="s">
        <v>28</v>
      </c>
      <c r="H1323" s="1" t="s">
        <v>29</v>
      </c>
      <c r="I1323" s="1" t="str">
        <f ca="1">IFERROR(__xludf.DUMMYFUNCTION("GOOGLETRANSLATE(F1323, ""auto"", ""en"")
"),"We've been using it for about a month. There is practically no vibration (adjusted by level). When washing, you can only hear the water pouring in and draining out (but this is probably the case with all machines), and the laundry moving around. Of course"&amp;", the drain pump could have been installed more quietly.")</f>
        <v>We've been using it for about a month. There is practically no vibration (adjusted by level). When washing, you can only hear the water pouring in and draining out (but this is probably the case with all machines), and the laundry moving around. Of course, the drain pump could have been installed more quietly.</v>
      </c>
    </row>
    <row r="1324" spans="1:9" x14ac:dyDescent="0.3">
      <c r="A1324" s="1" t="s">
        <v>37</v>
      </c>
      <c r="B1324" s="1" t="s">
        <v>38</v>
      </c>
      <c r="C1324" s="1" t="s">
        <v>163</v>
      </c>
      <c r="D1324" s="1" t="s">
        <v>2966</v>
      </c>
      <c r="E1324" s="1" t="s">
        <v>1646</v>
      </c>
      <c r="F1324" s="1" t="s">
        <v>2967</v>
      </c>
      <c r="G1324" s="1" t="s">
        <v>36</v>
      </c>
      <c r="H1324" s="1" t="s">
        <v>29</v>
      </c>
      <c r="I1324" s="1" t="str">
        <f ca="1">IFERROR(__xludf.DUMMYFUNCTION("GOOGLETRANSLATE(F1324, ""auto"", ""en"")
"),"cool phone qwerty keyboard just super os-super 1 speaker but oho ho big screen and this is cool")</f>
        <v>cool phone qwerty keyboard just super os-super 1 speaker but oho ho big screen and this is cool</v>
      </c>
    </row>
    <row r="1325" spans="1:9" x14ac:dyDescent="0.3">
      <c r="A1325" s="1" t="s">
        <v>30</v>
      </c>
      <c r="B1325" s="1" t="s">
        <v>50</v>
      </c>
      <c r="C1325" s="1" t="s">
        <v>1003</v>
      </c>
      <c r="D1325" s="1" t="s">
        <v>411</v>
      </c>
      <c r="E1325" s="1" t="s">
        <v>1190</v>
      </c>
      <c r="F1325" s="1" t="s">
        <v>2968</v>
      </c>
      <c r="G1325" s="1" t="s">
        <v>36</v>
      </c>
      <c r="H1325" s="1" t="s">
        <v>29</v>
      </c>
      <c r="I1325" s="1" t="str">
        <f ca="1">IFERROR(__xludf.DUMMYFUNCTION("GOOGLETRANSLATE(F1325, ""auto"", ""en"")
"),"I bought the 4515s the day before yesterday, and yesterday I took it to the service center - the AF key is stuck.  It’s a pity: the laptop is excellent - (4G,500G!!! -hard) brand, style, security bells and whistles, price/parameters ratio - excellent!!!  "&amp;" And I found firewood on W7!  The case is just a little dirty, but it looks great - a cloth will help)) And I was pleased with the bag included!!!")</f>
        <v>I bought the 4515s the day before yesterday, and yesterday I took it to the service center - the AF key is stuck.  It’s a pity: the laptop is excellent - (4G,500G!!! -hard) brand, style, security bells and whistles, price/parameters ratio - excellent!!!   And I found firewood on W7!  The case is just a little dirty, but it looks great - a cloth will help)) And I was pleased with the bag included!!!</v>
      </c>
    </row>
    <row r="1326" spans="1:9" x14ac:dyDescent="0.3">
      <c r="A1326" s="1" t="s">
        <v>30</v>
      </c>
      <c r="B1326" s="1" t="s">
        <v>31</v>
      </c>
      <c r="C1326" s="1" t="s">
        <v>32</v>
      </c>
      <c r="D1326" s="1" t="s">
        <v>2969</v>
      </c>
      <c r="E1326" s="1" t="s">
        <v>1723</v>
      </c>
      <c r="F1326" s="1" t="s">
        <v>2970</v>
      </c>
      <c r="G1326" s="1" t="s">
        <v>36</v>
      </c>
      <c r="H1326" s="1" t="s">
        <v>29</v>
      </c>
      <c r="I1326" s="1" t="str">
        <f ca="1">IFERROR(__xludf.DUMMYFUNCTION("GOOGLETRANSLATE(F1326, ""auto"", ""en"")
"),"The computer is super. With very large loads it feels as if it’s not loaded with anything + it’s also compact and quiet.")</f>
        <v>The computer is super. With very large loads it feels as if it’s not loaded with anything + it’s also compact and quiet.</v>
      </c>
    </row>
    <row r="1327" spans="1:9" x14ac:dyDescent="0.3">
      <c r="A1327" s="1" t="s">
        <v>67</v>
      </c>
      <c r="B1327" s="1" t="s">
        <v>340</v>
      </c>
      <c r="C1327" s="1" t="s">
        <v>341</v>
      </c>
      <c r="D1327" s="1" t="s">
        <v>471</v>
      </c>
      <c r="E1327" s="1" t="s">
        <v>1912</v>
      </c>
      <c r="F1327" s="1" t="s">
        <v>2971</v>
      </c>
      <c r="G1327" s="1" t="s">
        <v>28</v>
      </c>
      <c r="H1327" s="1" t="s">
        <v>29</v>
      </c>
      <c r="I1327" s="1" t="str">
        <f ca="1">IFERROR(__xludf.DUMMYFUNCTION("GOOGLETRANSLATE(F1327, ""auto"", ""en"")
"),"Is it possible to sew leather on this machine?")</f>
        <v>Is it possible to sew leather on this machine?</v>
      </c>
    </row>
    <row r="1328" spans="1:9" x14ac:dyDescent="0.3">
      <c r="A1328" s="1" t="s">
        <v>95</v>
      </c>
      <c r="B1328" s="1" t="s">
        <v>227</v>
      </c>
      <c r="C1328" s="1" t="s">
        <v>97</v>
      </c>
      <c r="D1328" s="1" t="s">
        <v>2972</v>
      </c>
      <c r="E1328" s="1" t="s">
        <v>1201</v>
      </c>
      <c r="F1328" s="1" t="s">
        <v>2973</v>
      </c>
      <c r="G1328" s="1" t="s">
        <v>28</v>
      </c>
      <c r="H1328" s="1" t="s">
        <v>29</v>
      </c>
      <c r="I1328" s="1" t="str">
        <f ca="1">IFERROR(__xludf.DUMMYFUNCTION("GOOGLETRANSLATE(F1328, ""auto"", ""en"")
"),"I bought it, everything is fine, the lack of support for ps2 games is frustrating")</f>
        <v>I bought it, everything is fine, the lack of support for ps2 games is frustrating</v>
      </c>
    </row>
    <row r="1329" spans="1:9" x14ac:dyDescent="0.3">
      <c r="A1329" s="1" t="s">
        <v>95</v>
      </c>
      <c r="B1329" s="1" t="s">
        <v>227</v>
      </c>
      <c r="C1329" s="1" t="s">
        <v>97</v>
      </c>
      <c r="D1329" s="1" t="s">
        <v>1776</v>
      </c>
      <c r="E1329" s="1" t="s">
        <v>1327</v>
      </c>
      <c r="F1329" s="1" t="s">
        <v>2974</v>
      </c>
      <c r="G1329" s="1" t="s">
        <v>36</v>
      </c>
      <c r="H1329" s="1" t="s">
        <v>29</v>
      </c>
      <c r="I1329" s="1" t="str">
        <f ca="1">IFERROR(__xludf.DUMMYFUNCTION("GOOGLETRANSLATE(F1329, ""auto"", ""en"")
"),"I bought this console 2 and a half months ago. The graphics are excellent, plus BluRay support. I bought this console mainly because of BluRay support, and why buy a player if the PS 3 plays BluRay. I'm very pleased with the set-top box.")</f>
        <v>I bought this console 2 and a half months ago. The graphics are excellent, plus BluRay support. I bought this console mainly because of BluRay support, and why buy a player if the PS 3 plays BluRay. I'm very pleased with the set-top box.</v>
      </c>
    </row>
    <row r="1330" spans="1:9" x14ac:dyDescent="0.3">
      <c r="A1330" s="1" t="s">
        <v>17</v>
      </c>
      <c r="B1330" s="1" t="s">
        <v>18</v>
      </c>
      <c r="C1330" s="1" t="s">
        <v>80</v>
      </c>
      <c r="D1330" s="1" t="s">
        <v>2975</v>
      </c>
      <c r="E1330" s="1" t="s">
        <v>2976</v>
      </c>
      <c r="F1330" s="1" t="s">
        <v>2977</v>
      </c>
      <c r="G1330" s="1" t="s">
        <v>49</v>
      </c>
      <c r="H1330" s="1" t="s">
        <v>16</v>
      </c>
      <c r="I1330" s="1" t="str">
        <f ca="1">IFERROR(__xludf.DUMMYFUNCTION("GOOGLETRANSLATE(F1330, ""auto"", ""en"")
"),"2 times they brought it defective, called a repairman. It was broken, there was a blow from the bottom on the packaging, the drum was warped. Increased vibration. Judging by the deformation of the packaging, that's where the blow landed.")</f>
        <v>2 times they brought it defective, called a repairman. It was broken, there was a blow from the bottom on the packaging, the drum was warped. Increased vibration. Judging by the deformation of the packaging, that's where the blow landed.</v>
      </c>
    </row>
    <row r="1331" spans="1:9" x14ac:dyDescent="0.3">
      <c r="A1331" s="1" t="s">
        <v>105</v>
      </c>
      <c r="B1331" s="1" t="s">
        <v>106</v>
      </c>
      <c r="C1331" s="1" t="s">
        <v>1921</v>
      </c>
      <c r="D1331" s="1" t="s">
        <v>2250</v>
      </c>
      <c r="E1331" s="1" t="s">
        <v>178</v>
      </c>
      <c r="F1331" s="1" t="s">
        <v>2978</v>
      </c>
      <c r="G1331" s="1" t="s">
        <v>28</v>
      </c>
      <c r="H1331" s="1" t="s">
        <v>29</v>
      </c>
      <c r="I1331" s="1" t="str">
        <f ca="1">IFERROR(__xludf.DUMMYFUNCTION("GOOGLETRANSLATE(F1331, ""auto"", ""en"")
"),"The battery life is tolerable, it’s true that it’s not always enough for movies, there’s plenty of memory, it’s true that you have to get used to the buttons and it’s inconvenient to play, but for 2600 rubles it’s super, at least for that price I haven’t "&amp;"found a better one. I advise you to take it, I don’t regret it.")</f>
        <v>The battery life is tolerable, it’s true that it’s not always enough for movies, there’s plenty of memory, it’s true that you have to get used to the buttons and it’s inconvenient to play, but for 2600 rubles it’s super, at least for that price I haven’t found a better one. I advise you to take it, I don’t regret it.</v>
      </c>
    </row>
    <row r="1332" spans="1:9" x14ac:dyDescent="0.3">
      <c r="A1332" s="1" t="s">
        <v>55</v>
      </c>
      <c r="B1332" s="1" t="s">
        <v>84</v>
      </c>
      <c r="C1332" s="1" t="s">
        <v>85</v>
      </c>
      <c r="D1332" s="1" t="s">
        <v>345</v>
      </c>
      <c r="E1332" s="1" t="s">
        <v>328</v>
      </c>
      <c r="F1332" s="1" t="s">
        <v>2979</v>
      </c>
      <c r="G1332" s="1" t="s">
        <v>36</v>
      </c>
      <c r="H1332" s="1" t="s">
        <v>29</v>
      </c>
      <c r="I1332" s="1" t="str">
        <f ca="1">IFERROR(__xludf.DUMMYFUNCTION("GOOGLETRANSLATE(F1332, ""auto"", ""en"")
"),"I've been using it for almost a year! I still can’t get enough of it. Cool design, quiet (generally silent). The air has become noticeably cleaner, and now I can’t imagine life without this device! Moisturizes wonderfully. During the first week, it took a"&amp;" long time for the humidity to build up, well, that’s understandable, furniture, sofas, walls, etc. absorbed all the moisture, but then the humidity began to build up noticeably faster! I am very pleased with the purchase! By the way, unlike other models,"&amp;" this one also removes odors!")</f>
        <v>I've been using it for almost a year! I still can’t get enough of it. Cool design, quiet (generally silent). The air has become noticeably cleaner, and now I can’t imagine life without this device! Moisturizes wonderfully. During the first week, it took a long time for the humidity to build up, well, that’s understandable, furniture, sofas, walls, etc. absorbed all the moisture, but then the humidity began to build up noticeably faster! I am very pleased with the purchase! By the way, unlike other models, this one also removes odors!</v>
      </c>
    </row>
    <row r="1333" spans="1:9" x14ac:dyDescent="0.3">
      <c r="A1333" s="1" t="s">
        <v>1443</v>
      </c>
      <c r="B1333" s="1" t="s">
        <v>1444</v>
      </c>
      <c r="C1333" s="1" t="s">
        <v>1445</v>
      </c>
      <c r="D1333" s="1" t="s">
        <v>247</v>
      </c>
      <c r="E1333" s="1" t="s">
        <v>2038</v>
      </c>
      <c r="F1333" s="1" t="s">
        <v>2980</v>
      </c>
      <c r="G1333" s="1" t="s">
        <v>36</v>
      </c>
      <c r="H1333" s="1" t="s">
        <v>29</v>
      </c>
      <c r="I1333" s="1" t="str">
        <f ca="1">IFERROR(__xludf.DUMMYFUNCTION("GOOGLETRANSLATE(F1333, ""auto"", ""en"")
"),"The flash drive is excellent, we bought it at Shirotnaya, I was satisfied =) I recommend it to everyone =)")</f>
        <v>The flash drive is excellent, we bought it at Shirotnaya, I was satisfied =) I recommend it to everyone =)</v>
      </c>
    </row>
    <row r="1334" spans="1:9" x14ac:dyDescent="0.3">
      <c r="A1334" s="1" t="s">
        <v>61</v>
      </c>
      <c r="B1334" s="1" t="s">
        <v>726</v>
      </c>
      <c r="C1334" s="1" t="s">
        <v>146</v>
      </c>
      <c r="D1334" s="1" t="s">
        <v>247</v>
      </c>
      <c r="E1334" s="1" t="s">
        <v>2981</v>
      </c>
      <c r="F1334" s="1" t="s">
        <v>2982</v>
      </c>
      <c r="G1334" s="1" t="s">
        <v>36</v>
      </c>
      <c r="H1334" s="1" t="s">
        <v>29</v>
      </c>
      <c r="I1334" s="1" t="str">
        <f ca="1">IFERROR(__xludf.DUMMYFUNCTION("GOOGLETRANSLATE(F1334, ""auto"", ""en"")
"),"Recipe book")</f>
        <v>Recipe book</v>
      </c>
    </row>
    <row r="1335" spans="1:9" x14ac:dyDescent="0.3">
      <c r="A1335" s="1" t="s">
        <v>95</v>
      </c>
      <c r="B1335" s="1" t="s">
        <v>486</v>
      </c>
      <c r="C1335" s="1" t="s">
        <v>487</v>
      </c>
      <c r="D1335" s="1" t="s">
        <v>33</v>
      </c>
      <c r="E1335" s="1" t="s">
        <v>980</v>
      </c>
      <c r="F1335" s="1" t="s">
        <v>2983</v>
      </c>
      <c r="G1335" s="1" t="s">
        <v>36</v>
      </c>
      <c r="H1335" s="1" t="s">
        <v>29</v>
      </c>
      <c r="I1335" s="1" t="str">
        <f ca="1">IFERROR(__xludf.DUMMYFUNCTION("GOOGLETRANSLATE(F1335, ""auto"", ""en"")
"),"the console is simply amazing, excellent equipment-price ratio, take it and don’t hesitate, it’s worth the money")</f>
        <v>the console is simply amazing, excellent equipment-price ratio, take it and don’t hesitate, it’s worth the money</v>
      </c>
    </row>
    <row r="1336" spans="1:9" x14ac:dyDescent="0.3">
      <c r="A1336" s="1" t="s">
        <v>149</v>
      </c>
      <c r="B1336" s="1" t="s">
        <v>150</v>
      </c>
      <c r="C1336" s="1" t="s">
        <v>151</v>
      </c>
      <c r="D1336" s="1" t="s">
        <v>81</v>
      </c>
      <c r="E1336" s="1" t="s">
        <v>2984</v>
      </c>
      <c r="F1336" s="1" t="s">
        <v>2985</v>
      </c>
      <c r="G1336" s="1" t="s">
        <v>36</v>
      </c>
      <c r="H1336" s="1" t="s">
        <v>29</v>
      </c>
      <c r="I1336" s="1" t="str">
        <f ca="1">IFERROR(__xludf.DUMMYFUNCTION("GOOGLETRANSLATE(F1336, ""auto"", ""en"")
"),"I bought M.Video yesterday (02/03/13) at the Third Promenade. Tried it with the whole family. The impressions are only positive. Before this, I had a Samsung with a dust bag, it served me faithfully for more than 10 years, I am very happy with it. Therefo"&amp;"re, options with another brand were not even considered. What first caught your eye, or rather felt, was the presence of a huge amount of static electricity (test tests were carried out on wool carpet and laminate). But this, in principle, is not such a b"&amp;"ig problem! There is more than enough power; when not at full capacity, the rather heavy carpet moves and lifts. An excellent vacuum cleaner: both power and noise (no noisier than the previous one), design and ergonomics. A little heavy, more than 10 kg, "&amp;"but you can’t carry it on yourself, it has wheels;) I recommend it to everyone! The only thing that bothers me is that I can’t find a HEPA 13 filter anywhere, the store told me to order it from the service center.")</f>
        <v>I bought M.Video yesterday (02/03/13) at the Third Promenade. Tried it with the whole family. The impressions are only positive. Before this, I had a Samsung with a dust bag, it served me faithfully for more than 10 years, I am very happy with it. Therefore, options with another brand were not even considered. What first caught your eye, or rather felt, was the presence of a huge amount of static electricity (test tests were carried out on wool carpet and laminate). But this, in principle, is not such a big problem! There is more than enough power; when not at full capacity, the rather heavy carpet moves and lifts. An excellent vacuum cleaner: both power and noise (no noisier than the previous one), design and ergonomics. A little heavy, more than 10 kg, but you can’t carry it on yourself, it has wheels;) I recommend it to everyone! The only thing that bothers me is that I can’t find a HEPA 13 filter anywhere, the store told me to order it from the service center.</v>
      </c>
    </row>
    <row r="1337" spans="1:9" x14ac:dyDescent="0.3">
      <c r="A1337" s="1" t="s">
        <v>282</v>
      </c>
      <c r="B1337" s="1" t="s">
        <v>283</v>
      </c>
      <c r="C1337" s="1" t="s">
        <v>284</v>
      </c>
      <c r="D1337" s="1" t="s">
        <v>411</v>
      </c>
      <c r="E1337" s="1" t="s">
        <v>2348</v>
      </c>
      <c r="F1337" s="1" t="s">
        <v>2986</v>
      </c>
      <c r="G1337" s="1" t="s">
        <v>28</v>
      </c>
      <c r="H1337" s="1" t="s">
        <v>29</v>
      </c>
      <c r="I1337" s="1" t="str">
        <f ca="1">IFERROR(__xludf.DUMMYFUNCTION("GOOGLETRANSLATE(F1337, ""auto"", ""en"")
"),"At some points in the film, when watching a DVD, the sound disappears or is greatly muffled. Most likely it is a defective disk.")</f>
        <v>At some points in the film, when watching a DVD, the sound disappears or is greatly muffled. Most likely it is a defective disk.</v>
      </c>
    </row>
    <row r="1338" spans="1:9" x14ac:dyDescent="0.3">
      <c r="A1338" s="1" t="s">
        <v>30</v>
      </c>
      <c r="B1338" s="1" t="s">
        <v>50</v>
      </c>
      <c r="C1338" s="1" t="s">
        <v>694</v>
      </c>
      <c r="D1338" s="1" t="s">
        <v>139</v>
      </c>
      <c r="E1338" s="1" t="s">
        <v>1649</v>
      </c>
      <c r="F1338" s="1" t="s">
        <v>2987</v>
      </c>
      <c r="G1338" s="1" t="s">
        <v>36</v>
      </c>
      <c r="H1338" s="1" t="s">
        <v>29</v>
      </c>
      <c r="I1338" s="1" t="str">
        <f ca="1">IFERROR(__xludf.DUMMYFUNCTION("GOOGLETRANSLATE(F1338, ""auto"", ""en"")
"),"We bought this laptop for my dad and he is very pleased. The most important thing is that it does not glitch and with valor performs all the tasks assigned by dad, such as surfing the Internet, watching movies and the like. An excellent alternative to a n"&amp;"etbook, equipped with a DVD drive!")</f>
        <v>We bought this laptop for my dad and he is very pleased. The most important thing is that it does not glitch and with valor performs all the tasks assigned by dad, such as surfing the Internet, watching movies and the like. An excellent alternative to a netbook, equipped with a DVD drive!</v>
      </c>
    </row>
    <row r="1339" spans="1:9" x14ac:dyDescent="0.3">
      <c r="A1339" s="1" t="s">
        <v>105</v>
      </c>
      <c r="B1339" s="1" t="s">
        <v>106</v>
      </c>
      <c r="C1339" s="1" t="s">
        <v>1921</v>
      </c>
      <c r="D1339" s="1" t="s">
        <v>232</v>
      </c>
      <c r="E1339" s="1" t="s">
        <v>2360</v>
      </c>
      <c r="F1339" s="1" t="s">
        <v>2988</v>
      </c>
      <c r="G1339" s="1" t="s">
        <v>15</v>
      </c>
      <c r="H1339" s="1" t="s">
        <v>16</v>
      </c>
      <c r="I1339" s="1" t="str">
        <f ca="1">IFERROR(__xludf.DUMMYFUNCTION("GOOGLETRANSLATE(F1339, ""auto"", ""en"")
"),"There is nothing special to add - everything is written. It stopped turning on after a week, with careful handling and proper shutdown.")</f>
        <v>There is nothing special to add - everything is written. It stopped turning on after a week, with careful handling and proper shutdown.</v>
      </c>
    </row>
    <row r="1340" spans="1:9" x14ac:dyDescent="0.3">
      <c r="A1340" s="1" t="s">
        <v>105</v>
      </c>
      <c r="B1340" s="1" t="s">
        <v>106</v>
      </c>
      <c r="C1340" s="1" t="s">
        <v>97</v>
      </c>
      <c r="D1340" s="1" t="s">
        <v>2989</v>
      </c>
      <c r="E1340" s="1" t="s">
        <v>2990</v>
      </c>
      <c r="F1340" s="1" t="s">
        <v>2991</v>
      </c>
      <c r="G1340" s="1" t="s">
        <v>36</v>
      </c>
      <c r="H1340" s="1" t="s">
        <v>29</v>
      </c>
      <c r="I1340" s="1" t="str">
        <f ca="1">IFERROR(__xludf.DUMMYFUNCTION("GOOGLETRANSLATE(F1340, ""auto"", ""en"")
"),"The player in my opinion suits me just fine! everything is simple and tasteful! Convenient is the most important thing, and especially since it’s Sony, and everyone knows that it’s high-quality sound and reliability... but I always have a question before "&amp;"buying. For example, a friend has the same player only with 2 GB capacity. I listened to it with my original headphones... it seemed to me that it was a little quiet for me... is it worth buying it on the condition that I buy headphones that are not in-ea"&amp;"r, but with large external speakers...?  p.s. The sound quality is excellent.. even with the original headphones it doesn’t sound too bad and the battery lasts quite a long time, in short it’s a solid 5!")</f>
        <v>The player in my opinion suits me just fine! everything is simple and tasteful! Convenient is the most important thing, and especially since it’s Sony, and everyone knows that it’s high-quality sound and reliability... but I always have a question before buying. For example, a friend has the same player only with 2 GB capacity. I listened to it with my original headphones... it seemed to me that it was a little quiet for me... is it worth buying it on the condition that I buy headphones that are not in-ear, but with large external speakers...?  p.s. The sound quality is excellent.. even with the original headphones it doesn’t sound too bad and the battery lasts quite a long time, in short it’s a solid 5!</v>
      </c>
    </row>
    <row r="1341" spans="1:9" x14ac:dyDescent="0.3">
      <c r="A1341" s="1" t="s">
        <v>67</v>
      </c>
      <c r="B1341" s="1" t="s">
        <v>68</v>
      </c>
      <c r="C1341" s="1" t="s">
        <v>185</v>
      </c>
      <c r="D1341" s="1" t="s">
        <v>2992</v>
      </c>
      <c r="E1341" s="1" t="s">
        <v>214</v>
      </c>
      <c r="F1341" s="1" t="s">
        <v>2993</v>
      </c>
      <c r="G1341" s="1" t="s">
        <v>36</v>
      </c>
      <c r="H1341" s="1" t="s">
        <v>29</v>
      </c>
      <c r="I1341" s="1" t="str">
        <f ca="1">IFERROR(__xludf.DUMMYFUNCTION("GOOGLETRANSLATE(F1341, ""auto"", ""en"")
"),"I have been using Delongs VVX 340 for about a year now. And only good impressions, he does his job perfectly. Irons everything instantly! And most importantly, you can fill it with water from the tap and at least there will be no scale. And the price is t"&amp;"he same as an average iron, but there are more advantages. I recommend it to everyone!!!!!")</f>
        <v>I have been using Delongs VVX 340 for about a year now. And only good impressions, he does his job perfectly. Irons everything instantly! And most importantly, you can fill it with water from the tap and at least there will be no scale. And the price is the same as an average iron, but there are more advantages. I recommend it to everyone!!!!!</v>
      </c>
    </row>
    <row r="1342" spans="1:9" x14ac:dyDescent="0.3">
      <c r="A1342" s="1" t="s">
        <v>120</v>
      </c>
      <c r="B1342" s="1" t="s">
        <v>121</v>
      </c>
      <c r="C1342" s="1" t="s">
        <v>97</v>
      </c>
      <c r="D1342" s="1" t="s">
        <v>280</v>
      </c>
      <c r="E1342" s="1" t="s">
        <v>2994</v>
      </c>
      <c r="F1342" s="1" t="s">
        <v>2995</v>
      </c>
      <c r="G1342" s="1" t="s">
        <v>28</v>
      </c>
      <c r="H1342" s="1" t="s">
        <v>29</v>
      </c>
      <c r="I1342" s="1" t="str">
        <f ca="1">IFERROR(__xludf.DUMMYFUNCTION("GOOGLETRANSLATE(F1342, ""auto"", ""en"")
"),"The TV is excellent, only the USB media player let us down, the black bar when switching is annoying, when analog channels, I connected digital ones, and in this bar it shows the current time, which channel is on, what program is on, what time it started "&amp;"and when it will end, very convenient! So don't worry too much about the black stripe.")</f>
        <v>The TV is excellent, only the USB media player let us down, the black bar when switching is annoying, when analog channels, I connected digital ones, and in this bar it shows the current time, which channel is on, what program is on, what time it started and when it will end, very convenient! So don't worry too much about the black stripe.</v>
      </c>
    </row>
    <row r="1343" spans="1:9" x14ac:dyDescent="0.3">
      <c r="A1343" s="1" t="s">
        <v>211</v>
      </c>
      <c r="B1343" s="1" t="s">
        <v>212</v>
      </c>
      <c r="C1343" s="1" t="s">
        <v>381</v>
      </c>
      <c r="D1343" s="1" t="s">
        <v>295</v>
      </c>
      <c r="E1343" s="1" t="s">
        <v>1177</v>
      </c>
      <c r="F1343" s="1" t="s">
        <v>2996</v>
      </c>
      <c r="G1343" s="1" t="s">
        <v>36</v>
      </c>
      <c r="H1343" s="1" t="s">
        <v>29</v>
      </c>
      <c r="I1343" s="1" t="str">
        <f ca="1">IFERROR(__xludf.DUMMYFUNCTION("GOOGLETRANSLATE(F1343, ""auto"", ""en"")
"),"The curling iron itself is good, it all depends on the type of your hair, if it is very straight, then no curling iron, even the most SUPER curling iron, will curl it. And even if it curls, it won’t last long. Personally, I really like the hairstyle after"&amp;" curling it with this particular curling iron. I recommend it.   Hollywood hairstyle works great (smooth curls)")</f>
        <v>The curling iron itself is good, it all depends on the type of your hair, if it is very straight, then no curling iron, even the most SUPER curling iron, will curl it. And even if it curls, it won’t last long. Personally, I really like the hairstyle after curling it with this particular curling iron. I recommend it.   Hollywood hairstyle works great (smooth curls)</v>
      </c>
    </row>
    <row r="1344" spans="1:9" x14ac:dyDescent="0.3">
      <c r="A1344" s="1" t="s">
        <v>557</v>
      </c>
      <c r="B1344" s="1" t="s">
        <v>558</v>
      </c>
      <c r="C1344" s="1" t="s">
        <v>816</v>
      </c>
      <c r="D1344" s="1" t="s">
        <v>39</v>
      </c>
      <c r="E1344" s="1" t="s">
        <v>1239</v>
      </c>
      <c r="F1344" s="1" t="s">
        <v>2997</v>
      </c>
      <c r="G1344" s="1" t="s">
        <v>36</v>
      </c>
      <c r="H1344" s="1" t="s">
        <v>29</v>
      </c>
      <c r="I1344" s="1" t="str">
        <f ca="1">IFERROR(__xludf.DUMMYFUNCTION("GOOGLETRANSLATE(F1344, ""auto"", ""en"")
"),"Very good phone. Connected immediately, without problems. One tube is in our room, the second is in our son’s. Now we don’t yell at the top of our lungs to go to lunch - we communicate exclusively via intercom! )))")</f>
        <v>Very good phone. Connected immediately, without problems. One tube is in our room, the second is in our son’s. Now we don’t yell at the top of our lungs to go to lunch - we communicate exclusively via intercom! )))</v>
      </c>
    </row>
    <row r="1345" spans="1:9" x14ac:dyDescent="0.3">
      <c r="A1345" s="1" t="s">
        <v>624</v>
      </c>
      <c r="B1345" s="1" t="s">
        <v>2107</v>
      </c>
      <c r="C1345" s="1" t="s">
        <v>487</v>
      </c>
      <c r="D1345" s="1" t="s">
        <v>117</v>
      </c>
      <c r="E1345" s="1" t="s">
        <v>2998</v>
      </c>
      <c r="F1345" s="1" t="s">
        <v>2999</v>
      </c>
      <c r="G1345" s="1" t="s">
        <v>36</v>
      </c>
      <c r="H1345" s="1" t="s">
        <v>29</v>
      </c>
      <c r="I1345" s="1" t="str">
        <f ca="1">IFERROR(__xludf.DUMMYFUNCTION("GOOGLETRANSLATE(F1345, ""auto"", ""en"")
"),"I actually liked the game. Lots of freezing missions, an interesting ending, a well-thought-out plot, but there is still some drama: It’s a pity for all those who were killed by the Covenant. There’s nothing to say about the multi-player: it’s simply gorg"&amp;"eous.")</f>
        <v>I actually liked the game. Lots of freezing missions, an interesting ending, a well-thought-out plot, but there is still some drama: It’s a pity for all those who were killed by the Covenant. There’s nothing to say about the multi-player: it’s simply gorgeous.</v>
      </c>
    </row>
    <row r="1346" spans="1:9" x14ac:dyDescent="0.3">
      <c r="A1346" s="1" t="s">
        <v>30</v>
      </c>
      <c r="B1346" s="1" t="s">
        <v>50</v>
      </c>
      <c r="C1346" s="1" t="s">
        <v>189</v>
      </c>
      <c r="D1346" s="1" t="s">
        <v>2840</v>
      </c>
      <c r="E1346" s="1" t="s">
        <v>1992</v>
      </c>
      <c r="F1346" s="1" t="s">
        <v>3000</v>
      </c>
      <c r="G1346" s="1" t="s">
        <v>28</v>
      </c>
      <c r="H1346" s="1" t="s">
        <v>29</v>
      </c>
      <c r="I1346" s="1" t="str">
        <f ca="1">IFERROR(__xludf.DUMMYFUNCTION("GOOGLETRANSLATE(F1346, ""auto"", ""en"")
"),"jasus, it’s not the speakers, try clicking on the SRS Premium Sound icon in the tray and “Stop processing”, the sound is normal.    Does anyone have the touchpad behave incorrectly when connecting the power cord? For example, my cursor jumps, but maybe be"&amp;"cause of the radio tower under the window.     BUT it seems to me that for this price it was possible to install an i5 processor")</f>
        <v>jasus, it’s not the speakers, try clicking on the SRS Premium Sound icon in the tray and “Stop processing”, the sound is normal.    Does anyone have the touchpad behave incorrectly when connecting the power cord? For example, my cursor jumps, but maybe because of the radio tower under the window.     BUT it seems to me that for this price it was possible to install an i5 processor</v>
      </c>
    </row>
    <row r="1347" spans="1:9" x14ac:dyDescent="0.3">
      <c r="A1347" s="1" t="s">
        <v>30</v>
      </c>
      <c r="B1347" s="1" t="s">
        <v>50</v>
      </c>
      <c r="C1347" s="1" t="s">
        <v>32</v>
      </c>
      <c r="D1347" s="1" t="s">
        <v>3001</v>
      </c>
      <c r="E1347" s="1" t="s">
        <v>3002</v>
      </c>
      <c r="F1347" s="1" t="s">
        <v>3003</v>
      </c>
      <c r="G1347" s="1" t="s">
        <v>36</v>
      </c>
      <c r="H1347" s="1" t="s">
        <v>29</v>
      </c>
      <c r="I1347" s="1" t="str">
        <f ca="1">IFERROR(__xludf.DUMMYFUNCTION("GOOGLETRANSLATE(F1347, ""auto"", ""en"")
"),"We've been using it for a month now. Pros: enough charge for two full evenings on the couch; and most importantly - 3-second readiness for working on the Internet (time to go through BIOS = 3 seconds, load Android OS = 3 seconds). So: an indispensable thi"&amp;"ng for operational work on the Internet! There is only one drawback so far: if Windows XP does not boot, then (in accordance with the user instructions) you can only recover from an external CD, which must first be done on an external CD. For those workin"&amp;"g on Android, this is not important.")</f>
        <v>We've been using it for a month now. Pros: enough charge for two full evenings on the couch; and most importantly - 3-second readiness for working on the Internet (time to go through BIOS = 3 seconds, load Android OS = 3 seconds). So: an indispensable thing for operational work on the Internet! There is only one drawback so far: if Windows XP does not boot, then (in accordance with the user instructions) you can only recover from an external CD, which must first be done on an external CD. For those working on Android, this is not important.</v>
      </c>
    </row>
    <row r="1348" spans="1:9" x14ac:dyDescent="0.3">
      <c r="A1348" s="1" t="s">
        <v>149</v>
      </c>
      <c r="B1348" s="1" t="s">
        <v>155</v>
      </c>
      <c r="C1348" s="1" t="s">
        <v>80</v>
      </c>
      <c r="D1348" s="1" t="s">
        <v>2412</v>
      </c>
      <c r="E1348" s="1" t="s">
        <v>3004</v>
      </c>
      <c r="F1348" s="1" t="s">
        <v>3005</v>
      </c>
      <c r="G1348" s="1" t="s">
        <v>36</v>
      </c>
      <c r="H1348" s="1" t="s">
        <v>29</v>
      </c>
      <c r="I1348" s="1" t="str">
        <f ca="1">IFERROR(__xludf.DUMMYFUNCTION("GOOGLETRANSLATE(F1348, ""auto"", ""en"")
"),"We gave this vacuum cleaner to my grandmother a year ago, despite the fact that she is not friendly with technology, she figured out its control and use very quickly, it is very compact, easily fits behind the door and does not get in the way, the dust co"&amp;"ntainer is spacious, the length of the wire is enough to clean a one-room apartment, the power is also enough, a good vacuum cleaner")</f>
        <v>We gave this vacuum cleaner to my grandmother a year ago, despite the fact that she is not friendly with technology, she figured out its control and use very quickly, it is very compact, easily fits behind the door and does not get in the way, the dust container is spacious, the length of the wire is enough to clean a one-room apartment, the power is also enough, a good vacuum cleaner</v>
      </c>
    </row>
    <row r="1349" spans="1:9" x14ac:dyDescent="0.3">
      <c r="A1349" s="1" t="s">
        <v>61</v>
      </c>
      <c r="B1349" s="1" t="s">
        <v>318</v>
      </c>
      <c r="C1349" s="1" t="s">
        <v>101</v>
      </c>
      <c r="D1349" s="1" t="s">
        <v>172</v>
      </c>
      <c r="E1349" s="1" t="s">
        <v>3006</v>
      </c>
      <c r="F1349" s="1" t="s">
        <v>3007</v>
      </c>
      <c r="G1349" s="1" t="s">
        <v>15</v>
      </c>
      <c r="H1349" s="1" t="s">
        <v>16</v>
      </c>
      <c r="I1349" s="1" t="str">
        <f ca="1">IFERROR(__xludf.DUMMYFUNCTION("GOOGLETRANSLATE(F1349, ""auto"", ""en"")
"),"The plastic under the lid smells strong! Nothing can remove this smell; after a week I gave it back.")</f>
        <v>The plastic under the lid smells strong! Nothing can remove this smell; after a week I gave it back.</v>
      </c>
    </row>
    <row r="1350" spans="1:9" x14ac:dyDescent="0.3">
      <c r="A1350" s="1" t="s">
        <v>211</v>
      </c>
      <c r="B1350" s="1" t="s">
        <v>410</v>
      </c>
      <c r="C1350" s="1" t="s">
        <v>213</v>
      </c>
      <c r="D1350" s="1" t="s">
        <v>695</v>
      </c>
      <c r="E1350" s="1" t="s">
        <v>1852</v>
      </c>
      <c r="F1350" s="1" t="s">
        <v>3008</v>
      </c>
      <c r="G1350" s="1" t="s">
        <v>36</v>
      </c>
      <c r="H1350" s="1" t="s">
        <v>29</v>
      </c>
      <c r="I1350" s="1" t="str">
        <f ca="1">IFERROR(__xludf.DUMMYFUNCTION("GOOGLETRANSLATE(F1350, ""auto"", ""en"")
"),"I am a supporter of electric shavers - I decided to update my wardrobe..))) I bought an updated Braun... it shaves better than before... It can’t be compared to a machine... Convenient, beautiful and fast - what else do you need...))")</f>
        <v>I am a supporter of electric shavers - I decided to update my wardrobe..))) I bought an updated Braun... it shaves better than before... It can’t be compared to a machine... Convenient, beautiful and fast - what else do you need...))</v>
      </c>
    </row>
    <row r="1351" spans="1:9" x14ac:dyDescent="0.3">
      <c r="A1351" s="1" t="s">
        <v>17</v>
      </c>
      <c r="B1351" s="1" t="s">
        <v>18</v>
      </c>
      <c r="C1351" s="1" t="s">
        <v>870</v>
      </c>
      <c r="D1351" s="1" t="s">
        <v>1890</v>
      </c>
      <c r="E1351" s="1" t="s">
        <v>3009</v>
      </c>
      <c r="F1351" s="1" t="s">
        <v>3010</v>
      </c>
      <c r="G1351" s="1" t="s">
        <v>36</v>
      </c>
      <c r="H1351" s="1" t="s">
        <v>29</v>
      </c>
      <c r="I1351" s="1" t="str">
        <f ca="1">IFERROR(__xludf.DUMMYFUNCTION("GOOGLETRANSLATE(F1351, ""auto"", ""en"")
"),"The first wash went better than ever, the plumber set it straight, during the spin cycle it stood still without moving, the noise is practically inaudible when the bathroom door is closed, you can safely throw things in at night and your sleep will not be"&amp;" disturbed. Overall I’m satisfied, satisfied with the price-quality ratio, I recommend!!!")</f>
        <v>The first wash went better than ever, the plumber set it straight, during the spin cycle it stood still without moving, the noise is practically inaudible when the bathroom door is closed, you can safely throw things in at night and your sleep will not be disturbed. Overall I’m satisfied, satisfied with the price-quality ratio, I recommend!!!</v>
      </c>
    </row>
    <row r="1352" spans="1:9" x14ac:dyDescent="0.3">
      <c r="A1352" s="1" t="s">
        <v>9</v>
      </c>
      <c r="B1352" s="1" t="s">
        <v>10</v>
      </c>
      <c r="C1352" s="1" t="s">
        <v>407</v>
      </c>
      <c r="D1352" s="1" t="s">
        <v>3011</v>
      </c>
      <c r="E1352" s="1" t="s">
        <v>2352</v>
      </c>
      <c r="F1352" s="1" t="s">
        <v>3012</v>
      </c>
      <c r="G1352" s="1" t="s">
        <v>36</v>
      </c>
      <c r="H1352" s="1" t="s">
        <v>29</v>
      </c>
      <c r="I1352" s="1" t="str">
        <f ca="1">IFERROR(__xludf.DUMMYFUNCTION("GOOGLETRANSLATE(F1352, ""auto"", ""en"")
"),"I've been dreaming about this model for a long time. So, I bought it, I’m using it, I’m very pleased! turns on with one touch, turns off too, has a timer, works quietly, convenient lighting, stylish design. It draws well and absorbs all kitchen odors, des"&amp;"pite the fact that the kitchen is combined with the living room. I like that the glass visor covers the filter. Well, I like everything!")</f>
        <v>I've been dreaming about this model for a long time. So, I bought it, I’m using it, I’m very pleased! turns on with one touch, turns off too, has a timer, works quietly, convenient lighting, stylish design. It draws well and absorbs all kitchen odors, despite the fact that the kitchen is combined with the living room. I like that the glass visor covers the filter. Well, I like everything!</v>
      </c>
    </row>
    <row r="1353" spans="1:9" x14ac:dyDescent="0.3">
      <c r="A1353" s="1" t="s">
        <v>369</v>
      </c>
      <c r="B1353" s="1" t="s">
        <v>370</v>
      </c>
      <c r="C1353" s="1" t="s">
        <v>290</v>
      </c>
      <c r="D1353" s="1" t="s">
        <v>81</v>
      </c>
      <c r="E1353" s="1" t="s">
        <v>3013</v>
      </c>
      <c r="F1353" s="1" t="s">
        <v>3014</v>
      </c>
      <c r="G1353" s="1" t="s">
        <v>36</v>
      </c>
      <c r="H1353" s="1" t="s">
        <v>29</v>
      </c>
      <c r="I1353" s="1" t="str">
        <f ca="1">IFERROR(__xludf.DUMMYFUNCTION("GOOGLETRANSLATE(F1353, ""auto"", ""en"")
"),"I've known this company for a long time. I can say with great confidence that there is little such high-quality and good equipment on the market; it’s great that this company, with its own assembly in Slovenia, has been present on the Russian market for a"&amp;" very long time. Back in the 80s, my parents had a Gorenje stove with simple burners; it worked for them for more than twenty years, and to this day it sits and works at a friend’s dacha. This is how I understand the quality and durability of the product,"&amp;" as they say, buy it and forget it. The Gorenje company uses very high-quality materials in its slabs, firstly, it is Eurocera glass, one of the world's manufacturers of glass ceramics, very easy to care for and very resistant to external influences. The "&amp;"inner coating of the oven is easy to clean, this company has a convenient mode, it’s called steam cleaning, this is a classic option for cleaning the oven using steam, pour water into a baking tray, turn on this mode and that’s it, you don’t need to spend"&amp;" a lot of time and effort on caring for the oven, all you have to do is wipe the inner chamber of the oven and enjoy the cleanliness. There are many different cooking modes for both baking, frying and baking. Due to the uniform distribution of heat, unple"&amp;"asant incidents will never happen, your task is simply to put the product in, select the desired mode, for your convenience there is a timer, you can program the cooking time, the timer turns off at the appointed time. I was pleased with the rich set: two"&amp;" baking sheets, one shallow and the other deep, and I have never seen such a deep baking sheet from any manufacturer, the telescopes in the oven are super convenient, the baking sheet can be easily reached due to the guides, I was also pleased with the sm"&amp;"ooth closing of the oven door, which is a great advantage with frequent use, nothing slams and everything closes tightly. There is a mechanical lock at the top of the door to protect it from children. If desired, it can be easily removed. The work surface"&amp;" has four HiLight burners, two of which have an expansion zone, which I find very convenient and functional. There are no complaints about heating and cooking time, everything is very fast and tasty. I use a good cookware with a flat bottom for glass cera"&amp;"mics, but I have a cast iron cauldron, I was afraid that I would no longer be able to use it and cook my signature pilaf, I was sure that such cookware cannot be used on glass ceramics, but it turned out that everything works great, due to the fact that t"&amp;"he HiLight burners are fast heating, everything is cooked very quickly. Glass washes and cleans perfectly; I have two tools for this: a scraper for glass ceramics and a surface cleaner. A scraper is needed if something gets burnt while cooking, and a hob "&amp;"cleaner will help your kitchen assistant always look like new. I am very pleased with the purchase. I wish you all good purchases!")</f>
        <v>I've known this company for a long time. I can say with great confidence that there is little such high-quality and good equipment on the market; it’s great that this company, with its own assembly in Slovenia, has been present on the Russian market for a very long time. Back in the 80s, my parents had a Gorenje stove with simple burners; it worked for them for more than twenty years, and to this day it sits and works at a friend’s dacha. This is how I understand the quality and durability of the product, as they say, buy it and forget it. The Gorenje company uses very high-quality materials in its slabs, firstly, it is Eurocera glass, one of the world's manufacturers of glass ceramics, very easy to care for and very resistant to external influences. The inner coating of the oven is easy to clean, this company has a convenient mode, it’s called steam cleaning, this is a classic option for cleaning the oven using steam, pour water into a baking tray, turn on this mode and that’s it, you don’t need to spend a lot of time and effort on caring for the oven, all you have to do is wipe the inner chamber of the oven and enjoy the cleanliness. There are many different cooking modes for both baking, frying and baking. Due to the uniform distribution of heat, unpleasant incidents will never happen, your task is simply to put the product in, select the desired mode, for your convenience there is a timer, you can program the cooking time, the timer turns off at the appointed time. I was pleased with the rich set: two baking sheets, one shallow and the other deep, and I have never seen such a deep baking sheet from any manufacturer, the telescopes in the oven are super convenient, the baking sheet can be easily reached due to the guides, I was also pleased with the smooth closing of the oven door, which is a great advantage with frequent use, nothing slams and everything closes tightly. There is a mechanical lock at the top of the door to protect it from children. If desired, it can be easily removed. The work surface has four HiLight burners, two of which have an expansion zone, which I find very convenient and functional. There are no complaints about heating and cooking time, everything is very fast and tasty. I use a good cookware with a flat bottom for glass ceramics, but I have a cast iron cauldron, I was afraid that I would no longer be able to use it and cook my signature pilaf, I was sure that such cookware cannot be used on glass ceramics, but it turned out that everything works great, due to the fact that the HiLight burners are fast heating, everything is cooked very quickly. Glass washes and cleans perfectly; I have two tools for this: a scraper for glass ceramics and a surface cleaner. A scraper is needed if something gets burnt while cooking, and a hob cleaner will help your kitchen assistant always look like new. I am very pleased with the purchase. I wish you all good purchases!</v>
      </c>
    </row>
    <row r="1354" spans="1:9" x14ac:dyDescent="0.3">
      <c r="A1354" s="1" t="s">
        <v>169</v>
      </c>
      <c r="B1354" s="1" t="s">
        <v>170</v>
      </c>
      <c r="C1354" s="1" t="s">
        <v>69</v>
      </c>
      <c r="D1354" s="1" t="s">
        <v>3015</v>
      </c>
      <c r="E1354" s="1" t="s">
        <v>3016</v>
      </c>
      <c r="F1354" s="1" t="s">
        <v>3017</v>
      </c>
      <c r="G1354" s="1" t="s">
        <v>36</v>
      </c>
      <c r="H1354" s="1" t="s">
        <v>29</v>
      </c>
      <c r="I1354" s="1" t="str">
        <f ca="1">IFERROR(__xludf.DUMMYFUNCTION("GOOGLETRANSLATE(F1354, ""auto"", ""en"")
"),"I purchased the headphones at the end of May (that is, they are already six months old) for 690 rubles. Comfortable to wear. I walked quietly with them for more than two hours, although at first it was unusual. The sound is good, although of course it can"&amp;" be better, but at a completely different price.  5 out of 5. I hope they will last another twenty years.")</f>
        <v>I purchased the headphones at the end of May (that is, they are already six months old) for 690 rubles. Comfortable to wear. I walked quietly with them for more than two hours, although at first it was unusual. The sound is good, although of course it can be better, but at a completely different price.  5 out of 5. I hope they will last another twenty years.</v>
      </c>
    </row>
    <row r="1355" spans="1:9" x14ac:dyDescent="0.3">
      <c r="A1355" s="1" t="s">
        <v>55</v>
      </c>
      <c r="B1355" s="1" t="s">
        <v>56</v>
      </c>
      <c r="C1355" s="1" t="s">
        <v>85</v>
      </c>
      <c r="D1355" s="1" t="s">
        <v>1764</v>
      </c>
      <c r="E1355" s="1" t="s">
        <v>3018</v>
      </c>
      <c r="F1355" s="1" t="s">
        <v>3019</v>
      </c>
      <c r="G1355" s="1" t="s">
        <v>49</v>
      </c>
      <c r="H1355" s="1" t="s">
        <v>16</v>
      </c>
      <c r="I1355" s="1" t="str">
        <f ca="1">IFERROR(__xludf.DUMMYFUNCTION("GOOGLETRANSLATE(F1355, ""auto"", ""en"")
"),"We bought a BORK H500 air humidifier in the winter, we were very disappointed, because the device is designed for an area of ​​60 sq.m., we used it on 18 square meters, in the most powerful mode (75% humidification), it worked for 6 days for 14 hours. Hum"&amp;"idity during this time rose to 32%. We read from reviews that everything around should be saturated with moisture, we waited every day for it to happen, but it never happened.")</f>
        <v>We bought a BORK H500 air humidifier in the winter, we were very disappointed, because the device is designed for an area of ​​60 sq.m., we used it on 18 square meters, in the most powerful mode (75% humidification), it worked for 6 days for 14 hours. Humidity during this time rose to 32%. We read from reviews that everything around should be saturated with moisture, we waited every day for it to happen, but it never happened.</v>
      </c>
    </row>
    <row r="1356" spans="1:9" x14ac:dyDescent="0.3">
      <c r="A1356" s="1" t="s">
        <v>61</v>
      </c>
      <c r="B1356" s="1" t="s">
        <v>318</v>
      </c>
      <c r="C1356" s="1" t="s">
        <v>122</v>
      </c>
      <c r="D1356" s="1" t="s">
        <v>12</v>
      </c>
      <c r="E1356" s="1" t="s">
        <v>3020</v>
      </c>
      <c r="F1356" s="1" t="s">
        <v>3021</v>
      </c>
      <c r="G1356" s="1" t="s">
        <v>36</v>
      </c>
      <c r="H1356" s="1" t="s">
        <v>29</v>
      </c>
      <c r="I1356" s="1" t="str">
        <f ca="1">IFERROR(__xludf.DUMMYFUNCTION("GOOGLETRANSLATE(F1356, ""auto"", ""en"")
"),"We bought it a couple of months ago for a child (3 months old) so that there would always be hot water for preparing the formula. A very good device. No complaints so far.")</f>
        <v>We bought it a couple of months ago for a child (3 months old) so that there would always be hot water for preparing the formula. A very good device. No complaints so far.</v>
      </c>
    </row>
    <row r="1357" spans="1:9" x14ac:dyDescent="0.3">
      <c r="A1357" s="1" t="s">
        <v>30</v>
      </c>
      <c r="B1357" s="1" t="s">
        <v>50</v>
      </c>
      <c r="C1357" s="1" t="s">
        <v>32</v>
      </c>
      <c r="D1357" s="1" t="s">
        <v>171</v>
      </c>
      <c r="E1357" s="1" t="s">
        <v>571</v>
      </c>
      <c r="F1357" s="1" t="s">
        <v>3022</v>
      </c>
      <c r="G1357" s="1" t="s">
        <v>28</v>
      </c>
      <c r="H1357" s="1" t="s">
        <v>29</v>
      </c>
      <c r="I1357" s="1" t="str">
        <f ca="1">IFERROR(__xludf.DUMMYFUNCTION("GOOGLETRANSLATE(F1357, ""auto"", ""en"")
"),"I recently bought this beech! Well, about 2 weeks ago! For such money it’s absolutely great! Only now the battery has let us down! doesn't hold much! and I wish I had better video!")</f>
        <v>I recently bought this beech! Well, about 2 weeks ago! For such money it’s absolutely great! Only now the battery has let us down! doesn't hold much! and I wish I had better video!</v>
      </c>
    </row>
    <row r="1358" spans="1:9" x14ac:dyDescent="0.3">
      <c r="A1358" s="1" t="s">
        <v>120</v>
      </c>
      <c r="B1358" s="1" t="s">
        <v>256</v>
      </c>
      <c r="C1358" s="1" t="s">
        <v>658</v>
      </c>
      <c r="D1358" s="1" t="s">
        <v>1619</v>
      </c>
      <c r="E1358" s="1" t="s">
        <v>971</v>
      </c>
      <c r="F1358" s="1" t="s">
        <v>3023</v>
      </c>
      <c r="G1358" s="1" t="s">
        <v>36</v>
      </c>
      <c r="H1358" s="1" t="s">
        <v>29</v>
      </c>
      <c r="I1358" s="1" t="str">
        <f ca="1">IFERROR(__xludf.DUMMYFUNCTION("GOOGLETRANSLATE(F1358, ""auto"", ""en"")
"),"Good TV, and the price is good)")</f>
        <v>Good TV, and the price is good)</v>
      </c>
    </row>
    <row r="1359" spans="1:9" x14ac:dyDescent="0.3">
      <c r="A1359" s="1" t="s">
        <v>811</v>
      </c>
      <c r="B1359" s="1" t="s">
        <v>1712</v>
      </c>
      <c r="C1359" s="1" t="s">
        <v>69</v>
      </c>
      <c r="D1359" s="1" t="s">
        <v>139</v>
      </c>
      <c r="E1359" s="1" t="s">
        <v>449</v>
      </c>
      <c r="F1359" s="1" t="s">
        <v>3024</v>
      </c>
      <c r="G1359" s="1" t="s">
        <v>36</v>
      </c>
      <c r="H1359" s="1" t="s">
        <v>29</v>
      </c>
      <c r="I1359" s="1" t="str">
        <f ca="1">IFERROR(__xludf.DUMMYFUNCTION("GOOGLETRANSLATE(F1359, ""auto"", ""en"")
"),"We took it as a gift to our parents, they liked it, and so did I. It’s an excellent photo frame, it suits everything: a user-friendly interface, an intuitive menu. By the way, there is a function similar to “AmbiLight” - if the aspect ratio of the photo i"&amp;"s not suitable, the empty space on the screen is filled with a suitable color. The first time connecting to a computer or laptop may freeze, but this is only the first time. (Tested on 11 different systems, of which only 3 times it froze for 20-30 seconds"&amp;")")</f>
        <v>We took it as a gift to our parents, they liked it, and so did I. It’s an excellent photo frame, it suits everything: a user-friendly interface, an intuitive menu. By the way, there is a function similar to “AmbiLight” - if the aspect ratio of the photo is not suitable, the empty space on the screen is filled with a suitable color. The first time connecting to a computer or laptop may freeze, but this is only the first time. (Tested on 11 different systems, of which only 3 times it froze for 20-30 seconds)</v>
      </c>
    </row>
    <row r="1360" spans="1:9" x14ac:dyDescent="0.3">
      <c r="A1360" s="1" t="s">
        <v>89</v>
      </c>
      <c r="B1360" s="1" t="s">
        <v>231</v>
      </c>
      <c r="C1360" s="1" t="s">
        <v>185</v>
      </c>
      <c r="D1360" s="1" t="s">
        <v>3025</v>
      </c>
      <c r="E1360" s="1" t="s">
        <v>3026</v>
      </c>
      <c r="F1360" s="1" t="s">
        <v>3027</v>
      </c>
      <c r="G1360" s="1" t="s">
        <v>36</v>
      </c>
      <c r="H1360" s="1" t="s">
        <v>29</v>
      </c>
      <c r="I1360" s="1" t="str">
        <f ca="1">IFERROR(__xludf.DUMMYFUNCTION("GOOGLETRANSLATE(F1360, ""auto"", ""en"")
"),"We installed this coffee machine at work a week ago - it’s good. It is quite convenient and easy to use - I speak as a person who worked as a barista. I really don’t understand why 15 bars are needed, because to prepare authentic espresso, the basis of co"&amp;"ffee drinks, 9 is enough. But!!! These “literates” who compiled the instructions write “eExpresso” everywhere - they made me laugh.")</f>
        <v>We installed this coffee machine at work a week ago - it’s good. It is quite convenient and easy to use - I speak as a person who worked as a barista. I really don’t understand why 15 bars are needed, because to prepare authentic espresso, the basis of coffee drinks, 9 is enough. But!!! These “literates” who compiled the instructions write “eExpresso” everywhere - they made me laugh.</v>
      </c>
    </row>
    <row r="1361" spans="1:9" x14ac:dyDescent="0.3">
      <c r="A1361" s="1" t="s">
        <v>78</v>
      </c>
      <c r="B1361" s="1" t="s">
        <v>493</v>
      </c>
      <c r="C1361" s="1" t="s">
        <v>80</v>
      </c>
      <c r="D1361" s="1" t="s">
        <v>589</v>
      </c>
      <c r="E1361" s="1" t="s">
        <v>692</v>
      </c>
      <c r="F1361" s="1" t="s">
        <v>3028</v>
      </c>
      <c r="G1361" s="1" t="s">
        <v>36</v>
      </c>
      <c r="H1361" s="1" t="s">
        <v>29</v>
      </c>
      <c r="I1361" s="1" t="str">
        <f ca="1">IFERROR(__xludf.DUMMYFUNCTION("GOOGLETRANSLATE(F1361, ""auto"", ""en"")
"),"When choosing a microwave, there were several requirements: a simple menu, power and versatility.  We settled on this model and have been using it for three years now.  The microwave heats and defrosts quickly and evenly. Using the convection mode, baked "&amp;"goods are excellent.  There is a very useful timer function, thanks to which you don’t have to worry, the microwave will turn itself off at the right time. During the time I used the microwave, I never wished for a choice.")</f>
        <v>When choosing a microwave, there were several requirements: a simple menu, power and versatility.  We settled on this model and have been using it for three years now.  The microwave heats and defrosts quickly and evenly. Using the convection mode, baked goods are excellent.  There is a very useful timer function, thanks to which you don’t have to worry, the microwave will turn itself off at the right time. During the time I used the microwave, I never wished for a choice.</v>
      </c>
    </row>
    <row r="1362" spans="1:9" x14ac:dyDescent="0.3">
      <c r="A1362" s="1" t="s">
        <v>61</v>
      </c>
      <c r="B1362" s="1" t="s">
        <v>726</v>
      </c>
      <c r="C1362" s="1" t="s">
        <v>74</v>
      </c>
      <c r="D1362" s="1" t="s">
        <v>1021</v>
      </c>
      <c r="E1362" s="1" t="s">
        <v>1586</v>
      </c>
      <c r="F1362" s="1" t="s">
        <v>3029</v>
      </c>
      <c r="G1362" s="1" t="s">
        <v>28</v>
      </c>
      <c r="H1362" s="1" t="s">
        <v>29</v>
      </c>
      <c r="I1362" s="1" t="str">
        <f ca="1">IFERROR(__xludf.DUMMYFUNCTION("GOOGLETRANSLATE(F1362, ""auto"", ""en"")
"),"I've been using this bread maker for 4 years now and I'm very pleased. The bread is always baked and the dough turns out great. The only negative is the absence of the ""Rye bread"" mode")</f>
        <v>I've been using this bread maker for 4 years now and I'm very pleased. The bread is always baked and the dough turns out great. The only negative is the absence of the "Rye bread" mode</v>
      </c>
    </row>
    <row r="1363" spans="1:9" x14ac:dyDescent="0.3">
      <c r="A1363" s="1" t="s">
        <v>120</v>
      </c>
      <c r="B1363" s="1" t="s">
        <v>121</v>
      </c>
      <c r="C1363" s="1" t="s">
        <v>151</v>
      </c>
      <c r="D1363" s="1" t="s">
        <v>3030</v>
      </c>
      <c r="E1363" s="1" t="s">
        <v>2640</v>
      </c>
      <c r="F1363" s="1" t="s">
        <v>3031</v>
      </c>
      <c r="G1363" s="1" t="s">
        <v>28</v>
      </c>
      <c r="H1363" s="1" t="s">
        <v>29</v>
      </c>
      <c r="I1363" s="1" t="str">
        <f ca="1">IFERROR(__xludf.DUMMYFUNCTION("GOOGLETRANSLATE(F1363, ""auto"", ""en"")
"),"normal body for your topic!!!!!!!!!!")</f>
        <v>normal body for your topic!!!!!!!!!!</v>
      </c>
    </row>
    <row r="1364" spans="1:9" x14ac:dyDescent="0.3">
      <c r="A1364" s="1" t="s">
        <v>37</v>
      </c>
      <c r="B1364" s="1" t="s">
        <v>536</v>
      </c>
      <c r="C1364" s="1" t="s">
        <v>39</v>
      </c>
      <c r="D1364" s="1" t="s">
        <v>45</v>
      </c>
      <c r="E1364" s="1" t="s">
        <v>498</v>
      </c>
      <c r="F1364" s="1" t="s">
        <v>3032</v>
      </c>
      <c r="G1364" s="1" t="s">
        <v>36</v>
      </c>
      <c r="H1364" s="1" t="s">
        <v>29</v>
      </c>
      <c r="I1364" s="1" t="str">
        <f ca="1">IFERROR(__xludf.DUMMYFUNCTION("GOOGLETRANSLATE(F1364, ""auto"", ""en"")
"),"The device is worthwhile. BUT, I expected more from the camera (the camera-display polling time is too long, its operation is somewhat reminiscent of the Nokia 3660 I once had, even on the previous SE P990i the camera “flies” faster.")</f>
        <v>The device is worthwhile. BUT, I expected more from the camera (the camera-display polling time is too long, its operation is somewhat reminiscent of the Nokia 3660 I once had, even on the previous SE P990i the camera “flies” faster.</v>
      </c>
    </row>
    <row r="1365" spans="1:9" x14ac:dyDescent="0.3">
      <c r="A1365" s="1" t="s">
        <v>120</v>
      </c>
      <c r="B1365" s="1" t="s">
        <v>121</v>
      </c>
      <c r="C1365" s="1" t="s">
        <v>97</v>
      </c>
      <c r="D1365" s="1" t="s">
        <v>3033</v>
      </c>
      <c r="E1365" s="1" t="s">
        <v>1742</v>
      </c>
      <c r="F1365" s="1" t="s">
        <v>3034</v>
      </c>
      <c r="G1365" s="1" t="s">
        <v>15</v>
      </c>
      <c r="H1365" s="1" t="s">
        <v>16</v>
      </c>
      <c r="I1365" s="1" t="str">
        <f ca="1">IFERROR(__xludf.DUMMYFUNCTION("GOOGLETRANSLATE(F1365, ""auto"", ""en"")
"),"I was on my way to pick up a Phil, but in the store the salesman suggested looking at this model.  I compared for a long time - the picture quality is no worse, I liked the design better, and the price accordingly.  Result: a week later I changed it to Ph"&amp;"ilips, because Sony discouraged all desire to watch over-the-air channels, the difference, as they say, is visible to the naked eye.  The advantages are a convenient menu, design, and good sound.")</f>
        <v>I was on my way to pick up a Phil, but in the store the salesman suggested looking at this model.  I compared for a long time - the picture quality is no worse, I liked the design better, and the price accordingly.  Result: a week later I changed it to Philips, because Sony discouraged all desire to watch over-the-air channels, the difference, as they say, is visible to the naked eye.  The advantages are a convenient menu, design, and good sound.</v>
      </c>
    </row>
    <row r="1366" spans="1:9" x14ac:dyDescent="0.3">
      <c r="A1366" s="1" t="s">
        <v>211</v>
      </c>
      <c r="B1366" s="1" t="s">
        <v>265</v>
      </c>
      <c r="C1366" s="1" t="s">
        <v>57</v>
      </c>
      <c r="D1366" s="1" t="s">
        <v>3035</v>
      </c>
      <c r="E1366" s="1" t="s">
        <v>1330</v>
      </c>
      <c r="F1366" s="1" t="s">
        <v>3036</v>
      </c>
      <c r="G1366" s="1" t="s">
        <v>49</v>
      </c>
      <c r="H1366" s="1" t="s">
        <v>16</v>
      </c>
      <c r="I1366" s="1" t="str">
        <f ca="1">IFERROR(__xludf.DUMMYFUNCTION("GOOGLETRANSLATE(F1366, ""auto"", ""en"")
"),"I hope that those who are planning to buy this unit will read my review first. I used the cheapest Philips machine for three years and was satisfied. There was only one inconvenience - working from the network. Recently I accidentally broke a nozzle and d"&amp;"ecided it was time to buy a new machine. My wife decided to surprise me and bought this shit. I am of course grateful to her for her attention, but the device is terrible. Heavy, uncomfortable, heats up quickly and vibrates strongly in the hand. The hairc"&amp;"ut doesn't matter either.")</f>
        <v>I hope that those who are planning to buy this unit will read my review first. I used the cheapest Philips machine for three years and was satisfied. There was only one inconvenience - working from the network. Recently I accidentally broke a nozzle and decided it was time to buy a new machine. My wife decided to surprise me and bought this shit. I am of course grateful to her for her attention, but the device is terrible. Heavy, uncomfortable, heats up quickly and vibrates strongly in the hand. The haircut doesn't matter either.</v>
      </c>
    </row>
    <row r="1367" spans="1:9" x14ac:dyDescent="0.3">
      <c r="A1367" s="1" t="s">
        <v>9</v>
      </c>
      <c r="B1367" s="1" t="s">
        <v>23</v>
      </c>
      <c r="C1367" s="1" t="s">
        <v>466</v>
      </c>
      <c r="D1367" s="1" t="s">
        <v>565</v>
      </c>
      <c r="E1367" s="1" t="s">
        <v>153</v>
      </c>
      <c r="F1367" s="1" t="s">
        <v>3037</v>
      </c>
      <c r="G1367" s="1" t="s">
        <v>36</v>
      </c>
      <c r="H1367" s="1" t="s">
        <v>29</v>
      </c>
      <c r="I1367" s="1" t="str">
        <f ca="1">IFERROR(__xludf.DUMMYFUNCTION("GOOGLETRANSLATE(F1367, ""auto"", ""en"")
"),"I've been using it for over a year now. The dishwasher works every day, no problems or complaints, sometimes, however, if the dishes are poorly laid out, then there are unwashed areas, but very rarely. And this machine really does not accept tablets like "&amp;"3 in 1, 5 in 1. I use powder, salt and rinse aid separately and everything is just fine)")</f>
        <v>I've been using it for over a year now. The dishwasher works every day, no problems or complaints, sometimes, however, if the dishes are poorly laid out, then there are unwashed areas, but very rarely. And this machine really does not accept tablets like 3 in 1, 5 in 1. I use powder, salt and rinse aid separately and everything is just fine)</v>
      </c>
    </row>
    <row r="1368" spans="1:9" x14ac:dyDescent="0.3">
      <c r="A1368" s="1" t="s">
        <v>211</v>
      </c>
      <c r="B1368" s="1" t="s">
        <v>212</v>
      </c>
      <c r="C1368" s="1" t="s">
        <v>69</v>
      </c>
      <c r="D1368" s="1" t="s">
        <v>474</v>
      </c>
      <c r="E1368" s="1" t="s">
        <v>3038</v>
      </c>
      <c r="F1368" s="1" t="s">
        <v>3039</v>
      </c>
      <c r="G1368" s="1" t="s">
        <v>36</v>
      </c>
      <c r="H1368" s="1" t="s">
        <v>29</v>
      </c>
      <c r="I1368" s="1" t="str">
        <f ca="1">IFERROR(__xludf.DUMMYFUNCTION("GOOGLETRANSLATE(F1368, ""auto"", ""en"")
"),"Miracle! The curls are very beautiful! I really liked these electric curling irons!")</f>
        <v>Miracle! The curls are very beautiful! I really liked these electric curling irons!</v>
      </c>
    </row>
    <row r="1369" spans="1:9" x14ac:dyDescent="0.3">
      <c r="A1369" s="1" t="s">
        <v>30</v>
      </c>
      <c r="B1369" s="1" t="s">
        <v>31</v>
      </c>
      <c r="C1369" s="1" t="s">
        <v>32</v>
      </c>
      <c r="D1369" s="1" t="s">
        <v>232</v>
      </c>
      <c r="E1369" s="1" t="s">
        <v>817</v>
      </c>
      <c r="F1369" s="1" t="s">
        <v>3040</v>
      </c>
      <c r="G1369" s="1" t="s">
        <v>49</v>
      </c>
      <c r="H1369" s="1" t="s">
        <v>16</v>
      </c>
      <c r="I1369" s="1" t="str">
        <f ca="1">IFERROR(__xludf.DUMMYFUNCTION("GOOGLETRANSLATE(F1369, ""auto"", ""en"")
"),"Disgusting assembly - it heats up very quickly and accordingly turns off... I suffered for a week - I went and changed it to normal...")</f>
        <v>Disgusting assembly - it heats up very quickly and accordingly turns off... I suffered for a week - I went and changed it to normal...</v>
      </c>
    </row>
    <row r="1370" spans="1:9" x14ac:dyDescent="0.3">
      <c r="A1370" s="1" t="s">
        <v>37</v>
      </c>
      <c r="B1370" s="1" t="s">
        <v>38</v>
      </c>
      <c r="C1370" s="1" t="s">
        <v>39</v>
      </c>
      <c r="D1370" s="1" t="s">
        <v>3041</v>
      </c>
      <c r="E1370" s="1" t="s">
        <v>1056</v>
      </c>
      <c r="F1370" s="1" t="s">
        <v>3042</v>
      </c>
      <c r="G1370" s="1" t="s">
        <v>36</v>
      </c>
      <c r="H1370" s="1" t="s">
        <v>29</v>
      </c>
      <c r="I1370" s="1" t="str">
        <f ca="1">IFERROR(__xludf.DUMMYFUNCTION("GOOGLETRANSLATE(F1370, ""auto"", ""en"")
"),"I recommend this phone to everyone!! I read the reviews, everyone is almost complaining about something: the camera is bad, the headset is bad, it’s slow, or something else, I bought it and I really liked it, it doesn’t glitch anywhere, the sound is clear"&amp;", the camera is good, the body doesn’t fall apart, the phone is just super!!!")</f>
        <v>I recommend this phone to everyone!! I read the reviews, everyone is almost complaining about something: the camera is bad, the headset is bad, it’s slow, or something else, I bought it and I really liked it, it doesn’t glitch anywhere, the sound is clear, the camera is good, the body doesn’t fall apart, the phone is just super!!!</v>
      </c>
    </row>
    <row r="1371" spans="1:9" x14ac:dyDescent="0.3">
      <c r="A1371" s="1" t="s">
        <v>238</v>
      </c>
      <c r="B1371" s="1" t="s">
        <v>3043</v>
      </c>
      <c r="C1371" s="1" t="s">
        <v>122</v>
      </c>
      <c r="D1371" s="1" t="s">
        <v>203</v>
      </c>
      <c r="E1371" s="1" t="s">
        <v>3044</v>
      </c>
      <c r="F1371" s="1" t="s">
        <v>3045</v>
      </c>
      <c r="G1371" s="1" t="s">
        <v>36</v>
      </c>
      <c r="H1371" s="1" t="s">
        <v>29</v>
      </c>
      <c r="I1371" s="1" t="str">
        <f ca="1">IFERROR(__xludf.DUMMYFUNCTION("GOOGLETRANSLATE(F1371, ""auto"", ""en"")
"),"There was noise and vibration, after examining the compressor, it turned out that the wrapped wire harness from the compressor touched the bottom of the niche, as a result, the vibration of this harness was transmitted from the bottom of the refrigerator "&amp;"to the entire refrigerator, the result was a strong hum during operation. I placed a piece of foam rubber about 3 cm high under this tourniquet. And that’s it, beauty, it’s quite quiet, it doesn’t hurt the ears. Perhaps later, I’ll examine the niche again"&amp;" in order to reduce the noise level to zero (I’ll stick on vibration insulation, noise insulation from the car), but even now it’s already many times better than immediately after the first turn on. The supply voltage for the compressor is ideally 230-240"&amp;" Volts. I am powered by a stabilizer with an output voltage not exceeding 225-235 Volts. Subjectively, the compressor hum is slightly lower, compared by adjusting the voltage with LATR. Ideal temperature conditions are when the refrigerator compartment is"&amp;" set to maximum and the freezer is set to minimum. At a room temperature of +20 to +26 degrees Celsius.")</f>
        <v>There was noise and vibration, after examining the compressor, it turned out that the wrapped wire harness from the compressor touched the bottom of the niche, as a result, the vibration of this harness was transmitted from the bottom of the refrigerator to the entire refrigerator, the result was a strong hum during operation. I placed a piece of foam rubber about 3 cm high under this tourniquet. And that’s it, beauty, it’s quite quiet, it doesn’t hurt the ears. Perhaps later, I’ll examine the niche again in order to reduce the noise level to zero (I’ll stick on vibration insulation, noise insulation from the car), but even now it’s already many times better than immediately after the first turn on. The supply voltage for the compressor is ideally 230-240 Volts. I am powered by a stabilizer with an output voltage not exceeding 225-235 Volts. Subjectively, the compressor hum is slightly lower, compared by adjusting the voltage with LATR. Ideal temperature conditions are when the refrigerator compartment is set to maximum and the freezer is set to minimum. At a room temperature of +20 to +26 degrees Celsius.</v>
      </c>
    </row>
    <row r="1372" spans="1:9" x14ac:dyDescent="0.3">
      <c r="A1372" s="1" t="s">
        <v>1823</v>
      </c>
      <c r="B1372" s="1" t="s">
        <v>1824</v>
      </c>
      <c r="C1372" s="1" t="s">
        <v>69</v>
      </c>
      <c r="D1372" s="1" t="s">
        <v>922</v>
      </c>
      <c r="E1372" s="1" t="s">
        <v>1686</v>
      </c>
      <c r="F1372" s="1" t="s">
        <v>3046</v>
      </c>
      <c r="G1372" s="1" t="s">
        <v>36</v>
      </c>
      <c r="H1372" s="1" t="s">
        <v>29</v>
      </c>
      <c r="I1372" s="1" t="str">
        <f ca="1">IFERROR(__xludf.DUMMYFUNCTION("GOOGLETRANSLATE(F1372, ""auto"", ""en"")
"),"I bought this ironing board about 4 months ago and am very pleased with the purchase! It is tall, wide, stable - it does not swing in different directions during ironing. I don’t use hangers for ironing shirts, but they can be removed.")</f>
        <v>I bought this ironing board about 4 months ago and am very pleased with the purchase! It is tall, wide, stable - it does not swing in different directions during ironing. I don’t use hangers for ironing shirts, but they can be removed.</v>
      </c>
    </row>
    <row r="1373" spans="1:9" x14ac:dyDescent="0.3">
      <c r="A1373" s="1" t="s">
        <v>105</v>
      </c>
      <c r="B1373" s="1" t="s">
        <v>106</v>
      </c>
      <c r="C1373" s="1" t="s">
        <v>1209</v>
      </c>
      <c r="D1373" s="1" t="s">
        <v>166</v>
      </c>
      <c r="E1373" s="1" t="s">
        <v>3047</v>
      </c>
      <c r="F1373" s="1" t="s">
        <v>3048</v>
      </c>
      <c r="G1373" s="1" t="s">
        <v>28</v>
      </c>
      <c r="H1373" s="1" t="s">
        <v>29</v>
      </c>
      <c r="I1373" s="1" t="str">
        <f ca="1">IFERROR(__xludf.DUMMYFUNCTION("GOOGLETRANSLATE(F1373, ""auto"", ""en"")
"),"It's a good player. I've had it for a little over a year, it works fine. It's small, which is undoubtedly very convenient. It doesn't glitch, the buttons haven't worn out. There's quite a lot of memory. The sound is excellent, I like it.  Now about the do"&amp;"wnsides. It doesn’t work well in the cold, it holds a charge for a maximum of 4 hours, I bought new headphones almost immediately, my original ones quickly broke, it can only be charged from USB, which is not very convenient. That’s all.  To summarize: an"&amp;"yone who needs a normal and inexpensive mp3 is welcome to buy it.")</f>
        <v>It's a good player. I've had it for a little over a year, it works fine. It's small, which is undoubtedly very convenient. It doesn't glitch, the buttons haven't worn out. There's quite a lot of memory. The sound is excellent, I like it.  Now about the downsides. It doesn’t work well in the cold, it holds a charge for a maximum of 4 hours, I bought new headphones almost immediately, my original ones quickly broke, it can only be charged from USB, which is not very convenient. That’s all.  To summarize: anyone who needs a normal and inexpensive mp3 is welcome to buy it.</v>
      </c>
    </row>
    <row r="1374" spans="1:9" x14ac:dyDescent="0.3">
      <c r="A1374" s="1" t="s">
        <v>61</v>
      </c>
      <c r="B1374" s="1" t="s">
        <v>73</v>
      </c>
      <c r="C1374" s="1" t="s">
        <v>85</v>
      </c>
      <c r="D1374" s="1" t="s">
        <v>3049</v>
      </c>
      <c r="E1374" s="1" t="s">
        <v>1179</v>
      </c>
      <c r="F1374" s="1" t="s">
        <v>3050</v>
      </c>
      <c r="G1374" s="1" t="s">
        <v>49</v>
      </c>
      <c r="H1374" s="1" t="s">
        <v>16</v>
      </c>
      <c r="I1374" s="1" t="str">
        <f ca="1">IFERROR(__xludf.DUMMYFUNCTION("GOOGLETRANSLATE(F1374, ""auto"", ""en"")
"),"Among the advantages of this meat grinder, I can only highlight the design and its compactness. The rest are cons. The knife immediately became dull and instead of minced meat I ended up with porridge. An electronic display that shows the temperature is n"&amp;"ot needed at all. Unless, of course, you plan to spin something on it all day. The reverse function is also useless. Whatever is wound around the knife will not unwind back, no matter how you look at it. You have to turn it off and remove it with your own"&amp;" hands.   Anyone who writes that this is a good meat grinder apparently only twists bread with it. Sorry, I can’t imagine anything else. I will never buy equipment from this manufacturer again.")</f>
        <v>Among the advantages of this meat grinder, I can only highlight the design and its compactness. The rest are cons. The knife immediately became dull and instead of minced meat I ended up with porridge. An electronic display that shows the temperature is not needed at all. Unless, of course, you plan to spin something on it all day. The reverse function is also useless. Whatever is wound around the knife will not unwind back, no matter how you look at it. You have to turn it off and remove it with your own hands.   Anyone who writes that this is a good meat grinder apparently only twists bread with it. Sorry, I can’t imagine anything else. I will never buy equipment from this manufacturer again.</v>
      </c>
    </row>
    <row r="1375" spans="1:9" x14ac:dyDescent="0.3">
      <c r="A1375" s="1" t="s">
        <v>811</v>
      </c>
      <c r="B1375" s="1" t="s">
        <v>1599</v>
      </c>
      <c r="C1375" s="1" t="s">
        <v>3051</v>
      </c>
      <c r="D1375" s="1" t="s">
        <v>3052</v>
      </c>
      <c r="E1375" s="1" t="s">
        <v>3053</v>
      </c>
      <c r="F1375" s="1" t="s">
        <v>3054</v>
      </c>
      <c r="G1375" s="1" t="s">
        <v>36</v>
      </c>
      <c r="H1375" s="1" t="s">
        <v>29</v>
      </c>
      <c r="I1375" s="1" t="str">
        <f ca="1">IFERROR(__xludf.DUMMYFUNCTION("GOOGLETRANSLATE(F1375, ""auto"", ""en"")
"),"Pros: Optimal size, good quality.  I bought a bag to complement my backpack. A very roomy bag with a small size. Fits: CANON 60D with installed EF 24-105, EF 17-40, 430EX, 2 lens hoods, charger + battery, a couple of filters.   For short trips without cro"&amp;"ss-country runs, this is just the thing. Especially when traveling to Europe, where some museums and places are not allowed with a backpack)) Disadvantages: No rain cover")</f>
        <v>Pros: Optimal size, good quality.  I bought a bag to complement my backpack. A very roomy bag with a small size. Fits: CANON 60D with installed EF 24-105, EF 17-40, 430EX, 2 lens hoods, charger + battery, a couple of filters.   For short trips without cross-country runs, this is just the thing. Especially when traveling to Europe, where some museums and places are not allowed with a backpack)) Disadvantages: No rain cover</v>
      </c>
    </row>
    <row r="1376" spans="1:9" x14ac:dyDescent="0.3">
      <c r="A1376" s="1" t="s">
        <v>43</v>
      </c>
      <c r="B1376" s="1" t="s">
        <v>1382</v>
      </c>
      <c r="C1376" s="1" t="s">
        <v>45</v>
      </c>
      <c r="D1376" s="1" t="s">
        <v>3055</v>
      </c>
      <c r="E1376" s="1" t="s">
        <v>2616</v>
      </c>
      <c r="F1376" s="1" t="s">
        <v>3056</v>
      </c>
      <c r="G1376" s="1" t="s">
        <v>28</v>
      </c>
      <c r="H1376" s="1" t="s">
        <v>29</v>
      </c>
      <c r="I1376" s="1" t="str">
        <f ca="1">IFERROR(__xludf.DUMMYFUNCTION("GOOGLETRANSLATE(F1376, ""auto"", ""en"")
"),"Ordered and paid online. They delivered it the next day!  From the main points: Excellent packaging, a convenient small slim remote control with membrane buttons (it’s strange why there are no photos of it anywhere), excellent assembly and nice glossy whi"&amp;"te plastic with silver, well-painted front inserts.  + Removable air filter with a mesh separately inserted into it (it’s also not clear why this useful feature is not indicated anywhere). It is noisy in operation, as befits a rotor (but the structure its"&amp;"elf does not crack or wobble). The airflow wall is much better than that of a conventional cooler, and its small footprint during operation will help you place it even in a very small room.  Of the minuses.  The buttons on the device itself are not conven"&amp;"ient to use - their excessive rigidity interferes (Especially if it is in motion mode). But fortunately there is a remote control that corrects this omission.")</f>
        <v>Ordered and paid online. They delivered it the next day!  From the main points: Excellent packaging, a convenient small slim remote control with membrane buttons (it’s strange why there are no photos of it anywhere), excellent assembly and nice glossy white plastic with silver, well-painted front inserts.  + Removable air filter with a mesh separately inserted into it (it’s also not clear why this useful feature is not indicated anywhere). It is noisy in operation, as befits a rotor (but the structure itself does not crack or wobble). The airflow wall is much better than that of a conventional cooler, and its small footprint during operation will help you place it even in a very small room.  Of the minuses.  The buttons on the device itself are not convenient to use - their excessive rigidity interferes (Especially if it is in motion mode). But fortunately there is a remote control that corrects this omission.</v>
      </c>
    </row>
    <row r="1377" spans="1:9" x14ac:dyDescent="0.3">
      <c r="A1377" s="1" t="s">
        <v>624</v>
      </c>
      <c r="B1377" s="1" t="s">
        <v>2107</v>
      </c>
      <c r="C1377" s="1" t="s">
        <v>479</v>
      </c>
      <c r="D1377" s="1" t="s">
        <v>366</v>
      </c>
      <c r="E1377" s="1" t="s">
        <v>2593</v>
      </c>
      <c r="F1377" s="1" t="s">
        <v>3057</v>
      </c>
      <c r="G1377" s="1" t="s">
        <v>28</v>
      </c>
      <c r="H1377" s="1" t="s">
        <v>29</v>
      </c>
      <c r="I1377" s="1" t="str">
        <f ca="1">IFERROR(__xludf.DUMMYFUNCTION("GOOGLETRANSLATE(F1377, ""auto"", ""en"")
"),"The game is good, of course, but it’s not up to par with the previous one in terms of quality. The movements are somewhat choppy. The single player is not bad, but the multiplayer is not up to par. Take it at your own peril and risk. The game is not for e"&amp;"veryone.")</f>
        <v>The game is good, of course, but it’s not up to par with the previous one in terms of quality. The movements are somewhat choppy. The single player is not bad, but the multiplayer is not up to par. Take it at your own peril and risk. The game is not for everyone.</v>
      </c>
    </row>
    <row r="1378" spans="1:9" x14ac:dyDescent="0.3">
      <c r="A1378" s="1" t="s">
        <v>361</v>
      </c>
      <c r="B1378" s="1" t="s">
        <v>3058</v>
      </c>
      <c r="C1378" s="1" t="s">
        <v>2143</v>
      </c>
      <c r="D1378" s="1" t="s">
        <v>592</v>
      </c>
      <c r="E1378" s="1" t="s">
        <v>3059</v>
      </c>
      <c r="F1378" s="1" t="s">
        <v>3060</v>
      </c>
      <c r="G1378" s="1" t="s">
        <v>36</v>
      </c>
      <c r="H1378" s="1" t="s">
        <v>29</v>
      </c>
      <c r="I1378" s="1" t="str">
        <f ca="1">IFERROR(__xludf.DUMMYFUNCTION("GOOGLETRANSLATE(F1378, ""auto"", ""en"")
"),"We bought a set of knives in 2006, we have never regretted it, we haven’t seen better quality yet, the knives are very comfortable, we periodically sharpen them and that’s it.")</f>
        <v>We bought a set of knives in 2006, we have never regretted it, we haven’t seen better quality yet, the knives are very comfortable, we periodically sharpen them and that’s it.</v>
      </c>
    </row>
    <row r="1379" spans="1:9" x14ac:dyDescent="0.3">
      <c r="A1379" s="1" t="s">
        <v>61</v>
      </c>
      <c r="B1379" s="1" t="s">
        <v>318</v>
      </c>
      <c r="C1379" s="1" t="s">
        <v>101</v>
      </c>
      <c r="D1379" s="1" t="s">
        <v>742</v>
      </c>
      <c r="E1379" s="1" t="s">
        <v>3061</v>
      </c>
      <c r="F1379" s="1" t="s">
        <v>3062</v>
      </c>
      <c r="G1379" s="1" t="s">
        <v>28</v>
      </c>
      <c r="H1379" s="1" t="s">
        <v>29</v>
      </c>
      <c r="I1379" s="1" t="str">
        <f ca="1">IFERROR(__xludf.DUMMYFUNCTION("GOOGLETRANSLATE(F1379, ""auto"", ""en"")
"),"The kettle, in principle, is not bad, it worked for 2 years, at the moment the pump has burned out, there is no replacement. I'm going to buy a new one.")</f>
        <v>The kettle, in principle, is not bad, it worked for 2 years, at the moment the pump has burned out, there is no replacement. I'm going to buy a new one.</v>
      </c>
    </row>
    <row r="1380" spans="1:9" x14ac:dyDescent="0.3">
      <c r="A1380" s="1" t="s">
        <v>211</v>
      </c>
      <c r="B1380" s="1" t="s">
        <v>384</v>
      </c>
      <c r="C1380" s="1" t="s">
        <v>351</v>
      </c>
      <c r="D1380" s="1" t="s">
        <v>729</v>
      </c>
      <c r="E1380" s="1" t="s">
        <v>3063</v>
      </c>
      <c r="F1380" s="1" t="s">
        <v>3064</v>
      </c>
      <c r="G1380" s="1" t="s">
        <v>36</v>
      </c>
      <c r="H1380" s="1" t="s">
        <v>29</v>
      </c>
      <c r="I1380" s="1" t="str">
        <f ca="1">IFERROR(__xludf.DUMMYFUNCTION("GOOGLETRANSLATE(F1380, ""auto"", ""en"")
"),"no worse than electronic ones! Not expensive, but reliable! I always trusted mechanical ones more. The platform is durable plastic and can handle my 85 without any problems. Maximum weight – up to 130 kg. Small in size, but heavier than any electronic one"&amp;"s. And this is understandable, but you shouldn’t wear them. Mine are in the bathroom, there is the most even floor and there is no error. By the way, they matched the color of the bathroom - the same green.")</f>
        <v>no worse than electronic ones! Not expensive, but reliable! I always trusted mechanical ones more. The platform is durable plastic and can handle my 85 without any problems. Maximum weight – up to 130 kg. Small in size, but heavier than any electronic ones. And this is understandable, but you shouldn’t wear them. Mine are in the bathroom, there is the most even floor and there is no error. By the way, they matched the color of the bathroom - the same green.</v>
      </c>
    </row>
    <row r="1381" spans="1:9" x14ac:dyDescent="0.3">
      <c r="A1381" s="1" t="s">
        <v>9</v>
      </c>
      <c r="B1381" s="1" t="s">
        <v>10</v>
      </c>
      <c r="C1381" s="1" t="s">
        <v>407</v>
      </c>
      <c r="D1381" s="1" t="s">
        <v>228</v>
      </c>
      <c r="E1381" s="1" t="s">
        <v>590</v>
      </c>
      <c r="F1381" s="1" t="s">
        <v>3065</v>
      </c>
      <c r="G1381" s="1" t="s">
        <v>36</v>
      </c>
      <c r="H1381" s="1" t="s">
        <v>29</v>
      </c>
      <c r="I1381" s="1" t="str">
        <f ca="1">IFERROR(__xludf.DUMMYFUNCTION("GOOGLETRANSLATE(F1381, ""auto"", ""en"")
"),"My friends, the hood is just super, it works quietly, it draws well, sensitive touch controls, it fits well into the interior.  The build quality is excellent, much higher than many of the hoods I have tested. It is worth the money.  One piece of advice f"&amp;"rom personal experience: If you connect it to a house vent. box (not circulation), you must use a pipe with a diameter of 150mm, no less! otherwise the thrust will be significantly reduced.")</f>
        <v>My friends, the hood is just super, it works quietly, it draws well, sensitive touch controls, it fits well into the interior.  The build quality is excellent, much higher than many of the hoods I have tested. It is worth the money.  One piece of advice from personal experience: If you connect it to a house vent. box (not circulation), you must use a pipe with a diameter of 150mm, no less! otherwise the thrust will be significantly reduced.</v>
      </c>
    </row>
    <row r="1382" spans="1:9" x14ac:dyDescent="0.3">
      <c r="A1382" s="1" t="s">
        <v>111</v>
      </c>
      <c r="B1382" s="1" t="s">
        <v>636</v>
      </c>
      <c r="C1382" s="1" t="s">
        <v>637</v>
      </c>
      <c r="D1382" s="1" t="s">
        <v>545</v>
      </c>
      <c r="E1382" s="1" t="s">
        <v>2577</v>
      </c>
      <c r="F1382" s="1" t="s">
        <v>3066</v>
      </c>
      <c r="G1382" s="1" t="s">
        <v>28</v>
      </c>
      <c r="H1382" s="1" t="s">
        <v>29</v>
      </c>
      <c r="I1382" s="1" t="str">
        <f ca="1">IFERROR(__xludf.DUMMYFUNCTION("GOOGLETRANSLATE(F1382, ""auto"", ""en"")
"),"It shows everything correctly, can be seen well from afar, very cute. There is a manufacturer's website where they answer any questions. It's a pity that there is no backlight, but it's not critical.")</f>
        <v>It shows everything correctly, can be seen well from afar, very cute. There is a manufacturer's website where they answer any questions. It's a pity that there is no backlight, but it's not critical.</v>
      </c>
    </row>
    <row r="1383" spans="1:9" x14ac:dyDescent="0.3">
      <c r="A1383" s="1" t="s">
        <v>67</v>
      </c>
      <c r="B1383" s="1" t="s">
        <v>68</v>
      </c>
      <c r="C1383" s="1" t="s">
        <v>69</v>
      </c>
      <c r="D1383" s="1" t="s">
        <v>3067</v>
      </c>
      <c r="E1383" s="1" t="s">
        <v>814</v>
      </c>
      <c r="F1383" s="1" t="s">
        <v>3068</v>
      </c>
      <c r="G1383" s="1" t="s">
        <v>28</v>
      </c>
      <c r="H1383" s="1" t="s">
        <v>29</v>
      </c>
      <c r="I1383" s="1" t="str">
        <f ca="1">IFERROR(__xludf.DUMMYFUNCTION("GOOGLETRANSLATE(F1383, ""auto"", ""en"")
"),"When you turn on the steam boost, steam comes out only from the holes in the spout, and not from all the holes in the sole, as shown in the instructions. The heating temperature is maximum, the reservoir is full.")</f>
        <v>When you turn on the steam boost, steam comes out only from the holes in the spout, and not from all the holes in the sole, as shown in the instructions. The heating temperature is maximum, the reservoir is full.</v>
      </c>
    </row>
    <row r="1384" spans="1:9" x14ac:dyDescent="0.3">
      <c r="A1384" s="1" t="s">
        <v>111</v>
      </c>
      <c r="B1384" s="1" t="s">
        <v>636</v>
      </c>
      <c r="C1384" s="1" t="s">
        <v>637</v>
      </c>
      <c r="D1384" s="1" t="s">
        <v>308</v>
      </c>
      <c r="E1384" s="1" t="s">
        <v>1553</v>
      </c>
      <c r="F1384" s="1" t="s">
        <v>3069</v>
      </c>
      <c r="G1384" s="1" t="s">
        <v>28</v>
      </c>
      <c r="H1384" s="1" t="s">
        <v>29</v>
      </c>
      <c r="I1384" s="1" t="str">
        <f ca="1">IFERROR(__xludf.DUMMYFUNCTION("GOOGLETRANSLATE(F1384, ""auto"", ""en"")
"),"It's a cool thing, but after a year the projector stopped working ((((very disappointing... that's why I bought it...")</f>
        <v>It's a cool thing, but after a year the projector stopped working ((((very disappointing... that's why I bought it...</v>
      </c>
    </row>
    <row r="1385" spans="1:9" x14ac:dyDescent="0.3">
      <c r="A1385" s="1" t="s">
        <v>211</v>
      </c>
      <c r="B1385" s="1" t="s">
        <v>384</v>
      </c>
      <c r="C1385" s="1" t="s">
        <v>246</v>
      </c>
      <c r="D1385" s="1" t="s">
        <v>166</v>
      </c>
      <c r="E1385" s="1" t="s">
        <v>2769</v>
      </c>
      <c r="F1385" s="1" t="s">
        <v>3070</v>
      </c>
      <c r="G1385" s="1" t="s">
        <v>15</v>
      </c>
      <c r="H1385" s="1" t="s">
        <v>16</v>
      </c>
      <c r="I1385" s="1" t="str">
        <f ca="1">IFERROR(__xludf.DUMMYFUNCTION("GOOGLETRANSLATE(F1385, ""auto"", ""en"")
"),"Less than a week has passed since the scales began to malfunction: they give out 114. I have to get up several times to make them work properly.   but beautiful and the weight is accurate.")</f>
        <v>Less than a week has passed since the scales began to malfunction: they give out 114. I have to get up several times to make them work properly.   but beautiful and the weight is accurate.</v>
      </c>
    </row>
    <row r="1386" spans="1:9" x14ac:dyDescent="0.3">
      <c r="A1386" s="1" t="s">
        <v>149</v>
      </c>
      <c r="B1386" s="1" t="s">
        <v>155</v>
      </c>
      <c r="C1386" s="1" t="s">
        <v>1187</v>
      </c>
      <c r="D1386" s="1" t="s">
        <v>3071</v>
      </c>
      <c r="E1386" s="1" t="s">
        <v>708</v>
      </c>
      <c r="F1386" s="1" t="s">
        <v>3072</v>
      </c>
      <c r="G1386" s="1" t="s">
        <v>49</v>
      </c>
      <c r="H1386" s="1" t="s">
        <v>16</v>
      </c>
      <c r="I1386" s="1" t="str">
        <f ca="1">IFERROR(__xludf.DUMMYFUNCTION("GOOGLETRANSLATE(F1386, ""auto"", ""en"")
"),"Terrible vacuum cleaner! It vacuums well, but when you shake out the container you are left covered in dust. The attachments are very inconvenient; it’s impossible to clean under the bed. I'M VERY SORRY FOR THE WASTED MONEY!")</f>
        <v>Terrible vacuum cleaner! It vacuums well, but when you shake out the container you are left covered in dust. The attachments are very inconvenient; it’s impossible to clean under the bed. I'M VERY SORRY FOR THE WASTED MONEY!</v>
      </c>
    </row>
    <row r="1387" spans="1:9" x14ac:dyDescent="0.3">
      <c r="A1387" s="1" t="s">
        <v>496</v>
      </c>
      <c r="B1387" s="1" t="s">
        <v>497</v>
      </c>
      <c r="C1387" s="1" t="s">
        <v>487</v>
      </c>
      <c r="D1387" s="1" t="s">
        <v>280</v>
      </c>
      <c r="E1387" s="1" t="s">
        <v>3073</v>
      </c>
      <c r="F1387" s="1" t="s">
        <v>3074</v>
      </c>
      <c r="G1387" s="1" t="s">
        <v>36</v>
      </c>
      <c r="H1387" s="1" t="s">
        <v>29</v>
      </c>
      <c r="I1387" s="1" t="str">
        <f ca="1">IFERROR(__xludf.DUMMYFUNCTION("GOOGLETRANSLATE(F1387, ""auto"", ""en"")
"),"Whether you are a programmer or a regular user... Suitable for everyone!!!  Super speed, graphics, lots of entertainment.  Buy it and you will be happy.")</f>
        <v>Whether you are a programmer or a regular user... Suitable for everyone!!!  Super speed, graphics, lots of entertainment.  Buy it and you will be happy.</v>
      </c>
    </row>
    <row r="1388" spans="1:9" x14ac:dyDescent="0.3">
      <c r="A1388" s="1" t="s">
        <v>9</v>
      </c>
      <c r="B1388" s="1" t="s">
        <v>10</v>
      </c>
      <c r="C1388" s="1" t="s">
        <v>407</v>
      </c>
      <c r="D1388" s="1" t="s">
        <v>152</v>
      </c>
      <c r="E1388" s="1" t="s">
        <v>2294</v>
      </c>
      <c r="F1388" s="1" t="s">
        <v>3075</v>
      </c>
      <c r="G1388" s="1" t="s">
        <v>28</v>
      </c>
      <c r="H1388" s="1" t="s">
        <v>29</v>
      </c>
      <c r="I1388" s="1" t="str">
        <f ca="1">IFERROR(__xludf.DUMMYFUNCTION("GOOGLETRANSLATE(F1388, ""auto"", ""en"")
"),"Looks and ergonomics are 5. The hood comes assembled. Regarding noise, yes it does make quite a lot of noise at speeds 2 and 3, but they are used for a short time, mostly it works at speed 1 and the noise is acceptable. The check valve was removed immedia"&amp;"tely, since there is no need for it, and therefore there is no knocking either. Installing the hood required a bit of fiddling, hanging the hood itself on the bar is no problem, but then it is not possible to install the box, you have to hang it directly "&amp;"with the box, but then it is very inconvenient to install the corrugation.")</f>
        <v>Looks and ergonomics are 5. The hood comes assembled. Regarding noise, yes it does make quite a lot of noise at speeds 2 and 3, but they are used for a short time, mostly it works at speed 1 and the noise is acceptable. The check valve was removed immediately, since there is no need for it, and therefore there is no knocking either. Installing the hood required a bit of fiddling, hanging the hood itself on the bar is no problem, but then it is not possible to install the box, you have to hang it directly with the box, but then it is very inconvenient to install the corrugation.</v>
      </c>
    </row>
    <row r="1389" spans="1:9" x14ac:dyDescent="0.3">
      <c r="A1389" s="1" t="s">
        <v>95</v>
      </c>
      <c r="B1389" s="1" t="s">
        <v>227</v>
      </c>
      <c r="C1389" s="1" t="s">
        <v>97</v>
      </c>
      <c r="D1389" s="1" t="s">
        <v>1681</v>
      </c>
      <c r="E1389" s="1" t="s">
        <v>3076</v>
      </c>
      <c r="F1389" s="1" t="s">
        <v>3077</v>
      </c>
      <c r="G1389" s="1" t="s">
        <v>36</v>
      </c>
      <c r="H1389" s="1" t="s">
        <v>29</v>
      </c>
      <c r="I1389" s="1" t="str">
        <f ca="1">IFERROR(__xludf.DUMMYFUNCTION("GOOGLETRANSLATE(F1389, ""auto"", ""en"")
"),"After all, this is a PS3 from Sony! But needing HDMI without it is not so cool")</f>
        <v>After all, this is a PS3 from Sony! But needing HDMI without it is not so cool</v>
      </c>
    </row>
    <row r="1390" spans="1:9" x14ac:dyDescent="0.3">
      <c r="A1390" s="1" t="s">
        <v>89</v>
      </c>
      <c r="B1390" s="1" t="s">
        <v>231</v>
      </c>
      <c r="C1390" s="1" t="s">
        <v>185</v>
      </c>
      <c r="D1390" s="1" t="s">
        <v>81</v>
      </c>
      <c r="E1390" s="1" t="s">
        <v>3078</v>
      </c>
      <c r="F1390" s="1" t="s">
        <v>3079</v>
      </c>
      <c r="G1390" s="1" t="s">
        <v>94</v>
      </c>
      <c r="H1390" s="1" t="s">
        <v>29</v>
      </c>
      <c r="I1390" s="1" t="str">
        <f ca="1">IFERROR(__xludf.DUMMYFUNCTION("GOOGLETRANSLATE(F1390, ""auto"", ""en"")
"),"The only downside is the poorly visible display on the display with pictograms.")</f>
        <v>The only downside is the poorly visible display on the display with pictograms.</v>
      </c>
    </row>
    <row r="1391" spans="1:9" x14ac:dyDescent="0.3">
      <c r="A1391" s="1" t="s">
        <v>61</v>
      </c>
      <c r="B1391" s="1" t="s">
        <v>977</v>
      </c>
      <c r="C1391" s="1" t="s">
        <v>213</v>
      </c>
      <c r="D1391" s="1" t="s">
        <v>295</v>
      </c>
      <c r="E1391" s="1" t="s">
        <v>3080</v>
      </c>
      <c r="F1391" s="1" t="s">
        <v>3081</v>
      </c>
      <c r="G1391" s="1" t="s">
        <v>36</v>
      </c>
      <c r="H1391" s="1" t="s">
        <v>29</v>
      </c>
      <c r="I1391" s="1" t="str">
        <f ca="1">IFERROR(__xludf.DUMMYFUNCTION("GOOGLETRANSLATE(F1391, ""auto"", ""en"")
"),"I've been using this blender for 6 years and it hasn't let me down yet. It was especially useful when the baby arrived - I grind all the food for the baby with a blender")</f>
        <v>I've been using this blender for 6 years and it hasn't let me down yet. It was especially useful when the baby arrived - I grind all the food for the baby with a blender</v>
      </c>
    </row>
    <row r="1392" spans="1:9" x14ac:dyDescent="0.3">
      <c r="A1392" s="1" t="s">
        <v>211</v>
      </c>
      <c r="B1392" s="1" t="s">
        <v>212</v>
      </c>
      <c r="C1392" s="1" t="s">
        <v>101</v>
      </c>
      <c r="D1392" s="1" t="s">
        <v>1241</v>
      </c>
      <c r="E1392" s="1" t="s">
        <v>418</v>
      </c>
      <c r="F1392" s="1" t="s">
        <v>3082</v>
      </c>
      <c r="G1392" s="1" t="s">
        <v>36</v>
      </c>
      <c r="H1392" s="1" t="s">
        <v>29</v>
      </c>
      <c r="I1392" s="1" t="str">
        <f ca="1">IFERROR(__xludf.DUMMYFUNCTION("GOOGLETRANSLATE(F1392, ""auto"", ""en"")
"),"I bought this hair straightener 2 days ago. At first I wanted to buy something more expensive and cooler, but I bought this one and I don’t regret it at all.  In the picture you can see the control button, 4 LEDs on the left (140, 160,180 and 200 degrees)"&amp;" and 1 LED on the right (heating indication).  So, even if I plugged the rectifier into the outlet, it will not heat up until I set the temperature with the button.   Let's say if I set it to 160, the temperature light on the right (160) and the heating L"&amp;"ED on the left will light up, which will go out if the temperature is reached. In this regard it is very convenient.   It heats up very quickly (in principle, everyone does). Indeed, a temperature of 160 is enough to straighten (my) hair.  The wire rotate"&amp;"s and has a loop, which is a plus.  Disadvantages of this model: lack of a lock so that the tongs are folded; the control button is located exactly in the place where my hand holds the straightener - you can accidentally set a different temperature, here "&amp;"of course you can get used to it.  My overall rating: a fat five to this straightener :-) and its cost. Similar models from other companies cost an order of magnitude higher, and most likely differ little.")</f>
        <v>I bought this hair straightener 2 days ago. At first I wanted to buy something more expensive and cooler, but I bought this one and I don’t regret it at all.  In the picture you can see the control button, 4 LEDs on the left (140, 160,180 and 200 degrees) and 1 LED on the right (heating indication).  So, even if I plugged the rectifier into the outlet, it will not heat up until I set the temperature with the button.   Let's say if I set it to 160, the temperature light on the right (160) and the heating LED on the left will light up, which will go out if the temperature is reached. In this regard it is very convenient.   It heats up very quickly (in principle, everyone does). Indeed, a temperature of 160 is enough to straighten (my) hair.  The wire rotates and has a loop, which is a plus.  Disadvantages of this model: lack of a lock so that the tongs are folded; the control button is located exactly in the place where my hand holds the straightener - you can accidentally set a different temperature, here of course you can get used to it.  My overall rating: a fat five to this straightener :-) and its cost. Similar models from other companies cost an order of magnitude higher, and most likely differ little.</v>
      </c>
    </row>
    <row r="1393" spans="1:9" x14ac:dyDescent="0.3">
      <c r="A1393" s="1" t="s">
        <v>369</v>
      </c>
      <c r="B1393" s="1" t="s">
        <v>370</v>
      </c>
      <c r="C1393" s="1" t="s">
        <v>588</v>
      </c>
      <c r="D1393" s="1" t="s">
        <v>1188</v>
      </c>
      <c r="E1393" s="1" t="s">
        <v>2186</v>
      </c>
      <c r="F1393" s="1" t="s">
        <v>3083</v>
      </c>
      <c r="G1393" s="1" t="s">
        <v>36</v>
      </c>
      <c r="H1393" s="1" t="s">
        <v>29</v>
      </c>
      <c r="I1393" s="1" t="str">
        <f ca="1">IFERROR(__xludf.DUMMYFUNCTION("GOOGLETRANSLATE(F1393, ""auto"", ""en"")
"),"Bought in December. We are terribly pleased; after half a year of operation, no disadvantages were identified, except for difficulties in caring for the ceramic surface. The design is pleasing. I highly recommend it!")</f>
        <v>Bought in December. We are terribly pleased; after half a year of operation, no disadvantages were identified, except for difficulties in caring for the ceramic surface. The design is pleasing. I highly recommend it!</v>
      </c>
    </row>
    <row r="1394" spans="1:9" x14ac:dyDescent="0.3">
      <c r="A1394" s="1" t="s">
        <v>120</v>
      </c>
      <c r="B1394" s="1" t="s">
        <v>834</v>
      </c>
      <c r="C1394" s="1" t="s">
        <v>97</v>
      </c>
      <c r="D1394" s="1" t="s">
        <v>305</v>
      </c>
      <c r="E1394" s="1" t="s">
        <v>3084</v>
      </c>
      <c r="F1394" s="1" t="s">
        <v>3085</v>
      </c>
      <c r="G1394" s="1" t="s">
        <v>36</v>
      </c>
      <c r="H1394" s="1" t="s">
        <v>29</v>
      </c>
      <c r="I1394" s="1" t="str">
        <f ca="1">IFERROR(__xludf.DUMMYFUNCTION("GOOGLETRANSLATE(F1394, ""auto"", ""en"")
"),"I bought this TV model yesterday and my expectations were met and even more. I recommend it to everyone")</f>
        <v>I bought this TV model yesterday and my expectations were met and even more. I recommend it to everyone</v>
      </c>
    </row>
    <row r="1395" spans="1:9" x14ac:dyDescent="0.3">
      <c r="A1395" s="1" t="s">
        <v>61</v>
      </c>
      <c r="B1395" s="1" t="s">
        <v>726</v>
      </c>
      <c r="C1395" s="1" t="s">
        <v>351</v>
      </c>
      <c r="D1395" s="1" t="s">
        <v>200</v>
      </c>
      <c r="E1395" s="1" t="s">
        <v>529</v>
      </c>
      <c r="F1395" s="1" t="s">
        <v>3086</v>
      </c>
      <c r="G1395" s="1" t="s">
        <v>36</v>
      </c>
      <c r="H1395" s="1" t="s">
        <v>29</v>
      </c>
      <c r="I1395" s="1" t="str">
        <f ca="1">IFERROR(__xludf.DUMMYFUNCTION("GOOGLETRANSLATE(F1395, ""auto"", ""en"")
"),"Yesterday I bought this device.  Experience No. 1: the bread is heavy, the crust is hard and thick. Conclusion: the recipe was chosen incorrectly.  Experience No. 2: The bread is fluffy, tasty, aromatic. Conclusion: you need to experiment and everything w"&amp;"ill work out!")</f>
        <v>Yesterday I bought this device.  Experience No. 1: the bread is heavy, the crust is hard and thick. Conclusion: the recipe was chosen incorrectly.  Experience No. 2: The bread is fluffy, tasty, aromatic. Conclusion: you need to experiment and everything will work out!</v>
      </c>
    </row>
    <row r="1396" spans="1:9" x14ac:dyDescent="0.3">
      <c r="A1396" s="1" t="s">
        <v>30</v>
      </c>
      <c r="B1396" s="1" t="s">
        <v>50</v>
      </c>
      <c r="C1396" s="1" t="s">
        <v>51</v>
      </c>
      <c r="D1396" s="1" t="s">
        <v>139</v>
      </c>
      <c r="E1396" s="1" t="s">
        <v>1275</v>
      </c>
      <c r="F1396" s="1" t="s">
        <v>3087</v>
      </c>
      <c r="G1396" s="1" t="s">
        <v>36</v>
      </c>
      <c r="H1396" s="1" t="s">
        <v>29</v>
      </c>
      <c r="I1396" s="1" t="str">
        <f ca="1">IFERROR(__xludf.DUMMYFUNCTION("GOOGLETRANSLATE(F1396, ""auto"", ""en"")
"),"Bought 02/26/2010.   I paid 20% of the cost with coupons and it turned out in cash - 27990! An excellent price, for which it is impossible to ask for anything more. The standard program does an excellent backup, but in comparison with Akronis it takes a v"&amp;"ery long time. The video card is very good, but I would like a processor for it, at least a P-series.  Before this beech there was an HP HDX-16 1040er - it died a heroic death during the warranty period and my money was returned.  PB cost exactly half the"&amp;" price and, in comparison with HP, loses quite a bit: 1) slightly worse performance, 2) slightly worse case materials (the build quality is identical)), 3) smaller hard drive, 4) no eSATA, 5) no PCMCI slot. If it works without complaints for more than 6 m"&amp;"onths, I will recommend it. Happy shopping everyone!")</f>
        <v>Bought 02/26/2010.   I paid 20% of the cost with coupons and it turned out in cash - 27990! An excellent price, for which it is impossible to ask for anything more. The standard program does an excellent backup, but in comparison with Akronis it takes a very long time. The video card is very good, but I would like a processor for it, at least a P-series.  Before this beech there was an HP HDX-16 1040er - it died a heroic death during the warranty period and my money was returned.  PB cost exactly half the price and, in comparison with HP, loses quite a bit: 1) slightly worse performance, 2) slightly worse case materials (the build quality is identical)), 3) smaller hard drive, 4) no eSATA, 5) no PCMCI slot. If it works without complaints for more than 6 months, I will recommend it. Happy shopping everyone!</v>
      </c>
    </row>
    <row r="1397" spans="1:9" x14ac:dyDescent="0.3">
      <c r="A1397" s="1" t="s">
        <v>519</v>
      </c>
      <c r="B1397" s="1" t="s">
        <v>3088</v>
      </c>
      <c r="C1397" s="1" t="s">
        <v>246</v>
      </c>
      <c r="D1397" s="1" t="s">
        <v>1241</v>
      </c>
      <c r="E1397" s="1" t="s">
        <v>3089</v>
      </c>
      <c r="F1397" s="1" t="s">
        <v>3090</v>
      </c>
      <c r="G1397" s="1" t="s">
        <v>49</v>
      </c>
      <c r="H1397" s="1" t="s">
        <v>16</v>
      </c>
      <c r="I1397" s="1" t="str">
        <f ca="1">IFERROR(__xludf.DUMMYFUNCTION("GOOGLETRANSLATE(F1397, ""auto"", ""en"")
"),"My frying pan is almost 2 years old and can be thrown away. The non-stick layer collapsed, although I used exclusively a Tefal plastic spatula and non-abrasive detergents. I'm disappointed, I'll buy the cheapest one, I won't mind throwing it away.")</f>
        <v>My frying pan is almost 2 years old and can be thrown away. The non-stick layer collapsed, although I used exclusively a Tefal plastic spatula and non-abrasive detergents. I'm disappointed, I'll buy the cheapest one, I won't mind throwing it away.</v>
      </c>
    </row>
    <row r="1398" spans="1:9" x14ac:dyDescent="0.3">
      <c r="A1398" s="1" t="s">
        <v>9</v>
      </c>
      <c r="B1398" s="1" t="s">
        <v>10</v>
      </c>
      <c r="C1398" s="1" t="s">
        <v>3091</v>
      </c>
      <c r="D1398" s="1" t="s">
        <v>166</v>
      </c>
      <c r="E1398" s="1" t="s">
        <v>760</v>
      </c>
      <c r="F1398" s="1" t="s">
        <v>3092</v>
      </c>
      <c r="G1398" s="1" t="s">
        <v>28</v>
      </c>
      <c r="H1398" s="1" t="s">
        <v>29</v>
      </c>
      <c r="I1398" s="1" t="str">
        <f ca="1">IFERROR(__xludf.DUMMYFUNCTION("GOOGLETRANSLATE(F1398, ""auto"", ""en"")
"),"The hood is simply wonderful, it’s not for nothing that I spent a long time on the Internet and read all the reviews about it)) Everything turned out to be true!! In general, in my opinion, it also looks stylish and harmonizes with my kitchen))) I haven’t"&amp;" had any bad incidents with it, everything works just like a charm!! Pulls out all the extra odors from my kitchen instantly and makes very little noise!!!")</f>
        <v>The hood is simply wonderful, it’s not for nothing that I spent a long time on the Internet and read all the reviews about it)) Everything turned out to be true!! In general, in my opinion, it also looks stylish and harmonizes with my kitchen))) I haven’t had any bad incidents with it, everything works just like a charm!! Pulls out all the extra odors from my kitchen instantly and makes very little noise!!!</v>
      </c>
    </row>
    <row r="1399" spans="1:9" x14ac:dyDescent="0.3">
      <c r="A1399" s="1" t="s">
        <v>30</v>
      </c>
      <c r="B1399" s="1" t="s">
        <v>50</v>
      </c>
      <c r="C1399" s="1" t="s">
        <v>1003</v>
      </c>
      <c r="D1399" s="1" t="s">
        <v>1894</v>
      </c>
      <c r="E1399" s="1" t="s">
        <v>643</v>
      </c>
      <c r="F1399" s="1" t="s">
        <v>3093</v>
      </c>
      <c r="G1399" s="1" t="s">
        <v>36</v>
      </c>
      <c r="H1399" s="1" t="s">
        <v>29</v>
      </c>
      <c r="I1399" s="1" t="str">
        <f ca="1">IFERROR(__xludf.DUMMYFUNCTION("GOOGLETRANSLATE(F1399, ""auto"", ""en"")
"),"Excellent laptop)))) No complaints. Works great))) Can handle games such as: S.T.A.L.K.E.R. , METRO2033 and many others that require excellent characteristics)))")</f>
        <v>Excellent laptop)))) No complaints. Works great))) Can handle games such as: S.T.A.L.K.E.R. , METRO2033 and many others that require excellent characteristics)))</v>
      </c>
    </row>
    <row r="1400" spans="1:9" x14ac:dyDescent="0.3">
      <c r="A1400" s="1" t="s">
        <v>211</v>
      </c>
      <c r="B1400" s="1" t="s">
        <v>265</v>
      </c>
      <c r="C1400" s="1" t="s">
        <v>57</v>
      </c>
      <c r="D1400" s="1" t="s">
        <v>64</v>
      </c>
      <c r="E1400" s="1" t="s">
        <v>1660</v>
      </c>
      <c r="F1400" s="1" t="s">
        <v>3094</v>
      </c>
      <c r="G1400" s="1" t="s">
        <v>49</v>
      </c>
      <c r="H1400" s="1" t="s">
        <v>16</v>
      </c>
      <c r="I1400" s="1" t="str">
        <f ca="1">IFERROR(__xludf.DUMMYFUNCTION("GOOGLETRANSLATE(F1400, ""auto"", ""en"")
"),"At first this machine worked more or less, a couple of times. Then she started pulling out her hair, cutting it disgustingly... Now it’s not charging at all, i.e. It is not possible to cut hair from a battery. Let's go return it and exchange it for anothe"&amp;"r one! I really don’t recommend purchasing this equipment, I also regret that I didn’t read the reviews about it..")</f>
        <v>At first this machine worked more or less, a couple of times. Then she started pulling out her hair, cutting it disgustingly... Now it’s not charging at all, i.e. It is not possible to cut hair from a battery. Let's go return it and exchange it for another one! I really don’t recommend purchasing this equipment, I also regret that I didn’t read the reviews about it..</v>
      </c>
    </row>
    <row r="1401" spans="1:9" x14ac:dyDescent="0.3">
      <c r="A1401" s="1" t="s">
        <v>169</v>
      </c>
      <c r="B1401" s="1" t="s">
        <v>170</v>
      </c>
      <c r="C1401" s="1" t="s">
        <v>171</v>
      </c>
      <c r="D1401" s="1" t="s">
        <v>305</v>
      </c>
      <c r="E1401" s="1" t="s">
        <v>3095</v>
      </c>
      <c r="F1401" s="1" t="s">
        <v>3096</v>
      </c>
      <c r="G1401" s="1" t="s">
        <v>36</v>
      </c>
      <c r="H1401" s="1" t="s">
        <v>29</v>
      </c>
      <c r="I1401" s="1" t="str">
        <f ca="1">IFERROR(__xludf.DUMMYFUNCTION("GOOGLETRANSLATE(F1401, ""auto"", ""en"")
"),"Nice ears! I'm already using my second pair! I really like it! Good sound, fits well in the ear! Really pathetic wire =(")</f>
        <v>Nice ears! I'm already using my second pair! I really like it! Good sound, fits well in the ear! Really pathetic wire =(</v>
      </c>
    </row>
    <row r="1402" spans="1:9" x14ac:dyDescent="0.3">
      <c r="A1402" s="1" t="s">
        <v>17</v>
      </c>
      <c r="B1402" s="1" t="s">
        <v>18</v>
      </c>
      <c r="C1402" s="1" t="s">
        <v>19</v>
      </c>
      <c r="D1402" s="1" t="s">
        <v>3097</v>
      </c>
      <c r="E1402" s="1" t="s">
        <v>614</v>
      </c>
      <c r="F1402" s="1" t="s">
        <v>3098</v>
      </c>
      <c r="G1402" s="1" t="s">
        <v>28</v>
      </c>
      <c r="H1402" s="1" t="s">
        <v>29</v>
      </c>
      <c r="I1402" s="1" t="str">
        <f ca="1">IFERROR(__xludf.DUMMYFUNCTION("GOOGLETRANSLATE(F1402, ""auto"", ""en"")
"),"+ price. at the end of 2011 I took it, washed it well, almost silently, the children's clothes mode, light ironing (only used a couple of times) and an additional rinse - you can hear the water being poured in, it is very loud during the spin cycle, the p"&amp;"owder is not all washed out of the powder compartment when water is poured in, after almost 5 years of service the electronics began to malfunction, the drain began to work every other time, which is why sometimes I had to restart it at 100500 once and co"&amp;"uld wash it all night long... the repairman announced repairs! almost its full price. If it weren’t for the breakdown, we would have continued to use it, as it was generally quite good for a budget")</f>
        <v>+ price. at the end of 2011 I took it, washed it well, almost silently, the children's clothes mode, light ironing (only used a couple of times) and an additional rinse - you can hear the water being poured in, it is very loud during the spin cycle, the powder is not all washed out of the powder compartment when water is poured in, after almost 5 years of service the electronics began to malfunction, the drain began to work every other time, which is why sometimes I had to restart it at 100500 once and could wash it all night long... the repairman announced repairs! almost its full price. If it weren’t for the breakdown, we would have continued to use it, as it was generally quite good for a budget</v>
      </c>
    </row>
    <row r="1403" spans="1:9" x14ac:dyDescent="0.3">
      <c r="A1403" s="1" t="s">
        <v>17</v>
      </c>
      <c r="B1403" s="1" t="s">
        <v>18</v>
      </c>
      <c r="C1403" s="1" t="s">
        <v>885</v>
      </c>
      <c r="D1403" s="1" t="s">
        <v>545</v>
      </c>
      <c r="E1403" s="1" t="s">
        <v>2254</v>
      </c>
      <c r="F1403" s="1" t="s">
        <v>3099</v>
      </c>
      <c r="G1403" s="1" t="s">
        <v>49</v>
      </c>
      <c r="H1403" s="1" t="s">
        <v>16</v>
      </c>
      <c r="I1403" s="1" t="str">
        <f ca="1">IFERROR(__xludf.DUMMYFUNCTION("GOOGLETRANSLATE(F1403, ""auto"", ""en"")
"),"Disgusting machine. It takes in the water with the sound of the Niagara Falls, vibrates a lot, it’s impossible to wash the bed linen - you have to wash one item at a time and at the same time keep watch so that it doesn’t jump, I’ve already called the rep"&amp;"airman twice in six months - it bounces around the kitchen and the electronics are glitching.")</f>
        <v>Disgusting machine. It takes in the water with the sound of the Niagara Falls, vibrates a lot, it’s impossible to wash the bed linen - you have to wash one item at a time and at the same time keep watch so that it doesn’t jump, I’ve already called the repairman twice in six months - it bounces around the kitchen and the electronics are glitching.</v>
      </c>
    </row>
    <row r="1404" spans="1:9" x14ac:dyDescent="0.3">
      <c r="A1404" s="1" t="s">
        <v>61</v>
      </c>
      <c r="B1404" s="1" t="s">
        <v>145</v>
      </c>
      <c r="C1404" s="1" t="s">
        <v>246</v>
      </c>
      <c r="D1404" s="1" t="s">
        <v>3100</v>
      </c>
      <c r="E1404" s="1" t="s">
        <v>2365</v>
      </c>
      <c r="F1404" s="1" t="s">
        <v>3101</v>
      </c>
      <c r="G1404" s="1" t="s">
        <v>36</v>
      </c>
      <c r="H1404" s="1" t="s">
        <v>29</v>
      </c>
      <c r="I1404" s="1" t="str">
        <f ca="1">IFERROR(__xludf.DUMMYFUNCTION("GOOGLETRANSLATE(F1404, ""auto"", ""en"")
"),"The whole family has been using the steamer for two years now! No complaints! It works smoothly and properly!!! I recommend!!!")</f>
        <v>The whole family has been using the steamer for two years now! No complaints! It works smoothly and properly!!! I recommend!!!</v>
      </c>
    </row>
    <row r="1405" spans="1:9" x14ac:dyDescent="0.3">
      <c r="A1405" s="1" t="s">
        <v>61</v>
      </c>
      <c r="B1405" s="1" t="s">
        <v>73</v>
      </c>
      <c r="C1405" s="1" t="s">
        <v>85</v>
      </c>
      <c r="D1405" s="1" t="s">
        <v>75</v>
      </c>
      <c r="E1405" s="1" t="s">
        <v>3102</v>
      </c>
      <c r="F1405" s="1" t="s">
        <v>3103</v>
      </c>
      <c r="G1405" s="1" t="s">
        <v>36</v>
      </c>
      <c r="H1405" s="1" t="s">
        <v>29</v>
      </c>
      <c r="I1405" s="1" t="str">
        <f ca="1">IFERROR(__xludf.DUMMYFUNCTION("GOOGLETRANSLATE(F1405, ""auto"", ""en"")
"),"I was looking at a Vitek meat grinder, but the consultant recommended a Bork machine, its price was really steep, but my husband decided to buy it. I tried almost everything, including turning meat into homemade cutlets, shredding cabbage, the grater did "&amp;"not disappoint, and carrots and beets in one fell swoop for borscht :) In a word, I now have a good helper in my kitchen! My hands rest, I cook even more with pleasure! :)")</f>
        <v>I was looking at a Vitek meat grinder, but the consultant recommended a Bork machine, its price was really steep, but my husband decided to buy it. I tried almost everything, including turning meat into homemade cutlets, shredding cabbage, the grater did not disappoint, and carrots and beets in one fell swoop for borscht :) In a word, I now have a good helper in my kitchen! My hands rest, I cook even more with pleasure! :)</v>
      </c>
    </row>
    <row r="1406" spans="1:9" x14ac:dyDescent="0.3">
      <c r="A1406" s="1" t="s">
        <v>61</v>
      </c>
      <c r="B1406" s="1" t="s">
        <v>318</v>
      </c>
      <c r="C1406" s="1" t="s">
        <v>213</v>
      </c>
      <c r="D1406" s="1" t="s">
        <v>52</v>
      </c>
      <c r="E1406" s="1" t="s">
        <v>3104</v>
      </c>
      <c r="F1406" s="1" t="s">
        <v>3105</v>
      </c>
      <c r="G1406" s="1" t="s">
        <v>36</v>
      </c>
      <c r="H1406" s="1" t="s">
        <v>29</v>
      </c>
      <c r="I1406" s="1" t="str">
        <f ca="1">IFERROR(__xludf.DUMMYFUNCTION("GOOGLETRANSLATE(F1406, ""auto"", ""en"")
"),"This kettle served me for 4 years. A small leak appeared. I choose this kettle again. Holds hot water for a long time, is easy to clean, and looks good.")</f>
        <v>This kettle served me for 4 years. A small leak appeared. I choose this kettle again. Holds hot water for a long time, is easy to clean, and looks good.</v>
      </c>
    </row>
    <row r="1407" spans="1:9" x14ac:dyDescent="0.3">
      <c r="A1407" s="1" t="s">
        <v>105</v>
      </c>
      <c r="B1407" s="1" t="s">
        <v>106</v>
      </c>
      <c r="C1407" s="1" t="s">
        <v>69</v>
      </c>
      <c r="D1407" s="1" t="s">
        <v>3106</v>
      </c>
      <c r="E1407" s="1" t="s">
        <v>259</v>
      </c>
      <c r="F1407" s="1" t="s">
        <v>3107</v>
      </c>
      <c r="G1407" s="1" t="s">
        <v>36</v>
      </c>
      <c r="H1407" s="1" t="s">
        <v>29</v>
      </c>
      <c r="I1407" s="1" t="str">
        <f ca="1">IFERROR(__xludf.DUMMYFUNCTION("GOOGLETRANSLATE(F1407, ""auto"", ""en"")
"),"I bought it not so long ago, about 2 weeks ago. I listen every day for 8 hours. The player is GORGEOUS!!    If you are looking for in the player: 1 - !Excellent! quality of music (Even with native ears!!!) 2 - Quite simple controls 3 - Lasts for a very lo"&amp;"ng time (as promised) It has a metal body, this is also a very big plus. There are disadvantages, but they are insignificant! Judge for yourself - the “biggest” player takes about 20 seconds to update when you turn it on. Conclusion - Take it, you won’t r"&amp;"egret it!")</f>
        <v>I bought it not so long ago, about 2 weeks ago. I listen every day for 8 hours. The player is GORGEOUS!!    If you are looking for in the player: 1 - !Excellent! quality of music (Even with native ears!!!) 2 - Quite simple controls 3 - Lasts for a very long time (as promised) It has a metal body, this is also a very big plus. There are disadvantages, but they are insignificant! Judge for yourself - the “biggest” player takes about 20 seconds to update when you turn it on. Conclusion - Take it, you won’t regret it!</v>
      </c>
    </row>
    <row r="1408" spans="1:9" x14ac:dyDescent="0.3">
      <c r="A1408" s="1" t="s">
        <v>120</v>
      </c>
      <c r="B1408" s="1" t="s">
        <v>121</v>
      </c>
      <c r="C1408" s="1" t="s">
        <v>69</v>
      </c>
      <c r="D1408" s="1" t="s">
        <v>3108</v>
      </c>
      <c r="E1408" s="1" t="s">
        <v>2321</v>
      </c>
      <c r="F1408" s="1" t="s">
        <v>3109</v>
      </c>
      <c r="G1408" s="1" t="s">
        <v>28</v>
      </c>
      <c r="H1408" s="1" t="s">
        <v>29</v>
      </c>
      <c r="I1408" s="1" t="str">
        <f ca="1">IFERROR(__xludf.DUMMYFUNCTION("GOOGLETRANSLATE(F1408, ""auto"", ""en"")
"),"Having bought this TV, I connected the PS3 to it, and the console offered me 1080P resolution. Which I was pleasantly surprised by.")</f>
        <v>Having bought this TV, I connected the PS3 to it, and the console offered me 1080P resolution. Which I was pleasantly surprised by.</v>
      </c>
    </row>
    <row r="1409" spans="1:9" x14ac:dyDescent="0.3">
      <c r="A1409" s="1" t="s">
        <v>206</v>
      </c>
      <c r="B1409" s="1" t="s">
        <v>207</v>
      </c>
      <c r="C1409" s="1" t="s">
        <v>152</v>
      </c>
      <c r="D1409" s="1" t="s">
        <v>3110</v>
      </c>
      <c r="E1409" s="1" t="s">
        <v>3111</v>
      </c>
      <c r="F1409" s="1" t="s">
        <v>3112</v>
      </c>
      <c r="G1409" s="1" t="s">
        <v>36</v>
      </c>
      <c r="H1409" s="1" t="s">
        <v>29</v>
      </c>
      <c r="I1409" s="1" t="str">
        <f ca="1">IFERROR(__xludf.DUMMYFUNCTION("GOOGLETRANSLATE(F1409, ""auto"", ""en"")
"),"Plays well! I installed it instead of the factory one!")</f>
        <v>Plays well! I installed it instead of the factory one!</v>
      </c>
    </row>
    <row r="1410" spans="1:9" x14ac:dyDescent="0.3">
      <c r="A1410" s="1" t="s">
        <v>37</v>
      </c>
      <c r="B1410" s="1" t="s">
        <v>38</v>
      </c>
      <c r="C1410" s="1" t="s">
        <v>163</v>
      </c>
      <c r="D1410" s="1" t="s">
        <v>940</v>
      </c>
      <c r="E1410" s="1" t="s">
        <v>2120</v>
      </c>
      <c r="F1410" s="1" t="s">
        <v>3113</v>
      </c>
      <c r="G1410" s="1" t="s">
        <v>28</v>
      </c>
      <c r="H1410" s="1" t="s">
        <v>29</v>
      </c>
      <c r="I1410" s="1" t="str">
        <f ca="1">IFERROR(__xludf.DUMMYFUNCTION("GOOGLETRANSLATE(F1410, ""auto"", ""en"")
"),"More than two weeks have passed since the purchase, two minuses have been added, the first, the phone “reboots” when there is insufficient RAM (those who had a 3250 will understand me), the second minus, after putting the phone on charge, I thought it wou"&amp;"ld at least somehow show that it was charging, so, I put it on charge and the phone does not signal that it is charging)) this is normal, in order to see that it is charging, just press any button, the display will light up and show that the phone chargin"&amp;"g... about the charge, I tormented the Akum in one day, 3 hours of ICQ, 1 hour of radio, and I tested the phone a little with java applications, and the charge was enough from morning to night (just enough to put it on charge), what else, there is a littl"&amp;"e lack of memory, 40 meters would be enough, I think) the music plays so-so, it’s impossible to listen too loudly through the speaker, it’s too noisy)) through headphones it’s fine, I also checked the phone in a conversation, the volume of the speaker is "&amp;"enough to walk along the road with passing cars and hear your interlocutor, who loses connection during a conversation, I advise you to keep the phone at the top since it has an antenna at the bottom..")</f>
        <v>More than two weeks have passed since the purchase, two minuses have been added, the first, the phone “reboots” when there is insufficient RAM (those who had a 3250 will understand me), the second minus, after putting the phone on charge, I thought it would at least somehow show that it was charging, so, I put it on charge and the phone does not signal that it is charging)) this is normal, in order to see that it is charging, just press any button, the display will light up and show that the phone charging... about the charge, I tormented the Akum in one day, 3 hours of ICQ, 1 hour of radio, and I tested the phone a little with java applications, and the charge was enough from morning to night (just enough to put it on charge), what else, there is a little lack of memory, 40 meters would be enough, I think) the music plays so-so, it’s impossible to listen too loudly through the speaker, it’s too noisy)) through headphones it’s fine, I also checked the phone in a conversation, the volume of the speaker is enough to walk along the road with passing cars and hear your interlocutor, who loses connection during a conversation, I advise you to keep the phone at the top since it has an antenna at the bottom..</v>
      </c>
    </row>
    <row r="1411" spans="1:9" x14ac:dyDescent="0.3">
      <c r="A1411" s="1" t="s">
        <v>43</v>
      </c>
      <c r="B1411" s="1" t="s">
        <v>303</v>
      </c>
      <c r="C1411" s="1" t="s">
        <v>665</v>
      </c>
      <c r="D1411" s="1" t="s">
        <v>1188</v>
      </c>
      <c r="E1411" s="1" t="s">
        <v>3114</v>
      </c>
      <c r="F1411" s="1" t="s">
        <v>3115</v>
      </c>
      <c r="G1411" s="1" t="s">
        <v>36</v>
      </c>
      <c r="H1411" s="1" t="s">
        <v>29</v>
      </c>
      <c r="I1411" s="1" t="str">
        <f ca="1">IFERROR(__xludf.DUMMYFUNCTION("GOOGLETRANSLATE(F1411, ""auto"", ""en"")
"),"Wonderful water heater. It has been working for more than 1.5 years.")</f>
        <v>Wonderful water heater. It has been working for more than 1.5 years.</v>
      </c>
    </row>
    <row r="1412" spans="1:9" x14ac:dyDescent="0.3">
      <c r="A1412" s="1" t="s">
        <v>120</v>
      </c>
      <c r="B1412" s="1" t="s">
        <v>1205</v>
      </c>
      <c r="C1412" s="1" t="s">
        <v>1206</v>
      </c>
      <c r="D1412" s="1" t="s">
        <v>3116</v>
      </c>
      <c r="E1412" s="1" t="s">
        <v>1950</v>
      </c>
      <c r="F1412" s="1" t="s">
        <v>3117</v>
      </c>
      <c r="G1412" s="1" t="s">
        <v>36</v>
      </c>
      <c r="H1412" s="1" t="s">
        <v>29</v>
      </c>
      <c r="I1412" s="1" t="str">
        <f ca="1">IFERROR(__xludf.DUMMYFUNCTION("GOOGLETRANSLATE(F1412, ""auto"", ""en"")
"),"I've been using it for a year now and am happy. I had read a lot of negative reviews beforehand, but still took the risk. As a result, after a year of operation, not a single freeze or other nonsense from the reviews. Perhaps it was set up crookedly for p"&amp;"eople, or there is simply a category of people who are always dissatisfied. In general, I use it and am extremely pleased.")</f>
        <v>I've been using it for a year now and am happy. I had read a lot of negative reviews beforehand, but still took the risk. As a result, after a year of operation, not a single freeze or other nonsense from the reviews. Perhaps it was set up crookedly for people, or there is simply a category of people who are always dissatisfied. In general, I use it and am extremely pleased.</v>
      </c>
    </row>
    <row r="1413" spans="1:9" x14ac:dyDescent="0.3">
      <c r="A1413" s="1" t="s">
        <v>120</v>
      </c>
      <c r="B1413" s="1" t="s">
        <v>196</v>
      </c>
      <c r="C1413" s="1" t="s">
        <v>80</v>
      </c>
      <c r="D1413" s="1" t="s">
        <v>1659</v>
      </c>
      <c r="E1413" s="1" t="s">
        <v>1497</v>
      </c>
      <c r="F1413" s="1" t="s">
        <v>3118</v>
      </c>
      <c r="G1413" s="1" t="s">
        <v>36</v>
      </c>
      <c r="H1413" s="1" t="s">
        <v>29</v>
      </c>
      <c r="I1413" s="1" t="str">
        <f ca="1">IFERROR(__xludf.DUMMYFUNCTION("GOOGLETRANSLATE(F1413, ""auto"", ""en"")
"),"Choosing a TV was long and tedious. At first I wanted the LH4000 model. When I went to the store and compared, I didn’t see much of a difference. Maybe 100 Hz technology somehow improves the picture, but I didn’t want to pay an extra 10k.   The experience"&amp;" of watching HD movies is wonderful! The TV is connected to the computer with a DVI-HDMI cable. I chose HD-DVD as the input because when I select PC in the input menu, the picture settings are too limited. USB activated using laptop + audio cable and IR d"&amp;"iode. Fast and hassle-free. There is now a USB tab in the menu. He reads everything and loses!")</f>
        <v>Choosing a TV was long and tedious. At first I wanted the LH4000 model. When I went to the store and compared, I didn’t see much of a difference. Maybe 100 Hz technology somehow improves the picture, but I didn’t want to pay an extra 10k.   The experience of watching HD movies is wonderful! The TV is connected to the computer with a DVI-HDMI cable. I chose HD-DVD as the input because when I select PC in the input menu, the picture settings are too limited. USB activated using laptop + audio cable and IR diode. Fast and hassle-free. There is now a USB tab in the menu. He reads everything and loses!</v>
      </c>
    </row>
    <row r="1414" spans="1:9" x14ac:dyDescent="0.3">
      <c r="A1414" s="1" t="s">
        <v>965</v>
      </c>
      <c r="B1414" s="1" t="s">
        <v>966</v>
      </c>
      <c r="C1414" s="1" t="s">
        <v>166</v>
      </c>
      <c r="D1414" s="1" t="s">
        <v>1681</v>
      </c>
      <c r="E1414" s="1" t="s">
        <v>1657</v>
      </c>
      <c r="F1414" s="1" t="s">
        <v>3119</v>
      </c>
      <c r="G1414" s="1" t="s">
        <v>36</v>
      </c>
      <c r="H1414" s="1" t="s">
        <v>29</v>
      </c>
      <c r="I1414" s="1" t="str">
        <f ca="1">IFERROR(__xludf.DUMMYFUNCTION("GOOGLETRANSLATE(F1414, ""auto"", ""en"")
"),"The bass is generally excellent. At first it was even too powerful, then you get used to it and the bass becomes not enough. At full speed it drags well, you can hear it throughout the entire apartment, the neighbors call every time because you need to ma"&amp;"ke it quieter... I AM SATISFIED WITH THIS PURCHASE!!! TAKE IT YOU WILL NOT REGRET!!")</f>
        <v>The bass is generally excellent. At first it was even too powerful, then you get used to it and the bass becomes not enough. At full speed it drags well, you can hear it throughout the entire apartment, the neighbors call every time because you need to make it quieter... I AM SATISFIED WITH THIS PURCHASE!!! TAKE IT YOU WILL NOT REGRET!!</v>
      </c>
    </row>
    <row r="1415" spans="1:9" x14ac:dyDescent="0.3">
      <c r="A1415" s="1" t="s">
        <v>17</v>
      </c>
      <c r="B1415" s="1" t="s">
        <v>18</v>
      </c>
      <c r="C1415" s="1" t="s">
        <v>243</v>
      </c>
      <c r="D1415" s="1" t="s">
        <v>335</v>
      </c>
      <c r="E1415" s="1" t="s">
        <v>3120</v>
      </c>
      <c r="F1415" s="1" t="s">
        <v>3121</v>
      </c>
      <c r="G1415" s="1" t="s">
        <v>36</v>
      </c>
      <c r="H1415" s="1" t="s">
        <v>29</v>
      </c>
      <c r="I1415" s="1" t="str">
        <f ca="1">IFERROR(__xludf.DUMMYFUNCTION("GOOGLETRANSLATE(F1415, ""auto"", ""en"")
"),"Bought it on sale - works great. It removes stains perfectly - whether dried dirt, fresh dirt, wine, chocolate, whatever a child spills on himself. The “in 15 minutes” mode is actually what you need! It makes a little noise, but we have a special room - a"&amp;" mini laundry. So it doesn’t bother the child at all during the day.")</f>
        <v>Bought it on sale - works great. It removes stains perfectly - whether dried dirt, fresh dirt, wine, chocolate, whatever a child spills on himself. The “in 15 minutes” mode is actually what you need! It makes a little noise, but we have a special room - a mini laundry. So it doesn’t bother the child at all during the day.</v>
      </c>
    </row>
    <row r="1416" spans="1:9" x14ac:dyDescent="0.3">
      <c r="A1416" s="1" t="s">
        <v>55</v>
      </c>
      <c r="B1416" s="1" t="s">
        <v>752</v>
      </c>
      <c r="C1416" s="1" t="s">
        <v>185</v>
      </c>
      <c r="D1416" s="1" t="s">
        <v>474</v>
      </c>
      <c r="E1416" s="1" t="s">
        <v>1639</v>
      </c>
      <c r="F1416" s="1" t="s">
        <v>3122</v>
      </c>
      <c r="G1416" s="1" t="s">
        <v>28</v>
      </c>
      <c r="H1416" s="1" t="s">
        <v>29</v>
      </c>
      <c r="I1416" s="1" t="str">
        <f ca="1">IFERROR(__xludf.DUMMYFUNCTION("GOOGLETRANSLATE(F1416, ""auto"", ""en"")
"),"We decided not to delay the process and rushed to purchase it now. Excellent replacement of the battery in the apartment. Who knows what kind of winter will come. I wouldn’t want to get into the same situation as happened in the summer with the fans))).")</f>
        <v>We decided not to delay the process and rushed to purchase it now. Excellent replacement of the battery in the apartment. Who knows what kind of winter will come. I wouldn’t want to get into the same situation as happened in the summer with the fans))).</v>
      </c>
    </row>
    <row r="1417" spans="1:9" x14ac:dyDescent="0.3">
      <c r="A1417" s="1" t="s">
        <v>61</v>
      </c>
      <c r="B1417" s="1" t="s">
        <v>977</v>
      </c>
      <c r="C1417" s="1" t="s">
        <v>63</v>
      </c>
      <c r="D1417" s="1" t="s">
        <v>2045</v>
      </c>
      <c r="E1417" s="1" t="s">
        <v>3123</v>
      </c>
      <c r="F1417" s="1" t="s">
        <v>3124</v>
      </c>
      <c r="G1417" s="1" t="s">
        <v>36</v>
      </c>
      <c r="H1417" s="1" t="s">
        <v>29</v>
      </c>
      <c r="I1417" s="1" t="str">
        <f ca="1">IFERROR(__xludf.DUMMYFUNCTION("GOOGLETRANSLATE(F1417, ""auto"", ""en"")
"),"I spent a long time choosing a mixer for myself and eventually bought a Bosch MFQ 3580. The mixer is awesome! Very quiet, lightweight, easy to use and quite powerful. It’s very nice that the set also includes a blender and a universal bowl! I use everythi"&amp;"ng with pleasure! Works great! I bought it and am incredibly happy with my purchase!")</f>
        <v>I spent a long time choosing a mixer for myself and eventually bought a Bosch MFQ 3580. The mixer is awesome! Very quiet, lightweight, easy to use and quite powerful. It’s very nice that the set also includes a blender and a universal bowl! I use everything with pleasure! Works great! I bought it and am incredibly happy with my purchase!</v>
      </c>
    </row>
    <row r="1418" spans="1:9" x14ac:dyDescent="0.3">
      <c r="A1418" s="1" t="s">
        <v>211</v>
      </c>
      <c r="B1418" s="1" t="s">
        <v>212</v>
      </c>
      <c r="C1418" s="1" t="s">
        <v>69</v>
      </c>
      <c r="D1418" s="1" t="s">
        <v>114</v>
      </c>
      <c r="E1418" s="1" t="s">
        <v>3125</v>
      </c>
      <c r="F1418" s="1" t="s">
        <v>3126</v>
      </c>
      <c r="G1418" s="1" t="s">
        <v>36</v>
      </c>
      <c r="H1418" s="1" t="s">
        <v>29</v>
      </c>
      <c r="I1418" s="1" t="str">
        <f ca="1">IFERROR(__xludf.DUMMYFUNCTION("GOOGLETRANSLATE(F1418, ""auto"", ""en"")
"),"Bought as a gift. Great price, quality, compact.")</f>
        <v>Bought as a gift. Great price, quality, compact.</v>
      </c>
    </row>
    <row r="1419" spans="1:9" x14ac:dyDescent="0.3">
      <c r="A1419" s="1" t="s">
        <v>55</v>
      </c>
      <c r="B1419" s="1" t="s">
        <v>752</v>
      </c>
      <c r="C1419" s="1" t="s">
        <v>185</v>
      </c>
      <c r="D1419" s="1" t="s">
        <v>471</v>
      </c>
      <c r="E1419" s="1" t="s">
        <v>1239</v>
      </c>
      <c r="F1419" s="1" t="s">
        <v>3127</v>
      </c>
      <c r="G1419" s="1" t="s">
        <v>36</v>
      </c>
      <c r="H1419" s="1" t="s">
        <v>29</v>
      </c>
      <c r="I1419" s="1" t="str">
        <f ca="1">IFERROR(__xludf.DUMMYFUNCTION("GOOGLETRANSLATE(F1419, ""auto"", ""en"")
"),"An excellent radiator, due to the fireplace effect, it quickly heats a large area and maintains the desired temperature in the room!! It was not for nothing that I listened to the consultant and purchased this particular radiator!")</f>
        <v>An excellent radiator, due to the fireplace effect, it quickly heats a large area and maintains the desired temperature in the room!! It was not for nothing that I listened to the consultant and purchased this particular radiator!</v>
      </c>
    </row>
    <row r="1420" spans="1:9" x14ac:dyDescent="0.3">
      <c r="A1420" s="1" t="s">
        <v>61</v>
      </c>
      <c r="B1420" s="1" t="s">
        <v>977</v>
      </c>
      <c r="C1420" s="1" t="s">
        <v>213</v>
      </c>
      <c r="D1420" s="1" t="s">
        <v>1680</v>
      </c>
      <c r="E1420" s="1" t="s">
        <v>3128</v>
      </c>
      <c r="F1420" s="1" t="s">
        <v>3129</v>
      </c>
      <c r="G1420" s="1" t="s">
        <v>36</v>
      </c>
      <c r="H1420" s="1" t="s">
        <v>29</v>
      </c>
      <c r="I1420" s="1" t="str">
        <f ca="1">IFERROR(__xludf.DUMMYFUNCTION("GOOGLETRANSLATE(F1420, ""auto"", ""en"")
"),"Great stuff. The child is 8 months old, we chop any food in a matter of seconds.")</f>
        <v>Great stuff. The child is 8 months old, we chop any food in a matter of seconds.</v>
      </c>
    </row>
    <row r="1421" spans="1:9" x14ac:dyDescent="0.3">
      <c r="A1421" s="1" t="s">
        <v>206</v>
      </c>
      <c r="B1421" s="1" t="s">
        <v>207</v>
      </c>
      <c r="C1421" s="1" t="s">
        <v>1143</v>
      </c>
      <c r="D1421" s="1" t="s">
        <v>3130</v>
      </c>
      <c r="E1421" s="1" t="s">
        <v>3131</v>
      </c>
      <c r="F1421" s="1" t="s">
        <v>3132</v>
      </c>
      <c r="G1421" s="1" t="s">
        <v>36</v>
      </c>
      <c r="H1421" s="1" t="s">
        <v>29</v>
      </c>
      <c r="I1421" s="1" t="str">
        <f ca="1">IFERROR(__xludf.DUMMYFUNCTION("GOOGLETRANSLATE(F1421, ""auto"", ""en"")
"),"I bought it a year ago, put it through a Kick Cap 27 amplifier, it pumps great, the bass quality is excellent. I don’t see the point in changing to a more powerful one, there’s no point anymore (I bought the wires separately, they are thicker than they co"&amp;"me in the kits)")</f>
        <v>I bought it a year ago, put it through a Kick Cap 27 amplifier, it pumps great, the bass quality is excellent. I don’t see the point in changing to a more powerful one, there’s no point anymore (I bought the wires separately, they are thicker than they come in the kits)</v>
      </c>
    </row>
    <row r="1422" spans="1:9" x14ac:dyDescent="0.3">
      <c r="A1422" s="1" t="s">
        <v>120</v>
      </c>
      <c r="B1422" s="1" t="s">
        <v>196</v>
      </c>
      <c r="C1422" s="1" t="s">
        <v>80</v>
      </c>
      <c r="D1422" s="1" t="s">
        <v>3133</v>
      </c>
      <c r="E1422" s="1" t="s">
        <v>128</v>
      </c>
      <c r="F1422" s="1" t="s">
        <v>3134</v>
      </c>
      <c r="G1422" s="1" t="s">
        <v>36</v>
      </c>
      <c r="H1422" s="1" t="s">
        <v>29</v>
      </c>
      <c r="I1422" s="1" t="str">
        <f ca="1">IFERROR(__xludf.DUMMYFUNCTION("GOOGLETRANSLATE(F1422, ""auto"", ""en"")
"),"excellent model: if you want to make a 3D TV out of it, buy or order a 2D to 3D converter AB3DBOX")</f>
        <v>excellent model: if you want to make a 3D TV out of it, buy or order a 2D to 3D converter AB3DBOX</v>
      </c>
    </row>
    <row r="1423" spans="1:9" x14ac:dyDescent="0.3">
      <c r="A1423" s="1" t="s">
        <v>557</v>
      </c>
      <c r="B1423" s="1" t="s">
        <v>558</v>
      </c>
      <c r="C1423" s="1" t="s">
        <v>122</v>
      </c>
      <c r="D1423" s="1" t="s">
        <v>3135</v>
      </c>
      <c r="E1423" s="1" t="s">
        <v>1950</v>
      </c>
      <c r="F1423" s="1" t="s">
        <v>3136</v>
      </c>
      <c r="G1423" s="1" t="s">
        <v>36</v>
      </c>
      <c r="H1423" s="1" t="s">
        <v>29</v>
      </c>
      <c r="I1423" s="1" t="str">
        <f ca="1">IFERROR(__xludf.DUMMYFUNCTION("GOOGLETRANSLATE(F1423, ""auto"", ""en"")
"),"The phone is excellent. Take it, you won’t regret it. The audibility in the pipe is as if I’m standing next to a person, the display can be decorated with bright colors of your choice, in the dark the keys are visible thanks to the bright, beautiful neon "&amp;"blue backlight, it is written in large letters in the phone book, which is important for people with poor eyesight. In general, everything that is stated in the description works with a bang.")</f>
        <v>The phone is excellent. Take it, you won’t regret it. The audibility in the pipe is as if I’m standing next to a person, the display can be decorated with bright colors of your choice, in the dark the keys are visible thanks to the bright, beautiful neon blue backlight, it is written in large letters in the phone book, which is important for people with poor eyesight. In general, everything that is stated in the description works with a bang.</v>
      </c>
    </row>
    <row r="1424" spans="1:9" x14ac:dyDescent="0.3">
      <c r="A1424" s="1" t="s">
        <v>61</v>
      </c>
      <c r="B1424" s="1" t="s">
        <v>318</v>
      </c>
      <c r="C1424" s="1" t="s">
        <v>69</v>
      </c>
      <c r="D1424" s="1" t="s">
        <v>3137</v>
      </c>
      <c r="E1424" s="1" t="s">
        <v>3138</v>
      </c>
      <c r="F1424" s="1" t="s">
        <v>3139</v>
      </c>
      <c r="G1424" s="1" t="s">
        <v>36</v>
      </c>
      <c r="H1424" s="1" t="s">
        <v>29</v>
      </c>
      <c r="I1424" s="1" t="str">
        <f ca="1">IFERROR(__xludf.DUMMYFUNCTION("GOOGLETRANSLATE(F1424, ""auto"", ""en"")
"),"We highly, highly recommend purchasing it to anyone who is thinking about whether to buy it or not! It’s so impeccable in its work and design, and nothing happens to it, even, frankly speaking, I’m tired of seeing the same kettle for more than one year, b"&amp;"ut how can I throw it away (replace it) if it works perfectly? In general, this is a rarity among all known teapots of this type.")</f>
        <v>We highly, highly recommend purchasing it to anyone who is thinking about whether to buy it or not! It’s so impeccable in its work and design, and nothing happens to it, even, frankly speaking, I’m tired of seeing the same kettle for more than one year, but how can I throw it away (replace it) if it works perfectly? In general, this is a rarity among all known teapots of this type.</v>
      </c>
    </row>
    <row r="1425" spans="1:9" x14ac:dyDescent="0.3">
      <c r="A1425" s="1" t="s">
        <v>61</v>
      </c>
      <c r="B1425" s="1" t="s">
        <v>180</v>
      </c>
      <c r="C1425" s="1" t="s">
        <v>57</v>
      </c>
      <c r="D1425" s="1" t="s">
        <v>589</v>
      </c>
      <c r="E1425" s="1" t="s">
        <v>3140</v>
      </c>
      <c r="F1425" s="1" t="s">
        <v>3141</v>
      </c>
      <c r="G1425" s="1" t="s">
        <v>36</v>
      </c>
      <c r="H1425" s="1" t="s">
        <v>29</v>
      </c>
      <c r="I1425" s="1" t="str">
        <f ca="1">IFERROR(__xludf.DUMMYFUNCTION("GOOGLETRANSLATE(F1425, ""auto"", ""en"")
"),"We have been using this toaster for 2 years now!!! I'm delighted with it!! Fries everything evenly, 6 modes + defrost + warm up buns! Simple bread is no longer fun to eat! But when it's hot and crispy... mmm! And I even gave one to my friends as a gift! M"&amp;"y rating is 5 out of 10! :)")</f>
        <v>We have been using this toaster for 2 years now!!! I'm delighted with it!! Fries everything evenly, 6 modes + defrost + warm up buns! Simple bread is no longer fun to eat! But when it's hot and crispy... mmm! And I even gave one to my friends as a gift! My rating is 5 out of 10! :)</v>
      </c>
    </row>
    <row r="1426" spans="1:9" x14ac:dyDescent="0.3">
      <c r="A1426" s="1" t="s">
        <v>965</v>
      </c>
      <c r="B1426" s="1" t="s">
        <v>966</v>
      </c>
      <c r="C1426" s="1" t="s">
        <v>2149</v>
      </c>
      <c r="D1426" s="1" t="s">
        <v>1659</v>
      </c>
      <c r="E1426" s="1" t="s">
        <v>3142</v>
      </c>
      <c r="F1426" s="1" t="s">
        <v>3143</v>
      </c>
      <c r="G1426" s="1" t="s">
        <v>28</v>
      </c>
      <c r="H1426" s="1" t="s">
        <v>29</v>
      </c>
      <c r="I1426" s="1" t="str">
        <f ca="1">IFERROR(__xludf.DUMMYFUNCTION("GOOGLETRANSLATE(F1426, ""auto"", ""en"")
"),"The first impression of the speakers is not bad at all. The sound quality at any volume is not bad, at least no hoarseness can be heard yet. The subwoofer produces very good low frequencies for its small size... I tested it with my neighbors. This is a sl"&amp;"ightly short wire that goes from the speakers to the subwoofer. I can say with confidence that these speakers are worth the money.")</f>
        <v>The first impression of the speakers is not bad at all. The sound quality at any volume is not bad, at least no hoarseness can be heard yet. The subwoofer produces very good low frequencies for its small size... I tested it with my neighbors. This is a slightly short wire that goes from the speakers to the subwoofer. I can say with confidence that these speakers are worth the money.</v>
      </c>
    </row>
    <row r="1427" spans="1:9" x14ac:dyDescent="0.3">
      <c r="A1427" s="1" t="s">
        <v>811</v>
      </c>
      <c r="B1427" s="1" t="s">
        <v>812</v>
      </c>
      <c r="C1427" s="1" t="s">
        <v>813</v>
      </c>
      <c r="D1427" s="1" t="s">
        <v>3144</v>
      </c>
      <c r="E1427" s="1" t="s">
        <v>3145</v>
      </c>
      <c r="F1427" s="1" t="s">
        <v>3146</v>
      </c>
      <c r="G1427" s="1" t="s">
        <v>36</v>
      </c>
      <c r="H1427" s="1" t="s">
        <v>29</v>
      </c>
      <c r="I1427" s="1" t="str">
        <f ca="1">IFERROR(__xludf.DUMMYFUNCTION("GOOGLETRANSLATE(F1427, ""auto"", ""en"")
"),"You can throw it in your backpack")</f>
        <v>You can throw it in your backpack</v>
      </c>
    </row>
    <row r="1428" spans="1:9" x14ac:dyDescent="0.3">
      <c r="A1428" s="1" t="s">
        <v>61</v>
      </c>
      <c r="B1428" s="1" t="s">
        <v>977</v>
      </c>
      <c r="C1428" s="1" t="s">
        <v>213</v>
      </c>
      <c r="D1428" s="1" t="s">
        <v>308</v>
      </c>
      <c r="E1428" s="1" t="s">
        <v>3147</v>
      </c>
      <c r="F1428" s="1" t="s">
        <v>3148</v>
      </c>
      <c r="G1428" s="1" t="s">
        <v>36</v>
      </c>
      <c r="H1428" s="1" t="s">
        <v>29</v>
      </c>
      <c r="I1428" s="1" t="str">
        <f ca="1">IFERROR(__xludf.DUMMYFUNCTION("GOOGLETRANSLATE(F1428, ""auto"", ""en"")
"),"I've been using it for several months now and I'm very pleased. And the onion will quickly chop the nuts. I even make minced meat with it. I forgot about the mixer - I beat it with a whisk. Very pleased, easy to use, easy to clean!")</f>
        <v>I've been using it for several months now and I'm very pleased. And the onion will quickly chop the nuts. I even make minced meat with it. I forgot about the mixer - I beat it with a whisk. Very pleased, easy to use, easy to clean!</v>
      </c>
    </row>
    <row r="1429" spans="1:9" x14ac:dyDescent="0.3">
      <c r="A1429" s="1" t="s">
        <v>67</v>
      </c>
      <c r="B1429" s="1" t="s">
        <v>340</v>
      </c>
      <c r="C1429" s="1" t="s">
        <v>341</v>
      </c>
      <c r="D1429" s="1" t="s">
        <v>438</v>
      </c>
      <c r="E1429" s="1" t="s">
        <v>71</v>
      </c>
      <c r="F1429" s="1" t="s">
        <v>3149</v>
      </c>
      <c r="G1429" s="1" t="s">
        <v>36</v>
      </c>
      <c r="H1429" s="1" t="s">
        <v>29</v>
      </c>
      <c r="I1429" s="1" t="str">
        <f ca="1">IFERROR(__xludf.DUMMYFUNCTION("GOOGLETRANSLATE(F1429, ""auto"", ""en"")
"),"We gave this sewing machine as a birthday gift. I'm incredibly happy with her. I thought it would be difficult to sew with a button, that I wouldn’t have time to track and would have to use a pedal. As a result, the pedal is in the bag, and starting with "&amp;"a button turned out to be such a convenience! I really like the speed control and work area lighting. Lots of stitches, overlock, embroidery - it's all just a miracle.   At first there were problems due to lack of skill. The main trick is to thread both t"&amp;"he upper and lower threads counterclockwise. Now I’ve figured it out and everything is tip top.  I have been using the machine every day for 1 month, I give it a 5 rating!")</f>
        <v>We gave this sewing machine as a birthday gift. I'm incredibly happy with her. I thought it would be difficult to sew with a button, that I wouldn’t have time to track and would have to use a pedal. As a result, the pedal is in the bag, and starting with a button turned out to be such a convenience! I really like the speed control and work area lighting. Lots of stitches, overlock, embroidery - it's all just a miracle.   At first there were problems due to lack of skill. The main trick is to thread both the upper and lower threads counterclockwise. Now I’ve figured it out and everything is tip top.  I have been using the machine every day for 1 month, I give it a 5 rating!</v>
      </c>
    </row>
    <row r="1430" spans="1:9" x14ac:dyDescent="0.3">
      <c r="A1430" s="1" t="s">
        <v>206</v>
      </c>
      <c r="B1430" s="1" t="s">
        <v>207</v>
      </c>
      <c r="C1430" s="1" t="s">
        <v>262</v>
      </c>
      <c r="D1430" s="1" t="s">
        <v>3150</v>
      </c>
      <c r="E1430" s="1" t="s">
        <v>3151</v>
      </c>
      <c r="F1430" s="1" t="s">
        <v>3152</v>
      </c>
      <c r="G1430" s="1" t="s">
        <v>28</v>
      </c>
      <c r="H1430" s="1" t="s">
        <v>29</v>
      </c>
      <c r="I1430" s="1" t="str">
        <f ca="1">IFERROR(__xludf.DUMMYFUNCTION("GOOGLETRANSLATE(F1430, ""auto"", ""en"")
"),"Filmed at 70Hz 148Db. It doesn’t play infra, that’s its minus. i cook does not whip, there is no flex. And so 148db is normal. download scarom 4500 at 0.175 ohm. Wires kg 150")</f>
        <v>Filmed at 70Hz 148Db. It doesn’t play infra, that’s its minus. i cook does not whip, there is no flex. And so 148db is normal. download scarom 4500 at 0.175 ohm. Wires kg 150</v>
      </c>
    </row>
    <row r="1431" spans="1:9" x14ac:dyDescent="0.3">
      <c r="A1431" s="1" t="s">
        <v>211</v>
      </c>
      <c r="B1431" s="1" t="s">
        <v>265</v>
      </c>
      <c r="C1431" s="1" t="s">
        <v>69</v>
      </c>
      <c r="D1431" s="1" t="s">
        <v>411</v>
      </c>
      <c r="E1431" s="1" t="s">
        <v>849</v>
      </c>
      <c r="F1431" s="1" t="s">
        <v>3153</v>
      </c>
      <c r="G1431" s="1" t="s">
        <v>28</v>
      </c>
      <c r="H1431" s="1" t="s">
        <v>29</v>
      </c>
      <c r="I1431" s="1" t="str">
        <f ca="1">IFERROR(__xludf.DUMMYFUNCTION("GOOGLETRANSLATE(F1431, ""auto"", ""en"")
"),"Everything is correct, but after a month of active use, the replacement head broke, I can’t even imagine where to get it")</f>
        <v>Everything is correct, but after a month of active use, the replacement head broke, I can’t even imagine where to get it</v>
      </c>
    </row>
    <row r="1432" spans="1:9" x14ac:dyDescent="0.3">
      <c r="A1432" s="1" t="s">
        <v>496</v>
      </c>
      <c r="B1432" s="1" t="s">
        <v>497</v>
      </c>
      <c r="C1432" s="1" t="s">
        <v>487</v>
      </c>
      <c r="D1432" s="1" t="s">
        <v>81</v>
      </c>
      <c r="E1432" s="1" t="s">
        <v>2466</v>
      </c>
      <c r="F1432" s="1" t="s">
        <v>3154</v>
      </c>
      <c r="G1432" s="1" t="s">
        <v>49</v>
      </c>
      <c r="H1432" s="1" t="s">
        <v>16</v>
      </c>
      <c r="I1432" s="1" t="str">
        <f ca="1">IFERROR(__xludf.DUMMYFUNCTION("GOOGLETRANSLATE(F1432, ""auto"", ""en"")
"),"After 5 months After rebooting the PC, the licensed version stopped working and offers to buy a more expensive version of the office.")</f>
        <v>After 5 months After rebooting the PC, the licensed version stopped working and offers to buy a more expensive version of the office.</v>
      </c>
    </row>
    <row r="1433" spans="1:9" x14ac:dyDescent="0.3">
      <c r="A1433" s="1" t="s">
        <v>61</v>
      </c>
      <c r="B1433" s="1" t="s">
        <v>145</v>
      </c>
      <c r="C1433" s="1" t="s">
        <v>69</v>
      </c>
      <c r="D1433" s="1" t="s">
        <v>545</v>
      </c>
      <c r="E1433" s="1" t="s">
        <v>1614</v>
      </c>
      <c r="F1433" s="1" t="s">
        <v>3155</v>
      </c>
      <c r="G1433" s="1" t="s">
        <v>36</v>
      </c>
      <c r="H1433" s="1" t="s">
        <v>29</v>
      </c>
      <c r="I1433" s="1" t="str">
        <f ca="1">IFERROR(__xludf.DUMMYFUNCTION("GOOGLETRANSLATE(F1433, ""auto"", ""en"")
"),"Excellent steamer!!! Everyone is happy!!!")</f>
        <v>Excellent steamer!!! Everyone is happy!!!</v>
      </c>
    </row>
    <row r="1434" spans="1:9" x14ac:dyDescent="0.3">
      <c r="A1434" s="1" t="s">
        <v>61</v>
      </c>
      <c r="B1434" s="1" t="s">
        <v>1727</v>
      </c>
      <c r="C1434" s="1" t="s">
        <v>122</v>
      </c>
      <c r="D1434" s="1" t="s">
        <v>545</v>
      </c>
      <c r="E1434" s="1" t="s">
        <v>2824</v>
      </c>
      <c r="F1434" s="1" t="s">
        <v>3156</v>
      </c>
      <c r="G1434" s="1" t="s">
        <v>36</v>
      </c>
      <c r="H1434" s="1" t="s">
        <v>29</v>
      </c>
      <c r="I1434" s="1" t="str">
        <f ca="1">IFERROR(__xludf.DUMMYFUNCTION("GOOGLETRANSLATE(F1434, ""auto"", ""en"")
"),"Bought 5 days ago! So far I like it. Everything is accessible and understandable. Only 2 essential things are missing. 1. When you put a stewing program on, for example, to cook soup, the Time comes out to be 1 hour, then by selecting the cooking you can "&amp;"increase it, but only at a steady rate of 30 minutes, for example, you can’t do 1 hour 15 minutes, if necessary, you have to monitor and turn off this time. A little inconvenient but not so scary 2. But the fact that the display does not have a backlight "&amp;"is a huge omission!!!, the arrow is tiny, it is very difficult for an elderly person (we bought it as a gift for my mother) to see it. And the rest is just great!")</f>
        <v>Bought 5 days ago! So far I like it. Everything is accessible and understandable. Only 2 essential things are missing. 1. When you put a stewing program on, for example, to cook soup, the Time comes out to be 1 hour, then by selecting the cooking you can increase it, but only at a steady rate of 30 minutes, for example, you can’t do 1 hour 15 minutes, if necessary, you have to monitor and turn off this time. A little inconvenient but not so scary 2. But the fact that the display does not have a backlight is a huge omission!!!, the arrow is tiny, it is very difficult for an elderly person (we bought it as a gift for my mother) to see it. And the rest is just great!</v>
      </c>
    </row>
    <row r="1435" spans="1:9" x14ac:dyDescent="0.3">
      <c r="A1435" s="1" t="s">
        <v>37</v>
      </c>
      <c r="B1435" s="1" t="s">
        <v>38</v>
      </c>
      <c r="C1435" s="1" t="s">
        <v>39</v>
      </c>
      <c r="D1435" s="1" t="s">
        <v>152</v>
      </c>
      <c r="E1435" s="1" t="s">
        <v>53</v>
      </c>
      <c r="F1435" s="1" t="s">
        <v>3157</v>
      </c>
      <c r="G1435" s="1" t="s">
        <v>36</v>
      </c>
      <c r="H1435" s="1" t="s">
        <v>29</v>
      </c>
      <c r="I1435" s="1" t="str">
        <f ca="1">IFERROR(__xludf.DUMMYFUNCTION("GOOGLETRANSLATE(F1435, ""auto"", ""en"")
"),"The phone is good, I like it, I noticed that when I press the top right buttons in the corner of the screen it appears as if I’m pressing my finger into the display, although I’m pressing the button..")</f>
        <v>The phone is good, I like it, I noticed that when I press the top right buttons in the corner of the screen it appears as if I’m pressing my finger into the display, although I’m pressing the button..</v>
      </c>
    </row>
    <row r="1436" spans="1:9" x14ac:dyDescent="0.3">
      <c r="A1436" s="1" t="s">
        <v>206</v>
      </c>
      <c r="B1436" s="1" t="s">
        <v>261</v>
      </c>
      <c r="C1436" s="1" t="s">
        <v>107</v>
      </c>
      <c r="D1436" s="1" t="s">
        <v>3158</v>
      </c>
      <c r="E1436" s="1" t="s">
        <v>3159</v>
      </c>
      <c r="F1436" s="1" t="s">
        <v>3160</v>
      </c>
      <c r="G1436" s="1" t="s">
        <v>28</v>
      </c>
      <c r="H1436" s="1" t="s">
        <v>29</v>
      </c>
      <c r="I1436" s="1" t="str">
        <f ca="1">IFERROR(__xludf.DUMMYFUNCTION("GOOGLETRANSLATE(F1436, ""auto"", ""en"")
"),"Absolutely not like a CD! Like a radio - yes! And even then, if the low ones are 0, and the high ones are 5 (max)! But the ear quickly gets used to it. The remote control is damn inconvenient!!! You have to poke at the device itself! It's not convenient t"&amp;"o drive! Supra for 230₽ is not much worse in properties.")</f>
        <v>Absolutely not like a CD! Like a radio - yes! And even then, if the low ones are 0, and the high ones are 5 (max)! But the ear quickly gets used to it. The remote control is damn inconvenient!!! You have to poke at the device itself! It's not convenient to drive! Supra for 230₽ is not much worse in properties.</v>
      </c>
    </row>
    <row r="1437" spans="1:9" x14ac:dyDescent="0.3">
      <c r="A1437" s="1" t="s">
        <v>169</v>
      </c>
      <c r="B1437" s="1" t="s">
        <v>170</v>
      </c>
      <c r="C1437" s="1" t="s">
        <v>193</v>
      </c>
      <c r="D1437" s="1" t="s">
        <v>3161</v>
      </c>
      <c r="E1437" s="1" t="s">
        <v>1129</v>
      </c>
      <c r="F1437" s="1" t="s">
        <v>3162</v>
      </c>
      <c r="G1437" s="1" t="s">
        <v>28</v>
      </c>
      <c r="H1437" s="1" t="s">
        <v>29</v>
      </c>
      <c r="I1437" s="1" t="str">
        <f ca="1">IFERROR(__xludf.DUMMYFUNCTION("GOOGLETRANSLATE(F1437, ""auto"", ""en"")
"),"The sound is good, but the insulation of the wire near the sinks themselves quickly cracked and the cable itself was exposed.")</f>
        <v>The sound is good, but the insulation of the wire near the sinks themselves quickly cracked and the cable itself was exposed.</v>
      </c>
    </row>
    <row r="1438" spans="1:9" x14ac:dyDescent="0.3">
      <c r="A1438" s="1" t="s">
        <v>211</v>
      </c>
      <c r="B1438" s="1" t="s">
        <v>265</v>
      </c>
      <c r="C1438" s="1" t="s">
        <v>69</v>
      </c>
      <c r="D1438" s="1" t="s">
        <v>280</v>
      </c>
      <c r="E1438" s="1" t="s">
        <v>822</v>
      </c>
      <c r="F1438" s="1" t="s">
        <v>3163</v>
      </c>
      <c r="G1438" s="1" t="s">
        <v>36</v>
      </c>
      <c r="H1438" s="1" t="s">
        <v>29</v>
      </c>
      <c r="I1438" s="1" t="str">
        <f ca="1">IFERROR(__xludf.DUMMYFUNCTION("GOOGLETRANSLATE(F1438, ""auto"", ""en"")
"),"Great machine! Cuts very well. My hair is quite thick and grows quite chaotically, this unit cuts evenly and easily, does not tug or snag. I recommend!")</f>
        <v>Great machine! Cuts very well. My hair is quite thick and grows quite chaotically, this unit cuts evenly and easily, does not tug or snag. I recommend!</v>
      </c>
    </row>
    <row r="1439" spans="1:9" x14ac:dyDescent="0.3">
      <c r="A1439" s="1" t="s">
        <v>67</v>
      </c>
      <c r="B1439" s="1" t="s">
        <v>68</v>
      </c>
      <c r="C1439" s="1" t="s">
        <v>63</v>
      </c>
      <c r="D1439" s="1" t="s">
        <v>200</v>
      </c>
      <c r="E1439" s="1" t="s">
        <v>353</v>
      </c>
      <c r="F1439" s="1" t="s">
        <v>3164</v>
      </c>
      <c r="G1439" s="1" t="s">
        <v>36</v>
      </c>
      <c r="H1439" s="1" t="s">
        <v>29</v>
      </c>
      <c r="I1439" s="1" t="str">
        <f ca="1">IFERROR(__xludf.DUMMYFUNCTION("GOOGLETRANSLATE(F1439, ""auto"", ""en"")
"),"I just bought it. My wife will test it out, I’ll write a review. I’m satisfied with the appearance and functionality.")</f>
        <v>I just bought it. My wife will test it out, I’ll write a review. I’m satisfied with the appearance and functionality.</v>
      </c>
    </row>
    <row r="1440" spans="1:9" x14ac:dyDescent="0.3">
      <c r="A1440" s="1" t="s">
        <v>17</v>
      </c>
      <c r="B1440" s="1" t="s">
        <v>18</v>
      </c>
      <c r="C1440" s="1" t="s">
        <v>870</v>
      </c>
      <c r="D1440" s="1" t="s">
        <v>1055</v>
      </c>
      <c r="E1440" s="1" t="s">
        <v>1654</v>
      </c>
      <c r="F1440" s="1" t="s">
        <v>3165</v>
      </c>
      <c r="G1440" s="1" t="s">
        <v>36</v>
      </c>
      <c r="H1440" s="1" t="s">
        <v>29</v>
      </c>
      <c r="I1440" s="1" t="str">
        <f ca="1">IFERROR(__xludf.DUMMYFUNCTION("GOOGLETRANSLATE(F1440, ""auto"", ""en"")
"),"I bought a car for my mother, and we’ve been washing it for over a month now. Very pleased. It washes quietly, efficiently, and does not vibrate at all. Bought on sale for 8,450 rubles. I would buy it for myself, but the promotion has ended and now they a"&amp;"re worth 5,000 rubles. more expensive. There was a slight hitch when turning it on, the button apparently stuck, I had to press it several times to turn it on, but the technician came and adjusted everything in about 20 minutes and now there are no proble"&amp;"ms at all.  Mine of a similar brand failed, but we used it to its fullest for 8 years. She justified herself. I recommend it to anyone who wants an inexpensive car.")</f>
        <v>I bought a car for my mother, and we’ve been washing it for over a month now. Very pleased. It washes quietly, efficiently, and does not vibrate at all. Bought on sale for 8,450 rubles. I would buy it for myself, but the promotion has ended and now they are worth 5,000 rubles. more expensive. There was a slight hitch when turning it on, the button apparently stuck, I had to press it several times to turn it on, but the technician came and adjusted everything in about 20 minutes and now there are no problems at all.  Mine of a similar brand failed, but we used it to its fullest for 8 years. She justified herself. I recommend it to anyone who wants an inexpensive car.</v>
      </c>
    </row>
    <row r="1441" spans="1:9" x14ac:dyDescent="0.3">
      <c r="A1441" s="1" t="s">
        <v>30</v>
      </c>
      <c r="B1441" s="1" t="s">
        <v>50</v>
      </c>
      <c r="C1441" s="1" t="s">
        <v>32</v>
      </c>
      <c r="D1441" s="1" t="s">
        <v>1659</v>
      </c>
      <c r="E1441" s="1" t="s">
        <v>3166</v>
      </c>
      <c r="F1441" s="1" t="s">
        <v>3167</v>
      </c>
      <c r="G1441" s="1" t="s">
        <v>36</v>
      </c>
      <c r="H1441" s="1" t="s">
        <v>29</v>
      </c>
      <c r="I1441" s="1" t="str">
        <f ca="1">IFERROR(__xludf.DUMMYFUNCTION("GOOGLETRANSLATE(F1441, ""auto"", ""en"")
"),"It's a great laptop, it's great at playing games, and the Metro is truly an exception. But this little thing cannot spoil the impression of this car. The only thing is that when purchasing, check the matrix VERY carefully for broken pixels, as I received "&amp;"mine in proper form only the 3rd time, the first 2 had dots on the screen.")</f>
        <v>It's a great laptop, it's great at playing games, and the Metro is truly an exception. But this little thing cannot spoil the impression of this car. The only thing is that when purchasing, check the matrix VERY carefully for broken pixels, as I received mine in proper form only the 3rd time, the first 2 had dots on the screen.</v>
      </c>
    </row>
    <row r="1442" spans="1:9" x14ac:dyDescent="0.3">
      <c r="A1442" s="1" t="s">
        <v>95</v>
      </c>
      <c r="B1442" s="1" t="s">
        <v>648</v>
      </c>
      <c r="C1442" s="1" t="s">
        <v>97</v>
      </c>
      <c r="D1442" s="1" t="s">
        <v>3168</v>
      </c>
      <c r="E1442" s="1" t="s">
        <v>3169</v>
      </c>
      <c r="F1442" s="1" t="s">
        <v>3170</v>
      </c>
      <c r="G1442" s="1" t="s">
        <v>36</v>
      </c>
      <c r="H1442" s="1" t="s">
        <v>29</v>
      </c>
      <c r="I1442" s="1" t="str">
        <f ca="1">IFERROR(__xludf.DUMMYFUNCTION("GOOGLETRANSLATE(F1442, ""auto"", ""en"")
"),"It’s convenient that there are 16 GB of memory for the video game and music can be downloaded there without stopping, Wi-Fi is also very convenient; we have it everywhere in Chelyabinsk.")</f>
        <v>It’s convenient that there are 16 GB of memory for the video game and music can be downloaded there without stopping, Wi-Fi is also very convenient; we have it everywhere in Chelyabinsk.</v>
      </c>
    </row>
    <row r="1443" spans="1:9" x14ac:dyDescent="0.3">
      <c r="A1443" s="1" t="s">
        <v>105</v>
      </c>
      <c r="B1443" s="1" t="s">
        <v>106</v>
      </c>
      <c r="C1443" s="1" t="s">
        <v>1209</v>
      </c>
      <c r="D1443" s="1" t="s">
        <v>86</v>
      </c>
      <c r="E1443" s="1" t="s">
        <v>201</v>
      </c>
      <c r="F1443" s="1" t="s">
        <v>3171</v>
      </c>
      <c r="G1443" s="1" t="s">
        <v>28</v>
      </c>
      <c r="H1443" s="1" t="s">
        <v>29</v>
      </c>
      <c r="I1443" s="1" t="str">
        <f ca="1">IFERROR(__xludf.DUMMYFUNCTION("GOOGLETRANSLATE(F1443, ""auto"", ""en"")
"),"The headphone cord is a bit short! And instead of the promised 8 hours without recharging, it died after 6 and can only be charged from USB. And the player is not bad, stylish and fits very comfortably into the small pocket of my jeans, this is the only w"&amp;"ay the wires seem to reach!")</f>
        <v>The headphone cord is a bit short! And instead of the promised 8 hours without recharging, it died after 6 and can only be charged from USB. And the player is not bad, stylish and fits very comfortably into the small pocket of my jeans, this is the only way the wires seem to reach!</v>
      </c>
    </row>
    <row r="1444" spans="1:9" x14ac:dyDescent="0.3">
      <c r="A1444" s="1" t="s">
        <v>105</v>
      </c>
      <c r="B1444" s="1" t="s">
        <v>106</v>
      </c>
      <c r="C1444" s="1" t="s">
        <v>1921</v>
      </c>
      <c r="D1444" s="1" t="s">
        <v>139</v>
      </c>
      <c r="E1444" s="1" t="s">
        <v>661</v>
      </c>
      <c r="F1444" s="1" t="s">
        <v>3172</v>
      </c>
      <c r="G1444" s="1" t="s">
        <v>36</v>
      </c>
      <c r="H1444" s="1" t="s">
        <v>29</v>
      </c>
      <c r="I1444" s="1" t="str">
        <f ca="1">IFERROR(__xludf.DUMMYFUNCTION("GOOGLETRANSLATE(F1444, ""auto"", ""en"")
"),"Everyone here says it's a bad player, don't buy it. They just have crooked hands or got a bad player. I have a good one! It works for a long time, without jambs. It's been over a year now! I took it for 1600, now it’s 1300. So I advise everyone!")</f>
        <v>Everyone here says it's a bad player, don't buy it. They just have crooked hands or got a bad player. I have a good one! It works for a long time, without jambs. It's been over a year now! I took it for 1600, now it’s 1300. So I advise everyone!</v>
      </c>
    </row>
    <row r="1445" spans="1:9" x14ac:dyDescent="0.3">
      <c r="A1445" s="1" t="s">
        <v>67</v>
      </c>
      <c r="B1445" s="1" t="s">
        <v>68</v>
      </c>
      <c r="C1445" s="1" t="s">
        <v>246</v>
      </c>
      <c r="D1445" s="1" t="s">
        <v>280</v>
      </c>
      <c r="E1445" s="1" t="s">
        <v>3173</v>
      </c>
      <c r="F1445" s="1" t="s">
        <v>3174</v>
      </c>
      <c r="G1445" s="1" t="s">
        <v>36</v>
      </c>
      <c r="H1445" s="1" t="s">
        <v>29</v>
      </c>
      <c r="I1445" s="1" t="str">
        <f ca="1">IFERROR(__xludf.DUMMYFUNCTION("GOOGLETRANSLATE(F1445, ""auto"", ""en"")
"),"Pros: 1) speed + 10-20% of a regular iron. 2) when ironing, the right hand rests. There is no fatigue at all 3) the power cord is wound up like in a vacuum cleaner, this is not a show off, but really convenient 4) the tank is not 1.4, but 1.8 liters, the "&amp;"description is inaccurate. 5) 20 shirts in 2 hours, now my personal record, provided that the fatigue is only in the legs. 6) a regular board will do just fine. 7) there is almost no steam and heat from the device. 8) shirts still need to be sprayed with "&amp;"water before ironing, but then there is no strain at all. 9) bed linen in 2 layers can be easily ironed, but in 4 layers it will not be ironed! 10) I advise everyone, this money is not a pity!")</f>
        <v>Pros: 1) speed + 10-20% of a regular iron. 2) when ironing, the right hand rests. There is no fatigue at all 3) the power cord is wound up like in a vacuum cleaner, this is not a show off, but really convenient 4) the tank is not 1.4, but 1.8 liters, the description is inaccurate. 5) 20 shirts in 2 hours, now my personal record, provided that the fatigue is only in the legs. 6) a regular board will do just fine. 7) there is almost no steam and heat from the device. 8) shirts still need to be sprayed with water before ironing, but then there is no strain at all. 9) bed linen in 2 layers can be easily ironed, but in 4 layers it will not be ironed! 10) I advise everyone, this money is not a pity!</v>
      </c>
    </row>
    <row r="1446" spans="1:9" x14ac:dyDescent="0.3">
      <c r="A1446" s="1" t="s">
        <v>211</v>
      </c>
      <c r="B1446" s="1" t="s">
        <v>410</v>
      </c>
      <c r="C1446" s="1" t="s">
        <v>213</v>
      </c>
      <c r="D1446" s="1" t="s">
        <v>875</v>
      </c>
      <c r="E1446" s="1" t="s">
        <v>2434</v>
      </c>
      <c r="F1446" s="1" t="s">
        <v>3175</v>
      </c>
      <c r="G1446" s="1" t="s">
        <v>36</v>
      </c>
      <c r="H1446" s="1" t="s">
        <v>29</v>
      </c>
      <c r="I1446" s="1" t="str">
        <f ca="1">IFERROR(__xludf.DUMMYFUNCTION("GOOGLETRANSLATE(F1446, ""auto"", ""en"")
"),"They bought it for me on February 23rd. I want to share my feedback. It’s very pleasant to shave, I also liked the many modes. Well, rinsing under water is also a good idea. I recommend it to everyone")</f>
        <v>They bought it for me on February 23rd. I want to share my feedback. It’s very pleasant to shave, I also liked the many modes. Well, rinsing under water is also a good idea. I recommend it to everyone</v>
      </c>
    </row>
    <row r="1447" spans="1:9" x14ac:dyDescent="0.3">
      <c r="A1447" s="1" t="s">
        <v>43</v>
      </c>
      <c r="B1447" s="1" t="s">
        <v>44</v>
      </c>
      <c r="C1447" s="1" t="s">
        <v>101</v>
      </c>
      <c r="D1447" s="1" t="s">
        <v>2771</v>
      </c>
      <c r="E1447" s="1" t="s">
        <v>1767</v>
      </c>
      <c r="F1447" s="1" t="s">
        <v>3176</v>
      </c>
      <c r="G1447" s="1" t="s">
        <v>28</v>
      </c>
      <c r="H1447" s="1" t="s">
        <v>29</v>
      </c>
      <c r="I1447" s="1" t="str">
        <f ca="1">IFERROR(__xludf.DUMMYFUNCTION("GOOGLETRANSLATE(F1447, ""auto"", ""en"")
"),"Great! It blows beautifully at all speeds, and there is no noise from operation at all, even if you set it to maximum. No complaints, best purchase this summer.")</f>
        <v>Great! It blows beautifully at all speeds, and there is no noise from operation at all, even if you set it to maximum. No complaints, best purchase this summer.</v>
      </c>
    </row>
    <row r="1448" spans="1:9" x14ac:dyDescent="0.3">
      <c r="A1448" s="1" t="s">
        <v>211</v>
      </c>
      <c r="B1448" s="1" t="s">
        <v>384</v>
      </c>
      <c r="C1448" s="1" t="s">
        <v>246</v>
      </c>
      <c r="D1448" s="1" t="s">
        <v>742</v>
      </c>
      <c r="E1448" s="1" t="s">
        <v>201</v>
      </c>
      <c r="F1448" s="1" t="s">
        <v>3177</v>
      </c>
      <c r="G1448" s="1" t="s">
        <v>15</v>
      </c>
      <c r="H1448" s="1" t="s">
        <v>16</v>
      </c>
      <c r="I1448" s="1" t="str">
        <f ca="1">IFERROR(__xludf.DUMMYFUNCTION("GOOGLETRANSLATE(F1448, ""auto"", ""en"")
"),"The scales were purchased 3 days ago.  They didn’t look bad, and they also seemed to be a trusted brand that always thinks about us. The next day, “glitches” started: they began to freeze, show incorrect weight, all the indicators came on. We did a reboot"&amp;", changed the batteries - the same result.  They brought it to the store for an exchange: when talking with consultants, they found out that all models in “glass” have such shortcomings. We exchanged others in a plastic case, also Tefal, so far there seem"&amp;" to be no complaints.")</f>
        <v>The scales were purchased 3 days ago.  They didn’t look bad, and they also seemed to be a trusted brand that always thinks about us. The next day, “glitches” started: they began to freeze, show incorrect weight, all the indicators came on. We did a reboot, changed the batteries - the same result.  They brought it to the store for an exchange: when talking with consultants, they found out that all models in “glass” have such shortcomings. We exchanged others in a plastic case, also Tefal, so far there seem to be no complaints.</v>
      </c>
    </row>
    <row r="1449" spans="1:9" x14ac:dyDescent="0.3">
      <c r="A1449" s="1" t="s">
        <v>61</v>
      </c>
      <c r="B1449" s="1" t="s">
        <v>180</v>
      </c>
      <c r="C1449" s="1" t="s">
        <v>101</v>
      </c>
      <c r="D1449" s="1" t="s">
        <v>52</v>
      </c>
      <c r="E1449" s="1" t="s">
        <v>3178</v>
      </c>
      <c r="F1449" s="1" t="s">
        <v>3179</v>
      </c>
      <c r="G1449" s="1" t="s">
        <v>15</v>
      </c>
      <c r="H1449" s="1" t="s">
        <v>16</v>
      </c>
      <c r="I1449" s="1" t="str">
        <f ca="1">IFERROR(__xludf.DUMMYFUNCTION("GOOGLETRANSLATE(F1449, ""auto"", ""en"")
"),"After 2 weeks of use, the non-stick coating began to peel off in some places.")</f>
        <v>After 2 weeks of use, the non-stick coating began to peel off in some places.</v>
      </c>
    </row>
    <row r="1450" spans="1:9" x14ac:dyDescent="0.3">
      <c r="A1450" s="1" t="s">
        <v>37</v>
      </c>
      <c r="B1450" s="1" t="s">
        <v>38</v>
      </c>
      <c r="C1450" s="1" t="s">
        <v>163</v>
      </c>
      <c r="D1450" s="1" t="s">
        <v>3180</v>
      </c>
      <c r="E1450" s="1" t="s">
        <v>415</v>
      </c>
      <c r="F1450" s="1" t="s">
        <v>3181</v>
      </c>
      <c r="G1450" s="1" t="s">
        <v>36</v>
      </c>
      <c r="H1450" s="1" t="s">
        <v>29</v>
      </c>
      <c r="I1450" s="1" t="str">
        <f ca="1">IFERROR(__xludf.DUMMYFUNCTION("GOOGLETRANSLATE(F1450, ""auto"", ""en"")
"),"The phone is great. The price is good. For this money... the phone has everything you need. It was stolen from me too....there were others after it...but I’m buying it again. Very good phone.")</f>
        <v>The phone is great. The price is good. For this money... the phone has everything you need. It was stolen from me too....there were others after it...but I’m buying it again. Very good phone.</v>
      </c>
    </row>
    <row r="1451" spans="1:9" x14ac:dyDescent="0.3">
      <c r="A1451" s="1" t="s">
        <v>30</v>
      </c>
      <c r="B1451" s="1" t="s">
        <v>50</v>
      </c>
      <c r="C1451" s="1" t="s">
        <v>32</v>
      </c>
      <c r="D1451" s="1" t="s">
        <v>1851</v>
      </c>
      <c r="E1451" s="1" t="s">
        <v>191</v>
      </c>
      <c r="F1451" s="1" t="s">
        <v>3182</v>
      </c>
      <c r="G1451" s="1" t="s">
        <v>36</v>
      </c>
      <c r="H1451" s="1" t="s">
        <v>29</v>
      </c>
      <c r="I1451" s="1" t="str">
        <f ca="1">IFERROR(__xludf.DUMMYFUNCTION("GOOGLETRANSLATE(F1451, ""auto"", ""en"")
"),"I bought a laptop the day before yesterday. The laptop is super!!! Lightweight and convenient. Games fly!  The card supports up to 2.5GB of video memory!!! In general, this is a great laptop, I recommend it to everyone!")</f>
        <v>I bought a laptop the day before yesterday. The laptop is super!!! Lightweight and convenient. Games fly!  The card supports up to 2.5GB of video memory!!! In general, this is a great laptop, I recommend it to everyone!</v>
      </c>
    </row>
    <row r="1452" spans="1:9" x14ac:dyDescent="0.3">
      <c r="A1452" s="1" t="s">
        <v>169</v>
      </c>
      <c r="B1452" s="1" t="s">
        <v>170</v>
      </c>
      <c r="C1452" s="1" t="s">
        <v>171</v>
      </c>
      <c r="D1452" s="1" t="s">
        <v>3183</v>
      </c>
      <c r="E1452" s="1" t="s">
        <v>3184</v>
      </c>
      <c r="F1452" s="1" t="s">
        <v>3185</v>
      </c>
      <c r="G1452" s="1" t="s">
        <v>28</v>
      </c>
      <c r="H1452" s="1" t="s">
        <v>29</v>
      </c>
      <c r="I1452" s="1" t="str">
        <f ca="1">IFERROR(__xludf.DUMMYFUNCTION("GOOGLETRANSLATE(F1452, ""auto"", ""en"")
"),"The sound depends greatly on the player.  I have iRiver T-60. Good sound, have been working for 1.5 years. Until they finally broke) I have a VC model - with a volume control. A very useful thing.")</f>
        <v>The sound depends greatly on the player.  I have iRiver T-60. Good sound, have been working for 1.5 years. Until they finally broke) I have a VC model - with a volume control. A very useful thing.</v>
      </c>
    </row>
    <row r="1453" spans="1:9" x14ac:dyDescent="0.3">
      <c r="A1453" s="1" t="s">
        <v>169</v>
      </c>
      <c r="B1453" s="1" t="s">
        <v>170</v>
      </c>
      <c r="C1453" s="1" t="s">
        <v>193</v>
      </c>
      <c r="D1453" s="1" t="s">
        <v>200</v>
      </c>
      <c r="E1453" s="1" t="s">
        <v>3186</v>
      </c>
      <c r="F1453" s="1" t="s">
        <v>3187</v>
      </c>
      <c r="G1453" s="1" t="s">
        <v>36</v>
      </c>
      <c r="H1453" s="1" t="s">
        <v>29</v>
      </c>
      <c r="I1453" s="1" t="str">
        <f ca="1">IFERROR(__xludf.DUMMYFUNCTION("GOOGLETRANSLATE(F1453, ""auto"", ""en"")
"),"good sound")</f>
        <v>good sound</v>
      </c>
    </row>
    <row r="1454" spans="1:9" x14ac:dyDescent="0.3">
      <c r="A1454" s="1" t="s">
        <v>61</v>
      </c>
      <c r="B1454" s="1" t="s">
        <v>73</v>
      </c>
      <c r="C1454" s="1" t="s">
        <v>85</v>
      </c>
      <c r="D1454" s="1" t="s">
        <v>3188</v>
      </c>
      <c r="E1454" s="1" t="s">
        <v>3189</v>
      </c>
      <c r="F1454" s="1" t="s">
        <v>3190</v>
      </c>
      <c r="G1454" s="1" t="s">
        <v>36</v>
      </c>
      <c r="H1454" s="1" t="s">
        <v>29</v>
      </c>
      <c r="I1454" s="1" t="str">
        <f ca="1">IFERROR(__xludf.DUMMYFUNCTION("GOOGLETRANSLATE(F1454, ""auto"", ""en"")
"),"I bought this model from MVideo six months ago. My wife still enjoys the ease of use! On the plus side, it works very quietly despite its power! the minced meat turns out grainy and nothing wraps around the knife! I recommend it to anyone who wants to buy"&amp;" a good meat grinder! =)")</f>
        <v>I bought this model from MVideo six months ago. My wife still enjoys the ease of use! On the plus side, it works very quietly despite its power! the minced meat turns out grainy and nothing wraps around the knife! I recommend it to anyone who wants to buy a good meat grinder! =)</v>
      </c>
    </row>
    <row r="1455" spans="1:9" x14ac:dyDescent="0.3">
      <c r="A1455" s="1" t="s">
        <v>211</v>
      </c>
      <c r="B1455" s="1" t="s">
        <v>410</v>
      </c>
      <c r="C1455" s="1" t="s">
        <v>122</v>
      </c>
      <c r="D1455" s="1" t="s">
        <v>39</v>
      </c>
      <c r="E1455" s="1" t="s">
        <v>975</v>
      </c>
      <c r="F1455" s="1" t="s">
        <v>3191</v>
      </c>
      <c r="G1455" s="1" t="s">
        <v>28</v>
      </c>
      <c r="H1455" s="1" t="s">
        <v>29</v>
      </c>
      <c r="I1455" s="1" t="str">
        <f ca="1">IFERROR(__xludf.DUMMYFUNCTION("GOOGLETRANSLATE(F1455, ""auto"", ""en"")
"),"Good razor, clean and high quality shave!!! But the device is delicate and you need to strictly follow the manufacturer’s instructions, if it says: change the mesh once a year, and the blades every 2 years, then you need to change it without hesitation!!!"&amp;" The mesh and blades can be freely ordered on the official Panasonic website. It is also necessary to clean the razor after each use, the durability of both the engine and other parts depends on this.")</f>
        <v>Good razor, clean and high quality shave!!! But the device is delicate and you need to strictly follow the manufacturer’s instructions, if it says: change the mesh once a year, and the blades every 2 years, then you need to change it without hesitation!!! The mesh and blades can be freely ordered on the official Panasonic website. It is also necessary to clean the razor after each use, the durability of both the engine and other parts depends on this.</v>
      </c>
    </row>
    <row r="1456" spans="1:9" x14ac:dyDescent="0.3">
      <c r="A1456" s="1" t="s">
        <v>17</v>
      </c>
      <c r="B1456" s="1" t="s">
        <v>18</v>
      </c>
      <c r="C1456" s="1" t="s">
        <v>243</v>
      </c>
      <c r="D1456" s="1" t="s">
        <v>545</v>
      </c>
      <c r="E1456" s="1" t="s">
        <v>76</v>
      </c>
      <c r="F1456" s="1" t="s">
        <v>3192</v>
      </c>
      <c r="G1456" s="1" t="s">
        <v>49</v>
      </c>
      <c r="H1456" s="1" t="s">
        <v>16</v>
      </c>
      <c r="I1456" s="1" t="str">
        <f ca="1">IFERROR(__xludf.DUMMYFUNCTION("GOOGLETRANSLATE(F1456, ""auto"", ""en"")
"),"But for us it served for 1 year and 1 month and the module also failed, replacing which is not advisable due to the price.... so I was disappointed with the purchase")</f>
        <v>But for us it served for 1 year and 1 month and the module also failed, replacing which is not advisable due to the price.... so I was disappointed with the purchase</v>
      </c>
    </row>
    <row r="1457" spans="1:9" x14ac:dyDescent="0.3">
      <c r="A1457" s="1" t="s">
        <v>120</v>
      </c>
      <c r="B1457" s="1" t="s">
        <v>121</v>
      </c>
      <c r="C1457" s="1" t="s">
        <v>80</v>
      </c>
      <c r="D1457" s="1" t="s">
        <v>152</v>
      </c>
      <c r="E1457" s="1" t="s">
        <v>2298</v>
      </c>
      <c r="F1457" s="1" t="s">
        <v>3193</v>
      </c>
      <c r="G1457" s="1" t="s">
        <v>28</v>
      </c>
      <c r="H1457" s="1" t="s">
        <v>29</v>
      </c>
      <c r="I1457" s="1" t="str">
        <f ca="1">IFERROR(__xludf.DUMMYFUNCTION("GOOGLETRANSLATE(F1457, ""auto"", ""en"")
"),"A good TV in its price category, the picture is like on TV for 50-60 thousand rubles. it's stupid to wait. I’m not going to reflash and activate the USB, I connected it to the computer, installed it as a second monitor and watch movies weighing 10 gigs fr"&amp;"om a screw in HD quality. By the way, I won’t use it as a monitor, for this there is a normal solution to the problem, and by the way, also LG. As for the TV signal, the Tricolor picture is Tricolor quality, free channels and video are appropriate, but yo"&amp;"u can watch from 2.5-3 meters. Analogue TV - to be honest, I thought it would be worse and was pleasantly surprised by this fact.   In short, if you don’t have a lot of money, take it, you’re unlikely to regret it, anyway, there’s no money for a more expe"&amp;"nsive one, but when you get a better-paid job or an inheritance, it’ll be a completely different story.  P.S. By the way, there is NO PiP (Picture in Picture) function in this brand.")</f>
        <v>A good TV in its price category, the picture is like on TV for 50-60 thousand rubles. it's stupid to wait. I’m not going to reflash and activate the USB, I connected it to the computer, installed it as a second monitor and watch movies weighing 10 gigs from a screw in HD quality. By the way, I won’t use it as a monitor, for this there is a normal solution to the problem, and by the way, also LG. As for the TV signal, the Tricolor picture is Tricolor quality, free channels and video are appropriate, but you can watch from 2.5-3 meters. Analogue TV - to be honest, I thought it would be worse and was pleasantly surprised by this fact.   In short, if you don’t have a lot of money, take it, you’re unlikely to regret it, anyway, there’s no money for a more expensive one, but when you get a better-paid job or an inheritance, it’ll be a completely different story.  P.S. By the way, there is NO PiP (Picture in Picture) function in this brand.</v>
      </c>
    </row>
    <row r="1458" spans="1:9" x14ac:dyDescent="0.3">
      <c r="A1458" s="1" t="s">
        <v>169</v>
      </c>
      <c r="B1458" s="1" t="s">
        <v>170</v>
      </c>
      <c r="C1458" s="1" t="s">
        <v>69</v>
      </c>
      <c r="D1458" s="1" t="s">
        <v>208</v>
      </c>
      <c r="E1458" s="1" t="s">
        <v>2030</v>
      </c>
      <c r="F1458" s="1" t="s">
        <v>3194</v>
      </c>
      <c r="G1458" s="1" t="s">
        <v>28</v>
      </c>
      <c r="H1458" s="1" t="s">
        <v>29</v>
      </c>
      <c r="I1458" s="1" t="str">
        <f ca="1">IFERROR(__xludf.DUMMYFUNCTION("GOOGLETRANSLATE(F1458, ""auto"", ""en"")
"),"Not bad entry-level headphones for the money, but the mids and highs are sometimes just washed out against the backdrop of rough lows.")</f>
        <v>Not bad entry-level headphones for the money, but the mids and highs are sometimes just washed out against the backdrop of rough lows.</v>
      </c>
    </row>
    <row r="1459" spans="1:9" x14ac:dyDescent="0.3">
      <c r="A1459" s="1" t="s">
        <v>43</v>
      </c>
      <c r="B1459" s="1" t="s">
        <v>502</v>
      </c>
      <c r="C1459" s="1" t="s">
        <v>1627</v>
      </c>
      <c r="D1459" s="1" t="s">
        <v>39</v>
      </c>
      <c r="E1459" s="1" t="s">
        <v>2288</v>
      </c>
      <c r="F1459" s="1" t="s">
        <v>3195</v>
      </c>
      <c r="G1459" s="1" t="s">
        <v>36</v>
      </c>
      <c r="H1459" s="1" t="s">
        <v>29</v>
      </c>
      <c r="I1459" s="1" t="str">
        <f ca="1">IFERROR(__xludf.DUMMYFUNCTION("GOOGLETRANSLATE(F1459, ""auto"", ""en"")
"),"I never regret it, it works almost silently in night mode, during the day in normal mode I hardly hear it either, general noise drowns out its work. I wish everyone good luck in choosing their comfort.")</f>
        <v>I never regret it, it works almost silently in night mode, during the day in normal mode I hardly hear it either, general noise drowns out its work. I wish everyone good luck in choosing their comfort.</v>
      </c>
    </row>
    <row r="1460" spans="1:9" x14ac:dyDescent="0.3">
      <c r="A1460" s="1" t="s">
        <v>120</v>
      </c>
      <c r="B1460" s="1" t="s">
        <v>121</v>
      </c>
      <c r="C1460" s="1" t="s">
        <v>69</v>
      </c>
      <c r="D1460" s="1" t="s">
        <v>411</v>
      </c>
      <c r="E1460" s="1" t="s">
        <v>2310</v>
      </c>
      <c r="F1460" s="1" t="s">
        <v>3196</v>
      </c>
      <c r="G1460" s="1" t="s">
        <v>36</v>
      </c>
      <c r="H1460" s="1" t="s">
        <v>29</v>
      </c>
      <c r="I1460" s="1" t="str">
        <f ca="1">IFERROR(__xludf.DUMMYFUNCTION("GOOGLETRANSLATE(F1460, ""auto"", ""en"")
"),"Essentially speaking - the TV is just super! Very pleased. He purposefully took Hungary. Doesn't get hot or make any noise. I immediately updated the software, and did it not according to the instructions described in the pdf, but somehow by itself. I ins"&amp;"erted the flash drive, turned on the TV and it began to reflash itself. Overall a smart unit. Of the minuses, only one has been noticed so far - it takes a long time to turn on, and after turning on it takes a long time to “load up” to working condition. "&amp;"In general, take it, you won’t regret it. I think that you simply cannot find it cheaper (unless, of course, you consider the LG option).")</f>
        <v>Essentially speaking - the TV is just super! Very pleased. He purposefully took Hungary. Doesn't get hot or make any noise. I immediately updated the software, and did it not according to the instructions described in the pdf, but somehow by itself. I inserted the flash drive, turned on the TV and it began to reflash itself. Overall a smart unit. Of the minuses, only one has been noticed so far - it takes a long time to turn on, and after turning on it takes a long time to “load up” to working condition. In general, take it, you won’t regret it. I think that you simply cannot find it cheaper (unless, of course, you consider the LG option).</v>
      </c>
    </row>
    <row r="1461" spans="1:9" x14ac:dyDescent="0.3">
      <c r="A1461" s="1" t="s">
        <v>61</v>
      </c>
      <c r="B1461" s="1" t="s">
        <v>224</v>
      </c>
      <c r="C1461" s="1" t="s">
        <v>85</v>
      </c>
      <c r="D1461" s="1" t="s">
        <v>599</v>
      </c>
      <c r="E1461" s="1" t="s">
        <v>1978</v>
      </c>
      <c r="F1461" s="1" t="s">
        <v>3197</v>
      </c>
      <c r="G1461" s="1" t="s">
        <v>36</v>
      </c>
      <c r="H1461" s="1" t="s">
        <v>29</v>
      </c>
      <c r="I1461" s="1" t="str">
        <f ca="1">IFERROR(__xludf.DUMMYFUNCTION("GOOGLETRANSLATE(F1461, ""auto"", ""en"")
"),"I bought it as a gift for Granny to make juice (a lot of juice) for wine at the dacha, I doubted it for a long time. My father-in-law's Bork S400 is super-pressing - but it's inconvenient to remove the chips. A lot of bad things were written about this mo"&amp;"del, but after Testev’s I couldn’t believe it. Bought. I tried it right away on fresh melba (from the tree) - the feeling was: how much product I threw into it - the same amount of juice came out. The cake is dry (but a little wetter than in the S400 - th"&amp;"ere are more revolutions, although you have to put them side by side and touch them. There was half a tomato and a cucumber on the table, lower the speed and squeezed it out - the first and pleasant experience of drinking real tomato juice, albeit with cu"&amp;"cumber juice. Well, very tasty.&amp;nbsp;")</f>
        <v>I bought it as a gift for Granny to make juice (a lot of juice) for wine at the dacha, I doubted it for a long time. My father-in-law's Bork S400 is super-pressing - but it's inconvenient to remove the chips. A lot of bad things were written about this model, but after Testev’s I couldn’t believe it. Bought. I tried it right away on fresh melba (from the tree) - the feeling was: how much product I threw into it - the same amount of juice came out. The cake is dry (but a little wetter than in the S400 - there are more revolutions, although you have to put them side by side and touch them. There was half a tomato and a cucumber on the table, lower the speed and squeezed it out - the first and pleasant experience of drinking real tomato juice, albeit with cucumber juice. Well, very tasty.&amp;nbsp;</v>
      </c>
    </row>
    <row r="1462" spans="1:9" x14ac:dyDescent="0.3">
      <c r="A1462" s="1" t="s">
        <v>37</v>
      </c>
      <c r="B1462" s="1" t="s">
        <v>38</v>
      </c>
      <c r="C1462" s="1" t="s">
        <v>151</v>
      </c>
      <c r="D1462" s="1" t="s">
        <v>1520</v>
      </c>
      <c r="E1462" s="1" t="s">
        <v>2215</v>
      </c>
      <c r="F1462" s="1" t="s">
        <v>3198</v>
      </c>
      <c r="G1462" s="1" t="s">
        <v>36</v>
      </c>
      <c r="H1462" s="1" t="s">
        <v>29</v>
      </c>
      <c r="I1462" s="1" t="str">
        <f ca="1">IFERROR(__xludf.DUMMYFUNCTION("GOOGLETRANSLATE(F1462, ""auto"", ""en"")
"),"I already bought it. SUPER.")</f>
        <v>I already bought it. SUPER.</v>
      </c>
    </row>
    <row r="1463" spans="1:9" x14ac:dyDescent="0.3">
      <c r="A1463" s="1" t="s">
        <v>211</v>
      </c>
      <c r="B1463" s="1" t="s">
        <v>212</v>
      </c>
      <c r="C1463" s="1" t="s">
        <v>294</v>
      </c>
      <c r="D1463" s="1" t="s">
        <v>308</v>
      </c>
      <c r="E1463" s="1" t="s">
        <v>897</v>
      </c>
      <c r="F1463" s="1" t="s">
        <v>3199</v>
      </c>
      <c r="G1463" s="1" t="s">
        <v>36</v>
      </c>
      <c r="H1463" s="1" t="s">
        <v>29</v>
      </c>
      <c r="I1463" s="1" t="str">
        <f ca="1">IFERROR(__xludf.DUMMYFUNCTION("GOOGLETRANSLATE(F1463, ""auto"", ""en"")
"),"Heats up quickly and the styler straightens hair well! The only drawback is that there is no button to close, the tongs remain open. And in general there are no buttons, switching on is only via a plug, there is no storage case, they are delivered in a re"&amp;"gular box.")</f>
        <v>Heats up quickly and the styler straightens hair well! The only drawback is that there is no button to close, the tongs remain open. And in general there are no buttons, switching on is only via a plug, there is no storage case, they are delivered in a regular box.</v>
      </c>
    </row>
    <row r="1464" spans="1:9" x14ac:dyDescent="0.3">
      <c r="A1464" s="1" t="s">
        <v>9</v>
      </c>
      <c r="B1464" s="1" t="s">
        <v>133</v>
      </c>
      <c r="C1464" s="1" t="s">
        <v>24</v>
      </c>
      <c r="D1464" s="1" t="s">
        <v>3200</v>
      </c>
      <c r="E1464" s="1" t="s">
        <v>2325</v>
      </c>
      <c r="F1464" s="1" t="s">
        <v>3201</v>
      </c>
      <c r="G1464" s="1" t="s">
        <v>36</v>
      </c>
      <c r="H1464" s="1" t="s">
        <v>29</v>
      </c>
      <c r="I1464" s="1" t="str">
        <f ca="1">IFERROR(__xludf.DUMMYFUNCTION("GOOGLETRANSLATE(F1464, ""auto"", ""en"")
"),"Nice stove. Bought together with the hob. 4 years of operation - bakes perfectly - it’s good that it is possible to combine the top and bottom for heating. I agree that you need to be careful when opening something when baking/roasting - a cloud of steam "&amp;"will escape. But this is not a drawback of this oven - everyone works this way (especially since there is forced convection).")</f>
        <v>Nice stove. Bought together with the hob. 4 years of operation - bakes perfectly - it’s good that it is possible to combine the top and bottom for heating. I agree that you need to be careful when opening something when baking/roasting - a cloud of steam will escape. But this is not a drawback of this oven - everyone works this way (especially since there is forced convection).</v>
      </c>
    </row>
    <row r="1465" spans="1:9" x14ac:dyDescent="0.3">
      <c r="A1465" s="1" t="s">
        <v>149</v>
      </c>
      <c r="B1465" s="1" t="s">
        <v>155</v>
      </c>
      <c r="C1465" s="1" t="s">
        <v>151</v>
      </c>
      <c r="D1465" s="1" t="s">
        <v>247</v>
      </c>
      <c r="E1465" s="1" t="s">
        <v>1988</v>
      </c>
      <c r="F1465" s="1" t="s">
        <v>3202</v>
      </c>
      <c r="G1465" s="1" t="s">
        <v>36</v>
      </c>
      <c r="H1465" s="1" t="s">
        <v>29</v>
      </c>
      <c r="I1465" s="1" t="str">
        <f ca="1">IFERROR(__xludf.DUMMYFUNCTION("GOOGLETRANSLATE(F1465, ""auto"", ""en"")
"),"Initially we were going to buy 5355, but after reading the reviews we decided that this model was not bad, and the difference in price was noticeable, it is now on discount. Yesterday we decided and bought this vacuum cleaner. I immediately vacuumed it wi"&amp;"th a turbo brush. Everything is fine: powerful, lifts the carpet, works from all sockets, the turbo brush collects hair (cat) perfectly. Having opened the container, I was shocked by the amount of garbage.")</f>
        <v>Initially we were going to buy 5355, but after reading the reviews we decided that this model was not bad, and the difference in price was noticeable, it is now on discount. Yesterday we decided and bought this vacuum cleaner. I immediately vacuumed it with a turbo brush. Everything is fine: powerful, lifts the carpet, works from all sockets, the turbo brush collects hair (cat) perfectly. Having opened the container, I was shocked by the amount of garbage.</v>
      </c>
    </row>
    <row r="1466" spans="1:9" x14ac:dyDescent="0.3">
      <c r="A1466" s="1" t="s">
        <v>149</v>
      </c>
      <c r="B1466" s="1" t="s">
        <v>155</v>
      </c>
      <c r="C1466" s="1" t="s">
        <v>24</v>
      </c>
      <c r="D1466" s="1" t="s">
        <v>545</v>
      </c>
      <c r="E1466" s="1" t="s">
        <v>3203</v>
      </c>
      <c r="F1466" s="1" t="s">
        <v>3204</v>
      </c>
      <c r="G1466" s="1" t="s">
        <v>36</v>
      </c>
      <c r="H1466" s="1" t="s">
        <v>29</v>
      </c>
      <c r="I1466" s="1" t="str">
        <f ca="1">IFERROR(__xludf.DUMMYFUNCTION("GOOGLETRANSLATE(F1466, ""auto"", ""en"")
"),"And I make it easier in the absence of a gas mask - I take out the container with dust and carry all this stuff under the tap, and then pour the wet dust along with water into the toilet. Try it, it's much better :)!")</f>
        <v>And I make it easier in the absence of a gas mask - I take out the container with dust and carry all this stuff under the tap, and then pour the wet dust along with water into the toilet. Try it, it's much better :)!</v>
      </c>
    </row>
    <row r="1467" spans="1:9" x14ac:dyDescent="0.3">
      <c r="A1467" s="1" t="s">
        <v>206</v>
      </c>
      <c r="B1467" s="1" t="s">
        <v>207</v>
      </c>
      <c r="C1467" s="1" t="s">
        <v>351</v>
      </c>
      <c r="D1467" s="1" t="s">
        <v>3205</v>
      </c>
      <c r="E1467" s="1" t="s">
        <v>3206</v>
      </c>
      <c r="F1467" s="1" t="s">
        <v>3207</v>
      </c>
      <c r="G1467" s="1" t="s">
        <v>28</v>
      </c>
      <c r="H1467" s="1" t="s">
        <v>29</v>
      </c>
      <c r="I1467" s="1" t="str">
        <f ca="1">IFERROR(__xludf.DUMMYFUNCTION("GOOGLETRANSLATE(F1467, ""auto"", ""en"")
"),"The amplifier really doesn’t want to work from the wire from the radio (I had to install a regular wire jumper until I got around to the switch). The amplifier plays beyond my expectations. The main thing is to set the settings correctly on both the ampli"&amp;"fier and the radio. Sensitive to wires. I'm happy with the device. Clean four.")</f>
        <v>The amplifier really doesn’t want to work from the wire from the radio (I had to install a regular wire jumper until I got around to the switch). The amplifier plays beyond my expectations. The main thing is to set the settings correctly on both the amplifier and the radio. Sensitive to wires. I'm happy with the device. Clean four.</v>
      </c>
    </row>
    <row r="1468" spans="1:9" x14ac:dyDescent="0.3">
      <c r="A1468" s="1" t="s">
        <v>67</v>
      </c>
      <c r="B1468" s="1" t="s">
        <v>340</v>
      </c>
      <c r="C1468" s="1" t="s">
        <v>1634</v>
      </c>
      <c r="D1468" s="1" t="s">
        <v>592</v>
      </c>
      <c r="E1468" s="1" t="s">
        <v>2139</v>
      </c>
      <c r="F1468" s="1" t="s">
        <v>3208</v>
      </c>
      <c r="G1468" s="1" t="s">
        <v>36</v>
      </c>
      <c r="H1468" s="1" t="s">
        <v>29</v>
      </c>
      <c r="I1468" s="1" t="str">
        <f ca="1">IFERROR(__xludf.DUMMYFUNCTION("GOOGLETRANSLATE(F1468, ""auto"", ""en"")
"),"Great car. Excellent overlock stitch, quiet operation. By the way, there is a soft cover!!! I recommend it to everyone.")</f>
        <v>Great car. Excellent overlock stitch, quiet operation. By the way, there is a soft cover!!! I recommend it to everyone.</v>
      </c>
    </row>
    <row r="1469" spans="1:9" x14ac:dyDescent="0.3">
      <c r="A1469" s="1" t="s">
        <v>67</v>
      </c>
      <c r="B1469" s="1" t="s">
        <v>68</v>
      </c>
      <c r="C1469" s="1" t="s">
        <v>246</v>
      </c>
      <c r="D1469" s="1" t="s">
        <v>361</v>
      </c>
      <c r="E1469" s="1" t="s">
        <v>661</v>
      </c>
      <c r="F1469" s="1" t="s">
        <v>3209</v>
      </c>
      <c r="G1469" s="1" t="s">
        <v>15</v>
      </c>
      <c r="H1469" s="1" t="s">
        <v>16</v>
      </c>
      <c r="I1469" s="1" t="str">
        <f ca="1">IFERROR(__xludf.DUMMYFUNCTION("GOOGLETRANSLATE(F1469, ""auto"", ""en"")
"),"He may stroke well, BUT comrades!! how it STINKS!!! Don't buy this iron ever in your life!! The second day it stinks. If I don’t choke tomorrow I’ll go change it!!")</f>
        <v>He may stroke well, BUT comrades!! how it STINKS!!! Don't buy this iron ever in your life!! The second day it stinks. If I don’t choke tomorrow I’ll go change it!!</v>
      </c>
    </row>
    <row r="1470" spans="1:9" x14ac:dyDescent="0.3">
      <c r="A1470" s="1" t="s">
        <v>624</v>
      </c>
      <c r="B1470" s="1" t="s">
        <v>625</v>
      </c>
      <c r="C1470" s="1" t="s">
        <v>479</v>
      </c>
      <c r="D1470" s="1" t="s">
        <v>3210</v>
      </c>
      <c r="E1470" s="1" t="s">
        <v>2994</v>
      </c>
      <c r="F1470" s="1" t="s">
        <v>3211</v>
      </c>
      <c r="G1470" s="1" t="s">
        <v>36</v>
      </c>
      <c r="H1470" s="1" t="s">
        <v>29</v>
      </c>
      <c r="I1470" s="1" t="str">
        <f ca="1">IFERROR(__xludf.DUMMYFUNCTION("GOOGLETRANSLATE(F1470, ""auto"", ""en"")
"),"The game is very addictive. We bought 2 Muv controllers at once to play with my wife. We divided all sports into 3 each and won the highest awards. Since I have a sedentary job, the movements in this game really helped me warm up. The replay value is exce"&amp;"llent, a month after receiving platinum it is played with a bang. It's great for playing with a group.  All sports that require a second controller are played better with two controllers.")</f>
        <v>The game is very addictive. We bought 2 Muv controllers at once to play with my wife. We divided all sports into 3 each and won the highest awards. Since I have a sedentary job, the movements in this game really helped me warm up. The replay value is excellent, a month after receiving platinum it is played with a bang. It's great for playing with a group.  All sports that require a second controller are played better with two controllers.</v>
      </c>
    </row>
    <row r="1471" spans="1:9" x14ac:dyDescent="0.3">
      <c r="A1471" s="1" t="s">
        <v>519</v>
      </c>
      <c r="B1471" s="1" t="s">
        <v>3212</v>
      </c>
      <c r="C1471" s="1" t="s">
        <v>246</v>
      </c>
      <c r="D1471" s="1" t="s">
        <v>64</v>
      </c>
      <c r="E1471" s="1" t="s">
        <v>285</v>
      </c>
      <c r="F1471" s="1" t="s">
        <v>3213</v>
      </c>
      <c r="G1471" s="1" t="s">
        <v>36</v>
      </c>
      <c r="H1471" s="1" t="s">
        <v>29</v>
      </c>
      <c r="I1471" s="1" t="str">
        <f ca="1">IFERROR(__xludf.DUMMYFUNCTION("GOOGLETRANSLATE(F1471, ""auto"", ""en"")
"),"All Tefal cookware is of excellent quality!")</f>
        <v>All Tefal cookware is of excellent quality!</v>
      </c>
    </row>
    <row r="1472" spans="1:9" x14ac:dyDescent="0.3">
      <c r="A1472" s="1" t="s">
        <v>61</v>
      </c>
      <c r="B1472" s="1" t="s">
        <v>977</v>
      </c>
      <c r="C1472" s="1" t="s">
        <v>69</v>
      </c>
      <c r="D1472" s="1" t="s">
        <v>3214</v>
      </c>
      <c r="E1472" s="1" t="s">
        <v>1886</v>
      </c>
      <c r="F1472" s="1" t="s">
        <v>3215</v>
      </c>
      <c r="G1472" s="1" t="s">
        <v>36</v>
      </c>
      <c r="H1472" s="1" t="s">
        <v>29</v>
      </c>
      <c r="I1472" s="1" t="str">
        <f ca="1">IFERROR(__xludf.DUMMYFUNCTION("GOOGLETRANSLATE(F1472, ""auto"", ""en"")
"),"I bought it three months ago and am very pleased. I use it almost every day, although I thought that I would use it no more than a couple times a month. The only thing I don’t really like is that the power is too much, it seems to me that 450 W would be e"&amp;"nough, but the more powerful, the noisier.  The large chopper is very convenient.   Everything is washed and assembled and disassembled very easily, that is, you are not too lazy to take out the blender, even if you need to process a very small amount of "&amp;"food.   Saves time - makes minced meat for a whole pan of cutlets in a few seconds, makes pureed soup instantly.")</f>
        <v>I bought it three months ago and am very pleased. I use it almost every day, although I thought that I would use it no more than a couple times a month. The only thing I don’t really like is that the power is too much, it seems to me that 450 W would be enough, but the more powerful, the noisier.  The large chopper is very convenient.   Everything is washed and assembled and disassembled very easily, that is, you are not too lazy to take out the blender, even if you need to process a very small amount of food.   Saves time - makes minced meat for a whole pan of cutlets in a few seconds, makes pureed soup instantly.</v>
      </c>
    </row>
    <row r="1473" spans="1:9" x14ac:dyDescent="0.3">
      <c r="A1473" s="1" t="s">
        <v>30</v>
      </c>
      <c r="B1473" s="1" t="s">
        <v>50</v>
      </c>
      <c r="C1473" s="1" t="s">
        <v>32</v>
      </c>
      <c r="D1473" s="1" t="s">
        <v>3216</v>
      </c>
      <c r="E1473" s="1" t="s">
        <v>1376</v>
      </c>
      <c r="F1473" s="1" t="s">
        <v>3217</v>
      </c>
      <c r="G1473" s="1" t="s">
        <v>28</v>
      </c>
      <c r="H1473" s="1" t="s">
        <v>29</v>
      </c>
      <c r="I1473" s="1" t="str">
        <f ca="1">IFERROR(__xludf.DUMMYFUNCTION("GOOGLETRANSLATE(F1473, ""auto"", ""en"")
"),"The combination of cost-quality-hardware is met.  A good choice for games for this money.  A small minus towards the display - the viewing angle is too small")</f>
        <v>The combination of cost-quality-hardware is met.  A good choice for games for this money.  A small minus towards the display - the viewing angle is too small</v>
      </c>
    </row>
    <row r="1474" spans="1:9" x14ac:dyDescent="0.3">
      <c r="A1474" s="1" t="s">
        <v>361</v>
      </c>
      <c r="B1474" s="1" t="s">
        <v>362</v>
      </c>
      <c r="C1474" s="1" t="s">
        <v>561</v>
      </c>
      <c r="D1474" s="1" t="s">
        <v>319</v>
      </c>
      <c r="E1474" s="1" t="s">
        <v>1765</v>
      </c>
      <c r="F1474" s="1" t="s">
        <v>3218</v>
      </c>
      <c r="G1474" s="1" t="s">
        <v>36</v>
      </c>
      <c r="H1474" s="1" t="s">
        <v>29</v>
      </c>
      <c r="I1474" s="1" t="str">
        <f ca="1">IFERROR(__xludf.DUMMYFUNCTION("GOOGLETRANSLATE(F1474, ""auto"", ""en"")
"),"Normal grater - I'm happy.  And I want to tell Dmitry from Moscow that equipment in the hands of a “Moor” turns into a murder weapon.")</f>
        <v>Normal grater - I'm happy.  And I want to tell Dmitry from Moscow that equipment in the hands of a “Moor” turns into a murder weapon.</v>
      </c>
    </row>
    <row r="1475" spans="1:9" x14ac:dyDescent="0.3">
      <c r="A1475" s="1" t="s">
        <v>149</v>
      </c>
      <c r="B1475" s="1" t="s">
        <v>576</v>
      </c>
      <c r="C1475" s="1" t="s">
        <v>151</v>
      </c>
      <c r="D1475" s="1" t="s">
        <v>545</v>
      </c>
      <c r="E1475" s="1" t="s">
        <v>3219</v>
      </c>
      <c r="F1475" s="1" t="s">
        <v>3220</v>
      </c>
      <c r="G1475" s="1" t="s">
        <v>36</v>
      </c>
      <c r="H1475" s="1" t="s">
        <v>29</v>
      </c>
      <c r="I1475" s="1" t="str">
        <f ca="1">IFERROR(__xludf.DUMMYFUNCTION("GOOGLETRANSLATE(F1475, ""auto"", ""en"")
"),"Very powerful, good vacuum cleaner.")</f>
        <v>Very powerful, good vacuum cleaner.</v>
      </c>
    </row>
    <row r="1476" spans="1:9" x14ac:dyDescent="0.3">
      <c r="A1476" s="1" t="s">
        <v>211</v>
      </c>
      <c r="B1476" s="1" t="s">
        <v>212</v>
      </c>
      <c r="C1476" s="1" t="s">
        <v>381</v>
      </c>
      <c r="D1476" s="1" t="s">
        <v>3221</v>
      </c>
      <c r="E1476" s="1" t="s">
        <v>886</v>
      </c>
      <c r="F1476" s="1" t="s">
        <v>3222</v>
      </c>
      <c r="G1476" s="1" t="s">
        <v>36</v>
      </c>
      <c r="H1476" s="1" t="s">
        <v>29</v>
      </c>
      <c r="I1476" s="1" t="str">
        <f ca="1">IFERROR(__xludf.DUMMYFUNCTION("GOOGLETRANSLATE(F1476, ""auto"", ""en"")
"),"My husband gave it to me, the straightener is very good, I’ve been using it for a year, take it, you won’t regret it =)")</f>
        <v>My husband gave it to me, the straightener is very good, I’ve been using it for a year, take it, you won’t regret it =)</v>
      </c>
    </row>
    <row r="1477" spans="1:9" x14ac:dyDescent="0.3">
      <c r="A1477" s="1" t="s">
        <v>120</v>
      </c>
      <c r="B1477" s="1" t="s">
        <v>1205</v>
      </c>
      <c r="C1477" s="1" t="s">
        <v>1206</v>
      </c>
      <c r="D1477" s="1" t="s">
        <v>20</v>
      </c>
      <c r="E1477" s="1" t="s">
        <v>580</v>
      </c>
      <c r="F1477" s="1" t="s">
        <v>3223</v>
      </c>
      <c r="G1477" s="1" t="s">
        <v>36</v>
      </c>
      <c r="H1477" s="1" t="s">
        <v>29</v>
      </c>
      <c r="I1477" s="1" t="str">
        <f ca="1">IFERROR(__xludf.DUMMYFUNCTION("GOOGLETRANSLATE(F1477, ""auto"", ""en"")
"),"I doubted it for a long time before purchasing. The fact is that several years ago the family watched NTV+. Then they refused, firstly, it was quite expensive, and secondly, somehow there was no time to watch TV.   But in the spring we started thinking ab"&amp;"out satellite TV again. Frankly speaking, I read a lot of reviews on the Internet, read about each of the currently existing operators. As a result, we settled on Tricolor with our family. I was captivated by the size of the subscriber. It’s just that the"&amp;" channel packages are approximately the same everywhere, the reception quality is the same, so the question arose - why overpay. Moreover, no one ever watches a huge number of channels. There are simply preferences from several of the most interesting one"&amp;"s. In addition, I like that Tricolor is constantly adding something and developing. In just a few months, as far as I know, the Cinema Hall appeared, and radio, and also this Geocoding, now I read that by the end of this year there will be many new channe"&amp;"ls. So for me and my family the question of satellite television is closed - now only Tricolor.")</f>
        <v>I doubted it for a long time before purchasing. The fact is that several years ago the family watched NTV+. Then they refused, firstly, it was quite expensive, and secondly, somehow there was no time to watch TV.   But in the spring we started thinking about satellite TV again. Frankly speaking, I read a lot of reviews on the Internet, read about each of the currently existing operators. As a result, we settled on Tricolor with our family. I was captivated by the size of the subscriber. It’s just that the channel packages are approximately the same everywhere, the reception quality is the same, so the question arose - why overpay. Moreover, no one ever watches a huge number of channels. There are simply preferences from several of the most interesting ones. In addition, I like that Tricolor is constantly adding something and developing. In just a few months, as far as I know, the Cinema Hall appeared, and radio, and also this Geocoding, now I read that by the end of this year there will be many new channels. So for me and my family the question of satellite television is closed - now only Tricolor.</v>
      </c>
    </row>
    <row r="1478" spans="1:9" x14ac:dyDescent="0.3">
      <c r="A1478" s="1" t="s">
        <v>206</v>
      </c>
      <c r="B1478" s="1" t="s">
        <v>207</v>
      </c>
      <c r="C1478" s="1" t="s">
        <v>351</v>
      </c>
      <c r="D1478" s="1" t="s">
        <v>139</v>
      </c>
      <c r="E1478" s="1" t="s">
        <v>1203</v>
      </c>
      <c r="F1478" s="1" t="s">
        <v>3224</v>
      </c>
      <c r="G1478" s="1" t="s">
        <v>36</v>
      </c>
      <c r="H1478" s="1" t="s">
        <v>29</v>
      </c>
      <c r="I1478" s="1" t="str">
        <f ca="1">IFERROR(__xludf.DUMMYFUNCTION("GOOGLETRANSLATE(F1478, ""auto"", ""en"")
"),"For a long time I was looking for an inexpensive kit for a VAZ 2110 work car (no noise at all;)), I looked around, listened and compared. I bought this kit and, together with a friend, installed it in the garage in 3 hours and the only tools needed were a"&amp;" Phillips screwdriver and pliers;) (the kit contains everything except the speaker wire for connecting the amplifier to the subwoofer, I didn’t buy a capacitor or storage device because with the power of this kit I don’t see any point in it), I got everyt"&amp;"hing I wanted to get from this purchase, i.e. there are enough lows and more than enough (unless, of course, you are filled with the desire to voice your entire yard).")</f>
        <v>For a long time I was looking for an inexpensive kit for a VAZ 2110 work car (no noise at all;)), I looked around, listened and compared. I bought this kit and, together with a friend, installed it in the garage in 3 hours and the only tools needed were a Phillips screwdriver and pliers;) (the kit contains everything except the speaker wire for connecting the amplifier to the subwoofer, I didn’t buy a capacitor or storage device because with the power of this kit I don’t see any point in it), I got everything I wanted to get from this purchase, i.e. there are enough lows and more than enough (unless, of course, you are filled with the desire to voice your entire yard).</v>
      </c>
    </row>
    <row r="1479" spans="1:9" x14ac:dyDescent="0.3">
      <c r="A1479" s="1" t="s">
        <v>61</v>
      </c>
      <c r="B1479" s="1" t="s">
        <v>318</v>
      </c>
      <c r="C1479" s="1" t="s">
        <v>246</v>
      </c>
      <c r="D1479" s="1" t="s">
        <v>240</v>
      </c>
      <c r="E1479" s="1" t="s">
        <v>3225</v>
      </c>
      <c r="F1479" s="1" t="s">
        <v>3226</v>
      </c>
      <c r="G1479" s="1" t="s">
        <v>28</v>
      </c>
      <c r="H1479" s="1" t="s">
        <v>29</v>
      </c>
      <c r="I1479" s="1" t="str">
        <f ca="1">IFERROR(__xludf.DUMMYFUNCTION("GOOGLETRANSLATE(F1479, ""auto"", ""en"")
"),"Of the above, only noise.  The lid is in place, the water level is visible, the inscriptions are all in place.   The only thing that is not said is that the paint scratches easily, from under which the metal is visible. Not exactly aesthetically pleasing.")</f>
        <v>Of the above, only noise.  The lid is in place, the water level is visible, the inscriptions are all in place.   The only thing that is not said is that the paint scratches easily, from under which the metal is visible. Not exactly aesthetically pleasing.</v>
      </c>
    </row>
    <row r="1480" spans="1:9" x14ac:dyDescent="0.3">
      <c r="A1480" s="1" t="s">
        <v>30</v>
      </c>
      <c r="B1480" s="1" t="s">
        <v>31</v>
      </c>
      <c r="C1480" s="1" t="s">
        <v>365</v>
      </c>
      <c r="D1480" s="1" t="s">
        <v>3227</v>
      </c>
      <c r="E1480" s="1" t="s">
        <v>1608</v>
      </c>
      <c r="F1480" s="1" t="s">
        <v>3228</v>
      </c>
      <c r="G1480" s="1" t="s">
        <v>36</v>
      </c>
      <c r="H1480" s="1" t="s">
        <v>29</v>
      </c>
      <c r="I1480" s="1" t="str">
        <f ca="1">IFERROR(__xludf.DUMMYFUNCTION("GOOGLETRANSLATE(F1480, ""auto"", ""en"")
"),"This PC is just super, I’m very happy with it))")</f>
        <v>This PC is just super, I’m very happy with it))</v>
      </c>
    </row>
    <row r="1481" spans="1:9" x14ac:dyDescent="0.3">
      <c r="A1481" s="1" t="s">
        <v>120</v>
      </c>
      <c r="B1481" s="1" t="s">
        <v>196</v>
      </c>
      <c r="C1481" s="1" t="s">
        <v>97</v>
      </c>
      <c r="D1481" s="1" t="s">
        <v>3229</v>
      </c>
      <c r="E1481" s="1" t="s">
        <v>26</v>
      </c>
      <c r="F1481" s="1" t="s">
        <v>3230</v>
      </c>
      <c r="G1481" s="1" t="s">
        <v>36</v>
      </c>
      <c r="H1481" s="1" t="s">
        <v>29</v>
      </c>
      <c r="I1481" s="1" t="str">
        <f ca="1">IFERROR(__xludf.DUMMYFUNCTION("GOOGLETRANSLATE(F1481, ""auto"", ""en"")
"),"It seems like nothing!!!")</f>
        <v>It seems like nothing!!!</v>
      </c>
    </row>
    <row r="1482" spans="1:9" x14ac:dyDescent="0.3">
      <c r="A1482" s="1" t="s">
        <v>369</v>
      </c>
      <c r="B1482" s="1" t="s">
        <v>2480</v>
      </c>
      <c r="C1482" s="1" t="s">
        <v>453</v>
      </c>
      <c r="D1482" s="1" t="s">
        <v>1171</v>
      </c>
      <c r="E1482" s="1" t="s">
        <v>3231</v>
      </c>
      <c r="F1482" s="1" t="s">
        <v>3232</v>
      </c>
      <c r="G1482" s="1" t="s">
        <v>28</v>
      </c>
      <c r="H1482" s="1" t="s">
        <v>29</v>
      </c>
      <c r="I1482" s="1" t="str">
        <f ca="1">IFERROR(__xludf.DUMMYFUNCTION("GOOGLETRANSLATE(F1482, ""auto"", ""en"")
"),"I bought the stove a month ago. Maxwell was never happy with the quality, but here there wasn’t much choice. I purchased it from PDO - it’s more reliable, because the product costs up to 5,000 rubles. If it breaks, I'll replace it with a new one. But so f"&amp;"ar I haven't needed to change it, it works well. The only negative is that it takes a very long time to heat up.")</f>
        <v>I bought the stove a month ago. Maxwell was never happy with the quality, but here there wasn’t much choice. I purchased it from PDO - it’s more reliable, because the product costs up to 5,000 rubles. If it breaks, I'll replace it with a new one. But so far I haven't needed to change it, it works well. The only negative is that it takes a very long time to heat up.</v>
      </c>
    </row>
    <row r="1483" spans="1:9" x14ac:dyDescent="0.3">
      <c r="A1483" s="1" t="s">
        <v>211</v>
      </c>
      <c r="B1483" s="1" t="s">
        <v>212</v>
      </c>
      <c r="C1483" s="1" t="s">
        <v>213</v>
      </c>
      <c r="D1483" s="1" t="s">
        <v>326</v>
      </c>
      <c r="E1483" s="1" t="s">
        <v>3233</v>
      </c>
      <c r="F1483" s="1" t="s">
        <v>3234</v>
      </c>
      <c r="G1483" s="1" t="s">
        <v>36</v>
      </c>
      <c r="H1483" s="1" t="s">
        <v>29</v>
      </c>
      <c r="I1483" s="1" t="str">
        <f ca="1">IFERROR(__xludf.DUMMYFUNCTION("GOOGLETRANSLATE(F1483, ""auto"", ""en"")
"),"Very good thing, I liked it")</f>
        <v>Very good thing, I liked it</v>
      </c>
    </row>
    <row r="1484" spans="1:9" x14ac:dyDescent="0.3">
      <c r="A1484" s="1" t="s">
        <v>369</v>
      </c>
      <c r="B1484" s="1" t="s">
        <v>587</v>
      </c>
      <c r="C1484" s="1" t="s">
        <v>588</v>
      </c>
      <c r="D1484" s="1" t="s">
        <v>2336</v>
      </c>
      <c r="E1484" s="1" t="s">
        <v>1929</v>
      </c>
      <c r="F1484" s="1" t="s">
        <v>3235</v>
      </c>
      <c r="G1484" s="1" t="s">
        <v>15</v>
      </c>
      <c r="H1484" s="1" t="s">
        <v>16</v>
      </c>
      <c r="I1484" s="1" t="str">
        <f ca="1">IFERROR(__xludf.DUMMYFUNCTION("GOOGLETRANSLATE(F1484, ""auto"", ""en"")
"),"In continuation of my review, I will write about the operation of the oven - in fact, it is terrible - I burned my finger when I lit it for the first time!!! The oven does not light up the first time and even the second time it does not light up - IT LIGH"&amp;"TS ON THE TENTH TIME!!! I read in the instructions that there is a thermostat there, like protection against gas leaks, until it warms up, the oven will not burn. You need long matches or a wooden skewer, light it and keep the knob on, as soon as you lowe"&amp;"r the knob the gas stops burning and so on 10 times until this thermostat heats up. The first time I used 10 matches and today the same number, but how much nerves it takes to light the oven - I don’t bake well often.")</f>
        <v>In continuation of my review, I will write about the operation of the oven - in fact, it is terrible - I burned my finger when I lit it for the first time!!! The oven does not light up the first time and even the second time it does not light up - IT LIGHTS ON THE TENTH TIME!!! I read in the instructions that there is a thermostat there, like protection against gas leaks, until it warms up, the oven will not burn. You need long matches or a wooden skewer, light it and keep the knob on, as soon as you lower the knob the gas stops burning and so on 10 times until this thermostat heats up. The first time I used 10 matches and today the same number, but how much nerves it takes to light the oven - I don’t bake well often.</v>
      </c>
    </row>
    <row r="1485" spans="1:9" x14ac:dyDescent="0.3">
      <c r="A1485" s="1" t="s">
        <v>211</v>
      </c>
      <c r="B1485" s="1" t="s">
        <v>212</v>
      </c>
      <c r="C1485" s="1" t="s">
        <v>381</v>
      </c>
      <c r="D1485" s="1" t="s">
        <v>3236</v>
      </c>
      <c r="E1485" s="1" t="s">
        <v>1565</v>
      </c>
      <c r="F1485" s="1" t="s">
        <v>3237</v>
      </c>
      <c r="G1485" s="1" t="s">
        <v>15</v>
      </c>
      <c r="H1485" s="1" t="s">
        <v>16</v>
      </c>
      <c r="I1485" s="1" t="str">
        <f ca="1">IFERROR(__xludf.DUMMYFUNCTION("GOOGLETRANSLATE(F1485, ""auto"", ""en"")
"),"after prolonged use, my hair began to fall out, so I regret that I purchased this straightener... I also bought the buttons and ionization... but in vain... I would have been better off buying a simple straightener!!!")</f>
        <v>after prolonged use, my hair began to fall out, so I regret that I purchased this straightener... I also bought the buttons and ionization... but in vain... I would have been better off buying a simple straightener!!!</v>
      </c>
    </row>
    <row r="1486" spans="1:9" x14ac:dyDescent="0.3">
      <c r="A1486" s="1" t="s">
        <v>169</v>
      </c>
      <c r="B1486" s="1" t="s">
        <v>170</v>
      </c>
      <c r="C1486" s="1" t="s">
        <v>193</v>
      </c>
      <c r="D1486" s="1" t="s">
        <v>3238</v>
      </c>
      <c r="E1486" s="1" t="s">
        <v>259</v>
      </c>
      <c r="F1486" s="1" t="s">
        <v>3239</v>
      </c>
      <c r="G1486" s="1" t="s">
        <v>36</v>
      </c>
      <c r="H1486" s="1" t="s">
        <v>29</v>
      </c>
      <c r="I1486" s="1" t="str">
        <f ca="1">IFERROR(__xludf.DUMMYFUNCTION("GOOGLETRANSLATE(F1486, ""auto"", ""en"")
"),"very good, simple, comfortable ears!!! very, very comfortable!!! The sound is high quality and balanced. There is bass, but not like in vacuum ones.")</f>
        <v>very good, simple, comfortable ears!!! very, very comfortable!!! The sound is high quality and balanced. There is bass, but not like in vacuum ones.</v>
      </c>
    </row>
    <row r="1487" spans="1:9" x14ac:dyDescent="0.3">
      <c r="A1487" s="1" t="s">
        <v>105</v>
      </c>
      <c r="B1487" s="1" t="s">
        <v>106</v>
      </c>
      <c r="C1487" s="1" t="s">
        <v>1921</v>
      </c>
      <c r="D1487" s="1" t="s">
        <v>3240</v>
      </c>
      <c r="E1487" s="1" t="s">
        <v>3241</v>
      </c>
      <c r="F1487" s="1" t="s">
        <v>3242</v>
      </c>
      <c r="G1487" s="1" t="s">
        <v>28</v>
      </c>
      <c r="H1487" s="1" t="s">
        <v>29</v>
      </c>
      <c r="I1487" s="1" t="str">
        <f ca="1">IFERROR(__xludf.DUMMYFUNCTION("GOOGLETRANSLATE(F1487, ""auto"", ""en"")
"),"the player is good. but somehow he himself changed the language to Chinese. don't know what to do??(((((((((")</f>
        <v>the player is good. but somehow he himself changed the language to Chinese. don't know what to do??(((((((((</v>
      </c>
    </row>
    <row r="1488" spans="1:9" x14ac:dyDescent="0.3">
      <c r="A1488" s="1" t="s">
        <v>37</v>
      </c>
      <c r="B1488" s="1" t="s">
        <v>38</v>
      </c>
      <c r="C1488" s="1" t="s">
        <v>163</v>
      </c>
      <c r="D1488" s="1" t="s">
        <v>152</v>
      </c>
      <c r="E1488" s="1" t="s">
        <v>2432</v>
      </c>
      <c r="F1488" s="1" t="s">
        <v>3243</v>
      </c>
      <c r="G1488" s="1" t="s">
        <v>28</v>
      </c>
      <c r="H1488" s="1" t="s">
        <v>29</v>
      </c>
      <c r="I1488" s="1" t="str">
        <f ca="1">IFERROR(__xludf.DUMMYFUNCTION("GOOGLETRANSLATE(F1488, ""auto"", ""en"")
"),"The phone is good, as long as it doesn’t glitch, it gets overloaded when I’m on the net and at that time the player is working with a headset + adapter. Very comfortable, thin, sometimes I forget which pocket it’s in :)")</f>
        <v>The phone is good, as long as it doesn’t glitch, it gets overloaded when I’m on the net and at that time the player is working with a headset + adapter. Very comfortable, thin, sometimes I forget which pocket it’s in :)</v>
      </c>
    </row>
    <row r="1489" spans="1:9" x14ac:dyDescent="0.3">
      <c r="A1489" s="1" t="s">
        <v>43</v>
      </c>
      <c r="B1489" s="1" t="s">
        <v>502</v>
      </c>
      <c r="C1489" s="1" t="s">
        <v>151</v>
      </c>
      <c r="D1489" s="1" t="s">
        <v>64</v>
      </c>
      <c r="E1489" s="1" t="s">
        <v>3244</v>
      </c>
      <c r="F1489" s="1" t="s">
        <v>3245</v>
      </c>
      <c r="G1489" s="1" t="s">
        <v>49</v>
      </c>
      <c r="H1489" s="1" t="s">
        <v>16</v>
      </c>
      <c r="I1489" s="1" t="str">
        <f ca="1">IFERROR(__xludf.DUMMYFUNCTION("GOOGLETRANSLATE(F1489, ""auto"", ""en"")
"),"We bought it in the spring. It works for a month. Gives off a strong chemical smell. We only use it when we are not in the room to cool the walls. When cooling, the indoor unit cracks and condensation forms on the blinds. The outdoor unit is noisy. Would "&amp;"never buy it. But it cools quickly. However, who wants to breathe chemical concentrates?")</f>
        <v>We bought it in the spring. It works for a month. Gives off a strong chemical smell. We only use it when we are not in the room to cool the walls. When cooling, the indoor unit cracks and condensation forms on the blinds. The outdoor unit is noisy. Would never buy it. But it cools quickly. However, who wants to breathe chemical concentrates?</v>
      </c>
    </row>
    <row r="1490" spans="1:9" x14ac:dyDescent="0.3">
      <c r="A1490" s="1" t="s">
        <v>211</v>
      </c>
      <c r="B1490" s="1" t="s">
        <v>856</v>
      </c>
      <c r="C1490" s="1" t="s">
        <v>57</v>
      </c>
      <c r="D1490" s="1" t="s">
        <v>3246</v>
      </c>
      <c r="E1490" s="1" t="s">
        <v>3247</v>
      </c>
      <c r="F1490" s="1" t="s">
        <v>3248</v>
      </c>
      <c r="G1490" s="1" t="s">
        <v>49</v>
      </c>
      <c r="H1490" s="1" t="s">
        <v>16</v>
      </c>
      <c r="I1490" s="1" t="str">
        <f ca="1">IFERROR(__xludf.DUMMYFUNCTION("GOOGLETRANSLATE(F1490, ""auto"", ""en"")
"),"I didn’t like the set - it works very poorly - there’s not enough power even for hangnails and cuticles, there’s not even any talk about pedicures.   Drying the varnish is just a stream of cold air, there’s not much point.  The only advantages are its com"&amp;"pactness and the presence of a large number of attachments - but in the end they are useless.")</f>
        <v>I didn’t like the set - it works very poorly - there’s not enough power even for hangnails and cuticles, there’s not even any talk about pedicures.   Drying the varnish is just a stream of cold air, there’s not much point.  The only advantages are its compactness and the presence of a large number of attachments - but in the end they are useless.</v>
      </c>
    </row>
    <row r="1491" spans="1:9" x14ac:dyDescent="0.3">
      <c r="A1491" s="1" t="s">
        <v>95</v>
      </c>
      <c r="B1491" s="1" t="s">
        <v>1334</v>
      </c>
      <c r="C1491" s="1" t="s">
        <v>487</v>
      </c>
      <c r="D1491" s="1" t="s">
        <v>52</v>
      </c>
      <c r="E1491" s="1" t="s">
        <v>1129</v>
      </c>
      <c r="F1491" s="1" t="s">
        <v>3249</v>
      </c>
      <c r="G1491" s="1" t="s">
        <v>36</v>
      </c>
      <c r="H1491" s="1" t="s">
        <v>29</v>
      </c>
      <c r="I1491" s="1" t="str">
        <f ca="1">IFERROR(__xludf.DUMMYFUNCTION("GOOGLETRANSLATE(F1491, ""auto"", ""en"")
"),"Nikita, how convenient is the cross? Compared to a wireless (or regular wired) gamepad? What about sticks, buttons, triggers?")</f>
        <v>Nikita, how convenient is the cross? Compared to a wireless (or regular wired) gamepad? What about sticks, buttons, triggers?</v>
      </c>
    </row>
    <row r="1492" spans="1:9" x14ac:dyDescent="0.3">
      <c r="A1492" s="1" t="s">
        <v>30</v>
      </c>
      <c r="B1492" s="1" t="s">
        <v>50</v>
      </c>
      <c r="C1492" s="1" t="s">
        <v>51</v>
      </c>
      <c r="D1492" s="1" t="s">
        <v>152</v>
      </c>
      <c r="E1492" s="1" t="s">
        <v>131</v>
      </c>
      <c r="F1492" s="1" t="s">
        <v>3250</v>
      </c>
      <c r="G1492" s="1" t="s">
        <v>36</v>
      </c>
      <c r="H1492" s="1" t="s">
        <v>29</v>
      </c>
      <c r="I1492" s="1" t="str">
        <f ca="1">IFERROR(__xludf.DUMMYFUNCTION("GOOGLETRANSLATE(F1492, ""auto"", ""en"")
"),"one minus that really infuriates: gloss. The laptop gets fingerprints very easily. Otherwise it's a really good machine. Bluetooth works without problems.  P.s. I just don’t understand how it can work for 3.5 hours. when watching a video, for me personall"&amp;"y it works for about 2-2.5 hours (energy saving profile)")</f>
        <v>one minus that really infuriates: gloss. The laptop gets fingerprints very easily. Otherwise it's a really good machine. Bluetooth works without problems.  P.s. I just don’t understand how it can work for 3.5 hours. when watching a video, for me personally it works for about 2-2.5 hours (energy saving profile)</v>
      </c>
    </row>
    <row r="1493" spans="1:9" x14ac:dyDescent="0.3">
      <c r="A1493" s="1" t="s">
        <v>211</v>
      </c>
      <c r="B1493" s="1" t="s">
        <v>212</v>
      </c>
      <c r="C1493" s="1" t="s">
        <v>381</v>
      </c>
      <c r="D1493" s="1" t="s">
        <v>32</v>
      </c>
      <c r="E1493" s="1" t="s">
        <v>3251</v>
      </c>
      <c r="F1493" s="1" t="s">
        <v>3252</v>
      </c>
      <c r="G1493" s="1" t="s">
        <v>36</v>
      </c>
      <c r="H1493" s="1" t="s">
        <v>29</v>
      </c>
      <c r="I1493" s="1" t="str">
        <f ca="1">IFERROR(__xludf.DUMMYFUNCTION("GOOGLETRANSLATE(F1493, ""auto"", ""en"")
"),"My husband gave me this straightener on March 8th! Simply great! At first I was worried that it would damage my blond hair at high temperatures and simply wouldn’t straighten it at low temperatures, but not only did it not damage, but, on the contrary, my"&amp;" hair looks amazing! Straightens perfectly at 170 degrees, hair is smooth, shiny, soft as silk! The ends have stopped splitting and my hair has grown noticeably during these six months of use, although I regularly visit the hairdresser. Just 10 minutes an"&amp;"d your hair looks like it came out of a salon! I recommend it to everyone, you won’t regret it!")</f>
        <v>My husband gave me this straightener on March 8th! Simply great! At first I was worried that it would damage my blond hair at high temperatures and simply wouldn’t straighten it at low temperatures, but not only did it not damage, but, on the contrary, my hair looks amazing! Straightens perfectly at 170 degrees, hair is smooth, shiny, soft as silk! The ends have stopped splitting and my hair has grown noticeably during these six months of use, although I regularly visit the hairdresser. Just 10 minutes and your hair looks like it came out of a salon! I recommend it to everyone, you won’t regret it!</v>
      </c>
    </row>
    <row r="1494" spans="1:9" x14ac:dyDescent="0.3">
      <c r="A1494" s="1" t="s">
        <v>78</v>
      </c>
      <c r="B1494" s="1" t="s">
        <v>493</v>
      </c>
      <c r="C1494" s="1" t="s">
        <v>80</v>
      </c>
      <c r="D1494" s="1" t="s">
        <v>3253</v>
      </c>
      <c r="E1494" s="1" t="s">
        <v>3254</v>
      </c>
      <c r="F1494" s="1" t="s">
        <v>3255</v>
      </c>
      <c r="G1494" s="1" t="s">
        <v>36</v>
      </c>
      <c r="H1494" s="1" t="s">
        <v>29</v>
      </c>
      <c r="I1494" s="1" t="str">
        <f ca="1">IFERROR(__xludf.DUMMYFUNCTION("GOOGLETRANSLATE(F1494, ""auto"", ""en"")
"),"The stove is simply wonderful. We've been using it for 4 years now. Used as a complete replacement for the oven. The pies in it are simply magical! Never let me down!")</f>
        <v>The stove is simply wonderful. We've been using it for 4 years now. Used as a complete replacement for the oven. The pies in it are simply magical! Never let me down!</v>
      </c>
    </row>
    <row r="1495" spans="1:9" x14ac:dyDescent="0.3">
      <c r="A1495" s="1" t="s">
        <v>211</v>
      </c>
      <c r="B1495" s="1" t="s">
        <v>212</v>
      </c>
      <c r="C1495" s="1" t="s">
        <v>381</v>
      </c>
      <c r="D1495" s="1" t="s">
        <v>335</v>
      </c>
      <c r="E1495" s="1" t="s">
        <v>26</v>
      </c>
      <c r="F1495" s="1" t="s">
        <v>3256</v>
      </c>
      <c r="G1495" s="1" t="s">
        <v>49</v>
      </c>
      <c r="H1495" s="1" t="s">
        <v>16</v>
      </c>
      <c r="I1495" s="1" t="str">
        <f ca="1">IFERROR(__xludf.DUMMYFUNCTION("GOOGLETRANSLATE(F1495, ""auto"", ""en"")
"),"doesn't heat. The miser pays twice.")</f>
        <v>doesn't heat. The miser pays twice.</v>
      </c>
    </row>
    <row r="1496" spans="1:9" x14ac:dyDescent="0.3">
      <c r="A1496" s="1" t="s">
        <v>61</v>
      </c>
      <c r="B1496" s="1" t="s">
        <v>224</v>
      </c>
      <c r="C1496" s="1" t="s">
        <v>85</v>
      </c>
      <c r="D1496" s="1" t="s">
        <v>545</v>
      </c>
      <c r="E1496" s="1" t="s">
        <v>3257</v>
      </c>
      <c r="F1496" s="1" t="s">
        <v>3258</v>
      </c>
      <c r="G1496" s="1" t="s">
        <v>36</v>
      </c>
      <c r="H1496" s="1" t="s">
        <v>29</v>
      </c>
      <c r="I1496" s="1" t="str">
        <f ca="1">IFERROR(__xludf.DUMMYFUNCTION("GOOGLETRANSLATE(F1496, ""auto"", ""en"")
"),"We thought for a long time and even longer to choose both the model and the company... We searched the entire Internet! When I saw this S700, I realized that I only wanted it! :)) smoothly adjustable speed, the ability to squeeze soft berries and hard veg"&amp;"etables, such as carrots - this is what you need! In addition, this year there are a lot of apples at the dacha - which means there will be a battle with the harvest! :))) And it’s very good that the loading hole is 84 - no need to cut or peel... We bough"&amp;"t it! They brought it and tried it out right away! 5 pieces of orange - we decided to skip half with the skin (I’ll tell you straight away - the juice with the skin, of course, is bitter), half - peeled, about 10 medium apples and 1 carrot :)) As a result"&amp;" - fresh juice for 3 people, everyone to their taste (I added part of the orange to the apple-carrot, so that it’s both healthy and not bitter):)) We sit, happy, like 101 Chinese!:)) We'll take it to the dacha this weekend, we'll test the squeezer in comb"&amp;"at field conditions! ;))) but now I can say that it's worth the money - it's assembled and disassembled - it's easy to clean, the juice is squeezed efficiently, the speed is regulated, it doesn't jump around the table - what else do you need?... P.S. Oh, "&amp;"I forgot to say about the cake :)) I won’t say the cake is dry sawdust, but I couldn’t squeeze even a drop out of it :)) Now that’s it!")</f>
        <v>We thought for a long time and even longer to choose both the model and the company... We searched the entire Internet! When I saw this S700, I realized that I only wanted it! :)) smoothly adjustable speed, the ability to squeeze soft berries and hard vegetables, such as carrots - this is what you need! In addition, this year there are a lot of apples at the dacha - which means there will be a battle with the harvest! :))) And it’s very good that the loading hole is 84 - no need to cut or peel... We bought it! They brought it and tried it out right away! 5 pieces of orange - we decided to skip half with the skin (I’ll tell you straight away - the juice with the skin, of course, is bitter), half - peeled, about 10 medium apples and 1 carrot :)) As a result - fresh juice for 3 people, everyone to their taste (I added part of the orange to the apple-carrot, so that it’s both healthy and not bitter):)) We sit, happy, like 101 Chinese!:)) We'll take it to the dacha this weekend, we'll test the squeezer in combat field conditions! ;))) but now I can say that it's worth the money - it's assembled and disassembled - it's easy to clean, the juice is squeezed efficiently, the speed is regulated, it doesn't jump around the table - what else do you need?... P.S. Oh, I forgot to say about the cake :)) I won’t say the cake is dry sawdust, but I couldn’t squeeze even a drop out of it :)) Now that’s it!</v>
      </c>
    </row>
    <row r="1497" spans="1:9" x14ac:dyDescent="0.3">
      <c r="A1497" s="1" t="s">
        <v>37</v>
      </c>
      <c r="B1497" s="1" t="s">
        <v>355</v>
      </c>
      <c r="C1497" s="1" t="s">
        <v>356</v>
      </c>
      <c r="D1497" s="1" t="s">
        <v>411</v>
      </c>
      <c r="E1497" s="1" t="s">
        <v>3259</v>
      </c>
      <c r="F1497" s="1" t="s">
        <v>3260</v>
      </c>
      <c r="G1497" s="1" t="s">
        <v>36</v>
      </c>
      <c r="H1497" s="1" t="s">
        <v>29</v>
      </c>
      <c r="I1497" s="1" t="str">
        <f ca="1">IFERROR(__xludf.DUMMYFUNCTION("GOOGLETRANSLATE(F1497, ""auto"", ""en"")
"),"In OS version 2.0 and even 2.2.1, the video recording function is not implemented. But in version OS 3.0 this function is already present")</f>
        <v>In OS version 2.0 and even 2.2.1, the video recording function is not implemented. But in version OS 3.0 this function is already present</v>
      </c>
    </row>
    <row r="1498" spans="1:9" x14ac:dyDescent="0.3">
      <c r="A1498" s="1" t="s">
        <v>61</v>
      </c>
      <c r="B1498" s="1" t="s">
        <v>318</v>
      </c>
      <c r="C1498" s="1" t="s">
        <v>101</v>
      </c>
      <c r="D1498" s="1" t="s">
        <v>52</v>
      </c>
      <c r="E1498" s="1" t="s">
        <v>1084</v>
      </c>
      <c r="F1498" s="1" t="s">
        <v>3261</v>
      </c>
      <c r="G1498" s="1" t="s">
        <v>36</v>
      </c>
      <c r="H1498" s="1" t="s">
        <v>29</v>
      </c>
      <c r="I1498" s="1" t="str">
        <f ca="1">IFERROR(__xludf.DUMMYFUNCTION("GOOGLETRANSLATE(F1498, ""auto"", ""en"")
"),"I bought it yesterday, of course I had a little doubt about the company. Pleasant lighting, comfortable handle, and it looks stylish. At first there was a strong smell of plastic, but after 5 boils it disappeared. It works quietly, and most importantly: d"&amp;"ouble walls, we were pleasantly surprised that after 1.5 hours the water was boiling water! I recommend purchasing it :)")</f>
        <v>I bought it yesterday, of course I had a little doubt about the company. Pleasant lighting, comfortable handle, and it looks stylish. At first there was a strong smell of plastic, but after 5 boils it disappeared. It works quietly, and most importantly: double walls, we were pleasantly surprised that after 1.5 hours the water was boiling water! I recommend purchasing it :)</v>
      </c>
    </row>
    <row r="1499" spans="1:9" x14ac:dyDescent="0.3">
      <c r="A1499" s="1" t="s">
        <v>211</v>
      </c>
      <c r="B1499" s="1" t="s">
        <v>212</v>
      </c>
      <c r="C1499" s="1" t="s">
        <v>69</v>
      </c>
      <c r="D1499" s="1" t="s">
        <v>385</v>
      </c>
      <c r="E1499" s="1" t="s">
        <v>3262</v>
      </c>
      <c r="F1499" s="1" t="s">
        <v>3263</v>
      </c>
      <c r="G1499" s="1" t="s">
        <v>36</v>
      </c>
      <c r="H1499" s="1" t="s">
        <v>29</v>
      </c>
      <c r="I1499" s="1" t="str">
        <f ca="1">IFERROR(__xludf.DUMMYFUNCTION("GOOGLETRANSLATE(F1499, ""auto"", ""en"")
"),"I think it’s an excellent hair dryer for the money! I use it with pleasure! It doesn’t burn your hair, it’s comfortable to hold in your hand, it has a nice design, and it also has air ionization and temperature and air supply control. I recommend it!")</f>
        <v>I think it’s an excellent hair dryer for the money! I use it with pleasure! It doesn’t burn your hair, it’s comfortable to hold in your hand, it has a nice design, and it also has air ionization and temperature and air supply control. I recommend it!</v>
      </c>
    </row>
    <row r="1500" spans="1:9" x14ac:dyDescent="0.3">
      <c r="A1500" s="1" t="s">
        <v>43</v>
      </c>
      <c r="B1500" s="1" t="s">
        <v>303</v>
      </c>
      <c r="C1500" s="1" t="s">
        <v>665</v>
      </c>
      <c r="D1500" s="1" t="s">
        <v>3253</v>
      </c>
      <c r="E1500" s="1" t="s">
        <v>2919</v>
      </c>
      <c r="F1500" s="1" t="s">
        <v>3264</v>
      </c>
      <c r="G1500" s="1" t="s">
        <v>36</v>
      </c>
      <c r="H1500" s="1" t="s">
        <v>29</v>
      </c>
      <c r="I1500" s="1" t="str">
        <f ca="1">IFERROR(__xludf.DUMMYFUNCTION("GOOGLETRANSLATE(F1500, ""auto"", ""en"")
"),"For a long time we didn’t decide to buy a water heater; I kept thinking that it would be easy to heat water with pots for two weeks a year. But recently the water began to be turned off too often and patience ran out - we bought a water heater. We chose H"&amp;"aier based on reviews on the Internet, and we also read a few things ourselves) This model attracted me with its price and characteristics, the protection inspires confidence, the build quality is pleasing, there is enough power, the water heats up quickl"&amp;"y enough and remains warm for a long time. It’s very convenient to use and doesn’t consume a lot of energy, otherwise I refused to use a water heater for precisely this reason")</f>
        <v>For a long time we didn’t decide to buy a water heater; I kept thinking that it would be easy to heat water with pots for two weeks a year. But recently the water began to be turned off too often and patience ran out - we bought a water heater. We chose Haier based on reviews on the Internet, and we also read a few things ourselves) This model attracted me with its price and characteristics, the protection inspires confidence, the build quality is pleasing, there is enough power, the water heats up quickly enough and remains warm for a long time. It’s very convenient to use and doesn’t consume a lot of energy, otherwise I refused to use a water heater for precisely this reason</v>
      </c>
    </row>
    <row r="1501" spans="1:9" x14ac:dyDescent="0.3">
      <c r="A1501" s="1" t="s">
        <v>120</v>
      </c>
      <c r="B1501" s="1" t="s">
        <v>121</v>
      </c>
      <c r="C1501" s="1" t="s">
        <v>80</v>
      </c>
      <c r="D1501" s="1" t="s">
        <v>3265</v>
      </c>
      <c r="E1501" s="1" t="s">
        <v>3266</v>
      </c>
      <c r="F1501" s="1" t="s">
        <v>3267</v>
      </c>
      <c r="G1501" s="1" t="s">
        <v>36</v>
      </c>
      <c r="H1501" s="1" t="s">
        <v>29</v>
      </c>
      <c r="I1501" s="1" t="str">
        <f ca="1">IFERROR(__xludf.DUMMYFUNCTION("GOOGLETRANSLATE(F1501, ""auto"", ""en"")
"),"TV is really good. For this amount it’s absolutely chic)")</f>
        <v>TV is really good. For this amount it’s absolutely chic)</v>
      </c>
    </row>
    <row r="1502" spans="1:9" x14ac:dyDescent="0.3">
      <c r="A1502" s="1" t="s">
        <v>37</v>
      </c>
      <c r="B1502" s="1" t="s">
        <v>38</v>
      </c>
      <c r="C1502" s="1" t="s">
        <v>39</v>
      </c>
      <c r="D1502" s="1" t="s">
        <v>1782</v>
      </c>
      <c r="E1502" s="1" t="s">
        <v>2280</v>
      </c>
      <c r="F1502" s="1" t="s">
        <v>3268</v>
      </c>
      <c r="G1502" s="1" t="s">
        <v>36</v>
      </c>
      <c r="H1502" s="1" t="s">
        <v>29</v>
      </c>
      <c r="I1502" s="1" t="str">
        <f ca="1">IFERROR(__xludf.DUMMYFUNCTION("GOOGLETRANSLATE(F1502, ""auto"", ""en"")
"),"I'm very pleased with the phone. The phone fits very well in the hand, the keyboard is comfortable, I also really like the menu. But there is also a minus - the light sensor - in my opinion, it is unnecessary. Before that, I used MOTOROLA L7; it also has "&amp;"a light sensor, but it does not adjust the screen brightness, it only turns on the keyboard backlight, which is convenient. As for the fact that they say that it is not very loud, then again it depends on what you compare it to, compared to my old phone, "&amp;"it’s the same. In a word, I was satisfied.")</f>
        <v>I'm very pleased with the phone. The phone fits very well in the hand, the keyboard is comfortable, I also really like the menu. But there is also a minus - the light sensor - in my opinion, it is unnecessary. Before that, I used MOTOROLA L7; it also has a light sensor, but it does not adjust the screen brightness, it only turns on the keyboard backlight, which is convenient. As for the fact that they say that it is not very loud, then again it depends on what you compare it to, compared to my old phone, it’s the same. In a word, I was satisfied.</v>
      </c>
    </row>
    <row r="1503" spans="1:9" x14ac:dyDescent="0.3">
      <c r="A1503" s="1" t="s">
        <v>211</v>
      </c>
      <c r="B1503" s="1" t="s">
        <v>212</v>
      </c>
      <c r="C1503" s="1" t="s">
        <v>1591</v>
      </c>
      <c r="D1503" s="1" t="s">
        <v>589</v>
      </c>
      <c r="E1503" s="1" t="s">
        <v>3269</v>
      </c>
      <c r="F1503" s="1" t="s">
        <v>3270</v>
      </c>
      <c r="G1503" s="1" t="s">
        <v>36</v>
      </c>
      <c r="H1503" s="1" t="s">
        <v>29</v>
      </c>
      <c r="I1503" s="1" t="str">
        <f ca="1">IFERROR(__xludf.DUMMYFUNCTION("GOOGLETRANSLATE(F1503, ""auto"", ""en"")
"),"I recently purchased this hair dryer brush, now styling my hair has become much faster, it saves a lot of time because... You don’t need to twist the brush yourself and have completely given up straightening irons. A special attachment (for straightening)"&amp;" produces the same effect, but not at such high temperatures! I'm very pleased!")</f>
        <v>I recently purchased this hair dryer brush, now styling my hair has become much faster, it saves a lot of time because... You don’t need to twist the brush yourself and have completely given up straightening irons. A special attachment (for straightening) produces the same effect, but not at such high temperatures! I'm very pleased!</v>
      </c>
    </row>
    <row r="1504" spans="1:9" x14ac:dyDescent="0.3">
      <c r="A1504" s="1" t="s">
        <v>89</v>
      </c>
      <c r="B1504" s="1" t="s">
        <v>90</v>
      </c>
      <c r="C1504" s="1" t="s">
        <v>57</v>
      </c>
      <c r="D1504" s="1" t="s">
        <v>1329</v>
      </c>
      <c r="E1504" s="1" t="s">
        <v>1692</v>
      </c>
      <c r="F1504" s="1" t="s">
        <v>3271</v>
      </c>
      <c r="G1504" s="1" t="s">
        <v>94</v>
      </c>
      <c r="H1504" s="1" t="s">
        <v>29</v>
      </c>
      <c r="I1504" s="1" t="str">
        <f ca="1">IFERROR(__xludf.DUMMYFUNCTION("GOOGLETRANSLATE(F1504, ""auto"", ""en"")
"),"Vitek is Vitek")</f>
        <v>Vitek is Vitek</v>
      </c>
    </row>
    <row r="1505" spans="1:9" x14ac:dyDescent="0.3">
      <c r="A1505" s="1" t="s">
        <v>369</v>
      </c>
      <c r="B1505" s="1" t="s">
        <v>587</v>
      </c>
      <c r="C1505" s="1" t="s">
        <v>308</v>
      </c>
      <c r="D1505" s="1" t="s">
        <v>521</v>
      </c>
      <c r="E1505" s="1" t="s">
        <v>128</v>
      </c>
      <c r="F1505" s="1" t="s">
        <v>3272</v>
      </c>
      <c r="G1505" s="1" t="s">
        <v>36</v>
      </c>
      <c r="H1505" s="1" t="s">
        <v>29</v>
      </c>
      <c r="I1505" s="1" t="str">
        <f ca="1">IFERROR(__xludf.DUMMYFUNCTION("GOOGLETRANSLATE(F1505, ""auto"", ""en"")
"),"We bought a gas stove Greta 1470-0012, so far we are delighted with the stove, the oven bakes perfectly, the baked goods turn out rosy and fluffy!")</f>
        <v>We bought a gas stove Greta 1470-0012, so far we are delighted with the stove, the oven bakes perfectly, the baked goods turn out rosy and fluffy!</v>
      </c>
    </row>
    <row r="1506" spans="1:9" x14ac:dyDescent="0.3">
      <c r="A1506" s="1" t="s">
        <v>211</v>
      </c>
      <c r="B1506" s="1" t="s">
        <v>515</v>
      </c>
      <c r="C1506" s="1" t="s">
        <v>213</v>
      </c>
      <c r="D1506" s="1" t="s">
        <v>3273</v>
      </c>
      <c r="E1506" s="1" t="s">
        <v>886</v>
      </c>
      <c r="F1506" s="1" t="s">
        <v>3274</v>
      </c>
      <c r="G1506" s="1" t="s">
        <v>36</v>
      </c>
      <c r="H1506" s="1" t="s">
        <v>29</v>
      </c>
      <c r="I1506" s="1" t="str">
        <f ca="1">IFERROR(__xludf.DUMMYFUNCTION("GOOGLETRANSLATE(F1506, ""auto"", ""en"")
"),"The epilator is wonderful!!! Practically does not let hair through and there is no pain!!! Very satisfied! Thanks to the manufacturers! I recommend it especially for beginners!")</f>
        <v>The epilator is wonderful!!! Practically does not let hair through and there is no pain!!! Very satisfied! Thanks to the manufacturers! I recommend it especially for beginners!</v>
      </c>
    </row>
    <row r="1507" spans="1:9" x14ac:dyDescent="0.3">
      <c r="A1507" s="1" t="s">
        <v>37</v>
      </c>
      <c r="B1507" s="1" t="s">
        <v>38</v>
      </c>
      <c r="C1507" s="1" t="s">
        <v>151</v>
      </c>
      <c r="D1507" s="1" t="s">
        <v>3275</v>
      </c>
      <c r="E1507" s="1" t="s">
        <v>2874</v>
      </c>
      <c r="F1507" s="1" t="s">
        <v>3276</v>
      </c>
      <c r="G1507" s="1" t="s">
        <v>36</v>
      </c>
      <c r="H1507" s="1" t="s">
        <v>29</v>
      </c>
      <c r="I1507" s="1" t="str">
        <f ca="1">IFERROR(__xludf.DUMMYFUNCTION("GOOGLETRANSLATE(F1507, ""auto"", ""en"")
"),"I'm absolutely delighted!!! I recommend it to everyone - very comfortable, plays music loudly both with and without headphones, it suits me")</f>
        <v>I'm absolutely delighted!!! I recommend it to everyone - very comfortable, plays music loudly both with and without headphones, it suits me</v>
      </c>
    </row>
    <row r="1508" spans="1:9" x14ac:dyDescent="0.3">
      <c r="A1508" s="1" t="s">
        <v>37</v>
      </c>
      <c r="B1508" s="1" t="s">
        <v>355</v>
      </c>
      <c r="C1508" s="1" t="s">
        <v>356</v>
      </c>
      <c r="D1508" s="1" t="s">
        <v>52</v>
      </c>
      <c r="E1508" s="1" t="s">
        <v>288</v>
      </c>
      <c r="F1508" s="1" t="s">
        <v>3277</v>
      </c>
      <c r="G1508" s="1" t="s">
        <v>15</v>
      </c>
      <c r="H1508" s="1" t="s">
        <v>16</v>
      </c>
      <c r="I1508" s="1" t="str">
        <f ca="1">IFERROR(__xludf.DUMMYFUNCTION("GOOGLETRANSLATE(F1508, ""auto"", ""en"")
"),"My father has a background of 3 years. (I have a Nokia H95) In principle, you can make calls, watch videos, and surf the internet. But some stupid things irritate me, for example, why can’t the phone send photos, melodies, etc. via Bluetooth? Is it so dif"&amp;"ficult to set the camera to at least 5MP? Why can't I change the battery? The mute lever lives its own life - it switches in your pocket as it wants. And when will there be an iPhone with support for 4G networks?")</f>
        <v>My father has a background of 3 years. (I have a Nokia H95) In principle, you can make calls, watch videos, and surf the internet. But some stupid things irritate me, for example, why can’t the phone send photos, melodies, etc. via Bluetooth? Is it so difficult to set the camera to at least 5MP? Why can't I change the battery? The mute lever lives its own life - it switches in your pocket as it wants. And when will there be an iPhone with support for 4G networks?</v>
      </c>
    </row>
    <row r="1509" spans="1:9" x14ac:dyDescent="0.3">
      <c r="A1509" s="1" t="s">
        <v>61</v>
      </c>
      <c r="B1509" s="1" t="s">
        <v>318</v>
      </c>
      <c r="C1509" s="1" t="s">
        <v>101</v>
      </c>
      <c r="D1509" s="1" t="s">
        <v>139</v>
      </c>
      <c r="E1509" s="1" t="s">
        <v>3278</v>
      </c>
      <c r="F1509" s="1" t="s">
        <v>3279</v>
      </c>
      <c r="G1509" s="1" t="s">
        <v>28</v>
      </c>
      <c r="H1509" s="1" t="s">
        <v>29</v>
      </c>
      <c r="I1509" s="1" t="str">
        <f ca="1">IFERROR(__xludf.DUMMYFUNCTION("GOOGLETRANSLATE(F1509, ""auto"", ""en"")
"),"When I bought this thermal kettle 4 years ago, I never expected it to last so long. When purchasing, they offered a special coupon that would make it possible to exchange the kettle for a new one if it breaks during the first year (if memory serves), but "&amp;"I didn’t see the need for such a coupon - and I did the right thing. The thermopot worked absolutely fine for approximately the first two years of use. Subsequently, the temperature relay began to malfunction - the boiling did not turn off, although the w"&amp;"ater was actively bubbling (but this problem was solved by cleaning the tank from scale - as you know, scale interferes with thermal conductivity and therefore the temperature sensor did not want to work). After about a year, the reboil button broke (the "&amp;"only way to start boiling water was to add cold water). Well, by the beginning of the 5th year of operation, the upper part of the lid fell off... And even after that, the kettle regularly performs its functionality - it boils water and maintains the temp"&amp;"erature of the hot water. And the re-boil button started working by itself again :)")</f>
        <v>When I bought this thermal kettle 4 years ago, I never expected it to last so long. When purchasing, they offered a special coupon that would make it possible to exchange the kettle for a new one if it breaks during the first year (if memory serves), but I didn’t see the need for such a coupon - and I did the right thing. The thermopot worked absolutely fine for approximately the first two years of use. Subsequently, the temperature relay began to malfunction - the boiling did not turn off, although the water was actively bubbling (but this problem was solved by cleaning the tank from scale - as you know, scale interferes with thermal conductivity and therefore the temperature sensor did not want to work). After about a year, the reboil button broke (the only way to start boiling water was to add cold water). Well, by the beginning of the 5th year of operation, the upper part of the lid fell off... And even after that, the kettle regularly performs its functionality - it boils water and maintains the temperature of the hot water. And the re-boil button started working by itself again :)</v>
      </c>
    </row>
    <row r="1510" spans="1:9" x14ac:dyDescent="0.3">
      <c r="A1510" s="1" t="s">
        <v>61</v>
      </c>
      <c r="B1510" s="1" t="s">
        <v>180</v>
      </c>
      <c r="C1510" s="1" t="s">
        <v>69</v>
      </c>
      <c r="D1510" s="1" t="s">
        <v>1188</v>
      </c>
      <c r="E1510" s="1" t="s">
        <v>3280</v>
      </c>
      <c r="F1510" s="1" t="s">
        <v>3281</v>
      </c>
      <c r="G1510" s="1" t="s">
        <v>36</v>
      </c>
      <c r="H1510" s="1" t="s">
        <v>29</v>
      </c>
      <c r="I1510" s="1" t="str">
        <f ca="1">IFERROR(__xludf.DUMMYFUNCTION("GOOGLETRANSLATE(F1510, ""auto"", ""en"")
"),"We bought it for ourselves, we really liked it, then we bought it for our parents, they were skeptical at first, but now they bought it for their grandmother and for the dacha. In general, the whole family is delighted, there are no complaints about him.")</f>
        <v>We bought it for ourselves, we really liked it, then we bought it for our parents, they were skeptical at first, but now they bought it for their grandmother and for the dacha. In general, the whole family is delighted, there are no complaints about him.</v>
      </c>
    </row>
    <row r="1511" spans="1:9" x14ac:dyDescent="0.3">
      <c r="A1511" s="1" t="s">
        <v>17</v>
      </c>
      <c r="B1511" s="1" t="s">
        <v>325</v>
      </c>
      <c r="C1511" s="1" t="s">
        <v>326</v>
      </c>
      <c r="D1511" s="1" t="s">
        <v>411</v>
      </c>
      <c r="E1511" s="1" t="s">
        <v>1946</v>
      </c>
      <c r="F1511" s="1" t="s">
        <v>3282</v>
      </c>
      <c r="G1511" s="1" t="s">
        <v>36</v>
      </c>
      <c r="H1511" s="1" t="s">
        <v>29</v>
      </c>
      <c r="I1511" s="1" t="str">
        <f ca="1">IFERROR(__xludf.DUMMYFUNCTION("GOOGLETRANSLATE(F1511, ""auto"", ""en"")
"),"It washes great!!! Automatically in left and right, you can just use laundry soap, rinses perfectly, washes quietly and efficiently. Washing depends on the selection of soap. The only thing is that there is no spin, but for small things it is not needed.."&amp;". you can squeeze it with your hands..))")</f>
        <v>It washes great!!! Automatically in left and right, you can just use laundry soap, rinses perfectly, washes quietly and efficiently. Washing depends on the selection of soap. The only thing is that there is no spin, but for small things it is not needed... you can squeeze it with your hands..))</v>
      </c>
    </row>
    <row r="1512" spans="1:9" x14ac:dyDescent="0.3">
      <c r="A1512" s="1" t="s">
        <v>37</v>
      </c>
      <c r="B1512" s="1" t="s">
        <v>536</v>
      </c>
      <c r="C1512" s="1" t="s">
        <v>32</v>
      </c>
      <c r="D1512" s="1" t="s">
        <v>232</v>
      </c>
      <c r="E1512" s="1" t="s">
        <v>2126</v>
      </c>
      <c r="F1512" s="1" t="s">
        <v>3283</v>
      </c>
      <c r="G1512" s="1" t="s">
        <v>36</v>
      </c>
      <c r="H1512" s="1" t="s">
        <v>29</v>
      </c>
      <c r="I1512" s="1" t="str">
        <f ca="1">IFERROR(__xludf.DUMMYFUNCTION("GOOGLETRANSLATE(F1512, ""auto"", ""en"")
"),"I bought a communicator from M.Video. I'm happy, it's a cool phone. Among the inaccuracies, I would like to note: 1. The price is still not 9990, but 8490. A pleasant difference.  2. The country of origin is not China, but China. :-)")</f>
        <v>I bought a communicator from M.Video. I'm happy, it's a cool phone. Among the inaccuracies, I would like to note: 1. The price is still not 9990, but 8490. A pleasant difference.  2. The country of origin is not China, but China. :-)</v>
      </c>
    </row>
    <row r="1513" spans="1:9" x14ac:dyDescent="0.3">
      <c r="A1513" s="1" t="s">
        <v>17</v>
      </c>
      <c r="B1513" s="1" t="s">
        <v>18</v>
      </c>
      <c r="C1513" s="1" t="s">
        <v>80</v>
      </c>
      <c r="D1513" s="1" t="s">
        <v>75</v>
      </c>
      <c r="E1513" s="1" t="s">
        <v>3284</v>
      </c>
      <c r="F1513" s="1" t="s">
        <v>3285</v>
      </c>
      <c r="G1513" s="1" t="s">
        <v>36</v>
      </c>
      <c r="H1513" s="1" t="s">
        <v>29</v>
      </c>
      <c r="I1513" s="1" t="str">
        <f ca="1">IFERROR(__xludf.DUMMYFUNCTION("GOOGLETRANSLATE(F1513, ""auto"", ""en"")
"),"My husband and I bought a machine on November 2! We carefully chose the candidate for the role of assistant! After seeing this machine, reading the characteristics and reviews, I simply fell in love with it! The design is beautiful, it washes great! Very "&amp;"quiet! I have already tried all the washing modes, there are no complaints!!! A smart and excellent assistant for housewives!!!! I recommend it to everyone!")</f>
        <v>My husband and I bought a machine on November 2! We carefully chose the candidate for the role of assistant! After seeing this machine, reading the characteristics and reviews, I simply fell in love with it! The design is beautiful, it washes great! Very quiet! I have already tried all the washing modes, there are no complaints!!! A smart and excellent assistant for housewives!!!! I recommend it to everyone!</v>
      </c>
    </row>
    <row r="1514" spans="1:9" x14ac:dyDescent="0.3">
      <c r="A1514" s="1" t="s">
        <v>30</v>
      </c>
      <c r="B1514" s="1" t="s">
        <v>50</v>
      </c>
      <c r="C1514" s="1" t="s">
        <v>189</v>
      </c>
      <c r="D1514" s="1" t="s">
        <v>3286</v>
      </c>
      <c r="E1514" s="1" t="s">
        <v>1988</v>
      </c>
      <c r="F1514" s="1" t="s">
        <v>3287</v>
      </c>
      <c r="G1514" s="1" t="s">
        <v>36</v>
      </c>
      <c r="H1514" s="1" t="s">
        <v>29</v>
      </c>
      <c r="I1514" s="1" t="str">
        <f ca="1">IFERROR(__xludf.DUMMYFUNCTION("GOOGLETRANSLATE(F1514, ""auto"", ""en"")
"),"Great laptop! Everything suits me, it’s fast, powerful (for its price category), the toys are quite worthy and it’s a big hit! The only thing I noticed is that on the most powerful games it heats up to over 100 degrees, which is not good...) Well, what ca"&amp;"n you do, it’s not a desktop one)")</f>
        <v>Great laptop! Everything suits me, it’s fast, powerful (for its price category), the toys are quite worthy and it’s a big hit! The only thing I noticed is that on the most powerful games it heats up to over 100 degrees, which is not good...) Well, what can you do, it’s not a desktop one)</v>
      </c>
    </row>
    <row r="1515" spans="1:9" x14ac:dyDescent="0.3">
      <c r="A1515" s="1" t="s">
        <v>211</v>
      </c>
      <c r="B1515" s="1" t="s">
        <v>212</v>
      </c>
      <c r="C1515" s="1" t="s">
        <v>57</v>
      </c>
      <c r="D1515" s="1" t="s">
        <v>3288</v>
      </c>
      <c r="E1515" s="1" t="s">
        <v>201</v>
      </c>
      <c r="F1515" s="1" t="s">
        <v>3289</v>
      </c>
      <c r="G1515" s="1" t="s">
        <v>36</v>
      </c>
      <c r="H1515" s="1" t="s">
        <v>29</v>
      </c>
      <c r="I1515" s="1" t="str">
        <f ca="1">IFERROR(__xludf.DUMMYFUNCTION("GOOGLETRANSLATE(F1515, ""auto"", ""en"")
"),"I really liked the hairdryer, it works well. You can also do different styling, but you need to learn. The air flow is good, and the “cold air” function is also nice. so I recommend buying this hairdryer)")</f>
        <v>I really liked the hairdryer, it works well. You can also do different styling, but you need to learn. The air flow is good, and the “cold air” function is also nice. so I recommend buying this hairdryer)</v>
      </c>
    </row>
    <row r="1516" spans="1:9" x14ac:dyDescent="0.3">
      <c r="A1516" s="1" t="s">
        <v>169</v>
      </c>
      <c r="B1516" s="1" t="s">
        <v>170</v>
      </c>
      <c r="C1516" s="1" t="s">
        <v>171</v>
      </c>
      <c r="D1516" s="1" t="s">
        <v>280</v>
      </c>
      <c r="E1516" s="1" t="s">
        <v>1327</v>
      </c>
      <c r="F1516" s="1" t="s">
        <v>3290</v>
      </c>
      <c r="G1516" s="1" t="s">
        <v>36</v>
      </c>
      <c r="H1516" s="1" t="s">
        <v>29</v>
      </c>
      <c r="I1516" s="1" t="str">
        <f ca="1">IFERROR(__xludf.DUMMYFUNCTION("GOOGLETRANSLATE(F1516, ""auto"", ""en"")
"),"The headphones are excellent, with good soft bass, and quite loud. I can’t say that the wire is flimsy or the seals come off... Every day I go to college and put the player with the wire in my pocket, twisting the wire, and everything is fine. They sit qu"&amp;"ite comfortably, the ears do not get tired. At first I listened with large earbuds, and they kept falling out of my ears. Then I replaced it with smaller ones (included) and everything fell into place) As an avid music lover who respects sound quality, I "&amp;"give the product a solid 5 and recommend it for purchase!")</f>
        <v>The headphones are excellent, with good soft bass, and quite loud. I can’t say that the wire is flimsy or the seals come off... Every day I go to college and put the player with the wire in my pocket, twisting the wire, and everything is fine. They sit quite comfortably, the ears do not get tired. At first I listened with large earbuds, and they kept falling out of my ears. Then I replaced it with smaller ones (included) and everything fell into place) As an avid music lover who respects sound quality, I give the product a solid 5 and recommend it for purchase!</v>
      </c>
    </row>
    <row r="1517" spans="1:9" x14ac:dyDescent="0.3">
      <c r="A1517" s="1" t="s">
        <v>519</v>
      </c>
      <c r="B1517" s="1" t="s">
        <v>3291</v>
      </c>
      <c r="C1517" s="1" t="s">
        <v>2143</v>
      </c>
      <c r="D1517" s="1" t="s">
        <v>545</v>
      </c>
      <c r="E1517" s="1" t="s">
        <v>1359</v>
      </c>
      <c r="F1517" s="1" t="s">
        <v>3292</v>
      </c>
      <c r="G1517" s="1" t="s">
        <v>49</v>
      </c>
      <c r="H1517" s="1" t="s">
        <v>16</v>
      </c>
      <c r="I1517" s="1" t="str">
        <f ca="1">IFERROR(__xludf.DUMMYFUNCTION("GOOGLETRANSLATE(F1517, ""auto"", ""en"")
"),"The handle on the lid is soldered very weakly. It fell off when washing dishes by hand. There was no impact. This is the quality (((")</f>
        <v>The handle on the lid is soldered very weakly. It fell off when washing dishes by hand. There was no impact. This is the quality (((</v>
      </c>
    </row>
    <row r="1518" spans="1:9" x14ac:dyDescent="0.3">
      <c r="A1518" s="1" t="s">
        <v>30</v>
      </c>
      <c r="B1518" s="1" t="s">
        <v>50</v>
      </c>
      <c r="C1518" s="1" t="s">
        <v>2550</v>
      </c>
      <c r="D1518" s="1" t="s">
        <v>3293</v>
      </c>
      <c r="E1518" s="1" t="s">
        <v>1738</v>
      </c>
      <c r="F1518" s="1" t="s">
        <v>3294</v>
      </c>
      <c r="G1518" s="1" t="s">
        <v>28</v>
      </c>
      <c r="H1518" s="1" t="s">
        <v>29</v>
      </c>
      <c r="I1518" s="1" t="str">
        <f ca="1">IFERROR(__xludf.DUMMYFUNCTION("GOOGLETRANSLATE(F1518, ""auto"", ""en"")
"),"The machine as a whole is good, lightweight, the design is attractive, the display is very nice, the warranty is 2 years and the touchpad is very comfortable, the keyboard is full-size, and the hardware is good for the money, there are also disadvantages:"&amp;" the main one is the motherboard, the connecting link of all components of the system, then the video is soldered into the motherboard, i.e. replacement and repair are excluded (I couldn’t overclock anything either), the location of popular usb ports is i"&amp;"nconvenient, one is located directly in the corner of the case, the other 2 are in the back of the laptop, so if the near port is occupied by a mouse, it won’t be easy to insert a flash drive, the Fn and Ctrl buttons would have to be swapped - I’m constan"&amp;"tly confused until I’m not used to it, no bluetooth, hdmi.")</f>
        <v>The machine as a whole is good, lightweight, the design is attractive, the display is very nice, the warranty is 2 years and the touchpad is very comfortable, the keyboard is full-size, and the hardware is good for the money, there are also disadvantages: the main one is the motherboard, the connecting link of all components of the system, then the video is soldered into the motherboard, i.e. replacement and repair are excluded (I couldn’t overclock anything either), the location of popular usb ports is inconvenient, one is located directly in the corner of the case, the other 2 are in the back of the laptop, so if the near port is occupied by a mouse, it won’t be easy to insert a flash drive, the Fn and Ctrl buttons would have to be swapped - I’m constantly confused until I’m not used to it, no bluetooth, hdmi.</v>
      </c>
    </row>
    <row r="1519" spans="1:9" x14ac:dyDescent="0.3">
      <c r="A1519" s="1" t="s">
        <v>61</v>
      </c>
      <c r="B1519" s="1" t="s">
        <v>180</v>
      </c>
      <c r="C1519" s="1" t="s">
        <v>246</v>
      </c>
      <c r="D1519" s="1" t="s">
        <v>3295</v>
      </c>
      <c r="E1519" s="1" t="s">
        <v>2675</v>
      </c>
      <c r="F1519" s="1" t="s">
        <v>3296</v>
      </c>
      <c r="G1519" s="1" t="s">
        <v>28</v>
      </c>
      <c r="H1519" s="1" t="s">
        <v>29</v>
      </c>
      <c r="I1519" s="1" t="str">
        <f ca="1">IFERROR(__xludf.DUMMYFUNCTION("GOOGLETRANSLATE(F1519, ""auto"", ""en"")
"),"This is the first toaster, so there is nothing to compare with, in general, I am sure that the final result depends mainly on the quality and type of bread used, it has been working every day for almost six months, so far without breakdowns, but the toast"&amp;"s are really bouncing rather weakly.")</f>
        <v>This is the first toaster, so there is nothing to compare with, in general, I am sure that the final result depends mainly on the quality and type of bread used, it has been working every day for almost six months, so far without breakdowns, but the toasts are really bouncing rather weakly.</v>
      </c>
    </row>
    <row r="1520" spans="1:9" x14ac:dyDescent="0.3">
      <c r="A1520" s="1" t="s">
        <v>169</v>
      </c>
      <c r="B1520" s="1" t="s">
        <v>170</v>
      </c>
      <c r="C1520" s="1" t="s">
        <v>69</v>
      </c>
      <c r="D1520" s="1" t="s">
        <v>1520</v>
      </c>
      <c r="E1520" s="1" t="s">
        <v>3038</v>
      </c>
      <c r="F1520" s="1" t="s">
        <v>3297</v>
      </c>
      <c r="G1520" s="1" t="s">
        <v>15</v>
      </c>
      <c r="H1520" s="1" t="s">
        <v>16</v>
      </c>
      <c r="I1520" s="1" t="str">
        <f ca="1">IFERROR(__xludf.DUMMYFUNCTION("GOOGLETRANSLATE(F1520, ""auto"", ""en"")
"),"At first I was happy, played with it for a week and put it aside: the battery is not enough, my ears feel tight, they fly off my head, the sound is average...")</f>
        <v>At first I was happy, played with it for a week and put it aside: the battery is not enough, my ears feel tight, they fly off my head, the sound is average...</v>
      </c>
    </row>
    <row r="1521" spans="1:9" x14ac:dyDescent="0.3">
      <c r="A1521" s="1" t="s">
        <v>2087</v>
      </c>
      <c r="B1521" s="1" t="s">
        <v>2088</v>
      </c>
      <c r="C1521" s="1" t="s">
        <v>151</v>
      </c>
      <c r="D1521" s="1" t="s">
        <v>280</v>
      </c>
      <c r="E1521" s="1" t="s">
        <v>1273</v>
      </c>
      <c r="F1521" s="1" t="s">
        <v>3298</v>
      </c>
      <c r="G1521" s="1" t="s">
        <v>36</v>
      </c>
      <c r="H1521" s="1" t="s">
        <v>29</v>
      </c>
      <c r="I1521" s="1" t="str">
        <f ca="1">IFERROR(__xludf.DUMMYFUNCTION("GOOGLETRANSLATE(F1521, ""auto"", ""en"")
"),"The player is excellent! Includes 3 Blu-Ray discs, HDMI cable also included. External HDD NTFS 1 TB can be seen without problems, *mkv reads perfectly. It plays DVDs without any complaints, even self-recorded ones, the only thing is that it doesn’t see *."&amp;"vob files from the external drive. Compared to a DVD player, it loads much faster, no matter Blu-Ray or DVD. In general, I recommend it to everyone!")</f>
        <v>The player is excellent! Includes 3 Blu-Ray discs, HDMI cable also included. External HDD NTFS 1 TB can be seen without problems, *mkv reads perfectly. It plays DVDs without any complaints, even self-recorded ones, the only thing is that it doesn’t see *.vob files from the external drive. Compared to a DVD player, it loads much faster, no matter Blu-Ray or DVD. In general, I recommend it to everyone!</v>
      </c>
    </row>
    <row r="1522" spans="1:9" x14ac:dyDescent="0.3">
      <c r="A1522" s="1" t="s">
        <v>37</v>
      </c>
      <c r="B1522" s="1" t="s">
        <v>38</v>
      </c>
      <c r="C1522" s="1" t="s">
        <v>39</v>
      </c>
      <c r="D1522" s="1" t="s">
        <v>1055</v>
      </c>
      <c r="E1522" s="1" t="s">
        <v>792</v>
      </c>
      <c r="F1522" s="1" t="s">
        <v>3299</v>
      </c>
      <c r="G1522" s="1" t="s">
        <v>28</v>
      </c>
      <c r="H1522" s="1" t="s">
        <v>29</v>
      </c>
      <c r="I1522" s="1" t="str">
        <f ca="1">IFERROR(__xludf.DUMMYFUNCTION("GOOGLETRANSLATE(F1522, ""auto"", ""en"")
"),"The phone is not bad, I liked it right away))")</f>
        <v>The phone is not bad, I liked it right away))</v>
      </c>
    </row>
    <row r="1523" spans="1:9" x14ac:dyDescent="0.3">
      <c r="A1523" s="1" t="s">
        <v>9</v>
      </c>
      <c r="B1523" s="1" t="s">
        <v>137</v>
      </c>
      <c r="C1523" s="1" t="s">
        <v>870</v>
      </c>
      <c r="D1523" s="1" t="s">
        <v>208</v>
      </c>
      <c r="E1523" s="1" t="s">
        <v>3300</v>
      </c>
      <c r="F1523" s="1" t="s">
        <v>3301</v>
      </c>
      <c r="G1523" s="1" t="s">
        <v>36</v>
      </c>
      <c r="H1523" s="1" t="s">
        <v>29</v>
      </c>
      <c r="I1523" s="1" t="str">
        <f ca="1">IFERROR(__xludf.DUMMYFUNCTION("GOOGLETRANSLATE(F1523, ""auto"", ""en"")
"),"I recently bought it on sale and am very pleased. Pleasant to use. There is only one minus - you first need to select a burner on the panel, and only then turn it on or change the power. If you cook several dishes at the same time, you have to press a lot"&amp;" of buttons.")</f>
        <v>I recently bought it on sale and am very pleased. Pleasant to use. There is only one minus - you first need to select a burner on the panel, and only then turn it on or change the power. If you cook several dishes at the same time, you have to press a lot of buttons.</v>
      </c>
    </row>
    <row r="1524" spans="1:9" x14ac:dyDescent="0.3">
      <c r="A1524" s="1" t="s">
        <v>43</v>
      </c>
      <c r="B1524" s="1" t="s">
        <v>502</v>
      </c>
      <c r="C1524" s="1" t="s">
        <v>151</v>
      </c>
      <c r="D1524" s="1" t="s">
        <v>411</v>
      </c>
      <c r="E1524" s="1" t="s">
        <v>1576</v>
      </c>
      <c r="F1524" s="1" t="s">
        <v>3302</v>
      </c>
      <c r="G1524" s="1" t="s">
        <v>36</v>
      </c>
      <c r="H1524" s="1" t="s">
        <v>29</v>
      </c>
      <c r="I1524" s="1" t="str">
        <f ca="1">IFERROR(__xludf.DUMMYFUNCTION("GOOGLETRANSLATE(F1524, ""auto"", ""en"")
"),"very good split system for ridiculous money! with an air ionizer, straight mountain air, the perfect atmosphere at home!")</f>
        <v>very good split system for ridiculous money! with an air ionizer, straight mountain air, the perfect atmosphere at home!</v>
      </c>
    </row>
    <row r="1525" spans="1:9" x14ac:dyDescent="0.3">
      <c r="A1525" s="1" t="s">
        <v>206</v>
      </c>
      <c r="B1525" s="1" t="s">
        <v>207</v>
      </c>
      <c r="C1525" s="1" t="s">
        <v>152</v>
      </c>
      <c r="D1525" s="1" t="s">
        <v>305</v>
      </c>
      <c r="E1525" s="1" t="s">
        <v>3303</v>
      </c>
      <c r="F1525" s="1" t="s">
        <v>3304</v>
      </c>
      <c r="G1525" s="1" t="s">
        <v>36</v>
      </c>
      <c r="H1525" s="1" t="s">
        <v>29</v>
      </c>
      <c r="I1525" s="1" t="str">
        <f ca="1">IFERROR(__xludf.DUMMYFUNCTION("GOOGLETRANSLATE(F1525, ""auto"", ""en"")
"),"In principle, there is probably a golden mean between price and quality. For the entry level it is absolutely enough. Regarding the adjustment of high and low frequencies - it is not soldered. The crossover on it is simply minimal. Therefore, he will not "&amp;"play without a normal head. It heats up within normal limits. I don’t know who might have problems there... Linearity is also good.")</f>
        <v>In principle, there is probably a golden mean between price and quality. For the entry level it is absolutely enough. Regarding the adjustment of high and low frequencies - it is not soldered. The crossover on it is simply minimal. Therefore, he will not play without a normal head. It heats up within normal limits. I don’t know who might have problems there... Linearity is also good.</v>
      </c>
    </row>
    <row r="1526" spans="1:9" x14ac:dyDescent="0.3">
      <c r="A1526" s="1" t="s">
        <v>61</v>
      </c>
      <c r="B1526" s="1" t="s">
        <v>318</v>
      </c>
      <c r="C1526" s="1" t="s">
        <v>57</v>
      </c>
      <c r="D1526" s="1" t="s">
        <v>32</v>
      </c>
      <c r="E1526" s="1" t="s">
        <v>3262</v>
      </c>
      <c r="F1526" s="1" t="s">
        <v>3305</v>
      </c>
      <c r="G1526" s="1" t="s">
        <v>36</v>
      </c>
      <c r="H1526" s="1" t="s">
        <v>29</v>
      </c>
      <c r="I1526" s="1" t="str">
        <f ca="1">IFERROR(__xludf.DUMMYFUNCTION("GOOGLETRANSLATE(F1526, ""auto"", ""en"")
"),"I used it for about 10 years, and not only me, but all family members 7 times a day. Broke. It's sad...I would buy the same one again, but it's not available anywhere.")</f>
        <v>I used it for about 10 years, and not only me, but all family members 7 times a day. Broke. It's sad...I would buy the same one again, but it's not available anywhere.</v>
      </c>
    </row>
    <row r="1527" spans="1:9" x14ac:dyDescent="0.3">
      <c r="A1527" s="1" t="s">
        <v>61</v>
      </c>
      <c r="B1527" s="1" t="s">
        <v>318</v>
      </c>
      <c r="C1527" s="1" t="s">
        <v>2840</v>
      </c>
      <c r="D1527" s="1" t="s">
        <v>335</v>
      </c>
      <c r="E1527" s="1" t="s">
        <v>3306</v>
      </c>
      <c r="F1527" s="1" t="s">
        <v>3307</v>
      </c>
      <c r="G1527" s="1" t="s">
        <v>36</v>
      </c>
      <c r="H1527" s="1" t="s">
        <v>29</v>
      </c>
      <c r="I1527" s="1" t="str">
        <f ca="1">IFERROR(__xludf.DUMMYFUNCTION("GOOGLETRANSLATE(F1527, ""auto"", ""en"")
"),"The kettle is like a kettle, boils quickly, almost silently, and is easy to clean. The first time I poured water into the mug, water spilled out of the spout, but then they apparently got used to it and it stopped spilling. The cute little cups included a"&amp;"re great for slinging Chinese white and green teas!")</f>
        <v>The kettle is like a kettle, boils quickly, almost silently, and is easy to clean. The first time I poured water into the mug, water spilled out of the spout, but then they apparently got used to it and it stopped spilling. The cute little cups included are great for slinging Chinese white and green teas!</v>
      </c>
    </row>
    <row r="1528" spans="1:9" x14ac:dyDescent="0.3">
      <c r="A1528" s="1" t="s">
        <v>30</v>
      </c>
      <c r="B1528" s="1" t="s">
        <v>50</v>
      </c>
      <c r="C1528" s="1" t="s">
        <v>1003</v>
      </c>
      <c r="D1528" s="1" t="s">
        <v>305</v>
      </c>
      <c r="E1528" s="1" t="s">
        <v>947</v>
      </c>
      <c r="F1528" s="1" t="s">
        <v>3308</v>
      </c>
      <c r="G1528" s="1" t="s">
        <v>36</v>
      </c>
      <c r="H1528" s="1" t="s">
        <v>29</v>
      </c>
      <c r="I1528" s="1" t="str">
        <f ca="1">IFERROR(__xludf.DUMMYFUNCTION("GOOGLETRANSLATE(F1528, ""auto"", ""en"")
"),"The laptop is really good, I've been trying it out for a long time, everything is beyond praise, with the exception of probably a very dead battery and the lack of drivers for the Windows XP operating system")</f>
        <v>The laptop is really good, I've been trying it out for a long time, everything is beyond praise, with the exception of probably a very dead battery and the lack of drivers for the Windows XP operating system</v>
      </c>
    </row>
    <row r="1529" spans="1:9" x14ac:dyDescent="0.3">
      <c r="A1529" s="1" t="s">
        <v>30</v>
      </c>
      <c r="B1529" s="1" t="s">
        <v>50</v>
      </c>
      <c r="C1529" s="1" t="s">
        <v>51</v>
      </c>
      <c r="D1529" s="1" t="s">
        <v>139</v>
      </c>
      <c r="E1529" s="1" t="s">
        <v>1273</v>
      </c>
      <c r="F1529" s="1" t="s">
        <v>3309</v>
      </c>
      <c r="G1529" s="1" t="s">
        <v>36</v>
      </c>
      <c r="H1529" s="1" t="s">
        <v>29</v>
      </c>
      <c r="I1529" s="1" t="str">
        <f ca="1">IFERROR(__xludf.DUMMYFUNCTION("GOOGLETRANSLATE(F1529, ""auto"", ""en"")
"),"Just an excellent computer, all games without lags and on full graphics. What about xlive.dll, you just need to install it as an application and everything will work. (Games live application. - This is Nikole from Zaporozhye.")</f>
        <v>Just an excellent computer, all games without lags and on full graphics. What about xlive.dll, you just need to install it as an application and everything will work. (Games live application. - This is Nikole from Zaporozhye.</v>
      </c>
    </row>
    <row r="1530" spans="1:9" x14ac:dyDescent="0.3">
      <c r="A1530" s="1" t="s">
        <v>61</v>
      </c>
      <c r="B1530" s="1" t="s">
        <v>318</v>
      </c>
      <c r="C1530" s="1" t="s">
        <v>246</v>
      </c>
      <c r="D1530" s="1" t="s">
        <v>247</v>
      </c>
      <c r="E1530" s="1" t="s">
        <v>3310</v>
      </c>
      <c r="F1530" s="1" t="s">
        <v>3311</v>
      </c>
      <c r="G1530" s="1" t="s">
        <v>36</v>
      </c>
      <c r="H1530" s="1" t="s">
        <v>29</v>
      </c>
      <c r="I1530" s="1" t="str">
        <f ca="1">IFERROR(__xludf.DUMMYFUNCTION("GOOGLETRANSLATE(F1530, ""auto"", ""en"")
"),"We spent a long time choosing, read reviews and finally chose! We were right. Excellent kettle! Nice color and design. From everything you can see that the thing is reliable! I recommend it to everyone. Take it, you won’t regret it.")</f>
        <v>We spent a long time choosing, read reviews and finally chose! We were right. Excellent kettle! Nice color and design. From everything you can see that the thing is reliable! I recommend it to everyone. Take it, you won’t regret it.</v>
      </c>
    </row>
    <row r="1531" spans="1:9" x14ac:dyDescent="0.3">
      <c r="A1531" s="1" t="s">
        <v>67</v>
      </c>
      <c r="B1531" s="1" t="s">
        <v>340</v>
      </c>
      <c r="C1531" s="1" t="s">
        <v>341</v>
      </c>
      <c r="D1531" s="1" t="s">
        <v>326</v>
      </c>
      <c r="E1531" s="1" t="s">
        <v>1816</v>
      </c>
      <c r="F1531" s="1" t="s">
        <v>3312</v>
      </c>
      <c r="G1531" s="1" t="s">
        <v>36</v>
      </c>
      <c r="H1531" s="1" t="s">
        <v>29</v>
      </c>
      <c r="I1531" s="1" t="str">
        <f ca="1">IFERROR(__xludf.DUMMYFUNCTION("GOOGLETRANSLATE(F1531, ""auto"", ""en"")
"),"I really liked the car. I bought it a month ago. Since I am not a seamstress, the machine was needed for home use. Sews softly and quietly. I was worried that I wouldn’t be able to sew jeans, but in vain, I managed it without any problems. I'm happy with "&amp;"the purchase.")</f>
        <v>I really liked the car. I bought it a month ago. Since I am not a seamstress, the machine was needed for home use. Sews softly and quietly. I was worried that I wouldn’t be able to sew jeans, but in vain, I managed it without any problems. I'm happy with the purchase.</v>
      </c>
    </row>
    <row r="1532" spans="1:9" x14ac:dyDescent="0.3">
      <c r="A1532" s="1" t="s">
        <v>105</v>
      </c>
      <c r="B1532" s="1" t="s">
        <v>106</v>
      </c>
      <c r="C1532" s="1" t="s">
        <v>1921</v>
      </c>
      <c r="D1532" s="1" t="s">
        <v>75</v>
      </c>
      <c r="E1532" s="1" t="s">
        <v>3313</v>
      </c>
      <c r="F1532" s="1" t="s">
        <v>3314</v>
      </c>
      <c r="G1532" s="1" t="s">
        <v>15</v>
      </c>
      <c r="H1532" s="1" t="s">
        <v>16</v>
      </c>
      <c r="I1532" s="1" t="str">
        <f ca="1">IFERROR(__xludf.DUMMYFUNCTION("GOOGLETRANSLATE(F1532, ""auto"", ""en"")
"),"The player is 5 days old, stopped turning on and is not displayed on the computer")</f>
        <v>The player is 5 days old, stopped turning on and is not displayed on the computer</v>
      </c>
    </row>
    <row r="1533" spans="1:9" x14ac:dyDescent="0.3">
      <c r="A1533" s="1" t="s">
        <v>17</v>
      </c>
      <c r="B1533" s="1" t="s">
        <v>18</v>
      </c>
      <c r="C1533" s="1" t="s">
        <v>885</v>
      </c>
      <c r="D1533" s="1" t="s">
        <v>896</v>
      </c>
      <c r="E1533" s="1" t="s">
        <v>3315</v>
      </c>
      <c r="F1533" s="1" t="s">
        <v>3316</v>
      </c>
      <c r="G1533" s="1" t="s">
        <v>36</v>
      </c>
      <c r="H1533" s="1" t="s">
        <v>29</v>
      </c>
      <c r="I1533" s="1" t="str">
        <f ca="1">IFERROR(__xludf.DUMMYFUNCTION("GOOGLETRANSLATE(F1533, ""auto"", ""en"")
"),"Great machine, compact, washes well. I'm very glad that I chose her.   And disadvantages like: “leaves a little powder in the tray”, this is not fatal in my opinion)")</f>
        <v>Great machine, compact, washes well. I'm very glad that I chose her.   And disadvantages like: “leaves a little powder in the tray”, this is not fatal in my opinion)</v>
      </c>
    </row>
    <row r="1534" spans="1:9" x14ac:dyDescent="0.3">
      <c r="A1534" s="1" t="s">
        <v>67</v>
      </c>
      <c r="B1534" s="1" t="s">
        <v>68</v>
      </c>
      <c r="C1534" s="1" t="s">
        <v>69</v>
      </c>
      <c r="D1534" s="1" t="s">
        <v>474</v>
      </c>
      <c r="E1534" s="1" t="s">
        <v>1484</v>
      </c>
      <c r="F1534" s="1" t="s">
        <v>3317</v>
      </c>
      <c r="G1534" s="1" t="s">
        <v>36</v>
      </c>
      <c r="H1534" s="1" t="s">
        <v>29</v>
      </c>
      <c r="I1534" s="1" t="str">
        <f ca="1">IFERROR(__xludf.DUMMYFUNCTION("GOOGLETRANSLATE(F1534, ""auto"", ""en"")
"),"I gave it to my mother for New Year, my mother is very pleased. Irons well, long cord, steam boost. In general, the purchase was successful, I recommend it to everyone!!")</f>
        <v>I gave it to my mother for New Year, my mother is very pleased. Irons well, long cord, steam boost. In general, the purchase was successful, I recommend it to everyone!!</v>
      </c>
    </row>
    <row r="1535" spans="1:9" x14ac:dyDescent="0.3">
      <c r="A1535" s="1" t="s">
        <v>120</v>
      </c>
      <c r="B1535" s="1" t="s">
        <v>196</v>
      </c>
      <c r="C1535" s="1" t="s">
        <v>151</v>
      </c>
      <c r="D1535" s="1" t="s">
        <v>3318</v>
      </c>
      <c r="E1535" s="1" t="s">
        <v>1788</v>
      </c>
      <c r="F1535" s="1" t="s">
        <v>3319</v>
      </c>
      <c r="G1535" s="1" t="s">
        <v>15</v>
      </c>
      <c r="H1535" s="1" t="s">
        <v>16</v>
      </c>
      <c r="I1535" s="1" t="str">
        <f ca="1">IFERROR(__xludf.DUMMYFUNCTION("GOOGLETRANSLATE(F1535, ""auto"", ""en"")
"),"Pros: Omnivorous multiplayer works well with both flash drives and portable HDDs, the ability to connect to the Internet and connect to a computer (on a PC it sees folders and reads files), the ability to connect a WiFi access point, many necessary and un"&amp;"necessary settings. Beautiful design. Lots of technological innovations and everything works.    Cons: The preset sound and image settings are very incorrect; you need to reconfigure them manually.   Low-quality sound, like in very cheap TVs, voices merge"&amp;" with the background sound, the sound is muffled, as if a parallel was inserted in front of the speakers, manually adjusting sound effects and the equalizer improved the sound quality quite a bit.   The image in the “cinema” or “normal” mode is dark and d"&amp;"ull, in the “dynamic” mode everything is bright and “rich” but there is no detail (merges) on a light and dark background (the contrast is too high), manually adjusting the parameters did not significantly increase the quality, there is no “golden mean” ("&amp;"either dim or overexposed).   Average quality of TV channel reception, no amplifier, no full-fledged functions that increase the quality of reception and improve the viewing of TV channels.    Conclusion: Picture and sound are of poor quality. If the size"&amp;" of the TV is not very important, then for this money I recommend choosing Samsung of a more prestigious series but smaller in size, or taking a closer look at other TV manufacturers.     Now I regret the purchase, because three years ago I bought a rathe"&amp;"r prestigious series Samsung le32m87bd 32'' for my relatives and was very pleased with its sound and picture.")</f>
        <v>Pros: Omnivorous multiplayer works well with both flash drives and portable HDDs, the ability to connect to the Internet and connect to a computer (on a PC it sees folders and reads files), the ability to connect a WiFi access point, many necessary and unnecessary settings. Beautiful design. Lots of technological innovations and everything works.    Cons: The preset sound and image settings are very incorrect; you need to reconfigure them manually.   Low-quality sound, like in very cheap TVs, voices merge with the background sound, the sound is muffled, as if a parallel was inserted in front of the speakers, manually adjusting sound effects and the equalizer improved the sound quality quite a bit.   The image in the “cinema” or “normal” mode is dark and dull, in the “dynamic” mode everything is bright and “rich” but there is no detail (merges) on a light and dark background (the contrast is too high), manually adjusting the parameters did not significantly increase the quality, there is no “golden mean” (either dim or overexposed).   Average quality of TV channel reception, no amplifier, no full-fledged functions that increase the quality of reception and improve the viewing of TV channels.    Conclusion: Picture and sound are of poor quality. If the size of the TV is not very important, then for this money I recommend choosing Samsung of a more prestigious series but smaller in size, or taking a closer look at other TV manufacturers.     Now I regret the purchase, because three years ago I bought a rather prestigious series Samsung le32m87bd 32'' for my relatives and was very pleased with its sound and picture.</v>
      </c>
    </row>
    <row r="1536" spans="1:9" x14ac:dyDescent="0.3">
      <c r="A1536" s="1" t="s">
        <v>120</v>
      </c>
      <c r="B1536" s="1" t="s">
        <v>121</v>
      </c>
      <c r="C1536" s="1" t="s">
        <v>151</v>
      </c>
      <c r="D1536" s="1" t="s">
        <v>186</v>
      </c>
      <c r="E1536" s="1" t="s">
        <v>3320</v>
      </c>
      <c r="F1536" s="1" t="s">
        <v>3321</v>
      </c>
      <c r="G1536" s="1" t="s">
        <v>36</v>
      </c>
      <c r="H1536" s="1" t="s">
        <v>29</v>
      </c>
      <c r="I1536" s="1" t="str">
        <f ca="1">IFERROR(__xludf.DUMMYFUNCTION("GOOGLETRANSLATE(F1536, ""auto"", ""en"")
"),"An excellent TV, especially if you managed to get the promotion for 24990, +5000 cards in your pocket. Samsung SPVA matrix, and if you dare to go into the service menu and enable three cherished options, you will be able to play AVI, VOB and, lo and behol"&amp;"d, MKV FullHD+DD from a USB input (flash drives and even USB HDD, which was also purchased at a 50% discount on 320Gb)")</f>
        <v>An excellent TV, especially if you managed to get the promotion for 24990, +5000 cards in your pocket. Samsung SPVA matrix, and if you dare to go into the service menu and enable three cherished options, you will be able to play AVI, VOB and, lo and behold, MKV FullHD+DD from a USB input (flash drives and even USB HDD, which was also purchased at a 50% discount on 320Gb)</v>
      </c>
    </row>
    <row r="1537" spans="1:9" x14ac:dyDescent="0.3">
      <c r="A1537" s="1" t="s">
        <v>149</v>
      </c>
      <c r="B1537" s="1" t="s">
        <v>155</v>
      </c>
      <c r="C1537" s="1" t="s">
        <v>151</v>
      </c>
      <c r="D1537" s="1" t="s">
        <v>3322</v>
      </c>
      <c r="E1537" s="1" t="s">
        <v>3323</v>
      </c>
      <c r="F1537" s="1" t="s">
        <v>3324</v>
      </c>
      <c r="G1537" s="1" t="s">
        <v>28</v>
      </c>
      <c r="H1537" s="1" t="s">
        <v>29</v>
      </c>
      <c r="I1537" s="1" t="str">
        <f ca="1">IFERROR(__xludf.DUMMYFUNCTION("GOOGLETRANSLATE(F1537, ""auto"", ""en"")
"),"Everything is fine. The only thing is that the hose leaves much to be desired; the plastic one periodically bends. minus there are no normal brushes. Overall satisfied, value for money.")</f>
        <v>Everything is fine. The only thing is that the hose leaves much to be desired; the plastic one periodically bends. minus there are no normal brushes. Overall satisfied, value for money.</v>
      </c>
    </row>
    <row r="1538" spans="1:9" x14ac:dyDescent="0.3">
      <c r="A1538" s="1" t="s">
        <v>61</v>
      </c>
      <c r="B1538" s="1" t="s">
        <v>726</v>
      </c>
      <c r="C1538" s="1" t="s">
        <v>146</v>
      </c>
      <c r="D1538" s="1" t="s">
        <v>2336</v>
      </c>
      <c r="E1538" s="1" t="s">
        <v>1481</v>
      </c>
      <c r="F1538" s="1" t="s">
        <v>3325</v>
      </c>
      <c r="G1538" s="1" t="s">
        <v>36</v>
      </c>
      <c r="H1538" s="1" t="s">
        <v>29</v>
      </c>
      <c r="I1538" s="1" t="str">
        <f ca="1">IFERROR(__xludf.DUMMYFUNCTION("GOOGLETRANSLATE(F1538, ""auto"", ""en"")
"),"The oven is excellent, the bread it makes is superb. The controls are convenient, it gives 3 signals (pour in the ingredients, remove the spatula (!) and readiness:) in general, beep")</f>
        <v>The oven is excellent, the bread it makes is superb. The controls are convenient, it gives 3 signals (pour in the ingredients, remove the spatula (!) and readiness:) in general, beep</v>
      </c>
    </row>
    <row r="1539" spans="1:9" x14ac:dyDescent="0.3">
      <c r="A1539" s="1" t="s">
        <v>37</v>
      </c>
      <c r="B1539" s="1" t="s">
        <v>38</v>
      </c>
      <c r="C1539" s="1" t="s">
        <v>39</v>
      </c>
      <c r="D1539" s="1" t="s">
        <v>3326</v>
      </c>
      <c r="E1539" s="1" t="s">
        <v>3327</v>
      </c>
      <c r="F1539" s="1" t="s">
        <v>3328</v>
      </c>
      <c r="G1539" s="1" t="s">
        <v>28</v>
      </c>
      <c r="H1539" s="1" t="s">
        <v>29</v>
      </c>
      <c r="I1539" s="1" t="str">
        <f ca="1">IFERROR(__xludf.DUMMYFUNCTION("GOOGLETRANSLATE(F1539, ""auto"", ""en"")
"),"The camera and flash are bad, the buttons are not convenient. I like the orientation sensor and the screen, everything else is fine.")</f>
        <v>The camera and flash are bad, the buttons are not convenient. I like the orientation sensor and the screen, everything else is fine.</v>
      </c>
    </row>
    <row r="1540" spans="1:9" x14ac:dyDescent="0.3">
      <c r="A1540" s="1" t="s">
        <v>624</v>
      </c>
      <c r="B1540" s="1" t="s">
        <v>625</v>
      </c>
      <c r="C1540" s="1" t="s">
        <v>479</v>
      </c>
      <c r="D1540" s="1" t="s">
        <v>232</v>
      </c>
      <c r="E1540" s="1" t="s">
        <v>661</v>
      </c>
      <c r="F1540" s="1" t="s">
        <v>3329</v>
      </c>
      <c r="G1540" s="1" t="s">
        <v>36</v>
      </c>
      <c r="H1540" s="1" t="s">
        <v>29</v>
      </c>
      <c r="I1540" s="1" t="str">
        <f ca="1">IFERROR(__xludf.DUMMYFUNCTION("GOOGLETRANSLATE(F1540, ""auto"", ""en"")
"),"The game is very good, I played it with a friend, I really liked it, especially the gladiator fights and volleyball, great buy")</f>
        <v>The game is very good, I played it with a friend, I really liked it, especially the gladiator fights and volleyball, great buy</v>
      </c>
    </row>
    <row r="1541" spans="1:9" x14ac:dyDescent="0.3">
      <c r="A1541" s="1" t="s">
        <v>61</v>
      </c>
      <c r="B1541" s="1" t="s">
        <v>318</v>
      </c>
      <c r="C1541" s="1" t="s">
        <v>1461</v>
      </c>
      <c r="D1541" s="1" t="s">
        <v>171</v>
      </c>
      <c r="E1541" s="1" t="s">
        <v>3330</v>
      </c>
      <c r="F1541" s="1" t="s">
        <v>3331</v>
      </c>
      <c r="G1541" s="1" t="s">
        <v>28</v>
      </c>
      <c r="H1541" s="1" t="s">
        <v>29</v>
      </c>
      <c r="I1541" s="1" t="str">
        <f ca="1">IFERROR(__xludf.DUMMYFUNCTION("GOOGLETRANSLATE(F1541, ""auto"", ""en"")
"),"The kettle may look unreliable, but it has been working for the 2nd year without any problems.")</f>
        <v>The kettle may look unreliable, but it has been working for the 2nd year without any problems.</v>
      </c>
    </row>
    <row r="1542" spans="1:9" x14ac:dyDescent="0.3">
      <c r="A1542" s="1" t="s">
        <v>37</v>
      </c>
      <c r="B1542" s="1" t="s">
        <v>38</v>
      </c>
      <c r="C1542" s="1" t="s">
        <v>3332</v>
      </c>
      <c r="D1542" s="1" t="s">
        <v>280</v>
      </c>
      <c r="E1542" s="1" t="s">
        <v>3333</v>
      </c>
      <c r="F1542" s="1" t="s">
        <v>3334</v>
      </c>
      <c r="G1542" s="1" t="s">
        <v>49</v>
      </c>
      <c r="H1542" s="1" t="s">
        <v>16</v>
      </c>
      <c r="I1542" s="1" t="str">
        <f ca="1">IFERROR(__xludf.DUMMYFUNCTION("GOOGLETRANSLATE(F1542, ""auto"", ""en"")
"),"Unfortunately Voxtel was very disappointing. The phone broke almost immediately after purchase. I bought the only alternative - Just5 CP09 and am very pleased! The phone is convenient, functional and practical. Works flawlessly! I dare to recommend it to "&amp;"others! And I was also pleased with the presentation of the goods - beautiful packaging, good instructions, etc.")</f>
        <v>Unfortunately Voxtel was very disappointing. The phone broke almost immediately after purchase. I bought the only alternative - Just5 CP09 and am very pleased! The phone is convenient, functional and practical. Works flawlessly! I dare to recommend it to others! And I was also pleased with the presentation of the goods - beautiful packaging, good instructions, etc.</v>
      </c>
    </row>
    <row r="1543" spans="1:9" x14ac:dyDescent="0.3">
      <c r="A1543" s="1" t="s">
        <v>811</v>
      </c>
      <c r="B1543" s="1" t="s">
        <v>812</v>
      </c>
      <c r="C1543" s="1" t="s">
        <v>813</v>
      </c>
      <c r="D1543" s="1" t="s">
        <v>152</v>
      </c>
      <c r="E1543" s="1" t="s">
        <v>3335</v>
      </c>
      <c r="F1543" s="1" t="s">
        <v>3336</v>
      </c>
      <c r="G1543" s="1" t="s">
        <v>15</v>
      </c>
      <c r="H1543" s="1" t="s">
        <v>16</v>
      </c>
      <c r="I1543" s="1" t="str">
        <f ca="1">IFERROR(__xludf.DUMMYFUNCTION("GOOGLETRANSLATE(F1543, ""auto"", ""en"")
"),"This is a standard Chinese model, which is sold unchanged under different brands and at different prices around the world. If you have a lightweight soap dish, then it does its job. For slightly heavier equipment, the design is no longer suitable: the bal"&amp;"l is small, so no matter how hard the screw is tightened, any DSLR will not hold. Fastening the legs: lugs through which the axles are inserted and from below they are simply pressed with a plate. Therefore, the legs dangle as they wish, as soon as the bo"&amp;"ttom plate is slightly loosened. The main advantage is that it takes up no more space than a thick marker.")</f>
        <v>This is a standard Chinese model, which is sold unchanged under different brands and at different prices around the world. If you have a lightweight soap dish, then it does its job. For slightly heavier equipment, the design is no longer suitable: the ball is small, so no matter how hard the screw is tightened, any DSLR will not hold. Fastening the legs: lugs through which the axles are inserted and from below they are simply pressed with a plate. Therefore, the legs dangle as they wish, as soon as the bottom plate is slightly loosened. The main advantage is that it takes up no more space than a thick marker.</v>
      </c>
    </row>
    <row r="1544" spans="1:9" x14ac:dyDescent="0.3">
      <c r="A1544" s="1" t="s">
        <v>206</v>
      </c>
      <c r="B1544" s="1" t="s">
        <v>207</v>
      </c>
      <c r="C1544" s="1" t="s">
        <v>351</v>
      </c>
      <c r="D1544" s="1" t="s">
        <v>33</v>
      </c>
      <c r="E1544" s="1" t="s">
        <v>3337</v>
      </c>
      <c r="F1544" s="1" t="s">
        <v>3338</v>
      </c>
      <c r="G1544" s="1" t="s">
        <v>28</v>
      </c>
      <c r="H1544" s="1" t="s">
        <v>29</v>
      </c>
      <c r="I1544" s="1" t="str">
        <f ca="1">IFERROR(__xludf.DUMMYFUNCTION("GOOGLETRANSLATE(F1544, ""auto"", ""en"")
"),"For its price it’s a very decent amp, it’s not in the money category, but I want it. Sensitive to power cables; if the cable is too thin, it immediately goes into protection. And if you do it correctly, the difference before/after is noticeable. Can work "&amp;"with 6 ohm speakers. Four because the number of settings is scanty")</f>
        <v>For its price it’s a very decent amp, it’s not in the money category, but I want it. Sensitive to power cables; if the cable is too thin, it immediately goes into protection. And if you do it correctly, the difference before/after is noticeable. Can work with 6 ohm speakers. Four because the number of settings is scanty</v>
      </c>
    </row>
    <row r="1545" spans="1:9" x14ac:dyDescent="0.3">
      <c r="A1545" s="1" t="s">
        <v>43</v>
      </c>
      <c r="B1545" s="1" t="s">
        <v>1616</v>
      </c>
      <c r="C1545" s="1" t="s">
        <v>1138</v>
      </c>
      <c r="D1545" s="1" t="s">
        <v>934</v>
      </c>
      <c r="E1545" s="1" t="s">
        <v>886</v>
      </c>
      <c r="F1545" s="1" t="s">
        <v>3339</v>
      </c>
      <c r="G1545" s="1" t="s">
        <v>36</v>
      </c>
      <c r="H1545" s="1" t="s">
        <v>29</v>
      </c>
      <c r="I1545" s="1" t="str">
        <f ca="1">IFERROR(__xludf.DUMMYFUNCTION("GOOGLETRANSLATE(F1545, ""auto"", ""en"")
"),"I don’t agree with the last review, perhaps you got a defective one, and the speed is different, + night mode is convenient because it doesn’t require adding water, and as much as I sleep lightly, it didn’t bother me at all in night mode, so this air cond"&amp;"itioner is a big plus)")</f>
        <v>I don’t agree with the last review, perhaps you got a defective one, and the speed is different, + night mode is convenient because it doesn’t require adding water, and as much as I sleep lightly, it didn’t bother me at all in night mode, so this air conditioner is a big plus)</v>
      </c>
    </row>
    <row r="1546" spans="1:9" x14ac:dyDescent="0.3">
      <c r="A1546" s="1" t="s">
        <v>519</v>
      </c>
      <c r="B1546" s="1" t="s">
        <v>3340</v>
      </c>
      <c r="C1546" s="1" t="s">
        <v>246</v>
      </c>
      <c r="D1546" s="1" t="s">
        <v>2204</v>
      </c>
      <c r="E1546" s="1" t="s">
        <v>2835</v>
      </c>
      <c r="F1546" s="1" t="s">
        <v>3341</v>
      </c>
      <c r="G1546" s="1" t="s">
        <v>36</v>
      </c>
      <c r="H1546" s="1" t="s">
        <v>29</v>
      </c>
      <c r="I1546" s="1" t="str">
        <f ca="1">IFERROR(__xludf.DUMMYFUNCTION("GOOGLETRANSLATE(F1546, ""auto"", ""en"")
"),"The ladle is just a fairy tale. You can cook whatever you want, and you don’t need a pan. The coating inside is resistant to damage.")</f>
        <v>The ladle is just a fairy tale. You can cook whatever you want, and you don’t need a pan. The coating inside is resistant to damage.</v>
      </c>
    </row>
    <row r="1547" spans="1:9" x14ac:dyDescent="0.3">
      <c r="A1547" s="1" t="s">
        <v>30</v>
      </c>
      <c r="B1547" s="1" t="s">
        <v>50</v>
      </c>
      <c r="C1547" s="1" t="s">
        <v>51</v>
      </c>
      <c r="D1547" s="1" t="s">
        <v>1659</v>
      </c>
      <c r="E1547" s="1" t="s">
        <v>696</v>
      </c>
      <c r="F1547" s="1" t="s">
        <v>3342</v>
      </c>
      <c r="G1547" s="1" t="s">
        <v>36</v>
      </c>
      <c r="H1547" s="1" t="s">
        <v>29</v>
      </c>
      <c r="I1547" s="1" t="str">
        <f ca="1">IFERROR(__xludf.DUMMYFUNCTION("GOOGLETRANSLATE(F1547, ""auto"", ""en"")
"),"Has anyone installed Windows 7 on this laptop? I follow these instructions to install Windows 7 from a flash drive and nothing works :( Nobody knows what’s wrong? What’s up with the drivers? And the laptop is great")</f>
        <v>Has anyone installed Windows 7 on this laptop? I follow these instructions to install Windows 7 from a flash drive and nothing works :( Nobody knows what’s wrong? What’s up with the drivers? And the laptop is great</v>
      </c>
    </row>
    <row r="1548" spans="1:9" x14ac:dyDescent="0.3">
      <c r="A1548" s="1" t="s">
        <v>9</v>
      </c>
      <c r="B1548" s="1" t="s">
        <v>10</v>
      </c>
      <c r="C1548" s="1" t="s">
        <v>407</v>
      </c>
      <c r="D1548" s="1" t="s">
        <v>172</v>
      </c>
      <c r="E1548" s="1" t="s">
        <v>3343</v>
      </c>
      <c r="F1548" s="1" t="s">
        <v>3344</v>
      </c>
      <c r="G1548" s="1" t="s">
        <v>28</v>
      </c>
      <c r="H1548" s="1" t="s">
        <v>29</v>
      </c>
      <c r="I1548" s="1" t="str">
        <f ca="1">IFERROR(__xludf.DUMMYFUNCTION("GOOGLETRANSLATE(F1548, ""auto"", ""en"")
"),"Pros: + The lighting is sufficient, + A translucent shelf with space for small things or flowers, + If installed correctly (it is enough to just place two silicone furniture buttons at the point of contact between the glass shelf and the wall), the glass "&amp;"will never burst from vibration. There is no need to be afraid.  + If you wash the grease-absorbing mesh on time, the light bulbs will not burn out. But even if. Light bulb - 20 rubles, replacement with two hourly screwdrivers - 1 minute.  + The truth is "&amp;"not noisy.  Cons: Short box. Those who are collecting a 92 cm upper base will have to get something taller.")</f>
        <v>Pros: + The lighting is sufficient, + A translucent shelf with space for small things or flowers, + If installed correctly (it is enough to just place two silicone furniture buttons at the point of contact between the glass shelf and the wall), the glass will never burst from vibration. There is no need to be afraid.  + If you wash the grease-absorbing mesh on time, the light bulbs will not burn out. But even if. Light bulb - 20 rubles, replacement with two hourly screwdrivers - 1 minute.  + The truth is not noisy.  Cons: Short box. Those who are collecting a 92 cm upper base will have to get something taller.</v>
      </c>
    </row>
    <row r="1549" spans="1:9" x14ac:dyDescent="0.3">
      <c r="A1549" s="1" t="s">
        <v>61</v>
      </c>
      <c r="B1549" s="1" t="s">
        <v>180</v>
      </c>
      <c r="C1549" s="1" t="s">
        <v>101</v>
      </c>
      <c r="D1549" s="1" t="s">
        <v>335</v>
      </c>
      <c r="E1549" s="1" t="s">
        <v>336</v>
      </c>
      <c r="F1549" s="1" t="s">
        <v>3345</v>
      </c>
      <c r="G1549" s="1" t="s">
        <v>49</v>
      </c>
      <c r="H1549" s="1" t="s">
        <v>16</v>
      </c>
      <c r="I1549" s="1" t="str">
        <f ca="1">IFERROR(__xludf.DUMMYFUNCTION("GOOGLETRANSLATE(F1549, ""auto"", ""en"")
"),"After a few uses the handle broke. Therefore, it is no longer possible to close it; you have to constantly hold it with your hands. Then the top plastic cover burst almost completely. The metal heating parts are not covered on the sides! It's very easy to"&amp;" get burned! In general, the model is extremely unsuccessful.  And the device itself is a necessary thing, especially if there are children in the house. One can never refuse hot sandwiches.")</f>
        <v>After a few uses the handle broke. Therefore, it is no longer possible to close it; you have to constantly hold it with your hands. Then the top plastic cover burst almost completely. The metal heating parts are not covered on the sides! It's very easy to get burned! In general, the model is extremely unsuccessful.  And the device itself is a necessary thing, especially if there are children in the house. One can never refuse hot sandwiches.</v>
      </c>
    </row>
    <row r="1550" spans="1:9" x14ac:dyDescent="0.3">
      <c r="A1550" s="1" t="s">
        <v>149</v>
      </c>
      <c r="B1550" s="1" t="s">
        <v>576</v>
      </c>
      <c r="C1550" s="1" t="s">
        <v>69</v>
      </c>
      <c r="D1550" s="1" t="s">
        <v>3346</v>
      </c>
      <c r="E1550" s="1" t="s">
        <v>3347</v>
      </c>
      <c r="F1550" s="1" t="s">
        <v>3348</v>
      </c>
      <c r="G1550" s="1" t="s">
        <v>36</v>
      </c>
      <c r="H1550" s="1" t="s">
        <v>29</v>
      </c>
      <c r="I1550" s="1" t="str">
        <f ca="1">IFERROR(__xludf.DUMMYFUNCTION("GOOGLETRANSLATE(F1550, ""auto"", ""en"")
"),"Each company produces things like this device once every 10-15 years. This is a very successful model. Powerful, reliable, unpretentious. There is a model that is a little more powerful than 500 watts in terms of suction power, it’s actually a masterpiece"&amp;".  If this vacuum cleaner can be compared to a Mercedes, then the next model...is a Maybach.  I recommend it to everyone. You won't regret it")</f>
        <v>Each company produces things like this device once every 10-15 years. This is a very successful model. Powerful, reliable, unpretentious. There is a model that is a little more powerful than 500 watts in terms of suction power, it’s actually a masterpiece.  If this vacuum cleaner can be compared to a Mercedes, then the next model...is a Maybach.  I recommend it to everyone. You won't regret it</v>
      </c>
    </row>
    <row r="1551" spans="1:9" x14ac:dyDescent="0.3">
      <c r="A1551" s="1" t="s">
        <v>369</v>
      </c>
      <c r="B1551" s="1" t="s">
        <v>587</v>
      </c>
      <c r="C1551" s="1" t="s">
        <v>290</v>
      </c>
      <c r="D1551" s="1" t="s">
        <v>3349</v>
      </c>
      <c r="E1551" s="1" t="s">
        <v>1167</v>
      </c>
      <c r="F1551" s="1" t="s">
        <v>3350</v>
      </c>
      <c r="G1551" s="1" t="s">
        <v>49</v>
      </c>
      <c r="H1551" s="1" t="s">
        <v>16</v>
      </c>
      <c r="I1551" s="1" t="str">
        <f ca="1">IFERROR(__xludf.DUMMYFUNCTION("GOOGLETRANSLATE(F1551, ""auto"", ""en"")
"),"The electric ignition has already been repaired twice in six months. You have to wait three months for a replacement electric ignition unit. Made in Turkey.")</f>
        <v>The electric ignition has already been repaired twice in six months. You have to wait three months for a replacement electric ignition unit. Made in Turkey.</v>
      </c>
    </row>
    <row r="1552" spans="1:9" x14ac:dyDescent="0.3">
      <c r="A1552" s="1" t="s">
        <v>30</v>
      </c>
      <c r="B1552" s="1" t="s">
        <v>31</v>
      </c>
      <c r="C1552" s="1" t="s">
        <v>32</v>
      </c>
      <c r="D1552" s="1" t="s">
        <v>52</v>
      </c>
      <c r="E1552" s="1" t="s">
        <v>649</v>
      </c>
      <c r="F1552" s="1" t="s">
        <v>3351</v>
      </c>
      <c r="G1552" s="1" t="s">
        <v>28</v>
      </c>
      <c r="H1552" s="1" t="s">
        <v>29</v>
      </c>
      <c r="I1552" s="1" t="str">
        <f ca="1">IFERROR(__xludf.DUMMYFUNCTION("GOOGLETRANSLATE(F1552, ""auto"", ""en"")
"),"When I bought the computer everything was just fine, but about a week later problems appeared with the video card. Constant glitches, some messages from Windows that the driver has stopped responding, and in the end it all got to the point where until you"&amp;" disable the driver through safe mode, Windows simply won’t boot. I even tried to install an additional fan from the old computer, as Evgeniy previously advised. I tried to put it on both blowing and blowing =), but this is still not enough. My rating is "&amp;"4. The computer in general is just super, but the video card ruins everything.")</f>
        <v>When I bought the computer everything was just fine, but about a week later problems appeared with the video card. Constant glitches, some messages from Windows that the driver has stopped responding, and in the end it all got to the point where until you disable the driver through safe mode, Windows simply won’t boot. I even tried to install an additional fan from the old computer, as Evgeniy previously advised. I tried to put it on both blowing and blowing =), but this is still not enough. My rating is 4. The computer in general is just super, but the video card ruins everything.</v>
      </c>
    </row>
    <row r="1553" spans="1:9" x14ac:dyDescent="0.3">
      <c r="A1553" s="1" t="s">
        <v>557</v>
      </c>
      <c r="B1553" s="1" t="s">
        <v>558</v>
      </c>
      <c r="C1553" s="1" t="s">
        <v>122</v>
      </c>
      <c r="D1553" s="1" t="s">
        <v>232</v>
      </c>
      <c r="E1553" s="1" t="s">
        <v>727</v>
      </c>
      <c r="F1553" s="1" t="s">
        <v>3352</v>
      </c>
      <c r="G1553" s="1" t="s">
        <v>36</v>
      </c>
      <c r="H1553" s="1" t="s">
        <v>29</v>
      </c>
      <c r="I1553" s="1" t="str">
        <f ca="1">IFERROR(__xludf.DUMMYFUNCTION("GOOGLETRANSLATE(F1553, ""auto"", ""en"")
"),"I bought it today. Great phone. Unpacked, connected and everything works. The only thing I set up was the time, date and notebook. It's a pity there are only two tubes, I need another one, but I can't find it anywhere.")</f>
        <v>I bought it today. Great phone. Unpacked, connected and everything works. The only thing I set up was the time, date and notebook. It's a pity there are only two tubes, I need another one, but I can't find it anywhere.</v>
      </c>
    </row>
    <row r="1554" spans="1:9" x14ac:dyDescent="0.3">
      <c r="A1554" s="1" t="s">
        <v>61</v>
      </c>
      <c r="B1554" s="1" t="s">
        <v>318</v>
      </c>
      <c r="C1554" s="1" t="s">
        <v>745</v>
      </c>
      <c r="D1554" s="1" t="s">
        <v>521</v>
      </c>
      <c r="E1554" s="1" t="s">
        <v>2919</v>
      </c>
      <c r="F1554" s="1" t="s">
        <v>3353</v>
      </c>
      <c r="G1554" s="1" t="s">
        <v>36</v>
      </c>
      <c r="H1554" s="1" t="s">
        <v>29</v>
      </c>
      <c r="I1554" s="1" t="str">
        <f ca="1">IFERROR(__xludf.DUMMYFUNCTION("GOOGLETRANSLATE(F1554, ""auto"", ""en"")
"),"I got tired of the kettle on the gas stove and decided to buy an alternative to it - an electric kettle. I chose this device because it ideally suited my performance requirements. I liked that it is voluminous - 1.7 liters, made of stainless steel, has an"&amp;" anti-scale filter and, for safety reasons, has a shut-off function when heated. I bought it, use it and am very pleased, no complaints.")</f>
        <v>I got tired of the kettle on the gas stove and decided to buy an alternative to it - an electric kettle. I chose this device because it ideally suited my performance requirements. I liked that it is voluminous - 1.7 liters, made of stainless steel, has an anti-scale filter and, for safety reasons, has a shut-off function when heated. I bought it, use it and am very pleased, no complaints.</v>
      </c>
    </row>
    <row r="1555" spans="1:9" x14ac:dyDescent="0.3">
      <c r="A1555" s="1" t="s">
        <v>211</v>
      </c>
      <c r="B1555" s="1" t="s">
        <v>265</v>
      </c>
      <c r="C1555" s="1" t="s">
        <v>122</v>
      </c>
      <c r="D1555" s="1" t="s">
        <v>3354</v>
      </c>
      <c r="E1555" s="1" t="s">
        <v>969</v>
      </c>
      <c r="F1555" s="1" t="s">
        <v>3355</v>
      </c>
      <c r="G1555" s="1" t="s">
        <v>36</v>
      </c>
      <c r="H1555" s="1" t="s">
        <v>29</v>
      </c>
      <c r="I1555" s="1" t="str">
        <f ca="1">IFERROR(__xludf.DUMMYFUNCTION("GOOGLETRANSLATE(F1555, ""auto"", ""en"")
"),"I have been using Panasonic haircutting equipment for a long time (razor). I recently bought such a trimmer (although I bought it in Kazakhstan - it was on sale there for half the price than here). Using a razor trimmer was not very convenient for cutting"&amp;" off excess hairs, but with this everything is convenient, and even more than that - you can trim the temples above the ears...")</f>
        <v>I have been using Panasonic haircutting equipment for a long time (razor). I recently bought such a trimmer (although I bought it in Kazakhstan - it was on sale there for half the price than here). Using a razor trimmer was not very convenient for cutting off excess hairs, but with this everything is convenient, and even more than that - you can trim the temples above the ears...</v>
      </c>
    </row>
    <row r="1556" spans="1:9" x14ac:dyDescent="0.3">
      <c r="A1556" s="1" t="s">
        <v>9</v>
      </c>
      <c r="B1556" s="1" t="s">
        <v>10</v>
      </c>
      <c r="C1556" s="1" t="s">
        <v>407</v>
      </c>
      <c r="D1556" s="1" t="s">
        <v>64</v>
      </c>
      <c r="E1556" s="1" t="s">
        <v>3356</v>
      </c>
      <c r="F1556" s="1" t="s">
        <v>3357</v>
      </c>
      <c r="G1556" s="1" t="s">
        <v>36</v>
      </c>
      <c r="H1556" s="1" t="s">
        <v>29</v>
      </c>
      <c r="I1556" s="1" t="str">
        <f ca="1">IFERROR(__xludf.DUMMYFUNCTION("GOOGLETRANSLATE(F1556, ""auto"", ""en"")
"),"The hood was captivating with its design, we couldn’t be happier for a year, then the touch control stopped working, the blue backlight of the touch buttons is on, but the buttons don’t work, I couldn’t find a workshop in our city where they could help.  "&amp;"It pulled out odors perfectly, and to avoid the corrugations remaining on top, you can simply move the ventilation hole lower. I changed the light bulbs 5 times in a year myself, without any problems: we unscrew the screws on top that secure the glass (th"&amp;"ere are 4 of them), carefully pull the glass towards us, and voila, two light bulbs open to our eyes, which will not be difficult to replace) yes, not very convenient, but at least possible;)")</f>
        <v>The hood was captivating with its design, we couldn’t be happier for a year, then the touch control stopped working, the blue backlight of the touch buttons is on, but the buttons don’t work, I couldn’t find a workshop in our city where they could help.  It pulled out odors perfectly, and to avoid the corrugations remaining on top, you can simply move the ventilation hole lower. I changed the light bulbs 5 times in a year myself, without any problems: we unscrew the screws on top that secure the glass (there are 4 of them), carefully pull the glass towards us, and voila, two light bulbs open to our eyes, which will not be difficult to replace) yes, not very convenient, but at least possible;)</v>
      </c>
    </row>
    <row r="1557" spans="1:9" x14ac:dyDescent="0.3">
      <c r="A1557" s="1" t="s">
        <v>30</v>
      </c>
      <c r="B1557" s="1" t="s">
        <v>50</v>
      </c>
      <c r="C1557" s="1" t="s">
        <v>32</v>
      </c>
      <c r="D1557" s="1" t="s">
        <v>130</v>
      </c>
      <c r="E1557" s="1" t="s">
        <v>1646</v>
      </c>
      <c r="F1557" s="1" t="s">
        <v>3358</v>
      </c>
      <c r="G1557" s="1" t="s">
        <v>36</v>
      </c>
      <c r="H1557" s="1" t="s">
        <v>29</v>
      </c>
      <c r="I1557" s="1" t="str">
        <f ca="1">IFERROR(__xludf.DUMMYFUNCTION("GOOGLETRANSLATE(F1557, ""auto"", ""en"")
"),"I completely agree about switching between video cards when switching to a battery (this saves a lot of energy), but the two video cards in it can also work together using ATI Hybrid CrossFireX technology. For example, in high performance mode in the game"&amp;" CoD 4 there is an option to configure the graphics for the joint use of discrete and integrated graphics solutions (as in CoD 2!). There is such a thing: “two video cards”. If you manipulate it a little, you will immediately feel the difference, especial"&amp;"ly if the graph is set to maximum. And some games like Assassin's Creed do not work with the graphics built into the mother (but it works well without it).")</f>
        <v>I completely agree about switching between video cards when switching to a battery (this saves a lot of energy), but the two video cards in it can also work together using ATI Hybrid CrossFireX technology. For example, in high performance mode in the game CoD 4 there is an option to configure the graphics for the joint use of discrete and integrated graphics solutions (as in CoD 2!). There is such a thing: “two video cards”. If you manipulate it a little, you will immediately feel the difference, especially if the graph is set to maximum. And some games like Assassin's Creed do not work with the graphics built into the mother (but it works well without it).</v>
      </c>
    </row>
    <row r="1558" spans="1:9" x14ac:dyDescent="0.3">
      <c r="A1558" s="1" t="s">
        <v>43</v>
      </c>
      <c r="B1558" s="1" t="s">
        <v>303</v>
      </c>
      <c r="C1558" s="1" t="s">
        <v>1721</v>
      </c>
      <c r="D1558" s="1" t="s">
        <v>305</v>
      </c>
      <c r="E1558" s="1" t="s">
        <v>3359</v>
      </c>
      <c r="F1558" s="1" t="s">
        <v>3360</v>
      </c>
      <c r="G1558" s="1" t="s">
        <v>28</v>
      </c>
      <c r="H1558" s="1" t="s">
        <v>29</v>
      </c>
      <c r="I1558" s="1" t="str">
        <f ca="1">IFERROR(__xludf.DUMMYFUNCTION("GOOGLETRANSLATE(F1558, ""auto"", ""en"")
"),"The thermocouple was broken in two. It’s good that the servicemen did everything quickly and really.   Otherwise, it is a very comfortable model, with good quality.")</f>
        <v>The thermocouple was broken in two. It’s good that the servicemen did everything quickly and really.   Otherwise, it is a very comfortable model, with good quality.</v>
      </c>
    </row>
    <row r="1559" spans="1:9" x14ac:dyDescent="0.3">
      <c r="A1559" s="1" t="s">
        <v>111</v>
      </c>
      <c r="B1559" s="1" t="s">
        <v>298</v>
      </c>
      <c r="C1559" s="1" t="s">
        <v>710</v>
      </c>
      <c r="D1559" s="1" t="s">
        <v>378</v>
      </c>
      <c r="E1559" s="1" t="s">
        <v>3361</v>
      </c>
      <c r="F1559" s="1" t="s">
        <v>3362</v>
      </c>
      <c r="G1559" s="1" t="s">
        <v>15</v>
      </c>
      <c r="H1559" s="1" t="s">
        <v>16</v>
      </c>
      <c r="I1559" s="1" t="str">
        <f ca="1">IFERROR(__xludf.DUMMYFUNCTION("GOOGLETRANSLATE(F1559, ""auto"", ""en"")
"),"Yes, it’s convenient - I opened it, wiped it, threw it away.   But divorces remain. Those. After using these wipes, you have to rub the surface with a dry, clean towel.")</f>
        <v>Yes, it’s convenient - I opened it, wiped it, threw it away.   But divorces remain. Those. After using these wipes, you have to rub the surface with a dry, clean towel.</v>
      </c>
    </row>
    <row r="1560" spans="1:9" x14ac:dyDescent="0.3">
      <c r="A1560" s="1" t="s">
        <v>55</v>
      </c>
      <c r="B1560" s="1" t="s">
        <v>56</v>
      </c>
      <c r="C1560" s="1" t="s">
        <v>1373</v>
      </c>
      <c r="D1560" s="1" t="s">
        <v>208</v>
      </c>
      <c r="E1560" s="1" t="s">
        <v>3363</v>
      </c>
      <c r="F1560" s="1" t="s">
        <v>3364</v>
      </c>
      <c r="G1560" s="1" t="s">
        <v>36</v>
      </c>
      <c r="H1560" s="1" t="s">
        <v>29</v>
      </c>
      <c r="I1560" s="1" t="str">
        <f ca="1">IFERROR(__xludf.DUMMYFUNCTION("GOOGLETRANSLATE(F1560, ""auto"", ""en"")
"),"I have been using this humidifier for more than 2 years (before that there were humidifiers from other brands that quickly failed).   The humidifier does its job perfectly. There is no residue (I fill it with filtered tap water).  I'm preparing for the bi"&amp;"rth of my second child and am thinking about buying a second humidifier for another room. I will take this model without hesitation, despite the fact that the price is not the lowest.  I recommend it.")</f>
        <v>I have been using this humidifier for more than 2 years (before that there were humidifiers from other brands that quickly failed).   The humidifier does its job perfectly. There is no residue (I fill it with filtered tap water).  I'm preparing for the birth of my second child and am thinking about buying a second humidifier for another room. I will take this model without hesitation, despite the fact that the price is not the lowest.  I recommend it.</v>
      </c>
    </row>
    <row r="1561" spans="1:9" x14ac:dyDescent="0.3">
      <c r="A1561" s="1" t="s">
        <v>89</v>
      </c>
      <c r="B1561" s="1" t="s">
        <v>231</v>
      </c>
      <c r="C1561" s="1" t="s">
        <v>185</v>
      </c>
      <c r="D1561" s="1" t="s">
        <v>1329</v>
      </c>
      <c r="E1561" s="1" t="s">
        <v>2904</v>
      </c>
      <c r="F1561" s="1" t="s">
        <v>3365</v>
      </c>
      <c r="G1561" s="1" t="s">
        <v>49</v>
      </c>
      <c r="H1561" s="1" t="s">
        <v>16</v>
      </c>
      <c r="I1561" s="1" t="str">
        <f ca="1">IFERROR(__xludf.DUMMYFUNCTION("GOOGLETRANSLATE(F1561, ""auto"", ""en"")
"),"died after 1.5 years, no spare parts, politely sent with repairs, now I don’t buy this company")</f>
        <v>died after 1.5 years, no spare parts, politely sent with repairs, now I don’t buy this company</v>
      </c>
    </row>
    <row r="1562" spans="1:9" x14ac:dyDescent="0.3">
      <c r="A1562" s="1" t="s">
        <v>120</v>
      </c>
      <c r="B1562" s="1" t="s">
        <v>121</v>
      </c>
      <c r="C1562" s="1" t="s">
        <v>658</v>
      </c>
      <c r="D1562" s="1" t="s">
        <v>3366</v>
      </c>
      <c r="E1562" s="1" t="s">
        <v>3367</v>
      </c>
      <c r="F1562" s="1" t="s">
        <v>3368</v>
      </c>
      <c r="G1562" s="1" t="s">
        <v>36</v>
      </c>
      <c r="H1562" s="1" t="s">
        <v>29</v>
      </c>
      <c r="I1562" s="1" t="str">
        <f ca="1">IFERROR(__xludf.DUMMYFUNCTION("GOOGLETRANSLATE(F1562, ""auto"", ""en"")
"),"I bought a TV 2 months ago, I’m very pleased!!! It shows cable TV very well, good brightness, many inputs, the sound is excellent, it shows very well with a DVD player! It's a pleasure to watch him! so take this TV, you won’t regret it!!!")</f>
        <v>I bought a TV 2 months ago, I’m very pleased!!! It shows cable TV very well, good brightness, many inputs, the sound is excellent, it shows very well with a DVD player! It's a pleasure to watch him! so take this TV, you won’t regret it!!!</v>
      </c>
    </row>
    <row r="1563" spans="1:9" x14ac:dyDescent="0.3">
      <c r="A1563" s="1" t="s">
        <v>111</v>
      </c>
      <c r="B1563" s="1" t="s">
        <v>112</v>
      </c>
      <c r="C1563" s="1" t="s">
        <v>113</v>
      </c>
      <c r="D1563" s="1" t="s">
        <v>102</v>
      </c>
      <c r="E1563" s="1" t="s">
        <v>1282</v>
      </c>
      <c r="F1563" s="1" t="s">
        <v>3369</v>
      </c>
      <c r="G1563" s="1" t="s">
        <v>49</v>
      </c>
      <c r="H1563" s="1" t="s">
        <v>16</v>
      </c>
      <c r="I1563" s="1" t="str">
        <f ca="1">IFERROR(__xludf.DUMMYFUNCTION("GOOGLETRANSLATE(F1563, ""auto"", ""en"")
"),"Bought. Doesn't work. Badly!")</f>
        <v>Bought. Doesn't work. Badly!</v>
      </c>
    </row>
    <row r="1564" spans="1:9" x14ac:dyDescent="0.3">
      <c r="A1564" s="1" t="s">
        <v>61</v>
      </c>
      <c r="B1564" s="1" t="s">
        <v>318</v>
      </c>
      <c r="C1564" s="1" t="s">
        <v>246</v>
      </c>
      <c r="D1564" s="1" t="s">
        <v>127</v>
      </c>
      <c r="E1564" s="1" t="s">
        <v>1690</v>
      </c>
      <c r="F1564" s="1" t="s">
        <v>3370</v>
      </c>
      <c r="G1564" s="1" t="s">
        <v>36</v>
      </c>
      <c r="H1564" s="1" t="s">
        <v>29</v>
      </c>
      <c r="I1564" s="1" t="str">
        <f ca="1">IFERROR(__xludf.DUMMYFUNCTION("GOOGLETRANSLATE(F1564, ""auto"", ""en"")
"),"There was exactly the same one (though made in France), it worked for 5 years and the switch failed. I bought this one (Chinese) 2 weeks ago - no complaints so far. As for eliminating the smell of plastic, read the instructions (boil a kettle with two tea"&amp;"spoons of baking soda).")</f>
        <v>There was exactly the same one (though made in France), it worked for 5 years and the switch failed. I bought this one (Chinese) 2 weeks ago - no complaints so far. As for eliminating the smell of plastic, read the instructions (boil a kettle with two teaspoons of baking soda).</v>
      </c>
    </row>
    <row r="1565" spans="1:9" x14ac:dyDescent="0.3">
      <c r="A1565" s="1" t="s">
        <v>211</v>
      </c>
      <c r="B1565" s="1" t="s">
        <v>212</v>
      </c>
      <c r="C1565" s="1" t="s">
        <v>381</v>
      </c>
      <c r="D1565" s="1" t="s">
        <v>335</v>
      </c>
      <c r="E1565" s="1" t="s">
        <v>3018</v>
      </c>
      <c r="F1565" s="1" t="s">
        <v>3371</v>
      </c>
      <c r="G1565" s="1" t="s">
        <v>15</v>
      </c>
      <c r="H1565" s="1" t="s">
        <v>16</v>
      </c>
      <c r="I1565" s="1" t="str">
        <f ca="1">IFERROR(__xludf.DUMMYFUNCTION("GOOGLETRANSLATE(F1565, ""auto"", ""en"")
"),"The same thing: no matter how I tried to twist it, it was all to no avail. And they held it for a long time, and they get very hot, but holding it for a long time is also dangerous, you can burn everything!! The result is waves, but they don’t look like s"&amp;"omething specially styled, but rather as if they just got up and went without styling. In general, I do not recommend this model.")</f>
        <v>The same thing: no matter how I tried to twist it, it was all to no avail. And they held it for a long time, and they get very hot, but holding it for a long time is also dangerous, you can burn everything!! The result is waves, but they don’t look like something specially styled, but rather as if they just got up and went without styling. In general, I do not recommend this model.</v>
      </c>
    </row>
    <row r="1566" spans="1:9" x14ac:dyDescent="0.3">
      <c r="A1566" s="1" t="s">
        <v>61</v>
      </c>
      <c r="B1566" s="1" t="s">
        <v>726</v>
      </c>
      <c r="C1566" s="1" t="s">
        <v>74</v>
      </c>
      <c r="D1566" s="1" t="s">
        <v>3372</v>
      </c>
      <c r="E1566" s="1" t="s">
        <v>2265</v>
      </c>
      <c r="F1566" s="1" t="s">
        <v>3373</v>
      </c>
      <c r="G1566" s="1" t="s">
        <v>36</v>
      </c>
      <c r="H1566" s="1" t="s">
        <v>29</v>
      </c>
      <c r="I1566" s="1" t="str">
        <f ca="1">IFERROR(__xludf.DUMMYFUNCTION("GOOGLETRANSLATE(F1566, ""auto"", ""en"")
"),"Excellent stove - value for money. The instructions are detailed and understandable. It bakes perfectly and browns well too. We are very pleased!")</f>
        <v>Excellent stove - value for money. The instructions are detailed and understandable. It bakes perfectly and browns well too. We are very pleased!</v>
      </c>
    </row>
    <row r="1567" spans="1:9" x14ac:dyDescent="0.3">
      <c r="A1567" s="1" t="s">
        <v>120</v>
      </c>
      <c r="B1567" s="1" t="s">
        <v>196</v>
      </c>
      <c r="C1567" s="1" t="s">
        <v>80</v>
      </c>
      <c r="D1567" s="1" t="s">
        <v>1575</v>
      </c>
      <c r="E1567" s="1" t="s">
        <v>1228</v>
      </c>
      <c r="F1567" s="1" t="s">
        <v>3374</v>
      </c>
      <c r="G1567" s="1" t="s">
        <v>36</v>
      </c>
      <c r="H1567" s="1" t="s">
        <v>29</v>
      </c>
      <c r="I1567" s="1" t="str">
        <f ca="1">IFERROR(__xludf.DUMMYFUNCTION("GOOGLETRANSLATE(F1567, ""auto"", ""en"")
"),"The TV, in addition to standard functions, also has a bunch of additional ones, if you dig around on the Internet, you might find it.  You can view video, music, and photos via USB. There is also a THX video function, and SRS TruSurround XT audio!!! So if"&amp;" you do not need FullHD, then this TV will be the best budget option for you and this is a saving of about 8 thousand rubles from a TV with the same functions.")</f>
        <v>The TV, in addition to standard functions, also has a bunch of additional ones, if you dig around on the Internet, you might find it.  You can view video, music, and photos via USB. There is also a THX video function, and SRS TruSurround XT audio!!! So if you do not need FullHD, then this TV will be the best budget option for you and this is a saving of about 8 thousand rubles from a TV with the same functions.</v>
      </c>
    </row>
    <row r="1568" spans="1:9" x14ac:dyDescent="0.3">
      <c r="A1568" s="1" t="s">
        <v>67</v>
      </c>
      <c r="B1568" s="1" t="s">
        <v>68</v>
      </c>
      <c r="C1568" s="1" t="s">
        <v>213</v>
      </c>
      <c r="D1568" s="1" t="s">
        <v>3375</v>
      </c>
      <c r="E1568" s="1" t="s">
        <v>460</v>
      </c>
      <c r="F1568" s="1" t="s">
        <v>3376</v>
      </c>
      <c r="G1568" s="1" t="s">
        <v>36</v>
      </c>
      <c r="H1568" s="1" t="s">
        <v>29</v>
      </c>
      <c r="I1568" s="1" t="str">
        <f ca="1">IFERROR(__xludf.DUMMYFUNCTION("GOOGLETRANSLATE(F1568, ""auto"", ""en"")
"),"I've been using it for five years now, the iron is excellent!!! I'm very pleased with them!")</f>
        <v>I've been using it for five years now, the iron is excellent!!! I'm very pleased with them!</v>
      </c>
    </row>
    <row r="1569" spans="1:9" x14ac:dyDescent="0.3">
      <c r="A1569" s="1" t="s">
        <v>105</v>
      </c>
      <c r="B1569" s="1" t="s">
        <v>106</v>
      </c>
      <c r="C1569" s="1" t="s">
        <v>1526</v>
      </c>
      <c r="D1569" s="1" t="s">
        <v>565</v>
      </c>
      <c r="E1569" s="1" t="s">
        <v>1330</v>
      </c>
      <c r="F1569" s="1" t="s">
        <v>3377</v>
      </c>
      <c r="G1569" s="1" t="s">
        <v>28</v>
      </c>
      <c r="H1569" s="1" t="s">
        <v>29</v>
      </c>
      <c r="I1569" s="1" t="str">
        <f ca="1">IFERROR(__xludf.DUMMYFUNCTION("GOOGLETRANSLATE(F1569, ""auto"", ""en"")
"),"Good player, I recommend it. Of the minuses: the buttons are slow-witted (but then you can get used to them), immediately buy new headphones, the paper instructions are about nothing at all - the disk is more informative, to watch the video, download the "&amp;"converter - Movavi Video Converter 9 or higher (there is immediately an option to convert movies for this player).")</f>
        <v>Good player, I recommend it. Of the minuses: the buttons are slow-witted (but then you can get used to them), immediately buy new headphones, the paper instructions are about nothing at all - the disk is more informative, to watch the video, download the converter - Movavi Video Converter 9 or higher (there is immediately an option to convert movies for this player).</v>
      </c>
    </row>
    <row r="1570" spans="1:9" x14ac:dyDescent="0.3">
      <c r="A1570" s="1" t="s">
        <v>105</v>
      </c>
      <c r="B1570" s="1" t="s">
        <v>106</v>
      </c>
      <c r="C1570" s="1" t="s">
        <v>1526</v>
      </c>
      <c r="D1570" s="1" t="s">
        <v>1241</v>
      </c>
      <c r="E1570" s="1" t="s">
        <v>1225</v>
      </c>
      <c r="F1570" s="1" t="s">
        <v>3378</v>
      </c>
      <c r="G1570" s="1" t="s">
        <v>36</v>
      </c>
      <c r="H1570" s="1" t="s">
        <v>29</v>
      </c>
      <c r="I1570" s="1" t="str">
        <f ca="1">IFERROR(__xludf.DUMMYFUNCTION("GOOGLETRANSLATE(F1570, ""auto"", ""en"")
"),"I took one for myself for New Year. I’ve been using it for about six months now, it’s an excellent model)) It doesn’t glitch, it works well with the computer, it holds the battery perfectly, it plays cleanly, it’s easy to control)) I have zero complaints "&amp;"about the work, it copes with its direct responsibilities even better than I expected)) Among the shortcomings, I’ll say that the LED backlight is not enough and the screen gets scratched quickly, but if you hold the film, then everything is fine)) The in"&amp;"cluded ears are 3, but that’s easy to solve)) And at this price the player in general sweetie, I regret that you can’t insert a flash drive into it or that I didn’t take 4)) Buy with confidence)")</f>
        <v>I took one for myself for New Year. I’ve been using it for about six months now, it’s an excellent model)) It doesn’t glitch, it works well with the computer, it holds the battery perfectly, it plays cleanly, it’s easy to control)) I have zero complaints about the work, it copes with its direct responsibilities even better than I expected)) Among the shortcomings, I’ll say that the LED backlight is not enough and the screen gets scratched quickly, but if you hold the film, then everything is fine)) The included ears are 3, but that’s easy to solve)) And at this price the player in general sweetie, I regret that you can’t insert a flash drive into it or that I didn’t take 4)) Buy with confidence)</v>
      </c>
    </row>
    <row r="1571" spans="1:9" x14ac:dyDescent="0.3">
      <c r="A1571" s="1" t="s">
        <v>95</v>
      </c>
      <c r="B1571" s="1" t="s">
        <v>227</v>
      </c>
      <c r="C1571" s="1" t="s">
        <v>97</v>
      </c>
      <c r="D1571" s="1" t="s">
        <v>52</v>
      </c>
      <c r="E1571" s="1" t="s">
        <v>3379</v>
      </c>
      <c r="F1571" s="1" t="s">
        <v>3380</v>
      </c>
      <c r="G1571" s="1" t="s">
        <v>15</v>
      </c>
      <c r="H1571" s="1" t="s">
        <v>16</v>
      </c>
      <c r="I1571" s="1" t="str">
        <f ca="1">IFERROR(__xludf.DUMMYFUNCTION("GOOGLETRANSLATE(F1571, ""auto"", ""en"")
"),"Blu-ray")</f>
        <v>Blu-ray</v>
      </c>
    </row>
    <row r="1572" spans="1:9" x14ac:dyDescent="0.3">
      <c r="A1572" s="1" t="s">
        <v>9</v>
      </c>
      <c r="B1572" s="1" t="s">
        <v>10</v>
      </c>
      <c r="C1572" s="1" t="s">
        <v>11</v>
      </c>
      <c r="D1572" s="1" t="s">
        <v>3381</v>
      </c>
      <c r="E1572" s="1" t="s">
        <v>3382</v>
      </c>
      <c r="F1572" s="1" t="s">
        <v>3383</v>
      </c>
      <c r="G1572" s="1" t="s">
        <v>36</v>
      </c>
      <c r="H1572" s="1" t="s">
        <v>29</v>
      </c>
      <c r="I1572" s="1" t="str">
        <f ca="1">IFERROR(__xludf.DUMMYFUNCTION("GOOGLETRANSLATE(F1572, ""auto"", ""en"")
"),"I read the reviews about this hood and decided to order it along with the installation - I was right. It makes almost no noise to me, well, of course, you can hear it starting from second speed, but it’s not critical. The lamps are really a little weak, i"&amp;"t would be nice to have more powerful ones. The buttons still work great, the pull-out is also excellent (plus a grease filter). The smell of the kitchen and cooking has practically disappeared. Good, inexpensive hood.")</f>
        <v>I read the reviews about this hood and decided to order it along with the installation - I was right. It makes almost no noise to me, well, of course, you can hear it starting from second speed, but it’s not critical. The lamps are really a little weak, it would be nice to have more powerful ones. The buttons still work great, the pull-out is also excellent (plus a grease filter). The smell of the kitchen and cooking has practically disappeared. Good, inexpensive hood.</v>
      </c>
    </row>
    <row r="1573" spans="1:9" x14ac:dyDescent="0.3">
      <c r="A1573" s="1" t="s">
        <v>43</v>
      </c>
      <c r="B1573" s="1" t="s">
        <v>1382</v>
      </c>
      <c r="C1573" s="1" t="s">
        <v>85</v>
      </c>
      <c r="D1573" s="1" t="s">
        <v>75</v>
      </c>
      <c r="E1573" s="1" t="s">
        <v>2853</v>
      </c>
      <c r="F1573" s="1" t="s">
        <v>3384</v>
      </c>
      <c r="G1573" s="1" t="s">
        <v>36</v>
      </c>
      <c r="H1573" s="1" t="s">
        <v>29</v>
      </c>
      <c r="I1573" s="1" t="str">
        <f ca="1">IFERROR(__xludf.DUMMYFUNCTION("GOOGLETRANSLATE(F1573, ""auto"", ""en"")
"),"super! I really liked it. strong. There are several modes, including for sleep. There is a sleep timer. and also not very noisy (when compared with other fans) my rating is 5 points!")</f>
        <v>super! I really liked it. strong. There are several modes, including for sleep. There is a sleep timer. and also not very noisy (when compared with other fans) my rating is 5 points!</v>
      </c>
    </row>
    <row r="1574" spans="1:9" x14ac:dyDescent="0.3">
      <c r="A1574" s="1" t="s">
        <v>67</v>
      </c>
      <c r="B1574" s="1" t="s">
        <v>340</v>
      </c>
      <c r="C1574" s="1" t="s">
        <v>341</v>
      </c>
      <c r="D1574" s="1" t="s">
        <v>2771</v>
      </c>
      <c r="E1574" s="1" t="s">
        <v>1914</v>
      </c>
      <c r="F1574" s="1" t="s">
        <v>3385</v>
      </c>
      <c r="G1574" s="1" t="s">
        <v>36</v>
      </c>
      <c r="H1574" s="1" t="s">
        <v>29</v>
      </c>
      <c r="I1574" s="1" t="str">
        <f ca="1">IFERROR(__xludf.DUMMYFUNCTION("GOOGLETRANSLATE(F1574, ""auto"", ""en"")
"),"The machine is excellent, very pleased. It sews both thin and thick fabric well, I sewed organza - it sews beautifully, I tried all the seams and paws (except for the zipper and buttons) I advise everyone, it is easy to use and not noisy...")</f>
        <v>The machine is excellent, very pleased. It sews both thin and thick fabric well, I sewed organza - it sews beautifully, I tried all the seams and paws (except for the zipper and buttons) I advise everyone, it is easy to use and not noisy...</v>
      </c>
    </row>
    <row r="1575" spans="1:9" x14ac:dyDescent="0.3">
      <c r="A1575" s="1" t="s">
        <v>169</v>
      </c>
      <c r="B1575" s="1" t="s">
        <v>170</v>
      </c>
      <c r="C1575" s="1" t="s">
        <v>171</v>
      </c>
      <c r="D1575" s="1" t="s">
        <v>3386</v>
      </c>
      <c r="E1575" s="1" t="s">
        <v>2866</v>
      </c>
      <c r="F1575" s="1" t="s">
        <v>3387</v>
      </c>
      <c r="G1575" s="1" t="s">
        <v>36</v>
      </c>
      <c r="H1575" s="1" t="s">
        <v>29</v>
      </c>
      <c r="I1575" s="1" t="str">
        <f ca="1">IFERROR(__xludf.DUMMYFUNCTION("GOOGLETRANSLATE(F1575, ""auto"", ""en"")
"),"I’ve been using it for a year now, when I bought it for the money it probably couldn’t have been better. They fit perfectly and don’t fall out, at first you don’t feel used to them, but then you don’t notice them at all. Good wires, the plug died after ab"&amp;"out half a year, I re-soldered it and everything is fine. Sound level, excellent sound insulation (be careful on the street.")</f>
        <v>I’ve been using it for a year now, when I bought it for the money it probably couldn’t have been better. They fit perfectly and don’t fall out, at first you don’t feel used to them, but then you don’t notice them at all. Good wires, the plug died after about half a year, I re-soldered it and everything is fine. Sound level, excellent sound insulation (be careful on the street.</v>
      </c>
    </row>
    <row r="1576" spans="1:9" x14ac:dyDescent="0.3">
      <c r="A1576" s="1" t="s">
        <v>61</v>
      </c>
      <c r="B1576" s="1" t="s">
        <v>224</v>
      </c>
      <c r="C1576" s="1" t="s">
        <v>85</v>
      </c>
      <c r="D1576" s="1" t="s">
        <v>228</v>
      </c>
      <c r="E1576" s="1" t="s">
        <v>1978</v>
      </c>
      <c r="F1576" s="1" t="s">
        <v>3388</v>
      </c>
      <c r="G1576" s="1" t="s">
        <v>36</v>
      </c>
      <c r="H1576" s="1" t="s">
        <v>29</v>
      </c>
      <c r="I1576" s="1" t="str">
        <f ca="1">IFERROR(__xludf.DUMMYFUNCTION("GOOGLETRANSLATE(F1576, ""auto"", ""en"")
"),"I bought a cool car, no question. Juice every day without problems and saving time is also included in it!")</f>
        <v>I bought a cool car, no question. Juice every day without problems and saving time is also included in it!</v>
      </c>
    </row>
    <row r="1577" spans="1:9" x14ac:dyDescent="0.3">
      <c r="A1577" s="1" t="s">
        <v>211</v>
      </c>
      <c r="B1577" s="1" t="s">
        <v>384</v>
      </c>
      <c r="C1577" s="1" t="s">
        <v>246</v>
      </c>
      <c r="D1577" s="1" t="s">
        <v>52</v>
      </c>
      <c r="E1577" s="1" t="s">
        <v>1287</v>
      </c>
      <c r="F1577" s="1" t="s">
        <v>3389</v>
      </c>
      <c r="G1577" s="1" t="s">
        <v>49</v>
      </c>
      <c r="H1577" s="1" t="s">
        <v>16</v>
      </c>
      <c r="I1577" s="1" t="str">
        <f ca="1">IFERROR(__xludf.DUMMYFUNCTION("GOOGLETRANSLATE(F1577, ""auto"", ""en"")
"),"For about six months everything was OK - the only annoying thing was the creaking of the case when weighing. Six months later, something in the scales “cracked” during weighing and the weighing results began to be distorted. those. They not only look flim"&amp;"sy, they are.")</f>
        <v>For about six months everything was OK - the only annoying thing was the creaking of the case when weighing. Six months later, something in the scales “cracked” during weighing and the weighing results began to be distorted. those. They not only look flimsy, they are.</v>
      </c>
    </row>
    <row r="1578" spans="1:9" x14ac:dyDescent="0.3">
      <c r="A1578" s="1" t="s">
        <v>451</v>
      </c>
      <c r="B1578" s="1" t="s">
        <v>452</v>
      </c>
      <c r="C1578" s="1" t="s">
        <v>57</v>
      </c>
      <c r="D1578" s="1" t="s">
        <v>471</v>
      </c>
      <c r="E1578" s="1" t="s">
        <v>3390</v>
      </c>
      <c r="F1578" s="1" t="s">
        <v>3391</v>
      </c>
      <c r="G1578" s="1" t="s">
        <v>49</v>
      </c>
      <c r="H1578" s="1" t="s">
        <v>16</v>
      </c>
      <c r="I1578" s="1" t="str">
        <f ca="1">IFERROR(__xludf.DUMMYFUNCTION("GOOGLETRANSLATE(F1578, ""auto"", ""en"")
"),"We bought this model to clean things. We used it 2 times, because after the 1st use the mesh was already broken, which prevents the machine from cutting the fabric with the blade. And now it can’t be used, because the fabric gets under the blade and tears"&amp;".")</f>
        <v>We bought this model to clean things. We used it 2 times, because after the 1st use the mesh was already broken, which prevents the machine from cutting the fabric with the blade. And now it can’t be used, because the fabric gets under the blade and tears.</v>
      </c>
    </row>
    <row r="1579" spans="1:9" x14ac:dyDescent="0.3">
      <c r="A1579" s="1" t="s">
        <v>30</v>
      </c>
      <c r="B1579" s="1" t="s">
        <v>31</v>
      </c>
      <c r="C1579" s="1" t="s">
        <v>32</v>
      </c>
      <c r="D1579" s="1" t="s">
        <v>39</v>
      </c>
      <c r="E1579" s="1" t="s">
        <v>109</v>
      </c>
      <c r="F1579" s="1" t="s">
        <v>3392</v>
      </c>
      <c r="G1579" s="1" t="s">
        <v>36</v>
      </c>
      <c r="H1579" s="1" t="s">
        <v>29</v>
      </c>
      <c r="I1579" s="1" t="str">
        <f ca="1">IFERROR(__xludf.DUMMYFUNCTION("GOOGLETRANSLATE(F1579, ""auto"", ""en"")
"),"I bought a computer a week ago. I mainly use it as a typewriter + Consultant + play Quake 3 = everything works great + nice design + computer. very good quiet. I also bought a Monica from the same Acer series and am pleased.  And what the spiteful critics"&amp;" write here about his weaknesses, they are really right, because they, i.e. possible problems with this computer can be avoided, for example, by purchasing a device not for 16,990, but within the price category of 30 tr., which will actually be 2 times mo"&amp;"re expensive and most likely not in a compact case, the design and form factor of which for me, for example, became decisive when choosing, and of course the filling is excellent, and this is my subjective opinion, because you can't keep up with progress.")</f>
        <v>I bought a computer a week ago. I mainly use it as a typewriter + Consultant + play Quake 3 = everything works great + nice design + computer. very good quiet. I also bought a Monica from the same Acer series and am pleased.  And what the spiteful critics write here about his weaknesses, they are really right, because they, i.e. possible problems with this computer can be avoided, for example, by purchasing a device not for 16,990, but within the price category of 30 tr., which will actually be 2 times more expensive and most likely not in a compact case, the design and form factor of which for me, for example, became decisive when choosing, and of course the filling is excellent, and this is my subjective opinion, because you can't keep up with progress.</v>
      </c>
    </row>
    <row r="1580" spans="1:9" x14ac:dyDescent="0.3">
      <c r="A1580" s="1" t="s">
        <v>37</v>
      </c>
      <c r="B1580" s="1" t="s">
        <v>38</v>
      </c>
      <c r="C1580" s="1" t="s">
        <v>163</v>
      </c>
      <c r="D1580" s="1" t="s">
        <v>52</v>
      </c>
      <c r="E1580" s="1" t="s">
        <v>2565</v>
      </c>
      <c r="F1580" s="1" t="s">
        <v>3393</v>
      </c>
      <c r="G1580" s="1" t="s">
        <v>36</v>
      </c>
      <c r="H1580" s="1" t="s">
        <v>29</v>
      </c>
      <c r="I1580" s="1" t="str">
        <f ca="1">IFERROR(__xludf.DUMMYFUNCTION("GOOGLETRANSLATE(F1580, ""auto"", ""en"")
"),"I've been using the device for almost a year now. Great model! If I use it only for calls and SMS, then the battery lasted me 7-9 days. Convenient audio player and radio, the sound is very good... but to appreciate this you need normal headphones, not a h"&amp;"eadset, I have a KOSS sporta-pro. The camera works very well for a phone, we compared its photos with those of the iPhone 3Gs (shot at the same time) - nokia 6303c shoots better :) ... Shooting video in a resolution of 640x480 is quite tolerable... Taking"&amp;" pictures of a child in the park is quite possible... You can also normally watch xVid or h264 encoded video on it in a resolution of 320x240 in a 3gp or mp4 container. The device is assembled perfectly, I accidentally dropped it on the asphalt a couple o"&amp;"f times and ended up with only a couple of barely noticeable scratches on the body. The phone has an excellent screen, contacts and SMS are perfectly readable in the open sun.  I recommend it to everyone!")</f>
        <v>I've been using the device for almost a year now. Great model! If I use it only for calls and SMS, then the battery lasted me 7-9 days. Convenient audio player and radio, the sound is very good... but to appreciate this you need normal headphones, not a headset, I have a KOSS sporta-pro. The camera works very well for a phone, we compared its photos with those of the iPhone 3Gs (shot at the same time) - nokia 6303c shoots better :) ... Shooting video in a resolution of 640x480 is quite tolerable... Taking pictures of a child in the park is quite possible... You can also normally watch xVid or h264 encoded video on it in a resolution of 320x240 in a 3gp or mp4 container. The device is assembled perfectly, I accidentally dropped it on the asphalt a couple of times and ended up with only a couple of barely noticeable scratches on the body. The phone has an excellent screen, contacts and SMS are perfectly readable in the open sun.  I recommend it to everyone!</v>
      </c>
    </row>
    <row r="1581" spans="1:9" x14ac:dyDescent="0.3">
      <c r="A1581" s="1" t="s">
        <v>61</v>
      </c>
      <c r="B1581" s="1" t="s">
        <v>318</v>
      </c>
      <c r="C1581" s="1" t="s">
        <v>246</v>
      </c>
      <c r="D1581" s="1" t="s">
        <v>247</v>
      </c>
      <c r="E1581" s="1" t="s">
        <v>1129</v>
      </c>
      <c r="F1581" s="1" t="s">
        <v>3394</v>
      </c>
      <c r="G1581" s="1" t="s">
        <v>15</v>
      </c>
      <c r="H1581" s="1" t="s">
        <v>16</v>
      </c>
      <c r="I1581" s="1" t="str">
        <f ca="1">IFERROR(__xludf.DUMMYFUNCTION("GOOGLETRANSLATE(F1581, ""auto"", ""en"")
"),"Literally a couple of weeks after the purchase, the lid began to jam (the spring fell out), and then, due to constant desperate attempts to open it, it completely broke - piece by piece!  And although I like everything else about the kettle, I have to cha"&amp;"nge it! and it definitely won’t be Tefal")</f>
        <v>Literally a couple of weeks after the purchase, the lid began to jam (the spring fell out), and then, due to constant desperate attempts to open it, it completely broke - piece by piece!  And although I like everything else about the kettle, I have to change it! and it definitely won’t be Tefal</v>
      </c>
    </row>
    <row r="1582" spans="1:9" x14ac:dyDescent="0.3">
      <c r="A1582" s="1" t="s">
        <v>89</v>
      </c>
      <c r="B1582" s="1" t="s">
        <v>90</v>
      </c>
      <c r="C1582" s="1" t="s">
        <v>185</v>
      </c>
      <c r="D1582" s="1" t="s">
        <v>1383</v>
      </c>
      <c r="E1582" s="1" t="s">
        <v>3395</v>
      </c>
      <c r="F1582" s="1" t="s">
        <v>3396</v>
      </c>
      <c r="G1582" s="1" t="s">
        <v>49</v>
      </c>
      <c r="H1582" s="1" t="s">
        <v>16</v>
      </c>
      <c r="I1582" s="1" t="str">
        <f ca="1">IFERROR(__xludf.DUMMYFUNCTION("GOOGLETRANSLATE(F1582, ""auto"", ""en"")
"),"The only advantage is the name of the manufacturer.  The grind is very coarse and uneven. To get a fine grind you have to grind the coffee 3-4 times, but it’s still not the same. And this is after disassembling the coffee grinder and setting up the millst"&amp;"ones. Before this, I had not ground at all, but simply crushed coffee beans, resulting in some kind of large sawdust.  If you buy Turkish coffee to make coffee, I don’t recommend it to anyone, it’s a waste of money.")</f>
        <v>The only advantage is the name of the manufacturer.  The grind is very coarse and uneven. To get a fine grind you have to grind the coffee 3-4 times, but it’s still not the same. And this is after disassembling the coffee grinder and setting up the millstones. Before this, I had not ground at all, but simply crushed coffee beans, resulting in some kind of large sawdust.  If you buy Turkish coffee to make coffee, I don’t recommend it to anyone, it’s a waste of money.</v>
      </c>
    </row>
    <row r="1583" spans="1:9" x14ac:dyDescent="0.3">
      <c r="A1583" s="1" t="s">
        <v>211</v>
      </c>
      <c r="B1583" s="1" t="s">
        <v>515</v>
      </c>
      <c r="C1583" s="1" t="s">
        <v>213</v>
      </c>
      <c r="D1583" s="1" t="s">
        <v>565</v>
      </c>
      <c r="E1583" s="1" t="s">
        <v>3397</v>
      </c>
      <c r="F1583" s="1" t="s">
        <v>3398</v>
      </c>
      <c r="G1583" s="1" t="s">
        <v>36</v>
      </c>
      <c r="H1583" s="1" t="s">
        <v>29</v>
      </c>
      <c r="I1583" s="1" t="str">
        <f ca="1">IFERROR(__xludf.DUMMYFUNCTION("GOOGLETRANSLATE(F1583, ""auto"", ""en"")
"),"I bought a Braun SE1170 epilator. I'm very pleased. Very good quality. I expected it to be painful, but I felt a slight tingling, the irritation was slight - it went away quickly")</f>
        <v>I bought a Braun SE1170 epilator. I'm very pleased. Very good quality. I expected it to be painful, but I felt a slight tingling, the irritation was slight - it went away quickly</v>
      </c>
    </row>
    <row r="1584" spans="1:9" x14ac:dyDescent="0.3">
      <c r="A1584" s="1" t="s">
        <v>61</v>
      </c>
      <c r="B1584" s="1" t="s">
        <v>726</v>
      </c>
      <c r="C1584" s="1" t="s">
        <v>85</v>
      </c>
      <c r="D1584" s="1" t="s">
        <v>172</v>
      </c>
      <c r="E1584" s="1" t="s">
        <v>3399</v>
      </c>
      <c r="F1584" s="1" t="s">
        <v>3400</v>
      </c>
      <c r="G1584" s="1" t="s">
        <v>36</v>
      </c>
      <c r="H1584" s="1" t="s">
        <v>29</v>
      </c>
      <c r="I1584" s="1" t="str">
        <f ca="1">IFERROR(__xludf.DUMMYFUNCTION("GOOGLETRANSLATE(F1584, ""auto"", ""en"")
"),"I bought it in November 2012, I’m happy with the stove: it bakes well, no glitches, failures, or breakdowns. But the price!!! Two years ago I paid half as much for it as it costs now - I wouldn’t have given that much for a bread machine, to be honest.")</f>
        <v>I bought it in November 2012, I’m happy with the stove: it bakes well, no glitches, failures, or breakdowns. But the price!!! Two years ago I paid half as much for it as it costs now - I wouldn’t have given that much for a bread machine, to be honest.</v>
      </c>
    </row>
    <row r="1585" spans="1:9" x14ac:dyDescent="0.3">
      <c r="A1585" s="1" t="s">
        <v>211</v>
      </c>
      <c r="B1585" s="1" t="s">
        <v>856</v>
      </c>
      <c r="C1585" s="1" t="s">
        <v>57</v>
      </c>
      <c r="D1585" s="1" t="s">
        <v>64</v>
      </c>
      <c r="E1585" s="1" t="s">
        <v>2254</v>
      </c>
      <c r="F1585" s="1" t="s">
        <v>3401</v>
      </c>
      <c r="G1585" s="1" t="s">
        <v>28</v>
      </c>
      <c r="H1585" s="1" t="s">
        <v>29</v>
      </c>
      <c r="I1585" s="1" t="str">
        <f ca="1">IFERROR(__xludf.DUMMYFUNCTION("GOOGLETRANSLATE(F1585, ""auto"", ""en"")
"),"A worthwhile item, easy to care for and convenient to use. What I don’t really like: - massage rollers are not very convenient (too small and not practical);  - when using bubbles, the water cools down too quickly (the heating mode does not help).  As for"&amp;" the rest... spending 10-15 minutes in a relaxed state while you take “water procedures” for your feet is already a significant plus. And by and large, nothing more is required from her.")</f>
        <v>A worthwhile item, easy to care for and convenient to use. What I don’t really like: - massage rollers are not very convenient (too small and not practical);  - when using bubbles, the water cools down too quickly (the heating mode does not help).  As for the rest... spending 10-15 minutes in a relaxed state while you take “water procedures” for your feet is already a significant plus. And by and large, nothing more is required from her.</v>
      </c>
    </row>
    <row r="1586" spans="1:9" x14ac:dyDescent="0.3">
      <c r="A1586" s="1" t="s">
        <v>211</v>
      </c>
      <c r="B1586" s="1" t="s">
        <v>515</v>
      </c>
      <c r="C1586" s="1" t="s">
        <v>69</v>
      </c>
      <c r="D1586" s="1" t="s">
        <v>589</v>
      </c>
      <c r="E1586" s="1" t="s">
        <v>3402</v>
      </c>
      <c r="F1586" s="1" t="s">
        <v>3403</v>
      </c>
      <c r="G1586" s="1" t="s">
        <v>49</v>
      </c>
      <c r="H1586" s="1" t="s">
        <v>16</v>
      </c>
      <c r="I1586" s="1" t="str">
        <f ca="1">IFERROR(__xludf.DUMMYFUNCTION("GOOGLETRANSLATE(F1586, ""auto"", ""en"")
"),"It is very painful, it pulls out hairs in a bunch and breaks them, the root remains, and there is also irritation, I really regret the money.")</f>
        <v>It is very painful, it pulls out hairs in a bunch and breaks them, the root remains, and there is also irritation, I really regret the money.</v>
      </c>
    </row>
    <row r="1587" spans="1:9" x14ac:dyDescent="0.3">
      <c r="A1587" s="1" t="s">
        <v>61</v>
      </c>
      <c r="B1587" s="1" t="s">
        <v>318</v>
      </c>
      <c r="C1587" s="1" t="s">
        <v>69</v>
      </c>
      <c r="D1587" s="1" t="s">
        <v>152</v>
      </c>
      <c r="E1587" s="1" t="s">
        <v>3404</v>
      </c>
      <c r="F1587" s="1" t="s">
        <v>3405</v>
      </c>
      <c r="G1587" s="1" t="s">
        <v>28</v>
      </c>
      <c r="H1587" s="1" t="s">
        <v>29</v>
      </c>
      <c r="I1587" s="1" t="str">
        <f ca="1">IFERROR(__xludf.DUMMYFUNCTION("GOOGLETRANSLATE(F1587, ""auto"", ""en"")
"),"The kettle served for a good 3 years or so, then suddenly broke down and simply wouldn’t heat up. Reviews are only good, noise is the only complaint during the entire period of operation. I recommend it to everyone")</f>
        <v>The kettle served for a good 3 years or so, then suddenly broke down and simply wouldn’t heat up. Reviews are only good, noise is the only complaint during the entire period of operation. I recommend it to everyone</v>
      </c>
    </row>
    <row r="1588" spans="1:9" x14ac:dyDescent="0.3">
      <c r="A1588" s="1" t="s">
        <v>43</v>
      </c>
      <c r="B1588" s="1" t="s">
        <v>303</v>
      </c>
      <c r="C1588" s="1" t="s">
        <v>665</v>
      </c>
      <c r="D1588" s="1" t="s">
        <v>64</v>
      </c>
      <c r="E1588" s="1" t="s">
        <v>1801</v>
      </c>
      <c r="F1588" s="1" t="s">
        <v>3406</v>
      </c>
      <c r="G1588" s="1" t="s">
        <v>28</v>
      </c>
      <c r="H1588" s="1" t="s">
        <v>29</v>
      </c>
      <c r="I1588" s="1" t="str">
        <f ca="1">IFERROR(__xludf.DUMMYFUNCTION("GOOGLETRANSLATE(F1588, ""auto"", ""en"")
"),"The heater is good, heats up quickly and holds the temperature for a long time. The drain valve was defective upon delivery. We changed it ourselves to Italian, everything is ok. It squeaks a little when it heats up at the highest temperature.")</f>
        <v>The heater is good, heats up quickly and holds the temperature for a long time. The drain valve was defective upon delivery. We changed it ourselves to Italian, everything is ok. It squeaks a little when it heats up at the highest temperature.</v>
      </c>
    </row>
    <row r="1589" spans="1:9" x14ac:dyDescent="0.3">
      <c r="A1589" s="1" t="s">
        <v>477</v>
      </c>
      <c r="B1589" s="1" t="s">
        <v>478</v>
      </c>
      <c r="C1589" s="1" t="s">
        <v>479</v>
      </c>
      <c r="D1589" s="1" t="s">
        <v>3407</v>
      </c>
      <c r="E1589" s="1" t="s">
        <v>841</v>
      </c>
      <c r="F1589" s="1" t="s">
        <v>3408</v>
      </c>
      <c r="G1589" s="1" t="s">
        <v>36</v>
      </c>
      <c r="H1589" s="1" t="s">
        <v>29</v>
      </c>
      <c r="I1589" s="1" t="str">
        <f ca="1">IFERROR(__xludf.DUMMYFUNCTION("GOOGLETRANSLATE(F1589, ""auto"", ""en"")
"),"easy to operate. Just what a child needs. All series of these games are simply wonderful! This is true")</f>
        <v>easy to operate. Just what a child needs. All series of these games are simply wonderful! This is true</v>
      </c>
    </row>
    <row r="1590" spans="1:9" x14ac:dyDescent="0.3">
      <c r="A1590" s="1" t="s">
        <v>105</v>
      </c>
      <c r="B1590" s="1" t="s">
        <v>106</v>
      </c>
      <c r="C1590" s="1" t="s">
        <v>107</v>
      </c>
      <c r="D1590" s="1" t="s">
        <v>3409</v>
      </c>
      <c r="E1590" s="1" t="s">
        <v>626</v>
      </c>
      <c r="F1590" s="1" t="s">
        <v>3410</v>
      </c>
      <c r="G1590" s="1" t="s">
        <v>36</v>
      </c>
      <c r="H1590" s="1" t="s">
        <v>29</v>
      </c>
      <c r="I1590" s="1" t="str">
        <f ca="1">IFERROR(__xludf.DUMMYFUNCTION("GOOGLETRANSLATE(F1590, ""auto"", ""en"")
"),"I've been using the player for a year now. Very pleased. Sound and video are good. If you don’t throw movies of 2-4 GB (you’d have to be stupid to throw something like that, it’s better to convert), then everything else is good. Audio can be played for 24"&amp;" hours, video 3-5 hours depending on the quality and codec. There are no complaints about the controls, you just need to get used to it a little at first. The only downside with the radio is that the antenna is rather weak and noisy. I advise everyone to "&amp;"buy according to the ratio of price, quality, capabilities.")</f>
        <v>I've been using the player for a year now. Very pleased. Sound and video are good. If you don’t throw movies of 2-4 GB (you’d have to be stupid to throw something like that, it’s better to convert), then everything else is good. Audio can be played for 24 hours, video 3-5 hours depending on the quality and codec. There are no complaints about the controls, you just need to get used to it a little at first. The only downside with the radio is that the antenna is rather weak and noisy. I advise everyone to buy according to the ratio of price, quality, capabilities.</v>
      </c>
    </row>
    <row r="1591" spans="1:9" x14ac:dyDescent="0.3">
      <c r="A1591" s="1" t="s">
        <v>17</v>
      </c>
      <c r="B1591" s="1" t="s">
        <v>18</v>
      </c>
      <c r="C1591" s="1" t="s">
        <v>19</v>
      </c>
      <c r="D1591" s="1" t="s">
        <v>474</v>
      </c>
      <c r="E1591" s="1" t="s">
        <v>3411</v>
      </c>
      <c r="F1591" s="1" t="s">
        <v>3412</v>
      </c>
      <c r="G1591" s="1" t="s">
        <v>36</v>
      </c>
      <c r="H1591" s="1" t="s">
        <v>29</v>
      </c>
      <c r="I1591" s="1" t="str">
        <f ca="1">IFERROR(__xludf.DUMMYFUNCTION("GOOGLETRANSLATE(F1591, ""auto"", ""en"")
"),"We bought a machine a year ago, a similar Hotpoint-Ariston model (a little simpler). Even though the reviews weren’t great, we still took it and didn’t regret it. It's a good machine, it makes noise like all other washing machines, they can't help but mak"&amp;"e noise by default. It copes with its washing duties 100%!")</f>
        <v>We bought a machine a year ago, a similar Hotpoint-Ariston model (a little simpler). Even though the reviews weren’t great, we still took it and didn’t regret it. It's a good machine, it makes noise like all other washing machines, they can't help but make noise by default. It copes with its washing duties 100%!</v>
      </c>
    </row>
    <row r="1592" spans="1:9" x14ac:dyDescent="0.3">
      <c r="A1592" s="1" t="s">
        <v>89</v>
      </c>
      <c r="B1592" s="1" t="s">
        <v>231</v>
      </c>
      <c r="C1592" s="1" t="s">
        <v>185</v>
      </c>
      <c r="D1592" s="1" t="s">
        <v>39</v>
      </c>
      <c r="E1592" s="1" t="s">
        <v>3413</v>
      </c>
      <c r="F1592" s="1" t="s">
        <v>3414</v>
      </c>
      <c r="G1592" s="1" t="s">
        <v>36</v>
      </c>
      <c r="H1592" s="1" t="s">
        <v>29</v>
      </c>
      <c r="I1592" s="1" t="str">
        <f ca="1">IFERROR(__xludf.DUMMYFUNCTION("GOOGLETRANSLATE(F1592, ""auto"", ""en"")
"),"I've been using it for almost three years, during which time it hasn't let me down even once. I recommend it to everyone!")</f>
        <v>I've been using it for almost three years, during which time it hasn't let me down even once. I recommend it to everyone!</v>
      </c>
    </row>
    <row r="1593" spans="1:9" x14ac:dyDescent="0.3">
      <c r="A1593" s="1" t="s">
        <v>17</v>
      </c>
      <c r="B1593" s="1" t="s">
        <v>18</v>
      </c>
      <c r="C1593" s="1" t="s">
        <v>159</v>
      </c>
      <c r="D1593" s="1" t="s">
        <v>64</v>
      </c>
      <c r="E1593" s="1" t="s">
        <v>1931</v>
      </c>
      <c r="F1593" s="1" t="s">
        <v>3415</v>
      </c>
      <c r="G1593" s="1" t="s">
        <v>36</v>
      </c>
      <c r="H1593" s="1" t="s">
        <v>29</v>
      </c>
      <c r="I1593" s="1" t="str">
        <f ca="1">IFERROR(__xludf.DUMMYFUNCTION("GOOGLETRANSLATE(F1593, ""auto"", ""en"")
"),"This is my first machine, of course there is nothing to compare with. but I'm happy with this model. I always add extra. rinsing and things are very clean. If you don’t really like delicate washing, it’s better to wash all sorts of blouses and blouses by "&amp;"hand!")</f>
        <v>This is my first machine, of course there is nothing to compare with. but I'm happy with this model. I always add extra. rinsing and things are very clean. If you don’t really like delicate washing, it’s better to wash all sorts of blouses and blouses by hand!</v>
      </c>
    </row>
    <row r="1594" spans="1:9" x14ac:dyDescent="0.3">
      <c r="A1594" s="1" t="s">
        <v>61</v>
      </c>
      <c r="B1594" s="1" t="s">
        <v>318</v>
      </c>
      <c r="C1594" s="1" t="s">
        <v>85</v>
      </c>
      <c r="D1594" s="1" t="s">
        <v>20</v>
      </c>
      <c r="E1594" s="1" t="s">
        <v>3416</v>
      </c>
      <c r="F1594" s="1" t="s">
        <v>3417</v>
      </c>
      <c r="G1594" s="1" t="s">
        <v>15</v>
      </c>
      <c r="H1594" s="1" t="s">
        <v>16</v>
      </c>
      <c r="I1594" s="1" t="str">
        <f ca="1">IFERROR(__xludf.DUMMYFUNCTION("GOOGLETRANSLATE(F1594, ""auto"", ""en"")
"),"The kettle is no different from those that cost 2-3 thousand rubles. Just as noisy, just as long. Except with buttons to select the temperature. A very bad purchase.")</f>
        <v>The kettle is no different from those that cost 2-3 thousand rubles. Just as noisy, just as long. Except with buttons to select the temperature. A very bad purchase.</v>
      </c>
    </row>
    <row r="1595" spans="1:9" x14ac:dyDescent="0.3">
      <c r="A1595" s="1" t="s">
        <v>732</v>
      </c>
      <c r="B1595" s="1" t="s">
        <v>733</v>
      </c>
      <c r="C1595" s="1" t="s">
        <v>151</v>
      </c>
      <c r="D1595" s="1" t="s">
        <v>280</v>
      </c>
      <c r="E1595" s="1" t="s">
        <v>225</v>
      </c>
      <c r="F1595" s="1" t="s">
        <v>3418</v>
      </c>
      <c r="G1595" s="1" t="s">
        <v>28</v>
      </c>
      <c r="H1595" s="1" t="s">
        <v>29</v>
      </c>
      <c r="I1595" s="1" t="str">
        <f ca="1">IFERROR(__xludf.DUMMYFUNCTION("GOOGLETRANSLATE(F1595, ""auto"", ""en"")
"),"I've been using this monitor for 8 months now. The only thing that annoys me is the highlights on the sides on the black color :( Otherwise, it’s a cool model for its “films”!!!")</f>
        <v>I've been using this monitor for 8 months now. The only thing that annoys me is the highlights on the sides on the black color :( Otherwise, it’s a cool model for its “films”!!!</v>
      </c>
    </row>
    <row r="1596" spans="1:9" x14ac:dyDescent="0.3">
      <c r="A1596" s="1" t="s">
        <v>37</v>
      </c>
      <c r="B1596" s="1" t="s">
        <v>38</v>
      </c>
      <c r="C1596" s="1" t="s">
        <v>39</v>
      </c>
      <c r="D1596" s="1" t="s">
        <v>3419</v>
      </c>
      <c r="E1596" s="1" t="s">
        <v>814</v>
      </c>
      <c r="F1596" s="1" t="s">
        <v>3420</v>
      </c>
      <c r="G1596" s="1" t="s">
        <v>28</v>
      </c>
      <c r="H1596" s="1" t="s">
        <v>29</v>
      </c>
      <c r="I1596" s="1" t="str">
        <f ca="1">IFERROR(__xludf.DUMMYFUNCTION("GOOGLETRANSLATE(F1596, ""auto"", ""en"")
"),"I liked the device, although there is a slight slowdown when opening the menu after startup and the sound from the speaker is muffled. The battery charge can be saved longer by turning off 3G.")</f>
        <v>I liked the device, although there is a slight slowdown when opening the menu after startup and the sound from the speaker is muffled. The battery charge can be saved longer by turning off 3G.</v>
      </c>
    </row>
    <row r="1597" spans="1:9" x14ac:dyDescent="0.3">
      <c r="A1597" s="1" t="s">
        <v>211</v>
      </c>
      <c r="B1597" s="1" t="s">
        <v>515</v>
      </c>
      <c r="C1597" s="1" t="s">
        <v>213</v>
      </c>
      <c r="D1597" s="1" t="s">
        <v>3421</v>
      </c>
      <c r="E1597" s="1" t="s">
        <v>3422</v>
      </c>
      <c r="F1597" s="1" t="s">
        <v>3423</v>
      </c>
      <c r="G1597" s="1" t="s">
        <v>36</v>
      </c>
      <c r="H1597" s="1" t="s">
        <v>29</v>
      </c>
      <c r="I1597" s="1" t="str">
        <f ca="1">IFERROR(__xludf.DUMMYFUNCTION("GOOGLETRANSLATE(F1597, ""auto"", ""en"")
"),"(+)Small size, lightweight (+)Several attachments, (+)Stickers included, (+)Doesn't tear out hair or scratch skin (+)No wires")</f>
        <v>(+)Small size, lightweight (+)Several attachments, (+)Stickers included, (+)Doesn't tear out hair or scratch skin (+)No wires</v>
      </c>
    </row>
    <row r="1598" spans="1:9" x14ac:dyDescent="0.3">
      <c r="A1598" s="1" t="s">
        <v>43</v>
      </c>
      <c r="B1598" s="1" t="s">
        <v>1370</v>
      </c>
      <c r="C1598" s="1" t="s">
        <v>2137</v>
      </c>
      <c r="D1598" s="1" t="s">
        <v>280</v>
      </c>
      <c r="E1598" s="1" t="s">
        <v>3424</v>
      </c>
      <c r="F1598" s="1" t="s">
        <v>3425</v>
      </c>
      <c r="G1598" s="1" t="s">
        <v>36</v>
      </c>
      <c r="H1598" s="1" t="s">
        <v>29</v>
      </c>
      <c r="I1598" s="1" t="str">
        <f ca="1">IFERROR(__xludf.DUMMYFUNCTION("GOOGLETRANSLATE(F1598, ""auto"", ""en"")
"),"Atmor are excellent instantaneous water heaters. Good quality, easy to use, simple. I bought it for a period of planned shutdown of hot water, an excellent replacement for heating water on an electric stove.")</f>
        <v>Atmor are excellent instantaneous water heaters. Good quality, easy to use, simple. I bought it for a period of planned shutdown of hot water, an excellent replacement for heating water on an electric stove.</v>
      </c>
    </row>
    <row r="1599" spans="1:9" x14ac:dyDescent="0.3">
      <c r="A1599" s="1" t="s">
        <v>43</v>
      </c>
      <c r="B1599" s="1" t="s">
        <v>1382</v>
      </c>
      <c r="C1599" s="1" t="s">
        <v>45</v>
      </c>
      <c r="D1599" s="1" t="s">
        <v>456</v>
      </c>
      <c r="E1599" s="1" t="s">
        <v>3426</v>
      </c>
      <c r="F1599" s="1" t="s">
        <v>3427</v>
      </c>
      <c r="G1599" s="1" t="s">
        <v>49</v>
      </c>
      <c r="H1599" s="1" t="s">
        <v>16</v>
      </c>
      <c r="I1599" s="1" t="str">
        <f ca="1">IFERROR(__xludf.DUMMYFUNCTION("GOOGLETRANSLATE(F1599, ""auto"", ""en"")
"),"I bought it today - it’s an ordinary fan))) only without blades... noisy!!! as usual))) Price=design, that's all")</f>
        <v>I bought it today - it’s an ordinary fan))) only without blades... noisy!!! as usual))) Price=design, that's all</v>
      </c>
    </row>
    <row r="1600" spans="1:9" x14ac:dyDescent="0.3">
      <c r="A1600" s="1" t="s">
        <v>37</v>
      </c>
      <c r="B1600" s="1" t="s">
        <v>355</v>
      </c>
      <c r="C1600" s="1" t="s">
        <v>356</v>
      </c>
      <c r="D1600" s="1" t="s">
        <v>3428</v>
      </c>
      <c r="E1600" s="1" t="s">
        <v>1922</v>
      </c>
      <c r="F1600" s="1" t="s">
        <v>3429</v>
      </c>
      <c r="G1600" s="1" t="s">
        <v>36</v>
      </c>
      <c r="H1600" s="1" t="s">
        <v>29</v>
      </c>
      <c r="I1600" s="1" t="str">
        <f ca="1">IFERROR(__xludf.DUMMYFUNCTION("GOOGLETRANSLATE(F1600, ""auto"", ""en"")
"),"Apple is simply excellent, minus only one bluetooth.  I bought my first apple in 2009. I spent six months and gave it to my brother, I didn’t want to go to school like that.  Now I will buy a 3GS or iPhone 4 again.")</f>
        <v>Apple is simply excellent, minus only one bluetooth.  I bought my first apple in 2009. I spent six months and gave it to my brother, I didn’t want to go to school like that.  Now I will buy a 3GS or iPhone 4 again.</v>
      </c>
    </row>
    <row r="1601" spans="1:9" x14ac:dyDescent="0.3">
      <c r="A1601" s="1" t="s">
        <v>169</v>
      </c>
      <c r="B1601" s="1" t="s">
        <v>170</v>
      </c>
      <c r="C1601" s="1" t="s">
        <v>97</v>
      </c>
      <c r="D1601" s="1" t="s">
        <v>39</v>
      </c>
      <c r="E1601" s="1" t="s">
        <v>1450</v>
      </c>
      <c r="F1601" s="1" t="s">
        <v>3430</v>
      </c>
      <c r="G1601" s="1" t="s">
        <v>36</v>
      </c>
      <c r="H1601" s="1" t="s">
        <v>29</v>
      </c>
      <c r="I1601" s="1" t="str">
        <f ca="1">IFERROR(__xludf.DUMMYFUNCTION("GOOGLETRANSLATE(F1601, ""auto"", ""en"")
"),"...The headphones are surprisingly just superb in sound, taking into account the fact that I understand what good sound is....and not boom-boom. It plays just fine with the iPhone, and the volume and everything else is enough) This model is definitely wor"&amp;"th the money. Of the minuses, I noted the thin wire and the same length of each of the wires (left and right), which is not very convenient..... but these are all minor things, because... I repeat, the sound is AMAZING!!!")</f>
        <v>...The headphones are surprisingly just superb in sound, taking into account the fact that I understand what good sound is....and not boom-boom. It plays just fine with the iPhone, and the volume and everything else is enough) This model is definitely worth the money. Of the minuses, I noted the thin wire and the same length of each of the wires (left and right), which is not very convenient..... but these are all minor things, because... I repeat, the sound is AMAZING!!!</v>
      </c>
    </row>
    <row r="1602" spans="1:9" x14ac:dyDescent="0.3">
      <c r="A1602" s="1" t="s">
        <v>211</v>
      </c>
      <c r="B1602" s="1" t="s">
        <v>410</v>
      </c>
      <c r="C1602" s="1" t="s">
        <v>213</v>
      </c>
      <c r="D1602" s="1" t="s">
        <v>589</v>
      </c>
      <c r="E1602" s="1" t="s">
        <v>3431</v>
      </c>
      <c r="F1602" s="1" t="s">
        <v>3432</v>
      </c>
      <c r="G1602" s="1" t="s">
        <v>94</v>
      </c>
      <c r="H1602" s="1" t="s">
        <v>29</v>
      </c>
      <c r="I1602" s="1" t="str">
        <f ca="1">IFERROR(__xludf.DUMMYFUNCTION("GOOGLETRANSLATE(F1602, ""auto"", ""en"")
"),"Good razor")</f>
        <v>Good razor</v>
      </c>
    </row>
    <row r="1603" spans="1:9" x14ac:dyDescent="0.3">
      <c r="A1603" s="1" t="s">
        <v>67</v>
      </c>
      <c r="B1603" s="1" t="s">
        <v>340</v>
      </c>
      <c r="C1603" s="1" t="s">
        <v>341</v>
      </c>
      <c r="D1603" s="1" t="s">
        <v>2653</v>
      </c>
      <c r="E1603" s="1" t="s">
        <v>3433</v>
      </c>
      <c r="F1603" s="1" t="s">
        <v>3434</v>
      </c>
      <c r="G1603" s="1" t="s">
        <v>36</v>
      </c>
      <c r="H1603" s="1" t="s">
        <v>29</v>
      </c>
      <c r="I1603" s="1" t="str">
        <f ca="1">IFERROR(__xludf.DUMMYFUNCTION("GOOGLETRANSLATE(F1603, ""auto"", ""en"")
"),"I used to have a Brother machine, not the most expensive, but it still sewed somehow. Yesterday I bought this sewing machine. OOOOO this is heaven and earth. I'm not a professional, but sometimes I like to sew. So cool, the instructions are so clear. It w"&amp;"orks quietly and sews thick items. Honestly just a super machine.")</f>
        <v>I used to have a Brother machine, not the most expensive, but it still sewed somehow. Yesterday I bought this sewing machine. OOOOO this is heaven and earth. I'm not a professional, but sometimes I like to sew. So cool, the instructions are so clear. It works quietly and sews thick items. Honestly just a super machine.</v>
      </c>
    </row>
    <row r="1604" spans="1:9" x14ac:dyDescent="0.3">
      <c r="A1604" s="1" t="s">
        <v>149</v>
      </c>
      <c r="B1604" s="1" t="s">
        <v>150</v>
      </c>
      <c r="C1604" s="1" t="s">
        <v>2016</v>
      </c>
      <c r="D1604" s="1" t="s">
        <v>171</v>
      </c>
      <c r="E1604" s="1" t="s">
        <v>3435</v>
      </c>
      <c r="F1604" s="1" t="s">
        <v>3436</v>
      </c>
      <c r="G1604" s="1" t="s">
        <v>28</v>
      </c>
      <c r="H1604" s="1" t="s">
        <v>29</v>
      </c>
      <c r="I1604" s="1" t="str">
        <f ca="1">IFERROR(__xludf.DUMMYFUNCTION("GOOGLETRANSLATE(F1604, ""auto"", ""en"")
"),"I bought a vacuum cleaner before Christmas. As soon as I arrived home, I immediately tried it out. To be honest, I expected more. You bring your hand to the brush, it seems to suck in, but not well enough. I understand that it’s small and you shouldn’t ex"&amp;"pect more, but I thought it would be better. It sucks dust and debris, but you have to drive it over the same place a lot of times. The folding brush is only suitable for seats where there is the least amount of dirt. Because it needs to be driven in only"&amp;" one direction - towards yourself. Because it folds when you move it away from you. When I cleaned the floor several times, it folded up, annoying. Now about the positives. The wire is really long. I walked almost the entire car with the vacuum cleaner wi"&amp;"thout unplugging the cord. You can place the vacuum cleaner on the seat and use a hose to clean the floor and under the seats. The hose is very soft and flexible. You can get through anywhere with attachments. Conclusion: if you don’t let the inside of yo"&amp;"ur car get dirty, this vacuum cleaner will handle small debris. But of course it won’t clean it perfectly.")</f>
        <v>I bought a vacuum cleaner before Christmas. As soon as I arrived home, I immediately tried it out. To be honest, I expected more. You bring your hand to the brush, it seems to suck in, but not well enough. I understand that it’s small and you shouldn’t expect more, but I thought it would be better. It sucks dust and debris, but you have to drive it over the same place a lot of times. The folding brush is only suitable for seats where there is the least amount of dirt. Because it needs to be driven in only one direction - towards yourself. Because it folds when you move it away from you. When I cleaned the floor several times, it folded up, annoying. Now about the positives. The wire is really long. I walked almost the entire car with the vacuum cleaner without unplugging the cord. You can place the vacuum cleaner on the seat and use a hose to clean the floor and under the seats. The hose is very soft and flexible. You can get through anywhere with attachments. Conclusion: if you don’t let the inside of your car get dirty, this vacuum cleaner will handle small debris. But of course it won’t clean it perfectly.</v>
      </c>
    </row>
    <row r="1605" spans="1:9" x14ac:dyDescent="0.3">
      <c r="A1605" s="1" t="s">
        <v>95</v>
      </c>
      <c r="B1605" s="1" t="s">
        <v>227</v>
      </c>
      <c r="C1605" s="1" t="s">
        <v>97</v>
      </c>
      <c r="D1605" s="1" t="s">
        <v>172</v>
      </c>
      <c r="E1605" s="1" t="s">
        <v>937</v>
      </c>
      <c r="F1605" s="1" t="s">
        <v>3437</v>
      </c>
      <c r="G1605" s="1" t="s">
        <v>36</v>
      </c>
      <c r="H1605" s="1" t="s">
        <v>29</v>
      </c>
      <c r="I1605" s="1" t="str">
        <f ca="1">IFERROR(__xludf.DUMMYFUNCTION("GOOGLETRANSLATE(F1605, ""auto"", ""en"")
"),"I want to please myself with a console, but I’m very hesitant between boxing and Sonya, tell me which will more justify the wait) I’m more inclined towards Sonya, but still)")</f>
        <v>I want to please myself with a console, but I’m very hesitant between boxing and Sonya, tell me which will more justify the wait) I’m more inclined towards Sonya, but still)</v>
      </c>
    </row>
    <row r="1606" spans="1:9" x14ac:dyDescent="0.3">
      <c r="A1606" s="1" t="s">
        <v>9</v>
      </c>
      <c r="B1606" s="1" t="s">
        <v>10</v>
      </c>
      <c r="C1606" s="1" t="s">
        <v>3438</v>
      </c>
      <c r="D1606" s="1" t="s">
        <v>568</v>
      </c>
      <c r="E1606" s="1" t="s">
        <v>3439</v>
      </c>
      <c r="F1606" s="1" t="s">
        <v>3440</v>
      </c>
      <c r="G1606" s="1" t="s">
        <v>36</v>
      </c>
      <c r="H1606" s="1" t="s">
        <v>29</v>
      </c>
      <c r="I1606" s="1" t="str">
        <f ca="1">IFERROR(__xludf.DUMMYFUNCTION("GOOGLETRANSLATE(F1606, ""auto"", ""en"")
"),"Everything is fine, works well, no problems, everyone is happy, within a year!")</f>
        <v>Everything is fine, works well, no problems, everyone is happy, within a year!</v>
      </c>
    </row>
    <row r="1607" spans="1:9" x14ac:dyDescent="0.3">
      <c r="A1607" s="1" t="s">
        <v>30</v>
      </c>
      <c r="B1607" s="1" t="s">
        <v>50</v>
      </c>
      <c r="C1607" s="1" t="s">
        <v>694</v>
      </c>
      <c r="D1607" s="1" t="s">
        <v>1659</v>
      </c>
      <c r="E1607" s="1" t="s">
        <v>1723</v>
      </c>
      <c r="F1607" s="1" t="s">
        <v>3441</v>
      </c>
      <c r="G1607" s="1" t="s">
        <v>28</v>
      </c>
      <c r="H1607" s="1" t="s">
        <v>29</v>
      </c>
      <c r="I1607" s="1" t="str">
        <f ca="1">IFERROR(__xludf.DUMMYFUNCTION("GOOGLETRANSLATE(F1607, ""auto"", ""en"")
"),"excellent replacement for a netbook, bought it almost a month ago for work, very pleased.")</f>
        <v>excellent replacement for a netbook, bought it almost a month ago for work, very pleased.</v>
      </c>
    </row>
    <row r="1608" spans="1:9" x14ac:dyDescent="0.3">
      <c r="A1608" s="1" t="s">
        <v>120</v>
      </c>
      <c r="B1608" s="1" t="s">
        <v>121</v>
      </c>
      <c r="C1608" s="1" t="s">
        <v>151</v>
      </c>
      <c r="D1608" s="1" t="s">
        <v>139</v>
      </c>
      <c r="E1608" s="1" t="s">
        <v>288</v>
      </c>
      <c r="F1608" s="1" t="s">
        <v>3442</v>
      </c>
      <c r="G1608" s="1" t="s">
        <v>36</v>
      </c>
      <c r="H1608" s="1" t="s">
        <v>29</v>
      </c>
      <c r="I1608" s="1" t="str">
        <f ca="1">IFERROR(__xludf.DUMMYFUNCTION("GOOGLETRANSLATE(F1608, ""auto"", ""en"")
"),"I connected it to the computer via S-Video, it shows in black and white, what should I do? Tell me, maybe someone has encountered this.")</f>
        <v>I connected it to the computer via S-Video, it shows in black and white, what should I do? Tell me, maybe someone has encountered this.</v>
      </c>
    </row>
    <row r="1609" spans="1:9" x14ac:dyDescent="0.3">
      <c r="A1609" s="1" t="s">
        <v>17</v>
      </c>
      <c r="B1609" s="1" t="s">
        <v>18</v>
      </c>
      <c r="C1609" s="1" t="s">
        <v>665</v>
      </c>
      <c r="D1609" s="1" t="s">
        <v>86</v>
      </c>
      <c r="E1609" s="1" t="s">
        <v>3323</v>
      </c>
      <c r="F1609" s="1" t="s">
        <v>3443</v>
      </c>
      <c r="G1609" s="1" t="s">
        <v>36</v>
      </c>
      <c r="H1609" s="1" t="s">
        <v>29</v>
      </c>
      <c r="I1609" s="1" t="str">
        <f ca="1">IFERROR(__xludf.DUMMYFUNCTION("GOOGLETRANSLATE(F1609, ""auto"", ""en"")
"),"Excellent washing machine. We've been using it for over a year, no complaints. It washes well, saves water) is childproof (you can’t just open the door), I like the melody, after the wash is completed, it’s stable, no matter what they say, but for me now "&amp;"Haier is a brand that I will turn to in the future.")</f>
        <v>Excellent washing machine. We've been using it for over a year, no complaints. It washes well, saves water) is childproof (you can’t just open the door), I like the melody, after the wash is completed, it’s stable, no matter what they say, but for me now Haier is a brand that I will turn to in the future.</v>
      </c>
    </row>
    <row r="1610" spans="1:9" x14ac:dyDescent="0.3">
      <c r="A1610" s="1" t="s">
        <v>211</v>
      </c>
      <c r="B1610" s="1" t="s">
        <v>410</v>
      </c>
      <c r="C1610" s="1" t="s">
        <v>213</v>
      </c>
      <c r="D1610" s="1" t="s">
        <v>232</v>
      </c>
      <c r="E1610" s="1" t="s">
        <v>3444</v>
      </c>
      <c r="F1610" s="1" t="s">
        <v>3445</v>
      </c>
      <c r="G1610" s="1" t="s">
        <v>28</v>
      </c>
      <c r="H1610" s="1" t="s">
        <v>29</v>
      </c>
      <c r="I1610" s="1" t="str">
        <f ca="1">IFERROR(__xludf.DUMMYFUNCTION("GOOGLETRANSLATE(F1610, ""auto"", ""en"")
"),"On the plus side, it shaves well without irritation, it can work both from the mains and from a battery, 3 shaving modes from weak to intense. Of the minuses, the locking mechanism is weak and unreliable, it soon broke, and the trimmer mechanism is also w"&amp;"eak.")</f>
        <v>On the plus side, it shaves well without irritation, it can work both from the mains and from a battery, 3 shaving modes from weak to intense. Of the minuses, the locking mechanism is weak and unreliable, it soon broke, and the trimmer mechanism is also weak.</v>
      </c>
    </row>
    <row r="1611" spans="1:9" x14ac:dyDescent="0.3">
      <c r="A1611" s="1" t="s">
        <v>61</v>
      </c>
      <c r="B1611" s="1" t="s">
        <v>977</v>
      </c>
      <c r="C1611" s="1" t="s">
        <v>246</v>
      </c>
      <c r="D1611" s="1" t="s">
        <v>2595</v>
      </c>
      <c r="E1611" s="1" t="s">
        <v>1005</v>
      </c>
      <c r="F1611" s="1" t="s">
        <v>3446</v>
      </c>
      <c r="G1611" s="1" t="s">
        <v>36</v>
      </c>
      <c r="H1611" s="1" t="s">
        <v>29</v>
      </c>
      <c r="I1611" s="1" t="str">
        <f ca="1">IFERROR(__xludf.DUMMYFUNCTION("GOOGLETRANSLATE(F1611, ""auto"", ""en"")
"),"The blender is good. The main attachment is made of plastic, but overall it’s not bad. In Braun it is metal and without holes, so it splashes less. I was pleased with the whisk, now cream for the cake is not a problem at all. In the main compartment you c"&amp;"an prepare delicious cocktails. They come out better than in cafes, most importantly according to the recipe.  I took it purely because of the whisk included in the kit, choosing between Braun and Tefal. For those who don't need a whisk, I recommend Braun"&amp;".")</f>
        <v>The blender is good. The main attachment is made of plastic, but overall it’s not bad. In Braun it is metal and without holes, so it splashes less. I was pleased with the whisk, now cream for the cake is not a problem at all. In the main compartment you can prepare delicious cocktails. They come out better than in cafes, most importantly according to the recipe.  I took it purely because of the whisk included in the kit, choosing between Braun and Tefal. For those who don't need a whisk, I recommend Braun.</v>
      </c>
    </row>
    <row r="1612" spans="1:9" x14ac:dyDescent="0.3">
      <c r="A1612" s="1" t="s">
        <v>37</v>
      </c>
      <c r="B1612" s="1" t="s">
        <v>38</v>
      </c>
      <c r="C1612" s="1" t="s">
        <v>163</v>
      </c>
      <c r="D1612" s="1" t="s">
        <v>3447</v>
      </c>
      <c r="E1612" s="1" t="s">
        <v>3448</v>
      </c>
      <c r="F1612" s="1" t="s">
        <v>3449</v>
      </c>
      <c r="G1612" s="1" t="s">
        <v>36</v>
      </c>
      <c r="H1612" s="1" t="s">
        <v>29</v>
      </c>
      <c r="I1612" s="1" t="str">
        <f ca="1">IFERROR(__xludf.DUMMYFUNCTION("GOOGLETRANSLATE(F1612, ""auto"", ""en"")
"),"excellent phone FOR THIS PRICE... the build quality is like everyone else's, that is, excellent... but the main thing is the battery... very durable!")</f>
        <v>excellent phone FOR THIS PRICE... the build quality is like everyone else's, that is, excellent... but the main thing is the battery... very durable!</v>
      </c>
    </row>
    <row r="1613" spans="1:9" x14ac:dyDescent="0.3">
      <c r="A1613" s="1" t="s">
        <v>120</v>
      </c>
      <c r="B1613" s="1" t="s">
        <v>121</v>
      </c>
      <c r="C1613" s="1" t="s">
        <v>80</v>
      </c>
      <c r="D1613" s="1" t="s">
        <v>2764</v>
      </c>
      <c r="E1613" s="1" t="s">
        <v>708</v>
      </c>
      <c r="F1613" s="1" t="s">
        <v>3450</v>
      </c>
      <c r="G1613" s="1" t="s">
        <v>36</v>
      </c>
      <c r="H1613" s="1" t="s">
        <v>29</v>
      </c>
      <c r="I1613" s="1" t="str">
        <f ca="1">IFERROR(__xludf.DUMMYFUNCTION("GOOGLETRANSLATE(F1613, ""auto"", ""en"")
"),"We bought it yesterday, we liked the appearance and functions, so far there are no complaints, the flash drive plays perfectly! The sound is good and there are many options.")</f>
        <v>We bought it yesterday, we liked the appearance and functions, so far there are no complaints, the flash drive plays perfectly! The sound is good and there are many options.</v>
      </c>
    </row>
    <row r="1614" spans="1:9" x14ac:dyDescent="0.3">
      <c r="A1614" s="1" t="s">
        <v>17</v>
      </c>
      <c r="B1614" s="1" t="s">
        <v>18</v>
      </c>
      <c r="C1614" s="1" t="s">
        <v>80</v>
      </c>
      <c r="D1614" s="1" t="s">
        <v>545</v>
      </c>
      <c r="E1614" s="1" t="s">
        <v>897</v>
      </c>
      <c r="F1614" s="1" t="s">
        <v>3451</v>
      </c>
      <c r="G1614" s="1" t="s">
        <v>36</v>
      </c>
      <c r="H1614" s="1" t="s">
        <v>29</v>
      </c>
      <c r="I1614" s="1" t="str">
        <f ca="1">IFERROR(__xludf.DUMMYFUNCTION("GOOGLETRANSLATE(F1614, ""auto"", ""en"")
"),"We chose a washing machine via the Internet by comparing characteristics and chose this model. The main point is direct drive. I really like the car. Many modes. The program is intelligence. We wash it very often. The other day we loaded a huge double bla"&amp;"nket - I thought I couldn’t handle it - Duvet mode, washed it wonderfully, wrung it almost until dry. I use a spin speed of only 800 rpm - firstly, the item does not deteriorate, and secondly, this is quite enough. It washes very well in any mode and the "&amp;"machine itself is relatively quiet.")</f>
        <v>We chose a washing machine via the Internet by comparing characteristics and chose this model. The main point is direct drive. I really like the car. Many modes. The program is intelligence. We wash it very often. The other day we loaded a huge double blanket - I thought I couldn’t handle it - Duvet mode, washed it wonderfully, wrung it almost until dry. I use a spin speed of only 800 rpm - firstly, the item does not deteriorate, and secondly, this is quite enough. It washes very well in any mode and the machine itself is relatively quiet.</v>
      </c>
    </row>
    <row r="1615" spans="1:9" x14ac:dyDescent="0.3">
      <c r="A1615" s="1" t="s">
        <v>30</v>
      </c>
      <c r="B1615" s="1" t="s">
        <v>50</v>
      </c>
      <c r="C1615" s="1" t="s">
        <v>51</v>
      </c>
      <c r="D1615" s="1" t="s">
        <v>127</v>
      </c>
      <c r="E1615" s="1" t="s">
        <v>1527</v>
      </c>
      <c r="F1615" s="1" t="s">
        <v>3452</v>
      </c>
      <c r="G1615" s="1" t="s">
        <v>36</v>
      </c>
      <c r="H1615" s="1" t="s">
        <v>29</v>
      </c>
      <c r="I1615" s="1" t="str">
        <f ca="1">IFERROR(__xludf.DUMMYFUNCTION("GOOGLETRANSLATE(F1615, ""auto"", ""en"")
"),"I liked it. Very quiet, sometimes the hard drive actually clicks, but it doesn’t bother me, as long as it doesn’t die prematurely. I work on it after a desktop PC and the keyboard after a desktop one is a little unusual, namely the location of the Del key"&amp;"s in the right area, and in general the right block of keys, you often miss the first one. Well, these are minor things, but everything is fine.  It’s really unclear why they installed DD3 RAM if the system bus is 800.")</f>
        <v>I liked it. Very quiet, sometimes the hard drive actually clicks, but it doesn’t bother me, as long as it doesn’t die prematurely. I work on it after a desktop PC and the keyboard after a desktop one is a little unusual, namely the location of the Del keys in the right area, and in general the right block of keys, you often miss the first one. Well, these are minor things, but everything is fine.  It’s really unclear why they installed DD3 RAM if the system bus is 800.</v>
      </c>
    </row>
    <row r="1616" spans="1:9" x14ac:dyDescent="0.3">
      <c r="A1616" s="1" t="s">
        <v>17</v>
      </c>
      <c r="B1616" s="1" t="s">
        <v>18</v>
      </c>
      <c r="C1616" s="1" t="s">
        <v>243</v>
      </c>
      <c r="D1616" s="1" t="s">
        <v>1662</v>
      </c>
      <c r="E1616" s="1" t="s">
        <v>1601</v>
      </c>
      <c r="F1616" s="1" t="s">
        <v>3453</v>
      </c>
      <c r="G1616" s="1" t="s">
        <v>36</v>
      </c>
      <c r="H1616" s="1" t="s">
        <v>29</v>
      </c>
      <c r="I1616" s="1" t="str">
        <f ca="1">IFERROR(__xludf.DUMMYFUNCTION("GOOGLETRANSLATE(F1616, ""auto"", ""en"")
"),"I'm happy with the purchase. It's compact, all functions work, it spins well too. I recommend it.")</f>
        <v>I'm happy with the purchase. It's compact, all functions work, it spins well too. I recommend it.</v>
      </c>
    </row>
    <row r="1617" spans="1:9" x14ac:dyDescent="0.3">
      <c r="A1617" s="1" t="s">
        <v>211</v>
      </c>
      <c r="B1617" s="1" t="s">
        <v>384</v>
      </c>
      <c r="C1617" s="1" t="s">
        <v>246</v>
      </c>
      <c r="D1617" s="1" t="s">
        <v>3100</v>
      </c>
      <c r="E1617" s="1" t="s">
        <v>3454</v>
      </c>
      <c r="F1617" s="1" t="s">
        <v>3455</v>
      </c>
      <c r="G1617" s="1" t="s">
        <v>36</v>
      </c>
      <c r="H1617" s="1" t="s">
        <v>29</v>
      </c>
      <c r="I1617" s="1" t="str">
        <f ca="1">IFERROR(__xludf.DUMMYFUNCTION("GOOGLETRANSLATE(F1617, ""auto"", ""en"")
"),"In my opinion, the scales are very good, just what I need! Nothing superfluous, and that there is no memory for several people and other bells and whistles, it’s just good news - you don’t need to bother! Scales perform their main function, show accurate "&amp;"weight, and what else is needed!? In addition, the price-quality ratio is good. I hope they don't disappoint me))")</f>
        <v>In my opinion, the scales are very good, just what I need! Nothing superfluous, and that there is no memory for several people and other bells and whistles, it’s just good news - you don’t need to bother! Scales perform their main function, show accurate weight, and what else is needed!? In addition, the price-quality ratio is good. I hope they don't disappoint me))</v>
      </c>
    </row>
    <row r="1618" spans="1:9" x14ac:dyDescent="0.3">
      <c r="A1618" s="1" t="s">
        <v>211</v>
      </c>
      <c r="B1618" s="1" t="s">
        <v>789</v>
      </c>
      <c r="C1618" s="1" t="s">
        <v>69</v>
      </c>
      <c r="D1618" s="1" t="s">
        <v>3456</v>
      </c>
      <c r="E1618" s="1" t="s">
        <v>2529</v>
      </c>
      <c r="F1618" s="1" t="s">
        <v>3457</v>
      </c>
      <c r="G1618" s="1" t="s">
        <v>36</v>
      </c>
      <c r="H1618" s="1" t="s">
        <v>29</v>
      </c>
      <c r="I1618" s="1" t="str">
        <f ca="1">IFERROR(__xludf.DUMMYFUNCTION("GOOGLETRANSLATE(F1618, ""auto"", ""en"")
"),"It’s just that some mothers are technically illiterate and do not understand that the baby monitor has a directional microphone, which should be directed, forgive the tautology, at the potential source of sound, that is, the child. And then you will hear "&amp;"how he fumbles and, even more so, screams!  I bought this device myself and use it. And, in general, it is always useful to read the operating instructions.")</f>
        <v>It’s just that some mothers are technically illiterate and do not understand that the baby monitor has a directional microphone, which should be directed, forgive the tautology, at the potential source of sound, that is, the child. And then you will hear how he fumbles and, even more so, screams!  I bought this device myself and use it. And, in general, it is always useful to read the operating instructions.</v>
      </c>
    </row>
    <row r="1619" spans="1:9" x14ac:dyDescent="0.3">
      <c r="A1619" s="1" t="s">
        <v>61</v>
      </c>
      <c r="B1619" s="1" t="s">
        <v>180</v>
      </c>
      <c r="C1619" s="1" t="s">
        <v>85</v>
      </c>
      <c r="D1619" s="1" t="s">
        <v>1771</v>
      </c>
      <c r="E1619" s="1" t="s">
        <v>3458</v>
      </c>
      <c r="F1619" s="1" t="s">
        <v>3459</v>
      </c>
      <c r="G1619" s="1" t="s">
        <v>36</v>
      </c>
      <c r="H1619" s="1" t="s">
        <v>29</v>
      </c>
      <c r="I1619" s="1" t="str">
        <f ca="1">IFERROR(__xludf.DUMMYFUNCTION("GOOGLETRANSLATE(F1619, ""auto"", ""en"")
"),"After a year of using this toaster, I can say that the Bork T700 will surprise even the most demanding toast lover. The device has 9 different degrees of browning, a one-sided toasting function, and using the Reheat function you can repeatedly fry or rehe"&amp;"at ready-made toast. During all the time of use, there has never been a time when the bread was burnt; it always looks golden, appetizing and evenly cooked. And the toaster itself is still like new, there are no marks on the body, the material is high-qua"&amp;"lity, it works without problems, we haven’t called for service and I hope we won’t have to for a long time!")</f>
        <v>After a year of using this toaster, I can say that the Bork T700 will surprise even the most demanding toast lover. The device has 9 different degrees of browning, a one-sided toasting function, and using the Reheat function you can repeatedly fry or reheat ready-made toast. During all the time of use, there has never been a time when the bread was burnt; it always looks golden, appetizing and evenly cooked. And the toaster itself is still like new, there are no marks on the body, the material is high-quality, it works without problems, we haven’t called for service and I hope we won’t have to for a long time!</v>
      </c>
    </row>
    <row r="1620" spans="1:9" x14ac:dyDescent="0.3">
      <c r="A1620" s="1" t="s">
        <v>89</v>
      </c>
      <c r="B1620" s="1" t="s">
        <v>90</v>
      </c>
      <c r="C1620" s="1" t="s">
        <v>63</v>
      </c>
      <c r="D1620" s="1" t="s">
        <v>127</v>
      </c>
      <c r="E1620" s="1" t="s">
        <v>87</v>
      </c>
      <c r="F1620" s="1" t="s">
        <v>3460</v>
      </c>
      <c r="G1620" s="1" t="s">
        <v>15</v>
      </c>
      <c r="H1620" s="1" t="s">
        <v>16</v>
      </c>
      <c r="I1620" s="1" t="str">
        <f ca="1">IFERROR(__xludf.DUMMYFUNCTION("GOOGLETRANSLATE(F1620, ""auto"", ""en"")
"),"It died very quickly, in just over a year, in total I ground no more than 7 kg with it, although the grinding was fast and high-quality (uniform). Unrepairable (as intended by the manufacturers...). I really don't recommend it.")</f>
        <v>It died very quickly, in just over a year, in total I ground no more than 7 kg with it, although the grinding was fast and high-quality (uniform). Unrepairable (as intended by the manufacturers...). I really don't recommend it.</v>
      </c>
    </row>
    <row r="1621" spans="1:9" x14ac:dyDescent="0.3">
      <c r="A1621" s="1" t="s">
        <v>61</v>
      </c>
      <c r="B1621" s="1" t="s">
        <v>318</v>
      </c>
      <c r="C1621" s="1" t="s">
        <v>101</v>
      </c>
      <c r="D1621" s="1" t="s">
        <v>565</v>
      </c>
      <c r="E1621" s="1" t="s">
        <v>3461</v>
      </c>
      <c r="F1621" s="1" t="s">
        <v>3462</v>
      </c>
      <c r="G1621" s="1" t="s">
        <v>49</v>
      </c>
      <c r="H1621" s="1" t="s">
        <v>16</v>
      </c>
      <c r="I1621" s="1" t="str">
        <f ca="1">IFERROR(__xludf.DUMMYFUNCTION("GOOGLETRANSLATE(F1621, ""auto"", ""en"")
"),"Yesterday I bought a kettle. I set the water to boil for the first time and the lid immediately cracked in two places. Today I’ll go and change it to something else, there’s no point in changing it to the same one. You buy an item to use, and not to wande"&amp;"r back and forth in the hope that you will come across something that is not defective.")</f>
        <v>Yesterday I bought a kettle. I set the water to boil for the first time and the lid immediately cracked in two places. Today I’ll go and change it to something else, there’s no point in changing it to the same one. You buy an item to use, and not to wander back and forth in the hope that you will come across something that is not defective.</v>
      </c>
    </row>
    <row r="1622" spans="1:9" x14ac:dyDescent="0.3">
      <c r="A1622" s="1" t="s">
        <v>120</v>
      </c>
      <c r="B1622" s="1" t="s">
        <v>126</v>
      </c>
      <c r="C1622" s="1" t="s">
        <v>151</v>
      </c>
      <c r="D1622" s="1" t="s">
        <v>3463</v>
      </c>
      <c r="E1622" s="1" t="s">
        <v>2593</v>
      </c>
      <c r="F1622" s="1" t="s">
        <v>3464</v>
      </c>
      <c r="G1622" s="1" t="s">
        <v>36</v>
      </c>
      <c r="H1622" s="1" t="s">
        <v>29</v>
      </c>
      <c r="I1622" s="1" t="str">
        <f ca="1">IFERROR(__xludf.DUMMYFUNCTION("GOOGLETRANSLATE(F1622, ""auto"", ""en"")
"),"TV is good, then there are models like 3D, for those who don’t need 3D, then in terms of functionality this is exactly what you need!!! All the same functions as the 530 and 550 models, + some useful functions have been improved, the image is super, there"&amp;" is, of course, more contrast, and the colors are more “summer”, but Samsung is also good in its own way, and is better than many in reliability.")</f>
        <v>TV is good, then there are models like 3D, for those who don’t need 3D, then in terms of functionality this is exactly what you need!!! All the same functions as the 530 and 550 models, + some useful functions have been improved, the image is super, there is, of course, more contrast, and the colors are more “summer”, but Samsung is also good in its own way, and is better than many in reliability.</v>
      </c>
    </row>
    <row r="1623" spans="1:9" x14ac:dyDescent="0.3">
      <c r="A1623" s="1" t="s">
        <v>95</v>
      </c>
      <c r="B1623" s="1" t="s">
        <v>648</v>
      </c>
      <c r="C1623" s="1" t="s">
        <v>97</v>
      </c>
      <c r="D1623" s="1" t="s">
        <v>172</v>
      </c>
      <c r="E1623" s="1" t="s">
        <v>3465</v>
      </c>
      <c r="F1623" s="1" t="s">
        <v>3466</v>
      </c>
      <c r="G1623" s="1" t="s">
        <v>36</v>
      </c>
      <c r="H1623" s="1" t="s">
        <v>29</v>
      </c>
      <c r="I1623" s="1" t="str">
        <f ca="1">IFERROR(__xludf.DUMMYFUNCTION("GOOGLETRANSLATE(F1623, ""auto"", ""en"")
"),"I think the console was a success.   It’s very convenient to buy games right away without leaving home: pay, download, play. There is no need to wait for the game to be delivered, there are no markups from retail chains - very convenient.    Also now the "&amp;"dimensions of the console have been reduced to the limit, which allows you to carry it in your pocket. The previous PSP only fit into a bag.")</f>
        <v>I think the console was a success.   It’s very convenient to buy games right away without leaving home: pay, download, play. There is no need to wait for the game to be delivered, there are no markups from retail chains - very convenient.    Also now the dimensions of the console have been reduced to the limit, which allows you to carry it in your pocket. The previous PSP only fit into a bag.</v>
      </c>
    </row>
    <row r="1624" spans="1:9" x14ac:dyDescent="0.3">
      <c r="A1624" s="1" t="s">
        <v>169</v>
      </c>
      <c r="B1624" s="1" t="s">
        <v>170</v>
      </c>
      <c r="C1624" s="1" t="s">
        <v>193</v>
      </c>
      <c r="D1624" s="1" t="s">
        <v>102</v>
      </c>
      <c r="E1624" s="1" t="s">
        <v>187</v>
      </c>
      <c r="F1624" s="1" t="s">
        <v>3467</v>
      </c>
      <c r="G1624" s="1" t="s">
        <v>36</v>
      </c>
      <c r="H1624" s="1" t="s">
        <v>29</v>
      </c>
      <c r="I1624" s="1" t="str">
        <f ca="1">IFERROR(__xludf.DUMMYFUNCTION("GOOGLETRANSLATE(F1624, ""auto"", ""en"")
"),"I bought it today. I was very pleased with the dense, rich sound with clear detail. Yes, it’s a little harsh, but let’s hope that this is a temporary effect... Sennheiser HD-205 5+")</f>
        <v>I bought it today. I was very pleased with the dense, rich sound with clear detail. Yes, it’s a little harsh, but let’s hope that this is a temporary effect... Sennheiser HD-205 5+</v>
      </c>
    </row>
    <row r="1625" spans="1:9" x14ac:dyDescent="0.3">
      <c r="A1625" s="1" t="s">
        <v>965</v>
      </c>
      <c r="B1625" s="1" t="s">
        <v>966</v>
      </c>
      <c r="C1625" s="1" t="s">
        <v>2149</v>
      </c>
      <c r="D1625" s="1" t="s">
        <v>3468</v>
      </c>
      <c r="E1625" s="1" t="s">
        <v>3469</v>
      </c>
      <c r="F1625" s="1" t="s">
        <v>3470</v>
      </c>
      <c r="G1625" s="1" t="s">
        <v>36</v>
      </c>
      <c r="H1625" s="1" t="s">
        <v>29</v>
      </c>
      <c r="I1625" s="1" t="str">
        <f ca="1">IFERROR(__xludf.DUMMYFUNCTION("GOOGLETRANSLATE(F1625, ""auto"", ""en"")
"),"Today I bought myself this wonderful system. I came home, unpacked it, plugged it in and went nuts!   Everything is just super: The sound of the music is great! Plays loudly and efficiently! The sound is awesome!!! The design is good. In general, I'm happ"&amp;"y with everything. Who is looking for a good acoustic system - buy it! I hope you won't regret it!!!! =))) PRODUCT - 5 POINTS!!!")</f>
        <v>Today I bought myself this wonderful system. I came home, unpacked it, plugged it in and went nuts!   Everything is just super: The sound of the music is great! Plays loudly and efficiently! The sound is awesome!!! The design is good. In general, I'm happy with everything. Who is looking for a good acoustic system - buy it! I hope you won't regret it!!!! =))) PRODUCT - 5 POINTS!!!</v>
      </c>
    </row>
    <row r="1626" spans="1:9" x14ac:dyDescent="0.3">
      <c r="A1626" s="1" t="s">
        <v>17</v>
      </c>
      <c r="B1626" s="1" t="s">
        <v>18</v>
      </c>
      <c r="C1626" s="1" t="s">
        <v>243</v>
      </c>
      <c r="D1626" s="1" t="s">
        <v>295</v>
      </c>
      <c r="E1626" s="1" t="s">
        <v>1651</v>
      </c>
      <c r="F1626" s="1" t="s">
        <v>3471</v>
      </c>
      <c r="G1626" s="1" t="s">
        <v>28</v>
      </c>
      <c r="H1626" s="1" t="s">
        <v>29</v>
      </c>
      <c r="I1626" s="1" t="str">
        <f ca="1">IFERROR(__xludf.DUMMYFUNCTION("GOOGLETRANSLATE(F1626, ""auto"", ""en"")
"),"We bought this car in October 2009. Since it has a load of only 3.5 kg, it was washed a lot and often on different modes.   Conclusions: the “quick wash” modes have a drawback - they do not rinse the powder well, white stains remain on colored laundry, an"&amp;"d it is necessary to add an “extra rinse” mode. All other modes work well. But I would still add the “extra rinse” mode.")</f>
        <v>We bought this car in October 2009. Since it has a load of only 3.5 kg, it was washed a lot and often on different modes.   Conclusions: the “quick wash” modes have a drawback - they do not rinse the powder well, white stains remain on colored laundry, and it is necessary to add an “extra rinse” mode. All other modes work well. But I would still add the “extra rinse” mode.</v>
      </c>
    </row>
    <row r="1627" spans="1:9" x14ac:dyDescent="0.3">
      <c r="A1627" s="1" t="s">
        <v>61</v>
      </c>
      <c r="B1627" s="1" t="s">
        <v>318</v>
      </c>
      <c r="C1627" s="1" t="s">
        <v>213</v>
      </c>
      <c r="D1627" s="1" t="s">
        <v>114</v>
      </c>
      <c r="E1627" s="1" t="s">
        <v>3472</v>
      </c>
      <c r="F1627" s="1" t="s">
        <v>3473</v>
      </c>
      <c r="G1627" s="1" t="s">
        <v>36</v>
      </c>
      <c r="H1627" s="1" t="s">
        <v>29</v>
      </c>
      <c r="I1627" s="1" t="str">
        <f ca="1">IFERROR(__xludf.DUMMYFUNCTION("GOOGLETRANSLATE(F1627, ""auto"", ""en"")
"),"I bought this kettle for the whole family, in the end it turned out to be 5, if you treat it like a kettle, and not with a hammer, then nothing falls off, everything has been working for everyone for 3 years, it’s super, and by the way, what is written in"&amp;" the description is absolutely true, they say made in the Czech Republic or made in germany. 5 points")</f>
        <v>I bought this kettle for the whole family, in the end it turned out to be 5, if you treat it like a kettle, and not with a hammer, then nothing falls off, everything has been working for everyone for 3 years, it’s super, and by the way, what is written in the description is absolutely true, they say made in the Czech Republic or made in germany. 5 points</v>
      </c>
    </row>
    <row r="1628" spans="1:9" x14ac:dyDescent="0.3">
      <c r="A1628" s="1" t="s">
        <v>206</v>
      </c>
      <c r="B1628" s="1" t="s">
        <v>1349</v>
      </c>
      <c r="C1628" s="1" t="s">
        <v>262</v>
      </c>
      <c r="D1628" s="1" t="s">
        <v>52</v>
      </c>
      <c r="E1628" s="1" t="s">
        <v>3448</v>
      </c>
      <c r="F1628" s="1" t="s">
        <v>3474</v>
      </c>
      <c r="G1628" s="1" t="s">
        <v>36</v>
      </c>
      <c r="H1628" s="1" t="s">
        <v>29</v>
      </c>
      <c r="I1628" s="1" t="str">
        <f ca="1">IFERROR(__xludf.DUMMYFUNCTION("GOOGLETRANSLATE(F1628, ""auto"", ""en"")
"),"I bought it. I installed it. I’m glad. The only downside is that the auto search for stations works poorly and it takes a long time to open the flash drive, but it does open it....very high-quality hardware despite being made in China.")</f>
        <v>I bought it. I installed it. I’m glad. The only downside is that the auto search for stations works poorly and it takes a long time to open the flash drive, but it does open it....very high-quality hardware despite being made in China.</v>
      </c>
    </row>
    <row r="1629" spans="1:9" x14ac:dyDescent="0.3">
      <c r="A1629" s="1" t="s">
        <v>89</v>
      </c>
      <c r="B1629" s="1" t="s">
        <v>231</v>
      </c>
      <c r="C1629" s="1" t="s">
        <v>1072</v>
      </c>
      <c r="D1629" s="1" t="s">
        <v>117</v>
      </c>
      <c r="E1629" s="1" t="s">
        <v>3475</v>
      </c>
      <c r="F1629" s="1" t="s">
        <v>3476</v>
      </c>
      <c r="G1629" s="1" t="s">
        <v>36</v>
      </c>
      <c r="H1629" s="1" t="s">
        <v>29</v>
      </c>
      <c r="I1629" s="1" t="str">
        <f ca="1">IFERROR(__xludf.DUMMYFUNCTION("GOOGLETRANSLATE(F1629, ""auto"", ""en"")
"),"I recently purchased this coffee machine!!!! I'm very pleased with her)! The coffee brews great! The controls are the simplest, everything is clear and you don’t need to read the instructions every time!! And the most important plus is that the machine wo"&amp;"rks very quietly!!! So I recommend it to everyone, buy it, you won’t regret it!!!")</f>
        <v>I recently purchased this coffee machine!!!! I'm very pleased with her)! The coffee brews great! The controls are the simplest, everything is clear and you don’t need to read the instructions every time!! And the most important plus is that the machine works very quietly!!! So I recommend it to everyone, buy it, you won’t regret it!!!</v>
      </c>
    </row>
    <row r="1630" spans="1:9" x14ac:dyDescent="0.3">
      <c r="A1630" s="1" t="s">
        <v>61</v>
      </c>
      <c r="B1630" s="1" t="s">
        <v>145</v>
      </c>
      <c r="C1630" s="1" t="s">
        <v>85</v>
      </c>
      <c r="D1630" s="1" t="s">
        <v>52</v>
      </c>
      <c r="E1630" s="1" t="s">
        <v>3477</v>
      </c>
      <c r="F1630" s="1" t="s">
        <v>3478</v>
      </c>
      <c r="G1630" s="1" t="s">
        <v>49</v>
      </c>
      <c r="H1630" s="1" t="s">
        <v>16</v>
      </c>
      <c r="I1630" s="1" t="str">
        <f ca="1">IFERROR(__xludf.DUMMYFUNCTION("GOOGLETRANSLATE(F1630, ""auto"", ""en"")
"),"There was a TEFAL steamer - the right company and there were no problems! We bought BORK, cooked it three times and had no problems. Water constantly overflows from the bowl and floods the table. I will be replacing such a terrible purchase! The manufactu"&amp;"rer should think twice!")</f>
        <v>There was a TEFAL steamer - the right company and there were no problems! We bought BORK, cooked it three times and had no problems. Water constantly overflows from the bowl and floods the table. I will be replacing such a terrible purchase! The manufacturer should think twice!</v>
      </c>
    </row>
    <row r="1631" spans="1:9" x14ac:dyDescent="0.3">
      <c r="A1631" s="1" t="s">
        <v>30</v>
      </c>
      <c r="B1631" s="1" t="s">
        <v>50</v>
      </c>
      <c r="C1631" s="1" t="s">
        <v>51</v>
      </c>
      <c r="D1631" s="1" t="s">
        <v>3479</v>
      </c>
      <c r="E1631" s="1" t="s">
        <v>379</v>
      </c>
      <c r="F1631" s="1" t="s">
        <v>3480</v>
      </c>
      <c r="G1631" s="1" t="s">
        <v>36</v>
      </c>
      <c r="H1631" s="1" t="s">
        <v>29</v>
      </c>
      <c r="I1631" s="1" t="str">
        <f ca="1">IFERROR(__xludf.DUMMYFUNCTION("GOOGLETRANSLATE(F1631, ""auto"", ""en"")
"),"I've been using it for a week now and I'm happy with it! An excellent laptop pays for itself!")</f>
        <v>I've been using it for a week now and I'm happy with it! An excellent laptop pays for itself!</v>
      </c>
    </row>
    <row r="1632" spans="1:9" x14ac:dyDescent="0.3">
      <c r="A1632" s="1" t="s">
        <v>61</v>
      </c>
      <c r="B1632" s="1" t="s">
        <v>977</v>
      </c>
      <c r="C1632" s="1" t="s">
        <v>63</v>
      </c>
      <c r="D1632" s="1" t="s">
        <v>295</v>
      </c>
      <c r="E1632" s="1" t="s">
        <v>1371</v>
      </c>
      <c r="F1632" s="1" t="s">
        <v>3481</v>
      </c>
      <c r="G1632" s="1" t="s">
        <v>36</v>
      </c>
      <c r="H1632" s="1" t="s">
        <v>29</v>
      </c>
      <c r="I1632" s="1" t="str">
        <f ca="1">IFERROR(__xludf.DUMMYFUNCTION("GOOGLETRANSLATE(F1632, ""auto"", ""en"")
"),"We purchased a blender six months ago. I use it very often! I like the capacity of the bowl and the suction cup to the table. We made mashed potatoes for the child, pureed the berries, I really like chopping onions and garlic, it’s very convenient, quickl"&amp;"y and without problems. Using a whisk, the dough was kneaded into liquid and the cream was whipped. It's a good thing, you didn't regret the money spent.")</f>
        <v>We purchased a blender six months ago. I use it very often! I like the capacity of the bowl and the suction cup to the table. We made mashed potatoes for the child, pureed the berries, I really like chopping onions and garlic, it’s very convenient, quickly and without problems. Using a whisk, the dough was kneaded into liquid and the cream was whipped. It's a good thing, you didn't regret the money spent.</v>
      </c>
    </row>
    <row r="1633" spans="1:9" x14ac:dyDescent="0.3">
      <c r="A1633" s="1" t="s">
        <v>95</v>
      </c>
      <c r="B1633" s="1" t="s">
        <v>227</v>
      </c>
      <c r="C1633" s="1" t="s">
        <v>97</v>
      </c>
      <c r="D1633" s="1" t="s">
        <v>152</v>
      </c>
      <c r="E1633" s="1" t="s">
        <v>131</v>
      </c>
      <c r="F1633" s="1" t="s">
        <v>3482</v>
      </c>
      <c r="G1633" s="1" t="s">
        <v>36</v>
      </c>
      <c r="H1633" s="1" t="s">
        <v>29</v>
      </c>
      <c r="I1633" s="1" t="str">
        <f ca="1">IFERROR(__xludf.DUMMYFUNCTION("GOOGLETRANSLATE(F1633, ""auto"", ""en"")
"),"Yes, a good multifunctional console from SONY! Blu-ray player, game console, good sound and picture quality! It's for the whole family, no matter what your hobby is!")</f>
        <v>Yes, a good multifunctional console from SONY! Blu-ray player, game console, good sound and picture quality! It's for the whole family, no matter what your hobby is!</v>
      </c>
    </row>
    <row r="1634" spans="1:9" x14ac:dyDescent="0.3">
      <c r="A1634" s="1" t="s">
        <v>2087</v>
      </c>
      <c r="B1634" s="1" t="s">
        <v>2088</v>
      </c>
      <c r="C1634" s="1" t="s">
        <v>69</v>
      </c>
      <c r="D1634" s="1" t="s">
        <v>3483</v>
      </c>
      <c r="E1634" s="1" t="s">
        <v>194</v>
      </c>
      <c r="F1634" s="1" t="s">
        <v>3484</v>
      </c>
      <c r="G1634" s="1" t="s">
        <v>36</v>
      </c>
      <c r="H1634" s="1" t="s">
        <v>29</v>
      </c>
      <c r="I1634" s="1" t="str">
        <f ca="1">IFERROR(__xludf.DUMMYFUNCTION("GOOGLETRANSLATE(F1634, ""auto"", ""en"")
"),"Please tell me who has such a device, how does it work and all that, and does it read video from an ntfs format hard drive?")</f>
        <v>Please tell me who has such a device, how does it work and all that, and does it read video from an ntfs format hard drive?</v>
      </c>
    </row>
    <row r="1635" spans="1:9" x14ac:dyDescent="0.3">
      <c r="A1635" s="1" t="s">
        <v>43</v>
      </c>
      <c r="B1635" s="1" t="s">
        <v>303</v>
      </c>
      <c r="C1635" s="1" t="s">
        <v>665</v>
      </c>
      <c r="D1635" s="1" t="s">
        <v>280</v>
      </c>
      <c r="E1635" s="1" t="s">
        <v>1490</v>
      </c>
      <c r="F1635" s="1" t="s">
        <v>3485</v>
      </c>
      <c r="G1635" s="1" t="s">
        <v>36</v>
      </c>
      <c r="H1635" s="1" t="s">
        <v>29</v>
      </c>
      <c r="I1635" s="1" t="str">
        <f ca="1">IFERROR(__xludf.DUMMYFUNCTION("GOOGLETRANSLATE(F1635, ""auto"", ""en"")
"),"We took this model to replace an old water heater, which turned out to be a manufacturing defect and eventually burned out after two years of operation and numerous repairs. This one looks very cool (I now have more than just a Haier brand water heater in"&amp;" my house))), has compact dimensions, heats the water quickly, produces very good pressure, the water takes a long time to cool down, even in the morning you can easily wash your face without having to heat it up again. Convenient controls make it much ea"&amp;"sier to use; the water heater also has high-quality protection, and for the money, every family can easily afford one.")</f>
        <v>We took this model to replace an old water heater, which turned out to be a manufacturing defect and eventually burned out after two years of operation and numerous repairs. This one looks very cool (I now have more than just a Haier brand water heater in my house))), has compact dimensions, heats the water quickly, produces very good pressure, the water takes a long time to cool down, even in the morning you can easily wash your face without having to heat it up again. Convenient controls make it much easier to use; the water heater also has high-quality protection, and for the money, every family can easily afford one.</v>
      </c>
    </row>
    <row r="1636" spans="1:9" x14ac:dyDescent="0.3">
      <c r="A1636" s="1" t="s">
        <v>61</v>
      </c>
      <c r="B1636" s="1" t="s">
        <v>73</v>
      </c>
      <c r="C1636" s="1" t="s">
        <v>146</v>
      </c>
      <c r="D1636" s="1" t="s">
        <v>3486</v>
      </c>
      <c r="E1636" s="1" t="s">
        <v>1861</v>
      </c>
      <c r="F1636" s="1" t="s">
        <v>3487</v>
      </c>
      <c r="G1636" s="1" t="s">
        <v>49</v>
      </c>
      <c r="H1636" s="1" t="s">
        <v>16</v>
      </c>
      <c r="I1636" s="1" t="str">
        <f ca="1">IFERROR(__xludf.DUMMYFUNCTION("GOOGLETRANSLATE(F1636, ""auto"", ""en"")
"),"Not found")</f>
        <v>Not found</v>
      </c>
    </row>
    <row r="1637" spans="1:9" x14ac:dyDescent="0.3">
      <c r="A1637" s="1" t="s">
        <v>1031</v>
      </c>
      <c r="B1637" s="1" t="s">
        <v>3488</v>
      </c>
      <c r="C1637" s="1" t="s">
        <v>710</v>
      </c>
      <c r="D1637" s="1" t="s">
        <v>308</v>
      </c>
      <c r="E1637" s="1" t="s">
        <v>3489</v>
      </c>
      <c r="F1637" s="1" t="s">
        <v>3490</v>
      </c>
      <c r="G1637" s="1" t="s">
        <v>36</v>
      </c>
      <c r="H1637" s="1" t="s">
        <v>29</v>
      </c>
      <c r="I1637" s="1" t="str">
        <f ca="1">IFERROR(__xludf.DUMMYFUNCTION("GOOGLETRANSLATE(F1637, ""auto"", ""en"")
"),"When we bought a refrigerator in a store, upon opening it there was a smell of plastic and something factory-made. I wouldn’t really want to ventilate it for a couple of days, and then it’s not a fact that it would air out. And products with a plastic sme"&amp;"ll are somehow not very good. The seller showed us different flavors. Bought this one. I would even call it an odor absorber rather than a flavoring agent. Since there is 100% activated carbon inside. That is, it brings benefits and is absolutely harmless"&amp;" to the products! Bought it twice already, the smells don't mix. Useful thing 100%")</f>
        <v>When we bought a refrigerator in a store, upon opening it there was a smell of plastic and something factory-made. I wouldn’t really want to ventilate it for a couple of days, and then it’s not a fact that it would air out. And products with a plastic smell are somehow not very good. The seller showed us different flavors. Bought this one. I would even call it an odor absorber rather than a flavoring agent. Since there is 100% activated carbon inside. That is, it brings benefits and is absolutely harmless to the products! Bought it twice already, the smells don't mix. Useful thing 100%</v>
      </c>
    </row>
    <row r="1638" spans="1:9" x14ac:dyDescent="0.3">
      <c r="A1638" s="1" t="s">
        <v>811</v>
      </c>
      <c r="B1638" s="1" t="s">
        <v>812</v>
      </c>
      <c r="C1638" s="1" t="s">
        <v>813</v>
      </c>
      <c r="D1638" s="1" t="s">
        <v>280</v>
      </c>
      <c r="E1638" s="1" t="s">
        <v>3491</v>
      </c>
      <c r="F1638" s="1" t="s">
        <v>3492</v>
      </c>
      <c r="G1638" s="1" t="s">
        <v>49</v>
      </c>
      <c r="H1638" s="1" t="s">
        <v>16</v>
      </c>
      <c r="I1638" s="1" t="str">
        <f ca="1">IFERROR(__xludf.DUMMYFUNCTION("GOOGLETRANSLATE(F1638, ""auto"", ""en"")
"),"I’m filming with a Sony action camera, the weight is very light, one leg immediately fell off, and as soon as I glued it on it began to stick. If I had known that such a weak tripod, I would not have bought it; it would be better to find something more re"&amp;"liable.")</f>
        <v>I’m filming with a Sony action camera, the weight is very light, one leg immediately fell off, and as soon as I glued it on it began to stick. If I had known that such a weak tripod, I would not have bought it; it would be better to find something more reliable.</v>
      </c>
    </row>
    <row r="1639" spans="1:9" x14ac:dyDescent="0.3">
      <c r="A1639" s="1" t="s">
        <v>61</v>
      </c>
      <c r="B1639" s="1" t="s">
        <v>726</v>
      </c>
      <c r="C1639" s="1" t="s">
        <v>74</v>
      </c>
      <c r="D1639" s="1" t="s">
        <v>280</v>
      </c>
      <c r="E1639" s="1" t="s">
        <v>903</v>
      </c>
      <c r="F1639" s="1" t="s">
        <v>3493</v>
      </c>
      <c r="G1639" s="1" t="s">
        <v>15</v>
      </c>
      <c r="H1639" s="1" t="s">
        <v>16</v>
      </c>
      <c r="I1639" s="1" t="str">
        <f ca="1">IFERROR(__xludf.DUMMYFUNCTION("GOOGLETRANSLATE(F1639, ""auto"", ""en"")
"),"I bought this stove a month ago as a gift for my mother. The first time I turned it on, it flew. Brought it and changed it. Gave it as a gift 2 times)) Worked for 2 weeks. I wouldn’t say it bakes well. It broke again. I will go again with a guarantee. I h"&amp;"ope they get the money back. Maybe I'm just lucky)")</f>
        <v>I bought this stove a month ago as a gift for my mother. The first time I turned it on, it flew. Brought it and changed it. Gave it as a gift 2 times)) Worked for 2 weeks. I wouldn’t say it bakes well. It broke again. I will go again with a guarantee. I hope they get the money back. Maybe I'm just lucky)</v>
      </c>
    </row>
    <row r="1640" spans="1:9" x14ac:dyDescent="0.3">
      <c r="A1640" s="1" t="s">
        <v>211</v>
      </c>
      <c r="B1640" s="1" t="s">
        <v>212</v>
      </c>
      <c r="C1640" s="1" t="s">
        <v>63</v>
      </c>
      <c r="D1640" s="1" t="s">
        <v>1386</v>
      </c>
      <c r="E1640" s="1" t="s">
        <v>3494</v>
      </c>
      <c r="F1640" s="1" t="s">
        <v>3495</v>
      </c>
      <c r="G1640" s="1" t="s">
        <v>28</v>
      </c>
      <c r="H1640" s="1" t="s">
        <v>29</v>
      </c>
      <c r="I1640" s="1" t="str">
        <f ca="1">IFERROR(__xludf.DUMMYFUNCTION("GOOGLETRANSLATE(F1640, ""auto"", ""en"")
"),"I used the hairdryer for 2 years, it dries and styles my hair well, the attachments are good, but then it started to overheat and turned off on its own until it cooled down and turned on. This is not very convenient.")</f>
        <v>I used the hairdryer for 2 years, it dries and styles my hair well, the attachments are good, but then it started to overheat and turned off on its own until it cooled down and turned on. This is not very convenient.</v>
      </c>
    </row>
    <row r="1641" spans="1:9" x14ac:dyDescent="0.3">
      <c r="A1641" s="1" t="s">
        <v>37</v>
      </c>
      <c r="B1641" s="1" t="s">
        <v>355</v>
      </c>
      <c r="C1641" s="1" t="s">
        <v>356</v>
      </c>
      <c r="D1641" s="1" t="s">
        <v>287</v>
      </c>
      <c r="E1641" s="1" t="s">
        <v>1646</v>
      </c>
      <c r="F1641" s="1" t="s">
        <v>3496</v>
      </c>
      <c r="G1641" s="1" t="s">
        <v>36</v>
      </c>
      <c r="H1641" s="1" t="s">
        <v>29</v>
      </c>
      <c r="I1641" s="1" t="str">
        <f ca="1">IFERROR(__xludf.DUMMYFUNCTION("GOOGLETRANSLATE(F1641, ""auto"", ""en"")
"),"An excellent device that does not even have a close competitor. a great thing for those who are familiar with Apple quality and technology. ) although an iPod Touch would be enough for me personally, I rarely use a phone.")</f>
        <v>An excellent device that does not even have a close competitor. a great thing for those who are familiar with Apple quality and technology. ) although an iPod Touch would be enough for me personally, I rarely use a phone.</v>
      </c>
    </row>
    <row r="1642" spans="1:9" x14ac:dyDescent="0.3">
      <c r="A1642" s="1" t="s">
        <v>67</v>
      </c>
      <c r="B1642" s="1" t="s">
        <v>68</v>
      </c>
      <c r="C1642" s="1" t="s">
        <v>69</v>
      </c>
      <c r="D1642" s="1" t="s">
        <v>589</v>
      </c>
      <c r="E1642" s="1" t="s">
        <v>746</v>
      </c>
      <c r="F1642" s="1" t="s">
        <v>3497</v>
      </c>
      <c r="G1642" s="1" t="s">
        <v>36</v>
      </c>
      <c r="H1642" s="1" t="s">
        <v>29</v>
      </c>
      <c r="I1642" s="1" t="str">
        <f ca="1">IFERROR(__xludf.DUMMYFUNCTION("GOOGLETRANSLATE(F1642, ""auto"", ""en"")
"),"irons well, does not leak at low temperatures, can be cleaned with a button, nothing sticks")</f>
        <v>irons well, does not leak at low temperatures, can be cleaned with a button, nothing sticks</v>
      </c>
    </row>
    <row r="1643" spans="1:9" x14ac:dyDescent="0.3">
      <c r="A1643" s="1" t="s">
        <v>519</v>
      </c>
      <c r="B1643" s="1" t="s">
        <v>3212</v>
      </c>
      <c r="C1643" s="1" t="s">
        <v>561</v>
      </c>
      <c r="D1643" s="1" t="s">
        <v>139</v>
      </c>
      <c r="E1643" s="1" t="s">
        <v>2651</v>
      </c>
      <c r="F1643" s="1" t="s">
        <v>3498</v>
      </c>
      <c r="G1643" s="1" t="s">
        <v>36</v>
      </c>
      <c r="H1643" s="1" t="s">
        <v>29</v>
      </c>
      <c r="I1643" s="1" t="str">
        <f ca="1">IFERROR(__xludf.DUMMYFUNCTION("GOOGLETRANSLATE(F1643, ""auto"", ""en"")
"),"We use it in a professional kitchen. Bake at 300 degrees in a deck oven! Already more than a hundred baked goods for each shape. Nothing will come off. Cleans well. Of course, you should not use metal brushes and sponges when washing!")</f>
        <v>We use it in a professional kitchen. Bake at 300 degrees in a deck oven! Already more than a hundred baked goods for each shape. Nothing will come off. Cleans well. Of course, you should not use metal brushes and sponges when washing!</v>
      </c>
    </row>
    <row r="1644" spans="1:9" x14ac:dyDescent="0.3">
      <c r="A1644" s="1" t="s">
        <v>55</v>
      </c>
      <c r="B1644" s="1" t="s">
        <v>56</v>
      </c>
      <c r="C1644" s="1" t="s">
        <v>1373</v>
      </c>
      <c r="D1644" s="1" t="s">
        <v>474</v>
      </c>
      <c r="E1644" s="1" t="s">
        <v>3499</v>
      </c>
      <c r="F1644" s="1" t="s">
        <v>3500</v>
      </c>
      <c r="G1644" s="1" t="s">
        <v>36</v>
      </c>
      <c r="H1644" s="1" t="s">
        <v>29</v>
      </c>
      <c r="I1644" s="1" t="str">
        <f ca="1">IFERROR(__xludf.DUMMYFUNCTION("GOOGLETRANSLATE(F1644, ""auto"", ""en"")
"),"Because We have a heating season of 8 months a year - an irreplaceable thing. This is our third humidifier after 2 Electroluxes. We chose it not for its beauty, but for its evaporation/spraying parameters - we turn it on 2 hours before bedtime, in the mid"&amp;"dle room it brings the humidity from 20 to 50% and works at half power all night long. The dispersion is minute - it doesn't leave drops on the floor. The noise level is average, the lights are bright, you have to turn it away from the wall. The spray noz"&amp;"zle is convenient because it rotates in all directions. The large tank is enough for us for 2 nights. It can be washed conveniently through the hole for pouring water (even a man’s hand will fit through). The only downside is that every six months/year yo"&amp;"u have to change the mixture in the filter cartridge, but they don’t sell it anywhere :(")</f>
        <v>Because We have a heating season of 8 months a year - an irreplaceable thing. This is our third humidifier after 2 Electroluxes. We chose it not for its beauty, but for its evaporation/spraying parameters - we turn it on 2 hours before bedtime, in the middle room it brings the humidity from 20 to 50% and works at half power all night long. The dispersion is minute - it doesn't leave drops on the floor. The noise level is average, the lights are bright, you have to turn it away from the wall. The spray nozzle is convenient because it rotates in all directions. The large tank is enough for us for 2 nights. It can be washed conveniently through the hole for pouring water (even a man’s hand will fit through). The only downside is that every six months/year you have to change the mixture in the filter cartridge, but they don’t sell it anywhere :(</v>
      </c>
    </row>
    <row r="1645" spans="1:9" x14ac:dyDescent="0.3">
      <c r="A1645" s="1" t="s">
        <v>477</v>
      </c>
      <c r="B1645" s="1" t="s">
        <v>478</v>
      </c>
      <c r="C1645" s="1" t="s">
        <v>479</v>
      </c>
      <c r="D1645" s="1" t="s">
        <v>3501</v>
      </c>
      <c r="E1645" s="1" t="s">
        <v>1912</v>
      </c>
      <c r="F1645" s="1" t="s">
        <v>3502</v>
      </c>
      <c r="G1645" s="1" t="s">
        <v>36</v>
      </c>
      <c r="H1645" s="1" t="s">
        <v>29</v>
      </c>
      <c r="I1645" s="1" t="str">
        <f ca="1">IFERROR(__xludf.DUMMYFUNCTION("GOOGLETRANSLATE(F1645, ""auto"", ""en"")
"),"This is just a very cool thing! :)")</f>
        <v>This is just a very cool thing! :)</v>
      </c>
    </row>
    <row r="1646" spans="1:9" x14ac:dyDescent="0.3">
      <c r="A1646" s="1" t="s">
        <v>61</v>
      </c>
      <c r="B1646" s="1" t="s">
        <v>224</v>
      </c>
      <c r="C1646" s="1" t="s">
        <v>246</v>
      </c>
      <c r="D1646" s="1" t="s">
        <v>2336</v>
      </c>
      <c r="E1646" s="1" t="s">
        <v>357</v>
      </c>
      <c r="F1646" s="1" t="s">
        <v>3503</v>
      </c>
      <c r="G1646" s="1" t="s">
        <v>28</v>
      </c>
      <c r="H1646" s="1" t="s">
        <v>29</v>
      </c>
      <c r="I1646" s="1" t="str">
        <f ca="1">IFERROR(__xludf.DUMMYFUNCTION("GOOGLETRANSLATE(F1646, ""auto"", ""en"")
"),"I’ve been using it for a long time, I like the fact that it’s universal - for all types of fruits. Yes, I agree, the sieve gets clogged quickly, sometimes you need to take a break to clean it. There is a lot of juice left in the pulp; you can even squeeze"&amp;" it out with your bare hands. Overall not bad, but you can get 20% more juice.")</f>
        <v>I’ve been using it for a long time, I like the fact that it’s universal - for all types of fruits. Yes, I agree, the sieve gets clogged quickly, sometimes you need to take a break to clean it. There is a lot of juice left in the pulp; you can even squeeze it out with your bare hands. Overall not bad, but you can get 20% more juice.</v>
      </c>
    </row>
    <row r="1647" spans="1:9" x14ac:dyDescent="0.3">
      <c r="A1647" s="1" t="s">
        <v>67</v>
      </c>
      <c r="B1647" s="1" t="s">
        <v>68</v>
      </c>
      <c r="C1647" s="1" t="s">
        <v>85</v>
      </c>
      <c r="D1647" s="1" t="s">
        <v>39</v>
      </c>
      <c r="E1647" s="1" t="s">
        <v>3504</v>
      </c>
      <c r="F1647" s="1" t="s">
        <v>3505</v>
      </c>
      <c r="G1647" s="1" t="s">
        <v>49</v>
      </c>
      <c r="H1647" s="1" t="s">
        <v>16</v>
      </c>
      <c r="I1647" s="1" t="str">
        <f ca="1">IFERROR(__xludf.DUMMYFUNCTION("GOOGLETRANSLATE(F1647, ""auto"", ""en"")
"),"It worked for exactly 1 year, then the display stopped working, the handle of the table iron became so hot that it was impossible to pick up the iron, it stopped heating, and began to leak.  And this is for such money. I do not recommend this iron!    Bef"&amp;"ore this, inexpensive Tefal worked for 6 years.")</f>
        <v>It worked for exactly 1 year, then the display stopped working, the handle of the table iron became so hot that it was impossible to pick up the iron, it stopped heating, and began to leak.  And this is for such money. I do not recommend this iron!    Before this, inexpensive Tefal worked for 6 years.</v>
      </c>
    </row>
    <row r="1648" spans="1:9" x14ac:dyDescent="0.3">
      <c r="A1648" s="1" t="s">
        <v>111</v>
      </c>
      <c r="B1648" s="1" t="s">
        <v>1090</v>
      </c>
      <c r="C1648" s="1" t="s">
        <v>1091</v>
      </c>
      <c r="D1648" s="1" t="s">
        <v>3506</v>
      </c>
      <c r="E1648" s="1" t="s">
        <v>868</v>
      </c>
      <c r="F1648" s="1" t="s">
        <v>3507</v>
      </c>
      <c r="G1648" s="1" t="s">
        <v>36</v>
      </c>
      <c r="H1648" s="1" t="s">
        <v>29</v>
      </c>
      <c r="I1648" s="1" t="str">
        <f ca="1">IFERROR(__xludf.DUMMYFUNCTION("GOOGLETRANSLATE(F1648, ""auto"", ""en"")
"),"Normal light bulb. Lights up immediately, flares up to full brightness within a minute (when first turned on). It shines brightly - 100 watts, I think it will be. As for the service life, I can’t say anything yet... I haven’t been using it for very long.."&amp;". I hope it will work for at least a year.")</f>
        <v>Normal light bulb. Lights up immediately, flares up to full brightness within a minute (when first turned on). It shines brightly - 100 watts, I think it will be. As for the service life, I can’t say anything yet... I haven’t been using it for very long... I hope it will work for at least a year.</v>
      </c>
    </row>
    <row r="1649" spans="1:9" x14ac:dyDescent="0.3">
      <c r="A1649" s="1" t="s">
        <v>95</v>
      </c>
      <c r="B1649" s="1" t="s">
        <v>227</v>
      </c>
      <c r="C1649" s="1" t="s">
        <v>97</v>
      </c>
      <c r="D1649" s="1" t="s">
        <v>3508</v>
      </c>
      <c r="E1649" s="1" t="s">
        <v>3509</v>
      </c>
      <c r="F1649" s="1" t="s">
        <v>3510</v>
      </c>
      <c r="G1649" s="1" t="s">
        <v>36</v>
      </c>
      <c r="H1649" s="1" t="s">
        <v>29</v>
      </c>
      <c r="I1649" s="1" t="str">
        <f ca="1">IFERROR(__xludf.DUMMYFUNCTION("GOOGLETRANSLATE(F1649, ""auto"", ""en"")
"),"I remember back in 2005 I was shaking with happiness, I was straining to carry the PS2... this ng will be remembered thanks to the psp, I already have three and I don’t regret that I paid a lot for it, thank you very much to Sony for the holidays of the s"&amp;"oul.  P.S. buy it, you won’t regret it, it’s worth more than the money they’re asking for it.")</f>
        <v>I remember back in 2005 I was shaking with happiness, I was straining to carry the PS2... this ng will be remembered thanks to the psp, I already have three and I don’t regret that I paid a lot for it, thank you very much to Sony for the holidays of the soul.  P.S. buy it, you won’t regret it, it’s worth more than the money they’re asking for it.</v>
      </c>
    </row>
    <row r="1650" spans="1:9" x14ac:dyDescent="0.3">
      <c r="A1650" s="1" t="s">
        <v>9</v>
      </c>
      <c r="B1650" s="1" t="s">
        <v>10</v>
      </c>
      <c r="C1650" s="1" t="s">
        <v>466</v>
      </c>
      <c r="D1650" s="1" t="s">
        <v>1894</v>
      </c>
      <c r="E1650" s="1" t="s">
        <v>2810</v>
      </c>
      <c r="F1650" s="1" t="s">
        <v>3511</v>
      </c>
      <c r="G1650" s="1" t="s">
        <v>36</v>
      </c>
      <c r="H1650" s="1" t="s">
        <v>29</v>
      </c>
      <c r="I1650" s="1" t="str">
        <f ca="1">IFERROR(__xludf.DUMMYFUNCTION("GOOGLETRANSLATE(F1650, ""auto"", ""en"")
"),"The hood does its job with a bang. After months of work in the kitchen there are no more smells. You turn on the hood and everything goes away immediately. I don’t turn it on at full power, the average speed is always enough. The hood itself is practicall"&amp;"y invisible; we managed to integrate it very clearly into the cabinet. Mvideo employees helped with the installation; I also thank them for their professionalism. The hood is one hundred out of a hundred, completely worth the money spent.")</f>
        <v>The hood does its job with a bang. After months of work in the kitchen there are no more smells. You turn on the hood and everything goes away immediately. I don’t turn it on at full power, the average speed is always enough. The hood itself is practically invisible; we managed to integrate it very clearly into the cabinet. Mvideo employees helped with the installation; I also thank them for their professionalism. The hood is one hundred out of a hundred, completely worth the money spent.</v>
      </c>
    </row>
    <row r="1651" spans="1:9" x14ac:dyDescent="0.3">
      <c r="A1651" s="1" t="s">
        <v>120</v>
      </c>
      <c r="B1651" s="1" t="s">
        <v>121</v>
      </c>
      <c r="C1651" s="1" t="s">
        <v>80</v>
      </c>
      <c r="D1651" s="1" t="s">
        <v>81</v>
      </c>
      <c r="E1651" s="1" t="s">
        <v>3512</v>
      </c>
      <c r="F1651" s="1" t="s">
        <v>3513</v>
      </c>
      <c r="G1651" s="1" t="s">
        <v>49</v>
      </c>
      <c r="H1651" s="1" t="s">
        <v>16</v>
      </c>
      <c r="I1651" s="1" t="str">
        <f ca="1">IFERROR(__xludf.DUMMYFUNCTION("GOOGLETRANSLATE(F1651, ""auto"", ""en"")
"),"I decided to save money to buy a TV for my mother, I bought an LGLH2000, I didn’t like the interference on the main channels. The guys from Chongarsky Boulevard exchanged it without any problems for Samsung... and lo and behold, with the same bad antenna "&amp;"in the same apartment, the TV reception is much better. Conclusion: The budget TV LGLH2000 is designed to work with an ideal antenna.")</f>
        <v>I decided to save money to buy a TV for my mother, I bought an LGLH2000, I didn’t like the interference on the main channels. The guys from Chongarsky Boulevard exchanged it without any problems for Samsung... and lo and behold, with the same bad antenna in the same apartment, the TV reception is much better. Conclusion: The budget TV LGLH2000 is designed to work with an ideal antenna.</v>
      </c>
    </row>
    <row r="1652" spans="1:9" x14ac:dyDescent="0.3">
      <c r="A1652" s="1" t="s">
        <v>37</v>
      </c>
      <c r="B1652" s="1" t="s">
        <v>536</v>
      </c>
      <c r="C1652" s="1" t="s">
        <v>32</v>
      </c>
      <c r="D1652" s="1" t="s">
        <v>81</v>
      </c>
      <c r="E1652" s="1" t="s">
        <v>397</v>
      </c>
      <c r="F1652" s="1" t="s">
        <v>3514</v>
      </c>
      <c r="G1652" s="1" t="s">
        <v>36</v>
      </c>
      <c r="H1652" s="1" t="s">
        <v>29</v>
      </c>
      <c r="I1652" s="1" t="str">
        <f ca="1">IFERROR(__xludf.DUMMYFUNCTION("GOOGLETRANSLATE(F1652, ""auto"", ""en"")
"),"I've been waiting for this animal for a month, finally!!!!  A worthy alternative to HTC HD2, but HTC costs about 30,000...")</f>
        <v>I've been waiting for this animal for a month, finally!!!!  A worthy alternative to HTC HD2, but HTC costs about 30,000...</v>
      </c>
    </row>
    <row r="1653" spans="1:9" x14ac:dyDescent="0.3">
      <c r="A1653" s="1" t="s">
        <v>61</v>
      </c>
      <c r="B1653" s="1" t="s">
        <v>145</v>
      </c>
      <c r="C1653" s="1" t="s">
        <v>74</v>
      </c>
      <c r="D1653" s="1" t="s">
        <v>280</v>
      </c>
      <c r="E1653" s="1" t="s">
        <v>1931</v>
      </c>
      <c r="F1653" s="1" t="s">
        <v>3515</v>
      </c>
      <c r="G1653" s="1" t="s">
        <v>36</v>
      </c>
      <c r="H1653" s="1" t="s">
        <v>29</v>
      </c>
      <c r="I1653" s="1" t="str">
        <f ca="1">IFERROR(__xludf.DUMMYFUNCTION("GOOGLETRANSLATE(F1653, ""auto"", ""en"")
"),"This is just the thing for making purees for a small child. Compact, easy to clean, turns any food into puree in seconds.")</f>
        <v>This is just the thing for making purees for a small child. Compact, easy to clean, turns any food into puree in seconds.</v>
      </c>
    </row>
    <row r="1654" spans="1:9" x14ac:dyDescent="0.3">
      <c r="A1654" s="1" t="s">
        <v>61</v>
      </c>
      <c r="B1654" s="1" t="s">
        <v>224</v>
      </c>
      <c r="C1654" s="1" t="s">
        <v>85</v>
      </c>
      <c r="D1654" s="1" t="s">
        <v>943</v>
      </c>
      <c r="E1654" s="1" t="s">
        <v>3516</v>
      </c>
      <c r="F1654" s="1" t="s">
        <v>3517</v>
      </c>
      <c r="G1654" s="1" t="s">
        <v>28</v>
      </c>
      <c r="H1654" s="1" t="s">
        <v>29</v>
      </c>
      <c r="I1654" s="1" t="str">
        <f ca="1">IFERROR(__xludf.DUMMYFUNCTION("GOOGLETRANSLATE(F1654, ""auto"", ""en"")
"),"Among the advantages: 1. squeezes well (as stated - to the last drop), all that remains of citrus fruits is a crust without pulp 2. silent 3. easy to disassemble and clean. Disadvantages: 1. Price 2. Quite bulky and heavy")</f>
        <v>Among the advantages: 1. squeezes well (as stated - to the last drop), all that remains of citrus fruits is a crust without pulp 2. silent 3. easy to disassemble and clean. Disadvantages: 1. Price 2. Quite bulky and heavy</v>
      </c>
    </row>
    <row r="1655" spans="1:9" x14ac:dyDescent="0.3">
      <c r="A1655" s="1" t="s">
        <v>169</v>
      </c>
      <c r="B1655" s="1" t="s">
        <v>170</v>
      </c>
      <c r="C1655" s="1" t="s">
        <v>193</v>
      </c>
      <c r="D1655" s="1" t="s">
        <v>1681</v>
      </c>
      <c r="E1655" s="1" t="s">
        <v>128</v>
      </c>
      <c r="F1655" s="1" t="s">
        <v>3518</v>
      </c>
      <c r="G1655" s="1" t="s">
        <v>36</v>
      </c>
      <c r="H1655" s="1" t="s">
        <v>29</v>
      </c>
      <c r="I1655" s="1" t="str">
        <f ca="1">IFERROR(__xludf.DUMMYFUNCTION("GOOGLETRANSLATE(F1655, ""auto"", ""en"")
"),"I gave myself these headphones for the New Year, I don’t regret it. Excellent sound quality, very comfortable. The cord is, however, really long, but the included holder makes it easy to adjust.")</f>
        <v>I gave myself these headphones for the New Year, I don’t regret it. Excellent sound quality, very comfortable. The cord is, however, really long, but the included holder makes it easy to adjust.</v>
      </c>
    </row>
    <row r="1656" spans="1:9" x14ac:dyDescent="0.3">
      <c r="A1656" s="1" t="s">
        <v>95</v>
      </c>
      <c r="B1656" s="1" t="s">
        <v>648</v>
      </c>
      <c r="C1656" s="1" t="s">
        <v>97</v>
      </c>
      <c r="D1656" s="1" t="s">
        <v>305</v>
      </c>
      <c r="E1656" s="1" t="s">
        <v>1814</v>
      </c>
      <c r="F1656" s="1" t="s">
        <v>3519</v>
      </c>
      <c r="G1656" s="1" t="s">
        <v>28</v>
      </c>
      <c r="H1656" s="1" t="s">
        <v>29</v>
      </c>
      <c r="I1656" s="1" t="str">
        <f ca="1">IFERROR(__xludf.DUMMYFUNCTION("GOOGLETRANSLATE(F1656, ""auto"", ""en"")
"),"Much nicer and more thoughtful design. The glossy finish has to be wiped down frequently, but beauty requires sacrifice. There is WI-FI, but it is not needed at all. The standard browser is pathetic to the point of disgrace, so you can forget about surfin"&amp;"g the Internet. . Without firmware, a PSP of any model will automatically start sucking money out of you. You can also forget about the warranty on the console. New games are almost never released, except for FIFA. And then purely the composition of the t"&amp;"eams changes, but in terms of graphics and everything else, fifa 13 is no different from fifa 09. The console is outdated!!! Plays movies perfectly, but you have to convert which is not convenient. I'm glad that after downloading the program you can read "&amp;"books! With long and frequent use, the battery will begin to die after half a year; a new one, or better yet with a higher capacity, can be found without problems.")</f>
        <v>Much nicer and more thoughtful design. The glossy finish has to be wiped down frequently, but beauty requires sacrifice. There is WI-FI, but it is not needed at all. The standard browser is pathetic to the point of disgrace, so you can forget about surfing the Internet. . Without firmware, a PSP of any model will automatically start sucking money out of you. You can also forget about the warranty on the console. New games are almost never released, except for FIFA. And then purely the composition of the teams changes, but in terms of graphics and everything else, fifa 13 is no different from fifa 09. The console is outdated!!! Plays movies perfectly, but you have to convert which is not convenient. I'm glad that after downloading the program you can read books! With long and frequent use, the battery will begin to die after half a year; a new one, or better yet with a higher capacity, can be found without problems.</v>
      </c>
    </row>
    <row r="1657" spans="1:9" x14ac:dyDescent="0.3">
      <c r="A1657" s="1" t="s">
        <v>37</v>
      </c>
      <c r="B1657" s="1" t="s">
        <v>1829</v>
      </c>
      <c r="C1657" s="1" t="s">
        <v>151</v>
      </c>
      <c r="D1657" s="1" t="s">
        <v>3520</v>
      </c>
      <c r="E1657" s="1" t="s">
        <v>3521</v>
      </c>
      <c r="F1657" s="1" t="s">
        <v>3522</v>
      </c>
      <c r="G1657" s="1" t="s">
        <v>36</v>
      </c>
      <c r="H1657" s="1" t="s">
        <v>29</v>
      </c>
      <c r="I1657" s="1" t="str">
        <f ca="1">IFERROR(__xludf.DUMMYFUNCTION("GOOGLETRANSLATE(F1657, ""auto"", ""en"")
"),"Smart is just super! I see it every day and enjoy it. Charging lasts 48 hours with proper use. Although I'm in the mail all the time. You just need to install the applications. And everything is just super!")</f>
        <v>Smart is just super! I see it every day and enjoy it. Charging lasts 48 hours with proper use. Although I'm in the mail all the time. You just need to install the applications. And everything is just super!</v>
      </c>
    </row>
    <row r="1658" spans="1:9" x14ac:dyDescent="0.3">
      <c r="A1658" s="1" t="s">
        <v>43</v>
      </c>
      <c r="B1658" s="1" t="s">
        <v>303</v>
      </c>
      <c r="C1658" s="1" t="s">
        <v>304</v>
      </c>
      <c r="D1658" s="1" t="s">
        <v>52</v>
      </c>
      <c r="E1658" s="1" t="s">
        <v>3523</v>
      </c>
      <c r="F1658" s="1" t="s">
        <v>3524</v>
      </c>
      <c r="G1658" s="1" t="s">
        <v>36</v>
      </c>
      <c r="H1658" s="1" t="s">
        <v>29</v>
      </c>
      <c r="I1658" s="1" t="str">
        <f ca="1">IFERROR(__xludf.DUMMYFUNCTION("GOOGLETRANSLATE(F1658, ""auto"", ""en"")
"),"Heats up the water quickly, keeps it warm for a long time, I really like it. And most importantly, now we are not dependent on the central hot water supply.")</f>
        <v>Heats up the water quickly, keeps it warm for a long time, I really like it. And most importantly, now we are not dependent on the central hot water supply.</v>
      </c>
    </row>
    <row r="1659" spans="1:9" x14ac:dyDescent="0.3">
      <c r="A1659" s="1" t="s">
        <v>30</v>
      </c>
      <c r="B1659" s="1" t="s">
        <v>50</v>
      </c>
      <c r="C1659" s="1" t="s">
        <v>151</v>
      </c>
      <c r="D1659" s="1" t="s">
        <v>3525</v>
      </c>
      <c r="E1659" s="1" t="s">
        <v>1975</v>
      </c>
      <c r="F1659" s="1" t="s">
        <v>3526</v>
      </c>
      <c r="G1659" s="1" t="s">
        <v>36</v>
      </c>
      <c r="H1659" s="1" t="s">
        <v>29</v>
      </c>
      <c r="I1659" s="1" t="str">
        <f ca="1">IFERROR(__xludf.DUMMYFUNCTION("GOOGLETRANSLATE(F1659, ""auto"", ""en"")
"),"I’ve only had the laptop for 4 days. But I’ve already formed an opinion about it. And so far the opinion about it is only positive.  In general, I was choosing between Compaq CQ60 and Sams. Now I see that I made the right choice.   So, in order, the appea"&amp;"rance: Sams looks very presentable and solid, the combination of chrome and dark plastic is very beautiful. If we talk about ergonomics, then it is impeccable - the keys, although thin, are very comfortable, you can’t go wrong when typing. The operating s"&amp;"ystem works brilliantly, despite the fact that it is Vista, and it is a little imperfect. It makes almost no noise and is not annoying.2 built-in speakers, and very loud ones, allow us to conclude that speakers are simply not needed.  Reads discs with sof"&amp;"tware in a few seconds. The touchpad works well, but I prefer a mouse. The webcam with a resolution of 1.3 megapixels left a pleasant impression - the image quality is high, no jerking or braking, you can set various effects. The battery lasts 4 hours if "&amp;"you do not use the laptop too actively.  I really liked the package - it already has a built-in video player and Microsoft Office, and an antivirus program to boot. It turns on very quickly - there are no comparisons with my computer, which had the same V"&amp;"ista.  In general, it’s a worthy product, and considering the price, it’s simply wonderful. I can safely recommend it to students who need a laptop for work and study.")</f>
        <v>I’ve only had the laptop for 4 days. But I’ve already formed an opinion about it. And so far the opinion about it is only positive.  In general, I was choosing between Compaq CQ60 and Sams. Now I see that I made the right choice.   So, in order, the appearance: Sams looks very presentable and solid, the combination of chrome and dark plastic is very beautiful. If we talk about ergonomics, then it is impeccable - the keys, although thin, are very comfortable, you can’t go wrong when typing. The operating system works brilliantly, despite the fact that it is Vista, and it is a little imperfect. It makes almost no noise and is not annoying.2 built-in speakers, and very loud ones, allow us to conclude that speakers are simply not needed.  Reads discs with software in a few seconds. The touchpad works well, but I prefer a mouse. The webcam with a resolution of 1.3 megapixels left a pleasant impression - the image quality is high, no jerking or braking, you can set various effects. The battery lasts 4 hours if you do not use the laptop too actively.  I really liked the package - it already has a built-in video player and Microsoft Office, and an antivirus program to boot. It turns on very quickly - there are no comparisons with my computer, which had the same Vista.  In general, it’s a worthy product, and considering the price, it’s simply wonderful. I can safely recommend it to students who need a laptop for work and study.</v>
      </c>
    </row>
    <row r="1660" spans="1:9" x14ac:dyDescent="0.3">
      <c r="A1660" s="1" t="s">
        <v>169</v>
      </c>
      <c r="B1660" s="1" t="s">
        <v>170</v>
      </c>
      <c r="C1660" s="1" t="s">
        <v>69</v>
      </c>
      <c r="D1660" s="1" t="s">
        <v>114</v>
      </c>
      <c r="E1660" s="1" t="s">
        <v>3527</v>
      </c>
      <c r="F1660" s="1" t="s">
        <v>3528</v>
      </c>
      <c r="G1660" s="1" t="s">
        <v>36</v>
      </c>
      <c r="H1660" s="1" t="s">
        <v>29</v>
      </c>
      <c r="I1660" s="1" t="str">
        <f ca="1">IFERROR(__xludf.DUMMYFUNCTION("GOOGLETRANSLATE(F1660, ""auto"", ""en"")
"),"I've had these headphones for five(!) years now. Operated in various extreme conditions (for example, boarding). The left ear clip broke in the cold just now, now I only use it at home, the sound is still excellent. I'll go buy the same ones soon.")</f>
        <v>I've had these headphones for five(!) years now. Operated in various extreme conditions (for example, boarding). The left ear clip broke in the cold just now, now I only use it at home, the sound is still excellent. I'll go buy the same ones soon.</v>
      </c>
    </row>
    <row r="1661" spans="1:9" x14ac:dyDescent="0.3">
      <c r="A1661" s="1" t="s">
        <v>9</v>
      </c>
      <c r="B1661" s="1" t="s">
        <v>137</v>
      </c>
      <c r="C1661" s="1" t="s">
        <v>63</v>
      </c>
      <c r="D1661" s="1" t="s">
        <v>1744</v>
      </c>
      <c r="E1661" s="1" t="s">
        <v>3529</v>
      </c>
      <c r="F1661" s="1" t="s">
        <v>3530</v>
      </c>
      <c r="G1661" s="1" t="s">
        <v>36</v>
      </c>
      <c r="H1661" s="1" t="s">
        <v>29</v>
      </c>
      <c r="I1661" s="1" t="str">
        <f ca="1">IFERROR(__xludf.DUMMYFUNCTION("GOOGLETRANSLATE(F1661, ""auto"", ""en"")
"),"I'm very pleased with this panel. All stains are washed off, leaving stains that can be easily removed with a dry cloth. The side handles are very comfortable, do not heat up or melt. Some users write that the panel is thin, but for me personally this doe"&amp;"s not affect it at all, the main thing is that the grilles are good and durable.  The big advantage is that you can place up to four large pots or pans (up to 28cm in diameter) and they will not interfere with each other.")</f>
        <v>I'm very pleased with this panel. All stains are washed off, leaving stains that can be easily removed with a dry cloth. The side handles are very comfortable, do not heat up or melt. Some users write that the panel is thin, but for me personally this does not affect it at all, the main thing is that the grilles are good and durable.  The big advantage is that you can place up to four large pots or pans (up to 28cm in diameter) and they will not interfere with each other.</v>
      </c>
    </row>
    <row r="1662" spans="1:9" x14ac:dyDescent="0.3">
      <c r="A1662" s="1" t="s">
        <v>105</v>
      </c>
      <c r="B1662" s="1" t="s">
        <v>106</v>
      </c>
      <c r="C1662" s="1" t="s">
        <v>97</v>
      </c>
      <c r="D1662" s="1" t="s">
        <v>305</v>
      </c>
      <c r="E1662" s="1" t="s">
        <v>1139</v>
      </c>
      <c r="F1662" s="1" t="s">
        <v>3531</v>
      </c>
      <c r="G1662" s="1" t="s">
        <v>36</v>
      </c>
      <c r="H1662" s="1" t="s">
        <v>29</v>
      </c>
      <c r="I1662" s="1" t="str">
        <f ca="1">IFERROR(__xludf.DUMMYFUNCTION("GOOGLETRANSLATE(F1662, ""auto"", ""en"")
"),"I've been using the player for six months now. The charge lasts for a week, if you listen every day for 2-4 hours - it’s quite satisfactory. I try not to use external speakers, I just connect them to the computer’s audio system and listen quietly at any v"&amp;"olume. The standard headphones are good, but there’s not much bass (and it’s not strange, because these headphones are not “vacuum”, the bass probably just doesn’t reach the ear), so I bought new headphones, also Sony, “vacuum”, for 1200 rubles, excellent"&amp;" in quality, just what is needed for this player. The sound is amazing. Change your headphones immediately, then you will understand what kind of device it is. Purely musical - viewing videos and photos is not particularly convenient, and not interesting "&amp;"on such a screen, the diagonal is not too large, you have to look closely. Many people talk about the screen scratching quickly. Yes, the screen gets scratched at the slightest touch even with a gentle cloth; the manufacturers used very soft acrylic to pr"&amp;"otect the screen, which by the way is of very high quality. If you want to protect the screen, I advise you not to paw it and buy a “pocket”. Overall the player is very good if you need it to listen to music. It doesn’t play .flac, but it plays .wav - thi"&amp;"s is even better, 1411 kb/sec does its job, the quality is amazing, the purest, balanced sound, you can hear absolutely everything. This format is used to store music on CDs; no better format for saving audio data has yet been invented. I have absolutely "&amp;"no regrets, the main thing is to handle it carefully and appreciate its playback quality.")</f>
        <v>I've been using the player for six months now. The charge lasts for a week, if you listen every day for 2-4 hours - it’s quite satisfactory. I try not to use external speakers, I just connect them to the computer’s audio system and listen quietly at any volume. The standard headphones are good, but there’s not much bass (and it’s not strange, because these headphones are not “vacuum”, the bass probably just doesn’t reach the ear), so I bought new headphones, also Sony, “vacuum”, for 1200 rubles, excellent in quality, just what is needed for this player. The sound is amazing. Change your headphones immediately, then you will understand what kind of device it is. Purely musical - viewing videos and photos is not particularly convenient, and not interesting on such a screen, the diagonal is not too large, you have to look closely. Many people talk about the screen scratching quickly. Yes, the screen gets scratched at the slightest touch even with a gentle cloth; the manufacturers used very soft acrylic to protect the screen, which by the way is of very high quality. If you want to protect the screen, I advise you not to paw it and buy a “pocket”. Overall the player is very good if you need it to listen to music. It doesn’t play .flac, but it plays .wav - this is even better, 1411 kb/sec does its job, the quality is amazing, the purest, balanced sound, you can hear absolutely everything. This format is used to store music on CDs; no better format for saving audio data has yet been invented. I have absolutely no regrets, the main thing is to handle it carefully and appreciate its playback quality.</v>
      </c>
    </row>
    <row r="1663" spans="1:9" x14ac:dyDescent="0.3">
      <c r="A1663" s="1" t="s">
        <v>206</v>
      </c>
      <c r="B1663" s="1" t="s">
        <v>207</v>
      </c>
      <c r="C1663" s="1" t="s">
        <v>97</v>
      </c>
      <c r="D1663" s="1" t="s">
        <v>1092</v>
      </c>
      <c r="E1663" s="1" t="s">
        <v>2584</v>
      </c>
      <c r="F1663" s="1" t="s">
        <v>3532</v>
      </c>
      <c r="G1663" s="1" t="s">
        <v>36</v>
      </c>
      <c r="H1663" s="1" t="s">
        <v>29</v>
      </c>
      <c r="I1663" s="1" t="str">
        <f ca="1">IFERROR(__xludf.DUMMYFUNCTION("GOOGLETRANSLATE(F1663, ""auto"", ""en"")
"),"I've been using this sub for about two years and during all this time it has never let me down, it hammers just like the new one. With good tuning, the mafon produces competent high and low frequencies, plays softly, is worth the money, in general I am ha"&amp;"ppy with everything and advise everyone to buy it.")</f>
        <v>I've been using this sub for about two years and during all this time it has never let me down, it hammers just like the new one. With good tuning, the mafon produces competent high and low frequencies, plays softly, is worth the money, in general I am happy with everything and advise everyone to buy it.</v>
      </c>
    </row>
    <row r="1664" spans="1:9" x14ac:dyDescent="0.3">
      <c r="A1664" s="1" t="s">
        <v>55</v>
      </c>
      <c r="B1664" s="1" t="s">
        <v>752</v>
      </c>
      <c r="C1664" s="1" t="s">
        <v>101</v>
      </c>
      <c r="D1664" s="1" t="s">
        <v>565</v>
      </c>
      <c r="E1664" s="1" t="s">
        <v>271</v>
      </c>
      <c r="F1664" s="1" t="s">
        <v>3533</v>
      </c>
      <c r="G1664" s="1" t="s">
        <v>36</v>
      </c>
      <c r="H1664" s="1" t="s">
        <v>29</v>
      </c>
      <c r="I1664" s="1" t="str">
        <f ca="1">IFERROR(__xludf.DUMMYFUNCTION("GOOGLETRANSLATE(F1664, ""auto"", ""en"")
"),"Excellent heater, my child and I are warm!!!!!")</f>
        <v>Excellent heater, my child and I are warm!!!!!</v>
      </c>
    </row>
    <row r="1665" spans="1:9" x14ac:dyDescent="0.3">
      <c r="A1665" s="1" t="s">
        <v>206</v>
      </c>
      <c r="B1665" s="1" t="s">
        <v>207</v>
      </c>
      <c r="C1665" s="1" t="s">
        <v>152</v>
      </c>
      <c r="D1665" s="1" t="s">
        <v>3534</v>
      </c>
      <c r="E1665" s="1" t="s">
        <v>730</v>
      </c>
      <c r="F1665" s="1" t="s">
        <v>3535</v>
      </c>
      <c r="G1665" s="1" t="s">
        <v>36</v>
      </c>
      <c r="H1665" s="1" t="s">
        <v>29</v>
      </c>
      <c r="I1665" s="1" t="str">
        <f ca="1">IFERROR(__xludf.DUMMYFUNCTION("GOOGLETRANSLATE(F1665, ""auto"", ""en"")
"),"I installed this amp, happiness knows no bounds, I recommend it to everyone!!!")</f>
        <v>I installed this amp, happiness knows no bounds, I recommend it to everyone!!!</v>
      </c>
    </row>
    <row r="1666" spans="1:9" x14ac:dyDescent="0.3">
      <c r="A1666" s="1" t="s">
        <v>61</v>
      </c>
      <c r="B1666" s="1" t="s">
        <v>1126</v>
      </c>
      <c r="C1666" s="1" t="s">
        <v>246</v>
      </c>
      <c r="D1666" s="1" t="s">
        <v>3506</v>
      </c>
      <c r="E1666" s="1" t="s">
        <v>65</v>
      </c>
      <c r="F1666" s="1" t="s">
        <v>3536</v>
      </c>
      <c r="G1666" s="1" t="s">
        <v>49</v>
      </c>
      <c r="H1666" s="1" t="s">
        <v>16</v>
      </c>
      <c r="I1666" s="1" t="str">
        <f ca="1">IFERROR(__xludf.DUMMYFUNCTION("GOOGLETRANSLATE(F1666, ""auto"", ""en"")
"),"I had to buy scales after purchasing a bread machine. I drove up to Moskovsky, fortunately it works 24 hours. The store offers 5 models, 3 of which are Tefal. When checking the goods, there was nothing to measure except the consultant’s keys, so they were"&amp;" weighed. The scales lied, the weight of the person being measured changed by 5-6g after each weighing. We took another box, everything seemed to be fine. I arrived home, the battery compartment was hanging loose in the scales, like in cheap Chinese alarm"&amp;" clocks it was about to fall out. And this is Tefal =( I don’t recommend it")</f>
        <v>I had to buy scales after purchasing a bread machine. I drove up to Moskovsky, fortunately it works 24 hours. The store offers 5 models, 3 of which are Tefal. When checking the goods, there was nothing to measure except the consultant’s keys, so they were weighed. The scales lied, the weight of the person being measured changed by 5-6g after each weighing. We took another box, everything seemed to be fine. I arrived home, the battery compartment was hanging loose in the scales, like in cheap Chinese alarm clocks it was about to fall out. And this is Tefal =( I don’t recommend it</v>
      </c>
    </row>
    <row r="1667" spans="1:9" x14ac:dyDescent="0.3">
      <c r="A1667" s="1" t="s">
        <v>17</v>
      </c>
      <c r="B1667" s="1" t="s">
        <v>18</v>
      </c>
      <c r="C1667" s="1" t="s">
        <v>24</v>
      </c>
      <c r="D1667" s="1" t="s">
        <v>25</v>
      </c>
      <c r="E1667" s="1" t="s">
        <v>3537</v>
      </c>
      <c r="F1667" s="1" t="s">
        <v>3538</v>
      </c>
      <c r="G1667" s="1" t="s">
        <v>28</v>
      </c>
      <c r="H1667" s="1" t="s">
        <v>29</v>
      </c>
      <c r="I1667" s="1" t="str">
        <f ca="1">IFERROR(__xludf.DUMMYFUNCTION("GOOGLETRANSLATE(F1667, ""auto"", ""en"")
"),"A little noisy.")</f>
        <v>A little noisy.</v>
      </c>
    </row>
    <row r="1668" spans="1:9" x14ac:dyDescent="0.3">
      <c r="A1668" s="1" t="s">
        <v>61</v>
      </c>
      <c r="B1668" s="1" t="s">
        <v>145</v>
      </c>
      <c r="C1668" s="1" t="s">
        <v>74</v>
      </c>
      <c r="D1668" s="1" t="s">
        <v>247</v>
      </c>
      <c r="E1668" s="1" t="s">
        <v>3539</v>
      </c>
      <c r="F1668" s="1" t="s">
        <v>3540</v>
      </c>
      <c r="G1668" s="1" t="s">
        <v>36</v>
      </c>
      <c r="H1668" s="1" t="s">
        <v>29</v>
      </c>
      <c r="I1668" s="1" t="str">
        <f ca="1">IFERROR(__xludf.DUMMYFUNCTION("GOOGLETRANSLATE(F1668, ""auto"", ""en"")
"),"Just recently we bought a yogurt maker of this model. The product was purchased at the M-Vidio store, as well as all other household appliances. Special thanks to all the sellers - store consultants in the South-West shopping center. A necessary thing, es"&amp;"pecially if there are small children in the house. There are a lot of recipes for making yogurt on the Internet, everything works out the first time. The model is easy to use, it doesn’t overheat for me. The yogurt turns out just super, it can’t be compar"&amp;"ed with store-bought ones. My opinion is that you shouldn’t go for the more expensive and sophisticated models, the simpler the better, because the principle of operation is the same for everyone. And Moulinex has proven itself well in the production of h"&amp;"ousehold appliances. Family I'm happy, and that's the most important thing!!!")</f>
        <v>Just recently we bought a yogurt maker of this model. The product was purchased at the M-Vidio store, as well as all other household appliances. Special thanks to all the sellers - store consultants in the South-West shopping center. A necessary thing, especially if there are small children in the house. There are a lot of recipes for making yogurt on the Internet, everything works out the first time. The model is easy to use, it doesn’t overheat for me. The yogurt turns out just super, it can’t be compared with store-bought ones. My opinion is that you shouldn’t go for the more expensive and sophisticated models, the simpler the better, because the principle of operation is the same for everyone. And Moulinex has proven itself well in the production of household appliances. Family I'm happy, and that's the most important thing!!!</v>
      </c>
    </row>
    <row r="1669" spans="1:9" x14ac:dyDescent="0.3">
      <c r="A1669" s="1" t="s">
        <v>67</v>
      </c>
      <c r="B1669" s="1" t="s">
        <v>340</v>
      </c>
      <c r="C1669" s="1" t="s">
        <v>1634</v>
      </c>
      <c r="D1669" s="1" t="s">
        <v>589</v>
      </c>
      <c r="E1669" s="1" t="s">
        <v>1084</v>
      </c>
      <c r="F1669" s="1" t="s">
        <v>3541</v>
      </c>
      <c r="G1669" s="1" t="s">
        <v>28</v>
      </c>
      <c r="H1669" s="1" t="s">
        <v>29</v>
      </c>
      <c r="I1669" s="1" t="str">
        <f ca="1">IFERROR(__xludf.DUMMYFUNCTION("GOOGLETRANSLATE(F1669, ""auto"", ""en"")
"),"My only gripe is that the machine does not come with a storage case or oil can. Accordingly, it is inconvenient to store. As for performance qualities, there are no complaints yet.")</f>
        <v>My only gripe is that the machine does not come with a storage case or oil can. Accordingly, it is inconvenient to store. As for performance qualities, there are no complaints yet.</v>
      </c>
    </row>
    <row r="1670" spans="1:9" x14ac:dyDescent="0.3">
      <c r="A1670" s="1" t="s">
        <v>149</v>
      </c>
      <c r="B1670" s="1" t="s">
        <v>576</v>
      </c>
      <c r="C1670" s="1" t="s">
        <v>80</v>
      </c>
      <c r="D1670" s="1" t="s">
        <v>39</v>
      </c>
      <c r="E1670" s="1" t="s">
        <v>3542</v>
      </c>
      <c r="F1670" s="1" t="s">
        <v>3543</v>
      </c>
      <c r="G1670" s="1" t="s">
        <v>28</v>
      </c>
      <c r="H1670" s="1" t="s">
        <v>29</v>
      </c>
      <c r="I1670" s="1" t="str">
        <f ca="1">IFERROR(__xludf.DUMMYFUNCTION("GOOGLETRANSLATE(F1670, ""auto"", ""en"")
"),"Normal! Really scary!")</f>
        <v>Normal! Really scary!</v>
      </c>
    </row>
    <row r="1671" spans="1:9" x14ac:dyDescent="0.3">
      <c r="A1671" s="1" t="s">
        <v>1443</v>
      </c>
      <c r="B1671" s="1" t="s">
        <v>1444</v>
      </c>
      <c r="C1671" s="1" t="s">
        <v>1489</v>
      </c>
      <c r="D1671" s="1" t="s">
        <v>171</v>
      </c>
      <c r="E1671" s="1" t="s">
        <v>1267</v>
      </c>
      <c r="F1671" s="1" t="s">
        <v>3544</v>
      </c>
      <c r="G1671" s="1" t="s">
        <v>28</v>
      </c>
      <c r="H1671" s="1" t="s">
        <v>29</v>
      </c>
      <c r="I1671" s="1" t="str">
        <f ca="1">IFERROR(__xludf.DUMMYFUNCTION("GOOGLETRANSLATE(F1671, ""auto"", ""en"")
"),"I really liked the flash drive, but there were some problems connecting to the computer. But the speed pleased me.")</f>
        <v>I really liked the flash drive, but there were some problems connecting to the computer. But the speed pleased me.</v>
      </c>
    </row>
    <row r="1672" spans="1:9" x14ac:dyDescent="0.3">
      <c r="A1672" s="1" t="s">
        <v>43</v>
      </c>
      <c r="B1672" s="1" t="s">
        <v>219</v>
      </c>
      <c r="C1672" s="1" t="s">
        <v>665</v>
      </c>
      <c r="D1672" s="1" t="s">
        <v>186</v>
      </c>
      <c r="E1672" s="1" t="s">
        <v>3545</v>
      </c>
      <c r="F1672" s="1" t="s">
        <v>3546</v>
      </c>
      <c r="G1672" s="1" t="s">
        <v>36</v>
      </c>
      <c r="H1672" s="1" t="s">
        <v>29</v>
      </c>
      <c r="I1672" s="1" t="str">
        <f ca="1">IFERROR(__xludf.DUMMYFUNCTION("GOOGLETRANSLATE(F1672, ""auto"", ""en"")
"),"Heats water quickly, takes up little space, neat, nothing superfluous to manage, simple connection.")</f>
        <v>Heats water quickly, takes up little space, neat, nothing superfluous to manage, simple connection.</v>
      </c>
    </row>
    <row r="1673" spans="1:9" x14ac:dyDescent="0.3">
      <c r="A1673" s="1" t="s">
        <v>211</v>
      </c>
      <c r="B1673" s="1" t="s">
        <v>212</v>
      </c>
      <c r="C1673" s="1" t="s">
        <v>101</v>
      </c>
      <c r="D1673" s="1" t="s">
        <v>295</v>
      </c>
      <c r="E1673" s="1" t="s">
        <v>3547</v>
      </c>
      <c r="F1673" s="1" t="s">
        <v>3548</v>
      </c>
      <c r="G1673" s="1" t="s">
        <v>36</v>
      </c>
      <c r="H1673" s="1" t="s">
        <v>29</v>
      </c>
      <c r="I1673" s="1" t="str">
        <f ca="1">IFERROR(__xludf.DUMMYFUNCTION("GOOGLETRANSLATE(F1673, ""auto"", ""en"")
"),"I bought this straightener and have never regretted it. straightens well and quickly enough. The button is actually in the same place as your hand, but you quickly get used to it and don’t allow it to be pressed. It’s convenient that there is a loop, you "&amp;"can hang the tongs while they heat up or cool down after work. The outer surface does not heat up much, so it is almost impossible to burn your fingers.")</f>
        <v>I bought this straightener and have never regretted it. straightens well and quickly enough. The button is actually in the same place as your hand, but you quickly get used to it and don’t allow it to be pressed. It’s convenient that there is a loop, you can hang the tongs while they heat up or cool down after work. The outer surface does not heat up much, so it is almost impossible to burn your fingers.</v>
      </c>
    </row>
    <row r="1674" spans="1:9" x14ac:dyDescent="0.3">
      <c r="A1674" s="1" t="s">
        <v>55</v>
      </c>
      <c r="B1674" s="1" t="s">
        <v>3549</v>
      </c>
      <c r="C1674" s="1" t="s">
        <v>57</v>
      </c>
      <c r="D1674" s="1" t="s">
        <v>152</v>
      </c>
      <c r="E1674" s="1" t="s">
        <v>3550</v>
      </c>
      <c r="F1674" s="1" t="s">
        <v>3551</v>
      </c>
      <c r="G1674" s="1" t="s">
        <v>49</v>
      </c>
      <c r="H1674" s="1" t="s">
        <v>16</v>
      </c>
      <c r="I1674" s="1" t="str">
        <f ca="1">IFERROR(__xludf.DUMMYFUNCTION("GOOGLETRANSLATE(F1674, ""auto"", ""en"")
"),"This device was delivered with delivery. Doesn't turn on. At all. I'll go change it tomorrow.")</f>
        <v>This device was delivered with delivery. Doesn't turn on. At all. I'll go change it tomorrow.</v>
      </c>
    </row>
    <row r="1675" spans="1:9" x14ac:dyDescent="0.3">
      <c r="A1675" s="1" t="s">
        <v>149</v>
      </c>
      <c r="B1675" s="1" t="s">
        <v>150</v>
      </c>
      <c r="C1675" s="1" t="s">
        <v>2016</v>
      </c>
      <c r="D1675" s="1" t="s">
        <v>86</v>
      </c>
      <c r="E1675" s="1" t="s">
        <v>3552</v>
      </c>
      <c r="F1675" s="1" t="s">
        <v>3553</v>
      </c>
      <c r="G1675" s="1" t="s">
        <v>15</v>
      </c>
      <c r="H1675" s="1" t="s">
        <v>16</v>
      </c>
      <c r="I1675" s="1" t="str">
        <f ca="1">IFERROR(__xludf.DUMMYFUNCTION("GOOGLETRANSLATE(F1675, ""auto"", ""en"")
"),"I bought it based on the competitive characteristics of my shelf neighbors. I was waiting for a device that would help vacuum the car. At the exit I had the opportunity to lift dust from terry rugs and actually remove only the dust. EVEN THE SMALLEST crum"&amp;"bs had to be passed through several times to move them, and not all of them were absorbed.  By the way, the seat upholstery was cleaned well, although their contamination could be described as simply road dust compacted by the human body.   Also, the adva"&amp;"ntage of this vacuum cleaner is that it does not slide one-sidedly; the brush constantly curls up when moving away from you.   The design of this miracle is gorgeous, but with practicality... it’s better to buy an extension cord, take a home vacuum cleane"&amp;"r and have a good walk. More efficient and faster.  I will try to return it. The product is nothing, just a keychain with the function of sucking up the smallest dust.")</f>
        <v>I bought it based on the competitive characteristics of my shelf neighbors. I was waiting for a device that would help vacuum the car. At the exit I had the opportunity to lift dust from terry rugs and actually remove only the dust. EVEN THE SMALLEST crumbs had to be passed through several times to move them, and not all of them were absorbed.  By the way, the seat upholstery was cleaned well, although their contamination could be described as simply road dust compacted by the human body.   Also, the advantage of this vacuum cleaner is that it does not slide one-sidedly; the brush constantly curls up when moving away from you.   The design of this miracle is gorgeous, but with practicality... it’s better to buy an extension cord, take a home vacuum cleaner and have a good walk. More efficient and faster.  I will try to return it. The product is nothing, just a keychain with the function of sucking up the smallest dust.</v>
      </c>
    </row>
    <row r="1676" spans="1:9" x14ac:dyDescent="0.3">
      <c r="A1676" s="1" t="s">
        <v>61</v>
      </c>
      <c r="B1676" s="1" t="s">
        <v>318</v>
      </c>
      <c r="C1676" s="1" t="s">
        <v>63</v>
      </c>
      <c r="D1676" s="1" t="s">
        <v>75</v>
      </c>
      <c r="E1676" s="1" t="s">
        <v>670</v>
      </c>
      <c r="F1676" s="1" t="s">
        <v>3554</v>
      </c>
      <c r="G1676" s="1" t="s">
        <v>28</v>
      </c>
      <c r="H1676" s="1" t="s">
        <v>29</v>
      </c>
      <c r="I1676" s="1" t="str">
        <f ca="1">IFERROR(__xludf.DUMMYFUNCTION("GOOGLETRANSLATE(F1676, ""auto"", ""en"")
"),"The kettle company is good. It worked for 2 years and still works, even if it’s rotten. There is a hole at the top near the lid.")</f>
        <v>The kettle company is good. It worked for 2 years and still works, even if it’s rotten. There is a hole at the top near the lid.</v>
      </c>
    </row>
    <row r="1677" spans="1:9" x14ac:dyDescent="0.3">
      <c r="A1677" s="1" t="s">
        <v>37</v>
      </c>
      <c r="B1677" s="1" t="s">
        <v>536</v>
      </c>
      <c r="C1677" s="1" t="s">
        <v>163</v>
      </c>
      <c r="D1677" s="1" t="s">
        <v>52</v>
      </c>
      <c r="E1677" s="1" t="s">
        <v>201</v>
      </c>
      <c r="F1677" s="1" t="s">
        <v>3555</v>
      </c>
      <c r="G1677" s="1" t="s">
        <v>36</v>
      </c>
      <c r="H1677" s="1" t="s">
        <v>29</v>
      </c>
      <c r="I1677" s="1" t="str">
        <f ca="1">IFERROR(__xludf.DUMMYFUNCTION("GOOGLETRANSLATE(F1677, ""auto"", ""en"")
"),"awesome phone... the only thing is that the qwerty keyboard is less convenient... and both in price and quality it's gorgeous")</f>
        <v>awesome phone... the only thing is that the qwerty keyboard is less convenient... and both in price and quality it's gorgeous</v>
      </c>
    </row>
    <row r="1678" spans="1:9" x14ac:dyDescent="0.3">
      <c r="A1678" s="1" t="s">
        <v>61</v>
      </c>
      <c r="B1678" s="1" t="s">
        <v>180</v>
      </c>
      <c r="C1678" s="1" t="s">
        <v>74</v>
      </c>
      <c r="D1678" s="1" t="s">
        <v>32</v>
      </c>
      <c r="E1678" s="1" t="s">
        <v>1374</v>
      </c>
      <c r="F1678" s="1" t="s">
        <v>3556</v>
      </c>
      <c r="G1678" s="1" t="s">
        <v>36</v>
      </c>
      <c r="H1678" s="1" t="s">
        <v>29</v>
      </c>
      <c r="I1678" s="1" t="str">
        <f ca="1">IFERROR(__xludf.DUMMYFUNCTION("GOOGLETRANSLATE(F1678, ""auto"", ""en"")
"),"This little guy has been serving me faithfully for 3 years now; during this time, quite a few successful recipes have accumulated. We did everything in it: diet waffles, classic ones, Brussels waffles, and crispy ones.  Sandwiches with everything you can "&amp;"find in the refrigerator.  I’m very glad that my choice fell on Moulinex; a year ago, a yellow friend was accompanied by a new Moulinex kettle, also yellow.  Five stars for this device and my boundless love)")</f>
        <v>This little guy has been serving me faithfully for 3 years now; during this time, quite a few successful recipes have accumulated. We did everything in it: diet waffles, classic ones, Brussels waffles, and crispy ones.  Sandwiches with everything you can find in the refrigerator.  I’m very glad that my choice fell on Moulinex; a year ago, a yellow friend was accompanied by a new Moulinex kettle, also yellow.  Five stars for this device and my boundless love)</v>
      </c>
    </row>
    <row r="1679" spans="1:9" x14ac:dyDescent="0.3">
      <c r="A1679" s="1" t="s">
        <v>111</v>
      </c>
      <c r="B1679" s="1" t="s">
        <v>636</v>
      </c>
      <c r="C1679" s="1" t="s">
        <v>637</v>
      </c>
      <c r="D1679" s="1" t="s">
        <v>3557</v>
      </c>
      <c r="E1679" s="1" t="s">
        <v>500</v>
      </c>
      <c r="F1679" s="1" t="s">
        <v>3558</v>
      </c>
      <c r="G1679" s="1" t="s">
        <v>28</v>
      </c>
      <c r="H1679" s="1" t="s">
        <v>29</v>
      </c>
      <c r="I1679" s="1" t="str">
        <f ca="1">IFERROR(__xludf.DUMMYFUNCTION("GOOGLETRANSLATE(F1679, ""auto"", ""en"")
"),"Weather forecast with an accuracy of 80 percent. In winter, at temperatures from -8 C, the external sensor begins to fail - it shows the wrong temperature outside. It can be treated by resetting the station itself, but after a day everything repeats itsel"&amp;"f. In short, it’s buggy in the cold, but otherwise it’s fine.")</f>
        <v>Weather forecast with an accuracy of 80 percent. In winter, at temperatures from -8 C, the external sensor begins to fail - it shows the wrong temperature outside. It can be treated by resetting the station itself, but after a day everything repeats itself. In short, it’s buggy in the cold, but otherwise it’s fine.</v>
      </c>
    </row>
    <row r="1680" spans="1:9" x14ac:dyDescent="0.3">
      <c r="A1680" s="1" t="s">
        <v>169</v>
      </c>
      <c r="B1680" s="1" t="s">
        <v>170</v>
      </c>
      <c r="C1680" s="1" t="s">
        <v>122</v>
      </c>
      <c r="D1680" s="1" t="s">
        <v>3559</v>
      </c>
      <c r="E1680" s="1" t="s">
        <v>3560</v>
      </c>
      <c r="F1680" s="1" t="s">
        <v>3561</v>
      </c>
      <c r="G1680" s="1" t="s">
        <v>36</v>
      </c>
      <c r="H1680" s="1" t="s">
        <v>29</v>
      </c>
      <c r="I1680" s="1" t="str">
        <f ca="1">IFERROR(__xludf.DUMMYFUNCTION("GOOGLETRANSLATE(F1680, ""auto"", ""en"")
"),"A very successful model. They lasted more than a year, despite the thin wires and my rather careless attitude towards them. They fit well in the ears. I listened to music calmly at a third of the volume, even on public transport. And the price is good. It"&amp;"’s a pity that one “ear” stopped working, but I’ll buy the same ones as a replacement.")</f>
        <v>A very successful model. They lasted more than a year, despite the thin wires and my rather careless attitude towards them. They fit well in the ears. I listened to music calmly at a third of the volume, even on public transport. And the price is good. It’s a pity that one “ear” stopped working, but I’ll buy the same ones as a replacement.</v>
      </c>
    </row>
    <row r="1681" spans="1:9" x14ac:dyDescent="0.3">
      <c r="A1681" s="1" t="s">
        <v>61</v>
      </c>
      <c r="B1681" s="1" t="s">
        <v>224</v>
      </c>
      <c r="C1681" s="1" t="s">
        <v>85</v>
      </c>
      <c r="D1681" s="1" t="s">
        <v>3562</v>
      </c>
      <c r="E1681" s="1" t="s">
        <v>3563</v>
      </c>
      <c r="F1681" s="1" t="s">
        <v>3564</v>
      </c>
      <c r="G1681" s="1" t="s">
        <v>36</v>
      </c>
      <c r="H1681" s="1" t="s">
        <v>29</v>
      </c>
      <c r="I1681" s="1" t="str">
        <f ca="1">IFERROR(__xludf.DUMMYFUNCTION("GOOGLETRANSLATE(F1681, ""auto"", ""en"")
"),"convenient, delicious juice, you can make pomegranate juice")</f>
        <v>convenient, delicious juice, you can make pomegranate juice</v>
      </c>
    </row>
    <row r="1682" spans="1:9" x14ac:dyDescent="0.3">
      <c r="A1682" s="1" t="s">
        <v>37</v>
      </c>
      <c r="B1682" s="1" t="s">
        <v>38</v>
      </c>
      <c r="C1682" s="1" t="s">
        <v>151</v>
      </c>
      <c r="D1682" s="1" t="s">
        <v>3565</v>
      </c>
      <c r="E1682" s="1" t="s">
        <v>1723</v>
      </c>
      <c r="F1682" s="1" t="s">
        <v>3566</v>
      </c>
      <c r="G1682" s="1" t="s">
        <v>36</v>
      </c>
      <c r="H1682" s="1" t="s">
        <v>29</v>
      </c>
      <c r="I1682" s="1" t="str">
        <f ca="1">IFERROR(__xludf.DUMMYFUNCTION("GOOGLETRANSLATE(F1682, ""auto"", ""en"")
"),"I bought the phone a year ago, it works great, everything is fine, sometimes the screen freezes in the cold, well, this is natural, any touch screen will behave like this. A huge plus is that the case is metal, so it looks 5+, unlike Nokia and other model"&amp;"s.. In general, I’m happy with everything!")</f>
        <v>I bought the phone a year ago, it works great, everything is fine, sometimes the screen freezes in the cold, well, this is natural, any touch screen will behave like this. A huge plus is that the case is metal, so it looks 5+, unlike Nokia and other models.. In general, I’m happy with everything!</v>
      </c>
    </row>
    <row r="1683" spans="1:9" x14ac:dyDescent="0.3">
      <c r="A1683" s="1" t="s">
        <v>120</v>
      </c>
      <c r="B1683" s="1" t="s">
        <v>126</v>
      </c>
      <c r="C1683" s="1" t="s">
        <v>151</v>
      </c>
      <c r="D1683" s="1" t="s">
        <v>1124</v>
      </c>
      <c r="E1683" s="1" t="s">
        <v>3567</v>
      </c>
      <c r="F1683" s="1" t="s">
        <v>3568</v>
      </c>
      <c r="G1683" s="1" t="s">
        <v>36</v>
      </c>
      <c r="H1683" s="1" t="s">
        <v>29</v>
      </c>
      <c r="I1683" s="1" t="str">
        <f ca="1">IFERROR(__xludf.DUMMYFUNCTION("GOOGLETRANSLATE(F1683, ""auto"", ""en"")
"),"Simple and short, the TV is just 5+++. I recommend it.")</f>
        <v>Simple and short, the TV is just 5+++. I recommend it.</v>
      </c>
    </row>
    <row r="1684" spans="1:9" x14ac:dyDescent="0.3">
      <c r="A1684" s="1" t="s">
        <v>169</v>
      </c>
      <c r="B1684" s="1" t="s">
        <v>170</v>
      </c>
      <c r="C1684" s="1" t="s">
        <v>69</v>
      </c>
      <c r="D1684" s="1" t="s">
        <v>1681</v>
      </c>
      <c r="E1684" s="1" t="s">
        <v>594</v>
      </c>
      <c r="F1684" s="1" t="s">
        <v>3569</v>
      </c>
      <c r="G1684" s="1" t="s">
        <v>36</v>
      </c>
      <c r="H1684" s="1" t="s">
        <v>29</v>
      </c>
      <c r="I1684" s="1" t="str">
        <f ca="1">IFERROR(__xludf.DUMMYFUNCTION("GOOGLETRANSLATE(F1684, ""auto"", ""en"")
"),"I was very pleased with the headphones, I was pleased with the quality of the sound, my advice is to take them and you won’t regret it!!!")</f>
        <v>I was very pleased with the headphones, I was pleased with the quality of the sound, my advice is to take them and you won’t regret it!!!</v>
      </c>
    </row>
    <row r="1685" spans="1:9" x14ac:dyDescent="0.3">
      <c r="A1685" s="1" t="s">
        <v>120</v>
      </c>
      <c r="B1685" s="1" t="s">
        <v>121</v>
      </c>
      <c r="C1685" s="1" t="s">
        <v>69</v>
      </c>
      <c r="D1685" s="1" t="s">
        <v>39</v>
      </c>
      <c r="E1685" s="1" t="s">
        <v>2360</v>
      </c>
      <c r="F1685" s="1" t="s">
        <v>3570</v>
      </c>
      <c r="G1685" s="1" t="s">
        <v>36</v>
      </c>
      <c r="H1685" s="1" t="s">
        <v>29</v>
      </c>
      <c r="I1685" s="1" t="str">
        <f ca="1">IFERROR(__xludf.DUMMYFUNCTION("GOOGLETRANSLATE(F1685, ""auto"", ""en"")
"),"I'm happy. I use a PS3 in combination with a TV - I thought it would be worse, but everything is good (maybe with the exception of the lack of 3D and ambilight 3). WiFi works 100%, DLNA is also not far behind. The sound - special thanks for the subwoofer,"&amp;" spacious and capacious, pleasing to the ear. The picture said above - class. Don't hesitate. Price/quality, worth it.")</f>
        <v>I'm happy. I use a PS3 in combination with a TV - I thought it would be worse, but everything is good (maybe with the exception of the lack of 3D and ambilight 3). WiFi works 100%, DLNA is also not far behind. The sound - special thanks for the subwoofer, spacious and capacious, pleasing to the ear. The picture said above - class. Don't hesitate. Price/quality, worth it.</v>
      </c>
    </row>
    <row r="1686" spans="1:9" x14ac:dyDescent="0.3">
      <c r="A1686" s="1" t="s">
        <v>519</v>
      </c>
      <c r="B1686" s="1" t="s">
        <v>3340</v>
      </c>
      <c r="C1686" s="1" t="s">
        <v>3571</v>
      </c>
      <c r="D1686" s="1" t="s">
        <v>3572</v>
      </c>
      <c r="E1686" s="1" t="s">
        <v>3573</v>
      </c>
      <c r="F1686" s="1" t="s">
        <v>3574</v>
      </c>
      <c r="G1686" s="1" t="s">
        <v>36</v>
      </c>
      <c r="H1686" s="1" t="s">
        <v>29</v>
      </c>
      <c r="I1686" s="1" t="str">
        <f ca="1">IFERROR(__xludf.DUMMYFUNCTION("GOOGLETRANSLATE(F1686, ""auto"", ""en"")
"),"The ladle has a very nice shape, like a pot, it just looks nice. The coating is non-stick, durable, does not scratch, I have already stirred food in it with a fork a couple of times. There are no traces left. Made from environmentally friendly and safe ma"&amp;"terials (including a safe coating). The handle doesn't get hot. He made friends with my dishwasher without any problems; I haven’t washed anything with my hands for a long time.")</f>
        <v>The ladle has a very nice shape, like a pot, it just looks nice. The coating is non-stick, durable, does not scratch, I have already stirred food in it with a fork a couple of times. There are no traces left. Made from environmentally friendly and safe materials (including a safe coating). The handle doesn't get hot. He made friends with my dishwasher without any problems; I haven’t washed anything with my hands for a long time.</v>
      </c>
    </row>
    <row r="1687" spans="1:9" x14ac:dyDescent="0.3">
      <c r="A1687" s="1" t="s">
        <v>55</v>
      </c>
      <c r="B1687" s="1" t="s">
        <v>235</v>
      </c>
      <c r="C1687" s="1" t="s">
        <v>1341</v>
      </c>
      <c r="D1687" s="1" t="s">
        <v>1981</v>
      </c>
      <c r="E1687" s="1" t="s">
        <v>787</v>
      </c>
      <c r="F1687" s="1" t="s">
        <v>3575</v>
      </c>
      <c r="G1687" s="1" t="s">
        <v>49</v>
      </c>
      <c r="H1687" s="1" t="s">
        <v>16</v>
      </c>
      <c r="I1687" s="1" t="str">
        <f ca="1">IFERROR(__xludf.DUMMYFUNCTION("GOOGLETRANSLATE(F1687, ""auto"", ""en"")
"),"You shouldn't have been fooled by the price. They insisted that it be turned on in front of us and it caught fire right on the testing table; the sellers secretly said that every second one was like this. Bought more expensive. If you don't want a fire at"&amp;" home, don't skimp!")</f>
        <v>You shouldn't have been fooled by the price. They insisted that it be turned on in front of us and it caught fire right on the testing table; the sellers secretly said that every second one was like this. Bought more expensive. If you don't want a fire at home, don't skimp!</v>
      </c>
    </row>
    <row r="1688" spans="1:9" x14ac:dyDescent="0.3">
      <c r="A1688" s="1" t="s">
        <v>1443</v>
      </c>
      <c r="B1688" s="1" t="s">
        <v>1444</v>
      </c>
      <c r="C1688" s="1" t="s">
        <v>1489</v>
      </c>
      <c r="D1688" s="1" t="s">
        <v>3576</v>
      </c>
      <c r="E1688" s="1" t="s">
        <v>3577</v>
      </c>
      <c r="F1688" s="1" t="s">
        <v>3578</v>
      </c>
      <c r="G1688" s="1" t="s">
        <v>49</v>
      </c>
      <c r="H1688" s="1" t="s">
        <v>16</v>
      </c>
      <c r="I1688" s="1" t="str">
        <f ca="1">IFERROR(__xludf.DUMMYFUNCTION("GOOGLETRANSLATE(F1688, ""auto"", ""en"")
"),"The build quality of the flash drive is very decent. The downside is the very low read and write speed. In general, if you are going to copy large films, be patient.")</f>
        <v>The build quality of the flash drive is very decent. The downside is the very low read and write speed. In general, if you are going to copy large films, be patient.</v>
      </c>
    </row>
    <row r="1689" spans="1:9" x14ac:dyDescent="0.3">
      <c r="A1689" s="1" t="s">
        <v>43</v>
      </c>
      <c r="B1689" s="1" t="s">
        <v>303</v>
      </c>
      <c r="C1689" s="1" t="s">
        <v>665</v>
      </c>
      <c r="D1689" s="1" t="s">
        <v>442</v>
      </c>
      <c r="E1689" s="1" t="s">
        <v>3579</v>
      </c>
      <c r="F1689" s="1" t="s">
        <v>3580</v>
      </c>
      <c r="G1689" s="1" t="s">
        <v>36</v>
      </c>
      <c r="H1689" s="1" t="s">
        <v>29</v>
      </c>
      <c r="I1689" s="1" t="str">
        <f ca="1">IFERROR(__xludf.DUMMYFUNCTION("GOOGLETRANSLATE(F1689, ""auto"", ""en"")
"),"Nice design, fits well in the bathroom. I really hope that we will be able to enjoy hot water for a long time on days when it is turned off (we often have interruptions). This volume is more than enough for our family of three. The maximum water temperatu"&amp;"re is 75 degrees, but if you heat it in the evening, you can still wash your face calmly even in the morning. The water heats up quickly, cools down for a long time, electricity bills have not increased, because the water heater can operate in timer mode "&amp;"and heat the water at a strictly defined time. Reliable protection and convenient control.")</f>
        <v>Nice design, fits well in the bathroom. I really hope that we will be able to enjoy hot water for a long time on days when it is turned off (we often have interruptions). This volume is more than enough for our family of three. The maximum water temperature is 75 degrees, but if you heat it in the evening, you can still wash your face calmly even in the morning. The water heats up quickly, cools down for a long time, electricity bills have not increased, because the water heater can operate in timer mode and heat the water at a strictly defined time. Reliable protection and convenient control.</v>
      </c>
    </row>
    <row r="1690" spans="1:9" x14ac:dyDescent="0.3">
      <c r="A1690" s="1" t="s">
        <v>61</v>
      </c>
      <c r="B1690" s="1" t="s">
        <v>145</v>
      </c>
      <c r="C1690" s="1" t="s">
        <v>246</v>
      </c>
      <c r="D1690" s="1" t="s">
        <v>32</v>
      </c>
      <c r="E1690" s="1" t="s">
        <v>3512</v>
      </c>
      <c r="F1690" s="1" t="s">
        <v>3581</v>
      </c>
      <c r="G1690" s="1" t="s">
        <v>36</v>
      </c>
      <c r="H1690" s="1" t="s">
        <v>29</v>
      </c>
      <c r="I1690" s="1" t="str">
        <f ca="1">IFERROR(__xludf.DUMMYFUNCTION("GOOGLETRANSLATE(F1690, ""auto"", ""en"")
"),"I don’t know why everyone is suffering so much? It's just that simple! Richer milk for thickness, some kind of additive for taste, and yogurt from the store. Mix everything, don’t heat anything, and pour into jars. Turn on the yogurt maker and forget :) I"&amp;"n 8-10 hours everything will be great. True, it is better to use berries and fruits from compotes, and if you want to put fresh ones, then you cannot do without cooking them.  The yogurt maker is excellent - compact, does not take up “extra” space like ro"&amp;"und models. Easy to clean and makes great yoghurts. And nothing overheats.")</f>
        <v>I don’t know why everyone is suffering so much? It's just that simple! Richer milk for thickness, some kind of additive for taste, and yogurt from the store. Mix everything, don’t heat anything, and pour into jars. Turn on the yogurt maker and forget :) In 8-10 hours everything will be great. True, it is better to use berries and fruits from compotes, and if you want to put fresh ones, then you cannot do without cooking them.  The yogurt maker is excellent - compact, does not take up “extra” space like round models. Easy to clean and makes great yoghurts. And nothing overheats.</v>
      </c>
    </row>
    <row r="1691" spans="1:9" x14ac:dyDescent="0.3">
      <c r="A1691" s="1" t="s">
        <v>369</v>
      </c>
      <c r="B1691" s="1" t="s">
        <v>370</v>
      </c>
      <c r="C1691" s="1" t="s">
        <v>290</v>
      </c>
      <c r="D1691" s="1" t="s">
        <v>411</v>
      </c>
      <c r="E1691" s="1" t="s">
        <v>2721</v>
      </c>
      <c r="F1691" s="1" t="s">
        <v>3582</v>
      </c>
      <c r="G1691" s="1" t="s">
        <v>36</v>
      </c>
      <c r="H1691" s="1" t="s">
        <v>29</v>
      </c>
      <c r="I1691" s="1" t="str">
        <f ca="1">IFERROR(__xludf.DUMMYFUNCTION("GOOGLETRANSLATE(F1691, ""auto"", ""en"")
"),"The stove is just super!!! It is easy to clean both in operation and maintenance.")</f>
        <v>The stove is just super!!! It is easy to clean both in operation and maintenance.</v>
      </c>
    </row>
    <row r="1692" spans="1:9" x14ac:dyDescent="0.3">
      <c r="A1692" s="1" t="s">
        <v>43</v>
      </c>
      <c r="B1692" s="1" t="s">
        <v>1382</v>
      </c>
      <c r="C1692" s="1" t="s">
        <v>57</v>
      </c>
      <c r="D1692" s="1" t="s">
        <v>3583</v>
      </c>
      <c r="E1692" s="1" t="s">
        <v>2275</v>
      </c>
      <c r="F1692" s="1" t="s">
        <v>3584</v>
      </c>
      <c r="G1692" s="1" t="s">
        <v>36</v>
      </c>
      <c r="H1692" s="1" t="s">
        <v>29</v>
      </c>
      <c r="I1692" s="1" t="str">
        <f ca="1">IFERROR(__xludf.DUMMYFUNCTION("GOOGLETRANSLATE(F1692, ""auto"", ""en"")
"),"I bought it on June 25, 2013, I’m very pleased, the noise is not so bad, it makes little noise, the computer is louder). It will make noise in any case because... It has a powerful fan motor. This is not a defect or a breakdown, it’s just a cool mini-cand"&amp;"ay) The remote control is convenient, the controls are clear! At 3rd and 2nd speed, all the papers on the table fly around the room)")</f>
        <v>I bought it on June 25, 2013, I’m very pleased, the noise is not so bad, it makes little noise, the computer is louder). It will make noise in any case because... It has a powerful fan motor. This is not a defect or a breakdown, it’s just a cool mini-canday) The remote control is convenient, the controls are clear! At 3rd and 2nd speed, all the papers on the table fly around the room)</v>
      </c>
    </row>
    <row r="1693" spans="1:9" x14ac:dyDescent="0.3">
      <c r="A1693" s="1" t="s">
        <v>37</v>
      </c>
      <c r="B1693" s="1" t="s">
        <v>38</v>
      </c>
      <c r="C1693" s="1" t="s">
        <v>151</v>
      </c>
      <c r="D1693" s="1" t="s">
        <v>471</v>
      </c>
      <c r="E1693" s="1" t="s">
        <v>1463</v>
      </c>
      <c r="F1693" s="1" t="s">
        <v>3585</v>
      </c>
      <c r="G1693" s="1" t="s">
        <v>36</v>
      </c>
      <c r="H1693" s="1" t="s">
        <v>29</v>
      </c>
      <c r="I1693" s="1" t="str">
        <f ca="1">IFERROR(__xludf.DUMMYFUNCTION("GOOGLETRANSLATE(F1693, ""auto"", ""en"")
"),"The phone is good for those who don’t care about bells and whistles like wi-fi and so on, but what matters is the appearance, it looks very decent. The phone is very cute, no complaints. So take it.")</f>
        <v>The phone is good for those who don’t care about bells and whistles like wi-fi and so on, but what matters is the appearance, it looks very decent. The phone is very cute, no complaints. So take it.</v>
      </c>
    </row>
    <row r="1694" spans="1:9" x14ac:dyDescent="0.3">
      <c r="A1694" s="1" t="s">
        <v>61</v>
      </c>
      <c r="B1694" s="1" t="s">
        <v>224</v>
      </c>
      <c r="C1694" s="1" t="s">
        <v>246</v>
      </c>
      <c r="D1694" s="1" t="s">
        <v>152</v>
      </c>
      <c r="E1694" s="1" t="s">
        <v>1342</v>
      </c>
      <c r="F1694" s="1" t="s">
        <v>3586</v>
      </c>
      <c r="G1694" s="1" t="s">
        <v>36</v>
      </c>
      <c r="H1694" s="1" t="s">
        <v>29</v>
      </c>
      <c r="I1694" s="1" t="str">
        <f ca="1">IFERROR(__xludf.DUMMYFUNCTION("GOOGLETRANSLATE(F1694, ""auto"", ""en"")
"),"GREAT juicer!  Silent, small-sized, easy to clean!  10 points! Price-quality")</f>
        <v>GREAT juicer!  Silent, small-sized, easy to clean!  10 points! Price-quality</v>
      </c>
    </row>
    <row r="1695" spans="1:9" x14ac:dyDescent="0.3">
      <c r="A1695" s="1" t="s">
        <v>169</v>
      </c>
      <c r="B1695" s="1" t="s">
        <v>170</v>
      </c>
      <c r="C1695" s="1" t="s">
        <v>69</v>
      </c>
      <c r="D1695" s="1" t="s">
        <v>20</v>
      </c>
      <c r="E1695" s="1" t="s">
        <v>3587</v>
      </c>
      <c r="F1695" s="1" t="s">
        <v>3588</v>
      </c>
      <c r="G1695" s="1" t="s">
        <v>28</v>
      </c>
      <c r="H1695" s="1" t="s">
        <v>29</v>
      </c>
      <c r="I1695" s="1" t="str">
        <f ca="1">IFERROR(__xludf.DUMMYFUNCTION("GOOGLETRANSLATE(F1695, ""auto"", ""en"")
"),"normal headphones. price-quality!  The fastening is not very good, but it’s ok.")</f>
        <v>normal headphones. price-quality!  The fastening is not very good, but it’s ok.</v>
      </c>
    </row>
    <row r="1696" spans="1:9" x14ac:dyDescent="0.3">
      <c r="A1696" s="1" t="s">
        <v>30</v>
      </c>
      <c r="B1696" s="1" t="s">
        <v>31</v>
      </c>
      <c r="C1696" s="1" t="s">
        <v>32</v>
      </c>
      <c r="D1696" s="1" t="s">
        <v>3589</v>
      </c>
      <c r="E1696" s="1" t="s">
        <v>1762</v>
      </c>
      <c r="F1696" s="1" t="s">
        <v>3590</v>
      </c>
      <c r="G1696" s="1" t="s">
        <v>36</v>
      </c>
      <c r="H1696" s="1" t="s">
        <v>29</v>
      </c>
      <c r="I1696" s="1" t="str">
        <f ca="1">IFERROR(__xludf.DUMMYFUNCTION("GOOGLETRANSLATE(F1696, ""auto"", ""en"")
"),"oh well, it’s a normal computer, but you can install a power supply for a couple of thousand (as I did), and nothing, everything works well)")</f>
        <v>oh well, it’s a normal computer, but you can install a power supply for a couple of thousand (as I did), and nothing, everything works well)</v>
      </c>
    </row>
    <row r="1697" spans="1:9" x14ac:dyDescent="0.3">
      <c r="A1697" s="1" t="s">
        <v>149</v>
      </c>
      <c r="B1697" s="1" t="s">
        <v>155</v>
      </c>
      <c r="C1697" s="1" t="s">
        <v>63</v>
      </c>
      <c r="D1697" s="1" t="s">
        <v>172</v>
      </c>
      <c r="E1697" s="1" t="s">
        <v>3591</v>
      </c>
      <c r="F1697" s="1" t="s">
        <v>3592</v>
      </c>
      <c r="G1697" s="1" t="s">
        <v>36</v>
      </c>
      <c r="H1697" s="1" t="s">
        <v>29</v>
      </c>
      <c r="I1697" s="1" t="str">
        <f ca="1">IFERROR(__xludf.DUMMYFUNCTION("GOOGLETRANSLATE(F1697, ""auto"", ""en"")
"),"I bought it half a year ago, I really like it, it’s a really high-quality vacuum cleaner, it doesn’t smell like dust, the main thing is no consumables, otherwise I’m tired of buying a vacuum cleaner every year and throwing it away, the filters get clogged"&amp;" and the engine dies. I bought a Bosch half a year ago - it’s still like new, I only cleaned the cyclone filter once, after he warned me about the necessary cleaning, the hose is much better quality than my previous vacuum cleaners, bends and does not bre"&amp;"ak. It works quietly, and most importantly it is powerful, the linoleum lifts even not at full power. Overall I like it, I recommend it to everyone")</f>
        <v>I bought it half a year ago, I really like it, it’s a really high-quality vacuum cleaner, it doesn’t smell like dust, the main thing is no consumables, otherwise I’m tired of buying a vacuum cleaner every year and throwing it away, the filters get clogged and the engine dies. I bought a Bosch half a year ago - it’s still like new, I only cleaned the cyclone filter once, after he warned me about the necessary cleaning, the hose is much better quality than my previous vacuum cleaners, bends and does not break. It works quietly, and most importantly it is powerful, the linoleum lifts even not at full power. Overall I like it, I recommend it to everyone</v>
      </c>
    </row>
    <row r="1698" spans="1:9" x14ac:dyDescent="0.3">
      <c r="A1698" s="1" t="s">
        <v>120</v>
      </c>
      <c r="B1698" s="1" t="s">
        <v>121</v>
      </c>
      <c r="C1698" s="1" t="s">
        <v>80</v>
      </c>
      <c r="D1698" s="1" t="s">
        <v>3593</v>
      </c>
      <c r="E1698" s="1" t="s">
        <v>3594</v>
      </c>
      <c r="F1698" s="1" t="s">
        <v>3595</v>
      </c>
      <c r="G1698" s="1" t="s">
        <v>36</v>
      </c>
      <c r="H1698" s="1" t="s">
        <v>29</v>
      </c>
      <c r="I1698" s="1" t="str">
        <f ca="1">IFERROR(__xludf.DUMMYFUNCTION("GOOGLETRANSLATE(F1698, ""auto"", ""en"")
"),"to post 10/03/2009 two fly in the ointment LG 32LH5000 The TV is equipped with a full-fledged FullHD multimedia player. When playing from an external storage device (flash drive, hard drive) connected via USB, you can control the optical audio output sett"&amp;"ings.    The instructions say that the optical output can be configured in the ""sound"" menu.    Please note that when you set the country to ""Russia"", this setting item disappears from the menu and the sound goes from the TV to the receiver via the op"&amp;"tical output only in stereo.    If you select the “--” sign when selecting a country, the optical output control item in the “sound” menu will appear and you can select “Auto”.  ""Auto"" will allow you to play 5.1 sound through the receiver (if this sound"&amp;" is contained in the file being played) P.S. over the past week I carefully looked at the Samsung and Philips, both 32"". I am changing my rating of the LG 32LH5000 from 4 to 5! LG, thank you for the excellent TV. Keep it up!")</f>
        <v>to post 10/03/2009 two fly in the ointment LG 32LH5000 The TV is equipped with a full-fledged FullHD multimedia player. When playing from an external storage device (flash drive, hard drive) connected via USB, you can control the optical audio output settings.    The instructions say that the optical output can be configured in the "sound" menu.    Please note that when you set the country to "Russia", this setting item disappears from the menu and the sound goes from the TV to the receiver via the optical output only in stereo.    If you select the “--” sign when selecting a country, the optical output control item in the “sound” menu will appear and you can select “Auto”.  "Auto" will allow you to play 5.1 sound through the receiver (if this sound is contained in the file being played) P.S. over the past week I carefully looked at the Samsung and Philips, both 32". I am changing my rating of the LG 32LH5000 from 4 to 5! LG, thank you for the excellent TV. Keep it up!</v>
      </c>
    </row>
    <row r="1699" spans="1:9" x14ac:dyDescent="0.3">
      <c r="A1699" s="1" t="s">
        <v>211</v>
      </c>
      <c r="B1699" s="1" t="s">
        <v>384</v>
      </c>
      <c r="C1699" s="1" t="s">
        <v>63</v>
      </c>
      <c r="D1699" s="1" t="s">
        <v>3596</v>
      </c>
      <c r="E1699" s="1" t="s">
        <v>727</v>
      </c>
      <c r="F1699" s="1" t="s">
        <v>3597</v>
      </c>
      <c r="G1699" s="1" t="s">
        <v>15</v>
      </c>
      <c r="H1699" s="1" t="s">
        <v>16</v>
      </c>
      <c r="I1699" s="1" t="str">
        <f ca="1">IFERROR(__xludf.DUMMYFUNCTION("GOOGLETRANSLATE(F1699, ""auto"", ""en"")
"),"We bought these scales mainly because of the design, a little over a year has passed, just like many others, the numbers on the display have disappeared. First partially, and then completely. Replacing the battery didn't help either. My husband took them "&amp;"apart and was sincerely surprised that they worked for a year at all. There is something with the contacts, he said they are disposable. So much for Bosch. China in a nutshell. I do not recommend these scales to ANYONE.")</f>
        <v>We bought these scales mainly because of the design, a little over a year has passed, just like many others, the numbers on the display have disappeared. First partially, and then completely. Replacing the battery didn't help either. My husband took them apart and was sincerely surprised that they worked for a year at all. There is something with the contacts, he said they are disposable. So much for Bosch. China in a nutshell. I do not recommend these scales to ANYONE.</v>
      </c>
    </row>
    <row r="1700" spans="1:9" x14ac:dyDescent="0.3">
      <c r="A1700" s="1" t="s">
        <v>30</v>
      </c>
      <c r="B1700" s="1" t="s">
        <v>50</v>
      </c>
      <c r="C1700" s="1" t="s">
        <v>1003</v>
      </c>
      <c r="D1700" s="1" t="s">
        <v>3598</v>
      </c>
      <c r="E1700" s="1" t="s">
        <v>214</v>
      </c>
      <c r="F1700" s="1" t="s">
        <v>3599</v>
      </c>
      <c r="G1700" s="1" t="s">
        <v>36</v>
      </c>
      <c r="H1700" s="1" t="s">
        <v>29</v>
      </c>
      <c r="I1700" s="1" t="str">
        <f ca="1">IFERROR(__xludf.DUMMYFUNCTION("GOOGLETRANSLATE(F1700, ""auto"", ""en"")
"),"And what can you add here? An LED screen is a very cool thing... but not in cheap devices... there are no advantages over lamps, except for energy saving, because... matrices use the same inexpensive ones... Outwardly they look quite good... Convenient.")</f>
        <v>And what can you add here? An LED screen is a very cool thing... but not in cheap devices... there are no advantages over lamps, except for energy saving, because... matrices use the same inexpensive ones... Outwardly they look quite good... Convenient.</v>
      </c>
    </row>
    <row r="1701" spans="1:9" x14ac:dyDescent="0.3">
      <c r="A1701" s="1" t="s">
        <v>61</v>
      </c>
      <c r="B1701" s="1" t="s">
        <v>434</v>
      </c>
      <c r="C1701" s="1" t="s">
        <v>101</v>
      </c>
      <c r="D1701" s="1" t="s">
        <v>1188</v>
      </c>
      <c r="E1701" s="1" t="s">
        <v>3600</v>
      </c>
      <c r="F1701" s="1" t="s">
        <v>3601</v>
      </c>
      <c r="G1701" s="1" t="s">
        <v>36</v>
      </c>
      <c r="H1701" s="1" t="s">
        <v>29</v>
      </c>
      <c r="I1701" s="1" t="str">
        <f ca="1">IFERROR(__xludf.DUMMYFUNCTION("GOOGLETRANSLATE(F1701, ""auto"", ""en"")
"),"I bought the stove 6 months ago. back. Nothing fell off, although I don’t cook much, so I chose a small oven so that a huge one wouldn’t take up space. Very convenient control, it turns off itself and cooks normally.   Completely satisfied with the purcha"&amp;"se")</f>
        <v>I bought the stove 6 months ago. back. Nothing fell off, although I don’t cook much, so I chose a small oven so that a huge one wouldn’t take up space. Very convenient control, it turns off itself and cooks normally.   Completely satisfied with the purchase</v>
      </c>
    </row>
    <row r="1702" spans="1:9" x14ac:dyDescent="0.3">
      <c r="A1702" s="1" t="s">
        <v>965</v>
      </c>
      <c r="B1702" s="1" t="s">
        <v>966</v>
      </c>
      <c r="C1702" s="1" t="s">
        <v>2149</v>
      </c>
      <c r="D1702" s="1" t="s">
        <v>114</v>
      </c>
      <c r="E1702" s="1" t="s">
        <v>349</v>
      </c>
      <c r="F1702" s="1" t="s">
        <v>3602</v>
      </c>
      <c r="G1702" s="1" t="s">
        <v>28</v>
      </c>
      <c r="H1702" s="1" t="s">
        <v>29</v>
      </c>
      <c r="I1702" s="1" t="str">
        <f ca="1">IFERROR(__xludf.DUMMYFUNCTION("GOOGLETRANSLATE(F1702, ""auto"", ""en"")
"),"After the purchase, the impressions were good, they play at 5+, after a month one speaker began to play louder than the other, I took it apart, it turned out that in the small box (where the sound is regulated) one contact came off, well, in general, my r"&amp;"ating is -4.")</f>
        <v>After the purchase, the impressions were good, they play at 5+, after a month one speaker began to play louder than the other, I took it apart, it turned out that in the small box (where the sound is regulated) one contact came off, well, in general, my rating is -4.</v>
      </c>
    </row>
    <row r="1703" spans="1:9" x14ac:dyDescent="0.3">
      <c r="A1703" s="1" t="s">
        <v>732</v>
      </c>
      <c r="B1703" s="1" t="s">
        <v>733</v>
      </c>
      <c r="C1703" s="1" t="s">
        <v>80</v>
      </c>
      <c r="D1703" s="1" t="s">
        <v>2296</v>
      </c>
      <c r="E1703" s="1" t="s">
        <v>3310</v>
      </c>
      <c r="F1703" s="1" t="s">
        <v>3603</v>
      </c>
      <c r="G1703" s="1" t="s">
        <v>36</v>
      </c>
      <c r="H1703" s="1" t="s">
        <v>29</v>
      </c>
      <c r="I1703" s="1" t="str">
        <f ca="1">IFERROR(__xludf.DUMMYFUNCTION("GOOGLETRANSLATE(F1703, ""auto"", ""en"")
"),"Hurray, got it today. I'm 100% satisfied. I chose between W2242S and W2243S. I took W2243S. Satisfied with everything, from design to internal characteristics.  I myself have a GeForce 7100 256 Mb video card, I thought it would slow down with a resolution"&amp;" of 1920/1080, but everything just flies. Conclusion: I'm happy with the purchase.")</f>
        <v>Hurray, got it today. I'm 100% satisfied. I chose between W2242S and W2243S. I took W2243S. Satisfied with everything, from design to internal characteristics.  I myself have a GeForce 7100 256 Mb video card, I thought it would slow down with a resolution of 1920/1080, but everything just flies. Conclusion: I'm happy with the purchase.</v>
      </c>
    </row>
    <row r="1704" spans="1:9" x14ac:dyDescent="0.3">
      <c r="A1704" s="1" t="s">
        <v>43</v>
      </c>
      <c r="B1704" s="1" t="s">
        <v>502</v>
      </c>
      <c r="C1704" s="1" t="s">
        <v>151</v>
      </c>
      <c r="D1704" s="1" t="s">
        <v>3604</v>
      </c>
      <c r="E1704" s="1" t="s">
        <v>1305</v>
      </c>
      <c r="F1704" s="1" t="s">
        <v>3605</v>
      </c>
      <c r="G1704" s="1" t="s">
        <v>36</v>
      </c>
      <c r="H1704" s="1" t="s">
        <v>29</v>
      </c>
      <c r="I1704" s="1" t="str">
        <f ca="1">IFERROR(__xludf.DUMMYFUNCTION("GOOGLETRANSLATE(F1704, ""auto"", ""en"")
"),"I am 100% satisfied with the purchase. Almost inaudible (even without rubber gaskets)! Freezing with a bang! Economical. The downside is that the external unit has a plastic casing, which, as the installers said, will become flimsy over time.")</f>
        <v>I am 100% satisfied with the purchase. Almost inaudible (even without rubber gaskets)! Freezing with a bang! Economical. The downside is that the external unit has a plastic casing, which, as the installers said, will become flimsy over time.</v>
      </c>
    </row>
    <row r="1705" spans="1:9" x14ac:dyDescent="0.3">
      <c r="A1705" s="1" t="s">
        <v>43</v>
      </c>
      <c r="B1705" s="1" t="s">
        <v>1616</v>
      </c>
      <c r="C1705" s="1" t="s">
        <v>159</v>
      </c>
      <c r="D1705" s="1" t="s">
        <v>1329</v>
      </c>
      <c r="E1705" s="1" t="s">
        <v>415</v>
      </c>
      <c r="F1705" s="1" t="s">
        <v>3606</v>
      </c>
      <c r="G1705" s="1" t="s">
        <v>36</v>
      </c>
      <c r="H1705" s="1" t="s">
        <v>29</v>
      </c>
      <c r="I1705" s="1" t="str">
        <f ca="1">IFERROR(__xludf.DUMMYFUNCTION("GOOGLETRANSLATE(F1705, ""auto"", ""en"")
"),"Very pleased, installed it in the bedroom opposite the door to the living room, enough for two rooms (rooms 16.6 and 13 m) The noise level is not high, I just threw the hose out the window, overall 5 points.")</f>
        <v>Very pleased, installed it in the bedroom opposite the door to the living room, enough for two rooms (rooms 16.6 and 13 m) The noise level is not high, I just threw the hose out the window, overall 5 points.</v>
      </c>
    </row>
    <row r="1706" spans="1:9" x14ac:dyDescent="0.3">
      <c r="A1706" s="1" t="s">
        <v>211</v>
      </c>
      <c r="B1706" s="1" t="s">
        <v>212</v>
      </c>
      <c r="C1706" s="1" t="s">
        <v>69</v>
      </c>
      <c r="D1706" s="1" t="s">
        <v>521</v>
      </c>
      <c r="E1706" s="1" t="s">
        <v>3607</v>
      </c>
      <c r="F1706" s="1" t="s">
        <v>3608</v>
      </c>
      <c r="G1706" s="1" t="s">
        <v>36</v>
      </c>
      <c r="H1706" s="1" t="s">
        <v>29</v>
      </c>
      <c r="I1706" s="1" t="str">
        <f ca="1">IFERROR(__xludf.DUMMYFUNCTION("GOOGLETRANSLATE(F1706, ""auto"", ""en"")
"),"I turned it on this morning and Voila, the light is on, the curlers are not heating up at all. (I threw out the box no more than a month ago, when the warranty expired) Everyone is right about the clips, they are very uncomfortable, there are no curls, bu"&amp;"t basically even hairdressers use electric curlers more for volume and not curls. You get burned even with gloves on.")</f>
        <v>I turned it on this morning and Voila, the light is on, the curlers are not heating up at all. (I threw out the box no more than a month ago, when the warranty expired) Everyone is right about the clips, they are very uncomfortable, there are no curls, but basically even hairdressers use electric curlers more for volume and not curls. You get burned even with gloves on.</v>
      </c>
    </row>
    <row r="1707" spans="1:9" x14ac:dyDescent="0.3">
      <c r="A1707" s="1" t="s">
        <v>37</v>
      </c>
      <c r="B1707" s="1" t="s">
        <v>1829</v>
      </c>
      <c r="C1707" s="1" t="s">
        <v>151</v>
      </c>
      <c r="D1707" s="1" t="s">
        <v>811</v>
      </c>
      <c r="E1707" s="1" t="s">
        <v>2063</v>
      </c>
      <c r="F1707" s="1" t="s">
        <v>3609</v>
      </c>
      <c r="G1707" s="1" t="s">
        <v>28</v>
      </c>
      <c r="H1707" s="1" t="s">
        <v>29</v>
      </c>
      <c r="I1707" s="1" t="str">
        <f ca="1">IFERROR(__xludf.DUMMYFUNCTION("GOOGLETRANSLATE(F1707, ""auto"", ""en"")
"),"The phone is not ideal. 1.heats up very quickly. 2.sometimes it glitches when you start taking pictures. 3.battery is very weak (maximum 1 day). 3. The back panel does not shine with design. And everything else is good.")</f>
        <v>The phone is not ideal. 1.heats up very quickly. 2.sometimes it glitches when you start taking pictures. 3.battery is very weak (maximum 1 day). 3. The back panel does not shine with design. And everything else is good.</v>
      </c>
    </row>
    <row r="1708" spans="1:9" x14ac:dyDescent="0.3">
      <c r="A1708" s="1" t="s">
        <v>61</v>
      </c>
      <c r="B1708" s="1" t="s">
        <v>318</v>
      </c>
      <c r="C1708" s="1" t="s">
        <v>246</v>
      </c>
      <c r="D1708" s="1" t="s">
        <v>295</v>
      </c>
      <c r="E1708" s="1" t="s">
        <v>3147</v>
      </c>
      <c r="F1708" s="1" t="s">
        <v>3610</v>
      </c>
      <c r="G1708" s="1" t="s">
        <v>49</v>
      </c>
      <c r="H1708" s="1" t="s">
        <v>16</v>
      </c>
      <c r="I1708" s="1" t="str">
        <f ca="1">IFERROR(__xludf.DUMMYFUNCTION("GOOGLETRANSLATE(F1708, ""auto"", ""en"")
"),"We used this kettle once, boiled it and that was it. Its lid doesn't smell like food grade plastic, what the Chinese are making all this out of... it's unclear.")</f>
        <v>We used this kettle once, boiled it and that was it. Its lid doesn't smell like food grade plastic, what the Chinese are making all this out of... it's unclear.</v>
      </c>
    </row>
    <row r="1709" spans="1:9" x14ac:dyDescent="0.3">
      <c r="A1709" s="1" t="s">
        <v>477</v>
      </c>
      <c r="B1709" s="1" t="s">
        <v>478</v>
      </c>
      <c r="C1709" s="1" t="s">
        <v>479</v>
      </c>
      <c r="D1709" s="1" t="s">
        <v>891</v>
      </c>
      <c r="E1709" s="1" t="s">
        <v>3611</v>
      </c>
      <c r="F1709" s="1" t="s">
        <v>3612</v>
      </c>
      <c r="G1709" s="1" t="s">
        <v>36</v>
      </c>
      <c r="H1709" s="1" t="s">
        <v>29</v>
      </c>
      <c r="I1709" s="1" t="str">
        <f ca="1">IFERROR(__xludf.DUMMYFUNCTION("GOOGLETRANSLATE(F1709, ""auto"", ""en"")
"),"I really liked the game, take it, you won’t regret it")</f>
        <v>I really liked the game, take it, you won’t regret it</v>
      </c>
    </row>
    <row r="1710" spans="1:9" x14ac:dyDescent="0.3">
      <c r="A1710" s="1" t="s">
        <v>17</v>
      </c>
      <c r="B1710" s="1" t="s">
        <v>18</v>
      </c>
      <c r="C1710" s="1" t="s">
        <v>243</v>
      </c>
      <c r="D1710" s="1" t="s">
        <v>3613</v>
      </c>
      <c r="E1710" s="1" t="s">
        <v>1019</v>
      </c>
      <c r="F1710" s="1" t="s">
        <v>3614</v>
      </c>
      <c r="G1710" s="1" t="s">
        <v>15</v>
      </c>
      <c r="H1710" s="1" t="s">
        <v>16</v>
      </c>
      <c r="I1710" s="1" t="str">
        <f ca="1">IFERROR(__xludf.DUMMYFUNCTION("GOOGLETRANSLATE(F1710, ""auto"", ""en"")
"),"The oil seal and bearings need to be replaced, but the tank turned out to be non-separable. So it turns out that they demand 5,000 rubles for repairs. It's easier to buy a new one. It's a shame that Indesit doesn't care about their customers.")</f>
        <v>The oil seal and bearings need to be replaced, but the tank turned out to be non-separable. So it turns out that they demand 5,000 rubles for repairs. It's easier to buy a new one. It's a shame that Indesit doesn't care about their customers.</v>
      </c>
    </row>
    <row r="1711" spans="1:9" x14ac:dyDescent="0.3">
      <c r="A1711" s="1" t="s">
        <v>211</v>
      </c>
      <c r="B1711" s="1" t="s">
        <v>265</v>
      </c>
      <c r="C1711" s="1" t="s">
        <v>1591</v>
      </c>
      <c r="D1711" s="1" t="s">
        <v>114</v>
      </c>
      <c r="E1711" s="1" t="s">
        <v>534</v>
      </c>
      <c r="F1711" s="1" t="s">
        <v>3615</v>
      </c>
      <c r="G1711" s="1" t="s">
        <v>49</v>
      </c>
      <c r="H1711" s="1" t="s">
        <v>16</v>
      </c>
      <c r="I1711" s="1" t="str">
        <f ca="1">IFERROR(__xludf.DUMMYFUNCTION("GOOGLETRANSLATE(F1711, ""auto"", ""en"")
"),"The machine itself is not bad, but no matter how I tried to carefully remove and put on the attachments, they still fell apart into several parts, it is almost impossible to find the attachments, I will have to throw away this device, it’s a pity. I absol"&amp;"utely do not recommend it")</f>
        <v>The machine itself is not bad, but no matter how I tried to carefully remove and put on the attachments, they still fell apart into several parts, it is almost impossible to find the attachments, I will have to throw away this device, it’s a pity. I absolutely do not recommend it</v>
      </c>
    </row>
    <row r="1712" spans="1:9" x14ac:dyDescent="0.3">
      <c r="A1712" s="1" t="s">
        <v>149</v>
      </c>
      <c r="B1712" s="1" t="s">
        <v>150</v>
      </c>
      <c r="C1712" s="1" t="s">
        <v>982</v>
      </c>
      <c r="D1712" s="1" t="s">
        <v>19</v>
      </c>
      <c r="E1712" s="1" t="s">
        <v>3616</v>
      </c>
      <c r="F1712" s="1" t="s">
        <v>3617</v>
      </c>
      <c r="G1712" s="1" t="s">
        <v>36</v>
      </c>
      <c r="H1712" s="1" t="s">
        <v>29</v>
      </c>
      <c r="I1712" s="1" t="str">
        <f ca="1">IFERROR(__xludf.DUMMYFUNCTION("GOOGLETRANSLATE(F1712, ""auto"", ""en"")
"),"An excellent device, I also use it according to a simplified scheme. with a raised tank. And to prevent the shampoo from drying out on the car, they generally don’t wash the car in the sun. And one more thing - do not forget to pump the shampoo supply hos"&amp;"e with water after finishing the work.")</f>
        <v>An excellent device, I also use it according to a simplified scheme. with a raised tank. And to prevent the shampoo from drying out on the car, they generally don’t wash the car in the sun. And one more thing - do not forget to pump the shampoo supply hose with water after finishing the work.</v>
      </c>
    </row>
    <row r="1713" spans="1:9" x14ac:dyDescent="0.3">
      <c r="A1713" s="1" t="s">
        <v>211</v>
      </c>
      <c r="B1713" s="1" t="s">
        <v>515</v>
      </c>
      <c r="C1713" s="1" t="s">
        <v>69</v>
      </c>
      <c r="D1713" s="1" t="s">
        <v>64</v>
      </c>
      <c r="E1713" s="1" t="s">
        <v>2754</v>
      </c>
      <c r="F1713" s="1" t="s">
        <v>3618</v>
      </c>
      <c r="G1713" s="1" t="s">
        <v>36</v>
      </c>
      <c r="H1713" s="1" t="s">
        <v>29</v>
      </c>
      <c r="I1713" s="1" t="str">
        <f ca="1">IFERROR(__xludf.DUMMYFUNCTION("GOOGLETRANSLATE(F1713, ""auto"", ""en"")
"),"I am very glad that I purchased this epilator and not only because of its quality, but also the fact that the set included an epilator for sensitive areas and tweezers, and all at an affordable price of good quality.")</f>
        <v>I am very glad that I purchased this epilator and not only because of its quality, but also the fact that the set included an epilator for sensitive areas and tweezers, and all at an affordable price of good quality.</v>
      </c>
    </row>
    <row r="1714" spans="1:9" x14ac:dyDescent="0.3">
      <c r="A1714" s="1" t="s">
        <v>89</v>
      </c>
      <c r="B1714" s="1" t="s">
        <v>1106</v>
      </c>
      <c r="C1714" s="1" t="s">
        <v>63</v>
      </c>
      <c r="D1714" s="1" t="s">
        <v>1008</v>
      </c>
      <c r="E1714" s="1" t="s">
        <v>1330</v>
      </c>
      <c r="F1714" s="1" t="s">
        <v>3619</v>
      </c>
      <c r="G1714" s="1" t="s">
        <v>15</v>
      </c>
      <c r="H1714" s="1" t="s">
        <v>16</v>
      </c>
      <c r="I1714" s="1" t="str">
        <f ca="1">IFERROR(__xludf.DUMMYFUNCTION("GOOGLETRANSLATE(F1714, ""auto"", ""en"")
"),"The flask of the Tka 1410 V coffee maker is made of non-tempered glass and breaks easily. There are no spare parts in the BOSH service, they can be ordered in 2 weeks. The cost of a glass flask is equal to the cost of the entire coffee maker.")</f>
        <v>The flask of the Tka 1410 V coffee maker is made of non-tempered glass and breaks easily. There are no spare parts in the BOSH service, they can be ordered in 2 weeks. The cost of a glass flask is equal to the cost of the entire coffee maker.</v>
      </c>
    </row>
    <row r="1715" spans="1:9" x14ac:dyDescent="0.3">
      <c r="A1715" s="1" t="s">
        <v>89</v>
      </c>
      <c r="B1715" s="1" t="s">
        <v>90</v>
      </c>
      <c r="C1715" s="1" t="s">
        <v>63</v>
      </c>
      <c r="D1715" s="1" t="s">
        <v>3620</v>
      </c>
      <c r="E1715" s="1" t="s">
        <v>3621</v>
      </c>
      <c r="F1715" s="1" t="s">
        <v>3622</v>
      </c>
      <c r="G1715" s="1" t="s">
        <v>1580</v>
      </c>
      <c r="H1715" s="1" t="s">
        <v>29</v>
      </c>
      <c r="I1715" s="1" t="str">
        <f ca="1">IFERROR(__xludf.DUMMYFUNCTION("GOOGLETRANSLATE(F1715, ""auto"", ""en"")
"),"Everything was fine as long as she worked.")</f>
        <v>Everything was fine as long as she worked.</v>
      </c>
    </row>
    <row r="1716" spans="1:9" x14ac:dyDescent="0.3">
      <c r="A1716" s="1" t="s">
        <v>211</v>
      </c>
      <c r="B1716" s="1" t="s">
        <v>265</v>
      </c>
      <c r="C1716" s="1" t="s">
        <v>69</v>
      </c>
      <c r="D1716" s="1" t="s">
        <v>308</v>
      </c>
      <c r="E1716" s="1" t="s">
        <v>217</v>
      </c>
      <c r="F1716" s="1" t="s">
        <v>3623</v>
      </c>
      <c r="G1716" s="1" t="s">
        <v>49</v>
      </c>
      <c r="H1716" s="1" t="s">
        <v>16</v>
      </c>
      <c r="I1716" s="1" t="str">
        <f ca="1">IFERROR(__xludf.DUMMYFUNCTION("GOOGLETRANSLATE(F1716, ""auto"", ""en"")
"),"The nozzle broke very quickly. It is impossible to find a replacement anywhere. It is not covered by warranty. As a result, I had to buy a new one. Disgrace! They would have discontinued it a long time ago or figured out how to fix it.")</f>
        <v>The nozzle broke very quickly. It is impossible to find a replacement anywhere. It is not covered by warranty. As a result, I had to buy a new one. Disgrace! They would have discontinued it a long time ago or figured out how to fix it.</v>
      </c>
    </row>
    <row r="1717" spans="1:9" x14ac:dyDescent="0.3">
      <c r="A1717" s="1" t="s">
        <v>149</v>
      </c>
      <c r="B1717" s="1" t="s">
        <v>155</v>
      </c>
      <c r="C1717" s="1" t="s">
        <v>101</v>
      </c>
      <c r="D1717" s="1" t="s">
        <v>3624</v>
      </c>
      <c r="E1717" s="1" t="s">
        <v>1079</v>
      </c>
      <c r="F1717" s="1" t="s">
        <v>3625</v>
      </c>
      <c r="G1717" s="1" t="s">
        <v>36</v>
      </c>
      <c r="H1717" s="1" t="s">
        <v>29</v>
      </c>
      <c r="I1717" s="1" t="str">
        <f ca="1">IFERROR(__xludf.DUMMYFUNCTION("GOOGLETRANSLATE(F1717, ""auto"", ""en"")
"),"Excellent vacuum cleaner. It attracts dust well, and with a brush it cleans carpets well. Thanks to the additional narrow nozzle, you can vacuum both corners and narrow places (I use this nozzle to clean dust from my computer, it’s very convenient). True,"&amp;" the filter itself needs to be cleaned as it becomes dirty, otherwise the vacuum cleaner will not draw in dust well, and an extraneous sound may also appear. I am satisfied with the vacuum cleaner, I recommend it.")</f>
        <v>Excellent vacuum cleaner. It attracts dust well, and with a brush it cleans carpets well. Thanks to the additional narrow nozzle, you can vacuum both corners and narrow places (I use this nozzle to clean dust from my computer, it’s very convenient). True, the filter itself needs to be cleaned as it becomes dirty, otherwise the vacuum cleaner will not draw in dust well, and an extraneous sound may also appear. I am satisfied with the vacuum cleaner, I recommend it.</v>
      </c>
    </row>
    <row r="1718" spans="1:9" x14ac:dyDescent="0.3">
      <c r="A1718" s="1" t="s">
        <v>37</v>
      </c>
      <c r="B1718" s="1" t="s">
        <v>536</v>
      </c>
      <c r="C1718" s="1" t="s">
        <v>189</v>
      </c>
      <c r="D1718" s="1" t="s">
        <v>327</v>
      </c>
      <c r="E1718" s="1" t="s">
        <v>3626</v>
      </c>
      <c r="F1718" s="1" t="s">
        <v>3627</v>
      </c>
      <c r="G1718" s="1" t="s">
        <v>49</v>
      </c>
      <c r="H1718" s="1" t="s">
        <v>16</v>
      </c>
      <c r="I1718" s="1" t="str">
        <f ca="1">IFERROR(__xludf.DUMMYFUNCTION("GOOGLETRANSLATE(F1718, ""auto"", ""en"")
"),"Worst communicator I've ever seen. The case is made of waste; if treated carefully, the case itself will begin to crack and as a result, the antenna contacts will begin to come off. The PDA constantly misses calls, they call you, but it is silent. The cam"&amp;"era is terrible, all the photos are always blurry.")</f>
        <v>Worst communicator I've ever seen. The case is made of waste; if treated carefully, the case itself will begin to crack and as a result, the antenna contacts will begin to come off. The PDA constantly misses calls, they call you, but it is silent. The camera is terrible, all the photos are always blurry.</v>
      </c>
    </row>
    <row r="1719" spans="1:9" x14ac:dyDescent="0.3">
      <c r="A1719" s="1" t="s">
        <v>211</v>
      </c>
      <c r="B1719" s="1" t="s">
        <v>789</v>
      </c>
      <c r="C1719" s="1" t="s">
        <v>3628</v>
      </c>
      <c r="D1719" s="1" t="s">
        <v>3629</v>
      </c>
      <c r="E1719" s="1" t="s">
        <v>3630</v>
      </c>
      <c r="F1719" s="1" t="s">
        <v>3631</v>
      </c>
      <c r="G1719" s="1" t="s">
        <v>36</v>
      </c>
      <c r="H1719" s="1" t="s">
        <v>29</v>
      </c>
      <c r="I1719" s="1" t="str">
        <f ca="1">IFERROR(__xludf.DUMMYFUNCTION("GOOGLETRANSLATE(F1719, ""auto"", ""en"")
"),"We have been using it for more than 4 months, both in the bathroom and in the room, it measures accurately and quickly.")</f>
        <v>We have been using it for more than 4 months, both in the bathroom and in the room, it measures accurately and quickly.</v>
      </c>
    </row>
    <row r="1720" spans="1:9" x14ac:dyDescent="0.3">
      <c r="A1720" s="1" t="s">
        <v>17</v>
      </c>
      <c r="B1720" s="1" t="s">
        <v>18</v>
      </c>
      <c r="C1720" s="1" t="s">
        <v>138</v>
      </c>
      <c r="D1720" s="1" t="s">
        <v>811</v>
      </c>
      <c r="E1720" s="1" t="s">
        <v>971</v>
      </c>
      <c r="F1720" s="1" t="s">
        <v>3632</v>
      </c>
      <c r="G1720" s="1" t="s">
        <v>36</v>
      </c>
      <c r="H1720" s="1" t="s">
        <v>29</v>
      </c>
      <c r="I1720" s="1" t="str">
        <f ca="1">IFERROR(__xludf.DUMMYFUNCTION("GOOGLETRANSLATE(F1720, ""auto"", ""en"")
"),"We bought it a month ago for 9,990 rubles. on promotion.  The design is SUPER, it washes perfectly, the spin makes the laundry almost dry, no vibration.  The downside is that you can hear a whistling sound when spinning, probably the drum rubs against the"&amp;" rubber door seal when rotating, or the belt makes a sound like that. Maybe this is not a drawback, it doesn’t bother me too much - the bathroom door closes tightly :). It would also not hurt to add a sound signal after the end of the wash.  In general, f"&amp;"or 10 thousand rubles. she has no competitors!")</f>
        <v>We bought it a month ago for 9,990 rubles. on promotion.  The design is SUPER, it washes perfectly, the spin makes the laundry almost dry, no vibration.  The downside is that you can hear a whistling sound when spinning, probably the drum rubs against the rubber door seal when rotating, or the belt makes a sound like that. Maybe this is not a drawback, it doesn’t bother me too much - the bathroom door closes tightly :). It would also not hurt to add a sound signal after the end of the wash.  In general, for 10 thousand rubles. she has no competitors!</v>
      </c>
    </row>
    <row r="1721" spans="1:9" x14ac:dyDescent="0.3">
      <c r="A1721" s="1" t="s">
        <v>17</v>
      </c>
      <c r="B1721" s="1" t="s">
        <v>18</v>
      </c>
      <c r="C1721" s="1" t="s">
        <v>63</v>
      </c>
      <c r="D1721" s="1" t="s">
        <v>1055</v>
      </c>
      <c r="E1721" s="1" t="s">
        <v>2113</v>
      </c>
      <c r="F1721" s="1" t="s">
        <v>3633</v>
      </c>
      <c r="G1721" s="1" t="s">
        <v>36</v>
      </c>
      <c r="H1721" s="1" t="s">
        <v>29</v>
      </c>
      <c r="I1721" s="1" t="str">
        <f ca="1">IFERROR(__xludf.DUMMYFUNCTION("GOOGLETRANSLATE(F1721, ""auto"", ""en"")
"),"I am very pleased with the machine, I really like the double wash, things become snow-white, there is an additional rinse. I didn't find any cons.")</f>
        <v>I am very pleased with the machine, I really like the double wash, things become snow-white, there is an additional rinse. I didn't find any cons.</v>
      </c>
    </row>
    <row r="1722" spans="1:9" x14ac:dyDescent="0.3">
      <c r="A1722" s="1" t="s">
        <v>361</v>
      </c>
      <c r="B1722" s="1" t="s">
        <v>1077</v>
      </c>
      <c r="C1722" s="1" t="s">
        <v>561</v>
      </c>
      <c r="D1722" s="1" t="s">
        <v>345</v>
      </c>
      <c r="E1722" s="1" t="s">
        <v>3634</v>
      </c>
      <c r="F1722" s="1" t="s">
        <v>3635</v>
      </c>
      <c r="G1722" s="1" t="s">
        <v>36</v>
      </c>
      <c r="H1722" s="1" t="s">
        <v>29</v>
      </c>
      <c r="I1722" s="1" t="str">
        <f ca="1">IFERROR(__xludf.DUMMYFUNCTION("GOOGLETRANSLATE(F1722, ""auto"", ""en"")
"),"Awesome thing, I use it for making tea. I got it by accident, I had never used French presses before. Colleagues gave it to me for my birthday. I've been using it for over a year and a half. It is very convenient to wash, you just need to get used to it a"&amp;" little and it washes in 15 seconds; in traditional teapots there is a problem with tea leaves getting stuck in the proboscis, but there cannot be such a problem here. Take it, you won't regret it! Enjoy your tea :)")</f>
        <v>Awesome thing, I use it for making tea. I got it by accident, I had never used French presses before. Colleagues gave it to me for my birthday. I've been using it for over a year and a half. It is very convenient to wash, you just need to get used to it a little and it washes in 15 seconds; in traditional teapots there is a problem with tea leaves getting stuck in the proboscis, but there cannot be such a problem here. Take it, you won't regret it! Enjoy your tea :)</v>
      </c>
    </row>
    <row r="1723" spans="1:9" x14ac:dyDescent="0.3">
      <c r="A1723" s="1" t="s">
        <v>30</v>
      </c>
      <c r="B1723" s="1" t="s">
        <v>50</v>
      </c>
      <c r="C1723" s="1" t="s">
        <v>32</v>
      </c>
      <c r="D1723" s="1" t="s">
        <v>3636</v>
      </c>
      <c r="E1723" s="1" t="s">
        <v>3637</v>
      </c>
      <c r="F1723" s="1" t="s">
        <v>3638</v>
      </c>
      <c r="G1723" s="1" t="s">
        <v>36</v>
      </c>
      <c r="H1723" s="1" t="s">
        <v>29</v>
      </c>
      <c r="I1723" s="1" t="str">
        <f ca="1">IFERROR(__xludf.DUMMYFUNCTION("GOOGLETRANSLATE(F1723, ""auto"", ""en"")
"),"There is no Bluetooth on it, and in principle it is not needed there...")</f>
        <v>There is no Bluetooth on it, and in principle it is not needed there...</v>
      </c>
    </row>
    <row r="1724" spans="1:9" x14ac:dyDescent="0.3">
      <c r="A1724" s="1" t="s">
        <v>95</v>
      </c>
      <c r="B1724" s="1" t="s">
        <v>227</v>
      </c>
      <c r="C1724" s="1" t="s">
        <v>97</v>
      </c>
      <c r="D1724" s="1" t="s">
        <v>3639</v>
      </c>
      <c r="E1724" s="1" t="s">
        <v>2150</v>
      </c>
      <c r="F1724" s="1" t="s">
        <v>3640</v>
      </c>
      <c r="G1724" s="1" t="s">
        <v>36</v>
      </c>
      <c r="H1724" s="1" t="s">
        <v>29</v>
      </c>
      <c r="I1724" s="1" t="str">
        <f ca="1">IFERROR(__xludf.DUMMYFUNCTION("GOOGLETRANSLATE(F1724, ""auto"", ""en"")
"),"I have a question. Yesterday I bought myself a PS3, and immediately started thinking - if I insert a regular DVD with a regular movie into it, will the console read it or say it’s an unsupported format?")</f>
        <v>I have a question. Yesterday I bought myself a PS3, and immediately started thinking - if I insert a regular DVD with a regular movie into it, will the console read it or say it’s an unsupported format?</v>
      </c>
    </row>
    <row r="1725" spans="1:9" x14ac:dyDescent="0.3">
      <c r="A1725" s="1" t="s">
        <v>206</v>
      </c>
      <c r="B1725" s="1" t="s">
        <v>2026</v>
      </c>
      <c r="C1725" s="1" t="s">
        <v>351</v>
      </c>
      <c r="D1725" s="1" t="s">
        <v>1431</v>
      </c>
      <c r="E1725" s="1" t="s">
        <v>886</v>
      </c>
      <c r="F1725" s="1" t="s">
        <v>3641</v>
      </c>
      <c r="G1725" s="1" t="s">
        <v>36</v>
      </c>
      <c r="H1725" s="1" t="s">
        <v>29</v>
      </c>
      <c r="I1725" s="1" t="str">
        <f ca="1">IFERROR(__xludf.DUMMYFUNCTION("GOOGLETRANSLATE(F1725, ""auto"", ""en"")
"),"Shows well and is worth the price.  The built-in antenna is not very good, but if you insert your own, it shows great. Reads flash drives without question, shows videos and television programs well.")</f>
        <v>Shows well and is worth the price.  The built-in antenna is not very good, but if you insert your own, it shows great. Reads flash drives without question, shows videos and television programs well.</v>
      </c>
    </row>
    <row r="1726" spans="1:9" x14ac:dyDescent="0.3">
      <c r="A1726" s="1" t="s">
        <v>9</v>
      </c>
      <c r="B1726" s="1" t="s">
        <v>10</v>
      </c>
      <c r="C1726" s="1" t="s">
        <v>466</v>
      </c>
      <c r="D1726" s="1" t="s">
        <v>114</v>
      </c>
      <c r="E1726" s="1" t="s">
        <v>3642</v>
      </c>
      <c r="F1726" s="1" t="s">
        <v>3643</v>
      </c>
      <c r="G1726" s="1" t="s">
        <v>36</v>
      </c>
      <c r="H1726" s="1" t="s">
        <v>29</v>
      </c>
      <c r="I1726" s="1" t="str">
        <f ca="1">IFERROR(__xludf.DUMMYFUNCTION("GOOGLETRANSLATE(F1726, ""auto"", ""en"")
"),"We've been using it for 7 months. Everything is fine. Wrote a review 01/29/2013 Ivan Omsk. From that moment on, nothing changed in the work. I recommend it to everyone. There is also the same hood only with touch control, but it seems to me that this is a"&amp;"n expensive and unreliable function. This hood combines price/quality!!! I recommend it.")</f>
        <v>We've been using it for 7 months. Everything is fine. Wrote a review 01/29/2013 Ivan Omsk. From that moment on, nothing changed in the work. I recommend it to everyone. There is also the same hood only with touch control, but it seems to me that this is an expensive and unreliable function. This hood combines price/quality!!! I recommend it.</v>
      </c>
    </row>
    <row r="1727" spans="1:9" x14ac:dyDescent="0.3">
      <c r="A1727" s="1" t="s">
        <v>61</v>
      </c>
      <c r="B1727" s="1" t="s">
        <v>318</v>
      </c>
      <c r="C1727" s="1" t="s">
        <v>101</v>
      </c>
      <c r="D1727" s="1" t="s">
        <v>240</v>
      </c>
      <c r="E1727" s="1" t="s">
        <v>2405</v>
      </c>
      <c r="F1727" s="1" t="s">
        <v>3644</v>
      </c>
      <c r="G1727" s="1" t="s">
        <v>28</v>
      </c>
      <c r="H1727" s="1" t="s">
        <v>29</v>
      </c>
      <c r="I1727" s="1" t="str">
        <f ca="1">IFERROR(__xludf.DUMMYFUNCTION("GOOGLETRANSLATE(F1727, ""auto"", ""en"")
"),"Great item to have at home. There is always hot water at the required temperature. We decided that taking a cooler home was too cumbersome and wasteful, but a thermopot was just right. Three liters of hot water are at hand at any time of the day or night.")</f>
        <v>Great item to have at home. There is always hot water at the required temperature. We decided that taking a cooler home was too cumbersome and wasteful, but a thermopot was just right. Three liters of hot water are at hand at any time of the day or night.</v>
      </c>
    </row>
    <row r="1728" spans="1:9" x14ac:dyDescent="0.3">
      <c r="A1728" s="1" t="s">
        <v>61</v>
      </c>
      <c r="B1728" s="1" t="s">
        <v>977</v>
      </c>
      <c r="C1728" s="1" t="s">
        <v>69</v>
      </c>
      <c r="D1728" s="1" t="s">
        <v>521</v>
      </c>
      <c r="E1728" s="1" t="s">
        <v>2582</v>
      </c>
      <c r="F1728" s="1" t="s">
        <v>3645</v>
      </c>
      <c r="G1728" s="1" t="s">
        <v>49</v>
      </c>
      <c r="H1728" s="1" t="s">
        <v>16</v>
      </c>
      <c r="I1728" s="1" t="str">
        <f ca="1">IFERROR(__xludf.DUMMYFUNCTION("GOOGLETRANSLATE(F1728, ""auto"", ""en"")
"),"1. It gets very hot during operation, even for a short time of use 2. The knives in the blender itself are very dull, they chop poorly, it won’t turn out to a puree state, everything is in small, I would even say, pieces.")</f>
        <v>1. It gets very hot during operation, even for a short time of use 2. The knives in the blender itself are very dull, they chop poorly, it won’t turn out to a puree state, everything is in small, I would even say, pieces.</v>
      </c>
    </row>
    <row r="1729" spans="1:9" x14ac:dyDescent="0.3">
      <c r="A1729" s="1" t="s">
        <v>149</v>
      </c>
      <c r="B1729" s="1" t="s">
        <v>155</v>
      </c>
      <c r="C1729" s="1" t="s">
        <v>57</v>
      </c>
      <c r="D1729" s="1" t="s">
        <v>3646</v>
      </c>
      <c r="E1729" s="1" t="s">
        <v>646</v>
      </c>
      <c r="F1729" s="1" t="s">
        <v>3647</v>
      </c>
      <c r="G1729" s="1" t="s">
        <v>36</v>
      </c>
      <c r="H1729" s="1" t="s">
        <v>29</v>
      </c>
      <c r="I1729" s="1" t="str">
        <f ca="1">IFERROR(__xludf.DUMMYFUNCTION("GOOGLETRANSLATE(F1729, ""auto"", ""en"")
"),"Gorgeous device! I wanted to buy it yesterday, but the consultant girl suggested that there would be discounts today. As a result, I saved 2500 rubles! Thanks to her: * There are no complaints about the operation of the vacuum cleaner. Sucks great. And th"&amp;"e design is unusual, close to models from Dyson. I’m also very glad that there is a turbo brush.  In general, I advise you to take it for those who doubt it!")</f>
        <v>Gorgeous device! I wanted to buy it yesterday, but the consultant girl suggested that there would be discounts today. As a result, I saved 2500 rubles! Thanks to her: * There are no complaints about the operation of the vacuum cleaner. Sucks great. And the design is unusual, close to models from Dyson. I’m also very glad that there is a turbo brush.  In general, I advise you to take it for those who doubt it!</v>
      </c>
    </row>
    <row r="1730" spans="1:9" x14ac:dyDescent="0.3">
      <c r="A1730" s="1" t="s">
        <v>89</v>
      </c>
      <c r="B1730" s="1" t="s">
        <v>90</v>
      </c>
      <c r="C1730" s="1" t="s">
        <v>185</v>
      </c>
      <c r="D1730" s="1" t="s">
        <v>81</v>
      </c>
      <c r="E1730" s="1" t="s">
        <v>3648</v>
      </c>
      <c r="F1730" s="1" t="s">
        <v>3649</v>
      </c>
      <c r="G1730" s="1" t="s">
        <v>36</v>
      </c>
      <c r="H1730" s="1" t="s">
        <v>29</v>
      </c>
      <c r="I1730" s="1" t="str">
        <f ca="1">IFERROR(__xludf.DUMMYFUNCTION("GOOGLETRANSLATE(F1730, ""auto"", ""en"")
"),"I ground about 50 kg of coffee))) And its resource is 800 kg. It doesn’t burn anything, even if you grind 200 grams, the grinding is cold and uniform. I'm happy with this coffee grinder and don't want to change it.")</f>
        <v>I ground about 50 kg of coffee))) And its resource is 800 kg. It doesn’t burn anything, even if you grind 200 grams, the grinding is cold and uniform. I'm happy with this coffee grinder and don't want to change it.</v>
      </c>
    </row>
    <row r="1731" spans="1:9" x14ac:dyDescent="0.3">
      <c r="A1731" s="1" t="s">
        <v>120</v>
      </c>
      <c r="B1731" s="1" t="s">
        <v>121</v>
      </c>
      <c r="C1731" s="1" t="s">
        <v>69</v>
      </c>
      <c r="D1731" s="1" t="s">
        <v>1744</v>
      </c>
      <c r="E1731" s="1" t="s">
        <v>1280</v>
      </c>
      <c r="F1731" s="1" t="s">
        <v>3650</v>
      </c>
      <c r="G1731" s="1" t="s">
        <v>36</v>
      </c>
      <c r="H1731" s="1" t="s">
        <v>29</v>
      </c>
      <c r="I1731" s="1" t="str">
        <f ca="1">IFERROR(__xludf.DUMMYFUNCTION("GOOGLETRANSLATE(F1731, ""auto"", ""en"")
"),"The TV is simply excellent) thank you for your help in choosing, consultant Marcel at MEGA on Pobeda Avenue in Kazan, I AM ecstatic about the TV!")</f>
        <v>The TV is simply excellent) thank you for your help in choosing, consultant Marcel at MEGA on Pobeda Avenue in Kazan, I AM ecstatic about the TV!</v>
      </c>
    </row>
    <row r="1732" spans="1:9" x14ac:dyDescent="0.3">
      <c r="A1732" s="1" t="s">
        <v>55</v>
      </c>
      <c r="B1732" s="1" t="s">
        <v>56</v>
      </c>
      <c r="C1732" s="1" t="s">
        <v>3651</v>
      </c>
      <c r="D1732" s="1" t="s">
        <v>1476</v>
      </c>
      <c r="E1732" s="1" t="s">
        <v>3652</v>
      </c>
      <c r="F1732" s="1" t="s">
        <v>3653</v>
      </c>
      <c r="G1732" s="1" t="s">
        <v>36</v>
      </c>
      <c r="H1732" s="1" t="s">
        <v>29</v>
      </c>
      <c r="I1732" s="1" t="str">
        <f ca="1">IFERROR(__xludf.DUMMYFUNCTION("GOOGLETRANSLATE(F1732, ""auto"", ""en"")
"),"You came to Rusklimat not so long ago, that is, replacement filters appeared there recently. Since the beginning of 2009, I have been bombarding with messages to the official mail of the Boneko website, and there were no replacement filters in Rusklimat o"&amp;"r anywhere at all.  Now Rusklimat actually has it, and it’s very good.  I will immediately buy several filters there, and now, by the way, I will buy another similar humidifier to put in the office.  Because you won’t find a simpler, more reliable and mor"&amp;"e effective humidifier than this one.  Surprisingly easy to maintain, no damage to your furniture. One more piece of advice that might be useful to someone. Before I pour water into the humidifier, I filter the water through a pitcher filter, but our wate"&amp;"r is just very hard. If your water is soft, you don't need to do this. But the filter lasts significantly longer.  During the past fall-winter-spring, no one in our house was sick with any ARVI, so I recommend this humidifier to everyone.")</f>
        <v>You came to Rusklimat not so long ago, that is, replacement filters appeared there recently. Since the beginning of 2009, I have been bombarding with messages to the official mail of the Boneko website, and there were no replacement filters in Rusklimat or anywhere at all.  Now Rusklimat actually has it, and it’s very good.  I will immediately buy several filters there, and now, by the way, I will buy another similar humidifier to put in the office.  Because you won’t find a simpler, more reliable and more effective humidifier than this one.  Surprisingly easy to maintain, no damage to your furniture. One more piece of advice that might be useful to someone. Before I pour water into the humidifier, I filter the water through a pitcher filter, but our water is just very hard. If your water is soft, you don't need to do this. But the filter lasts significantly longer.  During the past fall-winter-spring, no one in our house was sick with any ARVI, so I recommend this humidifier to everyone.</v>
      </c>
    </row>
    <row r="1733" spans="1:9" x14ac:dyDescent="0.3">
      <c r="A1733" s="1" t="s">
        <v>30</v>
      </c>
      <c r="B1733" s="1" t="s">
        <v>50</v>
      </c>
      <c r="C1733" s="1" t="s">
        <v>51</v>
      </c>
      <c r="D1733" s="1" t="s">
        <v>232</v>
      </c>
      <c r="E1733" s="1" t="s">
        <v>269</v>
      </c>
      <c r="F1733" s="1" t="s">
        <v>3654</v>
      </c>
      <c r="G1733" s="1" t="s">
        <v>36</v>
      </c>
      <c r="H1733" s="1" t="s">
        <v>29</v>
      </c>
      <c r="I1733" s="1" t="str">
        <f ca="1">IFERROR(__xludf.DUMMYFUNCTION("GOOGLETRANSLATE(F1733, ""auto"", ""en"")
"),"I wanted to buy it, but it was the last one on display (I don’t take from the display as a matter of principle), but I even decided to disregard the principles, but a dead pixel was discovered... In a word, it disappeared. It turned out to be not mine, bu"&amp;"t it’s a pity... If it appeared on sale again, in an unopened box, I would buy it right away... Feels like: a fairly decent matrix, which is rare on modern laptops, in terms of price-quality ratio, at least according to the stated characteristics and the "&amp;"general feeling of the sample seen - close to 100 percent. In short, I want this model...")</f>
        <v>I wanted to buy it, but it was the last one on display (I don’t take from the display as a matter of principle), but I even decided to disregard the principles, but a dead pixel was discovered... In a word, it disappeared. It turned out to be not mine, but it’s a pity... If it appeared on sale again, in an unopened box, I would buy it right away... Feels like: a fairly decent matrix, which is rare on modern laptops, in terms of price-quality ratio, at least according to the stated characteristics and the general feeling of the sample seen - close to 100 percent. In short, I want this model...</v>
      </c>
    </row>
    <row r="1734" spans="1:9" x14ac:dyDescent="0.3">
      <c r="A1734" s="1" t="s">
        <v>369</v>
      </c>
      <c r="B1734" s="1" t="s">
        <v>370</v>
      </c>
      <c r="C1734" s="1" t="s">
        <v>290</v>
      </c>
      <c r="D1734" s="1" t="s">
        <v>186</v>
      </c>
      <c r="E1734" s="1" t="s">
        <v>1231</v>
      </c>
      <c r="F1734" s="1" t="s">
        <v>3655</v>
      </c>
      <c r="G1734" s="1" t="s">
        <v>36</v>
      </c>
      <c r="H1734" s="1" t="s">
        <v>29</v>
      </c>
      <c r="I1734" s="1" t="str">
        <f ca="1">IFERROR(__xludf.DUMMYFUNCTION("GOOGLETRANSLATE(F1734, ""auto"", ""en"")
"),"Does this model have a grill? I bought the same model only in metallic color. Miracle stove! There is convection. Nothing superfluous, no electronics (which usually fail) The real question is about the grill. The model is the same, but I don’t have a gril"&amp;"l.   ▶▶▶EXPERT ANSWER “M.VIDEO”◀◀◀ There is a grill, the products are laid out on a special grill, a spit is not used.")</f>
        <v>Does this model have a grill? I bought the same model only in metallic color. Miracle stove! There is convection. Nothing superfluous, no electronics (which usually fail) The real question is about the grill. The model is the same, but I don’t have a grill.   ▶▶▶EXPERT ANSWER “M.VIDEO”◀◀◀ There is a grill, the products are laid out on a special grill, a spit is not used.</v>
      </c>
    </row>
    <row r="1735" spans="1:9" x14ac:dyDescent="0.3">
      <c r="A1735" s="1" t="s">
        <v>17</v>
      </c>
      <c r="B1735" s="1" t="s">
        <v>18</v>
      </c>
      <c r="C1735" s="1" t="s">
        <v>885</v>
      </c>
      <c r="D1735" s="1" t="s">
        <v>172</v>
      </c>
      <c r="E1735" s="1" t="s">
        <v>128</v>
      </c>
      <c r="F1735" s="1" t="s">
        <v>3656</v>
      </c>
      <c r="G1735" s="1" t="s">
        <v>36</v>
      </c>
      <c r="H1735" s="1" t="s">
        <v>29</v>
      </c>
      <c r="I1735" s="1" t="str">
        <f ca="1">IFERROR(__xludf.DUMMYFUNCTION("GOOGLETRANSLATE(F1735, ""auto"", ""en"")
"),"I have been using the machine for 2 months. Very pleased: - quiet, the loudest noise is only when filling and draining water - roomy for such dimensions - washes well and is economical at the same time.  Doesn't jump or shake when spinning. I tried all th"&amp;"e programs and in the end I mainly use one - MIX&amp;WASH.  I'm happy with the purchase.")</f>
        <v>I have been using the machine for 2 months. Very pleased: - quiet, the loudest noise is only when filling and draining water - roomy for such dimensions - washes well and is economical at the same time.  Doesn't jump or shake when spinning. I tried all the programs and in the end I mainly use one - MIX&amp;WASH.  I'm happy with the purchase.</v>
      </c>
    </row>
    <row r="1736" spans="1:9" x14ac:dyDescent="0.3">
      <c r="A1736" s="1" t="s">
        <v>120</v>
      </c>
      <c r="B1736" s="1" t="s">
        <v>121</v>
      </c>
      <c r="C1736" s="1" t="s">
        <v>122</v>
      </c>
      <c r="D1736" s="1" t="s">
        <v>305</v>
      </c>
      <c r="E1736" s="1" t="s">
        <v>2358</v>
      </c>
      <c r="F1736" s="1" t="s">
        <v>3657</v>
      </c>
      <c r="G1736" s="1" t="s">
        <v>28</v>
      </c>
      <c r="H1736" s="1" t="s">
        <v>29</v>
      </c>
      <c r="I1736" s="1" t="str">
        <f ca="1">IFERROR(__xludf.DUMMYFUNCTION("GOOGLETRANSLATE(F1736, ""auto"", ""en"")
"),"It does not have such functions: Built-in clock USB power-on timer does not work.")</f>
        <v>It does not have such functions: Built-in clock USB power-on timer does not work.</v>
      </c>
    </row>
    <row r="1737" spans="1:9" x14ac:dyDescent="0.3">
      <c r="A1737" s="1" t="s">
        <v>37</v>
      </c>
      <c r="B1737" s="1" t="s">
        <v>38</v>
      </c>
      <c r="C1737" s="1" t="s">
        <v>151</v>
      </c>
      <c r="D1737" s="1" t="s">
        <v>3658</v>
      </c>
      <c r="E1737" s="1" t="s">
        <v>498</v>
      </c>
      <c r="F1737" s="1" t="s">
        <v>3659</v>
      </c>
      <c r="G1737" s="1" t="s">
        <v>28</v>
      </c>
      <c r="H1737" s="1" t="s">
        <v>29</v>
      </c>
      <c r="I1737" s="1" t="str">
        <f ca="1">IFERROR(__xludf.DUMMYFUNCTION("GOOGLETRANSLATE(F1737, ""auto"", ""en"")
"),"Advantages: Russian file names can be read without problems, the sound is good, stylish design, good price-quality ratio. Convenient contact book - you can record several numbers on one contact.  Disadvantages: 1.If music. There are a lot of files (more t"&amp;"han 100) and they do not have metadata (genre, album, artist), it is very difficult to create your own playlists - only manually each file (even if they are all in the same folder on the SIM). This player is very inconvenient!!  2. Those who claim that th"&amp;"e amount of memory for games is limited only by the total amount of memory are lying. I have 3Gb free on my SIM, but I can only install games on 4Mb!!! :( This is only about 10 games. 3. The headphone jack is non-standard, not a jack, which will certainly"&amp;" affect the reliability. 4. PC Studio software is buggy. They say that it only works under Win2000, but it doesn’t work for me in WinXp. Overall, the phone is not bad, just right for a child or a girl! :)")</f>
        <v>Advantages: Russian file names can be read without problems, the sound is good, stylish design, good price-quality ratio. Convenient contact book - you can record several numbers on one contact.  Disadvantages: 1.If music. There are a lot of files (more than 100) and they do not have metadata (genre, album, artist), it is very difficult to create your own playlists - only manually each file (even if they are all in the same folder on the SIM). This player is very inconvenient!!  2. Those who claim that the amount of memory for games is limited only by the total amount of memory are lying. I have 3Gb free on my SIM, but I can only install games on 4Mb!!! :( This is only about 10 games. 3. The headphone jack is non-standard, not a jack, which will certainly affect the reliability. 4. PC Studio software is buggy. They say that it only works under Win2000, but it doesn’t work for me in WinXp. Overall, the phone is not bad, just right for a child or a girl! :)</v>
      </c>
    </row>
    <row r="1738" spans="1:9" x14ac:dyDescent="0.3">
      <c r="A1738" s="1" t="s">
        <v>9</v>
      </c>
      <c r="B1738" s="1" t="s">
        <v>10</v>
      </c>
      <c r="C1738" s="1" t="s">
        <v>407</v>
      </c>
      <c r="D1738" s="1" t="s">
        <v>3660</v>
      </c>
      <c r="E1738" s="1" t="s">
        <v>2586</v>
      </c>
      <c r="F1738" s="1" t="s">
        <v>3661</v>
      </c>
      <c r="G1738" s="1" t="s">
        <v>36</v>
      </c>
      <c r="H1738" s="1" t="s">
        <v>29</v>
      </c>
      <c r="I1738" s="1" t="str">
        <f ca="1">IFERROR(__xludf.DUMMYFUNCTION("GOOGLETRANSLATE(F1738, ""auto"", ""en"")
"),"I bought this hood as a gift for my mother. This hood has good power for a small kitchen. The smell of cooking food is not audible in the apartment. It's nice that the carbon filter is already included in the price. The combination of price and quality is"&amp;" excellent! Mom was very pleased. I recommend!!!")</f>
        <v>I bought this hood as a gift for my mother. This hood has good power for a small kitchen. The smell of cooking food is not audible in the apartment. It's nice that the carbon filter is already included in the price. The combination of price and quality is excellent! Mom was very pleased. I recommend!!!</v>
      </c>
    </row>
    <row r="1739" spans="1:9" x14ac:dyDescent="0.3">
      <c r="A1739" s="1" t="s">
        <v>169</v>
      </c>
      <c r="B1739" s="1" t="s">
        <v>170</v>
      </c>
      <c r="C1739" s="1" t="s">
        <v>171</v>
      </c>
      <c r="D1739" s="1" t="s">
        <v>280</v>
      </c>
      <c r="E1739" s="1" t="s">
        <v>320</v>
      </c>
      <c r="F1739" s="1" t="s">
        <v>3662</v>
      </c>
      <c r="G1739" s="1" t="s">
        <v>28</v>
      </c>
      <c r="H1739" s="1" t="s">
        <v>29</v>
      </c>
      <c r="I1739" s="1" t="str">
        <f ca="1">IFERROR(__xludf.DUMMYFUNCTION("GOOGLETRANSLATE(F1739, ""auto"", ""en"")
"),"Pros: Good non-slip body, rough of course, but overall comfortable.  The thick, frost-resistant wire catches clothes a little, but these are minor things.  Nice L-shaped plug, with a relatively flexible base.  The presence of ventilation holes in the head"&amp;"phone body means there is no condensation.  The protective mesh is fabric, well glued.  The sound is decent, both on iPod and Nokia - soft bass, not crackling at highs.  Minus - no clothespin.")</f>
        <v>Pros: Good non-slip body, rough of course, but overall comfortable.  The thick, frost-resistant wire catches clothes a little, but these are minor things.  Nice L-shaped plug, with a relatively flexible base.  The presence of ventilation holes in the headphone body means there is no condensation.  The protective mesh is fabric, well glued.  The sound is decent, both on iPod and Nokia - soft bass, not crackling at highs.  Minus - no clothespin.</v>
      </c>
    </row>
    <row r="1740" spans="1:9" x14ac:dyDescent="0.3">
      <c r="A1740" s="1" t="s">
        <v>17</v>
      </c>
      <c r="B1740" s="1" t="s">
        <v>18</v>
      </c>
      <c r="C1740" s="1" t="s">
        <v>290</v>
      </c>
      <c r="D1740" s="1" t="s">
        <v>200</v>
      </c>
      <c r="E1740" s="1" t="s">
        <v>956</v>
      </c>
      <c r="F1740" s="1" t="s">
        <v>3663</v>
      </c>
      <c r="G1740" s="1" t="s">
        <v>28</v>
      </c>
      <c r="H1740" s="1" t="s">
        <v>29</v>
      </c>
      <c r="I1740" s="1" t="str">
        <f ca="1">IFERROR(__xludf.DUMMYFUNCTION("GOOGLETRANSLATE(F1740, ""auto"", ""en"")
"),"The washing machine for this money is 4 s +.")</f>
        <v>The washing machine for this money is 4 s +.</v>
      </c>
    </row>
    <row r="1741" spans="1:9" x14ac:dyDescent="0.3">
      <c r="A1741" s="1" t="s">
        <v>61</v>
      </c>
      <c r="B1741" s="1" t="s">
        <v>62</v>
      </c>
      <c r="C1741" s="1" t="s">
        <v>146</v>
      </c>
      <c r="D1741" s="1" t="s">
        <v>39</v>
      </c>
      <c r="E1741" s="1" t="s">
        <v>3664</v>
      </c>
      <c r="F1741" s="1" t="s">
        <v>3665</v>
      </c>
      <c r="G1741" s="1" t="s">
        <v>36</v>
      </c>
      <c r="H1741" s="1" t="s">
        <v>29</v>
      </c>
      <c r="I1741" s="1" t="str">
        <f ca="1">IFERROR(__xludf.DUMMYFUNCTION("GOOGLETRANSLATE(F1741, ""auto"", ""en"")
"),"Super device. Gave it to my mother, she is very pleased.")</f>
        <v>Super device. Gave it to my mother, she is very pleased.</v>
      </c>
    </row>
    <row r="1742" spans="1:9" x14ac:dyDescent="0.3">
      <c r="A1742" s="1" t="s">
        <v>30</v>
      </c>
      <c r="B1742" s="1" t="s">
        <v>50</v>
      </c>
      <c r="C1742" s="1" t="s">
        <v>51</v>
      </c>
      <c r="D1742" s="1" t="s">
        <v>729</v>
      </c>
      <c r="E1742" s="1" t="s">
        <v>236</v>
      </c>
      <c r="F1742" s="1" t="s">
        <v>3666</v>
      </c>
      <c r="G1742" s="1" t="s">
        <v>36</v>
      </c>
      <c r="H1742" s="1" t="s">
        <v>29</v>
      </c>
      <c r="I1742" s="1" t="str">
        <f ca="1">IFERROR(__xludf.DUMMYFUNCTION("GOOGLETRANSLATE(F1742, ""auto"", ""en"")
"),"The device is excellent - no comments.  for ROMAN (Omsk): go to the Paragon website, download Home Expert 2010, and drink the disc as you wish.")</f>
        <v>The device is excellent - no comments.  for ROMAN (Omsk): go to the Paragon website, download Home Expert 2010, and drink the disc as you wish.</v>
      </c>
    </row>
    <row r="1743" spans="1:9" x14ac:dyDescent="0.3">
      <c r="A1743" s="1" t="s">
        <v>9</v>
      </c>
      <c r="B1743" s="1" t="s">
        <v>10</v>
      </c>
      <c r="C1743" s="1" t="s">
        <v>407</v>
      </c>
      <c r="D1743" s="1" t="s">
        <v>52</v>
      </c>
      <c r="E1743" s="1" t="s">
        <v>1730</v>
      </c>
      <c r="F1743" s="1" t="s">
        <v>3667</v>
      </c>
      <c r="G1743" s="1" t="s">
        <v>36</v>
      </c>
      <c r="H1743" s="1" t="s">
        <v>29</v>
      </c>
      <c r="I1743" s="1" t="str">
        <f ca="1">IFERROR(__xludf.DUMMYFUNCTION("GOOGLETRANSLATE(F1743, ""auto"", ""en"")
"),"Excellent hood, works for a year, no complaints, metal motor and propeller, which is very rare for a hood at this price, everything washes perfectly, the only negative is the barely visible control buttons!!!")</f>
        <v>Excellent hood, works for a year, no complaints, metal motor and propeller, which is very rare for a hood at this price, everything washes perfectly, the only negative is the barely visible control buttons!!!</v>
      </c>
    </row>
    <row r="1744" spans="1:9" x14ac:dyDescent="0.3">
      <c r="A1744" s="1" t="s">
        <v>211</v>
      </c>
      <c r="B1744" s="1" t="s">
        <v>265</v>
      </c>
      <c r="C1744" s="1" t="s">
        <v>69</v>
      </c>
      <c r="D1744" s="1" t="s">
        <v>3668</v>
      </c>
      <c r="E1744" s="1" t="s">
        <v>1190</v>
      </c>
      <c r="F1744" s="1" t="s">
        <v>3669</v>
      </c>
      <c r="G1744" s="1" t="s">
        <v>36</v>
      </c>
      <c r="H1744" s="1" t="s">
        <v>29</v>
      </c>
      <c r="I1744" s="1" t="str">
        <f ca="1">IFERROR(__xludf.DUMMYFUNCTION("GOOGLETRANSLATE(F1744, ""auto"", ""en"")
"),"I have been using the machine for a very long time, about 5 years, it cuts very well, it fell many times, but the last time it could not stand it, and on the lower knife, which is removed, the plastic inside that frames the iron rod came off. Sorry for th"&amp;"e pun, I don’t know how to write it, well, I really need it, can anyone help me where I can buy this lower part, which is removable.")</f>
        <v>I have been using the machine for a very long time, about 5 years, it cuts very well, it fell many times, but the last time it could not stand it, and on the lower knife, which is removed, the plastic inside that frames the iron rod came off. Sorry for the pun, I don’t know how to write it, well, I really need it, can anyone help me where I can buy this lower part, which is removable.</v>
      </c>
    </row>
    <row r="1745" spans="1:9" x14ac:dyDescent="0.3">
      <c r="A1745" s="1" t="s">
        <v>67</v>
      </c>
      <c r="B1745" s="1" t="s">
        <v>68</v>
      </c>
      <c r="C1745" s="1" t="s">
        <v>246</v>
      </c>
      <c r="D1745" s="1" t="s">
        <v>3670</v>
      </c>
      <c r="E1745" s="1" t="s">
        <v>176</v>
      </c>
      <c r="F1745" s="1" t="s">
        <v>3671</v>
      </c>
      <c r="G1745" s="1" t="s">
        <v>36</v>
      </c>
      <c r="H1745" s="1" t="s">
        <v>29</v>
      </c>
      <c r="I1745" s="1" t="str">
        <f ca="1">IFERROR(__xludf.DUMMYFUNCTION("GOOGLETRANSLATE(F1745, ""auto"", ""en"")
"),"I’ve been using a Tefal iron for 7 years now, and I have no complaints about it, I’m generally happy with this product. I also have a kettle, a yogurt maker and TEFAL frying pans. I also bought an iron of this brand for my mother-in-law for New Year’s and"&amp;" she is very pleased, the sole glides and steams and irons perfectly. Super!!!")</f>
        <v>I’ve been using a Tefal iron for 7 years now, and I have no complaints about it, I’m generally happy with this product. I also have a kettle, a yogurt maker and TEFAL frying pans. I also bought an iron of this brand for my mother-in-law for New Year’s and she is very pleased, the sole glides and steams and irons perfectly. Super!!!</v>
      </c>
    </row>
    <row r="1746" spans="1:9" x14ac:dyDescent="0.3">
      <c r="A1746" s="1" t="s">
        <v>206</v>
      </c>
      <c r="B1746" s="1" t="s">
        <v>1349</v>
      </c>
      <c r="C1746" s="1" t="s">
        <v>45</v>
      </c>
      <c r="D1746" s="1" t="s">
        <v>1036</v>
      </c>
      <c r="E1746" s="1" t="s">
        <v>1207</v>
      </c>
      <c r="F1746" s="1" t="s">
        <v>3672</v>
      </c>
      <c r="G1746" s="1" t="s">
        <v>28</v>
      </c>
      <c r="H1746" s="1" t="s">
        <v>29</v>
      </c>
      <c r="I1746" s="1" t="str">
        <f ca="1">IFERROR(__xludf.DUMMYFUNCTION("GOOGLETRANSLATE(F1746, ""auto"", ""en"")
"),"I bought this system. In principle, it reads everything, but when turned off and on, it does not remember the last track from the card or flash drive. Plays again from the beginning. When playing from a disc, it remembers. Of course, it is better to conne"&amp;"ct directly, rather than through a lock. Since when you turn the key, songs from, for example, a card or flash drive are played again. The radio tuner is excellent, the TV tuner too. When turned off, the panel lights up and shows the time. But this does n"&amp;"ot drain the battery. If desired, the panel with buttons can be removed. I advise you to listen while driving with the panel folded (you never know) and when parking, pull it out if necessary. Although if you’re on flat roads, you can push it, it’s only d"&amp;"istracting at night. Dynamic range is super. It is advisable to use speakers of 3 bands or higher.")</f>
        <v>I bought this system. In principle, it reads everything, but when turned off and on, it does not remember the last track from the card or flash drive. Plays again from the beginning. When playing from a disc, it remembers. Of course, it is better to connect directly, rather than through a lock. Since when you turn the key, songs from, for example, a card or flash drive are played again. The radio tuner is excellent, the TV tuner too. When turned off, the panel lights up and shows the time. But this does not drain the battery. If desired, the panel with buttons can be removed. I advise you to listen while driving with the panel folded (you never know) and when parking, pull it out if necessary. Although if you’re on flat roads, you can push it, it’s only distracting at night. Dynamic range is super. It is advisable to use speakers of 3 bands or higher.</v>
      </c>
    </row>
    <row r="1747" spans="1:9" x14ac:dyDescent="0.3">
      <c r="A1747" s="1" t="s">
        <v>169</v>
      </c>
      <c r="B1747" s="1" t="s">
        <v>170</v>
      </c>
      <c r="C1747" s="1" t="s">
        <v>69</v>
      </c>
      <c r="D1747" s="1" t="s">
        <v>548</v>
      </c>
      <c r="E1747" s="1" t="s">
        <v>3673</v>
      </c>
      <c r="F1747" s="1" t="s">
        <v>3674</v>
      </c>
      <c r="G1747" s="1" t="s">
        <v>36</v>
      </c>
      <c r="H1747" s="1" t="s">
        <v>29</v>
      </c>
      <c r="I1747" s="1" t="str">
        <f ca="1">IFERROR(__xludf.DUMMYFUNCTION("GOOGLETRANSLATE(F1747, ""auto"", ""en"")
"),"I'm glad to have headphones!  fit well, decent volume!  And advice to those who are discharged quickly: The first charge of the batteries should be (I don’t remember exactly) but more than 12 hours and everything will be great!!")</f>
        <v>I'm glad to have headphones!  fit well, decent volume!  And advice to those who are discharged quickly: The first charge of the batteries should be (I don’t remember exactly) but more than 12 hours and everything will be great!!</v>
      </c>
    </row>
    <row r="1748" spans="1:9" x14ac:dyDescent="0.3">
      <c r="A1748" s="1" t="s">
        <v>811</v>
      </c>
      <c r="B1748" s="1" t="s">
        <v>1294</v>
      </c>
      <c r="C1748" s="1" t="s">
        <v>3675</v>
      </c>
      <c r="D1748" s="1" t="s">
        <v>33</v>
      </c>
      <c r="E1748" s="1" t="s">
        <v>3676</v>
      </c>
      <c r="F1748" s="1" t="s">
        <v>3677</v>
      </c>
      <c r="G1748" s="1" t="s">
        <v>36</v>
      </c>
      <c r="H1748" s="1" t="s">
        <v>29</v>
      </c>
      <c r="I1748" s="1" t="str">
        <f ca="1">IFERROR(__xludf.DUMMYFUNCTION("GOOGLETRANSLATE(F1748, ""auto"", ""en"")
"),"I went to the sea this summer - it was time to fully test this subject. I’m very pleased with the result - the Koreans are great, they made an inexpensive, high-quality case for underwater photography. I recommend it to everyone!")</f>
        <v>I went to the sea this summer - it was time to fully test this subject. I’m very pleased with the result - the Koreans are great, they made an inexpensive, high-quality case for underwater photography. I recommend it to everyone!</v>
      </c>
    </row>
    <row r="1749" spans="1:9" x14ac:dyDescent="0.3">
      <c r="A1749" s="1" t="s">
        <v>149</v>
      </c>
      <c r="B1749" s="1" t="s">
        <v>423</v>
      </c>
      <c r="C1749" s="1" t="s">
        <v>314</v>
      </c>
      <c r="D1749" s="1" t="s">
        <v>3678</v>
      </c>
      <c r="E1749" s="1" t="s">
        <v>3169</v>
      </c>
      <c r="F1749" s="1" t="s">
        <v>3679</v>
      </c>
      <c r="G1749" s="1" t="s">
        <v>36</v>
      </c>
      <c r="H1749" s="1" t="s">
        <v>29</v>
      </c>
      <c r="I1749" s="1" t="str">
        <f ca="1">IFERROR(__xludf.DUMMYFUNCTION("GOOGLETRANSLATE(F1749, ""auto"", ""en"")
"),"I don’t understand the complaints about the washing (!) vacuum cleaner that it is heavy with water, that’s how it should be. If you want a light one, buy a regular one and wash everything by hand. But this vacuum cleaner cleans carpets in such a way that "&amp;"you will have to wash it with a rag for a long time and persistently, this is its main advantage, and for this you can forgive its large weight. Dry cleaning is also good, there is enough power. The vacuum cleaner looks quite durable, and even now, after "&amp;"several months of use, nothing has broken yet, although it has hit all sorts of corners more than once or twice. My verdict - a good choice for the money.")</f>
        <v>I don’t understand the complaints about the washing (!) vacuum cleaner that it is heavy with water, that’s how it should be. If you want a light one, buy a regular one and wash everything by hand. But this vacuum cleaner cleans carpets in such a way that you will have to wash it with a rag for a long time and persistently, this is its main advantage, and for this you can forgive its large weight. Dry cleaning is also good, there is enough power. The vacuum cleaner looks quite durable, and even now, after several months of use, nothing has broken yet, although it has hit all sorts of corners more than once or twice. My verdict - a good choice for the money.</v>
      </c>
    </row>
    <row r="1750" spans="1:9" x14ac:dyDescent="0.3">
      <c r="A1750" s="1" t="s">
        <v>105</v>
      </c>
      <c r="B1750" s="1" t="s">
        <v>106</v>
      </c>
      <c r="C1750" s="1" t="s">
        <v>1921</v>
      </c>
      <c r="D1750" s="1" t="s">
        <v>3680</v>
      </c>
      <c r="E1750" s="1" t="s">
        <v>2525</v>
      </c>
      <c r="F1750" s="1" t="s">
        <v>3681</v>
      </c>
      <c r="G1750" s="1" t="s">
        <v>15</v>
      </c>
      <c r="H1750" s="1" t="s">
        <v>16</v>
      </c>
      <c r="I1750" s="1" t="str">
        <f ca="1">IFERROR(__xludf.DUMMYFUNCTION("GOOGLETRANSLATE(F1750, ""auto"", ""en"")
"),"Using the sensor is not so convenient - switching songs in your pocket is much more convenient when you feel the key and you save your nerves, it’s difficult to get to the right button on the go, the battery is terrible, they saved a lot on it along the w"&amp;"ay. The sound is bad, it’s better to immediately change the headphones and a universal charger wouldn’t hurt, leaving the computer on just to charge the player is not convenient. The advantages include an excellent display, a rich appearance, and perhaps "&amp;"that’s all.")</f>
        <v>Using the sensor is not so convenient - switching songs in your pocket is much more convenient when you feel the key and you save your nerves, it’s difficult to get to the right button on the go, the battery is terrible, they saved a lot on it along the way. The sound is bad, it’s better to immediately change the headphones and a universal charger wouldn’t hurt, leaving the computer on just to charge the player is not convenient. The advantages include an excellent display, a rich appearance, and perhaps that’s all.</v>
      </c>
    </row>
    <row r="1751" spans="1:9" x14ac:dyDescent="0.3">
      <c r="A1751" s="1" t="s">
        <v>9</v>
      </c>
      <c r="B1751" s="1" t="s">
        <v>137</v>
      </c>
      <c r="C1751" s="1" t="s">
        <v>63</v>
      </c>
      <c r="D1751" s="1" t="s">
        <v>471</v>
      </c>
      <c r="E1751" s="1" t="s">
        <v>1231</v>
      </c>
      <c r="F1751" s="1" t="s">
        <v>3682</v>
      </c>
      <c r="G1751" s="1" t="s">
        <v>36</v>
      </c>
      <c r="H1751" s="1" t="s">
        <v>29</v>
      </c>
      <c r="I1751" s="1" t="str">
        <f ca="1">IFERROR(__xludf.DUMMYFUNCTION("GOOGLETRANSLATE(F1751, ""auto"", ""en"")
"),"This is the best stove I have ever seen!! I’m generally not one of those people who often buys new equipment; I like to keep everything old. BUT when all my friends and neighbors already had such electric hobs, I also decided to change my old electric sto"&amp;"ve and buy the same something like that... I consulted for a long time, read reviews on the Internet, etc., and in the end I bought this model from Zanussi. I have always liked Zanussi, they always make quality work, and the quality is German!  At first, "&amp;"of course, I was scared by the appearance of this panel, well, it didn’t suit my ideas about the stove, but then I decided to take it anyway, I read too many good things about it..) After installation, I already realized how good it is, and how convenient"&amp;" it is to use.  All burners heat up very quickly, no problems with this, I especially like the burners with an extended heating zone, it’s incredibly convenient. In addition, there are as many as five burners on this stove, I have never seen that before. "&amp;"The controls of the stove are also very convenient, touch-sensitive, just like in spy films. In general, I now understand that this stove is even better than the panels of my neighbors, I really like everything, I recommend it!!")</f>
        <v>This is the best stove I have ever seen!! I’m generally not one of those people who often buys new equipment; I like to keep everything old. BUT when all my friends and neighbors already had such electric hobs, I also decided to change my old electric stove and buy the same something like that... I consulted for a long time, read reviews on the Internet, etc., and in the end I bought this model from Zanussi. I have always liked Zanussi, they always make quality work, and the quality is German!  At first, of course, I was scared by the appearance of this panel, well, it didn’t suit my ideas about the stove, but then I decided to take it anyway, I read too many good things about it..) After installation, I already realized how good it is, and how convenient it is to use.  All burners heat up very quickly, no problems with this, I especially like the burners with an extended heating zone, it’s incredibly convenient. In addition, there are as many as five burners on this stove, I have never seen that before. The controls of the stove are also very convenient, touch-sensitive, just like in spy films. In general, I now understand that this stove is even better than the panels of my neighbors, I really like everything, I recommend it!!</v>
      </c>
    </row>
    <row r="1752" spans="1:9" x14ac:dyDescent="0.3">
      <c r="A1752" s="1" t="s">
        <v>37</v>
      </c>
      <c r="B1752" s="1" t="s">
        <v>38</v>
      </c>
      <c r="C1752" s="1" t="s">
        <v>163</v>
      </c>
      <c r="D1752" s="1" t="s">
        <v>114</v>
      </c>
      <c r="E1752" s="1" t="s">
        <v>2146</v>
      </c>
      <c r="F1752" s="1" t="s">
        <v>3683</v>
      </c>
      <c r="G1752" s="1" t="s">
        <v>28</v>
      </c>
      <c r="H1752" s="1" t="s">
        <v>29</v>
      </c>
      <c r="I1752" s="1" t="str">
        <f ca="1">IFERROR(__xludf.DUMMYFUNCTION("GOOGLETRANSLATE(F1752, ""auto"", ""en"")
"),"phone is ok!    The downside is that over time, the speaker becomes very quiet... And once I had repairs done at a service center, in short, three months after the purchase, my firmware crashed... it seems like they did it ok")</f>
        <v>phone is ok!    The downside is that over time, the speaker becomes very quiet... And once I had repairs done at a service center, in short, three months after the purchase, my firmware crashed... it seems like they did it ok</v>
      </c>
    </row>
    <row r="1753" spans="1:9" x14ac:dyDescent="0.3">
      <c r="A1753" s="1" t="s">
        <v>9</v>
      </c>
      <c r="B1753" s="1" t="s">
        <v>133</v>
      </c>
      <c r="C1753" s="1" t="s">
        <v>159</v>
      </c>
      <c r="D1753" s="1" t="s">
        <v>1431</v>
      </c>
      <c r="E1753" s="1" t="s">
        <v>491</v>
      </c>
      <c r="F1753" s="1" t="s">
        <v>3684</v>
      </c>
      <c r="G1753" s="1" t="s">
        <v>36</v>
      </c>
      <c r="H1753" s="1" t="s">
        <v>29</v>
      </c>
      <c r="I1753" s="1" t="str">
        <f ca="1">IFERROR(__xludf.DUMMYFUNCTION("GOOGLETRANSLATE(F1753, ""auto"", ""en"")
"),"We bought it not long ago, we are happy with the purchase!!!")</f>
        <v>We bought it not long ago, we are happy with the purchase!!!</v>
      </c>
    </row>
    <row r="1754" spans="1:9" x14ac:dyDescent="0.3">
      <c r="A1754" s="1" t="s">
        <v>120</v>
      </c>
      <c r="B1754" s="1" t="s">
        <v>256</v>
      </c>
      <c r="C1754" s="1" t="s">
        <v>69</v>
      </c>
      <c r="D1754" s="1" t="s">
        <v>3685</v>
      </c>
      <c r="E1754" s="1" t="s">
        <v>824</v>
      </c>
      <c r="F1754" s="1" t="s">
        <v>3686</v>
      </c>
      <c r="G1754" s="1" t="s">
        <v>36</v>
      </c>
      <c r="H1754" s="1" t="s">
        <v>29</v>
      </c>
      <c r="I1754" s="1" t="str">
        <f ca="1">IFERROR(__xludf.DUMMYFUNCTION("GOOGLETRANSLATE(F1754, ""auto"", ""en"")
"),"I am glad that I chose this company, it is always distinguished by its strict design, classic look and, I hope, excellent quality. The design is excellent, the image quality is pleasing to the eye, I hope it will continue to work. But, I want to say, whoe"&amp;"ver buys this TV, be sure to consider where you will be watching from. If the TV is lower than eye level, the image will be darker. Install or hang correctly!")</f>
        <v>I am glad that I chose this company, it is always distinguished by its strict design, classic look and, I hope, excellent quality. The design is excellent, the image quality is pleasing to the eye, I hope it will continue to work. But, I want to say, whoever buys this TV, be sure to consider where you will be watching from. If the TV is lower than eye level, the image will be darker. Install or hang correctly!</v>
      </c>
    </row>
    <row r="1755" spans="1:9" x14ac:dyDescent="0.3">
      <c r="A1755" s="1" t="s">
        <v>211</v>
      </c>
      <c r="B1755" s="1" t="s">
        <v>212</v>
      </c>
      <c r="C1755" s="1" t="s">
        <v>381</v>
      </c>
      <c r="D1755" s="1" t="s">
        <v>471</v>
      </c>
      <c r="E1755" s="1" t="s">
        <v>187</v>
      </c>
      <c r="F1755" s="1" t="s">
        <v>3687</v>
      </c>
      <c r="G1755" s="1" t="s">
        <v>36</v>
      </c>
      <c r="H1755" s="1" t="s">
        <v>29</v>
      </c>
      <c r="I1755" s="1" t="str">
        <f ca="1">IFERROR(__xludf.DUMMYFUNCTION("GOOGLETRANSLATE(F1755, ""auto"", ""en"")
"),"Well, it’s a good straightener, but what about hair curling?")</f>
        <v>Well, it’s a good straightener, but what about hair curling?</v>
      </c>
    </row>
    <row r="1756" spans="1:9" x14ac:dyDescent="0.3">
      <c r="A1756" s="1" t="s">
        <v>37</v>
      </c>
      <c r="B1756" s="1" t="s">
        <v>38</v>
      </c>
      <c r="C1756" s="1" t="s">
        <v>39</v>
      </c>
      <c r="D1756" s="1" t="s">
        <v>3688</v>
      </c>
      <c r="E1756" s="1" t="s">
        <v>1273</v>
      </c>
      <c r="F1756" s="1" t="s">
        <v>3689</v>
      </c>
      <c r="G1756" s="1" t="s">
        <v>28</v>
      </c>
      <c r="H1756" s="1" t="s">
        <v>29</v>
      </c>
      <c r="I1756" s="1" t="str">
        <f ca="1">IFERROR(__xludf.DUMMYFUNCTION("GOOGLETRANSLATE(F1756, ""auto"", ""en"")
"),"You can minimize the application on SE phones by pressing and holding the Back button. A menu will appear with the items Close and Minimize.  Good luck!;)")</f>
        <v>You can minimize the application on SE phones by pressing and holding the Back button. A menu will appear with the items Close and Minimize.  Good luck!;)</v>
      </c>
    </row>
    <row r="1757" spans="1:9" x14ac:dyDescent="0.3">
      <c r="A1757" s="1" t="s">
        <v>211</v>
      </c>
      <c r="B1757" s="1" t="s">
        <v>212</v>
      </c>
      <c r="C1757" s="1" t="s">
        <v>266</v>
      </c>
      <c r="D1757" s="1" t="s">
        <v>327</v>
      </c>
      <c r="E1757" s="1" t="s">
        <v>3690</v>
      </c>
      <c r="F1757" s="1" t="s">
        <v>3691</v>
      </c>
      <c r="G1757" s="1" t="s">
        <v>49</v>
      </c>
      <c r="H1757" s="1" t="s">
        <v>16</v>
      </c>
      <c r="I1757" s="1" t="str">
        <f ca="1">IFERROR(__xludf.DUMMYFUNCTION("GOOGLETRANSLATE(F1757, ""auto"", ""en"")
"),"Doesn't frizz. At all. It takes a very long time to warm up.  The attachments are flimsy, they fall out during use. The quality of the plastic body and assembly is of the lowest quality. Don't throw your money away - don't buy this horror.")</f>
        <v>Doesn't frizz. At all. It takes a very long time to warm up.  The attachments are flimsy, they fall out during use. The quality of the plastic body and assembly is of the lowest quality. Don't throw your money away - don't buy this horror.</v>
      </c>
    </row>
    <row r="1758" spans="1:9" x14ac:dyDescent="0.3">
      <c r="A1758" s="1" t="s">
        <v>149</v>
      </c>
      <c r="B1758" s="1" t="s">
        <v>155</v>
      </c>
      <c r="C1758" s="1" t="s">
        <v>151</v>
      </c>
      <c r="D1758" s="1" t="s">
        <v>1391</v>
      </c>
      <c r="E1758" s="1" t="s">
        <v>3692</v>
      </c>
      <c r="F1758" s="1" t="s">
        <v>3693</v>
      </c>
      <c r="G1758" s="1" t="s">
        <v>49</v>
      </c>
      <c r="H1758" s="1" t="s">
        <v>16</v>
      </c>
      <c r="I1758" s="1" t="str">
        <f ca="1">IFERROR(__xludf.DUMMYFUNCTION("GOOGLETRANSLATE(F1758, ""auto"", ""en"")
"),"Lightweight, compact, not expensive.")</f>
        <v>Lightweight, compact, not expensive.</v>
      </c>
    </row>
    <row r="1759" spans="1:9" x14ac:dyDescent="0.3">
      <c r="A1759" s="1" t="s">
        <v>89</v>
      </c>
      <c r="B1759" s="1" t="s">
        <v>90</v>
      </c>
      <c r="C1759" s="1" t="s">
        <v>185</v>
      </c>
      <c r="D1759" s="1" t="s">
        <v>2296</v>
      </c>
      <c r="E1759" s="1" t="s">
        <v>3694</v>
      </c>
      <c r="F1759" s="1" t="s">
        <v>3695</v>
      </c>
      <c r="G1759" s="1" t="s">
        <v>36</v>
      </c>
      <c r="H1759" s="1" t="s">
        <v>29</v>
      </c>
      <c r="I1759" s="1" t="str">
        <f ca="1">IFERROR(__xludf.DUMMYFUNCTION("GOOGLETRANSLATE(F1759, ""auto"", ""en"")
"),"A good coffee grinder, it replaced my old one with a regular grinder. As the consultant explained, the burr type coffee grinder does not create dust from the grains that clogs the filter of my coffee grinder. I really liked that you can adjust the grindin"&amp;"g.")</f>
        <v>A good coffee grinder, it replaced my old one with a regular grinder. As the consultant explained, the burr type coffee grinder does not create dust from the grains that clogs the filter of my coffee grinder. I really liked that you can adjust the grinding.</v>
      </c>
    </row>
    <row r="1760" spans="1:9" x14ac:dyDescent="0.3">
      <c r="A1760" s="1" t="s">
        <v>169</v>
      </c>
      <c r="B1760" s="1" t="s">
        <v>170</v>
      </c>
      <c r="C1760" s="1" t="s">
        <v>69</v>
      </c>
      <c r="D1760" s="1" t="s">
        <v>1681</v>
      </c>
      <c r="E1760" s="1" t="s">
        <v>787</v>
      </c>
      <c r="F1760" s="1" t="s">
        <v>3696</v>
      </c>
      <c r="G1760" s="1" t="s">
        <v>15</v>
      </c>
      <c r="H1760" s="1" t="s">
        <v>16</v>
      </c>
      <c r="I1760" s="1" t="str">
        <f ca="1">IFERROR(__xludf.DUMMYFUNCTION("GOOGLETRANSLATE(F1760, ""auto"", ""en"")
"),"Fragile plastic.  The adjustment is slipping - at home there are 3 different heads - after 2 weeks the adjustment did not work. Almost immediately the plastic mount near the right ear burst. And soon after the sticking, a similar thing happened with the l"&amp;"eft one.  Now I can no longer use it, although my ears are still new. I didn't expect it from Philip!!!  Good sound, frequency range is quite wide. The price is quite decent, but what's the point...")</f>
        <v>Fragile plastic.  The adjustment is slipping - at home there are 3 different heads - after 2 weeks the adjustment did not work. Almost immediately the plastic mount near the right ear burst. And soon after the sticking, a similar thing happened with the left one.  Now I can no longer use it, although my ears are still new. I didn't expect it from Philip!!!  Good sound, frequency range is quite wide. The price is quite decent, but what's the point...</v>
      </c>
    </row>
    <row r="1761" spans="1:9" x14ac:dyDescent="0.3">
      <c r="A1761" s="1" t="s">
        <v>78</v>
      </c>
      <c r="B1761" s="1" t="s">
        <v>79</v>
      </c>
      <c r="C1761" s="1" t="s">
        <v>1224</v>
      </c>
      <c r="D1761" s="1" t="s">
        <v>12</v>
      </c>
      <c r="E1761" s="1" t="s">
        <v>386</v>
      </c>
      <c r="F1761" s="1" t="s">
        <v>3697</v>
      </c>
      <c r="G1761" s="1" t="s">
        <v>28</v>
      </c>
      <c r="H1761" s="1" t="s">
        <v>29</v>
      </c>
      <c r="I1761" s="1" t="str">
        <f ca="1">IFERROR(__xludf.DUMMYFUNCTION("GOOGLETRANSLATE(F1761, ""auto"", ""en"")
"),"The design is excellent, I immediately liked it, but the menu is a bit complicated.")</f>
        <v>The design is excellent, I immediately liked it, but the menu is a bit complicated.</v>
      </c>
    </row>
    <row r="1762" spans="1:9" x14ac:dyDescent="0.3">
      <c r="A1762" s="1" t="s">
        <v>105</v>
      </c>
      <c r="B1762" s="1" t="s">
        <v>106</v>
      </c>
      <c r="C1762" s="1" t="s">
        <v>151</v>
      </c>
      <c r="D1762" s="1" t="s">
        <v>280</v>
      </c>
      <c r="E1762" s="1" t="s">
        <v>2150</v>
      </c>
      <c r="F1762" s="1" t="s">
        <v>3698</v>
      </c>
      <c r="G1762" s="1" t="s">
        <v>36</v>
      </c>
      <c r="H1762" s="1" t="s">
        <v>29</v>
      </c>
      <c r="I1762" s="1" t="str">
        <f ca="1">IFERROR(__xludf.DUMMYFUNCTION("GOOGLETRANSLATE(F1762, ""auto"", ""en"")
"),"I came to the store, the choice was among simple, but at the same time reliable players. I settled on ""Sony"" and actually ""Samsa"". Sams is simply better in every way. And I also liked the sound better; I chose Fisher for my headphones. The Sonya has a"&amp;" lot of disadvantages (a glossy body, an inconvenient dangling song switch in the form of a wheel, an easily removable cap, it is thicker than its counterparts, it’s kind of pot-bellied).  In short, if anyone still doubts it, TAKE SAMSUNG!!!!!!!!!")</f>
        <v>I came to the store, the choice was among simple, but at the same time reliable players. I settled on "Sony" and actually "Samsa". Sams is simply better in every way. And I also liked the sound better; I chose Fisher for my headphones. The Sonya has a lot of disadvantages (a glossy body, an inconvenient dangling song switch in the form of a wheel, an easily removable cap, it is thicker than its counterparts, it’s kind of pot-bellied).  In short, if anyone still doubts it, TAKE SAMSUNG!!!!!!!!!</v>
      </c>
    </row>
    <row r="1763" spans="1:9" x14ac:dyDescent="0.3">
      <c r="A1763" s="1" t="s">
        <v>30</v>
      </c>
      <c r="B1763" s="1" t="s">
        <v>50</v>
      </c>
      <c r="C1763" s="1" t="s">
        <v>32</v>
      </c>
      <c r="D1763" s="1" t="s">
        <v>280</v>
      </c>
      <c r="E1763" s="1" t="s">
        <v>820</v>
      </c>
      <c r="F1763" s="1" t="s">
        <v>3699</v>
      </c>
      <c r="G1763" s="1" t="s">
        <v>36</v>
      </c>
      <c r="H1763" s="1" t="s">
        <v>29</v>
      </c>
      <c r="I1763" s="1" t="str">
        <f ca="1">IFERROR(__xludf.DUMMYFUNCTION("GOOGLETRANSLATE(F1763, ""auto"", ""en"")
"),"I bought it on June 29, 2010, and I can say that for 20,000= you can’t buy anything better, even from the same Acers. Even if the 2-core processor is not the fastest, it is better than Geleron. 3 GB of memory, 250 disk, 512 video card + 1791 RAM. I don’t "&amp;"play games and maybe something simpler would be enough for me, but this laptop suits me 100%.      Many people criticize Windows 7, but I like it better than XP, you open a new tab and it’s still there in Russian. Graphic Point editor - you can reduce the"&amp;" size of the photo, the only thing that is not very convenient is the initial placement of the photo when you save it, in order to find it later you need to immediately transfer it to drawings. Windows 7 turns on and off much faster than XP.    I inserted"&amp;" the DVD and watch it right away - just like on a portable DVD player, without any additional programs, but in the same Windows XP you need an additional program, and it costs money.    McAfee antivirus, installed for two months, was frankly weak, did not"&amp;" respond well to viruses, the free one from Microsoft is better and completely free. Moreover, this McAffe on Google shows the security of sites and on a site that is 100% virus-laden it shows that everything is okay. Who is not afraid for the laptop and "&amp;"trusts this antivirus, but wants to check - psinka.ru through Google, Yandex will show the threat. I removed this funny antivirus after 2 months. The laptop felt better without it.    I'm happy with my laptop, it's much more convenient than a desktop comp"&amp;"uter, no wires, no dust, folded it up and put it away. I connected it together with a desktop computer via a router (I have a D-link 300N), the laptop almost set up on its own, no problems, a great thing. It doesn’t get particularly hot for me, although I"&amp;" use a laptop on a transformer table with cooling.")</f>
        <v>I bought it on June 29, 2010, and I can say that for 20,000= you can’t buy anything better, even from the same Acers. Even if the 2-core processor is not the fastest, it is better than Geleron. 3 GB of memory, 250 disk, 512 video card + 1791 RAM. I don’t play games and maybe something simpler would be enough for me, but this laptop suits me 100%.      Many people criticize Windows 7, but I like it better than XP, you open a new tab and it’s still there in Russian. Graphic Point editor - you can reduce the size of the photo, the only thing that is not very convenient is the initial placement of the photo when you save it, in order to find it later you need to immediately transfer it to drawings. Windows 7 turns on and off much faster than XP.    I inserted the DVD and watch it right away - just like on a portable DVD player, without any additional programs, but in the same Windows XP you need an additional program, and it costs money.    McAfee antivirus, installed for two months, was frankly weak, did not respond well to viruses, the free one from Microsoft is better and completely free. Moreover, this McAffe on Google shows the security of sites and on a site that is 100% virus-laden it shows that everything is okay. Who is not afraid for the laptop and trusts this antivirus, but wants to check - psinka.ru through Google, Yandex will show the threat. I removed this funny antivirus after 2 months. The laptop felt better without it.    I'm happy with my laptop, it's much more convenient than a desktop computer, no wires, no dust, folded it up and put it away. I connected it together with a desktop computer via a router (I have a D-link 300N), the laptop almost set up on its own, no problems, a great thing. It doesn’t get particularly hot for me, although I use a laptop on a transformer table with cooling.</v>
      </c>
    </row>
    <row r="1764" spans="1:9" x14ac:dyDescent="0.3">
      <c r="A1764" s="1" t="s">
        <v>369</v>
      </c>
      <c r="B1764" s="1" t="s">
        <v>587</v>
      </c>
      <c r="C1764" s="1" t="s">
        <v>588</v>
      </c>
      <c r="D1764" s="1" t="s">
        <v>2217</v>
      </c>
      <c r="E1764" s="1" t="s">
        <v>526</v>
      </c>
      <c r="F1764" s="1" t="s">
        <v>3700</v>
      </c>
      <c r="G1764" s="1" t="s">
        <v>49</v>
      </c>
      <c r="H1764" s="1" t="s">
        <v>16</v>
      </c>
      <c r="I1764" s="1" t="str">
        <f ca="1">IFERROR(__xludf.DUMMYFUNCTION("GOOGLETRANSLATE(F1764, ""auto"", ""en"")
"),"The stove sucks! firstly, the outer glass of the oven cracked and shattered - since September 2013. They can’t change it even for money!! You can't bake anything without an oven!! The handles of the 3rd and 4th burners (on the left) turn with great diffic"&amp;"ulty - I’m even afraid to break them!! I'll have to return it again")</f>
        <v>The stove sucks! firstly, the outer glass of the oven cracked and shattered - since September 2013. They can’t change it even for money!! You can't bake anything without an oven!! The handles of the 3rd and 4th burners (on the left) turn with great difficulty - I’m even afraid to break them!! I'll have to return it again</v>
      </c>
    </row>
    <row r="1765" spans="1:9" x14ac:dyDescent="0.3">
      <c r="A1765" s="1" t="s">
        <v>89</v>
      </c>
      <c r="B1765" s="1" t="s">
        <v>231</v>
      </c>
      <c r="C1765" s="1" t="s">
        <v>185</v>
      </c>
      <c r="D1765" s="1" t="s">
        <v>64</v>
      </c>
      <c r="E1765" s="1" t="s">
        <v>2162</v>
      </c>
      <c r="F1765" s="1" t="s">
        <v>3701</v>
      </c>
      <c r="G1765" s="1" t="s">
        <v>36</v>
      </c>
      <c r="H1765" s="1" t="s">
        <v>29</v>
      </c>
      <c r="I1765" s="1" t="str">
        <f ca="1">IFERROR(__xludf.DUMMYFUNCTION("GOOGLETRANSLATE(F1765, ""auto"", ""en"")
"),"I purchased this model of machine and was satisfied, it completely suits all parameters, my husband and I drink mostly black coffee, sometimes we indulge in cappuccino, the coffee is very good, the foam is dense, the milk foam is like a cap, even sugar do"&amp;"esn’t sink.   I'm still happy with the purchase.")</f>
        <v>I purchased this model of machine and was satisfied, it completely suits all parameters, my husband and I drink mostly black coffee, sometimes we indulge in cappuccino, the coffee is very good, the foam is dense, the milk foam is like a cap, even sugar doesn’t sink.   I'm still happy with the purchase.</v>
      </c>
    </row>
    <row r="1766" spans="1:9" x14ac:dyDescent="0.3">
      <c r="A1766" s="1" t="s">
        <v>78</v>
      </c>
      <c r="B1766" s="1" t="s">
        <v>79</v>
      </c>
      <c r="C1766" s="1" t="s">
        <v>1224</v>
      </c>
      <c r="D1766" s="1" t="s">
        <v>3702</v>
      </c>
      <c r="E1766" s="1" t="s">
        <v>1571</v>
      </c>
      <c r="F1766" s="1" t="s">
        <v>3703</v>
      </c>
      <c r="G1766" s="1" t="s">
        <v>28</v>
      </c>
      <c r="H1766" s="1" t="s">
        <v>29</v>
      </c>
      <c r="I1766" s="1" t="str">
        <f ca="1">IFERROR(__xludf.DUMMYFUNCTION("GOOGLETRANSLATE(F1766, ""auto"", ""en"")
"),"It worked great for a month, then problems started with the cooler (cooling fan), and after 3 months the grill began to turn off, so they replaced it with an additional one. I have the same warranty - it works great for a month, no complaints.")</f>
        <v>It worked great for a month, then problems started with the cooler (cooling fan), and after 3 months the grill began to turn off, so they replaced it with an additional one. I have the same warranty - it works great for a month, no complaints.</v>
      </c>
    </row>
    <row r="1767" spans="1:9" x14ac:dyDescent="0.3">
      <c r="A1767" s="1" t="s">
        <v>9</v>
      </c>
      <c r="B1767" s="1" t="s">
        <v>10</v>
      </c>
      <c r="C1767" s="1" t="s">
        <v>407</v>
      </c>
      <c r="D1767" s="1" t="s">
        <v>2217</v>
      </c>
      <c r="E1767" s="1" t="s">
        <v>3472</v>
      </c>
      <c r="F1767" s="1" t="s">
        <v>3704</v>
      </c>
      <c r="G1767" s="1" t="s">
        <v>36</v>
      </c>
      <c r="H1767" s="1" t="s">
        <v>29</v>
      </c>
      <c r="I1767" s="1" t="str">
        <f ca="1">IFERROR(__xludf.DUMMYFUNCTION("GOOGLETRANSLATE(F1767, ""auto"", ""en"")
"),"I've been using it for over a year, no complaints. I think it's an ideal hood for the money. The only downside is that they are a little noisy at full power, but less noisy ones cost several times more. So, this is the perfect combination of price and qua"&amp;"lity!")</f>
        <v>I've been using it for over a year, no complaints. I think it's an ideal hood for the money. The only downside is that they are a little noisy at full power, but less noisy ones cost several times more. So, this is the perfect combination of price and quality!</v>
      </c>
    </row>
    <row r="1768" spans="1:9" x14ac:dyDescent="0.3">
      <c r="A1768" s="1" t="s">
        <v>30</v>
      </c>
      <c r="B1768" s="1" t="s">
        <v>31</v>
      </c>
      <c r="C1768" s="1" t="s">
        <v>32</v>
      </c>
      <c r="D1768" s="1" t="s">
        <v>305</v>
      </c>
      <c r="E1768" s="1" t="s">
        <v>2278</v>
      </c>
      <c r="F1768" s="1" t="s">
        <v>3705</v>
      </c>
      <c r="G1768" s="1" t="s">
        <v>28</v>
      </c>
      <c r="H1768" s="1" t="s">
        <v>29</v>
      </c>
      <c r="I1768" s="1" t="str">
        <f ca="1">IFERROR(__xludf.DUMMYFUNCTION("GOOGLETRANSLATE(F1768, ""auto"", ""en"")
"),"I’ve been using the computer for 4 months and in principle everything is fine, about the flimsiness of the DVD drive... well, I don’t even know, I haven’t had any problems with it, recording is done very well, small disks are a real problem, I have an X-7"&amp;" mouse, and for it a mini CD with drivers, I had to turn it over to install all the drivers.    Now about the video card: good performance for such dimensions!  Yes, there is a problem with high textures and resolutions in games, but after installing the "&amp;"latest driver from ATI Radeon everything became normal, I always play games at a resolution of 1400x1200, I don’t remember exactly :) But the most important problem that I encountered when using this unit: Sometimes I have to sit for 15 minutes to turn it"&amp;" on!!!  Very Very Very difficult to turn on.  I don’t know what this is connected with, but the processor very rarely starts the first time.")</f>
        <v>I’ve been using the computer for 4 months and in principle everything is fine, about the flimsiness of the DVD drive... well, I don’t even know, I haven’t had any problems with it, recording is done very well, small disks are a real problem, I have an X-7 mouse, and for it a mini CD with drivers, I had to turn it over to install all the drivers.    Now about the video card: good performance for such dimensions!  Yes, there is a problem with high textures and resolutions in games, but after installing the latest driver from ATI Radeon everything became normal, I always play games at a resolution of 1400x1200, I don’t remember exactly :) But the most important problem that I encountered when using this unit: Sometimes I have to sit for 15 minutes to turn it on!!!  Very Very Very difficult to turn on.  I don’t know what this is connected with, but the processor very rarely starts the first time.</v>
      </c>
    </row>
    <row r="1769" spans="1:9" x14ac:dyDescent="0.3">
      <c r="A1769" s="1" t="s">
        <v>61</v>
      </c>
      <c r="B1769" s="1" t="s">
        <v>73</v>
      </c>
      <c r="C1769" s="1" t="s">
        <v>314</v>
      </c>
      <c r="D1769" s="1" t="s">
        <v>280</v>
      </c>
      <c r="E1769" s="1" t="s">
        <v>225</v>
      </c>
      <c r="F1769" s="1" t="s">
        <v>3706</v>
      </c>
      <c r="G1769" s="1" t="s">
        <v>28</v>
      </c>
      <c r="H1769" s="1" t="s">
        <v>29</v>
      </c>
      <c r="I1769" s="1" t="str">
        <f ca="1">IFERROR(__xludf.DUMMYFUNCTION("GOOGLETRANSLATE(F1769, ""auto"", ""en"")
"),"The meat grinder is not bad, it rotates the meat perfectly, it’s easy to use, it doesn’t make much noise, but I noticed one drawback: when it’s under load, there’s a whistling sound, a very unpleasant sound.")</f>
        <v>The meat grinder is not bad, it rotates the meat perfectly, it’s easy to use, it doesn’t make much noise, but I noticed one drawback: when it’s under load, there’s a whistling sound, a very unpleasant sound.</v>
      </c>
    </row>
    <row r="1770" spans="1:9" x14ac:dyDescent="0.3">
      <c r="A1770" s="1" t="s">
        <v>624</v>
      </c>
      <c r="B1770" s="1" t="s">
        <v>2107</v>
      </c>
      <c r="C1770" s="1" t="s">
        <v>479</v>
      </c>
      <c r="D1770" s="1" t="s">
        <v>1072</v>
      </c>
      <c r="E1770" s="1" t="s">
        <v>3494</v>
      </c>
      <c r="F1770" s="1" t="s">
        <v>3707</v>
      </c>
      <c r="G1770" s="1" t="s">
        <v>28</v>
      </c>
      <c r="H1770" s="1" t="s">
        <v>29</v>
      </c>
      <c r="I1770" s="1" t="str">
        <f ca="1">IFERROR(__xludf.DUMMYFUNCTION("GOOGLETRANSLATE(F1770, ""auto"", ""en"")
"),"Yesterday I downloaded the multiplayer demo, I was impressed that the developer took care to allocate game servers for this game, unlike CallOfDuty Black Ops and MW2. I was very pleased with the lack of lags, the graphics are 4 but have no effect on the a"&amp;"ction in online battles. I really liked it and decided to buy it and play it until BF3 comes out.")</f>
        <v>Yesterday I downloaded the multiplayer demo, I was impressed that the developer took care to allocate game servers for this game, unlike CallOfDuty Black Ops and MW2. I was very pleased with the lack of lags, the graphics are 4 but have no effect on the action in online battles. I really liked it and decided to buy it and play it until BF3 comes out.</v>
      </c>
    </row>
    <row r="1771" spans="1:9" x14ac:dyDescent="0.3">
      <c r="A1771" s="1" t="s">
        <v>149</v>
      </c>
      <c r="B1771" s="1" t="s">
        <v>155</v>
      </c>
      <c r="C1771" s="1" t="s">
        <v>996</v>
      </c>
      <c r="D1771" s="1" t="s">
        <v>139</v>
      </c>
      <c r="E1771" s="1" t="s">
        <v>2333</v>
      </c>
      <c r="F1771" s="1" t="s">
        <v>3708</v>
      </c>
      <c r="G1771" s="1" t="s">
        <v>36</v>
      </c>
      <c r="H1771" s="1" t="s">
        <v>29</v>
      </c>
      <c r="I1771" s="1" t="str">
        <f ca="1">IFERROR(__xludf.DUMMYFUNCTION("GOOGLETRANSLATE(F1771, ""auto"", ""en"")
"),"I am very pleased with the vacuum cleaner. I took it instead of the usual cheap Elenberg with a dust bag (I got tired of it, I didn’t really vacuum it). This one pulls several orders of magnitude better.   In general, I’d rather compare it to the Rainbow "&amp;"vacuum cleaner from the 90s for $2000 with an electric turbo brush and water filtration, used by parents.  On the Rainbow, in addition to water filtration, there is a small foam filter at the outlet, which, after cleaning the apartment, despite the advert"&amp;"ised super cleanliness of the output air, becomes slightly dirty. And this is what amazed me - on a vacuum cleaner that costs almost 30 times less, the output HEPA filter remained clean after a couple of cleanings!!! The Rainbow electric turbo brush is, o"&amp;"f course, a little more convenient - the power is greater, there are no problems with high pile carpet or fabric upholstery of the sofa, which, by being sucked in, blocks the work of a regular air brush, but this can be solved with training ;) But the bru"&amp;"sh on the Rolsen is compact and lightweight, and most importantly, the cleaning result seemed even better to me.   Another positive point is that an additional set of filters is included, and although this is not indicated on the mvideo website, judging b"&amp;"y the instructions, they are washable.  Pleasant, soft plastic of the telescopic pipe, hose and handle of the vacuum cleaner. I won’t say anything about the durability of the design - I’ve been using it for a month.")</f>
        <v>I am very pleased with the vacuum cleaner. I took it instead of the usual cheap Elenberg with a dust bag (I got tired of it, I didn’t really vacuum it). This one pulls several orders of magnitude better.   In general, I’d rather compare it to the Rainbow vacuum cleaner from the 90s for $2000 with an electric turbo brush and water filtration, used by parents.  On the Rainbow, in addition to water filtration, there is a small foam filter at the outlet, which, after cleaning the apartment, despite the advertised super cleanliness of the output air, becomes slightly dirty. And this is what amazed me - on a vacuum cleaner that costs almost 30 times less, the output HEPA filter remained clean after a couple of cleanings!!! The Rainbow electric turbo brush is, of course, a little more convenient - the power is greater, there are no problems with high pile carpet or fabric upholstery of the sofa, which, by being sucked in, blocks the work of a regular air brush, but this can be solved with training ;) But the brush on the Rolsen is compact and lightweight, and most importantly, the cleaning result seemed even better to me.   Another positive point is that an additional set of filters is included, and although this is not indicated on the mvideo website, judging by the instructions, they are washable.  Pleasant, soft plastic of the telescopic pipe, hose and handle of the vacuum cleaner. I won’t say anything about the durability of the design - I’ve been using it for a month.</v>
      </c>
    </row>
    <row r="1772" spans="1:9" x14ac:dyDescent="0.3">
      <c r="A1772" s="1" t="s">
        <v>211</v>
      </c>
      <c r="B1772" s="1" t="s">
        <v>410</v>
      </c>
      <c r="C1772" s="1" t="s">
        <v>213</v>
      </c>
      <c r="D1772" s="1" t="s">
        <v>52</v>
      </c>
      <c r="E1772" s="1" t="s">
        <v>3367</v>
      </c>
      <c r="F1772" s="1" t="s">
        <v>3709</v>
      </c>
      <c r="G1772" s="1" t="s">
        <v>36</v>
      </c>
      <c r="H1772" s="1" t="s">
        <v>29</v>
      </c>
      <c r="I1772" s="1" t="str">
        <f ca="1">IFERROR(__xludf.DUMMYFUNCTION("GOOGLETRANSLATE(F1772, ""auto"", ""en"")
"),"Purchased on May 2, 2010 for 3,650 rubles (which is a lot, unfortunately). Shaved today), the quality of the “pro-shave” was rated excellent by the 2nd half. Shaving time 4 minutes. My beard grows quickly and is unfortunately tough, however, this razor di"&amp;"d a great job with this problem! - I recommend for purchase.")</f>
        <v>Purchased on May 2, 2010 for 3,650 rubles (which is a lot, unfortunately). Shaved today), the quality of the “pro-shave” was rated excellent by the 2nd half. Shaving time 4 minutes. My beard grows quickly and is unfortunately tough, however, this razor did a great job with this problem! - I recommend for purchase.</v>
      </c>
    </row>
    <row r="1773" spans="1:9" x14ac:dyDescent="0.3">
      <c r="A1773" s="1" t="s">
        <v>17</v>
      </c>
      <c r="B1773" s="1" t="s">
        <v>18</v>
      </c>
      <c r="C1773" s="1" t="s">
        <v>134</v>
      </c>
      <c r="D1773" s="1" t="s">
        <v>568</v>
      </c>
      <c r="E1773" s="1" t="s">
        <v>320</v>
      </c>
      <c r="F1773" s="1" t="s">
        <v>3710</v>
      </c>
      <c r="G1773" s="1" t="s">
        <v>36</v>
      </c>
      <c r="H1773" s="1" t="s">
        <v>29</v>
      </c>
      <c r="I1773" s="1" t="str">
        <f ca="1">IFERROR(__xludf.DUMMYFUNCTION("GOOGLETRANSLATE(F1773, ""auto"", ""en"")
"),"I recently purchased this car. It took us a long time to choose (I’m generally a fan of the idea that good technology doesn’t need advertising, so we scoured the entire Internet and settled on this machine). A very smart device. It washes just great. Ever"&amp;"ything that is written about the silent motor and vibration-free spin is absolutely true. Running the machine at night does not interfere with sleep at all, you just can’t hear it (the machine is in the kitchen). I really liked that during the washing pro"&amp;"cess the machine rinses the cuvette completely and no detergent residue remains. If you want to enjoy your purchase, then this is the car for you. Buy it, you won't regret it.")</f>
        <v>I recently purchased this car. It took us a long time to choose (I’m generally a fan of the idea that good technology doesn’t need advertising, so we scoured the entire Internet and settled on this machine). A very smart device. It washes just great. Everything that is written about the silent motor and vibration-free spin is absolutely true. Running the machine at night does not interfere with sleep at all, you just can’t hear it (the machine is in the kitchen). I really liked that during the washing process the machine rinses the cuvette completely and no detergent residue remains. If you want to enjoy your purchase, then this is the car for you. Buy it, you won't regret it.</v>
      </c>
    </row>
    <row r="1774" spans="1:9" x14ac:dyDescent="0.3">
      <c r="A1774" s="1" t="s">
        <v>61</v>
      </c>
      <c r="B1774" s="1" t="s">
        <v>224</v>
      </c>
      <c r="C1774" s="1" t="s">
        <v>74</v>
      </c>
      <c r="D1774" s="1" t="s">
        <v>896</v>
      </c>
      <c r="E1774" s="1" t="s">
        <v>594</v>
      </c>
      <c r="F1774" s="1" t="s">
        <v>3711</v>
      </c>
      <c r="G1774" s="1" t="s">
        <v>36</v>
      </c>
      <c r="H1774" s="1" t="s">
        <v>29</v>
      </c>
      <c r="I1774" s="1" t="str">
        <f ca="1">IFERROR(__xludf.DUMMYFUNCTION("GOOGLETRANSLATE(F1774, ""auto"", ""en"")
"),"We bought it yesterday, just like everyone else, we were looking for value for money, I used it 2 times, so far I’m very happy, two glasses of juice for breakfast in a matter of seconds. It takes more time to wash it after, but there’s nothing you can do,"&amp;" health comes first!")</f>
        <v>We bought it yesterday, just like everyone else, we were looking for value for money, I used it 2 times, so far I’m very happy, two glasses of juice for breakfast in a matter of seconds. It takes more time to wash it after, but there’s nothing you can do, health comes first!</v>
      </c>
    </row>
    <row r="1775" spans="1:9" x14ac:dyDescent="0.3">
      <c r="A1775" s="1" t="s">
        <v>61</v>
      </c>
      <c r="B1775" s="1" t="s">
        <v>318</v>
      </c>
      <c r="C1775" s="1" t="s">
        <v>2840</v>
      </c>
      <c r="D1775" s="1" t="s">
        <v>474</v>
      </c>
      <c r="E1775" s="1" t="s">
        <v>3712</v>
      </c>
      <c r="F1775" s="1" t="s">
        <v>3713</v>
      </c>
      <c r="G1775" s="1" t="s">
        <v>49</v>
      </c>
      <c r="H1775" s="1" t="s">
        <v>16</v>
      </c>
      <c r="I1775" s="1" t="str">
        <f ca="1">IFERROR(__xludf.DUMMYFUNCTION("GOOGLETRANSLATE(F1775, ""auto"", ""en"")
"),"The kettle, to put it mildly, is not good. The only positive thing is the appearance.  Scale is immediately visible on the walls of the kettle, even if there is water from the filter. The kettle does not boil water twice in a row, this is the most annoyin"&amp;"g thing. He needs to cool down. Moreover, this cooling takes about 20 minutes. Even if you pour cold water into it again. Spill the tea and sit and wait until it cools down. You can click the button endlessly, it just won’t turn on! This is disgusting and"&amp;" for such money.")</f>
        <v>The kettle, to put it mildly, is not good. The only positive thing is the appearance.  Scale is immediately visible on the walls of the kettle, even if there is water from the filter. The kettle does not boil water twice in a row, this is the most annoying thing. He needs to cool down. Moreover, this cooling takes about 20 minutes. Even if you pour cold water into it again. Spill the tea and sit and wait until it cools down. You can click the button endlessly, it just won’t turn on! This is disgusting and for such money.</v>
      </c>
    </row>
    <row r="1776" spans="1:9" x14ac:dyDescent="0.3">
      <c r="A1776" s="1" t="s">
        <v>9</v>
      </c>
      <c r="B1776" s="1" t="s">
        <v>137</v>
      </c>
      <c r="C1776" s="1" t="s">
        <v>63</v>
      </c>
      <c r="D1776" s="1" t="s">
        <v>86</v>
      </c>
      <c r="E1776" s="1" t="s">
        <v>3714</v>
      </c>
      <c r="F1776" s="1" t="s">
        <v>3715</v>
      </c>
      <c r="G1776" s="1" t="s">
        <v>36</v>
      </c>
      <c r="H1776" s="1" t="s">
        <v>29</v>
      </c>
      <c r="I1776" s="1" t="str">
        <f ca="1">IFERROR(__xludf.DUMMYFUNCTION("GOOGLETRANSLATE(F1776, ""auto"", ""en"")
"),"The appearance of the panel was attracted by the thin metal frame. The controls have never been more convenient. I selected a burner and then selected heating with one click, no fuss with + and -. German ceramics. The panel comes with a cable for easy con"&amp;"nection.")</f>
        <v>The appearance of the panel was attracted by the thin metal frame. The controls have never been more convenient. I selected a burner and then selected heating with one click, no fuss with + and -. German ceramics. The panel comes with a cable for easy connection.</v>
      </c>
    </row>
    <row r="1777" spans="1:9" x14ac:dyDescent="0.3">
      <c r="A1777" s="1" t="s">
        <v>120</v>
      </c>
      <c r="B1777" s="1" t="s">
        <v>121</v>
      </c>
      <c r="C1777" s="1" t="s">
        <v>122</v>
      </c>
      <c r="D1777" s="1" t="s">
        <v>20</v>
      </c>
      <c r="E1777" s="1" t="s">
        <v>1864</v>
      </c>
      <c r="F1777" s="1" t="s">
        <v>3716</v>
      </c>
      <c r="G1777" s="1" t="s">
        <v>36</v>
      </c>
      <c r="H1777" s="1" t="s">
        <v>29</v>
      </c>
      <c r="I1777" s="1" t="str">
        <f ca="1">IFERROR(__xludf.DUMMYFUNCTION("GOOGLETRANSLATE(F1777, ""auto"", ""en"")
"),"Excellent value for money! Good Malaysian assembly - no backlash or squeaks. Excellent screen matrix. I output the signal from my Macbook Pro as if on a second monitor, and instead of the picture deteriorating, I see almost the same, and in some places ev"&amp;"en better!!!  The broadcast is received very well. Sometimes small artifacts are noticeable, but mostly when the antenna signal is poor, or the video is of poor quality, especially in the news.   But how he made friends with my media player! In HD the pic"&amp;"ture is juicy, without shifts or sticking.   All interfaces that are needed are available.   Overall the TV is very good! For those who are not chasing inches, this is probably the best choice.")</f>
        <v>Excellent value for money! Good Malaysian assembly - no backlash or squeaks. Excellent screen matrix. I output the signal from my Macbook Pro as if on a second monitor, and instead of the picture deteriorating, I see almost the same, and in some places even better!!!  The broadcast is received very well. Sometimes small artifacts are noticeable, but mostly when the antenna signal is poor, or the video is of poor quality, especially in the news.   But how he made friends with my media player! In HD the picture is juicy, without shifts or sticking.   All interfaces that are needed are available.   Overall the TV is very good! For those who are not chasing inches, this is probably the best choice.</v>
      </c>
    </row>
    <row r="1778" spans="1:9" x14ac:dyDescent="0.3">
      <c r="A1778" s="1" t="s">
        <v>211</v>
      </c>
      <c r="B1778" s="1" t="s">
        <v>410</v>
      </c>
      <c r="C1778" s="1" t="s">
        <v>69</v>
      </c>
      <c r="D1778" s="1" t="s">
        <v>305</v>
      </c>
      <c r="E1778" s="1" t="s">
        <v>194</v>
      </c>
      <c r="F1778" s="1" t="s">
        <v>3717</v>
      </c>
      <c r="G1778" s="1" t="s">
        <v>36</v>
      </c>
      <c r="H1778" s="1" t="s">
        <v>29</v>
      </c>
      <c r="I1778" s="1" t="str">
        <f ca="1">IFERROR(__xludf.DUMMYFUNCTION("GOOGLETRANSLATE(F1778, ""auto"", ""en"")
"),"I bought a similar razor for my father. He liked it. I worked for 5 years, the motor burned out.  I think I'll repeat and buy this one. There is a mustache trimmer)) Long battery life, but here you need to be careful with charging, because... Most likely,"&amp;" the battery is Nickel-Cadmium, and it has a pronounced memory effect. To maintain battery capacity, you need to fully discharge and charge the razor. And here the charging indicator comes in handy.  2500r / 5 years = 500r per year, for that kind of money"&amp;" you can change Berdsk every year, but this is not for everyone)))))))")</f>
        <v>I bought a similar razor for my father. He liked it. I worked for 5 years, the motor burned out.  I think I'll repeat and buy this one. There is a mustache trimmer)) Long battery life, but here you need to be careful with charging, because... Most likely, the battery is Nickel-Cadmium, and it has a pronounced memory effect. To maintain battery capacity, you need to fully discharge and charge the razor. And here the charging indicator comes in handy.  2500r / 5 years = 500r per year, for that kind of money you can change Berdsk every year, but this is not for everyone)))))))</v>
      </c>
    </row>
    <row r="1779" spans="1:9" x14ac:dyDescent="0.3">
      <c r="A1779" s="1" t="s">
        <v>43</v>
      </c>
      <c r="B1779" s="1" t="s">
        <v>502</v>
      </c>
      <c r="C1779" s="1" t="s">
        <v>1627</v>
      </c>
      <c r="D1779" s="1" t="s">
        <v>52</v>
      </c>
      <c r="E1779" s="1" t="s">
        <v>3718</v>
      </c>
      <c r="F1779" s="1" t="s">
        <v>3719</v>
      </c>
      <c r="G1779" s="1" t="s">
        <v>36</v>
      </c>
      <c r="H1779" s="1" t="s">
        <v>29</v>
      </c>
      <c r="I1779" s="1" t="str">
        <f ca="1">IFERROR(__xludf.DUMMYFUNCTION("GOOGLETRANSLATE(F1779, ""auto"", ""en"")
"),"Before buying this model, I read a lot of things on the Internet: the fact that this is an old antediluvian model, and the noise it makes is like an old refrigerator, and much, much more. Having doubts about the choice, I still gave preference to this mod"&amp;"el and did not regret it. Everything works just fine without any luminous displays or light bulbs of different colors. I don’t hear any noise either at home or on the street. Nothing cracks or sticks together or gurgles.")</f>
        <v>Before buying this model, I read a lot of things on the Internet: the fact that this is an old antediluvian model, and the noise it makes is like an old refrigerator, and much, much more. Having doubts about the choice, I still gave preference to this model and did not regret it. Everything works just fine without any luminous displays or light bulbs of different colors. I don’t hear any noise either at home or on the street. Nothing cracks or sticks together or gurgles.</v>
      </c>
    </row>
    <row r="1780" spans="1:9" x14ac:dyDescent="0.3">
      <c r="A1780" s="1" t="s">
        <v>9</v>
      </c>
      <c r="B1780" s="1" t="s">
        <v>137</v>
      </c>
      <c r="C1780" s="1" t="s">
        <v>134</v>
      </c>
      <c r="D1780" s="1" t="s">
        <v>474</v>
      </c>
      <c r="E1780" s="1" t="s">
        <v>3720</v>
      </c>
      <c r="F1780" s="1" t="s">
        <v>3721</v>
      </c>
      <c r="G1780" s="1" t="s">
        <v>36</v>
      </c>
      <c r="H1780" s="1" t="s">
        <v>29</v>
      </c>
      <c r="I1780" s="1" t="str">
        <f ca="1">IFERROR(__xludf.DUMMYFUNCTION("GOOGLETRANSLATE(F1780, ""auto"", ""en"")
"),"stylish, compact and multifunctional panel. The fact that she is small does not impair her work at all. It fits into the kitchen as if it were sold along with the set. I was very pleased that the panel is induction. There is a timer to turn off the burner"&amp;"s (for the forgetful), a quick heating mode (if you need to quickly heat something or boil water). very convenient touch control panel, the backlight does not hurt the eyes. If the price doesn’t stop you, I recommend buying this particular panel.")</f>
        <v>stylish, compact and multifunctional panel. The fact that she is small does not impair her work at all. It fits into the kitchen as if it were sold along with the set. I was very pleased that the panel is induction. There is a timer to turn off the burners (for the forgetful), a quick heating mode (if you need to quickly heat something or boil water). very convenient touch control panel, the backlight does not hurt the eyes. If the price doesn’t stop you, I recommend buying this particular panel.</v>
      </c>
    </row>
    <row r="1781" spans="1:9" x14ac:dyDescent="0.3">
      <c r="A1781" s="1" t="s">
        <v>61</v>
      </c>
      <c r="B1781" s="1" t="s">
        <v>1126</v>
      </c>
      <c r="C1781" s="1" t="s">
        <v>57</v>
      </c>
      <c r="D1781" s="1" t="s">
        <v>589</v>
      </c>
      <c r="E1781" s="1" t="s">
        <v>3722</v>
      </c>
      <c r="F1781" s="1" t="s">
        <v>3723</v>
      </c>
      <c r="G1781" s="1" t="s">
        <v>49</v>
      </c>
      <c r="H1781" s="1" t="s">
        <v>16</v>
      </c>
      <c r="I1781" s="1" t="str">
        <f ca="1">IFERROR(__xludf.DUMMYFUNCTION("GOOGLETRANSLATE(F1781, ""auto"", ""en"")
"),"The scales don't turn on the first time, the plastic is cheap, I'm disappointed.")</f>
        <v>The scales don't turn on the first time, the plastic is cheap, I'm disappointed.</v>
      </c>
    </row>
    <row r="1782" spans="1:9" x14ac:dyDescent="0.3">
      <c r="A1782" s="1" t="s">
        <v>61</v>
      </c>
      <c r="B1782" s="1" t="s">
        <v>318</v>
      </c>
      <c r="C1782" s="1" t="s">
        <v>85</v>
      </c>
      <c r="D1782" s="1" t="s">
        <v>171</v>
      </c>
      <c r="E1782" s="1" t="s">
        <v>3724</v>
      </c>
      <c r="F1782" s="1" t="s">
        <v>3725</v>
      </c>
      <c r="G1782" s="1" t="s">
        <v>28</v>
      </c>
      <c r="H1782" s="1" t="s">
        <v>29</v>
      </c>
      <c r="I1782" s="1" t="str">
        <f ca="1">IFERROR(__xludf.DUMMYFUNCTION("GOOGLETRANSLATE(F1782, ""auto"", ""en"")
"),"Olga, I want to respond to your statement that “The kettle reaches 80 degrees without pre-boiling, which is important for green teas.” No matter what kind of tea you brew, you still need to bring the water to a boil, and then wait for it to cool. So these"&amp;" modes only make sense if you need to heat previously boiled water without overheating it. The kettle is good, but in fact I hardly use the modes, very rarely.")</f>
        <v>Olga, I want to respond to your statement that “The kettle reaches 80 degrees without pre-boiling, which is important for green teas.” No matter what kind of tea you brew, you still need to bring the water to a boil, and then wait for it to cool. So these modes only make sense if you need to heat previously boiled water without overheating it. The kettle is good, but in fact I hardly use the modes, very rarely.</v>
      </c>
    </row>
    <row r="1783" spans="1:9" x14ac:dyDescent="0.3">
      <c r="A1783" s="1" t="s">
        <v>61</v>
      </c>
      <c r="B1783" s="1" t="s">
        <v>224</v>
      </c>
      <c r="C1783" s="1" t="s">
        <v>101</v>
      </c>
      <c r="D1783" s="1" t="s">
        <v>633</v>
      </c>
      <c r="E1783" s="1" t="s">
        <v>3726</v>
      </c>
      <c r="F1783" s="1" t="s">
        <v>3727</v>
      </c>
      <c r="G1783" s="1" t="s">
        <v>36</v>
      </c>
      <c r="H1783" s="1" t="s">
        <v>29</v>
      </c>
      <c r="I1783" s="1" t="str">
        <f ca="1">IFERROR(__xludf.DUMMYFUNCTION("GOOGLETRANSLATE(F1783, ""auto"", ""en"")
"),"An option for those who need regular juice, who are not too lazy to slightly chop vegetables or fruits before squeezing, and who are able to appreciate the main advantage of this juicer - we were given the opportunity to enjoy the benefits of regular juic"&amp;"e extraction for absolutely ridiculous money. A completely high-quality juicer is very expensive! And I didn’t need one, I don’t use it that often. And here I am ready to put up with cheaper materials, more strenuous work and the requirement of careful ha"&amp;"ndling of the device. How else could you want to get a fully working juicer for that kind of money? It makes juice (and of good purity) and okay")</f>
        <v>An option for those who need regular juice, who are not too lazy to slightly chop vegetables or fruits before squeezing, and who are able to appreciate the main advantage of this juicer - we were given the opportunity to enjoy the benefits of regular juice extraction for absolutely ridiculous money. A completely high-quality juicer is very expensive! And I didn’t need one, I don’t use it that often. And here I am ready to put up with cheaper materials, more strenuous work and the requirement of careful handling of the device. How else could you want to get a fully working juicer for that kind of money? It makes juice (and of good purity) and okay</v>
      </c>
    </row>
    <row r="1784" spans="1:9" x14ac:dyDescent="0.3">
      <c r="A1784" s="1" t="s">
        <v>89</v>
      </c>
      <c r="B1784" s="1" t="s">
        <v>231</v>
      </c>
      <c r="C1784" s="1" t="s">
        <v>185</v>
      </c>
      <c r="D1784" s="1" t="s">
        <v>2217</v>
      </c>
      <c r="E1784" s="1" t="s">
        <v>2226</v>
      </c>
      <c r="F1784" s="1" t="s">
        <v>3728</v>
      </c>
      <c r="G1784" s="1" t="s">
        <v>28</v>
      </c>
      <c r="H1784" s="1" t="s">
        <v>29</v>
      </c>
      <c r="I1784" s="1" t="str">
        <f ca="1">IFERROR(__xludf.DUMMYFUNCTION("GOOGLETRANSLATE(F1784, ""auto"", ""en"")
"),"I bought this device on sale.  Having a coffee machine at home has been my long-time dream.  The device is very decent, it makes excellent coffee. The smell in the kitchen and the foam are wonderful.  I recommend it.  It justifies its price (for the promo"&amp;"tion) by 100%.")</f>
        <v>I bought this device on sale.  Having a coffee machine at home has been my long-time dream.  The device is very decent, it makes excellent coffee. The smell in the kitchen and the foam are wonderful.  I recommend it.  It justifies its price (for the promotion) by 100%.</v>
      </c>
    </row>
    <row r="1785" spans="1:9" x14ac:dyDescent="0.3">
      <c r="A1785" s="1" t="s">
        <v>149</v>
      </c>
      <c r="B1785" s="1" t="s">
        <v>155</v>
      </c>
      <c r="C1785" s="1" t="s">
        <v>159</v>
      </c>
      <c r="D1785" s="1" t="s">
        <v>247</v>
      </c>
      <c r="E1785" s="1" t="s">
        <v>727</v>
      </c>
      <c r="F1785" s="1" t="s">
        <v>3729</v>
      </c>
      <c r="G1785" s="1" t="s">
        <v>49</v>
      </c>
      <c r="H1785" s="1" t="s">
        <v>16</v>
      </c>
      <c r="I1785" s="1" t="str">
        <f ca="1">IFERROR(__xludf.DUMMYFUNCTION("GOOGLETRANSLATE(F1785, ""auto"", ""en"")
"),"The first one didn’t even last a year; the engine burned out. We exchanged it for another one of the same kind. He lived a little over a year and stopped turning on. It’s good that there was a certificate. They took it without question.")</f>
        <v>The first one didn’t even last a year; the engine burned out. We exchanged it for another one of the same kind. He lived a little over a year and stopped turning on. It’s good that there was a certificate. They took it without question.</v>
      </c>
    </row>
    <row r="1786" spans="1:9" x14ac:dyDescent="0.3">
      <c r="A1786" s="1" t="s">
        <v>37</v>
      </c>
      <c r="B1786" s="1" t="s">
        <v>38</v>
      </c>
      <c r="C1786" s="1" t="s">
        <v>39</v>
      </c>
      <c r="D1786" s="1" t="s">
        <v>117</v>
      </c>
      <c r="E1786" s="1" t="s">
        <v>3730</v>
      </c>
      <c r="F1786" s="1" t="s">
        <v>3731</v>
      </c>
      <c r="G1786" s="1" t="s">
        <v>36</v>
      </c>
      <c r="H1786" s="1" t="s">
        <v>29</v>
      </c>
      <c r="I1786" s="1" t="str">
        <f ca="1">IFERROR(__xludf.DUMMYFUNCTION("GOOGLETRANSLATE(F1786, ""auto"", ""en"")
"),"I've been using this phone for half a year now, no complaints yet. By the way, if you compare it with phones of other models and for the same price, the SE has the most powerful processor and camera.")</f>
        <v>I've been using this phone for half a year now, no complaints yet. By the way, if you compare it with phones of other models and for the same price, the SE has the most powerful processor and camera.</v>
      </c>
    </row>
    <row r="1787" spans="1:9" x14ac:dyDescent="0.3">
      <c r="A1787" s="1" t="s">
        <v>9</v>
      </c>
      <c r="B1787" s="1" t="s">
        <v>10</v>
      </c>
      <c r="C1787" s="1" t="s">
        <v>407</v>
      </c>
      <c r="D1787" s="1" t="s">
        <v>81</v>
      </c>
      <c r="E1787" s="1" t="s">
        <v>1589</v>
      </c>
      <c r="F1787" s="1" t="s">
        <v>3732</v>
      </c>
      <c r="G1787" s="1" t="s">
        <v>28</v>
      </c>
      <c r="H1787" s="1" t="s">
        <v>29</v>
      </c>
      <c r="I1787" s="1" t="str">
        <f ca="1">IFERROR(__xludf.DUMMYFUNCTION("GOOGLETRANSLATE(F1787, ""auto"", ""en"")
"),"The Shindo Pallada 60 cm hood was delivered on May 10, it should be noted that the guys work very quickly. I ordered it on May 9, and it was delivered at 9.00 on the 10th. I installed the hood myself, there are no particular installation difficulties, the"&amp;" main thing is to read the instructions. And I’m happy with the device itself; good design, little noise during operation, convenient illumination, the visor at a convenient angle does not hit your head.  The only thing that is alarming is the fastening t"&amp;"o the wall itself. The hood is quite heavy, and the bolts are a bit short (4cm long), due to the wall panel (1.5 cm thick) there are 2.5 cm of fasteners left in the wall. But I hope that the hood will not fall.")</f>
        <v>The Shindo Pallada 60 cm hood was delivered on May 10, it should be noted that the guys work very quickly. I ordered it on May 9, and it was delivered at 9.00 on the 10th. I installed the hood myself, there are no particular installation difficulties, the main thing is to read the instructions. And I’m happy with the device itself; good design, little noise during operation, convenient illumination, the visor at a convenient angle does not hit your head.  The only thing that is alarming is the fastening to the wall itself. The hood is quite heavy, and the bolts are a bit short (4cm long), due to the wall panel (1.5 cm thick) there are 2.5 cm of fasteners left in the wall. But I hope that the hood will not fall.</v>
      </c>
    </row>
    <row r="1788" spans="1:9" x14ac:dyDescent="0.3">
      <c r="A1788" s="1" t="s">
        <v>206</v>
      </c>
      <c r="B1788" s="1" t="s">
        <v>207</v>
      </c>
      <c r="C1788" s="1" t="s">
        <v>152</v>
      </c>
      <c r="D1788" s="1" t="s">
        <v>232</v>
      </c>
      <c r="E1788" s="1" t="s">
        <v>3733</v>
      </c>
      <c r="F1788" s="1" t="s">
        <v>3734</v>
      </c>
      <c r="G1788" s="1" t="s">
        <v>49</v>
      </c>
      <c r="H1788" s="1" t="s">
        <v>16</v>
      </c>
      <c r="I1788" s="1" t="str">
        <f ca="1">IFERROR(__xludf.DUMMYFUNCTION("GOOGLETRANSLATE(F1788, ""auto"", ""en"")
"),"Cheap")</f>
        <v>Cheap</v>
      </c>
    </row>
    <row r="1789" spans="1:9" x14ac:dyDescent="0.3">
      <c r="A1789" s="1" t="s">
        <v>1823</v>
      </c>
      <c r="B1789" s="1" t="s">
        <v>1824</v>
      </c>
      <c r="C1789" s="1" t="s">
        <v>69</v>
      </c>
      <c r="D1789" s="1" t="s">
        <v>474</v>
      </c>
      <c r="E1789" s="1" t="s">
        <v>3735</v>
      </c>
      <c r="F1789" s="1" t="s">
        <v>3736</v>
      </c>
      <c r="G1789" s="1" t="s">
        <v>36</v>
      </c>
      <c r="H1789" s="1" t="s">
        <v>29</v>
      </c>
      <c r="I1789" s="1" t="str">
        <f ca="1">IFERROR(__xludf.DUMMYFUNCTION("GOOGLETRANSLATE(F1789, ""auto"", ""en"")
"),"I’ve been using it for 2 years now, nothing creaks, and it doesn’t slip on the floor. The most optimal width for ironing any things (bed linen, trousers, and for shirts - this is a fairy tale!!!) Having bought it 2 years ago, I was actually lucky: the boa"&amp;"rd has a retractable pocket for a phone or remote control (everything is at your fingertips - iron and enjoy!!!). I recommend it to everyone!")</f>
        <v>I’ve been using it for 2 years now, nothing creaks, and it doesn’t slip on the floor. The most optimal width for ironing any things (bed linen, trousers, and for shirts - this is a fairy tale!!!) Having bought it 2 years ago, I was actually lucky: the board has a retractable pocket for a phone or remote control (everything is at your fingertips - iron and enjoy!!!). I recommend it to everyone!</v>
      </c>
    </row>
    <row r="1790" spans="1:9" x14ac:dyDescent="0.3">
      <c r="A1790" s="1" t="s">
        <v>61</v>
      </c>
      <c r="B1790" s="1" t="s">
        <v>180</v>
      </c>
      <c r="C1790" s="1" t="s">
        <v>57</v>
      </c>
      <c r="D1790" s="1" t="s">
        <v>52</v>
      </c>
      <c r="E1790" s="1" t="s">
        <v>3737</v>
      </c>
      <c r="F1790" s="1" t="s">
        <v>3738</v>
      </c>
      <c r="G1790" s="1" t="s">
        <v>36</v>
      </c>
      <c r="H1790" s="1" t="s">
        <v>29</v>
      </c>
      <c r="I1790" s="1" t="str">
        <f ca="1">IFERROR(__xludf.DUMMYFUNCTION("GOOGLETRANSLATE(F1790, ""auto"", ""en"")
"),"I don't know, I don't know! My wife and I liked this thing. Mode 4 and the button - class, not burnt, and with a crust.")</f>
        <v>I don't know, I don't know! My wife and I liked this thing. Mode 4 and the button - class, not burnt, and with a crust.</v>
      </c>
    </row>
    <row r="1791" spans="1:9" x14ac:dyDescent="0.3">
      <c r="A1791" s="1" t="s">
        <v>61</v>
      </c>
      <c r="B1791" s="1" t="s">
        <v>73</v>
      </c>
      <c r="C1791" s="1" t="s">
        <v>74</v>
      </c>
      <c r="D1791" s="1" t="s">
        <v>64</v>
      </c>
      <c r="E1791" s="1" t="s">
        <v>3739</v>
      </c>
      <c r="F1791" s="1" t="s">
        <v>3740</v>
      </c>
      <c r="G1791" s="1" t="s">
        <v>36</v>
      </c>
      <c r="H1791" s="1" t="s">
        <v>29</v>
      </c>
      <c r="I1791" s="1" t="str">
        <f ca="1">IFERROR(__xludf.DUMMYFUNCTION("GOOGLETRANSLATE(F1791, ""auto"", ""en"")
"),"We have been using the meat grinder for a year now. Everything suits me, it’s quite a budget option. In our case, everything is OK with the fastening. It twists the meat wonderfully, rubs and chops vegetables (potato pancakes in 3 minutes!), and what make"&amp;"s noise, well, yes, compared to a manual one, yes, but you can survive it, because it only makes noise for 5-10 minutes))). Overall, a good meat grinder")</f>
        <v>We have been using the meat grinder for a year now. Everything suits me, it’s quite a budget option. In our case, everything is OK with the fastening. It twists the meat wonderfully, rubs and chops vegetables (potato pancakes in 3 minutes!), and what makes noise, well, yes, compared to a manual one, yes, but you can survive it, because it only makes noise for 5-10 minutes))). Overall, a good meat grinder</v>
      </c>
    </row>
    <row r="1792" spans="1:9" x14ac:dyDescent="0.3">
      <c r="A1792" s="1" t="s">
        <v>61</v>
      </c>
      <c r="B1792" s="1" t="s">
        <v>726</v>
      </c>
      <c r="C1792" s="1" t="s">
        <v>85</v>
      </c>
      <c r="D1792" s="1" t="s">
        <v>2462</v>
      </c>
      <c r="E1792" s="1" t="s">
        <v>2186</v>
      </c>
      <c r="F1792" s="1" t="s">
        <v>3741</v>
      </c>
      <c r="G1792" s="1" t="s">
        <v>36</v>
      </c>
      <c r="H1792" s="1" t="s">
        <v>29</v>
      </c>
      <c r="I1792" s="1" t="str">
        <f ca="1">IFERROR(__xludf.DUMMYFUNCTION("GOOGLETRANSLATE(F1792, ""auto"", ""en"")
"),"An excellent model of a bread maker! A work colleague recommended it to me, I’m very pleased with the design, ease of use, and most importantly, there are no complicated programs and they are all in Russian. But if you need it, you can add any program you"&amp;"rself. In general, I’m happy with it")</f>
        <v>An excellent model of a bread maker! A work colleague recommended it to me, I’m very pleased with the design, ease of use, and most importantly, there are no complicated programs and they are all in Russian. But if you need it, you can add any program yourself. In general, I’m happy with it</v>
      </c>
    </row>
    <row r="1793" spans="1:9" x14ac:dyDescent="0.3">
      <c r="A1793" s="1" t="s">
        <v>30</v>
      </c>
      <c r="B1793" s="1" t="s">
        <v>31</v>
      </c>
      <c r="C1793" s="1" t="s">
        <v>32</v>
      </c>
      <c r="D1793" s="1" t="s">
        <v>20</v>
      </c>
      <c r="E1793" s="1" t="s">
        <v>696</v>
      </c>
      <c r="F1793" s="1" t="s">
        <v>3742</v>
      </c>
      <c r="G1793" s="1" t="s">
        <v>36</v>
      </c>
      <c r="H1793" s="1" t="s">
        <v>29</v>
      </c>
      <c r="I1793" s="1" t="str">
        <f ca="1">IFERROR(__xludf.DUMMYFUNCTION("GOOGLETRANSLATE(F1793, ""auto"", ""en"")
"),"I have exactly the same computer, the games are running, it’s simple ideal, only the video card is another ATI Radeon HD 4870 1GB and the games are running such as Call of Juarez - Blood Ties and Crysis Warhead and Fallout 3 and Far Cry 2 and ArmA 2 and O"&amp;"peration Flashpoint: Dragon Rising and so on, and these games work normally without lags and in general there are no problems with a network camp!!!")</f>
        <v>I have exactly the same computer, the games are running, it’s simple ideal, only the video card is another ATI Radeon HD 4870 1GB and the games are running such as Call of Juarez - Blood Ties and Crysis Warhead and Fallout 3 and Far Cry 2 and ArmA 2 and Operation Flashpoint: Dragon Rising and so on, and these games work normally without lags and in general there are no problems with a network camp!!!</v>
      </c>
    </row>
    <row r="1794" spans="1:9" x14ac:dyDescent="0.3">
      <c r="A1794" s="1" t="s">
        <v>17</v>
      </c>
      <c r="B1794" s="1" t="s">
        <v>18</v>
      </c>
      <c r="C1794" s="1" t="s">
        <v>885</v>
      </c>
      <c r="D1794" s="1" t="s">
        <v>305</v>
      </c>
      <c r="E1794" s="1" t="s">
        <v>109</v>
      </c>
      <c r="F1794" s="1" t="s">
        <v>3743</v>
      </c>
      <c r="G1794" s="1" t="s">
        <v>28</v>
      </c>
      <c r="H1794" s="1" t="s">
        <v>29</v>
      </c>
      <c r="I1794" s="1" t="str">
        <f ca="1">IFERROR(__xludf.DUMMYFUNCTION("GOOGLETRANSLATE(F1794, ""auto"", ""en"")
"),"I've had this machine for about a month. Overall a good device. There are all the necessary functions. Despite its small dimensions, it has an impressive loading volume. One of the disadvantages noted is that it does not completely wash out the washing po"&amp;"wder from the loading tray, although the water pressure is good. In my previous washing machine I even had to reduce the water pressure because... water splashed from the tray.")</f>
        <v>I've had this machine for about a month. Overall a good device. There are all the necessary functions. Despite its small dimensions, it has an impressive loading volume. One of the disadvantages noted is that it does not completely wash out the washing powder from the loading tray, although the water pressure is good. In my previous washing machine I even had to reduce the water pressure because... water splashed from the tray.</v>
      </c>
    </row>
    <row r="1795" spans="1:9" x14ac:dyDescent="0.3">
      <c r="A1795" s="1" t="s">
        <v>477</v>
      </c>
      <c r="B1795" s="1" t="s">
        <v>478</v>
      </c>
      <c r="C1795" s="1" t="s">
        <v>479</v>
      </c>
      <c r="D1795" s="1" t="s">
        <v>916</v>
      </c>
      <c r="E1795" s="1" t="s">
        <v>597</v>
      </c>
      <c r="F1795" s="1" t="s">
        <v>3744</v>
      </c>
      <c r="G1795" s="1" t="s">
        <v>36</v>
      </c>
      <c r="H1795" s="1" t="s">
        <v>29</v>
      </c>
      <c r="I1795" s="1" t="str">
        <f ca="1">IFERROR(__xludf.DUMMYFUNCTION("GOOGLETRANSLATE(F1795, ""auto"", ""en"")
"),"in short, the theme of the game, handsome mvideo")</f>
        <v>in short, the theme of the game, handsome mvideo</v>
      </c>
    </row>
    <row r="1796" spans="1:9" x14ac:dyDescent="0.3">
      <c r="A1796" s="1" t="s">
        <v>169</v>
      </c>
      <c r="B1796" s="1" t="s">
        <v>170</v>
      </c>
      <c r="C1796" s="1" t="s">
        <v>122</v>
      </c>
      <c r="D1796" s="1" t="s">
        <v>2068</v>
      </c>
      <c r="E1796" s="1" t="s">
        <v>1988</v>
      </c>
      <c r="F1796" s="1" t="s">
        <v>3745</v>
      </c>
      <c r="G1796" s="1" t="s">
        <v>36</v>
      </c>
      <c r="H1796" s="1" t="s">
        <v>29</v>
      </c>
      <c r="I1796" s="1" t="str">
        <f ca="1">IFERROR(__xludf.DUMMYFUNCTION("GOOGLETRANSLATE(F1796, ""auto"", ""en"")
"),"Good headphones, I recommend them to everyone, you won’t regret it, the bass is amazing))")</f>
        <v>Good headphones, I recommend them to everyone, you won’t regret it, the bass is amazing))</v>
      </c>
    </row>
    <row r="1797" spans="1:9" x14ac:dyDescent="0.3">
      <c r="A1797" s="1" t="s">
        <v>120</v>
      </c>
      <c r="B1797" s="1" t="s">
        <v>834</v>
      </c>
      <c r="C1797" s="1" t="s">
        <v>97</v>
      </c>
      <c r="D1797" s="1" t="s">
        <v>335</v>
      </c>
      <c r="E1797" s="1" t="s">
        <v>427</v>
      </c>
      <c r="F1797" s="1" t="s">
        <v>3746</v>
      </c>
      <c r="G1797" s="1" t="s">
        <v>36</v>
      </c>
      <c r="H1797" s="1" t="s">
        <v>29</v>
      </c>
      <c r="I1797" s="1" t="str">
        <f ca="1">IFERROR(__xludf.DUMMYFUNCTION("GOOGLETRANSLATE(F1797, ""auto"", ""en"")
"),"Yesterday we purchased this model, I really liked the picture, despite the fact that the television is analog, the colors are bright, rich and beautiful. The sound after setup was also surprising, I don’t even need good sound from the theater. It’s a pity"&amp;" that avi can’t only read mpeg from the flash drive, this is the only drawback that we noticed... the TV is super!!!")</f>
        <v>Yesterday we purchased this model, I really liked the picture, despite the fact that the television is analog, the colors are bright, rich and beautiful. The sound after setup was also surprising, I don’t even need good sound from the theater. It’s a pity that avi can’t only read mpeg from the flash drive, this is the only drawback that we noticed... the TV is super!!!</v>
      </c>
    </row>
    <row r="1798" spans="1:9" x14ac:dyDescent="0.3">
      <c r="A1798" s="1" t="s">
        <v>1443</v>
      </c>
      <c r="B1798" s="1" t="s">
        <v>1444</v>
      </c>
      <c r="C1798" s="1" t="s">
        <v>1489</v>
      </c>
      <c r="D1798" s="1" t="s">
        <v>545</v>
      </c>
      <c r="E1798" s="1" t="s">
        <v>3747</v>
      </c>
      <c r="F1798" s="1" t="s">
        <v>3748</v>
      </c>
      <c r="G1798" s="1" t="s">
        <v>36</v>
      </c>
      <c r="H1798" s="1" t="s">
        <v>29</v>
      </c>
      <c r="I1798" s="1" t="str">
        <f ca="1">IFERROR(__xludf.DUMMYFUNCTION("GOOGLETRANSLATE(F1798, ""auto"", ""en"")
"),"Nice flash drive. You quickly send information to her. Doesn't slow down. I recommend it.")</f>
        <v>Nice flash drive. You quickly send information to her. Doesn't slow down. I recommend it.</v>
      </c>
    </row>
    <row r="1799" spans="1:9" x14ac:dyDescent="0.3">
      <c r="A1799" s="1" t="s">
        <v>120</v>
      </c>
      <c r="B1799" s="1" t="s">
        <v>121</v>
      </c>
      <c r="C1799" s="1" t="s">
        <v>151</v>
      </c>
      <c r="D1799" s="1" t="s">
        <v>232</v>
      </c>
      <c r="E1799" s="1" t="s">
        <v>822</v>
      </c>
      <c r="F1799" s="1" t="s">
        <v>3749</v>
      </c>
      <c r="G1799" s="1" t="s">
        <v>28</v>
      </c>
      <c r="H1799" s="1" t="s">
        <v>29</v>
      </c>
      <c r="I1799" s="1" t="str">
        <f ca="1">IFERROR(__xludf.DUMMYFUNCTION("GOOGLETRANSLATE(F1799, ""auto"", ""en"")
"),"I recently encountered the following problem for Xbox 360 games: some of them run ONLY at a frequency of 60 Hz, and here in Russia not all TVs support this frequency (there, in my opinion, the PAL system is for 50 Hz, and the HTSC system is for 60 Hz). I "&amp;"asked the seller - he said that some TVs in Russia are already capable of receiving 60 Hz signals. So, can this TV operate with this frequency? My PHILIPS 32PW9520 categorically refuses to work under the standard described above and produces a gray screen"&amp;" and terrible black bars.")</f>
        <v>I recently encountered the following problem for Xbox 360 games: some of them run ONLY at a frequency of 60 Hz, and here in Russia not all TVs support this frequency (there, in my opinion, the PAL system is for 50 Hz, and the HTSC system is for 60 Hz). I asked the seller - he said that some TVs in Russia are already capable of receiving 60 Hz signals. So, can this TV operate with this frequency? My PHILIPS 32PW9520 categorically refuses to work under the standard described above and produces a gray screen and terrible black bars.</v>
      </c>
    </row>
    <row r="1800" spans="1:9" x14ac:dyDescent="0.3">
      <c r="A1800" s="1" t="s">
        <v>111</v>
      </c>
      <c r="B1800" s="1" t="s">
        <v>636</v>
      </c>
      <c r="C1800" s="1" t="s">
        <v>637</v>
      </c>
      <c r="D1800" s="1" t="s">
        <v>114</v>
      </c>
      <c r="E1800" s="1" t="s">
        <v>3750</v>
      </c>
      <c r="F1800" s="1" t="s">
        <v>3751</v>
      </c>
      <c r="G1800" s="1" t="s">
        <v>36</v>
      </c>
      <c r="H1800" s="1" t="s">
        <v>29</v>
      </c>
      <c r="I1800" s="1" t="str">
        <f ca="1">IFERROR(__xludf.DUMMYFUNCTION("GOOGLETRANSLATE(F1800, ""auto"", ""en"")
"),"Advantages.  1. Accuracy. I specifically compared it with several thermometers and hygrometers and was not disappointed.  2.Easy to operate. Only five buttons on such a large display and an absolute understanding of how to control this miracle.  3. Extern"&amp;"al air temperature sensor. Now you don’t have to run to the outdoor thermometer to find out the temperature.  Flaws.  1. Weather forecast. He shows, of course, sometimes correctly... But only sometimes. It’s pouring rain here, but the station shows us the"&amp;" sun and seagulls) It’s just positive, it lifts our spirits.   2. Indicator of approaching frost. Who invented it and why didn’t they make a switch? We have a station in our bedroom, and my wife and I were very surprised when we discovered a flashing ligh"&amp;"t for the entire room in the night... We had to cover the LED with electrical tape during the “approaching frosts”... Although, thanks to the same indicator, we managed to save the onions and potatoes lying on the balcony from freezing (at that time the e"&amp;"xternal air temperature sensor was not attached outside, but lay peacefully on the balcony).  Resume.  	Overall, we are satisfied with the purchase and happy that we chose this company. We only regretted a little that we did not take an older model with a"&amp;"n outdoor hygrometer and barometer. I recommend it to everyone.")</f>
        <v>Advantages.  1. Accuracy. I specifically compared it with several thermometers and hygrometers and was not disappointed.  2.Easy to operate. Only five buttons on such a large display and an absolute understanding of how to control this miracle.  3. External air temperature sensor. Now you don’t have to run to the outdoor thermometer to find out the temperature.  Flaws.  1. Weather forecast. He shows, of course, sometimes correctly... But only sometimes. It’s pouring rain here, but the station shows us the sun and seagulls) It’s just positive, it lifts our spirits.   2. Indicator of approaching frost. Who invented it and why didn’t they make a switch? We have a station in our bedroom, and my wife and I were very surprised when we discovered a flashing light for the entire room in the night... We had to cover the LED with electrical tape during the “approaching frosts”... Although, thanks to the same indicator, we managed to save the onions and potatoes lying on the balcony from freezing (at that time the external air temperature sensor was not attached outside, but lay peacefully on the balcony).  Resume.  	Overall, we are satisfied with the purchase and happy that we chose this company. We only regretted a little that we did not take an older model with an outdoor hygrometer and barometer. I recommend it to everyone.</v>
      </c>
    </row>
    <row r="1801" spans="1:9" x14ac:dyDescent="0.3">
      <c r="A1801" s="1" t="s">
        <v>149</v>
      </c>
      <c r="B1801" s="1" t="s">
        <v>423</v>
      </c>
      <c r="C1801" s="1" t="s">
        <v>424</v>
      </c>
      <c r="D1801" s="1" t="s">
        <v>308</v>
      </c>
      <c r="E1801" s="1" t="s">
        <v>3752</v>
      </c>
      <c r="F1801" s="1" t="s">
        <v>3753</v>
      </c>
      <c r="G1801" s="1" t="s">
        <v>36</v>
      </c>
      <c r="H1801" s="1" t="s">
        <v>29</v>
      </c>
      <c r="I1801" s="1" t="str">
        <f ca="1">IFERROR(__xludf.DUMMYFUNCTION("GOOGLETRANSLATE(F1801, ""auto"", ""en"")
"),"I think there is a percentage of defects in any product, be it Thomas or Vax. Personally, I am very pleased with my purchase. I bought it about a month ago. I didn’t think that cleaning could be fun. Considering that I clean every other day with small chi"&amp;"ldren, I didn’t expect that there was so much dirt in my carpets. Vax did it easily and quickly. The whole cleaning took about 20 minutes and now I am confident in the cleanliness of my home!")</f>
        <v>I think there is a percentage of defects in any product, be it Thomas or Vax. Personally, I am very pleased with my purchase. I bought it about a month ago. I didn’t think that cleaning could be fun. Considering that I clean every other day with small children, I didn’t expect that there was so much dirt in my carpets. Vax did it easily and quickly. The whole cleaning took about 20 minutes and now I am confident in the cleanliness of my home!</v>
      </c>
    </row>
    <row r="1802" spans="1:9" x14ac:dyDescent="0.3">
      <c r="A1802" s="1" t="s">
        <v>30</v>
      </c>
      <c r="B1802" s="1" t="s">
        <v>50</v>
      </c>
      <c r="C1802" s="1" t="s">
        <v>1003</v>
      </c>
      <c r="D1802" s="1" t="s">
        <v>3754</v>
      </c>
      <c r="E1802" s="1" t="s">
        <v>3755</v>
      </c>
      <c r="F1802" s="1" t="s">
        <v>3756</v>
      </c>
      <c r="G1802" s="1" t="s">
        <v>28</v>
      </c>
      <c r="H1802" s="1" t="s">
        <v>29</v>
      </c>
      <c r="I1802" s="1" t="str">
        <f ca="1">IFERROR(__xludf.DUMMYFUNCTION("GOOGLETRANSLATE(F1802, ""auto"", ""en"")
"),"In principle, the BUK is normal! They took it 3 weeks ago!!!!!!!!!!!!!!!!!!!!!!!!!!!  It’s a shame, and we never found the camera! The screen reflects and is not convenient to work with.")</f>
        <v>In principle, the BUK is normal! They took it 3 weeks ago!!!!!!!!!!!!!!!!!!!!!!!!!!!  It’s a shame, and we never found the camera! The screen reflects and is not convenient to work with.</v>
      </c>
    </row>
    <row r="1803" spans="1:9" x14ac:dyDescent="0.3">
      <c r="A1803" s="1" t="s">
        <v>67</v>
      </c>
      <c r="B1803" s="1" t="s">
        <v>68</v>
      </c>
      <c r="C1803" s="1" t="s">
        <v>246</v>
      </c>
      <c r="D1803" s="1" t="s">
        <v>64</v>
      </c>
      <c r="E1803" s="1" t="s">
        <v>3757</v>
      </c>
      <c r="F1803" s="1" t="s">
        <v>3758</v>
      </c>
      <c r="G1803" s="1" t="s">
        <v>36</v>
      </c>
      <c r="H1803" s="1" t="s">
        <v>29</v>
      </c>
      <c r="I1803" s="1" t="str">
        <f ca="1">IFERROR(__xludf.DUMMYFUNCTION("GOOGLETRANSLATE(F1803, ""auto"", ""en"")
"),"In my opinion, this is the best solution for the home in comparison with more expensive models from Philips. You can regulate the temperature and steam power, as well as remove scale using a special collector in which it accumulates. The sole coating is m"&amp;"etal-ceramic, glides well and does not burn. And the assembly is of high quality, France.&amp;nbsp;")</f>
        <v>In my opinion, this is the best solution for the home in comparison with more expensive models from Philips. You can regulate the temperature and steam power, as well as remove scale using a special collector in which it accumulates. The sole coating is metal-ceramic, glides well and does not burn. And the assembly is of high quality, France.&amp;nbsp;</v>
      </c>
    </row>
    <row r="1804" spans="1:9" x14ac:dyDescent="0.3">
      <c r="A1804" s="1" t="s">
        <v>17</v>
      </c>
      <c r="B1804" s="1" t="s">
        <v>18</v>
      </c>
      <c r="C1804" s="1" t="s">
        <v>19</v>
      </c>
      <c r="D1804" s="1" t="s">
        <v>280</v>
      </c>
      <c r="E1804" s="1" t="s">
        <v>3465</v>
      </c>
      <c r="F1804" s="1" t="s">
        <v>3759</v>
      </c>
      <c r="G1804" s="1" t="s">
        <v>36</v>
      </c>
      <c r="H1804" s="1" t="s">
        <v>29</v>
      </c>
      <c r="I1804" s="1" t="str">
        <f ca="1">IFERROR(__xludf.DUMMYFUNCTION("GOOGLETRANSLATE(F1804, ""auto"", ""en"")
"),"I've been using this model for over a year now. good, reliable device!!! easy to use! washes great! I have already tried several machines, I have something to compare with.")</f>
        <v>I've been using this model for over a year now. good, reliable device!!! easy to use! washes great! I have already tried several machines, I have something to compare with.</v>
      </c>
    </row>
    <row r="1805" spans="1:9" x14ac:dyDescent="0.3">
      <c r="A1805" s="1" t="s">
        <v>17</v>
      </c>
      <c r="B1805" s="1" t="s">
        <v>325</v>
      </c>
      <c r="C1805" s="1" t="s">
        <v>326</v>
      </c>
      <c r="D1805" s="1" t="s">
        <v>1152</v>
      </c>
      <c r="E1805" s="1" t="s">
        <v>3760</v>
      </c>
      <c r="F1805" s="1" t="s">
        <v>3761</v>
      </c>
      <c r="G1805" s="1" t="s">
        <v>36</v>
      </c>
      <c r="H1805" s="1" t="s">
        <v>29</v>
      </c>
      <c r="I1805" s="1" t="str">
        <f ca="1">IFERROR(__xludf.DUMMYFUNCTION("GOOGLETRANSLATE(F1805, ""auto"", ""en"")
"),"I have been using this product for 4 years. I chose it because it is very easy to use. Advantages: Removes all stains, easy to move. I did not find any disadvantages. I recommend this product to all grandmothers.")</f>
        <v>I have been using this product for 4 years. I chose it because it is very easy to use. Advantages: Removes all stains, easy to move. I did not find any disadvantages. I recommend this product to all grandmothers.</v>
      </c>
    </row>
    <row r="1806" spans="1:9" x14ac:dyDescent="0.3">
      <c r="A1806" s="1" t="s">
        <v>719</v>
      </c>
      <c r="B1806" s="1" t="s">
        <v>720</v>
      </c>
      <c r="C1806" s="1" t="s">
        <v>694</v>
      </c>
      <c r="D1806" s="1" t="s">
        <v>327</v>
      </c>
      <c r="E1806" s="1" t="s">
        <v>3762</v>
      </c>
      <c r="F1806" s="1" t="s">
        <v>3763</v>
      </c>
      <c r="G1806" s="1" t="s">
        <v>36</v>
      </c>
      <c r="H1806" s="1" t="s">
        <v>29</v>
      </c>
      <c r="I1806" s="1" t="str">
        <f ca="1">IFERROR(__xludf.DUMMYFUNCTION("GOOGLETRANSLATE(F1806, ""auto"", ""en"")
"),"For the money this is an excellent device. I needed a 2-SIM card, with LTE and a large screen. And here it’s all there. With rare use, the charge lasts for 1.5 days. Of course, it's more of a tablet than a phone. I immediately recommend taking a wireless "&amp;"headset for conversations. Either two SIM cards, or 1 SIM card and a memory card. 3-4G only on one SIM card. You can't find covers or glass in the city. Need to order.")</f>
        <v>For the money this is an excellent device. I needed a 2-SIM card, with LTE and a large screen. And here it’s all there. With rare use, the charge lasts for 1.5 days. Of course, it's more of a tablet than a phone. I immediately recommend taking a wireless headset for conversations. Either two SIM cards, or 1 SIM card and a memory card. 3-4G only on one SIM card. You can't find covers or glass in the city. Need to order.</v>
      </c>
    </row>
    <row r="1807" spans="1:9" x14ac:dyDescent="0.3">
      <c r="A1807" s="1" t="s">
        <v>206</v>
      </c>
      <c r="B1807" s="1" t="s">
        <v>261</v>
      </c>
      <c r="C1807" s="1" t="s">
        <v>262</v>
      </c>
      <c r="D1807" s="1" t="s">
        <v>152</v>
      </c>
      <c r="E1807" s="1" t="s">
        <v>3764</v>
      </c>
      <c r="F1807" s="1" t="s">
        <v>3765</v>
      </c>
      <c r="G1807" s="1" t="s">
        <v>28</v>
      </c>
      <c r="H1807" s="1" t="s">
        <v>29</v>
      </c>
      <c r="I1807" s="1" t="str">
        <f ca="1">IFERROR(__xludf.DUMMYFUNCTION("GOOGLETRANSLATE(F1807, ""auto"", ""en"")
"),"But it catches me, normally 40-90 to the east of the golden-domed one, and it also shows a lot of things (different channels), sometimes it ripples.")</f>
        <v>But it catches me, normally 40-90 to the east of the golden-domed one, and it also shows a lot of things (different channels), sometimes it ripples.</v>
      </c>
    </row>
    <row r="1808" spans="1:9" x14ac:dyDescent="0.3">
      <c r="A1808" s="1" t="s">
        <v>30</v>
      </c>
      <c r="B1808" s="1" t="s">
        <v>50</v>
      </c>
      <c r="C1808" s="1" t="s">
        <v>1003</v>
      </c>
      <c r="D1808" s="1" t="s">
        <v>240</v>
      </c>
      <c r="E1808" s="1" t="s">
        <v>2231</v>
      </c>
      <c r="F1808" s="1" t="s">
        <v>3766</v>
      </c>
      <c r="G1808" s="1" t="s">
        <v>36</v>
      </c>
      <c r="H1808" s="1" t="s">
        <v>29</v>
      </c>
      <c r="I1808" s="1" t="str">
        <f ca="1">IFERROR(__xludf.DUMMYFUNCTION("GOOGLETRANSLATE(F1808, ""auto"", ""en"")
"),"You know the laptop is very cool, especially for that kind of money it’s super!")</f>
        <v>You know the laptop is very cool, especially for that kind of money it’s super!</v>
      </c>
    </row>
    <row r="1809" spans="1:9" x14ac:dyDescent="0.3">
      <c r="A1809" s="1" t="s">
        <v>95</v>
      </c>
      <c r="B1809" s="1" t="s">
        <v>402</v>
      </c>
      <c r="C1809" s="1" t="s">
        <v>403</v>
      </c>
      <c r="D1809" s="1" t="s">
        <v>1917</v>
      </c>
      <c r="E1809" s="1" t="s">
        <v>128</v>
      </c>
      <c r="F1809" s="1" t="s">
        <v>3767</v>
      </c>
      <c r="G1809" s="1" t="s">
        <v>36</v>
      </c>
      <c r="H1809" s="1" t="s">
        <v>29</v>
      </c>
      <c r="I1809" s="1" t="str">
        <f ca="1">IFERROR(__xludf.DUMMYFUNCTION("GOOGLETRANSLATE(F1809, ""auto"", ""en"")
"),"I know, I'm not a fan of laptops at all. For me, both previous portables looked like a scam (I’m talking about the regular DS and PSP), one of the 3D models didn’t even hold up, the graphics are of course not the main thing, but the restrictions on it wer"&amp;"e too great, and on the other there were no sensible games (except for remakes from large consoles).    And here I look at 3D, there are a lot of interesting features, the power is enough to have PS2 graphics (and okay! For more powerful performance, I’m "&amp;"waiting for new stationary systems). Although the games are not on sale yet, Street Fighter 4 is already God knows what re-release. Here are Zelda and Kid Icarus, yes (if only they brought it).    And the last criterion is price. I thought that 12,500 see"&amp;"med like a lot, but then I remembered that a new PSP should, according to estimates, cost 2 times more (off price 3DS - $250, NGP - already estimated at $500). And since I decided to chase graphics only on stationary computers, the choice fell on the 3DS."&amp;"   I don’t regret it one bit, my eyes don’t hurt, although many people are afraid of it. But still there is a minus, the slight popularity of the console (but this is only in Russia, hmm), because of this, half of these most interesting features disappear"&amp;".")</f>
        <v>I know, I'm not a fan of laptops at all. For me, both previous portables looked like a scam (I’m talking about the regular DS and PSP), one of the 3D models didn’t even hold up, the graphics are of course not the main thing, but the restrictions on it were too great, and on the other there were no sensible games (except for remakes from large consoles).    And here I look at 3D, there are a lot of interesting features, the power is enough to have PS2 graphics (and okay! For more powerful performance, I’m waiting for new stationary systems). Although the games are not on sale yet, Street Fighter 4 is already God knows what re-release. Here are Zelda and Kid Icarus, yes (if only they brought it).    And the last criterion is price. I thought that 12,500 seemed like a lot, but then I remembered that a new PSP should, according to estimates, cost 2 times more (off price 3DS - $250, NGP - already estimated at $500). And since I decided to chase graphics only on stationary computers, the choice fell on the 3DS.   I don’t regret it one bit, my eyes don’t hurt, although many people are afraid of it. But still there is a minus, the slight popularity of the console (but this is only in Russia, hmm), because of this, half of these most interesting features disappear.</v>
      </c>
    </row>
    <row r="1810" spans="1:9" x14ac:dyDescent="0.3">
      <c r="A1810" s="1" t="s">
        <v>211</v>
      </c>
      <c r="B1810" s="1" t="s">
        <v>212</v>
      </c>
      <c r="C1810" s="1" t="s">
        <v>381</v>
      </c>
      <c r="D1810" s="1" t="s">
        <v>240</v>
      </c>
      <c r="E1810" s="1" t="s">
        <v>1838</v>
      </c>
      <c r="F1810" s="1" t="s">
        <v>3768</v>
      </c>
      <c r="G1810" s="1" t="s">
        <v>15</v>
      </c>
      <c r="H1810" s="1" t="s">
        <v>16</v>
      </c>
      <c r="I1810" s="1" t="str">
        <f ca="1">IFERROR(__xludf.DUMMYFUNCTION("GOOGLETRANSLATE(F1810, ""auto"", ""en"")
"),"Today my husband gave it as a birthday present. Complete nonsense. The previous model served faithfully for 4 years and now began to shut down due to overheating, so I asked for the same one in return. So the modern version is 100 times worse than the hai"&amp;"r dryer from 4 years ago! The nozzle pops out, everything is so plastic and cheap, I even thought it was a fake, but there is Rostest certification. There is no cold air, and due to ionization the hair becomes highly electrified - just like a dandelion. N"&amp;"ot a hairdryer - but one disorder.")</f>
        <v>Today my husband gave it as a birthday present. Complete nonsense. The previous model served faithfully for 4 years and now began to shut down due to overheating, so I asked for the same one in return. So the modern version is 100 times worse than the hair dryer from 4 years ago! The nozzle pops out, everything is so plastic and cheap, I even thought it was a fake, but there is Rostest certification. There is no cold air, and due to ionization the hair becomes highly electrified - just like a dandelion. Not a hairdryer - but one disorder.</v>
      </c>
    </row>
    <row r="1811" spans="1:9" x14ac:dyDescent="0.3">
      <c r="A1811" s="1" t="s">
        <v>120</v>
      </c>
      <c r="B1811" s="1" t="s">
        <v>126</v>
      </c>
      <c r="C1811" s="1" t="s">
        <v>80</v>
      </c>
      <c r="D1811" s="1" t="s">
        <v>172</v>
      </c>
      <c r="E1811" s="1" t="s">
        <v>3769</v>
      </c>
      <c r="F1811" s="1" t="s">
        <v>3770</v>
      </c>
      <c r="G1811" s="1" t="s">
        <v>36</v>
      </c>
      <c r="H1811" s="1" t="s">
        <v>29</v>
      </c>
      <c r="I1811" s="1" t="str">
        <f ca="1">IFERROR(__xludf.DUMMYFUNCTION("GOOGLETRANSLATE(F1811, ""auto"", ""en"")
"),"For several months after the purchase, the brightness changed when I changed the picture. Those. If you switch to another channel, the brightness automatically goes to maximum. Disconnecting from the network (unplugged the cord from the outlet) for severa"&amp;"l hours helped. Otherwise, the model is without any comments.")</f>
        <v>For several months after the purchase, the brightness changed when I changed the picture. Those. If you switch to another channel, the brightness automatically goes to maximum. Disconnecting from the network (unplugged the cord from the outlet) for several hours helped. Otherwise, the model is without any comments.</v>
      </c>
    </row>
    <row r="1812" spans="1:9" x14ac:dyDescent="0.3">
      <c r="A1812" s="1" t="s">
        <v>55</v>
      </c>
      <c r="B1812" s="1" t="s">
        <v>752</v>
      </c>
      <c r="C1812" s="1" t="s">
        <v>1341</v>
      </c>
      <c r="D1812" s="1" t="s">
        <v>127</v>
      </c>
      <c r="E1812" s="1" t="s">
        <v>3771</v>
      </c>
      <c r="F1812" s="1" t="s">
        <v>3772</v>
      </c>
      <c r="G1812" s="1" t="s">
        <v>36</v>
      </c>
      <c r="H1812" s="1" t="s">
        <v>29</v>
      </c>
      <c r="I1812" s="1" t="str">
        <f ca="1">IFERROR(__xludf.DUMMYFUNCTION("GOOGLETRANSLATE(F1812, ""auto"", ""en"")
"),"Overall, it’s not a bad option for the money. The radiator was purchased to heat the room until the heating season began, because... The baby was just born with the first cold weather. In principle, we were satisfied.")</f>
        <v>Overall, it’s not a bad option for the money. The radiator was purchased to heat the room until the heating season began, because... The baby was just born with the first cold weather. In principle, we were satisfied.</v>
      </c>
    </row>
    <row r="1813" spans="1:9" x14ac:dyDescent="0.3">
      <c r="A1813" s="1" t="s">
        <v>61</v>
      </c>
      <c r="B1813" s="1" t="s">
        <v>1126</v>
      </c>
      <c r="C1813" s="1" t="s">
        <v>57</v>
      </c>
      <c r="D1813" s="1" t="s">
        <v>589</v>
      </c>
      <c r="E1813" s="1" t="s">
        <v>3773</v>
      </c>
      <c r="F1813" s="1" t="s">
        <v>3774</v>
      </c>
      <c r="G1813" s="1" t="s">
        <v>36</v>
      </c>
      <c r="H1813" s="1" t="s">
        <v>29</v>
      </c>
      <c r="I1813" s="1" t="str">
        <f ca="1">IFERROR(__xludf.DUMMYFUNCTION("GOOGLETRANSLATE(F1813, ""auto"", ""en"")
"),"I bought these scales two years ago, and I’m very pleased with them, they don’t lie, they work fine, the price and quality are real. Personally, I'm happy with them.")</f>
        <v>I bought these scales two years ago, and I’m very pleased with them, they don’t lie, they work fine, the price and quality are real. Personally, I'm happy with them.</v>
      </c>
    </row>
    <row r="1814" spans="1:9" x14ac:dyDescent="0.3">
      <c r="A1814" s="1" t="s">
        <v>105</v>
      </c>
      <c r="B1814" s="1" t="s">
        <v>106</v>
      </c>
      <c r="C1814" s="1" t="s">
        <v>1921</v>
      </c>
      <c r="D1814" s="1" t="s">
        <v>46</v>
      </c>
      <c r="E1814" s="1" t="s">
        <v>3775</v>
      </c>
      <c r="F1814" s="1" t="s">
        <v>3776</v>
      </c>
      <c r="G1814" s="1" t="s">
        <v>36</v>
      </c>
      <c r="H1814" s="1" t="s">
        <v>29</v>
      </c>
      <c r="I1814" s="1" t="str">
        <f ca="1">IFERROR(__xludf.DUMMYFUNCTION("GOOGLETRANSLATE(F1814, ""auto"", ""en"")
"),"The player is good, convenient, beautiful (which is important), 8GB of memory, holds a charge well! It is necessary to remember its use (music, video), everything has its use! I recommend!")</f>
        <v>The player is good, convenient, beautiful (which is important), 8GB of memory, holds a charge well! It is necessary to remember its use (music, video), everything has its use! I recommend!</v>
      </c>
    </row>
    <row r="1815" spans="1:9" x14ac:dyDescent="0.3">
      <c r="A1815" s="1" t="s">
        <v>67</v>
      </c>
      <c r="B1815" s="1" t="s">
        <v>68</v>
      </c>
      <c r="C1815" s="1" t="s">
        <v>85</v>
      </c>
      <c r="D1815" s="1" t="s">
        <v>940</v>
      </c>
      <c r="E1815" s="1" t="s">
        <v>3504</v>
      </c>
      <c r="F1815" s="1" t="s">
        <v>3777</v>
      </c>
      <c r="G1815" s="1" t="s">
        <v>36</v>
      </c>
      <c r="H1815" s="1" t="s">
        <v>29</v>
      </c>
      <c r="I1815" s="1" t="str">
        <f ca="1">IFERROR(__xludf.DUMMYFUNCTION("GOOGLETRANSLATE(F1815, ""auto"", ""en"")
"),"Quality, convenience, powerful steam.")</f>
        <v>Quality, convenience, powerful steam.</v>
      </c>
    </row>
    <row r="1816" spans="1:9" x14ac:dyDescent="0.3">
      <c r="A1816" s="1" t="s">
        <v>211</v>
      </c>
      <c r="B1816" s="1" t="s">
        <v>212</v>
      </c>
      <c r="C1816" s="1" t="s">
        <v>63</v>
      </c>
      <c r="D1816" s="1" t="s">
        <v>139</v>
      </c>
      <c r="E1816" s="1" t="s">
        <v>3778</v>
      </c>
      <c r="F1816" s="1" t="s">
        <v>3779</v>
      </c>
      <c r="G1816" s="1" t="s">
        <v>49</v>
      </c>
      <c r="H1816" s="1" t="s">
        <v>16</v>
      </c>
      <c r="I1816" s="1" t="str">
        <f ca="1">IFERROR(__xludf.DUMMYFUNCTION("GOOGLETRANSLATE(F1816, ""auto"", ""en"")
"),"The design is not well thought out - the long side holes pull the fallen hair inside and wrap around the fan shaft, as a result of which it jams and the hair dryer burns out from overheating.")</f>
        <v>The design is not well thought out - the long side holes pull the fallen hair inside and wrap around the fan shaft, as a result of which it jams and the hair dryer burns out from overheating.</v>
      </c>
    </row>
    <row r="1817" spans="1:9" x14ac:dyDescent="0.3">
      <c r="A1817" s="1" t="s">
        <v>78</v>
      </c>
      <c r="B1817" s="1" t="s">
        <v>79</v>
      </c>
      <c r="C1817" s="1" t="s">
        <v>1677</v>
      </c>
      <c r="D1817" s="1" t="s">
        <v>75</v>
      </c>
      <c r="E1817" s="1" t="s">
        <v>661</v>
      </c>
      <c r="F1817" s="1" t="s">
        <v>3780</v>
      </c>
      <c r="G1817" s="1" t="s">
        <v>36</v>
      </c>
      <c r="H1817" s="1" t="s">
        <v>29</v>
      </c>
      <c r="I1817" s="1" t="str">
        <f ca="1">IFERROR(__xludf.DUMMYFUNCTION("GOOGLETRANSLATE(F1817, ""auto"", ""en"")
"),"I liked the microwave! Beautiful color - black in combination with the color ""coffee with milk"" (with mother of pearl). There are no fingerprints left anywhere! It looks stylish and fits well into a wenge kitchen. Quick cooking is set with one key and f"&amp;"or 1 minute. Everything inside is made of stainless steel, which is very pleasing - it can be easily cleaned with special products or water. A bowl of soup heats up in 2-2.5 minutes. And the price is good!")</f>
        <v>I liked the microwave! Beautiful color - black in combination with the color "coffee with milk" (with mother of pearl). There are no fingerprints left anywhere! It looks stylish and fits well into a wenge kitchen. Quick cooking is set with one key and for 1 minute. Everything inside is made of stainless steel, which is very pleasing - it can be easily cleaned with special products or water. A bowl of soup heats up in 2-2.5 minutes. And the price is good!</v>
      </c>
    </row>
    <row r="1818" spans="1:9" x14ac:dyDescent="0.3">
      <c r="A1818" s="1" t="s">
        <v>111</v>
      </c>
      <c r="B1818" s="1" t="s">
        <v>636</v>
      </c>
      <c r="C1818" s="1" t="s">
        <v>57</v>
      </c>
      <c r="D1818" s="1" t="s">
        <v>3781</v>
      </c>
      <c r="E1818" s="1" t="s">
        <v>3782</v>
      </c>
      <c r="F1818" s="1" t="s">
        <v>3783</v>
      </c>
      <c r="G1818" s="1" t="s">
        <v>36</v>
      </c>
      <c r="H1818" s="1" t="s">
        <v>29</v>
      </c>
      <c r="I1818" s="1" t="str">
        <f ca="1">IFERROR(__xludf.DUMMYFUNCTION("GOOGLETRANSLATE(F1818, ""auto"", ""en"")
"),"I don't understand the situation at all. The other day I bought it from M-Video. There is a question: when the base unit of the weather station is operating, is there a periodically repeating splash on the screen and a gradual decrease in the indicator on"&amp;" two round scales (the temperature and humidity on these scales remain constant)?")</f>
        <v>I don't understand the situation at all. The other day I bought it from M-Video. There is a question: when the base unit of the weather station is operating, is there a periodically repeating splash on the screen and a gradual decrease in the indicator on two round scales (the temperature and humidity on these scales remain constant)?</v>
      </c>
    </row>
    <row r="1819" spans="1:9" x14ac:dyDescent="0.3">
      <c r="A1819" s="1" t="s">
        <v>9</v>
      </c>
      <c r="B1819" s="1" t="s">
        <v>23</v>
      </c>
      <c r="C1819" s="1" t="s">
        <v>63</v>
      </c>
      <c r="D1819" s="1" t="s">
        <v>280</v>
      </c>
      <c r="E1819" s="1" t="s">
        <v>1481</v>
      </c>
      <c r="F1819" s="1" t="s">
        <v>3784</v>
      </c>
      <c r="G1819" s="1" t="s">
        <v>28</v>
      </c>
      <c r="H1819" s="1" t="s">
        <v>29</v>
      </c>
      <c r="I1819" s="1" t="str">
        <f ca="1">IFERROR(__xludf.DUMMYFUNCTION("GOOGLETRANSLATE(F1819, ""auto"", ""en"")
"),"Good afternoon, I bought this model in your store, a month later I encountered the following problem - when the machine is turned on in the 50 or 65 degree mode, it stops the program after the pre-wash and starts beeping about the end of the program. What"&amp;" could it be? Should I contact the service?")</f>
        <v>Good afternoon, I bought this model in your store, a month later I encountered the following problem - when the machine is turned on in the 50 or 65 degree mode, it stops the program after the pre-wash and starts beeping about the end of the program. What could it be? Should I contact the service?</v>
      </c>
    </row>
    <row r="1820" spans="1:9" x14ac:dyDescent="0.3">
      <c r="A1820" s="1" t="s">
        <v>120</v>
      </c>
      <c r="B1820" s="1" t="s">
        <v>121</v>
      </c>
      <c r="C1820" s="1" t="s">
        <v>1771</v>
      </c>
      <c r="D1820" s="1" t="s">
        <v>690</v>
      </c>
      <c r="E1820" s="1" t="s">
        <v>1056</v>
      </c>
      <c r="F1820" s="1" t="s">
        <v>3785</v>
      </c>
      <c r="G1820" s="1" t="s">
        <v>36</v>
      </c>
      <c r="H1820" s="1" t="s">
        <v>29</v>
      </c>
      <c r="I1820" s="1" t="str">
        <f ca="1">IFERROR(__xludf.DUMMYFUNCTION("GOOGLETRANSLATE(F1820, ""auto"", ""en"")
"),"I purchased this device only with the 37th diagonal. I’m very pleased with the purchase, the picture is beyond praise, in my opinion no worse than plasma, I’m especially pleased with the signature Pioneer black color. Exceptional TV even in analogue mode.")</f>
        <v>I purchased this device only with the 37th diagonal. I’m very pleased with the purchase, the picture is beyond praise, in my opinion no worse than plasma, I’m especially pleased with the signature Pioneer black color. Exceptional TV even in analogue mode.</v>
      </c>
    </row>
    <row r="1821" spans="1:9" x14ac:dyDescent="0.3">
      <c r="A1821" s="1" t="s">
        <v>43</v>
      </c>
      <c r="B1821" s="1" t="s">
        <v>334</v>
      </c>
      <c r="C1821" s="1" t="s">
        <v>101</v>
      </c>
      <c r="D1821" s="1" t="s">
        <v>3786</v>
      </c>
      <c r="E1821" s="1" t="s">
        <v>3787</v>
      </c>
      <c r="F1821" s="1" t="s">
        <v>3788</v>
      </c>
      <c r="G1821" s="1" t="s">
        <v>36</v>
      </c>
      <c r="H1821" s="1" t="s">
        <v>29</v>
      </c>
      <c r="I1821" s="1" t="str">
        <f ca="1">IFERROR(__xludf.DUMMYFUNCTION("GOOGLETRANSLATE(F1821, ""auto"", ""en"")
"),"Nina, we do not recommend disassembling the fan. Contact the Service Center.")</f>
        <v>Nina, we do not recommend disassembling the fan. Contact the Service Center.</v>
      </c>
    </row>
    <row r="1822" spans="1:9" x14ac:dyDescent="0.3">
      <c r="A1822" s="1" t="s">
        <v>211</v>
      </c>
      <c r="B1822" s="1" t="s">
        <v>265</v>
      </c>
      <c r="C1822" s="1" t="s">
        <v>1591</v>
      </c>
      <c r="D1822" s="1" t="s">
        <v>3789</v>
      </c>
      <c r="E1822" s="1" t="s">
        <v>3790</v>
      </c>
      <c r="F1822" s="1" t="s">
        <v>3791</v>
      </c>
      <c r="G1822" s="1" t="s">
        <v>36</v>
      </c>
      <c r="H1822" s="1" t="s">
        <v>29</v>
      </c>
      <c r="I1822" s="1" t="str">
        <f ca="1">IFERROR(__xludf.DUMMYFUNCTION("GOOGLETRANSLATE(F1822, ""auto"", ""en"")
"),"I wear a Van Dyke beard, there are a lot of attachments, so I managed to quickly get it in order, otherwise it was completely overgrown. It is important that there is absolutely no pain, otherwise the previous trimmer jerked so hard that it’s scary to rem"&amp;"ember. In short, you can take it, and the price is right. The battery, as written, will last 30 minutes, 25 so one hundred percent.")</f>
        <v>I wear a Van Dyke beard, there are a lot of attachments, so I managed to quickly get it in order, otherwise it was completely overgrown. It is important that there is absolutely no pain, otherwise the previous trimmer jerked so hard that it’s scary to remember. In short, you can take it, and the price is right. The battery, as written, will last 30 minutes, 25 so one hundred percent.</v>
      </c>
    </row>
    <row r="1823" spans="1:9" x14ac:dyDescent="0.3">
      <c r="A1823" s="1" t="s">
        <v>89</v>
      </c>
      <c r="B1823" s="1" t="s">
        <v>90</v>
      </c>
      <c r="C1823" s="1" t="s">
        <v>63</v>
      </c>
      <c r="D1823" s="1" t="s">
        <v>658</v>
      </c>
      <c r="E1823" s="1" t="s">
        <v>3792</v>
      </c>
      <c r="F1823" s="1" t="s">
        <v>3793</v>
      </c>
      <c r="G1823" s="1" t="s">
        <v>36</v>
      </c>
      <c r="H1823" s="1" t="s">
        <v>29</v>
      </c>
      <c r="I1823" s="1" t="str">
        <f ca="1">IFERROR(__xludf.DUMMYFUNCTION("GOOGLETRANSLATE(F1823, ""auto"", ""en"")
"),"I have been using a coffee grinder from this company for about 6 years.  I didn’t use it often and everything suited me. But in the last six months I started using it every day - grinding cereal for 10-15 seconds. And here is the result: my favorite coffe"&amp;"e grinder could not withstand such a daily load - it suddenly burned out.  The workshop said that the repair would cost an amount almost equal to buying a new coffee grinder, because... the inside is not disassembled, but changes completely. After this co"&amp;"ffee grinder, it is very difficult to find one similar in power and capacity, I will probably buy the same one.")</f>
        <v>I have been using a coffee grinder from this company for about 6 years.  I didn’t use it often and everything suited me. But in the last six months I started using it every day - grinding cereal for 10-15 seconds. And here is the result: my favorite coffee grinder could not withstand such a daily load - it suddenly burned out.  The workshop said that the repair would cost an amount almost equal to buying a new coffee grinder, because... the inside is not disassembled, but changes completely. After this coffee grinder, it is very difficult to find one similar in power and capacity, I will probably buy the same one.</v>
      </c>
    </row>
    <row r="1824" spans="1:9" x14ac:dyDescent="0.3">
      <c r="A1824" s="1" t="s">
        <v>169</v>
      </c>
      <c r="B1824" s="1" t="s">
        <v>170</v>
      </c>
      <c r="C1824" s="1" t="s">
        <v>122</v>
      </c>
      <c r="D1824" s="1" t="s">
        <v>172</v>
      </c>
      <c r="E1824" s="1" t="s">
        <v>3794</v>
      </c>
      <c r="F1824" s="1" t="s">
        <v>3795</v>
      </c>
      <c r="G1824" s="1" t="s">
        <v>36</v>
      </c>
      <c r="H1824" s="1" t="s">
        <v>29</v>
      </c>
      <c r="I1824" s="1" t="str">
        <f ca="1">IFERROR(__xludf.DUMMYFUNCTION("GOOGLETRANSLATE(F1824, ""auto"", ""en"")
"),"Great headphones! It's a pity they broke 4 months after purchase - it's my own fault. Now I'm struggling with Fischer.")</f>
        <v>Great headphones! It's a pity they broke 4 months after purchase - it's my own fault. Now I'm struggling with Fischer.</v>
      </c>
    </row>
    <row r="1825" spans="1:9" x14ac:dyDescent="0.3">
      <c r="A1825" s="1" t="s">
        <v>369</v>
      </c>
      <c r="B1825" s="1" t="s">
        <v>587</v>
      </c>
      <c r="C1825" s="1" t="s">
        <v>159</v>
      </c>
      <c r="D1825" s="1" t="s">
        <v>139</v>
      </c>
      <c r="E1825" s="1" t="s">
        <v>3796</v>
      </c>
      <c r="F1825" s="1" t="s">
        <v>3797</v>
      </c>
      <c r="G1825" s="1" t="s">
        <v>15</v>
      </c>
      <c r="H1825" s="1" t="s">
        <v>16</v>
      </c>
      <c r="I1825" s="1" t="str">
        <f ca="1">IFERROR(__xludf.DUMMYFUNCTION("GOOGLETRANSLATE(F1825, ""auto"", ""en"")
"),"After 6 months of operation, I can state the following: - if possible, then buy a wider stove, at least 60 cm, since the pots do not fit and the fire burns nearby dishes and the gas stove itself. One edge of ours has become black from the fire, nothing ca"&amp;"n clean it, it’s very unpleasant, having bought a stove for 18k;  - where the glass is attached, the coating has come off and looks like rust;  - the oven is good, bakes pies perfectly, no complaints;  - electric ignition works as luck would have it.")</f>
        <v>After 6 months of operation, I can state the following: - if possible, then buy a wider stove, at least 60 cm, since the pots do not fit and the fire burns nearby dishes and the gas stove itself. One edge of ours has become black from the fire, nothing can clean it, it’s very unpleasant, having bought a stove for 18k;  - where the glass is attached, the coating has come off and looks like rust;  - the oven is good, bakes pies perfectly, no complaints;  - electric ignition works as luck would have it.</v>
      </c>
    </row>
    <row r="1826" spans="1:9" x14ac:dyDescent="0.3">
      <c r="A1826" s="1" t="s">
        <v>61</v>
      </c>
      <c r="B1826" s="1" t="s">
        <v>726</v>
      </c>
      <c r="C1826" s="1" t="s">
        <v>74</v>
      </c>
      <c r="D1826" s="1" t="s">
        <v>1004</v>
      </c>
      <c r="E1826" s="1" t="s">
        <v>859</v>
      </c>
      <c r="F1826" s="1" t="s">
        <v>3798</v>
      </c>
      <c r="G1826" s="1" t="s">
        <v>36</v>
      </c>
      <c r="H1826" s="1" t="s">
        <v>29</v>
      </c>
      <c r="I1826" s="1" t="str">
        <f ca="1">IFERROR(__xludf.DUMMYFUNCTION("GOOGLETRANSLATE(F1826, ""auto"", ""en"")
"),"We purchased the bread maker about four months ago, and the whole family is very pleased. We bake bread every day, it bakes perfectly, it always turns out high, the color of the crust can be adjusted to suit every taste, the dough kneads perfectly. We als"&amp;"o use the other functions and have no complaints about the operation of the bread maker. They completely abandoned store-bought baked goods.")</f>
        <v>We purchased the bread maker about four months ago, and the whole family is very pleased. We bake bread every day, it bakes perfectly, it always turns out high, the color of the crust can be adjusted to suit every taste, the dough kneads perfectly. We also use the other functions and have no complaints about the operation of the bread maker. They completely abandoned store-bought baked goods.</v>
      </c>
    </row>
    <row r="1827" spans="1:9" x14ac:dyDescent="0.3">
      <c r="A1827" s="1" t="s">
        <v>61</v>
      </c>
      <c r="B1827" s="1" t="s">
        <v>977</v>
      </c>
      <c r="C1827" s="1" t="s">
        <v>69</v>
      </c>
      <c r="D1827" s="1" t="s">
        <v>3799</v>
      </c>
      <c r="E1827" s="1" t="s">
        <v>3800</v>
      </c>
      <c r="F1827" s="1" t="s">
        <v>3801</v>
      </c>
      <c r="G1827" s="1" t="s">
        <v>36</v>
      </c>
      <c r="H1827" s="1" t="s">
        <v>29</v>
      </c>
      <c r="I1827" s="1" t="str">
        <f ca="1">IFERROR(__xludf.DUMMYFUNCTION("GOOGLETRANSLATE(F1827, ""auto"", ""en"")
"),"I took this blender for specific purposes. My expectations were fully met!!!! It’s very convenient for mothers, so the kids can grind everything into puree instead of having to struggle with a strainer!")</f>
        <v>I took this blender for specific purposes. My expectations were fully met!!!! It’s very convenient for mothers, so the kids can grind everything into puree instead of having to struggle with a strainer!</v>
      </c>
    </row>
    <row r="1828" spans="1:9" x14ac:dyDescent="0.3">
      <c r="A1828" s="1" t="s">
        <v>61</v>
      </c>
      <c r="B1828" s="1" t="s">
        <v>318</v>
      </c>
      <c r="C1828" s="1" t="s">
        <v>57</v>
      </c>
      <c r="D1828" s="1" t="s">
        <v>171</v>
      </c>
      <c r="E1828" s="1" t="s">
        <v>1490</v>
      </c>
      <c r="F1828" s="1" t="s">
        <v>3802</v>
      </c>
      <c r="G1828" s="1" t="s">
        <v>36</v>
      </c>
      <c r="H1828" s="1" t="s">
        <v>29</v>
      </c>
      <c r="I1828" s="1" t="str">
        <f ca="1">IFERROR(__xludf.DUMMYFUNCTION("GOOGLETRANSLATE(F1828, ""auto"", ""en"")
"),"Convenient and low price")</f>
        <v>Convenient and low price</v>
      </c>
    </row>
    <row r="1829" spans="1:9" x14ac:dyDescent="0.3">
      <c r="A1829" s="1" t="s">
        <v>105</v>
      </c>
      <c r="B1829" s="1" t="s">
        <v>106</v>
      </c>
      <c r="C1829" s="1" t="s">
        <v>107</v>
      </c>
      <c r="D1829" s="1" t="s">
        <v>1259</v>
      </c>
      <c r="E1829" s="1" t="s">
        <v>3448</v>
      </c>
      <c r="F1829" s="1" t="s">
        <v>3803</v>
      </c>
      <c r="G1829" s="1" t="s">
        <v>28</v>
      </c>
      <c r="H1829" s="1" t="s">
        <v>29</v>
      </c>
      <c r="I1829" s="1" t="str">
        <f ca="1">IFERROR(__xludf.DUMMYFUNCTION("GOOGLETRANSLATE(F1829, ""auto"", ""en"")
"),"I’ve been using the MP3 player for a year, I’m not complaining, it’s great, if you consider that for the money, and the memory is 8GB, sometimes the current freezes, and because of the sensor, sometimes when you walk, it switches songs, that’s annoying! B"&amp;"ut watching movies is generally great!")</f>
        <v>I’ve been using the MP3 player for a year, I’m not complaining, it’s great, if you consider that for the money, and the memory is 8GB, sometimes the current freezes, and because of the sensor, sometimes when you walk, it switches songs, that’s annoying! But watching movies is generally great!</v>
      </c>
    </row>
    <row r="1830" spans="1:9" x14ac:dyDescent="0.3">
      <c r="A1830" s="1" t="s">
        <v>37</v>
      </c>
      <c r="B1830" s="1" t="s">
        <v>536</v>
      </c>
      <c r="C1830" s="1" t="s">
        <v>32</v>
      </c>
      <c r="D1830" s="1" t="s">
        <v>3804</v>
      </c>
      <c r="E1830" s="1" t="s">
        <v>3805</v>
      </c>
      <c r="F1830" s="1" t="s">
        <v>3806</v>
      </c>
      <c r="G1830" s="1" t="s">
        <v>36</v>
      </c>
      <c r="H1830" s="1" t="s">
        <v>29</v>
      </c>
      <c r="I1830" s="1" t="str">
        <f ca="1">IFERROR(__xludf.DUMMYFUNCTION("GOOGLETRANSLATE(F1830, ""auto"", ""en"")
"),"Acer S200 is an excellent choice for those who like to dig deeper into WM with good hardware for a small amount (for such powerful hardware and capabilities)!!!   It is enough to customize it once and you will never exchange it for a regular mobile phone "&amp;"or smartphone with Symbian!     For everyone who wrote negative comments below: People, don’t be weird, honestly! And don’t write something like this - “Everything else is just terrible, especially WINDOWS MOBILE OS.” Did you understand what you wrote? Al"&amp;"l normal people always read reviews and ask on forums about the device YOU choose! Why write that WM is terrible, you knew perfectly well what you were getting?! Then you are on your way to buying a mobile phone for 1000 rubles (no more, judging by your r"&amp;"eviews). If you don’t know what WINDOWS MOBILE is, read about it and then think about buying a beast with this OS... You don’t even know about all the capabilities of Windows Mobile OS!    I can write for a long time and a lot about the advantages of WM a"&amp;"nd a bunch of useful software for it, but alas, no one can correct the crooked hands of users!     In general, I am shocked by your comments... I purchased this animal from M.Video. I'm happy with it 9 out of 10. A decent choice for the money!    Best reg"&amp;"ards, SHUM")</f>
        <v>Acer S200 is an excellent choice for those who like to dig deeper into WM with good hardware for a small amount (for such powerful hardware and capabilities)!!!   It is enough to customize it once and you will never exchange it for a regular mobile phone or smartphone with Symbian!     For everyone who wrote negative comments below: People, don’t be weird, honestly! And don’t write something like this - “Everything else is just terrible, especially WINDOWS MOBILE OS.” Did you understand what you wrote? All normal people always read reviews and ask on forums about the device YOU choose! Why write that WM is terrible, you knew perfectly well what you were getting?! Then you are on your way to buying a mobile phone for 1000 rubles (no more, judging by your reviews). If you don’t know what WINDOWS MOBILE is, read about it and then think about buying a beast with this OS... You don’t even know about all the capabilities of Windows Mobile OS!    I can write for a long time and a lot about the advantages of WM and a bunch of useful software for it, but alas, no one can correct the crooked hands of users!     In general, I am shocked by your comments... I purchased this animal from M.Video. I'm happy with it 9 out of 10. A decent choice for the money!    Best regards, SHUM</v>
      </c>
    </row>
    <row r="1831" spans="1:9" x14ac:dyDescent="0.3">
      <c r="A1831" s="1" t="s">
        <v>78</v>
      </c>
      <c r="B1831" s="1" t="s">
        <v>493</v>
      </c>
      <c r="C1831" s="1" t="s">
        <v>122</v>
      </c>
      <c r="D1831" s="1" t="s">
        <v>326</v>
      </c>
      <c r="E1831" s="1" t="s">
        <v>1553</v>
      </c>
      <c r="F1831" s="1" t="s">
        <v>3807</v>
      </c>
      <c r="G1831" s="1" t="s">
        <v>36</v>
      </c>
      <c r="H1831" s="1" t="s">
        <v>29</v>
      </c>
      <c r="I1831" s="1" t="str">
        <f ca="1">IFERROR(__xludf.DUMMYFUNCTION("GOOGLETRANSLATE(F1831, ""auto"", ""en"")
"),"I've had this stove for 4 years now. I really like it. The bottom of the cake bakes perfectly in a metal sheet. If you follow the proportions, there will be no problems (such as a raw center). I just had a problem the other day: when you turn on the conve"&amp;"ction-microwave mode, it starts smoking (((Has anyone had this problem? Tell me, I need to save the oven, I really like it, and I don’t want another one!!!")</f>
        <v>I've had this stove for 4 years now. I really like it. The bottom of the cake bakes perfectly in a metal sheet. If you follow the proportions, there will be no problems (such as a raw center). I just had a problem the other day: when you turn on the convection-microwave mode, it starts smoking (((Has anyone had this problem? Tell me, I need to save the oven, I really like it, and I don’t want another one!!!</v>
      </c>
    </row>
    <row r="1832" spans="1:9" x14ac:dyDescent="0.3">
      <c r="A1832" s="1" t="s">
        <v>61</v>
      </c>
      <c r="B1832" s="1" t="s">
        <v>318</v>
      </c>
      <c r="C1832" s="1" t="s">
        <v>745</v>
      </c>
      <c r="D1832" s="1" t="s">
        <v>3808</v>
      </c>
      <c r="E1832" s="1" t="s">
        <v>3809</v>
      </c>
      <c r="F1832" s="1" t="s">
        <v>3810</v>
      </c>
      <c r="G1832" s="1" t="s">
        <v>28</v>
      </c>
      <c r="H1832" s="1" t="s">
        <v>29</v>
      </c>
      <c r="I1832" s="1" t="str">
        <f ca="1">IFERROR(__xludf.DUMMYFUNCTION("GOOGLETRANSLATE(F1832, ""auto"", ""en"")
"),"Sweet, beautiful")</f>
        <v>Sweet, beautiful</v>
      </c>
    </row>
    <row r="1833" spans="1:9" x14ac:dyDescent="0.3">
      <c r="A1833" s="1" t="s">
        <v>9</v>
      </c>
      <c r="B1833" s="1" t="s">
        <v>23</v>
      </c>
      <c r="C1833" s="1" t="s">
        <v>134</v>
      </c>
      <c r="D1833" s="1" t="s">
        <v>280</v>
      </c>
      <c r="E1833" s="1" t="s">
        <v>3811</v>
      </c>
      <c r="F1833" s="1" t="s">
        <v>3812</v>
      </c>
      <c r="G1833" s="1" t="s">
        <v>36</v>
      </c>
      <c r="H1833" s="1" t="s">
        <v>29</v>
      </c>
      <c r="I1833" s="1" t="str">
        <f ca="1">IFERROR(__xludf.DUMMYFUNCTION("GOOGLETRANSLATE(F1833, ""auto"", ""en"")
"),"We bought it almost half a year ago, it cleans perfectly, even if you add less than the minimum amount of powder, it’s very quiet, it doesn’t completely wash away tea stains, but the pans and pots are shiny, and the dishes are dry. In general I recommend "&amp;"it.")</f>
        <v>We bought it almost half a year ago, it cleans perfectly, even if you add less than the minimum amount of powder, it’s very quiet, it doesn’t completely wash away tea stains, but the pans and pots are shiny, and the dishes are dry. In general I recommend it.</v>
      </c>
    </row>
    <row r="1834" spans="1:9" x14ac:dyDescent="0.3">
      <c r="A1834" s="1" t="s">
        <v>61</v>
      </c>
      <c r="B1834" s="1" t="s">
        <v>224</v>
      </c>
      <c r="C1834" s="1" t="s">
        <v>85</v>
      </c>
      <c r="D1834" s="1" t="s">
        <v>139</v>
      </c>
      <c r="E1834" s="1" t="s">
        <v>3813</v>
      </c>
      <c r="F1834" s="1" t="s">
        <v>3814</v>
      </c>
      <c r="G1834" s="1" t="s">
        <v>36</v>
      </c>
      <c r="H1834" s="1" t="s">
        <v>29</v>
      </c>
      <c r="I1834" s="1" t="str">
        <f ca="1">IFERROR(__xludf.DUMMYFUNCTION("GOOGLETRANSLATE(F1834, ""auto"", ""en"")
"),"Before this juicer, I used many others, both domestic and imported. I bought the S800 for this season, the sellers advised it. It was not in vain that I bought it, it copes with apples and tomatoes with a bang, the cake is completely dry, and it’s excelle"&amp;"nt with grapes, in vain they write that it’s bad, it’s not true. I recommend!")</f>
        <v>Before this juicer, I used many others, both domestic and imported. I bought the S800 for this season, the sellers advised it. It was not in vain that I bought it, it copes with apples and tomatoes with a bang, the cake is completely dry, and it’s excellent with grapes, in vain they write that it’s bad, it’s not true. I recommend!</v>
      </c>
    </row>
    <row r="1835" spans="1:9" x14ac:dyDescent="0.3">
      <c r="A1835" s="1" t="s">
        <v>149</v>
      </c>
      <c r="B1835" s="1" t="s">
        <v>155</v>
      </c>
      <c r="C1835" s="1" t="s">
        <v>63</v>
      </c>
      <c r="D1835" s="1" t="s">
        <v>308</v>
      </c>
      <c r="E1835" s="1" t="s">
        <v>1692</v>
      </c>
      <c r="F1835" s="1" t="s">
        <v>3815</v>
      </c>
      <c r="G1835" s="1" t="s">
        <v>49</v>
      </c>
      <c r="H1835" s="1" t="s">
        <v>16</v>
      </c>
      <c r="I1835" s="1" t="str">
        <f ca="1">IFERROR(__xludf.DUMMYFUNCTION("GOOGLETRANSLATE(F1835, ""auto"", ""en"")
"),"It works quietly, perhaps these are all advantages.")</f>
        <v>It works quietly, perhaps these are all advantages.</v>
      </c>
    </row>
    <row r="1836" spans="1:9" x14ac:dyDescent="0.3">
      <c r="A1836" s="1" t="s">
        <v>105</v>
      </c>
      <c r="B1836" s="1" t="s">
        <v>106</v>
      </c>
      <c r="C1836" s="1" t="s">
        <v>1209</v>
      </c>
      <c r="D1836" s="1" t="s">
        <v>305</v>
      </c>
      <c r="E1836" s="1" t="s">
        <v>750</v>
      </c>
      <c r="F1836" s="1" t="s">
        <v>3816</v>
      </c>
      <c r="G1836" s="1" t="s">
        <v>28</v>
      </c>
      <c r="H1836" s="1" t="s">
        <v>29</v>
      </c>
      <c r="I1836" s="1" t="str">
        <f ca="1">IFERROR(__xludf.DUMMYFUNCTION("GOOGLETRANSLATE(F1836, ""auto"", ""en"")
"),"I purchased this player in an exchange. First I bought IRIVER U50, I was pleased with the enormous capacity of the batteries, I actually played for 48 hours without recharging, but alas, it turned off and did not turn on again.    I settled on this model."&amp;" Overall, the model is well worth the money. A 220 volt USB charging cable is included in the kit. It works tolerably, which made me happy that when connected to a computer it does not charge, but simply allows you to transfer files. I was pleased with th"&amp;"e operating time; I listened to MP3 for about 15 hours, given that it was cold, etc. and the video was shown non-stop for about 5 hours. Worth a closer look in one word. The only drawback is the location of the buttons and the actual size of the buttons; "&amp;"it is not always convenient to switch tracks (especially when wearing gloves). I'm happy")</f>
        <v>I purchased this player in an exchange. First I bought IRIVER U50, I was pleased with the enormous capacity of the batteries, I actually played for 48 hours without recharging, but alas, it turned off and did not turn on again.    I settled on this model. Overall, the model is well worth the money. A 220 volt USB charging cable is included in the kit. It works tolerably, which made me happy that when connected to a computer it does not charge, but simply allows you to transfer files. I was pleased with the operating time; I listened to MP3 for about 15 hours, given that it was cold, etc. and the video was shown non-stop for about 5 hours. Worth a closer look in one word. The only drawback is the location of the buttons and the actual size of the buttons; it is not always convenient to switch tracks (especially when wearing gloves). I'm happy</v>
      </c>
    </row>
    <row r="1837" spans="1:9" x14ac:dyDescent="0.3">
      <c r="A1837" s="1" t="s">
        <v>30</v>
      </c>
      <c r="B1837" s="1" t="s">
        <v>31</v>
      </c>
      <c r="C1837" s="1" t="s">
        <v>32</v>
      </c>
      <c r="D1837" s="1" t="s">
        <v>3817</v>
      </c>
      <c r="E1837" s="1" t="s">
        <v>1886</v>
      </c>
      <c r="F1837" s="1" t="s">
        <v>3818</v>
      </c>
      <c r="G1837" s="1" t="s">
        <v>49</v>
      </c>
      <c r="H1837" s="1" t="s">
        <v>16</v>
      </c>
      <c r="I1837" s="1" t="str">
        <f ca="1">IFERROR(__xludf.DUMMYFUNCTION("GOOGLETRANSLATE(F1837, ""auto"", ""en"")
"),"For that kind of money, it’s better to assemble it yourself, but this computer is for people who are into numbers - 4 cores, 6 gigabytes of RAM (of which only 3 are visible) and 2 gigabytes of video memory - which cannot be fully used because the bus widt"&amp;"h does not allow it. The GT240, even with 2 gigabytes of memory on board, is far from the optimal option.")</f>
        <v>For that kind of money, it’s better to assemble it yourself, but this computer is for people who are into numbers - 4 cores, 6 gigabytes of RAM (of which only 3 are visible) and 2 gigabytes of video memory - which cannot be fully used because the bus width does not allow it. The GT240, even with 2 gigabytes of memory on board, is far from the optimal option.</v>
      </c>
    </row>
    <row r="1838" spans="1:9" x14ac:dyDescent="0.3">
      <c r="A1838" s="1" t="s">
        <v>369</v>
      </c>
      <c r="B1838" s="1" t="s">
        <v>587</v>
      </c>
      <c r="C1838" s="1" t="s">
        <v>290</v>
      </c>
      <c r="D1838" s="1" t="s">
        <v>3253</v>
      </c>
      <c r="E1838" s="1" t="s">
        <v>2251</v>
      </c>
      <c r="F1838" s="1" t="s">
        <v>3819</v>
      </c>
      <c r="G1838" s="1" t="s">
        <v>36</v>
      </c>
      <c r="H1838" s="1" t="s">
        <v>29</v>
      </c>
      <c r="I1838" s="1" t="str">
        <f ca="1">IFERROR(__xludf.DUMMYFUNCTION("GOOGLETRANSLATE(F1838, ""auto"", ""en"")
"),"We bought the stove a month ago. The stove is excellent. Everything works without problems. It bakes just great! I'm very pleased. I recommend it to everyone.")</f>
        <v>We bought the stove a month ago. The stove is excellent. Everything works without problems. It bakes just great! I'm very pleased. I recommend it to everyone.</v>
      </c>
    </row>
    <row r="1839" spans="1:9" x14ac:dyDescent="0.3">
      <c r="A1839" s="1" t="s">
        <v>17</v>
      </c>
      <c r="B1839" s="1" t="s">
        <v>18</v>
      </c>
      <c r="C1839" s="1" t="s">
        <v>151</v>
      </c>
      <c r="D1839" s="1" t="s">
        <v>3820</v>
      </c>
      <c r="E1839" s="1" t="s">
        <v>3472</v>
      </c>
      <c r="F1839" s="1" t="s">
        <v>3821</v>
      </c>
      <c r="G1839" s="1" t="s">
        <v>28</v>
      </c>
      <c r="H1839" s="1" t="s">
        <v>29</v>
      </c>
      <c r="I1839" s="1" t="str">
        <f ca="1">IFERROR(__xludf.DUMMYFUNCTION("GOOGLETRANSLATE(F1839, ""auto"", ""en"")
"),"No spin at 600 rpm. I had 400-800 right away on LG. Works acceptable. But the price does not justify the quality. Linen after washing is no better than cheaper models.")</f>
        <v>No spin at 600 rpm. I had 400-800 right away on LG. Works acceptable. But the price does not justify the quality. Linen after washing is no better than cheaper models.</v>
      </c>
    </row>
    <row r="1840" spans="1:9" x14ac:dyDescent="0.3">
      <c r="A1840" s="1" t="s">
        <v>78</v>
      </c>
      <c r="B1840" s="1" t="s">
        <v>79</v>
      </c>
      <c r="C1840" s="1" t="s">
        <v>80</v>
      </c>
      <c r="D1840" s="1" t="s">
        <v>139</v>
      </c>
      <c r="E1840" s="1" t="s">
        <v>1481</v>
      </c>
      <c r="F1840" s="1" t="s">
        <v>3822</v>
      </c>
      <c r="G1840" s="1" t="s">
        <v>49</v>
      </c>
      <c r="H1840" s="1" t="s">
        <v>16</v>
      </c>
      <c r="I1840" s="1" t="str">
        <f ca="1">IFERROR(__xludf.DUMMYFUNCTION("GOOGLETRANSLATE(F1840, ""auto"", ""en"")
"),"less than a week has passed, and the microwave began to hum loudly and stopped heating")</f>
        <v>less than a week has passed, and the microwave began to hum loudly and stopped heating</v>
      </c>
    </row>
    <row r="1841" spans="1:9" x14ac:dyDescent="0.3">
      <c r="A1841" s="1" t="s">
        <v>61</v>
      </c>
      <c r="B1841" s="1" t="s">
        <v>318</v>
      </c>
      <c r="C1841" s="1" t="s">
        <v>101</v>
      </c>
      <c r="D1841" s="1" t="s">
        <v>2771</v>
      </c>
      <c r="E1841" s="1" t="s">
        <v>3254</v>
      </c>
      <c r="F1841" s="1" t="s">
        <v>3823</v>
      </c>
      <c r="G1841" s="1" t="s">
        <v>28</v>
      </c>
      <c r="H1841" s="1" t="s">
        <v>29</v>
      </c>
      <c r="I1841" s="1" t="str">
        <f ca="1">IFERROR(__xludf.DUMMYFUNCTION("GOOGLETRANSLATE(F1841, ""auto"", ""en"")
"),"We bought a kettle today, there was no plastic smell even during the first boiling. I like it - compact, convenient, when boiling - red backlight, very unusual. When purchasing, I advise you to check the kettle - at first I found it with stains on the bot"&amp;"tom, they brought another one - there was a gap in the place of the backlight indicator, only the third one turned out to be normal.")</f>
        <v>We bought a kettle today, there was no plastic smell even during the first boiling. I like it - compact, convenient, when boiling - red backlight, very unusual. When purchasing, I advise you to check the kettle - at first I found it with stains on the bottom, they brought another one - there was a gap in the place of the backlight indicator, only the third one turned out to be normal.</v>
      </c>
    </row>
    <row r="1842" spans="1:9" x14ac:dyDescent="0.3">
      <c r="A1842" s="1" t="s">
        <v>105</v>
      </c>
      <c r="B1842" s="1" t="s">
        <v>106</v>
      </c>
      <c r="C1842" s="1" t="s">
        <v>97</v>
      </c>
      <c r="D1842" s="1" t="s">
        <v>3824</v>
      </c>
      <c r="E1842" s="1" t="s">
        <v>820</v>
      </c>
      <c r="F1842" s="1" t="s">
        <v>3825</v>
      </c>
      <c r="G1842" s="1" t="s">
        <v>36</v>
      </c>
      <c r="H1842" s="1" t="s">
        <v>29</v>
      </c>
      <c r="I1842" s="1" t="str">
        <f ca="1">IFERROR(__xludf.DUMMYFUNCTION("GOOGLETRANSLATE(F1842, ""auto"", ""en"")
"),"The player is worth buying. I bought it. The body is very well made. The sound is very high quality. In general, everything is of high quality. The interface is convenient. It's a pity that the text does not support, but the quality covers everything.")</f>
        <v>The player is worth buying. I bought it. The body is very well made. The sound is very high quality. In general, everything is of high quality. The interface is convenient. It's a pity that the text does not support, but the quality covers everything.</v>
      </c>
    </row>
    <row r="1843" spans="1:9" x14ac:dyDescent="0.3">
      <c r="A1843" s="1" t="s">
        <v>61</v>
      </c>
      <c r="B1843" s="1" t="s">
        <v>145</v>
      </c>
      <c r="C1843" s="1" t="s">
        <v>246</v>
      </c>
      <c r="D1843" s="1" t="s">
        <v>152</v>
      </c>
      <c r="E1843" s="1" t="s">
        <v>2231</v>
      </c>
      <c r="F1843" s="1" t="s">
        <v>3826</v>
      </c>
      <c r="G1843" s="1" t="s">
        <v>36</v>
      </c>
      <c r="H1843" s="1" t="s">
        <v>29</v>
      </c>
      <c r="I1843" s="1" t="str">
        <f ca="1">IFERROR(__xludf.DUMMYFUNCTION("GOOGLETRANSLATE(F1843, ""auto"", ""en"")
"),"The steamer is just super..... We bought it a month ago for 1990 rubles and have never regretted it......")</f>
        <v>The steamer is just super..... We bought it a month ago for 1990 rubles and have never regretted it......</v>
      </c>
    </row>
    <row r="1844" spans="1:9" x14ac:dyDescent="0.3">
      <c r="A1844" s="1" t="s">
        <v>17</v>
      </c>
      <c r="B1844" s="1" t="s">
        <v>18</v>
      </c>
      <c r="C1844" s="1" t="s">
        <v>151</v>
      </c>
      <c r="D1844" s="1" t="s">
        <v>335</v>
      </c>
      <c r="E1844" s="1" t="s">
        <v>225</v>
      </c>
      <c r="F1844" s="1" t="s">
        <v>3827</v>
      </c>
      <c r="G1844" s="1" t="s">
        <v>36</v>
      </c>
      <c r="H1844" s="1" t="s">
        <v>29</v>
      </c>
      <c r="I1844" s="1" t="str">
        <f ca="1">IFERROR(__xludf.DUMMYFUNCTION("GOOGLETRANSLATE(F1844, ""auto"", ""en"")
"),"And I really liked the car, I was satisfied. I don’t regret that I bought this particular car!!!")</f>
        <v>And I really liked the car, I was satisfied. I don’t regret that I bought this particular car!!!</v>
      </c>
    </row>
    <row r="1845" spans="1:9" x14ac:dyDescent="0.3">
      <c r="A1845" s="1" t="s">
        <v>557</v>
      </c>
      <c r="B1845" s="1" t="s">
        <v>1977</v>
      </c>
      <c r="C1845" s="1" t="s">
        <v>1921</v>
      </c>
      <c r="D1845" s="1" t="s">
        <v>20</v>
      </c>
      <c r="E1845" s="1" t="s">
        <v>859</v>
      </c>
      <c r="F1845" s="1" t="s">
        <v>3828</v>
      </c>
      <c r="G1845" s="1" t="s">
        <v>28</v>
      </c>
      <c r="H1845" s="1" t="s">
        <v>29</v>
      </c>
      <c r="I1845" s="1" t="str">
        <f ca="1">IFERROR(__xludf.DUMMYFUNCTION("GOOGLETRANSLATE(F1845, ""auto"", ""en"")
"),"The phone is good, but it still lacks something. For example: Caller ID, only 3 numbers in memory, speakerphone, one ringtone. But there is excellent audibility and large, convenient buttons.  Who needs an easy to use phone - this is for you.")</f>
        <v>The phone is good, but it still lacks something. For example: Caller ID, only 3 numbers in memory, speakerphone, one ringtone. But there is excellent audibility and large, convenient buttons.  Who needs an easy to use phone - this is for you.</v>
      </c>
    </row>
    <row r="1846" spans="1:9" x14ac:dyDescent="0.3">
      <c r="A1846" s="1" t="s">
        <v>17</v>
      </c>
      <c r="B1846" s="1" t="s">
        <v>18</v>
      </c>
      <c r="C1846" s="1" t="s">
        <v>151</v>
      </c>
      <c r="D1846" s="1" t="s">
        <v>139</v>
      </c>
      <c r="E1846" s="1" t="s">
        <v>3829</v>
      </c>
      <c r="F1846" s="1" t="s">
        <v>3830</v>
      </c>
      <c r="G1846" s="1" t="s">
        <v>28</v>
      </c>
      <c r="H1846" s="1" t="s">
        <v>29</v>
      </c>
      <c r="I1846" s="1" t="str">
        <f ca="1">IFERROR(__xludf.DUMMYFUNCTION("GOOGLETRANSLATE(F1846, ""auto"", ""en"")
"),"The machine has been working for me for 4 months, it washes perfectly, if the machine is leveled, then no unnecessary vibrations are observed. In general, I do not regret at all that I chose this model.")</f>
        <v>The machine has been working for me for 4 months, it washes perfectly, if the machine is leveled, then no unnecessary vibrations are observed. In general, I do not regret at all that I chose this model.</v>
      </c>
    </row>
    <row r="1847" spans="1:9" x14ac:dyDescent="0.3">
      <c r="A1847" s="1" t="s">
        <v>211</v>
      </c>
      <c r="B1847" s="1" t="s">
        <v>265</v>
      </c>
      <c r="C1847" s="1" t="s">
        <v>57</v>
      </c>
      <c r="D1847" s="1" t="s">
        <v>420</v>
      </c>
      <c r="E1847" s="1" t="s">
        <v>3527</v>
      </c>
      <c r="F1847" s="1" t="s">
        <v>3831</v>
      </c>
      <c r="G1847" s="1" t="s">
        <v>49</v>
      </c>
      <c r="H1847" s="1" t="s">
        <v>16</v>
      </c>
      <c r="I1847" s="1" t="str">
        <f ca="1">IFERROR(__xludf.DUMMYFUNCTION("GOOGLETRANSLATE(F1847, ""auto"", ""en"")
"),"I thought that I had purchased a worthy thing, but at the very first haircut I was convinced that the machine, when running on a battery, was not up to the power. The power supply is also of no use - the hair does not cut, but breaks, it is very painful. "&amp;"The attachments did not give any results - the haircut did not work out. Tomorrow I will go to change to another model. I do not recommend buying such a machine. I really regret it.")</f>
        <v>I thought that I had purchased a worthy thing, but at the very first haircut I was convinced that the machine, when running on a battery, was not up to the power. The power supply is also of no use - the hair does not cut, but breaks, it is very painful. The attachments did not give any results - the haircut did not work out. Tomorrow I will go to change to another model. I do not recommend buying such a machine. I really regret it.</v>
      </c>
    </row>
    <row r="1848" spans="1:9" x14ac:dyDescent="0.3">
      <c r="A1848" s="1" t="s">
        <v>149</v>
      </c>
      <c r="B1848" s="1" t="s">
        <v>155</v>
      </c>
      <c r="C1848" s="1" t="s">
        <v>159</v>
      </c>
      <c r="D1848" s="1" t="s">
        <v>467</v>
      </c>
      <c r="E1848" s="1" t="s">
        <v>128</v>
      </c>
      <c r="F1848" s="1" t="s">
        <v>3832</v>
      </c>
      <c r="G1848" s="1" t="s">
        <v>36</v>
      </c>
      <c r="H1848" s="1" t="s">
        <v>29</v>
      </c>
      <c r="I1848" s="1" t="str">
        <f ca="1">IFERROR(__xludf.DUMMYFUNCTION("GOOGLETRANSLATE(F1848, ""auto"", ""en"")
"),"Very easy to use: the container can be easily removed, just pull it up, you don’t even need to press any buttons. The equipment is standard: a set of necessary brushes and a replaceable filter. One minus is that it generates static electricity, but this c"&amp;"an also be easily removed with a stream of water when washing the filter. My husband and I are for it! Moreover, he is pink.")</f>
        <v>Very easy to use: the container can be easily removed, just pull it up, you don’t even need to press any buttons. The equipment is standard: a set of necessary brushes and a replaceable filter. One minus is that it generates static electricity, but this can also be easily removed with a stream of water when washing the filter. My husband and I are for it! Moreover, he is pink.</v>
      </c>
    </row>
    <row r="1849" spans="1:9" x14ac:dyDescent="0.3">
      <c r="A1849" s="1" t="s">
        <v>9</v>
      </c>
      <c r="B1849" s="1" t="s">
        <v>133</v>
      </c>
      <c r="C1849" s="1" t="s">
        <v>63</v>
      </c>
      <c r="D1849" s="1" t="s">
        <v>2595</v>
      </c>
      <c r="E1849" s="1" t="s">
        <v>1931</v>
      </c>
      <c r="F1849" s="1" t="s">
        <v>3833</v>
      </c>
      <c r="G1849" s="1" t="s">
        <v>36</v>
      </c>
      <c r="H1849" s="1" t="s">
        <v>29</v>
      </c>
      <c r="I1849" s="1" t="str">
        <f ca="1">IFERROR(__xludf.DUMMYFUNCTION("GOOGLETRANSLATE(F1849, ""auto"", ""en"")
"),"Yesterday evening we bought a Boschik. For such a fabulous price (on sale) and with such a set of functions, I was completely delighted. Yesterday they installed it, I was so impatient to cook something! We tried the grill first and fried the fish on the "&amp;"grill. I set the time on the timer, after which a melodious ringing sound was heard)))) joy knew no bounds! The grill is the most successful function, located on the entire upper wall, frying as needed, until crispy. There is also a defrosting function, a"&amp;" drying function for fruits, you can make jam, canned vegetables! Hooray, a dream has come true! There will be pies for dinner today! AMAZING oven!")</f>
        <v>Yesterday evening we bought a Boschik. For such a fabulous price (on sale) and with such a set of functions, I was completely delighted. Yesterday they installed it, I was so impatient to cook something! We tried the grill first and fried the fish on the grill. I set the time on the timer, after which a melodious ringing sound was heard)))) joy knew no bounds! The grill is the most successful function, located on the entire upper wall, frying as needed, until crispy. There is also a defrosting function, a drying function for fruits, you can make jam, canned vegetables! Hooray, a dream has come true! There will be pies for dinner today! AMAZING oven!</v>
      </c>
    </row>
    <row r="1850" spans="1:9" x14ac:dyDescent="0.3">
      <c r="A1850" s="1" t="s">
        <v>211</v>
      </c>
      <c r="B1850" s="1" t="s">
        <v>899</v>
      </c>
      <c r="C1850" s="1" t="s">
        <v>213</v>
      </c>
      <c r="D1850" s="1" t="s">
        <v>213</v>
      </c>
      <c r="E1850" s="1" t="s">
        <v>755</v>
      </c>
      <c r="F1850" s="1" t="s">
        <v>3834</v>
      </c>
      <c r="G1850" s="1" t="s">
        <v>36</v>
      </c>
      <c r="H1850" s="1" t="s">
        <v>29</v>
      </c>
      <c r="I1850" s="1" t="str">
        <f ca="1">IFERROR(__xludf.DUMMYFUNCTION("GOOGLETRANSLATE(F1850, ""auto"", ""en"")
"),"1) Ability to select a cleaning mode, several attachments included for a long time of the week (about 1-2 weeks), a screen showing how much time has already passed (cleaning) 2) the only disadvantages are expensive replacement attachments 3) I’ve been usi"&amp;"ng the brush for about 3 years, I’m happy with the purchase")</f>
        <v>1) Ability to select a cleaning mode, several attachments included for a long time of the week (about 1-2 weeks), a screen showing how much time has already passed (cleaning) 2) the only disadvantages are expensive replacement attachments 3) I’ve been using the brush for about 3 years, I’m happy with the purchase</v>
      </c>
    </row>
    <row r="1851" spans="1:9" x14ac:dyDescent="0.3">
      <c r="A1851" s="1" t="s">
        <v>211</v>
      </c>
      <c r="B1851" s="1" t="s">
        <v>856</v>
      </c>
      <c r="C1851" s="1" t="s">
        <v>101</v>
      </c>
      <c r="D1851" s="1" t="s">
        <v>2771</v>
      </c>
      <c r="E1851" s="1" t="s">
        <v>3835</v>
      </c>
      <c r="F1851" s="1" t="s">
        <v>3836</v>
      </c>
      <c r="G1851" s="1" t="s">
        <v>36</v>
      </c>
      <c r="H1851" s="1" t="s">
        <v>29</v>
      </c>
      <c r="I1851" s="1" t="str">
        <f ca="1">IFERROR(__xludf.DUMMYFUNCTION("GOOGLETRANSLATE(F1851, ""auto"", ""en"")
"),"For me, this should be a bestseller by March 8th. Inexpensive. Well, let's face it, it's cheap! But this is a really useful thing. I have a smoker set, but I saved this one for vacation. You can even carefully treat your nails in shilak. So the fact that "&amp;"it is low-power in many cases is only an advantage - there is no fear of chipping the coating. I especially recommend it to mothers for their little daughters, who also need to take care of their nails, but they simply can’t cope with cool sets. This one "&amp;"will be just right")</f>
        <v>For me, this should be a bestseller by March 8th. Inexpensive. Well, let's face it, it's cheap! But this is a really useful thing. I have a smoker set, but I saved this one for vacation. You can even carefully treat your nails in shilak. So the fact that it is low-power in many cases is only an advantage - there is no fear of chipping the coating. I especially recommend it to mothers for their little daughters, who also need to take care of their nails, but they simply can’t cope with cool sets. This one will be just right</v>
      </c>
    </row>
    <row r="1852" spans="1:9" x14ac:dyDescent="0.3">
      <c r="A1852" s="1" t="s">
        <v>211</v>
      </c>
      <c r="B1852" s="1" t="s">
        <v>410</v>
      </c>
      <c r="C1852" s="1" t="s">
        <v>122</v>
      </c>
      <c r="D1852" s="1" t="s">
        <v>203</v>
      </c>
      <c r="E1852" s="1" t="s">
        <v>2393</v>
      </c>
      <c r="F1852" s="1" t="s">
        <v>3837</v>
      </c>
      <c r="G1852" s="1" t="s">
        <v>36</v>
      </c>
      <c r="H1852" s="1" t="s">
        <v>29</v>
      </c>
      <c r="I1852" s="1" t="str">
        <f ca="1">IFERROR(__xludf.DUMMYFUNCTION("GOOGLETRANSLATE(F1852, ""auto"", ""en"")
"),"Compactness")</f>
        <v>Compactness</v>
      </c>
    </row>
    <row r="1853" spans="1:9" x14ac:dyDescent="0.3">
      <c r="A1853" s="1" t="s">
        <v>30</v>
      </c>
      <c r="B1853" s="1" t="s">
        <v>50</v>
      </c>
      <c r="C1853" s="1" t="s">
        <v>189</v>
      </c>
      <c r="D1853" s="1" t="s">
        <v>2178</v>
      </c>
      <c r="E1853" s="1" t="s">
        <v>917</v>
      </c>
      <c r="F1853" s="1" t="s">
        <v>3838</v>
      </c>
      <c r="G1853" s="1" t="s">
        <v>36</v>
      </c>
      <c r="H1853" s="1" t="s">
        <v>29</v>
      </c>
      <c r="I1853" s="1" t="str">
        <f ca="1">IFERROR(__xludf.DUMMYFUNCTION("GOOGLETRANSLATE(F1853, ""auto"", ""en"")
"),"The only thing I forgot was to buy a mouse for it with a case.  The touchpad is certainly a cool thing, but sometimes it glitches... Overall, I'm pleased.")</f>
        <v>The only thing I forgot was to buy a mouse for it with a case.  The touchpad is certainly a cool thing, but sometimes it glitches... Overall, I'm pleased.</v>
      </c>
    </row>
    <row r="1854" spans="1:9" x14ac:dyDescent="0.3">
      <c r="A1854" s="1" t="s">
        <v>17</v>
      </c>
      <c r="B1854" s="1" t="s">
        <v>18</v>
      </c>
      <c r="C1854" s="1" t="s">
        <v>63</v>
      </c>
      <c r="D1854" s="1" t="s">
        <v>3839</v>
      </c>
      <c r="E1854" s="1" t="s">
        <v>1039</v>
      </c>
      <c r="F1854" s="1" t="s">
        <v>3840</v>
      </c>
      <c r="G1854" s="1" t="s">
        <v>36</v>
      </c>
      <c r="H1854" s="1" t="s">
        <v>29</v>
      </c>
      <c r="I1854" s="1" t="str">
        <f ca="1">IFERROR(__xludf.DUMMYFUNCTION("GOOGLETRANSLATE(F1854, ""auto"", ""en"")
"),"Hello.   The machine is just super, Bosch in a word, we bought it 1 year ago, no complaints, I really like it, especially the “cotton” mode, we have a small child, juices, purees, cottage cheese, it washes well. I recommend it to young families, price-qua"&amp;"lity.")</f>
        <v>Hello.   The machine is just super, Bosch in a word, we bought it 1 year ago, no complaints, I really like it, especially the “cotton” mode, we have a small child, juices, purees, cottage cheese, it washes well. I recommend it to young families, price-quality.</v>
      </c>
    </row>
    <row r="1855" spans="1:9" x14ac:dyDescent="0.3">
      <c r="A1855" s="1" t="s">
        <v>169</v>
      </c>
      <c r="B1855" s="1" t="s">
        <v>170</v>
      </c>
      <c r="C1855" s="1" t="s">
        <v>122</v>
      </c>
      <c r="D1855" s="1" t="s">
        <v>474</v>
      </c>
      <c r="E1855" s="1" t="s">
        <v>2110</v>
      </c>
      <c r="F1855" s="1" t="s">
        <v>3841</v>
      </c>
      <c r="G1855" s="1" t="s">
        <v>36</v>
      </c>
      <c r="H1855" s="1" t="s">
        <v>29</v>
      </c>
      <c r="I1855" s="1" t="str">
        <f ca="1">IFERROR(__xludf.DUMMYFUNCTION("GOOGLETRANSLATE(F1855, ""auto"", ""en"")
"),"I bought these ears and was very pleased. Before this there were others, I liked these better, although they were 2 times cheaper. The sound is very clear and spacious. The only negative is slight interference when listening to the radio, this was not the"&amp;" case in Sonya.")</f>
        <v>I bought these ears and was very pleased. Before this there were others, I liked these better, although they were 2 times cheaper. The sound is very clear and spacious. The only negative is slight interference when listening to the radio, this was not the case in Sonya.</v>
      </c>
    </row>
    <row r="1856" spans="1:9" x14ac:dyDescent="0.3">
      <c r="A1856" s="1" t="s">
        <v>9</v>
      </c>
      <c r="B1856" s="1" t="s">
        <v>10</v>
      </c>
      <c r="C1856" s="1" t="s">
        <v>407</v>
      </c>
      <c r="D1856" s="1" t="s">
        <v>327</v>
      </c>
      <c r="E1856" s="1" t="s">
        <v>3842</v>
      </c>
      <c r="F1856" s="1" t="s">
        <v>3843</v>
      </c>
      <c r="G1856" s="1" t="s">
        <v>36</v>
      </c>
      <c r="H1856" s="1" t="s">
        <v>29</v>
      </c>
      <c r="I1856" s="1" t="str">
        <f ca="1">IFERROR(__xludf.DUMMYFUNCTION("GOOGLETRANSLATE(F1856, ""auto"", ""en"")
"),"The hood is almost a year old. Moderately noisy, draws well. I smoke in the kitchen, there are no problems with tobacco smoke. It is very convenient that there is a shutdown timer - after smoking, you can safely leave it to work a little more. I recommend"&amp;" it. The price-quality ratio is optimal.")</f>
        <v>The hood is almost a year old. Moderately noisy, draws well. I smoke in the kitchen, there are no problems with tobacco smoke. It is very convenient that there is a shutdown timer - after smoking, you can safely leave it to work a little more. I recommend it. The price-quality ratio is optimal.</v>
      </c>
    </row>
    <row r="1857" spans="1:9" x14ac:dyDescent="0.3">
      <c r="A1857" s="1" t="s">
        <v>732</v>
      </c>
      <c r="B1857" s="1" t="s">
        <v>733</v>
      </c>
      <c r="C1857" s="1" t="s">
        <v>1680</v>
      </c>
      <c r="D1857" s="1" t="s">
        <v>568</v>
      </c>
      <c r="E1857" s="1" t="s">
        <v>1219</v>
      </c>
      <c r="F1857" s="1" t="s">
        <v>3844</v>
      </c>
      <c r="G1857" s="1" t="s">
        <v>36</v>
      </c>
      <c r="H1857" s="1" t="s">
        <v>29</v>
      </c>
      <c r="I1857" s="1" t="str">
        <f ca="1">IFERROR(__xludf.DUMMYFUNCTION("GOOGLETRANSLATE(F1857, ""auto"", ""en"")
"),"The monitor is super big and comfortable!!!  Only one thing is inconvenient so far, it used to be 16 inches, but now it’s 22!!!  I'll get used to it!")</f>
        <v>The monitor is super big and comfortable!!!  Only one thing is inconvenient so far, it used to be 16 inches, but now it’s 22!!!  I'll get used to it!</v>
      </c>
    </row>
    <row r="1858" spans="1:9" x14ac:dyDescent="0.3">
      <c r="A1858" s="1" t="s">
        <v>61</v>
      </c>
      <c r="B1858" s="1" t="s">
        <v>318</v>
      </c>
      <c r="C1858" s="1" t="s">
        <v>246</v>
      </c>
      <c r="D1858" s="1" t="s">
        <v>1078</v>
      </c>
      <c r="E1858" s="1" t="s">
        <v>2110</v>
      </c>
      <c r="F1858" s="1" t="s">
        <v>3845</v>
      </c>
      <c r="G1858" s="1" t="s">
        <v>49</v>
      </c>
      <c r="H1858" s="1" t="s">
        <v>16</v>
      </c>
      <c r="I1858" s="1" t="str">
        <f ca="1">IFERROR(__xludf.DUMMYFUNCTION("GOOGLETRANSLATE(F1858, ""auto"", ""en"")
"),"The kettle is 2 years old, the lid is broken, there is rust around the filter, the plastic masks (water indicator) are cracked on both sides.  For such a price, it's terrible, but it's a very nice design.")</f>
        <v>The kettle is 2 years old, the lid is broken, there is rust around the filter, the plastic masks (water indicator) are cracked on both sides.  For such a price, it's terrible, but it's a very nice design.</v>
      </c>
    </row>
    <row r="1859" spans="1:9" x14ac:dyDescent="0.3">
      <c r="A1859" s="1" t="s">
        <v>206</v>
      </c>
      <c r="B1859" s="1" t="s">
        <v>207</v>
      </c>
      <c r="C1859" s="1" t="s">
        <v>351</v>
      </c>
      <c r="D1859" s="1" t="s">
        <v>81</v>
      </c>
      <c r="E1859" s="1" t="s">
        <v>3694</v>
      </c>
      <c r="F1859" s="1" t="s">
        <v>3846</v>
      </c>
      <c r="G1859" s="1" t="s">
        <v>49</v>
      </c>
      <c r="H1859" s="1" t="s">
        <v>16</v>
      </c>
      <c r="I1859" s="1" t="str">
        <f ca="1">IFERROR(__xludf.DUMMYFUNCTION("GOOGLETRANSLATE(F1859, ""auto"", ""en"")
"),"A month after the purchase, the speaker began to rattle, another 5 months and they fell apart.")</f>
        <v>A month after the purchase, the speaker began to rattle, another 5 months and they fell apart.</v>
      </c>
    </row>
    <row r="1860" spans="1:9" x14ac:dyDescent="0.3">
      <c r="A1860" s="1" t="s">
        <v>17</v>
      </c>
      <c r="B1860" s="1" t="s">
        <v>18</v>
      </c>
      <c r="C1860" s="1" t="s">
        <v>290</v>
      </c>
      <c r="D1860" s="1" t="s">
        <v>471</v>
      </c>
      <c r="E1860" s="1" t="s">
        <v>1732</v>
      </c>
      <c r="F1860" s="1" t="s">
        <v>3847</v>
      </c>
      <c r="G1860" s="1" t="s">
        <v>36</v>
      </c>
      <c r="H1860" s="1" t="s">
        <v>29</v>
      </c>
      <c r="I1860" s="1" t="str">
        <f ca="1">IFERROR(__xludf.DUMMYFUNCTION("GOOGLETRANSLATE(F1860, ""auto"", ""en"")
"),"Really a great machine. But provided that there are at least 3 people in the family. Since the machine is very spacious, it ideally requires at least half filling. Less - she will wash for a very long time, because she cannot understand whether there is l"&amp;"aundry in it or not. The washing quality is excellent. Works great. Silent. And another plus - it’s very convenient, all the buttons are in place, but there’s nothing superfluous. Even a child can figure it out.")</f>
        <v>Really a great machine. But provided that there are at least 3 people in the family. Since the machine is very spacious, it ideally requires at least half filling. Less - she will wash for a very long time, because she cannot understand whether there is laundry in it or not. The washing quality is excellent. Works great. Silent. And another plus - it’s very convenient, all the buttons are in place, but there’s nothing superfluous. Even a child can figure it out.</v>
      </c>
    </row>
    <row r="1861" spans="1:9" x14ac:dyDescent="0.3">
      <c r="A1861" s="1" t="s">
        <v>89</v>
      </c>
      <c r="B1861" s="1" t="s">
        <v>1106</v>
      </c>
      <c r="C1861" s="1" t="s">
        <v>246</v>
      </c>
      <c r="D1861" s="1" t="s">
        <v>64</v>
      </c>
      <c r="E1861" s="1" t="s">
        <v>3848</v>
      </c>
      <c r="F1861" s="1" t="s">
        <v>3849</v>
      </c>
      <c r="G1861" s="1" t="s">
        <v>36</v>
      </c>
      <c r="H1861" s="1" t="s">
        <v>29</v>
      </c>
      <c r="I1861" s="1" t="str">
        <f ca="1">IFERROR(__xludf.DUMMYFUNCTION("GOOGLETRANSLATE(F1861, ""auto"", ""en"")
"),"My husband and I are coffee lovers. We bought a Tefal CM 410530 coffee maker, we were pleased with this coffee maker. The coffee is tasty, rich, and prepared quickly. But for coffee to be excellent, it must be brewed correctly and in proportions. And whil"&amp;"e some say, this will not happen, that it turns out to be a mess of an incomprehensible color. If you are a coffee lover, then brew coffee correctly (recipes for making coffee are on the Internet).)))")</f>
        <v>My husband and I are coffee lovers. We bought a Tefal CM 410530 coffee maker, we were pleased with this coffee maker. The coffee is tasty, rich, and prepared quickly. But for coffee to be excellent, it must be brewed correctly and in proportions. And while some say, this will not happen, that it turns out to be a mess of an incomprehensible color. If you are a coffee lover, then brew coffee correctly (recipes for making coffee are on the Internet).)))</v>
      </c>
    </row>
    <row r="1862" spans="1:9" x14ac:dyDescent="0.3">
      <c r="A1862" s="1" t="s">
        <v>211</v>
      </c>
      <c r="B1862" s="1" t="s">
        <v>410</v>
      </c>
      <c r="C1862" s="1" t="s">
        <v>69</v>
      </c>
      <c r="D1862" s="1" t="s">
        <v>208</v>
      </c>
      <c r="E1862" s="1" t="s">
        <v>2325</v>
      </c>
      <c r="F1862" s="1" t="s">
        <v>3850</v>
      </c>
      <c r="G1862" s="1" t="s">
        <v>36</v>
      </c>
      <c r="H1862" s="1" t="s">
        <v>29</v>
      </c>
      <c r="I1862" s="1" t="str">
        <f ca="1">IFERROR(__xludf.DUMMYFUNCTION("GOOGLETRANSLATE(F1862, ""auto"", ""en"")
"),"I bought it today, the razor did an excellent job with a week’s worth of stubble, everything is easy to maintain, I really liked the rinsing with a stream of water. I recommend it, you won't be disappointed.")</f>
        <v>I bought it today, the razor did an excellent job with a week’s worth of stubble, everything is easy to maintain, I really liked the rinsing with a stream of water. I recommend it, you won't be disappointed.</v>
      </c>
    </row>
    <row r="1863" spans="1:9" x14ac:dyDescent="0.3">
      <c r="A1863" s="1" t="s">
        <v>811</v>
      </c>
      <c r="B1863" s="1" t="s">
        <v>812</v>
      </c>
      <c r="C1863" s="1" t="s">
        <v>813</v>
      </c>
      <c r="D1863" s="1" t="s">
        <v>1188</v>
      </c>
      <c r="E1863" s="1" t="s">
        <v>715</v>
      </c>
      <c r="F1863" s="1" t="s">
        <v>3851</v>
      </c>
      <c r="G1863" s="1" t="s">
        <v>36</v>
      </c>
      <c r="H1863" s="1" t="s">
        <v>29</v>
      </c>
      <c r="I1863" s="1" t="str">
        <f ca="1">IFERROR(__xludf.DUMMYFUNCTION("GOOGLETRANSLATE(F1863, ""auto"", ""en"")
"),"Great tripod. I recently bought it and can’t stop looking at it. Smooth rotation. Super!")</f>
        <v>Great tripod. I recently bought it and can’t stop looking at it. Smooth rotation. Super!</v>
      </c>
    </row>
    <row r="1864" spans="1:9" x14ac:dyDescent="0.3">
      <c r="A1864" s="1" t="s">
        <v>30</v>
      </c>
      <c r="B1864" s="1" t="s">
        <v>31</v>
      </c>
      <c r="C1864" s="1" t="s">
        <v>377</v>
      </c>
      <c r="D1864" s="1" t="s">
        <v>3852</v>
      </c>
      <c r="E1864" s="1" t="s">
        <v>1273</v>
      </c>
      <c r="F1864" s="1" t="s">
        <v>3853</v>
      </c>
      <c r="G1864" s="1" t="s">
        <v>28</v>
      </c>
      <c r="H1864" s="1" t="s">
        <v>29</v>
      </c>
      <c r="I1864" s="1" t="str">
        <f ca="1">IFERROR(__xludf.DUMMYFUNCTION("GOOGLETRANSLATE(F1864, ""auto"", ""en"")
"),"Everything is fine, only the video card let us down... I'll change it at the first opportunity.")</f>
        <v>Everything is fine, only the video card let us down... I'll change it at the first opportunity.</v>
      </c>
    </row>
    <row r="1865" spans="1:9" x14ac:dyDescent="0.3">
      <c r="A1865" s="1" t="s">
        <v>55</v>
      </c>
      <c r="B1865" s="1" t="s">
        <v>84</v>
      </c>
      <c r="C1865" s="1" t="s">
        <v>85</v>
      </c>
      <c r="D1865" s="1" t="s">
        <v>831</v>
      </c>
      <c r="E1865" s="1" t="s">
        <v>3854</v>
      </c>
      <c r="F1865" s="1" t="s">
        <v>3855</v>
      </c>
      <c r="G1865" s="1" t="s">
        <v>49</v>
      </c>
      <c r="H1865" s="1" t="s">
        <v>16</v>
      </c>
      <c r="I1865" s="1" t="str">
        <f ca="1">IFERROR(__xludf.DUMMYFUNCTION("GOOGLETRANSLATE(F1865, ""auto"", ""en"")
"),"I bought it for moisturizing and cleaning, there is moisturizing but zero comfort. It’s just stuffy, I didn’t find any advantages at all, I don’t recommend it, it’s a stupid thing, it’s a waste of money")</f>
        <v>I bought it for moisturizing and cleaning, there is moisturizing but zero comfort. It’s just stuffy, I didn’t find any advantages at all, I don’t recommend it, it’s a stupid thing, it’s a waste of money</v>
      </c>
    </row>
    <row r="1866" spans="1:9" x14ac:dyDescent="0.3">
      <c r="A1866" s="1" t="s">
        <v>17</v>
      </c>
      <c r="B1866" s="1" t="s">
        <v>18</v>
      </c>
      <c r="C1866" s="1" t="s">
        <v>19</v>
      </c>
      <c r="D1866" s="1" t="s">
        <v>3856</v>
      </c>
      <c r="E1866" s="1" t="s">
        <v>173</v>
      </c>
      <c r="F1866" s="1" t="s">
        <v>3857</v>
      </c>
      <c r="G1866" s="1" t="s">
        <v>36</v>
      </c>
      <c r="H1866" s="1" t="s">
        <v>29</v>
      </c>
      <c r="I1866" s="1" t="str">
        <f ca="1">IFERROR(__xludf.DUMMYFUNCTION("GOOGLETRANSLATE(F1866, ""auto"", ""en"")
"),"We bought the car a month ago, it’s good and convenient, in addition it doesn’t take up much space, it’s good, no words, we’re very happy.")</f>
        <v>We bought the car a month ago, it’s good and convenient, in addition it doesn’t take up much space, it’s good, no words, we’re very happy.</v>
      </c>
    </row>
    <row r="1867" spans="1:9" x14ac:dyDescent="0.3">
      <c r="A1867" s="1" t="s">
        <v>30</v>
      </c>
      <c r="B1867" s="1" t="s">
        <v>50</v>
      </c>
      <c r="C1867" s="1" t="s">
        <v>51</v>
      </c>
      <c r="D1867" s="1" t="s">
        <v>3858</v>
      </c>
      <c r="E1867" s="1" t="s">
        <v>2702</v>
      </c>
      <c r="F1867" s="1" t="s">
        <v>3859</v>
      </c>
      <c r="G1867" s="1" t="s">
        <v>36</v>
      </c>
      <c r="H1867" s="1" t="s">
        <v>29</v>
      </c>
      <c r="I1867" s="1" t="str">
        <f ca="1">IFERROR(__xludf.DUMMYFUNCTION("GOOGLETRANSLATE(F1867, ""auto"", ""en"")
"),"I installed a second screw - WD black edition 7200 for 250 gigs. I transferred the system to it. The performance of the disk subsystem is now 5.9 and the weakest link is now percent! At the same time, the new WD at 7200 rpm heats up less than the old Hita"&amp;"chi at 5400 rpm and is quieter! The Seven now generally flies :) In general, the machine continues to please...")</f>
        <v>I installed a second screw - WD black edition 7200 for 250 gigs. I transferred the system to it. The performance of the disk subsystem is now 5.9 and the weakest link is now percent! At the same time, the new WD at 7200 rpm heats up less than the old Hitachi at 5400 rpm and is quieter! The Seven now generally flies :) In general, the machine continues to please...</v>
      </c>
    </row>
    <row r="1868" spans="1:9" x14ac:dyDescent="0.3">
      <c r="A1868" s="1" t="s">
        <v>55</v>
      </c>
      <c r="B1868" s="1" t="s">
        <v>752</v>
      </c>
      <c r="C1868" s="1" t="s">
        <v>185</v>
      </c>
      <c r="D1868" s="1" t="s">
        <v>3860</v>
      </c>
      <c r="E1868" s="1" t="s">
        <v>3861</v>
      </c>
      <c r="F1868" s="1" t="s">
        <v>3862</v>
      </c>
      <c r="G1868" s="1" t="s">
        <v>36</v>
      </c>
      <c r="H1868" s="1" t="s">
        <v>29</v>
      </c>
      <c r="I1868" s="1" t="str">
        <f ca="1">IFERROR(__xludf.DUMMYFUNCTION("GOOGLETRANSLATE(F1868, ""auto"", ""en"")
"),"Three years ago, I bought this radiator for myself, which I’m very happy with! I have a one-room apartment, it heats very well, and I set it to minimum. Then, on my advice, a friend bought exactly the same radiator, and she’s also very happy. But just rec"&amp;"ently, I bought the same radiator for my daughter, I know it won’t let you down! They turn off the heating very early, but it’s warm and reliable.")</f>
        <v>Three years ago, I bought this radiator for myself, which I’m very happy with! I have a one-room apartment, it heats very well, and I set it to minimum. Then, on my advice, a friend bought exactly the same radiator, and she’s also very happy. But just recently, I bought the same radiator for my daughter, I know it won’t let you down! They turn off the heating very early, but it’s warm and reliable.</v>
      </c>
    </row>
    <row r="1869" spans="1:9" x14ac:dyDescent="0.3">
      <c r="A1869" s="1" t="s">
        <v>2087</v>
      </c>
      <c r="B1869" s="1" t="s">
        <v>2088</v>
      </c>
      <c r="C1869" s="1" t="s">
        <v>1771</v>
      </c>
      <c r="D1869" s="1" t="s">
        <v>420</v>
      </c>
      <c r="E1869" s="1" t="s">
        <v>3284</v>
      </c>
      <c r="F1869" s="1" t="s">
        <v>3863</v>
      </c>
      <c r="G1869" s="1" t="s">
        <v>36</v>
      </c>
      <c r="H1869" s="1" t="s">
        <v>29</v>
      </c>
      <c r="I1869" s="1" t="str">
        <f ca="1">IFERROR(__xludf.DUMMYFUNCTION("GOOGLETRANSLATE(F1869, ""auto"", ""en"")
"),"The sound quality of the Blu-Ray images is excellent.  I'm happy with the purchase.  Loads quickly Cons: DVD with low bitrate refuses to read USB reading does not work")</f>
        <v>The sound quality of the Blu-Ray images is excellent.  I'm happy with the purchase.  Loads quickly Cons: DVD with low bitrate refuses to read USB reading does not work</v>
      </c>
    </row>
    <row r="1870" spans="1:9" x14ac:dyDescent="0.3">
      <c r="A1870" s="1" t="s">
        <v>67</v>
      </c>
      <c r="B1870" s="1" t="s">
        <v>68</v>
      </c>
      <c r="C1870" s="1" t="s">
        <v>381</v>
      </c>
      <c r="D1870" s="1" t="s">
        <v>2764</v>
      </c>
      <c r="E1870" s="1" t="s">
        <v>3864</v>
      </c>
      <c r="F1870" s="1" t="s">
        <v>3865</v>
      </c>
      <c r="G1870" s="1" t="s">
        <v>36</v>
      </c>
      <c r="H1870" s="1" t="s">
        <v>29</v>
      </c>
      <c r="I1870" s="1" t="str">
        <f ca="1">IFERROR(__xludf.DUMMYFUNCTION("GOOGLETRANSLATE(F1870, ""auto"", ""en"")
"),"We bought it this summer on vacation and were very pleased: it heats up quickly, irons clothes perfectly, is light and compact! An excellent purchase, because... I've been wanting a travel iron for a long time.")</f>
        <v>We bought it this summer on vacation and were very pleased: it heats up quickly, irons clothes perfectly, is light and compact! An excellent purchase, because... I've been wanting a travel iron for a long time.</v>
      </c>
    </row>
    <row r="1871" spans="1:9" x14ac:dyDescent="0.3">
      <c r="A1871" s="1" t="s">
        <v>211</v>
      </c>
      <c r="B1871" s="1" t="s">
        <v>212</v>
      </c>
      <c r="C1871" s="1" t="s">
        <v>381</v>
      </c>
      <c r="D1871" s="1" t="s">
        <v>2233</v>
      </c>
      <c r="E1871" s="1" t="s">
        <v>2432</v>
      </c>
      <c r="F1871" s="1" t="s">
        <v>3866</v>
      </c>
      <c r="G1871" s="1" t="s">
        <v>36</v>
      </c>
      <c r="H1871" s="1" t="s">
        <v>29</v>
      </c>
      <c r="I1871" s="1" t="str">
        <f ca="1">IFERROR(__xludf.DUMMYFUNCTION("GOOGLETRANSLATE(F1871, ""auto"", ""en"")
"),"Great model. I use it often, for 4 years now, and it has never let me down. The power of 1700 is noticeable, hair dries quickly. It’s pleasant in the hand, not heavy, it’s convenient that the air flow and temperature can be changed.")</f>
        <v>Great model. I use it often, for 4 years now, and it has never let me down. The power of 1700 is noticeable, hair dries quickly. It’s pleasant in the hand, not heavy, it’s convenient that the air flow and temperature can be changed.</v>
      </c>
    </row>
    <row r="1872" spans="1:9" x14ac:dyDescent="0.3">
      <c r="A1872" s="1" t="s">
        <v>37</v>
      </c>
      <c r="B1872" s="1" t="s">
        <v>38</v>
      </c>
      <c r="C1872" s="1" t="s">
        <v>69</v>
      </c>
      <c r="D1872" s="1" t="s">
        <v>102</v>
      </c>
      <c r="E1872" s="1" t="s">
        <v>3867</v>
      </c>
      <c r="F1872" s="1" t="s">
        <v>3868</v>
      </c>
      <c r="G1872" s="1" t="s">
        <v>36</v>
      </c>
      <c r="H1872" s="1" t="s">
        <v>29</v>
      </c>
      <c r="I1872" s="1" t="str">
        <f ca="1">IFERROR(__xludf.DUMMYFUNCTION("GOOGLETRANSLATE(F1872, ""auto"", ""en"")
"),"Excellent design, build quality, optimal price/quality ratio, high-quality handwritten text recognition, the ability to view documents in various extensions, excellent screen, good volume, support for 8 GB and BATTERY!  They say correctly that this device"&amp;" has no competitors! Very pleased..")</f>
        <v>Excellent design, build quality, optimal price/quality ratio, high-quality handwritten text recognition, the ability to view documents in various extensions, excellent screen, good volume, support for 8 GB and BATTERY!  They say correctly that this device has no competitors! Very pleased..</v>
      </c>
    </row>
    <row r="1873" spans="1:9" x14ac:dyDescent="0.3">
      <c r="A1873" s="1" t="s">
        <v>55</v>
      </c>
      <c r="B1873" s="1" t="s">
        <v>56</v>
      </c>
      <c r="C1873" s="1" t="s">
        <v>57</v>
      </c>
      <c r="D1873" s="1" t="s">
        <v>152</v>
      </c>
      <c r="E1873" s="1" t="s">
        <v>1463</v>
      </c>
      <c r="F1873" s="1" t="s">
        <v>3869</v>
      </c>
      <c r="G1873" s="1" t="s">
        <v>28</v>
      </c>
      <c r="H1873" s="1" t="s">
        <v>29</v>
      </c>
      <c r="I1873" s="1" t="str">
        <f ca="1">IFERROR(__xludf.DUMMYFUNCTION("GOOGLETRANSLATE(F1873, ""auto"", ""en"")
"),"It’s a normal device (bought on sale), it works perfectly, the noise level is average, but after long-term use you get used to it and it’s not noticeable. The only negative is that it is large.")</f>
        <v>It’s a normal device (bought on sale), it works perfectly, the noise level is average, but after long-term use you get used to it and it’s not noticeable. The only negative is that it is large.</v>
      </c>
    </row>
    <row r="1874" spans="1:9" x14ac:dyDescent="0.3">
      <c r="A1874" s="1" t="s">
        <v>37</v>
      </c>
      <c r="B1874" s="1" t="s">
        <v>536</v>
      </c>
      <c r="C1874" s="1" t="s">
        <v>537</v>
      </c>
      <c r="D1874" s="1" t="s">
        <v>327</v>
      </c>
      <c r="E1874" s="1" t="s">
        <v>3469</v>
      </c>
      <c r="F1874" s="1" t="s">
        <v>3870</v>
      </c>
      <c r="G1874" s="1" t="s">
        <v>36</v>
      </c>
      <c r="H1874" s="1" t="s">
        <v>29</v>
      </c>
      <c r="I1874" s="1" t="str">
        <f ca="1">IFERROR(__xludf.DUMMYFUNCTION("GOOGLETRANSLATE(F1874, ""auto"", ""en"")
"),"I've been using the communicator for 2 months, I've been choosing it for a whole year, I settled on Diamond2, I bought it with OS 6.5, everything works great, the navigator is 5, I recommend it to everyone!!!")</f>
        <v>I've been using the communicator for 2 months, I've been choosing it for a whole year, I settled on Diamond2, I bought it with OS 6.5, everything works great, the navigator is 5, I recommend it to everyone!!!</v>
      </c>
    </row>
    <row r="1875" spans="1:9" x14ac:dyDescent="0.3">
      <c r="A1875" s="1" t="s">
        <v>61</v>
      </c>
      <c r="B1875" s="1" t="s">
        <v>434</v>
      </c>
      <c r="C1875" s="1" t="s">
        <v>185</v>
      </c>
      <c r="D1875" s="1" t="s">
        <v>3871</v>
      </c>
      <c r="E1875" s="1" t="s">
        <v>3872</v>
      </c>
      <c r="F1875" s="1" t="s">
        <v>3873</v>
      </c>
      <c r="G1875" s="1" t="s">
        <v>36</v>
      </c>
      <c r="H1875" s="1" t="s">
        <v>29</v>
      </c>
      <c r="I1875" s="1" t="str">
        <f ca="1">IFERROR(__xludf.DUMMYFUNCTION("GOOGLETRANSLATE(F1875, ""auto"", ""en"")
"),"We bought the device in January, it’s really a mini-oven!!!!! There is everything - convection, grill, we also often use defrosting, meat and fish turn out juicy! The timer and heating function were very useful... The only negative is the size, it takes u"&amp;"p quite a bit of space, although if you compare how much space a regular stove (including oven) takes up, these are flowers.....")</f>
        <v>We bought the device in January, it’s really a mini-oven!!!!! There is everything - convection, grill, we also often use defrosting, meat and fish turn out juicy! The timer and heating function were very useful... The only negative is the size, it takes up quite a bit of space, although if you compare how much space a regular stove (including oven) takes up, these are flowers.....</v>
      </c>
    </row>
    <row r="1876" spans="1:9" x14ac:dyDescent="0.3">
      <c r="A1876" s="1" t="s">
        <v>206</v>
      </c>
      <c r="B1876" s="1" t="s">
        <v>207</v>
      </c>
      <c r="C1876" s="1" t="s">
        <v>351</v>
      </c>
      <c r="D1876" s="1" t="s">
        <v>3874</v>
      </c>
      <c r="E1876" s="1" t="s">
        <v>3875</v>
      </c>
      <c r="F1876" s="1" t="s">
        <v>3876</v>
      </c>
      <c r="G1876" s="1" t="s">
        <v>28</v>
      </c>
      <c r="H1876" s="1" t="s">
        <v>29</v>
      </c>
      <c r="I1876" s="1" t="str">
        <f ca="1">IFERROR(__xludf.DUMMYFUNCTION("GOOGLETRANSLATE(F1876, ""auto"", ""en"")
"),"Well, I installed this sub at home along with the Topdevice TDE 420/5.1 acoustics, at first I was very upset, but after setting up my happiness there is no limit, as for the sound, the first sounds I heard were knocking, wheezing and simple booming, but n"&amp;"ow I hear deep and quite clear bass, but there is one problem, if the volume exceeds 85%, then it all disappears and the phasic begins to simply drive air.")</f>
        <v>Well, I installed this sub at home along with the Topdevice TDE 420/5.1 acoustics, at first I was very upset, but after setting up my happiness there is no limit, as for the sound, the first sounds I heard were knocking, wheezing and simple booming, but now I hear deep and quite clear bass, but there is one problem, if the volume exceeds 85%, then it all disappears and the phasic begins to simply drive air.</v>
      </c>
    </row>
    <row r="1877" spans="1:9" x14ac:dyDescent="0.3">
      <c r="A1877" s="1" t="s">
        <v>9</v>
      </c>
      <c r="B1877" s="1" t="s">
        <v>10</v>
      </c>
      <c r="C1877" s="1" t="s">
        <v>407</v>
      </c>
      <c r="D1877" s="1" t="s">
        <v>247</v>
      </c>
      <c r="E1877" s="1" t="s">
        <v>3877</v>
      </c>
      <c r="F1877" s="1" t="s">
        <v>3878</v>
      </c>
      <c r="G1877" s="1" t="s">
        <v>36</v>
      </c>
      <c r="H1877" s="1" t="s">
        <v>29</v>
      </c>
      <c r="I1877" s="1" t="str">
        <f ca="1">IFERROR(__xludf.DUMMYFUNCTION("GOOGLETRANSLATE(F1877, ""auto"", ""en"")
"),"Last year we bought a Metida 60 hood for our parents as a gift for their dacha; we were pleased that for this price the hood comes with a carbon filter.  Parents really like the buttons, as the previous hood with a slide switch had problems.")</f>
        <v>Last year we bought a Metida 60 hood for our parents as a gift for their dacha; we were pleased that for this price the hood comes with a carbon filter.  Parents really like the buttons, as the previous hood with a slide switch had problems.</v>
      </c>
    </row>
    <row r="1878" spans="1:9" x14ac:dyDescent="0.3">
      <c r="A1878" s="1" t="s">
        <v>105</v>
      </c>
      <c r="B1878" s="1" t="s">
        <v>106</v>
      </c>
      <c r="C1878" s="1" t="s">
        <v>151</v>
      </c>
      <c r="D1878" s="1" t="s">
        <v>3879</v>
      </c>
      <c r="E1878" s="1" t="s">
        <v>460</v>
      </c>
      <c r="F1878" s="1" t="s">
        <v>3880</v>
      </c>
      <c r="G1878" s="1" t="s">
        <v>36</v>
      </c>
      <c r="H1878" s="1" t="s">
        <v>29</v>
      </c>
      <c r="I1878" s="1" t="str">
        <f ca="1">IFERROR(__xludf.DUMMYFUNCTION("GOOGLETRANSLATE(F1878, ""auto"", ""en"")
"),"I’ve been using it for more than a year, I’m just happy that such a player exists, I’m happy with everything related to music, then according to the results of testing by CHIP magazine, this player scored 100 out of 100 (the only one of all tested), so dr"&amp;"aw a conclusion. Buy it, you won’t regret it, install the latest firmware and watch the video without conversion. The included headphones are of very high quality and will not require replacement in the future. Buy it, you won’t regret it - I recommend it"&amp;" to everyone!!!!")</f>
        <v>I’ve been using it for more than a year, I’m just happy that such a player exists, I’m happy with everything related to music, then according to the results of testing by CHIP magazine, this player scored 100 out of 100 (the only one of all tested), so draw a conclusion. Buy it, you won’t regret it, install the latest firmware and watch the video without conversion. The included headphones are of very high quality and will not require replacement in the future. Buy it, you won’t regret it - I recommend it to everyone!!!!</v>
      </c>
    </row>
    <row r="1879" spans="1:9" x14ac:dyDescent="0.3">
      <c r="A1879" s="1" t="s">
        <v>282</v>
      </c>
      <c r="B1879" s="1" t="s">
        <v>283</v>
      </c>
      <c r="C1879" s="1" t="s">
        <v>284</v>
      </c>
      <c r="D1879" s="1" t="s">
        <v>86</v>
      </c>
      <c r="E1879" s="1" t="s">
        <v>285</v>
      </c>
      <c r="F1879" s="1" t="s">
        <v>3881</v>
      </c>
      <c r="G1879" s="1" t="s">
        <v>36</v>
      </c>
      <c r="H1879" s="1" t="s">
        <v>29</v>
      </c>
      <c r="I1879" s="1" t="str">
        <f ca="1">IFERROR(__xludf.DUMMYFUNCTION("GOOGLETRANSLATE(F1879, ""auto"", ""en"")
"),"Excellent children's movie, moms and dads - take it!")</f>
        <v>Excellent children's movie, moms and dads - take it!</v>
      </c>
    </row>
    <row r="1880" spans="1:9" x14ac:dyDescent="0.3">
      <c r="A1880" s="1" t="s">
        <v>61</v>
      </c>
      <c r="B1880" s="1" t="s">
        <v>145</v>
      </c>
      <c r="C1880" s="1" t="s">
        <v>57</v>
      </c>
      <c r="D1880" s="1" t="s">
        <v>308</v>
      </c>
      <c r="E1880" s="1" t="s">
        <v>3333</v>
      </c>
      <c r="F1880" s="1" t="s">
        <v>3882</v>
      </c>
      <c r="G1880" s="1" t="s">
        <v>28</v>
      </c>
      <c r="H1880" s="1" t="s">
        <v>29</v>
      </c>
      <c r="I1880" s="1" t="str">
        <f ca="1">IFERROR(__xludf.DUMMYFUNCTION("GOOGLETRANSLATE(F1880, ""auto"", ""en"")
"),"The deep fryer is good, everything stated is true, except that the body still heats up during cooking. Easy to clean, there is no smell, fumes, burning or smoke. Used it for the first time today. Everything is fast and tasty.")</f>
        <v>The deep fryer is good, everything stated is true, except that the body still heats up during cooking. Easy to clean, there is no smell, fumes, burning or smoke. Used it for the first time today. Everything is fast and tasty.</v>
      </c>
    </row>
    <row r="1881" spans="1:9" x14ac:dyDescent="0.3">
      <c r="A1881" s="1" t="s">
        <v>169</v>
      </c>
      <c r="B1881" s="1" t="s">
        <v>170</v>
      </c>
      <c r="C1881" s="1" t="s">
        <v>69</v>
      </c>
      <c r="D1881" s="1" t="s">
        <v>3883</v>
      </c>
      <c r="E1881" s="1" t="s">
        <v>3089</v>
      </c>
      <c r="F1881" s="1" t="s">
        <v>3884</v>
      </c>
      <c r="G1881" s="1" t="s">
        <v>28</v>
      </c>
      <c r="H1881" s="1" t="s">
        <v>29</v>
      </c>
      <c r="I1881" s="1" t="str">
        <f ca="1">IFERROR(__xludf.DUMMYFUNCTION("GOOGLETRANSLATE(F1881, ""auto"", ""en"")
"),"In this price category, this is perhaps one of the most worthy of the ears: the sound and build quality, convenience, are a little inferior to my HD 515 series from another manufacturer, which I bought for almost 3 times more expensive. I recommend it.")</f>
        <v>In this price category, this is perhaps one of the most worthy of the ears: the sound and build quality, convenience, are a little inferior to my HD 515 series from another manufacturer, which I bought for almost 3 times more expensive. I recommend it.</v>
      </c>
    </row>
    <row r="1882" spans="1:9" x14ac:dyDescent="0.3">
      <c r="A1882" s="1" t="s">
        <v>120</v>
      </c>
      <c r="B1882" s="1" t="s">
        <v>121</v>
      </c>
      <c r="C1882" s="1" t="s">
        <v>151</v>
      </c>
      <c r="D1882" s="1" t="s">
        <v>305</v>
      </c>
      <c r="E1882" s="1" t="s">
        <v>397</v>
      </c>
      <c r="F1882" s="1" t="s">
        <v>3885</v>
      </c>
      <c r="G1882" s="1" t="s">
        <v>36</v>
      </c>
      <c r="H1882" s="1" t="s">
        <v>29</v>
      </c>
      <c r="I1882" s="1" t="str">
        <f ca="1">IFERROR(__xludf.DUMMYFUNCTION("GOOGLETRANSLATE(F1882, ""auto"", ""en"")
"),"The digital display is perfect, but the analog signal is worse, of course. An excellent choice for the money. sorry no usb. I'm enjoying xbox now :) in general, I got what I expected")</f>
        <v>The digital display is perfect, but the analog signal is worse, of course. An excellent choice for the money. sorry no usb. I'm enjoying xbox now :) in general, I got what I expected</v>
      </c>
    </row>
    <row r="1883" spans="1:9" x14ac:dyDescent="0.3">
      <c r="A1883" s="1" t="s">
        <v>477</v>
      </c>
      <c r="B1883" s="1" t="s">
        <v>478</v>
      </c>
      <c r="C1883" s="1" t="s">
        <v>479</v>
      </c>
      <c r="D1883" s="1" t="s">
        <v>139</v>
      </c>
      <c r="E1883" s="1" t="s">
        <v>3300</v>
      </c>
      <c r="F1883" s="1" t="s">
        <v>3886</v>
      </c>
      <c r="G1883" s="1" t="s">
        <v>36</v>
      </c>
      <c r="H1883" s="1" t="s">
        <v>29</v>
      </c>
      <c r="I1883" s="1" t="str">
        <f ca="1">IFERROR(__xludf.DUMMYFUNCTION("GOOGLETRANSLATE(F1883, ""auto"", ""en"")
"),"The game is great. Almost the only well-made game about the domestic automobile industry.")</f>
        <v>The game is great. Almost the only well-made game about the domestic automobile industry.</v>
      </c>
    </row>
    <row r="1884" spans="1:9" x14ac:dyDescent="0.3">
      <c r="A1884" s="1" t="s">
        <v>149</v>
      </c>
      <c r="B1884" s="1" t="s">
        <v>423</v>
      </c>
      <c r="C1884" s="1" t="s">
        <v>424</v>
      </c>
      <c r="D1884" s="1" t="s">
        <v>3887</v>
      </c>
      <c r="E1884" s="1" t="s">
        <v>3454</v>
      </c>
      <c r="F1884" s="1" t="s">
        <v>3888</v>
      </c>
      <c r="G1884" s="1" t="s">
        <v>36</v>
      </c>
      <c r="H1884" s="1" t="s">
        <v>29</v>
      </c>
      <c r="I1884" s="1" t="str">
        <f ca="1">IFERROR(__xludf.DUMMYFUNCTION("GOOGLETRANSLATE(F1884, ""auto"", ""en"")
"),"Advantages: Compact, its design easily fits into any style of apartment decoration. No bigger than a regular vacuum cleaner and takes up the same amount of space. The set contains 2 products - a medium bottle for cleaning carpets and upholstered furniture"&amp;", as well as a large bottle for cleaning floors. The washing of the declared highest class shows itself immediately. Cleans the floor more than efficiently, the suction power is enormous, the floor remains MEGA clean. The vacuum cleaner itself is very lig"&amp;"ht without water, but with water it rides on its wheels very briskly, not a carpet, not a wire is not a problem for it. All dirt inside the vacuum cleaner ends up in the water. Just drained it - that's all!      Disadvantages: The cord really does not rew"&amp;"ind automatically, and these are perhaps all the disadvantages.      Comment: Even my grandmother was able to use the vacuum cleaner - everything is so simple and easy. I set up an experiment: before the first wash with this vacuum cleaner, I washed the e"&amp;"ntire apartment with a well-known floor detergent using a regular mop. Then I vacuumed it with this vacuum cleaner. The water that I drained after that was very dirty, although I mop 2 times a week! In general, I advise everyone not to overpay, but to buy"&amp;" this particular device.")</f>
        <v>Advantages: Compact, its design easily fits into any style of apartment decoration. No bigger than a regular vacuum cleaner and takes up the same amount of space. The set contains 2 products - a medium bottle for cleaning carpets and upholstered furniture, as well as a large bottle for cleaning floors. The washing of the declared highest class shows itself immediately. Cleans the floor more than efficiently, the suction power is enormous, the floor remains MEGA clean. The vacuum cleaner itself is very light without water, but with water it rides on its wheels very briskly, not a carpet, not a wire is not a problem for it. All dirt inside the vacuum cleaner ends up in the water. Just drained it - that's all!      Disadvantages: The cord really does not rewind automatically, and these are perhaps all the disadvantages.      Comment: Even my grandmother was able to use the vacuum cleaner - everything is so simple and easy. I set up an experiment: before the first wash with this vacuum cleaner, I washed the entire apartment with a well-known floor detergent using a regular mop. Then I vacuumed it with this vacuum cleaner. The water that I drained after that was very dirty, although I mop 2 times a week! In general, I advise everyone not to overpay, but to buy this particular device.</v>
      </c>
    </row>
    <row r="1885" spans="1:9" x14ac:dyDescent="0.3">
      <c r="A1885" s="1" t="s">
        <v>61</v>
      </c>
      <c r="B1885" s="1" t="s">
        <v>145</v>
      </c>
      <c r="C1885" s="1" t="s">
        <v>74</v>
      </c>
      <c r="D1885" s="1" t="s">
        <v>305</v>
      </c>
      <c r="E1885" s="1" t="s">
        <v>427</v>
      </c>
      <c r="F1885" s="1" t="s">
        <v>3889</v>
      </c>
      <c r="G1885" s="1" t="s">
        <v>28</v>
      </c>
      <c r="H1885" s="1" t="s">
        <v>29</v>
      </c>
      <c r="I1885" s="1" t="str">
        <f ca="1">IFERROR(__xludf.DUMMYFUNCTION("GOOGLETRANSLATE(F1885, ""auto"", ""en"")
"),"I agree with Dmitry.   Steamed rice is a delicious thing, and the lack of a tray for it is a minus. That's why I'm giving it a four. Otherwise I'm happy - we didn't need to top it up during cooking for two months. For a family of two or three people, the "&amp;"size is optimal. For a larger number of mouths, I advise you to look for a larger model")</f>
        <v>I agree with Dmitry.   Steamed rice is a delicious thing, and the lack of a tray for it is a minus. That's why I'm giving it a four. Otherwise I'm happy - we didn't need to top it up during cooking for two months. For a family of two or three people, the size is optimal. For a larger number of mouths, I advise you to look for a larger model</v>
      </c>
    </row>
    <row r="1886" spans="1:9" x14ac:dyDescent="0.3">
      <c r="A1886" s="1" t="s">
        <v>61</v>
      </c>
      <c r="B1886" s="1" t="s">
        <v>62</v>
      </c>
      <c r="C1886" s="1" t="s">
        <v>146</v>
      </c>
      <c r="D1886" s="1" t="s">
        <v>3589</v>
      </c>
      <c r="E1886" s="1" t="s">
        <v>3890</v>
      </c>
      <c r="F1886" s="1" t="s">
        <v>3891</v>
      </c>
      <c r="G1886" s="1" t="s">
        <v>36</v>
      </c>
      <c r="H1886" s="1" t="s">
        <v>29</v>
      </c>
      <c r="I1886" s="1" t="str">
        <f ca="1">IFERROR(__xludf.DUMMYFUNCTION("GOOGLETRANSLATE(F1886, ""auto"", ""en"")
"),"Great Thing! I'm happy! And if anyone has a smell of burnt plastic, then you should read the instructions!  Well, regarding the noise, I can say that the combine “makes noise” very quietly!")</f>
        <v>Great Thing! I'm happy! And if anyone has a smell of burnt plastic, then you should read the instructions!  Well, regarding the noise, I can say that the combine “makes noise” very quietly!</v>
      </c>
    </row>
    <row r="1887" spans="1:9" x14ac:dyDescent="0.3">
      <c r="A1887" s="1" t="s">
        <v>169</v>
      </c>
      <c r="B1887" s="1" t="s">
        <v>170</v>
      </c>
      <c r="C1887" s="1" t="s">
        <v>97</v>
      </c>
      <c r="D1887" s="1" t="s">
        <v>3892</v>
      </c>
      <c r="E1887" s="1" t="s">
        <v>178</v>
      </c>
      <c r="F1887" s="1" t="s">
        <v>3893</v>
      </c>
      <c r="G1887" s="1" t="s">
        <v>15</v>
      </c>
      <c r="H1887" s="1" t="s">
        <v>16</v>
      </c>
      <c r="I1887" s="1" t="str">
        <f ca="1">IFERROR(__xludf.DUMMYFUNCTION("GOOGLETRANSLATE(F1887, ""auto"", ""en"")
"),"I didn’t like the headphones at all, they lower the sound, the sound quality is disgusting, there is practically no bass, the reproduction is not clear. I don't think they're worth that kind of money!!!")</f>
        <v>I didn’t like the headphones at all, they lower the sound, the sound quality is disgusting, there is practically no bass, the reproduction is not clear. I don't think they're worth that kind of money!!!</v>
      </c>
    </row>
    <row r="1888" spans="1:9" x14ac:dyDescent="0.3">
      <c r="A1888" s="1" t="s">
        <v>43</v>
      </c>
      <c r="B1888" s="1" t="s">
        <v>502</v>
      </c>
      <c r="C1888" s="1" t="s">
        <v>151</v>
      </c>
      <c r="D1888" s="1" t="s">
        <v>152</v>
      </c>
      <c r="E1888" s="1" t="s">
        <v>3894</v>
      </c>
      <c r="F1888" s="1" t="s">
        <v>3895</v>
      </c>
      <c r="G1888" s="1" t="s">
        <v>36</v>
      </c>
      <c r="H1888" s="1" t="s">
        <v>29</v>
      </c>
      <c r="I1888" s="1" t="str">
        <f ca="1">IFERROR(__xludf.DUMMYFUNCTION("GOOGLETRANSLATE(F1888, ""auto"", ""en"")
"),"The condo is not noisy! Excellent cooling and heating. It works, you can’t hear what’s inside or outside")</f>
        <v>The condo is not noisy! Excellent cooling and heating. It works, you can’t hear what’s inside or outside</v>
      </c>
    </row>
    <row r="1889" spans="1:9" x14ac:dyDescent="0.3">
      <c r="A1889" s="1" t="s">
        <v>37</v>
      </c>
      <c r="B1889" s="1" t="s">
        <v>38</v>
      </c>
      <c r="C1889" s="1" t="s">
        <v>39</v>
      </c>
      <c r="D1889" s="1" t="s">
        <v>3896</v>
      </c>
      <c r="E1889" s="1" t="s">
        <v>571</v>
      </c>
      <c r="F1889" s="1" t="s">
        <v>3897</v>
      </c>
      <c r="G1889" s="1" t="s">
        <v>49</v>
      </c>
      <c r="H1889" s="1" t="s">
        <v>16</v>
      </c>
      <c r="I1889" s="1" t="str">
        <f ca="1">IFERROR(__xludf.DUMMYFUNCTION("GOOGLETRANSLATE(F1889, ""auto"", ""en"")
"),"let's continue 5. it didn't work out to make friends with any program for editing contacts can transfer contacts 1 at a time via bluetooth contacts can be divided into groups (no more than 10 in a group - funny) 6. support from SE no normal firewood was w"&amp;"ritten by the portal in a year http://www.sonyericsson.com/wportal/uss/promotion?cc=ru&amp;lc=ru phone is supported only at the input during setup (confirmation) model is missing 7. Update Service the phone does not know, it is only flashed with paid SETools "&amp;"with a tambourine 8. The existing firmware 3, although it is already flashed, is buggy, perhaps because of the bluetooth headset, the body loses the network for no reason at all until the reboot (even the account balance request does not work, not to ment"&amp;"ion calls) with this, everything is possible with the network, because of it, the microphone of the body itself fell off when the headset was turned off before reboot")</f>
        <v>let's continue 5. it didn't work out to make friends with any program for editing contacts can transfer contacts 1 at a time via bluetooth contacts can be divided into groups (no more than 10 in a group - funny) 6. support from SE no normal firewood was written by the portal in a year http://www.sonyericsson.com/wportal/uss/promotion?cc=ru&amp;lc=ru phone is supported only at the input during setup (confirmation) model is missing 7. Update Service the phone does not know, it is only flashed with paid SETools with a tambourine 8. The existing firmware 3, although it is already flashed, is buggy, perhaps because of the bluetooth headset, the body loses the network for no reason at all until the reboot (even the account balance request does not work, not to mention calls) with this, everything is possible with the network, because of it, the microphone of the body itself fell off when the headset was turned off before reboot</v>
      </c>
    </row>
    <row r="1890" spans="1:9" x14ac:dyDescent="0.3">
      <c r="A1890" s="1" t="s">
        <v>43</v>
      </c>
      <c r="B1890" s="1" t="s">
        <v>303</v>
      </c>
      <c r="C1890" s="1" t="s">
        <v>1721</v>
      </c>
      <c r="D1890" s="1" t="s">
        <v>2462</v>
      </c>
      <c r="E1890" s="1" t="s">
        <v>1929</v>
      </c>
      <c r="F1890" s="1" t="s">
        <v>3898</v>
      </c>
      <c r="G1890" s="1" t="s">
        <v>15</v>
      </c>
      <c r="H1890" s="1" t="s">
        <v>16</v>
      </c>
      <c r="I1890" s="1" t="str">
        <f ca="1">IFERROR(__xludf.DUMMYFUNCTION("GOOGLETRANSLATE(F1890, ""auto"", ""en"")
"),"I bought a water heater in May 2010. installed it in the dressing room, immediately began to work intermittently, apparently the protection was triggered. I called a service technician from the service center, and he, apparently Vasya and the store, began"&amp;" to tell me about the condensation on the tank that forms on the body of the tank, since inside is where the electric power is located. the filling was water. I believed it, threw out the electronics and installed a simple thermostat, which worked through"&amp;"out the hot summer of 2010 so as not to heat the bathhouse. Helped me out. I took it off for the winter. I took it apart, it turned out there was a manufacturing defect during assembly, the rubber gasket did not fit tightly with the heating element assemb"&amp;"ly, and it turns out there was a leak there. Conclusion: The factory does not check the build quality properly. So next time I will buy something else.")</f>
        <v>I bought a water heater in May 2010. installed it in the dressing room, immediately began to work intermittently, apparently the protection was triggered. I called a service technician from the service center, and he, apparently Vasya and the store, began to tell me about the condensation on the tank that forms on the body of the tank, since inside is where the electric power is located. the filling was water. I believed it, threw out the electronics and installed a simple thermostat, which worked throughout the hot summer of 2010 so as not to heat the bathhouse. Helped me out. I took it off for the winter. I took it apart, it turned out there was a manufacturing defect during assembly, the rubber gasket did not fit tightly with the heating element assembly, and it turns out there was a leak there. Conclusion: The factory does not check the build quality properly. So next time I will buy something else.</v>
      </c>
    </row>
    <row r="1891" spans="1:9" x14ac:dyDescent="0.3">
      <c r="A1891" s="1" t="s">
        <v>61</v>
      </c>
      <c r="B1891" s="1" t="s">
        <v>73</v>
      </c>
      <c r="C1891" s="1" t="s">
        <v>101</v>
      </c>
      <c r="D1891" s="1" t="s">
        <v>474</v>
      </c>
      <c r="E1891" s="1" t="s">
        <v>569</v>
      </c>
      <c r="F1891" s="1" t="s">
        <v>3899</v>
      </c>
      <c r="G1891" s="1" t="s">
        <v>28</v>
      </c>
      <c r="H1891" s="1" t="s">
        <v>29</v>
      </c>
      <c r="I1891" s="1" t="str">
        <f ca="1">IFERROR(__xludf.DUMMYFUNCTION("GOOGLETRANSLATE(F1891, ""auto"", ""en"")
"),"Today we bought this meat grinder and immediately tested it. We turned 1.7 kg in it. brisket and 2 kg. hams, everything went great, you don’t even need to push the meat much, it goes away on its own, the minced meat turned out good (not plasticine), I was"&amp;" satisfied. When I read reviews about it after the purchase, I was shocked and wanted to run to change it, but my husband suggested trying it out and I calmed down. The noise level is average (not annoying), it doesn’t vibrate or jump, overall I’m happy w"&amp;"ith the purchase!")</f>
        <v>Today we bought this meat grinder and immediately tested it. We turned 1.7 kg in it. brisket and 2 kg. hams, everything went great, you don’t even need to push the meat much, it goes away on its own, the minced meat turned out good (not plasticine), I was satisfied. When I read reviews about it after the purchase, I was shocked and wanted to run to change it, but my husband suggested trying it out and I calmed down. The noise level is average (not annoying), it doesn’t vibrate or jump, overall I’m happy with the purchase!</v>
      </c>
    </row>
    <row r="1892" spans="1:9" x14ac:dyDescent="0.3">
      <c r="A1892" s="1" t="s">
        <v>43</v>
      </c>
      <c r="B1892" s="1" t="s">
        <v>458</v>
      </c>
      <c r="C1892" s="1" t="s">
        <v>459</v>
      </c>
      <c r="D1892" s="1" t="s">
        <v>940</v>
      </c>
      <c r="E1892" s="1" t="s">
        <v>960</v>
      </c>
      <c r="F1892" s="1" t="s">
        <v>3900</v>
      </c>
      <c r="G1892" s="1" t="s">
        <v>36</v>
      </c>
      <c r="H1892" s="1" t="s">
        <v>29</v>
      </c>
      <c r="I1892" s="1" t="str">
        <f ca="1">IFERROR(__xludf.DUMMYFUNCTION("GOOGLETRANSLATE(F1892, ""auto"", ""en"")
"),"We bought it 4 years ago from MVIDEO and are very pleased. The installers stuck it into the window and that's how it weighs. There is a small child running around the house, but that doesn’t stop him from turning it on. When you point the doors up and cov"&amp;"er the tulle, the room is cooled without blowing across the floor.  Tip: for protection against poplar fluff, wasps, etc. Cover the side entrance holes with mosquito netting. You don't have to clean it in spring and fall.")</f>
        <v>We bought it 4 years ago from MVIDEO and are very pleased. The installers stuck it into the window and that's how it weighs. There is a small child running around the house, but that doesn’t stop him from turning it on. When you point the doors up and cover the tulle, the room is cooled without blowing across the floor.  Tip: for protection against poplar fluff, wasps, etc. Cover the side entrance holes with mosquito netting. You don't have to clean it in spring and fall.</v>
      </c>
    </row>
    <row r="1893" spans="1:9" x14ac:dyDescent="0.3">
      <c r="A1893" s="1" t="s">
        <v>169</v>
      </c>
      <c r="B1893" s="1" t="s">
        <v>170</v>
      </c>
      <c r="C1893" s="1" t="s">
        <v>97</v>
      </c>
      <c r="D1893" s="1" t="s">
        <v>200</v>
      </c>
      <c r="E1893" s="1" t="s">
        <v>1371</v>
      </c>
      <c r="F1893" s="1" t="s">
        <v>3901</v>
      </c>
      <c r="G1893" s="1" t="s">
        <v>36</v>
      </c>
      <c r="H1893" s="1" t="s">
        <v>29</v>
      </c>
      <c r="I1893" s="1" t="str">
        <f ca="1">IFERROR(__xludf.DUMMYFUNCTION("GOOGLETRANSLATE(F1893, ""auto"", ""en"")
"),"the headphones are good, but when you buy, check how you paid right away, most of them rattle in the right ear (defective)")</f>
        <v>the headphones are good, but when you buy, check how you paid right away, most of them rattle in the right ear (defective)</v>
      </c>
    </row>
    <row r="1894" spans="1:9" x14ac:dyDescent="0.3">
      <c r="A1894" s="1" t="s">
        <v>811</v>
      </c>
      <c r="B1894" s="1" t="s">
        <v>812</v>
      </c>
      <c r="C1894" s="1" t="s">
        <v>949</v>
      </c>
      <c r="D1894" s="1" t="s">
        <v>127</v>
      </c>
      <c r="E1894" s="1" t="s">
        <v>2265</v>
      </c>
      <c r="F1894" s="1" t="s">
        <v>3902</v>
      </c>
      <c r="G1894" s="1" t="s">
        <v>49</v>
      </c>
      <c r="H1894" s="1" t="s">
        <v>16</v>
      </c>
      <c r="I1894" s="1" t="str">
        <f ca="1">IFERROR(__xludf.DUMMYFUNCTION("GOOGLETRANSLATE(F1894, ""auto"", ""en"")
"),"Disgusting and inconvenient tripod. The head moves jerkily.")</f>
        <v>Disgusting and inconvenient tripod. The head moves jerkily.</v>
      </c>
    </row>
    <row r="1895" spans="1:9" x14ac:dyDescent="0.3">
      <c r="A1895" s="1" t="s">
        <v>17</v>
      </c>
      <c r="B1895" s="1" t="s">
        <v>18</v>
      </c>
      <c r="C1895" s="1" t="s">
        <v>243</v>
      </c>
      <c r="D1895" s="1" t="s">
        <v>774</v>
      </c>
      <c r="E1895" s="1" t="s">
        <v>3903</v>
      </c>
      <c r="F1895" s="1" t="s">
        <v>3904</v>
      </c>
      <c r="G1895" s="1" t="s">
        <v>28</v>
      </c>
      <c r="H1895" s="1" t="s">
        <v>29</v>
      </c>
      <c r="I1895" s="1" t="str">
        <f ca="1">IFERROR(__xludf.DUMMYFUNCTION("GOOGLETRANSLATE(F1895, ""auto"", ""en"")
"),"Bought 8,06,13 years old. A lot of things have accumulated due to the fact that other manufacturers were defective twice (returned to the store) Thanks indesit!!! It's an inexpensive machine, but it washes very well and quickly!!!")</f>
        <v>Bought 8,06,13 years old. A lot of things have accumulated due to the fact that other manufacturers were defective twice (returned to the store) Thanks indesit!!! It's an inexpensive machine, but it washes very well and quickly!!!</v>
      </c>
    </row>
    <row r="1896" spans="1:9" x14ac:dyDescent="0.3">
      <c r="A1896" s="1" t="s">
        <v>477</v>
      </c>
      <c r="B1896" s="1" t="s">
        <v>478</v>
      </c>
      <c r="C1896" s="1" t="s">
        <v>479</v>
      </c>
      <c r="D1896" s="1" t="s">
        <v>139</v>
      </c>
      <c r="E1896" s="1" t="s">
        <v>2684</v>
      </c>
      <c r="F1896" s="1" t="s">
        <v>3905</v>
      </c>
      <c r="G1896" s="1" t="s">
        <v>36</v>
      </c>
      <c r="H1896" s="1" t="s">
        <v>29</v>
      </c>
      <c r="I1896" s="1" t="str">
        <f ca="1">IFERROR(__xludf.DUMMYFUNCTION("GOOGLETRANSLATE(F1896, ""auto"", ""en"")
"),"Dude from Stavropol, you advised me to watch the PES video and I watched it, becoming even more convinced that FIFA has bypassed PES in everything this year. If you want to know what exactly, please contact me.")</f>
        <v>Dude from Stavropol, you advised me to watch the PES video and I watched it, becoming even more convinced that FIFA has bypassed PES in everything this year. If you want to know what exactly, please contact me.</v>
      </c>
    </row>
    <row r="1897" spans="1:9" x14ac:dyDescent="0.3">
      <c r="A1897" s="1" t="s">
        <v>1119</v>
      </c>
      <c r="B1897" s="1" t="s">
        <v>1120</v>
      </c>
      <c r="C1897" s="1" t="s">
        <v>1152</v>
      </c>
      <c r="D1897" s="1" t="s">
        <v>987</v>
      </c>
      <c r="E1897" s="1" t="s">
        <v>3906</v>
      </c>
      <c r="F1897" s="1" t="s">
        <v>3907</v>
      </c>
      <c r="G1897" s="1" t="s">
        <v>36</v>
      </c>
      <c r="H1897" s="1" t="s">
        <v>29</v>
      </c>
      <c r="I1897" s="1" t="str">
        <f ca="1">IFERROR(__xludf.DUMMYFUNCTION("GOOGLETRANSLATE(F1897, ""auto"", ""en"")
"),"Cool, I really liked all the functions it has.")</f>
        <v>Cool, I really liked all the functions it has.</v>
      </c>
    </row>
    <row r="1898" spans="1:9" x14ac:dyDescent="0.3">
      <c r="A1898" s="1" t="s">
        <v>30</v>
      </c>
      <c r="B1898" s="1" t="s">
        <v>31</v>
      </c>
      <c r="C1898" s="1" t="s">
        <v>365</v>
      </c>
      <c r="D1898" s="1" t="s">
        <v>172</v>
      </c>
      <c r="E1898" s="1" t="s">
        <v>391</v>
      </c>
      <c r="F1898" s="1" t="s">
        <v>3908</v>
      </c>
      <c r="G1898" s="1" t="s">
        <v>36</v>
      </c>
      <c r="H1898" s="1" t="s">
        <v>29</v>
      </c>
      <c r="I1898" s="1" t="str">
        <f ca="1">IFERROR(__xludf.DUMMYFUNCTION("GOOGLETRANSLATE(F1898, ""auto"", ""en"")
"),"I liked the computer, I don’t regret the money spent.")</f>
        <v>I liked the computer, I don’t regret the money spent.</v>
      </c>
    </row>
    <row r="1899" spans="1:9" x14ac:dyDescent="0.3">
      <c r="A1899" s="1" t="s">
        <v>9</v>
      </c>
      <c r="B1899" s="1" t="s">
        <v>133</v>
      </c>
      <c r="C1899" s="1" t="s">
        <v>151</v>
      </c>
      <c r="D1899" s="1" t="s">
        <v>295</v>
      </c>
      <c r="E1899" s="1" t="s">
        <v>3909</v>
      </c>
      <c r="F1899" s="1" t="s">
        <v>3910</v>
      </c>
      <c r="G1899" s="1" t="s">
        <v>28</v>
      </c>
      <c r="H1899" s="1" t="s">
        <v>29</v>
      </c>
      <c r="I1899" s="1" t="str">
        <f ca="1">IFERROR(__xludf.DUMMYFUNCTION("GOOGLETRANSLATE(F1899, ""auto"", ""en"")
"),"In operation for the second year. Warms up quickly, bakes well, very convenient telescopic guides.  Easy to clean. My timer beeps until you turn it off. You can turn on the backlight when the operating mode is not active - convenient for cleaning. I'm ver"&amp;"y pleased. There was no cable either, we bought it in a regular store - the only negative, for Samsung it’s somehow not solid.")</f>
        <v>In operation for the second year. Warms up quickly, bakes well, very convenient telescopic guides.  Easy to clean. My timer beeps until you turn it off. You can turn on the backlight when the operating mode is not active - convenient for cleaning. I'm very pleased. There was no cable either, we bought it in a regular store - the only negative, for Samsung it’s somehow not solid.</v>
      </c>
    </row>
    <row r="1900" spans="1:9" x14ac:dyDescent="0.3">
      <c r="A1900" s="1" t="s">
        <v>17</v>
      </c>
      <c r="B1900" s="1" t="s">
        <v>18</v>
      </c>
      <c r="C1900" s="1" t="s">
        <v>870</v>
      </c>
      <c r="D1900" s="1" t="s">
        <v>152</v>
      </c>
      <c r="E1900" s="1" t="s">
        <v>577</v>
      </c>
      <c r="F1900" s="1" t="s">
        <v>3911</v>
      </c>
      <c r="G1900" s="1" t="s">
        <v>36</v>
      </c>
      <c r="H1900" s="1" t="s">
        <v>29</v>
      </c>
      <c r="I1900" s="1" t="str">
        <f ca="1">IFERROR(__xludf.DUMMYFUNCTION("GOOGLETRANSLATE(F1900, ""auto"", ""en"")
"),"I bought the machine 2 weeks ago and am very pleased: it works almost silently, washes perfectly. The car was installed by a professional technician - which I recommend to everyone.")</f>
        <v>I bought the machine 2 weeks ago and am very pleased: it works almost silently, washes perfectly. The car was installed by a professional technician - which I recommend to everyone.</v>
      </c>
    </row>
    <row r="1901" spans="1:9" x14ac:dyDescent="0.3">
      <c r="A1901" s="1" t="s">
        <v>37</v>
      </c>
      <c r="B1901" s="1" t="s">
        <v>38</v>
      </c>
      <c r="C1901" s="1" t="s">
        <v>151</v>
      </c>
      <c r="D1901" s="1" t="s">
        <v>3912</v>
      </c>
      <c r="E1901" s="1" t="s">
        <v>1167</v>
      </c>
      <c r="F1901" s="1" t="s">
        <v>3913</v>
      </c>
      <c r="G1901" s="1" t="s">
        <v>36</v>
      </c>
      <c r="H1901" s="1" t="s">
        <v>29</v>
      </c>
      <c r="I1901" s="1" t="str">
        <f ca="1">IFERROR(__xludf.DUMMYFUNCTION("GOOGLETRANSLATE(F1901, ""auto"", ""en"")
"),"It's very rare to find a phone with nothing to complain about. It seems that this time Samsung designers sat on the forums and collected the wishes of s5230 owners.    + design: fresh and modern + shape: narrower by 2 mm, rounded, fits much better in the "&amp;"hand, proportions are ideal.  + case: the back cover is not easily soiled, the surface is “soft” type, thanks to its shape it does not scratch, everything fits perfectly, the lid is made in the form of a lid :-) not movable. No play, no dents. The body is"&amp;" well built, inside it is assembled with screws and not with latches.   + self-sufficient camera with autofocus and flash.  + charges from the charger and from the computer, that is, the problem of charging at home and at work is actually solved. All conn"&amp;"ectors are on top.  + a full-fledged, standard USB cable through which you can even upload new firmware yourself.   + standard headphone jack + call and end call button made into a single rocker, no need to aim your fingers at the buttons, convenient.  + "&amp;"waffle is the dream of Star owners.  + those who wanted to buy a similar phone bought the s5230, that is, there will be few of us :-) although who knows.  + you don’t need to buy film, all inscriptions can be easily erased with nail polish remover without"&amp;" acetone. You just need to do this carefully, do not flood the speaker.  + there is an error on the M-Video website! The phone in this retail chain is Korean and not Chinese, even the battery is Korean... and this is very, very good.  + very qualified sta"&amp;"ff of M-Video ""Europe"" Volgograd, I was pleasantly surprised. They know the topic on phones deeply...")</f>
        <v>It's very rare to find a phone with nothing to complain about. It seems that this time Samsung designers sat on the forums and collected the wishes of s5230 owners.    + design: fresh and modern + shape: narrower by 2 mm, rounded, fits much better in the hand, proportions are ideal.  + case: the back cover is not easily soiled, the surface is “soft” type, thanks to its shape it does not scratch, everything fits perfectly, the lid is made in the form of a lid :-) not movable. No play, no dents. The body is well built, inside it is assembled with screws and not with latches.   + self-sufficient camera with autofocus and flash.  + charges from the charger and from the computer, that is, the problem of charging at home and at work is actually solved. All connectors are on top.  + a full-fledged, standard USB cable through which you can even upload new firmware yourself.   + standard headphone jack + call and end call button made into a single rocker, no need to aim your fingers at the buttons, convenient.  + waffle is the dream of Star owners.  + those who wanted to buy a similar phone bought the s5230, that is, there will be few of us :-) although who knows.  + you don’t need to buy film, all inscriptions can be easily erased with nail polish remover without acetone. You just need to do this carefully, do not flood the speaker.  + there is an error on the M-Video website! The phone in this retail chain is Korean and not Chinese, even the battery is Korean... and this is very, very good.  + very qualified staff of M-Video "Europe" Volgograd, I was pleasantly surprised. They know the topic on phones deeply...</v>
      </c>
    </row>
    <row r="1902" spans="1:9" x14ac:dyDescent="0.3">
      <c r="A1902" s="1" t="s">
        <v>43</v>
      </c>
      <c r="B1902" s="1" t="s">
        <v>303</v>
      </c>
      <c r="C1902" s="1" t="s">
        <v>304</v>
      </c>
      <c r="D1902" s="1" t="s">
        <v>589</v>
      </c>
      <c r="E1902" s="1" t="s">
        <v>3914</v>
      </c>
      <c r="F1902" s="1" t="s">
        <v>3915</v>
      </c>
      <c r="G1902" s="1" t="s">
        <v>36</v>
      </c>
      <c r="H1902" s="1" t="s">
        <v>29</v>
      </c>
      <c r="I1902" s="1" t="str">
        <f ca="1">IFERROR(__xludf.DUMMYFUNCTION("GOOGLETRANSLATE(F1902, ""auto"", ""en"")
"),"It leaked after 8 years... I don’t know whether to rejoice or cry - the unit is good. Let's try to fix it. If it doesn’t work out, we’ll buy the same one.")</f>
        <v>It leaked after 8 years... I don’t know whether to rejoice or cry - the unit is good. Let's try to fix it. If it doesn’t work out, we’ll buy the same one.</v>
      </c>
    </row>
    <row r="1903" spans="1:9" x14ac:dyDescent="0.3">
      <c r="A1903" s="1" t="s">
        <v>149</v>
      </c>
      <c r="B1903" s="1" t="s">
        <v>155</v>
      </c>
      <c r="C1903" s="1" t="s">
        <v>63</v>
      </c>
      <c r="D1903" s="1" t="s">
        <v>305</v>
      </c>
      <c r="E1903" s="1" t="s">
        <v>2733</v>
      </c>
      <c r="F1903" s="1" t="s">
        <v>3916</v>
      </c>
      <c r="G1903" s="1" t="s">
        <v>36</v>
      </c>
      <c r="H1903" s="1" t="s">
        <v>29</v>
      </c>
      <c r="I1903" s="1" t="str">
        <f ca="1">IFERROR(__xludf.DUMMYFUNCTION("GOOGLETRANSLATE(F1903, ""auto"", ""en"")
"),"The power is simply amazing, the long cord allows you to clean the entire apartment (82m2) without switching from socket to socket. A bag lasts for 3 months when cleaning twice a week. It works quite quietly (if you don't turn on Turbo), overall - an exce"&amp;"llent choice!")</f>
        <v>The power is simply amazing, the long cord allows you to clean the entire apartment (82m2) without switching from socket to socket. A bag lasts for 3 months when cleaning twice a week. It works quite quietly (if you don't turn on Turbo), overall - an excellent choice!</v>
      </c>
    </row>
    <row r="1904" spans="1:9" x14ac:dyDescent="0.3">
      <c r="A1904" s="1" t="s">
        <v>211</v>
      </c>
      <c r="B1904" s="1" t="s">
        <v>212</v>
      </c>
      <c r="C1904" s="1" t="s">
        <v>57</v>
      </c>
      <c r="D1904" s="1" t="s">
        <v>3917</v>
      </c>
      <c r="E1904" s="1" t="s">
        <v>3918</v>
      </c>
      <c r="F1904" s="1" t="s">
        <v>3919</v>
      </c>
      <c r="G1904" s="1" t="s">
        <v>36</v>
      </c>
      <c r="H1904" s="1" t="s">
        <v>29</v>
      </c>
      <c r="I1904" s="1" t="str">
        <f ca="1">IFERROR(__xludf.DUMMYFUNCTION("GOOGLETRANSLATE(F1904, ""auto"", ""en"")
"),"I’ve worked for 6 years))) I already want to change it, but it’s still plowing, so it’s not logical to buy a new one)))")</f>
        <v>I’ve worked for 6 years))) I already want to change it, but it’s still plowing, so it’s not logical to buy a new one)))</v>
      </c>
    </row>
    <row r="1905" spans="1:9" x14ac:dyDescent="0.3">
      <c r="A1905" s="1" t="s">
        <v>30</v>
      </c>
      <c r="B1905" s="1" t="s">
        <v>50</v>
      </c>
      <c r="C1905" s="1" t="s">
        <v>694</v>
      </c>
      <c r="D1905" s="1" t="s">
        <v>3920</v>
      </c>
      <c r="E1905" s="1" t="s">
        <v>2680</v>
      </c>
      <c r="F1905" s="1" t="s">
        <v>3921</v>
      </c>
      <c r="G1905" s="1" t="s">
        <v>36</v>
      </c>
      <c r="H1905" s="1" t="s">
        <v>29</v>
      </c>
      <c r="I1905" s="1" t="str">
        <f ca="1">IFERROR(__xludf.DUMMYFUNCTION("GOOGLETRANSLATE(F1905, ""auto"", ""en"")
"),"cool computer!!!   there are so many games on the Internet and it’s simple!!!")</f>
        <v>cool computer!!!   there are so many games on the Internet and it’s simple!!!</v>
      </c>
    </row>
    <row r="1906" spans="1:9" x14ac:dyDescent="0.3">
      <c r="A1906" s="1" t="s">
        <v>105</v>
      </c>
      <c r="B1906" s="1" t="s">
        <v>106</v>
      </c>
      <c r="C1906" s="1" t="s">
        <v>97</v>
      </c>
      <c r="D1906" s="1" t="s">
        <v>1397</v>
      </c>
      <c r="E1906" s="1" t="s">
        <v>3184</v>
      </c>
      <c r="F1906" s="1" t="s">
        <v>3922</v>
      </c>
      <c r="G1906" s="1" t="s">
        <v>28</v>
      </c>
      <c r="H1906" s="1" t="s">
        <v>29</v>
      </c>
      <c r="I1906" s="1" t="str">
        <f ca="1">IFERROR(__xludf.DUMMYFUNCTION("GOOGLETRANSLATE(F1906, ""auto"", ""en"")
"),"I bought one for myself, it didn’t take me a long time to choose, the sound is good, although I should immediately buy vacuum headphones, and leave the old ones on the shelf until better times, the USB cover is fragile, I don’t think it will last long, bu"&amp;"t overall it’s a good player, I’m happy, I go listen and rush like a goat in space)))")</f>
        <v>I bought one for myself, it didn’t take me a long time to choose, the sound is good, although I should immediately buy vacuum headphones, and leave the old ones on the shelf until better times, the USB cover is fragile, I don’t think it will last long, but overall it’s a good player, I’m happy, I go listen and rush like a goat in space)))</v>
      </c>
    </row>
    <row r="1907" spans="1:9" x14ac:dyDescent="0.3">
      <c r="A1907" s="1" t="s">
        <v>17</v>
      </c>
      <c r="B1907" s="1" t="s">
        <v>18</v>
      </c>
      <c r="C1907" s="1" t="s">
        <v>243</v>
      </c>
      <c r="D1907" s="1" t="s">
        <v>3923</v>
      </c>
      <c r="E1907" s="1" t="s">
        <v>2059</v>
      </c>
      <c r="F1907" s="1" t="s">
        <v>3924</v>
      </c>
      <c r="G1907" s="1" t="s">
        <v>36</v>
      </c>
      <c r="H1907" s="1" t="s">
        <v>29</v>
      </c>
      <c r="I1907" s="1" t="str">
        <f ca="1">IFERROR(__xludf.DUMMYFUNCTION("GOOGLETRANSLATE(F1907, ""auto"", ""en"")
"),"We purchased the machine in July of this year and was pleased... It works quietly, it all depends on the correct installation, the pump can be heard a little, but how can you not hear it at all, it’s the same mechanism, especially since water is being dra"&amp;"wn... Quite a cost-effective machine for its class)")</f>
        <v>We purchased the machine in July of this year and was pleased... It works quietly, it all depends on the correct installation, the pump can be heard a little, but how can you not hear it at all, it’s the same mechanism, especially since water is being drawn... Quite a cost-effective machine for its class)</v>
      </c>
    </row>
    <row r="1908" spans="1:9" x14ac:dyDescent="0.3">
      <c r="A1908" s="1" t="s">
        <v>61</v>
      </c>
      <c r="B1908" s="1" t="s">
        <v>318</v>
      </c>
      <c r="C1908" s="1" t="s">
        <v>213</v>
      </c>
      <c r="D1908" s="1" t="s">
        <v>152</v>
      </c>
      <c r="E1908" s="1" t="s">
        <v>622</v>
      </c>
      <c r="F1908" s="1" t="s">
        <v>3925</v>
      </c>
      <c r="G1908" s="1" t="s">
        <v>28</v>
      </c>
      <c r="H1908" s="1" t="s">
        <v>29</v>
      </c>
      <c r="I1908" s="1" t="str">
        <f ca="1">IFERROR(__xludf.DUMMYFUNCTION("GOOGLETRANSLATE(F1908, ""auto"", ""en"")
"),"The kettle is good quality, but very noisy. It boils really quickly. We have been using it for 1.5 years. Doesn't leak.")</f>
        <v>The kettle is good quality, but very noisy. It boils really quickly. We have been using it for 1.5 years. Doesn't leak.</v>
      </c>
    </row>
    <row r="1909" spans="1:9" x14ac:dyDescent="0.3">
      <c r="A1909" s="1" t="s">
        <v>17</v>
      </c>
      <c r="B1909" s="1" t="s">
        <v>18</v>
      </c>
      <c r="C1909" s="1" t="s">
        <v>243</v>
      </c>
      <c r="D1909" s="1" t="s">
        <v>1605</v>
      </c>
      <c r="E1909" s="1" t="s">
        <v>1285</v>
      </c>
      <c r="F1909" s="1" t="s">
        <v>3926</v>
      </c>
      <c r="G1909" s="1" t="s">
        <v>3927</v>
      </c>
      <c r="H1909" s="1" t="s">
        <v>16</v>
      </c>
      <c r="I1909" s="1" t="str">
        <f ca="1">IFERROR(__xludf.DUMMYFUNCTION("GOOGLETRANSLATE(F1909, ""auto"", ""en"")
"),"embeddability! ")</f>
        <v xml:space="preserve">embeddability! </v>
      </c>
    </row>
    <row r="1910" spans="1:9" x14ac:dyDescent="0.3">
      <c r="A1910" s="1" t="s">
        <v>17</v>
      </c>
      <c r="B1910" s="1" t="s">
        <v>18</v>
      </c>
      <c r="C1910" s="1" t="s">
        <v>151</v>
      </c>
      <c r="D1910" s="1" t="s">
        <v>308</v>
      </c>
      <c r="E1910" s="1" t="s">
        <v>3928</v>
      </c>
      <c r="F1910" s="1" t="s">
        <v>3929</v>
      </c>
      <c r="G1910" s="1" t="s">
        <v>36</v>
      </c>
      <c r="H1910" s="1" t="s">
        <v>29</v>
      </c>
      <c r="I1910" s="1" t="str">
        <f ca="1">IFERROR(__xludf.DUMMYFUNCTION("GOOGLETRANSLATE(F1910, ""auto"", ""en"")
"),"I’ve been using it for a month now, I’m very pleased - I recommend it. Intuitive controls, doesn’t “jump” even without rubber backing (standing on a tiled floor), washes perfectly, a spin cycle of more than 800 is not needed, because... It will wring almo"&amp;"st dry. It doesn’t make any extraneous sounds when washing. It doesn’t “twist” the laundry, it rinses well. It’s not noisy. The only downside I can say is that after finishing the wash it makes a very quiet “ding”, I would like something louder ;-). BEFOR"&amp;"E BUYING I READ THE REVIEWS - thank you all, they helped me a lot with the choice.")</f>
        <v>I’ve been using it for a month now, I’m very pleased - I recommend it. Intuitive controls, doesn’t “jump” even without rubber backing (standing on a tiled floor), washes perfectly, a spin cycle of more than 800 is not needed, because... It will wring almost dry. It doesn’t make any extraneous sounds when washing. It doesn’t “twist” the laundry, it rinses well. It’s not noisy. The only downside I can say is that after finishing the wash it makes a very quiet “ding”, I would like something louder ;-). BEFORE BUYING I READ THE REVIEWS - thank you all, they helped me a lot with the choice.</v>
      </c>
    </row>
    <row r="1911" spans="1:9" x14ac:dyDescent="0.3">
      <c r="A1911" s="1" t="s">
        <v>37</v>
      </c>
      <c r="B1911" s="1" t="s">
        <v>536</v>
      </c>
      <c r="C1911" s="1" t="s">
        <v>163</v>
      </c>
      <c r="D1911" s="1" t="s">
        <v>186</v>
      </c>
      <c r="E1911" s="1" t="s">
        <v>1756</v>
      </c>
      <c r="F1911" s="1" t="s">
        <v>3930</v>
      </c>
      <c r="G1911" s="1" t="s">
        <v>36</v>
      </c>
      <c r="H1911" s="1" t="s">
        <v>29</v>
      </c>
      <c r="I1911" s="1" t="str">
        <f ca="1">IFERROR(__xludf.DUMMYFUNCTION("GOOGLETRANSLATE(F1911, ""auto"", ""en"")
"),"people, for some reason it reboots on its own, I just bought it, please tell me, is this how it should be, or is there some kind of glitch in it????")</f>
        <v>people, for some reason it reboots on its own, I just bought it, please tell me, is this how it should be, or is there some kind of glitch in it????</v>
      </c>
    </row>
    <row r="1912" spans="1:9" x14ac:dyDescent="0.3">
      <c r="A1912" s="1" t="s">
        <v>557</v>
      </c>
      <c r="B1912" s="1" t="s">
        <v>558</v>
      </c>
      <c r="C1912" s="1" t="s">
        <v>122</v>
      </c>
      <c r="D1912" s="1" t="s">
        <v>589</v>
      </c>
      <c r="E1912" s="1" t="s">
        <v>1788</v>
      </c>
      <c r="F1912" s="1" t="s">
        <v>3931</v>
      </c>
      <c r="G1912" s="1" t="s">
        <v>28</v>
      </c>
      <c r="H1912" s="1" t="s">
        <v>29</v>
      </c>
      <c r="I1912" s="1" t="str">
        <f ca="1">IFERROR(__xludf.DUMMYFUNCTION("GOOGLETRANSLATE(F1912, ""auto"", ""en"")
"),"It's a pity that there is no speakerphone. The signal tones are disgusting and hurt your ears. Otherwise, the device is quite decent in terms of functionality.")</f>
        <v>It's a pity that there is no speakerphone. The signal tones are disgusting and hurt your ears. Otherwise, the device is quite decent in terms of functionality.</v>
      </c>
    </row>
    <row r="1913" spans="1:9" x14ac:dyDescent="0.3">
      <c r="A1913" s="1" t="s">
        <v>9</v>
      </c>
      <c r="B1913" s="1" t="s">
        <v>10</v>
      </c>
      <c r="C1913" s="1" t="s">
        <v>466</v>
      </c>
      <c r="D1913" s="1" t="s">
        <v>3932</v>
      </c>
      <c r="E1913" s="1" t="s">
        <v>3933</v>
      </c>
      <c r="F1913" s="1" t="s">
        <v>3934</v>
      </c>
      <c r="G1913" s="1" t="s">
        <v>28</v>
      </c>
      <c r="H1913" s="1" t="s">
        <v>29</v>
      </c>
      <c r="I1913" s="1" t="str">
        <f ca="1">IFERROR(__xludf.DUMMYFUNCTION("GOOGLETRANSLATE(F1913, ""auto"", ""en"")
"),"I liked its design - just right for my kitchen) It also works very well - at third speed it’s absolutely powerful) It makes a little noise, but it doesn’t bother me much, and after a while I generally stop paying attention to this noise) There are two lig"&amp;"ht bulbs and they illuminate decently and cover a large area. The shape of the buttons is just a little inconvenient, but these are minor things)")</f>
        <v>I liked its design - just right for my kitchen) It also works very well - at third speed it’s absolutely powerful) It makes a little noise, but it doesn’t bother me much, and after a while I generally stop paying attention to this noise) There are two light bulbs and they illuminate decently and cover a large area. The shape of the buttons is just a little inconvenient, but these are minor things)</v>
      </c>
    </row>
    <row r="1914" spans="1:9" x14ac:dyDescent="0.3">
      <c r="A1914" s="1" t="s">
        <v>61</v>
      </c>
      <c r="B1914" s="1" t="s">
        <v>224</v>
      </c>
      <c r="C1914" s="1" t="s">
        <v>85</v>
      </c>
      <c r="D1914" s="1" t="s">
        <v>172</v>
      </c>
      <c r="E1914" s="1" t="s">
        <v>2563</v>
      </c>
      <c r="F1914" s="1" t="s">
        <v>3935</v>
      </c>
      <c r="G1914" s="1" t="s">
        <v>36</v>
      </c>
      <c r="H1914" s="1" t="s">
        <v>29</v>
      </c>
      <c r="I1914" s="1" t="str">
        <f ca="1">IFERROR(__xludf.DUMMYFUNCTION("GOOGLETRANSLATE(F1914, ""auto"", ""en"")
"),"We bought it last year, thought for a long time and made the right choice. Satisfied, it was especially useful in processing crops (apples, tomatoes). Compared to our previous juicer, the juice obtained is many times greater, it is not fussy in operation,"&amp;" and is very convenient. I squeezed apples, pears, carrots, tomatoes, grapes. There were no problems with anything. For such productivity, the compact juicer is, according to the seller, the most resourceful on the Russian market.")</f>
        <v>We bought it last year, thought for a long time and made the right choice. Satisfied, it was especially useful in processing crops (apples, tomatoes). Compared to our previous juicer, the juice obtained is many times greater, it is not fussy in operation, and is very convenient. I squeezed apples, pears, carrots, tomatoes, grapes. There were no problems with anything. For such productivity, the compact juicer is, according to the seller, the most resourceful on the Russian market.</v>
      </c>
    </row>
    <row r="1915" spans="1:9" x14ac:dyDescent="0.3">
      <c r="A1915" s="1" t="s">
        <v>61</v>
      </c>
      <c r="B1915" s="1" t="s">
        <v>145</v>
      </c>
      <c r="C1915" s="1" t="s">
        <v>1981</v>
      </c>
      <c r="D1915" s="1" t="s">
        <v>247</v>
      </c>
      <c r="E1915" s="1" t="s">
        <v>2350</v>
      </c>
      <c r="F1915" s="1" t="s">
        <v>3936</v>
      </c>
      <c r="G1915" s="1" t="s">
        <v>36</v>
      </c>
      <c r="H1915" s="1" t="s">
        <v>29</v>
      </c>
      <c r="I1915" s="1" t="str">
        <f ca="1">IFERROR(__xludf.DUMMYFUNCTION("GOOGLETRANSLATE(F1915, ""auto"", ""en"")
"),"Wonderful breakfast. Soft-boiled eggs turn out excellent. I set them and go about my business. There will be a signal that they are ready.")</f>
        <v>Wonderful breakfast. Soft-boiled eggs turn out excellent. I set them and go about my business. There will be a signal that they are ready.</v>
      </c>
    </row>
    <row r="1916" spans="1:9" x14ac:dyDescent="0.3">
      <c r="A1916" s="1" t="s">
        <v>61</v>
      </c>
      <c r="B1916" s="1" t="s">
        <v>145</v>
      </c>
      <c r="C1916" s="1" t="s">
        <v>85</v>
      </c>
      <c r="D1916" s="1" t="s">
        <v>3937</v>
      </c>
      <c r="E1916" s="1" t="s">
        <v>182</v>
      </c>
      <c r="F1916" s="1" t="s">
        <v>3938</v>
      </c>
      <c r="G1916" s="1" t="s">
        <v>28</v>
      </c>
      <c r="H1916" s="1" t="s">
        <v>29</v>
      </c>
      <c r="I1916" s="1" t="str">
        <f ca="1">IFERROR(__xludf.DUMMYFUNCTION("GOOGLETRANSLATE(F1916, ""auto"", ""en"")
"),"The steamer is very good in its price category. The good thing is that all the bases have holes, and not all steamers have this. Thanks to the consultant for drawing attention to this, because I wanted to take another steamer, but there were two bottoms t"&amp;"hat were just solid, which I didn’t need at all. There is a tray for rice and other bulk items. I use it often and not just for rice. The smells really don't mix. All baskets are disassembled and can be easily washed in the dishwasher. I hardly use the he"&amp;"ating. Disadvantages: narrow neck for adding water. You still have to remove all the compartments or add a teaspoon of water per hour. Although the drip tray is large, if you cook, for example, manti, it fills almost completely... Sometimes you have to dr"&amp;"ain it during the process. But rarely. The buttons have almost worn out after two years of use. The bad thing is that the water bowl is not removable. You can’t really wash it, but with a cloth... it doesn’t wash off very well, especially if the drip coll"&amp;"ection has overflowed and grease has gotten into the water tank.")</f>
        <v>The steamer is very good in its price category. The good thing is that all the bases have holes, and not all steamers have this. Thanks to the consultant for drawing attention to this, because I wanted to take another steamer, but there were two bottoms that were just solid, which I didn’t need at all. There is a tray for rice and other bulk items. I use it often and not just for rice. The smells really don't mix. All baskets are disassembled and can be easily washed in the dishwasher. I hardly use the heating. Disadvantages: narrow neck for adding water. You still have to remove all the compartments or add a teaspoon of water per hour. Although the drip tray is large, if you cook, for example, manti, it fills almost completely... Sometimes you have to drain it during the process. But rarely. The buttons have almost worn out after two years of use. The bad thing is that the water bowl is not removable. You can’t really wash it, but with a cloth... it doesn’t wash off very well, especially if the drip collection has overflowed and grease has gotten into the water tank.</v>
      </c>
    </row>
    <row r="1917" spans="1:9" x14ac:dyDescent="0.3">
      <c r="A1917" s="1" t="s">
        <v>120</v>
      </c>
      <c r="B1917" s="1" t="s">
        <v>121</v>
      </c>
      <c r="C1917" s="1" t="s">
        <v>151</v>
      </c>
      <c r="D1917" s="1" t="s">
        <v>411</v>
      </c>
      <c r="E1917" s="1" t="s">
        <v>115</v>
      </c>
      <c r="F1917" s="1" t="s">
        <v>3939</v>
      </c>
      <c r="G1917" s="1" t="s">
        <v>36</v>
      </c>
      <c r="H1917" s="1" t="s">
        <v>29</v>
      </c>
      <c r="I1917" s="1" t="str">
        <f ca="1">IFERROR(__xludf.DUMMYFUNCTION("GOOGLETRANSLATE(F1917, ""auto"", ""en"")
"),"Advantages: the first thing that catches your eye is the excellent design, in the photos that are on the Internet and the Yandex market this is not at all the same, you need to see the TV in person to check out its design (I specifically went to the store"&amp;" before purchasing) The menu settings are very convenient and understandable without unnecessary hassles, many inputs and outputs, including 3 HDMI pieces, the quality of terrestrial analogue TV is not particularly pleasing, I advise you to immediately ta"&amp;"ke a satellite television system or something like that.   But HDTV movies on Bly-Ray discs in Full HD pictures are just a fairy tale, no DVD even comes close!   In general, before buying this TV, I spent 2 days surfing the Internet and looking for a 32"""&amp;" diagonal, which is better, panasonic, sony, lg, or philips. As a result, I didn’t find anything better for parameters like this Samsung, I recommend this model to everyone, I assure you you will be satisfied!!! Disadvantages: assembled in Russia, analogu"&amp;"e terrestrial TV Comment: for this money, a 32"" diagonal In my opinion this is the best TV option! + connected 5.1 acoustics, we got a full-fledged home theater in Full HD picture... [Attention!] to display the image from the PC to the TV and show it poi"&amp;"nt to point perfectly, accurately, and clearly, you just need to remember to rename the input in the TV menu HDMI1/DVI to the PC. Then the halos around the letters disappear, and all 1920*1080 are displayed without distortion or clipping!!! (there is one "&amp;"catch; for all this to work, you need to make the TV the main monitor in the video card driver settings)...")</f>
        <v>Advantages: the first thing that catches your eye is the excellent design, in the photos that are on the Internet and the Yandex market this is not at all the same, you need to see the TV in person to check out its design (I specifically went to the store before purchasing) The menu settings are very convenient and understandable without unnecessary hassles, many inputs and outputs, including 3 HDMI pieces, the quality of terrestrial analogue TV is not particularly pleasing, I advise you to immediately take a satellite television system or something like that.   But HDTV movies on Bly-Ray discs in Full HD pictures are just a fairy tale, no DVD even comes close!   In general, before buying this TV, I spent 2 days surfing the Internet and looking for a 32" diagonal, which is better, panasonic, sony, lg, or philips. As a result, I didn’t find anything better for parameters like this Samsung, I recommend this model to everyone, I assure you you will be satisfied!!! Disadvantages: assembled in Russia, analogue terrestrial TV Comment: for this money, a 32" diagonal In my opinion this is the best TV option! + connected 5.1 acoustics, we got a full-fledged home theater in Full HD picture... [Attention!] to display the image from the PC to the TV and show it point to point perfectly, accurately, and clearly, you just need to remember to rename the input in the TV menu HDMI1/DVI to the PC. Then the halos around the letters disappear, and all 1920*1080 are displayed without distortion or clipping!!! (there is one catch; for all this to work, you need to make the TV the main monitor in the video card driver settings)...</v>
      </c>
    </row>
    <row r="1918" spans="1:9" x14ac:dyDescent="0.3">
      <c r="A1918" s="1" t="s">
        <v>61</v>
      </c>
      <c r="B1918" s="1" t="s">
        <v>224</v>
      </c>
      <c r="C1918" s="1" t="s">
        <v>246</v>
      </c>
      <c r="D1918" s="1" t="s">
        <v>127</v>
      </c>
      <c r="E1918" s="1" t="s">
        <v>750</v>
      </c>
      <c r="F1918" s="1" t="s">
        <v>3940</v>
      </c>
      <c r="G1918" s="1" t="s">
        <v>36</v>
      </c>
      <c r="H1918" s="1" t="s">
        <v>29</v>
      </c>
      <c r="I1918" s="1" t="str">
        <f ca="1">IFERROR(__xludf.DUMMYFUNCTION("GOOGLETRANSLATE(F1918, ""auto"", ""en"")
"),"good, no problems noticed. one minus - the waste container fills up quickly.")</f>
        <v>good, no problems noticed. one minus - the waste container fills up quickly.</v>
      </c>
    </row>
    <row r="1919" spans="1:9" x14ac:dyDescent="0.3">
      <c r="A1919" s="1" t="s">
        <v>811</v>
      </c>
      <c r="B1919" s="1" t="s">
        <v>1294</v>
      </c>
      <c r="C1919" s="1" t="s">
        <v>1295</v>
      </c>
      <c r="D1919" s="1" t="s">
        <v>52</v>
      </c>
      <c r="E1919" s="1" t="s">
        <v>3941</v>
      </c>
      <c r="F1919" s="1" t="s">
        <v>3942</v>
      </c>
      <c r="G1919" s="1" t="s">
        <v>36</v>
      </c>
      <c r="H1919" s="1" t="s">
        <v>29</v>
      </c>
      <c r="I1919" s="1" t="str">
        <f ca="1">IFERROR(__xludf.DUMMYFUNCTION("GOOGLETRANSLATE(F1919, ""auto"", ""en"")
"),"Dust brush")</f>
        <v>Dust brush</v>
      </c>
    </row>
    <row r="1920" spans="1:9" x14ac:dyDescent="0.3">
      <c r="A1920" s="1" t="s">
        <v>169</v>
      </c>
      <c r="B1920" s="1" t="s">
        <v>170</v>
      </c>
      <c r="C1920" s="1" t="s">
        <v>69</v>
      </c>
      <c r="D1920" s="1" t="s">
        <v>152</v>
      </c>
      <c r="E1920" s="1" t="s">
        <v>1742</v>
      </c>
      <c r="F1920" s="1" t="s">
        <v>3943</v>
      </c>
      <c r="G1920" s="1" t="s">
        <v>36</v>
      </c>
      <c r="H1920" s="1" t="s">
        <v>29</v>
      </c>
      <c r="I1920" s="1" t="str">
        <f ca="1">IFERROR(__xludf.DUMMYFUNCTION("GOOGLETRANSLATE(F1920, ""auto"", ""en"")
"),"Wonderful model. Great sound and very comfortable. One of my friends is already purchasing her 4th pair (the previous ones broke either under the influence of her heels, or the wire was accidentally torn out by the roots). In general, there are no complai"&amp;"nts about the model itself :) ps If possible, of course, it is better to change it. Although the clips are adjustable, there are still ears where the headphones do not fit very comfortably.")</f>
        <v>Wonderful model. Great sound and very comfortable. One of my friends is already purchasing her 4th pair (the previous ones broke either under the influence of her heels, or the wire was accidentally torn out by the roots). In general, there are no complaints about the model itself :) ps If possible, of course, it is better to change it. Although the clips are adjustable, there are still ears where the headphones do not fit very comfortably.</v>
      </c>
    </row>
    <row r="1921" spans="1:9" x14ac:dyDescent="0.3">
      <c r="A1921" s="1" t="s">
        <v>61</v>
      </c>
      <c r="B1921" s="1" t="s">
        <v>726</v>
      </c>
      <c r="C1921" s="1" t="s">
        <v>74</v>
      </c>
      <c r="D1921" s="1" t="s">
        <v>295</v>
      </c>
      <c r="E1921" s="1" t="s">
        <v>3284</v>
      </c>
      <c r="F1921" s="1" t="s">
        <v>3944</v>
      </c>
      <c r="G1921" s="1" t="s">
        <v>36</v>
      </c>
      <c r="H1921" s="1" t="s">
        <v>29</v>
      </c>
      <c r="I1921" s="1" t="str">
        <f ca="1">IFERROR(__xludf.DUMMYFUNCTION("GOOGLETRANSLATE(F1921, ""auto"", ""en"")
"),"We bought it on November 4th...we make bread every day. Each time the bread turns out better and tastier. True, so far we have only tried the main program.")</f>
        <v>We bought it on November 4th...we make bread every day. Each time the bread turns out better and tastier. True, so far we have only tried the main program.</v>
      </c>
    </row>
    <row r="1922" spans="1:9" x14ac:dyDescent="0.3">
      <c r="A1922" s="1" t="s">
        <v>89</v>
      </c>
      <c r="B1922" s="1" t="s">
        <v>231</v>
      </c>
      <c r="C1922" s="1" t="s">
        <v>1072</v>
      </c>
      <c r="D1922" s="1" t="s">
        <v>46</v>
      </c>
      <c r="E1922" s="1" t="s">
        <v>3945</v>
      </c>
      <c r="F1922" s="1" t="s">
        <v>3946</v>
      </c>
      <c r="G1922" s="1" t="s">
        <v>36</v>
      </c>
      <c r="H1922" s="1" t="s">
        <v>29</v>
      </c>
      <c r="I1922" s="1" t="str">
        <f ca="1">IFERROR(__xludf.DUMMYFUNCTION("GOOGLETRANSLATE(F1922, ""auto"", ""en"")
"),"Not exactly a budget option, but for coffee lovers it is an excellent choice along with machines for 30-60 rubles. Easy to operate, but still read the instructions. Having prepared a couple of mugs of coffee, I adjusted the degree of grinding and strength"&amp;" of the coffee, which was suitable for us. Automatic cappuccino maker - the invention of the gods! Cappuccino and latte macchiato turn out great. I was also pleased with the opportunity to program my own personal espresso. In general, the car is fire, I r"&amp;"ecommend it to everyone both at home and in the office")</f>
        <v>Not exactly a budget option, but for coffee lovers it is an excellent choice along with machines for 30-60 rubles. Easy to operate, but still read the instructions. Having prepared a couple of mugs of coffee, I adjusted the degree of grinding and strength of the coffee, which was suitable for us. Automatic cappuccino maker - the invention of the gods! Cappuccino and latte macchiato turn out great. I was also pleased with the opportunity to program my own personal espresso. In general, the car is fire, I recommend it to everyone both at home and in the office</v>
      </c>
    </row>
    <row r="1923" spans="1:9" x14ac:dyDescent="0.3">
      <c r="A1923" s="1" t="s">
        <v>95</v>
      </c>
      <c r="B1923" s="1" t="s">
        <v>227</v>
      </c>
      <c r="C1923" s="1" t="s">
        <v>97</v>
      </c>
      <c r="D1923" s="1" t="s">
        <v>280</v>
      </c>
      <c r="E1923" s="1" t="s">
        <v>3906</v>
      </c>
      <c r="F1923" s="1" t="s">
        <v>3947</v>
      </c>
      <c r="G1923" s="1" t="s">
        <v>36</v>
      </c>
      <c r="H1923" s="1" t="s">
        <v>29</v>
      </c>
      <c r="I1923" s="1" t="str">
        <f ca="1">IFERROR(__xludf.DUMMYFUNCTION("GOOGLETRANSLATE(F1923, ""auto"", ""en"")
"),"I took it a month ago! just a topic)) great console!")</f>
        <v>I took it a month ago! just a topic)) great console!</v>
      </c>
    </row>
    <row r="1924" spans="1:9" x14ac:dyDescent="0.3">
      <c r="A1924" s="1" t="s">
        <v>120</v>
      </c>
      <c r="B1924" s="1" t="s">
        <v>121</v>
      </c>
      <c r="C1924" s="1" t="s">
        <v>122</v>
      </c>
      <c r="D1924" s="1" t="s">
        <v>3948</v>
      </c>
      <c r="E1924" s="1" t="s">
        <v>53</v>
      </c>
      <c r="F1924" s="1" t="s">
        <v>3949</v>
      </c>
      <c r="G1924" s="1" t="s">
        <v>36</v>
      </c>
      <c r="H1924" s="1" t="s">
        <v>29</v>
      </c>
      <c r="I1924" s="1" t="str">
        <f ca="1">IFERROR(__xludf.DUMMYFUNCTION("GOOGLETRANSLATE(F1924, ""auto"", ""en"")
"),"Very beautiful, stylish, new TV fits perfectly into the environment. The image is excellent, in general I like the new models, because they are more advanced, and the price is almost the same. The sound is also normal. We often watch DVD movies; it’s not "&amp;"at all like watching on a computer; it’s much more enjoyable.")</f>
        <v>Very beautiful, stylish, new TV fits perfectly into the environment. The image is excellent, in general I like the new models, because they are more advanced, and the price is almost the same. The sound is also normal. We often watch DVD movies; it’s not at all like watching on a computer; it’s much more enjoyable.</v>
      </c>
    </row>
    <row r="1925" spans="1:9" x14ac:dyDescent="0.3">
      <c r="A1925" s="1" t="s">
        <v>282</v>
      </c>
      <c r="B1925" s="1" t="s">
        <v>806</v>
      </c>
      <c r="C1925" s="1" t="s">
        <v>284</v>
      </c>
      <c r="D1925" s="1" t="s">
        <v>305</v>
      </c>
      <c r="E1925" s="1" t="s">
        <v>2236</v>
      </c>
      <c r="F1925" s="1" t="s">
        <v>3950</v>
      </c>
      <c r="G1925" s="1" t="s">
        <v>15</v>
      </c>
      <c r="H1925" s="1" t="s">
        <v>16</v>
      </c>
      <c r="I1925" s="1" t="str">
        <f ca="1">IFERROR(__xludf.DUMMYFUNCTION("GOOGLETRANSLATE(F1925, ""auto"", ""en"")
"),"On a widescreen TV you need to play the appropriate content, but! This disc has an even wider file format! That is, on a widescreen TV I watch blue-ray with dark stripes!!! Like on a kinescope 4:3!!!! And how to buy disks????")</f>
        <v>On a widescreen TV you need to play the appropriate content, but! This disc has an even wider file format! That is, on a widescreen TV I watch blue-ray with dark stripes!!! Like on a kinescope 4:3!!!! And how to buy disks????</v>
      </c>
    </row>
    <row r="1926" spans="1:9" x14ac:dyDescent="0.3">
      <c r="A1926" s="1" t="s">
        <v>37</v>
      </c>
      <c r="B1926" s="1" t="s">
        <v>38</v>
      </c>
      <c r="C1926" s="1" t="s">
        <v>39</v>
      </c>
      <c r="D1926" s="1" t="s">
        <v>411</v>
      </c>
      <c r="E1926" s="1" t="s">
        <v>2280</v>
      </c>
      <c r="F1926" s="1" t="s">
        <v>3951</v>
      </c>
      <c r="G1926" s="1" t="s">
        <v>36</v>
      </c>
      <c r="H1926" s="1" t="s">
        <v>29</v>
      </c>
      <c r="I1926" s="1" t="str">
        <f ca="1">IFERROR(__xludf.DUMMYFUNCTION("GOOGLETRANSLATE(F1926, ""auto"", ""en"")
"),"I've always used SE. Before that there was a C905, but there was a slider and problems with the cable, then a Nokia 6303. I’m happy that the Nokia was stolen and I had to buy a new device, because... it was just terrible. tel. So, believe me: the phone is"&amp;" simply fantastic! very good, just wonderful. Buy it, you won't regret it!")</f>
        <v>I've always used SE. Before that there was a C905, but there was a slider and problems with the cable, then a Nokia 6303. I’m happy that the Nokia was stolen and I had to buy a new device, because... it was just terrible. tel. So, believe me: the phone is simply fantastic! very good, just wonderful. Buy it, you won't regret it!</v>
      </c>
    </row>
    <row r="1927" spans="1:9" x14ac:dyDescent="0.3">
      <c r="A1927" s="1" t="s">
        <v>61</v>
      </c>
      <c r="B1927" s="1" t="s">
        <v>145</v>
      </c>
      <c r="C1927" s="1" t="s">
        <v>246</v>
      </c>
      <c r="D1927" s="1" t="s">
        <v>33</v>
      </c>
      <c r="E1927" s="1" t="s">
        <v>1039</v>
      </c>
      <c r="F1927" s="1" t="s">
        <v>3952</v>
      </c>
      <c r="G1927" s="1" t="s">
        <v>36</v>
      </c>
      <c r="H1927" s="1" t="s">
        <v>29</v>
      </c>
      <c r="I1927" s="1" t="str">
        <f ca="1">IFERROR(__xludf.DUMMYFUNCTION("GOOGLETRANSLATE(F1927, ""auto"", ""en"")
"),"Excellent deep fryer, small capacity for oil, fast frying of potatoes, easy to clean.")</f>
        <v>Excellent deep fryer, small capacity for oil, fast frying of potatoes, easy to clean.</v>
      </c>
    </row>
    <row r="1928" spans="1:9" x14ac:dyDescent="0.3">
      <c r="A1928" s="1" t="s">
        <v>43</v>
      </c>
      <c r="B1928" s="1" t="s">
        <v>502</v>
      </c>
      <c r="C1928" s="1" t="s">
        <v>151</v>
      </c>
      <c r="D1928" s="1" t="s">
        <v>305</v>
      </c>
      <c r="E1928" s="1" t="s">
        <v>1263</v>
      </c>
      <c r="F1928" s="1" t="s">
        <v>3953</v>
      </c>
      <c r="G1928" s="1" t="s">
        <v>36</v>
      </c>
      <c r="H1928" s="1" t="s">
        <v>29</v>
      </c>
      <c r="I1928" s="1" t="str">
        <f ca="1">IFERROR(__xludf.DUMMYFUNCTION("GOOGLETRANSLATE(F1928, ""auto"", ""en"")
"),"We have been using Samsung AQ12CANSER since June 26, 2010, and liked the Good’sleep function the most. The best price/quality ratio. I recommend!")</f>
        <v>We have been using Samsung AQ12CANSER since June 26, 2010, and liked the Good’sleep function the most. The best price/quality ratio. I recommend!</v>
      </c>
    </row>
    <row r="1929" spans="1:9" x14ac:dyDescent="0.3">
      <c r="A1929" s="1" t="s">
        <v>89</v>
      </c>
      <c r="B1929" s="1" t="s">
        <v>1106</v>
      </c>
      <c r="C1929" s="1" t="s">
        <v>74</v>
      </c>
      <c r="D1929" s="1" t="s">
        <v>64</v>
      </c>
      <c r="E1929" s="1" t="s">
        <v>3954</v>
      </c>
      <c r="F1929" s="1" t="s">
        <v>3955</v>
      </c>
      <c r="G1929" s="1" t="s">
        <v>36</v>
      </c>
      <c r="H1929" s="1" t="s">
        <v>29</v>
      </c>
      <c r="I1929" s="1" t="str">
        <f ca="1">IFERROR(__xludf.DUMMYFUNCTION("GOOGLETRANSLATE(F1929, ""auto"", ""en"")
"),"Great!!! Price and quality")</f>
        <v>Great!!! Price and quality</v>
      </c>
    </row>
    <row r="1930" spans="1:9" x14ac:dyDescent="0.3">
      <c r="A1930" s="1" t="s">
        <v>30</v>
      </c>
      <c r="B1930" s="1" t="s">
        <v>50</v>
      </c>
      <c r="C1930" s="1" t="s">
        <v>1003</v>
      </c>
      <c r="D1930" s="1" t="s">
        <v>3956</v>
      </c>
      <c r="E1930" s="1" t="s">
        <v>427</v>
      </c>
      <c r="F1930" s="1" t="s">
        <v>3957</v>
      </c>
      <c r="G1930" s="1" t="s">
        <v>36</v>
      </c>
      <c r="H1930" s="1" t="s">
        <v>29</v>
      </c>
      <c r="I1930" s="1" t="str">
        <f ca="1">IFERROR(__xludf.DUMMYFUNCTION("GOOGLETRANSLATE(F1930, ""auto"", ""en"")
"),"I bought this beech a couple of weeks ago.  The hardware is productive, with the exception of the video card - it doesn’t run new games, but the old ones run well: in cs source and half-life 2 it produces 50-70 fps, l4d runs poorly.   I am very pleased wi"&amp;"th the battery life: about 5 hours of browsing the Internet with wifi turned off.  The main advantages of this laptop are the matte cover (almost does not get dirty) and the screen with anti-glare coating, although the viewing angles and screen contrast l"&amp;"eave much to be desired... An ideal laptop for office work, but it is completely unsuitable for games; I also cannot recommend it for watching movies - poor viewing angles and faded colors. If you are looking for a laptop that will be used mainly for work"&amp;"ing with text and surfing the Internet, then this is your choice, do not take it you'll regret it)")</f>
        <v>I bought this beech a couple of weeks ago.  The hardware is productive, with the exception of the video card - it doesn’t run new games, but the old ones run well: in cs source and half-life 2 it produces 50-70 fps, l4d runs poorly.   I am very pleased with the battery life: about 5 hours of browsing the Internet with wifi turned off.  The main advantages of this laptop are the matte cover (almost does not get dirty) and the screen with anti-glare coating, although the viewing angles and screen contrast leave much to be desired... An ideal laptop for office work, but it is completely unsuitable for games; I also cannot recommend it for watching movies - poor viewing angles and faded colors. If you are looking for a laptop that will be used mainly for working with text and surfing the Internet, then this is your choice, do not take it you'll regret it)</v>
      </c>
    </row>
    <row r="1931" spans="1:9" x14ac:dyDescent="0.3">
      <c r="A1931" s="1" t="s">
        <v>557</v>
      </c>
      <c r="B1931" s="1" t="s">
        <v>558</v>
      </c>
      <c r="C1931" s="1" t="s">
        <v>816</v>
      </c>
      <c r="D1931" s="1" t="s">
        <v>152</v>
      </c>
      <c r="E1931" s="1" t="s">
        <v>251</v>
      </c>
      <c r="F1931" s="1" t="s">
        <v>3958</v>
      </c>
      <c r="G1931" s="1" t="s">
        <v>28</v>
      </c>
      <c r="H1931" s="1" t="s">
        <v>29</v>
      </c>
      <c r="I1931" s="1" t="str">
        <f ca="1">IFERROR(__xludf.DUMMYFUNCTION("GOOGLETRANSLATE(F1931, ""auto"", ""en"")
"),"I bought this model of phone and immediately discovered a “jamb” - the power supply for the handset charger whistles and is quite loud, then its second drawback was discovered - the “9” key cannot be pressed. But overall the phone is not bad, especially i"&amp;"n its price category")</f>
        <v>I bought this model of phone and immediately discovered a “jamb” - the power supply for the handset charger whistles and is quite loud, then its second drawback was discovered - the “9” key cannot be pressed. But overall the phone is not bad, especially in its price category</v>
      </c>
    </row>
    <row r="1932" spans="1:9" x14ac:dyDescent="0.3">
      <c r="A1932" s="1" t="s">
        <v>89</v>
      </c>
      <c r="B1932" s="1" t="s">
        <v>90</v>
      </c>
      <c r="C1932" s="1" t="s">
        <v>101</v>
      </c>
      <c r="D1932" s="1" t="s">
        <v>335</v>
      </c>
      <c r="E1932" s="1" t="s">
        <v>2022</v>
      </c>
      <c r="F1932" s="1" t="s">
        <v>3959</v>
      </c>
      <c r="G1932" s="1" t="s">
        <v>28</v>
      </c>
      <c r="H1932" s="1" t="s">
        <v>29</v>
      </c>
      <c r="I1932" s="1" t="str">
        <f ca="1">IFERROR(__xludf.DUMMYFUNCTION("GOOGLETRANSLATE(F1932, ""auto"", ""en"")
"),"We are almost satisfied with the coffee grinder. The coffee grinds quickly and just the way you need it - the longer you hold the button, the finer it will be. It doesn't crack very much, it doesn't sound like a drill))) A small minus is the rounded shape"&amp;" of the lid. If your hands are wet, it's a failure ((")</f>
        <v>We are almost satisfied with the coffee grinder. The coffee grinds quickly and just the way you need it - the longer you hold the button, the finer it will be. It doesn't crack very much, it doesn't sound like a drill))) A small minus is the rounded shape of the lid. If your hands are wet, it's a failure ((</v>
      </c>
    </row>
    <row r="1933" spans="1:9" x14ac:dyDescent="0.3">
      <c r="A1933" s="1" t="s">
        <v>89</v>
      </c>
      <c r="B1933" s="1" t="s">
        <v>231</v>
      </c>
      <c r="C1933" s="1" t="s">
        <v>185</v>
      </c>
      <c r="D1933" s="1" t="s">
        <v>308</v>
      </c>
      <c r="E1933" s="1" t="s">
        <v>3960</v>
      </c>
      <c r="F1933" s="1" t="s">
        <v>3961</v>
      </c>
      <c r="G1933" s="1" t="s">
        <v>36</v>
      </c>
      <c r="H1933" s="1" t="s">
        <v>29</v>
      </c>
      <c r="I1933" s="1" t="str">
        <f ca="1">IFERROR(__xludf.DUMMYFUNCTION("GOOGLETRANSLATE(F1933, ""auto"", ""en"")
"),"I bought a coffee machine for my wife’s anniversary as part of a promotion; I chose between a Philips with some super millstones and this one. The choice fell on DE longhi. Firstly, the design is more stylish and, in my opinion, looks more solid. The volu"&amp;"me of the water tank is sufficient (considering that we drink 2-3 cups of coffee a day), a smaller volume would be “strained” by frequent top-ups. We found a common language with the machine right away, although after studying the instructions first, ever"&amp;"ything was intuitive. The taste of burnt coffee is not noticeable (some reviews contained such information) and directly depends on the quality of the beans used. Regarding the noise, I’ll say that it’s not the aroma of coffee in the morning, but the proc"&amp;"ess of preparing it))), but I don’t think that in other coffee machines the noise level would be lower")</f>
        <v>I bought a coffee machine for my wife’s anniversary as part of a promotion; I chose between a Philips with some super millstones and this one. The choice fell on DE longhi. Firstly, the design is more stylish and, in my opinion, looks more solid. The volume of the water tank is sufficient (considering that we drink 2-3 cups of coffee a day), a smaller volume would be “strained” by frequent top-ups. We found a common language with the machine right away, although after studying the instructions first, everything was intuitive. The taste of burnt coffee is not noticeable (some reviews contained such information) and directly depends on the quality of the beans used. Regarding the noise, I’ll say that it’s not the aroma of coffee in the morning, but the process of preparing it))), but I don’t think that in other coffee machines the noise level would be lower</v>
      </c>
    </row>
    <row r="1934" spans="1:9" x14ac:dyDescent="0.3">
      <c r="A1934" s="1" t="s">
        <v>30</v>
      </c>
      <c r="B1934" s="1" t="s">
        <v>50</v>
      </c>
      <c r="C1934" s="1" t="s">
        <v>32</v>
      </c>
      <c r="D1934" s="1" t="s">
        <v>3962</v>
      </c>
      <c r="E1934" s="1" t="s">
        <v>2206</v>
      </c>
      <c r="F1934" s="1" t="s">
        <v>3963</v>
      </c>
      <c r="G1934" s="1" t="s">
        <v>28</v>
      </c>
      <c r="H1934" s="1" t="s">
        <v>29</v>
      </c>
      <c r="I1934" s="1" t="str">
        <f ca="1">IFERROR(__xludf.DUMMYFUNCTION("GOOGLETRANSLATE(F1934, ""auto"", ""en"")
"),"I bought this laptop at the beginning of December 2009.. I was tempted by the price.. I thought like such a beech and for that kind of money!! when I got home I immediately tested the beech.. 3dmarkom // it turned out that the beech was the advertised 102"&amp;"4MB. It works only at 256 and that’s rather weak... since the percentage is Atlon, severe overheating began from the graphics, at first, for example, you launch Bioshock, the same thing... you play for 20 minutes, then the computer turns off. myself)) sol"&amp;"ved this problem by cooling the beech.. I paid extra for modding the beech for Sonya Vavio. and stuck a bluetooth antenna into it.... now the beech suits me quite well... stylish, powerful, communicative... by the way, I changed the battery... I’m just no"&amp;"t used to using the beech as a desktop computer... now it lasts 12-8 hours... easily.!!!! I advise everyone to use this 5536 and unmodify it.!!1")</f>
        <v>I bought this laptop at the beginning of December 2009.. I was tempted by the price.. I thought like such a beech and for that kind of money!! when I got home I immediately tested the beech.. 3dmarkom // it turned out that the beech was the advertised 1024MB. It works only at 256 and that’s rather weak... since the percentage is Atlon, severe overheating began from the graphics, at first, for example, you launch Bioshock, the same thing... you play for 20 minutes, then the computer turns off. myself)) solved this problem by cooling the beech.. I paid extra for modding the beech for Sonya Vavio. and stuck a bluetooth antenna into it.... now the beech suits me quite well... stylish, powerful, communicative... by the way, I changed the battery... I’m just not used to using the beech as a desktop computer... now it lasts 12-8 hours... easily.!!!! I advise everyone to use this 5536 and unmodify it.!!1</v>
      </c>
    </row>
    <row r="1935" spans="1:9" x14ac:dyDescent="0.3">
      <c r="A1935" s="1" t="s">
        <v>61</v>
      </c>
      <c r="B1935" s="1" t="s">
        <v>73</v>
      </c>
      <c r="C1935" s="1" t="s">
        <v>146</v>
      </c>
      <c r="D1935" s="1" t="s">
        <v>280</v>
      </c>
      <c r="E1935" s="1" t="s">
        <v>969</v>
      </c>
      <c r="F1935" s="1" t="s">
        <v>3964</v>
      </c>
      <c r="G1935" s="1" t="s">
        <v>49</v>
      </c>
      <c r="H1935" s="1" t="s">
        <v>16</v>
      </c>
      <c r="I1935" s="1" t="str">
        <f ca="1">IFERROR(__xludf.DUMMYFUNCTION("GOOGLETRANSLATE(F1935, ""auto"", ""en"")
"),"To be honest, I bought it after reading reviews on the Internet. All were positive, with the exception of one (can be found on Yandex.Market), and the review was written so well and correctly that despite the fact that it was the only one, it still made m"&amp;"e doubt the purchase.    But the design of the meat grinder, power and positive reviews from housewives played a role, and I finally bought it :) The first thing I didn’t like was the material of the body and parts - cheap silumin.  I completely agree wit"&amp;"h the previous review that when the load is good, the parts are poorly adjusted and everything starts moving back and forth.    Even if you kill it, she doesn’t chop meat well.  I compared my new knife with the knife of another meat grinder, which has cho"&amp;"pped not a single kilogram of meat, and even to the eye you can see the poor quality of sharpening. Maybe it needs to be sharpened before use, huh?    This top tray, which is inserted into the meat supply pipe, is inserted anyhow, that is, while the meat "&amp;"grinder is new, it somehow stays there due to notches. But a couple more uses and it will start to dangle as opposed to the dangling auger :) The conclusion is that it is not worth the money, the red price is 2000 rubles. And if you decide on some other m"&amp;"eat grinder, even if it is at least a hundred times more unattractive, know that you have not lost anything.")</f>
        <v>To be honest, I bought it after reading reviews on the Internet. All were positive, with the exception of one (can be found on Yandex.Market), and the review was written so well and correctly that despite the fact that it was the only one, it still made me doubt the purchase.    But the design of the meat grinder, power and positive reviews from housewives played a role, and I finally bought it :) The first thing I didn’t like was the material of the body and parts - cheap silumin.  I completely agree with the previous review that when the load is good, the parts are poorly adjusted and everything starts moving back and forth.    Even if you kill it, she doesn’t chop meat well.  I compared my new knife with the knife of another meat grinder, which has chopped not a single kilogram of meat, and even to the eye you can see the poor quality of sharpening. Maybe it needs to be sharpened before use, huh?    This top tray, which is inserted into the meat supply pipe, is inserted anyhow, that is, while the meat grinder is new, it somehow stays there due to notches. But a couple more uses and it will start to dangle as opposed to the dangling auger :) The conclusion is that it is not worth the money, the red price is 2000 rubles. And if you decide on some other meat grinder, even if it is at least a hundred times more unattractive, know that you have not lost anything.</v>
      </c>
    </row>
    <row r="1936" spans="1:9" x14ac:dyDescent="0.3">
      <c r="A1936" s="1" t="s">
        <v>61</v>
      </c>
      <c r="B1936" s="1" t="s">
        <v>977</v>
      </c>
      <c r="C1936" s="1" t="s">
        <v>63</v>
      </c>
      <c r="D1936" s="1" t="s">
        <v>3965</v>
      </c>
      <c r="E1936" s="1" t="s">
        <v>606</v>
      </c>
      <c r="F1936" s="1" t="s">
        <v>3966</v>
      </c>
      <c r="G1936" s="1" t="s">
        <v>49</v>
      </c>
      <c r="H1936" s="1" t="s">
        <v>16</v>
      </c>
      <c r="I1936" s="1" t="str">
        <f ca="1">IFERROR(__xludf.DUMMYFUNCTION("GOOGLETRANSLATE(F1936, ""auto"", ""en"")
"),"Once again I want to share my unsuccessful purchase! Before that I was Brown, so I know how a blender works. But Bosch is some kind of toy!!! There is a result, but it takes 2 times longer!!! I concluded that there is simply no better Blender Brown! My at"&amp;"titude towards the Bosch company has not changed, since all my large household appliances are Bosch! But it’s clear that they can’t be first in all categories. After reading on the forum, I realized that Brown now specializes only in kitchen appliances, w"&amp;"hich may be why this is the result!")</f>
        <v>Once again I want to share my unsuccessful purchase! Before that I was Brown, so I know how a blender works. But Bosch is some kind of toy!!! There is a result, but it takes 2 times longer!!! I concluded that there is simply no better Blender Brown! My attitude towards the Bosch company has not changed, since all my large household appliances are Bosch! But it’s clear that they can’t be first in all categories. After reading on the forum, I realized that Brown now specializes only in kitchen appliances, which may be why this is the result!</v>
      </c>
    </row>
    <row r="1937" spans="1:9" x14ac:dyDescent="0.3">
      <c r="A1937" s="1" t="s">
        <v>477</v>
      </c>
      <c r="B1937" s="1" t="s">
        <v>478</v>
      </c>
      <c r="C1937" s="1" t="s">
        <v>479</v>
      </c>
      <c r="D1937" s="1" t="s">
        <v>3097</v>
      </c>
      <c r="E1937" s="1" t="s">
        <v>3967</v>
      </c>
      <c r="F1937" s="1" t="s">
        <v>3968</v>
      </c>
      <c r="G1937" s="1" t="s">
        <v>36</v>
      </c>
      <c r="H1937" s="1" t="s">
        <v>29</v>
      </c>
      <c r="I1937" s="1" t="str">
        <f ca="1">IFERROR(__xludf.DUMMYFUNCTION("GOOGLETRANSLATE(F1937, ""auto"", ""en"")
"),"I advise you to buy it, the interface is the best, the gameplay is generally silent! Buy =D")</f>
        <v>I advise you to buy it, the interface is the best, the gameplay is generally silent! Buy =D</v>
      </c>
    </row>
    <row r="1938" spans="1:9" x14ac:dyDescent="0.3">
      <c r="A1938" s="1" t="s">
        <v>9</v>
      </c>
      <c r="B1938" s="1" t="s">
        <v>874</v>
      </c>
      <c r="C1938" s="1" t="s">
        <v>588</v>
      </c>
      <c r="D1938" s="1" t="s">
        <v>621</v>
      </c>
      <c r="E1938" s="1" t="s">
        <v>1666</v>
      </c>
      <c r="F1938" s="1" t="s">
        <v>3969</v>
      </c>
      <c r="G1938" s="1" t="s">
        <v>36</v>
      </c>
      <c r="H1938" s="1" t="s">
        <v>29</v>
      </c>
      <c r="I1938" s="1" t="str">
        <f ca="1">IFERROR(__xludf.DUMMYFUNCTION("GOOGLETRANSLATE(F1938, ""auto"", ""en"")
"),"I have been using Hansa BCCI66136077 for three years now.  I was looking for a kit from a child safety point of view.  ""Pros"": - ""recessed"" controls, - there are heating indicators, - the set includes baking sheets and a grill grate, - the hob is equi"&amp;"pped with four hearths of different diameters, - the hob is not afraid of food boiling over and is easy to clean, - the oven bakes evenly, - the controls are simple, there are no extra buttons.  I recommend!!!")</f>
        <v>I have been using Hansa BCCI66136077 for three years now.  I was looking for a kit from a child safety point of view.  "Pros": - "recessed" controls, - there are heating indicators, - the set includes baking sheets and a grill grate, - the hob is equipped with four hearths of different diameters, - the hob is not afraid of food boiling over and is easy to clean, - the oven bakes evenly, - the controls are simple, there are no extra buttons.  I recommend!!!</v>
      </c>
    </row>
    <row r="1939" spans="1:9" x14ac:dyDescent="0.3">
      <c r="A1939" s="1" t="s">
        <v>206</v>
      </c>
      <c r="B1939" s="1" t="s">
        <v>2026</v>
      </c>
      <c r="C1939" s="1" t="s">
        <v>262</v>
      </c>
      <c r="D1939" s="1" t="s">
        <v>742</v>
      </c>
      <c r="E1939" s="1" t="s">
        <v>529</v>
      </c>
      <c r="F1939" s="1" t="s">
        <v>3970</v>
      </c>
      <c r="G1939" s="1" t="s">
        <v>36</v>
      </c>
      <c r="H1939" s="1" t="s">
        <v>29</v>
      </c>
      <c r="I1939" s="1" t="str">
        <f ca="1">IFERROR(__xludf.DUMMYFUNCTION("GOOGLETRANSLATE(F1939, ""auto"", ""en"")
"),"I purchased this radio a year and a half ago, during which time I tried all the functions on it, I can say the radio is simply cool. It reads absolutely everything that modern radios can read, by the way, it reads an eight GB flash drive freely, it just t"&amp;"akes a few seconds to load. Conclusion - the radio is excellent.")</f>
        <v>I purchased this radio a year and a half ago, during which time I tried all the functions on it, I can say the radio is simply cool. It reads absolutely everything that modern radios can read, by the way, it reads an eight GB flash drive freely, it just takes a few seconds to load. Conclusion - the radio is excellent.</v>
      </c>
    </row>
    <row r="1940" spans="1:9" x14ac:dyDescent="0.3">
      <c r="A1940" s="1" t="s">
        <v>9</v>
      </c>
      <c r="B1940" s="1" t="s">
        <v>137</v>
      </c>
      <c r="C1940" s="1" t="s">
        <v>870</v>
      </c>
      <c r="D1940" s="1" t="s">
        <v>3971</v>
      </c>
      <c r="E1940" s="1" t="s">
        <v>3972</v>
      </c>
      <c r="F1940" s="1" t="s">
        <v>3973</v>
      </c>
      <c r="G1940" s="1" t="s">
        <v>36</v>
      </c>
      <c r="H1940" s="1" t="s">
        <v>29</v>
      </c>
      <c r="I1940" s="1" t="str">
        <f ca="1">IFERROR(__xludf.DUMMYFUNCTION("GOOGLETRANSLATE(F1940, ""auto"", ""en"")
"),"Some time ago I buried an old stove. She died of old age, repairs would have cost the same as this panel, and most likely resuscitation would not have prolonged her life much. No matter how I looked at buying a new large stove, I clearly couldn’t afford i"&amp;"t (good, of course), and the need for it disappeared after I started living alone. The panel solved a bunch of problems in one fell swoop. It is more affordable in price. The compact size and the fact that it is built-in meant there was free space in the "&amp;"kitchen into which I was finally able to squeeze the washing machine. Having only two burners is not a problem, they start instantly, quickly gain temperature, and, therefore, I can even cook a bunch of pickles on it in a short time. Few things burn, but "&amp;"if this happens, then there are no traces of soot left on it. I was able to completely lime the boiled milk by simply wiping it with a dry cloth; stainless steel is still a very good material.")</f>
        <v>Some time ago I buried an old stove. She died of old age, repairs would have cost the same as this panel, and most likely resuscitation would not have prolonged her life much. No matter how I looked at buying a new large stove, I clearly couldn’t afford it (good, of course), and the need for it disappeared after I started living alone. The panel solved a bunch of problems in one fell swoop. It is more affordable in price. The compact size and the fact that it is built-in meant there was free space in the kitchen into which I was finally able to squeeze the washing machine. Having only two burners is not a problem, they start instantly, quickly gain temperature, and, therefore, I can even cook a bunch of pickles on it in a short time. Few things burn, but if this happens, then there are no traces of soot left on it. I was able to completely lime the boiled milk by simply wiping it with a dry cloth; stainless steel is still a very good material.</v>
      </c>
    </row>
    <row r="1941" spans="1:9" x14ac:dyDescent="0.3">
      <c r="A1941" s="1" t="s">
        <v>9</v>
      </c>
      <c r="B1941" s="1" t="s">
        <v>10</v>
      </c>
      <c r="C1941" s="1" t="s">
        <v>407</v>
      </c>
      <c r="D1941" s="1" t="s">
        <v>3974</v>
      </c>
      <c r="E1941" s="1" t="s">
        <v>3975</v>
      </c>
      <c r="F1941" s="1" t="s">
        <v>3976</v>
      </c>
      <c r="G1941" s="1" t="s">
        <v>36</v>
      </c>
      <c r="H1941" s="1" t="s">
        <v>29</v>
      </c>
      <c r="I1941" s="1" t="str">
        <f ca="1">IFERROR(__xludf.DUMMYFUNCTION("GOOGLETRANSLATE(F1941, ""auto"", ""en"")
"),"I chose more based on design, because not everything will suit our new kitchen. I searched for a long time until I came across this beauty purely by chance. All our equipment is glass or glass ceramics. The working surface of this model fits perfectly. do"&amp;"n't be afraid to get it dirty. Everything can be easily wiped with a regular cloth. At first power you can’t hear it at all, I use it when I need to heat something up quickly. further as needed. I turn on the turbo when people are smoking in the kitchen. "&amp;"It pulls so hard that the smoke doesn’t have time to get into the rooms. I was left with positive emotions from the purchase.")</f>
        <v>I chose more based on design, because not everything will suit our new kitchen. I searched for a long time until I came across this beauty purely by chance. All our equipment is glass or glass ceramics. The working surface of this model fits perfectly. don't be afraid to get it dirty. Everything can be easily wiped with a regular cloth. At first power you can’t hear it at all, I use it when I need to heat something up quickly. further as needed. I turn on the turbo when people are smoking in the kitchen. It pulls so hard that the smoke doesn’t have time to get into the rooms. I was left with positive emotions from the purchase.</v>
      </c>
    </row>
    <row r="1942" spans="1:9" x14ac:dyDescent="0.3">
      <c r="A1942" s="1" t="s">
        <v>37</v>
      </c>
      <c r="B1942" s="1" t="s">
        <v>38</v>
      </c>
      <c r="C1942" s="1" t="s">
        <v>69</v>
      </c>
      <c r="D1942" s="1" t="s">
        <v>3977</v>
      </c>
      <c r="E1942" s="1" t="s">
        <v>1315</v>
      </c>
      <c r="F1942" s="1" t="s">
        <v>3978</v>
      </c>
      <c r="G1942" s="1" t="s">
        <v>36</v>
      </c>
      <c r="H1942" s="1" t="s">
        <v>29</v>
      </c>
      <c r="I1942" s="1" t="str">
        <f ca="1">IFERROR(__xludf.DUMMYFUNCTION("GOOGLETRANSLATE(F1942, ""auto"", ""en"")
"),"Buy yourself another phone, what do you want from a phone for this money!!! In my opinion, the phone is cool, we are going to buy it for my sister, and she talks a lot on the phone, the battery can handle her chatter, so who cares. And if you want a phone"&amp;" with a notepad, then save up some money and don’t complain!")</f>
        <v>Buy yourself another phone, what do you want from a phone for this money!!! In my opinion, the phone is cool, we are going to buy it for my sister, and she talks a lot on the phone, the battery can handle her chatter, so who cares. And if you want a phone with a notepad, then save up some money and don’t complain!</v>
      </c>
    </row>
    <row r="1943" spans="1:9" x14ac:dyDescent="0.3">
      <c r="A1943" s="1" t="s">
        <v>361</v>
      </c>
      <c r="B1943" s="1" t="s">
        <v>362</v>
      </c>
      <c r="C1943" s="1" t="s">
        <v>2143</v>
      </c>
      <c r="D1943" s="1" t="s">
        <v>471</v>
      </c>
      <c r="E1943" s="1" t="s">
        <v>3979</v>
      </c>
      <c r="F1943" s="1" t="s">
        <v>3980</v>
      </c>
      <c r="G1943" s="1" t="s">
        <v>36</v>
      </c>
      <c r="H1943" s="1" t="s">
        <v>29</v>
      </c>
      <c r="I1943" s="1" t="str">
        <f ca="1">IFERROR(__xludf.DUMMYFUNCTION("GOOGLETRANSLATE(F1943, ""auto"", ""en"")
"),"I bought myself such a great thing. My mother immediately took it away and I had to go get a second one. I'm delighted. It cuts perfectly, I use the saucepan as a salad bowl + lid.")</f>
        <v>I bought myself such a great thing. My mother immediately took it away and I had to go get a second one. I'm delighted. It cuts perfectly, I use the saucepan as a salad bowl + lid.</v>
      </c>
    </row>
    <row r="1944" spans="1:9" x14ac:dyDescent="0.3">
      <c r="A1944" s="1" t="s">
        <v>9</v>
      </c>
      <c r="B1944" s="1" t="s">
        <v>10</v>
      </c>
      <c r="C1944" s="1" t="s">
        <v>407</v>
      </c>
      <c r="D1944" s="1" t="s">
        <v>305</v>
      </c>
      <c r="E1944" s="1" t="s">
        <v>3981</v>
      </c>
      <c r="F1944" s="1" t="s">
        <v>3982</v>
      </c>
      <c r="G1944" s="1" t="s">
        <v>36</v>
      </c>
      <c r="H1944" s="1" t="s">
        <v>29</v>
      </c>
      <c r="I1944" s="1" t="str">
        <f ca="1">IFERROR(__xludf.DUMMYFUNCTION("GOOGLETRANSLATE(F1944, ""auto"", ""en"")
"),"At first I liked the design - elegant, beautiful, thanks to the glass canopy it doesn’t look like a huge bandura. Then I liked the characteristics - the power of several levels is very convenient, the backlight is again a necessary thing. And then we read"&amp;" the reviews and decided that we would take it! We've been using it for 4 years now. Almost silent, comfortable, easy to clean. The only thing that is difficult is washing the filter - the recommendation is once a month - you need to do it! And now we are"&amp;" looking for a new filter, and the hood is like new!")</f>
        <v>At first I liked the design - elegant, beautiful, thanks to the glass canopy it doesn’t look like a huge bandura. Then I liked the characteristics - the power of several levels is very convenient, the backlight is again a necessary thing. And then we read the reviews and decided that we would take it! We've been using it for 4 years now. Almost silent, comfortable, easy to clean. The only thing that is difficult is washing the filter - the recommendation is once a month - you need to do it! And now we are looking for a new filter, and the hood is like new!</v>
      </c>
    </row>
    <row r="1945" spans="1:9" x14ac:dyDescent="0.3">
      <c r="A1945" s="1" t="s">
        <v>61</v>
      </c>
      <c r="B1945" s="1" t="s">
        <v>318</v>
      </c>
      <c r="C1945" s="1" t="s">
        <v>745</v>
      </c>
      <c r="D1945" s="1" t="s">
        <v>1506</v>
      </c>
      <c r="E1945" s="1" t="s">
        <v>3983</v>
      </c>
      <c r="F1945" s="1" t="s">
        <v>3984</v>
      </c>
      <c r="G1945" s="1" t="s">
        <v>36</v>
      </c>
      <c r="H1945" s="1" t="s">
        <v>29</v>
      </c>
      <c r="I1945" s="1" t="str">
        <f ca="1">IFERROR(__xludf.DUMMYFUNCTION("GOOGLETRANSLATE(F1945, ""auto"", ""en"")
"),"Cute, pleasing to the eye lighting, boils quickly.")</f>
        <v>Cute, pleasing to the eye lighting, boils quickly.</v>
      </c>
    </row>
    <row r="1946" spans="1:9" x14ac:dyDescent="0.3">
      <c r="A1946" s="1" t="s">
        <v>149</v>
      </c>
      <c r="B1946" s="1" t="s">
        <v>155</v>
      </c>
      <c r="C1946" s="1" t="s">
        <v>151</v>
      </c>
      <c r="D1946" s="1" t="s">
        <v>39</v>
      </c>
      <c r="E1946" s="1" t="s">
        <v>937</v>
      </c>
      <c r="F1946" s="1" t="s">
        <v>3985</v>
      </c>
      <c r="G1946" s="1" t="s">
        <v>15</v>
      </c>
      <c r="H1946" s="1" t="s">
        <v>16</v>
      </c>
      <c r="I1946" s="1" t="str">
        <f ca="1">IFERROR(__xludf.DUMMYFUNCTION("GOOGLETRANSLATE(F1946, ""auto"", ""en"")
"),"It's amazing how poorly designed the dust collector is. It gets clogged in 2 minutes, you have to take out the pot and pick out the dust from the central hole, otherwise the device just hums and doesn’t work. The internal filter, which can only be cleaned"&amp;" with water, also clogs very quickly, which means it takes a day to dry it after that. In addition, the control buttons on the handle are very inconveniently located; you constantly accidentally press them while working. The rest is great.")</f>
        <v>It's amazing how poorly designed the dust collector is. It gets clogged in 2 minutes, you have to take out the pot and pick out the dust from the central hole, otherwise the device just hums and doesn’t work. The internal filter, which can only be cleaned with water, also clogs very quickly, which means it takes a day to dry it after that. In addition, the control buttons on the handle are very inconveniently located; you constantly accidentally press them while working. The rest is great.</v>
      </c>
    </row>
    <row r="1947" spans="1:9" x14ac:dyDescent="0.3">
      <c r="A1947" s="1" t="s">
        <v>169</v>
      </c>
      <c r="B1947" s="1" t="s">
        <v>170</v>
      </c>
      <c r="C1947" s="1" t="s">
        <v>171</v>
      </c>
      <c r="D1947" s="1" t="s">
        <v>2296</v>
      </c>
      <c r="E1947" s="1" t="s">
        <v>1603</v>
      </c>
      <c r="F1947" s="1" t="s">
        <v>3986</v>
      </c>
      <c r="G1947" s="1" t="s">
        <v>49</v>
      </c>
      <c r="H1947" s="1" t="s">
        <v>16</v>
      </c>
      <c r="I1947" s="1" t="str">
        <f ca="1">IFERROR(__xludf.DUMMYFUNCTION("GOOGLETRANSLATE(F1947, ""auto"", ""en"")
"),"Very bad headphones, I only listened to them a couple of times, they irritate my ears a lot, there is no bass at all, today I’m going to get others.")</f>
        <v>Very bad headphones, I only listened to them a couple of times, they irritate my ears a lot, there is no bass at all, today I’m going to get others.</v>
      </c>
    </row>
    <row r="1948" spans="1:9" x14ac:dyDescent="0.3">
      <c r="A1948" s="1" t="s">
        <v>55</v>
      </c>
      <c r="B1948" s="1" t="s">
        <v>84</v>
      </c>
      <c r="C1948" s="1" t="s">
        <v>85</v>
      </c>
      <c r="D1948" s="1" t="s">
        <v>308</v>
      </c>
      <c r="E1948" s="1" t="s">
        <v>3987</v>
      </c>
      <c r="F1948" s="1" t="s">
        <v>3988</v>
      </c>
      <c r="G1948" s="1" t="s">
        <v>36</v>
      </c>
      <c r="H1948" s="1" t="s">
        <v>29</v>
      </c>
      <c r="I1948" s="1" t="str">
        <f ca="1">IFERROR(__xludf.DUMMYFUNCTION("GOOGLETRANSLATE(F1948, ""auto"", ""en"")
"),"Quality, efficiency, ease of management")</f>
        <v>Quality, efficiency, ease of management</v>
      </c>
    </row>
    <row r="1949" spans="1:9" x14ac:dyDescent="0.3">
      <c r="A1949" s="1" t="s">
        <v>211</v>
      </c>
      <c r="B1949" s="1" t="s">
        <v>212</v>
      </c>
      <c r="C1949" s="1" t="s">
        <v>294</v>
      </c>
      <c r="D1949" s="1" t="s">
        <v>3989</v>
      </c>
      <c r="E1949" s="1" t="s">
        <v>1816</v>
      </c>
      <c r="F1949" s="1" t="s">
        <v>3990</v>
      </c>
      <c r="G1949" s="1" t="s">
        <v>36</v>
      </c>
      <c r="H1949" s="1" t="s">
        <v>29</v>
      </c>
      <c r="I1949" s="1" t="str">
        <f ca="1">IFERROR(__xludf.DUMMYFUNCTION("GOOGLETRANSLATE(F1949, ""auto"", ""en"")
"),"I bought curling irons two weeks ago, I really liked them. My hair is heavy, thick and usually difficult to curl, and then after an hour or two there was not a trace of curls left... And with these curling irons I had even a trace of curls. day...so here "&amp;"it is!!!! my rating is 5+")</f>
        <v>I bought curling irons two weeks ago, I really liked them. My hair is heavy, thick and usually difficult to curl, and then after an hour or two there was not a trace of curls left... And with these curling irons I had even a trace of curls. day...so here it is!!!! my rating is 5+</v>
      </c>
    </row>
    <row r="1950" spans="1:9" x14ac:dyDescent="0.3">
      <c r="A1950" s="1" t="s">
        <v>43</v>
      </c>
      <c r="B1950" s="1" t="s">
        <v>502</v>
      </c>
      <c r="C1950" s="1" t="s">
        <v>151</v>
      </c>
      <c r="D1950" s="1" t="s">
        <v>282</v>
      </c>
      <c r="E1950" s="1" t="s">
        <v>1169</v>
      </c>
      <c r="F1950" s="1" t="s">
        <v>3991</v>
      </c>
      <c r="G1950" s="1" t="s">
        <v>36</v>
      </c>
      <c r="H1950" s="1" t="s">
        <v>29</v>
      </c>
      <c r="I1950" s="1" t="str">
        <f ca="1">IFERROR(__xludf.DUMMYFUNCTION("GOOGLETRANSLATE(F1950, ""auto"", ""en"")
"),"Nikolay, you should not screw self-tapping screws into the housing - this can damage the radiator. We recommend installing an inclined canopy over the air conditioner.")</f>
        <v>Nikolay, you should not screw self-tapping screws into the housing - this can damage the radiator. We recommend installing an inclined canopy over the air conditioner.</v>
      </c>
    </row>
    <row r="1951" spans="1:9" x14ac:dyDescent="0.3">
      <c r="A1951" s="1" t="s">
        <v>206</v>
      </c>
      <c r="B1951" s="1" t="s">
        <v>261</v>
      </c>
      <c r="C1951" s="1" t="s">
        <v>107</v>
      </c>
      <c r="D1951" s="1" t="s">
        <v>305</v>
      </c>
      <c r="E1951" s="1" t="s">
        <v>820</v>
      </c>
      <c r="F1951" s="1" t="s">
        <v>3992</v>
      </c>
      <c r="G1951" s="1" t="s">
        <v>28</v>
      </c>
      <c r="H1951" s="1" t="s">
        <v>29</v>
      </c>
      <c r="I1951" s="1" t="str">
        <f ca="1">IFERROR(__xludf.DUMMYFUNCTION("GOOGLETRANSLATE(F1951, ""auto"", ""en"")
"),"I was pleasantly surprised by the sound quality after using cheap devices. A bunch of functions that have never been found in any transmitter before. The instructions do not half coincide with the real state of affairs. Adjustments for bass and treble wer"&amp;"e detected, but there is no scrolling of settings in RDS and there is no power off. I have to constantly pull it out of the cigarette lighter. It is no longer necessary to name the folders as written in the instructions; folders can be browsed without pro"&amp;"blems with any names. There is rewind within the track. There are no problems with the native VW radio via RDS, Artist and Title Track are displayed if the tags are registered in the files. Additional functions are available from the remote control that c"&amp;"annot be enabled from the device itself. Don't lose the remote control! There are problems with interference at specific frequencies, but to solve this you can use 7 pre-configured frequencies, which can be conveniently switched from the remote control. I"&amp;"t seemed to me that there was less interference from USB than from a memory card. Although sometimes, to reduce interference, you can lower the volume of the output signal on the device itself.  In general, the device, if you do not take into account the "&amp;"price, is very, very cool. I recommend it!")</f>
        <v>I was pleasantly surprised by the sound quality after using cheap devices. A bunch of functions that have never been found in any transmitter before. The instructions do not half coincide with the real state of affairs. Adjustments for bass and treble were detected, but there is no scrolling of settings in RDS and there is no power off. I have to constantly pull it out of the cigarette lighter. It is no longer necessary to name the folders as written in the instructions; folders can be browsed without problems with any names. There is rewind within the track. There are no problems with the native VW radio via RDS, Artist and Title Track are displayed if the tags are registered in the files. Additional functions are available from the remote control that cannot be enabled from the device itself. Don't lose the remote control! There are problems with interference at specific frequencies, but to solve this you can use 7 pre-configured frequencies, which can be conveniently switched from the remote control. It seemed to me that there was less interference from USB than from a memory card. Although sometimes, to reduce interference, you can lower the volume of the output signal on the device itself.  In general, the device, if you do not take into account the price, is very, very cool. I recommend it!</v>
      </c>
    </row>
    <row r="1952" spans="1:9" x14ac:dyDescent="0.3">
      <c r="A1952" s="1" t="s">
        <v>30</v>
      </c>
      <c r="B1952" s="1" t="s">
        <v>31</v>
      </c>
      <c r="C1952" s="1" t="s">
        <v>365</v>
      </c>
      <c r="D1952" s="1" t="s">
        <v>3993</v>
      </c>
      <c r="E1952" s="1" t="s">
        <v>696</v>
      </c>
      <c r="F1952" s="1" t="s">
        <v>3994</v>
      </c>
      <c r="G1952" s="1" t="s">
        <v>36</v>
      </c>
      <c r="H1952" s="1" t="s">
        <v>29</v>
      </c>
      <c r="I1952" s="1" t="str">
        <f ca="1">IFERROR(__xludf.DUMMYFUNCTION("GOOGLETRANSLATE(F1952, ""auto"", ""en"")
"),"cool computer")</f>
        <v>cool computer</v>
      </c>
    </row>
    <row r="1953" spans="1:9" x14ac:dyDescent="0.3">
      <c r="A1953" s="1" t="s">
        <v>55</v>
      </c>
      <c r="B1953" s="1" t="s">
        <v>752</v>
      </c>
      <c r="C1953" s="1" t="s">
        <v>185</v>
      </c>
      <c r="D1953" s="1" t="s">
        <v>565</v>
      </c>
      <c r="E1953" s="1" t="s">
        <v>3095</v>
      </c>
      <c r="F1953" s="1" t="s">
        <v>3995</v>
      </c>
      <c r="G1953" s="1" t="s">
        <v>36</v>
      </c>
      <c r="H1953" s="1" t="s">
        <v>29</v>
      </c>
      <c r="I1953" s="1" t="str">
        <f ca="1">IFERROR(__xludf.DUMMYFUNCTION("GOOGLETRANSLATE(F1953, ""auto"", ""en"")
"),"The radiator is good, it heats a room of 16 sq.m. wonderfully. I recommend it to everyone!")</f>
        <v>The radiator is good, it heats a room of 16 sq.m. wonderfully. I recommend it to everyone!</v>
      </c>
    </row>
    <row r="1954" spans="1:9" x14ac:dyDescent="0.3">
      <c r="A1954" s="1" t="s">
        <v>95</v>
      </c>
      <c r="B1954" s="1" t="s">
        <v>486</v>
      </c>
      <c r="C1954" s="1" t="s">
        <v>487</v>
      </c>
      <c r="D1954" s="1" t="s">
        <v>3996</v>
      </c>
      <c r="E1954" s="1" t="s">
        <v>2693</v>
      </c>
      <c r="F1954" s="1" t="s">
        <v>3997</v>
      </c>
      <c r="G1954" s="1" t="s">
        <v>36</v>
      </c>
      <c r="H1954" s="1" t="s">
        <v>29</v>
      </c>
      <c r="I1954" s="1" t="str">
        <f ca="1">IFERROR(__xludf.DUMMYFUNCTION("GOOGLETRANSLATE(F1954, ""auto"", ""en"")
"),"I bought it for myself over the weekend, and also with Forza Motorsport 3. It’s a cool console, it works on my old TV, the only bad thing is that the gamepad is battery-powered, but it doesn’t matter, you can also buy a battery for it.  250 gb is enough, "&amp;"so buy without thinking!")</f>
        <v>I bought it for myself over the weekend, and also with Forza Motorsport 3. It’s a cool console, it works on my old TV, the only bad thing is that the gamepad is battery-powered, but it doesn’t matter, you can also buy a battery for it.  250 gb is enough, so buy without thinking!</v>
      </c>
    </row>
    <row r="1955" spans="1:9" x14ac:dyDescent="0.3">
      <c r="A1955" s="1" t="s">
        <v>37</v>
      </c>
      <c r="B1955" s="1" t="s">
        <v>38</v>
      </c>
      <c r="C1955" s="1" t="s">
        <v>151</v>
      </c>
      <c r="D1955" s="1" t="s">
        <v>3998</v>
      </c>
      <c r="E1955" s="1" t="s">
        <v>3999</v>
      </c>
      <c r="F1955" s="1" t="s">
        <v>4000</v>
      </c>
      <c r="G1955" s="1" t="s">
        <v>36</v>
      </c>
      <c r="H1955" s="1" t="s">
        <v>29</v>
      </c>
      <c r="I1955" s="1" t="str">
        <f ca="1">IFERROR(__xludf.DUMMYFUNCTION("GOOGLETRANSLATE(F1955, ""auto"", ""en"")
"),"The phone is great! The radio picks up EVEN WITHOUT HEADPHONES!!!! It’s a pity that you can only save 10 stations in your favorites. All calls are stored in the incoming-outgoing memory and about each there is information about the time of the call and th"&amp;"e duration of each conversation, i.e. the call is not overwritten by the last call from the same subscriber. For the money this is a real find!")</f>
        <v>The phone is great! The radio picks up EVEN WITHOUT HEADPHONES!!!! It’s a pity that you can only save 10 stations in your favorites. All calls are stored in the incoming-outgoing memory and about each there is information about the time of the call and the duration of each conversation, i.e. the call is not overwritten by the last call from the same subscriber. For the money this is a real find!</v>
      </c>
    </row>
    <row r="1956" spans="1:9" x14ac:dyDescent="0.3">
      <c r="A1956" s="1" t="s">
        <v>369</v>
      </c>
      <c r="B1956" s="1" t="s">
        <v>587</v>
      </c>
      <c r="C1956" s="1" t="s">
        <v>308</v>
      </c>
      <c r="D1956" s="1" t="s">
        <v>113</v>
      </c>
      <c r="E1956" s="1" t="s">
        <v>661</v>
      </c>
      <c r="F1956" s="1" t="s">
        <v>4001</v>
      </c>
      <c r="G1956" s="1" t="s">
        <v>15</v>
      </c>
      <c r="H1956" s="1" t="s">
        <v>16</v>
      </c>
      <c r="I1956" s="1" t="str">
        <f ca="1">IFERROR(__xludf.DUMMYFUNCTION("GOOGLETRANSLATE(F1956, ""auto"", ""en"")
"),"The oven doesn’t work. I only used it 3 times, the valve doesn’t work. I heated it up to 200 degrees and still nothing happened.")</f>
        <v>The oven doesn’t work. I only used it 3 times, the valve doesn’t work. I heated it up to 200 degrees and still nothing happened.</v>
      </c>
    </row>
    <row r="1957" spans="1:9" x14ac:dyDescent="0.3">
      <c r="A1957" s="1" t="s">
        <v>169</v>
      </c>
      <c r="B1957" s="1" t="s">
        <v>170</v>
      </c>
      <c r="C1957" s="1" t="s">
        <v>193</v>
      </c>
      <c r="D1957" s="1" t="s">
        <v>4002</v>
      </c>
      <c r="E1957" s="1" t="s">
        <v>956</v>
      </c>
      <c r="F1957" s="1" t="s">
        <v>4003</v>
      </c>
      <c r="G1957" s="1" t="s">
        <v>28</v>
      </c>
      <c r="H1957" s="1" t="s">
        <v>29</v>
      </c>
      <c r="I1957" s="1" t="str">
        <f ca="1">IFERROR(__xludf.DUMMYFUNCTION("GOOGLETRANSLATE(F1957, ""auto"", ""en"")
"),"These headphones are not bad, but fragile, more suitable for home use))")</f>
        <v>These headphones are not bad, but fragile, more suitable for home use))</v>
      </c>
    </row>
    <row r="1958" spans="1:9" x14ac:dyDescent="0.3">
      <c r="A1958" s="1" t="s">
        <v>61</v>
      </c>
      <c r="B1958" s="1" t="s">
        <v>145</v>
      </c>
      <c r="C1958" s="1" t="s">
        <v>69</v>
      </c>
      <c r="D1958" s="1" t="s">
        <v>4004</v>
      </c>
      <c r="E1958" s="1" t="s">
        <v>872</v>
      </c>
      <c r="F1958" s="1" t="s">
        <v>4005</v>
      </c>
      <c r="G1958" s="1" t="s">
        <v>36</v>
      </c>
      <c r="H1958" s="1" t="s">
        <v>29</v>
      </c>
      <c r="I1958" s="1" t="str">
        <f ca="1">IFERROR(__xludf.DUMMYFUNCTION("GOOGLETRANSLATE(F1958, ""auto"", ""en"")
"),"The steamer is super!!! We really like it. I bought it a year ago for myself and my sister as a gift.")</f>
        <v>The steamer is super!!! We really like it. I bought it a year ago for myself and my sister as a gift.</v>
      </c>
    </row>
    <row r="1959" spans="1:9" x14ac:dyDescent="0.3">
      <c r="A1959" s="1" t="s">
        <v>17</v>
      </c>
      <c r="B1959" s="1" t="s">
        <v>18</v>
      </c>
      <c r="C1959" s="1" t="s">
        <v>151</v>
      </c>
      <c r="D1959" s="1" t="s">
        <v>1171</v>
      </c>
      <c r="E1959" s="1" t="s">
        <v>2529</v>
      </c>
      <c r="F1959" s="1" t="s">
        <v>4006</v>
      </c>
      <c r="G1959" s="1" t="s">
        <v>15</v>
      </c>
      <c r="H1959" s="1" t="s">
        <v>16</v>
      </c>
      <c r="I1959" s="1" t="str">
        <f ca="1">IFERROR(__xludf.DUMMYFUNCTION("GOOGLETRANSLATE(F1959, ""auto"", ""en"")
"),"I’m not happy with the machine at all. I agree with Oksana. It is very noisy and jumps around if the spin is set to more than 600 rpm. In addition, I came across it with a manufacturing defect and after 10 months it ended up in service. 2 years passed, it"&amp;" broke again. All Samsung machines have low-quality bearings (I learned about this from the service technicians), and not all models have a hose for emergency draining. Think, decide, but don’t rush.")</f>
        <v>I’m not happy with the machine at all. I agree with Oksana. It is very noisy and jumps around if the spin is set to more than 600 rpm. In addition, I came across it with a manufacturing defect and after 10 months it ended up in service. 2 years passed, it broke again. All Samsung machines have low-quality bearings (I learned about this from the service technicians), and not all models have a hose for emergency draining. Think, decide, but don’t rush.</v>
      </c>
    </row>
    <row r="1960" spans="1:9" x14ac:dyDescent="0.3">
      <c r="A1960" s="1" t="s">
        <v>43</v>
      </c>
      <c r="B1960" s="1" t="s">
        <v>334</v>
      </c>
      <c r="C1960" s="1" t="s">
        <v>101</v>
      </c>
      <c r="D1960" s="1" t="s">
        <v>4007</v>
      </c>
      <c r="E1960" s="1" t="s">
        <v>4008</v>
      </c>
      <c r="F1960" s="1" t="s">
        <v>4009</v>
      </c>
      <c r="G1960" s="1" t="s">
        <v>49</v>
      </c>
      <c r="H1960" s="1" t="s">
        <v>16</v>
      </c>
      <c r="I1960" s="1" t="str">
        <f ca="1">IFERROR(__xludf.DUMMYFUNCTION("GOOGLETRANSLATE(F1960, ""auto"", ""en"")
"),"After 2 weeks (in the hottest weather) it stopped working. The fan is noisy, gets hot, and will fail at just the right moment!")</f>
        <v>After 2 weeks (in the hottest weather) it stopped working. The fan is noisy, gets hot, and will fail at just the right moment!</v>
      </c>
    </row>
    <row r="1961" spans="1:9" x14ac:dyDescent="0.3">
      <c r="A1961" s="1" t="s">
        <v>451</v>
      </c>
      <c r="B1961" s="1" t="s">
        <v>452</v>
      </c>
      <c r="C1961" s="1" t="s">
        <v>453</v>
      </c>
      <c r="D1961" s="1" t="s">
        <v>474</v>
      </c>
      <c r="E1961" s="1" t="s">
        <v>4010</v>
      </c>
      <c r="F1961" s="1" t="s">
        <v>4011</v>
      </c>
      <c r="G1961" s="1" t="s">
        <v>36</v>
      </c>
      <c r="H1961" s="1" t="s">
        <v>29</v>
      </c>
      <c r="I1961" s="1" t="str">
        <f ca="1">IFERROR(__xludf.DUMMYFUNCTION("GOOGLETRANSLATE(F1961, ""auto"", ""en"")
"),"I've been using it for a year and a half now. very pleased. copes with its task perfectly. After care, things look like new and become very soft. removes pellets without difficulty. very small and light, fits very comfortably in the hand. The batteries wo"&amp;"rk for quite a long time (over the entire period I changed the batteries 3 times). If you take care of your things, I advise you to buy this machine. It’s not expensive, but you won’t have any problems with woolen items.")</f>
        <v>I've been using it for a year and a half now. very pleased. copes with its task perfectly. After care, things look like new and become very soft. removes pellets without difficulty. very small and light, fits very comfortably in the hand. The batteries work for quite a long time (over the entire period I changed the batteries 3 times). If you take care of your things, I advise you to buy this machine. It’s not expensive, but you won’t have any problems with woolen items.</v>
      </c>
    </row>
    <row r="1962" spans="1:9" x14ac:dyDescent="0.3">
      <c r="A1962" s="1" t="s">
        <v>61</v>
      </c>
      <c r="B1962" s="1" t="s">
        <v>180</v>
      </c>
      <c r="C1962" s="1" t="s">
        <v>246</v>
      </c>
      <c r="D1962" s="1" t="s">
        <v>521</v>
      </c>
      <c r="E1962" s="1" t="s">
        <v>4012</v>
      </c>
      <c r="F1962" s="1" t="s">
        <v>4013</v>
      </c>
      <c r="G1962" s="1" t="s">
        <v>36</v>
      </c>
      <c r="H1962" s="1" t="s">
        <v>29</v>
      </c>
      <c r="I1962" s="1" t="str">
        <f ca="1">IFERROR(__xludf.DUMMYFUNCTION("GOOGLETRANSLATE(F1962, ""auto"", ""en"")
"),"A wonderful toaster. Absolutely low price and excellent quality. We’ve been using it for more than six months, almost every day, no complaints. Easy to use, quickly toasts bread - what else do you need? I recommend it to everyone, you won’t regret it!")</f>
        <v>A wonderful toaster. Absolutely low price and excellent quality. We’ve been using it for more than six months, almost every day, no complaints. Easy to use, quickly toasts bread - what else do you need? I recommend it to everyone, you won’t regret it!</v>
      </c>
    </row>
    <row r="1963" spans="1:9" x14ac:dyDescent="0.3">
      <c r="A1963" s="1" t="s">
        <v>17</v>
      </c>
      <c r="B1963" s="1" t="s">
        <v>18</v>
      </c>
      <c r="C1963" s="1" t="s">
        <v>63</v>
      </c>
      <c r="D1963" s="1" t="s">
        <v>240</v>
      </c>
      <c r="E1963" s="1" t="s">
        <v>3367</v>
      </c>
      <c r="F1963" s="1" t="s">
        <v>4014</v>
      </c>
      <c r="G1963" s="1" t="s">
        <v>36</v>
      </c>
      <c r="H1963" s="1" t="s">
        <v>29</v>
      </c>
      <c r="I1963" s="1" t="str">
        <f ca="1">IFERROR(__xludf.DUMMYFUNCTION("GOOGLETRANSLATE(F1963, ""auto"", ""en"")
"),"We are very pleased with this purchase, we searched the entire Internet before buying, the 7kg load is simply pleasing, it works quietly, everything suits us)))")</f>
        <v>We are very pleased with this purchase, we searched the entire Internet before buying, the 7kg load is simply pleasing, it works quietly, everything suits us)))</v>
      </c>
    </row>
    <row r="1964" spans="1:9" x14ac:dyDescent="0.3">
      <c r="A1964" s="1" t="s">
        <v>9</v>
      </c>
      <c r="B1964" s="1" t="s">
        <v>874</v>
      </c>
      <c r="C1964" s="1" t="s">
        <v>588</v>
      </c>
      <c r="D1964" s="1" t="s">
        <v>4015</v>
      </c>
      <c r="E1964" s="1" t="s">
        <v>4016</v>
      </c>
      <c r="F1964" s="1" t="s">
        <v>4017</v>
      </c>
      <c r="G1964" s="1" t="s">
        <v>28</v>
      </c>
      <c r="H1964" s="1" t="s">
        <v>29</v>
      </c>
      <c r="I1964" s="1" t="str">
        <f ca="1">IFERROR(__xludf.DUMMYFUNCTION("GOOGLETRANSLATE(F1964, ""auto"", ""en"")
"),"I like the Hans complex of this model. I’ve been using it for several months now and I’m happy with the choice, no problems. Works well. The panel is not only original in design, but also cooks quickly, heats up immediately, does not burn anything, and mo"&amp;"st importantly, is easy to clean, no effort required. There is a heat indicator. The oven is also good, several modes, lighting, the entire internal complex of baking trays is in perfect order. The advantage is that the glass is thick and triple glazed, w"&amp;"hich allows for minimal heating. I recommend it.")</f>
        <v>I like the Hans complex of this model. I’ve been using it for several months now and I’m happy with the choice, no problems. Works well. The panel is not only original in design, but also cooks quickly, heats up immediately, does not burn anything, and most importantly, is easy to clean, no effort required. There is a heat indicator. The oven is also good, several modes, lighting, the entire internal complex of baking trays is in perfect order. The advantage is that the glass is thick and triple glazed, which allows for minimal heating. I recommend it.</v>
      </c>
    </row>
    <row r="1965" spans="1:9" x14ac:dyDescent="0.3">
      <c r="A1965" s="1" t="s">
        <v>61</v>
      </c>
      <c r="B1965" s="1" t="s">
        <v>318</v>
      </c>
      <c r="C1965" s="1" t="s">
        <v>246</v>
      </c>
      <c r="D1965" s="1" t="s">
        <v>4018</v>
      </c>
      <c r="E1965" s="1" t="s">
        <v>1565</v>
      </c>
      <c r="F1965" s="1" t="s">
        <v>4019</v>
      </c>
      <c r="G1965" s="1" t="s">
        <v>36</v>
      </c>
      <c r="H1965" s="1" t="s">
        <v>29</v>
      </c>
      <c r="I1965" s="1" t="str">
        <f ca="1">IFERROR(__xludf.DUMMYFUNCTION("GOOGLETRANSLATE(F1965, ""auto"", ""en"")
"),"And I have had this kettle for at least 4 years now. It works and works (we heat water very often), does not stink of plastic.  Overall, I'm very pleased. Tefal did not disappoint! We wish we had more such high-quality equipment!  But Mikhail was probably"&amp;" just unlucky. This also happens, a matter of chance or luck.")</f>
        <v>And I have had this kettle for at least 4 years now. It works and works (we heat water very often), does not stink of plastic.  Overall, I'm very pleased. Tefal did not disappoint! We wish we had more such high-quality equipment!  But Mikhail was probably just unlucky. This also happens, a matter of chance or luck.</v>
      </c>
    </row>
    <row r="1966" spans="1:9" x14ac:dyDescent="0.3">
      <c r="A1966" s="1" t="s">
        <v>732</v>
      </c>
      <c r="B1966" s="1" t="s">
        <v>733</v>
      </c>
      <c r="C1966" s="1" t="s">
        <v>151</v>
      </c>
      <c r="D1966" s="1" t="s">
        <v>4020</v>
      </c>
      <c r="E1966" s="1" t="s">
        <v>3184</v>
      </c>
      <c r="F1966" s="1" t="s">
        <v>4021</v>
      </c>
      <c r="G1966" s="1" t="s">
        <v>36</v>
      </c>
      <c r="H1966" s="1" t="s">
        <v>29</v>
      </c>
      <c r="I1966" s="1" t="str">
        <f ca="1">IFERROR(__xludf.DUMMYFUNCTION("GOOGLETRANSLATE(F1966, ""auto"", ""en"")
"),"its maximum resolution is 1680 by 1050, which is not full hd.")</f>
        <v>its maximum resolution is 1680 by 1050, which is not full hd.</v>
      </c>
    </row>
    <row r="1967" spans="1:9" x14ac:dyDescent="0.3">
      <c r="A1967" s="1" t="s">
        <v>9</v>
      </c>
      <c r="B1967" s="1" t="s">
        <v>137</v>
      </c>
      <c r="C1967" s="1" t="s">
        <v>151</v>
      </c>
      <c r="D1967" s="1" t="s">
        <v>474</v>
      </c>
      <c r="E1967" s="1" t="s">
        <v>1285</v>
      </c>
      <c r="F1967" s="1" t="s">
        <v>4022</v>
      </c>
      <c r="G1967" s="1" t="s">
        <v>36</v>
      </c>
      <c r="H1967" s="1" t="s">
        <v>29</v>
      </c>
      <c r="I1967" s="1" t="str">
        <f ca="1">IFERROR(__xludf.DUMMYFUNCTION("GOOGLETRANSLATE(F1967, ""auto"", ""en"")
"),"I don’t usually leave reviews, but here I was outraged by the reviews of those who say that theirs doesn’t boil, doesn’t fry, doesn’t burn!  So, I’ve been using the hob for 4 years now! I simply adore it: STEW, FRY, BOIL INSTANTLY, and COOL IN THE same wa"&amp;"y.  I have good cookware and I respect the diameter of the bottom and the diameter of the burner.   I set the lock so that little children don’t turn it on!   I let the meat cook, set the timer and go for a quiet walk with the kids and it turns off on its"&amp;" own!  Bottom line: proper connection, good dishes and everything will be great!  I'm very pleased with her!")</f>
        <v>I don’t usually leave reviews, but here I was outraged by the reviews of those who say that theirs doesn’t boil, doesn’t fry, doesn’t burn!  So, I’ve been using the hob for 4 years now! I simply adore it: STEW, FRY, BOIL INSTANTLY, and COOL IN THE same way.  I have good cookware and I respect the diameter of the bottom and the diameter of the burner.   I set the lock so that little children don’t turn it on!   I let the meat cook, set the timer and go for a quiet walk with the kids and it turns off on its own!  Bottom line: proper connection, good dishes and everything will be great!  I'm very pleased with her!</v>
      </c>
    </row>
    <row r="1968" spans="1:9" x14ac:dyDescent="0.3">
      <c r="A1968" s="1" t="s">
        <v>67</v>
      </c>
      <c r="B1968" s="1" t="s">
        <v>340</v>
      </c>
      <c r="C1968" s="1" t="s">
        <v>341</v>
      </c>
      <c r="D1968" s="1" t="s">
        <v>4023</v>
      </c>
      <c r="E1968" s="1" t="s">
        <v>4024</v>
      </c>
      <c r="F1968" s="1" t="s">
        <v>4025</v>
      </c>
      <c r="G1968" s="1" t="s">
        <v>36</v>
      </c>
      <c r="H1968" s="1" t="s">
        <v>29</v>
      </c>
      <c r="I1968" s="1" t="str">
        <f ca="1">IFERROR(__xludf.DUMMYFUNCTION("GOOGLETRANSLATE(F1968, ""auto"", ""en"")
"),"sewing quality ")</f>
        <v xml:space="preserve">sewing quality </v>
      </c>
    </row>
    <row r="1969" spans="1:9" x14ac:dyDescent="0.3">
      <c r="A1969" s="1" t="s">
        <v>169</v>
      </c>
      <c r="B1969" s="1" t="s">
        <v>170</v>
      </c>
      <c r="C1969" s="1" t="s">
        <v>69</v>
      </c>
      <c r="D1969" s="1" t="s">
        <v>172</v>
      </c>
      <c r="E1969" s="1" t="s">
        <v>897</v>
      </c>
      <c r="F1969" s="1" t="s">
        <v>4026</v>
      </c>
      <c r="G1969" s="1" t="s">
        <v>36</v>
      </c>
      <c r="H1969" s="1" t="s">
        <v>29</v>
      </c>
      <c r="I1969" s="1" t="str">
        <f ca="1">IFERROR(__xludf.DUMMYFUNCTION("GOOGLETRANSLATE(F1969, ""auto"", ""en"")
"),"Great headphones! They fit perfectly on the ears (the ear immediately goes inside). Light in weight - does not put pressure, ears do not hurt later.. Reliable cable. Clear, beautiful sound, very deep and voluminous if you turn it up loud. Good bass - wher"&amp;"e needed and as much as needed - and you never need too much. If someone finds the sound harsh, it’s better not to turn up the bass, but turn down the high frequencies a little. I use it with a Pioneer receiver. I’m very pleased, despite the fact that I’m"&amp;" not a professional, but I love good sound in movies and music, and I’ve tried a wide variety of music on them.")</f>
        <v>Great headphones! They fit perfectly on the ears (the ear immediately goes inside). Light in weight - does not put pressure, ears do not hurt later.. Reliable cable. Clear, beautiful sound, very deep and voluminous if you turn it up loud. Good bass - where needed and as much as needed - and you never need too much. If someone finds the sound harsh, it’s better not to turn up the bass, but turn down the high frequencies a little. I use it with a Pioneer receiver. I’m very pleased, despite the fact that I’m not a professional, but I love good sound in movies and music, and I’ve tried a wide variety of music on them.</v>
      </c>
    </row>
    <row r="1970" spans="1:9" x14ac:dyDescent="0.3">
      <c r="A1970" s="1" t="s">
        <v>61</v>
      </c>
      <c r="B1970" s="1" t="s">
        <v>318</v>
      </c>
      <c r="C1970" s="1" t="s">
        <v>85</v>
      </c>
      <c r="D1970" s="1" t="s">
        <v>81</v>
      </c>
      <c r="E1970" s="1" t="s">
        <v>4027</v>
      </c>
      <c r="F1970" s="1" t="s">
        <v>4028</v>
      </c>
      <c r="G1970" s="1" t="s">
        <v>36</v>
      </c>
      <c r="H1970" s="1" t="s">
        <v>29</v>
      </c>
      <c r="I1970" s="1" t="str">
        <f ca="1">IFERROR(__xludf.DUMMYFUNCTION("GOOGLETRANSLATE(F1970, ""auto"", ""en"")
"),"I bought it with a 50% discount (there were coupons for the purchase of large household appliances). Everything works as stated. I was afraid that the sound signal would wake up the children, but it turned out to be quite decent. The disadvantages are tha"&amp;"t there is no way to turn off the sound signal and the illuminated display strongly attracts children and they start playing with the buttons (they did not come up with a child protection function). I really liked that everything is removable. But it’s no"&amp;"t very convenient to pick tea out of the basket, especially if it’s small. There are more advantages, I recommend it to everyone.")</f>
        <v>I bought it with a 50% discount (there were coupons for the purchase of large household appliances). Everything works as stated. I was afraid that the sound signal would wake up the children, but it turned out to be quite decent. The disadvantages are that there is no way to turn off the sound signal and the illuminated display strongly attracts children and they start playing with the buttons (they did not come up with a child protection function). I really liked that everything is removable. But it’s not very convenient to pick tea out of the basket, especially if it’s small. There are more advantages, I recommend it to everyone.</v>
      </c>
    </row>
    <row r="1971" spans="1:9" x14ac:dyDescent="0.3">
      <c r="A1971" s="1" t="s">
        <v>89</v>
      </c>
      <c r="B1971" s="1" t="s">
        <v>231</v>
      </c>
      <c r="C1971" s="1" t="s">
        <v>185</v>
      </c>
      <c r="D1971" s="1" t="s">
        <v>280</v>
      </c>
      <c r="E1971" s="1" t="s">
        <v>4029</v>
      </c>
      <c r="F1971" s="1" t="s">
        <v>4030</v>
      </c>
      <c r="G1971" s="1" t="s">
        <v>36</v>
      </c>
      <c r="H1971" s="1" t="s">
        <v>29</v>
      </c>
      <c r="I1971" s="1" t="str">
        <f ca="1">IFERROR(__xludf.DUMMYFUNCTION("GOOGLETRANSLATE(F1971, ""auto"", ""en"")
"),"Nothing breaks or falls off in it, it makes excellent coffee - there is something to compare it with, no worse than much more expensive ones. It has been used for more than a year - like a Swiss watch, although the assembly is Romanian.")</f>
        <v>Nothing breaks or falls off in it, it makes excellent coffee - there is something to compare it with, no worse than much more expensive ones. It has been used for more than a year - like a Swiss watch, although the assembly is Romanian.</v>
      </c>
    </row>
    <row r="1972" spans="1:9" x14ac:dyDescent="0.3">
      <c r="A1972" s="1" t="s">
        <v>9</v>
      </c>
      <c r="B1972" s="1" t="s">
        <v>10</v>
      </c>
      <c r="C1972" s="1" t="s">
        <v>466</v>
      </c>
      <c r="D1972" s="1" t="s">
        <v>4031</v>
      </c>
      <c r="E1972" s="1" t="s">
        <v>2459</v>
      </c>
      <c r="F1972" s="1" t="s">
        <v>4032</v>
      </c>
      <c r="G1972" s="1" t="s">
        <v>36</v>
      </c>
      <c r="H1972" s="1" t="s">
        <v>29</v>
      </c>
      <c r="I1972" s="1" t="str">
        <f ca="1">IFERROR(__xludf.DUMMYFUNCTION("GOOGLETRANSLATE(F1972, ""auto"", ""en"")
"),"Not too noisy. For Khrushchev's six-meter kitchen there is enough power even with a reserve, it pulls out odors instantly even at medium speed.")</f>
        <v>Not too noisy. For Khrushchev's six-meter kitchen there is enough power even with a reserve, it pulls out odors instantly even at medium speed.</v>
      </c>
    </row>
    <row r="1973" spans="1:9" x14ac:dyDescent="0.3">
      <c r="A1973" s="1" t="s">
        <v>61</v>
      </c>
      <c r="B1973" s="1" t="s">
        <v>318</v>
      </c>
      <c r="C1973" s="1" t="s">
        <v>57</v>
      </c>
      <c r="D1973" s="1" t="s">
        <v>232</v>
      </c>
      <c r="E1973" s="1" t="s">
        <v>1935</v>
      </c>
      <c r="F1973" s="1" t="s">
        <v>4033</v>
      </c>
      <c r="G1973" s="1" t="s">
        <v>36</v>
      </c>
      <c r="H1973" s="1" t="s">
        <v>29</v>
      </c>
      <c r="I1973" s="1" t="str">
        <f ca="1">IFERROR(__xludf.DUMMYFUNCTION("GOOGLETRANSLATE(F1973, ""auto"", ""en"")
"),"I bought it in June 2014. I chose with an eye to excluding places where a breakdown could occur.    The material of the case was important to me - it had to be metal (in this case it was stainless steel).  The switch should not be on the handle, but below"&amp;".  The previous one had a measuring scale - a window made of transparent plastic, which literally cracked and began to leak, this is not the case here.  The kettle rotates - it has a central contact - it is very convenient to install, the warranty is 3 ye"&amp;"ars - more than all previous ones, it is written that English controllers were used in its production, which must withstand 15,000 boiling cycles (3 years is 1095 days and approximately 6600 boiling cycles, provided that I boil water 6 times a day), also,"&amp;" which is important for many - low price, in my case very low because there was an action.  I'm happy with the purchase. I recommend it to everyone, regardless of income.")</f>
        <v>I bought it in June 2014. I chose with an eye to excluding places where a breakdown could occur.    The material of the case was important to me - it had to be metal (in this case it was stainless steel).  The switch should not be on the handle, but below.  The previous one had a measuring scale - a window made of transparent plastic, which literally cracked and began to leak, this is not the case here.  The kettle rotates - it has a central contact - it is very convenient to install, the warranty is 3 years - more than all previous ones, it is written that English controllers were used in its production, which must withstand 15,000 boiling cycles (3 years is 1095 days and approximately 6600 boiling cycles, provided that I boil water 6 times a day), also, which is important for many - low price, in my case very low because there was an action.  I'm happy with the purchase. I recommend it to everyone, regardless of income.</v>
      </c>
    </row>
    <row r="1974" spans="1:9" x14ac:dyDescent="0.3">
      <c r="A1974" s="1" t="s">
        <v>557</v>
      </c>
      <c r="B1974" s="1" t="s">
        <v>558</v>
      </c>
      <c r="C1974" s="1" t="s">
        <v>122</v>
      </c>
      <c r="D1974" s="1" t="s">
        <v>232</v>
      </c>
      <c r="E1974" s="1" t="s">
        <v>4034</v>
      </c>
      <c r="F1974" s="1" t="s">
        <v>4035</v>
      </c>
      <c r="G1974" s="1" t="s">
        <v>36</v>
      </c>
      <c r="H1974" s="1" t="s">
        <v>29</v>
      </c>
      <c r="I1974" s="1" t="str">
        <f ca="1">IFERROR(__xludf.DUMMYFUNCTION("GOOGLETRANSLATE(F1974, ""auto"", ""en"")
"),"Reliable as a Kalashnikov assault rifle, it has been plowing on original batteries for 4 years. The sound is good, you can choose a melody from 5 possible ones, the volume is also adjustable, the handset search button from the base helps when there are ch"&amp;"ildren in the house. In terms of functionality, it’s like at the dawn of mobile communications, except that it doesn’t send SMS. During a conversation, you can block the microphone, you can change the volume of the speaker in the handset. For the home - j"&amp;"ust the thing, reliable communication without unnecessary show-offs in the form of a color screen and backlight. Yes, backlit buttons wouldn't hurt!")</f>
        <v>Reliable as a Kalashnikov assault rifle, it has been plowing on original batteries for 4 years. The sound is good, you can choose a melody from 5 possible ones, the volume is also adjustable, the handset search button from the base helps when there are children in the house. In terms of functionality, it’s like at the dawn of mobile communications, except that it doesn’t send SMS. During a conversation, you can block the microphone, you can change the volume of the speaker in the handset. For the home - just the thing, reliable communication without unnecessary show-offs in the form of a color screen and backlight. Yes, backlit buttons wouldn't hurt!</v>
      </c>
    </row>
    <row r="1975" spans="1:9" x14ac:dyDescent="0.3">
      <c r="A1975" s="1" t="s">
        <v>624</v>
      </c>
      <c r="B1975" s="1" t="s">
        <v>625</v>
      </c>
      <c r="C1975" s="1" t="s">
        <v>479</v>
      </c>
      <c r="D1975" s="1" t="s">
        <v>4036</v>
      </c>
      <c r="E1975" s="1" t="s">
        <v>2634</v>
      </c>
      <c r="F1975" s="1" t="s">
        <v>4037</v>
      </c>
      <c r="G1975" s="1" t="s">
        <v>28</v>
      </c>
      <c r="H1975" s="1" t="s">
        <v>29</v>
      </c>
      <c r="I1975" s="1" t="str">
        <f ca="1">IFERROR(__xludf.DUMMYFUNCTION("GOOGLETRANSLATE(F1975, ""auto"", ""en"")
"),"A very exciting game, it’s a pity that it’s not Russified. And one more fact upset me - the final boss is easy to defeat. Otherwise I liked everything.")</f>
        <v>A very exciting game, it’s a pity that it’s not Russified. And one more fact upset me - the final boss is easy to defeat. Otherwise I liked everything.</v>
      </c>
    </row>
    <row r="1976" spans="1:9" x14ac:dyDescent="0.3">
      <c r="A1976" s="1" t="s">
        <v>89</v>
      </c>
      <c r="B1976" s="1" t="s">
        <v>90</v>
      </c>
      <c r="C1976" s="1" t="s">
        <v>745</v>
      </c>
      <c r="D1976" s="1" t="s">
        <v>232</v>
      </c>
      <c r="E1976" s="1" t="s">
        <v>4038</v>
      </c>
      <c r="F1976" s="1" t="s">
        <v>4039</v>
      </c>
      <c r="G1976" s="1" t="s">
        <v>36</v>
      </c>
      <c r="H1976" s="1" t="s">
        <v>29</v>
      </c>
      <c r="I1976" s="1" t="str">
        <f ca="1">IFERROR(__xludf.DUMMYFUNCTION("GOOGLETRANSLATE(F1976, ""auto"", ""en"")
"),"Does cheap mean bad? Or more expensive, to be sure. We chose a coffee grinder to grind cereals and make porridge for a small child. It does its job in a second, the longer you press, the finer the grain. I worked 100% for my money. Also, when baking, it g"&amp;"rinds powdered sugar well, which is very important. The child has grown up, we don’t use it so often, but so far it hasn’t let us down even once.")</f>
        <v>Does cheap mean bad? Or more expensive, to be sure. We chose a coffee grinder to grind cereals and make porridge for a small child. It does its job in a second, the longer you press, the finer the grain. I worked 100% for my money. Also, when baking, it grinds powdered sugar well, which is very important. The child has grown up, we don’t use it so often, but so far it hasn’t let us down even once.</v>
      </c>
    </row>
    <row r="1977" spans="1:9" x14ac:dyDescent="0.3">
      <c r="A1977" s="1" t="s">
        <v>373</v>
      </c>
      <c r="B1977" s="1" t="s">
        <v>374</v>
      </c>
      <c r="C1977" s="1" t="s">
        <v>159</v>
      </c>
      <c r="D1977" s="1" t="s">
        <v>152</v>
      </c>
      <c r="E1977" s="1" t="s">
        <v>2640</v>
      </c>
      <c r="F1977" s="1" t="s">
        <v>4040</v>
      </c>
      <c r="G1977" s="1" t="s">
        <v>49</v>
      </c>
      <c r="H1977" s="1" t="s">
        <v>16</v>
      </c>
      <c r="I1977" s="1" t="str">
        <f ca="1">IFERROR(__xludf.DUMMYFUNCTION("GOOGLETRANSLATE(F1977, ""auto"", ""en"")
"),"Already on the 3rd machine there is the same defect, the machine’s operating program fails.  I didn't like the car.")</f>
        <v>Already on the 3rd machine there is the same defect, the machine’s operating program fails.  I didn't like the car.</v>
      </c>
    </row>
    <row r="1978" spans="1:9" x14ac:dyDescent="0.3">
      <c r="A1978" s="1" t="s">
        <v>624</v>
      </c>
      <c r="B1978" s="1" t="s">
        <v>625</v>
      </c>
      <c r="C1978" s="1" t="s">
        <v>479</v>
      </c>
      <c r="D1978" s="1" t="s">
        <v>345</v>
      </c>
      <c r="E1978" s="1" t="s">
        <v>1099</v>
      </c>
      <c r="F1978" s="1" t="s">
        <v>4041</v>
      </c>
      <c r="G1978" s="1" t="s">
        <v>36</v>
      </c>
      <c r="H1978" s="1" t="s">
        <v>29</v>
      </c>
      <c r="I1978" s="1" t="str">
        <f ca="1">IFERROR(__xludf.DUMMYFUNCTION("GOOGLETRANSLATE(F1978, ""auto"", ""en"")
"),"The game is good, the graphics are excellent, the sound is generally excellent if the system is worth it. With such sound you just immerse yourself in the game.")</f>
        <v>The game is good, the graphics are excellent, the sound is generally excellent if the system is worth it. With such sound you just immerse yourself in the game.</v>
      </c>
    </row>
    <row r="1979" spans="1:9" x14ac:dyDescent="0.3">
      <c r="A1979" s="1" t="s">
        <v>282</v>
      </c>
      <c r="B1979" s="1" t="s">
        <v>806</v>
      </c>
      <c r="C1979" s="1" t="s">
        <v>284</v>
      </c>
      <c r="D1979" s="1" t="s">
        <v>232</v>
      </c>
      <c r="E1979" s="1" t="s">
        <v>1603</v>
      </c>
      <c r="F1979" s="1" t="s">
        <v>4042</v>
      </c>
      <c r="G1979" s="1" t="s">
        <v>36</v>
      </c>
      <c r="H1979" s="1" t="s">
        <v>29</v>
      </c>
      <c r="I1979" s="1" t="str">
        <f ca="1">IFERROR(__xludf.DUMMYFUNCTION("GOOGLETRANSLATE(F1979, ""auto"", ""en"")
"),"Great comedy, I recommend it to everyone.")</f>
        <v>Great comedy, I recommend it to everyone.</v>
      </c>
    </row>
    <row r="1980" spans="1:9" x14ac:dyDescent="0.3">
      <c r="A1980" s="1" t="s">
        <v>61</v>
      </c>
      <c r="B1980" s="1" t="s">
        <v>318</v>
      </c>
      <c r="C1980" s="1" t="s">
        <v>745</v>
      </c>
      <c r="D1980" s="1" t="s">
        <v>2633</v>
      </c>
      <c r="E1980" s="1" t="s">
        <v>4043</v>
      </c>
      <c r="F1980" s="1" t="s">
        <v>4044</v>
      </c>
      <c r="G1980" s="1" t="s">
        <v>28</v>
      </c>
      <c r="H1980" s="1" t="s">
        <v>29</v>
      </c>
      <c r="I1980" s="1" t="str">
        <f ca="1">IFERROR(__xludf.DUMMYFUNCTION("GOOGLETRANSLATE(F1980, ""auto"", ""en"")
"),"Price-quality")</f>
        <v>Price-quality</v>
      </c>
    </row>
    <row r="1981" spans="1:9" x14ac:dyDescent="0.3">
      <c r="A1981" s="1" t="s">
        <v>105</v>
      </c>
      <c r="B1981" s="1" t="s">
        <v>106</v>
      </c>
      <c r="C1981" s="1" t="s">
        <v>107</v>
      </c>
      <c r="D1981" s="1" t="s">
        <v>172</v>
      </c>
      <c r="E1981" s="1" t="s">
        <v>2280</v>
      </c>
      <c r="F1981" s="1" t="s">
        <v>4045</v>
      </c>
      <c r="G1981" s="1" t="s">
        <v>28</v>
      </c>
      <c r="H1981" s="1" t="s">
        <v>29</v>
      </c>
      <c r="I1981" s="1" t="str">
        <f ca="1">IFERROR(__xludf.DUMMYFUNCTION("GOOGLETRANSLATE(F1981, ""auto"", ""en"")
"),"In general the player is not bad. A couple of replies to messages: Set the desktop - you need to open the photo and select the corresponding item in the menu One ear works - most likely one earphone works (I had the same with the basic ones, I inserted my"&amp;" purchased ones, the sound became clearer) Crackling during playback does happen, but only with certain tracks (I haven’t figured out why yet) however, if the screen goes dark on such a track, the player does not respond to the buttons (freezes, but plays"&amp;") only when the track finishes playing... will return to normal condition. Maybe my track has a higher bitrate or the format is not the same (although mp3) I’ll look into it.    There is only one speaker - very weak, almost unnecessary. The microphone on "&amp;"the recorder is so-so, it doesn’t pick up everything.    The screen is nice. You get used to the button controls pretty quickly, but it’s drop-dead stupid and inconvenient (I’m probably already unaccustomed to buttons). Opening images and enlarging them.."&amp;". it slows down a little, as if there isn’t enough power.    It itself is light... plastic... and, to be honest, it evokes feelings of fragility and unreliability. But nevertheless it works.")</f>
        <v>In general the player is not bad. A couple of replies to messages: Set the desktop - you need to open the photo and select the corresponding item in the menu One ear works - most likely one earphone works (I had the same with the basic ones, I inserted my purchased ones, the sound became clearer) Crackling during playback does happen, but only with certain tracks (I haven’t figured out why yet) however, if the screen goes dark on such a track, the player does not respond to the buttons (freezes, but plays) only when the track finishes playing... will return to normal condition. Maybe my track has a higher bitrate or the format is not the same (although mp3) I’ll look into it.    There is only one speaker - very weak, almost unnecessary. The microphone on the recorder is so-so, it doesn’t pick up everything.    The screen is nice. You get used to the button controls pretty quickly, but it’s drop-dead stupid and inconvenient (I’m probably already unaccustomed to buttons). Opening images and enlarging them... it slows down a little, as if there isn’t enough power.    It itself is light... plastic... and, to be honest, it evokes feelings of fragility and unreliability. But nevertheless it works.</v>
      </c>
    </row>
    <row r="1982" spans="1:9" x14ac:dyDescent="0.3">
      <c r="A1982" s="1" t="s">
        <v>149</v>
      </c>
      <c r="B1982" s="1" t="s">
        <v>150</v>
      </c>
      <c r="C1982" s="1" t="s">
        <v>85</v>
      </c>
      <c r="D1982" s="1" t="s">
        <v>4046</v>
      </c>
      <c r="E1982" s="1" t="s">
        <v>1315</v>
      </c>
      <c r="F1982" s="1" t="s">
        <v>4047</v>
      </c>
      <c r="G1982" s="1" t="s">
        <v>15</v>
      </c>
      <c r="H1982" s="1" t="s">
        <v>16</v>
      </c>
      <c r="I1982" s="1" t="str">
        <f ca="1">IFERROR(__xludf.DUMMYFUNCTION("GOOGLETRANSLATE(F1982, ""auto"", ""en"")
"),"According to the characteristics, the vacuum cleaner should work for up to 25 minutes - this is complete nonsense. Mine runs max 5 and dies")</f>
        <v>According to the characteristics, the vacuum cleaner should work for up to 25 minutes - this is complete nonsense. Mine runs max 5 and dies</v>
      </c>
    </row>
    <row r="1983" spans="1:9" x14ac:dyDescent="0.3">
      <c r="A1983" s="1" t="s">
        <v>211</v>
      </c>
      <c r="B1983" s="1" t="s">
        <v>212</v>
      </c>
      <c r="C1983" s="1" t="s">
        <v>294</v>
      </c>
      <c r="D1983" s="1" t="s">
        <v>474</v>
      </c>
      <c r="E1983" s="1" t="s">
        <v>225</v>
      </c>
      <c r="F1983" s="1" t="s">
        <v>4048</v>
      </c>
      <c r="G1983" s="1" t="s">
        <v>36</v>
      </c>
      <c r="H1983" s="1" t="s">
        <v>29</v>
      </c>
      <c r="I1983" s="1" t="str">
        <f ca="1">IFERROR(__xludf.DUMMYFUNCTION("GOOGLETRANSLATE(F1983, ""auto"", ""en"")
"),"The rectifier does not cool down for very long, and the fact that the buttons are pressed when working with it can be avoided by reading the instructions, it says how to lock these buttons. I really like it, it not only straightens, but also makes cute cu"&amp;"rls))) I recommend it.")</f>
        <v>The rectifier does not cool down for very long, and the fact that the buttons are pressed when working with it can be avoided by reading the instructions, it says how to lock these buttons. I really like it, it not only straightens, but also makes cute curls))) I recommend it.</v>
      </c>
    </row>
    <row r="1984" spans="1:9" x14ac:dyDescent="0.3">
      <c r="A1984" s="1" t="s">
        <v>2087</v>
      </c>
      <c r="B1984" s="1" t="s">
        <v>2088</v>
      </c>
      <c r="C1984" s="1" t="s">
        <v>1771</v>
      </c>
      <c r="D1984" s="1" t="s">
        <v>280</v>
      </c>
      <c r="E1984" s="1" t="s">
        <v>4049</v>
      </c>
      <c r="F1984" s="1" t="s">
        <v>4050</v>
      </c>
      <c r="G1984" s="1" t="s">
        <v>36</v>
      </c>
      <c r="H1984" s="1" t="s">
        <v>29</v>
      </c>
      <c r="I1984" s="1" t="str">
        <f ca="1">IFERROR(__xludf.DUMMYFUNCTION("GOOGLETRANSLATE(F1984, ""auto"", ""en"")
"),"The Blu-ray player Pioneer BDP-51FD produces a picture when playing Blu-ray discs simply with a bang, at least via HDMI (HDMI Cable Nordost Silver Screen 1 m), even DVD discs are played just fine. I was very surprised that films in the avi format are play"&amp;"ed in the same quality as the mpeg format (on a computer, films in the avi format are shown worse than on Blu-ray player Pioneer BDP-51FD). When replacing the standard power cable with a Furutech G-314Ag 1.8m, I did not notice any obvious improvements on "&amp;"the TV, but the sound improved significantly in the bass section. When connecting the Red Dawn interconnect to the amplifier, the sound became clearer, the bass was denser, the highs were more pleasant, but the sound was still a little rustic compared to "&amp;"the PKD for 50,000 rubles. (this is understandable). When playing Blu-ray discs, the sound and picture are excellent, but the total loading time is also long(. Disadvantages of this device: - small buttons on the front panel of the device; - small buttons"&amp;" on the remote control; - when playing Blu-ray discs, if you press the ""stop"" button, then the movie starts from the beginning when you press ""play"". breaks).")</f>
        <v>The Blu-ray player Pioneer BDP-51FD produces a picture when playing Blu-ray discs simply with a bang, at least via HDMI (HDMI Cable Nordost Silver Screen 1 m), even DVD discs are played just fine. I was very surprised that films in the avi format are played in the same quality as the mpeg format (on a computer, films in the avi format are shown worse than on Blu-ray player Pioneer BDP-51FD). When replacing the standard power cable with a Furutech G-314Ag 1.8m, I did not notice any obvious improvements on the TV, but the sound improved significantly in the bass section. When connecting the Red Dawn interconnect to the amplifier, the sound became clearer, the bass was denser, the highs were more pleasant, but the sound was still a little rustic compared to the PKD for 50,000 rubles. (this is understandable). When playing Blu-ray discs, the sound and picture are excellent, but the total loading time is also long(. Disadvantages of this device: - small buttons on the front panel of the device; - small buttons on the remote control; - when playing Blu-ray discs, if you press the "stop" button, then the movie starts from the beginning when you press "play". breaks).</v>
      </c>
    </row>
    <row r="1985" spans="1:9" x14ac:dyDescent="0.3">
      <c r="A1985" s="1" t="s">
        <v>61</v>
      </c>
      <c r="B1985" s="1" t="s">
        <v>318</v>
      </c>
      <c r="C1985" s="1" t="s">
        <v>101</v>
      </c>
      <c r="D1985" s="1" t="s">
        <v>565</v>
      </c>
      <c r="E1985" s="1" t="s">
        <v>4051</v>
      </c>
      <c r="F1985" s="1" t="s">
        <v>4052</v>
      </c>
      <c r="G1985" s="1" t="s">
        <v>28</v>
      </c>
      <c r="H1985" s="1" t="s">
        <v>29</v>
      </c>
      <c r="I1985" s="1" t="str">
        <f ca="1">IFERROR(__xludf.DUMMYFUNCTION("GOOGLETRANSLATE(F1985, ""auto"", ""en"")
"),"A normal kettle, it has been in constant use for 2 months, it does its job! Well, it’s noisy, of course, but the previous one was even louder. Doesn't smell like plastic. It boils like everything else, I didn’t notice any particular duration. The design o"&amp;"f the lid in this model is confusing - when the kettle is full (to the maximum), steam comes out from under the closed lid! I decided not to pay attention.")</f>
        <v>A normal kettle, it has been in constant use for 2 months, it does its job! Well, it’s noisy, of course, but the previous one was even louder. Doesn't smell like plastic. It boils like everything else, I didn’t notice any particular duration. The design of the lid in this model is confusing - when the kettle is full (to the maximum), steam comes out from under the closed lid! I decided not to pay attention.</v>
      </c>
    </row>
    <row r="1986" spans="1:9" x14ac:dyDescent="0.3">
      <c r="A1986" s="1" t="s">
        <v>61</v>
      </c>
      <c r="B1986" s="1" t="s">
        <v>977</v>
      </c>
      <c r="C1986" s="1" t="s">
        <v>74</v>
      </c>
      <c r="D1986" s="1" t="s">
        <v>1431</v>
      </c>
      <c r="E1986" s="1" t="s">
        <v>859</v>
      </c>
      <c r="F1986" s="1" t="s">
        <v>4053</v>
      </c>
      <c r="G1986" s="1" t="s">
        <v>28</v>
      </c>
      <c r="H1986" s="1" t="s">
        <v>29</v>
      </c>
      <c r="I1986" s="1" t="str">
        <f ca="1">IFERROR(__xludf.DUMMYFUNCTION("GOOGLETRANSLATE(F1986, ""auto"", ""en"")
"),"I have been using this blender for almost 2 years. I didn’t make it 4 months before the end of the warranty; the plastic groove into which the attachments are inserted, which transmits rotation, was worn out. I sent it in for repair under warranty, we wai"&amp;"ted 45 days for spare parts, and I'm going to pick it up tomorrow. It is surprising that for such a price the set does not include brooms and additional attachments; there are not enough graters either, only a small one is included in the set. It is not c"&amp;"lear whether additional options can be purchased. I used it quite often, mainly for whipping mashed potatoes and milkshakes, grating large amounts of cheese and carrots. Reliable.")</f>
        <v>I have been using this blender for almost 2 years. I didn’t make it 4 months before the end of the warranty; the plastic groove into which the attachments are inserted, which transmits rotation, was worn out. I sent it in for repair under warranty, we waited 45 days for spare parts, and I'm going to pick it up tomorrow. It is surprising that for such a price the set does not include brooms and additional attachments; there are not enough graters either, only a small one is included in the set. It is not clear whether additional options can be purchased. I used it quite often, mainly for whipping mashed potatoes and milkshakes, grating large amounts of cheese and carrots. Reliable.</v>
      </c>
    </row>
    <row r="1987" spans="1:9" x14ac:dyDescent="0.3">
      <c r="A1987" s="1" t="s">
        <v>61</v>
      </c>
      <c r="B1987" s="1" t="s">
        <v>180</v>
      </c>
      <c r="C1987" s="1" t="s">
        <v>74</v>
      </c>
      <c r="D1987" s="1" t="s">
        <v>308</v>
      </c>
      <c r="E1987" s="1" t="s">
        <v>4054</v>
      </c>
      <c r="F1987" s="1" t="s">
        <v>4055</v>
      </c>
      <c r="G1987" s="1" t="s">
        <v>36</v>
      </c>
      <c r="H1987" s="1" t="s">
        <v>29</v>
      </c>
      <c r="I1987" s="1" t="str">
        <f ca="1">IFERROR(__xludf.DUMMYFUNCTION("GOOGLETRANSLATE(F1987, ""auto"", ""en"")
"),"Great stuff! The sandwiches are crispy, cool and fast. I really like sandwiches with jam. They gave it to us and I am grateful. A morning with coffee and a hot sandwich is something.")</f>
        <v>Great stuff! The sandwiches are crispy, cool and fast. I really like sandwiches with jam. They gave it to us and I am grateful. A morning with coffee and a hot sandwich is something.</v>
      </c>
    </row>
    <row r="1988" spans="1:9" x14ac:dyDescent="0.3">
      <c r="A1988" s="1" t="s">
        <v>61</v>
      </c>
      <c r="B1988" s="1" t="s">
        <v>318</v>
      </c>
      <c r="C1988" s="1" t="s">
        <v>213</v>
      </c>
      <c r="D1988" s="1" t="s">
        <v>4056</v>
      </c>
      <c r="E1988" s="1" t="s">
        <v>3084</v>
      </c>
      <c r="F1988" s="1" t="s">
        <v>4057</v>
      </c>
      <c r="G1988" s="1" t="s">
        <v>36</v>
      </c>
      <c r="H1988" s="1" t="s">
        <v>29</v>
      </c>
      <c r="I1988" s="1" t="str">
        <f ca="1">IFERROR(__xludf.DUMMYFUNCTION("GOOGLETRANSLATE(F1988, ""auto"", ""en"")
"),"Great kettle! This guy has been at work for 5 years, and the water contains a lot of iron, but he doesn’t care - he’s covered in rust and works as if nothing had happened! My parents have had this kettle for 3-4 years, and never had any breakdowns! I boug"&amp;"ht one for home (it works for two years) and I’m also very pleased!")</f>
        <v>Great kettle! This guy has been at work for 5 years, and the water contains a lot of iron, but he doesn’t care - he’s covered in rust and works as if nothing had happened! My parents have had this kettle for 3-4 years, and never had any breakdowns! I bought one for home (it works for two years) and I’m also very pleased!</v>
      </c>
    </row>
    <row r="1989" spans="1:9" x14ac:dyDescent="0.3">
      <c r="A1989" s="1" t="s">
        <v>211</v>
      </c>
      <c r="B1989" s="1" t="s">
        <v>212</v>
      </c>
      <c r="C1989" s="1" t="s">
        <v>57</v>
      </c>
      <c r="D1989" s="1" t="s">
        <v>2728</v>
      </c>
      <c r="E1989" s="1" t="s">
        <v>4058</v>
      </c>
      <c r="F1989" s="1" t="s">
        <v>4059</v>
      </c>
      <c r="G1989" s="1" t="s">
        <v>36</v>
      </c>
      <c r="H1989" s="1" t="s">
        <v>29</v>
      </c>
      <c r="I1989" s="1" t="str">
        <f ca="1">IFERROR(__xludf.DUMMYFUNCTION("GOOGLETRANSLATE(F1989, ""auto"", ""en"")
"),"Cheap and cheerful. The device is not expensive, it only allows you to make curls, but it is very good and simple, you don’t need to train, study, or have any abilities. Convenient rotating cord, so you can wrap your hair around the device and rotate the "&amp;"device around the strand, which is necessary and convenient in rare cases. The clip is durable, if you don’t overdo it with the amount of hair, it holds perfectly, although in general you don’t need to hold it for long.")</f>
        <v>Cheap and cheerful. The device is not expensive, it only allows you to make curls, but it is very good and simple, you don’t need to train, study, or have any abilities. Convenient rotating cord, so you can wrap your hair around the device and rotate the device around the strand, which is necessary and convenient in rare cases. The clip is durable, if you don’t overdo it with the amount of hair, it holds perfectly, although in general you don’t need to hold it for long.</v>
      </c>
    </row>
    <row r="1990" spans="1:9" x14ac:dyDescent="0.3">
      <c r="A1990" s="1" t="s">
        <v>17</v>
      </c>
      <c r="B1990" s="1" t="s">
        <v>18</v>
      </c>
      <c r="C1990" s="1" t="s">
        <v>80</v>
      </c>
      <c r="D1990" s="1" t="s">
        <v>677</v>
      </c>
      <c r="E1990" s="1" t="s">
        <v>1197</v>
      </c>
      <c r="F1990" s="1" t="s">
        <v>4060</v>
      </c>
      <c r="G1990" s="1" t="s">
        <v>36</v>
      </c>
      <c r="H1990" s="1" t="s">
        <v>29</v>
      </c>
      <c r="I1990" s="1" t="str">
        <f ca="1">IFERROR(__xludf.DUMMYFUNCTION("GOOGLETRANSLATE(F1990, ""auto"", ""en"")
"),"We have been using the machine for almost a year. It works very quietly! The music is nice! Assembled smoothly. The drum is big. Just wasted your money on rubber footrests! The car was shaking so bad that I had to catch it! Works great without them! I rec"&amp;"ommend it to everyone!")</f>
        <v>We have been using the machine for almost a year. It works very quietly! The music is nice! Assembled smoothly. The drum is big. Just wasted your money on rubber footrests! The car was shaking so bad that I had to catch it! Works great without them! I recommend it to everyone!</v>
      </c>
    </row>
    <row r="1991" spans="1:9" x14ac:dyDescent="0.3">
      <c r="A1991" s="1" t="s">
        <v>149</v>
      </c>
      <c r="B1991" s="1" t="s">
        <v>155</v>
      </c>
      <c r="C1991" s="1" t="s">
        <v>151</v>
      </c>
      <c r="D1991" s="1" t="s">
        <v>4061</v>
      </c>
      <c r="E1991" s="1" t="s">
        <v>4062</v>
      </c>
      <c r="F1991" s="1" t="s">
        <v>4063</v>
      </c>
      <c r="G1991" s="1" t="s">
        <v>36</v>
      </c>
      <c r="H1991" s="1" t="s">
        <v>29</v>
      </c>
      <c r="I1991" s="1" t="str">
        <f ca="1">IFERROR(__xludf.DUMMYFUNCTION("GOOGLETRANSLATE(F1991, ""auto"", ""en"")
"),"Powerful. It works relatively quietly. Convenient control on the handle. There are no problems with cleaning the filter and container. ")</f>
        <v xml:space="preserve">Powerful. It works relatively quietly. Convenient control on the handle. There are no problems with cleaning the filter and container. </v>
      </c>
    </row>
    <row r="1992" spans="1:9" x14ac:dyDescent="0.3">
      <c r="A1992" s="1" t="s">
        <v>211</v>
      </c>
      <c r="B1992" s="1" t="s">
        <v>384</v>
      </c>
      <c r="C1992" s="1" t="s">
        <v>246</v>
      </c>
      <c r="D1992" s="1" t="s">
        <v>52</v>
      </c>
      <c r="E1992" s="1" t="s">
        <v>571</v>
      </c>
      <c r="F1992" s="1" t="s">
        <v>4064</v>
      </c>
      <c r="G1992" s="1" t="s">
        <v>36</v>
      </c>
      <c r="H1992" s="1" t="s">
        <v>29</v>
      </c>
      <c r="I1992" s="1" t="str">
        <f ca="1">IFERROR(__xludf.DUMMYFUNCTION("GOOGLETRANSLATE(F1992, ""auto"", ""en"")
"),"Very good scales!!! I recommend it to everyone! Price and quality 5 points!!!")</f>
        <v>Very good scales!!! I recommend it to everyone! Price and quality 5 points!!!</v>
      </c>
    </row>
    <row r="1993" spans="1:9" x14ac:dyDescent="0.3">
      <c r="A1993" s="1" t="s">
        <v>30</v>
      </c>
      <c r="B1993" s="1" t="s">
        <v>50</v>
      </c>
      <c r="C1993" s="1" t="s">
        <v>51</v>
      </c>
      <c r="D1993" s="1" t="s">
        <v>4065</v>
      </c>
      <c r="E1993" s="1" t="s">
        <v>1245</v>
      </c>
      <c r="F1993" s="1" t="s">
        <v>4066</v>
      </c>
      <c r="G1993" s="1" t="s">
        <v>36</v>
      </c>
      <c r="H1993" s="1" t="s">
        <v>29</v>
      </c>
      <c r="I1993" s="1" t="str">
        <f ca="1">IFERROR(__xludf.DUMMYFUNCTION("GOOGLETRANSLATE(F1993, ""auto"", ""en"")
"),"Good evening! I have a question, I downloaded another player... But the touch buttons on the right to control the player do not work... but only work with the window media player, is it possible to reconfigure them for another player..?")</f>
        <v>Good evening! I have a question, I downloaded another player... But the touch buttons on the right to control the player do not work... but only work with the window media player, is it possible to reconfigure them for another player..?</v>
      </c>
    </row>
    <row r="1994" spans="1:9" x14ac:dyDescent="0.3">
      <c r="A1994" s="1" t="s">
        <v>37</v>
      </c>
      <c r="B1994" s="1" t="s">
        <v>38</v>
      </c>
      <c r="C1994" s="1" t="s">
        <v>39</v>
      </c>
      <c r="D1994" s="1" t="s">
        <v>52</v>
      </c>
      <c r="E1994" s="1" t="s">
        <v>1576</v>
      </c>
      <c r="F1994" s="1" t="s">
        <v>4067</v>
      </c>
      <c r="G1994" s="1" t="s">
        <v>28</v>
      </c>
      <c r="H1994" s="1" t="s">
        <v>29</v>
      </c>
      <c r="I1994" s="1" t="str">
        <f ca="1">IFERROR(__xludf.DUMMYFUNCTION("GOOGLETRANSLATE(F1994, ""auto"", ""en"")
"),"Convenient, cool design, but there is a big minus - the network does not hold well and apparently that’s why the battery runs out quickly")</f>
        <v>Convenient, cool design, but there is a big minus - the network does not hold well and apparently that’s why the battery runs out quickly</v>
      </c>
    </row>
    <row r="1995" spans="1:9" x14ac:dyDescent="0.3">
      <c r="A1995" s="1" t="s">
        <v>78</v>
      </c>
      <c r="B1995" s="1" t="s">
        <v>79</v>
      </c>
      <c r="C1995" s="1" t="s">
        <v>80</v>
      </c>
      <c r="D1995" s="1" t="s">
        <v>1008</v>
      </c>
      <c r="E1995" s="1" t="s">
        <v>663</v>
      </c>
      <c r="F1995" s="1" t="s">
        <v>4068</v>
      </c>
      <c r="G1995" s="1" t="s">
        <v>49</v>
      </c>
      <c r="H1995" s="1" t="s">
        <v>16</v>
      </c>
      <c r="I1995" s="1" t="str">
        <f ca="1">IFERROR(__xludf.DUMMYFUNCTION("GOOGLETRANSLATE(F1995, ""auto"", ""en"")
"),"The oven did not work right away, or rather the microwaves, but the grill constantly heated up, even when it was not needed, and as a result, during the first heating, the plastic lid for the microwave melted!")</f>
        <v>The oven did not work right away, or rather the microwaves, but the grill constantly heated up, even when it was not needed, and as a result, during the first heating, the plastic lid for the microwave melted!</v>
      </c>
    </row>
    <row r="1996" spans="1:9" x14ac:dyDescent="0.3">
      <c r="A1996" s="1" t="s">
        <v>149</v>
      </c>
      <c r="B1996" s="1" t="s">
        <v>423</v>
      </c>
      <c r="C1996" s="1" t="s">
        <v>314</v>
      </c>
      <c r="D1996" s="1" t="s">
        <v>52</v>
      </c>
      <c r="E1996" s="1" t="s">
        <v>4069</v>
      </c>
      <c r="F1996" s="1" t="s">
        <v>4070</v>
      </c>
      <c r="G1996" s="1" t="s">
        <v>94</v>
      </c>
      <c r="H1996" s="1" t="s">
        <v>29</v>
      </c>
      <c r="I1996" s="1" t="str">
        <f ca="1">IFERROR(__xludf.DUMMYFUNCTION("GOOGLETRANSLATE(F1996, ""auto"", ""en"")
"),"Powerful, fairly cheap, lots of attachments + space to store them.")</f>
        <v>Powerful, fairly cheap, lots of attachments + space to store them.</v>
      </c>
    </row>
    <row r="1997" spans="1:9" x14ac:dyDescent="0.3">
      <c r="A1997" s="1" t="s">
        <v>61</v>
      </c>
      <c r="B1997" s="1" t="s">
        <v>224</v>
      </c>
      <c r="C1997" s="1" t="s">
        <v>85</v>
      </c>
      <c r="D1997" s="1" t="s">
        <v>2545</v>
      </c>
      <c r="E1997" s="1" t="s">
        <v>4071</v>
      </c>
      <c r="F1997" s="1" t="s">
        <v>4072</v>
      </c>
      <c r="G1997" s="1" t="s">
        <v>36</v>
      </c>
      <c r="H1997" s="1" t="s">
        <v>29</v>
      </c>
      <c r="I1997" s="1" t="str">
        <f ca="1">IFERROR(__xludf.DUMMYFUNCTION("GOOGLETRANSLATE(F1997, ""auto"", ""en"")
"),"An excellent machine - it squeezes out every drop of juice, even makes pomegranate juice! And I was amazed by the ease of use - I washed the fruit, cut it into two parts, put it on a cone, pressed the lever and everything was ready! In general, the thing "&amp;"is super, I haven’t seen any cons yet, buy it, you won’t regret it!")</f>
        <v>An excellent machine - it squeezes out every drop of juice, even makes pomegranate juice! And I was amazed by the ease of use - I washed the fruit, cut it into two parts, put it on a cone, pressed the lever and everything was ready! In general, the thing is super, I haven’t seen any cons yet, buy it, you won’t regret it!</v>
      </c>
    </row>
    <row r="1998" spans="1:9" x14ac:dyDescent="0.3">
      <c r="A1998" s="1" t="s">
        <v>17</v>
      </c>
      <c r="B1998" s="1" t="s">
        <v>18</v>
      </c>
      <c r="C1998" s="1" t="s">
        <v>63</v>
      </c>
      <c r="D1998" s="1" t="s">
        <v>621</v>
      </c>
      <c r="E1998" s="1" t="s">
        <v>1723</v>
      </c>
      <c r="F1998" s="1" t="s">
        <v>4073</v>
      </c>
      <c r="G1998" s="1" t="s">
        <v>36</v>
      </c>
      <c r="H1998" s="1" t="s">
        <v>29</v>
      </c>
      <c r="I1998" s="1" t="str">
        <f ca="1">IFERROR(__xludf.DUMMYFUNCTION("GOOGLETRANSLATE(F1998, ""auto"", ""en"")
"),"There are no complaints about the machine regarding the quality of washing and spinning. I tried washing synthetics, down jackets, wool, cotton, linen. I forgot to take the coins out of my jacket. They also washed well. :) It’s too early to talk about ser"&amp;"vice life. Not even a month has passed yet. It doesn't make any noise when spinning. It does not respond to voltage surges in a private home. We are pleased with the purchase. And my husband connected it himself.")</f>
        <v>There are no complaints about the machine regarding the quality of washing and spinning. I tried washing synthetics, down jackets, wool, cotton, linen. I forgot to take the coins out of my jacket. They also washed well. :) It’s too early to talk about service life. Not even a month has passed yet. It doesn't make any noise when spinning. It does not respond to voltage surges in a private home. We are pleased with the purchase. And my husband connected it himself.</v>
      </c>
    </row>
    <row r="1999" spans="1:9" x14ac:dyDescent="0.3">
      <c r="A1999" s="1" t="s">
        <v>61</v>
      </c>
      <c r="B1999" s="1" t="s">
        <v>318</v>
      </c>
      <c r="C1999" s="1" t="s">
        <v>63</v>
      </c>
      <c r="D1999" s="1" t="s">
        <v>4074</v>
      </c>
      <c r="E1999" s="1" t="s">
        <v>4075</v>
      </c>
      <c r="F1999" s="1" t="s">
        <v>4076</v>
      </c>
      <c r="G1999" s="1" t="s">
        <v>36</v>
      </c>
      <c r="H1999" s="1" t="s">
        <v>29</v>
      </c>
      <c r="I1999" s="1" t="str">
        <f ca="1">IFERROR(__xludf.DUMMYFUNCTION("GOOGLETRANSLATE(F1999, ""auto"", ""en"")
"),"We have been using it for four (4) years, nothing has been done to it, it does not run, does not smell like plastic, nothing has broken or burned. We must handle it carefully and not overfill it above the level; we don’t even remove scale, as we have exce"&amp;"llent water.")</f>
        <v>We have been using it for four (4) years, nothing has been done to it, it does not run, does not smell like plastic, nothing has broken or burned. We must handle it carefully and not overfill it above the level; we don’t even remove scale, as we have excellent water.</v>
      </c>
    </row>
    <row r="2000" spans="1:9" x14ac:dyDescent="0.3">
      <c r="A2000" s="1" t="s">
        <v>30</v>
      </c>
      <c r="B2000" s="1" t="s">
        <v>50</v>
      </c>
      <c r="C2000" s="1" t="s">
        <v>189</v>
      </c>
      <c r="D2000" s="1" t="s">
        <v>20</v>
      </c>
      <c r="E2000" s="1" t="s">
        <v>3954</v>
      </c>
      <c r="F2000" s="1" t="s">
        <v>4077</v>
      </c>
      <c r="G2000" s="1" t="s">
        <v>36</v>
      </c>
      <c r="H2000" s="1" t="s">
        <v>29</v>
      </c>
      <c r="I2000" s="1" t="str">
        <f ca="1">IFERROR(__xludf.DUMMYFUNCTION("GOOGLETRANSLATE(F2000, ""auto"", ""en"")
"),"I spent a long time deciding where to buy. As a result, M-Video has one of the best offers. The laptop itself is excellent. Of the minuses, the store sold Kaspersky anti-virus, it slows down unrealistically, in the end I demolished it and left it pre-inst"&amp;"alled.")</f>
        <v>I spent a long time deciding where to buy. As a result, M-Video has one of the best offers. The laptop itself is excellent. Of the minuses, the store sold Kaspersky anti-virus, it slows down unrealistically, in the end I demolished it and left it pre-installed.</v>
      </c>
    </row>
    <row r="2001" spans="1:9" x14ac:dyDescent="0.3">
      <c r="A2001" s="1" t="s">
        <v>120</v>
      </c>
      <c r="B2001" s="1" t="s">
        <v>121</v>
      </c>
      <c r="C2001" s="1" t="s">
        <v>69</v>
      </c>
      <c r="D2001" s="1" t="s">
        <v>172</v>
      </c>
      <c r="E2001" s="1" t="s">
        <v>1172</v>
      </c>
      <c r="F2001" s="1" t="s">
        <v>4078</v>
      </c>
      <c r="G2001" s="1" t="s">
        <v>36</v>
      </c>
      <c r="H2001" s="1" t="s">
        <v>29</v>
      </c>
      <c r="I2001" s="1" t="str">
        <f ca="1">IFERROR(__xludf.DUMMYFUNCTION("GOOGLETRANSLATE(F2001, ""auto"", ""en"")
"),"This device cost 16. The image quality is excellent. Picks up channels well. The sound quality is quite good. There is a USB through which you can watch pictures and listen to music. I updated the software through it. In general, TV is not bad. Assembly K"&amp;"aliningrad.    Of the shortcomings. The menu is one big flaw. Samsung is much better in this regard. One thing is good... although I spent half an evening adjusting all the parameters to suit myself and I don’t have to go there anymore.  Rearranging the c"&amp;"hannels was a hassle; for personal convenience, I spent about 30 minutes setting up 16 channels in the order I needed. Another drawback was the Samsung “32”; there were 5 timers for almost every day of the week, a convenient thing. There’s only one and su"&amp;"ch a horse!!! You need to go through the entire menu to turn it off! a lot of unnecessary movements!!! Idiocy, this process really infuriates me, especially when you are already falling asleep and need to turn on automatic shutdown. Although for some this"&amp;" is not critical!  But for some reason it doesn’t read video from usb. Maybe someone knows how to do this? Looks like the software has been updated. It turns on quite quickly; when switching channels, just like everyone else, there is a short pause. One m"&amp;"ore thing: when connecting to a PC via HDMI, I cannot find the “desktop continuation” function; only “desktop cloning” is possible. Does anyone know how to switch???    Overall very satisfied if it weren’t for the timer!!! Take a TV that's worth it!")</f>
        <v>This device cost 16. The image quality is excellent. Picks up channels well. The sound quality is quite good. There is a USB through which you can watch pictures and listen to music. I updated the software through it. In general, TV is not bad. Assembly Kaliningrad.    Of the shortcomings. The menu is one big flaw. Samsung is much better in this regard. One thing is good... although I spent half an evening adjusting all the parameters to suit myself and I don’t have to go there anymore.  Rearranging the channels was a hassle; for personal convenience, I spent about 30 minutes setting up 16 channels in the order I needed. Another drawback was the Samsung “32”; there were 5 timers for almost every day of the week, a convenient thing. There’s only one and such a horse!!! You need to go through the entire menu to turn it off! a lot of unnecessary movements!!! Idiocy, this process really infuriates me, especially when you are already falling asleep and need to turn on automatic shutdown. Although for some this is not critical!  But for some reason it doesn’t read video from usb. Maybe someone knows how to do this? Looks like the software has been updated. It turns on quite quickly; when switching channels, just like everyone else, there is a short pause. One more thing: when connecting to a PC via HDMI, I cannot find the “desktop continuation” function; only “desktop cloning” is possible. Does anyone know how to switch???    Overall very satisfied if it weren’t for the timer!!! Take a TV that's worth it!</v>
      </c>
    </row>
    <row r="2002" spans="1:9" x14ac:dyDescent="0.3">
      <c r="A2002" s="1" t="s">
        <v>369</v>
      </c>
      <c r="B2002" s="1" t="s">
        <v>370</v>
      </c>
      <c r="C2002" s="1" t="s">
        <v>63</v>
      </c>
      <c r="D2002" s="1" t="s">
        <v>2934</v>
      </c>
      <c r="E2002" s="1" t="s">
        <v>975</v>
      </c>
      <c r="F2002" s="1" t="s">
        <v>4079</v>
      </c>
      <c r="G2002" s="1" t="s">
        <v>36</v>
      </c>
      <c r="H2002" s="1" t="s">
        <v>29</v>
      </c>
      <c r="I2002" s="1" t="str">
        <f ca="1">IFERROR(__xludf.DUMMYFUNCTION("GOOGLETRANSLATE(F2002, ""auto"", ""en"")
"),"An excellent stove, worth its price, quality of cooking and modern design, a large number of cooking modes, good and high-quality assembly, and importantly, very low energy consumption. Buy it, you won't regret it!)")</f>
        <v>An excellent stove, worth its price, quality of cooking and modern design, a large number of cooking modes, good and high-quality assembly, and importantly, very low energy consumption. Buy it, you won't regret it!)</v>
      </c>
    </row>
    <row r="2003" spans="1:9" x14ac:dyDescent="0.3">
      <c r="A2003" s="1" t="s">
        <v>211</v>
      </c>
      <c r="B2003" s="1" t="s">
        <v>265</v>
      </c>
      <c r="C2003" s="1" t="s">
        <v>69</v>
      </c>
      <c r="D2003" s="1" t="s">
        <v>2679</v>
      </c>
      <c r="E2003" s="1" t="s">
        <v>4080</v>
      </c>
      <c r="F2003" s="1" t="s">
        <v>4081</v>
      </c>
      <c r="G2003" s="1" t="s">
        <v>36</v>
      </c>
      <c r="H2003" s="1" t="s">
        <v>29</v>
      </c>
      <c r="I2003" s="1" t="str">
        <f ca="1">IFERROR(__xludf.DUMMYFUNCTION("GOOGLETRANSLATE(F2003, ""auto"", ""en"")
"),"I have been using this model since February 2008 3-4 times a month. No complaints, it cuts any type of hair amazingly. The main thing is that the hair is clean and dry!!!!!!!! I also bought the same model for myself and my parents. Four years of active us"&amp;"e for such pennies!!!!!!!")</f>
        <v>I have been using this model since February 2008 3-4 times a month. No complaints, it cuts any type of hair amazingly. The main thing is that the hair is clean and dry!!!!!!!! I also bought the same model for myself and my parents. Four years of active use for such pennies!!!!!!!</v>
      </c>
    </row>
    <row r="2004" spans="1:9" x14ac:dyDescent="0.3">
      <c r="A2004" s="1" t="s">
        <v>61</v>
      </c>
      <c r="B2004" s="1" t="s">
        <v>1727</v>
      </c>
      <c r="C2004" s="1" t="s">
        <v>122</v>
      </c>
      <c r="D2004" s="1" t="s">
        <v>335</v>
      </c>
      <c r="E2004" s="1" t="s">
        <v>4082</v>
      </c>
      <c r="F2004" s="1" t="s">
        <v>4083</v>
      </c>
      <c r="G2004" s="1" t="s">
        <v>49</v>
      </c>
      <c r="H2004" s="1" t="s">
        <v>16</v>
      </c>
      <c r="I2004" s="1" t="str">
        <f ca="1">IFERROR(__xludf.DUMMYFUNCTION("GOOGLETRANSLATE(F2004, ""auto"", ""en"")
"),"Apart from its appearance, it was not possible to evaluate it. Starting with the instructions, where there are a lot of inaccuracies and errors, and ending with the quality of the assembly, which was clearly done hastily. I have nothing against this multi"&amp;"cooker, but why not finish the job you started in a normal way. Well, take these same recipes, how you can cook according to them, neither the time nor the ratio of products is observed there. What about the valve? Why does it fall out every now and then,"&amp;" and why does the multicooker keep clicking during cooking?")</f>
        <v>Apart from its appearance, it was not possible to evaluate it. Starting with the instructions, where there are a lot of inaccuracies and errors, and ending with the quality of the assembly, which was clearly done hastily. I have nothing against this multicooker, but why not finish the job you started in a normal way. Well, take these same recipes, how you can cook according to them, neither the time nor the ratio of products is observed there. What about the valve? Why does it fall out every now and then, and why does the multicooker keep clicking during cooking?</v>
      </c>
    </row>
    <row r="2005" spans="1:9" x14ac:dyDescent="0.3">
      <c r="A2005" s="1" t="s">
        <v>67</v>
      </c>
      <c r="B2005" s="1" t="s">
        <v>68</v>
      </c>
      <c r="C2005" s="1" t="s">
        <v>69</v>
      </c>
      <c r="D2005" s="1" t="s">
        <v>295</v>
      </c>
      <c r="E2005" s="1" t="s">
        <v>4084</v>
      </c>
      <c r="F2005" s="1" t="s">
        <v>4085</v>
      </c>
      <c r="G2005" s="1" t="s">
        <v>36</v>
      </c>
      <c r="H2005" s="1" t="s">
        <v>29</v>
      </c>
      <c r="I2005" s="1" t="str">
        <f ca="1">IFERROR(__xludf.DUMMYFUNCTION("GOOGLETRANSLATE(F2005, ""auto"", ""en"")
"),"I’ve been using the iron for almost 3 years, it irons perfectly, smooths out very well, the steam boost is very strong, beautiful design, comfortable to hold in your hand. In terms of ironing clothes, there are no complaints. But there are also small disa"&amp;"dvantages, which for me are insignificant compared to its main function: the lid for the water tank does not close well and often opens by itself, the steam ionization button is inconveniently located and is constantly pressed, and if you iron for a long "&amp;"time (more than an hour), it begins to leak slightly. Well, overall I’m very pleased with this iron!")</f>
        <v>I’ve been using the iron for almost 3 years, it irons perfectly, smooths out very well, the steam boost is very strong, beautiful design, comfortable to hold in your hand. In terms of ironing clothes, there are no complaints. But there are also small disadvantages, which for me are insignificant compared to its main function: the lid for the water tank does not close well and often opens by itself, the steam ionization button is inconveniently located and is constantly pressed, and if you iron for a long time (more than an hour), it begins to leak slightly. Well, overall I’m very pleased with this iron!</v>
      </c>
    </row>
    <row r="2006" spans="1:9" x14ac:dyDescent="0.3">
      <c r="A2006" s="1" t="s">
        <v>206</v>
      </c>
      <c r="B2006" s="1" t="s">
        <v>207</v>
      </c>
      <c r="C2006" s="1" t="s">
        <v>1143</v>
      </c>
      <c r="D2006" s="1" t="s">
        <v>52</v>
      </c>
      <c r="E2006" s="1" t="s">
        <v>4086</v>
      </c>
      <c r="F2006" s="1" t="s">
        <v>4087</v>
      </c>
      <c r="G2006" s="1" t="s">
        <v>28</v>
      </c>
      <c r="H2006" s="1" t="s">
        <v>29</v>
      </c>
      <c r="I2006" s="1" t="str">
        <f ca="1">IFERROR(__xludf.DUMMYFUNCTION("GOOGLETRANSLATE(F2006, ""auto"", ""en"")
"),"It presses perfectly even without amplification. But there is an unpleasant moment - when I connected it to a 350-watt amplifier and pumped up the bass well, it stank a little.   But for the money this is the best choice, if you have any doubts, don’t thi"&amp;"nk twice, take it.")</f>
        <v>It presses perfectly even without amplification. But there is an unpleasant moment - when I connected it to a 350-watt amplifier and pumped up the bass well, it stank a little.   But for the money this is the best choice, if you have any doubts, don’t think twice, take it.</v>
      </c>
    </row>
    <row r="2007" spans="1:9" x14ac:dyDescent="0.3">
      <c r="A2007" s="1" t="s">
        <v>30</v>
      </c>
      <c r="B2007" s="1" t="s">
        <v>50</v>
      </c>
      <c r="C2007" s="1" t="s">
        <v>32</v>
      </c>
      <c r="D2007" s="1" t="s">
        <v>411</v>
      </c>
      <c r="E2007" s="1" t="s">
        <v>1063</v>
      </c>
      <c r="F2007" s="1" t="s">
        <v>4088</v>
      </c>
      <c r="G2007" s="1" t="s">
        <v>36</v>
      </c>
      <c r="H2007" s="1" t="s">
        <v>29</v>
      </c>
      <c r="I2007" s="1" t="str">
        <f ca="1">IFERROR(__xludf.DUMMYFUNCTION("GOOGLETRANSLATE(F2007, ""auto"", ""en"")
"),"I am completely satisfied with the compact, lightweight, excellent travel companion!  after 2 months of use, it stopped charging to 100%, it reaches 80% and that’s it... I hope they will solve it in the service, I liked it very much, I don’t want to chang"&amp;"e this model!")</f>
        <v>I am completely satisfied with the compact, lightweight, excellent travel companion!  after 2 months of use, it stopped charging to 100%, it reaches 80% and that’s it... I hope they will solve it in the service, I liked it very much, I don’t want to change this model!</v>
      </c>
    </row>
    <row r="2008" spans="1:9" x14ac:dyDescent="0.3">
      <c r="A2008" s="1" t="s">
        <v>61</v>
      </c>
      <c r="B2008" s="1" t="s">
        <v>318</v>
      </c>
      <c r="C2008" s="1" t="s">
        <v>57</v>
      </c>
      <c r="D2008" s="1" t="s">
        <v>474</v>
      </c>
      <c r="E2008" s="1" t="s">
        <v>4089</v>
      </c>
      <c r="F2008" s="1" t="s">
        <v>4090</v>
      </c>
      <c r="G2008" s="1" t="s">
        <v>28</v>
      </c>
      <c r="H2008" s="1" t="s">
        <v>29</v>
      </c>
      <c r="I2008" s="1" t="str">
        <f ca="1">IFERROR(__xludf.DUMMYFUNCTION("GOOGLETRANSLATE(F2008, ""auto"", ""en"")
"),"We have been using the kettle for half a year. Very stylish and looks harmonious in a modern kitchen. The only negative, perhaps only of our copy, is the long automatic shutdown time - it boils for almost 30 seconds, the kitchen is all steamed up and only"&amp;" then turns off. We took it to the store and said that it was not a defect since it turned off, so we kept this tractor for ourselves))) Overall, we are happy with the kettle.")</f>
        <v>We have been using the kettle for half a year. Very stylish and looks harmonious in a modern kitchen. The only negative, perhaps only of our copy, is the long automatic shutdown time - it boils for almost 30 seconds, the kitchen is all steamed up and only then turns off. We took it to the store and said that it was not a defect since it turned off, so we kept this tractor for ourselves))) Overall, we are happy with the kettle.</v>
      </c>
    </row>
    <row r="2009" spans="1:9" x14ac:dyDescent="0.3">
      <c r="A2009" s="1" t="s">
        <v>43</v>
      </c>
      <c r="B2009" s="1" t="s">
        <v>1370</v>
      </c>
      <c r="C2009" s="1" t="s">
        <v>2137</v>
      </c>
      <c r="D2009" s="1" t="s">
        <v>1008</v>
      </c>
      <c r="E2009" s="1" t="s">
        <v>449</v>
      </c>
      <c r="F2009" s="1" t="s">
        <v>4091</v>
      </c>
      <c r="G2009" s="1" t="s">
        <v>36</v>
      </c>
      <c r="H2009" s="1" t="s">
        <v>29</v>
      </c>
      <c r="I2009" s="1" t="str">
        <f ca="1">IFERROR(__xludf.DUMMYFUNCTION("GOOGLETRANSLATE(F2009, ""auto"", ""en"")
"),"Bought on sale for 950r. Completely satisfied!  It heats well thanks to the power of 5KW, but make sure that the power goes through normal wiring... It turns on itself, it turns off on its own... The only downside is that there is no cord for connecting t"&amp;"o an outlet, but this is a very powerful device and, in theory, it needs a separate power supply...")</f>
        <v>Bought on sale for 950r. Completely satisfied!  It heats well thanks to the power of 5KW, but make sure that the power goes through normal wiring... It turns on itself, it turns off on its own... The only downside is that there is no cord for connecting to an outlet, but this is a very powerful device and, in theory, it needs a separate power supply...</v>
      </c>
    </row>
    <row r="2010" spans="1:9" x14ac:dyDescent="0.3">
      <c r="A2010" s="1" t="s">
        <v>211</v>
      </c>
      <c r="B2010" s="1" t="s">
        <v>410</v>
      </c>
      <c r="C2010" s="1" t="s">
        <v>69</v>
      </c>
      <c r="D2010" s="1" t="s">
        <v>4092</v>
      </c>
      <c r="E2010" s="1" t="s">
        <v>176</v>
      </c>
      <c r="F2010" s="1" t="s">
        <v>4093</v>
      </c>
      <c r="G2010" s="1" t="s">
        <v>28</v>
      </c>
      <c r="H2010" s="1" t="s">
        <v>29</v>
      </c>
      <c r="I2010" s="1" t="str">
        <f ca="1">IFERROR(__xludf.DUMMYFUNCTION("GOOGLETRANSLATE(F2010, ""auto"", ""en"")
"),"I’ve been using this razor for 1.5 years; it was given to me as a gift to replace expensive razors from Gilette and Chic. To my some disappointment, it was not possible to completely abandon the machines - it is not possible to shave off the stubble on my"&amp;" neck properly - hairs remain. Among the advantages, I note: ease of care - it is easy to rinse the blades with water or clean and lubricate using the liquid and station included in the kit; on smooth areas of the face, it shaves stubble perfectly without"&amp;" damaging the skin; rich equipment, including a razor case; Operating time on one charge is actually up to 75 minutes; It’s nice to feel like the owner of this beautiful, high-quality product.  Since this is my first electric razor, it is difficult to giv"&amp;"e recommendations - there was no way to compare it with a foil razor.")</f>
        <v>I’ve been using this razor for 1.5 years; it was given to me as a gift to replace expensive razors from Gilette and Chic. To my some disappointment, it was not possible to completely abandon the machines - it is not possible to shave off the stubble on my neck properly - hairs remain. Among the advantages, I note: ease of care - it is easy to rinse the blades with water or clean and lubricate using the liquid and station included in the kit; on smooth areas of the face, it shaves stubble perfectly without damaging the skin; rich equipment, including a razor case; Operating time on one charge is actually up to 75 minutes; It’s nice to feel like the owner of this beautiful, high-quality product.  Since this is my first electric razor, it is difficult to give recommendations - there was no way to compare it with a foil razor.</v>
      </c>
    </row>
    <row r="2011" spans="1:9" x14ac:dyDescent="0.3">
      <c r="A2011" s="1" t="s">
        <v>169</v>
      </c>
      <c r="B2011" s="1" t="s">
        <v>170</v>
      </c>
      <c r="C2011" s="1" t="s">
        <v>97</v>
      </c>
      <c r="D2011" s="1" t="s">
        <v>33</v>
      </c>
      <c r="E2011" s="1" t="s">
        <v>626</v>
      </c>
      <c r="F2011" s="1" t="s">
        <v>4094</v>
      </c>
      <c r="G2011" s="1" t="s">
        <v>28</v>
      </c>
      <c r="H2011" s="1" t="s">
        <v>29</v>
      </c>
      <c r="I2011" s="1" t="str">
        <f ca="1">IFERROR(__xludf.DUMMYFUNCTION("GOOGLETRANSLATE(F2011, ""auto"", ""en"")
"),"Good headphones. No complaints about the sound. I was especially pleased with the bass. They look nice. They fit comfortably in the ears, even without pads. Despite the fact that the white ones practically did not get dirty. Everything is fine in short. O"&amp;"nly the bass disappeared after 3 months. I don’t know what’s wrong, it’s definitely not the player, I’ll go change it today.")</f>
        <v>Good headphones. No complaints about the sound. I was especially pleased with the bass. They look nice. They fit comfortably in the ears, even without pads. Despite the fact that the white ones practically did not get dirty. Everything is fine in short. Only the bass disappeared after 3 months. I don’t know what’s wrong, it’s definitely not the player, I’ll go change it today.</v>
      </c>
    </row>
    <row r="2012" spans="1:9" x14ac:dyDescent="0.3">
      <c r="A2012" s="1" t="s">
        <v>37</v>
      </c>
      <c r="B2012" s="1" t="s">
        <v>536</v>
      </c>
      <c r="C2012" s="1" t="s">
        <v>1419</v>
      </c>
      <c r="D2012" s="1" t="s">
        <v>152</v>
      </c>
      <c r="E2012" s="1" t="s">
        <v>1756</v>
      </c>
      <c r="F2012" s="1" t="s">
        <v>4095</v>
      </c>
      <c r="G2012" s="1" t="s">
        <v>28</v>
      </c>
      <c r="H2012" s="1" t="s">
        <v>29</v>
      </c>
      <c r="I2012" s="1" t="str">
        <f ca="1">IFERROR(__xludf.DUMMYFUNCTION("GOOGLETRANSLATE(F2012, ""auto"", ""en"")
"),"I bought this communicator in September 2009. I would like to highlight the disadvantages: poor cellular network signal reception. Disgusting camera (I don't really need it). The backlight does not go off if you listen to music (this is a serious minus fo"&amp;"r me). The screen does not always respond to finger pressure. If there is an active connection to the Internet, and suddenly the network disappears, then you cannot reconnect to GPRS - only a reboot can save you.")</f>
        <v>I bought this communicator in September 2009. I would like to highlight the disadvantages: poor cellular network signal reception. Disgusting camera (I don't really need it). The backlight does not go off if you listen to music (this is a serious minus for me). The screen does not always respond to finger pressure. If there is an active connection to the Internet, and suddenly the network disappears, then you cannot reconnect to GPRS - only a reboot can save you.</v>
      </c>
    </row>
    <row r="2013" spans="1:9" x14ac:dyDescent="0.3">
      <c r="A2013" s="1" t="s">
        <v>211</v>
      </c>
      <c r="B2013" s="1" t="s">
        <v>212</v>
      </c>
      <c r="C2013" s="1" t="s">
        <v>69</v>
      </c>
      <c r="D2013" s="1" t="s">
        <v>64</v>
      </c>
      <c r="E2013" s="1" t="s">
        <v>577</v>
      </c>
      <c r="F2013" s="1" t="s">
        <v>4096</v>
      </c>
      <c r="G2013" s="1" t="s">
        <v>36</v>
      </c>
      <c r="H2013" s="1" t="s">
        <v>29</v>
      </c>
      <c r="I2013" s="1" t="str">
        <f ca="1">IFERROR(__xludf.DUMMYFUNCTION("GOOGLETRANSLATE(F2013, ""auto"", ""en"")
"),"I’ve been using it for five years now, I’m very worried that it won’t break, because the hair dryer is very easy to use. Powerful, dries quickly. Easy! The only thing is that the cold air button does not turn on for me, but I need to hold it for the cold "&amp;"air to flow. But overall, it’s a miracle, not a hair dryer!")</f>
        <v>I’ve been using it for five years now, I’m very worried that it won’t break, because the hair dryer is very easy to use. Powerful, dries quickly. Easy! The only thing is that the cold air button does not turn on for me, but I need to hold it for the cold air to flow. But overall, it’s a miracle, not a hair dryer!</v>
      </c>
    </row>
    <row r="2014" spans="1:9" x14ac:dyDescent="0.3">
      <c r="A2014" s="1" t="s">
        <v>120</v>
      </c>
      <c r="B2014" s="1" t="s">
        <v>196</v>
      </c>
      <c r="C2014" s="1" t="s">
        <v>69</v>
      </c>
      <c r="D2014" s="1" t="s">
        <v>4097</v>
      </c>
      <c r="E2014" s="1" t="s">
        <v>2231</v>
      </c>
      <c r="F2014" s="1" t="s">
        <v>4098</v>
      </c>
      <c r="G2014" s="1" t="s">
        <v>36</v>
      </c>
      <c r="H2014" s="1" t="s">
        <v>29</v>
      </c>
      <c r="I2014" s="1" t="str">
        <f ca="1">IFERROR(__xludf.DUMMYFUNCTION("GOOGLETRANSLATE(F2014, ""auto"", ""en"")
"),"In my opinion, an excellent TV without unnecessary bells and whistles and a decent size. I bought it precisely because of the size, I really wanted a bigger one. True, when I bought it it cost almost 30 thousand, now it is much cheaper. I watch NTV+ on it"&amp;", the picture is good, on the Premiere, Kinohit and other channels with an aspect ratio of 16:9 it’s generally excellent. I recently bought a WDTV II and now I’m enjoying the FullHD picture; it displays HD content wonderfully. An excellent device for the "&amp;"money. I'm completely satisfied with it so far.")</f>
        <v>In my opinion, an excellent TV without unnecessary bells and whistles and a decent size. I bought it precisely because of the size, I really wanted a bigger one. True, when I bought it it cost almost 30 thousand, now it is much cheaper. I watch NTV+ on it, the picture is good, on the Premiere, Kinohit and other channels with an aspect ratio of 16:9 it’s generally excellent. I recently bought a WDTV II and now I’m enjoying the FullHD picture; it displays HD content wonderfully. An excellent device for the money. I'm completely satisfied with it so far.</v>
      </c>
    </row>
    <row r="2015" spans="1:9" x14ac:dyDescent="0.3">
      <c r="A2015" s="1" t="s">
        <v>105</v>
      </c>
      <c r="B2015" s="1" t="s">
        <v>106</v>
      </c>
      <c r="C2015" s="1" t="s">
        <v>1209</v>
      </c>
      <c r="D2015" s="1" t="s">
        <v>411</v>
      </c>
      <c r="E2015" s="1" t="s">
        <v>124</v>
      </c>
      <c r="F2015" s="1" t="s">
        <v>4099</v>
      </c>
      <c r="G2015" s="1" t="s">
        <v>28</v>
      </c>
      <c r="H2015" s="1" t="s">
        <v>29</v>
      </c>
      <c r="I2015" s="1" t="str">
        <f ca="1">IFERROR(__xludf.DUMMYFUNCTION("GOOGLETRANSLATE(F2015, ""auto"", ""en"")
"),"I bought this player 2 weeks ago. As long as I'm walking, I'm satisfied.  + Good large screen, long operating time (about 10 hours at high volume), additional slot for a flash drive, the picture is also pleasing when connected to TV, good sound quality, s"&amp;"upports almost all formats, even without formatting.  - When listening to music, when you scroll through pictures, sometimes it freezes, you have to reboot. And a slightly inconvenient pause button.  I haven’t found any problems with the output yet, altho"&amp;"ugh I actively use the player.  In general, my rating is 4. In the future I will write about how the player feels.")</f>
        <v>I bought this player 2 weeks ago. As long as I'm walking, I'm satisfied.  + Good large screen, long operating time (about 10 hours at high volume), additional slot for a flash drive, the picture is also pleasing when connected to TV, good sound quality, supports almost all formats, even without formatting.  - When listening to music, when you scroll through pictures, sometimes it freezes, you have to reboot. And a slightly inconvenient pause button.  I haven’t found any problems with the output yet, although I actively use the player.  In general, my rating is 4. In the future I will write about how the player feels.</v>
      </c>
    </row>
    <row r="2016" spans="1:9" x14ac:dyDescent="0.3">
      <c r="A2016" s="1" t="s">
        <v>89</v>
      </c>
      <c r="B2016" s="1" t="s">
        <v>231</v>
      </c>
      <c r="C2016" s="1" t="s">
        <v>1072</v>
      </c>
      <c r="D2016" s="1" t="s">
        <v>4100</v>
      </c>
      <c r="E2016" s="1" t="s">
        <v>4101</v>
      </c>
      <c r="F2016" s="1" t="s">
        <v>4102</v>
      </c>
      <c r="G2016" s="1" t="s">
        <v>36</v>
      </c>
      <c r="H2016" s="1" t="s">
        <v>29</v>
      </c>
      <c r="I2016" s="1" t="str">
        <f ca="1">IFERROR(__xludf.DUMMYFUNCTION("GOOGLETRANSLATE(F2016, ""auto"", ""en"")
"),"I bought a Saeco Intelia Evo HD8881/09 coffee machine a month ago. I am very glad that I chose this model. The coffee turns out great. This aspect is also very important to me: the removable parts and the cappuccino maker can be washed in the dishwasher. "&amp;"I really liked the automatic cappuccino maker: the foam is thick, tasty and beautiful. It’s quick and easy to use.")</f>
        <v>I bought a Saeco Intelia Evo HD8881/09 coffee machine a month ago. I am very glad that I chose this model. The coffee turns out great. This aspect is also very important to me: the removable parts and the cappuccino maker can be washed in the dishwasher. I really liked the automatic cappuccino maker: the foam is thick, tasty and beautiful. It’s quick and easy to use.</v>
      </c>
    </row>
    <row r="2017" spans="1:9" x14ac:dyDescent="0.3">
      <c r="A2017" s="1" t="s">
        <v>120</v>
      </c>
      <c r="B2017" s="1" t="s">
        <v>121</v>
      </c>
      <c r="C2017" s="1" t="s">
        <v>80</v>
      </c>
      <c r="D2017" s="1" t="s">
        <v>4103</v>
      </c>
      <c r="E2017" s="1" t="s">
        <v>854</v>
      </c>
      <c r="F2017" s="1" t="s">
        <v>4104</v>
      </c>
      <c r="G2017" s="1" t="s">
        <v>28</v>
      </c>
      <c r="H2017" s="1" t="s">
        <v>29</v>
      </c>
      <c r="I2017" s="1" t="str">
        <f ca="1">IFERROR(__xludf.DUMMYFUNCTION("GOOGLETRANSLATE(F2017, ""auto"", ""en"")
"),"TV is not bad. Among the disadvantages: If you select the country of use, then the teletext is in English, if you select Russian, then the DVB-T (digital television) settings disappear. No time settings, although the function is provided.   A bunch of con"&amp;"nectors connected the computer and DVD. Excellent picture and good sound for TV. Excellent reception of digital TV.  9dzb")</f>
        <v>TV is not bad. Among the disadvantages: If you select the country of use, then the teletext is in English, if you select Russian, then the DVB-T (digital television) settings disappear. No time settings, although the function is provided.   A bunch of connectors connected the computer and DVD. Excellent picture and good sound for TV. Excellent reception of digital TV.  9dzb</v>
      </c>
    </row>
    <row r="2018" spans="1:9" x14ac:dyDescent="0.3">
      <c r="A2018" s="1" t="s">
        <v>30</v>
      </c>
      <c r="B2018" s="1" t="s">
        <v>50</v>
      </c>
      <c r="C2018" s="1" t="s">
        <v>32</v>
      </c>
      <c r="D2018" s="1" t="s">
        <v>4105</v>
      </c>
      <c r="E2018" s="1" t="s">
        <v>271</v>
      </c>
      <c r="F2018" s="1" t="s">
        <v>4106</v>
      </c>
      <c r="G2018" s="1" t="s">
        <v>28</v>
      </c>
      <c r="H2018" s="1" t="s">
        <v>29</v>
      </c>
      <c r="I2018" s="1" t="str">
        <f ca="1">IFERROR(__xludf.DUMMYFUNCTION("GOOGLETRANSLATE(F2018, ""auto"", ""en"")
"),"I bought this book, I like everything)) I haven’t used toys like GTA4 yet, but WarCraft works fine XD. But I found one problem, the blue tooth (blue tooth) does not work ((I can’t figure out if it’s missing or is it a defect?? Although there is a blue too"&amp;"th button (those who have used this car know). Tell me, is it worth going to the service center or is there something that can be done? I need a blue tooth, but it’s not convenient to poke it into the USB all the time.")</f>
        <v>I bought this book, I like everything)) I haven’t used toys like GTA4 yet, but WarCraft works fine XD. But I found one problem, the blue tooth (blue tooth) does not work ((I can’t figure out if it’s missing or is it a defect?? Although there is a blue tooth button (those who have used this car know). Tell me, is it worth going to the service center or is there something that can be done? I need a blue tooth, but it’s not convenient to poke it into the USB all the time.</v>
      </c>
    </row>
    <row r="2019" spans="1:9" x14ac:dyDescent="0.3">
      <c r="A2019" s="1" t="s">
        <v>17</v>
      </c>
      <c r="B2019" s="1" t="s">
        <v>18</v>
      </c>
      <c r="C2019" s="1" t="s">
        <v>870</v>
      </c>
      <c r="D2019" s="1" t="s">
        <v>295</v>
      </c>
      <c r="E2019" s="1" t="s">
        <v>4107</v>
      </c>
      <c r="F2019" s="1" t="s">
        <v>4108</v>
      </c>
      <c r="G2019" s="1" t="s">
        <v>49</v>
      </c>
      <c r="H2019" s="1" t="s">
        <v>16</v>
      </c>
      <c r="I2019" s="1" t="str">
        <f ca="1">IFERROR(__xludf.DUMMYFUNCTION("GOOGLETRANSLATE(F2019, ""auto"", ""en"")
"),"Good afternoon The first wash was very disappointing. During the spin cycle, the machine vibrated so much, the noise of an airplane (we have a Khrushchev building and I’m very uncomfortable in front of the neighbors). The walls and floor were shaking. Aft"&amp;"er washing, the machine was not in the place where we put it. Because of the vibration, she crawled out of her place and stood diagonally. HORROR!!! My husband and I installed the machine on special rubber bands, maybe that’s the whole point. But she make"&amp;"s a lot of noise at them too, jumps and moves. We glued the rubber bands to the floor, the machine jumps off them during the washing process. Before this, we had machines of this type from other companies, but this was the first time we encountered such a"&amp;" problem. We called the store and they scheduled an examination for April 27th. My husband is an auto mechanic, with equipment you know. After turning the drum, he said that there was no lower weighting material in the bump stop on the drum. And no matter"&amp;" how you twist the drum, it stops bottom up. The drum is not balanced, this will quickly break the bearings. We called the repair shop. cars, but they explained to us that now Whirlpool has stopped inserting weighted bumpers into the drums, and the crafts"&amp;"men are clutching their heads. And you decide whether you need such a headache!!!")</f>
        <v>Good afternoon The first wash was very disappointing. During the spin cycle, the machine vibrated so much, the noise of an airplane (we have a Khrushchev building and I’m very uncomfortable in front of the neighbors). The walls and floor were shaking. After washing, the machine was not in the place where we put it. Because of the vibration, she crawled out of her place and stood diagonally. HORROR!!! My husband and I installed the machine on special rubber bands, maybe that’s the whole point. But she makes a lot of noise at them too, jumps and moves. We glued the rubber bands to the floor, the machine jumps off them during the washing process. Before this, we had machines of this type from other companies, but this was the first time we encountered such a problem. We called the store and they scheduled an examination for April 27th. My husband is an auto mechanic, with equipment you know. After turning the drum, he said that there was no lower weighting material in the bump stop on the drum. And no matter how you twist the drum, it stops bottom up. The drum is not balanced, this will quickly break the bearings. We called the repair shop. cars, but they explained to us that now Whirlpool has stopped inserting weighted bumpers into the drums, and the craftsmen are clutching their heads. And you decide whether you need such a headache!!!</v>
      </c>
    </row>
    <row r="2020" spans="1:9" x14ac:dyDescent="0.3">
      <c r="A2020" s="1" t="s">
        <v>105</v>
      </c>
      <c r="B2020" s="1" t="s">
        <v>106</v>
      </c>
      <c r="C2020" s="1" t="s">
        <v>97</v>
      </c>
      <c r="D2020" s="1" t="s">
        <v>4109</v>
      </c>
      <c r="E2020" s="1" t="s">
        <v>4110</v>
      </c>
      <c r="F2020" s="1" t="s">
        <v>4111</v>
      </c>
      <c r="G2020" s="1" t="s">
        <v>36</v>
      </c>
      <c r="H2020" s="1" t="s">
        <v>29</v>
      </c>
      <c r="I2020" s="1" t="str">
        <f ca="1">IFERROR(__xludf.DUMMYFUNCTION("GOOGLETRANSLATE(F2020, ""auto"", ""en"")
"),"I bought it three days ago and was pleased with the sound quality, battery capacity and price. The downside is the headphones, so I immediately bought the Sennheiser CX-300-ll Black.")</f>
        <v>I bought it three days ago and was pleased with the sound quality, battery capacity and price. The downside is the headphones, so I immediately bought the Sennheiser CX-300-ll Black.</v>
      </c>
    </row>
    <row r="2021" spans="1:9" x14ac:dyDescent="0.3">
      <c r="A2021" s="1" t="s">
        <v>61</v>
      </c>
      <c r="B2021" s="1" t="s">
        <v>977</v>
      </c>
      <c r="C2021" s="1" t="s">
        <v>101</v>
      </c>
      <c r="D2021" s="1" t="s">
        <v>295</v>
      </c>
      <c r="E2021" s="1" t="s">
        <v>135</v>
      </c>
      <c r="F2021" s="1" t="s">
        <v>4112</v>
      </c>
      <c r="G2021" s="1" t="s">
        <v>36</v>
      </c>
      <c r="H2021" s="1" t="s">
        <v>29</v>
      </c>
      <c r="I2021" s="1" t="str">
        <f ca="1">IFERROR(__xludf.DUMMYFUNCTION("GOOGLETRANSLATE(F2021, ""auto"", ""en"")
"),"A friend gave me a blender for her birthday 2-3 years ago, I still use it and am very pleased. The price-quality ratio is quite normal. Many times I crushed almonds, softened butter, made tapenade, sauces, gazpacho, pureed soups - great, whips egg whites "&amp;"very well and quickly, well, etc. It just couldn’t handle making homemade mayonnaise, it overheated and died, there wasn’t enough power. But this process is very long, the blender worked for about 30 minutes with almost no pauses. But then it cooled down "&amp;"and started up again, I was very happy; True, the power button is loose, but it seems to work quite normally. You need to take more breaks from work, and everything will be fine. I just haven’t mastered the graters yet, so I can’t say anything about them."&amp;"   There are probably more powerful techniques, but this one is also not bad. I also like that the puree attachment is made of stainless steel and not plastic - this is also a big plus.")</f>
        <v>A friend gave me a blender for her birthday 2-3 years ago, I still use it and am very pleased. The price-quality ratio is quite normal. Many times I crushed almonds, softened butter, made tapenade, sauces, gazpacho, pureed soups - great, whips egg whites very well and quickly, well, etc. It just couldn’t handle making homemade mayonnaise, it overheated and died, there wasn’t enough power. But this process is very long, the blender worked for about 30 minutes with almost no pauses. But then it cooled down and started up again, I was very happy; True, the power button is loose, but it seems to work quite normally. You need to take more breaks from work, and everything will be fine. I just haven’t mastered the graters yet, so I can’t say anything about them.   There are probably more powerful techniques, but this one is also not bad. I also like that the puree attachment is made of stainless steel and not plastic - this is also a big plus.</v>
      </c>
    </row>
    <row r="2022" spans="1:9" x14ac:dyDescent="0.3">
      <c r="A2022" s="1" t="s">
        <v>120</v>
      </c>
      <c r="B2022" s="1" t="s">
        <v>126</v>
      </c>
      <c r="C2022" s="1" t="s">
        <v>122</v>
      </c>
      <c r="D2022" s="1" t="s">
        <v>326</v>
      </c>
      <c r="E2022" s="1" t="s">
        <v>631</v>
      </c>
      <c r="F2022" s="1" t="s">
        <v>4113</v>
      </c>
      <c r="G2022" s="1" t="s">
        <v>36</v>
      </c>
      <c r="H2022" s="1" t="s">
        <v>29</v>
      </c>
      <c r="I2022" s="1" t="str">
        <f ca="1">IFERROR(__xludf.DUMMYFUNCTION("GOOGLETRANSLATE(F2022, ""auto"", ""en"")
"),"I just bought a TV today. I really like everything, it shows just fine, the colors are bright, the sound is good. I haven’t figured out many of the functions yet, but overall I’m very pleased. The TV is simply superb. I recommend it to everyone.")</f>
        <v>I just bought a TV today. I really like everything, it shows just fine, the colors are bright, the sound is good. I haven’t figured out many of the functions yet, but overall I’m very pleased. The TV is simply superb. I recommend it to everyone.</v>
      </c>
    </row>
    <row r="2023" spans="1:9" x14ac:dyDescent="0.3">
      <c r="A2023" s="1" t="s">
        <v>9</v>
      </c>
      <c r="B2023" s="1" t="s">
        <v>10</v>
      </c>
      <c r="C2023" s="1" t="s">
        <v>466</v>
      </c>
      <c r="D2023" s="1" t="s">
        <v>247</v>
      </c>
      <c r="E2023" s="1" t="s">
        <v>2300</v>
      </c>
      <c r="F2023" s="1" t="s">
        <v>4114</v>
      </c>
      <c r="G2023" s="1" t="s">
        <v>36</v>
      </c>
      <c r="H2023" s="1" t="s">
        <v>29</v>
      </c>
      <c r="I2023" s="1" t="str">
        <f ca="1">IFERROR(__xludf.DUMMYFUNCTION("GOOGLETRANSLATE(F2023, ""auto"", ""en"")
"),"We bought the hood 2 months ago. Works great for this price. I like that it turns on when the panel is pulled out. And when the panel is closed, it is on the same level as the rest of the kitchen furniture. When turned off, it is completely invisible.")</f>
        <v>We bought the hood 2 months ago. Works great for this price. I like that it turns on when the panel is pulled out. And when the panel is closed, it is on the same level as the rest of the kitchen furniture. When turned off, it is completely invisible.</v>
      </c>
    </row>
    <row r="2024" spans="1:9" x14ac:dyDescent="0.3">
      <c r="A2024" s="1" t="s">
        <v>211</v>
      </c>
      <c r="B2024" s="1" t="s">
        <v>265</v>
      </c>
      <c r="C2024" s="1" t="s">
        <v>57</v>
      </c>
      <c r="D2024" s="1" t="s">
        <v>653</v>
      </c>
      <c r="E2024" s="1" t="s">
        <v>128</v>
      </c>
      <c r="F2024" s="1" t="s">
        <v>4115</v>
      </c>
      <c r="G2024" s="1" t="s">
        <v>15</v>
      </c>
      <c r="H2024" s="1" t="s">
        <v>16</v>
      </c>
      <c r="I2024" s="1" t="str">
        <f ca="1">IFERROR(__xludf.DUMMYFUNCTION("GOOGLETRANSLATE(F2024, ""auto"", ""en"")
"),"This is my first machine, so I have nothing to compare with. But the fact that it heats up quickly is terrible. Impossible to hold in your hands. Hot. And after a while the knives stop. It even seemed to me that there was smoke.")</f>
        <v>This is my first machine, so I have nothing to compare with. But the fact that it heats up quickly is terrible. Impossible to hold in your hands. Hot. And after a while the knives stop. It even seemed to me that there was smoke.</v>
      </c>
    </row>
    <row r="2025" spans="1:9" x14ac:dyDescent="0.3">
      <c r="A2025" s="1" t="s">
        <v>17</v>
      </c>
      <c r="B2025" s="1" t="s">
        <v>18</v>
      </c>
      <c r="C2025" s="1" t="s">
        <v>80</v>
      </c>
      <c r="D2025" s="1" t="s">
        <v>335</v>
      </c>
      <c r="E2025" s="1" t="s">
        <v>320</v>
      </c>
      <c r="F2025" s="1" t="s">
        <v>4116</v>
      </c>
      <c r="G2025" s="1" t="s">
        <v>36</v>
      </c>
      <c r="H2025" s="1" t="s">
        <v>29</v>
      </c>
      <c r="I2025" s="1" t="str">
        <f ca="1">IFERROR(__xludf.DUMMYFUNCTION("GOOGLETRANSLATE(F2025, ""auto"", ""en"")
"),"The washing machine was ordered online and delivered the next day. The washing machine was connected by installation master (M.video) Sergey Valentinovich Kuskov, for which special thanks to him. He did everything carefully and quickly, was polite and att"&amp;"entive, gave brief instructions on how to use the washing machine and, in fact, under his leadership the first launch was made. The machine works quietly, there are no vibrations even with a spin of 1200 rpm. The design is pleasant, clear interface. There"&amp;" is protection against children. Overall I am very pleased with the machine.")</f>
        <v>The washing machine was ordered online and delivered the next day. The washing machine was connected by installation master (M.video) Sergey Valentinovich Kuskov, for which special thanks to him. He did everything carefully and quickly, was polite and attentive, gave brief instructions on how to use the washing machine and, in fact, under his leadership the first launch was made. The machine works quietly, there are no vibrations even with a spin of 1200 rpm. The design is pleasant, clear interface. There is protection against children. Overall I am very pleased with the machine.</v>
      </c>
    </row>
    <row r="2026" spans="1:9" x14ac:dyDescent="0.3">
      <c r="A2026" s="1" t="s">
        <v>120</v>
      </c>
      <c r="B2026" s="1" t="s">
        <v>256</v>
      </c>
      <c r="C2026" s="1" t="s">
        <v>80</v>
      </c>
      <c r="D2026" s="1" t="s">
        <v>698</v>
      </c>
      <c r="E2026" s="1" t="s">
        <v>225</v>
      </c>
      <c r="F2026" s="1" t="s">
        <v>4117</v>
      </c>
      <c r="G2026" s="1" t="s">
        <v>36</v>
      </c>
      <c r="H2026" s="1" t="s">
        <v>29</v>
      </c>
      <c r="I2026" s="1" t="str">
        <f ca="1">IFERROR(__xludf.DUMMYFUNCTION("GOOGLETRANSLATE(F2026, ""auto"", ""en"")
"),"Excellent TV, bought it for 10,390 on promotion + got 200 bonus rubles for wipes to clean the screen. The image is very pleasing, and I will activate the player on it after warranty (if necessary)")</f>
        <v>Excellent TV, bought it for 10,390 on promotion + got 200 bonus rubles for wipes to clean the screen. The image is very pleasing, and I will activate the player on it after warranty (if necessary)</v>
      </c>
    </row>
    <row r="2027" spans="1:9" x14ac:dyDescent="0.3">
      <c r="A2027" s="1" t="s">
        <v>105</v>
      </c>
      <c r="B2027" s="1" t="s">
        <v>106</v>
      </c>
      <c r="C2027" s="1" t="s">
        <v>151</v>
      </c>
      <c r="D2027" s="1" t="s">
        <v>1036</v>
      </c>
      <c r="E2027" s="1" t="s">
        <v>1742</v>
      </c>
      <c r="F2027" s="1" t="s">
        <v>4118</v>
      </c>
      <c r="G2027" s="1" t="s">
        <v>36</v>
      </c>
      <c r="H2027" s="1" t="s">
        <v>29</v>
      </c>
      <c r="I2027" s="1" t="str">
        <f ca="1">IFERROR(__xludf.DUMMYFUNCTION("GOOGLETRANSLATE(F2027, ""auto"", ""en"")
"),"Sometimes it gets up in the cold. You have to reboot. But this is very rare. Basically, it doesn't fail.")</f>
        <v>Sometimes it gets up in the cold. You have to reboot. But this is very rare. Basically, it doesn't fail.</v>
      </c>
    </row>
    <row r="2028" spans="1:9" x14ac:dyDescent="0.3">
      <c r="A2028" s="1" t="s">
        <v>169</v>
      </c>
      <c r="B2028" s="1" t="s">
        <v>170</v>
      </c>
      <c r="C2028" s="1" t="s">
        <v>69</v>
      </c>
      <c r="D2028" s="1" t="s">
        <v>280</v>
      </c>
      <c r="E2028" s="1" t="s">
        <v>26</v>
      </c>
      <c r="F2028" s="1" t="s">
        <v>4119</v>
      </c>
      <c r="G2028" s="1" t="s">
        <v>36</v>
      </c>
      <c r="H2028" s="1" t="s">
        <v>29</v>
      </c>
      <c r="I2028" s="1" t="str">
        <f ca="1">IFERROR(__xludf.DUMMYFUNCTION("GOOGLETRANSLATE(F2028, ""auto"", ""en"")
"),"The headphones are super.....the ears do not get tired.... The bass is absolutely excellent.... if you listen on an MP3 player, I advise everyone..")</f>
        <v>The headphones are super.....the ears do not get tired.... The bass is absolutely excellent.... if you listen on an MP3 player, I advise everyone..</v>
      </c>
    </row>
    <row r="2029" spans="1:9" x14ac:dyDescent="0.3">
      <c r="A2029" s="1" t="s">
        <v>78</v>
      </c>
      <c r="B2029" s="1" t="s">
        <v>79</v>
      </c>
      <c r="C2029" s="1" t="s">
        <v>122</v>
      </c>
      <c r="D2029" s="1" t="s">
        <v>208</v>
      </c>
      <c r="E2029" s="1" t="s">
        <v>128</v>
      </c>
      <c r="F2029" s="1" t="s">
        <v>4120</v>
      </c>
      <c r="G2029" s="1" t="s">
        <v>36</v>
      </c>
      <c r="H2029" s="1" t="s">
        <v>29</v>
      </c>
      <c r="I2029" s="1" t="str">
        <f ca="1">IFERROR(__xludf.DUMMYFUNCTION("GOOGLETRANSLATE(F2029, ""auto"", ""en"")
"),"I’ve been using the stove for several months - I’m very pleased, it heats up quickly and evenly, stylish design. Haven't used the grill yet. Weak backlight - well, don’t look there! In general, I recommend it to everyone!")</f>
        <v>I’ve been using the stove for several months - I’m very pleased, it heats up quickly and evenly, stylish design. Haven't used the grill yet. Weak backlight - well, don’t look there! In general, I recommend it to everyone!</v>
      </c>
    </row>
    <row r="2030" spans="1:9" x14ac:dyDescent="0.3">
      <c r="A2030" s="1" t="s">
        <v>105</v>
      </c>
      <c r="B2030" s="1" t="s">
        <v>106</v>
      </c>
      <c r="C2030" s="1" t="s">
        <v>97</v>
      </c>
      <c r="D2030" s="1" t="s">
        <v>152</v>
      </c>
      <c r="E2030" s="1" t="s">
        <v>1931</v>
      </c>
      <c r="F2030" s="1" t="s">
        <v>4121</v>
      </c>
      <c r="G2030" s="1" t="s">
        <v>28</v>
      </c>
      <c r="H2030" s="1" t="s">
        <v>29</v>
      </c>
      <c r="I2030" s="1" t="str">
        <f ca="1">IFERROR(__xludf.DUMMYFUNCTION("GOOGLETRANSLATE(F2030, ""auto"", ""en"")
"),"The battery is not very good. Headphones included, discarded accordingly. With ears Sennheiser CX-300-2 with a bang.   The controls are convenient, normal design. The music quality is 4- (again, the Sennheiser headphones do their job).   iPod+Sennheiser C"&amp;"X-300-2 = the best solution!!!!")</f>
        <v>The battery is not very good. Headphones included, discarded accordingly. With ears Sennheiser CX-300-2 with a bang.   The controls are convenient, normal design. The music quality is 4- (again, the Sennheiser headphones do their job).   iPod+Sennheiser CX-300-2 = the best solution!!!!</v>
      </c>
    </row>
    <row r="2031" spans="1:9" x14ac:dyDescent="0.3">
      <c r="A2031" s="1" t="s">
        <v>89</v>
      </c>
      <c r="B2031" s="1" t="s">
        <v>231</v>
      </c>
      <c r="C2031" s="1" t="s">
        <v>185</v>
      </c>
      <c r="D2031" s="1" t="s">
        <v>1483</v>
      </c>
      <c r="E2031" s="1" t="s">
        <v>4122</v>
      </c>
      <c r="F2031" s="1" t="s">
        <v>4123</v>
      </c>
      <c r="G2031" s="1" t="s">
        <v>36</v>
      </c>
      <c r="H2031" s="1" t="s">
        <v>29</v>
      </c>
      <c r="I2031" s="1" t="str">
        <f ca="1">IFERROR(__xludf.DUMMYFUNCTION("GOOGLETRANSLATE(F2031, ""auto"", ""en"")
"),"Both ground and bean coffee are suitable for the coffee machine, both the grind and the strength of the drink are adjustable, and the cappuccino maker whips up a very decent amount of foam. ")</f>
        <v xml:space="preserve">Both ground and bean coffee are suitable for the coffee machine, both the grind and the strength of the drink are adjustable, and the cappuccino maker whips up a very decent amount of foam. </v>
      </c>
    </row>
    <row r="2032" spans="1:9" x14ac:dyDescent="0.3">
      <c r="A2032" s="1" t="s">
        <v>211</v>
      </c>
      <c r="B2032" s="1" t="s">
        <v>384</v>
      </c>
      <c r="C2032" s="1" t="s">
        <v>351</v>
      </c>
      <c r="D2032" s="1" t="s">
        <v>64</v>
      </c>
      <c r="E2032" s="1" t="s">
        <v>4124</v>
      </c>
      <c r="F2032" s="1" t="s">
        <v>4125</v>
      </c>
      <c r="G2032" s="1" t="s">
        <v>49</v>
      </c>
      <c r="H2032" s="1" t="s">
        <v>16</v>
      </c>
      <c r="I2032" s="1" t="str">
        <f ca="1">IFERROR(__xludf.DUMMYFUNCTION("GOOGLETRANSLATE(F2032, ""auto"", ""en"")
"),"We bought our first scales, they worked for less than a year. They sinned because a very heavy person weighed them)) We bought the same second ones. No one has weighed over 80 kg on them, they worked for less than a month... I advise you not to take them!")</f>
        <v>We bought our first scales, they worked for less than a year. They sinned because a very heavy person weighed them)) We bought the same second ones. No one has weighed over 80 kg on them, they worked for less than a month... I advise you not to take them!</v>
      </c>
    </row>
    <row r="2033" spans="1:9" x14ac:dyDescent="0.3">
      <c r="A2033" s="1" t="s">
        <v>105</v>
      </c>
      <c r="B2033" s="1" t="s">
        <v>106</v>
      </c>
      <c r="C2033" s="1" t="s">
        <v>1526</v>
      </c>
      <c r="D2033" s="1" t="s">
        <v>12</v>
      </c>
      <c r="E2033" s="1" t="s">
        <v>808</v>
      </c>
      <c r="F2033" s="1" t="s">
        <v>4126</v>
      </c>
      <c r="G2033" s="1" t="s">
        <v>28</v>
      </c>
      <c r="H2033" s="1" t="s">
        <v>29</v>
      </c>
      <c r="I2033" s="1" t="str">
        <f ca="1">IFERROR(__xludf.DUMMYFUNCTION("GOOGLETRANSLATE(F2033, ""auto"", ""en"")
"),"I bought it a long time ago, at first I liked it, then small annoying details appeared. Converting videos is very problematic for me, since I am very bad at it. The keys are annoying and for some reason I can’t pick up the radio at all... Now I’m selectin"&amp;"g another mp3... I hope this kind of miss won’t happen again. The rating is as follows: The player is generally not bad, but I didn’t really like it.")</f>
        <v>I bought it a long time ago, at first I liked it, then small annoying details appeared. Converting videos is very problematic for me, since I am very bad at it. The keys are annoying and for some reason I can’t pick up the radio at all... Now I’m selecting another mp3... I hope this kind of miss won’t happen again. The rating is as follows: The player is generally not bad, but I didn’t really like it.</v>
      </c>
    </row>
    <row r="2034" spans="1:9" x14ac:dyDescent="0.3">
      <c r="A2034" s="1" t="s">
        <v>477</v>
      </c>
      <c r="B2034" s="1" t="s">
        <v>478</v>
      </c>
      <c r="C2034" s="1" t="s">
        <v>479</v>
      </c>
      <c r="D2034" s="1" t="s">
        <v>152</v>
      </c>
      <c r="E2034" s="1" t="s">
        <v>3284</v>
      </c>
      <c r="F2034" s="1" t="s">
        <v>4127</v>
      </c>
      <c r="G2034" s="1" t="s">
        <v>36</v>
      </c>
      <c r="H2034" s="1" t="s">
        <v>29</v>
      </c>
      <c r="I2034" s="1" t="str">
        <f ca="1">IFERROR(__xludf.DUMMYFUNCTION("GOOGLETRANSLATE(F2034, ""auto"", ""en"")
"),"I played the game back in early November on the box...the game is not bad, but many missions are reminiscent of cod 6. The map for multiplayer is bad, although there is a plus that Treyarch returned the map for snipers to the game!!!! Now on every map the"&amp;"re is a place for a sniper (with cover).  In general, I advise")</f>
        <v>I played the game back in early November on the box...the game is not bad, but many missions are reminiscent of cod 6. The map for multiplayer is bad, although there is a plus that Treyarch returned the map for snipers to the game!!!! Now on every map there is a place for a sniper (with cover).  In general, I advise</v>
      </c>
    </row>
    <row r="2035" spans="1:9" x14ac:dyDescent="0.3">
      <c r="A2035" s="1" t="s">
        <v>206</v>
      </c>
      <c r="B2035" s="1" t="s">
        <v>207</v>
      </c>
      <c r="C2035" s="1" t="s">
        <v>152</v>
      </c>
      <c r="D2035" s="1" t="s">
        <v>4128</v>
      </c>
      <c r="E2035" s="1" t="s">
        <v>4129</v>
      </c>
      <c r="F2035" s="1" t="s">
        <v>4130</v>
      </c>
      <c r="G2035" s="1" t="s">
        <v>36</v>
      </c>
      <c r="H2035" s="1" t="s">
        <v>29</v>
      </c>
      <c r="I2035" s="1" t="str">
        <f ca="1">IFERROR(__xludf.DUMMYFUNCTION("GOOGLETRANSLATE(F2035, ""auto"", ""en"")
"),"The amplifier is crazy, it only hits like that. My JBL rear speakers are round 25 cm, the front Infiniti speakers are 17 cm, they don’t seem to be so hot, but they play great!")</f>
        <v>The amplifier is crazy, it only hits like that. My JBL rear speakers are round 25 cm, the front Infiniti speakers are 17 cm, they don’t seem to be so hot, but they play great!</v>
      </c>
    </row>
    <row r="2036" spans="1:9" x14ac:dyDescent="0.3">
      <c r="A2036" s="1" t="s">
        <v>95</v>
      </c>
      <c r="B2036" s="1" t="s">
        <v>4131</v>
      </c>
      <c r="C2036" s="1" t="s">
        <v>97</v>
      </c>
      <c r="D2036" s="1" t="s">
        <v>4132</v>
      </c>
      <c r="E2036" s="1" t="s">
        <v>4133</v>
      </c>
      <c r="F2036" s="1" t="s">
        <v>4134</v>
      </c>
      <c r="G2036" s="1" t="s">
        <v>36</v>
      </c>
      <c r="H2036" s="1" t="s">
        <v>29</v>
      </c>
      <c r="I2036" s="1" t="str">
        <f ca="1">IFERROR(__xludf.DUMMYFUNCTION("GOOGLETRANSLATE(F2036, ""auto"", ""en"")
"),"The best set. By the way, you need to download the game. I advise you to immediately buy a Hori protective film and a case. Now subscribers of PS Plus (subscription for 14 days free of charge, then with payment) are given Uncharted and Gravity Rush for fr"&amp;"ee (and some other games of a lower rank), which pay for the annual subscription of ps plus + until January 21, there are a lot of New Year's discounts (up to 60% on hits of past years). So feel free to take it now - you won’t regret it. I also advise you"&amp;" to take a 32 GB card in the future and no longer worry about free space.")</f>
        <v>The best set. By the way, you need to download the game. I advise you to immediately buy a Hori protective film and a case. Now subscribers of PS Plus (subscription for 14 days free of charge, then with payment) are given Uncharted and Gravity Rush for free (and some other games of a lower rank), which pay for the annual subscription of ps plus + until January 21, there are a lot of New Year's discounts (up to 60% on hits of past years). So feel free to take it now - you won’t regret it. I also advise you to take a 32 GB card in the future and no longer worry about free space.</v>
      </c>
    </row>
    <row r="2037" spans="1:9" x14ac:dyDescent="0.3">
      <c r="A2037" s="1" t="s">
        <v>30</v>
      </c>
      <c r="B2037" s="1" t="s">
        <v>31</v>
      </c>
      <c r="C2037" s="1" t="s">
        <v>32</v>
      </c>
      <c r="D2037" s="1" t="s">
        <v>327</v>
      </c>
      <c r="E2037" s="1" t="s">
        <v>552</v>
      </c>
      <c r="F2037" s="1" t="s">
        <v>4135</v>
      </c>
      <c r="G2037" s="1" t="s">
        <v>36</v>
      </c>
      <c r="H2037" s="1" t="s">
        <v>29</v>
      </c>
      <c r="I2037" s="1" t="str">
        <f ca="1">IFERROR(__xludf.DUMMYFUNCTION("GOOGLETRANSLATE(F2037, ""auto"", ""en"")
"),"His W7 score is 3.3 - an excellent result for such a baby.  Acer itself focuses on laptops, netbooks and now nettops. IMHO, I trust this manufacturer for now, because... I’ve had one of their units for 2 years now and so far it’s pah-pah.    Why a nettop?"&amp;" Everyone decides for themselves. I wanted to have a computer based on the principle of “reasonable sufficiency” or price-quality. Actually, this is all I found in the 3610. Minimization of my workspace, speed and quietness of the computer, functionality "&amp;"and nice design, genuine interest from my friends and specialists in this model. )) I will not describe in detail the mass of good impressions from the purchase, I will only say one thing - the product does not linger “on the shelves” in stores, and this "&amp;"is a sure sign of its consumer qualities.    PS I'm not an advertising agent :-))")</f>
        <v>His W7 score is 3.3 - an excellent result for such a baby.  Acer itself focuses on laptops, netbooks and now nettops. IMHO, I trust this manufacturer for now, because... I’ve had one of their units for 2 years now and so far it’s pah-pah.    Why a nettop? Everyone decides for themselves. I wanted to have a computer based on the principle of “reasonable sufficiency” or price-quality. Actually, this is all I found in the 3610. Minimization of my workspace, speed and quietness of the computer, functionality and nice design, genuine interest from my friends and specialists in this model. )) I will not describe in detail the mass of good impressions from the purchase, I will only say one thing - the product does not linger “on the shelves” in stores, and this is a sure sign of its consumer qualities.    PS I'm not an advertising agent :-))</v>
      </c>
    </row>
    <row r="2038" spans="1:9" x14ac:dyDescent="0.3">
      <c r="A2038" s="1" t="s">
        <v>37</v>
      </c>
      <c r="B2038" s="1" t="s">
        <v>38</v>
      </c>
      <c r="C2038" s="1" t="s">
        <v>163</v>
      </c>
      <c r="D2038" s="1" t="s">
        <v>4136</v>
      </c>
      <c r="E2038" s="1" t="s">
        <v>3652</v>
      </c>
      <c r="F2038" s="1" t="s">
        <v>4137</v>
      </c>
      <c r="G2038" s="1" t="s">
        <v>36</v>
      </c>
      <c r="H2038" s="1" t="s">
        <v>29</v>
      </c>
      <c r="I2038" s="1" t="str">
        <f ca="1">IFERROR(__xludf.DUMMYFUNCTION("GOOGLETRANSLATE(F2038, ""auto"", ""en"")
"),"I've been using the phone for 3 months. I’m very pleased - an excellent phone for those who use it specifically as a phone (and not as a camera or a device for listening to music), I’ve been looking for a phone with a very large font for writing sms for a"&amp;" long time. I finally found it - the font is simply very large, the menu is very convenient, I didn’t look at the instructions at all - everything is at hand. The photographs also turn out quite good.   the most optimal model for adults who often write sm"&amp;"s and who are not very “advanced” in modern technologies. It's nice to hold it in your hand, good design.")</f>
        <v>I've been using the phone for 3 months. I’m very pleased - an excellent phone for those who use it specifically as a phone (and not as a camera or a device for listening to music), I’ve been looking for a phone with a very large font for writing sms for a long time. I finally found it - the font is simply very large, the menu is very convenient, I didn’t look at the instructions at all - everything is at hand. The photographs also turn out quite good.   the most optimal model for adults who often write sms and who are not very “advanced” in modern technologies. It's nice to hold it in your hand, good design.</v>
      </c>
    </row>
    <row r="2039" spans="1:9" x14ac:dyDescent="0.3">
      <c r="A2039" s="1" t="s">
        <v>95</v>
      </c>
      <c r="B2039" s="1" t="s">
        <v>648</v>
      </c>
      <c r="C2039" s="1" t="s">
        <v>97</v>
      </c>
      <c r="D2039" s="1" t="s">
        <v>2019</v>
      </c>
      <c r="E2039" s="1" t="s">
        <v>229</v>
      </c>
      <c r="F2039" s="1" t="s">
        <v>4138</v>
      </c>
      <c r="G2039" s="1" t="s">
        <v>36</v>
      </c>
      <c r="H2039" s="1" t="s">
        <v>29</v>
      </c>
      <c r="I2039" s="1" t="str">
        <f ca="1">IFERROR(__xludf.DUMMYFUNCTION("GOOGLETRANSLATE(F2039, ""auto"", ""en"")
"),"Tell me the number with the letter under the battery is called Data cod, it should be something like 6B. It's very necessary! Thanks in advance!""")</f>
        <v>Tell me the number with the letter under the battery is called Data cod, it should be something like 6B. It's very necessary! Thanks in advance!"</v>
      </c>
    </row>
    <row r="2040" spans="1:9" x14ac:dyDescent="0.3">
      <c r="A2040" s="1" t="s">
        <v>282</v>
      </c>
      <c r="B2040" s="1" t="s">
        <v>283</v>
      </c>
      <c r="C2040" s="1" t="s">
        <v>3419</v>
      </c>
      <c r="D2040" s="1" t="s">
        <v>1542</v>
      </c>
      <c r="E2040" s="1" t="s">
        <v>1660</v>
      </c>
      <c r="F2040" s="1" t="s">
        <v>4139</v>
      </c>
      <c r="G2040" s="1" t="s">
        <v>36</v>
      </c>
      <c r="H2040" s="1" t="s">
        <v>29</v>
      </c>
      <c r="I2040" s="1" t="str">
        <f ca="1">IFERROR(__xludf.DUMMYFUNCTION("GOOGLETRANSLATE(F2040, ""auto"", ""en"")
"),"The series is interesting. I wish they sold all seasons.")</f>
        <v>The series is interesting. I wish they sold all seasons.</v>
      </c>
    </row>
    <row r="2041" spans="1:9" x14ac:dyDescent="0.3">
      <c r="A2041" s="1" t="s">
        <v>211</v>
      </c>
      <c r="B2041" s="1" t="s">
        <v>410</v>
      </c>
      <c r="C2041" s="1" t="s">
        <v>122</v>
      </c>
      <c r="D2041" s="1" t="s">
        <v>81</v>
      </c>
      <c r="E2041" s="1" t="s">
        <v>1401</v>
      </c>
      <c r="F2041" s="1" t="s">
        <v>4140</v>
      </c>
      <c r="G2041" s="1" t="s">
        <v>28</v>
      </c>
      <c r="H2041" s="1" t="s">
        <v>29</v>
      </c>
      <c r="I2041" s="1" t="str">
        <f ca="1">IFERROR(__xludf.DUMMYFUNCTION("GOOGLETRANSLATE(F2041, ""auto"", ""en"")
"),"The razor is well assembled, the shaving quality is good, I note the excellent performance of the trimmer, plus the battery and charging indicators, so far I’m happy!")</f>
        <v>The razor is well assembled, the shaving quality is good, I note the excellent performance of the trimmer, plus the battery and charging indicators, so far I’m happy!</v>
      </c>
    </row>
    <row r="2042" spans="1:9" x14ac:dyDescent="0.3">
      <c r="A2042" s="1" t="s">
        <v>61</v>
      </c>
      <c r="B2042" s="1" t="s">
        <v>73</v>
      </c>
      <c r="C2042" s="1" t="s">
        <v>146</v>
      </c>
      <c r="D2042" s="1" t="s">
        <v>621</v>
      </c>
      <c r="E2042" s="1" t="s">
        <v>4141</v>
      </c>
      <c r="F2042" s="1" t="s">
        <v>4142</v>
      </c>
      <c r="G2042" s="1" t="s">
        <v>49</v>
      </c>
      <c r="H2042" s="1" t="s">
        <v>16</v>
      </c>
      <c r="I2042" s="1" t="str">
        <f ca="1">IFERROR(__xludf.DUMMYFUNCTION("GOOGLETRANSLATE(F2042, ""auto"", ""en"")
"),"I’ve been using a meat grinder for 4 years, I’ve never seen anything worse, it gets clogged when turning more or less fatty meat after a minute, I have to take it out and clean it, and so on all the time!!!")</f>
        <v>I’ve been using a meat grinder for 4 years, I’ve never seen anything worse, it gets clogged when turning more or less fatty meat after a minute, I have to take it out and clean it, and so on all the time!!!</v>
      </c>
    </row>
    <row r="2043" spans="1:9" x14ac:dyDescent="0.3">
      <c r="A2043" s="1" t="s">
        <v>149</v>
      </c>
      <c r="B2043" s="1" t="s">
        <v>423</v>
      </c>
      <c r="C2043" s="1" t="s">
        <v>314</v>
      </c>
      <c r="D2043" s="1" t="s">
        <v>2045</v>
      </c>
      <c r="E2043" s="1" t="s">
        <v>4143</v>
      </c>
      <c r="F2043" s="1" t="s">
        <v>4144</v>
      </c>
      <c r="G2043" s="1" t="s">
        <v>36</v>
      </c>
      <c r="H2043" s="1" t="s">
        <v>29</v>
      </c>
      <c r="I2043" s="1" t="str">
        <f ca="1">IFERROR(__xludf.DUMMYFUNCTION("GOOGLETRANSLATE(F2043, ""auto"", ""en"")
"),"An excellent helper, you can wash floors, walls, ceilings, windows, basically everything")</f>
        <v>An excellent helper, you can wash floors, walls, ceilings, windows, basically everything</v>
      </c>
    </row>
    <row r="2044" spans="1:9" x14ac:dyDescent="0.3">
      <c r="A2044" s="1" t="s">
        <v>61</v>
      </c>
      <c r="B2044" s="1" t="s">
        <v>180</v>
      </c>
      <c r="C2044" s="1" t="s">
        <v>85</v>
      </c>
      <c r="D2044" s="1" t="s">
        <v>46</v>
      </c>
      <c r="E2044" s="1" t="s">
        <v>563</v>
      </c>
      <c r="F2044" s="1" t="s">
        <v>4145</v>
      </c>
      <c r="G2044" s="1" t="s">
        <v>36</v>
      </c>
      <c r="H2044" s="1" t="s">
        <v>29</v>
      </c>
      <c r="I2044" s="1" t="str">
        <f ca="1">IFERROR(__xludf.DUMMYFUNCTION("GOOGLETRANSLATE(F2044, ""auto"", ""en"")
"),"I bought it a year ago and am very pleased!!! The toasts are so crispy and done so quickly, great! and due to the fact that it is fried on one side, amazing sandwiches are obtained, simply classy!!! In general, I express my deep gratitude to the sellers f"&amp;"or pointing me to the BORK T700 toaster, thank you!!!!!!")</f>
        <v>I bought it a year ago and am very pleased!!! The toasts are so crispy and done so quickly, great! and due to the fact that it is fried on one side, amazing sandwiches are obtained, simply classy!!! In general, I express my deep gratitude to the sellers for pointing me to the BORK T700 toaster, thank you!!!!!!</v>
      </c>
    </row>
    <row r="2045" spans="1:9" x14ac:dyDescent="0.3">
      <c r="A2045" s="1" t="s">
        <v>169</v>
      </c>
      <c r="B2045" s="1" t="s">
        <v>170</v>
      </c>
      <c r="C2045" s="1" t="s">
        <v>171</v>
      </c>
      <c r="D2045" s="1" t="s">
        <v>471</v>
      </c>
      <c r="E2045" s="1" t="s">
        <v>4146</v>
      </c>
      <c r="F2045" s="1" t="s">
        <v>4147</v>
      </c>
      <c r="G2045" s="1" t="s">
        <v>36</v>
      </c>
      <c r="H2045" s="1" t="s">
        <v>29</v>
      </c>
      <c r="I2045" s="1" t="str">
        <f ca="1">IFERROR(__xludf.DUMMYFUNCTION("GOOGLETRANSLATE(F2045, ""auto"", ""en"")
"),"very good headphones, compact, I really like the sound. If you need small, comfortable, high-quality headphones, these (in my opinion) will be just right.")</f>
        <v>very good headphones, compact, I really like the sound. If you need small, comfortable, high-quality headphones, these (in my opinion) will be just right.</v>
      </c>
    </row>
    <row r="2046" spans="1:9" x14ac:dyDescent="0.3">
      <c r="A2046" s="1" t="s">
        <v>1823</v>
      </c>
      <c r="B2046" s="1" t="s">
        <v>1824</v>
      </c>
      <c r="C2046" s="1" t="s">
        <v>4148</v>
      </c>
      <c r="D2046" s="1" t="s">
        <v>1055</v>
      </c>
      <c r="E2046" s="1" t="s">
        <v>883</v>
      </c>
      <c r="F2046" s="1" t="s">
        <v>4149</v>
      </c>
      <c r="G2046" s="1" t="s">
        <v>49</v>
      </c>
      <c r="H2046" s="1" t="s">
        <v>16</v>
      </c>
      <c r="I2046" s="1" t="str">
        <f ca="1">IFERROR(__xludf.DUMMYFUNCTION("GOOGLETRANSLATE(F2046, ""auto"", ""en"")
"),"The board instantly heats up from the iron, and the iron was not even turned on at maximum heat. The surface of the board ripples, bends, and is more difficult to iron than without it. The design is quite flimsy, unfolding and folding with difficulty. The"&amp;" board does not perform its functions at all.")</f>
        <v>The board instantly heats up from the iron, and the iron was not even turned on at maximum heat. The surface of the board ripples, bends, and is more difficult to iron than without it. The design is quite flimsy, unfolding and folding with difficulty. The board does not perform its functions at all.</v>
      </c>
    </row>
    <row r="2047" spans="1:9" x14ac:dyDescent="0.3">
      <c r="A2047" s="1" t="s">
        <v>211</v>
      </c>
      <c r="B2047" s="1" t="s">
        <v>856</v>
      </c>
      <c r="C2047" s="1" t="s">
        <v>57</v>
      </c>
      <c r="D2047" s="1" t="s">
        <v>724</v>
      </c>
      <c r="E2047" s="1" t="s">
        <v>1236</v>
      </c>
      <c r="F2047" s="1" t="s">
        <v>4150</v>
      </c>
      <c r="G2047" s="1" t="s">
        <v>36</v>
      </c>
      <c r="H2047" s="1" t="s">
        <v>29</v>
      </c>
      <c r="I2047" s="1" t="str">
        <f ca="1">IFERROR(__xludf.DUMMYFUNCTION("GOOGLETRANSLATE(F2047, ""auto"", ""en"")
"),"I really like the bath. Relieves tension from the legs and also provides excellent foot care. I've been using it for two years now and I'm happy with it.")</f>
        <v>I really like the bath. Relieves tension from the legs and also provides excellent foot care. I've been using it for two years now and I'm happy with it.</v>
      </c>
    </row>
    <row r="2048" spans="1:9" x14ac:dyDescent="0.3">
      <c r="A2048" s="1" t="s">
        <v>211</v>
      </c>
      <c r="B2048" s="1" t="s">
        <v>212</v>
      </c>
      <c r="C2048" s="1" t="s">
        <v>57</v>
      </c>
      <c r="D2048" s="1" t="s">
        <v>295</v>
      </c>
      <c r="E2048" s="1" t="s">
        <v>405</v>
      </c>
      <c r="F2048" s="1" t="s">
        <v>4151</v>
      </c>
      <c r="G2048" s="1" t="s">
        <v>28</v>
      </c>
      <c r="H2048" s="1" t="s">
        <v>29</v>
      </c>
      <c r="I2048" s="1" t="str">
        <f ca="1">IFERROR(__xludf.DUMMYFUNCTION("GOOGLETRANSLATE(F2048, ""auto"", ""en"")
"),"Um...Have you been using it for 5 and a half years??   I just burned out... I looked at the warranty. It turned out that it worked for me for exactly a year and a half.  True, I dried my hair with it every single day, and besides, my sister also dried her"&amp;" hair with it every single day))) I can say that for volume it is a very strong thing.  In general, the hair dryer burned out - long live the new hair dryer! Today I'm going for the same thing.")</f>
        <v>Um...Have you been using it for 5 and a half years??   I just burned out... I looked at the warranty. It turned out that it worked for me for exactly a year and a half.  True, I dried my hair with it every single day, and besides, my sister also dried her hair with it every single day))) I can say that for volume it is a very strong thing.  In general, the hair dryer burned out - long live the new hair dryer! Today I'm going for the same thing.</v>
      </c>
    </row>
    <row r="2049" spans="1:9" x14ac:dyDescent="0.3">
      <c r="A2049" s="1" t="s">
        <v>61</v>
      </c>
      <c r="B2049" s="1" t="s">
        <v>145</v>
      </c>
      <c r="C2049" s="1" t="s">
        <v>246</v>
      </c>
      <c r="D2049" s="1" t="s">
        <v>32</v>
      </c>
      <c r="E2049" s="1" t="s">
        <v>4152</v>
      </c>
      <c r="F2049" s="1" t="s">
        <v>4153</v>
      </c>
      <c r="G2049" s="1" t="s">
        <v>36</v>
      </c>
      <c r="H2049" s="1" t="s">
        <v>29</v>
      </c>
      <c r="I2049" s="1" t="str">
        <f ca="1">IFERROR(__xludf.DUMMYFUNCTION("GOOGLETRANSLATE(F2049, ""auto"", ""en"")
"),"I baked pancakes for my family in 5 minutes! It’s convenient to wash, it takes little time to cook, I’m very pleased, and my son is absolutely delighted with these little pancakes, he eats them better than the big ones :)")</f>
        <v>I baked pancakes for my family in 5 minutes! It’s convenient to wash, it takes little time to cook, I’m very pleased, and my son is absolutely delighted with these little pancakes, he eats them better than the big ones :)</v>
      </c>
    </row>
    <row r="2050" spans="1:9" x14ac:dyDescent="0.3">
      <c r="A2050" s="1" t="s">
        <v>61</v>
      </c>
      <c r="B2050" s="1" t="s">
        <v>62</v>
      </c>
      <c r="C2050" s="1" t="s">
        <v>146</v>
      </c>
      <c r="D2050" s="1" t="s">
        <v>12</v>
      </c>
      <c r="E2050" s="1" t="s">
        <v>2506</v>
      </c>
      <c r="F2050" s="1" t="s">
        <v>4154</v>
      </c>
      <c r="G2050" s="1" t="s">
        <v>36</v>
      </c>
      <c r="H2050" s="1" t="s">
        <v>29</v>
      </c>
      <c r="I2050" s="1" t="str">
        <f ca="1">IFERROR(__xludf.DUMMYFUNCTION("GOOGLETRANSLATE(F2050, ""auto"", ""en"")
"),"They gave it to me. I didn’t expect that I would use all the functions, I dreamed of a chopper + to have graters and shredders. But it’s so compact that we haven’t removed it from the table and have been using all the attachments every day for half a year"&amp;". Great model.")</f>
        <v>They gave it to me. I didn’t expect that I would use all the functions, I dreamed of a chopper + to have graters and shredders. But it’s so compact that we haven’t removed it from the table and have been using all the attachments every day for half a year. Great model.</v>
      </c>
    </row>
    <row r="2051" spans="1:9" x14ac:dyDescent="0.3">
      <c r="A2051" s="1" t="s">
        <v>169</v>
      </c>
      <c r="B2051" s="1" t="s">
        <v>170</v>
      </c>
      <c r="C2051" s="1" t="s">
        <v>171</v>
      </c>
      <c r="D2051" s="1" t="s">
        <v>679</v>
      </c>
      <c r="E2051" s="1" t="s">
        <v>1723</v>
      </c>
      <c r="F2051" s="1" t="s">
        <v>4155</v>
      </c>
      <c r="G2051" s="1" t="s">
        <v>36</v>
      </c>
      <c r="H2051" s="1" t="s">
        <v>29</v>
      </c>
      <c r="I2051" s="1" t="str">
        <f ca="1">IFERROR(__xludf.DUMMYFUNCTION("GOOGLETRANSLATE(F2051, ""auto"", ""en"")
"),"The headphones are super, the sound is clear, even the design is present :) In general, buy it with confidence!")</f>
        <v>The headphones are super, the sound is clear, even the design is present :) In general, buy it with confidence!</v>
      </c>
    </row>
    <row r="2052" spans="1:9" x14ac:dyDescent="0.3">
      <c r="A2052" s="1" t="s">
        <v>557</v>
      </c>
      <c r="B2052" s="1" t="s">
        <v>558</v>
      </c>
      <c r="C2052" s="1" t="s">
        <v>122</v>
      </c>
      <c r="D2052" s="1" t="s">
        <v>139</v>
      </c>
      <c r="E2052" s="1" t="s">
        <v>1856</v>
      </c>
      <c r="F2052" s="1" t="s">
        <v>4156</v>
      </c>
      <c r="G2052" s="1" t="s">
        <v>15</v>
      </c>
      <c r="H2052" s="1" t="s">
        <v>16</v>
      </c>
      <c r="I2052" s="1" t="str">
        <f ca="1">IFERROR(__xludf.DUMMYFUNCTION("GOOGLETRANSLATE(F2052, ""auto"", ""en"")
"),"The sound quality is terrible, the interlocutor is very hard to hear. The battery lasts fine, but the sound just kills.")</f>
        <v>The sound quality is terrible, the interlocutor is very hard to hear. The battery lasts fine, but the sound just kills.</v>
      </c>
    </row>
    <row r="2053" spans="1:9" x14ac:dyDescent="0.3">
      <c r="A2053" s="1" t="s">
        <v>17</v>
      </c>
      <c r="B2053" s="1" t="s">
        <v>18</v>
      </c>
      <c r="C2053" s="1" t="s">
        <v>159</v>
      </c>
      <c r="D2053" s="1" t="s">
        <v>64</v>
      </c>
      <c r="E2053" s="1" t="s">
        <v>4157</v>
      </c>
      <c r="F2053" s="1" t="s">
        <v>4158</v>
      </c>
      <c r="G2053" s="1" t="s">
        <v>36</v>
      </c>
      <c r="H2053" s="1" t="s">
        <v>29</v>
      </c>
      <c r="I2053" s="1" t="str">
        <f ca="1">IFERROR(__xludf.DUMMYFUNCTION("GOOGLETRANSLATE(F2053, ""auto"", ""en"")
"),"It’s a very good machine, I get the laundry out dry, it’s not noisy and it has all the modes. Very pleased with the purchase.")</f>
        <v>It’s a very good machine, I get the laundry out dry, it’s not noisy and it has all the modes. Very pleased with the purchase.</v>
      </c>
    </row>
    <row r="2054" spans="1:9" x14ac:dyDescent="0.3">
      <c r="A2054" s="1" t="s">
        <v>624</v>
      </c>
      <c r="B2054" s="1" t="s">
        <v>625</v>
      </c>
      <c r="C2054" s="1" t="s">
        <v>479</v>
      </c>
      <c r="D2054" s="1" t="s">
        <v>4159</v>
      </c>
      <c r="E2054" s="1" t="s">
        <v>2853</v>
      </c>
      <c r="F2054" s="1" t="s">
        <v>4160</v>
      </c>
      <c r="G2054" s="1" t="s">
        <v>36</v>
      </c>
      <c r="H2054" s="1" t="s">
        <v>29</v>
      </c>
      <c r="I2054" s="1" t="str">
        <f ca="1">IFERROR(__xludf.DUMMYFUNCTION("GOOGLETRANSLATE(F2054, ""auto"", ""en"")
"),"I will say this, for each buyer there is a product.. The game itself is quite successful for the stylistic system of the series, although they didn’t say anything about it that it was bad, all this is nonsense.  The graphics for the console are excellent."&amp;"  The controls are acceptable) and familiar to those who have already played the previous NFS games and remain the same.  Good video screensavers, also decent tuning, a lot of races and variety of cars, also new types of racing have been added.. For relax"&amp;"ation and entertainment and for a fan of the Need For Speed ​​series, as well as for a simple game.  Great game.  Enjoy your game)")</f>
        <v>I will say this, for each buyer there is a product.. The game itself is quite successful for the stylistic system of the series, although they didn’t say anything about it that it was bad, all this is nonsense.  The graphics for the console are excellent.  The controls are acceptable) and familiar to those who have already played the previous NFS games and remain the same.  Good video screensavers, also decent tuning, a lot of races and variety of cars, also new types of racing have been added.. For relaxation and entertainment and for a fan of the Need For Speed ​​series, as well as for a simple game.  Great game.  Enjoy your game)</v>
      </c>
    </row>
    <row r="2055" spans="1:9" x14ac:dyDescent="0.3">
      <c r="A2055" s="1" t="s">
        <v>624</v>
      </c>
      <c r="B2055" s="1" t="s">
        <v>625</v>
      </c>
      <c r="C2055" s="1" t="s">
        <v>479</v>
      </c>
      <c r="D2055" s="1" t="s">
        <v>4161</v>
      </c>
      <c r="E2055" s="1" t="s">
        <v>3095</v>
      </c>
      <c r="F2055" s="1" t="s">
        <v>4162</v>
      </c>
      <c r="G2055" s="1" t="s">
        <v>36</v>
      </c>
      <c r="H2055" s="1" t="s">
        <v>29</v>
      </c>
      <c r="I2055" s="1" t="str">
        <f ca="1">IFERROR(__xludf.DUMMYFUNCTION("GOOGLETRANSLATE(F2055, ""auto"", ""en"")
"),"seganvlad223, what you wrote is not true.  I can just as easily say that GTA4 is on consoles with Russian subtitles. Red Dead Redemtion has never been released with Russian subtitles. Don't mislead people!")</f>
        <v>seganvlad223, what you wrote is not true.  I can just as easily say that GTA4 is on consoles with Russian subtitles. Red Dead Redemtion has never been released with Russian subtitles. Don't mislead people!</v>
      </c>
    </row>
    <row r="2056" spans="1:9" x14ac:dyDescent="0.3">
      <c r="A2056" s="1" t="s">
        <v>477</v>
      </c>
      <c r="B2056" s="1" t="s">
        <v>478</v>
      </c>
      <c r="C2056" s="1" t="s">
        <v>479</v>
      </c>
      <c r="D2056" s="1" t="s">
        <v>4163</v>
      </c>
      <c r="E2056" s="1" t="s">
        <v>2874</v>
      </c>
      <c r="F2056" s="1" t="s">
        <v>4164</v>
      </c>
      <c r="G2056" s="1" t="s">
        <v>36</v>
      </c>
      <c r="H2056" s="1" t="s">
        <v>29</v>
      </c>
      <c r="I2056" s="1" t="str">
        <f ca="1">IFERROR(__xludf.DUMMYFUNCTION("GOOGLETRANSLATE(F2056, ""auto"", ""en"")
"),"I liked the game! We played with a friend on the grid in a special operation with Skype) All passed on the veteran)))) It’s fun to play online (there are about 30-50 thousand gamers online), in short, there will be someone to play with.  I agree with user"&amp;" “123” - regarding cheaters, that is what it is! Don't like it??? Create applications - they will be banned)) But in general, I don’t regret it. BUY!!! I RECOMMEND!!!")</f>
        <v>I liked the game! We played with a friend on the grid in a special operation with Skype) All passed on the veteran)))) It’s fun to play online (there are about 30-50 thousand gamers online), in short, there will be someone to play with.  I agree with user “123” - regarding cheaters, that is what it is! Don't like it??? Create applications - they will be banned)) But in general, I don’t regret it. BUY!!! I RECOMMEND!!!</v>
      </c>
    </row>
    <row r="2057" spans="1:9" x14ac:dyDescent="0.3">
      <c r="A2057" s="1" t="s">
        <v>37</v>
      </c>
      <c r="B2057" s="1" t="s">
        <v>38</v>
      </c>
      <c r="C2057" s="1" t="s">
        <v>151</v>
      </c>
      <c r="D2057" s="1" t="s">
        <v>247</v>
      </c>
      <c r="E2057" s="1" t="s">
        <v>386</v>
      </c>
      <c r="F2057" s="1" t="s">
        <v>4165</v>
      </c>
      <c r="G2057" s="1" t="s">
        <v>28</v>
      </c>
      <c r="H2057" s="1" t="s">
        <v>29</v>
      </c>
      <c r="I2057" s="1" t="str">
        <f ca="1">IFERROR(__xludf.DUMMYFUNCTION("GOOGLETRANSLATE(F2057, ""auto"", ""en"")
"),"I've been using the phone for 2 years. I only use it as a phone. Very convenient switching of SIM cards. Slightly large for a woman’s hand, provided that I personally don’t let it go out of my hand. When used this way, it often falls on the floor, concret"&amp;"e, or ground. Once he even flew down two flights of stairs. And nothing. Works.")</f>
        <v>I've been using the phone for 2 years. I only use it as a phone. Very convenient switching of SIM cards. Slightly large for a woman’s hand, provided that I personally don’t let it go out of my hand. When used this way, it often falls on the floor, concrete, or ground. Once he even flew down two flights of stairs. And nothing. Works.</v>
      </c>
    </row>
    <row r="2058" spans="1:9" x14ac:dyDescent="0.3">
      <c r="A2058" s="1" t="s">
        <v>149</v>
      </c>
      <c r="B2058" s="1" t="s">
        <v>423</v>
      </c>
      <c r="C2058" s="1" t="s">
        <v>548</v>
      </c>
      <c r="D2058" s="1" t="s">
        <v>2233</v>
      </c>
      <c r="E2058" s="1" t="s">
        <v>4166</v>
      </c>
      <c r="F2058" s="1" t="s">
        <v>4167</v>
      </c>
      <c r="G2058" s="1" t="s">
        <v>36</v>
      </c>
      <c r="H2058" s="1" t="s">
        <v>29</v>
      </c>
      <c r="I2058" s="1" t="str">
        <f ca="1">IFERROR(__xludf.DUMMYFUNCTION("GOOGLETRANSLATE(F2058, ""auto"", ""en"")
"),"The vacuum cleaner is just super. It washes perfectly, it took stains out of my light-colored sofa in 3 minutes! After washing, the palace became three shades lighter and brighter. It is very easy and quick to wash the parts; of course, you need to alloca"&amp;"te a separate place for it and not too small. The traction is excellent, but it depends on the amount of water poured into the container. I recommend it to anyone who wants to quickly and conveniently wash and vacuum floors. Of course, it is heavy and not"&amp;" very agile, but this is all decided by the length of the hose.")</f>
        <v>The vacuum cleaner is just super. It washes perfectly, it took stains out of my light-colored sofa in 3 minutes! After washing, the palace became three shades lighter and brighter. It is very easy and quick to wash the parts; of course, you need to allocate a separate place for it and not too small. The traction is excellent, but it depends on the amount of water poured into the container. I recommend it to anyone who wants to quickly and conveniently wash and vacuum floors. Of course, it is heavy and not very agile, but this is all decided by the length of the hose.</v>
      </c>
    </row>
    <row r="2059" spans="1:9" x14ac:dyDescent="0.3">
      <c r="A2059" s="1" t="s">
        <v>61</v>
      </c>
      <c r="B2059" s="1" t="s">
        <v>145</v>
      </c>
      <c r="C2059" s="1" t="s">
        <v>74</v>
      </c>
      <c r="D2059" s="1" t="s">
        <v>4168</v>
      </c>
      <c r="E2059" s="1" t="s">
        <v>1102</v>
      </c>
      <c r="F2059" s="1" t="s">
        <v>4169</v>
      </c>
      <c r="G2059" s="1" t="s">
        <v>36</v>
      </c>
      <c r="H2059" s="1" t="s">
        <v>29</v>
      </c>
      <c r="I2059" s="1" t="str">
        <f ca="1">IFERROR(__xludf.DUMMYFUNCTION("GOOGLETRANSLATE(F2059, ""auto"", ""en"")
"),"I really liked the yogurt maker. We made various yogurts, but I especially liked the one with baked milk 4% and the starter three tablespoons of 4% fermented baked milk, it turns out just delicious. And yet, I never measured the temperature of the device,"&amp;" and if the yogurt doesn’t work out, change either the milk or the starter.")</f>
        <v>I really liked the yogurt maker. We made various yogurts, but I especially liked the one with baked milk 4% and the starter three tablespoons of 4% fermented baked milk, it turns out just delicious. And yet, I never measured the temperature of the device, and if the yogurt doesn’t work out, change either the milk or the starter.</v>
      </c>
    </row>
    <row r="2060" spans="1:9" x14ac:dyDescent="0.3">
      <c r="A2060" s="1" t="s">
        <v>624</v>
      </c>
      <c r="B2060" s="1" t="s">
        <v>625</v>
      </c>
      <c r="C2060" s="1" t="s">
        <v>479</v>
      </c>
      <c r="D2060" s="1" t="s">
        <v>3108</v>
      </c>
      <c r="E2060" s="1" t="s">
        <v>124</v>
      </c>
      <c r="F2060" s="1" t="s">
        <v>4170</v>
      </c>
      <c r="G2060" s="1" t="s">
        <v>36</v>
      </c>
      <c r="H2060" s="1" t="s">
        <v>29</v>
      </c>
      <c r="I2060" s="1" t="str">
        <f ca="1">IFERROR(__xludf.DUMMYFUNCTION("GOOGLETRANSLATE(F2060, ""auto"", ""en"")
"),"I really liked the game.")</f>
        <v>I really liked the game.</v>
      </c>
    </row>
    <row r="2061" spans="1:9" x14ac:dyDescent="0.3">
      <c r="A2061" s="1" t="s">
        <v>61</v>
      </c>
      <c r="B2061" s="1" t="s">
        <v>318</v>
      </c>
      <c r="C2061" s="1" t="s">
        <v>85</v>
      </c>
      <c r="D2061" s="1" t="s">
        <v>152</v>
      </c>
      <c r="E2061" s="1" t="s">
        <v>4171</v>
      </c>
      <c r="F2061" s="1" t="s">
        <v>4172</v>
      </c>
      <c r="G2061" s="1" t="s">
        <v>36</v>
      </c>
      <c r="H2061" s="1" t="s">
        <v>29</v>
      </c>
      <c r="I2061" s="1" t="str">
        <f ca="1">IFERROR(__xludf.DUMMYFUNCTION("GOOGLETRANSLATE(F2061, ""auto"", ""en"")
"),"Design, boiling speed, noiselessness.")</f>
        <v>Design, boiling speed, noiselessness.</v>
      </c>
    </row>
    <row r="2062" spans="1:9" x14ac:dyDescent="0.3">
      <c r="A2062" s="1" t="s">
        <v>120</v>
      </c>
      <c r="B2062" s="1" t="s">
        <v>121</v>
      </c>
      <c r="C2062" s="1" t="s">
        <v>80</v>
      </c>
      <c r="D2062" s="1" t="s">
        <v>39</v>
      </c>
      <c r="E2062" s="1" t="s">
        <v>1852</v>
      </c>
      <c r="F2062" s="1" t="s">
        <v>4173</v>
      </c>
      <c r="G2062" s="1" t="s">
        <v>36</v>
      </c>
      <c r="H2062" s="1" t="s">
        <v>29</v>
      </c>
      <c r="I2062" s="1" t="str">
        <f ca="1">IFERROR(__xludf.DUMMYFUNCTION("GOOGLETRANSLATE(F2062, ""auto"", ""en"")
"),"I bought this TV on 07/05/2010 from M.Video. I immediately took a stabilizer, a wall bracket and an external hard drive with its own power supply for 1TB. It accepts the analog antenna well (no dish yet) compared to the LG32LH2010. The picture is good, th"&amp;"ere are a lot of settings, in short, I'm happy... I watched movies from the hard drive, while the current one is in AVI format, super!!! Today I will test in MKV format. Music, photography, everything goes with a bang, only the standard speakers for liste"&amp;"ning to music are certainly not enough, I turned on MP3 at full volume - the sound is clear... The menu couldn’t be simpler, everything is clear intuitively. I connected it to the computer via an HDMI cable simply ATAS!!!! In general, a family-friendly an"&amp;"d inexpensive TV of very good quality!")</f>
        <v>I bought this TV on 07/05/2010 from M.Video. I immediately took a stabilizer, a wall bracket and an external hard drive with its own power supply for 1TB. It accepts the analog antenna well (no dish yet) compared to the LG32LH2010. The picture is good, there are a lot of settings, in short, I'm happy... I watched movies from the hard drive, while the current one is in AVI format, super!!! Today I will test in MKV format. Music, photography, everything goes with a bang, only the standard speakers for listening to music are certainly not enough, I turned on MP3 at full volume - the sound is clear... The menu couldn’t be simpler, everything is clear intuitively. I connected it to the computer via an HDMI cable simply ATAS!!!! In general, a family-friendly and inexpensive TV of very good quality!</v>
      </c>
    </row>
    <row r="2063" spans="1:9" x14ac:dyDescent="0.3">
      <c r="A2063" s="1" t="s">
        <v>206</v>
      </c>
      <c r="B2063" s="1" t="s">
        <v>2026</v>
      </c>
      <c r="C2063" s="1" t="s">
        <v>262</v>
      </c>
      <c r="D2063" s="1" t="s">
        <v>152</v>
      </c>
      <c r="E2063" s="1" t="s">
        <v>4174</v>
      </c>
      <c r="F2063" s="1" t="s">
        <v>4175</v>
      </c>
      <c r="G2063" s="1" t="s">
        <v>15</v>
      </c>
      <c r="H2063" s="1" t="s">
        <v>16</v>
      </c>
      <c r="I2063" s="1" t="str">
        <f ca="1">IFERROR(__xludf.DUMMYFUNCTION("GOOGLETRANSLATE(F2063, ""auto"", ""en"")
"),"I have been using 3 TVs of this model and brand for 2 years now. During its operation I am already replacing the second device. The first one was under repair for 2 months (replacing the display backlight) until they issued a conclusion that repair was im"&amp;"possible. They replaced it for free in the store. The second one already bought a new one, since the warranty had expired, but not even a week had passed before the color disappeared and the buttons stopped working. I'll go change it. I would never buy su"&amp;"ch equipment, but since everything is already prepared for this model, I have to suffer, at least until the next global remodeling of the room.)))")</f>
        <v>I have been using 3 TVs of this model and brand for 2 years now. During its operation I am already replacing the second device. The first one was under repair for 2 months (replacing the display backlight) until they issued a conclusion that repair was impossible. They replaced it for free in the store. The second one already bought a new one, since the warranty had expired, but not even a week had passed before the color disappeared and the buttons stopped working. I'll go change it. I would never buy such equipment, but since everything is already prepared for this model, I have to suffer, at least until the next global remodeling of the room.)))</v>
      </c>
    </row>
    <row r="2064" spans="1:9" x14ac:dyDescent="0.3">
      <c r="A2064" s="1" t="s">
        <v>37</v>
      </c>
      <c r="B2064" s="1" t="s">
        <v>38</v>
      </c>
      <c r="C2064" s="1" t="s">
        <v>163</v>
      </c>
      <c r="D2064" s="1" t="s">
        <v>1499</v>
      </c>
      <c r="E2064" s="1" t="s">
        <v>4176</v>
      </c>
      <c r="F2064" s="1" t="s">
        <v>4177</v>
      </c>
      <c r="G2064" s="1" t="s">
        <v>28</v>
      </c>
      <c r="H2064" s="1" t="s">
        <v>29</v>
      </c>
      <c r="I2064" s="1" t="str">
        <f ca="1">IFERROR(__xludf.DUMMYFUNCTION("GOOGLETRANSLATE(F2064, ""auto"", ""en"")
"),"I've been using the phone for a little less than a year.   Advantages: 1. Durable, non-staining and scratch-resistant case.  2. Good screen, does not fade in the sun.  3. Quite a decent camera for a phone.  4. Good stable signal reception quality, confide"&amp;"ntly catches even outside the city.  Disadvantages: 1. Weak battery. At first it was enough for 4-5 days, but after about six months it was enough for 2-3 days, with moderate use (up to 10-15 minutes of calls per day, without games, SMS, etc.). In hot wea"&amp;"ther, the battery gets very hot, the phone becomes hot, even in standby mode.  2. The keys crunch from the very beginning, as if sand was scattered under them. The bottom of the joystick periodically gets stuck.  3. The keyboard itself is a bit small, and"&amp;" there are often erroneous keystrokes.  4. Quiet sound - calls cannot be heard in crowded places or in a car.")</f>
        <v>I've been using the phone for a little less than a year.   Advantages: 1. Durable, non-staining and scratch-resistant case.  2. Good screen, does not fade in the sun.  3. Quite a decent camera for a phone.  4. Good stable signal reception quality, confidently catches even outside the city.  Disadvantages: 1. Weak battery. At first it was enough for 4-5 days, but after about six months it was enough for 2-3 days, with moderate use (up to 10-15 minutes of calls per day, without games, SMS, etc.). In hot weather, the battery gets very hot, the phone becomes hot, even in standby mode.  2. The keys crunch from the very beginning, as if sand was scattered under them. The bottom of the joystick periodically gets stuck.  3. The keyboard itself is a bit small, and there are often erroneous keystrokes.  4. Quiet sound - calls cannot be heard in crowded places or in a car.</v>
      </c>
    </row>
    <row r="2065" spans="1:9" x14ac:dyDescent="0.3">
      <c r="A2065" s="1" t="s">
        <v>211</v>
      </c>
      <c r="B2065" s="1" t="s">
        <v>515</v>
      </c>
      <c r="C2065" s="1" t="s">
        <v>381</v>
      </c>
      <c r="D2065" s="1" t="s">
        <v>4178</v>
      </c>
      <c r="E2065" s="1" t="s">
        <v>1929</v>
      </c>
      <c r="F2065" s="1" t="s">
        <v>4179</v>
      </c>
      <c r="G2065" s="1" t="s">
        <v>36</v>
      </c>
      <c r="H2065" s="1" t="s">
        <v>29</v>
      </c>
      <c r="I2065" s="1" t="str">
        <f ca="1">IFERROR(__xludf.DUMMYFUNCTION("GOOGLETRANSLATE(F2065, ""auto"", ""en"")
"),"I have already been using the epilator for 1.5 years and you know, I really like it, because firstly, there are several attachments (an attachment for the armpit area, an attachment for the bikini area, a bikini trimmer head, an exfoliating roller), a fai"&amp;"rly long cord and the most important advantage is that it pulls out hair very well by the root and epilation lasts for 1-2 weeks. So, girls, I advise you to buy this particular epilator!!!! I wish you good luck!!!!))))")</f>
        <v>I have already been using the epilator for 1.5 years and you know, I really like it, because firstly, there are several attachments (an attachment for the armpit area, an attachment for the bikini area, a bikini trimmer head, an exfoliating roller), a fairly long cord and the most important advantage is that it pulls out hair very well by the root and epilation lasts for 1-2 weeks. So, girls, I advise you to buy this particular epilator!!!! I wish you good luck!!!!))))</v>
      </c>
    </row>
    <row r="2066" spans="1:9" x14ac:dyDescent="0.3">
      <c r="A2066" s="1" t="s">
        <v>43</v>
      </c>
      <c r="B2066" s="1" t="s">
        <v>1370</v>
      </c>
      <c r="C2066" s="1" t="s">
        <v>2137</v>
      </c>
      <c r="D2066" s="1" t="s">
        <v>1121</v>
      </c>
      <c r="E2066" s="1" t="s">
        <v>4180</v>
      </c>
      <c r="F2066" s="1" t="s">
        <v>4181</v>
      </c>
      <c r="G2066" s="1" t="s">
        <v>28</v>
      </c>
      <c r="H2066" s="1" t="s">
        <v>29</v>
      </c>
      <c r="I2066" s="1" t="str">
        <f ca="1">IFERROR(__xludf.DUMMYFUNCTION("GOOGLETRANSLATE(F2066, ""auto"", ""en"")
"),"The water heater is quite suitable for rinsing while the water is turned off. The outlet temperature is quite acceptable, but the pressure is quite weak. The device is connected quite simply. I didn't have to buy anything extra. The water heater must stan"&amp;"d vertically, so if you don’t want to drill into the wall, you need to think about how it can be fixed vertically in another way. When purchasing, be sure to take into account that the water heater must be grounded. To do this, you must have a grounded ou"&amp;"tlet. You can also ground the water heater from the panel.")</f>
        <v>The water heater is quite suitable for rinsing while the water is turned off. The outlet temperature is quite acceptable, but the pressure is quite weak. The device is connected quite simply. I didn't have to buy anything extra. The water heater must stand vertically, so if you don’t want to drill into the wall, you need to think about how it can be fixed vertically in another way. When purchasing, be sure to take into account that the water heater must be grounded. To do this, you must have a grounded outlet. You can also ground the water heater from the panel.</v>
      </c>
    </row>
    <row r="2067" spans="1:9" x14ac:dyDescent="0.3">
      <c r="A2067" s="1" t="s">
        <v>149</v>
      </c>
      <c r="B2067" s="1" t="s">
        <v>576</v>
      </c>
      <c r="C2067" s="1" t="s">
        <v>69</v>
      </c>
      <c r="D2067" s="1" t="s">
        <v>589</v>
      </c>
      <c r="E2067" s="1" t="s">
        <v>4182</v>
      </c>
      <c r="F2067" s="1" t="s">
        <v>4183</v>
      </c>
      <c r="G2067" s="1" t="s">
        <v>36</v>
      </c>
      <c r="H2067" s="1" t="s">
        <v>29</v>
      </c>
      <c r="I2067" s="1" t="str">
        <f ca="1">IFERROR(__xludf.DUMMYFUNCTION("GOOGLETRANSLATE(F2067, ""auto"", ""en"")
"),"The vacuum cleaner is good, only a month after the purchase the price for it increased. I wonder for what reason?)))")</f>
        <v>The vacuum cleaner is good, only a month after the purchase the price for it increased. I wonder for what reason?)))</v>
      </c>
    </row>
    <row r="2068" spans="1:9" x14ac:dyDescent="0.3">
      <c r="A2068" s="1" t="s">
        <v>120</v>
      </c>
      <c r="B2068" s="1" t="s">
        <v>121</v>
      </c>
      <c r="C2068" s="1" t="s">
        <v>151</v>
      </c>
      <c r="D2068" s="1" t="s">
        <v>139</v>
      </c>
      <c r="E2068" s="1" t="s">
        <v>4184</v>
      </c>
      <c r="F2068" s="1" t="s">
        <v>4185</v>
      </c>
      <c r="G2068" s="1" t="s">
        <v>36</v>
      </c>
      <c r="H2068" s="1" t="s">
        <v>29</v>
      </c>
      <c r="I2068" s="1" t="str">
        <f ca="1">IFERROR(__xludf.DUMMYFUNCTION("GOOGLETRANSLATE(F2068, ""auto"", ""en"")
"),"I really liked it.  Excellent image quality. Amazing functionality.    Great black colors. Insert a flash drive or external drive - watch pictures, movies, listen to music!    I was pleased with the ability to play movies in DivX and MKV formats from an e"&amp;"xternal USB drive.")</f>
        <v>I really liked it.  Excellent image quality. Amazing functionality.    Great black colors. Insert a flash drive or external drive - watch pictures, movies, listen to music!    I was pleased with the ability to play movies in DivX and MKV formats from an external USB drive.</v>
      </c>
    </row>
    <row r="2069" spans="1:9" x14ac:dyDescent="0.3">
      <c r="A2069" s="1" t="s">
        <v>811</v>
      </c>
      <c r="B2069" s="1" t="s">
        <v>812</v>
      </c>
      <c r="C2069" s="1" t="s">
        <v>813</v>
      </c>
      <c r="D2069" s="1" t="s">
        <v>695</v>
      </c>
      <c r="E2069" s="1" t="s">
        <v>3145</v>
      </c>
      <c r="F2069" s="1" t="s">
        <v>4186</v>
      </c>
      <c r="G2069" s="1" t="s">
        <v>36</v>
      </c>
      <c r="H2069" s="1" t="s">
        <v>29</v>
      </c>
      <c r="I2069" s="1" t="str">
        <f ca="1">IFERROR(__xludf.DUMMYFUNCTION("GOOGLETRANSLATE(F2069, ""auto"", ""en"")
"),"Reliable")</f>
        <v>Reliable</v>
      </c>
    </row>
    <row r="2070" spans="1:9" x14ac:dyDescent="0.3">
      <c r="A2070" s="1" t="s">
        <v>965</v>
      </c>
      <c r="B2070" s="1" t="s">
        <v>966</v>
      </c>
      <c r="C2070" s="1" t="s">
        <v>2149</v>
      </c>
      <c r="D2070" s="1" t="s">
        <v>1078</v>
      </c>
      <c r="E2070" s="1" t="s">
        <v>4187</v>
      </c>
      <c r="F2070" s="1" t="s">
        <v>4188</v>
      </c>
      <c r="G2070" s="1" t="s">
        <v>36</v>
      </c>
      <c r="H2070" s="1" t="s">
        <v>29</v>
      </c>
      <c r="I2070" s="1" t="str">
        <f ca="1">IFERROR(__xludf.DUMMYFUNCTION("GOOGLETRANSLATE(F2070, ""auto"", ""en"")
"),"I bought it 2 years ago and still love it. I recommend it to everyone!!!")</f>
        <v>I bought it 2 years ago and still love it. I recommend it to everyone!!!</v>
      </c>
    </row>
    <row r="2071" spans="1:9" x14ac:dyDescent="0.3">
      <c r="A2071" s="1" t="s">
        <v>37</v>
      </c>
      <c r="B2071" s="1" t="s">
        <v>38</v>
      </c>
      <c r="C2071" s="1" t="s">
        <v>163</v>
      </c>
      <c r="D2071" s="1" t="s">
        <v>247</v>
      </c>
      <c r="E2071" s="1" t="s">
        <v>128</v>
      </c>
      <c r="F2071" s="1" t="s">
        <v>4189</v>
      </c>
      <c r="G2071" s="1" t="s">
        <v>36</v>
      </c>
      <c r="H2071" s="1" t="s">
        <v>29</v>
      </c>
      <c r="I2071" s="1" t="str">
        <f ca="1">IFERROR(__xludf.DUMMYFUNCTION("GOOGLETRANSLATE(F2071, ""auto"", ""en"")
"),"I am very pleased with the phone, it suits me in every way and so far I have not noticed any shortcomings.")</f>
        <v>I am very pleased with the phone, it suits me in every way and so far I have not noticed any shortcomings.</v>
      </c>
    </row>
    <row r="2072" spans="1:9" x14ac:dyDescent="0.3">
      <c r="A2072" s="1" t="s">
        <v>105</v>
      </c>
      <c r="B2072" s="1" t="s">
        <v>106</v>
      </c>
      <c r="C2072" s="1" t="s">
        <v>1921</v>
      </c>
      <c r="D2072" s="1" t="s">
        <v>471</v>
      </c>
      <c r="E2072" s="1" t="s">
        <v>3730</v>
      </c>
      <c r="F2072" s="1" t="s">
        <v>4190</v>
      </c>
      <c r="G2072" s="1" t="s">
        <v>36</v>
      </c>
      <c r="H2072" s="1" t="s">
        <v>29</v>
      </c>
      <c r="I2072" s="1" t="str">
        <f ca="1">IFERROR(__xludf.DUMMYFUNCTION("GOOGLETRANSLATE(F2072, ""auto"", ""en"")
"),"I've had the player for more than six months, and I haven't had any problems with it!  The number of complaints is amazing!   1. is it buggy in the cold? People, buy a normal case and it won’t freeze or scratch anything!  2. Does it take long to charge? C"&amp;"harge not from a computer, but from a socket with a USB adapter, it costs a penny, but it charges quickly.  3. Is it running low? Read the instructions, for full operation of the player and for the battery to reach its full capacity, completely discharge "&amp;"and charge the phone 3 times.    And take into account the fact that there are defects in any product. And running to complain based on reviews is somehow not entirely reasonable.")</f>
        <v>I've had the player for more than six months, and I haven't had any problems with it!  The number of complaints is amazing!   1. is it buggy in the cold? People, buy a normal case and it won’t freeze or scratch anything!  2. Does it take long to charge? Charge not from a computer, but from a socket with a USB adapter, it costs a penny, but it charges quickly.  3. Is it running low? Read the instructions, for full operation of the player and for the battery to reach its full capacity, completely discharge and charge the phone 3 times.    And take into account the fact that there are defects in any product. And running to complain based on reviews is somehow not entirely reasonable.</v>
      </c>
    </row>
    <row r="2073" spans="1:9" x14ac:dyDescent="0.3">
      <c r="A2073" s="1" t="s">
        <v>169</v>
      </c>
      <c r="B2073" s="1" t="s">
        <v>170</v>
      </c>
      <c r="C2073" s="1" t="s">
        <v>69</v>
      </c>
      <c r="D2073" s="1" t="s">
        <v>4191</v>
      </c>
      <c r="E2073" s="1" t="s">
        <v>225</v>
      </c>
      <c r="F2073" s="1" t="s">
        <v>4192</v>
      </c>
      <c r="G2073" s="1" t="s">
        <v>28</v>
      </c>
      <c r="H2073" s="1" t="s">
        <v>29</v>
      </c>
      <c r="I2073" s="1" t="str">
        <f ca="1">IFERROR(__xludf.DUMMYFUNCTION("GOOGLETRANSLATE(F2073, ""auto"", ""en"")
"),"The headphones are excellent, the sound is high quality for the price. The only negative is that the head volume control does not hold well. There is no bass, and what kind of bass can there be for such a price. The price/quality ratio is 5+. I bought it "&amp;"for 310 rubles in DNS. There are no analogues for such money!")</f>
        <v>The headphones are excellent, the sound is high quality for the price. The only negative is that the head volume control does not hold well. There is no bass, and what kind of bass can there be for such a price. The price/quality ratio is 5+. I bought it for 310 rubles in DNS. There are no analogues for such money!</v>
      </c>
    </row>
    <row r="2074" spans="1:9" x14ac:dyDescent="0.3">
      <c r="A2074" s="1" t="s">
        <v>67</v>
      </c>
      <c r="B2074" s="1" t="s">
        <v>340</v>
      </c>
      <c r="C2074" s="1" t="s">
        <v>341</v>
      </c>
      <c r="D2074" s="1" t="s">
        <v>1055</v>
      </c>
      <c r="E2074" s="1" t="s">
        <v>1434</v>
      </c>
      <c r="F2074" s="1" t="s">
        <v>4193</v>
      </c>
      <c r="G2074" s="1" t="s">
        <v>94</v>
      </c>
      <c r="H2074" s="1" t="s">
        <v>29</v>
      </c>
      <c r="I2074" s="1" t="str">
        <f ca="1">IFERROR(__xludf.DUMMYFUNCTION("GOOGLETRANSLATE(F2074, ""auto"", ""en"")
"),"Pleasant golden appearance, 23 lines, easy to operate, 5 feet.")</f>
        <v>Pleasant golden appearance, 23 lines, easy to operate, 5 feet.</v>
      </c>
    </row>
    <row r="2075" spans="1:9" x14ac:dyDescent="0.3">
      <c r="A2075" s="1" t="s">
        <v>111</v>
      </c>
      <c r="B2075" s="1" t="s">
        <v>636</v>
      </c>
      <c r="C2075" s="1" t="s">
        <v>637</v>
      </c>
      <c r="D2075" s="1" t="s">
        <v>114</v>
      </c>
      <c r="E2075" s="1" t="s">
        <v>4194</v>
      </c>
      <c r="F2075" s="1" t="s">
        <v>4195</v>
      </c>
      <c r="G2075" s="1" t="s">
        <v>49</v>
      </c>
      <c r="H2075" s="1" t="s">
        <v>16</v>
      </c>
      <c r="I2075" s="1" t="str">
        <f ca="1">IFERROR(__xludf.DUMMYFUNCTION("GOOGLETRANSLATE(F2075, ""auto"", ""en"")
"),"The projector segments stopped working literally after half a year. I bought it solely for the projector. It's a shame for such rubbish and for such a price.")</f>
        <v>The projector segments stopped working literally after half a year. I bought it solely for the projector. It's a shame for such rubbish and for such a price.</v>
      </c>
    </row>
    <row r="2076" spans="1:9" x14ac:dyDescent="0.3">
      <c r="A2076" s="1" t="s">
        <v>55</v>
      </c>
      <c r="B2076" s="1" t="s">
        <v>184</v>
      </c>
      <c r="C2076" s="1" t="s">
        <v>101</v>
      </c>
      <c r="D2076" s="1" t="s">
        <v>474</v>
      </c>
      <c r="E2076" s="1" t="s">
        <v>4196</v>
      </c>
      <c r="F2076" s="1" t="s">
        <v>4197</v>
      </c>
      <c r="G2076" s="1" t="s">
        <v>28</v>
      </c>
      <c r="H2076" s="1" t="s">
        <v>29</v>
      </c>
      <c r="I2076" s="1" t="str">
        <f ca="1">IFERROR(__xludf.DUMMYFUNCTION("GOOGLETRANSLATE(F2076, ""auto"", ""en"")
"),"Good device. The design with a smile is simply classy. :) Yesterday I bought it for work to heat an office of 20 square meters. m. Warms well. Does not dry out the air, does not burn oxygen. After an hour of work, the office was filled with a soft, not st"&amp;"uffy warmth. Tomorrow I'll go buy a second one for the house to keep warm when there's no heating. I give it a rating of 4 because... I've been using it for a while now. The only drawback is the short wire (the problem was solved with an extension). I def"&amp;"initely recommend it.")</f>
        <v>Good device. The design with a smile is simply classy. :) Yesterday I bought it for work to heat an office of 20 square meters. m. Warms well. Does not dry out the air, does not burn oxygen. After an hour of work, the office was filled with a soft, not stuffy warmth. Tomorrow I'll go buy a second one for the house to keep warm when there's no heating. I give it a rating of 4 because... I've been using it for a while now. The only drawback is the short wire (the problem was solved with an extension). I definitely recommend it.</v>
      </c>
    </row>
    <row r="2077" spans="1:9" x14ac:dyDescent="0.3">
      <c r="A2077" s="1" t="s">
        <v>149</v>
      </c>
      <c r="B2077" s="1" t="s">
        <v>576</v>
      </c>
      <c r="C2077" s="1" t="s">
        <v>69</v>
      </c>
      <c r="D2077" s="1" t="s">
        <v>545</v>
      </c>
      <c r="E2077" s="1" t="s">
        <v>4198</v>
      </c>
      <c r="F2077" s="1" t="s">
        <v>4199</v>
      </c>
      <c r="G2077" s="1" t="s">
        <v>36</v>
      </c>
      <c r="H2077" s="1" t="s">
        <v>29</v>
      </c>
      <c r="I2077" s="1" t="str">
        <f ca="1">IFERROR(__xludf.DUMMYFUNCTION("GOOGLETRANSLATE(F2077, ""auto"", ""en"")
"),"I am very, very pleased with the vacuum cleaner! This is something! light, quiet, powerful! the price is reasonable! I really like the angle brush that comes with it!")</f>
        <v>I am very, very pleased with the vacuum cleaner! This is something! light, quiet, powerful! the price is reasonable! I really like the angle brush that comes with it!</v>
      </c>
    </row>
    <row r="2078" spans="1:9" x14ac:dyDescent="0.3">
      <c r="A2078" s="1" t="s">
        <v>37</v>
      </c>
      <c r="B2078" s="1" t="s">
        <v>355</v>
      </c>
      <c r="C2078" s="1" t="s">
        <v>356</v>
      </c>
      <c r="D2078" s="1" t="s">
        <v>471</v>
      </c>
      <c r="E2078" s="1" t="s">
        <v>3259</v>
      </c>
      <c r="F2078" s="1" t="s">
        <v>4200</v>
      </c>
      <c r="G2078" s="1" t="s">
        <v>36</v>
      </c>
      <c r="H2078" s="1" t="s">
        <v>29</v>
      </c>
      <c r="I2078" s="1" t="str">
        <f ca="1">IFERROR(__xludf.DUMMYFUNCTION("GOOGLETRANSLATE(F2078, ""auto"", ""en"")
"),"Super device, I finally found something that suits me in everything. I've been using it for 1 year now and am happy. I advise everyone to buy an iPhone and not be afraid of it, but to discover its limitless possibilities.")</f>
        <v>Super device, I finally found something that suits me in everything. I've been using it for 1 year now and am happy. I advise everyone to buy an iPhone and not be afraid of it, but to discover its limitless possibilities.</v>
      </c>
    </row>
    <row r="2079" spans="1:9" x14ac:dyDescent="0.3">
      <c r="A2079" s="1" t="s">
        <v>2087</v>
      </c>
      <c r="B2079" s="1" t="s">
        <v>2088</v>
      </c>
      <c r="C2079" s="1" t="s">
        <v>151</v>
      </c>
      <c r="D2079" s="1" t="s">
        <v>4201</v>
      </c>
      <c r="E2079" s="1" t="s">
        <v>2432</v>
      </c>
      <c r="F2079" s="1" t="s">
        <v>4202</v>
      </c>
      <c r="G2079" s="1" t="s">
        <v>36</v>
      </c>
      <c r="H2079" s="1" t="s">
        <v>29</v>
      </c>
      <c r="I2079" s="1" t="str">
        <f ca="1">IFERROR(__xludf.DUMMYFUNCTION("GOOGLETRANSLATE(F2079, ""auto"", ""en"")
"),"I recently purchased a Samsung BD-P4600 to replace a Sony Dvd (after 2 repairs) and was very pleased. It reads almost all formats (sailor suit) from flash drives and hard drives (500 Gb NTFS), it also reads photos in JPG format without problems. The price"&amp;" is certainly too high for a new model, but I think it will drop over time. The rating is 5+.")</f>
        <v>I recently purchased a Samsung BD-P4600 to replace a Sony Dvd (after 2 repairs) and was very pleased. It reads almost all formats (sailor suit) from flash drives and hard drives (500 Gb NTFS), it also reads photos in JPG format without problems. The price is certainly too high for a new model, but I think it will drop over time. The rating is 5+.</v>
      </c>
    </row>
    <row r="2080" spans="1:9" x14ac:dyDescent="0.3">
      <c r="A2080" s="1" t="s">
        <v>238</v>
      </c>
      <c r="B2080" s="1" t="s">
        <v>276</v>
      </c>
      <c r="C2080" s="1" t="s">
        <v>1677</v>
      </c>
      <c r="D2080" s="1" t="s">
        <v>139</v>
      </c>
      <c r="E2080" s="1" t="s">
        <v>4203</v>
      </c>
      <c r="F2080" s="1" t="s">
        <v>4204</v>
      </c>
      <c r="G2080" s="1" t="s">
        <v>36</v>
      </c>
      <c r="H2080" s="1" t="s">
        <v>29</v>
      </c>
      <c r="I2080" s="1" t="str">
        <f ca="1">IFERROR(__xludf.DUMMYFUNCTION("GOOGLETRANSLATE(F2080, ""auto"", ""en"")
"),"The refrigerator of this model is simply super. I've been using it for 6.5 years")</f>
        <v>The refrigerator of this model is simply super. I've been using it for 6.5 years</v>
      </c>
    </row>
    <row r="2081" spans="1:9" x14ac:dyDescent="0.3">
      <c r="A2081" s="1" t="s">
        <v>211</v>
      </c>
      <c r="B2081" s="1" t="s">
        <v>265</v>
      </c>
      <c r="C2081" s="1" t="s">
        <v>57</v>
      </c>
      <c r="D2081" s="1" t="s">
        <v>1241</v>
      </c>
      <c r="E2081" s="1" t="s">
        <v>1899</v>
      </c>
      <c r="F2081" s="1" t="s">
        <v>4205</v>
      </c>
      <c r="G2081" s="1" t="s">
        <v>15</v>
      </c>
      <c r="H2081" s="1" t="s">
        <v>16</v>
      </c>
      <c r="I2081" s="1" t="str">
        <f ca="1">IFERROR(__xludf.DUMMYFUNCTION("GOOGLETRANSLATE(F2081, ""auto"", ""en"")
"),"I do not recommend buying this product, because... The machine does not work very well - it pulls hair, the battery does not charge after half a year of operation - thanks to the M-video store, we returned it back and took a machine of a different brand.")</f>
        <v>I do not recommend buying this product, because... The machine does not work very well - it pulls hair, the battery does not charge after half a year of operation - thanks to the M-video store, we returned it back and took a machine of a different brand.</v>
      </c>
    </row>
    <row r="2082" spans="1:9" x14ac:dyDescent="0.3">
      <c r="A2082" s="1" t="s">
        <v>149</v>
      </c>
      <c r="B2082" s="1" t="s">
        <v>423</v>
      </c>
      <c r="C2082" s="1" t="s">
        <v>531</v>
      </c>
      <c r="D2082" s="1" t="s">
        <v>3273</v>
      </c>
      <c r="E2082" s="1" t="s">
        <v>4206</v>
      </c>
      <c r="F2082" s="1" t="s">
        <v>4207</v>
      </c>
      <c r="G2082" s="1" t="s">
        <v>36</v>
      </c>
      <c r="H2082" s="1" t="s">
        <v>29</v>
      </c>
      <c r="I2082" s="1" t="str">
        <f ca="1">IFERROR(__xludf.DUMMYFUNCTION("GOOGLETRANSLATE(F2082, ""auto"", ""en"")
"),"The quality fully justified all the costs for this vacuum cleaner, all cleaning modes, does not make much noise, does not take up much space during storage ")</f>
        <v xml:space="preserve">The quality fully justified all the costs for this vacuum cleaner, all cleaning modes, does not make much noise, does not take up much space during storage </v>
      </c>
    </row>
    <row r="2083" spans="1:9" x14ac:dyDescent="0.3">
      <c r="A2083" s="1" t="s">
        <v>67</v>
      </c>
      <c r="B2083" s="1" t="s">
        <v>68</v>
      </c>
      <c r="C2083" s="1" t="s">
        <v>1461</v>
      </c>
      <c r="D2083" s="1" t="s">
        <v>589</v>
      </c>
      <c r="E2083" s="1" t="s">
        <v>2484</v>
      </c>
      <c r="F2083" s="1" t="s">
        <v>4208</v>
      </c>
      <c r="G2083" s="1" t="s">
        <v>15</v>
      </c>
      <c r="H2083" s="1" t="s">
        <v>16</v>
      </c>
      <c r="I2083" s="1" t="str">
        <f ca="1">IFERROR(__xludf.DUMMYFUNCTION("GOOGLETRANSLATE(F2083, ""auto"", ""en"")
"),"I don't recommend it. This iron does not iron with or without steam. Only transfer of money and electricity. I'll go change it for another one.")</f>
        <v>I don't recommend it. This iron does not iron with or without steam. Only transfer of money and electricity. I'll go change it for another one.</v>
      </c>
    </row>
    <row r="2084" spans="1:9" x14ac:dyDescent="0.3">
      <c r="A2084" s="1" t="s">
        <v>557</v>
      </c>
      <c r="B2084" s="1" t="s">
        <v>1977</v>
      </c>
      <c r="C2084" s="1" t="s">
        <v>122</v>
      </c>
      <c r="D2084" s="1" t="s">
        <v>438</v>
      </c>
      <c r="E2084" s="1" t="s">
        <v>1912</v>
      </c>
      <c r="F2084" s="1" t="s">
        <v>4209</v>
      </c>
      <c r="G2084" s="1" t="s">
        <v>28</v>
      </c>
      <c r="H2084" s="1" t="s">
        <v>29</v>
      </c>
      <c r="I2084" s="1" t="str">
        <f ca="1">IFERROR(__xludf.DUMMYFUNCTION("GOOGLETRANSLATE(F2084, ""auto"", ""en"")
"),"A simple and convenient phone. And most importantly, it is not harmful to the person who uses it, since it does not emit any radiation like a cordless handset, which everyone loves so much now. I never use cordless phones at home, because I have read a lo"&amp;"t about their harm to the brain. This particular model reproduces the sound of voice very well. I can hear the interlocutor very well and I can also be heard well, and the sound in the handset can be adjusted in volume, just like the sound of an incoming "&amp;"call. If you need to get through, there is a redial option. In general, a very convenient phone and there is nothing superfluous in it. The only downside I can name is the white color. Although it is beautiful, it requires constant care, as it gets dirty "&amp;"quickly.")</f>
        <v>A simple and convenient phone. And most importantly, it is not harmful to the person who uses it, since it does not emit any radiation like a cordless handset, which everyone loves so much now. I never use cordless phones at home, because I have read a lot about their harm to the brain. This particular model reproduces the sound of voice very well. I can hear the interlocutor very well and I can also be heard well, and the sound in the handset can be adjusted in volume, just like the sound of an incoming call. If you need to get through, there is a redial option. In general, a very convenient phone and there is nothing superfluous in it. The only downside I can name is the white color. Although it is beautiful, it requires constant care, as it gets dirty quickly.</v>
      </c>
    </row>
    <row r="2085" spans="1:9" x14ac:dyDescent="0.3">
      <c r="A2085" s="1" t="s">
        <v>211</v>
      </c>
      <c r="B2085" s="1" t="s">
        <v>515</v>
      </c>
      <c r="C2085" s="1" t="s">
        <v>69</v>
      </c>
      <c r="D2085" s="1" t="s">
        <v>1840</v>
      </c>
      <c r="E2085" s="1" t="s">
        <v>3026</v>
      </c>
      <c r="F2085" s="1" t="s">
        <v>4210</v>
      </c>
      <c r="G2085" s="1" t="s">
        <v>36</v>
      </c>
      <c r="H2085" s="1" t="s">
        <v>29</v>
      </c>
      <c r="I2085" s="1" t="str">
        <f ca="1">IFERROR(__xludf.DUMMYFUNCTION("GOOGLETRANSLATE(F2085, ""auto"", ""en"")
"),"I recently bought the same Philips 6540 epilator as a gift for my sister. I’m not new to this business. I used to use an Epilator from Roventa, it’s simple, inexpensive, and to be honest, I wasn’t happy with it. I removed it poorly, for a long time, I’m g"&amp;"enerally silent about short hair. I often returned to shaving: a lot of time was wasted, but the quality left much to be desired! Now I am completely satisfied! It was fast, high quality, and not so painful, and my sister really liked it.")</f>
        <v>I recently bought the same Philips 6540 epilator as a gift for my sister. I’m not new to this business. I used to use an Epilator from Roventa, it’s simple, inexpensive, and to be honest, I wasn’t happy with it. I removed it poorly, for a long time, I’m generally silent about short hair. I often returned to shaving: a lot of time was wasted, but the quality left much to be desired! Now I am completely satisfied! It was fast, high quality, and not so painful, and my sister really liked it.</v>
      </c>
    </row>
    <row r="2086" spans="1:9" x14ac:dyDescent="0.3">
      <c r="A2086" s="1" t="s">
        <v>149</v>
      </c>
      <c r="B2086" s="1" t="s">
        <v>155</v>
      </c>
      <c r="C2086" s="1" t="s">
        <v>151</v>
      </c>
      <c r="D2086" s="1" t="s">
        <v>4211</v>
      </c>
      <c r="E2086" s="1" t="s">
        <v>241</v>
      </c>
      <c r="F2086" s="1" t="s">
        <v>4212</v>
      </c>
      <c r="G2086" s="1" t="s">
        <v>15</v>
      </c>
      <c r="H2086" s="1" t="s">
        <v>16</v>
      </c>
      <c r="I2086" s="1" t="str">
        <f ca="1">IFERROR(__xludf.DUMMYFUNCTION("GOOGLETRANSLATE(F2086, ""auto"", ""en"")
"),"I've been using it for about 1.8 years. Everything was just fine, but after 1.5 years it began to roar loudly. Because The warranty has expired - I took it apart (this is easy to disassemble +). The motor-fan (this is one whole non-separable unit - it is "&amp;"-) turned out to be covered in dust, which is why there was such a roar that you want to run out of the room, although the suction power is still high. It would be better if they placed the outlet filter in front of the engine, not behind it. There is no "&amp;"way to clean the engine - it is not dismountable. We throw out the vacuum cleaner and buy a new one from a different company.")</f>
        <v>I've been using it for about 1.8 years. Everything was just fine, but after 1.5 years it began to roar loudly. Because The warranty has expired - I took it apart (this is easy to disassemble +). The motor-fan (this is one whole non-separable unit - it is -) turned out to be covered in dust, which is why there was such a roar that you want to run out of the room, although the suction power is still high. It would be better if they placed the outlet filter in front of the engine, not behind it. There is no way to clean the engine - it is not dismountable. We throw out the vacuum cleaner and buy a new one from a different company.</v>
      </c>
    </row>
    <row r="2087" spans="1:9" x14ac:dyDescent="0.3">
      <c r="A2087" s="1" t="s">
        <v>169</v>
      </c>
      <c r="B2087" s="1" t="s">
        <v>170</v>
      </c>
      <c r="C2087" s="1" t="s">
        <v>171</v>
      </c>
      <c r="D2087" s="1" t="s">
        <v>52</v>
      </c>
      <c r="E2087" s="1" t="s">
        <v>3284</v>
      </c>
      <c r="F2087" s="1" t="s">
        <v>4213</v>
      </c>
      <c r="G2087" s="1" t="s">
        <v>49</v>
      </c>
      <c r="H2087" s="1" t="s">
        <v>16</v>
      </c>
      <c r="I2087" s="1" t="str">
        <f ca="1">IFERROR(__xludf.DUMMYFUNCTION("GOOGLETRANSLATE(F2087, ""auto"", ""en"")
"),"The quality is terrible, I really regret that I bought them =(((the mount is broken, the sound is bad =((")</f>
        <v>The quality is terrible, I really regret that I bought them =(((the mount is broken, the sound is bad =((</v>
      </c>
    </row>
    <row r="2088" spans="1:9" x14ac:dyDescent="0.3">
      <c r="A2088" s="1" t="s">
        <v>557</v>
      </c>
      <c r="B2088" s="1" t="s">
        <v>558</v>
      </c>
      <c r="C2088" s="1" t="s">
        <v>1921</v>
      </c>
      <c r="D2088" s="1" t="s">
        <v>4214</v>
      </c>
      <c r="E2088" s="1" t="s">
        <v>4215</v>
      </c>
      <c r="F2088" s="1" t="s">
        <v>4216</v>
      </c>
      <c r="G2088" s="1" t="s">
        <v>28</v>
      </c>
      <c r="H2088" s="1" t="s">
        <v>29</v>
      </c>
      <c r="I2088" s="1" t="str">
        <f ca="1">IFERROR(__xludf.DUMMYFUNCTION("GOOGLETRANSLATE(F2088, ""auto"", ""en"")
"),"Stylish, not quite ordinary design. Intuitive menu. Compact and beautiful glossy base.  There are no problems with the sound in the handset!  Worth the money!  I recommend it.")</f>
        <v>Stylish, not quite ordinary design. Intuitive menu. Compact and beautiful glossy base.  There are no problems with the sound in the handset!  Worth the money!  I recommend it.</v>
      </c>
    </row>
    <row r="2089" spans="1:9" x14ac:dyDescent="0.3">
      <c r="A2089" s="1" t="s">
        <v>105</v>
      </c>
      <c r="B2089" s="1" t="s">
        <v>106</v>
      </c>
      <c r="C2089" s="1" t="s">
        <v>97</v>
      </c>
      <c r="D2089" s="1" t="s">
        <v>4217</v>
      </c>
      <c r="E2089" s="1" t="s">
        <v>937</v>
      </c>
      <c r="F2089" s="1" t="s">
        <v>4218</v>
      </c>
      <c r="G2089" s="1" t="s">
        <v>28</v>
      </c>
      <c r="H2089" s="1" t="s">
        <v>29</v>
      </c>
      <c r="I2089" s="1" t="str">
        <f ca="1">IFERROR(__xludf.DUMMYFUNCTION("GOOGLETRANSLATE(F2089, ""auto"", ""en"")
"),"The player was purchased in December 2009, the headphones immediately bought other Sony ones for 2900, I’m happy with the sound quality .. but only with these headphones.  for some reason, out of the declared battery life of 44 hours, from the first days "&amp;"the charge lasts for 4-5 hours... there were glitches several times, sometimes it would freeze, sometimes it wouldn’t turn on at all... the clock was inconveniently blinking every 10 seconds for a moment... in 4 months all the inscriptions on the front pa"&amp;"nel were erased, okay, at least the buttons remained inside. Overall, the rating is 4 with a minus, I expected better from SONY.")</f>
        <v>The player was purchased in December 2009, the headphones immediately bought other Sony ones for 2900, I’m happy with the sound quality .. but only with these headphones.  for some reason, out of the declared battery life of 44 hours, from the first days the charge lasts for 4-5 hours... there were glitches several times, sometimes it would freeze, sometimes it wouldn’t turn on at all... the clock was inconveniently blinking every 10 seconds for a moment... in 4 months all the inscriptions on the front panel were erased, okay, at least the buttons remained inside. Overall, the rating is 4 with a minus, I expected better from SONY.</v>
      </c>
    </row>
    <row r="2090" spans="1:9" x14ac:dyDescent="0.3">
      <c r="A2090" s="1" t="s">
        <v>206</v>
      </c>
      <c r="B2090" s="1" t="s">
        <v>1349</v>
      </c>
      <c r="C2090" s="1" t="s">
        <v>4219</v>
      </c>
      <c r="D2090" s="1" t="s">
        <v>208</v>
      </c>
      <c r="E2090" s="1" t="s">
        <v>4220</v>
      </c>
      <c r="F2090" s="1" t="s">
        <v>4221</v>
      </c>
      <c r="G2090" s="1" t="s">
        <v>15</v>
      </c>
      <c r="H2090" s="1" t="s">
        <v>16</v>
      </c>
      <c r="I2090" s="1" t="str">
        <f ca="1">IFERROR(__xludf.DUMMYFUNCTION("GOOGLETRANSLATE(F2090, ""auto"", ""en"")
"),"32 gigs are stated, I inserted an 8G flash drive (with MP3 music) and it didn’t load, I inserted another 2 gig and it went. DVD discs - only sound, CD disc with music without problems, as for attaching the panel - it closes with a crunch. I bought it and "&amp;"installed it yesterday, and today I want to go return it or change it, I like the look and sound, the radio plays well, although the receiver is rather weak.")</f>
        <v>32 gigs are stated, I inserted an 8G flash drive (with MP3 music) and it didn’t load, I inserted another 2 gig and it went. DVD discs - only sound, CD disc with music without problems, as for attaching the panel - it closes with a crunch. I bought it and installed it yesterday, and today I want to go return it or change it, I like the look and sound, the radio plays well, although the receiver is rather weak.</v>
      </c>
    </row>
    <row r="2091" spans="1:9" x14ac:dyDescent="0.3">
      <c r="A2091" s="1" t="s">
        <v>37</v>
      </c>
      <c r="B2091" s="1" t="s">
        <v>38</v>
      </c>
      <c r="C2091" s="1" t="s">
        <v>151</v>
      </c>
      <c r="D2091" s="1" t="s">
        <v>4222</v>
      </c>
      <c r="E2091" s="1" t="s">
        <v>109</v>
      </c>
      <c r="F2091" s="1" t="s">
        <v>4223</v>
      </c>
      <c r="G2091" s="1" t="s">
        <v>36</v>
      </c>
      <c r="H2091" s="1" t="s">
        <v>29</v>
      </c>
      <c r="I2091" s="1" t="str">
        <f ca="1">IFERROR(__xludf.DUMMYFUNCTION("GOOGLETRANSLATE(F2091, ""auto"", ""en"")
"),"The phone is very good, many advantages.  loud sound, excellent graphics, and even with a 0.5 megapixel camera, the photos turn out to be very decent.")</f>
        <v>The phone is very good, many advantages.  loud sound, excellent graphics, and even with a 0.5 megapixel camera, the photos turn out to be very decent.</v>
      </c>
    </row>
    <row r="2092" spans="1:9" x14ac:dyDescent="0.3">
      <c r="A2092" s="1" t="s">
        <v>211</v>
      </c>
      <c r="B2092" s="1" t="s">
        <v>212</v>
      </c>
      <c r="C2092" s="1" t="s">
        <v>69</v>
      </c>
      <c r="D2092" s="1" t="s">
        <v>64</v>
      </c>
      <c r="E2092" s="1" t="s">
        <v>4224</v>
      </c>
      <c r="F2092" s="1" t="s">
        <v>4225</v>
      </c>
      <c r="G2092" s="1" t="s">
        <v>36</v>
      </c>
      <c r="H2092" s="1" t="s">
        <v>29</v>
      </c>
      <c r="I2092" s="1" t="str">
        <f ca="1">IFERROR(__xludf.DUMMYFUNCTION("GOOGLETRANSLATE(F2092, ""auto"", ""en"")
"),"Very good hairdryer. I have been using it for more than 7 years and have never let me down. I recommend it to everyone.")</f>
        <v>Very good hairdryer. I have been using it for more than 7 years and have never let me down. I recommend it to everyone.</v>
      </c>
    </row>
    <row r="2093" spans="1:9" x14ac:dyDescent="0.3">
      <c r="A2093" s="1" t="s">
        <v>811</v>
      </c>
      <c r="B2093" s="1" t="s">
        <v>4226</v>
      </c>
      <c r="C2093" s="1" t="s">
        <v>97</v>
      </c>
      <c r="D2093" s="1" t="s">
        <v>280</v>
      </c>
      <c r="E2093" s="1" t="s">
        <v>2919</v>
      </c>
      <c r="F2093" s="1" t="s">
        <v>413</v>
      </c>
      <c r="G2093" s="1" t="s">
        <v>36</v>
      </c>
      <c r="H2093" s="1" t="s">
        <v>29</v>
      </c>
      <c r="I2093" s="1" t="str">
        <f ca="1">IFERROR(__xludf.DUMMYFUNCTION("GOOGLETRANSLATE(F2093, ""auto"", ""en"")
"),"No")</f>
        <v>No</v>
      </c>
    </row>
    <row r="2094" spans="1:9" x14ac:dyDescent="0.3">
      <c r="A2094" s="1" t="s">
        <v>451</v>
      </c>
      <c r="B2094" s="1" t="s">
        <v>452</v>
      </c>
      <c r="C2094" s="1" t="s">
        <v>710</v>
      </c>
      <c r="D2094" s="1" t="s">
        <v>4227</v>
      </c>
      <c r="E2094" s="1" t="s">
        <v>3764</v>
      </c>
      <c r="F2094" s="1" t="s">
        <v>4228</v>
      </c>
      <c r="G2094" s="1" t="s">
        <v>36</v>
      </c>
      <c r="H2094" s="1" t="s">
        <v>29</v>
      </c>
      <c r="I2094" s="1" t="str">
        <f ca="1">IFERROR(__xludf.DUMMYFUNCTION("GOOGLETRANSLATE(F2094, ""auto"", ""en"")
"),"I use a meat grinder from Bork, and to be honest, I was not at all happy with the internally built-in knife. Lately, he actually started to work worse, I looked at his shape, looked for other models of knives on the Internet, I realized that this was the "&amp;"problem, and he simply stepped during this time. I came to you, said the model of the meat grinder, they told me that this model from Zumman would be suitable. The price turned out to be very favorable, I decided to try it, and besides, in terms of its fo"&amp;"rm, this knife really looked like a chopping knife. It installed on my meat grinder without any difficulty at all, as if this knife was not from Zumman, but from Bork directly. I'm happy with the result - this knife really works much better than my previo"&amp;"us one. It turns out to be easy to get the necessary minced meat.")</f>
        <v>I use a meat grinder from Bork, and to be honest, I was not at all happy with the internally built-in knife. Lately, he actually started to work worse, I looked at his shape, looked for other models of knives on the Internet, I realized that this was the problem, and he simply stepped during this time. I came to you, said the model of the meat grinder, they told me that this model from Zumman would be suitable. The price turned out to be very favorable, I decided to try it, and besides, in terms of its form, this knife really looked like a chopping knife. It installed on my meat grinder without any difficulty at all, as if this knife was not from Zumman, but from Bork directly. I'm happy with the result - this knife really works much better than my previous one. It turns out to be easy to get the necessary minced meat.</v>
      </c>
    </row>
    <row r="2095" spans="1:9" x14ac:dyDescent="0.3">
      <c r="A2095" s="1" t="s">
        <v>30</v>
      </c>
      <c r="B2095" s="1" t="s">
        <v>31</v>
      </c>
      <c r="C2095" s="1" t="s">
        <v>365</v>
      </c>
      <c r="D2095" s="1" t="s">
        <v>232</v>
      </c>
      <c r="E2095" s="1" t="s">
        <v>822</v>
      </c>
      <c r="F2095" s="1" t="s">
        <v>4229</v>
      </c>
      <c r="G2095" s="1" t="s">
        <v>36</v>
      </c>
      <c r="H2095" s="1" t="s">
        <v>29</v>
      </c>
      <c r="I2095" s="1" t="str">
        <f ca="1">IFERROR(__xludf.DUMMYFUNCTION("GOOGLETRANSLATE(F2095, ""auto"", ""en"")
"),"A good computer for the office with the OS already installed.")</f>
        <v>A good computer for the office with the OS already installed.</v>
      </c>
    </row>
    <row r="2096" spans="1:9" x14ac:dyDescent="0.3">
      <c r="A2096" s="1" t="s">
        <v>37</v>
      </c>
      <c r="B2096" s="1" t="s">
        <v>38</v>
      </c>
      <c r="C2096" s="1" t="s">
        <v>163</v>
      </c>
      <c r="D2096" s="1" t="s">
        <v>295</v>
      </c>
      <c r="E2096" s="1" t="s">
        <v>1463</v>
      </c>
      <c r="F2096" s="1" t="s">
        <v>4230</v>
      </c>
      <c r="G2096" s="1" t="s">
        <v>28</v>
      </c>
      <c r="H2096" s="1" t="s">
        <v>29</v>
      </c>
      <c r="I2096" s="1" t="str">
        <f ca="1">IFERROR(__xludf.DUMMYFUNCTION("GOOGLETRANSLATE(F2096, ""auto"", ""en"")
"),"The phone is good, it plays very loudly, you can hear it even in a very noisy room. The radio is easy to control, and the phone is generally easy to use. Graceful shape, just for young girls.  Of course, there is a minus, it takes a long time to turn on a"&amp;"nd sometimes it slows down a lot. For the rest I am completely satisfied.  My rating is 4 out of 5.")</f>
        <v>The phone is good, it plays very loudly, you can hear it even in a very noisy room. The radio is easy to control, and the phone is generally easy to use. Graceful shape, just for young girls.  Of course, there is a minus, it takes a long time to turn on and sometimes it slows down a lot. For the rest I am completely satisfied.  My rating is 4 out of 5.</v>
      </c>
    </row>
    <row r="2097" spans="1:9" x14ac:dyDescent="0.3">
      <c r="A2097" s="1" t="s">
        <v>61</v>
      </c>
      <c r="B2097" s="1" t="s">
        <v>180</v>
      </c>
      <c r="C2097" s="1" t="s">
        <v>74</v>
      </c>
      <c r="D2097" s="1" t="s">
        <v>1890</v>
      </c>
      <c r="E2097" s="1" t="s">
        <v>4231</v>
      </c>
      <c r="F2097" s="1" t="s">
        <v>4232</v>
      </c>
      <c r="G2097" s="1" t="s">
        <v>36</v>
      </c>
      <c r="H2097" s="1" t="s">
        <v>29</v>
      </c>
      <c r="I2097" s="1" t="str">
        <f ca="1">IFERROR(__xludf.DUMMYFUNCTION("GOOGLETRANSLATE(F2097, ""auto"", ""en"")
"),"I have been using this toaster for 10 years and I use it every day, my children love sausage sandwiches with cheese. I sometimes make crackers with it. I also use it as a grill when I make a pita burrito. I can heat up sausages and even fry cheese or eggs"&amp;".")</f>
        <v>I have been using this toaster for 10 years and I use it every day, my children love sausage sandwiches with cheese. I sometimes make crackers with it. I also use it as a grill when I make a pita burrito. I can heat up sausages and even fry cheese or eggs.</v>
      </c>
    </row>
    <row r="2098" spans="1:9" x14ac:dyDescent="0.3">
      <c r="A2098" s="1" t="s">
        <v>369</v>
      </c>
      <c r="B2098" s="1" t="s">
        <v>370</v>
      </c>
      <c r="C2098" s="1" t="s">
        <v>159</v>
      </c>
      <c r="D2098" s="1" t="s">
        <v>232</v>
      </c>
      <c r="E2098" s="1" t="s">
        <v>2333</v>
      </c>
      <c r="F2098" s="1" t="s">
        <v>4233</v>
      </c>
      <c r="G2098" s="1" t="s">
        <v>36</v>
      </c>
      <c r="H2098" s="1" t="s">
        <v>29</v>
      </c>
      <c r="I2098" s="1" t="str">
        <f ca="1">IFERROR(__xludf.DUMMYFUNCTION("GOOGLETRANSLATE(F2098, ""auto"", ""en"")
"),"Cook for six months.  The electronic timer can only control the oven, but not the burners - this is not clearly described in the instructions.  There are two modes: 1. turn off “after xx hours yy minutes” and 2. turn off “at xx hours yy minutes” (we don’t"&amp;" use the last mode) You cannot set the start time for cooking using the timer.  + compared to cheaper stoves: quick heating of the burners, a large selection of heating elements in the oven (4), fan, oven bakes evenly. The oven controls are to the right o"&amp;"f the indicator, and the burners are on the left, which reduces confusion compared to stoves that have all the knobs in a continuous row.  - in comparison with more expensive ones (Goreniya 278): the oven is not “steamed”; the Burning 278 has even more co"&amp;"nveniently divided handles into zones.")</f>
        <v>Cook for six months.  The electronic timer can only control the oven, but not the burners - this is not clearly described in the instructions.  There are two modes: 1. turn off “after xx hours yy minutes” and 2. turn off “at xx hours yy minutes” (we don’t use the last mode) You cannot set the start time for cooking using the timer.  + compared to cheaper stoves: quick heating of the burners, a large selection of heating elements in the oven (4), fan, oven bakes evenly. The oven controls are to the right of the indicator, and the burners are on the left, which reduces confusion compared to stoves that have all the knobs in a continuous row.  - in comparison with more expensive ones (Goreniya 278): the oven is not “steamed”; the Burning 278 has even more conveniently divided handles into zones.</v>
      </c>
    </row>
    <row r="2099" spans="1:9" x14ac:dyDescent="0.3">
      <c r="A2099" s="1" t="s">
        <v>169</v>
      </c>
      <c r="B2099" s="1" t="s">
        <v>170</v>
      </c>
      <c r="C2099" s="1" t="s">
        <v>193</v>
      </c>
      <c r="D2099" s="1" t="s">
        <v>729</v>
      </c>
      <c r="E2099" s="1" t="s">
        <v>415</v>
      </c>
      <c r="F2099" s="1" t="s">
        <v>4234</v>
      </c>
      <c r="G2099" s="1" t="s">
        <v>36</v>
      </c>
      <c r="H2099" s="1" t="s">
        <v>29</v>
      </c>
      <c r="I2099" s="1" t="str">
        <f ca="1">IFERROR(__xludf.DUMMYFUNCTION("GOOGLETRANSLATE(F2099, ""auto"", ""en"")
"),"Of the ears that were in the store, the sound is of the highest quality. The sound is detailed, the bass is soft and deep.  Price:( otherwise I would definitely buy it.")</f>
        <v>Of the ears that were in the store, the sound is of the highest quality. The sound is detailed, the bass is soft and deep.  Price:( otherwise I would definitely buy it.</v>
      </c>
    </row>
    <row r="2100" spans="1:9" x14ac:dyDescent="0.3">
      <c r="A2100" s="1" t="s">
        <v>557</v>
      </c>
      <c r="B2100" s="1" t="s">
        <v>558</v>
      </c>
      <c r="C2100" s="1" t="s">
        <v>122</v>
      </c>
      <c r="D2100" s="1" t="s">
        <v>940</v>
      </c>
      <c r="E2100" s="1" t="s">
        <v>4235</v>
      </c>
      <c r="F2100" s="1" t="s">
        <v>4236</v>
      </c>
      <c r="G2100" s="1" t="s">
        <v>36</v>
      </c>
      <c r="H2100" s="1" t="s">
        <v>29</v>
      </c>
      <c r="I2100" s="1" t="str">
        <f ca="1">IFERROR(__xludf.DUMMYFUNCTION("GOOGLETRANSLATE(F2100, ""auto"", ""en"")
"),"I've been using this phone for about 2 years now. Has proven himself to be excellent. It doesn’t break, I almost dipped it in the pool - the screen went out, dried it with a hairdryer. a day later everything appeared but was blinking, a day later and for "&amp;"a month everything has been working perfectly. Keeps the distance to the base perfectly. I walk around the entire area for about 20 meters. The speakerphone is also loud and clear. Both microphones and speakers are set up Excellent.  Overall I recommend i"&amp;"t. Only one minus - now the price has risen.")</f>
        <v>I've been using this phone for about 2 years now. Has proven himself to be excellent. It doesn’t break, I almost dipped it in the pool - the screen went out, dried it with a hairdryer. a day later everything appeared but was blinking, a day later and for a month everything has been working perfectly. Keeps the distance to the base perfectly. I walk around the entire area for about 20 meters. The speakerphone is also loud and clear. Both microphones and speakers are set up Excellent.  Overall I recommend it. Only one minus - now the price has risen.</v>
      </c>
    </row>
    <row r="2101" spans="1:9" x14ac:dyDescent="0.3">
      <c r="A2101" s="1" t="s">
        <v>67</v>
      </c>
      <c r="B2101" s="1" t="s">
        <v>68</v>
      </c>
      <c r="C2101" s="1" t="s">
        <v>381</v>
      </c>
      <c r="D2101" s="1" t="s">
        <v>1042</v>
      </c>
      <c r="E2101" s="1" t="s">
        <v>836</v>
      </c>
      <c r="F2101" s="1" t="s">
        <v>4237</v>
      </c>
      <c r="G2101" s="1" t="s">
        <v>36</v>
      </c>
      <c r="H2101" s="1" t="s">
        <v>29</v>
      </c>
      <c r="I2101" s="1" t="str">
        <f ca="1">IFERROR(__xludf.DUMMYFUNCTION("GOOGLETRANSLATE(F2101, ""auto"", ""en"")
"),"We bought an iron last year to go on vacation. The iron is just super! There are no complaints about ironing. The most interesting thing is that we are now using it instead of the usual one and are very pleased. I recommend it.")</f>
        <v>We bought an iron last year to go on vacation. The iron is just super! There are no complaints about ironing. The most interesting thing is that we are now using it instead of the usual one and are very pleased. I recommend it.</v>
      </c>
    </row>
    <row r="2102" spans="1:9" x14ac:dyDescent="0.3">
      <c r="A2102" s="1" t="s">
        <v>17</v>
      </c>
      <c r="B2102" s="1" t="s">
        <v>18</v>
      </c>
      <c r="C2102" s="1" t="s">
        <v>243</v>
      </c>
      <c r="D2102" s="1" t="s">
        <v>411</v>
      </c>
      <c r="E2102" s="1" t="s">
        <v>2611</v>
      </c>
      <c r="F2102" s="1" t="s">
        <v>4238</v>
      </c>
      <c r="G2102" s="1" t="s">
        <v>28</v>
      </c>
      <c r="H2102" s="1" t="s">
        <v>29</v>
      </c>
      <c r="I2102" s="1" t="str">
        <f ca="1">IFERROR(__xludf.DUMMYFUNCTION("GOOGLETRANSLATE(F2102, ""auto"", ""en"")
"),"In my opinion, this machine saves water too much. After washing, I have to rinse the clothes again, but maybe I just don’t know how to handle it, because... I bought it recently.  I like the big drum.")</f>
        <v>In my opinion, this machine saves water too much. After washing, I have to rinse the clothes again, but maybe I just don’t know how to handle it, because... I bought it recently.  I like the big drum.</v>
      </c>
    </row>
    <row r="2103" spans="1:9" x14ac:dyDescent="0.3">
      <c r="A2103" s="1" t="s">
        <v>519</v>
      </c>
      <c r="B2103" s="1" t="s">
        <v>3340</v>
      </c>
      <c r="C2103" s="1" t="s">
        <v>3571</v>
      </c>
      <c r="D2103" s="1" t="s">
        <v>4239</v>
      </c>
      <c r="E2103" s="1" t="s">
        <v>4240</v>
      </c>
      <c r="F2103" s="1" t="s">
        <v>4241</v>
      </c>
      <c r="G2103" s="1" t="s">
        <v>36</v>
      </c>
      <c r="H2103" s="1" t="s">
        <v>29</v>
      </c>
      <c r="I2103" s="1" t="str">
        <f ca="1">IFERROR(__xludf.DUMMYFUNCTION("GOOGLETRANSLATE(F2103, ""auto"", ""en"")
"),"Stylish design. Good coverage. Light weight. Comfortable handle. It is perfect for cooking porridge.")</f>
        <v>Stylish design. Good coverage. Light weight. Comfortable handle. It is perfect for cooking porridge.</v>
      </c>
    </row>
    <row r="2104" spans="1:9" x14ac:dyDescent="0.3">
      <c r="A2104" s="1" t="s">
        <v>9</v>
      </c>
      <c r="B2104" s="1" t="s">
        <v>4242</v>
      </c>
      <c r="C2104" s="1" t="s">
        <v>63</v>
      </c>
      <c r="D2104" s="1" t="s">
        <v>474</v>
      </c>
      <c r="E2104" s="1" t="s">
        <v>654</v>
      </c>
      <c r="F2104" s="1" t="s">
        <v>4243</v>
      </c>
      <c r="G2104" s="1" t="s">
        <v>36</v>
      </c>
      <c r="H2104" s="1" t="s">
        <v>29</v>
      </c>
      <c r="I2104" s="1" t="str">
        <f ca="1">IFERROR(__xludf.DUMMYFUNCTION("GOOGLETRANSLATE(F2104, ""auto"", ""en"")
"),"In fact, this model is not installed in the kitchen section, but between them, in a 60cm niche on its own legs. Only the kitchen front needs to be ordered.")</f>
        <v>In fact, this model is not installed in the kitchen section, but between them, in a 60cm niche on its own legs. Only the kitchen front needs to be ordered.</v>
      </c>
    </row>
    <row r="2105" spans="1:9" x14ac:dyDescent="0.3">
      <c r="A2105" s="1" t="s">
        <v>105</v>
      </c>
      <c r="B2105" s="1" t="s">
        <v>106</v>
      </c>
      <c r="C2105" s="1" t="s">
        <v>97</v>
      </c>
      <c r="D2105" s="1" t="s">
        <v>4244</v>
      </c>
      <c r="E2105" s="1" t="s">
        <v>4245</v>
      </c>
      <c r="F2105" s="1" t="s">
        <v>4246</v>
      </c>
      <c r="G2105" s="1" t="s">
        <v>28</v>
      </c>
      <c r="H2105" s="1" t="s">
        <v>29</v>
      </c>
      <c r="I2105" s="1" t="str">
        <f ca="1">IFERROR(__xludf.DUMMYFUNCTION("GOOGLETRANSLATE(F2105, ""auto"", ""en"")
"),"The player is excellent, the sound is super, it writes from the radio in good quality. Overall a positive experience. There is only one moment. Maybe someone can tell me? How to upload text files, in what format, .txt refuses to even be written, I tried o"&amp;"thers, the same garbage. Thanks in advance for the advice)")</f>
        <v>The player is excellent, the sound is super, it writes from the radio in good quality. Overall a positive experience. There is only one moment. Maybe someone can tell me? How to upload text files, in what format, .txt refuses to even be written, I tried others, the same garbage. Thanks in advance for the advice)</v>
      </c>
    </row>
    <row r="2106" spans="1:9" x14ac:dyDescent="0.3">
      <c r="A2106" s="1" t="s">
        <v>149</v>
      </c>
      <c r="B2106" s="1" t="s">
        <v>576</v>
      </c>
      <c r="C2106" s="1" t="s">
        <v>80</v>
      </c>
      <c r="D2106" s="1" t="s">
        <v>64</v>
      </c>
      <c r="E2106" s="1" t="s">
        <v>3673</v>
      </c>
      <c r="F2106" s="1" t="s">
        <v>4247</v>
      </c>
      <c r="G2106" s="1" t="s">
        <v>36</v>
      </c>
      <c r="H2106" s="1" t="s">
        <v>29</v>
      </c>
      <c r="I2106" s="1" t="str">
        <f ca="1">IFERROR(__xludf.DUMMYFUNCTION("GOOGLETRANSLATE(F2106, ""auto"", ""en"")
"),"Very cool vacuum cleaner.  With a turbo brush, high power... Overall, I am very pleased with the purchase.")</f>
        <v>Very cool vacuum cleaner.  With a turbo brush, high power... Overall, I am very pleased with the purchase.</v>
      </c>
    </row>
    <row r="2107" spans="1:9" x14ac:dyDescent="0.3">
      <c r="A2107" s="1" t="s">
        <v>9</v>
      </c>
      <c r="B2107" s="1" t="s">
        <v>137</v>
      </c>
      <c r="C2107" s="1" t="s">
        <v>151</v>
      </c>
      <c r="D2107" s="1" t="s">
        <v>64</v>
      </c>
      <c r="E2107" s="1" t="s">
        <v>4248</v>
      </c>
      <c r="F2107" s="1" t="s">
        <v>4249</v>
      </c>
      <c r="G2107" s="1" t="s">
        <v>49</v>
      </c>
      <c r="H2107" s="1" t="s">
        <v>16</v>
      </c>
      <c r="I2107" s="1" t="str">
        <f ca="1">IFERROR(__xludf.DUMMYFUNCTION("GOOGLETRANSLATE(F2107, ""auto"", ""en"")
"),"Bad! We bought the panel in July last year, and started using it in the fall, since we finished renovations and moved, and even now we don’t cook so often. Immediately after the first use, stains began to appear on the burners; today the entire hob looks "&amp;"like a giraffe. The service center shrugs, because... According to the receipt, a lot of time has passed since the date of purchase, for them this is a purely cosmetic defect! and the SC said that Samsung is famous for its quality hobs.")</f>
        <v>Bad! We bought the panel in July last year, and started using it in the fall, since we finished renovations and moved, and even now we don’t cook so often. Immediately after the first use, stains began to appear on the burners; today the entire hob looks like a giraffe. The service center shrugs, because... According to the receipt, a lot of time has passed since the date of purchase, for them this is a purely cosmetic defect! and the SC said that Samsung is famous for its quality hobs.</v>
      </c>
    </row>
    <row r="2108" spans="1:9" x14ac:dyDescent="0.3">
      <c r="A2108" s="1" t="s">
        <v>30</v>
      </c>
      <c r="B2108" s="1" t="s">
        <v>50</v>
      </c>
      <c r="C2108" s="1" t="s">
        <v>51</v>
      </c>
      <c r="D2108" s="1" t="s">
        <v>305</v>
      </c>
      <c r="E2108" s="1" t="s">
        <v>903</v>
      </c>
      <c r="F2108" s="1" t="s">
        <v>4250</v>
      </c>
      <c r="G2108" s="1" t="s">
        <v>36</v>
      </c>
      <c r="H2108" s="1" t="s">
        <v>29</v>
      </c>
      <c r="I2108" s="1" t="str">
        <f ca="1">IFERROR(__xludf.DUMMYFUNCTION("GOOGLETRANSLATE(F2108, ""auto"", ""en"")
"),"I bought the device....just brilliant for the money and the configuration is amazing...get it while you can")</f>
        <v>I bought the device....just brilliant for the money and the configuration is amazing...get it while you can</v>
      </c>
    </row>
    <row r="2109" spans="1:9" x14ac:dyDescent="0.3">
      <c r="A2109" s="1" t="s">
        <v>211</v>
      </c>
      <c r="B2109" s="1" t="s">
        <v>212</v>
      </c>
      <c r="C2109" s="1" t="s">
        <v>69</v>
      </c>
      <c r="D2109" s="1" t="s">
        <v>474</v>
      </c>
      <c r="E2109" s="1" t="s">
        <v>4251</v>
      </c>
      <c r="F2109" s="1" t="s">
        <v>4252</v>
      </c>
      <c r="G2109" s="1" t="s">
        <v>28</v>
      </c>
      <c r="H2109" s="1" t="s">
        <v>29</v>
      </c>
      <c r="I2109" s="1" t="str">
        <f ca="1">IFERROR(__xludf.DUMMYFUNCTION("GOOGLETRANSLATE(F2109, ""auto"", ""en"")
"),"I am very pleased with this gift! Lots of curlers, different shapes! Heats up quickly, you don't have to wait long for a good effect. The downside is the hairpins; for a medium size these pins are very uncomfortable. They don’t hold well, if they can be s"&amp;"ecured at all. I solved the problem by buying cheap curlers with such hairpins and clips (I threw the curlers away and left the hairpins). Small curlers hold on even with the original hairpins. In general, it’s very convenient! Quickly making beautiful cu"&amp;"rls is now not so problematic)")</f>
        <v>I am very pleased with this gift! Lots of curlers, different shapes! Heats up quickly, you don't have to wait long for a good effect. The downside is the hairpins; for a medium size these pins are very uncomfortable. They don’t hold well, if they can be secured at all. I solved the problem by buying cheap curlers with such hairpins and clips (I threw the curlers away and left the hairpins). Small curlers hold on even with the original hairpins. In general, it’s very convenient! Quickly making beautiful curls is now not so problematic)</v>
      </c>
    </row>
    <row r="2110" spans="1:9" x14ac:dyDescent="0.3">
      <c r="A2110" s="1" t="s">
        <v>169</v>
      </c>
      <c r="B2110" s="1" t="s">
        <v>170</v>
      </c>
      <c r="C2110" s="1" t="s">
        <v>97</v>
      </c>
      <c r="D2110" s="1" t="s">
        <v>875</v>
      </c>
      <c r="E2110" s="1" t="s">
        <v>994</v>
      </c>
      <c r="F2110" s="1" t="s">
        <v>4253</v>
      </c>
      <c r="G2110" s="1" t="s">
        <v>28</v>
      </c>
      <c r="H2110" s="1" t="s">
        <v>29</v>
      </c>
      <c r="I2110" s="1" t="str">
        <f ca="1">IFERROR(__xludf.DUMMYFUNCTION("GOOGLETRANSLATE(F2110, ""auto"", ""en"")
"),"Normal headphones, the sound is good and the bass is not bad. The reviews wrote that the wire does not get tangled, for me it gets tangled, but it’s not a big deal :) Anyone who wants to buy it, buy it, you won’t regret it.")</f>
        <v>Normal headphones, the sound is good and the bass is not bad. The reviews wrote that the wire does not get tangled, for me it gets tangled, but it’s not a big deal :) Anyone who wants to buy it, buy it, you won’t regret it.</v>
      </c>
    </row>
    <row r="2111" spans="1:9" x14ac:dyDescent="0.3">
      <c r="A2111" s="1" t="s">
        <v>211</v>
      </c>
      <c r="B2111" s="1" t="s">
        <v>265</v>
      </c>
      <c r="C2111" s="1" t="s">
        <v>122</v>
      </c>
      <c r="D2111" s="1" t="s">
        <v>742</v>
      </c>
      <c r="E2111" s="1" t="s">
        <v>1448</v>
      </c>
      <c r="F2111" s="1" t="s">
        <v>4254</v>
      </c>
      <c r="G2111" s="1" t="s">
        <v>36</v>
      </c>
      <c r="H2111" s="1" t="s">
        <v>29</v>
      </c>
      <c r="I2111" s="1" t="str">
        <f ca="1">IFERROR(__xludf.DUMMYFUNCTION("GOOGLETRANSLATE(F2111, ""auto"", ""en"")
"),"Good trimmer, I've been using it for 3 years now.")</f>
        <v>Good trimmer, I've been using it for 3 years now.</v>
      </c>
    </row>
    <row r="2112" spans="1:9" x14ac:dyDescent="0.3">
      <c r="A2112" s="1" t="s">
        <v>67</v>
      </c>
      <c r="B2112" s="1" t="s">
        <v>340</v>
      </c>
      <c r="C2112" s="1" t="s">
        <v>341</v>
      </c>
      <c r="D2112" s="1" t="s">
        <v>295</v>
      </c>
      <c r="E2112" s="1" t="s">
        <v>1046</v>
      </c>
      <c r="F2112" s="1" t="s">
        <v>4255</v>
      </c>
      <c r="G2112" s="1" t="s">
        <v>49</v>
      </c>
      <c r="H2112" s="1" t="s">
        <v>16</v>
      </c>
      <c r="I2112" s="1" t="str">
        <f ca="1">IFERROR(__xludf.DUMMYFUNCTION("GOOGLETRANSLATE(F2112, ""auto"", ""en"")
"),"Shew has been wanting a good sewing machine for a long time. My husband gave me a gift for the New Year, at first I couldn’t be happier, but then it started... the pin on the plug fell through, then while winding the thread onto the bobbin, the needle sto"&amp;"pped locking and eventually the upper thread stopped grabbing the lower one. I was left with three children and without a car, and we don’t have a service center in our city, that’s such a sad story.")</f>
        <v>Shew has been wanting a good sewing machine for a long time. My husband gave me a gift for the New Year, at first I couldn’t be happier, but then it started... the pin on the plug fell through, then while winding the thread onto the bobbin, the needle stopped locking and eventually the upper thread stopped grabbing the lower one. I was left with three children and without a car, and we don’t have a service center in our city, that’s such a sad story.</v>
      </c>
    </row>
    <row r="2113" spans="1:9" x14ac:dyDescent="0.3">
      <c r="A2113" s="1" t="s">
        <v>206</v>
      </c>
      <c r="B2113" s="1" t="s">
        <v>207</v>
      </c>
      <c r="C2113" s="1" t="s">
        <v>97</v>
      </c>
      <c r="D2113" s="1" t="s">
        <v>1851</v>
      </c>
      <c r="E2113" s="1" t="s">
        <v>932</v>
      </c>
      <c r="F2113" s="1" t="s">
        <v>4256</v>
      </c>
      <c r="G2113" s="1" t="s">
        <v>36</v>
      </c>
      <c r="H2113" s="1" t="s">
        <v>29</v>
      </c>
      <c r="I2113" s="1" t="str">
        <f ca="1">IFERROR(__xludf.DUMMYFUNCTION("GOOGLETRANSLATE(F2113, ""auto"", ""en"")
"),"Take the awesome sub, you won’t regret it, I installed the DLS x-D11 with an amp, it’s just a bomb, the business class sedan pumps amazingly, it works 60 percent, just don’t regret it with the amp!!!")</f>
        <v>Take the awesome sub, you won’t regret it, I installed the DLS x-D11 with an amp, it’s just a bomb, the business class sedan pumps amazingly, it works 60 percent, just don’t regret it with the amp!!!</v>
      </c>
    </row>
    <row r="2114" spans="1:9" x14ac:dyDescent="0.3">
      <c r="A2114" s="1" t="s">
        <v>30</v>
      </c>
      <c r="B2114" s="1" t="s">
        <v>50</v>
      </c>
      <c r="C2114" s="1" t="s">
        <v>189</v>
      </c>
      <c r="D2114" s="1" t="s">
        <v>305</v>
      </c>
      <c r="E2114" s="1" t="s">
        <v>1037</v>
      </c>
      <c r="F2114" s="1" t="s">
        <v>4257</v>
      </c>
      <c r="G2114" s="1" t="s">
        <v>15</v>
      </c>
      <c r="H2114" s="1" t="s">
        <v>16</v>
      </c>
      <c r="I2114" s="1" t="str">
        <f ca="1">IFERROR(__xludf.DUMMYFUNCTION("GOOGLETRANSLATE(F2114, ""auto"", ""en"")
"),"I bought a beech ASUS K52J, it worked fine for 2 weeks, then a nasty squeak appeared, the service technician said it was normal. In silence, the high-frequency squeak is very annoying. The impressions of an expensive purchase were completely ruined.")</f>
        <v>I bought a beech ASUS K52J, it worked fine for 2 weeks, then a nasty squeak appeared, the service technician said it was normal. In silence, the high-frequency squeak is very annoying. The impressions of an expensive purchase were completely ruined.</v>
      </c>
    </row>
    <row r="2115" spans="1:9" x14ac:dyDescent="0.3">
      <c r="A2115" s="1" t="s">
        <v>61</v>
      </c>
      <c r="B2115" s="1" t="s">
        <v>726</v>
      </c>
      <c r="C2115" s="1" t="s">
        <v>85</v>
      </c>
      <c r="D2115" s="1" t="s">
        <v>114</v>
      </c>
      <c r="E2115" s="1" t="s">
        <v>92</v>
      </c>
      <c r="F2115" s="1" t="s">
        <v>4258</v>
      </c>
      <c r="G2115" s="1" t="s">
        <v>36</v>
      </c>
      <c r="H2115" s="1" t="s">
        <v>29</v>
      </c>
      <c r="I2115" s="1" t="str">
        <f ca="1">IFERROR(__xludf.DUMMYFUNCTION("GOOGLETRANSLATE(F2115, ""auto"", ""en"")
"),"Design, quality, convenience.")</f>
        <v>Design, quality, convenience.</v>
      </c>
    </row>
    <row r="2116" spans="1:9" x14ac:dyDescent="0.3">
      <c r="A2116" s="1" t="s">
        <v>211</v>
      </c>
      <c r="B2116" s="1" t="s">
        <v>515</v>
      </c>
      <c r="C2116" s="1" t="s">
        <v>213</v>
      </c>
      <c r="D2116" s="1" t="s">
        <v>64</v>
      </c>
      <c r="E2116" s="1" t="s">
        <v>4259</v>
      </c>
      <c r="F2116" s="1" t="s">
        <v>4260</v>
      </c>
      <c r="G2116" s="1" t="s">
        <v>28</v>
      </c>
      <c r="H2116" s="1" t="s">
        <v>29</v>
      </c>
      <c r="I2116" s="1" t="str">
        <f ca="1">IFERROR(__xludf.DUMMYFUNCTION("GOOGLETRANSLATE(F2116, ""auto"", ""en"")
"),"compact, interesting purpose")</f>
        <v>compact, interesting purpose</v>
      </c>
    </row>
    <row r="2117" spans="1:9" x14ac:dyDescent="0.3">
      <c r="A2117" s="1" t="s">
        <v>211</v>
      </c>
      <c r="B2117" s="1" t="s">
        <v>265</v>
      </c>
      <c r="C2117" s="1" t="s">
        <v>69</v>
      </c>
      <c r="D2117" s="1" t="s">
        <v>305</v>
      </c>
      <c r="E2117" s="1" t="s">
        <v>4261</v>
      </c>
      <c r="F2117" s="1" t="s">
        <v>4262</v>
      </c>
      <c r="G2117" s="1" t="s">
        <v>15</v>
      </c>
      <c r="H2117" s="1" t="s">
        <v>16</v>
      </c>
      <c r="I2117" s="1" t="str">
        <f ca="1">IFERROR(__xludf.DUMMYFUNCTION("GOOGLETRANSLATE(F2117, ""auto"", ""en"")
"),"The nozzle quickly broke (weak plastic), not enough power. It cuts my hair normally, but my son’s thick hair gets stuck and tears his hair.")</f>
        <v>The nozzle quickly broke (weak plastic), not enough power. It cuts my hair normally, but my son’s thick hair gets stuck and tears his hair.</v>
      </c>
    </row>
    <row r="2118" spans="1:9" x14ac:dyDescent="0.3">
      <c r="A2118" s="1" t="s">
        <v>61</v>
      </c>
      <c r="B2118" s="1" t="s">
        <v>145</v>
      </c>
      <c r="C2118" s="1" t="s">
        <v>69</v>
      </c>
      <c r="D2118" s="1" t="s">
        <v>152</v>
      </c>
      <c r="E2118" s="1" t="s">
        <v>3673</v>
      </c>
      <c r="F2118" s="1" t="s">
        <v>4263</v>
      </c>
      <c r="G2118" s="1" t="s">
        <v>36</v>
      </c>
      <c r="H2118" s="1" t="s">
        <v>29</v>
      </c>
      <c r="I2118" s="1" t="str">
        <f ca="1">IFERROR(__xludf.DUMMYFUNCTION("GOOGLETRANSLATE(F2118, ""auto"", ""en"")
"),"I got an excellent steamer as a gift, it cooks very well, the main thing is to choose the right time for some products, everything is much tastier than fried!!!")</f>
        <v>I got an excellent steamer as a gift, it cooks very well, the main thing is to choose the right time for some products, everything is much tastier than fried!!!</v>
      </c>
    </row>
    <row r="2119" spans="1:9" x14ac:dyDescent="0.3">
      <c r="A2119" s="1" t="s">
        <v>169</v>
      </c>
      <c r="B2119" s="1" t="s">
        <v>170</v>
      </c>
      <c r="C2119" s="1" t="s">
        <v>193</v>
      </c>
      <c r="D2119" s="1" t="s">
        <v>228</v>
      </c>
      <c r="E2119" s="1" t="s">
        <v>680</v>
      </c>
      <c r="F2119" s="1" t="s">
        <v>4264</v>
      </c>
      <c r="G2119" s="1" t="s">
        <v>36</v>
      </c>
      <c r="H2119" s="1" t="s">
        <v>29</v>
      </c>
      <c r="I2119" s="1" t="str">
        <f ca="1">IFERROR(__xludf.DUMMYFUNCTION("GOOGLETRANSLATE(F2119, ""auto"", ""en"")
"),"The headphones really turned out to be very good. The sound is very cool. And the cord is really long :)")</f>
        <v>The headphones really turned out to be very good. The sound is very cool. And the cord is really long :)</v>
      </c>
    </row>
    <row r="2120" spans="1:9" x14ac:dyDescent="0.3">
      <c r="A2120" s="1" t="s">
        <v>965</v>
      </c>
      <c r="B2120" s="1" t="s">
        <v>966</v>
      </c>
      <c r="C2120" s="1" t="s">
        <v>2149</v>
      </c>
      <c r="D2120" s="1" t="s">
        <v>4265</v>
      </c>
      <c r="E2120" s="1" t="s">
        <v>1039</v>
      </c>
      <c r="F2120" s="1" t="s">
        <v>4266</v>
      </c>
      <c r="G2120" s="1" t="s">
        <v>15</v>
      </c>
      <c r="H2120" s="1" t="s">
        <v>16</v>
      </c>
      <c r="I2120" s="1" t="str">
        <f ca="1">IFERROR(__xludf.DUMMYFUNCTION("GOOGLETRANSLATE(F2120, ""auto"", ""en"")
"),"I bought the speakers, the sound is amazing and crisp, half a year has passed, the subwoofer has 20% current without wheezing, it worked fine and the input in the back is constantly glitching and so, in principle, nothing but the input is poor")</f>
        <v>I bought the speakers, the sound is amazing and crisp, half a year has passed, the subwoofer has 20% current without wheezing, it worked fine and the input in the back is constantly glitching and so, in principle, nothing but the input is poor</v>
      </c>
    </row>
    <row r="2121" spans="1:9" x14ac:dyDescent="0.3">
      <c r="A2121" s="1" t="s">
        <v>61</v>
      </c>
      <c r="B2121" s="1" t="s">
        <v>977</v>
      </c>
      <c r="C2121" s="1" t="s">
        <v>63</v>
      </c>
      <c r="D2121" s="1" t="s">
        <v>247</v>
      </c>
      <c r="E2121" s="1" t="s">
        <v>2575</v>
      </c>
      <c r="F2121" s="1" t="s">
        <v>4267</v>
      </c>
      <c r="G2121" s="1" t="s">
        <v>28</v>
      </c>
      <c r="H2121" s="1" t="s">
        <v>29</v>
      </c>
      <c r="I2121" s="1" t="str">
        <f ca="1">IFERROR(__xludf.DUMMYFUNCTION("GOOGLETRANSLATE(F2121, ""auto"", ""en"")
"),"I bought the mixer in September. Everything suited me and I beat the dough well and is an excellent mixer. But this week I wanted to beat it, but the switch doesn’t go to the right at speed, it’s jammed, only to the left (this means that you have to hold "&amp;"it, you can’t get distracted). I wrote to technical support. They advised me to take it to the store, because... The warranty is still valid. I hope they will replace or repair it.")</f>
        <v>I bought the mixer in September. Everything suited me and I beat the dough well and is an excellent mixer. But this week I wanted to beat it, but the switch doesn’t go to the right at speed, it’s jammed, only to the left (this means that you have to hold it, you can’t get distracted). I wrote to technical support. They advised me to take it to the store, because... The warranty is still valid. I hope they will replace or repair it.</v>
      </c>
    </row>
    <row r="2122" spans="1:9" x14ac:dyDescent="0.3">
      <c r="A2122" s="1" t="s">
        <v>149</v>
      </c>
      <c r="B2122" s="1" t="s">
        <v>155</v>
      </c>
      <c r="C2122" s="1" t="s">
        <v>80</v>
      </c>
      <c r="D2122" s="1" t="s">
        <v>117</v>
      </c>
      <c r="E2122" s="1" t="s">
        <v>41</v>
      </c>
      <c r="F2122" s="1" t="s">
        <v>4268</v>
      </c>
      <c r="G2122" s="1" t="s">
        <v>36</v>
      </c>
      <c r="H2122" s="1" t="s">
        <v>29</v>
      </c>
      <c r="I2122" s="1" t="str">
        <f ca="1">IFERROR(__xludf.DUMMYFUNCTION("GOOGLETRANSLATE(F2122, ""auto"", ""en"")
"),"I bought this vacuum cleaner today. I was pleased with the first cleaning. We will use it. I liked it.")</f>
        <v>I bought this vacuum cleaner today. I was pleased with the first cleaning. We will use it. I liked it.</v>
      </c>
    </row>
    <row r="2123" spans="1:9" x14ac:dyDescent="0.3">
      <c r="A2123" s="1" t="s">
        <v>30</v>
      </c>
      <c r="B2123" s="1" t="s">
        <v>31</v>
      </c>
      <c r="C2123" s="1" t="s">
        <v>32</v>
      </c>
      <c r="D2123" s="1" t="s">
        <v>4269</v>
      </c>
      <c r="E2123" s="1" t="s">
        <v>937</v>
      </c>
      <c r="F2123" s="1" t="s">
        <v>4270</v>
      </c>
      <c r="G2123" s="1" t="s">
        <v>36</v>
      </c>
      <c r="H2123" s="1" t="s">
        <v>29</v>
      </c>
      <c r="I2123" s="1" t="str">
        <f ca="1">IFERROR(__xludf.DUMMYFUNCTION("GOOGLETRANSLATE(F2123, ""auto"", ""en"")
"),"Quiet, fast and small device. I took it as an HTPC.   Everyone is happy.")</f>
        <v>Quiet, fast and small device. I took it as an HTPC.   Everyone is happy.</v>
      </c>
    </row>
    <row r="2124" spans="1:9" x14ac:dyDescent="0.3">
      <c r="A2124" s="1" t="s">
        <v>9</v>
      </c>
      <c r="B2124" s="1" t="s">
        <v>133</v>
      </c>
      <c r="C2124" s="1" t="s">
        <v>588</v>
      </c>
      <c r="D2124" s="1" t="s">
        <v>32</v>
      </c>
      <c r="E2124" s="1" t="s">
        <v>4271</v>
      </c>
      <c r="F2124" s="1" t="s">
        <v>4272</v>
      </c>
      <c r="G2124" s="1" t="s">
        <v>36</v>
      </c>
      <c r="H2124" s="1" t="s">
        <v>29</v>
      </c>
      <c r="I2124" s="1" t="str">
        <f ca="1">IFERROR(__xludf.DUMMYFUNCTION("GOOGLETRANSLATE(F2124, ""auto"", ""en"")
"),"Before purchasing, I read a lot of reviews and for a long time could not choose which one to buy. The choice fell on this model since the budget did not allow me to choose a more expensive one. So it began: the first turn-on went well; according to the in"&amp;"structions, it was necessary to heat it for 30 minutes at maximum temperature, but my husband decided to do it differently, turned it on at 1.30 and then we didn’t notice any smell. And I have no complaints about baking; my husband asks me to bake somethi"&amp;"ng tasty every day. So, whoever is still thinking about which one to buy, don’t chase an expensive brand.")</f>
        <v>Before purchasing, I read a lot of reviews and for a long time could not choose which one to buy. The choice fell on this model since the budget did not allow me to choose a more expensive one. So it began: the first turn-on went well; according to the instructions, it was necessary to heat it for 30 minutes at maximum temperature, but my husband decided to do it differently, turned it on at 1.30 and then we didn’t notice any smell. And I have no complaints about baking; my husband asks me to bake something tasty every day. So, whoever is still thinking about which one to buy, don’t chase an expensive brand.</v>
      </c>
    </row>
    <row r="2125" spans="1:9" x14ac:dyDescent="0.3">
      <c r="A2125" s="1" t="s">
        <v>61</v>
      </c>
      <c r="B2125" s="1" t="s">
        <v>977</v>
      </c>
      <c r="C2125" s="1" t="s">
        <v>63</v>
      </c>
      <c r="D2125" s="1" t="s">
        <v>64</v>
      </c>
      <c r="E2125" s="1" t="s">
        <v>2275</v>
      </c>
      <c r="F2125" s="1" t="s">
        <v>4273</v>
      </c>
      <c r="G2125" s="1" t="s">
        <v>36</v>
      </c>
      <c r="H2125" s="1" t="s">
        <v>29</v>
      </c>
      <c r="I2125" s="1" t="str">
        <f ca="1">IFERROR(__xludf.DUMMYFUNCTION("GOOGLETRANSLATE(F2125, ""auto"", ""en"")
"),"I've been using this mixer for 2 years now. My husband gave it to me for our wedding anniversary. I'm very pleased with the model. Pros - a very large bowl, it whips quickly and very efficiently, you don’t have to keep your hand on the button, like in sub"&amp;"mersible mixers, the mixing whisks are simply great for kneading dough (yeast, shortbread). In 2 years of using I haven’t found any disadvantages, except that I want a spare bowl))) so that I can make 2 times more cakes at once)))")</f>
        <v>I've been using this mixer for 2 years now. My husband gave it to me for our wedding anniversary. I'm very pleased with the model. Pros - a very large bowl, it whips quickly and very efficiently, you don’t have to keep your hand on the button, like in submersible mixers, the mixing whisks are simply great for kneading dough (yeast, shortbread). In 2 years of using I haven’t found any disadvantages, except that I want a spare bowl))) so that I can make 2 times more cakes at once)))</v>
      </c>
    </row>
    <row r="2126" spans="1:9" x14ac:dyDescent="0.3">
      <c r="A2126" s="1" t="s">
        <v>211</v>
      </c>
      <c r="B2126" s="1" t="s">
        <v>212</v>
      </c>
      <c r="C2126" s="1" t="s">
        <v>381</v>
      </c>
      <c r="D2126" s="1" t="s">
        <v>545</v>
      </c>
      <c r="E2126" s="1" t="s">
        <v>1686</v>
      </c>
      <c r="F2126" s="1" t="s">
        <v>4274</v>
      </c>
      <c r="G2126" s="1" t="s">
        <v>36</v>
      </c>
      <c r="H2126" s="1" t="s">
        <v>29</v>
      </c>
      <c r="I2126" s="1" t="str">
        <f ca="1">IFERROR(__xludf.DUMMYFUNCTION("GOOGLETRANSLATE(F2126, ""auto"", ""en"")
"),"Wonderful hair dryer!!! I bought it as a travel hair dryer - it performed very well throughout my vacation, it doesn’t make much noise, it doesn’t overheat, it dries perfectly!!! I highly recommend!!!")</f>
        <v>Wonderful hair dryer!!! I bought it as a travel hair dryer - it performed very well throughout my vacation, it doesn’t make much noise, it doesn’t overheat, it dries perfectly!!! I highly recommend!!!</v>
      </c>
    </row>
    <row r="2127" spans="1:9" x14ac:dyDescent="0.3">
      <c r="A2127" s="1" t="s">
        <v>282</v>
      </c>
      <c r="B2127" s="1" t="s">
        <v>806</v>
      </c>
      <c r="C2127" s="1" t="s">
        <v>284</v>
      </c>
      <c r="D2127" s="1" t="s">
        <v>742</v>
      </c>
      <c r="E2127" s="1" t="s">
        <v>1012</v>
      </c>
      <c r="F2127" s="1" t="s">
        <v>4275</v>
      </c>
      <c r="G2127" s="1" t="s">
        <v>49</v>
      </c>
      <c r="H2127" s="1" t="s">
        <v>16</v>
      </c>
      <c r="I2127" s="1" t="str">
        <f ca="1">IFERROR(__xludf.DUMMYFUNCTION("GOOGLETRANSLATE(F2127, ""auto"", ""en"")
"),"This is not a family film. Just documentary footage with voiceover. I bought it thinking that it was a family movie like Napoleon or something else about the journey of animals. Very disappointed with the purchase of this film. It should have been called "&amp;"From the Life of Beavers. This is a documentary!!!")</f>
        <v>This is not a family film. Just documentary footage with voiceover. I bought it thinking that it was a family movie like Napoleon or something else about the journey of animals. Very disappointed with the purchase of this film. It should have been called From the Life of Beavers. This is a documentary!!!</v>
      </c>
    </row>
    <row r="2128" spans="1:9" x14ac:dyDescent="0.3">
      <c r="A2128" s="1" t="s">
        <v>211</v>
      </c>
      <c r="B2128" s="1" t="s">
        <v>265</v>
      </c>
      <c r="C2128" s="1" t="s">
        <v>294</v>
      </c>
      <c r="D2128" s="1" t="s">
        <v>4276</v>
      </c>
      <c r="E2128" s="1" t="s">
        <v>481</v>
      </c>
      <c r="F2128" s="1" t="s">
        <v>4277</v>
      </c>
      <c r="G2128" s="1" t="s">
        <v>28</v>
      </c>
      <c r="H2128" s="1" t="s">
        <v>29</v>
      </c>
      <c r="I2128" s="1" t="str">
        <f ca="1">IFERROR(__xludf.DUMMYFUNCTION("GOOGLETRANSLATE(F2128, ""auto"", ""en"")
"),"Pros: 1. Quite light 2. Doesn’t vibrate much 3. Doesn’t pull hair even when the power drops.  4. Battery operated. I only appreciated this at home when I realized that there wasn’t enough cord to reach the outlet, and it was a hassle to pull the plug.    "&amp;"Cons: 1. When the battery is discharged, the power drops even if the machine is plugged in. That is, if the battery is low, you have to wait a little until it is slightly recharged before you can start cutting. But this is only at the beginning. If this h"&amp;"appens again, then it's a big mistake. It will be seen later.  2. Flimsy attachments. You have to control the force of pressing the machine on your head. One nozzle is attached unstable in the extreme two positions, and flies off in the extreme position. "&amp;" 3. Gets dirty quickly. I cut my hair when I was not very overgrown - I had to remove the knives (according to the instructions) and clean them. Cleaning sucks, because the knives are covered in oil.   4. You cannot cut your hair to 2 mm, but this is not "&amp;"a drawback - it is stated in the description.    For your money, the device is a solid four. So far I'm happy.")</f>
        <v>Pros: 1. Quite light 2. Doesn’t vibrate much 3. Doesn’t pull hair even when the power drops.  4. Battery operated. I only appreciated this at home when I realized that there wasn’t enough cord to reach the outlet, and it was a hassle to pull the plug.    Cons: 1. When the battery is discharged, the power drops even if the machine is plugged in. That is, if the battery is low, you have to wait a little until it is slightly recharged before you can start cutting. But this is only at the beginning. If this happens again, then it's a big mistake. It will be seen later.  2. Flimsy attachments. You have to control the force of pressing the machine on your head. One nozzle is attached unstable in the extreme two positions, and flies off in the extreme position.  3. Gets dirty quickly. I cut my hair when I was not very overgrown - I had to remove the knives (according to the instructions) and clean them. Cleaning sucks, because the knives are covered in oil.   4. You cannot cut your hair to 2 mm, but this is not a drawback - it is stated in the description.    For your money, the device is a solid four. So far I'm happy.</v>
      </c>
    </row>
    <row r="2129" spans="1:9" x14ac:dyDescent="0.3">
      <c r="A2129" s="1" t="s">
        <v>37</v>
      </c>
      <c r="B2129" s="1" t="s">
        <v>536</v>
      </c>
      <c r="C2129" s="1" t="s">
        <v>163</v>
      </c>
      <c r="D2129" s="1" t="s">
        <v>4278</v>
      </c>
      <c r="E2129" s="1" t="s">
        <v>1481</v>
      </c>
      <c r="F2129" s="1" t="s">
        <v>4279</v>
      </c>
      <c r="G2129" s="1" t="s">
        <v>36</v>
      </c>
      <c r="H2129" s="1" t="s">
        <v>29</v>
      </c>
      <c r="I2129" s="1" t="str">
        <f ca="1">IFERROR(__xludf.DUMMYFUNCTION("GOOGLETRANSLATE(F2129, ""auto"", ""en"")
"),"high phone")</f>
        <v>high phone</v>
      </c>
    </row>
    <row r="2130" spans="1:9" x14ac:dyDescent="0.3">
      <c r="A2130" s="1" t="s">
        <v>169</v>
      </c>
      <c r="B2130" s="1" t="s">
        <v>170</v>
      </c>
      <c r="C2130" s="1" t="s">
        <v>69</v>
      </c>
      <c r="D2130" s="1" t="s">
        <v>171</v>
      </c>
      <c r="E2130" s="1" t="s">
        <v>201</v>
      </c>
      <c r="F2130" s="1" t="s">
        <v>4280</v>
      </c>
      <c r="G2130" s="1" t="s">
        <v>49</v>
      </c>
      <c r="H2130" s="1" t="s">
        <v>16</v>
      </c>
      <c r="I2130" s="1" t="str">
        <f ca="1">IFERROR(__xludf.DUMMYFUNCTION("GOOGLETRANSLATE(F2130, ""auto"", ""en"")
"),"What kind of bass are you... there are none at all! Take a higher price category and that's it!")</f>
        <v>What kind of bass are you... there are none at all! Take a higher price category and that's it!</v>
      </c>
    </row>
    <row r="2131" spans="1:9" x14ac:dyDescent="0.3">
      <c r="A2131" s="1" t="s">
        <v>557</v>
      </c>
      <c r="B2131" s="1" t="s">
        <v>558</v>
      </c>
      <c r="C2131" s="1" t="s">
        <v>122</v>
      </c>
      <c r="D2131" s="1" t="s">
        <v>4281</v>
      </c>
      <c r="E2131" s="1" t="s">
        <v>3752</v>
      </c>
      <c r="F2131" s="1" t="s">
        <v>4282</v>
      </c>
      <c r="G2131" s="1" t="s">
        <v>36</v>
      </c>
      <c r="H2131" s="1" t="s">
        <v>29</v>
      </c>
      <c r="I2131" s="1" t="str">
        <f ca="1">IFERROR(__xludf.DUMMYFUNCTION("GOOGLETRANSLATE(F2131, ""auto"", ""en"")
"),"Excellent phone! You can choose a ringtone to your liking. Adjust the volume to suit you. Answering machine, clock, caller ID, everything is there! Take it! I am satisfied with the purchase!")</f>
        <v>Excellent phone! You can choose a ringtone to your liking. Adjust the volume to suit you. Answering machine, clock, caller ID, everything is there! Take it! I am satisfied with the purchase!</v>
      </c>
    </row>
    <row r="2132" spans="1:9" x14ac:dyDescent="0.3">
      <c r="A2132" s="1" t="s">
        <v>211</v>
      </c>
      <c r="B2132" s="1" t="s">
        <v>410</v>
      </c>
      <c r="C2132" s="1" t="s">
        <v>213</v>
      </c>
      <c r="D2132" s="1" t="s">
        <v>4283</v>
      </c>
      <c r="E2132" s="1" t="s">
        <v>4284</v>
      </c>
      <c r="F2132" s="1" t="s">
        <v>4285</v>
      </c>
      <c r="G2132" s="1" t="s">
        <v>36</v>
      </c>
      <c r="H2132" s="1" t="s">
        <v>29</v>
      </c>
      <c r="I2132" s="1" t="str">
        <f ca="1">IFERROR(__xludf.DUMMYFUNCTION("GOOGLETRANSLATE(F2132, ""auto"", ""en"")
"),"Excellent razor, gives a clean shave both with and without foam. Shaving with foam was a total revelation - much cleaner than with any machine. One bad thing is that it is not possible to find a replacement cutting unit in St. Petersburg (only on order at"&amp;" a price comparable to the price of the battle). I lost mine during use almost a year ago, and I still use the razor to this day.")</f>
        <v>Excellent razor, gives a clean shave both with and without foam. Shaving with foam was a total revelation - much cleaner than with any machine. One bad thing is that it is not possible to find a replacement cutting unit in St. Petersburg (only on order at a price comparable to the price of the battle). I lost mine during use almost a year ago, and I still use the razor to this day.</v>
      </c>
    </row>
    <row r="2133" spans="1:9" x14ac:dyDescent="0.3">
      <c r="A2133" s="1" t="s">
        <v>149</v>
      </c>
      <c r="B2133" s="1" t="s">
        <v>155</v>
      </c>
      <c r="C2133" s="1" t="s">
        <v>80</v>
      </c>
      <c r="D2133" s="1" t="s">
        <v>4286</v>
      </c>
      <c r="E2133" s="1" t="s">
        <v>3004</v>
      </c>
      <c r="F2133" s="1" t="s">
        <v>4287</v>
      </c>
      <c r="G2133" s="1" t="s">
        <v>36</v>
      </c>
      <c r="H2133" s="1" t="s">
        <v>29</v>
      </c>
      <c r="I2133" s="1" t="str">
        <f ca="1">IFERROR(__xludf.DUMMYFUNCTION("GOOGLETRANSLATE(F2133, ""auto"", ""en"")
"),"Oh, I’ve had a lot of trouble with “bag” vacuum cleaners. I'm tired of breathing dust and constantly knocking dust out of all the crevices of the vacuum cleaner and bag. Inconvenient and impractical. The dream was born of a simple container that you just "&amp;"need to rinse and that’s it. It took me a long time to choose, and it’s not just about the price. I wanted to find a small and convenient vacuum cleaner with sufficient power.")</f>
        <v>Oh, I’ve had a lot of trouble with “bag” vacuum cleaners. I'm tired of breathing dust and constantly knocking dust out of all the crevices of the vacuum cleaner and bag. Inconvenient and impractical. The dream was born of a simple container that you just need to rinse and that’s it. It took me a long time to choose, and it’s not just about the price. I wanted to find a small and convenient vacuum cleaner with sufficient power.</v>
      </c>
    </row>
    <row r="2134" spans="1:9" x14ac:dyDescent="0.3">
      <c r="A2134" s="1" t="s">
        <v>361</v>
      </c>
      <c r="B2134" s="1" t="s">
        <v>3058</v>
      </c>
      <c r="C2134" s="1" t="s">
        <v>2143</v>
      </c>
      <c r="D2134" s="1" t="s">
        <v>75</v>
      </c>
      <c r="E2134" s="1" t="s">
        <v>3626</v>
      </c>
      <c r="F2134" s="1" t="s">
        <v>4288</v>
      </c>
      <c r="G2134" s="1" t="s">
        <v>28</v>
      </c>
      <c r="H2134" s="1" t="s">
        <v>29</v>
      </c>
      <c r="I2134" s="1" t="str">
        <f ca="1">IFERROR(__xludf.DUMMYFUNCTION("GOOGLETRANSLATE(F2134, ""auto"", ""en"")
"),"The knives are not bad, BUT... they break. very brittle steel. I do not recommend cutting frozen foods. A bread knife is very convenient (it cuts cheese great too)")</f>
        <v>The knives are not bad, BUT... they break. very brittle steel. I do not recommend cutting frozen foods. A bread knife is very convenient (it cuts cheese great too)</v>
      </c>
    </row>
    <row r="2135" spans="1:9" x14ac:dyDescent="0.3">
      <c r="A2135" s="1" t="s">
        <v>169</v>
      </c>
      <c r="B2135" s="1" t="s">
        <v>170</v>
      </c>
      <c r="C2135" s="1" t="s">
        <v>97</v>
      </c>
      <c r="D2135" s="1" t="s">
        <v>152</v>
      </c>
      <c r="E2135" s="1" t="s">
        <v>1988</v>
      </c>
      <c r="F2135" s="1" t="s">
        <v>4289</v>
      </c>
      <c r="G2135" s="1" t="s">
        <v>49</v>
      </c>
      <c r="H2135" s="1" t="s">
        <v>16</v>
      </c>
      <c r="I2135" s="1" t="str">
        <f ca="1">IFERROR(__xludf.DUMMYFUNCTION("GOOGLETRANSLATE(F2135, ""auto"", ""en"")
"),"I bought this model for myself yesterday, I thought I’d come and enjoy listening to music in the evening, but I couldn’t, because there’s no normal sound in these headphones, it’s very quiet, it feels like they only work at 50%, and the other 50 have evap"&amp;"orated somewhere, so wasted 1,150 rubles in vain, it would be better if I took a girl to a restaurant")</f>
        <v>I bought this model for myself yesterday, I thought I’d come and enjoy listening to music in the evening, but I couldn’t, because there’s no normal sound in these headphones, it’s very quiet, it feels like they only work at 50%, and the other 50 have evaporated somewhere, so wasted 1,150 rubles in vain, it would be better if I took a girl to a restaurant</v>
      </c>
    </row>
    <row r="2136" spans="1:9" x14ac:dyDescent="0.3">
      <c r="A2136" s="1" t="s">
        <v>149</v>
      </c>
      <c r="B2136" s="1" t="s">
        <v>423</v>
      </c>
      <c r="C2136" s="1" t="s">
        <v>314</v>
      </c>
      <c r="D2136" s="1" t="s">
        <v>4290</v>
      </c>
      <c r="E2136" s="1" t="s">
        <v>3782</v>
      </c>
      <c r="F2136" s="1" t="s">
        <v>4291</v>
      </c>
      <c r="G2136" s="1" t="s">
        <v>36</v>
      </c>
      <c r="H2136" s="1" t="s">
        <v>29</v>
      </c>
      <c r="I2136" s="1" t="str">
        <f ca="1">IFERROR(__xludf.DUMMYFUNCTION("GOOGLETRANSLATE(F2136, ""auto"", ""en"")
"),"It is better to buy model 919.0ST ST comes with a turbo brush - an irreplaceable thing for carpets.   During the month of operation, I had to lubricate the latch of the telescopic tube once - a couple of sprays of Vedashka and Zergood.")</f>
        <v>It is better to buy model 919.0ST ST comes with a turbo brush - an irreplaceable thing for carpets.   During the month of operation, I had to lubricate the latch of the telescopic tube once - a couple of sprays of Vedashka and Zergood.</v>
      </c>
    </row>
    <row r="2137" spans="1:9" x14ac:dyDescent="0.3">
      <c r="A2137" s="1" t="s">
        <v>1443</v>
      </c>
      <c r="B2137" s="1" t="s">
        <v>1444</v>
      </c>
      <c r="C2137" s="1" t="s">
        <v>1489</v>
      </c>
      <c r="D2137" s="1" t="s">
        <v>127</v>
      </c>
      <c r="E2137" s="1" t="s">
        <v>1573</v>
      </c>
      <c r="F2137" s="1" t="s">
        <v>4292</v>
      </c>
      <c r="G2137" s="1" t="s">
        <v>36</v>
      </c>
      <c r="H2137" s="1" t="s">
        <v>29</v>
      </c>
      <c r="I2137" s="1" t="str">
        <f ca="1">IFERROR(__xludf.DUMMYFUNCTION("GOOGLETRANSLATE(F2137, ""auto"", ""en"")
"),"Nice flash drive. Stylish and inexpensive (just my opinion).")</f>
        <v>Nice flash drive. Stylish and inexpensive (just my opinion).</v>
      </c>
    </row>
    <row r="2138" spans="1:9" x14ac:dyDescent="0.3">
      <c r="A2138" s="1" t="s">
        <v>17</v>
      </c>
      <c r="B2138" s="1" t="s">
        <v>18</v>
      </c>
      <c r="C2138" s="1" t="s">
        <v>885</v>
      </c>
      <c r="D2138" s="1" t="s">
        <v>742</v>
      </c>
      <c r="E2138" s="1" t="s">
        <v>2126</v>
      </c>
      <c r="F2138" s="1" t="s">
        <v>4293</v>
      </c>
      <c r="G2138" s="1" t="s">
        <v>36</v>
      </c>
      <c r="H2138" s="1" t="s">
        <v>29</v>
      </c>
      <c r="I2138" s="1" t="str">
        <f ca="1">IFERROR(__xludf.DUMMYFUNCTION("GOOGLETRANSLATE(F2138, ""auto"", ""en"")
"),"excellent machine for those who have little space in the bathroom, practical, convenient")</f>
        <v>excellent machine for those who have little space in the bathroom, practical, convenient</v>
      </c>
    </row>
    <row r="2139" spans="1:9" x14ac:dyDescent="0.3">
      <c r="A2139" s="1" t="s">
        <v>211</v>
      </c>
      <c r="B2139" s="1" t="s">
        <v>212</v>
      </c>
      <c r="C2139" s="1" t="s">
        <v>69</v>
      </c>
      <c r="D2139" s="1" t="s">
        <v>811</v>
      </c>
      <c r="E2139" s="1" t="s">
        <v>3131</v>
      </c>
      <c r="F2139" s="1" t="s">
        <v>4294</v>
      </c>
      <c r="G2139" s="1" t="s">
        <v>49</v>
      </c>
      <c r="H2139" s="1" t="s">
        <v>16</v>
      </c>
      <c r="I2139" s="1" t="str">
        <f ca="1">IFERROR(__xludf.DUMMYFUNCTION("GOOGLETRANSLATE(F2139, ""auto"", ""en"")
"),"Everything was done according to the instructions. The curls turned out very poorly. I didn’t pay any attention to the bad reviews about the stiletto heels, but in vain. Indeed, the invention is incomprehensible. Couldn’t Phillips complete all the curlers"&amp;" with butterflies like Vitek and Valera did!? The set includes only 4 clips for large ceramic curlers. You can immediately throw away the hairpins so as not to interfere. We will work on the quality of the curls. Let's buy more butterflies. Let's see. The"&amp;" gift upset not only my wife and daughter, but also me.")</f>
        <v>Everything was done according to the instructions. The curls turned out very poorly. I didn’t pay any attention to the bad reviews about the stiletto heels, but in vain. Indeed, the invention is incomprehensible. Couldn’t Phillips complete all the curlers with butterflies like Vitek and Valera did!? The set includes only 4 clips for large ceramic curlers. You can immediately throw away the hairpins so as not to interfere. We will work on the quality of the curls. Let's buy more butterflies. Let's see. The gift upset not only my wife and daughter, but also me.</v>
      </c>
    </row>
    <row r="2140" spans="1:9" x14ac:dyDescent="0.3">
      <c r="A2140" s="1" t="s">
        <v>61</v>
      </c>
      <c r="B2140" s="1" t="s">
        <v>726</v>
      </c>
      <c r="C2140" s="1" t="s">
        <v>85</v>
      </c>
      <c r="D2140" s="1" t="s">
        <v>75</v>
      </c>
      <c r="E2140" s="1" t="s">
        <v>4295</v>
      </c>
      <c r="F2140" s="1" t="s">
        <v>4296</v>
      </c>
      <c r="G2140" s="1" t="s">
        <v>36</v>
      </c>
      <c r="H2140" s="1" t="s">
        <v>29</v>
      </c>
      <c r="I2140" s="1" t="str">
        <f ca="1">IFERROR(__xludf.DUMMYFUNCTION("GOOGLETRANSLATE(F2140, ""auto"", ""en"")
"),"Compact, bakes well")</f>
        <v>Compact, bakes well</v>
      </c>
    </row>
    <row r="2141" spans="1:9" x14ac:dyDescent="0.3">
      <c r="A2141" s="1" t="s">
        <v>37</v>
      </c>
      <c r="B2141" s="1" t="s">
        <v>536</v>
      </c>
      <c r="C2141" s="1" t="s">
        <v>1419</v>
      </c>
      <c r="D2141" s="1" t="s">
        <v>305</v>
      </c>
      <c r="E2141" s="1" t="s">
        <v>3954</v>
      </c>
      <c r="F2141" s="1" t="s">
        <v>4297</v>
      </c>
      <c r="G2141" s="1" t="s">
        <v>36</v>
      </c>
      <c r="H2141" s="1" t="s">
        <v>29</v>
      </c>
      <c r="I2141" s="1" t="str">
        <f ca="1">IFERROR(__xludf.DUMMYFUNCTION("GOOGLETRANSLATE(F2141, ""auto"", ""en"")
"),"This device is just a beast.  Although it costs 7990, it will give a head start to any PDA for 15000")</f>
        <v>This device is just a beast.  Although it costs 7990, it will give a head start to any PDA for 15000</v>
      </c>
    </row>
    <row r="2142" spans="1:9" x14ac:dyDescent="0.3">
      <c r="A2142" s="1" t="s">
        <v>9</v>
      </c>
      <c r="B2142" s="1" t="s">
        <v>10</v>
      </c>
      <c r="C2142" s="1" t="s">
        <v>407</v>
      </c>
      <c r="D2142" s="1" t="s">
        <v>295</v>
      </c>
      <c r="E2142" s="1" t="s">
        <v>3539</v>
      </c>
      <c r="F2142" s="1" t="s">
        <v>4298</v>
      </c>
      <c r="G2142" s="1" t="s">
        <v>49</v>
      </c>
      <c r="H2142" s="1" t="s">
        <v>16</v>
      </c>
      <c r="I2142" s="1" t="str">
        <f ca="1">IFERROR(__xludf.DUMMYFUNCTION("GOOGLETRANSLATE(F2142, ""auto"", ""en"")
"),"The hood only hung for 1 day. The glass exploded! The hob and countertop had potholes! Wasted time and money! There was an unpleasant aftertaste in my soul from what happened!")</f>
        <v>The hood only hung for 1 day. The glass exploded! The hob and countertop had potholes! Wasted time and money! There was an unpleasant aftertaste in my soul from what happened!</v>
      </c>
    </row>
    <row r="2143" spans="1:9" x14ac:dyDescent="0.3">
      <c r="A2143" s="1" t="s">
        <v>211</v>
      </c>
      <c r="B2143" s="1" t="s">
        <v>410</v>
      </c>
      <c r="C2143" s="1" t="s">
        <v>69</v>
      </c>
      <c r="D2143" s="1" t="s">
        <v>105</v>
      </c>
      <c r="E2143" s="1" t="s">
        <v>2535</v>
      </c>
      <c r="F2143" s="1" t="s">
        <v>4299</v>
      </c>
      <c r="G2143" s="1" t="s">
        <v>28</v>
      </c>
      <c r="H2143" s="1" t="s">
        <v>29</v>
      </c>
      <c r="I2143" s="1" t="str">
        <f ca="1">IFERROR(__xludf.DUMMYFUNCTION("GOOGLETRANSLATE(F2143, ""auto"", ""en"")
"),"I’ve been using the razor for about 6 months, before that I also had a Philips. I can’t say super, but this razor is really good in terms of technology. As they say, to each his own ;) I give 4 points")</f>
        <v>I’ve been using the razor for about 6 months, before that I also had a Philips. I can’t say super, but this razor is really good in terms of technology. As they say, to each his own ;) I give 4 points</v>
      </c>
    </row>
    <row r="2144" spans="1:9" x14ac:dyDescent="0.3">
      <c r="A2144" s="1" t="s">
        <v>95</v>
      </c>
      <c r="B2144" s="1" t="s">
        <v>486</v>
      </c>
      <c r="C2144" s="1" t="s">
        <v>487</v>
      </c>
      <c r="D2144" s="1" t="s">
        <v>940</v>
      </c>
      <c r="E2144" s="1" t="s">
        <v>386</v>
      </c>
      <c r="F2144" s="1" t="s">
        <v>4300</v>
      </c>
      <c r="G2144" s="1" t="s">
        <v>36</v>
      </c>
      <c r="H2144" s="1" t="s">
        <v>29</v>
      </c>
      <c r="I2144" s="1" t="str">
        <f ca="1">IFERROR(__xludf.DUMMYFUNCTION("GOOGLETRANSLATE(F2144, ""auto"", ""en"")
"),"The console is ok, but not for beginners - The box is only for those more accustomed to live and its complexities! Kinect is the same as a movie! It’s just a kinect without anything, but you feel the muff! I recommend it!!!")</f>
        <v>The console is ok, but not for beginners - The box is only for those more accustomed to live and its complexities! Kinect is the same as a movie! It’s just a kinect without anything, but you feel the muff! I recommend it!!!</v>
      </c>
    </row>
    <row r="2145" spans="1:9" x14ac:dyDescent="0.3">
      <c r="A2145" s="1" t="s">
        <v>55</v>
      </c>
      <c r="B2145" s="1" t="s">
        <v>752</v>
      </c>
      <c r="C2145" s="1" t="s">
        <v>185</v>
      </c>
      <c r="D2145" s="1" t="s">
        <v>208</v>
      </c>
      <c r="E2145" s="1" t="s">
        <v>4301</v>
      </c>
      <c r="F2145" s="1" t="s">
        <v>4302</v>
      </c>
      <c r="G2145" s="1" t="s">
        <v>36</v>
      </c>
      <c r="H2145" s="1" t="s">
        <v>29</v>
      </c>
      <c r="I2145" s="1" t="str">
        <f ca="1">IFERROR(__xludf.DUMMYFUNCTION("GOOGLETRANSLATE(F2145, ""auto"", ""en"")
"),"Very good radiator. It heats up quickly and maintains the desired temperature in the room, three power modes, hence energy savings and optimal warm-up time. Does not dry out or consume oxygen, very quiet, reliable assistant in cold rooms.")</f>
        <v>Very good radiator. It heats up quickly and maintains the desired temperature in the room, three power modes, hence energy savings and optimal warm-up time. Does not dry out or consume oxygen, very quiet, reliable assistant in cold rooms.</v>
      </c>
    </row>
    <row r="2146" spans="1:9" x14ac:dyDescent="0.3">
      <c r="A2146" s="1" t="s">
        <v>211</v>
      </c>
      <c r="B2146" s="1" t="s">
        <v>212</v>
      </c>
      <c r="C2146" s="1" t="s">
        <v>57</v>
      </c>
      <c r="D2146" s="1" t="s">
        <v>308</v>
      </c>
      <c r="E2146" s="1" t="s">
        <v>4303</v>
      </c>
      <c r="F2146" s="1" t="s">
        <v>4304</v>
      </c>
      <c r="G2146" s="1" t="s">
        <v>36</v>
      </c>
      <c r="H2146" s="1" t="s">
        <v>29</v>
      </c>
      <c r="I2146" s="1" t="str">
        <f ca="1">IFERROR(__xludf.DUMMYFUNCTION("GOOGLETRANSLATE(F2146, ""auto"", ""en"")
"),"I've had this hairdryer for 10 years, and it's not much of a rip-off. It just burned out yesterday((As soon as I saw that they were still on sale, I didn’t even consider other options, I’ll go and buy them today!")</f>
        <v>I've had this hairdryer for 10 years, and it's not much of a rip-off. It just burned out yesterday((As soon as I saw that they were still on sale, I didn’t even consider other options, I’ll go and buy them today!</v>
      </c>
    </row>
    <row r="2147" spans="1:9" x14ac:dyDescent="0.3">
      <c r="A2147" s="1" t="s">
        <v>61</v>
      </c>
      <c r="B2147" s="1" t="s">
        <v>726</v>
      </c>
      <c r="C2147" s="1" t="s">
        <v>996</v>
      </c>
      <c r="D2147" s="1" t="s">
        <v>305</v>
      </c>
      <c r="E2147" s="1" t="s">
        <v>701</v>
      </c>
      <c r="F2147" s="1" t="s">
        <v>4305</v>
      </c>
      <c r="G2147" s="1" t="s">
        <v>28</v>
      </c>
      <c r="H2147" s="1" t="s">
        <v>29</v>
      </c>
      <c r="I2147" s="1" t="str">
        <f ca="1">IFERROR(__xludf.DUMMYFUNCTION("GOOGLETRANSLATE(F2147, ""auto"", ""en"")
"),"It’s not surprising, for that kind of money, she bakes bread.  There is a crust and it bakes normally.  This bread maker is good in the country, if you run out of bread - 3 hours and you're done.   For gourmets and large families, please do not worry, it "&amp;"has only 5 programs and 0.5 kg bread.  For those who buy, check that the stirrer blade should move freely in the housing without touching the walls. The Chinese at the factory sometimes put in a stirrer from an older model. The Italians also sell it under"&amp;" the brand Ariete 125. Good luck.")</f>
        <v>It’s not surprising, for that kind of money, she bakes bread.  There is a crust and it bakes normally.  This bread maker is good in the country, if you run out of bread - 3 hours and you're done.   For gourmets and large families, please do not worry, it has only 5 programs and 0.5 kg bread.  For those who buy, check that the stirrer blade should move freely in the housing without touching the walls. The Chinese at the factory sometimes put in a stirrer from an older model. The Italians also sell it under the brand Ariete 125. Good luck.</v>
      </c>
    </row>
    <row r="2148" spans="1:9" x14ac:dyDescent="0.3">
      <c r="A2148" s="1" t="s">
        <v>9</v>
      </c>
      <c r="B2148" s="1" t="s">
        <v>10</v>
      </c>
      <c r="C2148" s="1" t="s">
        <v>407</v>
      </c>
      <c r="D2148" s="1" t="s">
        <v>152</v>
      </c>
      <c r="E2148" s="1" t="s">
        <v>4306</v>
      </c>
      <c r="F2148" s="1" t="s">
        <v>4307</v>
      </c>
      <c r="G2148" s="1" t="s">
        <v>15</v>
      </c>
      <c r="H2148" s="1" t="s">
        <v>16</v>
      </c>
      <c r="I2148" s="1" t="str">
        <f ca="1">IFERROR(__xludf.DUMMYFUNCTION("GOOGLETRANSLATE(F2148, ""auto"", ""en"")
"),"Was purchased 3 years ago. The clock is in a hurry, the screen has become dim, i.e. not bright, it became difficult to see anything there. And that’s how it works.")</f>
        <v>Was purchased 3 years ago. The clock is in a hurry, the screen has become dim, i.e. not bright, it became difficult to see anything there. And that’s how it works.</v>
      </c>
    </row>
    <row r="2149" spans="1:9" x14ac:dyDescent="0.3">
      <c r="A2149" s="1" t="s">
        <v>557</v>
      </c>
      <c r="B2149" s="1" t="s">
        <v>558</v>
      </c>
      <c r="C2149" s="1" t="s">
        <v>122</v>
      </c>
      <c r="D2149" s="1" t="s">
        <v>474</v>
      </c>
      <c r="E2149" s="1" t="s">
        <v>1833</v>
      </c>
      <c r="F2149" s="1" t="s">
        <v>4308</v>
      </c>
      <c r="G2149" s="1" t="s">
        <v>28</v>
      </c>
      <c r="H2149" s="1" t="s">
        <v>29</v>
      </c>
      <c r="I2149" s="1" t="str">
        <f ca="1">IFERROR(__xludf.DUMMYFUNCTION("GOOGLETRANSLATE(F2149, ""auto"", ""en"")
"),"The phone is loud enough, there are a lot of melodies, you can choose the right one. The interlocutor can be heard perfectly, there is a search for the handset from the base. Caller ID works without any additional settings, recognizes landline numbers, an"&amp;"d when calling from a mobile phone there are dashes. The tube holds a charge for a long time. Bought for my mother, she is quite happy")</f>
        <v>The phone is loud enough, there are a lot of melodies, you can choose the right one. The interlocutor can be heard perfectly, there is a search for the handset from the base. Caller ID works without any additional settings, recognizes landline numbers, and when calling from a mobile phone there are dashes. The tube holds a charge for a long time. Bought for my mother, she is quite happy</v>
      </c>
    </row>
    <row r="2150" spans="1:9" x14ac:dyDescent="0.3">
      <c r="A2150" s="1" t="s">
        <v>61</v>
      </c>
      <c r="B2150" s="1" t="s">
        <v>318</v>
      </c>
      <c r="C2150" s="1" t="s">
        <v>63</v>
      </c>
      <c r="D2150" s="1" t="s">
        <v>589</v>
      </c>
      <c r="E2150" s="1" t="s">
        <v>4129</v>
      </c>
      <c r="F2150" s="1" t="s">
        <v>4309</v>
      </c>
      <c r="G2150" s="1" t="s">
        <v>36</v>
      </c>
      <c r="H2150" s="1" t="s">
        <v>29</v>
      </c>
      <c r="I2150" s="1" t="str">
        <f ca="1">IFERROR(__xludf.DUMMYFUNCTION("GOOGLETRANSLATE(F2150, ""auto"", ""en"")
"),"I have been using this kettle for almost 7 years and the fact that a little spills past the cup is a completely minor drawback, but overall the kettle is good.")</f>
        <v>I have been using this kettle for almost 7 years and the fact that a little spills past the cup is a completely minor drawback, but overall the kettle is good.</v>
      </c>
    </row>
    <row r="2151" spans="1:9" x14ac:dyDescent="0.3">
      <c r="A2151" s="1" t="s">
        <v>120</v>
      </c>
      <c r="B2151" s="1" t="s">
        <v>121</v>
      </c>
      <c r="C2151" s="1" t="s">
        <v>69</v>
      </c>
      <c r="D2151" s="1" t="s">
        <v>114</v>
      </c>
      <c r="E2151" s="1" t="s">
        <v>176</v>
      </c>
      <c r="F2151" s="1" t="s">
        <v>4310</v>
      </c>
      <c r="G2151" s="1" t="s">
        <v>36</v>
      </c>
      <c r="H2151" s="1" t="s">
        <v>29</v>
      </c>
      <c r="I2151" s="1" t="str">
        <f ca="1">IFERROR(__xludf.DUMMYFUNCTION("GOOGLETRANSLATE(F2151, ""auto"", ""en"")
"),"Not very convenient switching between TV and others (home cinema, etc.).")</f>
        <v>Not very convenient switching between TV and others (home cinema, etc.).</v>
      </c>
    </row>
    <row r="2152" spans="1:9" x14ac:dyDescent="0.3">
      <c r="A2152" s="1" t="s">
        <v>17</v>
      </c>
      <c r="B2152" s="1" t="s">
        <v>18</v>
      </c>
      <c r="C2152" s="1" t="s">
        <v>885</v>
      </c>
      <c r="D2152" s="1" t="s">
        <v>247</v>
      </c>
      <c r="E2152" s="1" t="s">
        <v>4311</v>
      </c>
      <c r="F2152" s="1" t="s">
        <v>4312</v>
      </c>
      <c r="G2152" s="1" t="s">
        <v>36</v>
      </c>
      <c r="H2152" s="1" t="s">
        <v>29</v>
      </c>
      <c r="I2152" s="1" t="str">
        <f ca="1">IFERROR(__xludf.DUMMYFUNCTION("GOOGLETRANSLATE(F2152, ""auto"", ""en"")
"),"We purchased this model and were very pleased. We washed everything in the house in 2 days. Convenient short programs, Aqua + system. We recommend it to everyone!")</f>
        <v>We purchased this model and were very pleased. We washed everything in the house in 2 days. Convenient short programs, Aqua + system. We recommend it to everyone!</v>
      </c>
    </row>
    <row r="2153" spans="1:9" x14ac:dyDescent="0.3">
      <c r="A2153" s="1" t="s">
        <v>43</v>
      </c>
      <c r="B2153" s="1" t="s">
        <v>502</v>
      </c>
      <c r="C2153" s="1" t="s">
        <v>1627</v>
      </c>
      <c r="D2153" s="1" t="s">
        <v>33</v>
      </c>
      <c r="E2153" s="1" t="s">
        <v>3718</v>
      </c>
      <c r="F2153" s="1" t="s">
        <v>4313</v>
      </c>
      <c r="G2153" s="1" t="s">
        <v>36</v>
      </c>
      <c r="H2153" s="1" t="s">
        <v>29</v>
      </c>
      <c r="I2153" s="1" t="str">
        <f ca="1">IFERROR(__xludf.DUMMYFUNCTION("GOOGLETRANSLATE(F2153, ""auto"", ""en"")
"),"I was very pleased with the delivery 5+! Installed, it works very quietly, both external and internal units. I'm glad!!! Thank you.")</f>
        <v>I was very pleased with the delivery 5+! Installed, it works very quietly, both external and internal units. I'm glad!!! Thank you.</v>
      </c>
    </row>
    <row r="2154" spans="1:9" x14ac:dyDescent="0.3">
      <c r="A2154" s="1" t="s">
        <v>169</v>
      </c>
      <c r="B2154" s="1" t="s">
        <v>170</v>
      </c>
      <c r="C2154" s="1" t="s">
        <v>97</v>
      </c>
      <c r="D2154" s="1" t="s">
        <v>4314</v>
      </c>
      <c r="E2154" s="1" t="s">
        <v>4315</v>
      </c>
      <c r="F2154" s="1" t="s">
        <v>4316</v>
      </c>
      <c r="G2154" s="1" t="s">
        <v>28</v>
      </c>
      <c r="H2154" s="1" t="s">
        <v>29</v>
      </c>
      <c r="I2154" s="1" t="str">
        <f ca="1">IFERROR(__xludf.DUMMYFUNCTION("GOOGLETRANSLATE(F2154, ""auto"", ""en"")
"),"The sound of the headphones is excellent and the bass and frequencies are fine! Designed for listening to sound on entry-level HiFi systems, this is a consequence of good speakers with a large frequency range, i.e. you need a receiver or amplifier. Well s"&amp;"uited for computers with a good sound card. Good combination of price and quality. Minus: the only case is poorly laid out and the case material is cheap. I recommend it to those who want to fit into a thing and listen to music normally at night.")</f>
        <v>The sound of the headphones is excellent and the bass and frequencies are fine! Designed for listening to sound on entry-level HiFi systems, this is a consequence of good speakers with a large frequency range, i.e. you need a receiver or amplifier. Well suited for computers with a good sound card. Good combination of price and quality. Minus: the only case is poorly laid out and the case material is cheap. I recommend it to those who want to fit into a thing and listen to music normally at night.</v>
      </c>
    </row>
    <row r="2155" spans="1:9" x14ac:dyDescent="0.3">
      <c r="A2155" s="1" t="s">
        <v>43</v>
      </c>
      <c r="B2155" s="1" t="s">
        <v>303</v>
      </c>
      <c r="C2155" s="1" t="s">
        <v>665</v>
      </c>
      <c r="D2155" s="1" t="s">
        <v>86</v>
      </c>
      <c r="E2155" s="1" t="s">
        <v>2242</v>
      </c>
      <c r="F2155" s="1" t="s">
        <v>4317</v>
      </c>
      <c r="G2155" s="1" t="s">
        <v>36</v>
      </c>
      <c r="H2155" s="1" t="s">
        <v>29</v>
      </c>
      <c r="I2155" s="1" t="str">
        <f ca="1">IFERROR(__xludf.DUMMYFUNCTION("GOOGLETRANSLATE(F2155, ""auto"", ""en"")
"),"Was purchased in 2010 in April. Installed by myself in a couple of hours. Heats a full tank to 75C in an hour and a half. Wonderful device, no complaints. If you don’t chase brands, this is your choice.")</f>
        <v>Was purchased in 2010 in April. Installed by myself in a couple of hours. Heats a full tank to 75C in an hour and a half. Wonderful device, no complaints. If you don’t chase brands, this is your choice.</v>
      </c>
    </row>
    <row r="2156" spans="1:9" x14ac:dyDescent="0.3">
      <c r="A2156" s="1" t="s">
        <v>211</v>
      </c>
      <c r="B2156" s="1" t="s">
        <v>856</v>
      </c>
      <c r="C2156" s="1" t="s">
        <v>57</v>
      </c>
      <c r="D2156" s="1" t="s">
        <v>896</v>
      </c>
      <c r="E2156" s="1" t="s">
        <v>638</v>
      </c>
      <c r="F2156" s="1" t="s">
        <v>4318</v>
      </c>
      <c r="G2156" s="1" t="s">
        <v>36</v>
      </c>
      <c r="H2156" s="1" t="s">
        <v>29</v>
      </c>
      <c r="I2156" s="1" t="str">
        <f ca="1">IFERROR(__xludf.DUMMYFUNCTION("GOOGLETRANSLATE(F2156, ""auto"", ""en"")
"),"A gift for mom, I didn’t regret it, it was a good bath, I’m happy with it!")</f>
        <v>A gift for mom, I didn’t regret it, it was a good bath, I’m happy with it!</v>
      </c>
    </row>
    <row r="2157" spans="1:9" x14ac:dyDescent="0.3">
      <c r="A2157" s="1" t="s">
        <v>206</v>
      </c>
      <c r="B2157" s="1" t="s">
        <v>261</v>
      </c>
      <c r="C2157" s="1" t="s">
        <v>107</v>
      </c>
      <c r="D2157" s="1" t="s">
        <v>247</v>
      </c>
      <c r="E2157" s="1" t="s">
        <v>4319</v>
      </c>
      <c r="F2157" s="1" t="s">
        <v>4320</v>
      </c>
      <c r="G2157" s="1" t="s">
        <v>36</v>
      </c>
      <c r="H2157" s="1" t="s">
        <v>29</v>
      </c>
      <c r="I2157" s="1" t="str">
        <f ca="1">IFERROR(__xludf.DUMMYFUNCTION("GOOGLETRANSLATE(F2157, ""auto"", ""en"")
"),"And I really like this device. I bought it over a year ago. I don’t listen to big books, but I don’t listen to all kinds of music. I have three children, and for them I specially write down what they like. There was a situation when we were driving along "&amp;"the highway in two cars, the children were in my husband’s car. They called me, ordered music, I played it, and they listened through the radio in my husband’s car. It is noteworthy that the distance between our machines was not always 10 meters (this is "&amp;"the broadcast range indicated in the specification), but reached 100 m (mostly 30-50 m). My husband said that broadcast interference appeared when the distance exceeded 60 m, and the signal disappeared completely when I was more than 150 m away from them."&amp;" And at the dacha I listen through the radio when I leave the transmitter in the car: from home to car - also more than the 10 m stated in the specification. Preventing many questions: by the way, the battery does not drain - I left it in the cigarette li"&amp;"ghter for up to two days: it works, it’s convenient to listen to your favorite music as if on the radio :).")</f>
        <v>And I really like this device. I bought it over a year ago. I don’t listen to big books, but I don’t listen to all kinds of music. I have three children, and for them I specially write down what they like. There was a situation when we were driving along the highway in two cars, the children were in my husband’s car. They called me, ordered music, I played it, and they listened through the radio in my husband’s car. It is noteworthy that the distance between our machines was not always 10 meters (this is the broadcast range indicated in the specification), but reached 100 m (mostly 30-50 m). My husband said that broadcast interference appeared when the distance exceeded 60 m, and the signal disappeared completely when I was more than 150 m away from them. And at the dacha I listen through the radio when I leave the transmitter in the car: from home to car - also more than the 10 m stated in the specification. Preventing many questions: by the way, the battery does not drain - I left it in the cigarette lighter for up to two days: it works, it’s convenient to listen to your favorite music as if on the radio :).</v>
      </c>
    </row>
    <row r="2158" spans="1:9" x14ac:dyDescent="0.3">
      <c r="A2158" s="1" t="s">
        <v>37</v>
      </c>
      <c r="B2158" s="1" t="s">
        <v>536</v>
      </c>
      <c r="C2158" s="1" t="s">
        <v>1419</v>
      </c>
      <c r="D2158" s="1" t="s">
        <v>114</v>
      </c>
      <c r="E2158" s="1" t="s">
        <v>449</v>
      </c>
      <c r="F2158" s="1" t="s">
        <v>4321</v>
      </c>
      <c r="G2158" s="1" t="s">
        <v>36</v>
      </c>
      <c r="H2158" s="1" t="s">
        <v>29</v>
      </c>
      <c r="I2158" s="1" t="str">
        <f ca="1">IFERROR(__xludf.DUMMYFUNCTION("GOOGLETRANSLATE(F2158, ""auto"", ""en"")
"),"******Disadvantages:****** supposedly 1.No memory card included =1. You need to look at this, I had it on 8 right away and I’m happy 2. Memory card slot under the battery (!) = 2. It doesn’t matter, you don’t take it out that often 3. Reset button under t"&amp;"he back cover (!) =3. Many people don’t use it at all (there is a *visual* shutdown button in the phone itself 4. The camera is bad = 4. A communicator is not a camera for you! 5. There is no charger included for the car = 5. hahaha =) the cigarette light"&amp;"er costs 100 rubles =) but in general, the device is very good, I’m happy!")</f>
        <v>******Disadvantages:****** supposedly 1.No memory card included =1. You need to look at this, I had it on 8 right away and I’m happy 2. Memory card slot under the battery (!) = 2. It doesn’t matter, you don’t take it out that often 3. Reset button under the back cover (!) =3. Many people don’t use it at all (there is a *visual* shutdown button in the phone itself 4. The camera is bad = 4. A communicator is not a camera for you! 5. There is no charger included for the car = 5. hahaha =) the cigarette lighter costs 100 rubles =) but in general, the device is very good, I’m happy!</v>
      </c>
    </row>
    <row r="2159" spans="1:9" x14ac:dyDescent="0.3">
      <c r="A2159" s="1" t="s">
        <v>17</v>
      </c>
      <c r="B2159" s="1" t="s">
        <v>18</v>
      </c>
      <c r="C2159" s="1" t="s">
        <v>243</v>
      </c>
      <c r="D2159" s="1" t="s">
        <v>4322</v>
      </c>
      <c r="E2159" s="1" t="s">
        <v>316</v>
      </c>
      <c r="F2159" s="1" t="s">
        <v>4323</v>
      </c>
      <c r="G2159" s="1" t="s">
        <v>49</v>
      </c>
      <c r="H2159" s="1" t="s">
        <v>16</v>
      </c>
      <c r="I2159" s="1" t="str">
        <f ca="1">IFERROR(__xludf.DUMMYFUNCTION("GOOGLETRANSLATE(F2159, ""auto"", ""en"")
"),"The machine is simply terrible, it doesn’t wash, it rattles during the spin cycle, it’s installed correctly, it doesn’t spin well, and the program is also glitchy.")</f>
        <v>The machine is simply terrible, it doesn’t wash, it rattles during the spin cycle, it’s installed correctly, it doesn’t spin well, and the program is also glitchy.</v>
      </c>
    </row>
    <row r="2160" spans="1:9" x14ac:dyDescent="0.3">
      <c r="A2160" s="1" t="s">
        <v>9</v>
      </c>
      <c r="B2160" s="1" t="s">
        <v>133</v>
      </c>
      <c r="C2160" s="1" t="s">
        <v>19</v>
      </c>
      <c r="D2160" s="1" t="s">
        <v>232</v>
      </c>
      <c r="E2160" s="1" t="s">
        <v>1201</v>
      </c>
      <c r="F2160" s="1" t="s">
        <v>4324</v>
      </c>
      <c r="G2160" s="1" t="s">
        <v>36</v>
      </c>
      <c r="H2160" s="1" t="s">
        <v>29</v>
      </c>
      <c r="I2160" s="1" t="str">
        <f ca="1">IFERROR(__xludf.DUMMYFUNCTION("GOOGLETRANSLATE(F2160, ""auto"", ""en"")
"),"I bought Mvideo through an online store, everything is great. The cabinet is excellent, the clock is orange (it doesn’t irritate the eyes)) it works great.")</f>
        <v>I bought Mvideo through an online store, everything is great. The cabinet is excellent, the clock is orange (it doesn’t irritate the eyes)) it works great.</v>
      </c>
    </row>
    <row r="2161" spans="1:9" x14ac:dyDescent="0.3">
      <c r="A2161" s="1" t="s">
        <v>37</v>
      </c>
      <c r="B2161" s="1" t="s">
        <v>38</v>
      </c>
      <c r="C2161" s="1" t="s">
        <v>39</v>
      </c>
      <c r="D2161" s="1" t="s">
        <v>4325</v>
      </c>
      <c r="E2161" s="1" t="s">
        <v>1122</v>
      </c>
      <c r="F2161" s="1" t="s">
        <v>4326</v>
      </c>
      <c r="G2161" s="1" t="s">
        <v>36</v>
      </c>
      <c r="H2161" s="1" t="s">
        <v>29</v>
      </c>
      <c r="I2161" s="1" t="str">
        <f ca="1">IFERROR(__xludf.DUMMYFUNCTION("GOOGLETRANSLATE(F2161, ""auto"", ""en"")
"),"The phone is good and cheap, good camera, convenient, for that amount the phone is rated 5!!!")</f>
        <v>The phone is good and cheap, good camera, convenient, for that amount the phone is rated 5!!!</v>
      </c>
    </row>
    <row r="2162" spans="1:9" x14ac:dyDescent="0.3">
      <c r="A2162" s="1" t="s">
        <v>9</v>
      </c>
      <c r="B2162" s="1" t="s">
        <v>133</v>
      </c>
      <c r="C2162" s="1" t="s">
        <v>138</v>
      </c>
      <c r="D2162" s="1" t="s">
        <v>102</v>
      </c>
      <c r="E2162" s="1" t="s">
        <v>4327</v>
      </c>
      <c r="F2162" s="1" t="s">
        <v>4328</v>
      </c>
      <c r="G2162" s="1" t="s">
        <v>36</v>
      </c>
      <c r="H2162" s="1" t="s">
        <v>29</v>
      </c>
      <c r="I2162" s="1" t="str">
        <f ca="1">IFERROR(__xludf.DUMMYFUNCTION("GOOGLETRANSLATE(F2162, ""auto"", ""en"")
"),"Excellent oven, everything in it turns out very tasty. Bought in June, very pleased.")</f>
        <v>Excellent oven, everything in it turns out very tasty. Bought in June, very pleased.</v>
      </c>
    </row>
    <row r="2163" spans="1:9" x14ac:dyDescent="0.3">
      <c r="A2163" s="1" t="s">
        <v>9</v>
      </c>
      <c r="B2163" s="1" t="s">
        <v>23</v>
      </c>
      <c r="C2163" s="1" t="s">
        <v>134</v>
      </c>
      <c r="D2163" s="1" t="s">
        <v>4329</v>
      </c>
      <c r="E2163" s="1" t="s">
        <v>4330</v>
      </c>
      <c r="F2163" s="1" t="s">
        <v>4331</v>
      </c>
      <c r="G2163" s="1" t="s">
        <v>49</v>
      </c>
      <c r="H2163" s="1" t="s">
        <v>16</v>
      </c>
      <c r="I2163" s="1" t="str">
        <f ca="1">IFERROR(__xludf.DUMMYFUNCTION("GOOGLETRANSLATE(F2163, ""auto"", ""en"")
"),"I didn't find it.")</f>
        <v>I didn't find it.</v>
      </c>
    </row>
    <row r="2164" spans="1:9" x14ac:dyDescent="0.3">
      <c r="A2164" s="1" t="s">
        <v>30</v>
      </c>
      <c r="B2164" s="1" t="s">
        <v>50</v>
      </c>
      <c r="C2164" s="1" t="s">
        <v>32</v>
      </c>
      <c r="D2164" s="1" t="s">
        <v>1036</v>
      </c>
      <c r="E2164" s="1" t="s">
        <v>3266</v>
      </c>
      <c r="F2164" s="1" t="s">
        <v>4332</v>
      </c>
      <c r="G2164" s="1" t="s">
        <v>28</v>
      </c>
      <c r="H2164" s="1" t="s">
        <v>29</v>
      </c>
      <c r="I2164" s="1" t="str">
        <f ca="1">IFERROR(__xludf.DUMMYFUNCTION("GOOGLETRANSLATE(F2164, ""auto"", ""en"")
"),"Is it necessary to overpay for 1 extra GB of RAM? After all, with a 32-bit OS installed, it’s just a waste of money... And what’s even more strange is that it surprised me, this memory limits the capabilities of the laptop, reducing the overall performanc"&amp;"e according to Windows Vista to 4.8. Something is not enough for such a configuration. And, by the way, there is no information about THIS configuration on acer.ru. And a more subjective minus - I didn’t like the case material - cheap plastic, and, as a r"&amp;"esult, the touchpad felt terrible. Especially after a long experience with the HP Pavilion series.   The 16"" screen is ""slightly"" non-standard, it seems to be no longer 15.4"", and not yet 17"". So you will have to struggle with finding a good case (ba"&amp;"g). The announced absence of Bluetooth is very upsetting... So only a solid 4. P.S. For that kind of money you can buy better models.")</f>
        <v>Is it necessary to overpay for 1 extra GB of RAM? After all, with a 32-bit OS installed, it’s just a waste of money... And what’s even more strange is that it surprised me, this memory limits the capabilities of the laptop, reducing the overall performance according to Windows Vista to 4.8. Something is not enough for such a configuration. And, by the way, there is no information about THIS configuration on acer.ru. And a more subjective minus - I didn’t like the case material - cheap plastic, and, as a result, the touchpad felt terrible. Especially after a long experience with the HP Pavilion series.   The 16" screen is "slightly" non-standard, it seems to be no longer 15.4", and not yet 17". So you will have to struggle with finding a good case (bag). The announced absence of Bluetooth is very upsetting... So only a solid 4. P.S. For that kind of money you can buy better models.</v>
      </c>
    </row>
    <row r="2165" spans="1:9" x14ac:dyDescent="0.3">
      <c r="A2165" s="1" t="s">
        <v>149</v>
      </c>
      <c r="B2165" s="1" t="s">
        <v>155</v>
      </c>
      <c r="C2165" s="1" t="s">
        <v>1187</v>
      </c>
      <c r="D2165" s="1" t="s">
        <v>4333</v>
      </c>
      <c r="E2165" s="1" t="s">
        <v>1858</v>
      </c>
      <c r="F2165" s="1" t="s">
        <v>4334</v>
      </c>
      <c r="G2165" s="1" t="s">
        <v>36</v>
      </c>
      <c r="H2165" s="1" t="s">
        <v>29</v>
      </c>
      <c r="I2165" s="1" t="str">
        <f ca="1">IFERROR(__xludf.DUMMYFUNCTION("GOOGLETRANSLATE(F2165, ""auto"", ""en"")
"),"Thanks to the manager Salavat who recommended this vacuum cleaner (MIR shopping center). Very simple, easy to use, powerful.")</f>
        <v>Thanks to the manager Salavat who recommended this vacuum cleaner (MIR shopping center). Very simple, easy to use, powerful.</v>
      </c>
    </row>
    <row r="2166" spans="1:9" x14ac:dyDescent="0.3">
      <c r="A2166" s="1" t="s">
        <v>17</v>
      </c>
      <c r="B2166" s="1" t="s">
        <v>18</v>
      </c>
      <c r="C2166" s="1" t="s">
        <v>870</v>
      </c>
      <c r="D2166" s="1" t="s">
        <v>1431</v>
      </c>
      <c r="E2166" s="1" t="s">
        <v>4335</v>
      </c>
      <c r="F2166" s="1" t="s">
        <v>4336</v>
      </c>
      <c r="G2166" s="1" t="s">
        <v>36</v>
      </c>
      <c r="H2166" s="1" t="s">
        <v>29</v>
      </c>
      <c r="I2166" s="1" t="str">
        <f ca="1">IFERROR(__xludf.DUMMYFUNCTION("GOOGLETRANSLATE(F2166, ""auto"", ""en"")
"),"Nice car. The ideal spin speed is 600 rpm (at 1000 it started everything fine, it just vibrates a little scary), but if you have somewhere to dry it, it will be dry by the morning - without drying out: I’m talking about 600. I have it on rubber stands on "&amp;"a wooden floor. I also recommend using a tile stand. Use a good powder, consumption 125 grams for 30 minutes wash. I also liked the delivery, it was impossible to enter the yard: the delivery guys carried her in their arms (I saw from the window) 60 meter"&amp;"s like a bride: and they were very careful in the house.")</f>
        <v>Nice car. The ideal spin speed is 600 rpm (at 1000 it started everything fine, it just vibrates a little scary), but if you have somewhere to dry it, it will be dry by the morning - without drying out: I’m talking about 600. I have it on rubber stands on a wooden floor. I also recommend using a tile stand. Use a good powder, consumption 125 grams for 30 minutes wash. I also liked the delivery, it was impossible to enter the yard: the delivery guys carried her in their arms (I saw from the window) 60 meters like a bride: and they were very careful in the house.</v>
      </c>
    </row>
    <row r="2167" spans="1:9" x14ac:dyDescent="0.3">
      <c r="A2167" s="1" t="s">
        <v>120</v>
      </c>
      <c r="B2167" s="1" t="s">
        <v>121</v>
      </c>
      <c r="C2167" s="1" t="s">
        <v>122</v>
      </c>
      <c r="D2167" s="1" t="s">
        <v>280</v>
      </c>
      <c r="E2167" s="1" t="s">
        <v>2769</v>
      </c>
      <c r="F2167" s="1" t="s">
        <v>4337</v>
      </c>
      <c r="G2167" s="1" t="s">
        <v>36</v>
      </c>
      <c r="H2167" s="1" t="s">
        <v>29</v>
      </c>
      <c r="I2167" s="1" t="str">
        <f ca="1">IFERROR(__xludf.DUMMYFUNCTION("GOOGLETRANSLATE(F2167, ""auto"", ""en"")
"),"It's a little blurry from the common antenna. From other sources, the picture is super-class. When switching channels, the information line can be deleted or adjusted in seconds. You need to carefully study the instructions. The usb shows photos and high-"&amp;"quality video. I only checked the video from the card. In my opinion, this is a high-quality and reliable TV.")</f>
        <v>It's a little blurry from the common antenna. From other sources, the picture is super-class. When switching channels, the information line can be deleted or adjusted in seconds. You need to carefully study the instructions. The usb shows photos and high-quality video. I only checked the video from the card. In my opinion, this is a high-quality and reliable TV.</v>
      </c>
    </row>
    <row r="2168" spans="1:9" x14ac:dyDescent="0.3">
      <c r="A2168" s="1" t="s">
        <v>61</v>
      </c>
      <c r="B2168" s="1" t="s">
        <v>224</v>
      </c>
      <c r="C2168" s="1" t="s">
        <v>74</v>
      </c>
      <c r="D2168" s="1" t="s">
        <v>326</v>
      </c>
      <c r="E2168" s="1" t="s">
        <v>3397</v>
      </c>
      <c r="F2168" s="1" t="s">
        <v>4338</v>
      </c>
      <c r="G2168" s="1" t="s">
        <v>28</v>
      </c>
      <c r="H2168" s="1" t="s">
        <v>29</v>
      </c>
      <c r="I2168" s="1" t="str">
        <f ca="1">IFERROR(__xludf.DUMMYFUNCTION("GOOGLETRANSLATE(F2168, ""auto"", ""en"")
"),"This is our first juicer, I’m happy with the quality of the extraction; if you put some effort into it, you can squeeze out a couple of drops. Although it’s quick to wash, it’s a chore (especially the mesh), I think that’s how they all wash. Plastic reall"&amp;"y gets colored from carrots, I think beets will do the same (I haven’t tried it yet).")</f>
        <v>This is our first juicer, I’m happy with the quality of the extraction; if you put some effort into it, you can squeeze out a couple of drops. Although it’s quick to wash, it’s a chore (especially the mesh), I think that’s how they all wash. Plastic really gets colored from carrots, I think beets will do the same (I haven’t tried it yet).</v>
      </c>
    </row>
    <row r="2169" spans="1:9" x14ac:dyDescent="0.3">
      <c r="A2169" s="1" t="s">
        <v>30</v>
      </c>
      <c r="B2169" s="1" t="s">
        <v>50</v>
      </c>
      <c r="C2169" s="1" t="s">
        <v>1386</v>
      </c>
      <c r="D2169" s="1" t="s">
        <v>4339</v>
      </c>
      <c r="E2169" s="1" t="s">
        <v>201</v>
      </c>
      <c r="F2169" s="1" t="s">
        <v>4340</v>
      </c>
      <c r="G2169" s="1" t="s">
        <v>36</v>
      </c>
      <c r="H2169" s="1" t="s">
        <v>29</v>
      </c>
      <c r="I2169" s="1" t="str">
        <f ca="1">IFERROR(__xludf.DUMMYFUNCTION("GOOGLETRANSLATE(F2169, ""auto"", ""en"")
"),"For me, it’s a very good computer, there’s nothing superfluous. Tell me just one thing, how are the games on it? Does everything work? I want to buy it.")</f>
        <v>For me, it’s a very good computer, there’s nothing superfluous. Tell me just one thing, how are the games on it? Does everything work? I want to buy it.</v>
      </c>
    </row>
    <row r="2170" spans="1:9" x14ac:dyDescent="0.3">
      <c r="A2170" s="1" t="s">
        <v>149</v>
      </c>
      <c r="B2170" s="1" t="s">
        <v>423</v>
      </c>
      <c r="C2170" s="1" t="s">
        <v>314</v>
      </c>
      <c r="D2170" s="1" t="s">
        <v>335</v>
      </c>
      <c r="E2170" s="1" t="s">
        <v>4330</v>
      </c>
      <c r="F2170" s="1" t="s">
        <v>4341</v>
      </c>
      <c r="G2170" s="1" t="s">
        <v>36</v>
      </c>
      <c r="H2170" s="1" t="s">
        <v>29</v>
      </c>
      <c r="I2170" s="1" t="str">
        <f ca="1">IFERROR(__xludf.DUMMYFUNCTION("GOOGLETRANSLATE(F2170, ""auto"", ""en"")
"),"I'm happy with the vacuum cleaner! The aqua filter is simply super since there is a dog in the house and there is no smell when cleaning. We did dry cleaning in the car - great. For me, it’s not very convenient that when you need to collect water you need"&amp;" to put on the nozzle along with the hose to spray the liquid. For the money, the vacuum cleaner is simply awesome)))))) for me it’s just great!")</f>
        <v>I'm happy with the vacuum cleaner! The aqua filter is simply super since there is a dog in the house and there is no smell when cleaning. We did dry cleaning in the car - great. For me, it’s not very convenient that when you need to collect water you need to put on the nozzle along with the hose to spray the liquid. For the money, the vacuum cleaner is simply awesome)))))) for me it’s just great!</v>
      </c>
    </row>
    <row r="2171" spans="1:9" x14ac:dyDescent="0.3">
      <c r="A2171" s="1" t="s">
        <v>111</v>
      </c>
      <c r="B2171" s="1" t="s">
        <v>112</v>
      </c>
      <c r="C2171" s="1" t="s">
        <v>113</v>
      </c>
      <c r="D2171" s="1" t="s">
        <v>305</v>
      </c>
      <c r="E2171" s="1" t="s">
        <v>4342</v>
      </c>
      <c r="F2171" s="1" t="s">
        <v>4343</v>
      </c>
      <c r="G2171" s="1" t="s">
        <v>49</v>
      </c>
      <c r="H2171" s="1" t="s">
        <v>16</v>
      </c>
      <c r="I2171" s="1" t="str">
        <f ca="1">IFERROR(__xludf.DUMMYFUNCTION("GOOGLETRANSLATE(F2171, ""auto"", ""en"")
"),"Used at the dacha. There was a voltage surge to 380v. Burnt out.")</f>
        <v>Used at the dacha. There was a voltage surge to 380v. Burnt out.</v>
      </c>
    </row>
    <row r="2172" spans="1:9" x14ac:dyDescent="0.3">
      <c r="A2172" s="1" t="s">
        <v>211</v>
      </c>
      <c r="B2172" s="1" t="s">
        <v>410</v>
      </c>
      <c r="C2172" s="1" t="s">
        <v>213</v>
      </c>
      <c r="D2172" s="1" t="s">
        <v>39</v>
      </c>
      <c r="E2172" s="1" t="s">
        <v>672</v>
      </c>
      <c r="F2172" s="1" t="s">
        <v>4344</v>
      </c>
      <c r="G2172" s="1" t="s">
        <v>36</v>
      </c>
      <c r="H2172" s="1" t="s">
        <v>29</v>
      </c>
      <c r="I2172" s="1" t="str">
        <f ca="1">IFERROR(__xludf.DUMMYFUNCTION("GOOGLETRANSLATE(F2172, ""auto"", ""en"")
"),"The razor is excellent. I bought it today. The trimmer is good. She shaves quickly and cleanly. Not particularly noisy. I am very pleased with the purchase. The 2 year warranty is also a nice bonus. Take it, you won't regret it.")</f>
        <v>The razor is excellent. I bought it today. The trimmer is good. She shaves quickly and cleanly. Not particularly noisy. I am very pleased with the purchase. The 2 year warranty is also a nice bonus. Take it, you won't regret it.</v>
      </c>
    </row>
    <row r="2173" spans="1:9" x14ac:dyDescent="0.3">
      <c r="A2173" s="1" t="s">
        <v>211</v>
      </c>
      <c r="B2173" s="1" t="s">
        <v>856</v>
      </c>
      <c r="C2173" s="1" t="s">
        <v>57</v>
      </c>
      <c r="D2173" s="1" t="s">
        <v>326</v>
      </c>
      <c r="E2173" s="1" t="s">
        <v>4345</v>
      </c>
      <c r="F2173" s="1" t="s">
        <v>4346</v>
      </c>
      <c r="G2173" s="1" t="s">
        <v>49</v>
      </c>
      <c r="H2173" s="1" t="s">
        <v>16</v>
      </c>
      <c r="I2173" s="1" t="str">
        <f ca="1">IFERROR(__xludf.DUMMYFUNCTION("GOOGLETRANSLATE(F2173, ""auto"", ""en"")
"),"1) I didn’t notice anything positive 2) low-power, stops when pressed, low-quality drills, ineffective at all 3) I wasted my money :-(")</f>
        <v>1) I didn’t notice anything positive 2) low-power, stops when pressed, low-quality drills, ineffective at all 3) I wasted my money :-(</v>
      </c>
    </row>
    <row r="2174" spans="1:9" x14ac:dyDescent="0.3">
      <c r="A2174" s="1" t="s">
        <v>61</v>
      </c>
      <c r="B2174" s="1" t="s">
        <v>726</v>
      </c>
      <c r="C2174" s="1" t="s">
        <v>74</v>
      </c>
      <c r="D2174" s="1" t="s">
        <v>4347</v>
      </c>
      <c r="E2174" s="1" t="s">
        <v>3327</v>
      </c>
      <c r="F2174" s="1" t="s">
        <v>4348</v>
      </c>
      <c r="G2174" s="1" t="s">
        <v>28</v>
      </c>
      <c r="H2174" s="1" t="s">
        <v>29</v>
      </c>
      <c r="I2174" s="1" t="str">
        <f ca="1">IFERROR(__xludf.DUMMYFUNCTION("GOOGLETRANSLATE(F2174, ""auto"", ""en"")
"),"I have been using this bread maker for over a month almost every day. I tried many recipes. Satisfied with most, but the top does not brown. Baking helps. But not always. I use yolk for sweet bread, and sunflower oil for wheat bread. I continue to hope th"&amp;"at the device can warm up and will bring everything up to standard on its own. And one more thing: all the recipes in the book need to be corrected - this is a minus.")</f>
        <v>I have been using this bread maker for over a month almost every day. I tried many recipes. Satisfied with most, but the top does not brown. Baking helps. But not always. I use yolk for sweet bread, and sunflower oil for wheat bread. I continue to hope that the device can warm up and will bring everything up to standard on its own. And one more thing: all the recipes in the book need to be corrected - this is a minus.</v>
      </c>
    </row>
    <row r="2175" spans="1:9" x14ac:dyDescent="0.3">
      <c r="A2175" s="1" t="s">
        <v>211</v>
      </c>
      <c r="B2175" s="1" t="s">
        <v>410</v>
      </c>
      <c r="C2175" s="1" t="s">
        <v>69</v>
      </c>
      <c r="D2175" s="1" t="s">
        <v>305</v>
      </c>
      <c r="E2175" s="1" t="s">
        <v>4284</v>
      </c>
      <c r="F2175" s="1" t="s">
        <v>4349</v>
      </c>
      <c r="G2175" s="1" t="s">
        <v>36</v>
      </c>
      <c r="H2175" s="1" t="s">
        <v>29</v>
      </c>
      <c r="I2175" s="1" t="str">
        <f ca="1">IFERROR(__xludf.DUMMYFUNCTION("GOOGLETRANSLATE(F2175, ""auto"", ""en"")
"),"I bought it today and am very pleased with this razor in every way, thanks to m-video and the consultant. Works very well and shave cleanly 5+.")</f>
        <v>I bought it today and am very pleased with this razor in every way, thanks to m-video and the consultant. Works very well and shave cleanly 5+.</v>
      </c>
    </row>
    <row r="2176" spans="1:9" x14ac:dyDescent="0.3">
      <c r="A2176" s="1" t="s">
        <v>30</v>
      </c>
      <c r="B2176" s="1" t="s">
        <v>50</v>
      </c>
      <c r="C2176" s="1" t="s">
        <v>1003</v>
      </c>
      <c r="D2176" s="1" t="s">
        <v>4350</v>
      </c>
      <c r="E2176" s="1" t="s">
        <v>2512</v>
      </c>
      <c r="F2176" s="1" t="s">
        <v>4351</v>
      </c>
      <c r="G2176" s="1" t="s">
        <v>28</v>
      </c>
      <c r="H2176" s="1" t="s">
        <v>29</v>
      </c>
      <c r="I2176" s="1" t="str">
        <f ca="1">IFERROR(__xludf.DUMMYFUNCTION("GOOGLETRANSLATE(F2176, ""auto"", ""en"")
"),"Excellent laptop except that the background picture cannot be installed, there were no bags, but they gave a hard drive as a gift")</f>
        <v>Excellent laptop except that the background picture cannot be installed, there were no bags, but they gave a hard drive as a gift</v>
      </c>
    </row>
    <row r="2177" spans="1:9" x14ac:dyDescent="0.3">
      <c r="A2177" s="1" t="s">
        <v>61</v>
      </c>
      <c r="B2177" s="1" t="s">
        <v>318</v>
      </c>
      <c r="C2177" s="1" t="s">
        <v>101</v>
      </c>
      <c r="D2177" s="1" t="s">
        <v>280</v>
      </c>
      <c r="E2177" s="1" t="s">
        <v>1312</v>
      </c>
      <c r="F2177" s="1" t="s">
        <v>4352</v>
      </c>
      <c r="G2177" s="1" t="s">
        <v>36</v>
      </c>
      <c r="H2177" s="1" t="s">
        <v>29</v>
      </c>
      <c r="I2177" s="1" t="str">
        <f ca="1">IFERROR(__xludf.DUMMYFUNCTION("GOOGLETRANSLATE(F2177, ""auto"", ""en"")
"),"A very decent kettle for its price. The noise is average, there is a red backlight. We've had it for 3 years now. I recommend!")</f>
        <v>A very decent kettle for its price. The noise is average, there is a red backlight. We've had it for 3 years now. I recommend!</v>
      </c>
    </row>
    <row r="2178" spans="1:9" x14ac:dyDescent="0.3">
      <c r="A2178" s="1" t="s">
        <v>61</v>
      </c>
      <c r="B2178" s="1" t="s">
        <v>318</v>
      </c>
      <c r="C2178" s="1" t="s">
        <v>74</v>
      </c>
      <c r="D2178" s="1" t="s">
        <v>247</v>
      </c>
      <c r="E2178" s="1" t="s">
        <v>1603</v>
      </c>
      <c r="F2178" s="1" t="s">
        <v>4353</v>
      </c>
      <c r="G2178" s="1" t="s">
        <v>36</v>
      </c>
      <c r="H2178" s="1" t="s">
        <v>29</v>
      </c>
      <c r="I2178" s="1" t="str">
        <f ca="1">IFERROR(__xludf.DUMMYFUNCTION("GOOGLETRANSLATE(F2178, ""auto"", ""en"")
"),"The kettle is good, it lasted 2.5 years, there were no problems. The smell of plastic disappeared very quickly. It always turned off. Heated the water quickly. Nothing broke, although it was used a lot! I think it’s a fairly reliable kettle. My parents ha"&amp;"ve the same one, no problems either! The other day my kettle leaked. I wanted to buy the same one. But I bought another one, but only to try a new one! But I think that the kettle is good!")</f>
        <v>The kettle is good, it lasted 2.5 years, there were no problems. The smell of plastic disappeared very quickly. It always turned off. Heated the water quickly. Nothing broke, although it was used a lot! I think it’s a fairly reliable kettle. My parents have the same one, no problems either! The other day my kettle leaked. I wanted to buy the same one. But I bought another one, but only to try a new one! But I think that the kettle is good!</v>
      </c>
    </row>
    <row r="2179" spans="1:9" x14ac:dyDescent="0.3">
      <c r="A2179" s="1" t="s">
        <v>37</v>
      </c>
      <c r="B2179" s="1" t="s">
        <v>38</v>
      </c>
      <c r="C2179" s="1" t="s">
        <v>69</v>
      </c>
      <c r="D2179" s="1" t="s">
        <v>4354</v>
      </c>
      <c r="E2179" s="1" t="s">
        <v>750</v>
      </c>
      <c r="F2179" s="1" t="s">
        <v>4355</v>
      </c>
      <c r="G2179" s="1" t="s">
        <v>36</v>
      </c>
      <c r="H2179" s="1" t="s">
        <v>29</v>
      </c>
      <c r="I2179" s="1" t="str">
        <f ca="1">IFERROR(__xludf.DUMMYFUNCTION("GOOGLETRANSLATE(F2179, ""auto"", ""en"")
"),"Thing!!!! I mainly bought the battery and it did not disappoint.  There are few complaints. The alarm clock (already described) missed the first call. There are problems loading videos... but these are no longer phone problems.")</f>
        <v>Thing!!!! I mainly bought the battery and it did not disappoint.  There are few complaints. The alarm clock (already described) missed the first call. There are problems loading videos... but these are no longer phone problems.</v>
      </c>
    </row>
    <row r="2180" spans="1:9" x14ac:dyDescent="0.3">
      <c r="A2180" s="1" t="s">
        <v>120</v>
      </c>
      <c r="B2180" s="1" t="s">
        <v>126</v>
      </c>
      <c r="C2180" s="1" t="s">
        <v>151</v>
      </c>
      <c r="D2180" s="1" t="s">
        <v>52</v>
      </c>
      <c r="E2180" s="1" t="s">
        <v>393</v>
      </c>
      <c r="F2180" s="1" t="s">
        <v>4356</v>
      </c>
      <c r="G2180" s="1" t="s">
        <v>36</v>
      </c>
      <c r="H2180" s="1" t="s">
        <v>29</v>
      </c>
      <c r="I2180" s="1" t="str">
        <f ca="1">IFERROR(__xludf.DUMMYFUNCTION("GOOGLETRANSLATE(F2180, ""auto"", ""en"")
"),"We took the TV today, in the store it looked much smaller))) when we put it in the wall at home and went nuts!!! firstly, it did not fit into it))) secondly, the screen is surprisingly large! I recommend! Now we download the movie onto a flash drive to wa"&amp;"tch on TV :) the settings are great, I didn’t expect this.")</f>
        <v>We took the TV today, in the store it looked much smaller))) when we put it in the wall at home and went nuts!!! firstly, it did not fit into it))) secondly, the screen is surprisingly large! I recommend! Now we download the movie onto a flash drive to watch on TV :) the settings are great, I didn’t expect this.</v>
      </c>
    </row>
    <row r="2181" spans="1:9" x14ac:dyDescent="0.3">
      <c r="A2181" s="1" t="s">
        <v>9</v>
      </c>
      <c r="B2181" s="1" t="s">
        <v>137</v>
      </c>
      <c r="C2181" s="1" t="s">
        <v>151</v>
      </c>
      <c r="D2181" s="1" t="s">
        <v>308</v>
      </c>
      <c r="E2181" s="1" t="s">
        <v>415</v>
      </c>
      <c r="F2181" s="1" t="s">
        <v>4357</v>
      </c>
      <c r="G2181" s="1" t="s">
        <v>36</v>
      </c>
      <c r="H2181" s="1" t="s">
        <v>29</v>
      </c>
      <c r="I2181" s="1" t="str">
        <f ca="1">IFERROR(__xludf.DUMMYFUNCTION("GOOGLETRANSLATE(F2181, ""auto"", ""en"")
"),"We really liked it both in design and functionality. The double-flame burner is especially delightful; the kettle boils in a matter of minutes. The high grill prevents the glass from overheating and does not melt the rubber feet.")</f>
        <v>We really liked it both in design and functionality. The double-flame burner is especially delightful; the kettle boils in a matter of minutes. The high grill prevents the glass from overheating and does not melt the rubber feet.</v>
      </c>
    </row>
    <row r="2182" spans="1:9" x14ac:dyDescent="0.3">
      <c r="A2182" s="1" t="s">
        <v>1119</v>
      </c>
      <c r="B2182" s="1" t="s">
        <v>1120</v>
      </c>
      <c r="C2182" s="1" t="s">
        <v>97</v>
      </c>
      <c r="D2182" s="1" t="s">
        <v>86</v>
      </c>
      <c r="E2182" s="1" t="s">
        <v>2298</v>
      </c>
      <c r="F2182" s="1" t="s">
        <v>4358</v>
      </c>
      <c r="G2182" s="1" t="s">
        <v>36</v>
      </c>
      <c r="H2182" s="1" t="s">
        <v>29</v>
      </c>
      <c r="I2182" s="1" t="str">
        <f ca="1">IFERROR(__xludf.DUMMYFUNCTION("GOOGLETRANSLATE(F2182, ""auto"", ""en"")
"),"I want to buy it, but I don’t have the money, I have to wait for a bonus :-) Oh, cool!")</f>
        <v>I want to buy it, but I don’t have the money, I have to wait for a bonus :-) Oh, cool!</v>
      </c>
    </row>
    <row r="2183" spans="1:9" x14ac:dyDescent="0.3">
      <c r="A2183" s="1" t="s">
        <v>67</v>
      </c>
      <c r="B2183" s="1" t="s">
        <v>68</v>
      </c>
      <c r="C2183" s="1" t="s">
        <v>63</v>
      </c>
      <c r="D2183" s="1" t="s">
        <v>1890</v>
      </c>
      <c r="E2183" s="1" t="s">
        <v>1569</v>
      </c>
      <c r="F2183" s="1" t="s">
        <v>4359</v>
      </c>
      <c r="G2183" s="1" t="s">
        <v>49</v>
      </c>
      <c r="H2183" s="1" t="s">
        <v>16</v>
      </c>
      <c r="I2183" s="1" t="str">
        <f ca="1">IFERROR(__xludf.DUMMYFUNCTION("GOOGLETRANSLATE(F2183, ""auto"", ""en"")
"),"Appearance and price")</f>
        <v>Appearance and price</v>
      </c>
    </row>
    <row r="2184" spans="1:9" x14ac:dyDescent="0.3">
      <c r="A2184" s="1" t="s">
        <v>61</v>
      </c>
      <c r="B2184" s="1" t="s">
        <v>977</v>
      </c>
      <c r="C2184" s="1" t="s">
        <v>69</v>
      </c>
      <c r="D2184" s="1" t="s">
        <v>4360</v>
      </c>
      <c r="E2184" s="1" t="s">
        <v>4361</v>
      </c>
      <c r="F2184" s="1" t="s">
        <v>4362</v>
      </c>
      <c r="G2184" s="1" t="s">
        <v>15</v>
      </c>
      <c r="H2184" s="1" t="s">
        <v>16</v>
      </c>
      <c r="I2184" s="1" t="str">
        <f ca="1">IFERROR(__xludf.DUMMYFUNCTION("GOOGLETRANSLATE(F2184, ""auto"", ""en"")
"),"I bought a blender on sale and prepared fruit and juice. After you turn it on, the machine thinks for a long time, then with a terrible noise and an unpleasant smell it starts making smoothies. In the end, I held out a couple of times, and then broke.")</f>
        <v>I bought a blender on sale and prepared fruit and juice. After you turn it on, the machine thinks for a long time, then with a terrible noise and an unpleasant smell it starts making smoothies. In the end, I held out a couple of times, and then broke.</v>
      </c>
    </row>
    <row r="2185" spans="1:9" x14ac:dyDescent="0.3">
      <c r="A2185" s="1" t="s">
        <v>17</v>
      </c>
      <c r="B2185" s="1" t="s">
        <v>18</v>
      </c>
      <c r="C2185" s="1" t="s">
        <v>63</v>
      </c>
      <c r="D2185" s="1" t="s">
        <v>117</v>
      </c>
      <c r="E2185" s="1" t="s">
        <v>4363</v>
      </c>
      <c r="F2185" s="1" t="s">
        <v>4364</v>
      </c>
      <c r="G2185" s="1" t="s">
        <v>36</v>
      </c>
      <c r="H2185" s="1" t="s">
        <v>29</v>
      </c>
      <c r="I2185" s="1" t="str">
        <f ca="1">IFERROR(__xludf.DUMMYFUNCTION("GOOGLETRANSLATE(F2185, ""auto"", ""en"")
"),"I bought this washing machine for my mother last week, it works quite quietly, it washes perfectly. For an elderly person it is very simple and easy to use. Mother is very pleased. The machine works at 5+ I recommend it to everyone!")</f>
        <v>I bought this washing machine for my mother last week, it works quite quietly, it washes perfectly. For an elderly person it is very simple and easy to use. Mother is very pleased. The machine works at 5+ I recommend it to everyone!</v>
      </c>
    </row>
    <row r="2186" spans="1:9" x14ac:dyDescent="0.3">
      <c r="A2186" s="1" t="s">
        <v>120</v>
      </c>
      <c r="B2186" s="1" t="s">
        <v>121</v>
      </c>
      <c r="C2186" s="1" t="s">
        <v>97</v>
      </c>
      <c r="D2186" s="1" t="s">
        <v>305</v>
      </c>
      <c r="E2186" s="1" t="s">
        <v>2265</v>
      </c>
      <c r="F2186" s="1" t="s">
        <v>4365</v>
      </c>
      <c r="G2186" s="1" t="s">
        <v>36</v>
      </c>
      <c r="H2186" s="1" t="s">
        <v>29</v>
      </c>
      <c r="I2186" s="1" t="str">
        <f ca="1">IFERROR(__xludf.DUMMYFUNCTION("GOOGLETRANSLATE(F2186, ""auto"", ""en"")
"),"The TV is equipped with powerful electronic components. I watch cable channels and movies via HDMI from my computer - it shows great. The only negative is the inconvenient control panel. The channel and sound switching buttons are located at the bottom.")</f>
        <v>The TV is equipped with powerful electronic components. I watch cable channels and movies via HDMI from my computer - it shows great. The only negative is the inconvenient control panel. The channel and sound switching buttons are located at the bottom.</v>
      </c>
    </row>
    <row r="2187" spans="1:9" x14ac:dyDescent="0.3">
      <c r="A2187" s="1" t="s">
        <v>67</v>
      </c>
      <c r="B2187" s="1" t="s">
        <v>68</v>
      </c>
      <c r="C2187" s="1" t="s">
        <v>246</v>
      </c>
      <c r="D2187" s="1" t="s">
        <v>113</v>
      </c>
      <c r="E2187" s="1" t="s">
        <v>4366</v>
      </c>
      <c r="F2187" s="1" t="s">
        <v>4367</v>
      </c>
      <c r="G2187" s="1" t="s">
        <v>36</v>
      </c>
      <c r="H2187" s="1" t="s">
        <v>29</v>
      </c>
      <c r="I2187" s="1" t="str">
        <f ca="1">IFERROR(__xludf.DUMMYFUNCTION("GOOGLETRANSLATE(F2187, ""auto"", ""en"")
"),"I forgot to turn off the iron and left it for 4 hours!!!! It didn’t even burn out anywhere. WORKS EXCELLENT. I RECOMMEND BUYING!!!")</f>
        <v>I forgot to turn off the iron and left it for 4 hours!!!! It didn’t even burn out anywhere. WORKS EXCELLENT. I RECOMMEND BUYING!!!</v>
      </c>
    </row>
    <row r="2188" spans="1:9" x14ac:dyDescent="0.3">
      <c r="A2188" s="1" t="s">
        <v>9</v>
      </c>
      <c r="B2188" s="1" t="s">
        <v>10</v>
      </c>
      <c r="C2188" s="1" t="s">
        <v>466</v>
      </c>
      <c r="D2188" s="1" t="s">
        <v>64</v>
      </c>
      <c r="E2188" s="1" t="s">
        <v>1515</v>
      </c>
      <c r="F2188" s="1" t="s">
        <v>4368</v>
      </c>
      <c r="G2188" s="1" t="s">
        <v>36</v>
      </c>
      <c r="H2188" s="1" t="s">
        <v>29</v>
      </c>
      <c r="I2188" s="1" t="str">
        <f ca="1">IFERROR(__xludf.DUMMYFUNCTION("GOOGLETRANSLATE(F2188, ""auto"", ""en"")
"),"Small body, yellow light, quiet operation")</f>
        <v>Small body, yellow light, quiet operation</v>
      </c>
    </row>
    <row r="2189" spans="1:9" x14ac:dyDescent="0.3">
      <c r="A2189" s="1" t="s">
        <v>9</v>
      </c>
      <c r="B2189" s="1" t="s">
        <v>10</v>
      </c>
      <c r="C2189" s="1" t="s">
        <v>407</v>
      </c>
      <c r="D2189" s="1" t="s">
        <v>545</v>
      </c>
      <c r="E2189" s="1" t="s">
        <v>4369</v>
      </c>
      <c r="F2189" s="1" t="s">
        <v>4370</v>
      </c>
      <c r="G2189" s="1" t="s">
        <v>28</v>
      </c>
      <c r="H2189" s="1" t="s">
        <v>29</v>
      </c>
      <c r="I2189" s="1" t="str">
        <f ca="1">IFERROR(__xludf.DUMMYFUNCTION("GOOGLETRANSLATE(F2189, ""auto"", ""en"")
"),"We have been using the hood for 6 months, it works in recirculation mode, there is no window in the kitchen, only a door to the loggia, the hob is electric, hanging above the stove at a distance of 76 cm. In modes 2 and 3 it is very noisy, modes 3 and 2. "&amp;"I use it only when frying meat and cutlets, it completely eliminates the smell. In mode 1 it’s not very noisy, I cook quietly. When the hood is turned off, the blades drop with a bang. Since it works in recirculation mode, the installer said that there is"&amp;" no need to remove them; if you take them into the ventilation, the blades can be removed. One minus - the clock is fast. I'm happy with the hood, rating 4 because of the clock.")</f>
        <v>We have been using the hood for 6 months, it works in recirculation mode, there is no window in the kitchen, only a door to the loggia, the hob is electric, hanging above the stove at a distance of 76 cm. In modes 2 and 3 it is very noisy, modes 3 and 2. I use it only when frying meat and cutlets, it completely eliminates the smell. In mode 1 it’s not very noisy, I cook quietly. When the hood is turned off, the blades drop with a bang. Since it works in recirculation mode, the installer said that there is no need to remove them; if you take them into the ventilation, the blades can be removed. One minus - the clock is fast. I'm happy with the hood, rating 4 because of the clock.</v>
      </c>
    </row>
    <row r="2190" spans="1:9" x14ac:dyDescent="0.3">
      <c r="A2190" s="1" t="s">
        <v>211</v>
      </c>
      <c r="B2190" s="1" t="s">
        <v>515</v>
      </c>
      <c r="C2190" s="1" t="s">
        <v>213</v>
      </c>
      <c r="D2190" s="1" t="s">
        <v>4371</v>
      </c>
      <c r="E2190" s="1" t="s">
        <v>2103</v>
      </c>
      <c r="F2190" s="1" t="s">
        <v>4372</v>
      </c>
      <c r="G2190" s="1" t="s">
        <v>94</v>
      </c>
      <c r="H2190" s="1" t="s">
        <v>29</v>
      </c>
      <c r="I2190" s="1" t="str">
        <f ca="1">IFERROR(__xludf.DUMMYFUNCTION("GOOGLETRANSLATE(F2190, ""auto"", ""en"")
"),"Affordable price, quite good quality, compact Braun Silk-épil 1 1370 fits even in a small handbag and is convenient to take with you and easy to clean.")</f>
        <v>Affordable price, quite good quality, compact Braun Silk-épil 1 1370 fits even in a small handbag and is convenient to take with you and easy to clean.</v>
      </c>
    </row>
    <row r="2191" spans="1:9" x14ac:dyDescent="0.3">
      <c r="A2191" s="1" t="s">
        <v>37</v>
      </c>
      <c r="B2191" s="1" t="s">
        <v>536</v>
      </c>
      <c r="C2191" s="1" t="s">
        <v>163</v>
      </c>
      <c r="D2191" s="1" t="s">
        <v>4373</v>
      </c>
      <c r="E2191" s="1" t="s">
        <v>3775</v>
      </c>
      <c r="F2191" s="1" t="s">
        <v>4374</v>
      </c>
      <c r="G2191" s="1" t="s">
        <v>15</v>
      </c>
      <c r="H2191" s="1" t="s">
        <v>16</v>
      </c>
      <c r="I2191" s="1" t="str">
        <f ca="1">IFERROR(__xludf.DUMMYFUNCTION("GOOGLETRANSLATE(F2191, ""auto"", ""en"")
"),"I bought it in March last year.. I changed the firmware in May, it worked fine until October, then it started to freeze and turn off when I called.. here even a careful attitude doesn’t help.. so I’m thinking of taking it to the service center while it’s "&amp;"still under warranty.. it’s a shame. So the phone is not bad, the sound is excellent, the menu is convenient.   I don't recommend taking it. I still can’t find it in the settings: how to make sure that when transferring via Bluetooth, files are saved in t"&amp;"he folder immediately, and not received as SMS messages...")</f>
        <v>I bought it in March last year.. I changed the firmware in May, it worked fine until October, then it started to freeze and turn off when I called.. here even a careful attitude doesn’t help.. so I’m thinking of taking it to the service center while it’s still under warranty.. it’s a shame. So the phone is not bad, the sound is excellent, the menu is convenient.   I don't recommend taking it. I still can’t find it in the settings: how to make sure that when transferring via Bluetooth, files are saved in the folder immediately, and not received as SMS messages...</v>
      </c>
    </row>
    <row r="2192" spans="1:9" x14ac:dyDescent="0.3">
      <c r="A2192" s="1" t="s">
        <v>211</v>
      </c>
      <c r="B2192" s="1" t="s">
        <v>899</v>
      </c>
      <c r="C2192" s="1" t="s">
        <v>213</v>
      </c>
      <c r="D2192" s="1" t="s">
        <v>545</v>
      </c>
      <c r="E2192" s="1" t="s">
        <v>4375</v>
      </c>
      <c r="F2192" s="1" t="s">
        <v>4376</v>
      </c>
      <c r="G2192" s="1" t="s">
        <v>36</v>
      </c>
      <c r="H2192" s="1" t="s">
        <v>29</v>
      </c>
      <c r="I2192" s="1" t="str">
        <f ca="1">IFERROR(__xludf.DUMMYFUNCTION("GOOGLETRANSLATE(F2192, ""auto"", ""en"")
"),"It turned out to be a very cool thing, and now it’s simply irreplaceable for me (I’m no longer satisfied with the quality of cleaning with a regular brush). For many years I suffered with tartar on my teeth and bleeding gums, and after using this brush fo"&amp;"r more than a year, the dentist asked, “Where are you going with stones?” ))) In general, I advise everyone not to waste money on their health!")</f>
        <v>It turned out to be a very cool thing, and now it’s simply irreplaceable for me (I’m no longer satisfied with the quality of cleaning with a regular brush). For many years I suffered with tartar on my teeth and bleeding gums, and after using this brush for more than a year, the dentist asked, “Where are you going with stones?” ))) In general, I advise everyone not to waste money on their health!</v>
      </c>
    </row>
    <row r="2193" spans="1:9" x14ac:dyDescent="0.3">
      <c r="A2193" s="1" t="s">
        <v>282</v>
      </c>
      <c r="B2193" s="1" t="s">
        <v>806</v>
      </c>
      <c r="C2193" s="1" t="s">
        <v>284</v>
      </c>
      <c r="D2193" s="1" t="s">
        <v>81</v>
      </c>
      <c r="E2193" s="1" t="s">
        <v>1290</v>
      </c>
      <c r="F2193" s="1" t="s">
        <v>4377</v>
      </c>
      <c r="G2193" s="1" t="s">
        <v>36</v>
      </c>
      <c r="H2193" s="1" t="s">
        <v>29</v>
      </c>
      <c r="I2193" s="1" t="str">
        <f ca="1">IFERROR(__xludf.DUMMYFUNCTION("GOOGLETRANSLATE(F2193, ""auto"", ""en"")
"),"The film turned out to be VERY exciting and interesting. It may not have a jungle or such a mystery as in the first part, BUT the film has taken an honorable place in my home collection!")</f>
        <v>The film turned out to be VERY exciting and interesting. It may not have a jungle or such a mystery as in the first part, BUT the film has taken an honorable place in my home collection!</v>
      </c>
    </row>
    <row r="2194" spans="1:9" x14ac:dyDescent="0.3">
      <c r="A2194" s="1" t="s">
        <v>120</v>
      </c>
      <c r="B2194" s="1" t="s">
        <v>121</v>
      </c>
      <c r="C2194" s="1" t="s">
        <v>80</v>
      </c>
      <c r="D2194" s="1" t="s">
        <v>127</v>
      </c>
      <c r="E2194" s="1" t="s">
        <v>430</v>
      </c>
      <c r="F2194" s="1" t="s">
        <v>4378</v>
      </c>
      <c r="G2194" s="1" t="s">
        <v>36</v>
      </c>
      <c r="H2194" s="1" t="s">
        <v>29</v>
      </c>
      <c r="I2194" s="1" t="str">
        <f ca="1">IFERROR(__xludf.DUMMYFUNCTION("GOOGLETRANSLATE(F2194, ""auto"", ""en"")
"),"I was pleasantly surprised by the quality of analog signal reception (outdoor antenna). It shows better than TV with a beam tube. I didn’t expect it. The room is standard 18 square meters, the distance to the screen is 3 meters. There are no artifacts, li"&amp;"ttle noise. In short, a cool picture!    What about the built-in media player? Separately, it costs 4,500 rubles. It turns out that you don’t need a DVD player! 100% satisfied.")</f>
        <v>I was pleasantly surprised by the quality of analog signal reception (outdoor antenna). It shows better than TV with a beam tube. I didn’t expect it. The room is standard 18 square meters, the distance to the screen is 3 meters. There are no artifacts, little noise. In short, a cool picture!    What about the built-in media player? Separately, it costs 4,500 rubles. It turns out that you don’t need a DVD player! 100% satisfied.</v>
      </c>
    </row>
    <row r="2195" spans="1:9" x14ac:dyDescent="0.3">
      <c r="A2195" s="1" t="s">
        <v>369</v>
      </c>
      <c r="B2195" s="1" t="s">
        <v>370</v>
      </c>
      <c r="C2195" s="1" t="s">
        <v>290</v>
      </c>
      <c r="D2195" s="1" t="s">
        <v>420</v>
      </c>
      <c r="E2195" s="1" t="s">
        <v>1709</v>
      </c>
      <c r="F2195" s="1" t="s">
        <v>4379</v>
      </c>
      <c r="G2195" s="1" t="s">
        <v>28</v>
      </c>
      <c r="H2195" s="1" t="s">
        <v>29</v>
      </c>
      <c r="I2195" s="1" t="str">
        <f ca="1">IFERROR(__xludf.DUMMYFUNCTION("GOOGLETRANSLATE(F2195, ""auto"", ""en"")
"),"The stove is good, a little expensive after Black Tuesday, there is child protection, which is not indicated in the instructions (long press +)")</f>
        <v>The stove is good, a little expensive after Black Tuesday, there is child protection, which is not indicated in the instructions (long press +)</v>
      </c>
    </row>
    <row r="2196" spans="1:9" x14ac:dyDescent="0.3">
      <c r="A2196" s="1" t="s">
        <v>30</v>
      </c>
      <c r="B2196" s="1" t="s">
        <v>50</v>
      </c>
      <c r="C2196" s="1" t="s">
        <v>189</v>
      </c>
      <c r="D2196" s="1" t="s">
        <v>4380</v>
      </c>
      <c r="E2196" s="1" t="s">
        <v>3542</v>
      </c>
      <c r="F2196" s="1" t="s">
        <v>4381</v>
      </c>
      <c r="G2196" s="1" t="s">
        <v>36</v>
      </c>
      <c r="H2196" s="1" t="s">
        <v>29</v>
      </c>
      <c r="I2196" s="1" t="str">
        <f ca="1">IFERROR(__xludf.DUMMYFUNCTION("GOOGLETRANSLATE(F2196, ""auto"", ""en"")
"),"We've been using this laptop with our whole family for a week now, and each time we like it more and more! It's an excellent machine, silent - the fan turns on rarely and when necessary, but it doesn't get hot at all. I immediately installed NFS-Shift, Fa"&amp;"rCry2, Xenus2 on it and everything works, it doesn't freeze!!! Yes. Take it - you won’t regret it for sure.")</f>
        <v>We've been using this laptop with our whole family for a week now, and each time we like it more and more! It's an excellent machine, silent - the fan turns on rarely and when necessary, but it doesn't get hot at all. I immediately installed NFS-Shift, FarCry2, Xenus2 on it and everything works, it doesn't freeze!!! Yes. Take it - you won’t regret it for sure.</v>
      </c>
    </row>
    <row r="2197" spans="1:9" x14ac:dyDescent="0.3">
      <c r="A2197" s="1" t="s">
        <v>17</v>
      </c>
      <c r="B2197" s="1" t="s">
        <v>18</v>
      </c>
      <c r="C2197" s="1" t="s">
        <v>243</v>
      </c>
      <c r="D2197" s="1" t="s">
        <v>940</v>
      </c>
      <c r="E2197" s="1" t="s">
        <v>128</v>
      </c>
      <c r="F2197" s="1" t="s">
        <v>4382</v>
      </c>
      <c r="G2197" s="1" t="s">
        <v>15</v>
      </c>
      <c r="H2197" s="1" t="s">
        <v>16</v>
      </c>
      <c r="I2197" s="1" t="str">
        <f ca="1">IFERROR(__xludf.DUMMYFUNCTION("GOOGLETRANSLATE(F2197, ""auto"", ""en"")
"),"Who came up with the idea of ​​putting plastic activators in the drum???  The activator landing site is not processed, the edge is sharp.  As soon as a load is placed on the activator, the metal cuts the plastic. Over three years of operation, I changed 5"&amp;" activators (each was bought in service workshops at a price of 500-900 rubles)... after all, this is half the price of the car!  I really want to look at this genius designer, or chat with a technologist!")</f>
        <v>Who came up with the idea of ​​putting plastic activators in the drum???  The activator landing site is not processed, the edge is sharp.  As soon as a load is placed on the activator, the metal cuts the plastic. Over three years of operation, I changed 5 activators (each was bought in service workshops at a price of 500-900 rubles)... after all, this is half the price of the car!  I really want to look at this genius designer, or chat with a technologist!</v>
      </c>
    </row>
    <row r="2198" spans="1:9" x14ac:dyDescent="0.3">
      <c r="A2198" s="1" t="s">
        <v>211</v>
      </c>
      <c r="B2198" s="1" t="s">
        <v>212</v>
      </c>
      <c r="C2198" s="1" t="s">
        <v>381</v>
      </c>
      <c r="D2198" s="1" t="s">
        <v>64</v>
      </c>
      <c r="E2198" s="1" t="s">
        <v>4383</v>
      </c>
      <c r="F2198" s="1" t="s">
        <v>4384</v>
      </c>
      <c r="G2198" s="1" t="s">
        <v>36</v>
      </c>
      <c r="H2198" s="1" t="s">
        <v>29</v>
      </c>
      <c r="I2198" s="1" t="str">
        <f ca="1">IFERROR(__xludf.DUMMYFUNCTION("GOOGLETRANSLATE(F2198, ""auto"", ""en"")
"),"I have been using this straightener for about 3 years, it is convenient to use because the plates are longer compared to other companies and the same cost, which allows you to grip a larger strand.")</f>
        <v>I have been using this straightener for about 3 years, it is convenient to use because the plates are longer compared to other companies and the same cost, which allows you to grip a larger strand.</v>
      </c>
    </row>
    <row r="2199" spans="1:9" x14ac:dyDescent="0.3">
      <c r="A2199" s="1" t="s">
        <v>95</v>
      </c>
      <c r="B2199" s="1" t="s">
        <v>486</v>
      </c>
      <c r="C2199" s="1" t="s">
        <v>487</v>
      </c>
      <c r="D2199" s="1" t="s">
        <v>139</v>
      </c>
      <c r="E2199" s="1" t="s">
        <v>2680</v>
      </c>
      <c r="F2199" s="1" t="s">
        <v>4385</v>
      </c>
      <c r="G2199" s="1" t="s">
        <v>36</v>
      </c>
      <c r="H2199" s="1" t="s">
        <v>29</v>
      </c>
      <c r="I2199" s="1" t="str">
        <f ca="1">IFERROR(__xludf.DUMMYFUNCTION("GOOGLETRANSLATE(F2199, ""auto"", ""en"")
"),"I'll take it, the Jasper motherboard is very good.")</f>
        <v>I'll take it, the Jasper motherboard is very good.</v>
      </c>
    </row>
    <row r="2200" spans="1:9" x14ac:dyDescent="0.3">
      <c r="A2200" s="1" t="s">
        <v>1031</v>
      </c>
      <c r="B2200" s="1" t="s">
        <v>1032</v>
      </c>
      <c r="C2200" s="1" t="s">
        <v>1033</v>
      </c>
      <c r="D2200" s="1" t="s">
        <v>1259</v>
      </c>
      <c r="E2200" s="1" t="s">
        <v>4386</v>
      </c>
      <c r="F2200" s="1" t="s">
        <v>4387</v>
      </c>
      <c r="G2200" s="1" t="s">
        <v>36</v>
      </c>
      <c r="H2200" s="1" t="s">
        <v>29</v>
      </c>
      <c r="I2200" s="1" t="str">
        <f ca="1">IFERROR(__xludf.DUMMYFUNCTION("GOOGLETRANSLATE(F2200, ""auto"", ""en"")
"),"price, effect")</f>
        <v>price, effect</v>
      </c>
    </row>
    <row r="2201" spans="1:9" x14ac:dyDescent="0.3">
      <c r="A2201" s="1" t="s">
        <v>37</v>
      </c>
      <c r="B2201" s="1" t="s">
        <v>38</v>
      </c>
      <c r="C2201" s="1" t="s">
        <v>39</v>
      </c>
      <c r="D2201" s="1" t="s">
        <v>2814</v>
      </c>
      <c r="E2201" s="1" t="s">
        <v>1811</v>
      </c>
      <c r="F2201" s="1" t="s">
        <v>4388</v>
      </c>
      <c r="G2201" s="1" t="s">
        <v>36</v>
      </c>
      <c r="H2201" s="1" t="s">
        <v>29</v>
      </c>
      <c r="I2201" s="1" t="str">
        <f ca="1">IFERROR(__xludf.DUMMYFUNCTION("GOOGLETRANSLATE(F2201, ""auto"", ""en"")
"),"I have already bought 2 of these phones. Just like in the first c510 I bought, the second had no glitches, no dead battery, no left camera, nothing that was written negatively in the reviews! unfortunately I had to sell the phone to a friend (he really wa"&amp;"nted it)... I hope to recover from the loan and buy a Sony Ericsson C510 for the third time))")</f>
        <v>I have already bought 2 of these phones. Just like in the first c510 I bought, the second had no glitches, no dead battery, no left camera, nothing that was written negatively in the reviews! unfortunately I had to sell the phone to a friend (he really wanted it)... I hope to recover from the loan and buy a Sony Ericsson C510 for the third time))</v>
      </c>
    </row>
    <row r="2202" spans="1:9" x14ac:dyDescent="0.3">
      <c r="A2202" s="1" t="s">
        <v>451</v>
      </c>
      <c r="B2202" s="1" t="s">
        <v>452</v>
      </c>
      <c r="C2202" s="1" t="s">
        <v>453</v>
      </c>
      <c r="D2202" s="1" t="s">
        <v>1917</v>
      </c>
      <c r="E2202" s="1" t="s">
        <v>1112</v>
      </c>
      <c r="F2202" s="1" t="s">
        <v>4389</v>
      </c>
      <c r="G2202" s="1" t="s">
        <v>36</v>
      </c>
      <c r="H2202" s="1" t="s">
        <v>29</v>
      </c>
      <c r="I2202" s="1" t="str">
        <f ca="1">IFERROR(__xludf.DUMMYFUNCTION("GOOGLETRANSLATE(F2202, ""auto"", ""en"")
"),"Lightweight and comfortable body, convenient to take off and put on the container. Cleans well.")</f>
        <v>Lightweight and comfortable body, convenient to take off and put on the container. Cleans well.</v>
      </c>
    </row>
    <row r="2203" spans="1:9" x14ac:dyDescent="0.3">
      <c r="A2203" s="1" t="s">
        <v>67</v>
      </c>
      <c r="B2203" s="1" t="s">
        <v>68</v>
      </c>
      <c r="C2203" s="1" t="s">
        <v>69</v>
      </c>
      <c r="D2203" s="1" t="s">
        <v>326</v>
      </c>
      <c r="E2203" s="1" t="s">
        <v>4110</v>
      </c>
      <c r="F2203" s="1" t="s">
        <v>4390</v>
      </c>
      <c r="G2203" s="1" t="s">
        <v>36</v>
      </c>
      <c r="H2203" s="1" t="s">
        <v>29</v>
      </c>
      <c r="I2203" s="1" t="str">
        <f ca="1">IFERROR(__xludf.DUMMYFUNCTION("GOOGLETRANSLATE(F2203, ""auto"", ""en"")
"),"I’m delighted with my purchase, the iron is simply super!!!! it irons even dry clothes without any effort. ironing becomes a pleasant experience. take it, you won’t regret it! everything a housewife needs is in this model!")</f>
        <v>I’m delighted with my purchase, the iron is simply super!!!! it irons even dry clothes without any effort. ironing becomes a pleasant experience. take it, you won’t regret it! everything a housewife needs is in this model!</v>
      </c>
    </row>
    <row r="2204" spans="1:9" x14ac:dyDescent="0.3">
      <c r="A2204" s="1" t="s">
        <v>811</v>
      </c>
      <c r="B2204" s="1" t="s">
        <v>1294</v>
      </c>
      <c r="C2204" s="1" t="s">
        <v>3675</v>
      </c>
      <c r="D2204" s="1" t="s">
        <v>807</v>
      </c>
      <c r="E2204" s="1" t="s">
        <v>2008</v>
      </c>
      <c r="F2204" s="1" t="s">
        <v>4391</v>
      </c>
      <c r="G2204" s="1" t="s">
        <v>28</v>
      </c>
      <c r="H2204" s="1" t="s">
        <v>29</v>
      </c>
      <c r="I2204" s="1" t="str">
        <f ca="1">IFERROR(__xludf.DUMMYFUNCTION("GOOGLETRANSLATE(F2204, ""auto"", ""en"")
"),"Before traveling to Egypt, I was looking for options for underwater photography at shallow depths. Plastic boxes have a fairly high price, and if they are used infrequently, it is not profitable to buy them. The relatively low cost of the case and the com"&amp;"pliance of the characteristics with the required requests allowed us to make a choice. It is very convenient to use, the quality of the pictures is quite good, the plastic window of the lens allows you to take pictures without distortion. The only inconve"&amp;"nience is switching shooting modes. In general, I was quite satisfied with this option. I recommend it as a budget option for infrequent use.")</f>
        <v>Before traveling to Egypt, I was looking for options for underwater photography at shallow depths. Plastic boxes have a fairly high price, and if they are used infrequently, it is not profitable to buy them. The relatively low cost of the case and the compliance of the characteristics with the required requests allowed us to make a choice. It is very convenient to use, the quality of the pictures is quite good, the plastic window of the lens allows you to take pictures without distortion. The only inconvenience is switching shooting modes. In general, I was quite satisfied with this option. I recommend it as a budget option for infrequent use.</v>
      </c>
    </row>
    <row r="2205" spans="1:9" x14ac:dyDescent="0.3">
      <c r="A2205" s="1" t="s">
        <v>61</v>
      </c>
      <c r="B2205" s="1" t="s">
        <v>977</v>
      </c>
      <c r="C2205" s="1" t="s">
        <v>69</v>
      </c>
      <c r="D2205" s="1" t="s">
        <v>589</v>
      </c>
      <c r="E2205" s="1" t="s">
        <v>109</v>
      </c>
      <c r="F2205" s="1" t="s">
        <v>4392</v>
      </c>
      <c r="G2205" s="1" t="s">
        <v>36</v>
      </c>
      <c r="H2205" s="1" t="s">
        <v>29</v>
      </c>
      <c r="I2205" s="1" t="str">
        <f ca="1">IFERROR(__xludf.DUMMYFUNCTION("GOOGLETRANSLATE(F2205, ""auto"", ""en"")
"),"I’ve been using this blender for six months now and am very pleased. It grinds everything from baby applesauce to meat!  Quiet, powerful, stylish and compact.  I recommend it to everyone, you won’t regret it.")</f>
        <v>I’ve been using this blender for six months now and am very pleased. It grinds everything from baby applesauce to meat!  Quiet, powerful, stylish and compact.  I recommend it to everyone, you won’t regret it.</v>
      </c>
    </row>
    <row r="2206" spans="1:9" x14ac:dyDescent="0.3">
      <c r="A2206" s="1" t="s">
        <v>61</v>
      </c>
      <c r="B2206" s="1" t="s">
        <v>977</v>
      </c>
      <c r="C2206" s="1" t="s">
        <v>69</v>
      </c>
      <c r="D2206" s="1" t="s">
        <v>200</v>
      </c>
      <c r="E2206" s="1" t="s">
        <v>841</v>
      </c>
      <c r="F2206" s="1" t="s">
        <v>4393</v>
      </c>
      <c r="G2206" s="1" t="s">
        <v>36</v>
      </c>
      <c r="H2206" s="1" t="s">
        <v>29</v>
      </c>
      <c r="I2206" s="1" t="str">
        <f ca="1">IFERROR(__xludf.DUMMYFUNCTION("GOOGLETRANSLATE(F2206, ""auto"", ""en"")
"),"I bought it for my wife, she couldn’t be happier!!!! before that there was tefal, it burned out after 1 month, 6 month warranty. waited ((((in general, it chops, grinds, whips with a bang, I’m especially pleased with the turbo mode! It’s convenient that y"&amp;"ou can hang it on the wall, there’s a mount, I was choosing between Brown, the price was higher, but it didn’t bother me, but the consultant convinced me to take this model, especially since it has a 2-year warranty))) I recommend it to everyone!!!")</f>
        <v>I bought it for my wife, she couldn’t be happier!!!! before that there was tefal, it burned out after 1 month, 6 month warranty. waited ((((in general, it chops, grinds, whips with a bang, I’m especially pleased with the turbo mode! It’s convenient that you can hang it on the wall, there’s a mount, I was choosing between Brown, the price was higher, but it didn’t bother me, but the consultant convinced me to take this model, especially since it has a 2-year warranty))) I recommend it to everyone!!!</v>
      </c>
    </row>
    <row r="2207" spans="1:9" x14ac:dyDescent="0.3">
      <c r="A2207" s="1" t="s">
        <v>149</v>
      </c>
      <c r="B2207" s="1" t="s">
        <v>150</v>
      </c>
      <c r="C2207" s="1" t="s">
        <v>151</v>
      </c>
      <c r="D2207" s="1" t="s">
        <v>295</v>
      </c>
      <c r="E2207" s="1" t="s">
        <v>4394</v>
      </c>
      <c r="F2207" s="1" t="s">
        <v>4395</v>
      </c>
      <c r="G2207" s="1" t="s">
        <v>36</v>
      </c>
      <c r="H2207" s="1" t="s">
        <v>29</v>
      </c>
      <c r="I2207" s="1" t="str">
        <f ca="1">IFERROR(__xludf.DUMMYFUNCTION("GOOGLETRANSLATE(F2207, ""auto"", ""en"")
"),"We purchased it quite recently and immediately decided to test it in action. Having vacuumed the carpet in the room, we were surprised how much crap was on it! Very convenient retractable handle and power adjustment. Take it, you won't regret it!")</f>
        <v>We purchased it quite recently and immediately decided to test it in action. Having vacuumed the carpet in the room, we were surprised how much crap was on it! Very convenient retractable handle and power adjustment. Take it, you won't regret it!</v>
      </c>
    </row>
    <row r="2208" spans="1:9" x14ac:dyDescent="0.3">
      <c r="A2208" s="1" t="s">
        <v>9</v>
      </c>
      <c r="B2208" s="1" t="s">
        <v>10</v>
      </c>
      <c r="C2208" s="1" t="s">
        <v>466</v>
      </c>
      <c r="D2208" s="1" t="s">
        <v>327</v>
      </c>
      <c r="E2208" s="1" t="s">
        <v>1150</v>
      </c>
      <c r="F2208" s="1" t="s">
        <v>4396</v>
      </c>
      <c r="G2208" s="1" t="s">
        <v>36</v>
      </c>
      <c r="H2208" s="1" t="s">
        <v>29</v>
      </c>
      <c r="I2208" s="1" t="str">
        <f ca="1">IFERROR(__xludf.DUMMYFUNCTION("GOOGLETRANSLATE(F2208, ""auto"", ""en"")
"),"Quite compact and stylish for a reasonable price. It is somewhat noisy, but quieter options are almost 3 times more expensive, and the noise is not much quieter... What’s good is that the side aluminum runners-boxes are hollow inside and can be filed (or "&amp;"trimmed) during installation, and this is very important, considering how gas pipes are connected in apartments")</f>
        <v>Quite compact and stylish for a reasonable price. It is somewhat noisy, but quieter options are almost 3 times more expensive, and the noise is not much quieter... What’s good is that the side aluminum runners-boxes are hollow inside and can be filed (or trimmed) during installation, and this is very important, considering how gas pipes are connected in apartments</v>
      </c>
    </row>
    <row r="2209" spans="1:9" x14ac:dyDescent="0.3">
      <c r="A2209" s="1" t="s">
        <v>30</v>
      </c>
      <c r="B2209" s="1" t="s">
        <v>50</v>
      </c>
      <c r="C2209" s="1" t="s">
        <v>32</v>
      </c>
      <c r="D2209" s="1" t="s">
        <v>589</v>
      </c>
      <c r="E2209" s="1" t="s">
        <v>214</v>
      </c>
      <c r="F2209" s="1" t="s">
        <v>4397</v>
      </c>
      <c r="G2209" s="1" t="s">
        <v>36</v>
      </c>
      <c r="H2209" s="1" t="s">
        <v>29</v>
      </c>
      <c r="I2209" s="1" t="str">
        <f ca="1">IFERROR(__xludf.DUMMYFUNCTION("GOOGLETRANSLATE(F2209, ""auto"", ""en"")
"),"Model Super! Light, beautiful, nimble. There are no problems with the Internet. The only disappointment is that there is no bluetooth, but this can be solved on the market now you can buy mini bluetooth via usb. I've been using it for 4 months now and I'm"&amp;" very pleased")</f>
        <v>Model Super! Light, beautiful, nimble. There are no problems with the Internet. The only disappointment is that there is no bluetooth, but this can be solved on the market now you can buy mini bluetooth via usb. I've been using it for 4 months now and I'm very pleased</v>
      </c>
    </row>
    <row r="2210" spans="1:9" x14ac:dyDescent="0.3">
      <c r="A2210" s="1" t="s">
        <v>211</v>
      </c>
      <c r="B2210" s="1" t="s">
        <v>212</v>
      </c>
      <c r="C2210" s="1" t="s">
        <v>69</v>
      </c>
      <c r="D2210" s="1" t="s">
        <v>61</v>
      </c>
      <c r="E2210" s="1" t="s">
        <v>4398</v>
      </c>
      <c r="F2210" s="1" t="s">
        <v>4399</v>
      </c>
      <c r="G2210" s="1" t="s">
        <v>36</v>
      </c>
      <c r="H2210" s="1" t="s">
        <v>29</v>
      </c>
      <c r="I2210" s="1" t="str">
        <f ca="1">IFERROR(__xludf.DUMMYFUNCTION("GOOGLETRANSLATE(F2210, ""auto"", ""en"")
"),"I really liked the straightener, it’s really very good!  It heats up in about 1 minute 17 seconds (I measured it myself) this is at 170 C when closed. I recommend it to everyone, you won’t regret it - 1. step-by-step temperature heating (which is good, be"&amp;"cause everyone’s hair is different) 2. speed as described above 3. quality 4. for such a model the price is just a fairy tale + 5. design DON’T GUESS RUN AND BUY!!!")</f>
        <v>I really liked the straightener, it’s really very good!  It heats up in about 1 minute 17 seconds (I measured it myself) this is at 170 C when closed. I recommend it to everyone, you won’t regret it - 1. step-by-step temperature heating (which is good, because everyone’s hair is different) 2. speed as described above 3. quality 4. for such a model the price is just a fairy tale + 5. design DON’T GUESS RUN AND BUY!!!</v>
      </c>
    </row>
    <row r="2211" spans="1:9" x14ac:dyDescent="0.3">
      <c r="A2211" s="1" t="s">
        <v>211</v>
      </c>
      <c r="B2211" s="1" t="s">
        <v>410</v>
      </c>
      <c r="C2211" s="1" t="s">
        <v>69</v>
      </c>
      <c r="D2211" s="1" t="s">
        <v>152</v>
      </c>
      <c r="E2211" s="1" t="s">
        <v>1931</v>
      </c>
      <c r="F2211" s="1" t="s">
        <v>4400</v>
      </c>
      <c r="G2211" s="1" t="s">
        <v>28</v>
      </c>
      <c r="H2211" s="1" t="s">
        <v>29</v>
      </c>
      <c r="I2211" s="1" t="str">
        <f ca="1">IFERROR(__xludf.DUMMYFUNCTION("GOOGLETRANSLATE(F2211, ""auto"", ""en"")
"),"it takes a little getting used to. takes 3 times longer than with a conventional machine.")</f>
        <v>it takes a little getting used to. takes 3 times longer than with a conventional machine.</v>
      </c>
    </row>
    <row r="2212" spans="1:9" x14ac:dyDescent="0.3">
      <c r="A2212" s="1" t="s">
        <v>30</v>
      </c>
      <c r="B2212" s="1" t="s">
        <v>50</v>
      </c>
      <c r="C2212" s="1" t="s">
        <v>1003</v>
      </c>
      <c r="D2212" s="1" t="s">
        <v>4401</v>
      </c>
      <c r="E2212" s="1" t="s">
        <v>3782</v>
      </c>
      <c r="F2212" s="1" t="s">
        <v>4402</v>
      </c>
      <c r="G2212" s="1" t="s">
        <v>36</v>
      </c>
      <c r="H2212" s="1" t="s">
        <v>29</v>
      </c>
      <c r="I2212" s="1" t="str">
        <f ca="1">IFERROR(__xludf.DUMMYFUNCTION("GOOGLETRANSLATE(F2212, ""auto"", ""en"")
"),"I bought the laptop in February, it’s quite good, no complaints. Except of course some, also the same question, why does it show that it’s 450 GB?   and in one program it showed me that I have 2 GB of RAM (instead of the written three) and the games barel"&amp;"y work, they are glitchy (but this is not the main thing, the main thing is that it is good at work) and one such question, why doesn’t Eset node 32 work with it? I tried to install it three times, and three times the computer did not turn on, I installed"&amp;" it from different media, and did not turn on at all after it I had to go through safe mode to delete Eset node 32 and then the computer turned on?")</f>
        <v>I bought the laptop in February, it’s quite good, no complaints. Except of course some, also the same question, why does it show that it’s 450 GB?   and in one program it showed me that I have 2 GB of RAM (instead of the written three) and the games barely work, they are glitchy (but this is not the main thing, the main thing is that it is good at work) and one such question, why doesn’t Eset node 32 work with it? I tried to install it three times, and three times the computer did not turn on, I installed it from different media, and did not turn on at all after it I had to go through safe mode to delete Eset node 32 and then the computer turned on?</v>
      </c>
    </row>
    <row r="2213" spans="1:9" x14ac:dyDescent="0.3">
      <c r="A2213" s="1" t="s">
        <v>61</v>
      </c>
      <c r="B2213" s="1" t="s">
        <v>318</v>
      </c>
      <c r="C2213" s="1" t="s">
        <v>69</v>
      </c>
      <c r="D2213" s="1" t="s">
        <v>724</v>
      </c>
      <c r="E2213" s="1" t="s">
        <v>983</v>
      </c>
      <c r="F2213" s="1" t="s">
        <v>4403</v>
      </c>
      <c r="G2213" s="1" t="s">
        <v>36</v>
      </c>
      <c r="H2213" s="1" t="s">
        <v>29</v>
      </c>
      <c r="I2213" s="1" t="str">
        <f ca="1">IFERROR(__xludf.DUMMYFUNCTION("GOOGLETRANSLATE(F2213, ""auto"", ""en"")
"),"We bought a kettle on sale a month ago, so far so good. We use it 3-4 times a day, pour filtered water and no problems. The plastic finished handles are enough to avoid getting burned. As a bonus, a safe contact was discovered on the stand, which was a pl"&amp;"easant surprise. Who needs a simple budget option without frills, this is perfect.")</f>
        <v>We bought a kettle on sale a month ago, so far so good. We use it 3-4 times a day, pour filtered water and no problems. The plastic finished handles are enough to avoid getting burned. As a bonus, a safe contact was discovered on the stand, which was a pleasant surprise. Who needs a simple budget option without frills, this is perfect.</v>
      </c>
    </row>
    <row r="2214" spans="1:9" x14ac:dyDescent="0.3">
      <c r="A2214" s="1" t="s">
        <v>61</v>
      </c>
      <c r="B2214" s="1" t="s">
        <v>318</v>
      </c>
      <c r="C2214" s="1" t="s">
        <v>246</v>
      </c>
      <c r="D2214" s="1" t="s">
        <v>4404</v>
      </c>
      <c r="E2214" s="1" t="s">
        <v>4405</v>
      </c>
      <c r="F2214" s="1" t="s">
        <v>4406</v>
      </c>
      <c r="G2214" s="1" t="s">
        <v>28</v>
      </c>
      <c r="H2214" s="1" t="s">
        <v>29</v>
      </c>
      <c r="I2214" s="1" t="str">
        <f ca="1">IFERROR(__xludf.DUMMYFUNCTION("GOOGLETRANSLATE(F2214, ""auto"", ""en"")
"),"Quiet, price, high-quality plastic")</f>
        <v>Quiet, price, high-quality plastic</v>
      </c>
    </row>
    <row r="2215" spans="1:9" x14ac:dyDescent="0.3">
      <c r="A2215" s="1" t="s">
        <v>206</v>
      </c>
      <c r="B2215" s="1" t="s">
        <v>207</v>
      </c>
      <c r="C2215" s="1" t="s">
        <v>152</v>
      </c>
      <c r="D2215" s="1" t="s">
        <v>420</v>
      </c>
      <c r="E2215" s="1" t="s">
        <v>1513</v>
      </c>
      <c r="F2215" s="1" t="s">
        <v>4407</v>
      </c>
      <c r="G2215" s="1" t="s">
        <v>49</v>
      </c>
      <c r="H2215" s="1" t="s">
        <v>16</v>
      </c>
      <c r="I2215" s="1" t="str">
        <f ca="1">IFERROR(__xludf.DUMMYFUNCTION("GOOGLETRANSLATE(F2215, ""auto"", ""en"")
"),"I took the amplifier to Orekhovo-Zuevo, along with it I took the Alpine cde9882ri head. When connected, the remote protection was triggered, I came and replaced it without problems, and took the same one. I connected it and it seemed to be working, I adde"&amp;"d a little power and then there was protection again.")</f>
        <v>I took the amplifier to Orekhovo-Zuevo, along with it I took the Alpine cde9882ri head. When connected, the remote protection was triggered, I came and replaced it without problems, and took the same one. I connected it and it seemed to be working, I added a little power and then there was protection again.</v>
      </c>
    </row>
    <row r="2216" spans="1:9" x14ac:dyDescent="0.3">
      <c r="A2216" s="1" t="s">
        <v>169</v>
      </c>
      <c r="B2216" s="1" t="s">
        <v>170</v>
      </c>
      <c r="C2216" s="1" t="s">
        <v>171</v>
      </c>
      <c r="D2216" s="1" t="s">
        <v>3879</v>
      </c>
      <c r="E2216" s="1" t="s">
        <v>460</v>
      </c>
      <c r="F2216" s="1" t="s">
        <v>4408</v>
      </c>
      <c r="G2216" s="1" t="s">
        <v>49</v>
      </c>
      <c r="H2216" s="1" t="s">
        <v>16</v>
      </c>
      <c r="I2216" s="1" t="str">
        <f ca="1">IFERROR(__xludf.DUMMYFUNCTION("GOOGLETRANSLATE(F2216, ""auto"", ""en"")
"),"I was disappointed with these headphones - the sound is simply terrible, stop praising them - let's write what really happens - but in reality there is no sound. my rating is 1.")</f>
        <v>I was disappointed with these headphones - the sound is simply terrible, stop praising them - let's write what really happens - but in reality there is no sound. my rating is 1.</v>
      </c>
    </row>
    <row r="2217" spans="1:9" x14ac:dyDescent="0.3">
      <c r="A2217" s="1" t="s">
        <v>61</v>
      </c>
      <c r="B2217" s="1" t="s">
        <v>145</v>
      </c>
      <c r="C2217" s="1" t="s">
        <v>69</v>
      </c>
      <c r="D2217" s="1" t="s">
        <v>474</v>
      </c>
      <c r="E2217" s="1" t="s">
        <v>4409</v>
      </c>
      <c r="F2217" s="1" t="s">
        <v>4410</v>
      </c>
      <c r="G2217" s="1" t="s">
        <v>36</v>
      </c>
      <c r="H2217" s="1" t="s">
        <v>29</v>
      </c>
      <c r="I2217" s="1" t="str">
        <f ca="1">IFERROR(__xludf.DUMMYFUNCTION("GOOGLETRANSLATE(F2217, ""auto"", ""en"")
"),"I've been eyeing this steamer for several months now, but some of the reviews scared me... I was given this miracle for New Year... After 3 weeks there are no comments.")</f>
        <v>I've been eyeing this steamer for several months now, but some of the reviews scared me... I was given this miracle for New Year... After 3 weeks there are no comments.</v>
      </c>
    </row>
    <row r="2218" spans="1:9" x14ac:dyDescent="0.3">
      <c r="A2218" s="1" t="s">
        <v>211</v>
      </c>
      <c r="B2218" s="1" t="s">
        <v>515</v>
      </c>
      <c r="C2218" s="1" t="s">
        <v>213</v>
      </c>
      <c r="D2218" s="1" t="s">
        <v>12</v>
      </c>
      <c r="E2218" s="1" t="s">
        <v>1016</v>
      </c>
      <c r="F2218" s="1" t="s">
        <v>4411</v>
      </c>
      <c r="G2218" s="1" t="s">
        <v>94</v>
      </c>
      <c r="H2218" s="1" t="s">
        <v>29</v>
      </c>
      <c r="I2218" s="1" t="str">
        <f ca="1">IFERROR(__xludf.DUMMYFUNCTION("GOOGLETRANSLATE(F2218, ""auto"", ""en"")
"),"Comfortable shape, lightweight, beautiful design")</f>
        <v>Comfortable shape, lightweight, beautiful design</v>
      </c>
    </row>
    <row r="2219" spans="1:9" x14ac:dyDescent="0.3">
      <c r="A2219" s="1" t="s">
        <v>30</v>
      </c>
      <c r="B2219" s="1" t="s">
        <v>50</v>
      </c>
      <c r="C2219" s="1" t="s">
        <v>1003</v>
      </c>
      <c r="D2219" s="1" t="s">
        <v>4412</v>
      </c>
      <c r="E2219" s="1" t="s">
        <v>2383</v>
      </c>
      <c r="F2219" s="1" t="s">
        <v>4413</v>
      </c>
      <c r="G2219" s="1" t="s">
        <v>36</v>
      </c>
      <c r="H2219" s="1" t="s">
        <v>29</v>
      </c>
      <c r="I2219" s="1" t="str">
        <f ca="1">IFERROR(__xludf.DUMMYFUNCTION("GOOGLETRANSLATE(F2219, ""auto"", ""en"")
"),"The beech is pleasing in all respects, Windows 7 installed without problems, can handle any games, I like starting it with the remote control, the camera is super. I recommend it to everyone")</f>
        <v>The beech is pleasing in all respects, Windows 7 installed without problems, can handle any games, I like starting it with the remote control, the camera is super. I recommend it to everyone</v>
      </c>
    </row>
    <row r="2220" spans="1:9" x14ac:dyDescent="0.3">
      <c r="A2220" s="1" t="s">
        <v>120</v>
      </c>
      <c r="B2220" s="1" t="s">
        <v>126</v>
      </c>
      <c r="C2220" s="1" t="s">
        <v>122</v>
      </c>
      <c r="D2220" s="1" t="s">
        <v>52</v>
      </c>
      <c r="E2220" s="1" t="s">
        <v>1376</v>
      </c>
      <c r="F2220" s="1" t="s">
        <v>4414</v>
      </c>
      <c r="G2220" s="1" t="s">
        <v>36</v>
      </c>
      <c r="H2220" s="1" t="s">
        <v>29</v>
      </c>
      <c r="I2220" s="1" t="str">
        <f ca="1">IFERROR(__xludf.DUMMYFUNCTION("GOOGLETRANSLATE(F2220, ""auto"", ""en"")
"),"I bought this model because I think that for this price it is the largest screen with good image quality. It reproduces colors amazingly, has a wide viewing angle, glares in the light, but the solution is simple: put it in a dark place, and besides, your "&amp;"eyes get less tired.")</f>
        <v>I bought this model because I think that for this price it is the largest screen with good image quality. It reproduces colors amazingly, has a wide viewing angle, glares in the light, but the solution is simple: put it in a dark place, and besides, your eyes get less tired.</v>
      </c>
    </row>
    <row r="2221" spans="1:9" x14ac:dyDescent="0.3">
      <c r="A2221" s="1" t="s">
        <v>4415</v>
      </c>
      <c r="B2221" s="1" t="s">
        <v>4416</v>
      </c>
      <c r="C2221" s="1" t="s">
        <v>479</v>
      </c>
      <c r="D2221" s="1" t="s">
        <v>4417</v>
      </c>
      <c r="E2221" s="1" t="s">
        <v>2365</v>
      </c>
      <c r="F2221" s="1" t="s">
        <v>4418</v>
      </c>
      <c r="G2221" s="1" t="s">
        <v>36</v>
      </c>
      <c r="H2221" s="1" t="s">
        <v>29</v>
      </c>
      <c r="I2221" s="1" t="str">
        <f ca="1">IFERROR(__xludf.DUMMYFUNCTION("GOOGLETRANSLATE(F2221, ""auto"", ""en"")
"),"Thanks for the disk. All songs are like the history of our songs from the 80s. The styles are different, but the language is the same (romantic, subtle and sincere)! We didn’t think that so much music was familiar to us, although for some reason the name "&amp;"of the composer rarely reached us... We recommend it to all those who are able to perceive poetry, melody and revelations of the human soul.  Take care of each other!                                                         Elena, Vyacheslav.")</f>
        <v>Thanks for the disk. All songs are like the history of our songs from the 80s. The styles are different, but the language is the same (romantic, subtle and sincere)! We didn’t think that so much music was familiar to us, although for some reason the name of the composer rarely reached us... We recommend it to all those who are able to perceive poetry, melody and revelations of the human soul.  Take care of each other!                                                         Elena, Vyacheslav.</v>
      </c>
    </row>
    <row r="2222" spans="1:9" x14ac:dyDescent="0.3">
      <c r="A2222" s="1" t="s">
        <v>169</v>
      </c>
      <c r="B2222" s="1" t="s">
        <v>170</v>
      </c>
      <c r="C2222" s="1" t="s">
        <v>122</v>
      </c>
      <c r="D2222" s="1" t="s">
        <v>4419</v>
      </c>
      <c r="E2222" s="1" t="s">
        <v>1510</v>
      </c>
      <c r="F2222" s="1" t="s">
        <v>4420</v>
      </c>
      <c r="G2222" s="1" t="s">
        <v>36</v>
      </c>
      <c r="H2222" s="1" t="s">
        <v>29</v>
      </c>
      <c r="I2222" s="1" t="str">
        <f ca="1">IFERROR(__xludf.DUMMYFUNCTION("GOOGLETRANSLATE(F2222, ""auto"", ""en"")
"),"I gave up on them because the silicone pads fly off and get lost.")</f>
        <v>I gave up on them because the silicone pads fly off and get lost.</v>
      </c>
    </row>
    <row r="2223" spans="1:9" x14ac:dyDescent="0.3">
      <c r="A2223" s="1" t="s">
        <v>61</v>
      </c>
      <c r="B2223" s="1" t="s">
        <v>62</v>
      </c>
      <c r="C2223" s="1" t="s">
        <v>74</v>
      </c>
      <c r="D2223" s="1" t="s">
        <v>1021</v>
      </c>
      <c r="E2223" s="1" t="s">
        <v>4421</v>
      </c>
      <c r="F2223" s="1" t="s">
        <v>4422</v>
      </c>
      <c r="G2223" s="1" t="s">
        <v>15</v>
      </c>
      <c r="H2223" s="1" t="s">
        <v>16</v>
      </c>
      <c r="I2223" s="1" t="str">
        <f ca="1">IFERROR(__xludf.DUMMYFUNCTION("GOOGLETRANSLATE(F2223, ""auto"", ""en"")
"),"The product is not intended for preparing liquids in a bowl. The connector of the chopper and blender, which are attached to the processor itself, is shorted out. As a result, it was not possible to prepare a cocktail and chop the onions. The meat grinder"&amp;" cannot be washed in the dishwasher at all.")</f>
        <v>The product is not intended for preparing liquids in a bowl. The connector of the chopper and blender, which are attached to the processor itself, is shorted out. As a result, it was not possible to prepare a cocktail and chop the onions. The meat grinder cannot be washed in the dishwasher at all.</v>
      </c>
    </row>
    <row r="2224" spans="1:9" x14ac:dyDescent="0.3">
      <c r="A2224" s="1" t="s">
        <v>67</v>
      </c>
      <c r="B2224" s="1" t="s">
        <v>340</v>
      </c>
      <c r="C2224" s="1" t="s">
        <v>341</v>
      </c>
      <c r="D2224" s="1" t="s">
        <v>565</v>
      </c>
      <c r="E2224" s="1" t="s">
        <v>2935</v>
      </c>
      <c r="F2224" s="1" t="s">
        <v>4423</v>
      </c>
      <c r="G2224" s="1" t="s">
        <v>28</v>
      </c>
      <c r="H2224" s="1" t="s">
        <v>29</v>
      </c>
      <c r="I2224" s="1" t="str">
        <f ca="1">IFERROR(__xludf.DUMMYFUNCTION("GOOGLETRANSLATE(F2224, ""auto"", ""en"")
"),"Unfortunately, the presence of the light bulb did not make me happy, it stands very high and does not fulfill its intended purpose, it illuminates its insides, heats up quickly and smells very much of plastic")</f>
        <v>Unfortunately, the presence of the light bulb did not make me happy, it stands very high and does not fulfill its intended purpose, it illuminates its insides, heats up quickly and smells very much of plastic</v>
      </c>
    </row>
    <row r="2225" spans="1:9" x14ac:dyDescent="0.3">
      <c r="A2225" s="1" t="s">
        <v>78</v>
      </c>
      <c r="B2225" s="1" t="s">
        <v>79</v>
      </c>
      <c r="C2225" s="1" t="s">
        <v>80</v>
      </c>
      <c r="D2225" s="1" t="s">
        <v>152</v>
      </c>
      <c r="E2225" s="1" t="s">
        <v>4424</v>
      </c>
      <c r="F2225" s="1" t="s">
        <v>4425</v>
      </c>
      <c r="G2225" s="1" t="s">
        <v>36</v>
      </c>
      <c r="H2225" s="1" t="s">
        <v>29</v>
      </c>
      <c r="I2225" s="1" t="str">
        <f ca="1">IFERROR(__xludf.DUMMYFUNCTION("GOOGLETRANSLATE(F2225, ""auto"", ""en"")
"),"Beautiful model! Only positive emotions. It has been working for 1 year, no malfunctions, easy to clean, heats any dish to the optimal temperature in just a minute, many very useful functions. I recommend it to everyone!")</f>
        <v>Beautiful model! Only positive emotions. It has been working for 1 year, no malfunctions, easy to clean, heats any dish to the optimal temperature in just a minute, many very useful functions. I recommend it to everyone!</v>
      </c>
    </row>
    <row r="2226" spans="1:9" x14ac:dyDescent="0.3">
      <c r="A2226" s="1" t="s">
        <v>211</v>
      </c>
      <c r="B2226" s="1" t="s">
        <v>212</v>
      </c>
      <c r="C2226" s="1" t="s">
        <v>213</v>
      </c>
      <c r="D2226" s="1" t="s">
        <v>193</v>
      </c>
      <c r="E2226" s="1" t="s">
        <v>2529</v>
      </c>
      <c r="F2226" s="1" t="s">
        <v>4426</v>
      </c>
      <c r="G2226" s="1" t="s">
        <v>36</v>
      </c>
      <c r="H2226" s="1" t="s">
        <v>29</v>
      </c>
      <c r="I2226" s="1" t="str">
        <f ca="1">IFERROR(__xludf.DUMMYFUNCTION("GOOGLETRANSLATE(F2226, ""auto"", ""en"")
"),"I really liked this hair dryer. I have wavy, unruly hair, usually I had to spend a lot of time getting my hair in order, but now 10 minutes and you're done.")</f>
        <v>I really liked this hair dryer. I have wavy, unruly hair, usually I had to spend a lot of time getting my hair in order, but now 10 minutes and you're done.</v>
      </c>
    </row>
    <row r="2227" spans="1:9" x14ac:dyDescent="0.3">
      <c r="A2227" s="1" t="s">
        <v>149</v>
      </c>
      <c r="B2227" s="1" t="s">
        <v>423</v>
      </c>
      <c r="C2227" s="1" t="s">
        <v>531</v>
      </c>
      <c r="D2227" s="1" t="s">
        <v>4427</v>
      </c>
      <c r="E2227" s="1" t="s">
        <v>4428</v>
      </c>
      <c r="F2227" s="1" t="s">
        <v>4429</v>
      </c>
      <c r="G2227" s="1" t="s">
        <v>36</v>
      </c>
      <c r="H2227" s="1" t="s">
        <v>29</v>
      </c>
      <c r="I2227" s="1" t="str">
        <f ca="1">IFERROR(__xludf.DUMMYFUNCTION("GOOGLETRANSLATE(F2227, ""auto"", ""en"")
"),"Quality of cleaning: dry cleaning is excellent, you can give it a 5, let them write the opposite on the forums, I don’t know, maybe they are trying to remove construction waste or are not monitoring the condition of the filter. Wet cleaning - you can also"&amp;" give 5 points, here the question is different; some people think that a vacuum cleaner completely replaces a rag and you can forget about it if it is a detergent. If you need to vacuum just a little bit, to collect debris from a small heel, I use an old "&amp;"small vacuum cleaner, i.e.  Tomas is indispensable for general cleaning.  Caring for a vacuum cleaner is not at all difficult; it consists of washing the filter after use. This process takes me 5 minutes. Believe me, this is much better than knocking out "&amp;"the dust if you have a fabric bag, buying paper bags, or simply disposing of the dust from a cyclone.  The vacuum cleaner weighs about 10 kg when equipped. In principle, this is not much, especially since you don’t need to wear it all the time; it rolls p"&amp;"erfectly on the floor, unless of course you have rough terrain.  If you need to move it, can you lift a bucket of water?  Personally, I say excellent. The house became much cleaner. Made in Germany – that says a lot. It's your choice, I made my choice. Th"&amp;"ank you")</f>
        <v>Quality of cleaning: dry cleaning is excellent, you can give it a 5, let them write the opposite on the forums, I don’t know, maybe they are trying to remove construction waste or are not monitoring the condition of the filter. Wet cleaning - you can also give 5 points, here the question is different; some people think that a vacuum cleaner completely replaces a rag and you can forget about it if it is a detergent. If you need to vacuum just a little bit, to collect debris from a small heel, I use an old small vacuum cleaner, i.e.  Tomas is indispensable for general cleaning.  Caring for a vacuum cleaner is not at all difficult; it consists of washing the filter after use. This process takes me 5 minutes. Believe me, this is much better than knocking out the dust if you have a fabric bag, buying paper bags, or simply disposing of the dust from a cyclone.  The vacuum cleaner weighs about 10 kg when equipped. In principle, this is not much, especially since you don’t need to wear it all the time; it rolls perfectly on the floor, unless of course you have rough terrain.  If you need to move it, can you lift a bucket of water?  Personally, I say excellent. The house became much cleaner. Made in Germany – that says a lot. It's your choice, I made my choice. Thank you</v>
      </c>
    </row>
    <row r="2228" spans="1:9" x14ac:dyDescent="0.3">
      <c r="A2228" s="1" t="s">
        <v>9</v>
      </c>
      <c r="B2228" s="1" t="s">
        <v>4430</v>
      </c>
      <c r="C2228" s="1" t="s">
        <v>63</v>
      </c>
      <c r="D2228" s="1" t="s">
        <v>232</v>
      </c>
      <c r="E2228" s="1" t="s">
        <v>4431</v>
      </c>
      <c r="F2228" s="1" t="s">
        <v>4432</v>
      </c>
      <c r="G2228" s="1" t="s">
        <v>36</v>
      </c>
      <c r="H2228" s="1" t="s">
        <v>29</v>
      </c>
      <c r="I2228" s="1" t="str">
        <f ca="1">IFERROR(__xludf.DUMMYFUNCTION("GOOGLETRANSLATE(F2228, ""auto"", ""en"")
"),"We've been using the machine for 5 or 6 years now, no problems.  For Evgenia from Omsk: if you caught your laundry while loading the machine through the hatch, then the washing modes, etc. nothing to do with it. You need to be more careful. And it does no"&amp;"t beep for an infinitely long time, but three times, three beeps each. Don't mislead people))).")</f>
        <v>We've been using the machine for 5 or 6 years now, no problems.  For Evgenia from Omsk: if you caught your laundry while loading the machine through the hatch, then the washing modes, etc. nothing to do with it. You need to be more careful. And it does not beep for an infinitely long time, but three times, three beeps each. Don't mislead people))).</v>
      </c>
    </row>
    <row r="2229" spans="1:9" x14ac:dyDescent="0.3">
      <c r="A2229" s="1" t="s">
        <v>17</v>
      </c>
      <c r="B2229" s="1" t="s">
        <v>18</v>
      </c>
      <c r="C2229" s="1" t="s">
        <v>80</v>
      </c>
      <c r="D2229" s="1" t="s">
        <v>4433</v>
      </c>
      <c r="E2229" s="1" t="s">
        <v>4434</v>
      </c>
      <c r="F2229" s="1" t="s">
        <v>4435</v>
      </c>
      <c r="G2229" s="1" t="s">
        <v>36</v>
      </c>
      <c r="H2229" s="1" t="s">
        <v>29</v>
      </c>
      <c r="I2229" s="1" t="str">
        <f ca="1">IFERROR(__xludf.DUMMYFUNCTION("GOOGLETRANSLATE(F2229, ""auto"", ""en"")
"),"Modern, quiet, beautiful, price")</f>
        <v>Modern, quiet, beautiful, price</v>
      </c>
    </row>
    <row r="2230" spans="1:9" x14ac:dyDescent="0.3">
      <c r="A2230" s="1" t="s">
        <v>9</v>
      </c>
      <c r="B2230" s="1" t="s">
        <v>23</v>
      </c>
      <c r="C2230" s="1" t="s">
        <v>466</v>
      </c>
      <c r="D2230" s="1" t="s">
        <v>4436</v>
      </c>
      <c r="E2230" s="1" t="s">
        <v>4437</v>
      </c>
      <c r="F2230" s="1" t="s">
        <v>4438</v>
      </c>
      <c r="G2230" s="1" t="s">
        <v>49</v>
      </c>
      <c r="H2230" s="1" t="s">
        <v>16</v>
      </c>
      <c r="I2230" s="1" t="str">
        <f ca="1">IFERROR(__xludf.DUMMYFUNCTION("GOOGLETRANSLATE(F2230, ""auto"", ""en"")
"),"The first time I washed soap normally, even though I didn’t use it often, after half a year the E3 error appeared, I bought all the products, then the water intake pump failed. Overall a terrible machine. It's a shame that we spent so much money and got z"&amp;"ero results.")</f>
        <v>The first time I washed soap normally, even though I didn’t use it often, after half a year the E3 error appeared, I bought all the products, then the water intake pump failed. Overall a terrible machine. It's a shame that we spent so much money and got zero results.</v>
      </c>
    </row>
    <row r="2231" spans="1:9" x14ac:dyDescent="0.3">
      <c r="A2231" s="1" t="s">
        <v>369</v>
      </c>
      <c r="B2231" s="1" t="s">
        <v>2480</v>
      </c>
      <c r="C2231" s="1" t="s">
        <v>453</v>
      </c>
      <c r="D2231" s="1" t="s">
        <v>474</v>
      </c>
      <c r="E2231" s="1" t="s">
        <v>4439</v>
      </c>
      <c r="F2231" s="1" t="s">
        <v>4440</v>
      </c>
      <c r="G2231" s="1" t="s">
        <v>36</v>
      </c>
      <c r="H2231" s="1" t="s">
        <v>29</v>
      </c>
      <c r="I2231" s="1" t="str">
        <f ca="1">IFERROR(__xludf.DUMMYFUNCTION("GOOGLETRANSLATE(F2231, ""auto"", ""en"")
"),"We bought this model for our dacha and really liked it. I used to cook little, but with it I always want to cook or fry something.  It heats up quickly, cools down slowly, and you can use residual heat sparingly.  I read in reviews that the numbers on the"&amp;" handles are erased. I solved the problem simply by covering it with colorless nail polish.  I'm very pleased with the purchase))")</f>
        <v>We bought this model for our dacha and really liked it. I used to cook little, but with it I always want to cook or fry something.  It heats up quickly, cools down slowly, and you can use residual heat sparingly.  I read in reviews that the numbers on the handles are erased. I solved the problem simply by covering it with colorless nail polish.  I'm very pleased with the purchase))</v>
      </c>
    </row>
    <row r="2232" spans="1:9" x14ac:dyDescent="0.3">
      <c r="A2232" s="1" t="s">
        <v>61</v>
      </c>
      <c r="B2232" s="1" t="s">
        <v>180</v>
      </c>
      <c r="C2232" s="1" t="s">
        <v>74</v>
      </c>
      <c r="D2232" s="1" t="s">
        <v>411</v>
      </c>
      <c r="E2232" s="1" t="s">
        <v>3020</v>
      </c>
      <c r="F2232" s="1" t="s">
        <v>4441</v>
      </c>
      <c r="G2232" s="1" t="s">
        <v>36</v>
      </c>
      <c r="H2232" s="1" t="s">
        <v>29</v>
      </c>
      <c r="I2232" s="1" t="str">
        <f ca="1">IFERROR(__xludf.DUMMYFUNCTION("GOOGLETRANSLATE(F2232, ""auto"", ""en"")
"),"The sandwich maker has been in service for more than 4 years, there are no complaints, it copes with its task with a bang!!! They stuffed in such huge sandwiches, everything was fried!!! Great choice for the money!!!")</f>
        <v>The sandwich maker has been in service for more than 4 years, there are no complaints, it copes with its task with a bang!!! They stuffed in such huge sandwiches, everything was fried!!! Great choice for the money!!!</v>
      </c>
    </row>
    <row r="2233" spans="1:9" x14ac:dyDescent="0.3">
      <c r="A2233" s="1" t="s">
        <v>61</v>
      </c>
      <c r="B2233" s="1" t="s">
        <v>224</v>
      </c>
      <c r="C2233" s="1" t="s">
        <v>74</v>
      </c>
      <c r="D2233" s="1" t="s">
        <v>75</v>
      </c>
      <c r="E2233" s="1" t="s">
        <v>1280</v>
      </c>
      <c r="F2233" s="1" t="s">
        <v>4442</v>
      </c>
      <c r="G2233" s="1" t="s">
        <v>36</v>
      </c>
      <c r="H2233" s="1" t="s">
        <v>29</v>
      </c>
      <c r="I2233" s="1" t="str">
        <f ca="1">IFERROR(__xludf.DUMMYFUNCTION("GOOGLETRANSLATE(F2233, ""auto"", ""en"")
"),"The juicer exceeded all my expectations. Really great item, all the positive reviews are TRUE!!! I read a lot of reviews before purchasing. Thanks to everyone who wrote here, thanks to you I made the right choice. Take it, you won't regret it!!!")</f>
        <v>The juicer exceeded all my expectations. Really great item, all the positive reviews are TRUE!!! I read a lot of reviews before purchasing. Thanks to everyone who wrote here, thanks to you I made the right choice. Take it, you won't regret it!!!</v>
      </c>
    </row>
    <row r="2234" spans="1:9" x14ac:dyDescent="0.3">
      <c r="A2234" s="1" t="s">
        <v>17</v>
      </c>
      <c r="B2234" s="1" t="s">
        <v>18</v>
      </c>
      <c r="C2234" s="1" t="s">
        <v>63</v>
      </c>
      <c r="D2234" s="1" t="s">
        <v>456</v>
      </c>
      <c r="E2234" s="1" t="s">
        <v>4443</v>
      </c>
      <c r="F2234" s="1" t="s">
        <v>4444</v>
      </c>
      <c r="G2234" s="1" t="s">
        <v>15</v>
      </c>
      <c r="H2234" s="1" t="s">
        <v>16</v>
      </c>
      <c r="I2234" s="1" t="str">
        <f ca="1">IFERROR(__xludf.DUMMYFUNCTION("GOOGLETRANSLATE(F2234, ""auto"", ""en"")
"),"Less lucky than Ivan. It broke after a year and a half. Assembly Poland or Slovenia. Price is not quality.")</f>
        <v>Less lucky than Ivan. It broke after a year and a half. Assembly Poland or Slovenia. Price is not quality.</v>
      </c>
    </row>
    <row r="2235" spans="1:9" x14ac:dyDescent="0.3">
      <c r="A2235" s="1" t="s">
        <v>206</v>
      </c>
      <c r="B2235" s="1" t="s">
        <v>261</v>
      </c>
      <c r="C2235" s="1" t="s">
        <v>107</v>
      </c>
      <c r="D2235" s="1" t="s">
        <v>679</v>
      </c>
      <c r="E2235" s="1" t="s">
        <v>4445</v>
      </c>
      <c r="F2235" s="1" t="s">
        <v>4446</v>
      </c>
      <c r="G2235" s="1" t="s">
        <v>36</v>
      </c>
      <c r="H2235" s="1" t="s">
        <v>29</v>
      </c>
      <c r="I2235" s="1" t="str">
        <f ca="1">IFERROR(__xludf.DUMMYFUNCTION("GOOGLETRANSLATE(F2235, ""auto"", ""en"")
"),"I leave my review specifically for those who choose, because... I was in search myself and the opinions of other people helped me make a choice. I was looking for a modulator with support for the RDS function. I've been using this device for two weeks now"&amp;". Zero negative emotions. Connection with the standard radio occurs instantly. The activation algorithm is very simple - turn on the radio, select a wave, insert the modulator with a flash drive into the cigarette lighter... that's it, the broadcast start"&amp;"s. The sound quality is of course different from CDs or radio broadcasts. The bass is very high, you have to practically turn it off on the radio. Although, perhaps these are only the properties of the devices working together in my individual case. A cou"&amp;"ple of times, apparently in places where radio interference exists, a small hiss was heard. When turned off, the FMT-A900 remembers the currently playing track and starts broadcasting from it when turned on. The remote control is convenient, the buttons a"&amp;"re located intuitively. Once you remember their location, you no longer get confused. Two small disadvantages: the modulator is activated automatically and starts broadcasting if it is inserted into the cigarette lighter when starting the engine (a little"&amp;" inconvenient; the operating radius of the remote control is extremely small, you practically need to aim it at the device for the command to be accepted. That seems to be all, I hope it helped someone).")</f>
        <v>I leave my review specifically for those who choose, because... I was in search myself and the opinions of other people helped me make a choice. I was looking for a modulator with support for the RDS function. I've been using this device for two weeks now. Zero negative emotions. Connection with the standard radio occurs instantly. The activation algorithm is very simple - turn on the radio, select a wave, insert the modulator with a flash drive into the cigarette lighter... that's it, the broadcast starts. The sound quality is of course different from CDs or radio broadcasts. The bass is very high, you have to practically turn it off on the radio. Although, perhaps these are only the properties of the devices working together in my individual case. A couple of times, apparently in places where radio interference exists, a small hiss was heard. When turned off, the FMT-A900 remembers the currently playing track and starts broadcasting from it when turned on. The remote control is convenient, the buttons are located intuitively. Once you remember their location, you no longer get confused. Two small disadvantages: the modulator is activated automatically and starts broadcasting if it is inserted into the cigarette lighter when starting the engine (a little inconvenient; the operating radius of the remote control is extremely small, you practically need to aim it at the device for the command to be accepted. That seems to be all, I hope it helped someone).</v>
      </c>
    </row>
    <row r="2236" spans="1:9" x14ac:dyDescent="0.3">
      <c r="A2236" s="1" t="s">
        <v>61</v>
      </c>
      <c r="B2236" s="1" t="s">
        <v>224</v>
      </c>
      <c r="C2236" s="1" t="s">
        <v>85</v>
      </c>
      <c r="D2236" s="1" t="s">
        <v>52</v>
      </c>
      <c r="E2236" s="1" t="s">
        <v>397</v>
      </c>
      <c r="F2236" s="1" t="s">
        <v>4447</v>
      </c>
      <c r="G2236" s="1" t="s">
        <v>36</v>
      </c>
      <c r="H2236" s="1" t="s">
        <v>29</v>
      </c>
      <c r="I2236" s="1" t="str">
        <f ca="1">IFERROR(__xludf.DUMMYFUNCTION("GOOGLETRANSLATE(F2236, ""auto"", ""en"")
"),"My wife and I bought this juicer. So far, no complaints! Let's see what happens next. In general, to be honest, the thing is worthwhile, everything is done well, there is nothing to complain about. The main disadvantage of all BORK products is the price ("&amp;"too expensive)")</f>
        <v>My wife and I bought this juicer. So far, no complaints! Let's see what happens next. In general, to be honest, the thing is worthwhile, everything is done well, there is nothing to complain about. The main disadvantage of all BORK products is the price (too expensive)</v>
      </c>
    </row>
    <row r="2237" spans="1:9" x14ac:dyDescent="0.3">
      <c r="A2237" s="1" t="s">
        <v>43</v>
      </c>
      <c r="B2237" s="1" t="s">
        <v>502</v>
      </c>
      <c r="C2237" s="1" t="s">
        <v>151</v>
      </c>
      <c r="D2237" s="1" t="s">
        <v>39</v>
      </c>
      <c r="E2237" s="1" t="s">
        <v>1371</v>
      </c>
      <c r="F2237" s="1" t="s">
        <v>4448</v>
      </c>
      <c r="G2237" s="1" t="s">
        <v>28</v>
      </c>
      <c r="H2237" s="1" t="s">
        <v>29</v>
      </c>
      <c r="I2237" s="1" t="str">
        <f ca="1">IFERROR(__xludf.DUMMYFUNCTION("GOOGLETRANSLATE(F2237, ""auto"", ""en"")
"),"I bought it at the beginning of July. Installed by Samsung officials so as not to lose the warranty. It freezes perfectly for a room of 20 sq.m. In turbo mode you start to freeze after 10 minutes. The external unit does not make noise or vibrate. I haven'"&amp;"t quite figured out the night mode. You fall asleep cool, wake up stuffy. But better than with an open window. It gets to the kitchen, but it’s not quite the same. In general, a good condo for the money.")</f>
        <v>I bought it at the beginning of July. Installed by Samsung officials so as not to lose the warranty. It freezes perfectly for a room of 20 sq.m. In turbo mode you start to freeze after 10 minutes. The external unit does not make noise or vibrate. I haven't quite figured out the night mode. You fall asleep cool, wake up stuffy. But better than with an open window. It gets to the kitchen, but it’s not quite the same. In general, a good condo for the money.</v>
      </c>
    </row>
    <row r="2238" spans="1:9" x14ac:dyDescent="0.3">
      <c r="A2238" s="1" t="s">
        <v>206</v>
      </c>
      <c r="B2238" s="1" t="s">
        <v>261</v>
      </c>
      <c r="C2238" s="1" t="s">
        <v>262</v>
      </c>
      <c r="D2238" s="1" t="s">
        <v>305</v>
      </c>
      <c r="E2238" s="1" t="s">
        <v>4449</v>
      </c>
      <c r="F2238" s="1" t="s">
        <v>4450</v>
      </c>
      <c r="G2238" s="1" t="s">
        <v>49</v>
      </c>
      <c r="H2238" s="1" t="s">
        <v>16</v>
      </c>
      <c r="I2238" s="1" t="str">
        <f ca="1">IFERROR(__xludf.DUMMYFUNCTION("GOOGLETRANSLATE(F2238, ""auto"", ""en"")
"),"There are no advantages, only disadvantages")</f>
        <v>There are no advantages, only disadvantages</v>
      </c>
    </row>
    <row r="2239" spans="1:9" x14ac:dyDescent="0.3">
      <c r="A2239" s="1" t="s">
        <v>37</v>
      </c>
      <c r="B2239" s="1" t="s">
        <v>536</v>
      </c>
      <c r="C2239" s="1" t="s">
        <v>163</v>
      </c>
      <c r="D2239" s="1" t="s">
        <v>4451</v>
      </c>
      <c r="E2239" s="1" t="s">
        <v>4452</v>
      </c>
      <c r="F2239" s="1" t="s">
        <v>4453</v>
      </c>
      <c r="G2239" s="1" t="s">
        <v>28</v>
      </c>
      <c r="H2239" s="1" t="s">
        <v>29</v>
      </c>
      <c r="I2239" s="1" t="str">
        <f ca="1">IFERROR(__xludf.DUMMYFUNCTION("GOOGLETRANSLATE(F2239, ""auto"", ""en"")
"),"This smartphone is excellent in almost everything, but there are some unpleasant things, specifically: the build quality is not very good - there is a small gap in one corner (so look carefully when buying), there is play in the back cover, the lock butto"&amp;"n dangles and rattles, and all this is Hungarian build quality! Although I hoped for Hungary!  Well, everything else is super: a very high-quality screen with excellent resolution with a modern 16:9 ratio and stereo speakers along the edges of the display"&amp;" - great for watching modern 16:9 widescreen films! In general, this is like a mini LCD widescreen TV in your pocket!  The sound is excellent, clear, excellent stereo sound!  It is good to view the Internet on such a display - quite convenient for Interne"&amp;"t sites!  The phone comes with a 4 Gb MicroSD card and stereo headphones!  The sensor works well (the stylus is only needed for Internet browsing - clicking small links)! And it’s fine with a finger.  Another thing about video: it understands a few format"&amp;"s, but this is a small problem, there is a free program called Format Factory (on the Internet), which converts it for a smartphone without any problems.")</f>
        <v>This smartphone is excellent in almost everything, but there are some unpleasant things, specifically: the build quality is not very good - there is a small gap in one corner (so look carefully when buying), there is play in the back cover, the lock button dangles and rattles, and all this is Hungarian build quality! Although I hoped for Hungary!  Well, everything else is super: a very high-quality screen with excellent resolution with a modern 16:9 ratio and stereo speakers along the edges of the display - great for watching modern 16:9 widescreen films! In general, this is like a mini LCD widescreen TV in your pocket!  The sound is excellent, clear, excellent stereo sound!  It is good to view the Internet on such a display - quite convenient for Internet sites!  The phone comes with a 4 Gb MicroSD card and stereo headphones!  The sensor works well (the stylus is only needed for Internet browsing - clicking small links)! And it’s fine with a finger.  Another thing about video: it understands a few formats, but this is a small problem, there is a free program called Format Factory (on the Internet), which converts it for a smartphone without any problems.</v>
      </c>
    </row>
    <row r="2240" spans="1:9" x14ac:dyDescent="0.3">
      <c r="A2240" s="1" t="s">
        <v>149</v>
      </c>
      <c r="B2240" s="1" t="s">
        <v>576</v>
      </c>
      <c r="C2240" s="1" t="s">
        <v>1835</v>
      </c>
      <c r="D2240" s="1" t="s">
        <v>4412</v>
      </c>
      <c r="E2240" s="1" t="s">
        <v>1700</v>
      </c>
      <c r="F2240" s="1" t="s">
        <v>4454</v>
      </c>
      <c r="G2240" s="1" t="s">
        <v>36</v>
      </c>
      <c r="H2240" s="1" t="s">
        <v>29</v>
      </c>
      <c r="I2240" s="1" t="str">
        <f ca="1">IFERROR(__xludf.DUMMYFUNCTION("GOOGLETRANSLATE(F2240, ""auto"", ""en"")
"),"A very powerful vacuum cleaner. Lots of attachments. It works very quietly. Take it, you won't regret it!!!")</f>
        <v>A very powerful vacuum cleaner. Lots of attachments. It works very quietly. Take it, you won't regret it!!!</v>
      </c>
    </row>
    <row r="2241" spans="1:9" x14ac:dyDescent="0.3">
      <c r="A2241" s="1" t="s">
        <v>9</v>
      </c>
      <c r="B2241" s="1" t="s">
        <v>23</v>
      </c>
      <c r="C2241" s="1" t="s">
        <v>466</v>
      </c>
      <c r="D2241" s="1" t="s">
        <v>1877</v>
      </c>
      <c r="E2241" s="1" t="s">
        <v>4455</v>
      </c>
      <c r="F2241" s="1" t="s">
        <v>4456</v>
      </c>
      <c r="G2241" s="1" t="s">
        <v>15</v>
      </c>
      <c r="H2241" s="1" t="s">
        <v>16</v>
      </c>
      <c r="I2241" s="1" t="str">
        <f ca="1">IFERROR(__xludf.DUMMYFUNCTION("GOOGLETRANSLATE(F2241, ""auto"", ""en"")
"),"After half a year, the aquastop broke, the hose was replaced. Then I started washing dishes poorly (we use all the recommended products). It periodically displays error E3, runs for a very long time and is noisy, but now the LED has burned out. Junk.")</f>
        <v>After half a year, the aquastop broke, the hose was replaced. Then I started washing dishes poorly (we use all the recommended products). It periodically displays error E3, runs for a very long time and is noisy, but now the LED has burned out. Junk.</v>
      </c>
    </row>
    <row r="2242" spans="1:9" x14ac:dyDescent="0.3">
      <c r="A2242" s="1" t="s">
        <v>61</v>
      </c>
      <c r="B2242" s="1" t="s">
        <v>224</v>
      </c>
      <c r="C2242" s="1" t="s">
        <v>85</v>
      </c>
      <c r="D2242" s="1" t="s">
        <v>943</v>
      </c>
      <c r="E2242" s="1" t="s">
        <v>1285</v>
      </c>
      <c r="F2242" s="1" t="s">
        <v>4457</v>
      </c>
      <c r="G2242" s="1" t="s">
        <v>36</v>
      </c>
      <c r="H2242" s="1" t="s">
        <v>29</v>
      </c>
      <c r="I2242" s="1" t="str">
        <f ca="1">IFERROR(__xludf.DUMMYFUNCTION("GOOGLETRANSLATE(F2242, ""auto"", ""en"")
"),"Large loading chute, easy to use, special coating on knives that prevents rust and corrosion.")</f>
        <v>Large loading chute, easy to use, special coating on knives that prevents rust and corrosion.</v>
      </c>
    </row>
    <row r="2243" spans="1:9" x14ac:dyDescent="0.3">
      <c r="A2243" s="1" t="s">
        <v>1823</v>
      </c>
      <c r="B2243" s="1" t="s">
        <v>1824</v>
      </c>
      <c r="C2243" s="1" t="s">
        <v>69</v>
      </c>
      <c r="D2243" s="1" t="s">
        <v>280</v>
      </c>
      <c r="E2243" s="1" t="s">
        <v>4458</v>
      </c>
      <c r="F2243" s="1" t="s">
        <v>4459</v>
      </c>
      <c r="G2243" s="1" t="s">
        <v>36</v>
      </c>
      <c r="H2243" s="1" t="s">
        <v>29</v>
      </c>
      <c r="I2243" s="1" t="str">
        <f ca="1">IFERROR(__xludf.DUMMYFUNCTION("GOOGLETRANSLATE(F2243, ""auto"", ""en"")
"),"I bought it for my wife along with a steam generator and she is very pleased. He says it’s just super, comfortable, easy to iron shirts. Stable and easy to assemble and disassemble.")</f>
        <v>I bought it for my wife along with a steam generator and she is very pleased. He says it’s just super, comfortable, easy to iron shirts. Stable and easy to assemble and disassemble.</v>
      </c>
    </row>
    <row r="2244" spans="1:9" x14ac:dyDescent="0.3">
      <c r="A2244" s="1" t="s">
        <v>624</v>
      </c>
      <c r="B2244" s="1" t="s">
        <v>2107</v>
      </c>
      <c r="C2244" s="1" t="s">
        <v>479</v>
      </c>
      <c r="D2244" s="1" t="s">
        <v>4460</v>
      </c>
      <c r="E2244" s="1" t="s">
        <v>2126</v>
      </c>
      <c r="F2244" s="1" t="s">
        <v>4461</v>
      </c>
      <c r="G2244" s="1" t="s">
        <v>36</v>
      </c>
      <c r="H2244" s="1" t="s">
        <v>29</v>
      </c>
      <c r="I2244" s="1" t="str">
        <f ca="1">IFERROR(__xludf.DUMMYFUNCTION("GOOGLETRANSLATE(F2244, ""auto"", ""en"")
"),"Guys, the game is not just great, but the best! cool cars, cool tuning, 5-point graphics, especially on a good TV. It even seemed to me that the main character was voiced by Eminem, one drawback - the game is all in English.")</f>
        <v>Guys, the game is not just great, but the best! cool cars, cool tuning, 5-point graphics, especially on a good TV. It even seemed to me that the main character was voiced by Eminem, one drawback - the game is all in English.</v>
      </c>
    </row>
    <row r="2245" spans="1:9" x14ac:dyDescent="0.3">
      <c r="A2245" s="1" t="s">
        <v>61</v>
      </c>
      <c r="B2245" s="1" t="s">
        <v>224</v>
      </c>
      <c r="C2245" s="1" t="s">
        <v>213</v>
      </c>
      <c r="D2245" s="1" t="s">
        <v>940</v>
      </c>
      <c r="E2245" s="1" t="s">
        <v>3523</v>
      </c>
      <c r="F2245" s="1" t="s">
        <v>4462</v>
      </c>
      <c r="G2245" s="1" t="s">
        <v>36</v>
      </c>
      <c r="H2245" s="1" t="s">
        <v>29</v>
      </c>
      <c r="I2245" s="1" t="str">
        <f ca="1">IFERROR(__xludf.DUMMYFUNCTION("GOOGLETRANSLATE(F2245, ""auto"", ""en"")
"),"I was looking for exactly this one, because... the previous one worked almost every day for almost six years! Satisfied with the speed of work, volume, and, most importantly, the ability to regulate the concentration of pulp in the juice...")</f>
        <v>I was looking for exactly this one, because... the previous one worked almost every day for almost six years! Satisfied with the speed of work, volume, and, most importantly, the ability to regulate the concentration of pulp in the juice...</v>
      </c>
    </row>
    <row r="2246" spans="1:9" x14ac:dyDescent="0.3">
      <c r="A2246" s="1" t="s">
        <v>30</v>
      </c>
      <c r="B2246" s="1" t="s">
        <v>50</v>
      </c>
      <c r="C2246" s="1" t="s">
        <v>1003</v>
      </c>
      <c r="D2246" s="1" t="s">
        <v>335</v>
      </c>
      <c r="E2246" s="1" t="s">
        <v>2529</v>
      </c>
      <c r="F2246" s="1" t="s">
        <v>4463</v>
      </c>
      <c r="G2246" s="1" t="s">
        <v>36</v>
      </c>
      <c r="H2246" s="1" t="s">
        <v>29</v>
      </c>
      <c r="I2246" s="1" t="str">
        <f ca="1">IFERROR(__xludf.DUMMYFUNCTION("GOOGLETRANSLATE(F2246, ""auto"", ""en"")
"),"I've been using this laptop for several months. I’m happy with everything, but one thing is puzzling - why, instead of the declared 500 gigs, only 450 are visible?")</f>
        <v>I've been using this laptop for several months. I’m happy with everything, but one thing is puzzling - why, instead of the declared 500 gigs, only 450 are visible?</v>
      </c>
    </row>
    <row r="2247" spans="1:9" x14ac:dyDescent="0.3">
      <c r="A2247" s="1" t="s">
        <v>206</v>
      </c>
      <c r="B2247" s="1" t="s">
        <v>1253</v>
      </c>
      <c r="C2247" s="1" t="s">
        <v>4464</v>
      </c>
      <c r="D2247" s="1" t="s">
        <v>4465</v>
      </c>
      <c r="E2247" s="1" t="s">
        <v>4466</v>
      </c>
      <c r="F2247" s="1" t="s">
        <v>4467</v>
      </c>
      <c r="G2247" s="1" t="s">
        <v>36</v>
      </c>
      <c r="H2247" s="1" t="s">
        <v>29</v>
      </c>
      <c r="I2247" s="1" t="str">
        <f ca="1">IFERROR(__xludf.DUMMYFUNCTION("GOOGLETRANSLATE(F2247, ""auto"", ""en"")
"),"Nice kit. I use it for walks (forest roads, lakes). 2 km confidently pulls.  The partner is in a brick house. The charge lasts for a day (in economy mode). Purchased from M-video. Disadvantages: there are small holes in the clip area (moisture may get ins"&amp;"ide); There is no charge limit (you have to watch it over time). Advantages: loud, lightweight, good (loud) earphone, low price, ability to replace AAA batteries. A good replacement for a mobile phone where there is no cellular connection.")</f>
        <v>Nice kit. I use it for walks (forest roads, lakes). 2 km confidently pulls.  The partner is in a brick house. The charge lasts for a day (in economy mode). Purchased from M-video. Disadvantages: there are small holes in the clip area (moisture may get inside); There is no charge limit (you have to watch it over time). Advantages: loud, lightweight, good (loud) earphone, low price, ability to replace AAA batteries. A good replacement for a mobile phone where there is no cellular connection.</v>
      </c>
    </row>
    <row r="2248" spans="1:9" x14ac:dyDescent="0.3">
      <c r="A2248" s="1" t="s">
        <v>1119</v>
      </c>
      <c r="B2248" s="1" t="s">
        <v>1120</v>
      </c>
      <c r="C2248" s="1" t="s">
        <v>4468</v>
      </c>
      <c r="D2248" s="1" t="s">
        <v>232</v>
      </c>
      <c r="E2248" s="1" t="s">
        <v>2321</v>
      </c>
      <c r="F2248" s="1" t="s">
        <v>4469</v>
      </c>
      <c r="G2248" s="1" t="s">
        <v>36</v>
      </c>
      <c r="H2248" s="1" t="s">
        <v>29</v>
      </c>
      <c r="I2248" s="1" t="str">
        <f ca="1">IFERROR(__xludf.DUMMYFUNCTION("GOOGLETRANSLATE(F2248, ""auto"", ""en"")
"),"“The difference in price is minimal” Yep. Honoring twice between fs200 and fs20.    And so, the FS200 is a pretty decent camera for the money.")</f>
        <v>“The difference in price is minimal” Yep. Honoring twice between fs200 and fs20.    And so, the FS200 is a pretty decent camera for the money.</v>
      </c>
    </row>
    <row r="2249" spans="1:9" x14ac:dyDescent="0.3">
      <c r="A2249" s="1" t="s">
        <v>61</v>
      </c>
      <c r="B2249" s="1" t="s">
        <v>145</v>
      </c>
      <c r="C2249" s="1" t="s">
        <v>85</v>
      </c>
      <c r="D2249" s="1" t="s">
        <v>4470</v>
      </c>
      <c r="E2249" s="1" t="s">
        <v>1821</v>
      </c>
      <c r="F2249" s="1" t="s">
        <v>4471</v>
      </c>
      <c r="G2249" s="1" t="s">
        <v>36</v>
      </c>
      <c r="H2249" s="1" t="s">
        <v>29</v>
      </c>
      <c r="I2249" s="1" t="str">
        <f ca="1">IFERROR(__xludf.DUMMYFUNCTION("GOOGLETRANSLATE(F2249, ""auto"", ""en"")
"),"Cool steamer")</f>
        <v>Cool steamer</v>
      </c>
    </row>
    <row r="2250" spans="1:9" x14ac:dyDescent="0.3">
      <c r="A2250" s="1" t="s">
        <v>95</v>
      </c>
      <c r="B2250" s="1" t="s">
        <v>4131</v>
      </c>
      <c r="C2250" s="1" t="s">
        <v>97</v>
      </c>
      <c r="D2250" s="1" t="s">
        <v>2068</v>
      </c>
      <c r="E2250" s="1" t="s">
        <v>4472</v>
      </c>
      <c r="F2250" s="1" t="s">
        <v>4473</v>
      </c>
      <c r="G2250" s="1" t="s">
        <v>36</v>
      </c>
      <c r="H2250" s="1" t="s">
        <v>29</v>
      </c>
      <c r="I2250" s="1" t="str">
        <f ca="1">IFERROR(__xludf.DUMMYFUNCTION("GOOGLETRANSLATE(F2250, ""auto"", ""en"")
"),"I'm happy with the console and the game. I definitely recommend taking it!")</f>
        <v>I'm happy with the console and the game. I definitely recommend taking it!</v>
      </c>
    </row>
    <row r="2251" spans="1:9" x14ac:dyDescent="0.3">
      <c r="A2251" s="1" t="s">
        <v>61</v>
      </c>
      <c r="B2251" s="1" t="s">
        <v>224</v>
      </c>
      <c r="C2251" s="1" t="s">
        <v>85</v>
      </c>
      <c r="D2251" s="1" t="s">
        <v>152</v>
      </c>
      <c r="E2251" s="1" t="s">
        <v>4474</v>
      </c>
      <c r="F2251" s="1" t="s">
        <v>4475</v>
      </c>
      <c r="G2251" s="1" t="s">
        <v>36</v>
      </c>
      <c r="H2251" s="1" t="s">
        <v>29</v>
      </c>
      <c r="I2251" s="1" t="str">
        <f ca="1">IFERROR(__xludf.DUMMYFUNCTION("GOOGLETRANSLATE(F2251, ""auto"", ""en"")
"),"Good juicer! I like everything: quiet, squeezes well. We've been using it for almost a year, our whole family is happy! We recommend it to everyone!")</f>
        <v>Good juicer! I like everything: quiet, squeezes well. We've been using it for almost a year, our whole family is happy! We recommend it to everyone!</v>
      </c>
    </row>
    <row r="2252" spans="1:9" x14ac:dyDescent="0.3">
      <c r="A2252" s="1" t="s">
        <v>30</v>
      </c>
      <c r="B2252" s="1" t="s">
        <v>31</v>
      </c>
      <c r="C2252" s="1" t="s">
        <v>32</v>
      </c>
      <c r="D2252" s="1" t="s">
        <v>139</v>
      </c>
      <c r="E2252" s="1" t="s">
        <v>3652</v>
      </c>
      <c r="F2252" s="1" t="s">
        <v>4476</v>
      </c>
      <c r="G2252" s="1" t="s">
        <v>36</v>
      </c>
      <c r="H2252" s="1" t="s">
        <v>29</v>
      </c>
      <c r="I2252" s="1" t="str">
        <f ca="1">IFERROR(__xludf.DUMMYFUNCTION("GOOGLETRANSLATE(F2252, ""auto"", ""en"")
"),"I bought this computer for 15,990 and I don’t regret it one bit. First of all, in my opinion, the video is just right (GTA4 flies almost at maximum))) the case is very small, and the computer itself is quiet. everything is very cool, especially since deli"&amp;"very to Domodedovo is free)")</f>
        <v>I bought this computer for 15,990 and I don’t regret it one bit. First of all, in my opinion, the video is just right (GTA4 flies almost at maximum))) the case is very small, and the computer itself is quiet. everything is very cool, especially since delivery to Domodedovo is free)</v>
      </c>
    </row>
    <row r="2253" spans="1:9" x14ac:dyDescent="0.3">
      <c r="A2253" s="1" t="s">
        <v>105</v>
      </c>
      <c r="B2253" s="1" t="s">
        <v>106</v>
      </c>
      <c r="C2253" s="1" t="s">
        <v>1209</v>
      </c>
      <c r="D2253" s="1" t="s">
        <v>1036</v>
      </c>
      <c r="E2253" s="1" t="s">
        <v>571</v>
      </c>
      <c r="F2253" s="1" t="s">
        <v>4477</v>
      </c>
      <c r="G2253" s="1" t="s">
        <v>36</v>
      </c>
      <c r="H2253" s="1" t="s">
        <v>29</v>
      </c>
      <c r="I2253" s="1" t="str">
        <f ca="1">IFERROR(__xludf.DUMMYFUNCTION("GOOGLETRANSLATE(F2253, ""auto"", ""en"")
"),"The player is fine! It catches everywhere, only if you adjust it! Be careful with the antenna, as its tip is very thin and fragile! Music is fun to listen to! There is an equalizer and homemade settings for music (you adjust the equalizer settings yoursel"&amp;"f). There is also a problem in the text (in the firmware) - when you go to TV, it says there - which immediately catches your eye! I hope there will be firmware for t3otv soon! The avi video looks very high quality. Only in my opinion the calculator in th"&amp;"is player is superfluous))) Overall the player is excellent, I like it, the rating is 5!")</f>
        <v>The player is fine! It catches everywhere, only if you adjust it! Be careful with the antenna, as its tip is very thin and fragile! Music is fun to listen to! There is an equalizer and homemade settings for music (you adjust the equalizer settings yourself). There is also a problem in the text (in the firmware) - when you go to TV, it says there - which immediately catches your eye! I hope there will be firmware for t3otv soon! The avi video looks very high quality. Only in my opinion the calculator in this player is superfluous))) Overall the player is excellent, I like it, the rating is 5!</v>
      </c>
    </row>
    <row r="2254" spans="1:9" x14ac:dyDescent="0.3">
      <c r="A2254" s="1" t="s">
        <v>1119</v>
      </c>
      <c r="B2254" s="1" t="s">
        <v>1120</v>
      </c>
      <c r="C2254" s="1" t="s">
        <v>4468</v>
      </c>
      <c r="D2254" s="1" t="s">
        <v>305</v>
      </c>
      <c r="E2254" s="1" t="s">
        <v>3147</v>
      </c>
      <c r="F2254" s="1" t="s">
        <v>4478</v>
      </c>
      <c r="G2254" s="1" t="s">
        <v>36</v>
      </c>
      <c r="H2254" s="1" t="s">
        <v>29</v>
      </c>
      <c r="I2254" s="1" t="str">
        <f ca="1">IFERROR(__xludf.DUMMYFUNCTION("GOOGLETRANSLATE(F2254, ""auto"", ""en"")
"),"Friends! I recommend, for this money the quality of shooting is so high, you will even be very satisfied, of course it’s better not to take photos, but it is clear from the camera parameters that they will be about 0.5 megapixels. And the most important t"&amp;"hing is that it was made in Japan, I think in our time of Chinese mediocrity, this is the only reason you can buy it and sleep peacefully. So she earns her money honestly!!!")</f>
        <v>Friends! I recommend, for this money the quality of shooting is so high, you will even be very satisfied, of course it’s better not to take photos, but it is clear from the camera parameters that they will be about 0.5 megapixels. And the most important thing is that it was made in Japan, I think in our time of Chinese mediocrity, this is the only reason you can buy it and sleep peacefully. So she earns her money honestly!!!</v>
      </c>
    </row>
    <row r="2255" spans="1:9" x14ac:dyDescent="0.3">
      <c r="A2255" s="1" t="s">
        <v>67</v>
      </c>
      <c r="B2255" s="1" t="s">
        <v>68</v>
      </c>
      <c r="C2255" s="1" t="s">
        <v>246</v>
      </c>
      <c r="D2255" s="1" t="s">
        <v>4479</v>
      </c>
      <c r="E2255" s="1" t="s">
        <v>3542</v>
      </c>
      <c r="F2255" s="1" t="s">
        <v>4480</v>
      </c>
      <c r="G2255" s="1" t="s">
        <v>36</v>
      </c>
      <c r="H2255" s="1" t="s">
        <v>29</v>
      </c>
      <c r="I2255" s="1" t="str">
        <f ca="1">IFERROR(__xludf.DUMMYFUNCTION("GOOGLETRANSLATE(F2255, ""auto"", ""en"")
"),"this is the best iron. I looked through many options, but couldn’t find a better one. Those who are looking for an iron, get this one!")</f>
        <v>this is the best iron. I looked through many options, but couldn’t find a better one. Those who are looking for an iron, get this one!</v>
      </c>
    </row>
    <row r="2256" spans="1:9" x14ac:dyDescent="0.3">
      <c r="A2256" s="1" t="s">
        <v>1443</v>
      </c>
      <c r="B2256" s="1" t="s">
        <v>1444</v>
      </c>
      <c r="C2256" s="1" t="s">
        <v>97</v>
      </c>
      <c r="D2256" s="1" t="s">
        <v>4481</v>
      </c>
      <c r="E2256" s="1" t="s">
        <v>1646</v>
      </c>
      <c r="F2256" s="1" t="s">
        <v>4482</v>
      </c>
      <c r="G2256" s="1" t="s">
        <v>49</v>
      </c>
      <c r="H2256" s="1" t="s">
        <v>16</v>
      </c>
      <c r="I2256" s="1" t="str">
        <f ca="1">IFERROR(__xludf.DUMMYFUNCTION("GOOGLETRANSLATE(F2256, ""auto"", ""en"")
"),"It is not possible to write more than 4 GB at a time. It is not possible to use the program to compress information, because... you will lose a lot of time.")</f>
        <v>It is not possible to write more than 4 GB at a time. It is not possible to use the program to compress information, because... you will lose a lot of time.</v>
      </c>
    </row>
    <row r="2257" spans="1:9" x14ac:dyDescent="0.3">
      <c r="A2257" s="1" t="s">
        <v>624</v>
      </c>
      <c r="B2257" s="1" t="s">
        <v>625</v>
      </c>
      <c r="C2257" s="1" t="s">
        <v>479</v>
      </c>
      <c r="D2257" s="1" t="s">
        <v>2016</v>
      </c>
      <c r="E2257" s="1" t="s">
        <v>4483</v>
      </c>
      <c r="F2257" s="1" t="s">
        <v>4484</v>
      </c>
      <c r="G2257" s="1" t="s">
        <v>36</v>
      </c>
      <c r="H2257" s="1" t="s">
        <v>29</v>
      </c>
      <c r="I2257" s="1" t="str">
        <f ca="1">IFERROR(__xludf.DUMMYFUNCTION("GOOGLETRANSLATE(F2257, ""auto"", ""en"")
"),"An incomparable game, an unforgettable adventure in a colorful setting!")</f>
        <v>An incomparable game, an unforgettable adventure in a colorful setting!</v>
      </c>
    </row>
    <row r="2258" spans="1:9" x14ac:dyDescent="0.3">
      <c r="A2258" s="1" t="s">
        <v>95</v>
      </c>
      <c r="B2258" s="1" t="s">
        <v>486</v>
      </c>
      <c r="C2258" s="1" t="s">
        <v>487</v>
      </c>
      <c r="D2258" s="1" t="s">
        <v>200</v>
      </c>
      <c r="E2258" s="1" t="s">
        <v>128</v>
      </c>
      <c r="F2258" s="1" t="s">
        <v>4485</v>
      </c>
      <c r="G2258" s="1" t="s">
        <v>36</v>
      </c>
      <c r="H2258" s="1" t="s">
        <v>29</v>
      </c>
      <c r="I2258" s="1" t="str">
        <f ca="1">IFERROR(__xludf.DUMMYFUNCTION("GOOGLETRANSLATE(F2258, ""auto"", ""en"")
"),"for those whose pirated software breaks down: you need to buy licensed discs, and if you bought a pirated one, update the firmware, otherwise after 2 months the XBOX will stop turning on altogether")</f>
        <v>for those whose pirated software breaks down: you need to buy licensed discs, and if you bought a pirated one, update the firmware, otherwise after 2 months the XBOX will stop turning on altogether</v>
      </c>
    </row>
    <row r="2259" spans="1:9" x14ac:dyDescent="0.3">
      <c r="A2259" s="1" t="s">
        <v>37</v>
      </c>
      <c r="B2259" s="1" t="s">
        <v>38</v>
      </c>
      <c r="C2259" s="1" t="s">
        <v>163</v>
      </c>
      <c r="D2259" s="1" t="s">
        <v>1659</v>
      </c>
      <c r="E2259" s="1" t="s">
        <v>4486</v>
      </c>
      <c r="F2259" s="1" t="s">
        <v>4487</v>
      </c>
      <c r="G2259" s="1" t="s">
        <v>15</v>
      </c>
      <c r="H2259" s="1" t="s">
        <v>16</v>
      </c>
      <c r="I2259" s="1" t="str">
        <f ca="1">IFERROR(__xludf.DUMMYFUNCTION("GOOGLETRANSLATE(F2259, ""auto"", ""en"")
"),"The phone has a buggy speaker, wheezes, the menu is sluggish, and the battery drains quickly.")</f>
        <v>The phone has a buggy speaker, wheezes, the menu is sluggish, and the battery drains quickly.</v>
      </c>
    </row>
    <row r="2260" spans="1:9" x14ac:dyDescent="0.3">
      <c r="A2260" s="1" t="s">
        <v>43</v>
      </c>
      <c r="B2260" s="1" t="s">
        <v>502</v>
      </c>
      <c r="C2260" s="1" t="s">
        <v>151</v>
      </c>
      <c r="D2260" s="1" t="s">
        <v>172</v>
      </c>
      <c r="E2260" s="1" t="s">
        <v>883</v>
      </c>
      <c r="F2260" s="1" t="s">
        <v>4488</v>
      </c>
      <c r="G2260" s="1" t="s">
        <v>36</v>
      </c>
      <c r="H2260" s="1" t="s">
        <v>29</v>
      </c>
      <c r="I2260" s="1" t="str">
        <f ca="1">IFERROR(__xludf.DUMMYFUNCTION("GOOGLETRANSLATE(F2260, ""auto"", ""en"")
"),"I've been using it for a little over a month. It works great, almost silently, cools the room in 3-4 minutes, warms up in 10 minutes. So far only positive emotions.")</f>
        <v>I've been using it for a little over a month. It works great, almost silently, cools the room in 3-4 minutes, warms up in 10 minutes. So far only positive emotions.</v>
      </c>
    </row>
    <row r="2261" spans="1:9" x14ac:dyDescent="0.3">
      <c r="A2261" s="1" t="s">
        <v>61</v>
      </c>
      <c r="B2261" s="1" t="s">
        <v>318</v>
      </c>
      <c r="C2261" s="1" t="s">
        <v>2840</v>
      </c>
      <c r="D2261" s="1" t="s">
        <v>922</v>
      </c>
      <c r="E2261" s="1" t="s">
        <v>2459</v>
      </c>
      <c r="F2261" s="1" t="s">
        <v>4489</v>
      </c>
      <c r="G2261" s="1" t="s">
        <v>36</v>
      </c>
      <c r="H2261" s="1" t="s">
        <v>29</v>
      </c>
      <c r="I2261" s="1" t="str">
        <f ca="1">IFERROR(__xludf.DUMMYFUNCTION("GOOGLETRANSLATE(F2261, ""auto"", ""en"")
"),"Appearance")</f>
        <v>Appearance</v>
      </c>
    </row>
    <row r="2262" spans="1:9" x14ac:dyDescent="0.3">
      <c r="A2262" s="1" t="s">
        <v>9</v>
      </c>
      <c r="B2262" s="1" t="s">
        <v>137</v>
      </c>
      <c r="C2262" s="1" t="s">
        <v>870</v>
      </c>
      <c r="D2262" s="1" t="s">
        <v>1092</v>
      </c>
      <c r="E2262" s="1" t="s">
        <v>4490</v>
      </c>
      <c r="F2262" s="1" t="s">
        <v>4491</v>
      </c>
      <c r="G2262" s="1" t="s">
        <v>49</v>
      </c>
      <c r="H2262" s="1" t="s">
        <v>16</v>
      </c>
      <c r="I2262" s="1" t="str">
        <f ca="1">IFERROR(__xludf.DUMMYFUNCTION("GOOGLETRANSLATE(F2262, ""auto"", ""en"")
"),"They sent a faulty panel - the gas was coming out through the gas supply regulators. The panel is being repaired. Thanks for the product!!!")</f>
        <v>They sent a faulty panel - the gas was coming out through the gas supply regulators. The panel is being repaired. Thanks for the product!!!</v>
      </c>
    </row>
    <row r="2263" spans="1:9" x14ac:dyDescent="0.3">
      <c r="A2263" s="1" t="s">
        <v>17</v>
      </c>
      <c r="B2263" s="1" t="s">
        <v>18</v>
      </c>
      <c r="C2263" s="1" t="s">
        <v>151</v>
      </c>
      <c r="D2263" s="1" t="s">
        <v>152</v>
      </c>
      <c r="E2263" s="1" t="s">
        <v>563</v>
      </c>
      <c r="F2263" s="1" t="s">
        <v>4492</v>
      </c>
      <c r="G2263" s="1" t="s">
        <v>28</v>
      </c>
      <c r="H2263" s="1" t="s">
        <v>29</v>
      </c>
      <c r="I2263" s="1" t="str">
        <f ca="1">IFERROR(__xludf.DUMMYFUNCTION("GOOGLETRANSLATE(F2263, ""auto"", ""en"")
"),"Everything is good in this machine, but there is one big drawback - the heating element quickly fails. This happened to me and many others. The service says this is a disease in this and similar models.")</f>
        <v>Everything is good in this machine, but there is one big drawback - the heating element quickly fails. This happened to me and many others. The service says this is a disease in this and similar models.</v>
      </c>
    </row>
    <row r="2264" spans="1:9" x14ac:dyDescent="0.3">
      <c r="A2264" s="1" t="s">
        <v>61</v>
      </c>
      <c r="B2264" s="1" t="s">
        <v>62</v>
      </c>
      <c r="C2264" s="1" t="s">
        <v>69</v>
      </c>
      <c r="D2264" s="1" t="s">
        <v>4493</v>
      </c>
      <c r="E2264" s="1" t="s">
        <v>128</v>
      </c>
      <c r="F2264" s="1" t="s">
        <v>4494</v>
      </c>
      <c r="G2264" s="1" t="s">
        <v>36</v>
      </c>
      <c r="H2264" s="1" t="s">
        <v>29</v>
      </c>
      <c r="I2264" s="1" t="str">
        <f ca="1">IFERROR(__xludf.DUMMYFUNCTION("GOOGLETRANSLATE(F2264, ""auto"", ""en"")
"),"I bought it 6 years ago. Very, very satisfied! I used all the attachments. I especially like the attachment for vegetables, it cuts into strips. Just right for Korean carrots. Chops cabbage well and quickly. Makes minced meat. Shakes cocktails. We used it"&amp;" mercilessly until a year ago the motor burned out(((((Now I want to buy the same one. Take it, you won’t regret it.")</f>
        <v>I bought it 6 years ago. Very, very satisfied! I used all the attachments. I especially like the attachment for vegetables, it cuts into strips. Just right for Korean carrots. Chops cabbage well and quickly. Makes minced meat. Shakes cocktails. We used it mercilessly until a year ago the motor burned out(((((Now I want to buy the same one. Take it, you won’t regret it.</v>
      </c>
    </row>
    <row r="2265" spans="1:9" x14ac:dyDescent="0.3">
      <c r="A2265" s="1" t="s">
        <v>211</v>
      </c>
      <c r="B2265" s="1" t="s">
        <v>212</v>
      </c>
      <c r="C2265" s="1" t="s">
        <v>294</v>
      </c>
      <c r="D2265" s="1" t="s">
        <v>1506</v>
      </c>
      <c r="E2265" s="1" t="s">
        <v>176</v>
      </c>
      <c r="F2265" s="1" t="s">
        <v>4495</v>
      </c>
      <c r="G2265" s="1" t="s">
        <v>36</v>
      </c>
      <c r="H2265" s="1" t="s">
        <v>29</v>
      </c>
      <c r="I2265" s="1" t="str">
        <f ca="1">IFERROR(__xludf.DUMMYFUNCTION("GOOGLETRANSLATE(F2265, ""auto"", ""en"")
"),"Gorgeous iron!! Hurry up to buy..I have hair up to my shoulder blades, curly, not to say in perfect condition. The iron did an excellent job of straightening in just a couple of minutes) And it doesn’t burn out. I'm very pleased!")</f>
        <v>Gorgeous iron!! Hurry up to buy..I have hair up to my shoulder blades, curly, not to say in perfect condition. The iron did an excellent job of straightening in just a couple of minutes) And it doesn’t burn out. I'm very pleased!</v>
      </c>
    </row>
    <row r="2266" spans="1:9" x14ac:dyDescent="0.3">
      <c r="A2266" s="1" t="s">
        <v>120</v>
      </c>
      <c r="B2266" s="1" t="s">
        <v>1205</v>
      </c>
      <c r="C2266" s="1" t="s">
        <v>1206</v>
      </c>
      <c r="D2266" s="1" t="s">
        <v>4496</v>
      </c>
      <c r="E2266" s="1" t="s">
        <v>3089</v>
      </c>
      <c r="F2266" s="1" t="s">
        <v>4497</v>
      </c>
      <c r="G2266" s="1" t="s">
        <v>36</v>
      </c>
      <c r="H2266" s="1" t="s">
        <v>29</v>
      </c>
      <c r="I2266" s="1" t="str">
        <f ca="1">IFERROR(__xludf.DUMMYFUNCTION("GOOGLETRANSLATE(F2266, ""auto"", ""en"")
"),"Old equipment, but high quality. Although, of course, if anyone is going to take the TK, it is better to choose a newer set. This summer, tricolor and prog and hardware have been significantly updated")</f>
        <v>Old equipment, but high quality. Although, of course, if anyone is going to take the TK, it is better to choose a newer set. This summer, tricolor and prog and hardware have been significantly updated</v>
      </c>
    </row>
    <row r="2267" spans="1:9" x14ac:dyDescent="0.3">
      <c r="A2267" s="1" t="s">
        <v>105</v>
      </c>
      <c r="B2267" s="1" t="s">
        <v>106</v>
      </c>
      <c r="C2267" s="1" t="s">
        <v>97</v>
      </c>
      <c r="D2267" s="1" t="s">
        <v>280</v>
      </c>
      <c r="E2267" s="1" t="s">
        <v>3465</v>
      </c>
      <c r="F2267" s="1" t="s">
        <v>4498</v>
      </c>
      <c r="G2267" s="1" t="s">
        <v>36</v>
      </c>
      <c r="H2267" s="1" t="s">
        <v>29</v>
      </c>
      <c r="I2267" s="1" t="str">
        <f ca="1">IFERROR(__xludf.DUMMYFUNCTION("GOOGLETRANSLATE(F2267, ""auto"", ""en"")
"),"I don’t agree with what was said above, I bought the model the other day, I’m happy with everything, the sound is excellent, I just need to buy headphones, which I did especially for him, I found headphones also from the SONY brand, I searched half the ci"&amp;"ty but found it, now the bass is high-quality, there are also enough settings for music, it’s purely an MP3 player for listening to your favorite music, and whoever needs other formats needs to buy multimedia (I had one, got tired of it, decided to switch"&amp;" to a regular one with a high battery level. Conclusion, I recommend it, an excellent option for listening to music and for those who don’t bother with color screens... I’m happy, it’s a great thing.")</f>
        <v>I don’t agree with what was said above, I bought the model the other day, I’m happy with everything, the sound is excellent, I just need to buy headphones, which I did especially for him, I found headphones also from the SONY brand, I searched half the city but found it, now the bass is high-quality, there are also enough settings for music, it’s purely an MP3 player for listening to your favorite music, and whoever needs other formats needs to buy multimedia (I had one, got tired of it, decided to switch to a regular one with a high battery level. Conclusion, I recommend it, an excellent option for listening to music and for those who don’t bother with color screens... I’m happy, it’s a great thing.</v>
      </c>
    </row>
    <row r="2268" spans="1:9" x14ac:dyDescent="0.3">
      <c r="A2268" s="1" t="s">
        <v>624</v>
      </c>
      <c r="B2268" s="1" t="s">
        <v>625</v>
      </c>
      <c r="C2268" s="1" t="s">
        <v>479</v>
      </c>
      <c r="D2268" s="1" t="s">
        <v>2145</v>
      </c>
      <c r="E2268" s="1" t="s">
        <v>3219</v>
      </c>
      <c r="F2268" s="1" t="s">
        <v>4499</v>
      </c>
      <c r="G2268" s="1" t="s">
        <v>36</v>
      </c>
      <c r="H2268" s="1" t="s">
        <v>29</v>
      </c>
      <c r="I2268" s="1" t="str">
        <f ca="1">IFERROR(__xludf.DUMMYFUNCTION("GOOGLETRANSLATE(F2268, ""auto"", ""en"")
"),"A very powerful game with considerable length and cool gameplay.")</f>
        <v>A very powerful game with considerable length and cool gameplay.</v>
      </c>
    </row>
    <row r="2269" spans="1:9" x14ac:dyDescent="0.3">
      <c r="A2269" s="1" t="s">
        <v>30</v>
      </c>
      <c r="B2269" s="1" t="s">
        <v>50</v>
      </c>
      <c r="C2269" s="1" t="s">
        <v>32</v>
      </c>
      <c r="D2269" s="1" t="s">
        <v>39</v>
      </c>
      <c r="E2269" s="1" t="s">
        <v>4500</v>
      </c>
      <c r="F2269" s="1" t="s">
        <v>4501</v>
      </c>
      <c r="G2269" s="1" t="s">
        <v>36</v>
      </c>
      <c r="H2269" s="1" t="s">
        <v>29</v>
      </c>
      <c r="I2269" s="1" t="str">
        <f ca="1">IFERROR(__xludf.DUMMYFUNCTION("GOOGLETRANSLATE(F2269, ""auto"", ""en"")
"),"I recommend buying this laptop, a good, convenient 1gb video card is a plus, 4gb RAM is also a plus, and in general, I recommend buying a normal processor. It’s good for games and work, and GTA4 runs without glitches))))). BUY!!!!!!!!!!!")</f>
        <v>I recommend buying this laptop, a good, convenient 1gb video card is a plus, 4gb RAM is also a plus, and in general, I recommend buying a normal processor. It’s good for games and work, and GTA4 runs without glitches))))). BUY!!!!!!!!!!!</v>
      </c>
    </row>
    <row r="2270" spans="1:9" x14ac:dyDescent="0.3">
      <c r="A2270" s="1" t="s">
        <v>61</v>
      </c>
      <c r="B2270" s="1" t="s">
        <v>73</v>
      </c>
      <c r="C2270" s="1" t="s">
        <v>101</v>
      </c>
      <c r="D2270" s="1" t="s">
        <v>295</v>
      </c>
      <c r="E2270" s="1" t="s">
        <v>4502</v>
      </c>
      <c r="F2270" s="1" t="s">
        <v>4503</v>
      </c>
      <c r="G2270" s="1" t="s">
        <v>28</v>
      </c>
      <c r="H2270" s="1" t="s">
        <v>29</v>
      </c>
      <c r="I2270" s="1" t="str">
        <f ca="1">IFERROR(__xludf.DUMMYFUNCTION("GOOGLETRANSLATE(F2270, ""auto"", ""en"")
"),"This was my first time using an electric meat grinder. A completely normal meat grinder, the whole mechanism is metal, there is a reverse function. In 4 minutes they twisted 3 kilograms of meat.")</f>
        <v>This was my first time using an electric meat grinder. A completely normal meat grinder, the whole mechanism is metal, there is a reverse function. In 4 minutes they twisted 3 kilograms of meat.</v>
      </c>
    </row>
    <row r="2271" spans="1:9" x14ac:dyDescent="0.3">
      <c r="A2271" s="1" t="s">
        <v>95</v>
      </c>
      <c r="B2271" s="1" t="s">
        <v>227</v>
      </c>
      <c r="C2271" s="1" t="s">
        <v>97</v>
      </c>
      <c r="D2271" s="1" t="s">
        <v>171</v>
      </c>
      <c r="E2271" s="1" t="s">
        <v>4504</v>
      </c>
      <c r="F2271" s="1" t="s">
        <v>4505</v>
      </c>
      <c r="G2271" s="1" t="s">
        <v>36</v>
      </c>
      <c r="H2271" s="1" t="s">
        <v>29</v>
      </c>
      <c r="I2271" s="1" t="str">
        <f ca="1">IFERROR(__xludf.DUMMYFUNCTION("GOOGLETRANSLATE(F2271, ""auto"", ""en"")
"),"I bought it. It’s a cool thing. Take it, you won’t regret it!! =)")</f>
        <v>I bought it. It’s a cool thing. Take it, you won’t regret it!! =)</v>
      </c>
    </row>
    <row r="2272" spans="1:9" x14ac:dyDescent="0.3">
      <c r="A2272" s="1" t="s">
        <v>43</v>
      </c>
      <c r="B2272" s="1" t="s">
        <v>1370</v>
      </c>
      <c r="C2272" s="1" t="s">
        <v>2137</v>
      </c>
      <c r="D2272" s="1" t="s">
        <v>203</v>
      </c>
      <c r="E2272" s="1" t="s">
        <v>1811</v>
      </c>
      <c r="F2272" s="1" t="s">
        <v>4506</v>
      </c>
      <c r="G2272" s="1" t="s">
        <v>28</v>
      </c>
      <c r="H2272" s="1" t="s">
        <v>29</v>
      </c>
      <c r="I2272" s="1" t="str">
        <f ca="1">IFERROR(__xludf.DUMMYFUNCTION("GOOGLETRANSLATE(F2272, ""auto"", ""en"")
"),"At the same price with and without a faucet, I took it with a faucet, but the design is such that it is completely impossible to screw the faucet on - it sticks out in the other direction than it should. That's why I hung it without a tap.  The power cabl"&amp;"e is not included in the kit - this is okay, but the kit also does not include fasteners - screws and dowels had to be purchased separately.  At 3 kW (average power) it heats the water more than enough; I didn’t even have to turn it on at full power.  The"&amp;" shower diffuser is disgusting :-( Half of the “pimples” (well, I don’t know what to call them) turned out to be crushed, splashing in all directions.")</f>
        <v>At the same price with and without a faucet, I took it with a faucet, but the design is such that it is completely impossible to screw the faucet on - it sticks out in the other direction than it should. That's why I hung it without a tap.  The power cable is not included in the kit - this is okay, but the kit also does not include fasteners - screws and dowels had to be purchased separately.  At 3 kW (average power) it heats the water more than enough; I didn’t even have to turn it on at full power.  The shower diffuser is disgusting :-( Half of the “pimples” (well, I don’t know what to call them) turned out to be crushed, splashing in all directions.</v>
      </c>
    </row>
    <row r="2273" spans="1:9" x14ac:dyDescent="0.3">
      <c r="A2273" s="1" t="s">
        <v>211</v>
      </c>
      <c r="B2273" s="1" t="s">
        <v>515</v>
      </c>
      <c r="C2273" s="1" t="s">
        <v>213</v>
      </c>
      <c r="D2273" s="1" t="s">
        <v>4507</v>
      </c>
      <c r="E2273" s="1" t="s">
        <v>4508</v>
      </c>
      <c r="F2273" s="1" t="s">
        <v>4509</v>
      </c>
      <c r="G2273" s="1" t="s">
        <v>36</v>
      </c>
      <c r="H2273" s="1" t="s">
        <v>29</v>
      </c>
      <c r="I2273" s="1" t="str">
        <f ca="1">IFERROR(__xludf.DUMMYFUNCTION("GOOGLETRANSLATE(F2273, ""auto"", ""en"")
")," Lightweight, compact, fits comfortably in the hand, shaves perfectly, blades remain sharp for a long time, easy to clean, battery powered (lasts a long time).")</f>
        <v xml:space="preserve"> Lightweight, compact, fits comfortably in the hand, shaves perfectly, blades remain sharp for a long time, easy to clean, battery powered (lasts a long time).</v>
      </c>
    </row>
    <row r="2274" spans="1:9" x14ac:dyDescent="0.3">
      <c r="A2274" s="1" t="s">
        <v>369</v>
      </c>
      <c r="B2274" s="1" t="s">
        <v>587</v>
      </c>
      <c r="C2274" s="1" t="s">
        <v>138</v>
      </c>
      <c r="D2274" s="1" t="s">
        <v>896</v>
      </c>
      <c r="E2274" s="1" t="s">
        <v>1053</v>
      </c>
      <c r="F2274" s="1" t="s">
        <v>4510</v>
      </c>
      <c r="G2274" s="1" t="s">
        <v>36</v>
      </c>
      <c r="H2274" s="1" t="s">
        <v>29</v>
      </c>
      <c r="I2274" s="1" t="str">
        <f ca="1">IFERROR(__xludf.DUMMYFUNCTION("GOOGLETRANSLATE(F2274, ""auto"", ""en"")
"),"Easy to use. There is a timer and thermometer, as well as gas control. The price is reasonable. I'm happy with everything")</f>
        <v>Easy to use. There is a timer and thermometer, as well as gas control. The price is reasonable. I'm happy with everything</v>
      </c>
    </row>
    <row r="2275" spans="1:9" x14ac:dyDescent="0.3">
      <c r="A2275" s="1" t="s">
        <v>9</v>
      </c>
      <c r="B2275" s="1" t="s">
        <v>133</v>
      </c>
      <c r="C2275" s="1" t="s">
        <v>588</v>
      </c>
      <c r="D2275" s="1" t="s">
        <v>565</v>
      </c>
      <c r="E2275" s="1" t="s">
        <v>2459</v>
      </c>
      <c r="F2275" s="1" t="s">
        <v>4511</v>
      </c>
      <c r="G2275" s="1" t="s">
        <v>36</v>
      </c>
      <c r="H2275" s="1" t="s">
        <v>29</v>
      </c>
      <c r="I2275" s="1" t="str">
        <f ca="1">IFERROR(__xludf.DUMMYFUNCTION("GOOGLETRANSLATE(F2275, ""auto"", ""en"")
"),"1. Design 2. Convection.")</f>
        <v>1. Design 2. Convection.</v>
      </c>
    </row>
    <row r="2276" spans="1:9" x14ac:dyDescent="0.3">
      <c r="A2276" s="1" t="s">
        <v>43</v>
      </c>
      <c r="B2276" s="1" t="s">
        <v>334</v>
      </c>
      <c r="C2276" s="1" t="s">
        <v>101</v>
      </c>
      <c r="D2276" s="1" t="s">
        <v>471</v>
      </c>
      <c r="E2276" s="1" t="s">
        <v>4512</v>
      </c>
      <c r="F2276" s="1" t="s">
        <v>4513</v>
      </c>
      <c r="G2276" s="1" t="s">
        <v>36</v>
      </c>
      <c r="H2276" s="1" t="s">
        <v>29</v>
      </c>
      <c r="I2276" s="1" t="str">
        <f ca="1">IFERROR(__xludf.DUMMYFUNCTION("GOOGLETRANSLATE(F2276, ""auto"", ""en"")
"),"I’m very pleased with the fan! It’s compact, you can put it on it or attach it to a table with a clothespin. It makes no noise, does not crack, works quietly.")</f>
        <v>I’m very pleased with the fan! It’s compact, you can put it on it or attach it to a table with a clothespin. It makes no noise, does not crack, works quietly.</v>
      </c>
    </row>
    <row r="2277" spans="1:9" x14ac:dyDescent="0.3">
      <c r="A2277" s="1" t="s">
        <v>37</v>
      </c>
      <c r="B2277" s="1" t="s">
        <v>38</v>
      </c>
      <c r="C2277" s="1" t="s">
        <v>39</v>
      </c>
      <c r="D2277" s="1" t="s">
        <v>633</v>
      </c>
      <c r="E2277" s="1" t="s">
        <v>2011</v>
      </c>
      <c r="F2277" s="1" t="s">
        <v>4514</v>
      </c>
      <c r="G2277" s="1" t="s">
        <v>49</v>
      </c>
      <c r="H2277" s="1" t="s">
        <v>16</v>
      </c>
      <c r="I2277" s="1" t="str">
        <f ca="1">IFERROR(__xludf.DUMMYFUNCTION("GOOGLETRANSLATE(F2277, ""auto"", ""en"")
"),"Not a bad device, but after a year two buttons cracked, the screen cracked in the cold, it just took it and cracked, right before my eyes! At first it worked fine, but then it started to freeze! Very annoying! I took it for seven and sold it for three. Ma"&amp;"ybe I was unlucky with the choice, maybe the assembly and parts were not of high quality, but my opinion is that the phone is bad!")</f>
        <v>Not a bad device, but after a year two buttons cracked, the screen cracked in the cold, it just took it and cracked, right before my eyes! At first it worked fine, but then it started to freeze! Very annoying! I took it for seven and sold it for three. Maybe I was unlucky with the choice, maybe the assembly and parts were not of high quality, but my opinion is that the phone is bad!</v>
      </c>
    </row>
    <row r="2278" spans="1:9" x14ac:dyDescent="0.3">
      <c r="A2278" s="1" t="s">
        <v>211</v>
      </c>
      <c r="B2278" s="1" t="s">
        <v>212</v>
      </c>
      <c r="C2278" s="1" t="s">
        <v>381</v>
      </c>
      <c r="D2278" s="1" t="s">
        <v>295</v>
      </c>
      <c r="E2278" s="1" t="s">
        <v>2484</v>
      </c>
      <c r="F2278" s="1" t="s">
        <v>4515</v>
      </c>
      <c r="G2278" s="1" t="s">
        <v>36</v>
      </c>
      <c r="H2278" s="1" t="s">
        <v>29</v>
      </c>
      <c r="I2278" s="1" t="str">
        <f ca="1">IFERROR(__xludf.DUMMYFUNCTION("GOOGLETRANSLATE(F2278, ""auto"", ""en"")
"),"The Rowenta CF4032 multistyler is well worth its price. The kit includes everything you need - attachments, a convenient bag. If you use it correctly, there will be no burns on your fingers (this is for previous reviews). I’ve been using this for almost t"&amp;"hree years now and I’m very happy!!!")</f>
        <v>The Rowenta CF4032 multistyler is well worth its price. The kit includes everything you need - attachments, a convenient bag. If you use it correctly, there will be no burns on your fingers (this is for previous reviews). I’ve been using this for almost three years now and I’m very happy!!!</v>
      </c>
    </row>
    <row r="2279" spans="1:9" x14ac:dyDescent="0.3">
      <c r="A2279" s="1" t="s">
        <v>61</v>
      </c>
      <c r="B2279" s="1" t="s">
        <v>145</v>
      </c>
      <c r="C2279" s="1" t="s">
        <v>69</v>
      </c>
      <c r="D2279" s="1" t="s">
        <v>295</v>
      </c>
      <c r="E2279" s="1" t="s">
        <v>1139</v>
      </c>
      <c r="F2279" s="1" t="s">
        <v>4516</v>
      </c>
      <c r="G2279" s="1" t="s">
        <v>28</v>
      </c>
      <c r="H2279" s="1" t="s">
        <v>29</v>
      </c>
      <c r="I2279" s="1" t="str">
        <f ca="1">IFERROR(__xludf.DUMMYFUNCTION("GOOGLETRANSLATE(F2279, ""auto"", ""en"")
"),"I bought it for my husband as a gift. I steam it for him. Surprisingly, even my son really likes steamed food. And as for buckwheat... Did you pour water into it? If not, then you won’t get either rice or buckwheat. The cereal will be very hard, cook it f"&amp;"or at least 2 hours. I am very pleased. I recommend it.")</f>
        <v>I bought it for my husband as a gift. I steam it for him. Surprisingly, even my son really likes steamed food. And as for buckwheat... Did you pour water into it? If not, then you won’t get either rice or buckwheat. The cereal will be very hard, cook it for at least 2 hours. I am very pleased. I recommend it.</v>
      </c>
    </row>
    <row r="2280" spans="1:9" x14ac:dyDescent="0.3">
      <c r="A2280" s="1" t="s">
        <v>67</v>
      </c>
      <c r="B2280" s="1" t="s">
        <v>68</v>
      </c>
      <c r="C2280" s="1" t="s">
        <v>85</v>
      </c>
      <c r="D2280" s="1" t="s">
        <v>1171</v>
      </c>
      <c r="E2280" s="1" t="s">
        <v>3078</v>
      </c>
      <c r="F2280" s="1" t="s">
        <v>4517</v>
      </c>
      <c r="G2280" s="1" t="s">
        <v>36</v>
      </c>
      <c r="H2280" s="1" t="s">
        <v>29</v>
      </c>
      <c r="I2280" s="1" t="str">
        <f ca="1">IFERROR(__xludf.DUMMYFUNCTION("GOOGLETRANSLATE(F2280, ""auto"", ""en"")
"),"excellent soleplate, steam boost function, vertical steaming")</f>
        <v>excellent soleplate, steam boost function, vertical steaming</v>
      </c>
    </row>
    <row r="2281" spans="1:9" x14ac:dyDescent="0.3">
      <c r="A2281" s="1" t="s">
        <v>30</v>
      </c>
      <c r="B2281" s="1" t="s">
        <v>50</v>
      </c>
      <c r="C2281" s="1" t="s">
        <v>694</v>
      </c>
      <c r="D2281" s="1" t="s">
        <v>568</v>
      </c>
      <c r="E2281" s="1" t="s">
        <v>2815</v>
      </c>
      <c r="F2281" s="1" t="s">
        <v>4518</v>
      </c>
      <c r="G2281" s="1" t="s">
        <v>36</v>
      </c>
      <c r="H2281" s="1" t="s">
        <v>29</v>
      </c>
      <c r="I2281" s="1" t="str">
        <f ca="1">IFERROR(__xludf.DUMMYFUNCTION("GOOGLETRANSLATE(F2281, ""auto"", ""en"")
"),"Andrey. You're talking about the wrong hole.  There is a slot for a SIM card.. it is located behind the battery. But this netbook is not equipped with a 3G modem.")</f>
        <v>Andrey. You're talking about the wrong hole.  There is a slot for a SIM card.. it is located behind the battery. But this netbook is not equipped with a 3G modem.</v>
      </c>
    </row>
    <row r="2282" spans="1:9" x14ac:dyDescent="0.3">
      <c r="A2282" s="1" t="s">
        <v>37</v>
      </c>
      <c r="B2282" s="1" t="s">
        <v>536</v>
      </c>
      <c r="C2282" s="1" t="s">
        <v>1419</v>
      </c>
      <c r="D2282" s="1" t="s">
        <v>545</v>
      </c>
      <c r="E2282" s="1" t="s">
        <v>1139</v>
      </c>
      <c r="F2282" s="1" t="s">
        <v>4519</v>
      </c>
      <c r="G2282" s="1" t="s">
        <v>36</v>
      </c>
      <c r="H2282" s="1" t="s">
        <v>29</v>
      </c>
      <c r="I2282" s="1" t="str">
        <f ca="1">IFERROR(__xludf.DUMMYFUNCTION("GOOGLETRANSLATE(F2282, ""auto"", ""en"")
"),"I've been using the communicator for six months now. Overall I’m satisfied, I would rate it a 5 minus. I'm pleased with the large screen, quite decent camera, good audibility during a conversation. An interesting solution is the choice of interface - the "&amp;"SPB-Shell program installed there - finger-friendly controls, or standard themes for the stylus. Among the small shortcomings, I would like to note the slightly quiet sound of the melody during a call and the absence of a joystick wheel. The latter makes "&amp;"it impossible to control some games and makes it difficult to scroll through the file list, but you quickly get used to it. Those who often take out a memory card from their device may not like the fact that the card is inserted only when the back cover i"&amp;"s removed, and it is difficult to remove. But you don’t need to take out the SIM card))) During use it “glitched” only once - it froze and did not respond to anything. I took out the battery, reinserted it and everything works great. It holds a charge for"&amp;" two days, subject to active use - frequent reading books from the screen, talking, writing SMS. I’m very glad that this Rover model has a standard mini-USB charging, otherwise the older model had a problem with a non-standard connector... So I recommend "&amp;"this model.")</f>
        <v>I've been using the communicator for six months now. Overall I’m satisfied, I would rate it a 5 minus. I'm pleased with the large screen, quite decent camera, good audibility during a conversation. An interesting solution is the choice of interface - the SPB-Shell program installed there - finger-friendly controls, or standard themes for the stylus. Among the small shortcomings, I would like to note the slightly quiet sound of the melody during a call and the absence of a joystick wheel. The latter makes it impossible to control some games and makes it difficult to scroll through the file list, but you quickly get used to it. Those who often take out a memory card from their device may not like the fact that the card is inserted only when the back cover is removed, and it is difficult to remove. But you don’t need to take out the SIM card))) During use it “glitched” only once - it froze and did not respond to anything. I took out the battery, reinserted it and everything works great. It holds a charge for two days, subject to active use - frequent reading books from the screen, talking, writing SMS. I’m very glad that this Rover model has a standard mini-USB charging, otherwise the older model had a problem with a non-standard connector... So I recommend this model.</v>
      </c>
    </row>
    <row r="2283" spans="1:9" x14ac:dyDescent="0.3">
      <c r="A2283" s="1" t="s">
        <v>78</v>
      </c>
      <c r="B2283" s="1" t="s">
        <v>79</v>
      </c>
      <c r="C2283" s="1" t="s">
        <v>80</v>
      </c>
      <c r="D2283" s="1" t="s">
        <v>64</v>
      </c>
      <c r="E2283" s="1" t="s">
        <v>128</v>
      </c>
      <c r="F2283" s="1" t="s">
        <v>4520</v>
      </c>
      <c r="G2283" s="1" t="s">
        <v>49</v>
      </c>
      <c r="H2283" s="1" t="s">
        <v>16</v>
      </c>
      <c r="I2283" s="1" t="str">
        <f ca="1">IFERROR(__xludf.DUMMYFUNCTION("GOOGLETRANSLATE(F2283, ""auto"", ""en"")
"),"Less than half a year has passed. The grilled vegetables were getting ready, they were done, they squeaked. When they started to open the door, the plugs were knocked out. The oven did not turn on again. Let's go return it or change it, that's how it turn"&amp;"s out.")</f>
        <v>Less than half a year has passed. The grilled vegetables were getting ready, they were done, they squeaked. When they started to open the door, the plugs were knocked out. The oven did not turn on again. Let's go return it or change it, that's how it turns out.</v>
      </c>
    </row>
    <row r="2284" spans="1:9" x14ac:dyDescent="0.3">
      <c r="A2284" s="1" t="s">
        <v>211</v>
      </c>
      <c r="B2284" s="1" t="s">
        <v>212</v>
      </c>
      <c r="C2284" s="1" t="s">
        <v>453</v>
      </c>
      <c r="D2284" s="1" t="s">
        <v>922</v>
      </c>
      <c r="E2284" s="1" t="s">
        <v>1298</v>
      </c>
      <c r="F2284" s="1" t="s">
        <v>4521</v>
      </c>
      <c r="G2284" s="1" t="s">
        <v>36</v>
      </c>
      <c r="H2284" s="1" t="s">
        <v>29</v>
      </c>
      <c r="I2284" s="1" t="str">
        <f ca="1">IFERROR(__xludf.DUMMYFUNCTION("GOOGLETRANSLATE(F2284, ""auto"", ""en"")
"),"This is just an amazing curling iron, it heats up instantly and is immediately hot, in 5 minutes I created a bob for myself)) I’m incredibly happy, I didn’t expect such a product for such a price! It’s perfect for straight but not smooth and unruly hair, "&amp;"but they couldn’t style everything for me at the hairdresser!")</f>
        <v>This is just an amazing curling iron, it heats up instantly and is immediately hot, in 5 minutes I created a bob for myself)) I’m incredibly happy, I didn’t expect such a product for such a price! It’s perfect for straight but not smooth and unruly hair, but they couldn’t style everything for me at the hairdresser!</v>
      </c>
    </row>
    <row r="2285" spans="1:9" x14ac:dyDescent="0.3">
      <c r="A2285" s="1" t="s">
        <v>95</v>
      </c>
      <c r="B2285" s="1" t="s">
        <v>96</v>
      </c>
      <c r="C2285" s="1" t="s">
        <v>97</v>
      </c>
      <c r="D2285" s="1" t="s">
        <v>20</v>
      </c>
      <c r="E2285" s="1" t="s">
        <v>4522</v>
      </c>
      <c r="F2285" s="1" t="s">
        <v>4523</v>
      </c>
      <c r="G2285" s="1" t="s">
        <v>36</v>
      </c>
      <c r="H2285" s="1" t="s">
        <v>29</v>
      </c>
      <c r="I2285" s="1" t="str">
        <f ca="1">IFERROR(__xludf.DUMMYFUNCTION("GOOGLETRANSLATE(F2285, ""auto"", ""en"")
"),"I've played it with friends many times, and I'm going to buy it myself for the New Year!!! It's just the cost of the discs that confuses me...")</f>
        <v>I've played it with friends many times, and I'm going to buy it myself for the New Year!!! It's just the cost of the discs that confuses me...</v>
      </c>
    </row>
    <row r="2286" spans="1:9" x14ac:dyDescent="0.3">
      <c r="A2286" s="1" t="s">
        <v>149</v>
      </c>
      <c r="B2286" s="1" t="s">
        <v>576</v>
      </c>
      <c r="C2286" s="1" t="s">
        <v>69</v>
      </c>
      <c r="D2286" s="1" t="s">
        <v>169</v>
      </c>
      <c r="E2286" s="1" t="s">
        <v>569</v>
      </c>
      <c r="F2286" s="1" t="s">
        <v>4524</v>
      </c>
      <c r="G2286" s="1" t="s">
        <v>28</v>
      </c>
      <c r="H2286" s="1" t="s">
        <v>29</v>
      </c>
      <c r="I2286" s="1" t="str">
        <f ca="1">IFERROR(__xludf.DUMMYFUNCTION("GOOGLETRANSLATE(F2286, ""auto"", ""en"")
"),"Yes, the vacuum cleaner is assembled with high quality and the power is high, and it vacuums efficiently, in general, everything would be super in it. But there is a big drawback in it - due to the outgoing air flow, it pushes all the dust from the floor "&amp;"up, and after cleaning, all this dust settles on the cabinets, TV, in general, on everything, and it is not possible to eliminate this problem.   If you don't care about this dust, then the rest of the vacuum cleaner is just SUPER.")</f>
        <v>Yes, the vacuum cleaner is assembled with high quality and the power is high, and it vacuums efficiently, in general, everything would be super in it. But there is a big drawback in it - due to the outgoing air flow, it pushes all the dust from the floor up, and after cleaning, all this dust settles on the cabinets, TV, in general, on everything, and it is not possible to eliminate this problem.   If you don't care about this dust, then the rest of the vacuum cleaner is just SUPER.</v>
      </c>
    </row>
    <row r="2287" spans="1:9" x14ac:dyDescent="0.3">
      <c r="A2287" s="1" t="s">
        <v>37</v>
      </c>
      <c r="B2287" s="1" t="s">
        <v>38</v>
      </c>
      <c r="C2287" s="1" t="s">
        <v>39</v>
      </c>
      <c r="D2287" s="1" t="s">
        <v>4525</v>
      </c>
      <c r="E2287" s="1" t="s">
        <v>3771</v>
      </c>
      <c r="F2287" s="1" t="s">
        <v>4526</v>
      </c>
      <c r="G2287" s="1" t="s">
        <v>36</v>
      </c>
      <c r="H2287" s="1" t="s">
        <v>29</v>
      </c>
      <c r="I2287" s="1" t="str">
        <f ca="1">IFERROR(__xludf.DUMMYFUNCTION("GOOGLETRANSLATE(F2287, ""auto"", ""en"")
"),"I was given this phone as a gift. At first glance I didn't really like it. But upon closer examination, I simply fell in love. You get used to it in literally 5 minutes (although before that I only had Nokia). The noise reduction function works at 5+ (oft"&amp;"en I can’t believe that my husband is driving in the car :)). Pros: excellent camera, flashlight, fits comfortably in the hand. But there are also disadvantages: the screen adjusts to the lighting and is not always very successful; for those who like to l"&amp;"isten to music loudly, the speakers are rather weak. But overall, the phone is worth the money. And one more addition - the child often throws and sucks, but everything works great :)")</f>
        <v>I was given this phone as a gift. At first glance I didn't really like it. But upon closer examination, I simply fell in love. You get used to it in literally 5 minutes (although before that I only had Nokia). The noise reduction function works at 5+ (often I can’t believe that my husband is driving in the car :)). Pros: excellent camera, flashlight, fits comfortably in the hand. But there are also disadvantages: the screen adjusts to the lighting and is not always very successful; for those who like to listen to music loudly, the speakers are rather weak. But overall, the phone is worth the money. And one more addition - the child often throws and sucks, but everything works great :)</v>
      </c>
    </row>
    <row r="2288" spans="1:9" x14ac:dyDescent="0.3">
      <c r="A2288" s="1" t="s">
        <v>477</v>
      </c>
      <c r="B2288" s="1" t="s">
        <v>478</v>
      </c>
      <c r="C2288" s="1" t="s">
        <v>479</v>
      </c>
      <c r="D2288" s="1" t="s">
        <v>305</v>
      </c>
      <c r="E2288" s="1" t="s">
        <v>3890</v>
      </c>
      <c r="F2288" s="1" t="s">
        <v>4527</v>
      </c>
      <c r="G2288" s="1" t="s">
        <v>36</v>
      </c>
      <c r="H2288" s="1" t="s">
        <v>29</v>
      </c>
      <c r="I2288" s="1" t="str">
        <f ca="1">IFERROR(__xludf.DUMMYFUNCTION("GOOGLETRANSLATE(F2288, ""auto"", ""en"")
"),"And who will tell? Are the subtitles only Russian or is the voice acting also Russian?")</f>
        <v>And who will tell? Are the subtitles only Russian or is the voice acting also Russian?</v>
      </c>
    </row>
    <row r="2289" spans="1:9" x14ac:dyDescent="0.3">
      <c r="A2289" s="1" t="s">
        <v>61</v>
      </c>
      <c r="B2289" s="1" t="s">
        <v>977</v>
      </c>
      <c r="C2289" s="1" t="s">
        <v>63</v>
      </c>
      <c r="D2289" s="1" t="s">
        <v>232</v>
      </c>
      <c r="E2289" s="1" t="s">
        <v>4528</v>
      </c>
      <c r="F2289" s="1" t="s">
        <v>4529</v>
      </c>
      <c r="G2289" s="1" t="s">
        <v>36</v>
      </c>
      <c r="H2289" s="1" t="s">
        <v>29</v>
      </c>
      <c r="I2289" s="1" t="str">
        <f ca="1">IFERROR(__xludf.DUMMYFUNCTION("GOOGLETRANSLATE(F2289, ""auto"", ""en"")
"),"It's 100% justified, take it, you won't regret it.")</f>
        <v>It's 100% justified, take it, you won't regret it.</v>
      </c>
    </row>
    <row r="2290" spans="1:9" x14ac:dyDescent="0.3">
      <c r="A2290" s="1" t="s">
        <v>9</v>
      </c>
      <c r="B2290" s="1" t="s">
        <v>10</v>
      </c>
      <c r="C2290" s="1" t="s">
        <v>407</v>
      </c>
      <c r="D2290" s="1" t="s">
        <v>39</v>
      </c>
      <c r="E2290" s="1" t="s">
        <v>4530</v>
      </c>
      <c r="F2290" s="1" t="s">
        <v>4531</v>
      </c>
      <c r="G2290" s="1" t="s">
        <v>36</v>
      </c>
      <c r="H2290" s="1" t="s">
        <v>29</v>
      </c>
      <c r="I2290" s="1" t="str">
        <f ca="1">IFERROR(__xludf.DUMMYFUNCTION("GOOGLETRANSLATE(F2290, ""auto"", ""en"")
"),"We've been using it for six months. I often smoke in the kitchen, no smell at speed 1. At first I had to get used to an incomprehensible knocking sound - it turned out that when there is a strong wind outside, the return valve moves with the wind and knoc"&amp;"ks.")</f>
        <v>We've been using it for six months. I often smoke in the kitchen, no smell at speed 1. At first I had to get used to an incomprehensible knocking sound - it turned out that when there is a strong wind outside, the return valve moves with the wind and knocks.</v>
      </c>
    </row>
    <row r="2291" spans="1:9" x14ac:dyDescent="0.3">
      <c r="A2291" s="1" t="s">
        <v>37</v>
      </c>
      <c r="B2291" s="1" t="s">
        <v>536</v>
      </c>
      <c r="C2291" s="1" t="s">
        <v>151</v>
      </c>
      <c r="D2291" s="1" t="s">
        <v>200</v>
      </c>
      <c r="E2291" s="1" t="s">
        <v>1406</v>
      </c>
      <c r="F2291" s="1" t="s">
        <v>4532</v>
      </c>
      <c r="G2291" s="1" t="s">
        <v>36</v>
      </c>
      <c r="H2291" s="1" t="s">
        <v>29</v>
      </c>
      <c r="I2291" s="1" t="str">
        <f ca="1">IFERROR(__xludf.DUMMYFUNCTION("GOOGLETRANSLATE(F2291, ""auto"", ""en"")
"),"My charge lasts with minimal use (only calls) for a couple of days for sure, if you use it fully, it’s enough for a day, if it runs out overnight - it’s an obvious defect, it can’t be like that")</f>
        <v>My charge lasts with minimal use (only calls) for a couple of days for sure, if you use it fully, it’s enough for a day, if it runs out overnight - it’s an obvious defect, it can’t be like that</v>
      </c>
    </row>
    <row r="2292" spans="1:9" x14ac:dyDescent="0.3">
      <c r="A2292" s="1" t="s">
        <v>61</v>
      </c>
      <c r="B2292" s="1" t="s">
        <v>73</v>
      </c>
      <c r="C2292" s="1" t="s">
        <v>122</v>
      </c>
      <c r="D2292" s="1" t="s">
        <v>203</v>
      </c>
      <c r="E2292" s="1" t="s">
        <v>201</v>
      </c>
      <c r="F2292" s="1" t="s">
        <v>4533</v>
      </c>
      <c r="G2292" s="1" t="s">
        <v>36</v>
      </c>
      <c r="H2292" s="1" t="s">
        <v>29</v>
      </c>
      <c r="I2292" s="1" t="str">
        <f ca="1">IFERROR(__xludf.DUMMYFUNCTION("GOOGLETRANSLATE(F2292, ""auto"", ""en"")
"),"I bought it on 06/17/2010 to obtain minced meat from meat purchased at the market.  I was worried about the power, but I prepared the minced meat and the machine coped with the preparation perfectly, I am glad that it is possible to change attachments and"&amp;" get exactly the minced meat that you are used to grinding with a manual meat grinder.  The meat grinder is light, convenient, and there are not many parts; they are very easy to assemble.  A meat grinder is good if you only need to grind meat, don’t spen"&amp;"d extra money, this is an ideal option.  The only nuance is that the wire is not long and you need to think about the placement of the meat grinder in advance.")</f>
        <v>I bought it on 06/17/2010 to obtain minced meat from meat purchased at the market.  I was worried about the power, but I prepared the minced meat and the machine coped with the preparation perfectly, I am glad that it is possible to change attachments and get exactly the minced meat that you are used to grinding with a manual meat grinder.  The meat grinder is light, convenient, and there are not many parts; they are very easy to assemble.  A meat grinder is good if you only need to grind meat, don’t spend extra money, this is an ideal option.  The only nuance is that the wire is not long and you need to think about the placement of the meat grinder in advance.</v>
      </c>
    </row>
    <row r="2293" spans="1:9" x14ac:dyDescent="0.3">
      <c r="A2293" s="1" t="s">
        <v>105</v>
      </c>
      <c r="B2293" s="1" t="s">
        <v>106</v>
      </c>
      <c r="C2293" s="1" t="s">
        <v>1209</v>
      </c>
      <c r="D2293" s="1" t="s">
        <v>1567</v>
      </c>
      <c r="E2293" s="1" t="s">
        <v>3527</v>
      </c>
      <c r="F2293" s="1" t="s">
        <v>4534</v>
      </c>
      <c r="G2293" s="1" t="s">
        <v>36</v>
      </c>
      <c r="H2293" s="1" t="s">
        <v>29</v>
      </c>
      <c r="I2293" s="1" t="str">
        <f ca="1">IFERROR(__xludf.DUMMYFUNCTION("GOOGLETRANSLATE(F2293, ""auto"", ""en"")
"),"I bought this device, in general I am satisfied with the sound and image, but with TV minus the reception is very weak.")</f>
        <v>I bought this device, in general I am satisfied with the sound and image, but with TV minus the reception is very weak.</v>
      </c>
    </row>
    <row r="2294" spans="1:9" x14ac:dyDescent="0.3">
      <c r="A2294" s="1" t="s">
        <v>37</v>
      </c>
      <c r="B2294" s="1" t="s">
        <v>38</v>
      </c>
      <c r="C2294" s="1" t="s">
        <v>39</v>
      </c>
      <c r="D2294" s="1" t="s">
        <v>4535</v>
      </c>
      <c r="E2294" s="1" t="s">
        <v>571</v>
      </c>
      <c r="F2294" s="1" t="s">
        <v>4536</v>
      </c>
      <c r="G2294" s="1" t="s">
        <v>28</v>
      </c>
      <c r="H2294" s="1" t="s">
        <v>29</v>
      </c>
      <c r="I2294" s="1" t="str">
        <f ca="1">IFERROR(__xludf.DUMMYFUNCTION("GOOGLETRANSLATE(F2294, ""auto"", ""en"")
"),"I liked the phone itself, simple and functional, having served for almost a year, the charging stopped working, I connected it to the network and after a while it gave an error and asked me to contact support.")</f>
        <v>I liked the phone itself, simple and functional, having served for almost a year, the charging stopped working, I connected it to the network and after a while it gave an error and asked me to contact support.</v>
      </c>
    </row>
    <row r="2295" spans="1:9" x14ac:dyDescent="0.3">
      <c r="A2295" s="1" t="s">
        <v>120</v>
      </c>
      <c r="B2295" s="1" t="s">
        <v>121</v>
      </c>
      <c r="C2295" s="1" t="s">
        <v>69</v>
      </c>
      <c r="D2295" s="1" t="s">
        <v>232</v>
      </c>
      <c r="E2295" s="1" t="s">
        <v>1167</v>
      </c>
      <c r="F2295" s="1" t="s">
        <v>4537</v>
      </c>
      <c r="G2295" s="1" t="s">
        <v>36</v>
      </c>
      <c r="H2295" s="1" t="s">
        <v>29</v>
      </c>
      <c r="I2295" s="1" t="str">
        <f ca="1">IFERROR(__xludf.DUMMYFUNCTION("GOOGLETRANSLATE(F2295, ""auto"", ""en"")
"),"Good day everyone! A month ago I bought such a Hungarian-assembled TV and pah pah pah very pleased! It came with firmware 066, and yesterday they posted 069, tell me who got the firmware and what’s new in it?  Thank you in advance for your answers... It’s"&amp;" strange that the Philips website doesn’t describe firmware updates!")</f>
        <v>Good day everyone! A month ago I bought such a Hungarian-assembled TV and pah pah pah very pleased! It came with firmware 066, and yesterday they posted 069, tell me who got the firmware and what’s new in it?  Thank you in advance for your answers... It’s strange that the Philips website doesn’t describe firmware updates!</v>
      </c>
    </row>
    <row r="2296" spans="1:9" x14ac:dyDescent="0.3">
      <c r="A2296" s="1" t="s">
        <v>120</v>
      </c>
      <c r="B2296" s="1" t="s">
        <v>121</v>
      </c>
      <c r="C2296" s="1" t="s">
        <v>97</v>
      </c>
      <c r="D2296" s="1" t="s">
        <v>39</v>
      </c>
      <c r="E2296" s="1" t="s">
        <v>750</v>
      </c>
      <c r="F2296" s="1" t="s">
        <v>4538</v>
      </c>
      <c r="G2296" s="1" t="s">
        <v>36</v>
      </c>
      <c r="H2296" s="1" t="s">
        <v>29</v>
      </c>
      <c r="I2296" s="1" t="str">
        <f ca="1">IFERROR(__xludf.DUMMYFUNCTION("GOOGLETRANSLATE(F2296, ""auto"", ""en"")
"),"I bought a Sony KDL-32W5710 in December 2009. There is a picture in picture, but no tuner (one picture tuner, another video input).  The picture quality is excellent.")</f>
        <v>I bought a Sony KDL-32W5710 in December 2009. There is a picture in picture, but no tuner (one picture tuner, another video input).  The picture quality is excellent.</v>
      </c>
    </row>
    <row r="2297" spans="1:9" x14ac:dyDescent="0.3">
      <c r="A2297" s="1" t="s">
        <v>61</v>
      </c>
      <c r="B2297" s="1" t="s">
        <v>977</v>
      </c>
      <c r="C2297" s="1" t="s">
        <v>101</v>
      </c>
      <c r="D2297" s="1" t="s">
        <v>46</v>
      </c>
      <c r="E2297" s="1" t="s">
        <v>320</v>
      </c>
      <c r="F2297" s="1" t="s">
        <v>4539</v>
      </c>
      <c r="G2297" s="1" t="s">
        <v>36</v>
      </c>
      <c r="H2297" s="1" t="s">
        <v>29</v>
      </c>
      <c r="I2297" s="1" t="str">
        <f ca="1">IFERROR(__xludf.DUMMYFUNCTION("GOOGLETRANSLATE(F2297, ""auto"", ""en"")
"),"An excellent mixer, I’ve been using it for 7 years, and I’m constantly baking and whipping purees! I recommend it to everyone and if I buy it, it will be only this one!")</f>
        <v>An excellent mixer, I’ve been using it for 7 years, and I’m constantly baking and whipping purees! I recommend it to everyone and if I buy it, it will be only this one!</v>
      </c>
    </row>
    <row r="2298" spans="1:9" x14ac:dyDescent="0.3">
      <c r="A2298" s="1" t="s">
        <v>43</v>
      </c>
      <c r="B2298" s="1" t="s">
        <v>502</v>
      </c>
      <c r="C2298" s="1" t="s">
        <v>151</v>
      </c>
      <c r="D2298" s="1" t="s">
        <v>305</v>
      </c>
      <c r="E2298" s="1" t="s">
        <v>4540</v>
      </c>
      <c r="F2298" s="1" t="s">
        <v>4541</v>
      </c>
      <c r="G2298" s="1" t="s">
        <v>36</v>
      </c>
      <c r="H2298" s="1" t="s">
        <v>29</v>
      </c>
      <c r="I2298" s="1" t="str">
        <f ca="1">IFERROR(__xludf.DUMMYFUNCTION("GOOGLETRANSLATE(F2298, ""auto"", ""en"")
"),"I installed the system in August 2009. I'm pleased with almost everything. Small size of the indoor unit, low noise, various options. It cools a 23-meter room instantly in the summer, even though the window faces the sunny side. But the fact that there is"&amp;" no filter, except for a couple of protective nets, is a big drawback. According to the instructions there should be more!!!")</f>
        <v>I installed the system in August 2009. I'm pleased with almost everything. Small size of the indoor unit, low noise, various options. It cools a 23-meter room instantly in the summer, even though the window faces the sunny side. But the fact that there is no filter, except for a couple of protective nets, is a big drawback. According to the instructions there should be more!!!</v>
      </c>
    </row>
    <row r="2299" spans="1:9" x14ac:dyDescent="0.3">
      <c r="A2299" s="1" t="s">
        <v>61</v>
      </c>
      <c r="B2299" s="1" t="s">
        <v>180</v>
      </c>
      <c r="C2299" s="1" t="s">
        <v>101</v>
      </c>
      <c r="D2299" s="1" t="s">
        <v>335</v>
      </c>
      <c r="E2299" s="1" t="s">
        <v>4542</v>
      </c>
      <c r="F2299" s="1" t="s">
        <v>4543</v>
      </c>
      <c r="G2299" s="1" t="s">
        <v>28</v>
      </c>
      <c r="H2299" s="1" t="s">
        <v>29</v>
      </c>
      <c r="I2299" s="1" t="str">
        <f ca="1">IFERROR(__xludf.DUMMYFUNCTION("GOOGLETRANSLATE(F2299, ""auto"", ""en"")
"),"Now the whole family has a favorite dish - hot sandwiches)) It’s very easy to cook in this sandwich maker, and cleaning it is also elementary - just wipe it with a damp cloth, and that’s it. The main thing is to grab the handle and not the work surface, o"&amp;"therwise you can get seriously burned.")</f>
        <v>Now the whole family has a favorite dish - hot sandwiches)) It’s very easy to cook in this sandwich maker, and cleaning it is also elementary - just wipe it with a damp cloth, and that’s it. The main thing is to grab the handle and not the work surface, otherwise you can get seriously burned.</v>
      </c>
    </row>
    <row r="2300" spans="1:9" x14ac:dyDescent="0.3">
      <c r="A2300" s="1" t="s">
        <v>17</v>
      </c>
      <c r="B2300" s="1" t="s">
        <v>18</v>
      </c>
      <c r="C2300" s="1" t="s">
        <v>243</v>
      </c>
      <c r="D2300" s="1" t="s">
        <v>39</v>
      </c>
      <c r="E2300" s="1" t="s">
        <v>1093</v>
      </c>
      <c r="F2300" s="1" t="s">
        <v>4544</v>
      </c>
      <c r="G2300" s="1" t="s">
        <v>36</v>
      </c>
      <c r="H2300" s="1" t="s">
        <v>29</v>
      </c>
      <c r="I2300" s="1" t="str">
        <f ca="1">IFERROR(__xludf.DUMMYFUNCTION("GOOGLETRANSLATE(F2300, ""auto"", ""en"")
"),"I've been using it for half a year. Everything is great.")</f>
        <v>I've been using it for half a year. Everything is great.</v>
      </c>
    </row>
    <row r="2301" spans="1:9" x14ac:dyDescent="0.3">
      <c r="A2301" s="1" t="s">
        <v>2087</v>
      </c>
      <c r="B2301" s="1" t="s">
        <v>2088</v>
      </c>
      <c r="C2301" s="1" t="s">
        <v>4545</v>
      </c>
      <c r="D2301" s="1" t="s">
        <v>4546</v>
      </c>
      <c r="E2301" s="1" t="s">
        <v>538</v>
      </c>
      <c r="F2301" s="1" t="s">
        <v>4547</v>
      </c>
      <c r="G2301" s="1" t="s">
        <v>36</v>
      </c>
      <c r="H2301" s="1" t="s">
        <v>29</v>
      </c>
      <c r="I2301" s="1" t="str">
        <f ca="1">IFERROR(__xludf.DUMMYFUNCTION("GOOGLETRANSLATE(F2301, ""auto"", ""en"")
"),"works great!")</f>
        <v>works great!</v>
      </c>
    </row>
    <row r="2302" spans="1:9" x14ac:dyDescent="0.3">
      <c r="A2302" s="1" t="s">
        <v>120</v>
      </c>
      <c r="B2302" s="1" t="s">
        <v>121</v>
      </c>
      <c r="C2302" s="1" t="s">
        <v>122</v>
      </c>
      <c r="D2302" s="1" t="s">
        <v>1329</v>
      </c>
      <c r="E2302" s="1" t="s">
        <v>1273</v>
      </c>
      <c r="F2302" s="1" t="s">
        <v>4548</v>
      </c>
      <c r="G2302" s="1" t="s">
        <v>28</v>
      </c>
      <c r="H2302" s="1" t="s">
        <v>29</v>
      </c>
      <c r="I2302" s="1" t="str">
        <f ca="1">IFERROR(__xludf.DUMMYFUNCTION("GOOGLETRANSLATE(F2302, ""auto"", ""en"")
"),"I'm happy with the TV, the channels switch quickly, I connected it to the PC via HDMI - the cord is 7m long. The picture is super, I thought it would be worse, it’s a pity there is no digital tuner")</f>
        <v>I'm happy with the TV, the channels switch quickly, I connected it to the PC via HDMI - the cord is 7m long. The picture is super, I thought it would be worse, it’s a pity there is no digital tuner</v>
      </c>
    </row>
    <row r="2303" spans="1:9" x14ac:dyDescent="0.3">
      <c r="A2303" s="1" t="s">
        <v>17</v>
      </c>
      <c r="B2303" s="1" t="s">
        <v>18</v>
      </c>
      <c r="C2303" s="1" t="s">
        <v>243</v>
      </c>
      <c r="D2303" s="1" t="s">
        <v>247</v>
      </c>
      <c r="E2303" s="1" t="s">
        <v>4549</v>
      </c>
      <c r="F2303" s="1" t="s">
        <v>4550</v>
      </c>
      <c r="G2303" s="1" t="s">
        <v>36</v>
      </c>
      <c r="H2303" s="1" t="s">
        <v>29</v>
      </c>
      <c r="I2303" s="1" t="str">
        <f ca="1">IFERROR(__xludf.DUMMYFUNCTION("GOOGLETRANSLATE(F2303, ""auto"", ""en"")
"),"In use for a year. I use this dryer all the time - it's a great product. The machine works at 5+, no problems")</f>
        <v>In use for a year. I use this dryer all the time - it's a great product. The machine works at 5+, no problems</v>
      </c>
    </row>
    <row r="2304" spans="1:9" x14ac:dyDescent="0.3">
      <c r="A2304" s="1" t="s">
        <v>61</v>
      </c>
      <c r="B2304" s="1" t="s">
        <v>224</v>
      </c>
      <c r="C2304" s="1" t="s">
        <v>85</v>
      </c>
      <c r="D2304" s="1" t="s">
        <v>4551</v>
      </c>
      <c r="E2304" s="1" t="s">
        <v>4552</v>
      </c>
      <c r="F2304" s="1" t="s">
        <v>4553</v>
      </c>
      <c r="G2304" s="1" t="s">
        <v>28</v>
      </c>
      <c r="H2304" s="1" t="s">
        <v>29</v>
      </c>
      <c r="I2304" s="1" t="str">
        <f ca="1">IFERROR(__xludf.DUMMYFUNCTION("GOOGLETRANSLATE(F2304, ""auto"", ""en"")
"),"I've been using it for two years. The juicer is normal. Somehow the power went out (the toggle switch did not respond to pressing), I took it to repair and when I checked it started working. A year passed after that. It works flawlessly. Such miracles!")</f>
        <v>I've been using it for two years. The juicer is normal. Somehow the power went out (the toggle switch did not respond to pressing), I took it to repair and when I checked it started working. A year passed after that. It works flawlessly. Such miracles!</v>
      </c>
    </row>
    <row r="2305" spans="1:9" x14ac:dyDescent="0.3">
      <c r="A2305" s="1" t="s">
        <v>95</v>
      </c>
      <c r="B2305" s="1" t="s">
        <v>227</v>
      </c>
      <c r="C2305" s="1" t="s">
        <v>97</v>
      </c>
      <c r="D2305" s="1" t="s">
        <v>102</v>
      </c>
      <c r="E2305" s="1" t="s">
        <v>734</v>
      </c>
      <c r="F2305" s="1" t="s">
        <v>4554</v>
      </c>
      <c r="G2305" s="1" t="s">
        <v>36</v>
      </c>
      <c r="H2305" s="1" t="s">
        <v>29</v>
      </c>
      <c r="I2305" s="1" t="str">
        <f ca="1">IFERROR(__xludf.DUMMYFUNCTION("GOOGLETRANSLATE(F2305, ""auto"", ""en"")
"),"The game is a masterpiece, everyone will like it, it is brilliantly designed, it is a film that you want to watch again and again, but for this film you come up with the script yourself, this is great, quantidreem did not spend so much effort on it in vai"&amp;"n.    My rating is 100/10")</f>
        <v>The game is a masterpiece, everyone will like it, it is brilliantly designed, it is a film that you want to watch again and again, but for this film you come up with the script yourself, this is great, quantidreem did not spend so much effort on it in vain.    My rating is 100/10</v>
      </c>
    </row>
    <row r="2306" spans="1:9" x14ac:dyDescent="0.3">
      <c r="A2306" s="1" t="s">
        <v>369</v>
      </c>
      <c r="B2306" s="1" t="s">
        <v>370</v>
      </c>
      <c r="C2306" s="1" t="s">
        <v>588</v>
      </c>
      <c r="D2306" s="1" t="s">
        <v>308</v>
      </c>
      <c r="E2306" s="1" t="s">
        <v>4555</v>
      </c>
      <c r="F2306" s="1" t="s">
        <v>4556</v>
      </c>
      <c r="G2306" s="1" t="s">
        <v>36</v>
      </c>
      <c r="H2306" s="1" t="s">
        <v>29</v>
      </c>
      <c r="I2306" s="1" t="str">
        <f ca="1">IFERROR(__xludf.DUMMYFUNCTION("GOOGLETRANSLATE(F2306, ""auto"", ""en"")
"),"We bought this stove on March 8th. In principle, everything suits me. The utensil drawer is really specific, but it doesn’t seem to slide off, although we rarely use it. It heats up and cools down quickly, the oven bakes normally, I haven’t used the grill"&amp;" yet. The smell was only present during the first heating. The cooking surface is flat, making it convenient to cook (unlike the old stove). It’s not difficult to wash, but before you have time to wash it, it’s dirty again. But this is probably the proble"&amp;"m with all ceramic tiles: everything is visible on dark mirror surfaces.")</f>
        <v>We bought this stove on March 8th. In principle, everything suits me. The utensil drawer is really specific, but it doesn’t seem to slide off, although we rarely use it. It heats up and cools down quickly, the oven bakes normally, I haven’t used the grill yet. The smell was only present during the first heating. The cooking surface is flat, making it convenient to cook (unlike the old stove). It’s not difficult to wash, but before you have time to wash it, it’s dirty again. But this is probably the problem with all ceramic tiles: everything is visible on dark mirror surfaces.</v>
      </c>
    </row>
    <row r="2307" spans="1:9" x14ac:dyDescent="0.3">
      <c r="A2307" s="1" t="s">
        <v>120</v>
      </c>
      <c r="B2307" s="1" t="s">
        <v>256</v>
      </c>
      <c r="C2307" s="1" t="s">
        <v>151</v>
      </c>
      <c r="D2307" s="1" t="s">
        <v>2412</v>
      </c>
      <c r="E2307" s="1" t="s">
        <v>1267</v>
      </c>
      <c r="F2307" s="1" t="s">
        <v>4557</v>
      </c>
      <c r="G2307" s="1" t="s">
        <v>28</v>
      </c>
      <c r="H2307" s="1" t="s">
        <v>29</v>
      </c>
      <c r="I2307" s="1" t="str">
        <f ca="1">IFERROR(__xludf.DUMMYFUNCTION("GOOGLETRANSLATE(F2307, ""auto"", ""en"")
"),"I bought this TV for myself, everything seems to be fine, but for some reason the tint at the bottom doesn’t work, if I’m not mistaken it should light up in red and it still shows widely, I don’t know how to adjust it or I need a specialist to look at it."&amp;".. Please tell me!")</f>
        <v>I bought this TV for myself, everything seems to be fine, but for some reason the tint at the bottom doesn’t work, if I’m not mistaken it should light up in red and it still shows widely, I don’t know how to adjust it or I need a specialist to look at it... Please tell me!</v>
      </c>
    </row>
    <row r="2308" spans="1:9" x14ac:dyDescent="0.3">
      <c r="A2308" s="1" t="s">
        <v>149</v>
      </c>
      <c r="B2308" s="1" t="s">
        <v>155</v>
      </c>
      <c r="C2308" s="1" t="s">
        <v>80</v>
      </c>
      <c r="D2308" s="1" t="s">
        <v>246</v>
      </c>
      <c r="E2308" s="1" t="s">
        <v>4558</v>
      </c>
      <c r="F2308" s="1" t="s">
        <v>4559</v>
      </c>
      <c r="G2308" s="1" t="s">
        <v>36</v>
      </c>
      <c r="H2308" s="1" t="s">
        <v>29</v>
      </c>
      <c r="I2308" s="1" t="str">
        <f ca="1">IFERROR(__xludf.DUMMYFUNCTION("GOOGLETRANSLATE(F2308, ""auto"", ""en"")
"),"When I bought a new vacuum cleaner, I paid attention to the filter, container, number of replaceable attachments and power, of course. The choice fell on this model, and it was at a discount. By the way, it looks normal too. The vacuum cleaner is quite po"&amp;"werful; at 380 watts it sucks up all the garbage in the house. The HEPA H12 filter is replaceable, if necessary. The container turned out to be roomy, suitable for a couple of cleanings, but every time I clean it after cleaning the house, first I throw aw"&amp;"ay everything, then I clean it from the inside with water, it is easy to clean. There are five attachments for all occasions, even a turbo brush is included in the kit. It is not difficult to operate the vacuum cleaner, as well as to roll it around the ap"&amp;"artment; it weighs five kilos. It makes noise, understandably, but not deafeningly. I'm happy with the vacuum cleaner.")</f>
        <v>When I bought a new vacuum cleaner, I paid attention to the filter, container, number of replaceable attachments and power, of course. The choice fell on this model, and it was at a discount. By the way, it looks normal too. The vacuum cleaner is quite powerful; at 380 watts it sucks up all the garbage in the house. The HEPA H12 filter is replaceable, if necessary. The container turned out to be roomy, suitable for a couple of cleanings, but every time I clean it after cleaning the house, first I throw away everything, then I clean it from the inside with water, it is easy to clean. There are five attachments for all occasions, even a turbo brush is included in the kit. It is not difficult to operate the vacuum cleaner, as well as to roll it around the apartment; it weighs five kilos. It makes noise, understandably, but not deafeningly. I'm happy with the vacuum cleaner.</v>
      </c>
    </row>
    <row r="2309" spans="1:9" x14ac:dyDescent="0.3">
      <c r="A2309" s="1" t="s">
        <v>149</v>
      </c>
      <c r="B2309" s="1" t="s">
        <v>150</v>
      </c>
      <c r="C2309" s="1" t="s">
        <v>2016</v>
      </c>
      <c r="D2309" s="1" t="s">
        <v>1188</v>
      </c>
      <c r="E2309" s="1" t="s">
        <v>802</v>
      </c>
      <c r="F2309" s="1" t="s">
        <v>4560</v>
      </c>
      <c r="G2309" s="1" t="s">
        <v>36</v>
      </c>
      <c r="H2309" s="1" t="s">
        <v>29</v>
      </c>
      <c r="I2309" s="1" t="str">
        <f ca="1">IFERROR(__xludf.DUMMYFUNCTION("GOOGLETRANSLATE(F2309, ""auto"", ""en"")
"),"Take it, you won't regret it. High quality and reasonable price.")</f>
        <v>Take it, you won't regret it. High quality and reasonable price.</v>
      </c>
    </row>
    <row r="2310" spans="1:9" x14ac:dyDescent="0.3">
      <c r="A2310" s="1" t="s">
        <v>211</v>
      </c>
      <c r="B2310" s="1" t="s">
        <v>2818</v>
      </c>
      <c r="C2310" s="1" t="s">
        <v>213</v>
      </c>
      <c r="D2310" s="1" t="s">
        <v>335</v>
      </c>
      <c r="E2310" s="1" t="s">
        <v>1034</v>
      </c>
      <c r="F2310" s="1" t="s">
        <v>4561</v>
      </c>
      <c r="G2310" s="1" t="s">
        <v>36</v>
      </c>
      <c r="H2310" s="1" t="s">
        <v>29</v>
      </c>
      <c r="I2310" s="1" t="str">
        <f ca="1">IFERROR(__xludf.DUMMYFUNCTION("GOOGLETRANSLATE(F2310, ""auto"", ""en"")
"),"Cool thing, I’ve been using it for a long time and it has never let me down")</f>
        <v>Cool thing, I’ve been using it for a long time and it has never let me down</v>
      </c>
    </row>
    <row r="2311" spans="1:9" x14ac:dyDescent="0.3">
      <c r="A2311" s="1" t="s">
        <v>1119</v>
      </c>
      <c r="B2311" s="1" t="s">
        <v>1120</v>
      </c>
      <c r="C2311" s="1" t="s">
        <v>122</v>
      </c>
      <c r="D2311" s="1" t="s">
        <v>152</v>
      </c>
      <c r="E2311" s="1" t="s">
        <v>956</v>
      </c>
      <c r="F2311" s="1" t="s">
        <v>4562</v>
      </c>
      <c r="G2311" s="1" t="s">
        <v>28</v>
      </c>
      <c r="H2311" s="1" t="s">
        <v>29</v>
      </c>
      <c r="I2311" s="1" t="str">
        <f ca="1">IFERROR(__xludf.DUMMYFUNCTION("GOOGLETRANSLATE(F2311, ""auto"", ""en"")
"),"I bought it based on price. Lightweight, compact camera. I was amazed by the zoom and macro photography. Daylight video recording worthy of standard TV resolution; For a “C” rating, recording in low light means too much noise. The optical stabilizer does "&amp;"its job well only if you don't shake the camera too much. This camera is worth the money, but I wouldn’t overpay for the HDD package; for that money you can also buy a camera with HD recording.")</f>
        <v>I bought it based on price. Lightweight, compact camera. I was amazed by the zoom and macro photography. Daylight video recording worthy of standard TV resolution; For a “C” rating, recording in low light means too much noise. The optical stabilizer does its job well only if you don't shake the camera too much. This camera is worth the money, but I wouldn’t overpay for the HDD package; for that money you can also buy a camera with HD recording.</v>
      </c>
    </row>
    <row r="2312" spans="1:9" x14ac:dyDescent="0.3">
      <c r="A2312" s="1" t="s">
        <v>61</v>
      </c>
      <c r="B2312" s="1" t="s">
        <v>318</v>
      </c>
      <c r="C2312" s="1" t="s">
        <v>2840</v>
      </c>
      <c r="D2312" s="1" t="s">
        <v>52</v>
      </c>
      <c r="E2312" s="1" t="s">
        <v>4563</v>
      </c>
      <c r="F2312" s="1" t="s">
        <v>4564</v>
      </c>
      <c r="G2312" s="1" t="s">
        <v>36</v>
      </c>
      <c r="H2312" s="1" t="s">
        <v>29</v>
      </c>
      <c r="I2312" s="1" t="str">
        <f ca="1">IFERROR(__xludf.DUMMYFUNCTION("GOOGLETRANSLATE(F2312, ""auto"", ""en"")
"),"I bought a similar ceramic teapot 4 years ago. It just went on sale. I chose it because it is environmentally friendly. The brand is Australian, but made in China. Alas, what to do. The kettle is working properly to this day, the only thing is that the sw"&amp;"itch button began to act up and does not catch electricity the first time, as evidenced by the purple light on it. I decided to look for a new one, but surprisingly there were negative reviews about the build quality. Apparently a factory defect. The Chin"&amp;"ese began to mess around. And I think it’s the best electric kettle in every sense. I'm thinking of getting a new one and giving my wife the old one.")</f>
        <v>I bought a similar ceramic teapot 4 years ago. It just went on sale. I chose it because it is environmentally friendly. The brand is Australian, but made in China. Alas, what to do. The kettle is working properly to this day, the only thing is that the switch button began to act up and does not catch electricity the first time, as evidenced by the purple light on it. I decided to look for a new one, but surprisingly there were negative reviews about the build quality. Apparently a factory defect. The Chinese began to mess around. And I think it’s the best electric kettle in every sense. I'm thinking of getting a new one and giving my wife the old one.</v>
      </c>
    </row>
    <row r="2313" spans="1:9" x14ac:dyDescent="0.3">
      <c r="A2313" s="1" t="s">
        <v>206</v>
      </c>
      <c r="B2313" s="1" t="s">
        <v>207</v>
      </c>
      <c r="C2313" s="1" t="s">
        <v>152</v>
      </c>
      <c r="D2313" s="1" t="s">
        <v>171</v>
      </c>
      <c r="E2313" s="1" t="s">
        <v>1586</v>
      </c>
      <c r="F2313" s="1" t="s">
        <v>4565</v>
      </c>
      <c r="G2313" s="1" t="s">
        <v>36</v>
      </c>
      <c r="H2313" s="1" t="s">
        <v>29</v>
      </c>
      <c r="I2313" s="1" t="str">
        <f ca="1">IFERROR(__xludf.DUMMYFUNCTION("GOOGLETRANSLATE(F2313, ""auto"", ""en"")
"),"Cool device, there is something to compare with, take it, you won’t regret your money, a friend has the same one, plays great, Sony head, I recommend the kicx colonies for them from the Payu Kap series, the series is still cooler")</f>
        <v>Cool device, there is something to compare with, take it, you won’t regret your money, a friend has the same one, plays great, Sony head, I recommend the kicx colonies for them from the Payu Kap series, the series is still cooler</v>
      </c>
    </row>
    <row r="2314" spans="1:9" x14ac:dyDescent="0.3">
      <c r="A2314" s="1" t="s">
        <v>61</v>
      </c>
      <c r="B2314" s="1" t="s">
        <v>977</v>
      </c>
      <c r="C2314" s="1" t="s">
        <v>101</v>
      </c>
      <c r="D2314" s="1" t="s">
        <v>2886</v>
      </c>
      <c r="E2314" s="1" t="s">
        <v>2772</v>
      </c>
      <c r="F2314" s="1" t="s">
        <v>4566</v>
      </c>
      <c r="G2314" s="1" t="s">
        <v>49</v>
      </c>
      <c r="H2314" s="1" t="s">
        <v>16</v>
      </c>
      <c r="I2314" s="1" t="str">
        <f ca="1">IFERROR(__xludf.DUMMYFUNCTION("GOOGLETRANSLATE(F2314, ""auto"", ""en"")
"),"We bought a blender today, but didn’t check it at the store. When I opened the package at home, plugged it in and pressed the start button, after a few turns it burned out. Tomorrow I'll go change it for a new one.")</f>
        <v>We bought a blender today, but didn’t check it at the store. When I opened the package at home, plugged it in and pressed the start button, after a few turns it burned out. Tomorrow I'll go change it for a new one.</v>
      </c>
    </row>
    <row r="2315" spans="1:9" x14ac:dyDescent="0.3">
      <c r="A2315" s="1" t="s">
        <v>1443</v>
      </c>
      <c r="B2315" s="1" t="s">
        <v>1444</v>
      </c>
      <c r="C2315" s="1" t="s">
        <v>1489</v>
      </c>
      <c r="D2315" s="1" t="s">
        <v>4567</v>
      </c>
      <c r="E2315" s="1" t="s">
        <v>1207</v>
      </c>
      <c r="F2315" s="1" t="s">
        <v>4568</v>
      </c>
      <c r="G2315" s="1" t="s">
        <v>36</v>
      </c>
      <c r="H2315" s="1" t="s">
        <v>29</v>
      </c>
      <c r="I2315" s="1" t="str">
        <f ca="1">IFERROR(__xludf.DUMMYFUNCTION("GOOGLETRANSLATE(F2315, ""auto"", ""en"")
"),"The flash drive is really great. The case is strong and does not wear out if you carry it in your pocket. According to Crystal Mark tests, the speed is even higher than stated. And there is enough memory.")</f>
        <v>The flash drive is really great. The case is strong and does not wear out if you carry it in your pocket. According to Crystal Mark tests, the speed is even higher than stated. And there is enough memory.</v>
      </c>
    </row>
    <row r="2316" spans="1:9" x14ac:dyDescent="0.3">
      <c r="A2316" s="1" t="s">
        <v>43</v>
      </c>
      <c r="B2316" s="1" t="s">
        <v>334</v>
      </c>
      <c r="C2316" s="1" t="s">
        <v>101</v>
      </c>
      <c r="D2316" s="1" t="s">
        <v>39</v>
      </c>
      <c r="E2316" s="1" t="s">
        <v>3552</v>
      </c>
      <c r="F2316" s="1" t="s">
        <v>4569</v>
      </c>
      <c r="G2316" s="1" t="s">
        <v>36</v>
      </c>
      <c r="H2316" s="1" t="s">
        <v>29</v>
      </c>
      <c r="I2316" s="1" t="str">
        <f ca="1">IFERROR(__xludf.DUMMYFUNCTION("GOOGLETRANSLATE(F2316, ""auto"", ""en"")
"),"The main thing is that it cools the room well, this is for me the main indicator of quality. It copes with this task with a bang.  It works quite quietly and does not vibrate much. I like that you can adjust the angle of inclination for greater convenienc"&amp;"e. Well, we also need to note the price, only a thousand rubles.   Overall I have no complaints.")</f>
        <v>The main thing is that it cools the room well, this is for me the main indicator of quality. It copes with this task with a bang.  It works quite quietly and does not vibrate much. I like that you can adjust the angle of inclination for greater convenience. Well, we also need to note the price, only a thousand rubles.   Overall I have no complaints.</v>
      </c>
    </row>
    <row r="2317" spans="1:9" x14ac:dyDescent="0.3">
      <c r="A2317" s="1" t="s">
        <v>43</v>
      </c>
      <c r="B2317" s="1" t="s">
        <v>219</v>
      </c>
      <c r="C2317" s="1" t="s">
        <v>220</v>
      </c>
      <c r="D2317" s="1" t="s">
        <v>228</v>
      </c>
      <c r="E2317" s="1" t="s">
        <v>3458</v>
      </c>
      <c r="F2317" s="1" t="s">
        <v>4570</v>
      </c>
      <c r="G2317" s="1" t="s">
        <v>36</v>
      </c>
      <c r="H2317" s="1" t="s">
        <v>29</v>
      </c>
      <c r="I2317" s="1" t="str">
        <f ca="1">IFERROR(__xludf.DUMMYFUNCTION("GOOGLETRANSLATE(F2317, ""auto"", ""en"")
"),"Compact, heats up quickly.")</f>
        <v>Compact, heats up quickly.</v>
      </c>
    </row>
    <row r="2318" spans="1:9" x14ac:dyDescent="0.3">
      <c r="A2318" s="1" t="s">
        <v>105</v>
      </c>
      <c r="B2318" s="1" t="s">
        <v>106</v>
      </c>
      <c r="C2318" s="1" t="s">
        <v>107</v>
      </c>
      <c r="D2318" s="1" t="s">
        <v>621</v>
      </c>
      <c r="E2318" s="1" t="s">
        <v>3169</v>
      </c>
      <c r="F2318" s="1" t="s">
        <v>4571</v>
      </c>
      <c r="G2318" s="1" t="s">
        <v>28</v>
      </c>
      <c r="H2318" s="1" t="s">
        <v>29</v>
      </c>
      <c r="I2318" s="1" t="str">
        <f ca="1">IFERROR(__xludf.DUMMYFUNCTION("GOOGLETRANSLATE(F2318, ""auto"", ""en"")
"),"good player, works well.  The advantages are lightness, ease of handling, metal body.  The downside is that the screen gets scratched very easily (even with a protective film) and the battery is certainly not enough for 10 hours((")</f>
        <v>good player, works well.  The advantages are lightness, ease of handling, metal body.  The downside is that the screen gets scratched very easily (even with a protective film) and the battery is certainly not enough for 10 hours((</v>
      </c>
    </row>
    <row r="2319" spans="1:9" x14ac:dyDescent="0.3">
      <c r="A2319" s="1" t="s">
        <v>120</v>
      </c>
      <c r="B2319" s="1" t="s">
        <v>1205</v>
      </c>
      <c r="C2319" s="1" t="s">
        <v>1206</v>
      </c>
      <c r="D2319" s="1" t="s">
        <v>1894</v>
      </c>
      <c r="E2319" s="1" t="s">
        <v>2684</v>
      </c>
      <c r="F2319" s="1" t="s">
        <v>4572</v>
      </c>
      <c r="G2319" s="1" t="s">
        <v>15</v>
      </c>
      <c r="H2319" s="1" t="s">
        <v>16</v>
      </c>
      <c r="I2319" s="1" t="str">
        <f ca="1">IFERROR(__xludf.DUMMYFUNCTION("GOOGLETRANSLATE(F2319, ""auto"", ""en"")
"),"You won’t find this model at official dealers; it’s outdated; if you have it, they’ll sell it for 4-5 thousand rubles. no more expensive. Equipped with a digital satellite receiver GS 8300 M costs 8000 with installation. Moreover, it has a slot for a memo"&amp;"ry card to record TV shows, and extras. channels in MP4 format.")</f>
        <v>You won’t find this model at official dealers; it’s outdated; if you have it, they’ll sell it for 4-5 thousand rubles. no more expensive. Equipped with a digital satellite receiver GS 8300 M costs 8000 with installation. Moreover, it has a slot for a memory card to record TV shows, and extras. channels in MP4 format.</v>
      </c>
    </row>
    <row r="2320" spans="1:9" x14ac:dyDescent="0.3">
      <c r="A2320" s="1" t="s">
        <v>211</v>
      </c>
      <c r="B2320" s="1" t="s">
        <v>410</v>
      </c>
      <c r="C2320" s="1" t="s">
        <v>213</v>
      </c>
      <c r="D2320" s="1" t="s">
        <v>52</v>
      </c>
      <c r="E2320" s="1" t="s">
        <v>4573</v>
      </c>
      <c r="F2320" s="1" t="s">
        <v>4574</v>
      </c>
      <c r="G2320" s="1" t="s">
        <v>36</v>
      </c>
      <c r="H2320" s="1" t="s">
        <v>29</v>
      </c>
      <c r="I2320" s="1" t="str">
        <f ca="1">IFERROR(__xludf.DUMMYFUNCTION("GOOGLETRANSLATE(F2320, ""auto"", ""en"")
"),"I bought a week ago in Solnechnogorsk M video, I shaved 3 days after the purchase, I waited for the stubble to grow back, everything was fine, it shave cleanly, evenly, no irritation in any words, German quality, but minus the expensive consumables.")</f>
        <v>I bought a week ago in Solnechnogorsk M video, I shaved 3 days after the purchase, I waited for the stubble to grow back, everything was fine, it shave cleanly, evenly, no irritation in any words, German quality, but minus the expensive consumables.</v>
      </c>
    </row>
    <row r="2321" spans="1:9" x14ac:dyDescent="0.3">
      <c r="A2321" s="1" t="s">
        <v>17</v>
      </c>
      <c r="B2321" s="1" t="s">
        <v>18</v>
      </c>
      <c r="C2321" s="1" t="s">
        <v>870</v>
      </c>
      <c r="D2321" s="1" t="s">
        <v>308</v>
      </c>
      <c r="E2321" s="1" t="s">
        <v>4575</v>
      </c>
      <c r="F2321" s="1" t="s">
        <v>4576</v>
      </c>
      <c r="G2321" s="1" t="s">
        <v>36</v>
      </c>
      <c r="H2321" s="1" t="s">
        <v>29</v>
      </c>
      <c r="I2321" s="1" t="str">
        <f ca="1">IFERROR(__xludf.DUMMYFUNCTION("GOOGLETRANSLATE(F2321, ""auto"", ""en"")
"),"It's rusting. In the fourth year of operation it began to rust. So, look.")</f>
        <v>It's rusting. In the fourth year of operation it began to rust. So, look.</v>
      </c>
    </row>
    <row r="2322" spans="1:9" x14ac:dyDescent="0.3">
      <c r="A2322" s="1" t="s">
        <v>30</v>
      </c>
      <c r="B2322" s="1" t="s">
        <v>50</v>
      </c>
      <c r="C2322" s="1" t="s">
        <v>32</v>
      </c>
      <c r="D2322" s="1" t="s">
        <v>4577</v>
      </c>
      <c r="E2322" s="1" t="s">
        <v>4578</v>
      </c>
      <c r="F2322" s="1" t="s">
        <v>4579</v>
      </c>
      <c r="G2322" s="1" t="s">
        <v>28</v>
      </c>
      <c r="H2322" s="1" t="s">
        <v>29</v>
      </c>
      <c r="I2322" s="1" t="str">
        <f ca="1">IFERROR(__xludf.DUMMYFUNCTION("GOOGLETRANSLATE(F2322, ""auto"", ""en"")
"),"I’ve been using it for 3 weeks, I don’t know much about the capabilities of Notics, but I can say that I’m satisfied.   (+) Namely, it runs Resident Evil 5, Assassin's Creed, FarCry 2, Stalker, and on not weak settings. I don’t consider the lack of a head"&amp;"phone and a camera to be a disadvantage, I’ve had all this stuff for a long time, I bought a handbag right away, everything lies there neatly and can be connected if necessary. OS Win7x64Home (a lot of pre-installed trial software, I immediately demolishe"&amp;"d everything) was afraid of compatibility problems with x86 programs, the folder Program files (x86) was automatically created, and there was no need to look for programs designed for x64. Internet via WIFI (own access point) 3mb/s is no longer satisfacto"&amp;"ry.   (-) The viewing angle of the screen is small and mirrored, but there is HDMI and output. on the monitor, if you have an LCD TV (and I have one), then it’s absolutely beautiful. In general, I replaced my home desktop computer (which at one time cost "&amp;"10 thousand more!) by 110%, leaving it to be torn to pieces by the children :-)")</f>
        <v>I’ve been using it for 3 weeks, I don’t know much about the capabilities of Notics, but I can say that I’m satisfied.   (+) Namely, it runs Resident Evil 5, Assassin's Creed, FarCry 2, Stalker, and on not weak settings. I don’t consider the lack of a headphone and a camera to be a disadvantage, I’ve had all this stuff for a long time, I bought a handbag right away, everything lies there neatly and can be connected if necessary. OS Win7x64Home (a lot of pre-installed trial software, I immediately demolished everything) was afraid of compatibility problems with x86 programs, the folder Program files (x86) was automatically created, and there was no need to look for programs designed for x64. Internet via WIFI (own access point) 3mb/s is no longer satisfactory.   (-) The viewing angle of the screen is small and mirrored, but there is HDMI and output. on the monitor, if you have an LCD TV (and I have one), then it’s absolutely beautiful. In general, I replaced my home desktop computer (which at one time cost 10 thousand more!) by 110%, leaving it to be torn to pieces by the children :-)</v>
      </c>
    </row>
    <row r="2323" spans="1:9" x14ac:dyDescent="0.3">
      <c r="A2323" s="1" t="s">
        <v>557</v>
      </c>
      <c r="B2323" s="1" t="s">
        <v>558</v>
      </c>
      <c r="C2323" s="1" t="s">
        <v>122</v>
      </c>
      <c r="D2323" s="1" t="s">
        <v>240</v>
      </c>
      <c r="E2323" s="1" t="s">
        <v>2669</v>
      </c>
      <c r="F2323" s="1" t="s">
        <v>4580</v>
      </c>
      <c r="G2323" s="1" t="s">
        <v>28</v>
      </c>
      <c r="H2323" s="1" t="s">
        <v>29</v>
      </c>
      <c r="I2323" s="1" t="str">
        <f ca="1">IFERROR(__xludf.DUMMYFUNCTION("GOOGLETRANSLATE(F2323, ""auto"", ""en"")
"),"very good quality phone. In general, I praise Panasonic radiotelephones. sound, melodies, everything is on the level. I think there are no shortcomings. I chose it myself based on reviews.")</f>
        <v>very good quality phone. In general, I praise Panasonic radiotelephones. sound, melodies, everything is on the level. I think there are no shortcomings. I chose it myself based on reviews.</v>
      </c>
    </row>
    <row r="2324" spans="1:9" x14ac:dyDescent="0.3">
      <c r="A2324" s="1" t="s">
        <v>149</v>
      </c>
      <c r="B2324" s="1" t="s">
        <v>155</v>
      </c>
      <c r="C2324" s="1" t="s">
        <v>24</v>
      </c>
      <c r="D2324" s="1" t="s">
        <v>172</v>
      </c>
      <c r="E2324" s="1" t="s">
        <v>4581</v>
      </c>
      <c r="F2324" s="1" t="s">
        <v>4582</v>
      </c>
      <c r="G2324" s="1" t="s">
        <v>36</v>
      </c>
      <c r="H2324" s="1" t="s">
        <v>29</v>
      </c>
      <c r="I2324" s="1" t="str">
        <f ca="1">IFERROR(__xludf.DUMMYFUNCTION("GOOGLETRANSLATE(F2324, ""auto"", ""en"")
"),"It vacuums (or rather, sucks) with a bang, no need to bother with bags, vacuumed, dumped, washed the filter and continued, sparingly... I’ve been using it for a long time, I recommend it to everyone.")</f>
        <v>It vacuums (or rather, sucks) with a bang, no need to bother with bags, vacuumed, dumped, washed the filter and continued, sparingly... I’ve been using it for a long time, I recommend it to everyone.</v>
      </c>
    </row>
    <row r="2325" spans="1:9" x14ac:dyDescent="0.3">
      <c r="A2325" s="1" t="s">
        <v>43</v>
      </c>
      <c r="B2325" s="1" t="s">
        <v>1382</v>
      </c>
      <c r="C2325" s="1" t="s">
        <v>57</v>
      </c>
      <c r="D2325" s="1" t="s">
        <v>166</v>
      </c>
      <c r="E2325" s="1" t="s">
        <v>3140</v>
      </c>
      <c r="F2325" s="1" t="s">
        <v>4583</v>
      </c>
      <c r="G2325" s="1" t="s">
        <v>28</v>
      </c>
      <c r="H2325" s="1" t="s">
        <v>29</v>
      </c>
      <c r="I2325" s="1" t="str">
        <f ca="1">IFERROR(__xludf.DUMMYFUNCTION("GOOGLETRANSLATE(F2325, ""auto"", ""en"")
"),"The airflow is excellent. The only negative is it is noisy. But, as far as I understand, there are no quiet fans.")</f>
        <v>The airflow is excellent. The only negative is it is noisy. But, as far as I understand, there are no quiet fans.</v>
      </c>
    </row>
    <row r="2326" spans="1:9" x14ac:dyDescent="0.3">
      <c r="A2326" s="1" t="s">
        <v>95</v>
      </c>
      <c r="B2326" s="1" t="s">
        <v>486</v>
      </c>
      <c r="C2326" s="1" t="s">
        <v>487</v>
      </c>
      <c r="D2326" s="1" t="s">
        <v>742</v>
      </c>
      <c r="E2326" s="1" t="s">
        <v>1245</v>
      </c>
      <c r="F2326" s="1" t="s">
        <v>4584</v>
      </c>
      <c r="G2326" s="1" t="s">
        <v>36</v>
      </c>
      <c r="H2326" s="1" t="s">
        <v>29</v>
      </c>
      <c r="I2326" s="1" t="str">
        <f ca="1">IFERROR(__xludf.DUMMYFUNCTION("GOOGLETRANSLATE(F2326, ""auto"", ""en"")
"),"Everyone can say whatever they want, but I believe that X-Box is, firstly, more durable, secondly, cheaper, and finally, thirdly, X-Box releases more exclusives and high-quality ports.")</f>
        <v>Everyone can say whatever they want, but I believe that X-Box is, firstly, more durable, secondly, cheaper, and finally, thirdly, X-Box releases more exclusives and high-quality ports.</v>
      </c>
    </row>
    <row r="2327" spans="1:9" x14ac:dyDescent="0.3">
      <c r="A2327" s="1" t="s">
        <v>477</v>
      </c>
      <c r="B2327" s="1" t="s">
        <v>478</v>
      </c>
      <c r="C2327" s="1" t="s">
        <v>479</v>
      </c>
      <c r="D2327" s="1" t="s">
        <v>4585</v>
      </c>
      <c r="E2327" s="1" t="s">
        <v>1565</v>
      </c>
      <c r="F2327" s="1" t="s">
        <v>4586</v>
      </c>
      <c r="G2327" s="1" t="s">
        <v>49</v>
      </c>
      <c r="H2327" s="1" t="s">
        <v>16</v>
      </c>
      <c r="I2327" s="1" t="str">
        <f ca="1">IFERROR(__xludf.DUMMYFUNCTION("GOOGLETRANSLATE(F2327, ""auto"", ""en"")
"),"In the company - in the mission there are no words in Russian, you need to kill Muscovites! Online it's a completely different story. You can’t change the team, fan servers, you can’t choose a map, if you disconnect, you can connect the same way 5 times o"&amp;"r more, endless lags, the host is chosen who knows how, cheaters are everywhere! The absence of dedicated servers, the presence of Steam and VACa is ""pleasant"". So my rating is 1.")</f>
        <v>In the company - in the mission there are no words in Russian, you need to kill Muscovites! Online it's a completely different story. You can’t change the team, fan servers, you can’t choose a map, if you disconnect, you can connect the same way 5 times or more, endless lags, the host is chosen who knows how, cheaters are everywhere! The absence of dedicated servers, the presence of Steam and VACa is "pleasant". So my rating is 1.</v>
      </c>
    </row>
    <row r="2328" spans="1:9" x14ac:dyDescent="0.3">
      <c r="A2328" s="1" t="s">
        <v>61</v>
      </c>
      <c r="B2328" s="1" t="s">
        <v>318</v>
      </c>
      <c r="C2328" s="1" t="s">
        <v>246</v>
      </c>
      <c r="D2328" s="1" t="s">
        <v>280</v>
      </c>
      <c r="E2328" s="1" t="s">
        <v>1228</v>
      </c>
      <c r="F2328" s="1" t="s">
        <v>4587</v>
      </c>
      <c r="G2328" s="1" t="s">
        <v>49</v>
      </c>
      <c r="H2328" s="1" t="s">
        <v>16</v>
      </c>
      <c r="I2328" s="1" t="str">
        <f ca="1">IFERROR(__xludf.DUMMYFUNCTION("GOOGLETRANSLATE(F2328, ""auto"", ""en"")
"),"I bought one for myself and discovered two big jambs! The first is when the kettle boils, steam comes out not only through the spout, but also from under the lid itself, that is, the whole lid is wet! and the second jamb, the most terrible one, the thermo"&amp;"stat lives its own life, either it brings the water to a boil, no matter what position I put it in, or, on the contrary, it does not allow the water to boil and turns off the kettle, that is, the raw water remains! In general, I went and exchanged it, for"&amp;"tunately in Mvideo, they do it without problems if you come within 2 weeks.")</f>
        <v>I bought one for myself and discovered two big jambs! The first is when the kettle boils, steam comes out not only through the spout, but also from under the lid itself, that is, the whole lid is wet! and the second jamb, the most terrible one, the thermostat lives its own life, either it brings the water to a boil, no matter what position I put it in, or, on the contrary, it does not allow the water to boil and turns off the kettle, that is, the raw water remains! In general, I went and exchanged it, fortunately in Mvideo, they do it without problems if you come within 2 weeks.</v>
      </c>
    </row>
    <row r="2329" spans="1:9" x14ac:dyDescent="0.3">
      <c r="A2329" s="1" t="s">
        <v>361</v>
      </c>
      <c r="B2329" s="1" t="s">
        <v>362</v>
      </c>
      <c r="C2329" s="1" t="s">
        <v>561</v>
      </c>
      <c r="D2329" s="1" t="s">
        <v>52</v>
      </c>
      <c r="E2329" s="1" t="s">
        <v>1494</v>
      </c>
      <c r="F2329" s="1" t="s">
        <v>4588</v>
      </c>
      <c r="G2329" s="1" t="s">
        <v>49</v>
      </c>
      <c r="H2329" s="1" t="s">
        <v>16</v>
      </c>
      <c r="I2329" s="1" t="str">
        <f ca="1">IFERROR(__xludf.DUMMYFUNCTION("GOOGLETRANSLATE(F2329, ""auto"", ""en"")
"),"I've been using this grater for 2 years now.  This model is convenient in size and intended functions.   Disadvantage: The knives are not as sharp as advertised; they become heavily clogged during operation, regardless of the operation except for soft pro"&amp;"ducts.  I recommend it as a thing that will sit on a “like I have it” shelf.")</f>
        <v>I've been using this grater for 2 years now.  This model is convenient in size and intended functions.   Disadvantage: The knives are not as sharp as advertised; they become heavily clogged during operation, regardless of the operation except for soft products.  I recommend it as a thing that will sit on a “like I have it” shelf.</v>
      </c>
    </row>
    <row r="2330" spans="1:9" x14ac:dyDescent="0.3">
      <c r="A2330" s="1" t="s">
        <v>37</v>
      </c>
      <c r="B2330" s="1" t="s">
        <v>536</v>
      </c>
      <c r="C2330" s="1" t="s">
        <v>163</v>
      </c>
      <c r="D2330" s="1" t="s">
        <v>548</v>
      </c>
      <c r="E2330" s="1" t="s">
        <v>4174</v>
      </c>
      <c r="F2330" s="1" t="s">
        <v>4589</v>
      </c>
      <c r="G2330" s="1" t="s">
        <v>36</v>
      </c>
      <c r="H2330" s="1" t="s">
        <v>29</v>
      </c>
      <c r="I2330" s="1" t="str">
        <f ca="1">IFERROR(__xludf.DUMMYFUNCTION("GOOGLETRANSLATE(F2330, ""auto"", ""en"")
"),"Although I don’t have the Metal color, but Black, the essence remains the same (disclaimer: the smartphone, specifically black, was manufactured at the factory later than metallic, i.e. these are its later batches, more developed in terms of the quality o"&amp;"f the case, with the “first fresh” firmware, and maybe something else). In general, I liked it all, with only one BUT: the only, and therefore quiet, speaker, with which even in the “Stereo” mode there is almost no change, although, for example, in the No"&amp;"kia 6267 (there is also one speaker, though on the right, and not at the back, like the E-shki), the difference is immediately noticeable. I’ll say right away, in the profile settings, set the volume 1-2 notches higher than you are used to, and if you oft"&amp;"en have it on something, then even louder, otherwise the call may not be heard (it will be muffled by the surface of its “dwelling”). Although the reviews said that it contains a chip from 5800 for sound, the above-described drawback negates this innovati"&amp;"on. By the way, like the mentioned RAM of 256 MB, which is actually 128 MB, of which only about 42 are available. Format it and, oh joy - it already has about 47-48 MB) As for the camera - I expected the worst, but apparently the latest firmware of the “b"&amp;"lack one” has improved this parameter.  The keyboard is very comfortable, but, as someone wrote below, “gamblers” can hit the mail key instead of the right soft key.  The battery is great! Lasts for a very long time, even in the ""Energy Saving"" mode, wh"&amp;"en there is 1 charge remaining.  The case is good, I didn’t notice any special play or creaks. The accelerometer surprised me - finally a normal reaction to turning the device over! The colors on the screen are also of decent quality.  In the end, the lis"&amp;"tings are ""-"" and ""+"", I do not regret the purchase.")</f>
        <v>Although I don’t have the Metal color, but Black, the essence remains the same (disclaimer: the smartphone, specifically black, was manufactured at the factory later than metallic, i.e. these are its later batches, more developed in terms of the quality of the case, with the “first fresh” firmware, and maybe something else). In general, I liked it all, with only one BUT: the only, and therefore quiet, speaker, with which even in the “Stereo” mode there is almost no change, although, for example, in the Nokia 6267 (there is also one speaker, though on the right, and not at the back, like the E-shki), the difference is immediately noticeable. I’ll say right away, in the profile settings, set the volume 1-2 notches higher than you are used to, and if you often have it on something, then even louder, otherwise the call may not be heard (it will be muffled by the surface of its “dwelling”). Although the reviews said that it contains a chip from 5800 for sound, the above-described drawback negates this innovation. By the way, like the mentioned RAM of 256 MB, which is actually 128 MB, of which only about 42 are available. Format it and, oh joy - it already has about 47-48 MB) As for the camera - I expected the worst, but apparently the latest firmware of the “black one” has improved this parameter.  The keyboard is very comfortable, but, as someone wrote below, “gamblers” can hit the mail key instead of the right soft key.  The battery is great! Lasts for a very long time, even in the "Energy Saving" mode, when there is 1 charge remaining.  The case is good, I didn’t notice any special play or creaks. The accelerometer surprised me - finally a normal reaction to turning the device over! The colors on the screen are also of decent quality.  In the end, the listings are "-" and "+", I do not regret the purchase.</v>
      </c>
    </row>
    <row r="2331" spans="1:9" x14ac:dyDescent="0.3">
      <c r="A2331" s="1" t="s">
        <v>120</v>
      </c>
      <c r="B2331" s="1" t="s">
        <v>256</v>
      </c>
      <c r="C2331" s="1" t="s">
        <v>151</v>
      </c>
      <c r="D2331" s="1" t="s">
        <v>4590</v>
      </c>
      <c r="E2331" s="1" t="s">
        <v>1975</v>
      </c>
      <c r="F2331" s="1" t="s">
        <v>4591</v>
      </c>
      <c r="G2331" s="1" t="s">
        <v>36</v>
      </c>
      <c r="H2331" s="1" t="s">
        <v>29</v>
      </c>
      <c r="I2331" s="1" t="str">
        <f ca="1">IFERROR(__xludf.DUMMYFUNCTION("GOOGLETRANSLATE(F2331, ""auto"", ""en"")
"),"I bought a very good TV yesterday, I like it")</f>
        <v>I bought a very good TV yesterday, I like it</v>
      </c>
    </row>
    <row r="2332" spans="1:9" x14ac:dyDescent="0.3">
      <c r="A2332" s="1" t="s">
        <v>37</v>
      </c>
      <c r="B2332" s="1" t="s">
        <v>536</v>
      </c>
      <c r="C2332" s="1" t="s">
        <v>163</v>
      </c>
      <c r="D2332" s="1" t="s">
        <v>548</v>
      </c>
      <c r="E2332" s="1" t="s">
        <v>4592</v>
      </c>
      <c r="F2332" s="1" t="s">
        <v>4593</v>
      </c>
      <c r="G2332" s="1" t="s">
        <v>36</v>
      </c>
      <c r="H2332" s="1" t="s">
        <v>29</v>
      </c>
      <c r="I2332" s="1" t="str">
        <f ca="1">IFERROR(__xludf.DUMMYFUNCTION("GOOGLETRANSLATE(F2332, ""auto"", ""en"")
"),"Great phone, lots of useful apps.  The battery lasts 6 days.   the equipment is excellent.")</f>
        <v>Great phone, lots of useful apps.  The battery lasts 6 days.   the equipment is excellent.</v>
      </c>
    </row>
    <row r="2333" spans="1:9" x14ac:dyDescent="0.3">
      <c r="A2333" s="1" t="s">
        <v>61</v>
      </c>
      <c r="B2333" s="1" t="s">
        <v>73</v>
      </c>
      <c r="C2333" s="1" t="s">
        <v>146</v>
      </c>
      <c r="D2333" s="1" t="s">
        <v>411</v>
      </c>
      <c r="E2333" s="1" t="s">
        <v>343</v>
      </c>
      <c r="F2333" s="1" t="s">
        <v>4594</v>
      </c>
      <c r="G2333" s="1" t="s">
        <v>36</v>
      </c>
      <c r="H2333" s="1" t="s">
        <v>29</v>
      </c>
      <c r="I2333" s="1" t="str">
        <f ca="1">IFERROR(__xludf.DUMMYFUNCTION("GOOGLETRANSLATE(F2333, ""auto"", ""en"")
"),"Beautiful, good quality minced meat, not picky about raw materials.")</f>
        <v>Beautiful, good quality minced meat, not picky about raw materials.</v>
      </c>
    </row>
    <row r="2334" spans="1:9" x14ac:dyDescent="0.3">
      <c r="A2334" s="1" t="s">
        <v>169</v>
      </c>
      <c r="B2334" s="1" t="s">
        <v>170</v>
      </c>
      <c r="C2334" s="1" t="s">
        <v>97</v>
      </c>
      <c r="D2334" s="1" t="s">
        <v>4595</v>
      </c>
      <c r="E2334" s="1" t="s">
        <v>886</v>
      </c>
      <c r="F2334" s="1" t="s">
        <v>4596</v>
      </c>
      <c r="G2334" s="1" t="s">
        <v>28</v>
      </c>
      <c r="H2334" s="1" t="s">
        <v>29</v>
      </c>
      <c r="I2334" s="1" t="str">
        <f ca="1">IFERROR(__xludf.DUMMYFUNCTION("GOOGLETRANSLATE(F2334, ""auto"", ""en"")
"),"The sound in general is not bad, but! Low frequencies are extremely weakly expressed, the bass is not at all soft.")</f>
        <v>The sound in general is not bad, but! Low frequencies are extremely weakly expressed, the bass is not at all soft.</v>
      </c>
    </row>
    <row r="2335" spans="1:9" x14ac:dyDescent="0.3">
      <c r="A2335" s="1" t="s">
        <v>78</v>
      </c>
      <c r="B2335" s="1" t="s">
        <v>79</v>
      </c>
      <c r="C2335" s="1" t="s">
        <v>151</v>
      </c>
      <c r="D2335" s="1" t="s">
        <v>142</v>
      </c>
      <c r="E2335" s="1" t="s">
        <v>1339</v>
      </c>
      <c r="F2335" s="1" t="s">
        <v>4597</v>
      </c>
      <c r="G2335" s="1" t="s">
        <v>15</v>
      </c>
      <c r="H2335" s="1" t="s">
        <v>16</v>
      </c>
      <c r="I2335" s="1" t="str">
        <f ca="1">IFERROR(__xludf.DUMMYFUNCTION("GOOGLETRANSLATE(F2335, ""auto"", ""en"")
"),"The microwave worked perfectly for 3-4 months, then the paint inside began to peel off in several places at once. It’s good that they later took it away and returned the money, so I bought a new one there.")</f>
        <v>The microwave worked perfectly for 3-4 months, then the paint inside began to peel off in several places at once. It’s good that they later took it away and returned the money, so I bought a new one there.</v>
      </c>
    </row>
    <row r="2336" spans="1:9" x14ac:dyDescent="0.3">
      <c r="A2336" s="1" t="s">
        <v>361</v>
      </c>
      <c r="B2336" s="1" t="s">
        <v>1077</v>
      </c>
      <c r="C2336" s="1" t="s">
        <v>2143</v>
      </c>
      <c r="D2336" s="1" t="s">
        <v>1506</v>
      </c>
      <c r="E2336" s="1" t="s">
        <v>1736</v>
      </c>
      <c r="F2336" s="1" t="s">
        <v>4598</v>
      </c>
      <c r="G2336" s="1" t="s">
        <v>36</v>
      </c>
      <c r="H2336" s="1" t="s">
        <v>29</v>
      </c>
      <c r="I2336" s="1" t="str">
        <f ca="1">IFERROR(__xludf.DUMMYFUNCTION("GOOGLETRANSLATE(F2336, ""auto"", ""en"")
"),"It’s strange, my parents have had this kettle for about 7 years, maybe they were supplied from other places before. Problem #1 in my opinion is the loud whistle). I bought it later (newer model) but it rarely whistles and other little things... Overall I’"&amp;"m happy. I recommend it to everyone.")</f>
        <v>It’s strange, my parents have had this kettle for about 7 years, maybe they were supplied from other places before. Problem #1 in my opinion is the loud whistle). I bought it later (newer model) but it rarely whistles and other little things... Overall I’m happy. I recommend it to everyone.</v>
      </c>
    </row>
    <row r="2337" spans="1:9" x14ac:dyDescent="0.3">
      <c r="A2337" s="1" t="s">
        <v>1119</v>
      </c>
      <c r="B2337" s="1" t="s">
        <v>1120</v>
      </c>
      <c r="C2337" s="1" t="s">
        <v>97</v>
      </c>
      <c r="D2337" s="1" t="s">
        <v>742</v>
      </c>
      <c r="E2337" s="1" t="s">
        <v>2529</v>
      </c>
      <c r="F2337" s="1" t="s">
        <v>4599</v>
      </c>
      <c r="G2337" s="1" t="s">
        <v>36</v>
      </c>
      <c r="H2337" s="1" t="s">
        <v>29</v>
      </c>
      <c r="I2337" s="1" t="str">
        <f ca="1">IFERROR(__xludf.DUMMYFUNCTION("GOOGLETRANSLATE(F2337, ""auto"", ""en"")
"),"The camera is excellent. We are happy with the purchase.  The only downside is that the included battery is weak.")</f>
        <v>The camera is excellent. We are happy with the purchase.  The only downside is that the included battery is weak.</v>
      </c>
    </row>
    <row r="2338" spans="1:9" x14ac:dyDescent="0.3">
      <c r="A2338" s="1" t="s">
        <v>9</v>
      </c>
      <c r="B2338" s="1" t="s">
        <v>10</v>
      </c>
      <c r="C2338" s="1" t="s">
        <v>11</v>
      </c>
      <c r="D2338" s="1" t="s">
        <v>2840</v>
      </c>
      <c r="E2338" s="1" t="s">
        <v>4600</v>
      </c>
      <c r="F2338" s="1" t="s">
        <v>4601</v>
      </c>
      <c r="G2338" s="1" t="s">
        <v>36</v>
      </c>
      <c r="H2338" s="1" t="s">
        <v>29</v>
      </c>
      <c r="I2338" s="1" t="str">
        <f ca="1">IFERROR(__xludf.DUMMYFUNCTION("GOOGLETRANSLATE(F2338, ""auto"", ""en"")
"),"Last month, in connection with the purchase of a new kitchen, I scoured the Internet in search of an adequate hood... At first I wanted a slider built-in... like stylish, fashionable, youthful...) the Sata 5260 ordered from Eldorado turned out to be paint"&amp;"ed gray enamel! And two! engine and the productivity is 360 m3)).. According to the design, I would like it with glass.. but the budget is stifling, so I looked at up to 9 tr.. And here just for this model there is a discount of 3000 rubles.. The messages"&amp;" about the noise were scary.. - yes, at 3rd speed.. but this is 1000 m3!!! on the first one it’s generally comfortable .. if it’s a matter of business - you don’t need a power reserve - take a weaker one! Having lived through domestic hoods for 4 years, s"&amp;"uch a supply is simply super!")</f>
        <v>Last month, in connection with the purchase of a new kitchen, I scoured the Internet in search of an adequate hood... At first I wanted a slider built-in... like stylish, fashionable, youthful...) the Sata 5260 ordered from Eldorado turned out to be painted gray enamel! And two! engine and the productivity is 360 m3)).. According to the design, I would like it with glass.. but the budget is stifling, so I looked at up to 9 tr.. And here just for this model there is a discount of 3000 rubles.. The messages about the noise were scary.. - yes, at 3rd speed.. but this is 1000 m3!!! on the first one it’s generally comfortable .. if it’s a matter of business - you don’t need a power reserve - take a weaker one! Having lived through domestic hoods for 4 years, such a supply is simply super!</v>
      </c>
    </row>
    <row r="2339" spans="1:9" x14ac:dyDescent="0.3">
      <c r="A2339" s="1" t="s">
        <v>732</v>
      </c>
      <c r="B2339" s="1" t="s">
        <v>733</v>
      </c>
      <c r="C2339" s="1" t="s">
        <v>80</v>
      </c>
      <c r="D2339" s="1" t="s">
        <v>4602</v>
      </c>
      <c r="E2339" s="1" t="s">
        <v>4603</v>
      </c>
      <c r="F2339" s="1" t="s">
        <v>4604</v>
      </c>
      <c r="G2339" s="1" t="s">
        <v>36</v>
      </c>
      <c r="H2339" s="1" t="s">
        <v>29</v>
      </c>
      <c r="I2339" s="1" t="str">
        <f ca="1">IFERROR(__xludf.DUMMYFUNCTION("GOOGLETRANSLATE(F2339, ""auto"", ""en"")
"),"I really liked it, I bought it for myself, I’m sitting and enjoying it")</f>
        <v>I really liked it, I bought it for myself, I’m sitting and enjoying it</v>
      </c>
    </row>
    <row r="2340" spans="1:9" x14ac:dyDescent="0.3">
      <c r="A2340" s="1" t="s">
        <v>211</v>
      </c>
      <c r="B2340" s="1" t="s">
        <v>265</v>
      </c>
      <c r="C2340" s="1" t="s">
        <v>69</v>
      </c>
      <c r="D2340" s="1" t="s">
        <v>4605</v>
      </c>
      <c r="E2340" s="1" t="s">
        <v>4606</v>
      </c>
      <c r="F2340" s="1" t="s">
        <v>4607</v>
      </c>
      <c r="G2340" s="1" t="s">
        <v>49</v>
      </c>
      <c r="H2340" s="1" t="s">
        <v>16</v>
      </c>
      <c r="I2340" s="1" t="str">
        <f ca="1">IFERROR(__xludf.DUMMYFUNCTION("GOOGLETRANSLATE(F2340, ""auto"", ""en"")
"),"This machine should only be used to cut hair on the arms and legs, because it cannot cope with the density of hair on the head! Tears and chews! Very small blade width and short teeth!")</f>
        <v>This machine should only be used to cut hair on the arms and legs, because it cannot cope with the density of hair on the head! Tears and chews! Very small blade width and short teeth!</v>
      </c>
    </row>
    <row r="2341" spans="1:9" x14ac:dyDescent="0.3">
      <c r="A2341" s="1" t="s">
        <v>17</v>
      </c>
      <c r="B2341" s="1" t="s">
        <v>18</v>
      </c>
      <c r="C2341" s="1" t="s">
        <v>19</v>
      </c>
      <c r="D2341" s="1" t="s">
        <v>658</v>
      </c>
      <c r="E2341" s="1" t="s">
        <v>4608</v>
      </c>
      <c r="F2341" s="1" t="s">
        <v>4609</v>
      </c>
      <c r="G2341" s="1" t="s">
        <v>49</v>
      </c>
      <c r="H2341" s="1" t="s">
        <v>16</v>
      </c>
      <c r="I2341" s="1" t="str">
        <f ca="1">IFERROR(__xludf.DUMMYFUNCTION("GOOGLETRANSLATE(F2341, ""auto"", ""en"")
"),"I bought this model six months ago. It fit perfectly into the interior and met all my needs according to the stated functionality. BUT..... The machine does not stand still at all when working, jumps, jumps, vibrates terribly, there is a strong roar. She "&amp;"even managed to jump out of the bathroom into the corridor. Attempts by the craftsmen to correct the installation using anti-vibration stands were unsuccessful. In this regard, it is unrealistic to use the Night Wash and Delayed Start modes. I not only DO"&amp;" NOT RECOMMEND this model, I WARN you not to buy it.")</f>
        <v>I bought this model six months ago. It fit perfectly into the interior and met all my needs according to the stated functionality. BUT..... The machine does not stand still at all when working, jumps, jumps, vibrates terribly, there is a strong roar. She even managed to jump out of the bathroom into the corridor. Attempts by the craftsmen to correct the installation using anti-vibration stands were unsuccessful. In this regard, it is unrealistic to use the Night Wash and Delayed Start modes. I not only DO NOT RECOMMEND this model, I WARN you not to buy it.</v>
      </c>
    </row>
    <row r="2342" spans="1:9" x14ac:dyDescent="0.3">
      <c r="A2342" s="1" t="s">
        <v>965</v>
      </c>
      <c r="B2342" s="1" t="s">
        <v>966</v>
      </c>
      <c r="C2342" s="1" t="s">
        <v>2149</v>
      </c>
      <c r="D2342" s="1" t="s">
        <v>1152</v>
      </c>
      <c r="E2342" s="1" t="s">
        <v>248</v>
      </c>
      <c r="F2342" s="1" t="s">
        <v>4610</v>
      </c>
      <c r="G2342" s="1" t="s">
        <v>36</v>
      </c>
      <c r="H2342" s="1" t="s">
        <v>29</v>
      </c>
      <c r="I2342" s="1" t="str">
        <f ca="1">IFERROR(__xludf.DUMMYFUNCTION("GOOGLETRANSLATE(F2342, ""auto"", ""en"")
"),"I was asked to buy speakers for the class and was given 1,000 rubles. I chose and settled on this option; they are small and not expensive. It turned out to be very convenient; you can adjust the volume of the subbuffer and when to turn it off during less"&amp;"ons and turn it on for lights or something else after lessons. High quality sound. They turned out to be loud when I bought it, I thought it wouldn’t be very good. In other matters, as it turned out, everyone liked it very much; one thing is that they oft"&amp;"en need to be wiped clean from dust; they get very dusty like other equipment; a clean monitor, printer, scanner, interactive whiteboard, projector and system unit. And so super. I recommend!")</f>
        <v>I was asked to buy speakers for the class and was given 1,000 rubles. I chose and settled on this option; they are small and not expensive. It turned out to be very convenient; you can adjust the volume of the subbuffer and when to turn it off during lessons and turn it on for lights or something else after lessons. High quality sound. They turned out to be loud when I bought it, I thought it wouldn’t be very good. In other matters, as it turned out, everyone liked it very much; one thing is that they often need to be wiped clean from dust; they get very dusty like other equipment; a clean monitor, printer, scanner, interactive whiteboard, projector and system unit. And so super. I recommend!</v>
      </c>
    </row>
    <row r="2343" spans="1:9" x14ac:dyDescent="0.3">
      <c r="A2343" s="1" t="s">
        <v>211</v>
      </c>
      <c r="B2343" s="1" t="s">
        <v>515</v>
      </c>
      <c r="C2343" s="1" t="s">
        <v>213</v>
      </c>
      <c r="D2343" s="1" t="s">
        <v>4611</v>
      </c>
      <c r="E2343" s="1" t="s">
        <v>481</v>
      </c>
      <c r="F2343" s="1" t="s">
        <v>4612</v>
      </c>
      <c r="G2343" s="1" t="s">
        <v>28</v>
      </c>
      <c r="H2343" s="1" t="s">
        <v>29</v>
      </c>
      <c r="I2343" s="1" t="str">
        <f ca="1">IFERROR(__xludf.DUMMYFUNCTION("GOOGLETRANSLATE(F2343, ""auto"", ""en"")
"),"The thing is not bad, it’s an excellent tool for traveling on vacation, business trips and the like, but it’s not suitable for regular use; the knives quickly break down.")</f>
        <v>The thing is not bad, it’s an excellent tool for traveling on vacation, business trips and the like, but it’s not suitable for regular use; the knives quickly break down.</v>
      </c>
    </row>
    <row r="2344" spans="1:9" x14ac:dyDescent="0.3">
      <c r="A2344" s="1" t="s">
        <v>732</v>
      </c>
      <c r="B2344" s="1" t="s">
        <v>733</v>
      </c>
      <c r="C2344" s="1" t="s">
        <v>80</v>
      </c>
      <c r="D2344" s="1" t="s">
        <v>52</v>
      </c>
      <c r="E2344" s="1" t="s">
        <v>1527</v>
      </c>
      <c r="F2344" s="1" t="s">
        <v>4613</v>
      </c>
      <c r="G2344" s="1" t="s">
        <v>36</v>
      </c>
      <c r="H2344" s="1" t="s">
        <v>29</v>
      </c>
      <c r="I2344" s="1" t="str">
        <f ca="1">IFERROR(__xludf.DUMMYFUNCTION("GOOGLETRANSLATE(F2344, ""auto"", ""en"")
"),"I got myself such a cool monique, before that it was an “acer” in comparison between heaven and earth! Well, very cool, I recommend it!")</f>
        <v>I got myself such a cool monique, before that it was an “acer” in comparison between heaven and earth! Well, very cool, I recommend it!</v>
      </c>
    </row>
    <row r="2345" spans="1:9" x14ac:dyDescent="0.3">
      <c r="A2345" s="1" t="s">
        <v>211</v>
      </c>
      <c r="B2345" s="1" t="s">
        <v>212</v>
      </c>
      <c r="C2345" s="1" t="s">
        <v>294</v>
      </c>
      <c r="D2345" s="1" t="s">
        <v>46</v>
      </c>
      <c r="E2345" s="1" t="s">
        <v>2733</v>
      </c>
      <c r="F2345" s="1" t="s">
        <v>4614</v>
      </c>
      <c r="G2345" s="1" t="s">
        <v>36</v>
      </c>
      <c r="H2345" s="1" t="s">
        <v>29</v>
      </c>
      <c r="I2345" s="1" t="str">
        <f ca="1">IFERROR(__xludf.DUMMYFUNCTION("GOOGLETRANSLATE(F2345, ""auto"", ""en"")
"),"I’m very pleased, my hair is shiny and smooth after it and doesn’t burn, it heats up very quickly and the temperature control is also a clear + for me. I recommend it, it's a good thing.")</f>
        <v>I’m very pleased, my hair is shiny and smooth after it and doesn’t burn, it heats up very quickly and the temperature control is also a clear + for me. I recommend it, it's a good thing.</v>
      </c>
    </row>
    <row r="2346" spans="1:9" x14ac:dyDescent="0.3">
      <c r="A2346" s="1" t="s">
        <v>89</v>
      </c>
      <c r="B2346" s="1" t="s">
        <v>90</v>
      </c>
      <c r="C2346" s="1" t="s">
        <v>63</v>
      </c>
      <c r="D2346" s="1" t="s">
        <v>64</v>
      </c>
      <c r="E2346" s="1" t="s">
        <v>1589</v>
      </c>
      <c r="F2346" s="1" t="s">
        <v>4615</v>
      </c>
      <c r="G2346" s="1" t="s">
        <v>36</v>
      </c>
      <c r="H2346" s="1" t="s">
        <v>29</v>
      </c>
      <c r="I2346" s="1" t="str">
        <f ca="1">IFERROR(__xludf.DUMMYFUNCTION("GOOGLETRANSLATE(F2346, ""auto"", ""en"")
"),"I've had this coffee grinder for over 6 years now, I wouldn't trade it for anything, it's just perfect. I grind coffee and make powdered sugar on it.")</f>
        <v>I've had this coffee grinder for over 6 years now, I wouldn't trade it for anything, it's just perfect. I grind coffee and make powdered sugar on it.</v>
      </c>
    </row>
    <row r="2347" spans="1:9" x14ac:dyDescent="0.3">
      <c r="A2347" s="1" t="s">
        <v>43</v>
      </c>
      <c r="B2347" s="1" t="s">
        <v>303</v>
      </c>
      <c r="C2347" s="1" t="s">
        <v>665</v>
      </c>
      <c r="D2347" s="1" t="s">
        <v>52</v>
      </c>
      <c r="E2347" s="1" t="s">
        <v>1115</v>
      </c>
      <c r="F2347" s="1" t="s">
        <v>4616</v>
      </c>
      <c r="G2347" s="1" t="s">
        <v>36</v>
      </c>
      <c r="H2347" s="1" t="s">
        <v>29</v>
      </c>
      <c r="I2347" s="1" t="str">
        <f ca="1">IFERROR(__xludf.DUMMYFUNCTION("GOOGLETRANSLATE(F2347, ""auto"", ""en"")
"),"The water heater is simply super, it works like a clock. I recommend it to everyone.")</f>
        <v>The water heater is simply super, it works like a clock. I recommend it to everyone.</v>
      </c>
    </row>
    <row r="2348" spans="1:9" x14ac:dyDescent="0.3">
      <c r="A2348" s="1" t="s">
        <v>55</v>
      </c>
      <c r="B2348" s="1" t="s">
        <v>752</v>
      </c>
      <c r="C2348" s="1" t="s">
        <v>57</v>
      </c>
      <c r="D2348" s="1" t="s">
        <v>1772</v>
      </c>
      <c r="E2348" s="1" t="s">
        <v>2684</v>
      </c>
      <c r="F2348" s="1" t="s">
        <v>4617</v>
      </c>
      <c r="G2348" s="1" t="s">
        <v>15</v>
      </c>
      <c r="H2348" s="1" t="s">
        <v>16</v>
      </c>
      <c r="I2348" s="1" t="str">
        <f ca="1">IFERROR(__xludf.DUMMYFUNCTION("GOOGLETRANSLATE(F2348, ""auto"", ""en"")
"),"The thermostat clicks and you wake up! It makes it very difficult to sleep at night! This is one but the biggest drawback! DO NOT TAKE IT!!!!")</f>
        <v>The thermostat clicks and you wake up! It makes it very difficult to sleep at night! This is one but the biggest drawback! DO NOT TAKE IT!!!!</v>
      </c>
    </row>
    <row r="2349" spans="1:9" x14ac:dyDescent="0.3">
      <c r="A2349" s="1" t="s">
        <v>43</v>
      </c>
      <c r="B2349" s="1" t="s">
        <v>1616</v>
      </c>
      <c r="C2349" s="1" t="s">
        <v>85</v>
      </c>
      <c r="D2349" s="1" t="s">
        <v>811</v>
      </c>
      <c r="E2349" s="1" t="s">
        <v>4618</v>
      </c>
      <c r="F2349" s="1" t="s">
        <v>4619</v>
      </c>
      <c r="G2349" s="1" t="s">
        <v>36</v>
      </c>
      <c r="H2349" s="1" t="s">
        <v>29</v>
      </c>
      <c r="I2349" s="1" t="str">
        <f ca="1">IFERROR(__xludf.DUMMYFUNCTION("GOOGLETRANSLATE(F2349, ""auto"", ""en"")
"),"much cheaper than a split system, but the effect is the same. So why overpay?! ")</f>
        <v xml:space="preserve">much cheaper than a split system, but the effect is the same. So why overpay?! </v>
      </c>
    </row>
    <row r="2350" spans="1:9" x14ac:dyDescent="0.3">
      <c r="A2350" s="1" t="s">
        <v>238</v>
      </c>
      <c r="B2350" s="1" t="s">
        <v>239</v>
      </c>
      <c r="C2350" s="1" t="s">
        <v>240</v>
      </c>
      <c r="D2350" s="1" t="s">
        <v>4620</v>
      </c>
      <c r="E2350" s="1" t="s">
        <v>4621</v>
      </c>
      <c r="F2350" s="1" t="s">
        <v>4622</v>
      </c>
      <c r="G2350" s="1" t="s">
        <v>28</v>
      </c>
      <c r="H2350" s="1" t="s">
        <v>29</v>
      </c>
      <c r="I2350" s="1" t="str">
        <f ca="1">IFERROR(__xludf.DUMMYFUNCTION("GOOGLETRANSLATE(F2350, ""auto"", ""en"")
"),"I bought it almost 2 years ago. The refrigerator is great.   The weak link on the refrigerator is the handles. I have the version with long handles (silver). The handles pop out of the latches if you try to open them by force. Especially if you close the "&amp;"freezer and immediately try to open it, it sticks tightly, as if a vacuum had been created there. You have to wait until the air that got inside during the previous opening cools down, about 10 minutes, then it just opens. Or you have to pull back the sea"&amp;"ling rubber with your finger so that air can get inside, after which it opens normally. But it’s not very convenient to wait every time.")</f>
        <v>I bought it almost 2 years ago. The refrigerator is great.   The weak link on the refrigerator is the handles. I have the version with long handles (silver). The handles pop out of the latches if you try to open them by force. Especially if you close the freezer and immediately try to open it, it sticks tightly, as if a vacuum had been created there. You have to wait until the air that got inside during the previous opening cools down, about 10 minutes, then it just opens. Or you have to pull back the sealing rubber with your finger so that air can get inside, after which it opens normally. But it’s not very convenient to wait every time.</v>
      </c>
    </row>
    <row r="2351" spans="1:9" x14ac:dyDescent="0.3">
      <c r="A2351" s="1" t="s">
        <v>149</v>
      </c>
      <c r="B2351" s="1" t="s">
        <v>155</v>
      </c>
      <c r="C2351" s="1" t="s">
        <v>101</v>
      </c>
      <c r="D2351" s="1" t="s">
        <v>64</v>
      </c>
      <c r="E2351" s="1" t="s">
        <v>3169</v>
      </c>
      <c r="F2351" s="1" t="s">
        <v>4623</v>
      </c>
      <c r="G2351" s="1" t="s">
        <v>36</v>
      </c>
      <c r="H2351" s="1" t="s">
        <v>29</v>
      </c>
      <c r="I2351" s="1" t="str">
        <f ca="1">IFERROR(__xludf.DUMMYFUNCTION("GOOGLETRANSLATE(F2351, ""auto"", ""en"")
"),"I recently bought a vacuum cleaner of this model, I really like it and use it with pleasure!!!!")</f>
        <v>I recently bought a vacuum cleaner of this model, I really like it and use it with pleasure!!!!</v>
      </c>
    </row>
    <row r="2352" spans="1:9" x14ac:dyDescent="0.3">
      <c r="A2352" s="1" t="s">
        <v>4624</v>
      </c>
      <c r="B2352" s="1" t="s">
        <v>4625</v>
      </c>
      <c r="C2352" s="1" t="s">
        <v>80</v>
      </c>
      <c r="D2352" s="1" t="s">
        <v>690</v>
      </c>
      <c r="E2352" s="1" t="s">
        <v>1907</v>
      </c>
      <c r="F2352" s="1" t="s">
        <v>4626</v>
      </c>
      <c r="G2352" s="1" t="s">
        <v>36</v>
      </c>
      <c r="H2352" s="1" t="s">
        <v>29</v>
      </c>
      <c r="I2352" s="1" t="str">
        <f ca="1">IFERROR(__xludf.DUMMYFUNCTION("GOOGLETRANSLATE(F2352, ""auto"", ""en"")
"),"A cool device, it would be more correct to call it a soundbar, good for a 42-inch LG smart TV. Take it, you won't regret it. And an FM tuner, and karaoke, and reads all CDs and flash drives. Looks stylish and has a rich, powerful sound. This panel also wo"&amp;"rks with remote control and ONE TOUCHE on the display. The disadvantages are minor - there is a mount, but no screws and dowels, no cables - HDMI and optical, although there is an FM antenna wire and remote control batteries. Although for such a price the"&amp;"y could have put it in a box on polystyrene foam for this purpose. Although the subwoofer is wireless, it will need to be plugged into an outlet. But it hits softly, juicy and velvety. Everything looks stylish with my LG LA860V. By the way, if you buy eve"&amp;"rything together - both the TV and the soundbar, then they sell this soundbar cheaper, but you have to buy it with one receipt.")</f>
        <v>A cool device, it would be more correct to call it a soundbar, good for a 42-inch LG smart TV. Take it, you won't regret it. And an FM tuner, and karaoke, and reads all CDs and flash drives. Looks stylish and has a rich, powerful sound. This panel also works with remote control and ONE TOUCHE on the display. The disadvantages are minor - there is a mount, but no screws and dowels, no cables - HDMI and optical, although there is an FM antenna wire and remote control batteries. Although for such a price they could have put it in a box on polystyrene foam for this purpose. Although the subwoofer is wireless, it will need to be plugged into an outlet. But it hits softly, juicy and velvety. Everything looks stylish with my LG LA860V. By the way, if you buy everything together - both the TV and the soundbar, then they sell this soundbar cheaper, but you have to buy it with one receipt.</v>
      </c>
    </row>
    <row r="2353" spans="1:9" x14ac:dyDescent="0.3">
      <c r="A2353" s="1" t="s">
        <v>78</v>
      </c>
      <c r="B2353" s="1" t="s">
        <v>493</v>
      </c>
      <c r="C2353" s="1" t="s">
        <v>80</v>
      </c>
      <c r="D2353" s="1" t="s">
        <v>545</v>
      </c>
      <c r="E2353" s="1" t="s">
        <v>3573</v>
      </c>
      <c r="F2353" s="1" t="s">
        <v>4627</v>
      </c>
      <c r="G2353" s="1" t="s">
        <v>36</v>
      </c>
      <c r="H2353" s="1" t="s">
        <v>29</v>
      </c>
      <c r="I2353" s="1" t="str">
        <f ca="1">IFERROR(__xludf.DUMMYFUNCTION("GOOGLETRANSLATE(F2353, ""auto"", ""en"")
"),"Cool microwave!! There is also a grill and baked goods! The food is simply excellent and delicious. It warms well too, defrosting is a very necessary thing, especially when you are in a hurry)))")</f>
        <v>Cool microwave!! There is also a grill and baked goods! The food is simply excellent and delicious. It warms well too, defrosting is a very necessary thing, especially when you are in a hurry)))</v>
      </c>
    </row>
    <row r="2354" spans="1:9" x14ac:dyDescent="0.3">
      <c r="A2354" s="1" t="s">
        <v>238</v>
      </c>
      <c r="B2354" s="1" t="s">
        <v>239</v>
      </c>
      <c r="C2354" s="1" t="s">
        <v>151</v>
      </c>
      <c r="D2354" s="1" t="s">
        <v>3407</v>
      </c>
      <c r="E2354" s="1" t="s">
        <v>4628</v>
      </c>
      <c r="F2354" s="1" t="s">
        <v>4629</v>
      </c>
      <c r="G2354" s="1" t="s">
        <v>36</v>
      </c>
      <c r="H2354" s="1" t="s">
        <v>29</v>
      </c>
      <c r="I2354" s="1" t="str">
        <f ca="1">IFERROR(__xludf.DUMMYFUNCTION("GOOGLETRANSLATE(F2354, ""auto"", ""en"")
"),"The refrigerator is just lovely. I’m very pleased, we’ve been using it for a year, nothing but advantages. Thanks to the manufacturers.")</f>
        <v>The refrigerator is just lovely. I’m very pleased, we’ve been using it for a year, nothing but advantages. Thanks to the manufacturers.</v>
      </c>
    </row>
    <row r="2355" spans="1:9" x14ac:dyDescent="0.3">
      <c r="A2355" s="1" t="s">
        <v>2087</v>
      </c>
      <c r="B2355" s="1" t="s">
        <v>2088</v>
      </c>
      <c r="C2355" s="1" t="s">
        <v>69</v>
      </c>
      <c r="D2355" s="1" t="s">
        <v>4630</v>
      </c>
      <c r="E2355" s="1" t="s">
        <v>3512</v>
      </c>
      <c r="F2355" s="1" t="s">
        <v>4631</v>
      </c>
      <c r="G2355" s="1" t="s">
        <v>36</v>
      </c>
      <c r="H2355" s="1" t="s">
        <v>29</v>
      </c>
      <c r="I2355" s="1" t="str">
        <f ca="1">IFERROR(__xludf.DUMMYFUNCTION("GOOGLETRANSLATE(F2355, ""auto"", ""en"")
"),"For two weeks I stubbornly chose the Blu-ray Player, and chose the Philips 7500. Well, that’s all. I RECOMMEND!!!")</f>
        <v>For two weeks I stubbornly chose the Blu-ray Player, and chose the Philips 7500. Well, that’s all. I RECOMMEND!!!</v>
      </c>
    </row>
    <row r="2356" spans="1:9" x14ac:dyDescent="0.3">
      <c r="A2356" s="1" t="s">
        <v>37</v>
      </c>
      <c r="B2356" s="1" t="s">
        <v>38</v>
      </c>
      <c r="C2356" s="1" t="s">
        <v>151</v>
      </c>
      <c r="D2356" s="1" t="s">
        <v>305</v>
      </c>
      <c r="E2356" s="1" t="s">
        <v>817</v>
      </c>
      <c r="F2356" s="1" t="s">
        <v>4632</v>
      </c>
      <c r="G2356" s="1" t="s">
        <v>36</v>
      </c>
      <c r="H2356" s="1" t="s">
        <v>29</v>
      </c>
      <c r="I2356" s="1" t="str">
        <f ca="1">IFERROR(__xludf.DUMMYFUNCTION("GOOGLETRANSLATE(F2356, ""auto"", ""en"")
"),"One of the cheapest phones with bluetooth. Using the phone is quite convenient. There are problems with the “remoteness” of some items, but I more or less solved it with a little tweaking. Well-configurable alarm clocks and a bunch of small useful applica"&amp;"tions (timer, stopwatch, etc.) A fall does not cause any damage to the body :)")</f>
        <v>One of the cheapest phones with bluetooth. Using the phone is quite convenient. There are problems with the “remoteness” of some items, but I more or less solved it with a little tweaking. Well-configurable alarm clocks and a bunch of small useful applications (timer, stopwatch, etc.) A fall does not cause any damage to the body :)</v>
      </c>
    </row>
    <row r="2357" spans="1:9" x14ac:dyDescent="0.3">
      <c r="A2357" s="1" t="s">
        <v>61</v>
      </c>
      <c r="B2357" s="1" t="s">
        <v>977</v>
      </c>
      <c r="C2357" s="1" t="s">
        <v>69</v>
      </c>
      <c r="D2357" s="1" t="s">
        <v>305</v>
      </c>
      <c r="E2357" s="1" t="s">
        <v>622</v>
      </c>
      <c r="F2357" s="1" t="s">
        <v>4633</v>
      </c>
      <c r="G2357" s="1" t="s">
        <v>36</v>
      </c>
      <c r="H2357" s="1" t="s">
        <v>29</v>
      </c>
      <c r="I2357" s="1" t="str">
        <f ca="1">IFERROR(__xludf.DUMMYFUNCTION("GOOGLETRANSLATE(F2357, ""auto"", ""en"")
"),"My wife and I bought it yesterday. My wife immediately tested it in operation. The delight was indescribable, it chops everything from fruits to meat, 600 watts is not 450. A very useful thing, and most importantly, my wife is delighted, and I am satisfie"&amp;"d.")</f>
        <v>My wife and I bought it yesterday. My wife immediately tested it in operation. The delight was indescribable, it chops everything from fruits to meat, 600 watts is not 450. A very useful thing, and most importantly, my wife is delighted, and I am satisfied.</v>
      </c>
    </row>
    <row r="2358" spans="1:9" x14ac:dyDescent="0.3">
      <c r="A2358" s="1" t="s">
        <v>67</v>
      </c>
      <c r="B2358" s="1" t="s">
        <v>340</v>
      </c>
      <c r="C2358" s="1" t="s">
        <v>341</v>
      </c>
      <c r="D2358" s="1" t="s">
        <v>308</v>
      </c>
      <c r="E2358" s="1" t="s">
        <v>4634</v>
      </c>
      <c r="F2358" s="1" t="s">
        <v>4635</v>
      </c>
      <c r="G2358" s="1" t="s">
        <v>36</v>
      </c>
      <c r="H2358" s="1" t="s">
        <v>29</v>
      </c>
      <c r="I2358" s="1" t="str">
        <f ca="1">IFERROR(__xludf.DUMMYFUNCTION("GOOGLETRANSLATE(F2358, ""auto"", ""en"")
"),"There are a lot of functions, even those that I didn’t expect. For example, he sews on buttons!")</f>
        <v>There are a lot of functions, even those that I didn’t expect. For example, he sews on buttons!</v>
      </c>
    </row>
    <row r="2359" spans="1:9" x14ac:dyDescent="0.3">
      <c r="A2359" s="1" t="s">
        <v>105</v>
      </c>
      <c r="B2359" s="1" t="s">
        <v>106</v>
      </c>
      <c r="C2359" s="1" t="s">
        <v>1209</v>
      </c>
      <c r="D2359" s="1" t="s">
        <v>4636</v>
      </c>
      <c r="E2359" s="1" t="s">
        <v>3073</v>
      </c>
      <c r="F2359" s="1" t="s">
        <v>4637</v>
      </c>
      <c r="G2359" s="1" t="s">
        <v>28</v>
      </c>
      <c r="H2359" s="1" t="s">
        <v>29</v>
      </c>
      <c r="I2359" s="1" t="str">
        <f ca="1">IFERROR(__xludf.DUMMYFUNCTION("GOOGLETRANSLATE(F2359, ""auto"", ""en"")
"),"I had my eye on him for two weeks. I bought it yesterday. I read a review somewhere that the TV was supposedly black and white. TV - COLOR. It receives normally in open areas; you shouldn’t expect anything more from such a tiny antenna. But you can watch "&amp;"TV in the office and listen to the radio through the built-in speaker. Chews all files normally. The brown case does not have backlit touch buttons. I had a black one, but it was sold in another office. The length of the headphone cable is normal, even, I"&amp;" would say, a little long. Although, of course, if you carry the player in the back pocket of Gopnikov’s pants, then even 3 meters of cord will not be enough.  The seller immediately offered to buy normal earbuds, but so far the toad has crushed me to tak"&amp;"e them. It’s clear that no one will put high-quality headphones into the kit. It’s good that there is a mains charger; you can use it to charge a bunch of other equipment at home.  I think that for the money it’s a normal 4+ player")</f>
        <v>I had my eye on him for two weeks. I bought it yesterday. I read a review somewhere that the TV was supposedly black and white. TV - COLOR. It receives normally in open areas; you shouldn’t expect anything more from such a tiny antenna. But you can watch TV in the office and listen to the radio through the built-in speaker. Chews all files normally. The brown case does not have backlit touch buttons. I had a black one, but it was sold in another office. The length of the headphone cable is normal, even, I would say, a little long. Although, of course, if you carry the player in the back pocket of Gopnikov’s pants, then even 3 meters of cord will not be enough.  The seller immediately offered to buy normal earbuds, but so far the toad has crushed me to take them. It’s clear that no one will put high-quality headphones into the kit. It’s good that there is a mains charger; you can use it to charge a bunch of other equipment at home.  I think that for the money it’s a normal 4+ player</v>
      </c>
    </row>
    <row r="2360" spans="1:9" x14ac:dyDescent="0.3">
      <c r="A2360" s="1" t="s">
        <v>55</v>
      </c>
      <c r="B2360" s="1" t="s">
        <v>752</v>
      </c>
      <c r="C2360" s="1" t="s">
        <v>185</v>
      </c>
      <c r="D2360" s="1" t="s">
        <v>896</v>
      </c>
      <c r="E2360" s="1" t="s">
        <v>244</v>
      </c>
      <c r="F2360" s="1" t="s">
        <v>4638</v>
      </c>
      <c r="G2360" s="1" t="s">
        <v>49</v>
      </c>
      <c r="H2360" s="1" t="s">
        <v>16</v>
      </c>
      <c r="I2360" s="1" t="str">
        <f ca="1">IFERROR(__xludf.DUMMYFUNCTION("GOOGLETRANSLATE(F2360, ""auto"", ""en"")
"),"The model actually clicks a lot when the machine is triggered. It is absolutely impossible to sleep with a heater in the same room at night. In addition, there are often instances that make a lot of noise when the thermostat is switched. I have exactly th"&amp;"is option, I’ll go and take it. And it heats well, it only smells for the first couple of hours, as it is written in the instructions.")</f>
        <v>The model actually clicks a lot when the machine is triggered. It is absolutely impossible to sleep with a heater in the same room at night. In addition, there are often instances that make a lot of noise when the thermostat is switched. I have exactly this option, I’ll go and take it. And it heats well, it only smells for the first couple of hours, as it is written in the instructions.</v>
      </c>
    </row>
    <row r="2361" spans="1:9" x14ac:dyDescent="0.3">
      <c r="A2361" s="1" t="s">
        <v>211</v>
      </c>
      <c r="B2361" s="1" t="s">
        <v>212</v>
      </c>
      <c r="C2361" s="1" t="s">
        <v>381</v>
      </c>
      <c r="D2361" s="1" t="s">
        <v>39</v>
      </c>
      <c r="E2361" s="1" t="s">
        <v>3166</v>
      </c>
      <c r="F2361" s="1" t="s">
        <v>4639</v>
      </c>
      <c r="G2361" s="1" t="s">
        <v>36</v>
      </c>
      <c r="H2361" s="1" t="s">
        <v>29</v>
      </c>
      <c r="I2361" s="1" t="str">
        <f ca="1">IFERROR(__xludf.DUMMYFUNCTION("GOOGLETRANSLATE(F2361, ""auto"", ""en"")
"),"For its size and power, it is light and quiet. It dries my hair super!;-) My wife is happy.")</f>
        <v>For its size and power, it is light and quiet. It dries my hair super!;-) My wife is happy.</v>
      </c>
    </row>
    <row r="2362" spans="1:9" x14ac:dyDescent="0.3">
      <c r="A2362" s="1" t="s">
        <v>477</v>
      </c>
      <c r="B2362" s="1" t="s">
        <v>478</v>
      </c>
      <c r="C2362" s="1" t="s">
        <v>479</v>
      </c>
      <c r="D2362" s="1" t="s">
        <v>127</v>
      </c>
      <c r="E2362" s="1" t="s">
        <v>201</v>
      </c>
      <c r="F2362" s="1" t="s">
        <v>4640</v>
      </c>
      <c r="G2362" s="1" t="s">
        <v>36</v>
      </c>
      <c r="H2362" s="1" t="s">
        <v>29</v>
      </c>
      <c r="I2362" s="1" t="str">
        <f ca="1">IFERROR(__xludf.DUMMYFUNCTION("GOOGLETRANSLATE(F2362, ""auto"", ""en"")
"),"I highly recommend it to all fans of historical RPGs. Exciting battles involving more than 100 units will not leave you indifferent")</f>
        <v>I highly recommend it to all fans of historical RPGs. Exciting battles involving more than 100 units will not leave you indifferent</v>
      </c>
    </row>
    <row r="2363" spans="1:9" x14ac:dyDescent="0.3">
      <c r="A2363" s="1" t="s">
        <v>105</v>
      </c>
      <c r="B2363" s="1" t="s">
        <v>106</v>
      </c>
      <c r="C2363" s="1" t="s">
        <v>151</v>
      </c>
      <c r="D2363" s="1" t="s">
        <v>203</v>
      </c>
      <c r="E2363" s="1" t="s">
        <v>956</v>
      </c>
      <c r="F2363" s="1" t="s">
        <v>4641</v>
      </c>
      <c r="G2363" s="1" t="s">
        <v>36</v>
      </c>
      <c r="H2363" s="1" t="s">
        <v>29</v>
      </c>
      <c r="I2363" s="1" t="str">
        <f ca="1">IFERROR(__xludf.DUMMYFUNCTION("GOOGLETRANSLATE(F2363, ""auto"", ""en"")
"),"Everything is fine, the music is great. The only thing is that I can't load the video. Writes: format is not supported. Tell me how to download it!!")</f>
        <v>Everything is fine, the music is great. The only thing is that I can't load the video. Writes: format is not supported. Tell me how to download it!!</v>
      </c>
    </row>
    <row r="2364" spans="1:9" x14ac:dyDescent="0.3">
      <c r="A2364" s="1" t="s">
        <v>811</v>
      </c>
      <c r="B2364" s="1" t="s">
        <v>1712</v>
      </c>
      <c r="C2364" s="1" t="s">
        <v>97</v>
      </c>
      <c r="D2364" s="1" t="s">
        <v>1431</v>
      </c>
      <c r="E2364" s="1" t="s">
        <v>140</v>
      </c>
      <c r="F2364" s="1" t="s">
        <v>4642</v>
      </c>
      <c r="G2364" s="1" t="s">
        <v>36</v>
      </c>
      <c r="H2364" s="1" t="s">
        <v>29</v>
      </c>
      <c r="I2364" s="1" t="str">
        <f ca="1">IFERROR(__xludf.DUMMYFUNCTION("GOOGLETRANSLATE(F2364, ""auto"", ""en"")
"),"Cool device! I bought it and have no regrets. Multifunctional. Convenient menu. Big screen. TV output via HDMI. The photo turns out wonderful.")</f>
        <v>Cool device! I bought it and have no regrets. Multifunctional. Convenient menu. Big screen. TV output via HDMI. The photo turns out wonderful.</v>
      </c>
    </row>
    <row r="2365" spans="1:9" x14ac:dyDescent="0.3">
      <c r="A2365" s="1" t="s">
        <v>61</v>
      </c>
      <c r="B2365" s="1" t="s">
        <v>318</v>
      </c>
      <c r="C2365" s="1" t="s">
        <v>63</v>
      </c>
      <c r="D2365" s="1" t="s">
        <v>4643</v>
      </c>
      <c r="E2365" s="1" t="s">
        <v>3567</v>
      </c>
      <c r="F2365" s="1" t="s">
        <v>4644</v>
      </c>
      <c r="G2365" s="1" t="s">
        <v>28</v>
      </c>
      <c r="H2365" s="1" t="s">
        <v>29</v>
      </c>
      <c r="I2365" s="1" t="str">
        <f ca="1">IFERROR(__xludf.DUMMYFUNCTION("GOOGLETRANSLATE(F2365, ""auto"", ""en"")
"),"The kettle works well, with constant use (boiling 15-20 times a day) for 4 years it is still working and there is not a hint of breakdown, there are no cracks or any leaks, but there is one big drawback that is upsetting - when it is completely filled and"&amp;" you try to pour boiling water into your mug, some of the water flows through the body past the mug and as a result the entire table is flooded. And when it boils, it makes a lot of noise and it seems that it will never turn off.")</f>
        <v>The kettle works well, with constant use (boiling 15-20 times a day) for 4 years it is still working and there is not a hint of breakdown, there are no cracks or any leaks, but there is one big drawback that is upsetting - when it is completely filled and you try to pour boiling water into your mug, some of the water flows through the body past the mug and as a result the entire table is flooded. And when it boils, it makes a lot of noise and it seems that it will never turn off.</v>
      </c>
    </row>
    <row r="2366" spans="1:9" x14ac:dyDescent="0.3">
      <c r="A2366" s="1" t="s">
        <v>519</v>
      </c>
      <c r="B2366" s="1" t="s">
        <v>3088</v>
      </c>
      <c r="C2366" s="1" t="s">
        <v>246</v>
      </c>
      <c r="D2366" s="1" t="s">
        <v>86</v>
      </c>
      <c r="E2366" s="1" t="s">
        <v>800</v>
      </c>
      <c r="F2366" s="1" t="s">
        <v>4645</v>
      </c>
      <c r="G2366" s="1" t="s">
        <v>36</v>
      </c>
      <c r="H2366" s="1" t="s">
        <v>29</v>
      </c>
      <c r="I2366" s="1" t="str">
        <f ca="1">IFERROR(__xludf.DUMMYFUNCTION("GOOGLETRANSLATE(F2366, ""auto"", ""en"")
"),"The frying pan is wonderful, I’ve been dreaming about one for a long time, home cooking with it has become a pleasure.  There is just one BUT, it is not very suitable for use on a glass-ceramic stove; it leaves metallic marks on the hob.  For everything e"&amp;"lse I recommend it.")</f>
        <v>The frying pan is wonderful, I’ve been dreaming about one for a long time, home cooking with it has become a pleasure.  There is just one BUT, it is not very suitable for use on a glass-ceramic stove; it leaves metallic marks on the hob.  For everything else I recommend it.</v>
      </c>
    </row>
    <row r="2367" spans="1:9" x14ac:dyDescent="0.3">
      <c r="A2367" s="1" t="s">
        <v>105</v>
      </c>
      <c r="B2367" s="1" t="s">
        <v>106</v>
      </c>
      <c r="C2367" s="1" t="s">
        <v>1209</v>
      </c>
      <c r="D2367" s="1" t="s">
        <v>4646</v>
      </c>
      <c r="E2367" s="1" t="s">
        <v>3284</v>
      </c>
      <c r="F2367" s="1" t="s">
        <v>4647</v>
      </c>
      <c r="G2367" s="1" t="s">
        <v>28</v>
      </c>
      <c r="H2367" s="1" t="s">
        <v>29</v>
      </c>
      <c r="I2367" s="1" t="str">
        <f ca="1">IFERROR(__xludf.DUMMYFUNCTION("GOOGLETRANSLATE(F2367, ""auto"", ""en"")
"),"Pros - Excellent sound, good photo frame, simple and convenient book reader, accepts almost all video formats without conversion, HAS an equalizer, very capacious battery.    Disadvantages - does not like Russian file names (may reboot), TV reception is n"&amp;"ormal only in Moscow, the touch keyboard is not backlit, which is not always convenient, if you are tall and use standard headphones, it is better to put it in your chest pocket.     I am satisfied with the product, it fulfills its price 110%.")</f>
        <v>Pros - Excellent sound, good photo frame, simple and convenient book reader, accepts almost all video formats without conversion, HAS an equalizer, very capacious battery.    Disadvantages - does not like Russian file names (may reboot), TV reception is normal only in Moscow, the touch keyboard is not backlit, which is not always convenient, if you are tall and use standard headphones, it is better to put it in your chest pocket.     I am satisfied with the product, it fulfills its price 110%.</v>
      </c>
    </row>
    <row r="2368" spans="1:9" x14ac:dyDescent="0.3">
      <c r="A2368" s="1" t="s">
        <v>61</v>
      </c>
      <c r="B2368" s="1" t="s">
        <v>73</v>
      </c>
      <c r="C2368" s="1" t="s">
        <v>101</v>
      </c>
      <c r="D2368" s="1" t="s">
        <v>247</v>
      </c>
      <c r="E2368" s="1" t="s">
        <v>4648</v>
      </c>
      <c r="F2368" s="1" t="s">
        <v>4649</v>
      </c>
      <c r="G2368" s="1" t="s">
        <v>36</v>
      </c>
      <c r="H2368" s="1" t="s">
        <v>29</v>
      </c>
      <c r="I2368" s="1" t="str">
        <f ca="1">IFERROR(__xludf.DUMMYFUNCTION("GOOGLETRANSLATE(F2368, ""auto"", ""en"")
"),"A very good meat grinder. It’s noisy, of course, but it turns the meat well and quickly. I don't even bother with removing the veins and shredding the meat before twisting. I really hope it will last a long time.")</f>
        <v>A very good meat grinder. It’s noisy, of course, but it turns the meat well and quickly. I don't even bother with removing the veins and shredding the meat before twisting. I really hope it will last a long time.</v>
      </c>
    </row>
    <row r="2369" spans="1:9" x14ac:dyDescent="0.3">
      <c r="A2369" s="1" t="s">
        <v>61</v>
      </c>
      <c r="B2369" s="1" t="s">
        <v>224</v>
      </c>
      <c r="C2369" s="1" t="s">
        <v>85</v>
      </c>
      <c r="D2369" s="1" t="s">
        <v>474</v>
      </c>
      <c r="E2369" s="1" t="s">
        <v>540</v>
      </c>
      <c r="F2369" s="1" t="s">
        <v>4650</v>
      </c>
      <c r="G2369" s="1" t="s">
        <v>36</v>
      </c>
      <c r="H2369" s="1" t="s">
        <v>29</v>
      </c>
      <c r="I2369" s="1" t="str">
        <f ca="1">IFERROR(__xludf.DUMMYFUNCTION("GOOGLETRANSLATE(F2369, ""auto"", ""en"")
"),"After reading the reviews about the juicer, I decided to go with this model, although the salesperson in the store recommended a different one. When I got home, I immediately tried it. It extracts juice with lightning speed, the cake is dry. It works sile"&amp;"ntly and cleans quickly. The impression is very good, but the truth takes up a lot of space.")</f>
        <v>After reading the reviews about the juicer, I decided to go with this model, although the salesperson in the store recommended a different one. When I got home, I immediately tried it. It extracts juice with lightning speed, the cake is dry. It works silently and cleans quickly. The impression is very good, but the truth takes up a lot of space.</v>
      </c>
    </row>
    <row r="2370" spans="1:9" x14ac:dyDescent="0.3">
      <c r="A2370" s="1" t="s">
        <v>120</v>
      </c>
      <c r="B2370" s="1" t="s">
        <v>256</v>
      </c>
      <c r="C2370" s="1" t="s">
        <v>32</v>
      </c>
      <c r="D2370" s="1" t="s">
        <v>152</v>
      </c>
      <c r="E2370" s="1" t="s">
        <v>820</v>
      </c>
      <c r="F2370" s="1" t="s">
        <v>4651</v>
      </c>
      <c r="G2370" s="1" t="s">
        <v>36</v>
      </c>
      <c r="H2370" s="1" t="s">
        <v>29</v>
      </c>
      <c r="I2370" s="1" t="str">
        <f ca="1">IFERROR(__xludf.DUMMYFUNCTION("GOOGLETRANSLATE(F2370, ""auto"", ""en"")
"),"Great TV. I took it for the kitchen. Because The kitchen is located on the sunny side, so the lack of light was important. The TV lived up to expectations, especially as a plus, the viewing angle is so good that we don’t use a wall bracket.")</f>
        <v>Great TV. I took it for the kitchen. Because The kitchen is located on the sunny side, so the lack of light was important. The TV lived up to expectations, especially as a plus, the viewing angle is so good that we don’t use a wall bracket.</v>
      </c>
    </row>
    <row r="2371" spans="1:9" x14ac:dyDescent="0.3">
      <c r="A2371" s="1" t="s">
        <v>206</v>
      </c>
      <c r="B2371" s="1" t="s">
        <v>207</v>
      </c>
      <c r="C2371" s="1" t="s">
        <v>45</v>
      </c>
      <c r="D2371" s="1" t="s">
        <v>4652</v>
      </c>
      <c r="E2371" s="1" t="s">
        <v>285</v>
      </c>
      <c r="F2371" s="1" t="s">
        <v>4653</v>
      </c>
      <c r="G2371" s="1" t="s">
        <v>36</v>
      </c>
      <c r="H2371" s="1" t="s">
        <v>29</v>
      </c>
      <c r="I2371" s="1" t="str">
        <f ca="1">IFERROR(__xludf.DUMMYFUNCTION("GOOGLETRANSLATE(F2371, ""auto"", ""en"")
"),"I bought it yesterday and installed it in an hour! The kit includes everything except the wire from the amplifier to the subwoofer. I liked the sound. The bass is clear, not soft. Although it may not have warmed up yet. And so for the initial version of a"&amp;" Russian car - I think it will be enough!!!")</f>
        <v>I bought it yesterday and installed it in an hour! The kit includes everything except the wire from the amplifier to the subwoofer. I liked the sound. The bass is clear, not soft. Although it may not have warmed up yet. And so for the initial version of a Russian car - I think it will be enough!!!</v>
      </c>
    </row>
    <row r="2372" spans="1:9" x14ac:dyDescent="0.3">
      <c r="A2372" s="1" t="s">
        <v>61</v>
      </c>
      <c r="B2372" s="1" t="s">
        <v>145</v>
      </c>
      <c r="C2372" s="1" t="s">
        <v>246</v>
      </c>
      <c r="D2372" s="1" t="s">
        <v>934</v>
      </c>
      <c r="E2372" s="1" t="s">
        <v>775</v>
      </c>
      <c r="F2372" s="1" t="s">
        <v>4654</v>
      </c>
      <c r="G2372" s="1" t="s">
        <v>36</v>
      </c>
      <c r="H2372" s="1" t="s">
        <v>29</v>
      </c>
      <c r="I2372" s="1" t="str">
        <f ca="1">IFERROR(__xludf.DUMMYFUNCTION("GOOGLETRANSLATE(F2372, ""auto"", ""en"")
"),"does not cause any hassle. I dilute any yogurt from the store in a liter of cold milk, pour it into jars, turn it on and leave it overnight. there is no need to add any napkins. turns off automatically, everything is ready in the morning. The yogurt turns"&amp;" out great.")</f>
        <v>does not cause any hassle. I dilute any yogurt from the store in a liter of cold milk, pour it into jars, turn it on and leave it overnight. there is no need to add any napkins. turns off automatically, everything is ready in the morning. The yogurt turns out great.</v>
      </c>
    </row>
    <row r="2373" spans="1:9" x14ac:dyDescent="0.3">
      <c r="A2373" s="1" t="s">
        <v>120</v>
      </c>
      <c r="B2373" s="1" t="s">
        <v>126</v>
      </c>
      <c r="C2373" s="1" t="s">
        <v>151</v>
      </c>
      <c r="D2373" s="1" t="s">
        <v>232</v>
      </c>
      <c r="E2373" s="1" t="s">
        <v>1037</v>
      </c>
      <c r="F2373" s="1" t="s">
        <v>4655</v>
      </c>
      <c r="G2373" s="1" t="s">
        <v>49</v>
      </c>
      <c r="H2373" s="1" t="s">
        <v>16</v>
      </c>
      <c r="I2373" s="1" t="str">
        <f ca="1">IFERROR(__xludf.DUMMYFUNCTION("GOOGLETRANSLATE(F2373, ""auto"", ""en"")
"),"Yesterday I bought a TV, connected it, it works from the remote control, but the buttons on the front panel do not work. Well, what is the conclusion here?.....")</f>
        <v>Yesterday I bought a TV, connected it, it works from the remote control, but the buttons on the front panel do not work. Well, what is the conclusion here?.....</v>
      </c>
    </row>
    <row r="2374" spans="1:9" x14ac:dyDescent="0.3">
      <c r="A2374" s="1" t="s">
        <v>211</v>
      </c>
      <c r="B2374" s="1" t="s">
        <v>212</v>
      </c>
      <c r="C2374" s="1" t="s">
        <v>381</v>
      </c>
      <c r="D2374" s="1" t="s">
        <v>1241</v>
      </c>
      <c r="E2374" s="1" t="s">
        <v>157</v>
      </c>
      <c r="F2374" s="1" t="s">
        <v>4656</v>
      </c>
      <c r="G2374" s="1" t="s">
        <v>36</v>
      </c>
      <c r="H2374" s="1" t="s">
        <v>29</v>
      </c>
      <c r="I2374" s="1" t="str">
        <f ca="1">IFERROR(__xludf.DUMMYFUNCTION("GOOGLETRANSLATE(F2374, ""auto"", ""en"")
"),"I bought it for my birthday last year to replace my old one.  I really like it, it straightens hair well) Simple, nothing extra, I recommend it")</f>
        <v>I bought it for my birthday last year to replace my old one.  I really like it, it straightens hair well) Simple, nothing extra, I recommend it</v>
      </c>
    </row>
    <row r="2375" spans="1:9" x14ac:dyDescent="0.3">
      <c r="A2375" s="1" t="s">
        <v>89</v>
      </c>
      <c r="B2375" s="1" t="s">
        <v>1106</v>
      </c>
      <c r="C2375" s="1" t="s">
        <v>74</v>
      </c>
      <c r="D2375" s="1" t="s">
        <v>624</v>
      </c>
      <c r="E2375" s="1" t="s">
        <v>2593</v>
      </c>
      <c r="F2375" s="1" t="s">
        <v>4657</v>
      </c>
      <c r="G2375" s="1" t="s">
        <v>36</v>
      </c>
      <c r="H2375" s="1" t="s">
        <v>29</v>
      </c>
      <c r="I2375" s="1" t="str">
        <f ca="1">IFERROR(__xludf.DUMMYFUNCTION("GOOGLETRANSLATE(F2375, ""auto"", ""en"")
"),"I have had a coffee maker of this type since 1998, only it was of a different brand and it broke recently.")</f>
        <v>I have had a coffee maker of this type since 1998, only it was of a different brand and it broke recently.</v>
      </c>
    </row>
    <row r="2376" spans="1:9" x14ac:dyDescent="0.3">
      <c r="A2376" s="1" t="s">
        <v>211</v>
      </c>
      <c r="B2376" s="1" t="s">
        <v>212</v>
      </c>
      <c r="C2376" s="1" t="s">
        <v>381</v>
      </c>
      <c r="D2376" s="1" t="s">
        <v>4658</v>
      </c>
      <c r="E2376" s="1" t="s">
        <v>4659</v>
      </c>
      <c r="F2376" s="1" t="s">
        <v>4660</v>
      </c>
      <c r="G2376" s="1" t="s">
        <v>36</v>
      </c>
      <c r="H2376" s="1" t="s">
        <v>29</v>
      </c>
      <c r="I2376" s="1" t="str">
        <f ca="1">IFERROR(__xludf.DUMMYFUNCTION("GOOGLETRANSLATE(F2376, ""auto"", ""en"")
"),"I’ve been using it for 5-7 years now and I can’t say for sure. I don’t know any troubles, it doesn’t dry out the hair, although without ionization, it’s very convenient to use, it doesn’t slip out of your hands. I'm very pleased.")</f>
        <v>I’ve been using it for 5-7 years now and I can’t say for sure. I don’t know any troubles, it doesn’t dry out the hair, although without ionization, it’s very convenient to use, it doesn’t slip out of your hands. I'm very pleased.</v>
      </c>
    </row>
    <row r="2377" spans="1:9" x14ac:dyDescent="0.3">
      <c r="A2377" s="1" t="s">
        <v>149</v>
      </c>
      <c r="B2377" s="1" t="s">
        <v>155</v>
      </c>
      <c r="C2377" s="1" t="s">
        <v>151</v>
      </c>
      <c r="D2377" s="1" t="s">
        <v>326</v>
      </c>
      <c r="E2377" s="1" t="s">
        <v>306</v>
      </c>
      <c r="F2377" s="1" t="s">
        <v>4661</v>
      </c>
      <c r="G2377" s="1" t="s">
        <v>1580</v>
      </c>
      <c r="H2377" s="1" t="s">
        <v>29</v>
      </c>
      <c r="I2377" s="1" t="str">
        <f ca="1">IFERROR(__xludf.DUMMYFUNCTION("GOOGLETRANSLATE(F2377, ""auto"", ""en"")
"),"Suctions dust very well, great power. ")</f>
        <v xml:space="preserve">Suctions dust very well, great power. </v>
      </c>
    </row>
    <row r="2378" spans="1:9" x14ac:dyDescent="0.3">
      <c r="A2378" s="1" t="s">
        <v>9</v>
      </c>
      <c r="B2378" s="1" t="s">
        <v>10</v>
      </c>
      <c r="C2378" s="1" t="s">
        <v>466</v>
      </c>
      <c r="D2378" s="1" t="s">
        <v>280</v>
      </c>
      <c r="E2378" s="1" t="s">
        <v>21</v>
      </c>
      <c r="F2378" s="1" t="s">
        <v>4662</v>
      </c>
      <c r="G2378" s="1" t="s">
        <v>28</v>
      </c>
      <c r="H2378" s="1" t="s">
        <v>29</v>
      </c>
      <c r="I2378" s="1" t="str">
        <f ca="1">IFERROR(__xludf.DUMMYFUNCTION("GOOGLETRANSLATE(F2378, ""auto"", ""en"")
"),"The problem is similar, the letter “C” appears on the display instead of the speed number, after several months of operation. Taking it to service is also problematic, but also not pleasant!!! Even at the first speed, you can hear extraneous noise, which "&amp;"disappears when you switch to the highest one. Damn Italy.")</f>
        <v>The problem is similar, the letter “C” appears on the display instead of the speed number, after several months of operation. Taking it to service is also problematic, but also not pleasant!!! Even at the first speed, you can hear extraneous noise, which disappears when you switch to the highest one. Damn Italy.</v>
      </c>
    </row>
    <row r="2379" spans="1:9" x14ac:dyDescent="0.3">
      <c r="A2379" s="1" t="s">
        <v>67</v>
      </c>
      <c r="B2379" s="1" t="s">
        <v>68</v>
      </c>
      <c r="C2379" s="1" t="s">
        <v>213</v>
      </c>
      <c r="D2379" s="1" t="s">
        <v>521</v>
      </c>
      <c r="E2379" s="1" t="s">
        <v>2746</v>
      </c>
      <c r="F2379" s="1" t="s">
        <v>4663</v>
      </c>
      <c r="G2379" s="1" t="s">
        <v>36</v>
      </c>
      <c r="H2379" s="1" t="s">
        <v>29</v>
      </c>
      <c r="I2379" s="1" t="str">
        <f ca="1">IFERROR(__xludf.DUMMYFUNCTION("GOOGLETRANSLATE(F2379, ""auto"", ""en"")
"),"We bought the iron more than 2 years ago, ironing is a pleasure))) No complaints. I recommend it to everyone.")</f>
        <v>We bought the iron more than 2 years ago, ironing is a pleasure))) No complaints. I recommend it to everyone.</v>
      </c>
    </row>
    <row r="2380" spans="1:9" x14ac:dyDescent="0.3">
      <c r="A2380" s="1" t="s">
        <v>95</v>
      </c>
      <c r="B2380" s="1" t="s">
        <v>96</v>
      </c>
      <c r="C2380" s="1" t="s">
        <v>97</v>
      </c>
      <c r="D2380" s="1" t="s">
        <v>2320</v>
      </c>
      <c r="E2380" s="1" t="s">
        <v>4664</v>
      </c>
      <c r="F2380" s="1" t="s">
        <v>4665</v>
      </c>
      <c r="G2380" s="1" t="s">
        <v>36</v>
      </c>
      <c r="H2380" s="1" t="s">
        <v>29</v>
      </c>
      <c r="I2380" s="1" t="str">
        <f ca="1">IFERROR(__xludf.DUMMYFUNCTION("GOOGLETRANSLATE(F2380, ""auto"", ""en"")
"),"I bought myself a psp 3008 for my birthday. And I immediately saw an additional set on the display window and immediately took it. And I bought the game. I was so happy that as soon as I got into the car, I opened the box and took out the PSP. And he bega"&amp;"n to play. But I was a little upset that the equipment was small, but it didn’t upset me that much. And when the charger ran out, I charged it from the radio in the car (USB with an additional set).  Disadvantages: the panel is delicate and easily scratch"&amp;"ed and there is no web camera included.")</f>
        <v>I bought myself a psp 3008 for my birthday. And I immediately saw an additional set on the display window and immediately took it. And I bought the game. I was so happy that as soon as I got into the car, I opened the box and took out the PSP. And he began to play. But I was a little upset that the equipment was small, but it didn’t upset me that much. And when the charger ran out, I charged it from the radio in the car (USB with an additional set).  Disadvantages: the panel is delicate and easily scratched and there is no web camera included.</v>
      </c>
    </row>
    <row r="2381" spans="1:9" x14ac:dyDescent="0.3">
      <c r="A2381" s="1" t="s">
        <v>105</v>
      </c>
      <c r="B2381" s="1" t="s">
        <v>106</v>
      </c>
      <c r="C2381" s="1" t="s">
        <v>97</v>
      </c>
      <c r="D2381" s="1" t="s">
        <v>4666</v>
      </c>
      <c r="E2381" s="1" t="s">
        <v>1992</v>
      </c>
      <c r="F2381" s="1" t="s">
        <v>4667</v>
      </c>
      <c r="G2381" s="1" t="s">
        <v>36</v>
      </c>
      <c r="H2381" s="1" t="s">
        <v>29</v>
      </c>
      <c r="I2381" s="1" t="str">
        <f ca="1">IFERROR(__xludf.DUMMYFUNCTION("GOOGLETRANSLATE(F2381, ""auto"", ""en"")
"),"For those who are looking for a player, and not all in one. Justifies its price. Suitable for both guys and girls) Advantages: 1) The battery lasts a long time 2) no drivers are needed) in Windows 7 it is identified as a player, shows the battery level an"&amp;"d additional functions for the player 3) the sound quality is amazing (but you need good headphones) 4) Very compact 5) stylish design Among the shortcomings I will highlight: 1) weak headphones that come with the player 2) poor-quality Russification (you"&amp;" can choose the language in settings - set to English)")</f>
        <v>For those who are looking for a player, and not all in one. Justifies its price. Suitable for both guys and girls) Advantages: 1) The battery lasts a long time 2) no drivers are needed) in Windows 7 it is identified as a player, shows the battery level and additional functions for the player 3) the sound quality is amazing (but you need good headphones) 4) Very compact 5) stylish design Among the shortcomings I will highlight: 1) weak headphones that come with the player 2) poor-quality Russification (you can choose the language in settings - set to English)</v>
      </c>
    </row>
    <row r="2382" spans="1:9" x14ac:dyDescent="0.3">
      <c r="A2382" s="1" t="s">
        <v>9</v>
      </c>
      <c r="B2382" s="1" t="s">
        <v>133</v>
      </c>
      <c r="C2382" s="1" t="s">
        <v>159</v>
      </c>
      <c r="D2382" s="1" t="s">
        <v>327</v>
      </c>
      <c r="E2382" s="1" t="s">
        <v>4668</v>
      </c>
      <c r="F2382" s="1" t="s">
        <v>4669</v>
      </c>
      <c r="G2382" s="1" t="s">
        <v>28</v>
      </c>
      <c r="H2382" s="1" t="s">
        <v>29</v>
      </c>
      <c r="I2382" s="1" t="str">
        <f ca="1">IFERROR(__xludf.DUMMYFUNCTION("GOOGLETRANSLATE(F2382, ""auto"", ""en"")
"),"According to those characteristics: good for everyone. But 5 days before the New Year and 3 weeks before the end of the warranty period, we decided to bake cookies for the children. We set it to preheat to 220 degrees in the “heating from above and below”"&amp;" mode. A terrible thing happened: at 200 degrees, the inner glass shattered to pieces, which should be heat-resistant and withstand heating the oven to 275 degrees, as stated by the manufacturer.")</f>
        <v>According to those characteristics: good for everyone. But 5 days before the New Year and 3 weeks before the end of the warranty period, we decided to bake cookies for the children. We set it to preheat to 220 degrees in the “heating from above and below” mode. A terrible thing happened: at 200 degrees, the inner glass shattered to pieces, which should be heat-resistant and withstand heating the oven to 275 degrees, as stated by the manufacturer.</v>
      </c>
    </row>
    <row r="2383" spans="1:9" x14ac:dyDescent="0.3">
      <c r="A2383" s="1" t="s">
        <v>149</v>
      </c>
      <c r="B2383" s="1" t="s">
        <v>155</v>
      </c>
      <c r="C2383" s="1" t="s">
        <v>63</v>
      </c>
      <c r="D2383" s="1" t="s">
        <v>474</v>
      </c>
      <c r="E2383" s="1" t="s">
        <v>4670</v>
      </c>
      <c r="F2383" s="1" t="s">
        <v>4671</v>
      </c>
      <c r="G2383" s="1" t="s">
        <v>36</v>
      </c>
      <c r="H2383" s="1" t="s">
        <v>29</v>
      </c>
      <c r="I2383" s="1" t="str">
        <f ca="1">IFERROR(__xludf.DUMMYFUNCTION("GOOGLETRANSLATE(F2383, ""auto"", ""en"")
"),"We were surprised that he had both a bag and a container. The container was immediately removed and the bag was inserted. Good design, German assembly, normal noise level. The suction power is simply amazing! Half of it is just right! The floor almost ris"&amp;"es to its fullest level with concrete :) In general, we are happy :)")</f>
        <v>We were surprised that he had both a bag and a container. The container was immediately removed and the bag was inserted. Good design, German assembly, normal noise level. The suction power is simply amazing! Half of it is just right! The floor almost rises to its fullest level with concrete :) In general, we are happy :)</v>
      </c>
    </row>
    <row r="2384" spans="1:9" x14ac:dyDescent="0.3">
      <c r="A2384" s="1" t="s">
        <v>811</v>
      </c>
      <c r="B2384" s="1" t="s">
        <v>1712</v>
      </c>
      <c r="C2384" s="1" t="s">
        <v>4468</v>
      </c>
      <c r="D2384" s="1" t="s">
        <v>4672</v>
      </c>
      <c r="E2384" s="1" t="s">
        <v>1524</v>
      </c>
      <c r="F2384" s="1" t="s">
        <v>4673</v>
      </c>
      <c r="G2384" s="1" t="s">
        <v>36</v>
      </c>
      <c r="H2384" s="1" t="s">
        <v>29</v>
      </c>
      <c r="I2384" s="1" t="str">
        <f ca="1">IFERROR(__xludf.DUMMYFUNCTION("GOOGLETRANSLATE(F2384, ""auto"", ""en"")
"),"I bought it from M.Video. Convenient and very small. Photos print quickly and are clear.  The device itself can be taken even into a tent, as it works not only from the mains, but also from a battery. The printing process is simple: insert a flash drive f"&amp;"rom the camera, select a photo and the number of sheets to print on the screen, and press the “print” button. That's it, let's go. A minute later you have cool photos in your hands. Comfortable! Take it, you won't regret it.")</f>
        <v>I bought it from M.Video. Convenient and very small. Photos print quickly and are clear.  The device itself can be taken even into a tent, as it works not only from the mains, but also from a battery. The printing process is simple: insert a flash drive from the camera, select a photo and the number of sheets to print on the screen, and press the “print” button. That's it, let's go. A minute later you have cool photos in your hands. Comfortable! Take it, you won't regret it.</v>
      </c>
    </row>
    <row r="2385" spans="1:9" x14ac:dyDescent="0.3">
      <c r="A2385" s="1" t="s">
        <v>732</v>
      </c>
      <c r="B2385" s="1" t="s">
        <v>733</v>
      </c>
      <c r="C2385" s="1" t="s">
        <v>80</v>
      </c>
      <c r="D2385" s="1" t="s">
        <v>152</v>
      </c>
      <c r="E2385" s="1" t="s">
        <v>1723</v>
      </c>
      <c r="F2385" s="1" t="s">
        <v>4674</v>
      </c>
      <c r="G2385" s="1" t="s">
        <v>28</v>
      </c>
      <c r="H2385" s="1" t="s">
        <v>29</v>
      </c>
      <c r="I2385" s="1" t="str">
        <f ca="1">IFERROR(__xludf.DUMMYFUNCTION("GOOGLETRANSLATE(F2385, ""auto"", ""en"")
"),"I liked the monitor with its colors and high-quality white balance adjustment. I give it a four because the monitor has problems with scalability. This is especially noticeable at a resolution of 1024x768; at higher resolutions that the monitor supports, "&amp;"it is noticeably less, but still the clarity is noticeably inferior to the native resolution, although in games and when browsing the web this is not noticeable.")</f>
        <v>I liked the monitor with its colors and high-quality white balance adjustment. I give it a four because the monitor has problems with scalability. This is especially noticeable at a resolution of 1024x768; at higher resolutions that the monitor supports, it is noticeably less, but still the clarity is noticeably inferior to the native resolution, although in games and when browsing the web this is not noticeable.</v>
      </c>
    </row>
    <row r="2386" spans="1:9" x14ac:dyDescent="0.3">
      <c r="A2386" s="1" t="s">
        <v>120</v>
      </c>
      <c r="B2386" s="1" t="s">
        <v>121</v>
      </c>
      <c r="C2386" s="1" t="s">
        <v>80</v>
      </c>
      <c r="D2386" s="1" t="s">
        <v>4675</v>
      </c>
      <c r="E2386" s="1" t="s">
        <v>2298</v>
      </c>
      <c r="F2386" s="1" t="s">
        <v>4676</v>
      </c>
      <c r="G2386" s="1" t="s">
        <v>36</v>
      </c>
      <c r="H2386" s="1" t="s">
        <v>29</v>
      </c>
      <c r="I2386" s="1" t="str">
        <f ca="1">IFERROR(__xludf.DUMMYFUNCTION("GOOGLETRANSLATE(F2386, ""auto"", ""en"")
"),"Damn, I don’t have a smart phone with an IR port!   What to do, how to unlock USB without harming the TV?!?!?!?  HELP")</f>
        <v>Damn, I don’t have a smart phone with an IR port!   What to do, how to unlock USB without harming the TV?!?!?!?  HELP</v>
      </c>
    </row>
    <row r="2387" spans="1:9" x14ac:dyDescent="0.3">
      <c r="A2387" s="1" t="s">
        <v>30</v>
      </c>
      <c r="B2387" s="1" t="s">
        <v>50</v>
      </c>
      <c r="C2387" s="1" t="s">
        <v>658</v>
      </c>
      <c r="D2387" s="1" t="s">
        <v>200</v>
      </c>
      <c r="E2387" s="1" t="s">
        <v>4677</v>
      </c>
      <c r="F2387" s="1" t="s">
        <v>4678</v>
      </c>
      <c r="G2387" s="1" t="s">
        <v>36</v>
      </c>
      <c r="H2387" s="1" t="s">
        <v>29</v>
      </c>
      <c r="I2387" s="1" t="str">
        <f ca="1">IFERROR(__xludf.DUMMYFUNCTION("GOOGLETRANSLATE(F2387, ""auto"", ""en"")
"),"I also bought it yesterday. Everything is fine, but it’s so shiny and beautiful that you need to have a cloth and polishing agent with you!")</f>
        <v>I also bought it yesterday. Everything is fine, but it’s so shiny and beautiful that you need to have a cloth and polishing agent with you!</v>
      </c>
    </row>
    <row r="2388" spans="1:9" x14ac:dyDescent="0.3">
      <c r="A2388" s="1" t="s">
        <v>9</v>
      </c>
      <c r="B2388" s="1" t="s">
        <v>4430</v>
      </c>
      <c r="C2388" s="1" t="s">
        <v>63</v>
      </c>
      <c r="D2388" s="1" t="s">
        <v>4679</v>
      </c>
      <c r="E2388" s="1" t="s">
        <v>4555</v>
      </c>
      <c r="F2388" s="1" t="s">
        <v>4680</v>
      </c>
      <c r="G2388" s="1" t="s">
        <v>36</v>
      </c>
      <c r="H2388" s="1" t="s">
        <v>29</v>
      </c>
      <c r="I2388" s="1" t="str">
        <f ca="1">IFERROR(__xludf.DUMMYFUNCTION("GOOGLETRANSLATE(F2388, ""auto"", ""en"")
"),"Automatic stabilization with a 3D sensor significantly suppresses vibration, so the machine does not rattle when spinning. I like that it has a high spin speed - 1400 rpm, I especially use denim clothes at this speed. Great price, very decent quality, mod"&amp;"ern appearance. I bought it recently, but I’m so used to using it that it seems like I’ve had it for a hundred years!")</f>
        <v>Automatic stabilization with a 3D sensor significantly suppresses vibration, so the machine does not rattle when spinning. I like that it has a high spin speed - 1400 rpm, I especially use denim clothes at this speed. Great price, very decent quality, modern appearance. I bought it recently, but I’m so used to using it that it seems like I’ve had it for a hundred years!</v>
      </c>
    </row>
    <row r="2389" spans="1:9" x14ac:dyDescent="0.3">
      <c r="A2389" s="1" t="s">
        <v>55</v>
      </c>
      <c r="B2389" s="1" t="s">
        <v>56</v>
      </c>
      <c r="C2389" s="1" t="s">
        <v>1502</v>
      </c>
      <c r="D2389" s="1" t="s">
        <v>545</v>
      </c>
      <c r="E2389" s="1" t="s">
        <v>4681</v>
      </c>
      <c r="F2389" s="1" t="s">
        <v>4682</v>
      </c>
      <c r="G2389" s="1" t="s">
        <v>49</v>
      </c>
      <c r="H2389" s="1" t="s">
        <v>16</v>
      </c>
      <c r="I2389" s="1" t="str">
        <f ca="1">IFERROR(__xludf.DUMMYFUNCTION("GOOGLETRANSLATE(F2389, ""auto"", ""en"")
"),"Worked for several years")</f>
        <v>Worked for several years</v>
      </c>
    </row>
    <row r="2390" spans="1:9" x14ac:dyDescent="0.3">
      <c r="A2390" s="1" t="s">
        <v>37</v>
      </c>
      <c r="B2390" s="1" t="s">
        <v>536</v>
      </c>
      <c r="C2390" s="1" t="s">
        <v>39</v>
      </c>
      <c r="D2390" s="1" t="s">
        <v>1121</v>
      </c>
      <c r="E2390" s="1" t="s">
        <v>2512</v>
      </c>
      <c r="F2390" s="1" t="s">
        <v>4683</v>
      </c>
      <c r="G2390" s="1" t="s">
        <v>36</v>
      </c>
      <c r="H2390" s="1" t="s">
        <v>29</v>
      </c>
      <c r="I2390" s="1" t="str">
        <f ca="1">IFERROR(__xludf.DUMMYFUNCTION("GOOGLETRANSLATE(F2390, ""auto"", ""en"")
"),"I completely forgot to mention. The package also includes a USB cable for your phone.")</f>
        <v>I completely forgot to mention. The package also includes a USB cable for your phone.</v>
      </c>
    </row>
    <row r="2391" spans="1:9" x14ac:dyDescent="0.3">
      <c r="A2391" s="1" t="s">
        <v>1443</v>
      </c>
      <c r="B2391" s="1" t="s">
        <v>4684</v>
      </c>
      <c r="C2391" s="1" t="s">
        <v>4685</v>
      </c>
      <c r="D2391" s="1" t="s">
        <v>232</v>
      </c>
      <c r="E2391" s="1" t="s">
        <v>4686</v>
      </c>
      <c r="F2391" s="1" t="s">
        <v>4687</v>
      </c>
      <c r="G2391" s="1" t="s">
        <v>36</v>
      </c>
      <c r="H2391" s="1" t="s">
        <v>29</v>
      </c>
      <c r="I2391" s="1" t="str">
        <f ca="1">IFERROR(__xludf.DUMMYFUNCTION("GOOGLETRANSLATE(F2391, ""auto"", ""en"")
"),"Good balvanki. I took 2 packages - one was spoiled. and even then I ruined it...")</f>
        <v>Good balvanki. I took 2 packages - one was spoiled. and even then I ruined it...</v>
      </c>
    </row>
    <row r="2392" spans="1:9" x14ac:dyDescent="0.3">
      <c r="A2392" s="1" t="s">
        <v>361</v>
      </c>
      <c r="B2392" s="1" t="s">
        <v>462</v>
      </c>
      <c r="C2392" s="1" t="s">
        <v>698</v>
      </c>
      <c r="D2392" s="1" t="s">
        <v>139</v>
      </c>
      <c r="E2392" s="1" t="s">
        <v>1296</v>
      </c>
      <c r="F2392" s="1" t="s">
        <v>4688</v>
      </c>
      <c r="G2392" s="1" t="s">
        <v>36</v>
      </c>
      <c r="H2392" s="1" t="s">
        <v>29</v>
      </c>
      <c r="I2392" s="1" t="str">
        <f ca="1">IFERROR(__xludf.DUMMYFUNCTION("GOOGLETRANSLATE(F2392, ""auto"", ""en"")
"),"We’ve been using it for 5 years, we change the cartridge once a month, we’re happy with the filtration, we’ve never used anything before and bought water and imported water and used other filters, it’s not the same, if someone doesn’t believe that this fi"&amp;"lter really purifies the water, then you need to try it yourself. But there is one BUT, carefully buy replacement cartridges as you come across fakes, I recommend buying them in large retail chains, I think they are really original.")</f>
        <v>We’ve been using it for 5 years, we change the cartridge once a month, we’re happy with the filtration, we’ve never used anything before and bought water and imported water and used other filters, it’s not the same, if someone doesn’t believe that this filter really purifies the water, then you need to try it yourself. But there is one BUT, carefully buy replacement cartridges as you come across fakes, I recommend buying them in large retail chains, I think they are really original.</v>
      </c>
    </row>
    <row r="2393" spans="1:9" x14ac:dyDescent="0.3">
      <c r="A2393" s="1" t="s">
        <v>169</v>
      </c>
      <c r="B2393" s="1" t="s">
        <v>170</v>
      </c>
      <c r="C2393" s="1" t="s">
        <v>69</v>
      </c>
      <c r="D2393" s="1" t="s">
        <v>152</v>
      </c>
      <c r="E2393" s="1" t="s">
        <v>3694</v>
      </c>
      <c r="F2393" s="1" t="s">
        <v>4689</v>
      </c>
      <c r="G2393" s="1" t="s">
        <v>36</v>
      </c>
      <c r="H2393" s="1" t="s">
        <v>29</v>
      </c>
      <c r="I2393" s="1" t="str">
        <f ca="1">IFERROR(__xludf.DUMMYFUNCTION("GOOGLETRANSLATE(F2393, ""auto"", ""en"")
"),"The headphones are simply super and are designed for unruly ears, as I ride a bike and they don’t let me down like the others! But we need to work on them. I reinforce the fastening with screws and awesome!!")</f>
        <v>The headphones are simply super and are designed for unruly ears, as I ride a bike and they don’t let me down like the others! But we need to work on them. I reinforce the fastening with screws and awesome!!</v>
      </c>
    </row>
    <row r="2394" spans="1:9" x14ac:dyDescent="0.3">
      <c r="A2394" s="1" t="s">
        <v>149</v>
      </c>
      <c r="B2394" s="1" t="s">
        <v>155</v>
      </c>
      <c r="C2394" s="1" t="s">
        <v>63</v>
      </c>
      <c r="D2394" s="1" t="s">
        <v>589</v>
      </c>
      <c r="E2394" s="1" t="s">
        <v>4690</v>
      </c>
      <c r="F2394" s="1" t="s">
        <v>4691</v>
      </c>
      <c r="G2394" s="1" t="s">
        <v>15</v>
      </c>
      <c r="H2394" s="1" t="s">
        <v>16</v>
      </c>
      <c r="I2394" s="1" t="str">
        <f ca="1">IFERROR(__xludf.DUMMYFUNCTION("GOOGLETRANSLATE(F2394, ""auto"", ""en"")
"),"Unsuccessful model. I agree with the previous owners. I decided to write my negative review after the container opened and all the garbage ended up inside the vacuum cleaner. The design of the container is simply disgusting. Another disadvantage is that t"&amp;"he container quickly becomes clogged, it is inconvenient to clean, and the motor filter immediately becomes clogged. The suction power is significantly different with a container and bags; with bags the model is normal, and this is perhaps the only advant"&amp;"age of the vacuum cleaner. I advise you not to buy this model - the price and quality are not comparable.")</f>
        <v>Unsuccessful model. I agree with the previous owners. I decided to write my negative review after the container opened and all the garbage ended up inside the vacuum cleaner. The design of the container is simply disgusting. Another disadvantage is that the container quickly becomes clogged, it is inconvenient to clean, and the motor filter immediately becomes clogged. The suction power is significantly different with a container and bags; with bags the model is normal, and this is perhaps the only advantage of the vacuum cleaner. I advise you not to buy this model - the price and quality are not comparable.</v>
      </c>
    </row>
    <row r="2395" spans="1:9" x14ac:dyDescent="0.3">
      <c r="A2395" s="1" t="s">
        <v>169</v>
      </c>
      <c r="B2395" s="1" t="s">
        <v>170</v>
      </c>
      <c r="C2395" s="1" t="s">
        <v>193</v>
      </c>
      <c r="D2395" s="1" t="s">
        <v>621</v>
      </c>
      <c r="E2395" s="1" t="s">
        <v>4692</v>
      </c>
      <c r="F2395" s="1" t="s">
        <v>4693</v>
      </c>
      <c r="G2395" s="1" t="s">
        <v>36</v>
      </c>
      <c r="H2395" s="1" t="s">
        <v>29</v>
      </c>
      <c r="I2395" s="1" t="str">
        <f ca="1">IFERROR(__xludf.DUMMYFUNCTION("GOOGLETRANSLATE(F2395, ""auto"", ""en"")
"),"I really liked the review from ScleroZee (Bryansk) and decided to buy these headphones. For a long time I just stood there choosing, read reviews on this site, but this one surprised me. I decided to buy it. And I didn’t regret it! The sound is great! But"&amp;" the bass is really soft. I love it when it’s really loud, you feel them great) In general, take it, you won’t regret it!!! Very cool!) When I connected it to the computer instead of speakers... at the quietest volume, and how loud they played! For me, I "&amp;"was looking for something loud)")</f>
        <v>I really liked the review from ScleroZee (Bryansk) and decided to buy these headphones. For a long time I just stood there choosing, read reviews on this site, but this one surprised me. I decided to buy it. And I didn’t regret it! The sound is great! But the bass is really soft. I love it when it’s really loud, you feel them great) In general, take it, you won’t regret it!!! Very cool!) When I connected it to the computer instead of speakers... at the quietest volume, and how loud they played! For me, I was looking for something loud)</v>
      </c>
    </row>
    <row r="2396" spans="1:9" x14ac:dyDescent="0.3">
      <c r="A2396" s="1" t="s">
        <v>30</v>
      </c>
      <c r="B2396" s="1" t="s">
        <v>50</v>
      </c>
      <c r="C2396" s="1" t="s">
        <v>189</v>
      </c>
      <c r="D2396" s="1" t="s">
        <v>4694</v>
      </c>
      <c r="E2396" s="1" t="s">
        <v>750</v>
      </c>
      <c r="F2396" s="1" t="s">
        <v>4695</v>
      </c>
      <c r="G2396" s="1" t="s">
        <v>36</v>
      </c>
      <c r="H2396" s="1" t="s">
        <v>29</v>
      </c>
      <c r="I2396" s="1" t="str">
        <f ca="1">IFERROR(__xludf.DUMMYFUNCTION("GOOGLETRANSLATE(F2396, ""auto"", ""en"")
"),"I was looking for a beech for a very long time and finally came across it, for the money it’s an excellent machine, in other stores analogues cost about 40k, but here it’s 30k, and in addition I received 3 thousand in cards))) which went to friends for bi"&amp;"rthdays")</f>
        <v>I was looking for a beech for a very long time and finally came across it, for the money it’s an excellent machine, in other stores analogues cost about 40k, but here it’s 30k, and in addition I received 3 thousand in cards))) which went to friends for birthdays</v>
      </c>
    </row>
    <row r="2397" spans="1:9" x14ac:dyDescent="0.3">
      <c r="A2397" s="1" t="s">
        <v>211</v>
      </c>
      <c r="B2397" s="1" t="s">
        <v>410</v>
      </c>
      <c r="C2397" s="1" t="s">
        <v>213</v>
      </c>
      <c r="D2397" s="1" t="s">
        <v>2115</v>
      </c>
      <c r="E2397" s="1" t="s">
        <v>1037</v>
      </c>
      <c r="F2397" s="1" t="s">
        <v>4696</v>
      </c>
      <c r="G2397" s="1" t="s">
        <v>49</v>
      </c>
      <c r="H2397" s="1" t="s">
        <v>16</v>
      </c>
      <c r="I2397" s="1" t="str">
        <f ca="1">IFERROR(__xludf.DUMMYFUNCTION("GOOGLETRANSLATE(F2397, ""auto"", ""en"")
"),"The razor does not justify itself: the cord is stiff, it shaves poorly. The price is too high for such a razor.")</f>
        <v>The razor does not justify itself: the cord is stiff, it shaves poorly. The price is too high for such a razor.</v>
      </c>
    </row>
    <row r="2398" spans="1:9" x14ac:dyDescent="0.3">
      <c r="A2398" s="1" t="s">
        <v>120</v>
      </c>
      <c r="B2398" s="1" t="s">
        <v>121</v>
      </c>
      <c r="C2398" s="1" t="s">
        <v>80</v>
      </c>
      <c r="D2398" s="1" t="s">
        <v>152</v>
      </c>
      <c r="E2398" s="1" t="s">
        <v>4697</v>
      </c>
      <c r="F2398" s="1" t="s">
        <v>4698</v>
      </c>
      <c r="G2398" s="1" t="s">
        <v>36</v>
      </c>
      <c r="H2398" s="1" t="s">
        <v>29</v>
      </c>
      <c r="I2398" s="1" t="str">
        <f ca="1">IFERROR(__xludf.DUMMYFUNCTION("GOOGLETRANSLATE(F2398, ""auto"", ""en"")
"),"Great TV!!! Great to play on PS3!!! and the computer too!!!")</f>
        <v>Great TV!!! Great to play on PS3!!! and the computer too!!!</v>
      </c>
    </row>
    <row r="2399" spans="1:9" x14ac:dyDescent="0.3">
      <c r="A2399" s="1" t="s">
        <v>61</v>
      </c>
      <c r="B2399" s="1" t="s">
        <v>318</v>
      </c>
      <c r="C2399" s="1" t="s">
        <v>745</v>
      </c>
      <c r="D2399" s="1" t="s">
        <v>75</v>
      </c>
      <c r="E2399" s="1" t="s">
        <v>3563</v>
      </c>
      <c r="F2399" s="1" t="s">
        <v>4699</v>
      </c>
      <c r="G2399" s="1" t="s">
        <v>36</v>
      </c>
      <c r="H2399" s="1" t="s">
        <v>29</v>
      </c>
      <c r="I2399" s="1" t="str">
        <f ca="1">IFERROR(__xludf.DUMMYFUNCTION("GOOGLETRANSLATE(F2399, ""auto"", ""en"")
"),"convenient, boils quickly, with backlight")</f>
        <v>convenient, boils quickly, with backlight</v>
      </c>
    </row>
    <row r="2400" spans="1:9" x14ac:dyDescent="0.3">
      <c r="A2400" s="1" t="s">
        <v>61</v>
      </c>
      <c r="B2400" s="1" t="s">
        <v>977</v>
      </c>
      <c r="C2400" s="1" t="s">
        <v>101</v>
      </c>
      <c r="D2400" s="1" t="s">
        <v>633</v>
      </c>
      <c r="E2400" s="1" t="s">
        <v>4700</v>
      </c>
      <c r="F2400" s="1" t="s">
        <v>4701</v>
      </c>
      <c r="G2400" s="1" t="s">
        <v>36</v>
      </c>
      <c r="H2400" s="1" t="s">
        <v>29</v>
      </c>
      <c r="I2400" s="1" t="str">
        <f ca="1">IFERROR(__xludf.DUMMYFUNCTION("GOOGLETRANSLATE(F2400, ""auto"", ""en"")
"),"A very functional blender with super sharp blades. Cuts and crushes everything from meat to vegetables and ice. Very powerful. I've been using it for over a year and couldn't be happier.")</f>
        <v>A very functional blender with super sharp blades. Cuts and crushes everything from meat to vegetables and ice. Very powerful. I've been using it for over a year and couldn't be happier.</v>
      </c>
    </row>
    <row r="2401" spans="1:9" x14ac:dyDescent="0.3">
      <c r="A2401" s="1" t="s">
        <v>55</v>
      </c>
      <c r="B2401" s="1" t="s">
        <v>84</v>
      </c>
      <c r="C2401" s="1" t="s">
        <v>85</v>
      </c>
      <c r="D2401" s="1" t="s">
        <v>240</v>
      </c>
      <c r="E2401" s="1" t="s">
        <v>4702</v>
      </c>
      <c r="F2401" s="1" t="s">
        <v>4703</v>
      </c>
      <c r="G2401" s="1" t="s">
        <v>36</v>
      </c>
      <c r="H2401" s="1" t="s">
        <v>29</v>
      </c>
      <c r="I2401" s="1" t="str">
        <f ca="1">IFERROR(__xludf.DUMMYFUNCTION("GOOGLETRANSLATE(F2401, ""auto"", ""en"")
"),"Humidifies the air normally, we are happy with it so far. The child is allergic to dust, so we can’t live without a humidifier. The effect is already noticeable, my son feels much better. And there was a feeling that the air in the apartment had really be"&amp;"come cleaner. There is a night mode, it is very quiet, you can turn it on and sleep peacefully - no sounds or gurgling at all. The controls are clear. There is a special mode for children, and we use it most often. There is a timer and automatic maintenan"&amp;"ce of the required humidity level, you can set all the parameters at once and then press one button for everything.")</f>
        <v>Humidifies the air normally, we are happy with it so far. The child is allergic to dust, so we can’t live without a humidifier. The effect is already noticeable, my son feels much better. And there was a feeling that the air in the apartment had really become cleaner. There is a night mode, it is very quiet, you can turn it on and sleep peacefully - no sounds or gurgling at all. The controls are clear. There is a special mode for children, and we use it most often. There is a timer and automatic maintenance of the required humidity level, you can set all the parameters at once and then press one button for everything.</v>
      </c>
    </row>
    <row r="2402" spans="1:9" x14ac:dyDescent="0.3">
      <c r="A2402" s="1" t="s">
        <v>17</v>
      </c>
      <c r="B2402" s="1" t="s">
        <v>18</v>
      </c>
      <c r="C2402" s="1" t="s">
        <v>870</v>
      </c>
      <c r="D2402" s="1" t="s">
        <v>208</v>
      </c>
      <c r="E2402" s="1" t="s">
        <v>4659</v>
      </c>
      <c r="F2402" s="1" t="s">
        <v>4704</v>
      </c>
      <c r="G2402" s="1" t="s">
        <v>49</v>
      </c>
      <c r="H2402" s="1" t="s">
        <v>16</v>
      </c>
      <c r="I2402" s="1" t="str">
        <f ca="1">IFERROR(__xludf.DUMMYFUNCTION("GOOGLETRANSLATE(F2402, ""auto"", ""en"")
"),"The machine broke down in the second week, began to turn off, and was handed over.")</f>
        <v>The machine broke down in the second week, began to turn off, and was handed over.</v>
      </c>
    </row>
    <row r="2403" spans="1:9" x14ac:dyDescent="0.3">
      <c r="A2403" s="1" t="s">
        <v>9</v>
      </c>
      <c r="B2403" s="1" t="s">
        <v>137</v>
      </c>
      <c r="C2403" s="1" t="s">
        <v>466</v>
      </c>
      <c r="D2403" s="1" t="s">
        <v>39</v>
      </c>
      <c r="E2403" s="1" t="s">
        <v>2861</v>
      </c>
      <c r="F2403" s="1" t="s">
        <v>4705</v>
      </c>
      <c r="G2403" s="1" t="s">
        <v>36</v>
      </c>
      <c r="H2403" s="1" t="s">
        <v>29</v>
      </c>
      <c r="I2403" s="1" t="str">
        <f ca="1">IFERROR(__xludf.DUMMYFUNCTION("GOOGLETRANSLATE(F2403, ""auto"", ""en"")
"),"I bought a 2-burner because 90% of the time I only use 1-2 burners.  This stove can serve enough food for 6 people.   I was looking for one with physical adjustment knobs because there is no trust in the sensors, it is more convenient and faster to turn t"&amp;"he knob than to poke at the sensor.  It is easy to clean, use regular dish soap, apply a little sponge and wipe the panel, in a few minutes it will become like new.   Among the shortcomings, we can note the material of the handles; they could be made more"&amp;" pleasant to the touch, matte, say, but on the other hand, they are easy to clean.   If you are looking for a small, convenient hob, take this one, you can’t go wrong.")</f>
        <v>I bought a 2-burner because 90% of the time I only use 1-2 burners.  This stove can serve enough food for 6 people.   I was looking for one with physical adjustment knobs because there is no trust in the sensors, it is more convenient and faster to turn the knob than to poke at the sensor.  It is easy to clean, use regular dish soap, apply a little sponge and wipe the panel, in a few minutes it will become like new.   Among the shortcomings, we can note the material of the handles; they could be made more pleasant to the touch, matte, say, but on the other hand, they are easy to clean.   If you are looking for a small, convenient hob, take this one, you can’t go wrong.</v>
      </c>
    </row>
    <row r="2404" spans="1:9" x14ac:dyDescent="0.3">
      <c r="A2404" s="1" t="s">
        <v>211</v>
      </c>
      <c r="B2404" s="1" t="s">
        <v>384</v>
      </c>
      <c r="C2404" s="1" t="s">
        <v>351</v>
      </c>
      <c r="D2404" s="1" t="s">
        <v>471</v>
      </c>
      <c r="E2404" s="1" t="s">
        <v>4706</v>
      </c>
      <c r="F2404" s="1" t="s">
        <v>4707</v>
      </c>
      <c r="G2404" s="1" t="s">
        <v>49</v>
      </c>
      <c r="H2404" s="1" t="s">
        <v>16</v>
      </c>
      <c r="I2404" s="1" t="str">
        <f ca="1">IFERROR(__xludf.DUMMYFUNCTION("GOOGLETRANSLATE(F2404, ""auto"", ""en"")
"),"Bad scales. Constantly showing incorrect data.")</f>
        <v>Bad scales. Constantly showing incorrect data.</v>
      </c>
    </row>
    <row r="2405" spans="1:9" x14ac:dyDescent="0.3">
      <c r="A2405" s="1" t="s">
        <v>30</v>
      </c>
      <c r="B2405" s="1" t="s">
        <v>50</v>
      </c>
      <c r="C2405" s="1" t="s">
        <v>51</v>
      </c>
      <c r="D2405" s="1" t="s">
        <v>4595</v>
      </c>
      <c r="E2405" s="1" t="s">
        <v>3333</v>
      </c>
      <c r="F2405" s="1" t="s">
        <v>4708</v>
      </c>
      <c r="G2405" s="1" t="s">
        <v>36</v>
      </c>
      <c r="H2405" s="1" t="s">
        <v>29</v>
      </c>
      <c r="I2405" s="1" t="str">
        <f ca="1">IFERROR(__xludf.DUMMYFUNCTION("GOOGLETRANSLATE(F2405, ""auto"", ""en"")
"),"The characteristics are impressive! But what impressed me even more was the price. Apparently I was in a hurry with dv6 2019er.")</f>
        <v>The characteristics are impressive! But what impressed me even more was the price. Apparently I was in a hurry with dv6 2019er.</v>
      </c>
    </row>
    <row r="2406" spans="1:9" x14ac:dyDescent="0.3">
      <c r="A2406" s="1" t="s">
        <v>105</v>
      </c>
      <c r="B2406" s="1" t="s">
        <v>106</v>
      </c>
      <c r="C2406" s="1" t="s">
        <v>1921</v>
      </c>
      <c r="D2406" s="1" t="s">
        <v>52</v>
      </c>
      <c r="E2406" s="1" t="s">
        <v>1992</v>
      </c>
      <c r="F2406" s="1" t="s">
        <v>4709</v>
      </c>
      <c r="G2406" s="1" t="s">
        <v>36</v>
      </c>
      <c r="H2406" s="1" t="s">
        <v>29</v>
      </c>
      <c r="I2406" s="1" t="str">
        <f ca="1">IFERROR(__xludf.DUMMYFUNCTION("GOOGLETRANSLATE(F2406, ""auto"", ""en"")
"),"Good player, very convenient. The radio is good. Once it actually froze when turned on, but it didn’t happen again.")</f>
        <v>Good player, very convenient. The radio is good. Once it actually froze when turned on, but it didn’t happen again.</v>
      </c>
    </row>
    <row r="2407" spans="1:9" x14ac:dyDescent="0.3">
      <c r="A2407" s="1" t="s">
        <v>9</v>
      </c>
      <c r="B2407" s="1" t="s">
        <v>23</v>
      </c>
      <c r="C2407" s="1" t="s">
        <v>466</v>
      </c>
      <c r="D2407" s="1" t="s">
        <v>152</v>
      </c>
      <c r="E2407" s="1" t="s">
        <v>4710</v>
      </c>
      <c r="F2407" s="1" t="s">
        <v>4711</v>
      </c>
      <c r="G2407" s="1" t="s">
        <v>28</v>
      </c>
      <c r="H2407" s="1" t="s">
        <v>29</v>
      </c>
      <c r="I2407" s="1" t="str">
        <f ca="1">IFERROR(__xludf.DUMMYFUNCTION("GOOGLETRANSLATE(F2407, ""auto"", ""en"")
"),"The machine is 8 months old, the LED on the control panel has burned out, but this does not affect operation. The master said that the breakdown was rare and the spare part would have to be ordered as soon as a replacement arrived. Of course, the machine "&amp;"is noisy, but it doesn’t interfere with life, and if you want to wash dishes at night, you need to buy something cool for a lot of money. Dishes are not washed only if they are placed incorrectly. You can’t use any tablets (I’m writing this for the especi"&amp;"ally gifted who don’t know how to read), only separate products. For the money this is a normal machine.")</f>
        <v>The machine is 8 months old, the LED on the control panel has burned out, but this does not affect operation. The master said that the breakdown was rare and the spare part would have to be ordered as soon as a replacement arrived. Of course, the machine is noisy, but it doesn’t interfere with life, and if you want to wash dishes at night, you need to buy something cool for a lot of money. Dishes are not washed only if they are placed incorrectly. You can’t use any tablets (I’m writing this for the especially gifted who don’t know how to read), only separate products. For the money this is a normal machine.</v>
      </c>
    </row>
    <row r="2408" spans="1:9" x14ac:dyDescent="0.3">
      <c r="A2408" s="1" t="s">
        <v>1823</v>
      </c>
      <c r="B2408" s="1" t="s">
        <v>2101</v>
      </c>
      <c r="C2408" s="1" t="s">
        <v>1825</v>
      </c>
      <c r="D2408" s="1" t="s">
        <v>308</v>
      </c>
      <c r="E2408" s="1" t="s">
        <v>3489</v>
      </c>
      <c r="F2408" s="1" t="s">
        <v>4712</v>
      </c>
      <c r="G2408" s="1" t="s">
        <v>36</v>
      </c>
      <c r="H2408" s="1" t="s">
        <v>29</v>
      </c>
      <c r="I2408" s="1" t="str">
        <f ca="1">IFERROR(__xludf.DUMMYFUNCTION("GOOGLETRANSLATE(F2408, ""auto"", ""en"")
"),"The old case was completely worn out and looked unpresentable)) I decided to buy a new one. I came to the store, they offered to help me, I refused, and said that I would look for it myself. I chose the color I liked (there were many different ones) and b"&amp;"ought it with strawberries. Looked it was the right size. I came home, started putting it on the ironing board and then oops... it doesn’t fit. I didn’t take into account the moment for folding on both sides. I regretted that I refused the help of the sal"&amp;"esperson in the store))) On the same day I changed it to size M. Now I have a “new” ironing board at home. The material is excellent cotton/polyester, pleasant to the touch. I recommend it. Just choose your size carefully!")</f>
        <v>The old case was completely worn out and looked unpresentable)) I decided to buy a new one. I came to the store, they offered to help me, I refused, and said that I would look for it myself. I chose the color I liked (there were many different ones) and bought it with strawberries. Looked it was the right size. I came home, started putting it on the ironing board and then oops... it doesn’t fit. I didn’t take into account the moment for folding on both sides. I regretted that I refused the help of the salesperson in the store))) On the same day I changed it to size M. Now I have a “new” ironing board at home. The material is excellent cotton/polyester, pleasant to the touch. I recommend it. Just choose your size carefully!</v>
      </c>
    </row>
    <row r="2409" spans="1:9" x14ac:dyDescent="0.3">
      <c r="A2409" s="1" t="s">
        <v>169</v>
      </c>
      <c r="B2409" s="1" t="s">
        <v>170</v>
      </c>
      <c r="C2409" s="1" t="s">
        <v>97</v>
      </c>
      <c r="D2409" s="1" t="s">
        <v>33</v>
      </c>
      <c r="E2409" s="1" t="s">
        <v>4713</v>
      </c>
      <c r="F2409" s="1" t="s">
        <v>4714</v>
      </c>
      <c r="G2409" s="1" t="s">
        <v>36</v>
      </c>
      <c r="H2409" s="1" t="s">
        <v>29</v>
      </c>
      <c r="I2409" s="1" t="str">
        <f ca="1">IFERROR(__xludf.DUMMYFUNCTION("GOOGLETRANSLATE(F2409, ""auto"", ""en"")
"),"Great headphones! Before purchasing, I read a couple of articles on acoustics and these headphones are the best combination of price and requirements. Excellent deep sound, fits perfectly on your head, you don’t feel any fatigue or discomfort when wearing"&amp;" it. Many headphones over 3t.r. weren’t even lying around) I recommend it!")</f>
        <v>Great headphones! Before purchasing, I read a couple of articles on acoustics and these headphones are the best combination of price and requirements. Excellent deep sound, fits perfectly on your head, you don’t feel any fatigue or discomfort when wearing it. Many headphones over 3t.r. weren’t even lying around) I recommend it!</v>
      </c>
    </row>
    <row r="2410" spans="1:9" x14ac:dyDescent="0.3">
      <c r="A2410" s="1" t="s">
        <v>17</v>
      </c>
      <c r="B2410" s="1" t="s">
        <v>18</v>
      </c>
      <c r="C2410" s="1" t="s">
        <v>243</v>
      </c>
      <c r="D2410" s="1" t="s">
        <v>39</v>
      </c>
      <c r="E2410" s="1" t="s">
        <v>3278</v>
      </c>
      <c r="F2410" s="1" t="s">
        <v>4715</v>
      </c>
      <c r="G2410" s="1" t="s">
        <v>28</v>
      </c>
      <c r="H2410" s="1" t="s">
        <v>29</v>
      </c>
      <c r="I2410" s="1" t="str">
        <f ca="1">IFERROR(__xludf.DUMMYFUNCTION("GOOGLETRANSLATE(F2410, ""auto"", ""en"")
"),"The machine is so ordinary that there is nothing special to write about. From the experience of using the previous machine, I knew that we simply wouldn’t use more than 2-3 programs, so I chose a simple model from a well-known brand. I was pleased with th"&amp;"e good capacity in a compact size. I was disappointed by the very strong vibration during the spin cycle, and even more upset by the lack of ability to regulate the speed during the spin cycle. You have to turn off the spin cycle when washing, and after f"&amp;"inishing, select the soft spin program. Not a disaster, but a little inconvenient.")</f>
        <v>The machine is so ordinary that there is nothing special to write about. From the experience of using the previous machine, I knew that we simply wouldn’t use more than 2-3 programs, so I chose a simple model from a well-known brand. I was pleased with the good capacity in a compact size. I was disappointed by the very strong vibration during the spin cycle, and even more upset by the lack of ability to regulate the speed during the spin cycle. You have to turn off the spin cycle when washing, and after finishing, select the soft spin program. Not a disaster, but a little inconvenient.</v>
      </c>
    </row>
    <row r="2411" spans="1:9" x14ac:dyDescent="0.3">
      <c r="A2411" s="1" t="s">
        <v>206</v>
      </c>
      <c r="B2411" s="1" t="s">
        <v>207</v>
      </c>
      <c r="C2411" s="1" t="s">
        <v>152</v>
      </c>
      <c r="D2411" s="1" t="s">
        <v>4716</v>
      </c>
      <c r="E2411" s="1" t="s">
        <v>481</v>
      </c>
      <c r="F2411" s="1" t="s">
        <v>4717</v>
      </c>
      <c r="G2411" s="1" t="s">
        <v>36</v>
      </c>
      <c r="H2411" s="1" t="s">
        <v>29</v>
      </c>
      <c r="I2411" s="1" t="str">
        <f ca="1">IFERROR(__xludf.DUMMYFUNCTION("GOOGLETRANSLATE(F2411, ""auto"", ""en"")
"),"I advise everyone to fully work out their cost!!!!  there's even some bass)))))")</f>
        <v>I advise everyone to fully work out their cost!!!!  there's even some bass)))))</v>
      </c>
    </row>
    <row r="2412" spans="1:9" x14ac:dyDescent="0.3">
      <c r="A2412" s="1" t="s">
        <v>61</v>
      </c>
      <c r="B2412" s="1" t="s">
        <v>318</v>
      </c>
      <c r="C2412" s="1" t="s">
        <v>246</v>
      </c>
      <c r="D2412" s="1" t="s">
        <v>545</v>
      </c>
      <c r="E2412" s="1" t="s">
        <v>2410</v>
      </c>
      <c r="F2412" s="1" t="s">
        <v>4718</v>
      </c>
      <c r="G2412" s="1" t="s">
        <v>15</v>
      </c>
      <c r="H2412" s="1" t="s">
        <v>16</v>
      </c>
      <c r="I2412" s="1" t="str">
        <f ca="1">IFERROR(__xludf.DUMMYFUNCTION("GOOGLETRANSLATE(F2412, ""auto"", ""en"")
"),"The teapot was given to my husband. We really liked it, the old (cheap Scarlet) was taken to the dacha. But the joy did not last very long. The kettle began to leak during the 1st year of use (after about 9 months of operation). If you consider that the S"&amp;"carlet kettle for 450 rubles lasted 3 times longer, the picture is sad.")</f>
        <v>The teapot was given to my husband. We really liked it, the old (cheap Scarlet) was taken to the dacha. But the joy did not last very long. The kettle began to leak during the 1st year of use (after about 9 months of operation). If you consider that the Scarlet kettle for 450 rubles lasted 3 times longer, the picture is sad.</v>
      </c>
    </row>
    <row r="2413" spans="1:9" x14ac:dyDescent="0.3">
      <c r="A2413" s="1" t="s">
        <v>9</v>
      </c>
      <c r="B2413" s="1" t="s">
        <v>10</v>
      </c>
      <c r="C2413" s="1" t="s">
        <v>466</v>
      </c>
      <c r="D2413" s="1" t="s">
        <v>240</v>
      </c>
      <c r="E2413" s="1" t="s">
        <v>4152</v>
      </c>
      <c r="F2413" s="1" t="s">
        <v>4719</v>
      </c>
      <c r="G2413" s="1" t="s">
        <v>36</v>
      </c>
      <c r="H2413" s="1" t="s">
        <v>29</v>
      </c>
      <c r="I2413" s="1" t="str">
        <f ca="1">IFERROR(__xludf.DUMMYFUNCTION("GOOGLETRANSLATE(F2413, ""auto"", ""en"")
"),"Excellent hood, I’ve been using it for 2.5 years, it’s easy to clean, because... the grille is divided into 2 parts.")</f>
        <v>Excellent hood, I’ve been using it for 2.5 years, it’s easy to clean, because... the grille is divided into 2 parts.</v>
      </c>
    </row>
    <row r="2414" spans="1:9" x14ac:dyDescent="0.3">
      <c r="A2414" s="1" t="s">
        <v>9</v>
      </c>
      <c r="B2414" s="1" t="s">
        <v>133</v>
      </c>
      <c r="C2414" s="1" t="s">
        <v>290</v>
      </c>
      <c r="D2414" s="1" t="s">
        <v>4720</v>
      </c>
      <c r="E2414" s="1" t="s">
        <v>2298</v>
      </c>
      <c r="F2414" s="1" t="s">
        <v>4721</v>
      </c>
      <c r="G2414" s="1" t="s">
        <v>36</v>
      </c>
      <c r="H2414" s="1" t="s">
        <v>29</v>
      </c>
      <c r="I2414" s="1" t="str">
        <f ca="1">IFERROR(__xludf.DUMMYFUNCTION("GOOGLETRANSLATE(F2414, ""auto"", ""en"")
"),"Hello!  If you need instructions for an electronic programmer, write to me at: voroncoff.gorenje@yandex.ru")</f>
        <v>Hello!  If you need instructions for an electronic programmer, write to me at: voroncoff.gorenje@yandex.ru</v>
      </c>
    </row>
    <row r="2415" spans="1:9" x14ac:dyDescent="0.3">
      <c r="A2415" s="1" t="s">
        <v>30</v>
      </c>
      <c r="B2415" s="1" t="s">
        <v>31</v>
      </c>
      <c r="C2415" s="1" t="s">
        <v>32</v>
      </c>
      <c r="D2415" s="1" t="s">
        <v>152</v>
      </c>
      <c r="E2415" s="1" t="s">
        <v>4578</v>
      </c>
      <c r="F2415" s="1" t="s">
        <v>4722</v>
      </c>
      <c r="G2415" s="1" t="s">
        <v>28</v>
      </c>
      <c r="H2415" s="1" t="s">
        <v>29</v>
      </c>
      <c r="I2415" s="1" t="str">
        <f ca="1">IFERROR(__xludf.DUMMYFUNCTION("GOOGLETRANSLATE(F2415, ""auto"", ""en"")
"),"I bought myself such a system unit as a media center - edit video from the camera, download it from the Internet and watch it via HDMI on an LCD TV, it’s cool to have a computer with a 26-inch monitor at home. I also connected it to a music center via an "&amp;"optical cable - the sound is just super!!! The only pity is that when purchasing, WINDOWS VISTA is preinstalled and not WINDOWS 7, although if you wish, you can pay about 700 rubles extra (via a bank card) and they will send a disk with an update to 7 fro"&amp;"m Taiwan. And it’s really very quiet - my laptop runs louder. Now I’m thinking about an upgrade, since 4-core processors are suitable and the memory from the HDD can be increased.")</f>
        <v>I bought myself such a system unit as a media center - edit video from the camera, download it from the Internet and watch it via HDMI on an LCD TV, it’s cool to have a computer with a 26-inch monitor at home. I also connected it to a music center via an optical cable - the sound is just super!!! The only pity is that when purchasing, WINDOWS VISTA is preinstalled and not WINDOWS 7, although if you wish, you can pay about 700 rubles extra (via a bank card) and they will send a disk with an update to 7 from Taiwan. And it’s really very quiet - my laptop runs louder. Now I’m thinking about an upgrade, since 4-core processors are suitable and the memory from the HDD can be increased.</v>
      </c>
    </row>
    <row r="2416" spans="1:9" x14ac:dyDescent="0.3">
      <c r="A2416" s="1" t="s">
        <v>369</v>
      </c>
      <c r="B2416" s="1" t="s">
        <v>587</v>
      </c>
      <c r="C2416" s="1" t="s">
        <v>63</v>
      </c>
      <c r="D2416" s="1" t="s">
        <v>4723</v>
      </c>
      <c r="E2416" s="1" t="s">
        <v>4724</v>
      </c>
      <c r="F2416" s="1" t="s">
        <v>4725</v>
      </c>
      <c r="G2416" s="1" t="s">
        <v>36</v>
      </c>
      <c r="H2416" s="1" t="s">
        <v>29</v>
      </c>
      <c r="I2416" s="1" t="str">
        <f ca="1">IFERROR(__xludf.DUMMYFUNCTION("GOOGLETRANSLATE(F2416, ""auto"", ""en"")
"),"Excellent stove, especially the oven bakes amazingly. I advise you to buy it.")</f>
        <v>Excellent stove, especially the oven bakes amazingly. I advise you to buy it.</v>
      </c>
    </row>
    <row r="2417" spans="1:9" x14ac:dyDescent="0.3">
      <c r="A2417" s="1" t="s">
        <v>61</v>
      </c>
      <c r="B2417" s="1" t="s">
        <v>73</v>
      </c>
      <c r="C2417" s="1" t="s">
        <v>146</v>
      </c>
      <c r="D2417" s="1" t="s">
        <v>1662</v>
      </c>
      <c r="E2417" s="1" t="s">
        <v>1384</v>
      </c>
      <c r="F2417" s="1" t="s">
        <v>4726</v>
      </c>
      <c r="G2417" s="1" t="s">
        <v>36</v>
      </c>
      <c r="H2417" s="1" t="s">
        <v>29</v>
      </c>
      <c r="I2417" s="1" t="str">
        <f ca="1">IFERROR(__xludf.DUMMYFUNCTION("GOOGLETRANSLATE(F2417, ""auto"", ""en"")
"),"I'm just delighted with the meat grinder. It’s also pleasing to see how it grinds, rubs, and cuts meat. In general, I recommend it to everyone who cooks a lot.")</f>
        <v>I'm just delighted with the meat grinder. It’s also pleasing to see how it grinds, rubs, and cuts meat. In general, I recommend it to everyone who cooks a lot.</v>
      </c>
    </row>
    <row r="2418" spans="1:9" x14ac:dyDescent="0.3">
      <c r="A2418" s="1" t="s">
        <v>9</v>
      </c>
      <c r="B2418" s="1" t="s">
        <v>10</v>
      </c>
      <c r="C2418" s="1" t="s">
        <v>407</v>
      </c>
      <c r="D2418" s="1" t="s">
        <v>232</v>
      </c>
      <c r="E2418" s="1" t="s">
        <v>147</v>
      </c>
      <c r="F2418" s="1" t="s">
        <v>4727</v>
      </c>
      <c r="G2418" s="1" t="s">
        <v>36</v>
      </c>
      <c r="H2418" s="1" t="s">
        <v>29</v>
      </c>
      <c r="I2418" s="1" t="str">
        <f ca="1">IFERROR(__xludf.DUMMYFUNCTION("GOOGLETRANSLATE(F2418, ""auto"", ""en"")
"),"I bought it and am very pleased. Informative display, touch control, stylish design (glass), powerful air draft (turbine). I recommend it to everyone as part of a useful kitchen interior.")</f>
        <v>I bought it and am very pleased. Informative display, touch control, stylish design (glass), powerful air draft (turbine). I recommend it to everyone as part of a useful kitchen interior.</v>
      </c>
    </row>
    <row r="2419" spans="1:9" x14ac:dyDescent="0.3">
      <c r="A2419" s="1" t="s">
        <v>120</v>
      </c>
      <c r="B2419" s="1" t="s">
        <v>121</v>
      </c>
      <c r="C2419" s="1" t="s">
        <v>97</v>
      </c>
      <c r="D2419" s="1" t="s">
        <v>33</v>
      </c>
      <c r="E2419" s="1" t="s">
        <v>4728</v>
      </c>
      <c r="F2419" s="1" t="s">
        <v>4729</v>
      </c>
      <c r="G2419" s="1" t="s">
        <v>36</v>
      </c>
      <c r="H2419" s="1" t="s">
        <v>29</v>
      </c>
      <c r="I2419" s="1" t="str">
        <f ca="1">IFERROR(__xludf.DUMMYFUNCTION("GOOGLETRANSLATE(F2419, ""auto"", ""en"")
"),"I bought a TV and have not regretted it yet. For its price it is optimal. It's a shame the resolution isn't 1920x1080")</f>
        <v>I bought a TV and have not regretted it yet. For its price it is optimal. It's a shame the resolution isn't 1920x1080</v>
      </c>
    </row>
    <row r="2420" spans="1:9" x14ac:dyDescent="0.3">
      <c r="A2420" s="1" t="s">
        <v>17</v>
      </c>
      <c r="B2420" s="1" t="s">
        <v>18</v>
      </c>
      <c r="C2420" s="1" t="s">
        <v>63</v>
      </c>
      <c r="D2420" s="1" t="s">
        <v>4730</v>
      </c>
      <c r="E2420" s="1" t="s">
        <v>236</v>
      </c>
      <c r="F2420" s="1" t="s">
        <v>4731</v>
      </c>
      <c r="G2420" s="1" t="s">
        <v>36</v>
      </c>
      <c r="H2420" s="1" t="s">
        <v>29</v>
      </c>
      <c r="I2420" s="1" t="str">
        <f ca="1">IFERROR(__xludf.DUMMYFUNCTION("GOOGLETRANSLATE(F2420, ""auto"", ""en"")
"),"My wife and I are very happy with our washing machine!!! We recommend it to everyone.")</f>
        <v>My wife and I are very happy with our washing machine!!! We recommend it to everyone.</v>
      </c>
    </row>
    <row r="2421" spans="1:9" x14ac:dyDescent="0.3">
      <c r="A2421" s="1" t="s">
        <v>89</v>
      </c>
      <c r="B2421" s="1" t="s">
        <v>1106</v>
      </c>
      <c r="C2421" s="1" t="s">
        <v>246</v>
      </c>
      <c r="D2421" s="1" t="s">
        <v>335</v>
      </c>
      <c r="E2421" s="1" t="s">
        <v>4732</v>
      </c>
      <c r="F2421" s="1" t="s">
        <v>4733</v>
      </c>
      <c r="G2421" s="1" t="s">
        <v>28</v>
      </c>
      <c r="H2421" s="1" t="s">
        <v>29</v>
      </c>
      <c r="I2421" s="1" t="str">
        <f ca="1">IFERROR(__xludf.DUMMYFUNCTION("GOOGLETRANSLATE(F2421, ""auto"", ""en"")
"),"You shouldn't expect miracles from a coffee maker for this money......the smell of plastic is constantly present, even after several runs of water, but plastic is not felt in the taste and smell of coffee. The water flows quickly, but the coffee turns out"&amp;" delicious. As I understand it, taste and aroma initially depend on the quality and quantity of coffee. The coffee may even boil, I don’t know if this is good or bad... overall, I’m happy with the purchase. If it weren't for the smell, it would be 5 point"&amp;"s!")</f>
        <v>You shouldn't expect miracles from a coffee maker for this money......the smell of plastic is constantly present, even after several runs of water, but plastic is not felt in the taste and smell of coffee. The water flows quickly, but the coffee turns out delicious. As I understand it, taste and aroma initially depend on the quality and quantity of coffee. The coffee may even boil, I don’t know if this is good or bad... overall, I’m happy with the purchase. If it weren't for the smell, it would be 5 points!</v>
      </c>
    </row>
    <row r="2422" spans="1:9" x14ac:dyDescent="0.3">
      <c r="A2422" s="1" t="s">
        <v>17</v>
      </c>
      <c r="B2422" s="1" t="s">
        <v>18</v>
      </c>
      <c r="C2422" s="1" t="s">
        <v>243</v>
      </c>
      <c r="D2422" s="1" t="s">
        <v>4734</v>
      </c>
      <c r="E2422" s="1" t="s">
        <v>4735</v>
      </c>
      <c r="F2422" s="1" t="s">
        <v>4736</v>
      </c>
      <c r="G2422" s="1" t="s">
        <v>36</v>
      </c>
      <c r="H2422" s="1" t="s">
        <v>29</v>
      </c>
      <c r="I2422" s="1" t="str">
        <f ca="1">IFERROR(__xludf.DUMMYFUNCTION("GOOGLETRANSLATE(F2422, ""auto"", ""en"")
"),"The tray can be removed easily and simply, great machine!")</f>
        <v>The tray can be removed easily and simply, great machine!</v>
      </c>
    </row>
    <row r="2423" spans="1:9" x14ac:dyDescent="0.3">
      <c r="A2423" s="1" t="s">
        <v>95</v>
      </c>
      <c r="B2423" s="1" t="s">
        <v>227</v>
      </c>
      <c r="C2423" s="1" t="s">
        <v>97</v>
      </c>
      <c r="D2423" s="1" t="s">
        <v>1605</v>
      </c>
      <c r="E2423" s="1" t="s">
        <v>1398</v>
      </c>
      <c r="F2423" s="1" t="s">
        <v>4737</v>
      </c>
      <c r="G2423" s="1" t="s">
        <v>36</v>
      </c>
      <c r="H2423" s="1" t="s">
        <v>29</v>
      </c>
      <c r="I2423" s="1" t="str">
        <f ca="1">IFERROR(__xludf.DUMMYFUNCTION("GOOGLETRANSLATE(F2423, ""auto"", ""en"")
"),"I’m just delighted with a console like the Sony Playstation 3. The games are great, of course they’re not very good in English, but oh well. I’ve had a lot of consoles, but this one, of course, can’t compare with anything.")</f>
        <v>I’m just delighted with a console like the Sony Playstation 3. The games are great, of course they’re not very good in English, but oh well. I’ve had a lot of consoles, but this one, of course, can’t compare with anything.</v>
      </c>
    </row>
    <row r="2424" spans="1:9" x14ac:dyDescent="0.3">
      <c r="A2424" s="1" t="s">
        <v>238</v>
      </c>
      <c r="B2424" s="1" t="s">
        <v>276</v>
      </c>
      <c r="C2424" s="1" t="s">
        <v>138</v>
      </c>
      <c r="D2424" s="1" t="s">
        <v>295</v>
      </c>
      <c r="E2424" s="1" t="s">
        <v>2325</v>
      </c>
      <c r="F2424" s="1" t="s">
        <v>4738</v>
      </c>
      <c r="G2424" s="1" t="s">
        <v>36</v>
      </c>
      <c r="H2424" s="1" t="s">
        <v>29</v>
      </c>
      <c r="I2424" s="1" t="str">
        <f ca="1">IFERROR(__xludf.DUMMYFUNCTION("GOOGLETRANSLATE(F2424, ""auto"", ""en"")
"),"They delivered it on December 11, they haven’t connected it yet/I’ll write how we connect it/it’s very beautiful in appearance, very neat, I liked the service in the online store, very polite, punctual and qualified! God grant that it also works well!")</f>
        <v>They delivered it on December 11, they haven’t connected it yet/I’ll write how we connect it/it’s very beautiful in appearance, very neat, I liked the service in the online store, very polite, punctual and qualified! God grant that it also works well!</v>
      </c>
    </row>
    <row r="2425" spans="1:9" x14ac:dyDescent="0.3">
      <c r="A2425" s="1" t="s">
        <v>111</v>
      </c>
      <c r="B2425" s="1" t="s">
        <v>636</v>
      </c>
      <c r="C2425" s="1" t="s">
        <v>637</v>
      </c>
      <c r="D2425" s="1" t="s">
        <v>64</v>
      </c>
      <c r="E2425" s="1" t="s">
        <v>4739</v>
      </c>
      <c r="F2425" s="1" t="s">
        <v>4740</v>
      </c>
      <c r="G2425" s="1" t="s">
        <v>36</v>
      </c>
      <c r="H2425" s="1" t="s">
        <v>29</v>
      </c>
      <c r="I2425" s="1" t="str">
        <f ca="1">IFERROR(__xludf.DUMMYFUNCTION("GOOGLETRANSLATE(F2425, ""auto"", ""en"")
"),"An excellent option for your own use and as a gift. Clear, bright day and night and a fairly large image on the wall and ceiling of a 20-meter room. Very pleased. True, the blue color would probably be more pleasant. Although red is not annoying either.")</f>
        <v>An excellent option for your own use and as a gift. Clear, bright day and night and a fairly large image on the wall and ceiling of a 20-meter room. Very pleased. True, the blue color would probably be more pleasant. Although red is not annoying either.</v>
      </c>
    </row>
    <row r="2426" spans="1:9" x14ac:dyDescent="0.3">
      <c r="A2426" s="1" t="s">
        <v>37</v>
      </c>
      <c r="B2426" s="1" t="s">
        <v>38</v>
      </c>
      <c r="C2426" s="1" t="s">
        <v>69</v>
      </c>
      <c r="D2426" s="1" t="s">
        <v>4741</v>
      </c>
      <c r="E2426" s="1" t="s">
        <v>2271</v>
      </c>
      <c r="F2426" s="1" t="s">
        <v>4742</v>
      </c>
      <c r="G2426" s="1" t="s">
        <v>28</v>
      </c>
      <c r="H2426" s="1" t="s">
        <v>29</v>
      </c>
      <c r="I2426" s="1" t="str">
        <f ca="1">IFERROR(__xludf.DUMMYFUNCTION("GOOGLETRANSLATE(F2426, ""auto"", ""en"")
"),"It’s a normal phone, everything works... but the Java games don’t start... it also says that it comes with a card, but they didn’t give me a card...")</f>
        <v>It’s a normal phone, everything works... but the Java games don’t start... it also says that it comes with a card, but they didn’t give me a card...</v>
      </c>
    </row>
    <row r="2427" spans="1:9" x14ac:dyDescent="0.3">
      <c r="A2427" s="1" t="s">
        <v>43</v>
      </c>
      <c r="B2427" s="1" t="s">
        <v>4743</v>
      </c>
      <c r="C2427" s="1" t="s">
        <v>80</v>
      </c>
      <c r="D2427" s="1" t="s">
        <v>4744</v>
      </c>
      <c r="E2427" s="1" t="s">
        <v>128</v>
      </c>
      <c r="F2427" s="1" t="s">
        <v>4745</v>
      </c>
      <c r="G2427" s="1" t="s">
        <v>36</v>
      </c>
      <c r="H2427" s="1" t="s">
        <v>29</v>
      </c>
      <c r="I2427" s="1" t="str">
        <f ca="1">IFERROR(__xludf.DUMMYFUNCTION("GOOGLETRANSLATE(F2427, ""auto"", ""en"")
"),"Everything works fine! The technicians connected everything and everything works well. there is a glacier in the apartment! You can buy!")</f>
        <v>Everything works fine! The technicians connected everything and everything works well. there is a glacier in the apartment! You can buy!</v>
      </c>
    </row>
    <row r="2428" spans="1:9" x14ac:dyDescent="0.3">
      <c r="A2428" s="1" t="s">
        <v>67</v>
      </c>
      <c r="B2428" s="1" t="s">
        <v>68</v>
      </c>
      <c r="C2428" s="1" t="s">
        <v>69</v>
      </c>
      <c r="D2428" s="1" t="s">
        <v>295</v>
      </c>
      <c r="E2428" s="1" t="s">
        <v>4692</v>
      </c>
      <c r="F2428" s="1" t="s">
        <v>4746</v>
      </c>
      <c r="G2428" s="1" t="s">
        <v>36</v>
      </c>
      <c r="H2428" s="1" t="s">
        <v>29</v>
      </c>
      <c r="I2428" s="1" t="str">
        <f ca="1">IFERROR(__xludf.DUMMYFUNCTION("GOOGLETRANSLATE(F2428, ""auto"", ""en"")
"),"The iron is just a fairy tale. The dream of any housewife. Ironing is a pleasure.")</f>
        <v>The iron is just a fairy tale. The dream of any housewife. Ironing is a pleasure.</v>
      </c>
    </row>
    <row r="2429" spans="1:9" x14ac:dyDescent="0.3">
      <c r="A2429" s="1" t="s">
        <v>30</v>
      </c>
      <c r="B2429" s="1" t="s">
        <v>50</v>
      </c>
      <c r="C2429" s="1" t="s">
        <v>189</v>
      </c>
      <c r="D2429" s="1" t="s">
        <v>4747</v>
      </c>
      <c r="E2429" s="1" t="s">
        <v>1646</v>
      </c>
      <c r="F2429" s="1" t="s">
        <v>4748</v>
      </c>
      <c r="G2429" s="1" t="s">
        <v>36</v>
      </c>
      <c r="H2429" s="1" t="s">
        <v>29</v>
      </c>
      <c r="I2429" s="1" t="str">
        <f ca="1">IFERROR(__xludf.DUMMYFUNCTION("GOOGLETRANSLATE(F2429, ""auto"", ""en"")
"),"I went to the store and after surfing the system a bit I discovered that he has two video cards! The video card model is Radeon HD 4570 Video memory 512 MB and built-in Radeon HD 3200!  This is such good news, so take it before others find out!")</f>
        <v>I went to the store and after surfing the system a bit I discovered that he has two video cards! The video card model is Radeon HD 4570 Video memory 512 MB and built-in Radeon HD 3200!  This is such good news, so take it before others find out!</v>
      </c>
    </row>
    <row r="2430" spans="1:9" x14ac:dyDescent="0.3">
      <c r="A2430" s="1" t="s">
        <v>149</v>
      </c>
      <c r="B2430" s="1" t="s">
        <v>155</v>
      </c>
      <c r="C2430" s="1" t="s">
        <v>63</v>
      </c>
      <c r="D2430" s="1" t="s">
        <v>545</v>
      </c>
      <c r="E2430" s="1" t="s">
        <v>2596</v>
      </c>
      <c r="F2430" s="1" t="s">
        <v>4749</v>
      </c>
      <c r="G2430" s="1" t="s">
        <v>49</v>
      </c>
      <c r="H2430" s="1" t="s">
        <v>16</v>
      </c>
      <c r="I2430" s="1" t="str">
        <f ca="1">IFERROR(__xludf.DUMMYFUNCTION("GOOGLETRANSLATE(F2430, ""auto"", ""en"")
"),"When I bought it, I tore the carpet off the floor even with the container, after the first cleaning the suction power dropped to almost zero! They put the bag in, the suction was excellent, but again, not for long, after three months I just ironed the car"&amp;"pet. Very sorry for the money wasted.")</f>
        <v>When I bought it, I tore the carpet off the floor even with the container, after the first cleaning the suction power dropped to almost zero! They put the bag in, the suction was excellent, but again, not for long, after three months I just ironed the carpet. Very sorry for the money wasted.</v>
      </c>
    </row>
    <row r="2431" spans="1:9" x14ac:dyDescent="0.3">
      <c r="A2431" s="1" t="s">
        <v>211</v>
      </c>
      <c r="B2431" s="1" t="s">
        <v>212</v>
      </c>
      <c r="C2431" s="1" t="s">
        <v>381</v>
      </c>
      <c r="D2431" s="1" t="s">
        <v>474</v>
      </c>
      <c r="E2431" s="1" t="s">
        <v>4750</v>
      </c>
      <c r="F2431" s="1" t="s">
        <v>4751</v>
      </c>
      <c r="G2431" s="1" t="s">
        <v>36</v>
      </c>
      <c r="H2431" s="1" t="s">
        <v>29</v>
      </c>
      <c r="I2431" s="1" t="str">
        <f ca="1">IFERROR(__xludf.DUMMYFUNCTION("GOOGLETRANSLATE(F2431, ""auto"", ""en"")
"),"The curling iron is simply ideal for styling hair, resulting in voluminous, shiny and well-groomed hair. If you think that it will curl your curls, then you are mistaken - a curling iron of this diameter will never curl your curls, so you don’t have to ho"&amp;"pe for it. I originally bought it for styling and I give it a huge A for that, as it completely lived up to my hopes.")</f>
        <v>The curling iron is simply ideal for styling hair, resulting in voluminous, shiny and well-groomed hair. If you think that it will curl your curls, then you are mistaken - a curling iron of this diameter will never curl your curls, so you don’t have to hope for it. I originally bought it for styling and I give it a huge A for that, as it completely lived up to my hopes.</v>
      </c>
    </row>
    <row r="2432" spans="1:9" x14ac:dyDescent="0.3">
      <c r="A2432" s="1" t="s">
        <v>211</v>
      </c>
      <c r="B2432" s="1" t="s">
        <v>515</v>
      </c>
      <c r="C2432" s="1" t="s">
        <v>69</v>
      </c>
      <c r="D2432" s="1" t="s">
        <v>589</v>
      </c>
      <c r="E2432" s="1" t="s">
        <v>1102</v>
      </c>
      <c r="F2432" s="1" t="s">
        <v>4752</v>
      </c>
      <c r="G2432" s="1" t="s">
        <v>36</v>
      </c>
      <c r="H2432" s="1" t="s">
        <v>29</v>
      </c>
      <c r="I2432" s="1" t="str">
        <f ca="1">IFERROR(__xludf.DUMMYFUNCTION("GOOGLETRANSLATE(F2432, ""auto"", ""en"")
"),"I'm very pleased with the result. 2 speeds, the nozzle can be washed, although it is a little noisy, you can bear with it. I recommend it, you won’t regret it!")</f>
        <v>I'm very pleased with the result. 2 speeds, the nozzle can be washed, although it is a little noisy, you can bear with it. I recommend it, you won’t regret it!</v>
      </c>
    </row>
    <row r="2433" spans="1:9" x14ac:dyDescent="0.3">
      <c r="A2433" s="1" t="s">
        <v>55</v>
      </c>
      <c r="B2433" s="1" t="s">
        <v>184</v>
      </c>
      <c r="C2433" s="1" t="s">
        <v>185</v>
      </c>
      <c r="D2433" s="1" t="s">
        <v>247</v>
      </c>
      <c r="E2433" s="1" t="s">
        <v>3813</v>
      </c>
      <c r="F2433" s="1" t="s">
        <v>4753</v>
      </c>
      <c r="G2433" s="1" t="s">
        <v>28</v>
      </c>
      <c r="H2433" s="1" t="s">
        <v>29</v>
      </c>
      <c r="I2433" s="1" t="str">
        <f ca="1">IFERROR(__xludf.DUMMYFUNCTION("GOOGLETRANSLATE(F2433, ""auto"", ""en"")
"),"I liked the heater, it heats up quickly and maintains the set temperature. But there are disadvantages: it dries out the air, it is quite noisy (if you turn it on at night, but now I’m used to it) and the programs switch with a sound effect (a squeaker, t"&amp;"o which a 2-month-old baby reacts very much (especially when falling asleep).")</f>
        <v>I liked the heater, it heats up quickly and maintains the set temperature. But there are disadvantages: it dries out the air, it is quite noisy (if you turn it on at night, but now I’m used to it) and the programs switch with a sound effect (a squeaker, to which a 2-month-old baby reacts very much (especially when falling asleep).</v>
      </c>
    </row>
    <row r="2434" spans="1:9" x14ac:dyDescent="0.3">
      <c r="A2434" s="1" t="s">
        <v>105</v>
      </c>
      <c r="B2434" s="1" t="s">
        <v>106</v>
      </c>
      <c r="C2434" s="1" t="s">
        <v>151</v>
      </c>
      <c r="D2434" s="1" t="s">
        <v>166</v>
      </c>
      <c r="E2434" s="1" t="s">
        <v>2333</v>
      </c>
      <c r="F2434" s="1" t="s">
        <v>4754</v>
      </c>
      <c r="G2434" s="1" t="s">
        <v>36</v>
      </c>
      <c r="H2434" s="1" t="s">
        <v>29</v>
      </c>
      <c r="I2434" s="1" t="str">
        <f ca="1">IFERROR(__xludf.DUMMYFUNCTION("GOOGLETRANSLATE(F2434, ""auto"", ""en"")
"),"good player_) I’ve been using it for about 2 months, I’ve never frozen yet, I chose from inexpensive players just to listen to music, this one turned out to be the best, I recommend it to everyone)")</f>
        <v>good player_) I’ve been using it for about 2 months, I’ve never frozen yet, I chose from inexpensive players just to listen to music, this one turned out to be the best, I recommend it to everyone)</v>
      </c>
    </row>
    <row r="2435" spans="1:9" x14ac:dyDescent="0.3">
      <c r="A2435" s="1" t="s">
        <v>732</v>
      </c>
      <c r="B2435" s="1" t="s">
        <v>733</v>
      </c>
      <c r="C2435" s="1" t="s">
        <v>1680</v>
      </c>
      <c r="D2435" s="1" t="s">
        <v>280</v>
      </c>
      <c r="E2435" s="1" t="s">
        <v>1345</v>
      </c>
      <c r="F2435" s="1" t="s">
        <v>4755</v>
      </c>
      <c r="G2435" s="1" t="s">
        <v>36</v>
      </c>
      <c r="H2435" s="1" t="s">
        <v>29</v>
      </c>
      <c r="I2435" s="1" t="str">
        <f ca="1">IFERROR(__xludf.DUMMYFUNCTION("GOOGLETRANSLATE(F2435, ""auto"", ""en"")
"),"I bought a monitor, everything is great!  Also, the picture quality is HDMI.  You can watch HD and Blu-Ray movies.  You can also connect the set-top box via an HDMI cable.  I advise you to take it, this is the best FullHD + HDMI up to 10 t.r.")</f>
        <v>I bought a monitor, everything is great!  Also, the picture quality is HDMI.  You can watch HD and Blu-Ray movies.  You can also connect the set-top box via an HDMI cable.  I advise you to take it, this is the best FullHD + HDMI up to 10 t.r.</v>
      </c>
    </row>
    <row r="2436" spans="1:9" x14ac:dyDescent="0.3">
      <c r="A2436" s="1" t="s">
        <v>149</v>
      </c>
      <c r="B2436" s="1" t="s">
        <v>576</v>
      </c>
      <c r="C2436" s="1" t="s">
        <v>69</v>
      </c>
      <c r="D2436" s="1" t="s">
        <v>471</v>
      </c>
      <c r="E2436" s="1" t="s">
        <v>4756</v>
      </c>
      <c r="F2436" s="1" t="s">
        <v>4757</v>
      </c>
      <c r="G2436" s="1" t="s">
        <v>36</v>
      </c>
      <c r="H2436" s="1" t="s">
        <v>29</v>
      </c>
      <c r="I2436" s="1" t="str">
        <f ca="1">IFERROR(__xludf.DUMMYFUNCTION("GOOGLETRANSLATE(F2436, ""auto"", ""en"")
"),"We bought this model 6 years ago, and it still serves faithfully today! Very quiet, super powerful, and doesn’t leave a trace of dog hair after just one swipe! I recommend the model, if you have doubts, test it in the storep&gt;")</f>
        <v>We bought this model 6 years ago, and it still serves faithfully today! Very quiet, super powerful, and doesn’t leave a trace of dog hair after just one swipe! I recommend the model, if you have doubts, test it in the storep&gt;</v>
      </c>
    </row>
    <row r="2437" spans="1:9" x14ac:dyDescent="0.3">
      <c r="A2437" s="1" t="s">
        <v>43</v>
      </c>
      <c r="B2437" s="1" t="s">
        <v>303</v>
      </c>
      <c r="C2437" s="1" t="s">
        <v>665</v>
      </c>
      <c r="D2437" s="1" t="s">
        <v>139</v>
      </c>
      <c r="E2437" s="1" t="s">
        <v>248</v>
      </c>
      <c r="F2437" s="1" t="s">
        <v>4758</v>
      </c>
      <c r="G2437" s="1" t="s">
        <v>36</v>
      </c>
      <c r="H2437" s="1" t="s">
        <v>29</v>
      </c>
      <c r="I2437" s="1" t="str">
        <f ca="1">IFERROR(__xludf.DUMMYFUNCTION("GOOGLETRANSLATE(F2437, ""auto"", ""en"")
"),"The heater pleased me with its good quality and neat execution, as well as a rather funny translation of the instructions. There are no complaints about the work &amp;mdash; works like a clock. I'm happy as an elephant, neat, nice outer covering. I'm happy wi"&amp;"th the purchase.")</f>
        <v>The heater pleased me with its good quality and neat execution, as well as a rather funny translation of the instructions. There are no complaints about the work &amp;mdash; works like a clock. I'm happy as an elephant, neat, nice outer covering. I'm happy with the purchase.</v>
      </c>
    </row>
    <row r="2438" spans="1:9" x14ac:dyDescent="0.3">
      <c r="A2438" s="1" t="s">
        <v>9</v>
      </c>
      <c r="B2438" s="1" t="s">
        <v>10</v>
      </c>
      <c r="C2438" s="1" t="s">
        <v>4759</v>
      </c>
      <c r="D2438" s="1" t="s">
        <v>152</v>
      </c>
      <c r="E2438" s="1" t="s">
        <v>4760</v>
      </c>
      <c r="F2438" s="1" t="s">
        <v>2268</v>
      </c>
      <c r="G2438" s="1" t="s">
        <v>49</v>
      </c>
      <c r="H2438" s="1" t="s">
        <v>16</v>
      </c>
      <c r="I2438" s="1" t="str">
        <f ca="1">IFERROR(__xludf.DUMMYFUNCTION("GOOGLETRANSLATE(F2438, ""auto"", ""en"")
"),"No")</f>
        <v>No</v>
      </c>
    </row>
    <row r="2439" spans="1:9" x14ac:dyDescent="0.3">
      <c r="A2439" s="1" t="s">
        <v>37</v>
      </c>
      <c r="B2439" s="1" t="s">
        <v>38</v>
      </c>
      <c r="C2439" s="1" t="s">
        <v>39</v>
      </c>
      <c r="D2439" s="1" t="s">
        <v>3253</v>
      </c>
      <c r="E2439" s="1" t="s">
        <v>1012</v>
      </c>
      <c r="F2439" s="1" t="s">
        <v>4761</v>
      </c>
      <c r="G2439" s="1" t="s">
        <v>28</v>
      </c>
      <c r="H2439" s="1" t="s">
        <v>29</v>
      </c>
      <c r="I2439" s="1" t="str">
        <f ca="1">IFERROR(__xludf.DUMMYFUNCTION("GOOGLETRANSLATE(F2439, ""auto"", ""en"")
"),"I bought this phone 2 days ago on Ryazanka, if you don’t take into account that they brought me the first phone used, and the second one was on their display and without a memory card included, then overall nothing... it’s a little buggy if the memory is "&amp;"full and there are only 100mb free. Check the package carefully!!! They returned 1GB to me, having pulled it out of another sonar in front of my eyes, they also assembled the box, there was nothing except charging, they wanted to give me a regular headset"&amp;"...")</f>
        <v>I bought this phone 2 days ago on Ryazanka, if you don’t take into account that they brought me the first phone used, and the second one was on their display and without a memory card included, then overall nothing... it’s a little buggy if the memory is full and there are only 100mb free. Check the package carefully!!! They returned 1GB to me, having pulled it out of another sonar in front of my eyes, they also assembled the box, there was nothing except charging, they wanted to give me a regular headset...</v>
      </c>
    </row>
    <row r="2440" spans="1:9" x14ac:dyDescent="0.3">
      <c r="A2440" s="1" t="s">
        <v>369</v>
      </c>
      <c r="B2440" s="1" t="s">
        <v>2480</v>
      </c>
      <c r="C2440" s="1" t="s">
        <v>453</v>
      </c>
      <c r="D2440" s="1" t="s">
        <v>46</v>
      </c>
      <c r="E2440" s="1" t="s">
        <v>775</v>
      </c>
      <c r="F2440" s="1" t="s">
        <v>4762</v>
      </c>
      <c r="G2440" s="1" t="s">
        <v>49</v>
      </c>
      <c r="H2440" s="1" t="s">
        <v>16</v>
      </c>
      <c r="I2440" s="1" t="str">
        <f ca="1">IFERROR(__xludf.DUMMYFUNCTION("GOOGLETRANSLATE(F2440, ""auto"", ""en"")
"),"We bought a tile and after 2 weeks it broke.")</f>
        <v>We bought a tile and after 2 weeks it broke.</v>
      </c>
    </row>
    <row r="2441" spans="1:9" x14ac:dyDescent="0.3">
      <c r="A2441" s="1" t="s">
        <v>9</v>
      </c>
      <c r="B2441" s="1" t="s">
        <v>23</v>
      </c>
      <c r="C2441" s="1" t="s">
        <v>466</v>
      </c>
      <c r="D2441" s="1" t="s">
        <v>52</v>
      </c>
      <c r="E2441" s="1" t="s">
        <v>4763</v>
      </c>
      <c r="F2441" s="1" t="s">
        <v>4764</v>
      </c>
      <c r="G2441" s="1" t="s">
        <v>49</v>
      </c>
      <c r="H2441" s="1" t="s">
        <v>16</v>
      </c>
      <c r="I2441" s="1" t="str">
        <f ca="1">IFERROR(__xludf.DUMMYFUNCTION("GOOGLETRANSLATE(F2441, ""auto"", ""en"")
"),"Error E3 keeps popping up. Therefore, the machine does not wash the dishes. There is no point in buying such a product.")</f>
        <v>Error E3 keeps popping up. Therefore, the machine does not wash the dishes. There is no point in buying such a product.</v>
      </c>
    </row>
    <row r="2442" spans="1:9" x14ac:dyDescent="0.3">
      <c r="A2442" s="1" t="s">
        <v>61</v>
      </c>
      <c r="B2442" s="1" t="s">
        <v>726</v>
      </c>
      <c r="C2442" s="1" t="s">
        <v>122</v>
      </c>
      <c r="D2442" s="1" t="s">
        <v>247</v>
      </c>
      <c r="E2442" s="1" t="s">
        <v>2882</v>
      </c>
      <c r="F2442" s="1" t="s">
        <v>4765</v>
      </c>
      <c r="G2442" s="1" t="s">
        <v>49</v>
      </c>
      <c r="H2442" s="1" t="s">
        <v>16</v>
      </c>
      <c r="I2442" s="1" t="str">
        <f ca="1">IFERROR(__xludf.DUMMYFUNCTION("GOOGLETRANSLATE(F2442, ""auto"", ""en"")
"),"I didn't like this model at all. The dough doesn't knead well and the bread doesn't bake properly.")</f>
        <v>I didn't like this model at all. The dough doesn't knead well and the bread doesn't bake properly.</v>
      </c>
    </row>
    <row r="2443" spans="1:9" x14ac:dyDescent="0.3">
      <c r="A2443" s="1" t="s">
        <v>105</v>
      </c>
      <c r="B2443" s="1" t="s">
        <v>106</v>
      </c>
      <c r="C2443" s="1" t="s">
        <v>1921</v>
      </c>
      <c r="D2443" s="1" t="s">
        <v>4766</v>
      </c>
      <c r="E2443" s="1" t="s">
        <v>594</v>
      </c>
      <c r="F2443" s="1" t="s">
        <v>4767</v>
      </c>
      <c r="G2443" s="1" t="s">
        <v>36</v>
      </c>
      <c r="H2443" s="1" t="s">
        <v>29</v>
      </c>
      <c r="I2443" s="1" t="str">
        <f ca="1">IFERROR(__xludf.DUMMYFUNCTION("GOOGLETRANSLATE(F2443, ""auto"", ""en"")
"),"The player is excellent, the sound is ok, especially with PlayFx. However, the screen is very scratched, it is not intended for games. The FM transmitter is what makes me happy. large screen 2.8")</f>
        <v>The player is excellent, the sound is ok, especially with PlayFx. However, the screen is very scratched, it is not intended for games. The FM transmitter is what makes me happy. large screen 2.8</v>
      </c>
    </row>
    <row r="2444" spans="1:9" x14ac:dyDescent="0.3">
      <c r="A2444" s="1" t="s">
        <v>95</v>
      </c>
      <c r="B2444" s="1" t="s">
        <v>648</v>
      </c>
      <c r="C2444" s="1" t="s">
        <v>97</v>
      </c>
      <c r="D2444" s="1" t="s">
        <v>4768</v>
      </c>
      <c r="E2444" s="1" t="s">
        <v>2236</v>
      </c>
      <c r="F2444" s="1" t="s">
        <v>4769</v>
      </c>
      <c r="G2444" s="1" t="s">
        <v>36</v>
      </c>
      <c r="H2444" s="1" t="s">
        <v>29</v>
      </c>
      <c r="I2444" s="1" t="str">
        <f ca="1">IFERROR(__xludf.DUMMYFUNCTION("GOOGLETRANSLATE(F2444, ""auto"", ""en"")
"),"Super console!!! And by the way, on PSN you can also enjoy games, because if you bought a game, a red bag appears under the game and this means that this file can be downloaded endlessly!")</f>
        <v>Super console!!! And by the way, on PSN you can also enjoy games, because if you bought a game, a red bag appears under the game and this means that this file can be downloaded endlessly!</v>
      </c>
    </row>
    <row r="2445" spans="1:9" x14ac:dyDescent="0.3">
      <c r="A2445" s="1" t="s">
        <v>61</v>
      </c>
      <c r="B2445" s="1" t="s">
        <v>318</v>
      </c>
      <c r="C2445" s="1" t="s">
        <v>85</v>
      </c>
      <c r="D2445" s="1" t="s">
        <v>295</v>
      </c>
      <c r="E2445" s="1" t="s">
        <v>4770</v>
      </c>
      <c r="F2445" s="1" t="s">
        <v>4771</v>
      </c>
      <c r="G2445" s="1" t="s">
        <v>15</v>
      </c>
      <c r="H2445" s="1" t="s">
        <v>16</v>
      </c>
      <c r="I2445" s="1" t="str">
        <f ca="1">IFERROR(__xludf.DUMMYFUNCTION("GOOGLETRANSLATE(F2445, ""auto"", ""en"")
"),"Two years passed and I took out my old electric kettle. It turned out that it is much quieter than Bork. The Bork warranty is 2 years, there were 9 days left until the end, it’s good that I remembered this in time! I'm waiting to see what they say!  Every"&amp;"thing was fine at the very beginning, I took it because of the name and the temperature (convenient), after a year it started to turn off on its own without boiling, although I put it on boiling or boiling, I won’t turn it off myself! The lid began to ope"&amp;"n on its own! But the last straw was when I noticed chips on the plastic parts: on the lids, on the sides where you can see the water level! And this is not from impacts (they have never dropped it at all)! And I only found out that there was a strong noi"&amp;"se in comparison when I took out the old kettle! In general, I’m waiting for a response from the service that they will say it’s really interesting! And for those who read the reviews and are thinking about buying this kettle, I recommend looking at anoth"&amp;"er one! Well, this one is not worth that kind of money! I generally like Bork, I have a Bork vacuum cleaner, I like it!")</f>
        <v>Two years passed and I took out my old electric kettle. It turned out that it is much quieter than Bork. The Bork warranty is 2 years, there were 9 days left until the end, it’s good that I remembered this in time! I'm waiting to see what they say!  Everything was fine at the very beginning, I took it because of the name and the temperature (convenient), after a year it started to turn off on its own without boiling, although I put it on boiling or boiling, I won’t turn it off myself! The lid began to open on its own! But the last straw was when I noticed chips on the plastic parts: on the lids, on the sides where you can see the water level! And this is not from impacts (they have never dropped it at all)! And I only found out that there was a strong noise in comparison when I took out the old kettle! In general, I’m waiting for a response from the service that they will say it’s really interesting! And for those who read the reviews and are thinking about buying this kettle, I recommend looking at another one! Well, this one is not worth that kind of money! I generally like Bork, I have a Bork vacuum cleaner, I like it!</v>
      </c>
    </row>
    <row r="2446" spans="1:9" x14ac:dyDescent="0.3">
      <c r="A2446" s="1" t="s">
        <v>37</v>
      </c>
      <c r="B2446" s="1" t="s">
        <v>536</v>
      </c>
      <c r="C2446" s="1" t="s">
        <v>537</v>
      </c>
      <c r="D2446" s="1" t="s">
        <v>81</v>
      </c>
      <c r="E2446" s="1" t="s">
        <v>1359</v>
      </c>
      <c r="F2446" s="1" t="s">
        <v>4772</v>
      </c>
      <c r="G2446" s="1" t="s">
        <v>28</v>
      </c>
      <c r="H2446" s="1" t="s">
        <v>29</v>
      </c>
      <c r="I2446" s="1" t="str">
        <f ca="1">IFERROR(__xludf.DUMMYFUNCTION("GOOGLETRANSLATE(F2446, ""auto"", ""en"")
"),"The opinion is mixed... On the plus side: the device is stable, fast, everything that is stated works with a bang. If something doesn’t work, then the owner of the hand needs to insert it in the right place and everything will work out. The battery is of "&amp;"course rather weak, but for its capacity it is quite normal, here everything depends on the size of the case, you have to pay for the small dimensions... Although at full load, i.e. Without letting go of your hands it holds for no less than 5 hours, the s"&amp;"tandby mode is generally a fairy tale, with GPRS and BT turned on no more than 2-3% per night, and the battery is already 9 months old.  The downside is that the body is scratched literally with bare hands, not very noticeable, but unpleasant. Many people"&amp;" have a problem with dust under the screen, but this seems to be a problem with the first batches; I don’t have it. I don’t have any more stains on the wheelbarrow either. But another problem arose: the aluminum coating under the buttons on the left side "&amp;"began to swell (after 9 months of operation), as it turned out, not only for me and in the same place... In general, how lucky is anyone?")</f>
        <v>The opinion is mixed... On the plus side: the device is stable, fast, everything that is stated works with a bang. If something doesn’t work, then the owner of the hand needs to insert it in the right place and everything will work out. The battery is of course rather weak, but for its capacity it is quite normal, here everything depends on the size of the case, you have to pay for the small dimensions... Although at full load, i.e. Without letting go of your hands it holds for no less than 5 hours, the standby mode is generally a fairy tale, with GPRS and BT turned on no more than 2-3% per night, and the battery is already 9 months old.  The downside is that the body is scratched literally with bare hands, not very noticeable, but unpleasant. Many people have a problem with dust under the screen, but this seems to be a problem with the first batches; I don’t have it. I don’t have any more stains on the wheelbarrow either. But another problem arose: the aluminum coating under the buttons on the left side began to swell (after 9 months of operation), as it turned out, not only for me and in the same place... In general, how lucky is anyone?</v>
      </c>
    </row>
    <row r="2447" spans="1:9" x14ac:dyDescent="0.3">
      <c r="A2447" s="1" t="s">
        <v>17</v>
      </c>
      <c r="B2447" s="1" t="s">
        <v>18</v>
      </c>
      <c r="C2447" s="1" t="s">
        <v>19</v>
      </c>
      <c r="D2447" s="1" t="s">
        <v>4773</v>
      </c>
      <c r="E2447" s="1" t="s">
        <v>4295</v>
      </c>
      <c r="F2447" s="1" t="s">
        <v>4774</v>
      </c>
      <c r="G2447" s="1" t="s">
        <v>36</v>
      </c>
      <c r="H2447" s="1" t="s">
        <v>29</v>
      </c>
      <c r="I2447" s="1" t="str">
        <f ca="1">IFERROR(__xludf.DUMMYFUNCTION("GOOGLETRANSLATE(F2447, ""auto"", ""en"")
"),"good ")</f>
        <v xml:space="preserve">good </v>
      </c>
    </row>
    <row r="2448" spans="1:9" x14ac:dyDescent="0.3">
      <c r="A2448" s="1" t="s">
        <v>557</v>
      </c>
      <c r="B2448" s="1" t="s">
        <v>558</v>
      </c>
      <c r="C2448" s="1" t="s">
        <v>122</v>
      </c>
      <c r="D2448" s="1" t="s">
        <v>545</v>
      </c>
      <c r="E2448" s="1" t="s">
        <v>2153</v>
      </c>
      <c r="F2448" s="1" t="s">
        <v>4775</v>
      </c>
      <c r="G2448" s="1" t="s">
        <v>36</v>
      </c>
      <c r="H2448" s="1" t="s">
        <v>29</v>
      </c>
      <c r="I2448" s="1" t="str">
        <f ca="1">IFERROR(__xludf.DUMMYFUNCTION("GOOGLETRANSLATE(F2448, ""auto"", ""en"")
"),"It’s a good phone. We’ve been using it for 1.5 years now and it’s never let us down! Today my husband went to buy the same phone (only completely black) as a gift for a relative on New Year’s Eve!!)")</f>
        <v>It’s a good phone. We’ve been using it for 1.5 years now and it’s never let us down! Today my husband went to buy the same phone (only completely black) as a gift for a relative on New Year’s Eve!!)</v>
      </c>
    </row>
    <row r="2449" spans="1:9" x14ac:dyDescent="0.3">
      <c r="A2449" s="1" t="s">
        <v>105</v>
      </c>
      <c r="B2449" s="1" t="s">
        <v>106</v>
      </c>
      <c r="C2449" s="1" t="s">
        <v>97</v>
      </c>
      <c r="D2449" s="1" t="s">
        <v>4776</v>
      </c>
      <c r="E2449" s="1" t="s">
        <v>626</v>
      </c>
      <c r="F2449" s="1" t="s">
        <v>4777</v>
      </c>
      <c r="G2449" s="1" t="s">
        <v>36</v>
      </c>
      <c r="H2449" s="1" t="s">
        <v>29</v>
      </c>
      <c r="I2449" s="1" t="str">
        <f ca="1">IFERROR(__xludf.DUMMYFUNCTION("GOOGLETRANSLATE(F2449, ""auto"", ""en"")
"),"Great player. Excellent sound (I use Sinheiser headphones). When choosing this player, it makes sense to pay attention to the display case with headphones.")</f>
        <v>Great player. Excellent sound (I use Sinheiser headphones). When choosing this player, it makes sense to pay attention to the display case with headphones.</v>
      </c>
    </row>
    <row r="2450" spans="1:9" x14ac:dyDescent="0.3">
      <c r="A2450" s="1" t="s">
        <v>89</v>
      </c>
      <c r="B2450" s="1" t="s">
        <v>231</v>
      </c>
      <c r="C2450" s="1" t="s">
        <v>1072</v>
      </c>
      <c r="D2450" s="1" t="s">
        <v>327</v>
      </c>
      <c r="E2450" s="1" t="s">
        <v>4778</v>
      </c>
      <c r="F2450" s="1" t="s">
        <v>4779</v>
      </c>
      <c r="G2450" s="1" t="s">
        <v>36</v>
      </c>
      <c r="H2450" s="1" t="s">
        <v>29</v>
      </c>
      <c r="I2450" s="1" t="str">
        <f ca="1">IFERROR(__xludf.DUMMYFUNCTION("GOOGLETRANSLATE(F2450, ""auto"", ""en"")
"),"I have been using this model for several months and have never regretted the purchase. The coffee is simply excellent!   Before purchasing, I drank coffee from different coffee machines, and I was always confused by the strange metallic aftertaste. I foun"&amp;"d out that Saeco uses ceramic millstones, unlike other companies, which allows me to get rid of the aftertaste problem. I bought it, drink it and enjoy it!   I would also like to note the ease of operation and maintenance of this device; the cooking unit "&amp;"can be cleaned in a couple of minutes.  My rating is 5+, I recommend it to everyone!")</f>
        <v>I have been using this model for several months and have never regretted the purchase. The coffee is simply excellent!   Before purchasing, I drank coffee from different coffee machines, and I was always confused by the strange metallic aftertaste. I found out that Saeco uses ceramic millstones, unlike other companies, which allows me to get rid of the aftertaste problem. I bought it, drink it and enjoy it!   I would also like to note the ease of operation and maintenance of this device; the cooking unit can be cleaned in a couple of minutes.  My rating is 5+, I recommend it to everyone!</v>
      </c>
    </row>
    <row r="2451" spans="1:9" x14ac:dyDescent="0.3">
      <c r="A2451" s="1" t="s">
        <v>9</v>
      </c>
      <c r="B2451" s="1" t="s">
        <v>137</v>
      </c>
      <c r="C2451" s="1" t="s">
        <v>63</v>
      </c>
      <c r="D2451" s="1" t="s">
        <v>2728</v>
      </c>
      <c r="E2451" s="1" t="s">
        <v>4780</v>
      </c>
      <c r="F2451" s="1" t="s">
        <v>4781</v>
      </c>
      <c r="G2451" s="1" t="s">
        <v>36</v>
      </c>
      <c r="H2451" s="1" t="s">
        <v>29</v>
      </c>
      <c r="I2451" s="1" t="str">
        <f ca="1">IFERROR(__xludf.DUMMYFUNCTION("GOOGLETRANSLATE(F2451, ""auto"", ""en"")
"),"Great price for this model, just super! And I also got a discount, so I’m terribly happy! Thank you also for the prompt delivery and installation assistance. I have a small one-room apartment, so I always do everything possible to somehow save space both "&amp;"in the kitchen and in the room. So, with the help of a small panel this can be done perfectly. It uses gas very economically; my previous stove immediately produced a huge flame, which is, firstly, dangerous, and secondly, it consumes a lot of gas. There "&amp;"is no such thing here. The color is beautiful and non-staining, the panel is made of stainless steel.")</f>
        <v>Great price for this model, just super! And I also got a discount, so I’m terribly happy! Thank you also for the prompt delivery and installation assistance. I have a small one-room apartment, so I always do everything possible to somehow save space both in the kitchen and in the room. So, with the help of a small panel this can be done perfectly. It uses gas very economically; my previous stove immediately produced a huge flame, which is, firstly, dangerous, and secondly, it consumes a lot of gas. There is no such thing here. The color is beautiful and non-staining, the panel is made of stainless steel.</v>
      </c>
    </row>
    <row r="2452" spans="1:9" x14ac:dyDescent="0.3">
      <c r="A2452" s="1" t="s">
        <v>211</v>
      </c>
      <c r="B2452" s="1" t="s">
        <v>515</v>
      </c>
      <c r="C2452" s="1" t="s">
        <v>69</v>
      </c>
      <c r="D2452" s="1" t="s">
        <v>589</v>
      </c>
      <c r="E2452" s="1" t="s">
        <v>969</v>
      </c>
      <c r="F2452" s="1" t="s">
        <v>4782</v>
      </c>
      <c r="G2452" s="1" t="s">
        <v>28</v>
      </c>
      <c r="H2452" s="1" t="s">
        <v>29</v>
      </c>
      <c r="I2452" s="1" t="str">
        <f ca="1">IFERROR(__xludf.DUMMYFUNCTION("GOOGLETRANSLATE(F2452, ""auto"", ""en"")
"),"My birthday was on July 25th. I took the only one that was in Lenta. The epilator is wonderful, I'm happy with the purchase. Epilation is not very painful. The presence of two speeds allows you to choose the optimal one. I first use the 2nd speed, and to "&amp;"remove the remaining hairs it is convenient to use the 1st speed. There are no red spots left on the skin. Total time on two legs from heels to hips is 25 minutes. When using a trimmer for sensitive areas (when epilating the bikini area and armpits), the "&amp;"pain is more intense. The downside is that the epilator is mains powered, while the small one runs on batteries. I would prefer a battery and charging from the mains.")</f>
        <v>My birthday was on July 25th. I took the only one that was in Lenta. The epilator is wonderful, I'm happy with the purchase. Epilation is not very painful. The presence of two speeds allows you to choose the optimal one. I first use the 2nd speed, and to remove the remaining hairs it is convenient to use the 1st speed. There are no red spots left on the skin. Total time on two legs from heels to hips is 25 minutes. When using a trimmer for sensitive areas (when epilating the bikini area and armpits), the pain is more intense. The downside is that the epilator is mains powered, while the small one runs on batteries. I would prefer a battery and charging from the mains.</v>
      </c>
    </row>
    <row r="2453" spans="1:9" x14ac:dyDescent="0.3">
      <c r="A2453" s="1" t="s">
        <v>149</v>
      </c>
      <c r="B2453" s="1" t="s">
        <v>155</v>
      </c>
      <c r="C2453" s="1" t="s">
        <v>151</v>
      </c>
      <c r="D2453" s="1" t="s">
        <v>326</v>
      </c>
      <c r="E2453" s="1" t="s">
        <v>4783</v>
      </c>
      <c r="F2453" s="1" t="s">
        <v>4784</v>
      </c>
      <c r="G2453" s="1" t="s">
        <v>36</v>
      </c>
      <c r="H2453" s="1" t="s">
        <v>29</v>
      </c>
      <c r="I2453" s="1" t="str">
        <f ca="1">IFERROR(__xludf.DUMMYFUNCTION("GOOGLETRANSLATE(F2453, ""auto"", ""en"")
"),"I read all the reviews on this model. As always, there are no comrades according to taste and color. If you're lucky, marriage is everywhere. I personally have been using this vacuum cleaner for a year and I have no complaints about it. The suction power "&amp;"is excellent, I have never used it at full power either. The fact that the container fills up quickly most likely depends on how large an area each person cleans, and if there are also animals in the house... the container fills up in about 8 cleanings, e"&amp;"mptying it of garbage is not so difficult. I wash the filter under the container 1-2 times a quarter. The hose detaches from the vacuum cleaner easily, does not jam anything, I stepped on the hose itself several times, but did not notice any deformation. "&amp;"In general, I have never liked or bought Korean equipment, but I am 100% satisfied with this product.")</f>
        <v>I read all the reviews on this model. As always, there are no comrades according to taste and color. If you're lucky, marriage is everywhere. I personally have been using this vacuum cleaner for a year and I have no complaints about it. The suction power is excellent, I have never used it at full power either. The fact that the container fills up quickly most likely depends on how large an area each person cleans, and if there are also animals in the house... the container fills up in about 8 cleanings, emptying it of garbage is not so difficult. I wash the filter under the container 1-2 times a quarter. The hose detaches from the vacuum cleaner easily, does not jam anything, I stepped on the hose itself several times, but did not notice any deformation. In general, I have never liked or bought Korean equipment, but I am 100% satisfied with this product.</v>
      </c>
    </row>
    <row r="2454" spans="1:9" x14ac:dyDescent="0.3">
      <c r="A2454" s="1" t="s">
        <v>17</v>
      </c>
      <c r="B2454" s="1" t="s">
        <v>18</v>
      </c>
      <c r="C2454" s="1" t="s">
        <v>885</v>
      </c>
      <c r="D2454" s="1" t="s">
        <v>273</v>
      </c>
      <c r="E2454" s="1" t="s">
        <v>2706</v>
      </c>
      <c r="F2454" s="1" t="s">
        <v>4785</v>
      </c>
      <c r="G2454" s="1" t="s">
        <v>15</v>
      </c>
      <c r="H2454" s="1" t="s">
        <v>16</v>
      </c>
      <c r="I2454" s="1" t="str">
        <f ca="1">IFERROR(__xludf.DUMMYFUNCTION("GOOGLETRANSLATE(F2454, ""auto"", ""en"")
"),"It doesn’t always complete the program, doesn’t wash away dirt, the whole apartment rattles when squeezing, and even when we just bought it, it turned out that the start button doesn’t work, we replaced it without any problems, but we discovered the rest "&amp;"over time. Now I no longer want to buy anything from this company... I was always too lazy to write any reviews, but here again the machine did not work, and my patience simply ran out!")</f>
        <v>It doesn’t always complete the program, doesn’t wash away dirt, the whole apartment rattles when squeezing, and even when we just bought it, it turned out that the start button doesn’t work, we replaced it without any problems, but we discovered the rest over time. Now I no longer want to buy anything from this company... I was always too lazy to write any reviews, but here again the machine did not work, and my patience simply ran out!</v>
      </c>
    </row>
    <row r="2455" spans="1:9" x14ac:dyDescent="0.3">
      <c r="A2455" s="1" t="s">
        <v>624</v>
      </c>
      <c r="B2455" s="1" t="s">
        <v>625</v>
      </c>
      <c r="C2455" s="1" t="s">
        <v>479</v>
      </c>
      <c r="D2455" s="1" t="s">
        <v>280</v>
      </c>
      <c r="E2455" s="1" t="s">
        <v>4540</v>
      </c>
      <c r="F2455" s="1" t="s">
        <v>4786</v>
      </c>
      <c r="G2455" s="1" t="s">
        <v>15</v>
      </c>
      <c r="H2455" s="1" t="s">
        <v>16</v>
      </c>
      <c r="I2455" s="1" t="str">
        <f ca="1">IFERROR(__xludf.DUMMYFUNCTION("GOOGLETRANSLATE(F2455, ""auto"", ""en"")
"),"For me, the game is weak 2, the graphics are simply terrible, at max resolution 720x576 it looks simply pathetic, a picture of this level is acceptable in games of 2001-2003, but no more. As the game progresses, there are “brakes” and freezes; when switch"&amp;"ing from the menu to the game, the whole system froze, I had to reboot it with a button on the console. In general, the choice is yours.")</f>
        <v>For me, the game is weak 2, the graphics are simply terrible, at max resolution 720x576 it looks simply pathetic, a picture of this level is acceptable in games of 2001-2003, but no more. As the game progresses, there are “brakes” and freezes; when switching from the menu to the game, the whole system froze, I had to reboot it with a button on the console. In general, the choice is yours.</v>
      </c>
    </row>
    <row r="2456" spans="1:9" x14ac:dyDescent="0.3">
      <c r="A2456" s="1" t="s">
        <v>61</v>
      </c>
      <c r="B2456" s="1" t="s">
        <v>726</v>
      </c>
      <c r="C2456" s="1" t="s">
        <v>74</v>
      </c>
      <c r="D2456" s="1" t="s">
        <v>3253</v>
      </c>
      <c r="E2456" s="1" t="s">
        <v>727</v>
      </c>
      <c r="F2456" s="1" t="s">
        <v>4787</v>
      </c>
      <c r="G2456" s="1" t="s">
        <v>28</v>
      </c>
      <c r="H2456" s="1" t="s">
        <v>29</v>
      </c>
      <c r="I2456" s="1" t="str">
        <f ca="1">IFERROR(__xludf.DUMMYFUNCTION("GOOGLETRANSLATE(F2456, ""auto"", ""en"")
"),"I have been using this bread maker for a week. The top crust of the bread is very pale. You need to finish baking it on program 12. The bread itself is very tasty. I really liked the lemon cake. Just super!!! Tender. soft.")</f>
        <v>I have been using this bread maker for a week. The top crust of the bread is very pale. You need to finish baking it on program 12. The bread itself is very tasty. I really liked the lemon cake. Just super!!! Tender. soft.</v>
      </c>
    </row>
    <row r="2457" spans="1:9" x14ac:dyDescent="0.3">
      <c r="A2457" s="1" t="s">
        <v>43</v>
      </c>
      <c r="B2457" s="1" t="s">
        <v>502</v>
      </c>
      <c r="C2457" s="1" t="s">
        <v>159</v>
      </c>
      <c r="D2457" s="1" t="s">
        <v>305</v>
      </c>
      <c r="E2457" s="1" t="s">
        <v>2998</v>
      </c>
      <c r="F2457" s="1" t="s">
        <v>4788</v>
      </c>
      <c r="G2457" s="1" t="s">
        <v>36</v>
      </c>
      <c r="H2457" s="1" t="s">
        <v>29</v>
      </c>
      <c r="I2457" s="1" t="str">
        <f ca="1">IFERROR(__xludf.DUMMYFUNCTION("GOOGLETRANSLATE(F2457, ""auto"", ""en"")
"),"This model was installed today! Works great, very quiet even in turbo mode. A room of 20 sq m copes with a bang! I recommend it to everyone! The remote control deserves special praise; using the backlit remote control screen at night is an invaluable opti"&amp;"on! Great model!")</f>
        <v>This model was installed today! Works great, very quiet even in turbo mode. A room of 20 sq m copes with a bang! I recommend it to everyone! The remote control deserves special praise; using the backlit remote control screen at night is an invaluable option! Great model!</v>
      </c>
    </row>
    <row r="2458" spans="1:9" x14ac:dyDescent="0.3">
      <c r="A2458" s="1" t="s">
        <v>61</v>
      </c>
      <c r="B2458" s="1" t="s">
        <v>224</v>
      </c>
      <c r="C2458" s="1" t="s">
        <v>85</v>
      </c>
      <c r="D2458" s="1" t="s">
        <v>1605</v>
      </c>
      <c r="E2458" s="1" t="s">
        <v>4789</v>
      </c>
      <c r="F2458" s="1" t="s">
        <v>4790</v>
      </c>
      <c r="G2458" s="1" t="s">
        <v>36</v>
      </c>
      <c r="H2458" s="1" t="s">
        <v>29</v>
      </c>
      <c r="I2458" s="1" t="str">
        <f ca="1">IFERROR(__xludf.DUMMYFUNCTION("GOOGLETRANSLATE(F2458, ""auto"", ""en"")
"),"Convenient to use, wrings out well, easy to clean.")</f>
        <v>Convenient to use, wrings out well, easy to clean.</v>
      </c>
    </row>
    <row r="2459" spans="1:9" x14ac:dyDescent="0.3">
      <c r="A2459" s="1" t="s">
        <v>373</v>
      </c>
      <c r="B2459" s="1" t="s">
        <v>374</v>
      </c>
      <c r="C2459" s="1" t="s">
        <v>159</v>
      </c>
      <c r="D2459" s="1" t="s">
        <v>305</v>
      </c>
      <c r="E2459" s="1" t="s">
        <v>2529</v>
      </c>
      <c r="F2459" s="1" t="s">
        <v>4791</v>
      </c>
      <c r="G2459" s="1" t="s">
        <v>36</v>
      </c>
      <c r="H2459" s="1" t="s">
        <v>29</v>
      </c>
      <c r="I2459" s="1" t="str">
        <f ca="1">IFERROR(__xludf.DUMMYFUNCTION("GOOGLETRANSLATE(F2459, ""auto"", ""en"")
"),"We've been using it for a year and a half now.  Hasn't caused any trouble yet.  Nothing has broken in all this time.  Cleans quite well.  We chose it for its compact size.  Perfect for daily use in a family of 3 people.")</f>
        <v>We've been using it for a year and a half now.  Hasn't caused any trouble yet.  Nothing has broken in all this time.  Cleans quite well.  We chose it for its compact size.  Perfect for daily use in a family of 3 people.</v>
      </c>
    </row>
    <row r="2460" spans="1:9" x14ac:dyDescent="0.3">
      <c r="A2460" s="1" t="s">
        <v>37</v>
      </c>
      <c r="B2460" s="1" t="s">
        <v>38</v>
      </c>
      <c r="C2460" s="1" t="s">
        <v>151</v>
      </c>
      <c r="D2460" s="1" t="s">
        <v>4792</v>
      </c>
      <c r="E2460" s="1" t="s">
        <v>4728</v>
      </c>
      <c r="F2460" s="1" t="s">
        <v>4793</v>
      </c>
      <c r="G2460" s="1" t="s">
        <v>36</v>
      </c>
      <c r="H2460" s="1" t="s">
        <v>29</v>
      </c>
      <c r="I2460" s="1" t="str">
        <f ca="1">IFERROR(__xludf.DUMMYFUNCTION("GOOGLETRANSLATE(F2460, ""auto"", ""en"")
"),"The device even has a black list for SMS and incoming messages, as well as any blocking, you can’t just lock the phone with a password. during operation, you can simply block it (button *).    There is an automatic keyboard lock (it’s a pity that it’s onl"&amp;"y possible without a password). Profiles can be configured, there’s even an offline profile (you can’t call or get through).    You can password protect all contacts, SMS logs, SMS sending, contact logs (incoming, outgoing calls).    If you remove the bat"&amp;"tery, you will be asked to set the time/date again.    Wallpaper for sozh. do not disable, just select (1 of 3 or random).    The navigation key can only be reconfigured to left and right.    Choice of melodies 10 pcs. (primitive), including a couple of c"&amp;"alls.  For SMS - select 4 signals.  The volume is adjusted separately for incoming and SMS.    5 alarms, each regulated differently, choice of melodies, etc.    Display settings brightness\contrast, duration backlight, you can also choose one of 5 design "&amp;"themes.  Your welcome message (no more, it seems - 17 characters) So-called. Flashlight, turns on by holding nav. up keys.    Upon completion of the ref. call, the call time is displayed.    If you miss a call or SMS, you can turn on the display and see t"&amp;"he rules. an inscription indicating what was missing and from whom.    Tel. very fast, you can just fly through menus and contacts!    The quality of communication is ok, on the street you can be heard, the volume is adjusted up and down during a conversa"&amp;"tion (navigation key).    By the way, the buttons are a little tight, they won’t press in your pocket or anywhere else (maybe).    In general, everything is great for the money... That's it, I'm tired of hitting the keys here, bye everyone, thanks to Sams"&amp;"ung and M video for the phone.")</f>
        <v>The device even has a black list for SMS and incoming messages, as well as any blocking, you can’t just lock the phone with a password. during operation, you can simply block it (button *).    There is an automatic keyboard lock (it’s a pity that it’s only possible without a password). Profiles can be configured, there’s even an offline profile (you can’t call or get through).    You can password protect all contacts, SMS logs, SMS sending, contact logs (incoming, outgoing calls).    If you remove the battery, you will be asked to set the time/date again.    Wallpaper for sozh. do not disable, just select (1 of 3 or random).    The navigation key can only be reconfigured to left and right.    Choice of melodies 10 pcs. (primitive), including a couple of calls.  For SMS - select 4 signals.  The volume is adjusted separately for incoming and SMS.    5 alarms, each regulated differently, choice of melodies, etc.    Display settings brightness\contrast, duration backlight, you can also choose one of 5 design themes.  Your welcome message (no more, it seems - 17 characters) So-called. Flashlight, turns on by holding nav. up keys.    Upon completion of the ref. call, the call time is displayed.    If you miss a call or SMS, you can turn on the display and see the rules. an inscription indicating what was missing and from whom.    Tel. very fast, you can just fly through menus and contacts!    The quality of communication is ok, on the street you can be heard, the volume is adjusted up and down during a conversation (navigation key).    By the way, the buttons are a little tight, they won’t press in your pocket or anywhere else (maybe).    In general, everything is great for the money... That's it, I'm tired of hitting the keys here, bye everyone, thanks to Samsung and M video for the phone.</v>
      </c>
    </row>
    <row r="2461" spans="1:9" x14ac:dyDescent="0.3">
      <c r="A2461" s="1" t="s">
        <v>9</v>
      </c>
      <c r="B2461" s="1" t="s">
        <v>10</v>
      </c>
      <c r="C2461" s="1" t="s">
        <v>407</v>
      </c>
      <c r="D2461" s="1" t="s">
        <v>308</v>
      </c>
      <c r="E2461" s="1" t="s">
        <v>1212</v>
      </c>
      <c r="F2461" s="1" t="s">
        <v>4794</v>
      </c>
      <c r="G2461" s="1" t="s">
        <v>36</v>
      </c>
      <c r="H2461" s="1" t="s">
        <v>29</v>
      </c>
      <c r="I2461" s="1" t="str">
        <f ca="1">IFERROR(__xludf.DUMMYFUNCTION("GOOGLETRANSLATE(F2461, ""auto"", ""en"")
"),"I found where it switches so that the air goes out into the pipe. It makes a little noise, but everything is fine and it pulls well. In short, I’m happy with the hood and can recommend it.")</f>
        <v>I found where it switches so that the air goes out into the pipe. It makes a little noise, but everything is fine and it pulls well. In short, I’m happy with the hood and can recommend it.</v>
      </c>
    </row>
    <row r="2462" spans="1:9" x14ac:dyDescent="0.3">
      <c r="A2462" s="1" t="s">
        <v>17</v>
      </c>
      <c r="B2462" s="1" t="s">
        <v>18</v>
      </c>
      <c r="C2462" s="1" t="s">
        <v>134</v>
      </c>
      <c r="D2462" s="1" t="s">
        <v>12</v>
      </c>
      <c r="E2462" s="1" t="s">
        <v>4608</v>
      </c>
      <c r="F2462" s="1" t="s">
        <v>4795</v>
      </c>
      <c r="G2462" s="1" t="s">
        <v>36</v>
      </c>
      <c r="H2462" s="1" t="s">
        <v>29</v>
      </c>
      <c r="I2462" s="1" t="str">
        <f ca="1">IFERROR(__xludf.DUMMYFUNCTION("GOOGLETRANSLATE(F2462, ""auto"", ""en"")
"),"I bought this machine 1.5 years ago. I don't see any shortcomings in it. The only thing is that the programs are chosen independently, not like the Boshevskys. And the rpm is 1200 very well and it stands as if dead, does not jump.")</f>
        <v>I bought this machine 1.5 years ago. I don't see any shortcomings in it. The only thing is that the programs are chosen independently, not like the Boshevskys. And the rpm is 1200 very well and it stands as if dead, does not jump.</v>
      </c>
    </row>
    <row r="2463" spans="1:9" x14ac:dyDescent="0.3">
      <c r="A2463" s="1" t="s">
        <v>211</v>
      </c>
      <c r="B2463" s="1" t="s">
        <v>2818</v>
      </c>
      <c r="C2463" s="1" t="s">
        <v>69</v>
      </c>
      <c r="D2463" s="1" t="s">
        <v>172</v>
      </c>
      <c r="E2463" s="1" t="s">
        <v>1332</v>
      </c>
      <c r="F2463" s="1" t="s">
        <v>4796</v>
      </c>
      <c r="G2463" s="1" t="s">
        <v>15</v>
      </c>
      <c r="H2463" s="1" t="s">
        <v>16</v>
      </c>
      <c r="I2463" s="1" t="str">
        <f ca="1">IFERROR(__xludf.DUMMYFUNCTION("GOOGLETRANSLATE(F2463, ""auto"", ""en"")
"),"Pulls out stubble and irritates. After the cheap electric razor I used before this one, the current shave is annoying.")</f>
        <v>Pulls out stubble and irritates. After the cheap electric razor I used before this one, the current shave is annoying.</v>
      </c>
    </row>
    <row r="2464" spans="1:9" x14ac:dyDescent="0.3">
      <c r="A2464" s="1" t="s">
        <v>37</v>
      </c>
      <c r="B2464" s="1" t="s">
        <v>38</v>
      </c>
      <c r="C2464" s="1" t="s">
        <v>163</v>
      </c>
      <c r="D2464" s="1" t="s">
        <v>4797</v>
      </c>
      <c r="E2464" s="1" t="s">
        <v>460</v>
      </c>
      <c r="F2464" s="1" t="s">
        <v>4798</v>
      </c>
      <c r="G2464" s="1" t="s">
        <v>36</v>
      </c>
      <c r="H2464" s="1" t="s">
        <v>29</v>
      </c>
      <c r="I2464" s="1" t="str">
        <f ca="1">IFERROR(__xludf.DUMMYFUNCTION("GOOGLETRANSLATE(F2464, ""auto"", ""en"")
"),"I bought myself such a phone. It’s very convenient and cool.")</f>
        <v>I bought myself such a phone. It’s very convenient and cool.</v>
      </c>
    </row>
    <row r="2465" spans="1:9" x14ac:dyDescent="0.3">
      <c r="A2465" s="1" t="s">
        <v>120</v>
      </c>
      <c r="B2465" s="1" t="s">
        <v>121</v>
      </c>
      <c r="C2465" s="1" t="s">
        <v>80</v>
      </c>
      <c r="D2465" s="1" t="s">
        <v>33</v>
      </c>
      <c r="E2465" s="1" t="s">
        <v>1866</v>
      </c>
      <c r="F2465" s="1" t="s">
        <v>4799</v>
      </c>
      <c r="G2465" s="1" t="s">
        <v>36</v>
      </c>
      <c r="H2465" s="1" t="s">
        <v>29</v>
      </c>
      <c r="I2465" s="1" t="str">
        <f ca="1">IFERROR(__xludf.DUMMYFUNCTION("GOOGLETRANSLATE(F2465, ""auto"", ""en"")
"),"An excellent TV with excellent picture quality, a simple menu, a digital tuner, and the ability to read videos from a flash drive! Before that I had a Philips 3605/60 - a terrible “brake”, I changed it to LG, I don’t regret it!")</f>
        <v>An excellent TV with excellent picture quality, a simple menu, a digital tuner, and the ability to read videos from a flash drive! Before that I had a Philips 3605/60 - a terrible “brake”, I changed it to LG, I don’t regret it!</v>
      </c>
    </row>
    <row r="2466" spans="1:9" x14ac:dyDescent="0.3">
      <c r="A2466" s="1" t="s">
        <v>30</v>
      </c>
      <c r="B2466" s="1" t="s">
        <v>31</v>
      </c>
      <c r="C2466" s="1" t="s">
        <v>32</v>
      </c>
      <c r="D2466" s="1" t="s">
        <v>4800</v>
      </c>
      <c r="E2466" s="1" t="s">
        <v>379</v>
      </c>
      <c r="F2466" s="1" t="s">
        <v>4801</v>
      </c>
      <c r="G2466" s="1" t="s">
        <v>36</v>
      </c>
      <c r="H2466" s="1" t="s">
        <v>29</v>
      </c>
      <c r="I2466" s="1" t="str">
        <f ca="1">IFERROR(__xludf.DUMMYFUNCTION("GOOGLETRANSLATE(F2466, ""auto"", ""en"")
"),"Mega pikhor (Emva) If you don’t know, then why write anything at all???   8 GB of RAM is a lot! and she will see everything - that’s what 64-bit OSes are for! Which is the future.. they can see and work up to 64 GB of RAM!!!")</f>
        <v>Mega pikhor (Emva) If you don’t know, then why write anything at all???   8 GB of RAM is a lot! and she will see everything - that’s what 64-bit OSes are for! Which is the future.. they can see and work up to 64 GB of RAM!!!</v>
      </c>
    </row>
    <row r="2467" spans="1:9" x14ac:dyDescent="0.3">
      <c r="A2467" s="1" t="s">
        <v>451</v>
      </c>
      <c r="B2467" s="1" t="s">
        <v>452</v>
      </c>
      <c r="C2467" s="1" t="s">
        <v>453</v>
      </c>
      <c r="D2467" s="1" t="s">
        <v>589</v>
      </c>
      <c r="E2467" s="1" t="s">
        <v>323</v>
      </c>
      <c r="F2467" s="1" t="s">
        <v>4802</v>
      </c>
      <c r="G2467" s="1" t="s">
        <v>28</v>
      </c>
      <c r="H2467" s="1" t="s">
        <v>29</v>
      </c>
      <c r="I2467" s="1" t="str">
        <f ca="1">IFERROR(__xludf.DUMMYFUNCTION("GOOGLETRANSLATE(F2467, ""auto"", ""en"")
"),"Comfortable to hold ")</f>
        <v xml:space="preserve">Comfortable to hold </v>
      </c>
    </row>
    <row r="2468" spans="1:9" x14ac:dyDescent="0.3">
      <c r="A2468" s="1" t="s">
        <v>211</v>
      </c>
      <c r="B2468" s="1" t="s">
        <v>265</v>
      </c>
      <c r="C2468" s="1" t="s">
        <v>122</v>
      </c>
      <c r="D2468" s="1" t="s">
        <v>64</v>
      </c>
      <c r="E2468" s="1" t="s">
        <v>4803</v>
      </c>
      <c r="F2468" s="1" t="s">
        <v>4804</v>
      </c>
      <c r="G2468" s="1" t="s">
        <v>28</v>
      </c>
      <c r="H2468" s="1" t="s">
        <v>29</v>
      </c>
      <c r="I2468" s="1" t="str">
        <f ca="1">IFERROR(__xludf.DUMMYFUNCTION("GOOGLETRANSLATE(F2468, ""auto"", ""en"")
"),"The first impression is good. I once cut a small child's hair. One of the advantages we can immediately note is that it is not very noisy. The downside is that it quickly becomes clogged with hair, so you have to constantly brush through it. I was pleased"&amp;" that it can be washed under water and that it has the “Thinning” function. The kit includes oil that should be used to lubricate the blades after each use (see instructions).   I'll try it on my husband in the near future, let's see how it copes with his"&amp;" coarse hair.  Overall, she copes with her tasks with a solid B.")</f>
        <v>The first impression is good. I once cut a small child's hair. One of the advantages we can immediately note is that it is not very noisy. The downside is that it quickly becomes clogged with hair, so you have to constantly brush through it. I was pleased that it can be washed under water and that it has the “Thinning” function. The kit includes oil that should be used to lubricate the blades after each use (see instructions).   I'll try it on my husband in the near future, let's see how it copes with his coarse hair.  Overall, she copes with her tasks with a solid B.</v>
      </c>
    </row>
    <row r="2469" spans="1:9" x14ac:dyDescent="0.3">
      <c r="A2469" s="1" t="s">
        <v>61</v>
      </c>
      <c r="B2469" s="1" t="s">
        <v>180</v>
      </c>
      <c r="C2469" s="1" t="s">
        <v>63</v>
      </c>
      <c r="D2469" s="1" t="s">
        <v>75</v>
      </c>
      <c r="E2469" s="1" t="s">
        <v>4805</v>
      </c>
      <c r="F2469" s="1" t="s">
        <v>4806</v>
      </c>
      <c r="G2469" s="1" t="s">
        <v>15</v>
      </c>
      <c r="H2469" s="1" t="s">
        <v>16</v>
      </c>
      <c r="I2469" s="1" t="str">
        <f ca="1">IFERROR(__xludf.DUMMYFUNCTION("GOOGLETRANSLATE(F2469, ""auto"", ""en"")
"),"I read all the reviews, they were all excellent, so I went and bought it. Tried it, nightmare. On mode 6, the bread is barely fried, white, and only on one side. We thought it might be defective, so we went and exchanged it for exactly the same model. The"&amp;" same. Today we’ll go again to change to another model, which we haven’t chosen yet, we’ll probably come with a loaf of bread and fry it in the store))) But it’s a shame, I liked the design.")</f>
        <v>I read all the reviews, they were all excellent, so I went and bought it. Tried it, nightmare. On mode 6, the bread is barely fried, white, and only on one side. We thought it might be defective, so we went and exchanged it for exactly the same model. The same. Today we’ll go again to change to another model, which we haven’t chosen yet, we’ll probably come with a loaf of bread and fry it in the store))) But it’s a shame, I liked the design.</v>
      </c>
    </row>
    <row r="2470" spans="1:9" x14ac:dyDescent="0.3">
      <c r="A2470" s="1" t="s">
        <v>732</v>
      </c>
      <c r="B2470" s="1" t="s">
        <v>733</v>
      </c>
      <c r="C2470" s="1" t="s">
        <v>32</v>
      </c>
      <c r="D2470" s="1" t="s">
        <v>4807</v>
      </c>
      <c r="E2470" s="1" t="s">
        <v>3652</v>
      </c>
      <c r="F2470" s="1" t="s">
        <v>4808</v>
      </c>
      <c r="G2470" s="1" t="s">
        <v>36</v>
      </c>
      <c r="H2470" s="1" t="s">
        <v>29</v>
      </c>
      <c r="I2470" s="1" t="str">
        <f ca="1">IFERROR(__xludf.DUMMYFUNCTION("GOOGLETRANSLATE(F2470, ""auto"", ""en"")
"),"And the “size” is quite good for such money))) I don’t regret the purchase.")</f>
        <v>And the “size” is quite good for such money))) I don’t regret the purchase.</v>
      </c>
    </row>
    <row r="2471" spans="1:9" x14ac:dyDescent="0.3">
      <c r="A2471" s="1" t="s">
        <v>9</v>
      </c>
      <c r="B2471" s="1" t="s">
        <v>133</v>
      </c>
      <c r="C2471" s="1" t="s">
        <v>138</v>
      </c>
      <c r="D2471" s="1" t="s">
        <v>4809</v>
      </c>
      <c r="E2471" s="1" t="s">
        <v>3454</v>
      </c>
      <c r="F2471" s="1" t="s">
        <v>4810</v>
      </c>
      <c r="G2471" s="1" t="s">
        <v>36</v>
      </c>
      <c r="H2471" s="1" t="s">
        <v>29</v>
      </c>
      <c r="I2471" s="1" t="str">
        <f ca="1">IFERROR(__xludf.DUMMYFUNCTION("GOOGLETRANSLATE(F2471, ""auto"", ""en"")
"),"I just received this cabinet. I chose it only because I needed white. The manufacturer is reputable, and the price is quite reasonable. Well, I’ll try it and share it.")</f>
        <v>I just received this cabinet. I chose it only because I needed white. The manufacturer is reputable, and the price is quite reasonable. Well, I’ll try it and share it.</v>
      </c>
    </row>
    <row r="2472" spans="1:9" x14ac:dyDescent="0.3">
      <c r="A2472" s="1" t="s">
        <v>211</v>
      </c>
      <c r="B2472" s="1" t="s">
        <v>212</v>
      </c>
      <c r="C2472" s="1" t="s">
        <v>381</v>
      </c>
      <c r="D2472" s="1" t="s">
        <v>1055</v>
      </c>
      <c r="E2472" s="1" t="s">
        <v>2706</v>
      </c>
      <c r="F2472" s="1" t="s">
        <v>4811</v>
      </c>
      <c r="G2472" s="1" t="s">
        <v>36</v>
      </c>
      <c r="H2472" s="1" t="s">
        <v>29</v>
      </c>
      <c r="I2472" s="1" t="str">
        <f ca="1">IFERROR(__xludf.DUMMYFUNCTION("GOOGLETRANSLATE(F2472, ""auto"", ""en"")
"),"I've been using this hair dryer for 4 years! The plastic mask (nozzle) also melted and fell off, but after 3 years it also turns off, the same problem appeared after 3 years of use. But yesterday there was the last blow on the tiled floor and my favorite "&amp;"hair dryer began to smoke...(((Today I’ll run for the same one before they go out of production!!")</f>
        <v>I've been using this hair dryer for 4 years! The plastic mask (nozzle) also melted and fell off, but after 3 years it also turns off, the same problem appeared after 3 years of use. But yesterday there was the last blow on the tiled floor and my favorite hair dryer began to smoke...(((Today I’ll run for the same one before they go out of production!!</v>
      </c>
    </row>
    <row r="2473" spans="1:9" x14ac:dyDescent="0.3">
      <c r="A2473" s="1" t="s">
        <v>120</v>
      </c>
      <c r="B2473" s="1" t="s">
        <v>196</v>
      </c>
      <c r="C2473" s="1" t="s">
        <v>151</v>
      </c>
      <c r="D2473" s="1" t="s">
        <v>4812</v>
      </c>
      <c r="E2473" s="1" t="s">
        <v>532</v>
      </c>
      <c r="F2473" s="1" t="s">
        <v>4813</v>
      </c>
      <c r="G2473" s="1" t="s">
        <v>49</v>
      </c>
      <c r="H2473" s="1" t="s">
        <v>16</v>
      </c>
      <c r="I2473" s="1" t="str">
        <f ca="1">IFERROR(__xludf.DUMMYFUNCTION("GOOGLETRANSLATE(F2473, ""auto"", ""en"")
"),"After some time, the TV began to turn off on its own, at first infrequently, then several times a day, then every 10-15 minutes. It turned out that this was some kind of factory defect. The M.Video store told me to contact the Samsung service center; retu"&amp;"rning the product is impossible. Now I'll take it to the service center. I’m not sure that they will repair it quickly, because... you need to change some kind of board that is supplied to order. Don't buy Samsung equipment!")</f>
        <v>After some time, the TV began to turn off on its own, at first infrequently, then several times a day, then every 10-15 minutes. It turned out that this was some kind of factory defect. The M.Video store told me to contact the Samsung service center; returning the product is impossible. Now I'll take it to the service center. I’m not sure that they will repair it quickly, because... you need to change some kind of board that is supplied to order. Don't buy Samsung equipment!</v>
      </c>
    </row>
    <row r="2474" spans="1:9" x14ac:dyDescent="0.3">
      <c r="A2474" s="1" t="s">
        <v>211</v>
      </c>
      <c r="B2474" s="1" t="s">
        <v>410</v>
      </c>
      <c r="C2474" s="1" t="s">
        <v>69</v>
      </c>
      <c r="D2474" s="1" t="s">
        <v>4814</v>
      </c>
      <c r="E2474" s="1" t="s">
        <v>4815</v>
      </c>
      <c r="F2474" s="1" t="s">
        <v>4816</v>
      </c>
      <c r="G2474" s="1" t="s">
        <v>36</v>
      </c>
      <c r="H2474" s="1" t="s">
        <v>29</v>
      </c>
      <c r="I2474" s="1" t="str">
        <f ca="1">IFERROR(__xludf.DUMMYFUNCTION("GOOGLETRANSLATE(F2474, ""auto"", ""en"")
"),"It shaves well, but in the neck area you need to move it a couple of times.  Like. The Dutch one is another plus, the head is floating, I’m very pleased with this net. I always shave only with electric razors. Thanks to the consultant, good advice.")</f>
        <v>It shaves well, but in the neck area you need to move it a couple of times.  Like. The Dutch one is another plus, the head is floating, I’m very pleased with this net. I always shave only with electric razors. Thanks to the consultant, good advice.</v>
      </c>
    </row>
    <row r="2475" spans="1:9" x14ac:dyDescent="0.3">
      <c r="A2475" s="1" t="s">
        <v>95</v>
      </c>
      <c r="B2475" s="1" t="s">
        <v>648</v>
      </c>
      <c r="C2475" s="1" t="s">
        <v>97</v>
      </c>
      <c r="D2475" s="1" t="s">
        <v>4817</v>
      </c>
      <c r="E2475" s="1" t="s">
        <v>4818</v>
      </c>
      <c r="F2475" s="1" t="s">
        <v>4819</v>
      </c>
      <c r="G2475" s="1" t="s">
        <v>36</v>
      </c>
      <c r="H2475" s="1" t="s">
        <v>29</v>
      </c>
      <c r="I2475" s="1" t="str">
        <f ca="1">IFERROR(__xludf.DUMMYFUNCTION("GOOGLETRANSLATE(F2475, ""auto"", ""en"")
"),"Very good game, ZYZA beast!")</f>
        <v>Very good game, ZYZA beast!</v>
      </c>
    </row>
    <row r="2476" spans="1:9" x14ac:dyDescent="0.3">
      <c r="A2476" s="1" t="s">
        <v>30</v>
      </c>
      <c r="B2476" s="1" t="s">
        <v>50</v>
      </c>
      <c r="C2476" s="1" t="s">
        <v>189</v>
      </c>
      <c r="D2476" s="1" t="s">
        <v>4820</v>
      </c>
      <c r="E2476" s="1" t="s">
        <v>2126</v>
      </c>
      <c r="F2476" s="1" t="s">
        <v>4821</v>
      </c>
      <c r="G2476" s="1" t="s">
        <v>28</v>
      </c>
      <c r="H2476" s="1" t="s">
        <v>29</v>
      </c>
      <c r="I2476" s="1" t="str">
        <f ca="1">IFERROR(__xludf.DUMMYFUNCTION("GOOGLETRANSLATE(F2476, ""auto"", ""en"")
"),"The video card on the laptop is quite weak for games, because it is made for budget laptops; for such a price it would be possible to install a more powerful video card.")</f>
        <v>The video card on the laptop is quite weak for games, because it is made for budget laptops; for such a price it would be possible to install a more powerful video card.</v>
      </c>
    </row>
    <row r="2477" spans="1:9" x14ac:dyDescent="0.3">
      <c r="A2477" s="1" t="s">
        <v>2087</v>
      </c>
      <c r="B2477" s="1" t="s">
        <v>2088</v>
      </c>
      <c r="C2477" s="1" t="s">
        <v>1771</v>
      </c>
      <c r="D2477" s="1" t="s">
        <v>152</v>
      </c>
      <c r="E2477" s="1" t="s">
        <v>397</v>
      </c>
      <c r="F2477" s="1" t="s">
        <v>4822</v>
      </c>
      <c r="G2477" s="1" t="s">
        <v>28</v>
      </c>
      <c r="H2477" s="1" t="s">
        <v>29</v>
      </c>
      <c r="I2477" s="1" t="str">
        <f ca="1">IFERROR(__xludf.DUMMYFUNCTION("GOOGLETRANSLATE(F2477, ""auto"", ""en"")
"),"I’ve been using it for about nine months, overall it’s not bad, but there are a lot of shortcomings.  It takes a long time to load and in general the software was poorly updated, but the situation did not improve. The sound is worse than that of the Pione"&amp;"er LX-50.  Advice: take your time and let the company refine it a little more.")</f>
        <v>I’ve been using it for about nine months, overall it’s not bad, but there are a lot of shortcomings.  It takes a long time to load and in general the software was poorly updated, but the situation did not improve. The sound is worse than that of the Pioneer LX-50.  Advice: take your time and let the company refine it a little more.</v>
      </c>
    </row>
    <row r="2478" spans="1:9" x14ac:dyDescent="0.3">
      <c r="A2478" s="1" t="s">
        <v>61</v>
      </c>
      <c r="B2478" s="1" t="s">
        <v>318</v>
      </c>
      <c r="C2478" s="1" t="s">
        <v>101</v>
      </c>
      <c r="D2478" s="1" t="s">
        <v>39</v>
      </c>
      <c r="E2478" s="1" t="s">
        <v>817</v>
      </c>
      <c r="F2478" s="1" t="s">
        <v>4823</v>
      </c>
      <c r="G2478" s="1" t="s">
        <v>15</v>
      </c>
      <c r="H2478" s="1" t="s">
        <v>16</v>
      </c>
      <c r="I2478" s="1" t="str">
        <f ca="1">IFERROR(__xludf.DUMMYFUNCTION("GOOGLETRANSLATE(F2478, ""auto"", ""en"")
"),"The electric pump or button broke after a month. It boils in about 20 minutes. In short, the kettle is very impractical")</f>
        <v>The electric pump or button broke after a month. It boils in about 20 minutes. In short, the kettle is very impractical</v>
      </c>
    </row>
    <row r="2479" spans="1:9" x14ac:dyDescent="0.3">
      <c r="A2479" s="1" t="s">
        <v>206</v>
      </c>
      <c r="B2479" s="1" t="s">
        <v>261</v>
      </c>
      <c r="C2479" s="1" t="s">
        <v>262</v>
      </c>
      <c r="D2479" s="1" t="s">
        <v>4824</v>
      </c>
      <c r="E2479" s="1" t="s">
        <v>3718</v>
      </c>
      <c r="F2479" s="1" t="s">
        <v>4825</v>
      </c>
      <c r="G2479" s="1" t="s">
        <v>49</v>
      </c>
      <c r="H2479" s="1" t="s">
        <v>16</v>
      </c>
      <c r="I2479" s="1" t="str">
        <f ca="1">IFERROR(__xludf.DUMMYFUNCTION("GOOGLETRANSLATE(F2479, ""auto"", ""en"")
"),"I bought an antenna, connected it... what's with it, what's without it... I don't recommend buying it.")</f>
        <v>I bought an antenna, connected it... what's with it, what's without it... I don't recommend buying it.</v>
      </c>
    </row>
    <row r="2480" spans="1:9" x14ac:dyDescent="0.3">
      <c r="A2480" s="1" t="s">
        <v>169</v>
      </c>
      <c r="B2480" s="1" t="s">
        <v>170</v>
      </c>
      <c r="C2480" s="1" t="s">
        <v>122</v>
      </c>
      <c r="D2480" s="1" t="s">
        <v>39</v>
      </c>
      <c r="E2480" s="1" t="s">
        <v>4659</v>
      </c>
      <c r="F2480" s="1" t="s">
        <v>4826</v>
      </c>
      <c r="G2480" s="1" t="s">
        <v>36</v>
      </c>
      <c r="H2480" s="1" t="s">
        <v>29</v>
      </c>
      <c r="I2480" s="1" t="str">
        <f ca="1">IFERROR(__xludf.DUMMYFUNCTION("GOOGLETRANSLATE(F2480, ""auto"", ""en"")
"),"For this price category, the headphones live up to expectations. Excellent top notes, a little heavy on the bass. At maximum volume, nothing wheezes in the iPhone, it’s pleasant to listen to. Not for big ears, because... The headphones are not very big. F"&amp;"or children - this is it!")</f>
        <v>For this price category, the headphones live up to expectations. Excellent top notes, a little heavy on the bass. At maximum volume, nothing wheezes in the iPhone, it’s pleasant to listen to. Not for big ears, because... The headphones are not very big. For children - this is it!</v>
      </c>
    </row>
    <row r="2481" spans="1:9" x14ac:dyDescent="0.3">
      <c r="A2481" s="1" t="s">
        <v>1443</v>
      </c>
      <c r="B2481" s="1" t="s">
        <v>1444</v>
      </c>
      <c r="C2481" s="1" t="s">
        <v>1489</v>
      </c>
      <c r="D2481" s="1" t="s">
        <v>916</v>
      </c>
      <c r="E2481" s="1" t="s">
        <v>2514</v>
      </c>
      <c r="F2481" s="1" t="s">
        <v>4827</v>
      </c>
      <c r="G2481" s="1" t="s">
        <v>36</v>
      </c>
      <c r="H2481" s="1" t="s">
        <v>29</v>
      </c>
      <c r="I2481" s="1" t="str">
        <f ca="1">IFERROR(__xludf.DUMMYFUNCTION("GOOGLETRANSLATE(F2481, ""auto"", ""en"")
"),"I bought it for a car radio, I’ve been using it for the 3rd week now, I have no complaints, it doesn’t slow down, when connected to a radio/computer it starts working immediately and without delay. In general, everything is in order, it works like a clock"&amp;".")</f>
        <v>I bought it for a car radio, I’ve been using it for the 3rd week now, I have no complaints, it doesn’t slow down, when connected to a radio/computer it starts working immediately and without delay. In general, everything is in order, it works like a clock.</v>
      </c>
    </row>
    <row r="2482" spans="1:9" x14ac:dyDescent="0.3">
      <c r="A2482" s="1" t="s">
        <v>369</v>
      </c>
      <c r="B2482" s="1" t="s">
        <v>370</v>
      </c>
      <c r="C2482" s="1" t="s">
        <v>159</v>
      </c>
      <c r="D2482" s="1" t="s">
        <v>64</v>
      </c>
      <c r="E2482" s="1" t="s">
        <v>2011</v>
      </c>
      <c r="F2482" s="1" t="s">
        <v>4828</v>
      </c>
      <c r="G2482" s="1" t="s">
        <v>36</v>
      </c>
      <c r="H2482" s="1" t="s">
        <v>29</v>
      </c>
      <c r="I2482" s="1" t="str">
        <f ca="1">IFERROR(__xludf.DUMMYFUNCTION("GOOGLETRANSLATE(F2482, ""auto"", ""en"")
"),"We've been using it for a month, no complaints! I mainly use the oven, everything is quick and tasty :) The display is impressive, in terms of being bright and red. I really like the automatic shut off.")</f>
        <v>We've been using it for a month, no complaints! I mainly use the oven, everything is quick and tasty :) The display is impressive, in terms of being bright and red. I really like the automatic shut off.</v>
      </c>
    </row>
    <row r="2483" spans="1:9" x14ac:dyDescent="0.3">
      <c r="A2483" s="1" t="s">
        <v>1443</v>
      </c>
      <c r="B2483" s="1" t="s">
        <v>1444</v>
      </c>
      <c r="C2483" s="1" t="s">
        <v>1489</v>
      </c>
      <c r="D2483" s="1" t="s">
        <v>1188</v>
      </c>
      <c r="E2483" s="1" t="s">
        <v>2906</v>
      </c>
      <c r="F2483" s="1" t="s">
        <v>4829</v>
      </c>
      <c r="G2483" s="1" t="s">
        <v>36</v>
      </c>
      <c r="H2483" s="1" t="s">
        <v>29</v>
      </c>
      <c r="I2483" s="1" t="str">
        <f ca="1">IFERROR(__xludf.DUMMYFUNCTION("GOOGLETRANSLATE(F2483, ""auto"", ""en"")
"),"Good speed")</f>
        <v>Good speed</v>
      </c>
    </row>
    <row r="2484" spans="1:9" x14ac:dyDescent="0.3">
      <c r="A2484" s="1" t="s">
        <v>55</v>
      </c>
      <c r="B2484" s="1" t="s">
        <v>184</v>
      </c>
      <c r="C2484" s="1" t="s">
        <v>101</v>
      </c>
      <c r="D2484" s="1" t="s">
        <v>2934</v>
      </c>
      <c r="E2484" s="1" t="s">
        <v>2651</v>
      </c>
      <c r="F2484" s="1" t="s">
        <v>4830</v>
      </c>
      <c r="G2484" s="1" t="s">
        <v>36</v>
      </c>
      <c r="H2484" s="1" t="s">
        <v>29</v>
      </c>
      <c r="I2484" s="1" t="str">
        <f ca="1">IFERROR(__xludf.DUMMYFUNCTION("GOOGLETRANSLATE(F2484, ""auto"", ""en"")
"),"We bought 2 pieces for a while with the expectation that it would break, but it met all expectations. When they turned it on there was a smell of plastic for about 10 minutes and that was it, then it disappeared. Convenient handle, necessary button at the"&amp;" bottom to prevent falls, room 12 sq. warmed up in 15 minutes. Now we don’t turn on more than 1 mode, because it heats up with a bang and all this for that kind of money! Consumes little! I recommend!")</f>
        <v>We bought 2 pieces for a while with the expectation that it would break, but it met all expectations. When they turned it on there was a smell of plastic for about 10 minutes and that was it, then it disappeared. Convenient handle, necessary button at the bottom to prevent falls, room 12 sq. warmed up in 15 minutes. Now we don’t turn on more than 1 mode, because it heats up with a bang and all this for that kind of money! Consumes little! I recommend!</v>
      </c>
    </row>
    <row r="2485" spans="1:9" x14ac:dyDescent="0.3">
      <c r="A2485" s="1" t="s">
        <v>61</v>
      </c>
      <c r="B2485" s="1" t="s">
        <v>224</v>
      </c>
      <c r="C2485" s="1" t="s">
        <v>85</v>
      </c>
      <c r="D2485" s="1" t="s">
        <v>139</v>
      </c>
      <c r="E2485" s="1" t="s">
        <v>1773</v>
      </c>
      <c r="F2485" s="1" t="s">
        <v>4831</v>
      </c>
      <c r="G2485" s="1" t="s">
        <v>28</v>
      </c>
      <c r="H2485" s="1" t="s">
        <v>29</v>
      </c>
      <c r="I2485" s="1" t="str">
        <f ca="1">IFERROR(__xludf.DUMMYFUNCTION("GOOGLETRANSLATE(F2485, ""auto"", ""en"")
"),"Very good, a lot of juice, clean and transparent, works like a charm, I recommend it to everyone!")</f>
        <v>Very good, a lot of juice, clean and transparent, works like a charm, I recommend it to everyone!</v>
      </c>
    </row>
    <row r="2486" spans="1:9" x14ac:dyDescent="0.3">
      <c r="A2486" s="1" t="s">
        <v>9</v>
      </c>
      <c r="B2486" s="1" t="s">
        <v>137</v>
      </c>
      <c r="C2486" s="1" t="s">
        <v>870</v>
      </c>
      <c r="D2486" s="1" t="s">
        <v>46</v>
      </c>
      <c r="E2486" s="1" t="s">
        <v>1389</v>
      </c>
      <c r="F2486" s="1" t="s">
        <v>4832</v>
      </c>
      <c r="G2486" s="1" t="s">
        <v>36</v>
      </c>
      <c r="H2486" s="1" t="s">
        <v>29</v>
      </c>
      <c r="I2486" s="1" t="str">
        <f ca="1">IFERROR(__xludf.DUMMYFUNCTION("GOOGLETRANSLATE(F2486, ""auto"", ""en"")
"),"Unreal design and very comfortable")</f>
        <v>Unreal design and very comfortable</v>
      </c>
    </row>
    <row r="2487" spans="1:9" x14ac:dyDescent="0.3">
      <c r="A2487" s="1" t="s">
        <v>211</v>
      </c>
      <c r="B2487" s="1" t="s">
        <v>212</v>
      </c>
      <c r="C2487" s="1" t="s">
        <v>294</v>
      </c>
      <c r="D2487" s="1" t="s">
        <v>596</v>
      </c>
      <c r="E2487" s="1" t="s">
        <v>3626</v>
      </c>
      <c r="F2487" s="1" t="s">
        <v>4833</v>
      </c>
      <c r="G2487" s="1" t="s">
        <v>49</v>
      </c>
      <c r="H2487" s="1" t="s">
        <v>16</v>
      </c>
      <c r="I2487" s="1" t="str">
        <f ca="1">IFERROR(__xludf.DUMMYFUNCTION("GOOGLETRANSLATE(F2487, ""auto"", ""en"")
"),"terrible quality.")</f>
        <v>terrible quality.</v>
      </c>
    </row>
    <row r="2488" spans="1:9" x14ac:dyDescent="0.3">
      <c r="A2488" s="1" t="s">
        <v>30</v>
      </c>
      <c r="B2488" s="1" t="s">
        <v>50</v>
      </c>
      <c r="C2488" s="1" t="s">
        <v>32</v>
      </c>
      <c r="D2488" s="1" t="s">
        <v>172</v>
      </c>
      <c r="E2488" s="1" t="s">
        <v>854</v>
      </c>
      <c r="F2488" s="1" t="s">
        <v>4834</v>
      </c>
      <c r="G2488" s="1" t="s">
        <v>36</v>
      </c>
      <c r="H2488" s="1" t="s">
        <v>29</v>
      </c>
      <c r="I2488" s="1" t="str">
        <f ca="1">IFERROR(__xludf.DUMMYFUNCTION("GOOGLETRANSLATE(F2488, ""auto"", ""en"")
"),"A very good laptop, and most importantly not expensive!")</f>
        <v>A very good laptop, and most importantly not expensive!</v>
      </c>
    </row>
    <row r="2489" spans="1:9" x14ac:dyDescent="0.3">
      <c r="A2489" s="1" t="s">
        <v>120</v>
      </c>
      <c r="B2489" s="1" t="s">
        <v>126</v>
      </c>
      <c r="C2489" s="1" t="s">
        <v>122</v>
      </c>
      <c r="D2489" s="1" t="s">
        <v>4835</v>
      </c>
      <c r="E2489" s="1" t="s">
        <v>1649</v>
      </c>
      <c r="F2489" s="1" t="s">
        <v>4836</v>
      </c>
      <c r="G2489" s="1" t="s">
        <v>36</v>
      </c>
      <c r="H2489" s="1" t="s">
        <v>29</v>
      </c>
      <c r="I2489" s="1" t="str">
        <f ca="1">IFERROR(__xludf.DUMMYFUNCTION("GOOGLETRANSLATE(F2489, ""auto"", ""en"")
"),"I liked the image. I liked the sound. Especially the setting that allows you to set the distance to the wall is super) And I even connect the player and listen to music on it. HDMI connection with excellent quality from a computer. I didn’t observe afteri"&amp;"mages, although there was no reason to. I don’t watch pictures on TV. I've read complaints that at 4:3 the stripes around the edges are gray. People, would you read the instructions? Firstly, this is for more uniform burnout, and secondly, this can be tur"&amp;"ned off, so the problem is far-fetched.")</f>
        <v>I liked the image. I liked the sound. Especially the setting that allows you to set the distance to the wall is super) And I even connect the player and listen to music on it. HDMI connection with excellent quality from a computer. I didn’t observe afterimages, although there was no reason to. I don’t watch pictures on TV. I've read complaints that at 4:3 the stripes around the edges are gray. People, would you read the instructions? Firstly, this is for more uniform burnout, and secondly, this can be turned off, so the problem is far-fetched.</v>
      </c>
    </row>
    <row r="2490" spans="1:9" x14ac:dyDescent="0.3">
      <c r="A2490" s="1" t="s">
        <v>211</v>
      </c>
      <c r="B2490" s="1" t="s">
        <v>212</v>
      </c>
      <c r="C2490" s="1" t="s">
        <v>294</v>
      </c>
      <c r="D2490" s="1" t="s">
        <v>3332</v>
      </c>
      <c r="E2490" s="1" t="s">
        <v>498</v>
      </c>
      <c r="F2490" s="1" t="s">
        <v>4837</v>
      </c>
      <c r="G2490" s="1" t="s">
        <v>28</v>
      </c>
      <c r="H2490" s="1" t="s">
        <v>29</v>
      </c>
      <c r="I2490" s="1" t="str">
        <f ca="1">IFERROR(__xludf.DUMMYFUNCTION("GOOGLETRANSLATE(F2490, ""auto"", ""en"")
"),"Gave it to my wife. Satisfied, fast and the regulator copes with its duties. What I didn’t like was that the long and thick cord throughout the bathroom took up all the hooks. I'll probably shorten it when the warranty runs out... ;)")</f>
        <v>Gave it to my wife. Satisfied, fast and the regulator copes with its duties. What I didn’t like was that the long and thick cord throughout the bathroom took up all the hooks. I'll probably shorten it when the warranty runs out... ;)</v>
      </c>
    </row>
    <row r="2491" spans="1:9" x14ac:dyDescent="0.3">
      <c r="A2491" s="1" t="s">
        <v>17</v>
      </c>
      <c r="B2491" s="1" t="s">
        <v>18</v>
      </c>
      <c r="C2491" s="1" t="s">
        <v>870</v>
      </c>
      <c r="D2491" s="1" t="s">
        <v>232</v>
      </c>
      <c r="E2491" s="1" t="s">
        <v>777</v>
      </c>
      <c r="F2491" s="1" t="s">
        <v>4838</v>
      </c>
      <c r="G2491" s="1" t="s">
        <v>36</v>
      </c>
      <c r="H2491" s="1" t="s">
        <v>29</v>
      </c>
      <c r="I2491" s="1" t="str">
        <f ca="1">IFERROR(__xludf.DUMMYFUNCTION("GOOGLETRANSLATE(F2491, ""auto"", ""en"")
"),"I'm happy!")</f>
        <v>I'm happy!</v>
      </c>
    </row>
    <row r="2492" spans="1:9" x14ac:dyDescent="0.3">
      <c r="A2492" s="1" t="s">
        <v>61</v>
      </c>
      <c r="B2492" s="1" t="s">
        <v>180</v>
      </c>
      <c r="C2492" s="1" t="s">
        <v>74</v>
      </c>
      <c r="D2492" s="1" t="s">
        <v>3015</v>
      </c>
      <c r="E2492" s="1" t="s">
        <v>3047</v>
      </c>
      <c r="F2492" s="1" t="s">
        <v>4839</v>
      </c>
      <c r="G2492" s="1" t="s">
        <v>36</v>
      </c>
      <c r="H2492" s="1" t="s">
        <v>29</v>
      </c>
      <c r="I2492" s="1" t="str">
        <f ca="1">IFERROR(__xludf.DUMMYFUNCTION("GOOGLETRANSLATE(F2492, ""auto"", ""en"")
"),"Cool thing! We've been using it for about six months. Cooking 4 pieces of toast takes 3 minutes. We make it mostly with cheese, and it turns out great: the cheese melts and the crust is crispy. Easy to clean too.")</f>
        <v>Cool thing! We've been using it for about six months. Cooking 4 pieces of toast takes 3 minutes. We make it mostly with cheese, and it turns out great: the cheese melts and the crust is crispy. Easy to clean too.</v>
      </c>
    </row>
    <row r="2493" spans="1:9" x14ac:dyDescent="0.3">
      <c r="A2493" s="1" t="s">
        <v>61</v>
      </c>
      <c r="B2493" s="1" t="s">
        <v>726</v>
      </c>
      <c r="C2493" s="1" t="s">
        <v>74</v>
      </c>
      <c r="D2493" s="1" t="s">
        <v>4840</v>
      </c>
      <c r="E2493" s="1" t="s">
        <v>1732</v>
      </c>
      <c r="F2493" s="1" t="s">
        <v>4841</v>
      </c>
      <c r="G2493" s="1" t="s">
        <v>36</v>
      </c>
      <c r="H2493" s="1" t="s">
        <v>29</v>
      </c>
      <c r="I2493" s="1" t="str">
        <f ca="1">IFERROR(__xludf.DUMMYFUNCTION("GOOGLETRANSLATE(F2493, ""auto"", ""en"")
"),"I have long wanted to buy a bread machine. I decided on this model. I liked the look and it suited the functions. I read on websites that the crust turns out pale and does not brown. I was looking forward to the end of the baking process. And to my surpri"&amp;"se, the bread turned out toasty and crispy. The bread is tasty and aromatic. I'm very pleased.")</f>
        <v>I have long wanted to buy a bread machine. I decided on this model. I liked the look and it suited the functions. I read on websites that the crust turns out pale and does not brown. I was looking forward to the end of the baking process. And to my surprise, the bread turned out toasty and crispy. The bread is tasty and aromatic. I'm very pleased.</v>
      </c>
    </row>
    <row r="2494" spans="1:9" x14ac:dyDescent="0.3">
      <c r="A2494" s="1" t="s">
        <v>149</v>
      </c>
      <c r="B2494" s="1" t="s">
        <v>155</v>
      </c>
      <c r="C2494" s="1" t="s">
        <v>151</v>
      </c>
      <c r="D2494" s="1" t="s">
        <v>3253</v>
      </c>
      <c r="E2494" s="1" t="s">
        <v>4842</v>
      </c>
      <c r="F2494" s="1" t="s">
        <v>4843</v>
      </c>
      <c r="G2494" s="1" t="s">
        <v>36</v>
      </c>
      <c r="H2494" s="1" t="s">
        <v>29</v>
      </c>
      <c r="I2494" s="1" t="str">
        <f ca="1">IFERROR(__xludf.DUMMYFUNCTION("GOOGLETRANSLATE(F2494, ""auto"", ""en"")
"),"Powerful, easy to operate")</f>
        <v>Powerful, easy to operate</v>
      </c>
    </row>
    <row r="2495" spans="1:9" x14ac:dyDescent="0.3">
      <c r="A2495" s="1" t="s">
        <v>149</v>
      </c>
      <c r="B2495" s="1" t="s">
        <v>423</v>
      </c>
      <c r="C2495" s="1" t="s">
        <v>531</v>
      </c>
      <c r="D2495" s="1" t="s">
        <v>127</v>
      </c>
      <c r="E2495" s="1" t="s">
        <v>4844</v>
      </c>
      <c r="F2495" s="1" t="s">
        <v>4845</v>
      </c>
      <c r="G2495" s="1" t="s">
        <v>36</v>
      </c>
      <c r="H2495" s="1" t="s">
        <v>29</v>
      </c>
      <c r="I2495" s="1" t="str">
        <f ca="1">IFERROR(__xludf.DUMMYFUNCTION("GOOGLETRANSLATE(F2495, ""auto"", ""en"")
"),"It cleans floors and vacuums perfectly, the aqua filter makes the air fresh and reduces the amount of dust in the apartment.")</f>
        <v>It cleans floors and vacuums perfectly, the aqua filter makes the air fresh and reduces the amount of dust in the apartment.</v>
      </c>
    </row>
    <row r="2496" spans="1:9" x14ac:dyDescent="0.3">
      <c r="A2496" s="1" t="s">
        <v>95</v>
      </c>
      <c r="B2496" s="1" t="s">
        <v>227</v>
      </c>
      <c r="C2496" s="1" t="s">
        <v>97</v>
      </c>
      <c r="D2496" s="1" t="s">
        <v>4846</v>
      </c>
      <c r="E2496" s="1" t="s">
        <v>2059</v>
      </c>
      <c r="F2496" s="1" t="s">
        <v>4847</v>
      </c>
      <c r="G2496" s="1" t="s">
        <v>36</v>
      </c>
      <c r="H2496" s="1" t="s">
        <v>29</v>
      </c>
      <c r="I2496" s="1" t="str">
        <f ca="1">IFERROR(__xludf.DUMMYFUNCTION("GOOGLETRANSLATE(F2496, ""auto"", ""en"")
"),"An excellent console, fashionable design, nothing superfluous, compatible with all home equipment (including Sony brands), lightweight joysticks, reads DVD movies, AVI and MP4 formats, movies on Bly-Ray discs, FullHD support.")</f>
        <v>An excellent console, fashionable design, nothing superfluous, compatible with all home equipment (including Sony brands), lightweight joysticks, reads DVD movies, AVI and MP4 formats, movies on Bly-Ray discs, FullHD support.</v>
      </c>
    </row>
    <row r="2497" spans="1:9" x14ac:dyDescent="0.3">
      <c r="A2497" s="1" t="s">
        <v>37</v>
      </c>
      <c r="B2497" s="1" t="s">
        <v>536</v>
      </c>
      <c r="C2497" s="1" t="s">
        <v>163</v>
      </c>
      <c r="D2497" s="1" t="s">
        <v>420</v>
      </c>
      <c r="E2497" s="1" t="s">
        <v>1129</v>
      </c>
      <c r="F2497" s="1" t="s">
        <v>4848</v>
      </c>
      <c r="G2497" s="1" t="s">
        <v>15</v>
      </c>
      <c r="H2497" s="1" t="s">
        <v>16</v>
      </c>
      <c r="I2497" s="1" t="str">
        <f ca="1">IFERROR(__xludf.DUMMYFUNCTION("GOOGLETRANSLATE(F2497, ""auto"", ""en"")
"),"The warranty has expired and so has the device. During the repair they made a diagnosis - CORPSE!   The battery did not hold a charge well and often malfunctioned.  In general, after the purchase, after about a couple of weeks I already regretted that I t"&amp;"ook it")</f>
        <v>The warranty has expired and so has the device. During the repair they made a diagnosis - CORPSE!   The battery did not hold a charge well and often malfunctioned.  In general, after the purchase, after about a couple of weeks I already regretted that I took it</v>
      </c>
    </row>
    <row r="2498" spans="1:9" x14ac:dyDescent="0.3">
      <c r="A2498" s="1" t="s">
        <v>9</v>
      </c>
      <c r="B2498" s="1" t="s">
        <v>10</v>
      </c>
      <c r="C2498" s="1" t="s">
        <v>3091</v>
      </c>
      <c r="D2498" s="1" t="s">
        <v>545</v>
      </c>
      <c r="E2498" s="1" t="s">
        <v>4849</v>
      </c>
      <c r="F2498" s="1" t="s">
        <v>4850</v>
      </c>
      <c r="G2498" s="1" t="s">
        <v>36</v>
      </c>
      <c r="H2498" s="1" t="s">
        <v>29</v>
      </c>
      <c r="I2498" s="1" t="str">
        <f ca="1">IFERROR(__xludf.DUMMYFUNCTION("GOOGLETRANSLATE(F2498, ""auto"", ""en"")
"),"Looks beautiful, works great. It is much quieter compared to others. You just need to read the instructions, otherwise they installed a hood, were indignant for a week about why it didn’t work, and then they found cardboard above the grille))))))")</f>
        <v>Looks beautiful, works great. It is much quieter compared to others. You just need to read the instructions, otherwise they installed a hood, were indignant for a week about why it didn’t work, and then they found cardboard above the grille))))))</v>
      </c>
    </row>
    <row r="2499" spans="1:9" x14ac:dyDescent="0.3">
      <c r="A2499" s="1" t="s">
        <v>965</v>
      </c>
      <c r="B2499" s="1" t="s">
        <v>966</v>
      </c>
      <c r="C2499" s="1" t="s">
        <v>967</v>
      </c>
      <c r="D2499" s="1" t="s">
        <v>919</v>
      </c>
      <c r="E2499" s="1" t="s">
        <v>1228</v>
      </c>
      <c r="F2499" s="1" t="s">
        <v>4851</v>
      </c>
      <c r="G2499" s="1" t="s">
        <v>36</v>
      </c>
      <c r="H2499" s="1" t="s">
        <v>29</v>
      </c>
      <c r="I2499" s="1" t="str">
        <f ca="1">IFERROR(__xludf.DUMMYFUNCTION("GOOGLETRANSLATE(F2499, ""auto"", ""en"")
"),"Very worthy acoustics. There are practically no competitors in this price range. They sound clean, even at maximum volume there is a minimum of distortion (with the correct frequency settings). I advise everyone to purchase. (By the way, the magazine ""Co"&amp;"nsumer"" recommends purchasing).")</f>
        <v>Very worthy acoustics. There are practically no competitors in this price range. They sound clean, even at maximum volume there is a minimum of distortion (with the correct frequency settings). I advise everyone to purchase. (By the way, the magazine "Consumer" recommends purchasing).</v>
      </c>
    </row>
    <row r="2500" spans="1:9" x14ac:dyDescent="0.3">
      <c r="A2500" s="1" t="s">
        <v>67</v>
      </c>
      <c r="B2500" s="1" t="s">
        <v>340</v>
      </c>
      <c r="C2500" s="1" t="s">
        <v>341</v>
      </c>
      <c r="D2500" s="1" t="s">
        <v>4852</v>
      </c>
      <c r="E2500" s="1" t="s">
        <v>1912</v>
      </c>
      <c r="F2500" s="1" t="s">
        <v>4853</v>
      </c>
      <c r="G2500" s="1" t="s">
        <v>36</v>
      </c>
      <c r="H2500" s="1" t="s">
        <v>29</v>
      </c>
      <c r="I2500" s="1" t="str">
        <f ca="1">IFERROR(__xludf.DUMMYFUNCTION("GOOGLETRANSLATE(F2500, ""auto"", ""en"")
"),"Anastasia, this sewing machine can be used for sewing leather. To do this, it is recommended to use leather needles from 12-18.")</f>
        <v>Anastasia, this sewing machine can be used for sewing leather. To do this, it is recommended to use leather needles from 12-18.</v>
      </c>
    </row>
    <row r="2501" spans="1:9" x14ac:dyDescent="0.3">
      <c r="A2501" s="1" t="s">
        <v>55</v>
      </c>
      <c r="B2501" s="1" t="s">
        <v>184</v>
      </c>
      <c r="C2501" s="1" t="s">
        <v>101</v>
      </c>
      <c r="D2501" s="1" t="s">
        <v>4854</v>
      </c>
      <c r="E2501" s="1" t="s">
        <v>194</v>
      </c>
      <c r="F2501" s="1" t="s">
        <v>4855</v>
      </c>
      <c r="G2501" s="1" t="s">
        <v>36</v>
      </c>
      <c r="H2501" s="1" t="s">
        <v>29</v>
      </c>
      <c r="I2501" s="1" t="str">
        <f ca="1">IFERROR(__xludf.DUMMYFUNCTION("GOOGLETRANSLATE(F2501, ""auto"", ""en"")
"),"I wanted to buy a good heat fan for my home and I think it worked out for me. This fan heats very well, and it also has a fan that works without heating even in the summer. It’s easy to operate. I looked at more expensive models, they also heat and the op"&amp;"tions are almost the same, why overpay for nothing. So whoever decides to buy a fan heater and won’t go broke, go ahead and buy this model. I recommend it!!!!!")</f>
        <v>I wanted to buy a good heat fan for my home and I think it worked out for me. This fan heats very well, and it also has a fan that works without heating even in the summer. It’s easy to operate. I looked at more expensive models, they also heat and the options are almost the same, why overpay for nothing. So whoever decides to buy a fan heater and won’t go broke, go ahead and buy this model. I recommend it!!!!!</v>
      </c>
    </row>
    <row r="2502" spans="1:9" x14ac:dyDescent="0.3">
      <c r="A2502" s="1" t="s">
        <v>149</v>
      </c>
      <c r="B2502" s="1" t="s">
        <v>155</v>
      </c>
      <c r="C2502" s="1" t="s">
        <v>80</v>
      </c>
      <c r="D2502" s="1" t="s">
        <v>39</v>
      </c>
      <c r="E2502" s="1" t="s">
        <v>2271</v>
      </c>
      <c r="F2502" s="1" t="s">
        <v>4856</v>
      </c>
      <c r="G2502" s="1" t="s">
        <v>36</v>
      </c>
      <c r="H2502" s="1" t="s">
        <v>29</v>
      </c>
      <c r="I2502" s="1" t="str">
        <f ca="1">IFERROR(__xludf.DUMMYFUNCTION("GOOGLETRANSLATE(F2502, ""auto"", ""en"")
"),"We were looking for a vacuum cleaner for my mother. To the village. So as not to fool her with dust bags (where she will buy them). Of course, the filter must be good - but here the maximum filtration is HEPA13. Naturally, they were looking for a washable"&amp;" one (not a replaceable one). Suction power 390W is the maximum among analogues for the price.   I also noticed that not all the garbage falls out - long women’s hair gets stuck :-) But once a year, unscrewing the lid bolts and removing them is not a prob"&amp;"lem (especially since their presence has almost no effect on the suction power - they accumulate in the wrong place to interfere).  Mom doesn’t hold her fingers spread apart - she doesn’t touch the power regulator :-) In general, I like it.")</f>
        <v>We were looking for a vacuum cleaner for my mother. To the village. So as not to fool her with dust bags (where she will buy them). Of course, the filter must be good - but here the maximum filtration is HEPA13. Naturally, they were looking for a washable one (not a replaceable one). Suction power 390W is the maximum among analogues for the price.   I also noticed that not all the garbage falls out - long women’s hair gets stuck :-) But once a year, unscrewing the lid bolts and removing them is not a problem (especially since their presence has almost no effect on the suction power - they accumulate in the wrong place to interfere).  Mom doesn’t hold her fingers spread apart - she doesn’t touch the power regulator :-) In general, I like it.</v>
      </c>
    </row>
    <row r="2503" spans="1:9" x14ac:dyDescent="0.3">
      <c r="A2503" s="1" t="s">
        <v>43</v>
      </c>
      <c r="B2503" s="1" t="s">
        <v>502</v>
      </c>
      <c r="C2503" s="1" t="s">
        <v>159</v>
      </c>
      <c r="D2503" s="1" t="s">
        <v>39</v>
      </c>
      <c r="E2503" s="1" t="s">
        <v>4857</v>
      </c>
      <c r="F2503" s="1" t="s">
        <v>4858</v>
      </c>
      <c r="G2503" s="1" t="s">
        <v>36</v>
      </c>
      <c r="H2503" s="1" t="s">
        <v>29</v>
      </c>
      <c r="I2503" s="1" t="str">
        <f ca="1">IFERROR(__xludf.DUMMYFUNCTION("GOOGLETRANSLATE(F2503, ""auto"", ""en"")
"),"I bought this 3 years ago, installed it and used it without any problems. It cooled not only the passport 20, but 46 (!!!) squares without problems. The air conditioner is quiet, modern, all functions are there, 2 large screens on the remote control and o"&amp;"n the air conditioner itself, convenient - backlit buttons on the remote control.")</f>
        <v>I bought this 3 years ago, installed it and used it without any problems. It cooled not only the passport 20, but 46 (!!!) squares without problems. The air conditioner is quiet, modern, all functions are there, 2 large screens on the remote control and on the air conditioner itself, convenient - backlit buttons on the remote control.</v>
      </c>
    </row>
    <row r="2504" spans="1:9" x14ac:dyDescent="0.3">
      <c r="A2504" s="1" t="s">
        <v>105</v>
      </c>
      <c r="B2504" s="1" t="s">
        <v>106</v>
      </c>
      <c r="C2504" s="1" t="s">
        <v>107</v>
      </c>
      <c r="D2504" s="1" t="s">
        <v>305</v>
      </c>
      <c r="E2504" s="1" t="s">
        <v>1201</v>
      </c>
      <c r="F2504" s="1" t="s">
        <v>4859</v>
      </c>
      <c r="G2504" s="1" t="s">
        <v>36</v>
      </c>
      <c r="H2504" s="1" t="s">
        <v>29</v>
      </c>
      <c r="I2504" s="1" t="str">
        <f ca="1">IFERROR(__xludf.DUMMYFUNCTION("GOOGLETRANSLATE(F2504, ""auto"", ""en"")
"),"I bought this player today! I really liked it!!!!!! for such a price and such a player! I can’t find the game, I think it doesn’t exist!!! but in the description there is 1 game, help me write where it is!!! And the player is SUPER!!!")</f>
        <v>I bought this player today! I really liked it!!!!!! for such a price and such a player! I can’t find the game, I think it doesn’t exist!!! but in the description there is 1 game, help me write where it is!!! And the player is SUPER!!!</v>
      </c>
    </row>
    <row r="2505" spans="1:9" x14ac:dyDescent="0.3">
      <c r="A2505" s="1" t="s">
        <v>95</v>
      </c>
      <c r="B2505" s="1" t="s">
        <v>227</v>
      </c>
      <c r="C2505" s="1" t="s">
        <v>97</v>
      </c>
      <c r="D2505" s="1" t="s">
        <v>1166</v>
      </c>
      <c r="E2505" s="1" t="s">
        <v>4860</v>
      </c>
      <c r="F2505" s="1" t="s">
        <v>4861</v>
      </c>
      <c r="G2505" s="1" t="s">
        <v>28</v>
      </c>
      <c r="H2505" s="1" t="s">
        <v>29</v>
      </c>
      <c r="I2505" s="1" t="str">
        <f ca="1">IFERROR(__xludf.DUMMYFUNCTION("GOOGLETRANSLATE(F2505, ""auto"", ""en"")
"),"I bought it, I’m happy with everything, that’s why the body is heating up? Is this how it should be or is there something wrong with it?")</f>
        <v>I bought it, I’m happy with everything, that’s why the body is heating up? Is this how it should be or is there something wrong with it?</v>
      </c>
    </row>
    <row r="2506" spans="1:9" x14ac:dyDescent="0.3">
      <c r="A2506" s="1" t="s">
        <v>37</v>
      </c>
      <c r="B2506" s="1" t="s">
        <v>536</v>
      </c>
      <c r="C2506" s="1" t="s">
        <v>537</v>
      </c>
      <c r="D2506" s="1" t="s">
        <v>280</v>
      </c>
      <c r="E2506" s="1" t="s">
        <v>4862</v>
      </c>
      <c r="F2506" s="1" t="s">
        <v>4863</v>
      </c>
      <c r="G2506" s="1" t="s">
        <v>28</v>
      </c>
      <c r="H2506" s="1" t="s">
        <v>29</v>
      </c>
      <c r="I2506" s="1" t="str">
        <f ca="1">IFERROR(__xludf.DUMMYFUNCTION("GOOGLETRANSLATE(F2506, ""auto"", ""en"")
"),"Everything is fine, but judging by the reviews of other users, we all have a common problem: a VERY WEAK battery, but I’m happy with it :)")</f>
        <v>Everything is fine, but judging by the reviews of other users, we all have a common problem: a VERY WEAK battery, but I’m happy with it :)</v>
      </c>
    </row>
    <row r="2507" spans="1:9" x14ac:dyDescent="0.3">
      <c r="A2507" s="1" t="s">
        <v>120</v>
      </c>
      <c r="B2507" s="1" t="s">
        <v>121</v>
      </c>
      <c r="C2507" s="1" t="s">
        <v>97</v>
      </c>
      <c r="D2507" s="1" t="s">
        <v>39</v>
      </c>
      <c r="E2507" s="1" t="s">
        <v>4864</v>
      </c>
      <c r="F2507" s="1" t="s">
        <v>4865</v>
      </c>
      <c r="G2507" s="1" t="s">
        <v>36</v>
      </c>
      <c r="H2507" s="1" t="s">
        <v>29</v>
      </c>
      <c r="I2507" s="1" t="str">
        <f ca="1">IFERROR(__xludf.DUMMYFUNCTION("GOOGLETRANSLATE(F2507, ""auto"", ""en"")
"),"Great TV!  I don’t regret buying it - I’m very pleased!  Cable TV works fine, DVD via HDMI (video signal) works great!    The color rendition is excellent, the menu is simple, quick and easy setup, in general, take it, you won’t regret it))))")</f>
        <v>Great TV!  I don’t regret buying it - I’m very pleased!  Cable TV works fine, DVD via HDMI (video signal) works great!    The color rendition is excellent, the menu is simple, quick and easy setup, in general, take it, you won’t regret it))))</v>
      </c>
    </row>
    <row r="2508" spans="1:9" x14ac:dyDescent="0.3">
      <c r="A2508" s="1" t="s">
        <v>206</v>
      </c>
      <c r="B2508" s="1" t="s">
        <v>2026</v>
      </c>
      <c r="C2508" s="1" t="s">
        <v>351</v>
      </c>
      <c r="D2508" s="1" t="s">
        <v>695</v>
      </c>
      <c r="E2508" s="1" t="s">
        <v>443</v>
      </c>
      <c r="F2508" s="1" t="s">
        <v>4866</v>
      </c>
      <c r="G2508" s="1" t="s">
        <v>49</v>
      </c>
      <c r="H2508" s="1" t="s">
        <v>16</v>
      </c>
      <c r="I2508" s="1" t="str">
        <f ca="1">IFERROR(__xludf.DUMMYFUNCTION("GOOGLETRANSLATE(F2508, ""auto"", ""en"")
"),"I bought it and drove it for a week and a half, it started stuttering and automatically rebooted. went to change")</f>
        <v>I bought it and drove it for a week and a half, it started stuttering and automatically rebooted. went to change</v>
      </c>
    </row>
    <row r="2509" spans="1:9" x14ac:dyDescent="0.3">
      <c r="A2509" s="1" t="s">
        <v>17</v>
      </c>
      <c r="B2509" s="1" t="s">
        <v>18</v>
      </c>
      <c r="C2509" s="1" t="s">
        <v>243</v>
      </c>
      <c r="D2509" s="1" t="s">
        <v>545</v>
      </c>
      <c r="E2509" s="1" t="s">
        <v>4867</v>
      </c>
      <c r="F2509" s="1" t="s">
        <v>4868</v>
      </c>
      <c r="G2509" s="1" t="s">
        <v>36</v>
      </c>
      <c r="H2509" s="1" t="s">
        <v>29</v>
      </c>
      <c r="I2509" s="1" t="str">
        <f ca="1">IFERROR(__xludf.DUMMYFUNCTION("GOOGLETRANSLATE(F2509, ""auto"", ""en"")
"),"We bought it on sale and were pleased.")</f>
        <v>We bought it on sale and were pleased.</v>
      </c>
    </row>
    <row r="2510" spans="1:9" x14ac:dyDescent="0.3">
      <c r="A2510" s="1" t="s">
        <v>61</v>
      </c>
      <c r="B2510" s="1" t="s">
        <v>1126</v>
      </c>
      <c r="C2510" s="1" t="s">
        <v>246</v>
      </c>
      <c r="D2510" s="1" t="s">
        <v>621</v>
      </c>
      <c r="E2510" s="1" t="s">
        <v>1088</v>
      </c>
      <c r="F2510" s="1" t="s">
        <v>4869</v>
      </c>
      <c r="G2510" s="1" t="s">
        <v>28</v>
      </c>
      <c r="H2510" s="1" t="s">
        <v>29</v>
      </c>
      <c r="I2510" s="1" t="str">
        <f ca="1">IFERROR(__xludf.DUMMYFUNCTION("GOOGLETRANSLATE(F2510, ""auto"", ""en"")
"),"I've been using Polora for a year now, changing the batteries. They weigh quite well, you just need the surface of the table to be flat so that all 4 legs stand tightly. Error 400 grams??? Yes, these are just faulty scales, they should be returned, and no"&amp;"t complain that the scales are bad.   The only negative is that the touch power button is really hard to press.")</f>
        <v>I've been using Polora for a year now, changing the batteries. They weigh quite well, you just need the surface of the table to be flat so that all 4 legs stand tightly. Error 400 grams??? Yes, these are just faulty scales, they should be returned, and not complain that the scales are bad.   The only negative is that the touch power button is really hard to press.</v>
      </c>
    </row>
    <row r="2511" spans="1:9" x14ac:dyDescent="0.3">
      <c r="A2511" s="1" t="s">
        <v>61</v>
      </c>
      <c r="B2511" s="1" t="s">
        <v>318</v>
      </c>
      <c r="C2511" s="1" t="s">
        <v>101</v>
      </c>
      <c r="D2511" s="1" t="s">
        <v>1940</v>
      </c>
      <c r="E2511" s="1" t="s">
        <v>4062</v>
      </c>
      <c r="F2511" s="1" t="s">
        <v>4870</v>
      </c>
      <c r="G2511" s="1" t="s">
        <v>15</v>
      </c>
      <c r="H2511" s="1" t="s">
        <v>16</v>
      </c>
      <c r="I2511" s="1" t="str">
        <f ca="1">IFERROR(__xludf.DUMMYFUNCTION("GOOGLETRANSLATE(F2511, ""auto"", ""en"")
"),"backlight, water boils quickly")</f>
        <v>backlight, water boils quickly</v>
      </c>
    </row>
    <row r="2512" spans="1:9" x14ac:dyDescent="0.3">
      <c r="A2512" s="1" t="s">
        <v>361</v>
      </c>
      <c r="B2512" s="1" t="s">
        <v>2555</v>
      </c>
      <c r="C2512" s="1" t="s">
        <v>4871</v>
      </c>
      <c r="D2512" s="1" t="s">
        <v>208</v>
      </c>
      <c r="E2512" s="1" t="s">
        <v>1387</v>
      </c>
      <c r="F2512" s="1" t="s">
        <v>4872</v>
      </c>
      <c r="G2512" s="1" t="s">
        <v>36</v>
      </c>
      <c r="H2512" s="1" t="s">
        <v>29</v>
      </c>
      <c r="I2512" s="1" t="str">
        <f ca="1">IFERROR(__xludf.DUMMYFUNCTION("GOOGLETRANSLATE(F2512, ""auto"", ""en"")
"),"Very good, high quality item.  Keeps warm for a long time, does not smell.  Comfortable, thought out to the smallest detail. I've been using 3 for about three years, I'm very pleased.")</f>
        <v>Very good, high quality item.  Keeps warm for a long time, does not smell.  Comfortable, thought out to the smallest detail. I've been using 3 for about three years, I'm very pleased.</v>
      </c>
    </row>
    <row r="2513" spans="1:9" x14ac:dyDescent="0.3">
      <c r="A2513" s="1" t="s">
        <v>17</v>
      </c>
      <c r="B2513" s="1" t="s">
        <v>325</v>
      </c>
      <c r="C2513" s="1" t="s">
        <v>326</v>
      </c>
      <c r="D2513" s="1" t="s">
        <v>295</v>
      </c>
      <c r="E2513" s="1" t="s">
        <v>4873</v>
      </c>
      <c r="F2513" s="1" t="s">
        <v>4874</v>
      </c>
      <c r="G2513" s="1" t="s">
        <v>28</v>
      </c>
      <c r="H2513" s="1" t="s">
        <v>29</v>
      </c>
      <c r="I2513" s="1" t="str">
        <f ca="1">IFERROR(__xludf.DUMMYFUNCTION("GOOGLETRANSLATE(F2513, ""auto"", ""en"")
"),"It holds one kilogram of laundry, which washes after 15 minutes. During operation, it consumes only 140 watts. Washing machine Princess SM-1 I bought this machine because I was tired of washing by hand, it washes evenly because the motor rotates according"&amp;" to a special algorithm. This mini washing machine is easy to carry with its special handle. You can also use almost any powder, regardless of the wash for which it is intended. CM-1 blue has rubberized legs, it can be installed on an uneven surface, but "&amp;"we made a metal stand. It has a reverse rotation of the activator. Water is poured through a hose or from a bucket. For me personally, it’s more convenient and faster to use a bucket. The power cord is 1.5 meters long, and the weight of the machine is 5 k"&amp;"ilograms. The tank is made of high quality plastic, which is resistant to corrosion and mechanical stress. The width of the machine is 34 centimeters, height – 45, and depth – 30 centimeters. There are special switches on the body that are designed to sel"&amp;"ect the washing mode. The most important thing is that it washes, however, difficult stains have to be washed out first. Of course, it’s not an automatic machine, since there is no spin and you have to rinse then, but for the garden it’s a very good optio"&amp;"n!")</f>
        <v>It holds one kilogram of laundry, which washes after 15 minutes. During operation, it consumes only 140 watts. Washing machine Princess SM-1 I bought this machine because I was tired of washing by hand, it washes evenly because the motor rotates according to a special algorithm. This mini washing machine is easy to carry with its special handle. You can also use almost any powder, regardless of the wash for which it is intended. CM-1 blue has rubberized legs, it can be installed on an uneven surface, but we made a metal stand. It has a reverse rotation of the activator. Water is poured through a hose or from a bucket. For me personally, it’s more convenient and faster to use a bucket. The power cord is 1.5 meters long, and the weight of the machine is 5 kilograms. The tank is made of high quality plastic, which is resistant to corrosion and mechanical stress. The width of the machine is 34 centimeters, height – 45, and depth – 30 centimeters. There are special switches on the body that are designed to select the washing mode. The most important thing is that it washes, however, difficult stains have to be washed out first. Of course, it’s not an automatic machine, since there is no spin and you have to rinse then, but for the garden it’s a very good option!</v>
      </c>
    </row>
    <row r="2514" spans="1:9" x14ac:dyDescent="0.3">
      <c r="A2514" s="1" t="s">
        <v>37</v>
      </c>
      <c r="B2514" s="1" t="s">
        <v>38</v>
      </c>
      <c r="C2514" s="1" t="s">
        <v>39</v>
      </c>
      <c r="D2514" s="1" t="s">
        <v>521</v>
      </c>
      <c r="E2514" s="1" t="s">
        <v>4875</v>
      </c>
      <c r="F2514" s="1" t="s">
        <v>4876</v>
      </c>
      <c r="G2514" s="1" t="s">
        <v>36</v>
      </c>
      <c r="H2514" s="1" t="s">
        <v>29</v>
      </c>
      <c r="I2514" s="1" t="str">
        <f ca="1">IFERROR(__xludf.DUMMYFUNCTION("GOOGLETRANSLATE(F2514, ""auto"", ""en"")
"),"The phone is just super! I'm happy with everything.")</f>
        <v>The phone is just super! I'm happy with everything.</v>
      </c>
    </row>
    <row r="2515" spans="1:9" x14ac:dyDescent="0.3">
      <c r="A2515" s="1" t="s">
        <v>206</v>
      </c>
      <c r="B2515" s="1" t="s">
        <v>1253</v>
      </c>
      <c r="C2515" s="1" t="s">
        <v>4464</v>
      </c>
      <c r="D2515" s="1" t="s">
        <v>171</v>
      </c>
      <c r="E2515" s="1" t="s">
        <v>4877</v>
      </c>
      <c r="F2515" s="1" t="s">
        <v>4878</v>
      </c>
      <c r="G2515" s="1" t="s">
        <v>36</v>
      </c>
      <c r="H2515" s="1" t="s">
        <v>29</v>
      </c>
      <c r="I2515" s="1" t="str">
        <f ca="1">IFERROR(__xludf.DUMMYFUNCTION("GOOGLETRANSLATE(F2515, ""auto"", ""en"")
"),"Pros: Excellent waterproof case, fits perfectly in the hand. I took it for children. The lightest and most ergonomic of all that were available in the city at the time of purchase. Power supply: 3 AAA batteries, not 4 like competitors. Acceptable communic"&amp;"ation quality, the ability to transmit a call sound signal to the connection (as in a telephone). A very convenient function - I took it on vacation: you can hear the call 20-25 meters away on the seashore. Decent tonal noise reduction. Headsets included."&amp;" Convenient menu. The communication range in the village in the absence of line of sight is 1-2 km. On the seashore in low-rise buildings is also 1-2 km with excellent quality.  They're worth the money.  Disadvantages: The communication range in the city "&amp;"is short - 300 meters. The battery capacity is enough for no more than 1 day, but it charges quickly. The charger does not turn off automatically when charging is complete.")</f>
        <v>Pros: Excellent waterproof case, fits perfectly in the hand. I took it for children. The lightest and most ergonomic of all that were available in the city at the time of purchase. Power supply: 3 AAA batteries, not 4 like competitors. Acceptable communication quality, the ability to transmit a call sound signal to the connection (as in a telephone). A very convenient function - I took it on vacation: you can hear the call 20-25 meters away on the seashore. Decent tonal noise reduction. Headsets included. Convenient menu. The communication range in the village in the absence of line of sight is 1-2 km. On the seashore in low-rise buildings is also 1-2 km with excellent quality.  They're worth the money.  Disadvantages: The communication range in the city is short - 300 meters. The battery capacity is enough for no more than 1 day, but it charges quickly. The charger does not turn off automatically when charging is complete.</v>
      </c>
    </row>
    <row r="2516" spans="1:9" x14ac:dyDescent="0.3">
      <c r="A2516" s="1" t="s">
        <v>149</v>
      </c>
      <c r="B2516" s="1" t="s">
        <v>576</v>
      </c>
      <c r="C2516" s="1" t="s">
        <v>69</v>
      </c>
      <c r="D2516" s="1" t="s">
        <v>4879</v>
      </c>
      <c r="E2516" s="1" t="s">
        <v>1339</v>
      </c>
      <c r="F2516" s="1" t="s">
        <v>4880</v>
      </c>
      <c r="G2516" s="1" t="s">
        <v>28</v>
      </c>
      <c r="H2516" s="1" t="s">
        <v>29</v>
      </c>
      <c r="I2516" s="1" t="str">
        <f ca="1">IFERROR(__xludf.DUMMYFUNCTION("GOOGLETRANSLATE(F2516, ""auto"", ""en"")
"),"Good. I like. Powerful device.")</f>
        <v>Good. I like. Powerful device.</v>
      </c>
    </row>
    <row r="2517" spans="1:9" x14ac:dyDescent="0.3">
      <c r="A2517" s="1" t="s">
        <v>149</v>
      </c>
      <c r="B2517" s="1" t="s">
        <v>155</v>
      </c>
      <c r="C2517" s="1" t="s">
        <v>63</v>
      </c>
      <c r="D2517" s="1" t="s">
        <v>39</v>
      </c>
      <c r="E2517" s="1" t="s">
        <v>4881</v>
      </c>
      <c r="F2517" s="1" t="s">
        <v>4882</v>
      </c>
      <c r="G2517" s="1" t="s">
        <v>49</v>
      </c>
      <c r="H2517" s="1" t="s">
        <v>16</v>
      </c>
      <c r="I2517" s="1" t="str">
        <f ca="1">IFERROR(__xludf.DUMMYFUNCTION("GOOGLETRANSLATE(F2517, ""auto"", ""en"")
"),"We bought it and were terribly unhappy. Filters quickly become clogged and suction power is lost. It takes a lot of time to clean the entire vacuum cleaner, and you also need to disassemble almost all of it. As a result, it vacuums poorly and is very nois"&amp;"y. Not comfortable brushes. I do not recommend this vacuum cleaner. Money down the drain.")</f>
        <v>We bought it and were terribly unhappy. Filters quickly become clogged and suction power is lost. It takes a lot of time to clean the entire vacuum cleaner, and you also need to disassemble almost all of it. As a result, it vacuums poorly and is very noisy. Not comfortable brushes. I do not recommend this vacuum cleaner. Money down the drain.</v>
      </c>
    </row>
    <row r="2518" spans="1:9" x14ac:dyDescent="0.3">
      <c r="A2518" s="1" t="s">
        <v>61</v>
      </c>
      <c r="B2518" s="1" t="s">
        <v>318</v>
      </c>
      <c r="C2518" s="1" t="s">
        <v>101</v>
      </c>
      <c r="D2518" s="1" t="s">
        <v>4883</v>
      </c>
      <c r="E2518" s="1" t="s">
        <v>4884</v>
      </c>
      <c r="F2518" s="1" t="s">
        <v>4885</v>
      </c>
      <c r="G2518" s="1" t="s">
        <v>36</v>
      </c>
      <c r="H2518" s="1" t="s">
        <v>29</v>
      </c>
      <c r="I2518" s="1" t="str">
        <f ca="1">IFERROR(__xludf.DUMMYFUNCTION("GOOGLETRANSLATE(F2518, ""auto"", ""en"")
"),"I was looking for a large capacity kettle for a long time until I found this one. Luckily for me, he turned out to be very good in other respects as well. A lot of people use it - we have a whole hostel in a four-room apartment. Usually the equipment is k"&amp;"illed within a couple of months. This kettle is already four months old and nothing is working so far. It heats up normally, the water is also of normal quality and plus it turns off clearly if there is not enough water - this is often the fault of neighb"&amp;"ors, which is why the equipment flies.")</f>
        <v>I was looking for a large capacity kettle for a long time until I found this one. Luckily for me, he turned out to be very good in other respects as well. A lot of people use it - we have a whole hostel in a four-room apartment. Usually the equipment is killed within a couple of months. This kettle is already four months old and nothing is working so far. It heats up normally, the water is also of normal quality and plus it turns off clearly if there is not enough water - this is often the fault of neighbors, which is why the equipment flies.</v>
      </c>
    </row>
    <row r="2519" spans="1:9" x14ac:dyDescent="0.3">
      <c r="A2519" s="1" t="s">
        <v>1443</v>
      </c>
      <c r="B2519" s="1" t="s">
        <v>1444</v>
      </c>
      <c r="C2519" s="1" t="s">
        <v>4886</v>
      </c>
      <c r="D2519" s="1" t="s">
        <v>152</v>
      </c>
      <c r="E2519" s="1" t="s">
        <v>1319</v>
      </c>
      <c r="F2519" s="1" t="s">
        <v>4887</v>
      </c>
      <c r="G2519" s="1" t="s">
        <v>36</v>
      </c>
      <c r="H2519" s="1" t="s">
        <v>29</v>
      </c>
      <c r="I2519" s="1" t="str">
        <f ca="1">IFERROR(__xludf.DUMMYFUNCTION("GOOGLETRANSLATE(F2519, ""auto"", ""en"")
"),"The flash drive is excellent, the design is excellent, the speed is good, recording is instant. I recommend it. The only negative for me is that the flash drive is wide and cannot be inserted into USB in a laptop, because... there they are close to each o"&amp;"ther and the mouse connector gets in the way. But you can put up with this.")</f>
        <v>The flash drive is excellent, the design is excellent, the speed is good, recording is instant. I recommend it. The only negative for me is that the flash drive is wide and cannot be inserted into USB in a laptop, because... there they are close to each other and the mouse connector gets in the way. But you can put up with this.</v>
      </c>
    </row>
    <row r="2520" spans="1:9" x14ac:dyDescent="0.3">
      <c r="A2520" s="1" t="s">
        <v>95</v>
      </c>
      <c r="B2520" s="1" t="s">
        <v>227</v>
      </c>
      <c r="C2520" s="1" t="s">
        <v>97</v>
      </c>
      <c r="D2520" s="1" t="s">
        <v>352</v>
      </c>
      <c r="E2520" s="1" t="s">
        <v>4888</v>
      </c>
      <c r="F2520" s="1" t="s">
        <v>4889</v>
      </c>
      <c r="G2520" s="1" t="s">
        <v>36</v>
      </c>
      <c r="H2520" s="1" t="s">
        <v>29</v>
      </c>
      <c r="I2520" s="1" t="str">
        <f ca="1">IFERROR(__xludf.DUMMYFUNCTION("GOOGLETRANSLATE(F2520, ""auto"", ""en"")
"),"Cool gift for the New Year. I'm still happy. The games are excellent, I especially play Sports Festival 2 :D")</f>
        <v>Cool gift for the New Year. I'm still happy. The games are excellent, I especially play Sports Festival 2 :D</v>
      </c>
    </row>
    <row r="2521" spans="1:9" x14ac:dyDescent="0.3">
      <c r="A2521" s="1" t="s">
        <v>120</v>
      </c>
      <c r="B2521" s="1" t="s">
        <v>196</v>
      </c>
      <c r="C2521" s="1" t="s">
        <v>1677</v>
      </c>
      <c r="D2521" s="1" t="s">
        <v>39</v>
      </c>
      <c r="E2521" s="1" t="s">
        <v>2815</v>
      </c>
      <c r="F2521" s="1" t="s">
        <v>4890</v>
      </c>
      <c r="G2521" s="1" t="s">
        <v>28</v>
      </c>
      <c r="H2521" s="1" t="s">
        <v>29</v>
      </c>
      <c r="I2521" s="1" t="str">
        <f ca="1">IFERROR(__xludf.DUMMYFUNCTION("GOOGLETRANSLATE(F2521, ""auto"", ""en"")
"),"Cons; I didn’t like the sound, the stand is wobbly, the buttons on the remote control are small.  Pros: high-quality company + 3-year warranty, not a high price for FullHD, not so heavy, easy and simple settings in Russian.  As it shows, it’s difficult to"&amp;" judge without a blue-ray player; I’ll buy one soon and then I’ll tell you for sure. For an analog signal and DVD it is too big.")</f>
        <v>Cons; I didn’t like the sound, the stand is wobbly, the buttons on the remote control are small.  Pros: high-quality company + 3-year warranty, not a high price for FullHD, not so heavy, easy and simple settings in Russian.  As it shows, it’s difficult to judge without a blue-ray player; I’ll buy one soon and then I’ll tell you for sure. For an analog signal and DVD it is too big.</v>
      </c>
    </row>
    <row r="2522" spans="1:9" x14ac:dyDescent="0.3">
      <c r="A2522" s="1" t="s">
        <v>61</v>
      </c>
      <c r="B2522" s="1" t="s">
        <v>180</v>
      </c>
      <c r="C2522" s="1" t="s">
        <v>85</v>
      </c>
      <c r="D2522" s="1" t="s">
        <v>4891</v>
      </c>
      <c r="E2522" s="1" t="s">
        <v>4892</v>
      </c>
      <c r="F2522" s="1" t="s">
        <v>4893</v>
      </c>
      <c r="G2522" s="1" t="s">
        <v>36</v>
      </c>
      <c r="H2522" s="1" t="s">
        <v>29</v>
      </c>
      <c r="I2522" s="1" t="str">
        <f ca="1">IFERROR(__xludf.DUMMYFUNCTION("GOOGLETRANSLATE(F2522, ""auto"", ""en"")
"),"When choosing a toaster, I was looking for one that could toast toast on both sides and on one side, since I really like sandwiches. Oddly enough, this function appeared only in this toaster, so I bought it, and I don’t regret it one bit. I also really li"&amp;"ked the smooth descent and rise of the toast.")</f>
        <v>When choosing a toaster, I was looking for one that could toast toast on both sides and on one side, since I really like sandwiches. Oddly enough, this function appeared only in this toaster, so I bought it, and I don’t regret it one bit. I also really liked the smooth descent and rise of the toast.</v>
      </c>
    </row>
    <row r="2523" spans="1:9" x14ac:dyDescent="0.3">
      <c r="A2523" s="1" t="s">
        <v>852</v>
      </c>
      <c r="B2523" s="1" t="s">
        <v>853</v>
      </c>
      <c r="C2523" s="1" t="s">
        <v>356</v>
      </c>
      <c r="D2523" s="1" t="s">
        <v>4894</v>
      </c>
      <c r="E2523" s="1" t="s">
        <v>397</v>
      </c>
      <c r="F2523" s="1" t="s">
        <v>4895</v>
      </c>
      <c r="G2523" s="1" t="s">
        <v>36</v>
      </c>
      <c r="H2523" s="1" t="s">
        <v>29</v>
      </c>
      <c r="I2523" s="1" t="str">
        <f ca="1">IFERROR(__xludf.DUMMYFUNCTION("GOOGLETRANSLATE(F2523, ""auto"", ""en"")
"),"A very stylish laptop, unlike other manufacturers, its “simple” color is much nicer than other “multi-colored” laptops. The functions are quite satisfactory.")</f>
        <v>A very stylish laptop, unlike other manufacturers, its “simple” color is much nicer than other “multi-colored” laptops. The functions are quite satisfactory.</v>
      </c>
    </row>
    <row r="2524" spans="1:9" x14ac:dyDescent="0.3">
      <c r="A2524" s="1" t="s">
        <v>169</v>
      </c>
      <c r="B2524" s="1" t="s">
        <v>170</v>
      </c>
      <c r="C2524" s="1" t="s">
        <v>122</v>
      </c>
      <c r="D2524" s="1" t="s">
        <v>305</v>
      </c>
      <c r="E2524" s="1" t="s">
        <v>4896</v>
      </c>
      <c r="F2524" s="1" t="s">
        <v>4897</v>
      </c>
      <c r="G2524" s="1" t="s">
        <v>36</v>
      </c>
      <c r="H2524" s="1" t="s">
        <v>29</v>
      </c>
      <c r="I2524" s="1" t="str">
        <f ca="1">IFERROR(__xludf.DUMMYFUNCTION("GOOGLETRANSLATE(F2524, ""auto"", ""en"")
"),"The headphones are very good. The sound is quite decent. They've earned their money's worth in full. They've lived with me for exactly two years. The sound is quite balanced, but, perhaps, without any frills. Decent bass, distinct high frequencies, the pl"&amp;"ayback range is, of course, worse than that of monitors, but this is noticeable only in comparison and on complex compositions. Good noise insulation; no need to turn up the volume on the player too much. Optimal price/quality ratio if you don't want to s"&amp;"pend a lot, but want decent sound.")</f>
        <v>The headphones are very good. The sound is quite decent. They've earned their money's worth in full. They've lived with me for exactly two years. The sound is quite balanced, but, perhaps, without any frills. Decent bass, distinct high frequencies, the playback range is, of course, worse than that of monitors, but this is noticeable only in comparison and on complex compositions. Good noise insulation; no need to turn up the volume on the player too much. Optimal price/quality ratio if you don't want to spend a lot, but want decent sound.</v>
      </c>
    </row>
    <row r="2525" spans="1:9" x14ac:dyDescent="0.3">
      <c r="A2525" s="1" t="s">
        <v>206</v>
      </c>
      <c r="B2525" s="1" t="s">
        <v>207</v>
      </c>
      <c r="C2525" s="1" t="s">
        <v>97</v>
      </c>
      <c r="D2525" s="1" t="s">
        <v>411</v>
      </c>
      <c r="E2525" s="1" t="s">
        <v>4898</v>
      </c>
      <c r="F2525" s="1" t="s">
        <v>4899</v>
      </c>
      <c r="G2525" s="1" t="s">
        <v>36</v>
      </c>
      <c r="H2525" s="1" t="s">
        <v>29</v>
      </c>
      <c r="I2525" s="1" t="str">
        <f ca="1">IFERROR(__xludf.DUMMYFUNCTION("GOOGLETRANSLATE(F2525, ""auto"", ""en"")
"),"I bought this sub yesterday and am quite pleased!")</f>
        <v>I bought this sub yesterday and am quite pleased!</v>
      </c>
    </row>
    <row r="2526" spans="1:9" x14ac:dyDescent="0.3">
      <c r="A2526" s="1" t="s">
        <v>105</v>
      </c>
      <c r="B2526" s="1" t="s">
        <v>106</v>
      </c>
      <c r="C2526" s="1" t="s">
        <v>151</v>
      </c>
      <c r="D2526" s="1" t="s">
        <v>186</v>
      </c>
      <c r="E2526" s="1" t="s">
        <v>1553</v>
      </c>
      <c r="F2526" s="1" t="s">
        <v>4900</v>
      </c>
      <c r="G2526" s="1" t="s">
        <v>28</v>
      </c>
      <c r="H2526" s="1" t="s">
        <v>29</v>
      </c>
      <c r="I2526" s="1" t="str">
        <f ca="1">IFERROR(__xludf.DUMMYFUNCTION("GOOGLETRANSLATE(F2526, ""auto"", ""en"")
"),"The player suits everyone. The only negative - and to be honest this really bugs me - is the slightly inadequate controls. The sensor is too sensitive and you often hit the wrong button, or it works while you remove your finger from the button - that is, "&amp;"through the air.  For those who don’t read the video, you need to read the instructions. The video is converted using the included program. I watched movies on it just fine a couple of times.")</f>
        <v>The player suits everyone. The only negative - and to be honest this really bugs me - is the slightly inadequate controls. The sensor is too sensitive and you often hit the wrong button, or it works while you remove your finger from the button - that is, through the air.  For those who don’t read the video, you need to read the instructions. The video is converted using the included program. I watched movies on it just fine a couple of times.</v>
      </c>
    </row>
    <row r="2527" spans="1:9" x14ac:dyDescent="0.3">
      <c r="A2527" s="1" t="s">
        <v>206</v>
      </c>
      <c r="B2527" s="1" t="s">
        <v>207</v>
      </c>
      <c r="C2527" s="1" t="s">
        <v>262</v>
      </c>
      <c r="D2527" s="1" t="s">
        <v>152</v>
      </c>
      <c r="E2527" s="1" t="s">
        <v>688</v>
      </c>
      <c r="F2527" s="1" t="s">
        <v>4901</v>
      </c>
      <c r="G2527" s="1" t="s">
        <v>36</v>
      </c>
      <c r="H2527" s="1" t="s">
        <v>29</v>
      </c>
      <c r="I2527" s="1" t="str">
        <f ca="1">IFERROR(__xludf.DUMMYFUNCTION("GOOGLETRANSLATE(F2527, ""auto"", ""en"")
"),"I had an excellent sub!  But I wanted to ask if it will still be on sale? No matter how many times I come in, they only sell small ones. I would like to buy it in the near future.")</f>
        <v>I had an excellent sub!  But I wanted to ask if it will still be on sale? No matter how many times I come in, they only sell small ones. I would like to buy it in the near future.</v>
      </c>
    </row>
    <row r="2528" spans="1:9" x14ac:dyDescent="0.3">
      <c r="A2528" s="1" t="s">
        <v>61</v>
      </c>
      <c r="B2528" s="1" t="s">
        <v>726</v>
      </c>
      <c r="C2528" s="1" t="s">
        <v>122</v>
      </c>
      <c r="D2528" s="1" t="s">
        <v>4902</v>
      </c>
      <c r="E2528" s="1" t="s">
        <v>1321</v>
      </c>
      <c r="F2528" s="1" t="s">
        <v>4903</v>
      </c>
      <c r="G2528" s="1" t="s">
        <v>36</v>
      </c>
      <c r="H2528" s="1" t="s">
        <v>29</v>
      </c>
      <c r="I2528" s="1" t="str">
        <f ca="1">IFERROR(__xludf.DUMMYFUNCTION("GOOGLETRANSLATE(F2528, ""auto"", ""en"")
"),"Super stove! beyond all praise. I bought it three weeks ago, I use all sorts of recipes (not just for Panasonic), I experiment, and so, not a single “puncture”, all the breads are delicious, the dough is excellent. I think it's just the company. If you wa"&amp;"nt a quality item and the result will not disappoint, buy it.")</f>
        <v>Super stove! beyond all praise. I bought it three weeks ago, I use all sorts of recipes (not just for Panasonic), I experiment, and so, not a single “puncture”, all the breads are delicious, the dough is excellent. I think it's just the company. If you want a quality item and the result will not disappoint, buy it.</v>
      </c>
    </row>
    <row r="2529" spans="1:9" x14ac:dyDescent="0.3">
      <c r="A2529" s="1" t="s">
        <v>61</v>
      </c>
      <c r="B2529" s="1" t="s">
        <v>224</v>
      </c>
      <c r="C2529" s="1" t="s">
        <v>74</v>
      </c>
      <c r="D2529" s="1" t="s">
        <v>12</v>
      </c>
      <c r="E2529" s="1" t="s">
        <v>1150</v>
      </c>
      <c r="F2529" s="1" t="s">
        <v>4904</v>
      </c>
      <c r="G2529" s="1" t="s">
        <v>28</v>
      </c>
      <c r="H2529" s="1" t="s">
        <v>29</v>
      </c>
      <c r="I2529" s="1" t="str">
        <f ca="1">IFERROR(__xludf.DUMMYFUNCTION("GOOGLETRANSLATE(F2529, ""auto"", ""en"")
"),"This is my fourth juicer, so I have something to compare with. Suitable for a large number of processed products, but for a glass of juice for breakfast it is better to choose something else, because this unit is large, powerful, and works loudly - in the"&amp;" morning, squeezing a glass of juice will wake up all the neighbors.   Cleans just like all other juicers, no easier or more difficult.  The cake is dry and not suitable for purees also because it produces large particles. But foam can be given to childre"&amp;"n under the guise of puree.   Of the minuses - there is a strong jerk at the start and for some reason the cake is in no hurry to fly into the glass allotted to it, but all collects under the transparent lid, clogging it. I'm afraid that this will lead to"&amp;" a rapid combustion of the engine.   I haven’t tried small berries, but I think that as long as you close the loading hole with the pusher, all the splashes will be on your walls.")</f>
        <v>This is my fourth juicer, so I have something to compare with. Suitable for a large number of processed products, but for a glass of juice for breakfast it is better to choose something else, because this unit is large, powerful, and works loudly - in the morning, squeezing a glass of juice will wake up all the neighbors.   Cleans just like all other juicers, no easier or more difficult.  The cake is dry and not suitable for purees also because it produces large particles. But foam can be given to children under the guise of puree.   Of the minuses - there is a strong jerk at the start and for some reason the cake is in no hurry to fly into the glass allotted to it, but all collects under the transparent lid, clogging it. I'm afraid that this will lead to a rapid combustion of the engine.   I haven’t tried small berries, but I think that as long as you close the loading hole with the pusher, all the splashes will be on your walls.</v>
      </c>
    </row>
    <row r="2530" spans="1:9" x14ac:dyDescent="0.3">
      <c r="A2530" s="1" t="s">
        <v>120</v>
      </c>
      <c r="B2530" s="1" t="s">
        <v>196</v>
      </c>
      <c r="C2530" s="1" t="s">
        <v>658</v>
      </c>
      <c r="D2530" s="1" t="s">
        <v>232</v>
      </c>
      <c r="E2530" s="1" t="s">
        <v>418</v>
      </c>
      <c r="F2530" s="1" t="s">
        <v>4905</v>
      </c>
      <c r="G2530" s="1" t="s">
        <v>28</v>
      </c>
      <c r="H2530" s="1" t="s">
        <v>29</v>
      </c>
      <c r="I2530" s="1" t="str">
        <f ca="1">IFERROR(__xludf.DUMMYFUNCTION("GOOGLETRANSLATE(F2530, ""auto"", ""en"")
"),"Great TV! The best value for money. The remote control does not always respond adequately to pressing. I watch TV programs through a regular antenna, the quality is super, I’m also pleased with the sound! The only problem with my HP Pavilion DM3 laptop is"&amp;" that with a resolution of 1920x1080, the TV still has black bars on all sides((((((maybe I did something wrong with the settings, but I’m very pleased!")</f>
        <v>Great TV! The best value for money. The remote control does not always respond adequately to pressing. I watch TV programs through a regular antenna, the quality is super, I’m also pleased with the sound! The only problem with my HP Pavilion DM3 laptop is that with a resolution of 1920x1080, the TV still has black bars on all sides((((((maybe I did something wrong with the settings, but I’m very pleased!</v>
      </c>
    </row>
    <row r="2531" spans="1:9" x14ac:dyDescent="0.3">
      <c r="A2531" s="1" t="s">
        <v>9</v>
      </c>
      <c r="B2531" s="1" t="s">
        <v>133</v>
      </c>
      <c r="C2531" s="1" t="s">
        <v>159</v>
      </c>
      <c r="D2531" s="1" t="s">
        <v>64</v>
      </c>
      <c r="E2531" s="1" t="s">
        <v>2916</v>
      </c>
      <c r="F2531" s="1" t="s">
        <v>4906</v>
      </c>
      <c r="G2531" s="1" t="s">
        <v>36</v>
      </c>
      <c r="H2531" s="1" t="s">
        <v>29</v>
      </c>
      <c r="I2531" s="1" t="str">
        <f ca="1">IFERROR(__xludf.DUMMYFUNCTION("GOOGLETRANSLATE(F2531, ""auto"", ""en"")
"),"I'm very pleased. It has everything I need, I use all the functions.  The only drawback is that there is no protection against children, but this is not for that kind of money. Great choice. I recommend it.")</f>
        <v>I'm very pleased. It has everything I need, I use all the functions.  The only drawback is that there is no protection against children, but this is not for that kind of money. Great choice. I recommend it.</v>
      </c>
    </row>
    <row r="2532" spans="1:9" x14ac:dyDescent="0.3">
      <c r="A2532" s="1" t="s">
        <v>169</v>
      </c>
      <c r="B2532" s="1" t="s">
        <v>170</v>
      </c>
      <c r="C2532" s="1" t="s">
        <v>122</v>
      </c>
      <c r="D2532" s="1" t="s">
        <v>456</v>
      </c>
      <c r="E2532" s="1" t="s">
        <v>4907</v>
      </c>
      <c r="F2532" s="1" t="s">
        <v>4908</v>
      </c>
      <c r="G2532" s="1" t="s">
        <v>36</v>
      </c>
      <c r="H2532" s="1" t="s">
        <v>29</v>
      </c>
      <c r="I2532" s="1" t="str">
        <f ca="1">IFERROR(__xludf.DUMMYFUNCTION("GOOGLETRANSLATE(F2532, ""auto"", ""en"")
"),"This is the second time we've bought these. Suitable for long cord. Everything is very good.. But.. The second ones were bought because the sound in one ear disappeared.. Over time, the same thing happened to the second ones.. The second ones, of course, "&amp;"may have gotten beat up. Sometimes you put them on and change into them - you yourself step on the wire, it jerks, and maybe the contacts are broken. In some of them, if you move them, the sound appears for a short time... That's where to solder them now."&amp;".. maybe you can solder them? Now I’ll buy one with a shorter wire.. The child pinched the inside of his ear.. They served well..")</f>
        <v>This is the second time we've bought these. Suitable for long cord. Everything is very good.. But.. The second ones were bought because the sound in one ear disappeared.. Over time, the same thing happened to the second ones.. The second ones, of course, may have gotten beat up. Sometimes you put them on and change into them - you yourself step on the wire, it jerks, and maybe the contacts are broken. In some of them, if you move them, the sound appears for a short time... That's where to solder them now... maybe you can solder them? Now I’ll buy one with a shorter wire.. The child pinched the inside of his ear.. They served well..</v>
      </c>
    </row>
    <row r="2533" spans="1:9" x14ac:dyDescent="0.3">
      <c r="A2533" s="1" t="s">
        <v>43</v>
      </c>
      <c r="B2533" s="1" t="s">
        <v>303</v>
      </c>
      <c r="C2533" s="1" t="s">
        <v>304</v>
      </c>
      <c r="D2533" s="1" t="s">
        <v>4624</v>
      </c>
      <c r="E2533" s="1" t="s">
        <v>708</v>
      </c>
      <c r="F2533" s="1" t="s">
        <v>4909</v>
      </c>
      <c r="G2533" s="1" t="s">
        <v>28</v>
      </c>
      <c r="H2533" s="1" t="s">
        <v>29</v>
      </c>
      <c r="I2533" s="1" t="str">
        <f ca="1">IFERROR(__xludf.DUMMYFUNCTION("GOOGLETRANSLATE(F2533, ""auto"", ""en"")
"),"We've been using it for more than a month, nothing unnecessary drips. The fastening on the tank is very weak - on two short screws. I had to invent an additional fastener to the wall just in case. Let's see how long it lasts. So far we're happy.")</f>
        <v>We've been using it for more than a month, nothing unnecessary drips. The fastening on the tank is very weak - on two short screws. I had to invent an additional fastener to the wall just in case. Let's see how long it lasts. So far we're happy.</v>
      </c>
    </row>
    <row r="2534" spans="1:9" x14ac:dyDescent="0.3">
      <c r="A2534" s="1" t="s">
        <v>120</v>
      </c>
      <c r="B2534" s="1" t="s">
        <v>196</v>
      </c>
      <c r="C2534" s="1" t="s">
        <v>151</v>
      </c>
      <c r="D2534" s="1" t="s">
        <v>152</v>
      </c>
      <c r="E2534" s="1" t="s">
        <v>3002</v>
      </c>
      <c r="F2534" s="1" t="s">
        <v>4910</v>
      </c>
      <c r="G2534" s="1" t="s">
        <v>15</v>
      </c>
      <c r="H2534" s="1" t="s">
        <v>16</v>
      </c>
      <c r="I2534" s="1" t="str">
        <f ca="1">IFERROR(__xludf.DUMMYFUNCTION("GOOGLETRANSLATE(F2534, ""auto"", ""en"")
"),"A month after purchasing the Samsung LE-40 B620 R3W TV, when I connected headphones, unpleasant noises began to appear in the headphones. After two months, the TV began to turn itself off and turn on after 10-20 minutes. After three months, it stopped wor"&amp;"king altogether. I wrote a request for a refund.")</f>
        <v>A month after purchasing the Samsung LE-40 B620 R3W TV, when I connected headphones, unpleasant noises began to appear in the headphones. After two months, the TV began to turn itself off and turn on after 10-20 minutes. After three months, it stopped working altogether. I wrote a request for a refund.</v>
      </c>
    </row>
    <row r="2535" spans="1:9" x14ac:dyDescent="0.3">
      <c r="A2535" s="1" t="s">
        <v>61</v>
      </c>
      <c r="B2535" s="1" t="s">
        <v>318</v>
      </c>
      <c r="C2535" s="1" t="s">
        <v>2840</v>
      </c>
      <c r="D2535" s="1" t="s">
        <v>922</v>
      </c>
      <c r="E2535" s="1" t="s">
        <v>2810</v>
      </c>
      <c r="F2535" s="1" t="s">
        <v>4911</v>
      </c>
      <c r="G2535" s="1" t="s">
        <v>49</v>
      </c>
      <c r="H2535" s="1" t="s">
        <v>16</v>
      </c>
      <c r="I2535" s="1" t="str">
        <f ca="1">IFERROR(__xludf.DUMMYFUNCTION("GOOGLETRANSLATE(F2535, ""auto"", ""en"")
"),"I agree with many reviews. I don't understand why this price is so high? My husband bought it, I wouldn’t have bought it for 1000. The handle is uncomfortable, the button too, the lid, etc. What's spectacular about it? If the water is bad, then the deposi"&amp;"t will be visible through the glass; it’s scary to even boil with anti-scale")</f>
        <v>I agree with many reviews. I don't understand why this price is so high? My husband bought it, I wouldn’t have bought it for 1000. The handle is uncomfortable, the button too, the lid, etc. What's spectacular about it? If the water is bad, then the deposit will be visible through the glass; it’s scary to even boil with anti-scale</v>
      </c>
    </row>
    <row r="2536" spans="1:9" x14ac:dyDescent="0.3">
      <c r="A2536" s="1" t="s">
        <v>37</v>
      </c>
      <c r="B2536" s="1" t="s">
        <v>38</v>
      </c>
      <c r="C2536" s="1" t="s">
        <v>163</v>
      </c>
      <c r="D2536" s="1" t="s">
        <v>228</v>
      </c>
      <c r="E2536" s="1" t="s">
        <v>269</v>
      </c>
      <c r="F2536" s="1" t="s">
        <v>4912</v>
      </c>
      <c r="G2536" s="1" t="s">
        <v>28</v>
      </c>
      <c r="H2536" s="1" t="s">
        <v>29</v>
      </c>
      <c r="I2536" s="1" t="str">
        <f ca="1">IFERROR(__xludf.DUMMYFUNCTION("GOOGLETRANSLATE(F2536, ""auto"", ""en"")
"),"A good phone, but a little slow, unlike the sellers of the store where I bought it")</f>
        <v>A good phone, but a little slow, unlike the sellers of the store where I bought it</v>
      </c>
    </row>
    <row r="2537" spans="1:9" x14ac:dyDescent="0.3">
      <c r="A2537" s="1" t="s">
        <v>149</v>
      </c>
      <c r="B2537" s="1" t="s">
        <v>423</v>
      </c>
      <c r="C2537" s="1" t="s">
        <v>548</v>
      </c>
      <c r="D2537" s="1" t="s">
        <v>2412</v>
      </c>
      <c r="E2537" s="1" t="s">
        <v>4913</v>
      </c>
      <c r="F2537" s="1" t="s">
        <v>4914</v>
      </c>
      <c r="G2537" s="1" t="s">
        <v>36</v>
      </c>
      <c r="H2537" s="1" t="s">
        <v>29</v>
      </c>
      <c r="I2537" s="1" t="str">
        <f ca="1">IFERROR(__xludf.DUMMYFUNCTION("GOOGLETRANSLATE(F2537, ""auto"", ""en"")
"),"I bought a vacuum cleaner and am very pleased. On the first day I washed everything.  Advantages: nozzles for all occasions are very convenient, built-in water supply tube, located inside the main pipe (in other vacuum cleaners it is attached to the tube "&amp;"and dangles), suction power is excellent, residual moisture is minimal, after an hour the carpet is dry, shockproof plastic for clean water, you can see how much water is clean and dirty, no accessories (filters, dust collectors, etc.). Disadvantages: a l"&amp;"ittle noisy, a little heavy, the nozzle for washing hard surfaces is not maneuverable. All its advantages outweigh its disadvantages. I got the same one for my mom. 1000% suitable for a large house.")</f>
        <v>I bought a vacuum cleaner and am very pleased. On the first day I washed everything.  Advantages: nozzles for all occasions are very convenient, built-in water supply tube, located inside the main pipe (in other vacuum cleaners it is attached to the tube and dangles), suction power is excellent, residual moisture is minimal, after an hour the carpet is dry, shockproof plastic for clean water, you can see how much water is clean and dirty, no accessories (filters, dust collectors, etc.). Disadvantages: a little noisy, a little heavy, the nozzle for washing hard surfaces is not maneuverable. All its advantages outweigh its disadvantages. I got the same one for my mom. 1000% suitable for a large house.</v>
      </c>
    </row>
    <row r="2538" spans="1:9" x14ac:dyDescent="0.3">
      <c r="A2538" s="1" t="s">
        <v>557</v>
      </c>
      <c r="B2538" s="1" t="s">
        <v>558</v>
      </c>
      <c r="C2538" s="1" t="s">
        <v>69</v>
      </c>
      <c r="D2538" s="1" t="s">
        <v>411</v>
      </c>
      <c r="E2538" s="1" t="s">
        <v>1310</v>
      </c>
      <c r="F2538" s="1" t="s">
        <v>4915</v>
      </c>
      <c r="G2538" s="1" t="s">
        <v>15</v>
      </c>
      <c r="H2538" s="1" t="s">
        <v>16</v>
      </c>
      <c r="I2538" s="1" t="str">
        <f ca="1">IFERROR(__xludf.DUMMYFUNCTION("GOOGLETRANSLATE(F2538, ""auto"", ""en"")
"),"Caller ID doesn't work... was it Panasonic before this device? Caller ID was working...")</f>
        <v>Caller ID doesn't work... was it Panasonic before this device? Caller ID was working...</v>
      </c>
    </row>
    <row r="2539" spans="1:9" x14ac:dyDescent="0.3">
      <c r="A2539" s="1" t="s">
        <v>78</v>
      </c>
      <c r="B2539" s="1" t="s">
        <v>1163</v>
      </c>
      <c r="C2539" s="1" t="s">
        <v>459</v>
      </c>
      <c r="D2539" s="1" t="s">
        <v>4916</v>
      </c>
      <c r="E2539" s="1" t="s">
        <v>1452</v>
      </c>
      <c r="F2539" s="1" t="s">
        <v>4917</v>
      </c>
      <c r="G2539" s="1" t="s">
        <v>36</v>
      </c>
      <c r="H2539" s="1" t="s">
        <v>29</v>
      </c>
      <c r="I2539" s="1" t="str">
        <f ca="1">IFERROR(__xludf.DUMMYFUNCTION("GOOGLETRANSLATE(F2539, ""auto"", ""en"")
"),"Appearance 5+. Multifunctional. Inexpensive. Several defrosting and heating modes. Very easy controls, which I figured out in a matter of seconds.")</f>
        <v>Appearance 5+. Multifunctional. Inexpensive. Several defrosting and heating modes. Very easy controls, which I figured out in a matter of seconds.</v>
      </c>
    </row>
    <row r="2540" spans="1:9" x14ac:dyDescent="0.3">
      <c r="A2540" s="1" t="s">
        <v>211</v>
      </c>
      <c r="B2540" s="1" t="s">
        <v>265</v>
      </c>
      <c r="C2540" s="1" t="s">
        <v>1591</v>
      </c>
      <c r="D2540" s="1" t="s">
        <v>909</v>
      </c>
      <c r="E2540" s="1" t="s">
        <v>692</v>
      </c>
      <c r="F2540" s="1" t="s">
        <v>4918</v>
      </c>
      <c r="G2540" s="1" t="s">
        <v>36</v>
      </c>
      <c r="H2540" s="1" t="s">
        <v>29</v>
      </c>
      <c r="I2540" s="1" t="str">
        <f ca="1">IFERROR(__xludf.DUMMYFUNCTION("GOOGLETRANSLATE(F2540, ""auto"", ""en"")
"),"One of the few budget but good hair clippers. The attachment cuts well, the blades are sharp and self-sharpening. You can easily adjust the length of your hair. There is a battery, but it only lasts 30 minutes, in principle, that’s enough for me, and then"&amp;" I put it on charge.")</f>
        <v>One of the few budget but good hair clippers. The attachment cuts well, the blades are sharp and self-sharpening. You can easily adjust the length of your hair. There is a battery, but it only lasts 30 minutes, in principle, that’s enough for me, and then I put it on charge.</v>
      </c>
    </row>
    <row r="2541" spans="1:9" x14ac:dyDescent="0.3">
      <c r="A2541" s="1" t="s">
        <v>206</v>
      </c>
      <c r="B2541" s="1" t="s">
        <v>207</v>
      </c>
      <c r="C2541" s="1" t="s">
        <v>1143</v>
      </c>
      <c r="D2541" s="1" t="s">
        <v>20</v>
      </c>
      <c r="E2541" s="1" t="s">
        <v>4919</v>
      </c>
      <c r="F2541" s="1" t="s">
        <v>4920</v>
      </c>
      <c r="G2541" s="1" t="s">
        <v>36</v>
      </c>
      <c r="H2541" s="1" t="s">
        <v>29</v>
      </c>
      <c r="I2541" s="1" t="str">
        <f ca="1">IFERROR(__xludf.DUMMYFUNCTION("GOOGLETRANSLATE(F2541, ""auto"", ""en"")
"),"There is one jamb, though) I burned a pancake on it (out of my own stupidity :). I bought a 12 cm pancake, also JBL, the nominal value is already 350. Who knows better - the maximum speed is 1400. I replaced the wires in the box myself. Plus and minus are"&amp;" as simple as threads! so, if you are not too lazy, remove it and replace it. It will get better, you’ll see) but I didn’t feel any difference in power. The sub and his family also piled on) so in general only 5! for such a price, of course! best in its p"&amp;"rice range")</f>
        <v>There is one jamb, though) I burned a pancake on it (out of my own stupidity :). I bought a 12 cm pancake, also JBL, the nominal value is already 350. Who knows better - the maximum speed is 1400. I replaced the wires in the box myself. Plus and minus are as simple as threads! so, if you are not too lazy, remove it and replace it. It will get better, you’ll see) but I didn’t feel any difference in power. The sub and his family also piled on) so in general only 5! for such a price, of course! best in its price range</v>
      </c>
    </row>
    <row r="2542" spans="1:9" x14ac:dyDescent="0.3">
      <c r="A2542" s="1" t="s">
        <v>61</v>
      </c>
      <c r="B2542" s="1" t="s">
        <v>318</v>
      </c>
      <c r="C2542" s="1" t="s">
        <v>246</v>
      </c>
      <c r="D2542" s="1" t="s">
        <v>102</v>
      </c>
      <c r="E2542" s="1" t="s">
        <v>661</v>
      </c>
      <c r="F2542" s="1" t="s">
        <v>4921</v>
      </c>
      <c r="G2542" s="1" t="s">
        <v>49</v>
      </c>
      <c r="H2542" s="1" t="s">
        <v>16</v>
      </c>
      <c r="I2542" s="1" t="str">
        <f ca="1">IFERROR(__xludf.DUMMYFUNCTION("GOOGLETRANSLATE(F2542, ""auto"", ""en"")
"),"We bought the kettle a year ago, after half a year it began to leak through the level indicator glass, otherwise everything is fine.  For such money we did not expect such quality.")</f>
        <v>We bought the kettle a year ago, after half a year it began to leak through the level indicator glass, otherwise everything is fine.  For such money we did not expect such quality.</v>
      </c>
    </row>
    <row r="2543" spans="1:9" x14ac:dyDescent="0.3">
      <c r="A2543" s="1" t="s">
        <v>95</v>
      </c>
      <c r="B2543" s="1" t="s">
        <v>227</v>
      </c>
      <c r="C2543" s="1" t="s">
        <v>97</v>
      </c>
      <c r="D2543" s="1" t="s">
        <v>4922</v>
      </c>
      <c r="E2543" s="1" t="s">
        <v>3872</v>
      </c>
      <c r="F2543" s="1" t="s">
        <v>4923</v>
      </c>
      <c r="G2543" s="1" t="s">
        <v>36</v>
      </c>
      <c r="H2543" s="1" t="s">
        <v>29</v>
      </c>
      <c r="I2543" s="1" t="str">
        <f ca="1">IFERROR(__xludf.DUMMYFUNCTION("GOOGLETRANSLATE(F2543, ""auto"", ""en"")
"),"Before purchasing, I searched all the forums and read a lot of reviews! After the purchase, I never regretted that I bought a Sony PS3 and not an XBOX. Believe me, there is something to pay for! This is both a media server and BluRay, but what is the Litt"&amp;"le Big Planet game worth!? Lots of built-in services, free online services and online gaming, unlike XBOX. Sony is the leader! I recommend!")</f>
        <v>Before purchasing, I searched all the forums and read a lot of reviews! After the purchase, I never regretted that I bought a Sony PS3 and not an XBOX. Believe me, there is something to pay for! This is both a media server and BluRay, but what is the Little Big Planet game worth!? Lots of built-in services, free online services and online gaming, unlike XBOX. Sony is the leader! I recommend!</v>
      </c>
    </row>
    <row r="2544" spans="1:9" x14ac:dyDescent="0.3">
      <c r="A2544" s="1" t="s">
        <v>206</v>
      </c>
      <c r="B2544" s="1" t="s">
        <v>207</v>
      </c>
      <c r="C2544" s="1" t="s">
        <v>351</v>
      </c>
      <c r="D2544" s="1" t="s">
        <v>39</v>
      </c>
      <c r="E2544" s="1" t="s">
        <v>1883</v>
      </c>
      <c r="F2544" s="1" t="s">
        <v>4924</v>
      </c>
      <c r="G2544" s="1" t="s">
        <v>36</v>
      </c>
      <c r="H2544" s="1" t="s">
        <v>29</v>
      </c>
      <c r="I2544" s="1" t="str">
        <f ca="1">IFERROR(__xludf.DUMMYFUNCTION("GOOGLETRANSLATE(F2544, ""auto"", ""en"")
"),"It's been standing for 5 years at 2113 and it's ok for the money")</f>
        <v>It's been standing for 5 years at 2113 and it's ok for the money</v>
      </c>
    </row>
    <row r="2545" spans="1:9" x14ac:dyDescent="0.3">
      <c r="A2545" s="1" t="s">
        <v>965</v>
      </c>
      <c r="B2545" s="1" t="s">
        <v>966</v>
      </c>
      <c r="C2545" s="1" t="s">
        <v>967</v>
      </c>
      <c r="D2545" s="1" t="s">
        <v>891</v>
      </c>
      <c r="E2545" s="1" t="s">
        <v>4925</v>
      </c>
      <c r="F2545" s="1" t="s">
        <v>4926</v>
      </c>
      <c r="G2545" s="1" t="s">
        <v>36</v>
      </c>
      <c r="H2545" s="1" t="s">
        <v>29</v>
      </c>
      <c r="I2545" s="1" t="str">
        <f ca="1">IFERROR(__xludf.DUMMYFUNCTION("GOOGLETRANSLATE(F2545, ""auto"", ""en"")
"),"Price-sound ratio.")</f>
        <v>Price-sound ratio.</v>
      </c>
    </row>
    <row r="2546" spans="1:9" x14ac:dyDescent="0.3">
      <c r="A2546" s="1" t="s">
        <v>149</v>
      </c>
      <c r="B2546" s="1" t="s">
        <v>155</v>
      </c>
      <c r="C2546" s="1" t="s">
        <v>151</v>
      </c>
      <c r="D2546" s="1" t="s">
        <v>2679</v>
      </c>
      <c r="E2546" s="1" t="s">
        <v>4927</v>
      </c>
      <c r="F2546" s="1" t="s">
        <v>4928</v>
      </c>
      <c r="G2546" s="1" t="s">
        <v>36</v>
      </c>
      <c r="H2546" s="1" t="s">
        <v>29</v>
      </c>
      <c r="I2546" s="1" t="str">
        <f ca="1">IFERROR(__xludf.DUMMYFUNCTION("GOOGLETRANSLATE(F2546, ""auto"", ""en"")
"),"Convenient power control on the handle")</f>
        <v>Convenient power control on the handle</v>
      </c>
    </row>
    <row r="2547" spans="1:9" x14ac:dyDescent="0.3">
      <c r="A2547" s="1" t="s">
        <v>37</v>
      </c>
      <c r="B2547" s="1" t="s">
        <v>38</v>
      </c>
      <c r="C2547" s="1" t="s">
        <v>39</v>
      </c>
      <c r="D2547" s="1" t="s">
        <v>483</v>
      </c>
      <c r="E2547" s="1" t="s">
        <v>4929</v>
      </c>
      <c r="F2547" s="1" t="s">
        <v>4930</v>
      </c>
      <c r="G2547" s="1" t="s">
        <v>28</v>
      </c>
      <c r="H2547" s="1" t="s">
        <v>29</v>
      </c>
      <c r="I2547" s="1" t="str">
        <f ca="1">IFERROR(__xludf.DUMMYFUNCTION("GOOGLETRANSLATE(F2547, ""auto"", ""en"")
"),"The camera is excellent, the sound is good, the back cover is wobbly, there are a lot of cracks. When talking on 3G, I switched off and won’t turn on. Disappointed in SE, but not in M-video!")</f>
        <v>The camera is excellent, the sound is good, the back cover is wobbly, there are a lot of cracks. When talking on 3G, I switched off and won’t turn on. Disappointed in SE, but not in M-video!</v>
      </c>
    </row>
    <row r="2548" spans="1:9" x14ac:dyDescent="0.3">
      <c r="A2548" s="1" t="s">
        <v>61</v>
      </c>
      <c r="B2548" s="1" t="s">
        <v>977</v>
      </c>
      <c r="C2548" s="1" t="s">
        <v>246</v>
      </c>
      <c r="D2548" s="1" t="s">
        <v>335</v>
      </c>
      <c r="E2548" s="1" t="s">
        <v>2310</v>
      </c>
      <c r="F2548" s="1" t="s">
        <v>4931</v>
      </c>
      <c r="G2548" s="1" t="s">
        <v>36</v>
      </c>
      <c r="H2548" s="1" t="s">
        <v>29</v>
      </c>
      <c r="I2548" s="1" t="str">
        <f ca="1">IFERROR(__xludf.DUMMYFUNCTION("GOOGLETRANSLATE(F2548, ""auto"", ""en"")
"),"Gave it to my mom for her birthday. Price, quality matches. Mom is very pleased, she doesn’t need a better blender. Do not overpay for the product, this blender is worthy of respect.")</f>
        <v>Gave it to my mom for her birthday. Price, quality matches. Mom is very pleased, she doesn’t need a better blender. Do not overpay for the product, this blender is worthy of respect.</v>
      </c>
    </row>
    <row r="2549" spans="1:9" x14ac:dyDescent="0.3">
      <c r="A2549" s="1" t="s">
        <v>120</v>
      </c>
      <c r="B2549" s="1" t="s">
        <v>196</v>
      </c>
      <c r="C2549" s="1" t="s">
        <v>97</v>
      </c>
      <c r="D2549" s="1" t="s">
        <v>280</v>
      </c>
      <c r="E2549" s="1" t="s">
        <v>1287</v>
      </c>
      <c r="F2549" s="1" t="s">
        <v>4932</v>
      </c>
      <c r="G2549" s="1" t="s">
        <v>36</v>
      </c>
      <c r="H2549" s="1" t="s">
        <v>29</v>
      </c>
      <c r="I2549" s="1" t="str">
        <f ca="1">IFERROR(__xludf.DUMMYFUNCTION("GOOGLETRANSLATE(F2549, ""auto"", ""en"")
"),"The picture from blu ray is very beautiful, the TV is a new model, the first firmware has been released, installed without problems, the device is worth the money. I recommend it.")</f>
        <v>The picture from blu ray is very beautiful, the TV is a new model, the first firmware has been released, installed without problems, the device is worth the money. I recommend it.</v>
      </c>
    </row>
    <row r="2550" spans="1:9" x14ac:dyDescent="0.3">
      <c r="A2550" s="1" t="s">
        <v>67</v>
      </c>
      <c r="B2550" s="1" t="s">
        <v>68</v>
      </c>
      <c r="C2550" s="1" t="s">
        <v>381</v>
      </c>
      <c r="D2550" s="1" t="s">
        <v>2093</v>
      </c>
      <c r="E2550" s="1" t="s">
        <v>4933</v>
      </c>
      <c r="F2550" s="1" t="s">
        <v>4934</v>
      </c>
      <c r="G2550" s="1" t="s">
        <v>36</v>
      </c>
      <c r="H2550" s="1" t="s">
        <v>29</v>
      </c>
      <c r="I2550" s="1" t="str">
        <f ca="1">IFERROR(__xludf.DUMMYFUNCTION("GOOGLETRANSLATE(F2550, ""auto"", ""en"")
"),"I often go on business trips and encounter the problem of things getting wrinkled, although I take them to a minimum, this iron has a cool function - a burst of steam, it does everything itself, you just hold the iron in front of the thing and that's it :"&amp;")) + it's compact, and that's important!!")</f>
        <v>I often go on business trips and encounter the problem of things getting wrinkled, although I take them to a minimum, this iron has a cool function - a burst of steam, it does everything itself, you just hold the iron in front of the thing and that's it :)) + it's compact, and that's important!!</v>
      </c>
    </row>
    <row r="2551" spans="1:9" x14ac:dyDescent="0.3">
      <c r="A2551" s="1" t="s">
        <v>211</v>
      </c>
      <c r="B2551" s="1" t="s">
        <v>212</v>
      </c>
      <c r="C2551" s="1" t="s">
        <v>381</v>
      </c>
      <c r="D2551" s="1" t="s">
        <v>471</v>
      </c>
      <c r="E2551" s="1" t="s">
        <v>4692</v>
      </c>
      <c r="F2551" s="1" t="s">
        <v>4935</v>
      </c>
      <c r="G2551" s="1" t="s">
        <v>36</v>
      </c>
      <c r="H2551" s="1" t="s">
        <v>29</v>
      </c>
      <c r="I2551" s="1" t="str">
        <f ca="1">IFERROR(__xludf.DUMMYFUNCTION("GOOGLETRANSLATE(F2551, ""auto"", ""en"")
"),"I'm delighted: the hair is smooth, shiny...super!!! Heats up once or twice; the hair is not electrified...The temperature is selected according to the hair type. I have nothing to compare with - this is my first straightener, but I’m glad that they gave m"&amp;"e this one!!!)))")</f>
        <v>I'm delighted: the hair is smooth, shiny...super!!! Heats up once or twice; the hair is not electrified...The temperature is selected according to the hair type. I have nothing to compare with - this is my first straightener, but I’m glad that they gave me this one!!!)))</v>
      </c>
    </row>
    <row r="2552" spans="1:9" x14ac:dyDescent="0.3">
      <c r="A2552" s="1" t="s">
        <v>61</v>
      </c>
      <c r="B2552" s="1" t="s">
        <v>224</v>
      </c>
      <c r="C2552" s="1" t="s">
        <v>85</v>
      </c>
      <c r="D2552" s="1" t="s">
        <v>39</v>
      </c>
      <c r="E2552" s="1" t="s">
        <v>4143</v>
      </c>
      <c r="F2552" s="1" t="s">
        <v>4936</v>
      </c>
      <c r="G2552" s="1" t="s">
        <v>15</v>
      </c>
      <c r="H2552" s="1" t="s">
        <v>16</v>
      </c>
      <c r="I2552" s="1" t="str">
        <f ca="1">IFERROR(__xludf.DUMMYFUNCTION("GOOGLETRANSLATE(F2552, ""auto"", ""en"")
"),"Didn't find it")</f>
        <v>Didn't find it</v>
      </c>
    </row>
    <row r="2553" spans="1:9" x14ac:dyDescent="0.3">
      <c r="A2553" s="1" t="s">
        <v>206</v>
      </c>
      <c r="B2553" s="1" t="s">
        <v>261</v>
      </c>
      <c r="C2553" s="1" t="s">
        <v>262</v>
      </c>
      <c r="D2553" s="1" t="s">
        <v>4937</v>
      </c>
      <c r="E2553" s="1" t="s">
        <v>1441</v>
      </c>
      <c r="F2553" s="1" t="s">
        <v>4938</v>
      </c>
      <c r="G2553" s="1" t="s">
        <v>15</v>
      </c>
      <c r="H2553" s="1" t="s">
        <v>16</v>
      </c>
      <c r="I2553" s="1" t="str">
        <f ca="1">IFERROR(__xludf.DUMMYFUNCTION("GOOGLETRANSLATE(F2553, ""auto"", ""en"")
"),"According to measurements on the machine, the leakage current is high - 220mA. Moreover, the capacitor itself is ~180mA.  In 5 days he is able to reduce the battery to zero. I had to stop using this device (")</f>
        <v>According to measurements on the machine, the leakage current is high - 220mA. Moreover, the capacitor itself is ~180mA.  In 5 days he is able to reduce the battery to zero. I had to stop using this device (</v>
      </c>
    </row>
    <row r="2554" spans="1:9" x14ac:dyDescent="0.3">
      <c r="A2554" s="1" t="s">
        <v>17</v>
      </c>
      <c r="B2554" s="1" t="s">
        <v>18</v>
      </c>
      <c r="C2554" s="1" t="s">
        <v>243</v>
      </c>
      <c r="D2554" s="1" t="s">
        <v>171</v>
      </c>
      <c r="E2554" s="1" t="s">
        <v>4939</v>
      </c>
      <c r="F2554" s="1" t="s">
        <v>4940</v>
      </c>
      <c r="G2554" s="1" t="s">
        <v>36</v>
      </c>
      <c r="H2554" s="1" t="s">
        <v>29</v>
      </c>
      <c r="I2554" s="1" t="str">
        <f ca="1">IFERROR(__xludf.DUMMYFUNCTION("GOOGLETRANSLATE(F2554, ""auto"", ""en"")
"),"I bought a machine, I thought it would be enough in two years, but it’s very excellent, it’s been working since 2007, I’m going to buy it for my mother-in-law")</f>
        <v>I bought a machine, I thought it would be enough in two years, but it’s very excellent, it’s been working since 2007, I’m going to buy it for my mother-in-law</v>
      </c>
    </row>
    <row r="2555" spans="1:9" x14ac:dyDescent="0.3">
      <c r="A2555" s="1" t="s">
        <v>149</v>
      </c>
      <c r="B2555" s="1" t="s">
        <v>155</v>
      </c>
      <c r="C2555" s="1" t="s">
        <v>1187</v>
      </c>
      <c r="D2555" s="1" t="s">
        <v>592</v>
      </c>
      <c r="E2555" s="1" t="s">
        <v>971</v>
      </c>
      <c r="F2555" s="1" t="s">
        <v>4941</v>
      </c>
      <c r="G2555" s="1" t="s">
        <v>28</v>
      </c>
      <c r="H2555" s="1" t="s">
        <v>29</v>
      </c>
      <c r="I2555" s="1" t="str">
        <f ca="1">IFERROR(__xludf.DUMMYFUNCTION("GOOGLETRANSLATE(F2555, ""auto"", ""en"")
"),"It vacuums perfectly, it’s convenient that you don’t need to switch the floor/carpet nozzle, it’s convenient to shake out dust and you don’t have to change consumables. But the inconvenient thing is that the controls are on the body, the cord is a little "&amp;"short, and the attachments for upholstered and cabinet furniture are generally garbage, because... Even the cheap LG model with a dust collection container has such attachments that are much more convenient and efficient.")</f>
        <v>It vacuums perfectly, it’s convenient that you don’t need to switch the floor/carpet nozzle, it’s convenient to shake out dust and you don’t have to change consumables. But the inconvenient thing is that the controls are on the body, the cord is a little short, and the attachments for upholstered and cabinet furniture are generally garbage, because... Even the cheap LG model with a dust collection container has such attachments that are much more convenient and efficient.</v>
      </c>
    </row>
    <row r="2556" spans="1:9" x14ac:dyDescent="0.3">
      <c r="A2556" s="1" t="s">
        <v>17</v>
      </c>
      <c r="B2556" s="1" t="s">
        <v>18</v>
      </c>
      <c r="C2556" s="1" t="s">
        <v>243</v>
      </c>
      <c r="D2556" s="1" t="s">
        <v>4942</v>
      </c>
      <c r="E2556" s="1" t="s">
        <v>4220</v>
      </c>
      <c r="F2556" s="1" t="s">
        <v>4943</v>
      </c>
      <c r="G2556" s="1" t="s">
        <v>36</v>
      </c>
      <c r="H2556" s="1" t="s">
        <v>29</v>
      </c>
      <c r="I2556" s="1" t="str">
        <f ca="1">IFERROR(__xludf.DUMMYFUNCTION("GOOGLETRANSLATE(F2556, ""auto"", ""en"")
"),"We bought an Indesit IWE 6105 B (CIS) machine in August. I really like it. We do laundry almost every day. If installed correctly, the noise is almost inaudible. It is very convenient that there is a display on the panel - it is clear when the wash is fin"&amp;"ished.")</f>
        <v>We bought an Indesit IWE 6105 B (CIS) machine in August. I really like it. We do laundry almost every day. If installed correctly, the noise is almost inaudible. It is very convenient that there is a display on the panel - it is clear when the wash is finished.</v>
      </c>
    </row>
    <row r="2557" spans="1:9" x14ac:dyDescent="0.3">
      <c r="A2557" s="1" t="s">
        <v>9</v>
      </c>
      <c r="B2557" s="1" t="s">
        <v>137</v>
      </c>
      <c r="C2557" s="1" t="s">
        <v>63</v>
      </c>
      <c r="D2557" s="1" t="s">
        <v>742</v>
      </c>
      <c r="E2557" s="1" t="s">
        <v>259</v>
      </c>
      <c r="F2557" s="1" t="s">
        <v>4944</v>
      </c>
      <c r="G2557" s="1" t="s">
        <v>36</v>
      </c>
      <c r="H2557" s="1" t="s">
        <v>29</v>
      </c>
      <c r="I2557" s="1" t="str">
        <f ca="1">IFERROR(__xludf.DUMMYFUNCTION("GOOGLETRANSLATE(F2557, ""auto"", ""en"")
"),"A very beautiful, safe and high-tech gas panel, from a high-quality German manufacturer.")</f>
        <v>A very beautiful, safe and high-tech gas panel, from a high-quality German manufacturer.</v>
      </c>
    </row>
    <row r="2558" spans="1:9" x14ac:dyDescent="0.3">
      <c r="A2558" s="1" t="s">
        <v>206</v>
      </c>
      <c r="B2558" s="1" t="s">
        <v>2026</v>
      </c>
      <c r="C2558" s="1" t="s">
        <v>262</v>
      </c>
      <c r="D2558" s="1" t="s">
        <v>305</v>
      </c>
      <c r="E2558" s="1" t="s">
        <v>1401</v>
      </c>
      <c r="F2558" s="1" t="s">
        <v>4945</v>
      </c>
      <c r="G2558" s="1" t="s">
        <v>28</v>
      </c>
      <c r="H2558" s="1" t="s">
        <v>29</v>
      </c>
      <c r="I2558" s="1" t="str">
        <f ca="1">IFERROR(__xludf.DUMMYFUNCTION("GOOGLETRANSLATE(F2558, ""auto"", ""en"")
"),"Plays DVDs quite well, mp3 plays great both from DVD and CD.... Reading is quiet, the drive is almost inaudible. Opens discs that are scratched to the point of “I can’t.” Reads flash drives up to 4 GB inclusive, regardless of whether there is a disk in th"&amp;"e drive or not. Verdict - good quality for the money....")</f>
        <v>Plays DVDs quite well, mp3 plays great both from DVD and CD.... Reading is quiet, the drive is almost inaudible. Opens discs that are scratched to the point of “I can’t.” Reads flash drives up to 4 GB inclusive, regardless of whether there is a disk in the drive or not. Verdict - good quality for the money....</v>
      </c>
    </row>
    <row r="2559" spans="1:9" x14ac:dyDescent="0.3">
      <c r="A2559" s="1" t="s">
        <v>30</v>
      </c>
      <c r="B2559" s="1" t="s">
        <v>50</v>
      </c>
      <c r="C2559" s="1" t="s">
        <v>1386</v>
      </c>
      <c r="D2559" s="1" t="s">
        <v>4946</v>
      </c>
      <c r="E2559" s="1" t="s">
        <v>3310</v>
      </c>
      <c r="F2559" s="1" t="s">
        <v>4947</v>
      </c>
      <c r="G2559" s="1" t="s">
        <v>28</v>
      </c>
      <c r="H2559" s="1" t="s">
        <v>29</v>
      </c>
      <c r="I2559" s="1" t="str">
        <f ca="1">IFERROR(__xludf.DUMMYFUNCTION("GOOGLETRANSLATE(F2559, ""auto"", ""en"")
"),"The laptop is quite good for its price, runs some games, doesn’t get too hot, loads quickly (on windows xp sp2) In general, it’s worth the money.")</f>
        <v>The laptop is quite good for its price, runs some games, doesn’t get too hot, loads quickly (on windows xp sp2) In general, it’s worth the money.</v>
      </c>
    </row>
    <row r="2560" spans="1:9" x14ac:dyDescent="0.3">
      <c r="A2560" s="1" t="s">
        <v>89</v>
      </c>
      <c r="B2560" s="1" t="s">
        <v>90</v>
      </c>
      <c r="C2560" s="1" t="s">
        <v>185</v>
      </c>
      <c r="D2560" s="1" t="s">
        <v>1147</v>
      </c>
      <c r="E2560" s="1" t="s">
        <v>3084</v>
      </c>
      <c r="F2560" s="1" t="s">
        <v>4948</v>
      </c>
      <c r="G2560" s="1" t="s">
        <v>36</v>
      </c>
      <c r="H2560" s="1" t="s">
        <v>29</v>
      </c>
      <c r="I2560" s="1" t="str">
        <f ca="1">IFERROR(__xludf.DUMMYFUNCTION("GOOGLETRANSLATE(F2560, ""auto"", ""en"")
"),"I bought a De Longhi KG 79 coffee grinder. Simply super! very satisfied!")</f>
        <v>I bought a De Longhi KG 79 coffee grinder. Simply super! very satisfied!</v>
      </c>
    </row>
    <row r="2561" spans="1:9" x14ac:dyDescent="0.3">
      <c r="A2561" s="1" t="s">
        <v>67</v>
      </c>
      <c r="B2561" s="1" t="s">
        <v>68</v>
      </c>
      <c r="C2561" s="1" t="s">
        <v>185</v>
      </c>
      <c r="D2561" s="1" t="s">
        <v>32</v>
      </c>
      <c r="E2561" s="1" t="s">
        <v>4949</v>
      </c>
      <c r="F2561" s="1" t="s">
        <v>4950</v>
      </c>
      <c r="G2561" s="1" t="s">
        <v>36</v>
      </c>
      <c r="H2561" s="1" t="s">
        <v>29</v>
      </c>
      <c r="I2561" s="1" t="str">
        <f ca="1">IFERROR(__xludf.DUMMYFUNCTION("GOOGLETRANSLATE(F2561, ""auto"", ""en"")
"),"I wanted to buy myself an iron, I went to the store, and they advised me to buy a steam generator. Which made me very happy! They have the same price, but ironing is many times faster than an iron! I liked that the steam is dry and very powerful; you can "&amp;"iron woolen items, stacks of bed linen, and curtains without any problems without removing them from the curtains. And he is very handsome in appearance.   I’ve been using it for half a year now and recommend it to everyone!")</f>
        <v>I wanted to buy myself an iron, I went to the store, and they advised me to buy a steam generator. Which made me very happy! They have the same price, but ironing is many times faster than an iron! I liked that the steam is dry and very powerful; you can iron woolen items, stacks of bed linen, and curtains without any problems without removing them from the curtains. And he is very handsome in appearance.   I’ve been using it for half a year now and recommend it to everyone!</v>
      </c>
    </row>
    <row r="2562" spans="1:9" x14ac:dyDescent="0.3">
      <c r="A2562" s="1" t="s">
        <v>30</v>
      </c>
      <c r="B2562" s="1" t="s">
        <v>50</v>
      </c>
      <c r="C2562" s="1" t="s">
        <v>694</v>
      </c>
      <c r="D2562" s="1" t="s">
        <v>127</v>
      </c>
      <c r="E2562" s="1" t="s">
        <v>4951</v>
      </c>
      <c r="F2562" s="1" t="s">
        <v>4952</v>
      </c>
      <c r="G2562" s="1" t="s">
        <v>28</v>
      </c>
      <c r="H2562" s="1" t="s">
        <v>29</v>
      </c>
      <c r="I2562" s="1" t="str">
        <f ca="1">IFERROR(__xludf.DUMMYFUNCTION("GOOGLETRANSLATE(F2562, ""auto"", ""en"")
"),"Celeron Dual-Core T3000/1.8 GHz RAM 2 GB / HDD 160 GB.  Weight 2.5 kg Bought 08/11/09.  Special price 16,990 with legal Windows - excellent! Weight 2.5 kg - very good.  You turn it on and you can watch DVD almost immediately.    Disappointingly, the HDMI "&amp;"output stated on the M.Video website is missing!!!  The vertical viewing angle is very small.")</f>
        <v>Celeron Dual-Core T3000/1.8 GHz RAM 2 GB / HDD 160 GB.  Weight 2.5 kg Bought 08/11/09.  Special price 16,990 with legal Windows - excellent! Weight 2.5 kg - very good.  You turn it on and you can watch DVD almost immediately.    Disappointingly, the HDMI output stated on the M.Video website is missing!!!  The vertical viewing angle is very small.</v>
      </c>
    </row>
    <row r="2563" spans="1:9" x14ac:dyDescent="0.3">
      <c r="A2563" s="1" t="s">
        <v>169</v>
      </c>
      <c r="B2563" s="1" t="s">
        <v>170</v>
      </c>
      <c r="C2563" s="1" t="s">
        <v>171</v>
      </c>
      <c r="D2563" s="1" t="s">
        <v>81</v>
      </c>
      <c r="E2563" s="1" t="s">
        <v>4953</v>
      </c>
      <c r="F2563" s="1" t="s">
        <v>4954</v>
      </c>
      <c r="G2563" s="1" t="s">
        <v>36</v>
      </c>
      <c r="H2563" s="1" t="s">
        <v>29</v>
      </c>
      <c r="I2563" s="1" t="str">
        <f ca="1">IFERROR(__xludf.DUMMYFUNCTION("GOOGLETRANSLATE(F2563, ""auto"", ""en"")
"),"The headphones are very interesting. The main feature of this product is that the headphones are wired in antiphase. Therefore, on many players there is an effect that seems to go into one ear and out the other, and there is a lack of bass. I listen on tf"&amp;". Nokia, took the Nokia headset, cut off its cheap ears, carefully disassembled the Fisher headphones and soldered the Nokia headset directly to the Fisher speakers, correcting the anti-phase jamb in the wiring along the way. They turned out to be good he"&amp;"adphones, with high volume and thunderous bass. The sound is approximately similar to the sound of Soviet equipment using germenium transistors. Cool... The only minus in the headphones is that rubber protection against bending comes out of the speaker ho"&amp;"usings, so this is not rubber, but soft plastic. Over time, it will dry out, stiffen and begin to cut the wire with its edges, so the entire structure is short-lived, even if you use it carefully and carefully, after a year and a half, the wires in the ar"&amp;"ea of ​​the ear pads will break.")</f>
        <v>The headphones are very interesting. The main feature of this product is that the headphones are wired in antiphase. Therefore, on many players there is an effect that seems to go into one ear and out the other, and there is a lack of bass. I listen on tf. Nokia, took the Nokia headset, cut off its cheap ears, carefully disassembled the Fisher headphones and soldered the Nokia headset directly to the Fisher speakers, correcting the anti-phase jamb in the wiring along the way. They turned out to be good headphones, with high volume and thunderous bass. The sound is approximately similar to the sound of Soviet equipment using germenium transistors. Cool... The only minus in the headphones is that rubber protection against bending comes out of the speaker housings, so this is not rubber, but soft plastic. Over time, it will dry out, stiffen and begin to cut the wire with its edges, so the entire structure is short-lived, even if you use it carefully and carefully, after a year and a half, the wires in the area of ​​the ear pads will break.</v>
      </c>
    </row>
    <row r="2564" spans="1:9" x14ac:dyDescent="0.3">
      <c r="A2564" s="1" t="s">
        <v>61</v>
      </c>
      <c r="B2564" s="1" t="s">
        <v>180</v>
      </c>
      <c r="C2564" s="1" t="s">
        <v>74</v>
      </c>
      <c r="D2564" s="1" t="s">
        <v>247</v>
      </c>
      <c r="E2564" s="1" t="s">
        <v>1849</v>
      </c>
      <c r="F2564" s="1" t="s">
        <v>4955</v>
      </c>
      <c r="G2564" s="1" t="s">
        <v>28</v>
      </c>
      <c r="H2564" s="1" t="s">
        <v>29</v>
      </c>
      <c r="I2564" s="1" t="str">
        <f ca="1">IFERROR(__xludf.DUMMYFUNCTION("GOOGLETRANSLATE(F2564, ""auto"", ""en"")
"),"This thing was given as a wedding gift (5 years ago).  At night we cooked waffles in it, very tasty! Then they put it in the closet for a while.  But one day I brought it to work (accounting) and.... lo and behold!!! sandwiches are flying away, just go!!!"&amp;"! and just yesterday’s loaf, fried on both sides, great crunch!!!! Now we are all well-fed and kind..... whoever comes first fries sandwiches with cheese and ham for everyone))))) and the coffee is just a fairy tale!!! I highly recommend it to everyone!!!"&amp;"  One minus, rather not a convenience - there is no button to turn it off!!(((you have to pull it out of the socket (we just have an socket in a not very accessible place)")</f>
        <v>This thing was given as a wedding gift (5 years ago).  At night we cooked waffles in it, very tasty! Then they put it in the closet for a while.  But one day I brought it to work (accounting) and.... lo and behold!!! sandwiches are flying away, just go!!!! and just yesterday’s loaf, fried on both sides, great crunch!!!! Now we are all well-fed and kind..... whoever comes first fries sandwiches with cheese and ham for everyone))))) and the coffee is just a fairy tale!!! I highly recommend it to everyone!!!  One minus, rather not a convenience - there is no button to turn it off!!(((you have to pull it out of the socket (we just have an socket in a not very accessible place)</v>
      </c>
    </row>
    <row r="2565" spans="1:9" x14ac:dyDescent="0.3">
      <c r="A2565" s="1" t="s">
        <v>206</v>
      </c>
      <c r="B2565" s="1" t="s">
        <v>207</v>
      </c>
      <c r="C2565" s="1" t="s">
        <v>97</v>
      </c>
      <c r="D2565" s="1" t="s">
        <v>232</v>
      </c>
      <c r="E2565" s="1" t="s">
        <v>4956</v>
      </c>
      <c r="F2565" s="1" t="s">
        <v>4957</v>
      </c>
      <c r="G2565" s="1" t="s">
        <v>36</v>
      </c>
      <c r="H2565" s="1" t="s">
        <v>29</v>
      </c>
      <c r="I2565" s="1" t="str">
        <f ca="1">IFERROR(__xludf.DUMMYFUNCTION("GOOGLETRANSLATE(F2565, ""auto"", ""en"")
"),"I bought it a year ago. I was disappointed until I made a 133 liter box for him with 2 phasics and installed Kixar 1.350. In short, it gives him a kilowatt, oh dear mother, that’s what he started playing. For its price it competes with others, I advise ev"&amp;"eryone, just remake the box, it pumps very powerfully, especially on blacks 30-35Hz.")</f>
        <v>I bought it a year ago. I was disappointed until I made a 133 liter box for him with 2 phasics and installed Kixar 1.350. In short, it gives him a kilowatt, oh dear mother, that’s what he started playing. For its price it competes with others, I advise everyone, just remake the box, it pumps very powerfully, especially on blacks 30-35Hz.</v>
      </c>
    </row>
    <row r="2566" spans="1:9" x14ac:dyDescent="0.3">
      <c r="A2566" s="1" t="s">
        <v>211</v>
      </c>
      <c r="B2566" s="1" t="s">
        <v>515</v>
      </c>
      <c r="C2566" s="1" t="s">
        <v>213</v>
      </c>
      <c r="D2566" s="1" t="s">
        <v>589</v>
      </c>
      <c r="E2566" s="1" t="s">
        <v>4143</v>
      </c>
      <c r="F2566" s="1" t="s">
        <v>4958</v>
      </c>
      <c r="G2566" s="1" t="s">
        <v>36</v>
      </c>
      <c r="H2566" s="1" t="s">
        <v>29</v>
      </c>
      <c r="I2566" s="1" t="str">
        <f ca="1">IFERROR(__xludf.DUMMYFUNCTION("GOOGLETRANSLATE(F2566, ""auto"", ""en"")
"),"Does not cause irritation")</f>
        <v>Does not cause irritation</v>
      </c>
    </row>
    <row r="2567" spans="1:9" x14ac:dyDescent="0.3">
      <c r="A2567" s="1" t="s">
        <v>120</v>
      </c>
      <c r="B2567" s="1" t="s">
        <v>121</v>
      </c>
      <c r="C2567" s="1" t="s">
        <v>80</v>
      </c>
      <c r="D2567" s="1" t="s">
        <v>4959</v>
      </c>
      <c r="E2567" s="1" t="s">
        <v>393</v>
      </c>
      <c r="F2567" s="1" t="s">
        <v>4960</v>
      </c>
      <c r="G2567" s="1" t="s">
        <v>36</v>
      </c>
      <c r="H2567" s="1" t="s">
        <v>29</v>
      </c>
      <c r="I2567" s="1" t="str">
        <f ca="1">IFERROR(__xludf.DUMMYFUNCTION("GOOGLETRANSLATE(F2567, ""auto"", ""en"")
"),"I bought this TV yesterday, it's great. But I still don’t understand how to flash it using my phone (N73), please help!")</f>
        <v>I bought this TV yesterday, it's great. But I still don’t understand how to flash it using my phone (N73), please help!</v>
      </c>
    </row>
    <row r="2568" spans="1:9" x14ac:dyDescent="0.3">
      <c r="A2568" s="1" t="s">
        <v>61</v>
      </c>
      <c r="B2568" s="1" t="s">
        <v>62</v>
      </c>
      <c r="C2568" s="1" t="s">
        <v>63</v>
      </c>
      <c r="D2568" s="1" t="s">
        <v>471</v>
      </c>
      <c r="E2568" s="1" t="s">
        <v>4860</v>
      </c>
      <c r="F2568" s="1" t="s">
        <v>4961</v>
      </c>
      <c r="G2568" s="1" t="s">
        <v>36</v>
      </c>
      <c r="H2568" s="1" t="s">
        <v>29</v>
      </c>
      <c r="I2568" s="1" t="str">
        <f ca="1">IFERROR(__xludf.DUMMYFUNCTION("GOOGLETRANSLATE(F2568, ""auto"", ""en"")
"),"I am the proud owner of a Bosch MUM 4655EU series combine harvester. It has been serving faithfully for many years. I want to buy a juicer attachment for it like in this model. Do you use it? Comfortable?")</f>
        <v>I am the proud owner of a Bosch MUM 4655EU series combine harvester. It has been serving faithfully for many years. I want to buy a juicer attachment for it like in this model. Do you use it? Comfortable?</v>
      </c>
    </row>
    <row r="2569" spans="1:9" x14ac:dyDescent="0.3">
      <c r="A2569" s="1" t="s">
        <v>55</v>
      </c>
      <c r="B2569" s="1" t="s">
        <v>184</v>
      </c>
      <c r="C2569" s="1" t="s">
        <v>45</v>
      </c>
      <c r="D2569" s="1" t="s">
        <v>474</v>
      </c>
      <c r="E2569" s="1" t="s">
        <v>4962</v>
      </c>
      <c r="F2569" s="1" t="s">
        <v>4963</v>
      </c>
      <c r="G2569" s="1" t="s">
        <v>36</v>
      </c>
      <c r="H2569" s="1" t="s">
        <v>29</v>
      </c>
      <c r="I2569" s="1" t="str">
        <f ca="1">IFERROR(__xludf.DUMMYFUNCTION("GOOGLETRANSLATE(F2569, ""auto"", ""en"")
"),"It’s quite cold at work, I work in an office, but we’ve been having problems with heating lately, and it was simply unrealistic to be in the office.. So I had to buy this small fan heater for myself.. Now I turn it on during work, it becomes much warmer. "&amp;" This model is convenient with its compact size; you can put it on the floor or on a table and simply put it away when you don’t need it.  Even though the housing is made of plastic, the fan never gets too hot, and most importantly, there is no unpleasant"&amp;" odor during operation. There is also a special safety system that can turn off the fan during overheating, this has already been done, tested, and it works. I was very pleased with the purchase.")</f>
        <v>It’s quite cold at work, I work in an office, but we’ve been having problems with heating lately, and it was simply unrealistic to be in the office.. So I had to buy this small fan heater for myself.. Now I turn it on during work, it becomes much warmer.  This model is convenient with its compact size; you can put it on the floor or on a table and simply put it away when you don’t need it.  Even though the housing is made of plastic, the fan never gets too hot, and most importantly, there is no unpleasant odor during operation. There is also a special safety system that can turn off the fan during overheating, this has already been done, tested, and it works. I was very pleased with the purchase.</v>
      </c>
    </row>
    <row r="2570" spans="1:9" x14ac:dyDescent="0.3">
      <c r="A2570" s="1" t="s">
        <v>169</v>
      </c>
      <c r="B2570" s="1" t="s">
        <v>170</v>
      </c>
      <c r="C2570" s="1" t="s">
        <v>193</v>
      </c>
      <c r="D2570" s="1" t="s">
        <v>916</v>
      </c>
      <c r="E2570" s="1" t="s">
        <v>3203</v>
      </c>
      <c r="F2570" s="1" t="s">
        <v>4964</v>
      </c>
      <c r="G2570" s="1" t="s">
        <v>36</v>
      </c>
      <c r="H2570" s="1" t="s">
        <v>29</v>
      </c>
      <c r="I2570" s="1" t="str">
        <f ca="1">IFERROR(__xludf.DUMMYFUNCTION("GOOGLETRANSLATE(F2570, ""auto"", ""en"")
"),"Good headphones. Sturdy, sound good and inexpensive.")</f>
        <v>Good headphones. Sturdy, sound good and inexpensive.</v>
      </c>
    </row>
    <row r="2571" spans="1:9" x14ac:dyDescent="0.3">
      <c r="A2571" s="1" t="s">
        <v>61</v>
      </c>
      <c r="B2571" s="1" t="s">
        <v>224</v>
      </c>
      <c r="C2571" s="1" t="s">
        <v>85</v>
      </c>
      <c r="D2571" s="1" t="s">
        <v>280</v>
      </c>
      <c r="E2571" s="1" t="s">
        <v>4311</v>
      </c>
      <c r="F2571" s="1" t="s">
        <v>4965</v>
      </c>
      <c r="G2571" s="1" t="s">
        <v>36</v>
      </c>
      <c r="H2571" s="1" t="s">
        <v>29</v>
      </c>
      <c r="I2571" s="1" t="str">
        <f ca="1">IFERROR(__xludf.DUMMYFUNCTION("GOOGLETRANSLATE(F2571, ""auto"", ""en"")
"),"I recently purchased this item and am eager to show it off! The juice that comes out of it is simply amazing, I drink it every morning before work. From just two apples I get a whole glass of freshly squeezed juice, the pulp is absolutely dry! In general,"&amp;" I am satisfied and recommend it! You won't regret it!")</f>
        <v>I recently purchased this item and am eager to show it off! The juice that comes out of it is simply amazing, I drink it every morning before work. From just two apples I get a whole glass of freshly squeezed juice, the pulp is absolutely dry! In general, I am satisfied and recommend it! You won't regret it!</v>
      </c>
    </row>
    <row r="2572" spans="1:9" x14ac:dyDescent="0.3">
      <c r="A2572" s="1" t="s">
        <v>30</v>
      </c>
      <c r="B2572" s="1" t="s">
        <v>50</v>
      </c>
      <c r="C2572" s="1" t="s">
        <v>1386</v>
      </c>
      <c r="D2572" s="1" t="s">
        <v>411</v>
      </c>
      <c r="E2572" s="1" t="s">
        <v>2333</v>
      </c>
      <c r="F2572" s="1" t="s">
        <v>4966</v>
      </c>
      <c r="G2572" s="1" t="s">
        <v>36</v>
      </c>
      <c r="H2572" s="1" t="s">
        <v>29</v>
      </c>
      <c r="I2572" s="1" t="str">
        <f ca="1">IFERROR(__xludf.DUMMYFUNCTION("GOOGLETRANSLATE(F2572, ""auto"", ""en"")
"),"The netbook is great, I bought it yesterday and immediately installed Windows 7 (in 25 minutes). It works perfectly, the sound is quite loud and of high quality!!! =) There is only one drawback, the problem with increasing video memory, 8 meters is not en"&amp;"ough! :( and so, I advise you to take it, you won’t regret it, the price-quality ratio works great!")</f>
        <v>The netbook is great, I bought it yesterday and immediately installed Windows 7 (in 25 minutes). It works perfectly, the sound is quite loud and of high quality!!! =) There is only one drawback, the problem with increasing video memory, 8 meters is not enough! :( and so, I advise you to take it, you won’t regret it, the price-quality ratio works great!</v>
      </c>
    </row>
    <row r="2573" spans="1:9" x14ac:dyDescent="0.3">
      <c r="A2573" s="1" t="s">
        <v>211</v>
      </c>
      <c r="B2573" s="1" t="s">
        <v>212</v>
      </c>
      <c r="C2573" s="1" t="s">
        <v>57</v>
      </c>
      <c r="D2573" s="1" t="s">
        <v>3501</v>
      </c>
      <c r="E2573" s="1" t="s">
        <v>4967</v>
      </c>
      <c r="F2573" s="1" t="s">
        <v>4968</v>
      </c>
      <c r="G2573" s="1" t="s">
        <v>36</v>
      </c>
      <c r="H2573" s="1" t="s">
        <v>29</v>
      </c>
      <c r="I2573" s="1" t="str">
        <f ca="1">IFERROR(__xludf.DUMMYFUNCTION("GOOGLETRANSLATE(F2573, ""auto"", ""en"")
"),"At first I didn’t like the forceps, but I watched the video on how to use it correctly, and the results are obvious! The Hollywood star's curls are guaranteed. The hair looks beautiful, expensive and romantic. Yes, they take a long time to heat up, but th"&amp;"ey don’t burn your hair. I use it and will continue to use it.")</f>
        <v>At first I didn’t like the forceps, but I watched the video on how to use it correctly, and the results are obvious! The Hollywood star's curls are guaranteed. The hair looks beautiful, expensive and romantic. Yes, they take a long time to heat up, but they don’t burn your hair. I use it and will continue to use it.</v>
      </c>
    </row>
    <row r="2574" spans="1:9" x14ac:dyDescent="0.3">
      <c r="A2574" s="1" t="s">
        <v>211</v>
      </c>
      <c r="B2574" s="1" t="s">
        <v>212</v>
      </c>
      <c r="C2574" s="1" t="s">
        <v>294</v>
      </c>
      <c r="D2574" s="1" t="s">
        <v>4464</v>
      </c>
      <c r="E2574" s="1" t="s">
        <v>4969</v>
      </c>
      <c r="F2574" s="1" t="s">
        <v>4970</v>
      </c>
      <c r="G2574" s="1" t="s">
        <v>36</v>
      </c>
      <c r="H2574" s="1" t="s">
        <v>29</v>
      </c>
      <c r="I2574" s="1" t="str">
        <f ca="1">IFERROR(__xludf.DUMMYFUNCTION("GOOGLETRANSLATE(F2574, ""auto"", ""en"")
"),"I already had such an iron. Used it for about 3 years. There are no glitches, it doesn’t snag the hair, it straightens perfectly! I had to throw it away because the cord at the base was damaged and cannot be repaired, but I think it has served its purpose"&amp;". I'm going to buy the same one!")</f>
        <v>I already had such an iron. Used it for about 3 years. There are no glitches, it doesn’t snag the hair, it straightens perfectly! I had to throw it away because the cord at the base was damaged and cannot be repaired, but I think it has served its purpose. I'm going to buy the same one!</v>
      </c>
    </row>
    <row r="2575" spans="1:9" x14ac:dyDescent="0.3">
      <c r="A2575" s="1" t="s">
        <v>17</v>
      </c>
      <c r="B2575" s="1" t="s">
        <v>18</v>
      </c>
      <c r="C2575" s="1" t="s">
        <v>19</v>
      </c>
      <c r="D2575" s="1" t="s">
        <v>305</v>
      </c>
      <c r="E2575" s="1" t="s">
        <v>2466</v>
      </c>
      <c r="F2575" s="1" t="s">
        <v>4971</v>
      </c>
      <c r="G2575" s="1" t="s">
        <v>36</v>
      </c>
      <c r="H2575" s="1" t="s">
        <v>29</v>
      </c>
      <c r="I2575" s="1" t="str">
        <f ca="1">IFERROR(__xludf.DUMMYFUNCTION("GOOGLETRANSLATE(F2575, ""auto"", ""en"")
"),"The machine is excellent, all the necessary functions are present, even those that we do not use. It has been working for 4 years already, during which time we have washed a lot of laundry and not only laundry. It washes perfectly and also spins for five."&amp;" Buy it, you won't regret it. The only negative is that the engine is a little noisy, but that’s the engine itself.")</f>
        <v>The machine is excellent, all the necessary functions are present, even those that we do not use. It has been working for 4 years already, during which time we have washed a lot of laundry and not only laundry. It washes perfectly and also spins for five. Buy it, you won't regret it. The only negative is that the engine is a little noisy, but that’s the engine itself.</v>
      </c>
    </row>
    <row r="2576" spans="1:9" x14ac:dyDescent="0.3">
      <c r="A2576" s="1" t="s">
        <v>105</v>
      </c>
      <c r="B2576" s="1" t="s">
        <v>106</v>
      </c>
      <c r="C2576" s="1" t="s">
        <v>107</v>
      </c>
      <c r="D2576" s="1" t="s">
        <v>345</v>
      </c>
      <c r="E2576" s="1" t="s">
        <v>4972</v>
      </c>
      <c r="F2576" s="1" t="s">
        <v>4973</v>
      </c>
      <c r="G2576" s="1" t="s">
        <v>49</v>
      </c>
      <c r="H2576" s="1" t="s">
        <v>16</v>
      </c>
      <c r="I2576" s="1" t="str">
        <f ca="1">IFERROR(__xludf.DUMMYFUNCTION("GOOGLETRANSLATE(F2576, ""auto"", ""en"")
"),"A very cruel thing - the brakes are perfectly complemented by the inadequate placement of the buttons. Sometimes to turn off the player you need to hold down the button for half a minute. Although it’s good for those who listen to the radio, because only "&amp;"on the radio the controls don’t slow down, but the reception is terrible. At first I thought I had a marriage, but after the reviews I realized that it’s the same for everyone...")</f>
        <v>A very cruel thing - the brakes are perfectly complemented by the inadequate placement of the buttons. Sometimes to turn off the player you need to hold down the button for half a minute. Although it’s good for those who listen to the radio, because only on the radio the controls don’t slow down, but the reception is terrible. At first I thought I had a marriage, but after the reviews I realized that it’s the same for everyone...</v>
      </c>
    </row>
    <row r="2577" spans="1:9" x14ac:dyDescent="0.3">
      <c r="A2577" s="1" t="s">
        <v>17</v>
      </c>
      <c r="B2577" s="1" t="s">
        <v>18</v>
      </c>
      <c r="C2577" s="1" t="s">
        <v>63</v>
      </c>
      <c r="D2577" s="1" t="s">
        <v>232</v>
      </c>
      <c r="E2577" s="1" t="s">
        <v>2533</v>
      </c>
      <c r="F2577" s="1" t="s">
        <v>4974</v>
      </c>
      <c r="G2577" s="1" t="s">
        <v>36</v>
      </c>
      <c r="H2577" s="1" t="s">
        <v>29</v>
      </c>
      <c r="I2577" s="1" t="str">
        <f ca="1">IFERROR(__xludf.DUMMYFUNCTION("GOOGLETRANSLATE(F2577, ""auto"", ""en"")
"),"I bought it at a discount, I’m happy with everything, the main thing is to balance it correctly. It washes perfectly.   In general Bosch.  For this price there are no other options.  German assembly.   I recommend it.")</f>
        <v>I bought it at a discount, I’m happy with everything, the main thing is to balance it correctly. It washes perfectly.   In general Bosch.  For this price there are no other options.  German assembly.   I recommend it.</v>
      </c>
    </row>
    <row r="2578" spans="1:9" x14ac:dyDescent="0.3">
      <c r="A2578" s="1" t="s">
        <v>149</v>
      </c>
      <c r="B2578" s="1" t="s">
        <v>423</v>
      </c>
      <c r="C2578" s="1" t="s">
        <v>548</v>
      </c>
      <c r="D2578" s="1" t="s">
        <v>152</v>
      </c>
      <c r="E2578" s="1" t="s">
        <v>1730</v>
      </c>
      <c r="F2578" s="1" t="s">
        <v>4975</v>
      </c>
      <c r="G2578" s="1" t="s">
        <v>36</v>
      </c>
      <c r="H2578" s="1" t="s">
        <v>29</v>
      </c>
      <c r="I2578" s="1" t="str">
        <f ca="1">IFERROR(__xludf.DUMMYFUNCTION("GOOGLETRANSLATE(F2578, ""auto"", ""en"")
"),"Advantages: 1. Absorbs liquid from upholstered furniture very well (after cleaning the sofa is wet - after 2 hours it is completely dry) 2. The most important advantage is washing the vacuum cleaner itself (takes no more than 10 minutes, there are no smal"&amp;"l filters) 3. Special. brush for hard surfaces (in reality, the laminate remains clean and dry, even with chamfers) Disadvantages: of course it makes noise like an airplane. no more drawbacks I really liked it when I saw what was in the garbage disposal t"&amp;"ank, despite the fact that for the experiment, I first did the cleaning with a regular vacuum cleaner (the water was just black) and when I started washing the vacuum cleaner itself I realized that, in principle, I wasn’t touching the dirt at all (I turne"&amp;"d the tank upside down and sprayed it with a shower - then everything was clean), then I tried to wash the sofa (before that it seemed to be clean - taking into account that it was only a couple of years old) the water was dirtier than from the floor - an"&amp;"d I slept on it. In the end: I’m satisfied (I don’t understand people who write that the washing vacuum cleaner is garbage), I will recommend it. By the way, the smell after cleaning is great (it doesn’t stink of dirt and other nonsense).")</f>
        <v>Advantages: 1. Absorbs liquid from upholstered furniture very well (after cleaning the sofa is wet - after 2 hours it is completely dry) 2. The most important advantage is washing the vacuum cleaner itself (takes no more than 10 minutes, there are no small filters) 3. Special. brush for hard surfaces (in reality, the laminate remains clean and dry, even with chamfers) Disadvantages: of course it makes noise like an airplane. no more drawbacks I really liked it when I saw what was in the garbage disposal tank, despite the fact that for the experiment, I first did the cleaning with a regular vacuum cleaner (the water was just black) and when I started washing the vacuum cleaner itself I realized that, in principle, I wasn’t touching the dirt at all (I turned the tank upside down and sprayed it with a shower - then everything was clean), then I tried to wash the sofa (before that it seemed to be clean - taking into account that it was only a couple of years old) the water was dirtier than from the floor - and I slept on it. In the end: I’m satisfied (I don’t understand people who write that the washing vacuum cleaner is garbage), I will recommend it. By the way, the smell after cleaning is great (it doesn’t stink of dirt and other nonsense).</v>
      </c>
    </row>
    <row r="2579" spans="1:9" x14ac:dyDescent="0.3">
      <c r="A2579" s="1" t="s">
        <v>211</v>
      </c>
      <c r="B2579" s="1" t="s">
        <v>384</v>
      </c>
      <c r="C2579" s="1" t="s">
        <v>351</v>
      </c>
      <c r="D2579" s="1" t="s">
        <v>4976</v>
      </c>
      <c r="E2579" s="1" t="s">
        <v>4977</v>
      </c>
      <c r="F2579" s="1" t="s">
        <v>4978</v>
      </c>
      <c r="G2579" s="1" t="s">
        <v>28</v>
      </c>
      <c r="H2579" s="1" t="s">
        <v>29</v>
      </c>
      <c r="I2579" s="1" t="str">
        <f ca="1">IFERROR(__xludf.DUMMYFUNCTION("GOOGLETRANSLATE(F2579, ""auto"", ""en"")
"),"Very good scales, the main thing is to weigh yourself on a flat floor. To eliminate the error, you can lose weight).")</f>
        <v>Very good scales, the main thing is to weigh yourself on a flat floor. To eliminate the error, you can lose weight).</v>
      </c>
    </row>
    <row r="2580" spans="1:9" x14ac:dyDescent="0.3">
      <c r="A2580" s="1" t="s">
        <v>61</v>
      </c>
      <c r="B2580" s="1" t="s">
        <v>726</v>
      </c>
      <c r="C2580" s="1" t="s">
        <v>85</v>
      </c>
      <c r="D2580" s="1" t="s">
        <v>1823</v>
      </c>
      <c r="E2580" s="1" t="s">
        <v>1403</v>
      </c>
      <c r="F2580" s="1" t="s">
        <v>4979</v>
      </c>
      <c r="G2580" s="1" t="s">
        <v>49</v>
      </c>
      <c r="H2580" s="1" t="s">
        <v>16</v>
      </c>
      <c r="I2580" s="1" t="str">
        <f ca="1">IFERROR(__xludf.DUMMYFUNCTION("GOOGLETRANSLATE(F2580, ""auto"", ""en"")
"),"I purchased the stove 1 month ago. I am very dissatisfied. The bread turns out unbaked, has no smell, no taste - inedible (according to the manufacturer's recipes). When baked in a round form, the crust of the bread is white. The lingering smell of plasti"&amp;"c (the body) is especially ""killing"".   I do not recommend BORK products to anyone.")</f>
        <v>I purchased the stove 1 month ago. I am very dissatisfied. The bread turns out unbaked, has no smell, no taste - inedible (according to the manufacturer's recipes). When baked in a round form, the crust of the bread is white. The lingering smell of plastic (the body) is especially "killing".   I do not recommend BORK products to anyone.</v>
      </c>
    </row>
    <row r="2581" spans="1:9" x14ac:dyDescent="0.3">
      <c r="A2581" s="1" t="s">
        <v>43</v>
      </c>
      <c r="B2581" s="1" t="s">
        <v>1370</v>
      </c>
      <c r="C2581" s="1" t="s">
        <v>2137</v>
      </c>
      <c r="D2581" s="1" t="s">
        <v>52</v>
      </c>
      <c r="E2581" s="1" t="s">
        <v>4980</v>
      </c>
      <c r="F2581" s="1" t="s">
        <v>4981</v>
      </c>
      <c r="G2581" s="1" t="s">
        <v>49</v>
      </c>
      <c r="H2581" s="1" t="s">
        <v>16</v>
      </c>
      <c r="I2581" s="1" t="str">
        <f ca="1">IFERROR(__xludf.DUMMYFUNCTION("GOOGLETRANSLATE(F2581, ""auto"", ""en"")
"),"I bought it today, installed it at 75*C - they weren’t even close. You won't be able to swim, take a cumulative one for 4 people. , 50 l. Enough for the eyes.")</f>
        <v>I bought it today, installed it at 75*C - they weren’t even close. You won't be able to swim, take a cumulative one for 4 people. , 50 l. Enough for the eyes.</v>
      </c>
    </row>
    <row r="2582" spans="1:9" x14ac:dyDescent="0.3">
      <c r="A2582" s="1" t="s">
        <v>211</v>
      </c>
      <c r="B2582" s="1" t="s">
        <v>265</v>
      </c>
      <c r="C2582" s="1" t="s">
        <v>122</v>
      </c>
      <c r="D2582" s="1" t="s">
        <v>280</v>
      </c>
      <c r="E2582" s="1" t="s">
        <v>3254</v>
      </c>
      <c r="F2582" s="1" t="s">
        <v>4982</v>
      </c>
      <c r="G2582" s="1" t="s">
        <v>36</v>
      </c>
      <c r="H2582" s="1" t="s">
        <v>29</v>
      </c>
      <c r="I2582" s="1" t="str">
        <f ca="1">IFERROR(__xludf.DUMMYFUNCTION("GOOGLETRANSLATE(F2582, ""auto"", ""en"")
"),"Guys, I came in to quickly write a review. Before that I had a Cameroon machine - it lasted 10 years (1-2 haircuts per week). Let me tell you, ceramic blades and self-sharpening are superior. But they started handing over the batteries (they couldn’t be r"&amp;"eplaced there), so we had to choose a new machine. Everything that is here (almost everything) with telescopic attachments - do not take it!! Try it yourself - all these telescopes are not for our hands))) I turned the machines from 700 rubles. up to 5000"&amp;" rub. and came to the conclusion that Panas is an ideal. I don't regret it at all. The battery lasted 50 minutes on the first charge, I think if the hair had not just been washed, it would have lasted longer. Doesn't chew, doesn't slurp, even cuts hair wh"&amp;"ile swiping. The blade does not forgive mistakes - every movement cuts off the flesh of the hair, and if the arms grow just below the shoulders, then the flesh of the head)) For model cutters (if you are editing contours, etc.) it is very convenient becau"&amp;"se it is light and feels like a fountain pen in the hand. You can do anything with strokes! ))) In general, for this money the thing cannot be better. By the way, the batteries, for those who don’t have enough, can be easily replaced with more capacious o"&amp;"nes - they are absolutely standard AAA, and they can also be replaced with lithium-ion ones, for those who need to charge for 8 hours at a time) Everything is simple and easy, as always with the Japanese. Take it! You won't regret it. I was lucky; an eleg"&amp;"ant stand for charging, nozzles and bottles from old Cameroon was ideal...")</f>
        <v>Guys, I came in to quickly write a review. Before that I had a Cameroon machine - it lasted 10 years (1-2 haircuts per week). Let me tell you, ceramic blades and self-sharpening are superior. But they started handing over the batteries (they couldn’t be replaced there), so we had to choose a new machine. Everything that is here (almost everything) with telescopic attachments - do not take it!! Try it yourself - all these telescopes are not for our hands))) I turned the machines from 700 rubles. up to 5000 rub. and came to the conclusion that Panas is an ideal. I don't regret it at all. The battery lasted 50 minutes on the first charge, I think if the hair had not just been washed, it would have lasted longer. Doesn't chew, doesn't slurp, even cuts hair while swiping. The blade does not forgive mistakes - every movement cuts off the flesh of the hair, and if the arms grow just below the shoulders, then the flesh of the head)) For model cutters (if you are editing contours, etc.) it is very convenient because it is light and feels like a fountain pen in the hand. You can do anything with strokes! ))) In general, for this money the thing cannot be better. By the way, the batteries, for those who don’t have enough, can be easily replaced with more capacious ones - they are absolutely standard AAA, and they can also be replaced with lithium-ion ones, for those who need to charge for 8 hours at a time) Everything is simple and easy, as always with the Japanese. Take it! You won't regret it. I was lucky; an elegant stand for charging, nozzles and bottles from old Cameroon was ideal...</v>
      </c>
    </row>
    <row r="2583" spans="1:9" x14ac:dyDescent="0.3">
      <c r="A2583" s="1" t="s">
        <v>120</v>
      </c>
      <c r="B2583" s="1" t="s">
        <v>834</v>
      </c>
      <c r="C2583" s="1" t="s">
        <v>151</v>
      </c>
      <c r="D2583" s="1" t="s">
        <v>411</v>
      </c>
      <c r="E2583" s="1" t="s">
        <v>4951</v>
      </c>
      <c r="F2583" s="1" t="s">
        <v>4983</v>
      </c>
      <c r="G2583" s="1" t="s">
        <v>36</v>
      </c>
      <c r="H2583" s="1" t="s">
        <v>29</v>
      </c>
      <c r="I2583" s="1" t="str">
        <f ca="1">IFERROR(__xludf.DUMMYFUNCTION("GOOGLETRANSLATE(F2583, ""auto"", ""en"")
"),"I've been using it for about 4 months now, no complaints. In general, I consider SAMSUNG TV equipment to be the highest quality in terms of image, design, and design.  The only thing I didn’t really like about this model is that when switching channels th"&amp;"ere is a pause, but this is not critical.  there was a choice between this model and the B550A5, the difference in cost was 5,000 rubles. in favor of the purchased model. But after consulting with friends, I realized that most of the functions and options"&amp;" available in the B550A5 model are not needed in Russia, and the touch panel is less convenient, especially in the dark. The purchased model B530P7 has options that are really useful in Russia. I really like this TV and I recommend this model to everyone."&amp;"  This is already the second SAMSUNG TV in my house, and at the moment I’m going to buy another (small) SAMSUNG TV, of course, for the bedroom.")</f>
        <v>I've been using it for about 4 months now, no complaints. In general, I consider SAMSUNG TV equipment to be the highest quality in terms of image, design, and design.  The only thing I didn’t really like about this model is that when switching channels there is a pause, but this is not critical.  there was a choice between this model and the B550A5, the difference in cost was 5,000 rubles. in favor of the purchased model. But after consulting with friends, I realized that most of the functions and options available in the B550A5 model are not needed in Russia, and the touch panel is less convenient, especially in the dark. The purchased model B530P7 has options that are really useful in Russia. I really like this TV and I recommend this model to everyone.  This is already the second SAMSUNG TV in my house, and at the moment I’m going to buy another (small) SAMSUNG TV, of course, for the bedroom.</v>
      </c>
    </row>
    <row r="2584" spans="1:9" x14ac:dyDescent="0.3">
      <c r="A2584" s="1" t="s">
        <v>17</v>
      </c>
      <c r="B2584" s="1" t="s">
        <v>18</v>
      </c>
      <c r="C2584" s="1" t="s">
        <v>151</v>
      </c>
      <c r="D2584" s="1" t="s">
        <v>471</v>
      </c>
      <c r="E2584" s="1" t="s">
        <v>4984</v>
      </c>
      <c r="F2584" s="1" t="s">
        <v>4985</v>
      </c>
      <c r="G2584" s="1" t="s">
        <v>15</v>
      </c>
      <c r="H2584" s="1" t="s">
        <v>16</v>
      </c>
      <c r="I2584" s="1" t="str">
        <f ca="1">IFERROR(__xludf.DUMMYFUNCTION("GOOGLETRANSLATE(F2584, ""auto"", ""en"")
"),"During the first start, a leak appeared from under the machine... We checked the hoses and connections - everything is normal. It's leaking from the front panel..where exactly is not known. We are waiting for a service center specialist to announce the ve"&amp;"rdict. Still, the Chinese assembly makes itself felt. But they just didn’t expect that this would become clear on the first day. It's sad that quality has become such an unaffordable luxury.")</f>
        <v>During the first start, a leak appeared from under the machine... We checked the hoses and connections - everything is normal. It's leaking from the front panel..where exactly is not known. We are waiting for a service center specialist to announce the verdict. Still, the Chinese assembly makes itself felt. But they just didn’t expect that this would become clear on the first day. It's sad that quality has become such an unaffordable luxury.</v>
      </c>
    </row>
    <row r="2585" spans="1:9" x14ac:dyDescent="0.3">
      <c r="A2585" s="1" t="s">
        <v>211</v>
      </c>
      <c r="B2585" s="1" t="s">
        <v>384</v>
      </c>
      <c r="C2585" s="1" t="s">
        <v>63</v>
      </c>
      <c r="D2585" s="1" t="s">
        <v>411</v>
      </c>
      <c r="E2585" s="1" t="s">
        <v>4986</v>
      </c>
      <c r="F2585" s="1" t="s">
        <v>4987</v>
      </c>
      <c r="G2585" s="1" t="s">
        <v>49</v>
      </c>
      <c r="H2585" s="1" t="s">
        <v>16</v>
      </c>
      <c r="I2585" s="1" t="str">
        <f ca="1">IFERROR(__xludf.DUMMYFUNCTION("GOOGLETRANSLATE(F2585, ""auto"", ""en"")
"),"Problems like everyone else. Some were replaced under warranty. Now I will read reviews before purchasing. I bought it like everyone else because of the beauty and the company, but alas. Do not buy under any circumstances, they are not worth your money.")</f>
        <v>Problems like everyone else. Some were replaced under warranty. Now I will read reviews before purchasing. I bought it like everyone else because of the beauty and the company, but alas. Do not buy under any circumstances, they are not worth your money.</v>
      </c>
    </row>
    <row r="2586" spans="1:9" x14ac:dyDescent="0.3">
      <c r="A2586" s="1" t="s">
        <v>95</v>
      </c>
      <c r="B2586" s="1" t="s">
        <v>486</v>
      </c>
      <c r="C2586" s="1" t="s">
        <v>487</v>
      </c>
      <c r="D2586" s="1" t="s">
        <v>4988</v>
      </c>
      <c r="E2586" s="1" t="s">
        <v>2057</v>
      </c>
      <c r="F2586" s="1" t="s">
        <v>4989</v>
      </c>
      <c r="G2586" s="1" t="s">
        <v>36</v>
      </c>
      <c r="H2586" s="1" t="s">
        <v>29</v>
      </c>
      <c r="I2586" s="1" t="str">
        <f ca="1">IFERROR(__xludf.DUMMYFUNCTION("GOOGLETRANSLATE(F2586, ""auto"", ""en"")
"),"I bought the xbox 360 arcade version at the end of 2009 and now it works perfectly. I bought an additional hdmi cable and now I run it on plasma. The count is super")</f>
        <v>I bought the xbox 360 arcade version at the end of 2009 and now it works perfectly. I bought an additional hdmi cable and now I run it on plasma. The count is super</v>
      </c>
    </row>
    <row r="2587" spans="1:9" x14ac:dyDescent="0.3">
      <c r="A2587" s="1" t="s">
        <v>89</v>
      </c>
      <c r="B2587" s="1" t="s">
        <v>90</v>
      </c>
      <c r="C2587" s="1" t="s">
        <v>185</v>
      </c>
      <c r="D2587" s="1" t="s">
        <v>474</v>
      </c>
      <c r="E2587" s="1" t="s">
        <v>4990</v>
      </c>
      <c r="F2587" s="1" t="s">
        <v>4991</v>
      </c>
      <c r="G2587" s="1" t="s">
        <v>36</v>
      </c>
      <c r="H2587" s="1" t="s">
        <v>29</v>
      </c>
      <c r="I2587" s="1" t="str">
        <f ca="1">IFERROR(__xludf.DUMMYFUNCTION("GOOGLETRANSLATE(F2587, ""auto"", ""en"")
"),"Compact, makes really fine grinds, easy to clean")</f>
        <v>Compact, makes really fine grinds, easy to clean</v>
      </c>
    </row>
    <row r="2588" spans="1:9" x14ac:dyDescent="0.3">
      <c r="A2588" s="1" t="s">
        <v>67</v>
      </c>
      <c r="B2588" s="1" t="s">
        <v>68</v>
      </c>
      <c r="C2588" s="1" t="s">
        <v>246</v>
      </c>
      <c r="D2588" s="1" t="s">
        <v>385</v>
      </c>
      <c r="E2588" s="1" t="s">
        <v>2202</v>
      </c>
      <c r="F2588" s="1" t="s">
        <v>4992</v>
      </c>
      <c r="G2588" s="1" t="s">
        <v>15</v>
      </c>
      <c r="H2588" s="1" t="s">
        <v>16</v>
      </c>
      <c r="I2588" s="1" t="str">
        <f ca="1">IFERROR(__xludf.DUMMYFUNCTION("GOOGLETRANSLATE(F2588, ""auto"", ""en"")
"),"I bought an iron a few days ago. I was very pleased with the price and ease of use. But not for long! During use, it was discovered that when heated, a strong smell of burning plastic was released from the nose of the iron! Impossible to use. So I had to "&amp;"exchange it for another one. The store exchanged it without any problems.")</f>
        <v>I bought an iron a few days ago. I was very pleased with the price and ease of use. But not for long! During use, it was discovered that when heated, a strong smell of burning plastic was released from the nose of the iron! Impossible to use. So I had to exchange it for another one. The store exchanged it without any problems.</v>
      </c>
    </row>
    <row r="2589" spans="1:9" x14ac:dyDescent="0.3">
      <c r="A2589" s="1" t="s">
        <v>149</v>
      </c>
      <c r="B2589" s="1" t="s">
        <v>423</v>
      </c>
      <c r="C2589" s="1" t="s">
        <v>548</v>
      </c>
      <c r="D2589" s="1" t="s">
        <v>64</v>
      </c>
      <c r="E2589" s="1" t="s">
        <v>1513</v>
      </c>
      <c r="F2589" s="1" t="s">
        <v>4993</v>
      </c>
      <c r="G2589" s="1" t="s">
        <v>36</v>
      </c>
      <c r="H2589" s="1" t="s">
        <v>29</v>
      </c>
      <c r="I2589" s="1" t="str">
        <f ca="1">IFERROR(__xludf.DUMMYFUNCTION("GOOGLETRANSLATE(F2589, ""auto"", ""en"")
"),"I’ve been wanting to buy a washing vacuum cleaner for three years, I read a lot of reviews, but everyone told me off because it’s heavy, big, and it’s generally not possible to wash the floor with it. I was given this miracle for my birthday! I really enj"&amp;"oyed cleaning the floor with it! We have mostly tiles, they have become so shiny, I don’t recognize them. There is also a cork coating, no moisture remains and this is a plus. The water is dirty, although I wash the floor often, since we have a small chil"&amp;"d and shaggy animals, which shed so much during the shedding season!!! Yes, it is heavy and noisy, a little louder than a regular vacuum cleaner! I wash it in about 3 minutes, it doesn’t cause me any inconvenience. it's simple. I am happy with the gift (h"&amp;"owever, I wanted a different brand of washing vacuum cleaner, thanks to the consultant)! But what an effect and a clean floor!!!!")</f>
        <v>I’ve been wanting to buy a washing vacuum cleaner for three years, I read a lot of reviews, but everyone told me off because it’s heavy, big, and it’s generally not possible to wash the floor with it. I was given this miracle for my birthday! I really enjoyed cleaning the floor with it! We have mostly tiles, they have become so shiny, I don’t recognize them. There is also a cork coating, no moisture remains and this is a plus. The water is dirty, although I wash the floor often, since we have a small child and shaggy animals, which shed so much during the shedding season!!! Yes, it is heavy and noisy, a little louder than a regular vacuum cleaner! I wash it in about 3 minutes, it doesn’t cause me any inconvenience. it's simple. I am happy with the gift (however, I wanted a different brand of washing vacuum cleaner, thanks to the consultant)! But what an effect and a clean floor!!!!</v>
      </c>
    </row>
    <row r="2590" spans="1:9" x14ac:dyDescent="0.3">
      <c r="A2590" s="1" t="s">
        <v>61</v>
      </c>
      <c r="B2590" s="1" t="s">
        <v>73</v>
      </c>
      <c r="C2590" s="1" t="s">
        <v>74</v>
      </c>
      <c r="D2590" s="1" t="s">
        <v>456</v>
      </c>
      <c r="E2590" s="1" t="s">
        <v>82</v>
      </c>
      <c r="F2590" s="1" t="s">
        <v>4994</v>
      </c>
      <c r="G2590" s="1" t="s">
        <v>28</v>
      </c>
      <c r="H2590" s="1" t="s">
        <v>29</v>
      </c>
      <c r="I2590" s="1" t="str">
        <f ca="1">IFERROR(__xludf.DUMMYFUNCTION("GOOGLETRANSLATE(F2590, ""auto"", ""en"")
"),"I bought this model today. I ground half a bucket of meat. It seems to work well. It might even be good. We'll see later.")</f>
        <v>I bought this model today. I ground half a bucket of meat. It seems to work well. It might even be good. We'll see later.</v>
      </c>
    </row>
    <row r="2591" spans="1:9" x14ac:dyDescent="0.3">
      <c r="A2591" s="1" t="s">
        <v>9</v>
      </c>
      <c r="B2591" s="1" t="s">
        <v>137</v>
      </c>
      <c r="C2591" s="1" t="s">
        <v>138</v>
      </c>
      <c r="D2591" s="1" t="s">
        <v>32</v>
      </c>
      <c r="E2591" s="1" t="s">
        <v>2964</v>
      </c>
      <c r="F2591" s="1" t="s">
        <v>4995</v>
      </c>
      <c r="G2591" s="1" t="s">
        <v>36</v>
      </c>
      <c r="H2591" s="1" t="s">
        <v>29</v>
      </c>
      <c r="I2591" s="1" t="str">
        <f ca="1">IFERROR(__xludf.DUMMYFUNCTION("GOOGLETRANSLATE(F2591, ""auto"", ""en"")
"),"We've been using it for 4 years. Very comfortable, easy to clean, everything works! I recommend it to everyone. One small drawback is that when you cook something for a long time, the touch control panel gets hot.")</f>
        <v>We've been using it for 4 years. Very comfortable, easy to clean, everything works! I recommend it to everyone. One small drawback is that when you cook something for a long time, the touch control panel gets hot.</v>
      </c>
    </row>
    <row r="2592" spans="1:9" x14ac:dyDescent="0.3">
      <c r="A2592" s="1" t="s">
        <v>61</v>
      </c>
      <c r="B2592" s="1" t="s">
        <v>62</v>
      </c>
      <c r="C2592" s="1" t="s">
        <v>69</v>
      </c>
      <c r="D2592" s="1" t="s">
        <v>12</v>
      </c>
      <c r="E2592" s="1" t="s">
        <v>2964</v>
      </c>
      <c r="F2592" s="1" t="s">
        <v>4996</v>
      </c>
      <c r="G2592" s="1" t="s">
        <v>36</v>
      </c>
      <c r="H2592" s="1" t="s">
        <v>29</v>
      </c>
      <c r="I2592" s="1" t="str">
        <f ca="1">IFERROR(__xludf.DUMMYFUNCTION("GOOGLETRANSLATE(F2592, ""auto"", ""en"")
"),"I bought it about 10 years ago (if not more), it works flawlessly, very convenient, small, nothing superfluous, but everything you need. The only thing is that at that time they still made all-metal nozzles, but in general the design remained almost uncha"&amp;"nged. I gave it to all my friends. In my opinion, this is the best compact combine harvester model.")</f>
        <v>I bought it about 10 years ago (if not more), it works flawlessly, very convenient, small, nothing superfluous, but everything you need. The only thing is that at that time they still made all-metal nozzles, but in general the design remained almost unchanged. I gave it to all my friends. In my opinion, this is the best compact combine harvester model.</v>
      </c>
    </row>
    <row r="2593" spans="1:9" x14ac:dyDescent="0.3">
      <c r="A2593" s="1" t="s">
        <v>89</v>
      </c>
      <c r="B2593" s="1" t="s">
        <v>231</v>
      </c>
      <c r="C2593" s="1" t="s">
        <v>185</v>
      </c>
      <c r="D2593" s="1" t="s">
        <v>305</v>
      </c>
      <c r="E2593" s="1" t="s">
        <v>3125</v>
      </c>
      <c r="F2593" s="1" t="s">
        <v>4997</v>
      </c>
      <c r="G2593" s="1" t="s">
        <v>28</v>
      </c>
      <c r="H2593" s="1" t="s">
        <v>29</v>
      </c>
      <c r="I2593" s="1" t="str">
        <f ca="1">IFERROR(__xludf.DUMMYFUNCTION("GOOGLETRANSLATE(F2593, ""auto"", ""en"")
"),"Overall, I liked the coffee machine. Everything works as it should. The adjustments are clear. Everything is easily customizable to taste. There is only one drawback: a lot of time passes while it switches from steam to coffee mode. Those. To make cappucc"&amp;"ino, you must first make the coffee, and then just froth the milk. After frothing the milk, you will have to wait 3-5 minutes until you can make a cup of coffee again. If you make several cups of cappuccino, this is inconvenient.")</f>
        <v>Overall, I liked the coffee machine. Everything works as it should. The adjustments are clear. Everything is easily customizable to taste. There is only one drawback: a lot of time passes while it switches from steam to coffee mode. Those. To make cappuccino, you must first make the coffee, and then just froth the milk. After frothing the milk, you will have to wait 3-5 minutes until you can make a cup of coffee again. If you make several cups of cappuccino, this is inconvenient.</v>
      </c>
    </row>
    <row r="2594" spans="1:9" x14ac:dyDescent="0.3">
      <c r="A2594" s="1" t="s">
        <v>211</v>
      </c>
      <c r="B2594" s="1" t="s">
        <v>515</v>
      </c>
      <c r="C2594" s="1" t="s">
        <v>213</v>
      </c>
      <c r="D2594" s="1" t="s">
        <v>474</v>
      </c>
      <c r="E2594" s="1" t="s">
        <v>3673</v>
      </c>
      <c r="F2594" s="1" t="s">
        <v>4998</v>
      </c>
      <c r="G2594" s="1" t="s">
        <v>15</v>
      </c>
      <c r="H2594" s="1" t="s">
        <v>16</v>
      </c>
      <c r="I2594" s="1" t="str">
        <f ca="1">IFERROR(__xludf.DUMMYFUNCTION("GOOGLETRANSLATE(F2594, ""auto"", ""en"")
"),"The razor is very weak, clogs quickly, is difficult to clean, I struggled and struggled and came to the conclusion that a razor is more convenient.")</f>
        <v>The razor is very weak, clogs quickly, is difficult to clean, I struggled and struggled and came to the conclusion that a razor is more convenient.</v>
      </c>
    </row>
    <row r="2595" spans="1:9" x14ac:dyDescent="0.3">
      <c r="A2595" s="1" t="s">
        <v>37</v>
      </c>
      <c r="B2595" s="1" t="s">
        <v>38</v>
      </c>
      <c r="C2595" s="1" t="s">
        <v>39</v>
      </c>
      <c r="D2595" s="1" t="s">
        <v>4999</v>
      </c>
      <c r="E2595" s="1" t="s">
        <v>3469</v>
      </c>
      <c r="F2595" s="1" t="s">
        <v>5000</v>
      </c>
      <c r="G2595" s="1" t="s">
        <v>36</v>
      </c>
      <c r="H2595" s="1" t="s">
        <v>29</v>
      </c>
      <c r="I2595" s="1" t="str">
        <f ca="1">IFERROR(__xludf.DUMMYFUNCTION("GOOGLETRANSLATE(F2595, ""auto"", ""en"")
"),"the phone is just super!!!!! I’ve had it for 2 years and it’s like new =)) the sound is just great and doesn’t slow down, stylish, and durable. I’ve fallen many times and no matter what.")</f>
        <v>the phone is just super!!!!! I’ve had it for 2 years and it’s like new =)) the sound is just great and doesn’t slow down, stylish, and durable. I’ve fallen many times and no matter what.</v>
      </c>
    </row>
    <row r="2596" spans="1:9" x14ac:dyDescent="0.3">
      <c r="A2596" s="1" t="s">
        <v>43</v>
      </c>
      <c r="B2596" s="1" t="s">
        <v>303</v>
      </c>
      <c r="C2596" s="1" t="s">
        <v>665</v>
      </c>
      <c r="D2596" s="1" t="s">
        <v>679</v>
      </c>
      <c r="E2596" s="1" t="s">
        <v>2193</v>
      </c>
      <c r="F2596" s="1" t="s">
        <v>5001</v>
      </c>
      <c r="G2596" s="1" t="s">
        <v>28</v>
      </c>
      <c r="H2596" s="1" t="s">
        <v>29</v>
      </c>
      <c r="I2596" s="1" t="str">
        <f ca="1">IFERROR(__xludf.DUMMYFUNCTION("GOOGLETRANSLATE(F2596, ""auto"", ""en"")
"),"The quality is super. When ordering online, keep 2 points in mind: it is huge, narrow, but very long (about 1.2 meters). It takes a long time to heat the water, about 1.5-2 hours, and the most interesting thing is that after 2 people wash for about 5-8 mi"&amp;"nutes each, the water flows already barely warm. We start washing when the arrow is in the red zone. And one more thing. If the heating regulator is set to almost maximum, then for me it heated the water all night and in the morning it still didn’t heat u"&amp;"p, the power indicator lamp was on, the indicator needle was in the middle of the red zone, but the electricity was turned up...")</f>
        <v>The quality is super. When ordering online, keep 2 points in mind: it is huge, narrow, but very long (about 1.2 meters). It takes a long time to heat the water, about 1.5-2 hours, and the most interesting thing is that after 2 people wash for about 5-8 minutes each, the water flows already barely warm. We start washing when the arrow is in the red zone. And one more thing. If the heating regulator is set to almost maximum, then for me it heated the water all night and in the morning it still didn’t heat up, the power indicator lamp was on, the indicator needle was in the middle of the red zone, but the electricity was turned up...</v>
      </c>
    </row>
    <row r="2597" spans="1:9" x14ac:dyDescent="0.3">
      <c r="A2597" s="1" t="s">
        <v>9</v>
      </c>
      <c r="B2597" s="1" t="s">
        <v>4430</v>
      </c>
      <c r="C2597" s="1" t="s">
        <v>134</v>
      </c>
      <c r="D2597" s="1" t="s">
        <v>5002</v>
      </c>
      <c r="E2597" s="1" t="s">
        <v>4182</v>
      </c>
      <c r="F2597" s="1" t="s">
        <v>5003</v>
      </c>
      <c r="G2597" s="1" t="s">
        <v>36</v>
      </c>
      <c r="H2597" s="1" t="s">
        <v>29</v>
      </c>
      <c r="I2597" s="1" t="str">
        <f ca="1">IFERROR(__xludf.DUMMYFUNCTION("GOOGLETRANSLATE(F2597, ""auto"", ""en"")
"),"The quality of washing is many times higher than that of my old Indesit. Another plus is the spacious drum, quiet operation (when the door is closed you can’t even hear that the machine is working). It doesn’t shake or move at all. Just in case, there is "&amp;"complete protection against leaks. The display is large and clear, and there is also a 24-hour delayed start function (although I don’t use it often). There are nice additional options - increasing the washing time, easy ironing, pre-washing. True, it bee"&amp;"ps when the wash is finished, it is very loud and I was unable to reduce the volume of the sound. And so everything suits me - both the quality of washing and assembly are excellent.")</f>
        <v>The quality of washing is many times higher than that of my old Indesit. Another plus is the spacious drum, quiet operation (when the door is closed you can’t even hear that the machine is working). It doesn’t shake or move at all. Just in case, there is complete protection against leaks. The display is large and clear, and there is also a 24-hour delayed start function (although I don’t use it often). There are nice additional options - increasing the washing time, easy ironing, pre-washing. True, it beeps when the wash is finished, it is very loud and I was unable to reduce the volume of the sound. And so everything suits me - both the quality of washing and assembly are excellent.</v>
      </c>
    </row>
    <row r="2598" spans="1:9" x14ac:dyDescent="0.3">
      <c r="A2598" s="1" t="s">
        <v>61</v>
      </c>
      <c r="B2598" s="1" t="s">
        <v>977</v>
      </c>
      <c r="C2598" s="1" t="s">
        <v>85</v>
      </c>
      <c r="D2598" s="1" t="s">
        <v>2336</v>
      </c>
      <c r="E2598" s="1" t="s">
        <v>359</v>
      </c>
      <c r="F2598" s="1" t="s">
        <v>5004</v>
      </c>
      <c r="G2598" s="1" t="s">
        <v>36</v>
      </c>
      <c r="H2598" s="1" t="s">
        <v>29</v>
      </c>
      <c r="I2598" s="1" t="str">
        <f ca="1">IFERROR(__xludf.DUMMYFUNCTION("GOOGLETRANSLATE(F2598, ""auto"", ""en"")
"),"mixes everything.")</f>
        <v>mixes everything.</v>
      </c>
    </row>
    <row r="2599" spans="1:9" x14ac:dyDescent="0.3">
      <c r="A2599" s="1" t="s">
        <v>105</v>
      </c>
      <c r="B2599" s="1" t="s">
        <v>106</v>
      </c>
      <c r="C2599" s="1" t="s">
        <v>107</v>
      </c>
      <c r="D2599" s="1" t="s">
        <v>695</v>
      </c>
      <c r="E2599" s="1" t="s">
        <v>3123</v>
      </c>
      <c r="F2599" s="1" t="s">
        <v>5005</v>
      </c>
      <c r="G2599" s="1" t="s">
        <v>28</v>
      </c>
      <c r="H2599" s="1" t="s">
        <v>29</v>
      </c>
      <c r="I2599" s="1" t="str">
        <f ca="1">IFERROR(__xludf.DUMMYFUNCTION("GOOGLETRANSLATE(F2599, ""auto"", ""en"")
"),"I've been using this player for about a month now and I'm happy with this device.    I'll break it down point by point: Sound: Excellent, clear. You should take good headphones for this player. The PlayFX effects are great!  I'm glad that you can listen t"&amp;"o music in FLAC format.    Screen: Screen size specifically for watching videos, large screen, almost 3 inches. The color quality of photos and videos is excellent. I calmly watch videos at many times higher resolution of the player screen.      Sensor: G"&amp;"ood response, although it’s not always convenient to move the slider, which constantly jumps back and forth (especially when we are talking about hundreds of files on the player), but you can close your eyes to this.    Built-in memory: More than enough. "&amp;"Personally, I always have two gigs free.    Video: There are problems with AVI (DivX), a “formatting error” window pops up and other things. With AVI (XiviD) the player is more applicable. But there is a small problem: When the video shows night or someth"&amp;"ing else “dark”, “squares” appear in dark places (however, this is a problem with many players.) I haven’t tried to download RMVB yet, but I think there won’t be any special “problems” with it.  It’s strange, but the player does not play MPEG4, it says “f"&amp;"ormatting error.” There is a clock, timer, and calendar. Not bad for an organizer.  I'm pleased with the metal body. It's not plastic after all.  E-books are convenient to read.  The backlight does not tire the eyes.  FM radio is not very strong. But I wa"&amp;"s pleased with the frequency range with the choice of countries. (Europe, USA...) The recorder is working properly. Records in good quality.  I was pleased with the Lyrics feature. But the words there somehow sometimes don’t fit.  The battery lasts for ab"&amp;"out 3 hours. I mostly watch videos.  The headphones that come with the package are bad. It’s better to take others, more expensive ones, because... The sound quality on standard ones is poor.    The shake function is also quite convenient. Only sometimes "&amp;"she switches songs inappropriately. But you can block it, and then this problem will be solved.    The accelerometer only works with photos and audio. It is convenient to flip photos in a convenient position.    The menu is really “crooked”, the text in m"&amp;"essages sometimes extends beyond the message window.    In general, the player is a solid 4-ku.")</f>
        <v>I've been using this player for about a month now and I'm happy with this device.    I'll break it down point by point: Sound: Excellent, clear. You should take good headphones for this player. The PlayFX effects are great!  I'm glad that you can listen to music in FLAC format.    Screen: Screen size specifically for watching videos, large screen, almost 3 inches. The color quality of photos and videos is excellent. I calmly watch videos at many times higher resolution of the player screen.      Sensor: Good response, although it’s not always convenient to move the slider, which constantly jumps back and forth (especially when we are talking about hundreds of files on the player), but you can close your eyes to this.    Built-in memory: More than enough. Personally, I always have two gigs free.    Video: There are problems with AVI (DivX), a “formatting error” window pops up and other things. With AVI (XiviD) the player is more applicable. But there is a small problem: When the video shows night or something else “dark”, “squares” appear in dark places (however, this is a problem with many players.) I haven’t tried to download RMVB yet, but I think there won’t be any special “problems” with it.  It’s strange, but the player does not play MPEG4, it says “formatting error.” There is a clock, timer, and calendar. Not bad for an organizer.  I'm pleased with the metal body. It's not plastic after all.  E-books are convenient to read.  The backlight does not tire the eyes.  FM radio is not very strong. But I was pleased with the frequency range with the choice of countries. (Europe, USA...) The recorder is working properly. Records in good quality.  I was pleased with the Lyrics feature. But the words there somehow sometimes don’t fit.  The battery lasts for about 3 hours. I mostly watch videos.  The headphones that come with the package are bad. It’s better to take others, more expensive ones, because... The sound quality on standard ones is poor.    The shake function is also quite convenient. Only sometimes she switches songs inappropriately. But you can block it, and then this problem will be solved.    The accelerometer only works with photos and audio. It is convenient to flip photos in a convenient position.    The menu is really “crooked”, the text in messages sometimes extends beyond the message window.    In general, the player is a solid 4-ku.</v>
      </c>
    </row>
    <row r="2600" spans="1:9" x14ac:dyDescent="0.3">
      <c r="A2600" s="1" t="s">
        <v>149</v>
      </c>
      <c r="B2600" s="1" t="s">
        <v>423</v>
      </c>
      <c r="C2600" s="1" t="s">
        <v>424</v>
      </c>
      <c r="D2600" s="1" t="s">
        <v>247</v>
      </c>
      <c r="E2600" s="1" t="s">
        <v>3918</v>
      </c>
      <c r="F2600" s="1" t="s">
        <v>5006</v>
      </c>
      <c r="G2600" s="1" t="s">
        <v>36</v>
      </c>
      <c r="H2600" s="1" t="s">
        <v>29</v>
      </c>
      <c r="I2600" s="1" t="str">
        <f ca="1">IFERROR(__xludf.DUMMYFUNCTION("GOOGLETRANSLATE(F2600, ""auto"", ""en"")
"),"This vacuum cleaner cleans everything - carpets, sofas, floors, upholstered furniture. And when today I washed a jam stain from the seat of an old chair, which I had stained it with as a child (accidentally!), my surprise and admiration knew no bounds. I "&amp;"love it! P.S. I'm not a salesperson or sales manager of this store :) The vacuum cleaner really works!")</f>
        <v>This vacuum cleaner cleans everything - carpets, sofas, floors, upholstered furniture. And when today I washed a jam stain from the seat of an old chair, which I had stained it with as a child (accidentally!), my surprise and admiration knew no bounds. I love it! P.S. I'm not a salesperson or sales manager of this store :) The vacuum cleaner really works!</v>
      </c>
    </row>
    <row r="2601" spans="1:9" x14ac:dyDescent="0.3">
      <c r="A2601" s="1" t="s">
        <v>95</v>
      </c>
      <c r="B2601" s="1" t="s">
        <v>227</v>
      </c>
      <c r="C2601" s="1" t="s">
        <v>97</v>
      </c>
      <c r="D2601" s="1" t="s">
        <v>1659</v>
      </c>
      <c r="E2601" s="1" t="s">
        <v>886</v>
      </c>
      <c r="F2601" s="1" t="s">
        <v>5007</v>
      </c>
      <c r="G2601" s="1" t="s">
        <v>36</v>
      </c>
      <c r="H2601" s="1" t="s">
        <v>29</v>
      </c>
      <c r="I2601" s="1" t="str">
        <f ca="1">IFERROR(__xludf.DUMMYFUNCTION("GOOGLETRANSLATE(F2601, ""auto"", ""en"")
"),"Super, I like it, but the downside is that it makes noise and heats up. I recommend it.")</f>
        <v>Super, I like it, but the downside is that it makes noise and heats up. I recommend it.</v>
      </c>
    </row>
    <row r="2602" spans="1:9" x14ac:dyDescent="0.3">
      <c r="A2602" s="1" t="s">
        <v>61</v>
      </c>
      <c r="B2602" s="1" t="s">
        <v>180</v>
      </c>
      <c r="C2602" s="1" t="s">
        <v>85</v>
      </c>
      <c r="D2602" s="1" t="s">
        <v>390</v>
      </c>
      <c r="E2602" s="1" t="s">
        <v>1099</v>
      </c>
      <c r="F2602" s="1" t="s">
        <v>5008</v>
      </c>
      <c r="G2602" s="1" t="s">
        <v>36</v>
      </c>
      <c r="H2602" s="1" t="s">
        <v>29</v>
      </c>
      <c r="I2602" s="1" t="str">
        <f ca="1">IFERROR(__xludf.DUMMYFUNCTION("GOOGLETRANSLATE(F2602, ""auto"", ""en"")
"),"I bought it in the summer along with an air purifier.     The device is pleasing to the eye, while it works, there are no complaints.    Simply beautiful and reliable...probably this is how technology should be...")</f>
        <v>I bought it in the summer along with an air purifier.     The device is pleasing to the eye, while it works, there are no complaints.    Simply beautiful and reliable...probably this is how technology should be...</v>
      </c>
    </row>
    <row r="2603" spans="1:9" x14ac:dyDescent="0.3">
      <c r="A2603" s="1" t="s">
        <v>9</v>
      </c>
      <c r="B2603" s="1" t="s">
        <v>133</v>
      </c>
      <c r="C2603" s="1" t="s">
        <v>588</v>
      </c>
      <c r="D2603" s="1" t="s">
        <v>5009</v>
      </c>
      <c r="E2603" s="1" t="s">
        <v>3809</v>
      </c>
      <c r="F2603" s="1" t="s">
        <v>5010</v>
      </c>
      <c r="G2603" s="1" t="s">
        <v>36</v>
      </c>
      <c r="H2603" s="1" t="s">
        <v>29</v>
      </c>
      <c r="I2603" s="1" t="str">
        <f ca="1">IFERROR(__xludf.DUMMYFUNCTION("GOOGLETRANSLATE(F2603, ""auto"", ""en"")
"),"Heating the oven before first use For long-term service and high-quality operation of the oven, you must strictly adhere to the operating rules. Unfortunately, many people forget about the process of calcining the oven before the first use, and the result"&amp;" in the form of an unpleasant smell during cooking is not long in coming. Calcination involves “firing” the oven at a temperature of 250 degrees for an hour. This operation will get rid of the “factory smell” that is present in any oven from any manufactu"&amp;"rer. So, we heat the oven at a temperature of 250 degrees for an hour and a half on the top heat + bottom heat mode. During this process, do not forget to open the window, because the smell will be unpleasant. After calcination, open the oven door 1/4. Yo"&amp;"u can do it completely, but be careful - the temperature of the inner surface is too high. The window must also be open. The smell will dissipate in about 30 minutes. After this, use a cleaner to clean the inside of the oven. You can use it to clean the e"&amp;"namel of any remaining odor. Let the oven air out for another 20 minutes and you can start cooking!")</f>
        <v>Heating the oven before first use For long-term service and high-quality operation of the oven, you must strictly adhere to the operating rules. Unfortunately, many people forget about the process of calcining the oven before the first use, and the result in the form of an unpleasant smell during cooking is not long in coming. Calcination involves “firing” the oven at a temperature of 250 degrees for an hour. This operation will get rid of the “factory smell” that is present in any oven from any manufacturer. So, we heat the oven at a temperature of 250 degrees for an hour and a half on the top heat + bottom heat mode. During this process, do not forget to open the window, because the smell will be unpleasant. After calcination, open the oven door 1/4. You can do it completely, but be careful - the temperature of the inner surface is too high. The window must also be open. The smell will dissipate in about 30 minutes. After this, use a cleaner to clean the inside of the oven. You can use it to clean the enamel of any remaining odor. Let the oven air out for another 20 minutes and you can start cooking!</v>
      </c>
    </row>
    <row r="2604" spans="1:9" x14ac:dyDescent="0.3">
      <c r="A2604" s="1" t="s">
        <v>61</v>
      </c>
      <c r="B2604" s="1" t="s">
        <v>224</v>
      </c>
      <c r="C2604" s="1" t="s">
        <v>85</v>
      </c>
      <c r="D2604" s="1" t="s">
        <v>545</v>
      </c>
      <c r="E2604" s="1" t="s">
        <v>5011</v>
      </c>
      <c r="F2604" s="1" t="s">
        <v>5012</v>
      </c>
      <c r="G2604" s="1" t="s">
        <v>49</v>
      </c>
      <c r="H2604" s="1" t="s">
        <v>16</v>
      </c>
      <c r="I2604" s="1" t="str">
        <f ca="1">IFERROR(__xludf.DUMMYFUNCTION("GOOGLETRANSLATE(F2604, ""auto"", ""en"")
"),"We bought a juicer two days ago... and VERY regretted it... it turns out not juice, but puree... we will return it...")</f>
        <v>We bought a juicer two days ago... and VERY regretted it... it turns out not juice, but puree... we will return it...</v>
      </c>
    </row>
    <row r="2605" spans="1:9" x14ac:dyDescent="0.3">
      <c r="A2605" s="1" t="s">
        <v>61</v>
      </c>
      <c r="B2605" s="1" t="s">
        <v>180</v>
      </c>
      <c r="C2605" s="1" t="s">
        <v>74</v>
      </c>
      <c r="D2605" s="1" t="s">
        <v>545</v>
      </c>
      <c r="E2605" s="1" t="s">
        <v>5013</v>
      </c>
      <c r="F2605" s="1" t="s">
        <v>5014</v>
      </c>
      <c r="G2605" s="1" t="s">
        <v>36</v>
      </c>
      <c r="H2605" s="1" t="s">
        <v>29</v>
      </c>
      <c r="I2605" s="1" t="str">
        <f ca="1">IFERROR(__xludf.DUMMYFUNCTION("GOOGLETRANSLATE(F2605, ""auto"", ""en"")
"),"My husband gave it to me for New Year, I am very pleased with the gift! I used it to make puff pastries from puff pastry without yeast with apples, with sausage and cheese, with sausages, with bananas and chocolate. They turn out awesome and big! And the "&amp;"waffles she baked were superb too! And tomorrow I’ll do boutiques! Take it, you won’t regret it!!!")</f>
        <v>My husband gave it to me for New Year, I am very pleased with the gift! I used it to make puff pastries from puff pastry without yeast with apples, with sausage and cheese, with sausages, with bananas and chocolate. They turn out awesome and big! And the waffles she baked were superb too! And tomorrow I’ll do boutiques! Take it, you won’t regret it!!!</v>
      </c>
    </row>
    <row r="2606" spans="1:9" x14ac:dyDescent="0.3">
      <c r="A2606" s="1" t="s">
        <v>55</v>
      </c>
      <c r="B2606" s="1" t="s">
        <v>56</v>
      </c>
      <c r="C2606" s="1" t="s">
        <v>57</v>
      </c>
      <c r="D2606" s="1" t="s">
        <v>295</v>
      </c>
      <c r="E2606" s="1" t="s">
        <v>2861</v>
      </c>
      <c r="F2606" s="1" t="s">
        <v>5015</v>
      </c>
      <c r="G2606" s="1" t="s">
        <v>28</v>
      </c>
      <c r="H2606" s="1" t="s">
        <v>29</v>
      </c>
      <c r="I2606" s="1" t="str">
        <f ca="1">IFERROR(__xludf.DUMMYFUNCTION("GOOGLETRANSLATE(F2606, ""auto"", ""en"")
"),"VITEK VT-1761BK was purchased in 2013. 2 pcs. (one for yourself, the other as a gift). Both work flawlessly. The model is not noisy, sometimes gurgles slightly. It humidifies the air well; with continuous operation, you can raise the humidity in a room of"&amp;" 18 sq.m. in one day. from 20% to 60% (there is a hygrometer in the room), while the humidity already feels excessive =) There were troubles such as water leaks a couple of times, all due to sloppy assembly after filling with water and installing on the b"&amp;"ase. As other users have said before, the cause of the white coating around the surfaces is the composition of the water poured into the tank. For example, if you fill in water after a reverse osmosis cleaning system, there will be no deposits.  Pros: Per"&amp;"formance. Capacious tank: 5 l. Easy to clean. Ease of management.  Disadvantages: The backlight of the adjustment knobs sometimes does not turn on (does not affect operation).  Result: Satisfied with the purchase. The device copes with its duties and load"&amp;".")</f>
        <v>VITEK VT-1761BK was purchased in 2013. 2 pcs. (one for yourself, the other as a gift). Both work flawlessly. The model is not noisy, sometimes gurgles slightly. It humidifies the air well; with continuous operation, you can raise the humidity in a room of 18 sq.m. in one day. from 20% to 60% (there is a hygrometer in the room), while the humidity already feels excessive =) There were troubles such as water leaks a couple of times, all due to sloppy assembly after filling with water and installing on the base. As other users have said before, the cause of the white coating around the surfaces is the composition of the water poured into the tank. For example, if you fill in water after a reverse osmosis cleaning system, there will be no deposits.  Pros: Performance. Capacious tank: 5 l. Easy to clean. Ease of management.  Disadvantages: The backlight of the adjustment knobs sometimes does not turn on (does not affect operation).  Result: Satisfied with the purchase. The device copes with its duties and load.</v>
      </c>
    </row>
    <row r="2607" spans="1:9" x14ac:dyDescent="0.3">
      <c r="A2607" s="1" t="s">
        <v>78</v>
      </c>
      <c r="B2607" s="1" t="s">
        <v>79</v>
      </c>
      <c r="C2607" s="1" t="s">
        <v>80</v>
      </c>
      <c r="D2607" s="1" t="s">
        <v>5016</v>
      </c>
      <c r="E2607" s="1" t="s">
        <v>4245</v>
      </c>
      <c r="F2607" s="1" t="s">
        <v>5017</v>
      </c>
      <c r="G2607" s="1" t="s">
        <v>36</v>
      </c>
      <c r="H2607" s="1" t="s">
        <v>29</v>
      </c>
      <c r="I2607" s="1" t="str">
        <f ca="1">IFERROR(__xludf.DUMMYFUNCTION("GOOGLETRANSLATE(F2607, ""auto"", ""en"")
"),"I saw a good price on the website. I went and bought it. I brought it home and turned it on.... I was happy! It works!!! It heats up. The only thing I haven’t tried yet is grilling meat.... and the device is powerful. You can easily put a pizza in the siz"&amp;"e, of course it’s huge, but the volume is 23 liters! Super I like everything, thanks mvideo that it’s there and I buy equipment not far from home, but nothing has let me down there yet.")</f>
        <v>I saw a good price on the website. I went and bought it. I brought it home and turned it on.... I was happy! It works!!! It heats up. The only thing I haven’t tried yet is grilling meat.... and the device is powerful. You can easily put a pizza in the size, of course it’s huge, but the volume is 23 liters! Super I like everything, thanks mvideo that it’s there and I buy equipment not far from home, but nothing has let me down there yet.</v>
      </c>
    </row>
    <row r="2608" spans="1:9" x14ac:dyDescent="0.3">
      <c r="A2608" s="1" t="s">
        <v>557</v>
      </c>
      <c r="B2608" s="1" t="s">
        <v>558</v>
      </c>
      <c r="C2608" s="1" t="s">
        <v>816</v>
      </c>
      <c r="D2608" s="1" t="s">
        <v>3407</v>
      </c>
      <c r="E2608" s="1" t="s">
        <v>21</v>
      </c>
      <c r="F2608" s="1" t="s">
        <v>5018</v>
      </c>
      <c r="G2608" s="1" t="s">
        <v>49</v>
      </c>
      <c r="H2608" s="1" t="s">
        <v>16</v>
      </c>
      <c r="I2608" s="1" t="str">
        <f ca="1">IFERROR(__xludf.DUMMYFUNCTION("GOOGLETRANSLATE(F2608, ""auto"", ""en"")
"),"I didn’t like the phone: the information on the display is displayed in thin, curved, hard-to-read letters. There are no Russian letters on the keyboard, which is inconvenient for entering subscribers into the address book.  ATTENTION !  New rules for tra"&amp;"ding telephone sets have been introduced: no refunds are made for purchased goods, only an exchange for one of equal value or a higher price is possible.")</f>
        <v>I didn’t like the phone: the information on the display is displayed in thin, curved, hard-to-read letters. There are no Russian letters on the keyboard, which is inconvenient for entering subscribers into the address book.  ATTENTION !  New rules for trading telephone sets have been introduced: no refunds are made for purchased goods, only an exchange for one of equal value or a higher price is possible.</v>
      </c>
    </row>
    <row r="2609" spans="1:9" x14ac:dyDescent="0.3">
      <c r="A2609" s="1" t="s">
        <v>206</v>
      </c>
      <c r="B2609" s="1" t="s">
        <v>261</v>
      </c>
      <c r="C2609" s="1" t="s">
        <v>257</v>
      </c>
      <c r="D2609" s="1" t="s">
        <v>171</v>
      </c>
      <c r="E2609" s="1" t="s">
        <v>1270</v>
      </c>
      <c r="F2609" s="1" t="s">
        <v>5019</v>
      </c>
      <c r="G2609" s="1" t="s">
        <v>49</v>
      </c>
      <c r="H2609" s="1" t="s">
        <v>16</v>
      </c>
      <c r="I2609" s="1" t="str">
        <f ca="1">IFERROR(__xludf.DUMMYFUNCTION("GOOGLETRANSLATE(F2609, ""auto"", ""en"")
"),"I worked for about six months. Then he plays a few seconds of one track and stops. Nobody undertakes to repair it. They say it's cheaper to buy a new one")</f>
        <v>I worked for about six months. Then he plays a few seconds of one track and stops. Nobody undertakes to repair it. They say it's cheaper to buy a new one</v>
      </c>
    </row>
    <row r="2610" spans="1:9" x14ac:dyDescent="0.3">
      <c r="A2610" s="1" t="s">
        <v>61</v>
      </c>
      <c r="B2610" s="1" t="s">
        <v>977</v>
      </c>
      <c r="C2610" s="1" t="s">
        <v>69</v>
      </c>
      <c r="D2610" s="1" t="s">
        <v>545</v>
      </c>
      <c r="E2610" s="1" t="s">
        <v>2575</v>
      </c>
      <c r="F2610" s="1" t="s">
        <v>5020</v>
      </c>
      <c r="G2610" s="1" t="s">
        <v>49</v>
      </c>
      <c r="H2610" s="1" t="s">
        <v>16</v>
      </c>
      <c r="I2610" s="1" t="str">
        <f ca="1">IFERROR(__xludf.DUMMYFUNCTION("GOOGLETRANSLATE(F2610, ""auto"", ""en"")
"),"I’ve been using it for a long time, but now only with a whisk - some parts of the knife inside have rusted and it’s no longer usable, because... When used, rust leaks out and stinks terribly...")</f>
        <v>I’ve been using it for a long time, but now only with a whisk - some parts of the knife inside have rusted and it’s no longer usable, because... When used, rust leaks out and stinks terribly...</v>
      </c>
    </row>
    <row r="2611" spans="1:9" x14ac:dyDescent="0.3">
      <c r="A2611" s="1" t="s">
        <v>17</v>
      </c>
      <c r="B2611" s="1" t="s">
        <v>18</v>
      </c>
      <c r="C2611" s="1" t="s">
        <v>243</v>
      </c>
      <c r="D2611" s="1" t="s">
        <v>228</v>
      </c>
      <c r="E2611" s="1" t="s">
        <v>285</v>
      </c>
      <c r="F2611" s="1" t="s">
        <v>5021</v>
      </c>
      <c r="G2611" s="1" t="s">
        <v>36</v>
      </c>
      <c r="H2611" s="1" t="s">
        <v>29</v>
      </c>
      <c r="I2611" s="1" t="str">
        <f ca="1">IFERROR(__xludf.DUMMYFUNCTION("GOOGLETRANSLATE(F2611, ""auto"", ""en"")
"),"We bought it in 2009, in the first year we washed it every other day and today it works perfectly, there is only 1 minus - a lot of noise during the spin cycle.&amp;nbsp; I just close the door in the bathroom))). In general, a good washing machine.")</f>
        <v>We bought it in 2009, in the first year we washed it every other day and today it works perfectly, there is only 1 minus - a lot of noise during the spin cycle.&amp;nbsp; I just close the door in the bathroom))). In general, a good washing machine.</v>
      </c>
    </row>
    <row r="2612" spans="1:9" x14ac:dyDescent="0.3">
      <c r="A2612" s="1" t="s">
        <v>95</v>
      </c>
      <c r="B2612" s="1" t="s">
        <v>486</v>
      </c>
      <c r="C2612" s="1" t="s">
        <v>487</v>
      </c>
      <c r="D2612" s="1" t="s">
        <v>5022</v>
      </c>
      <c r="E2612" s="1" t="s">
        <v>3284</v>
      </c>
      <c r="F2612" s="1" t="s">
        <v>5023</v>
      </c>
      <c r="G2612" s="1" t="s">
        <v>36</v>
      </c>
      <c r="H2612" s="1" t="s">
        <v>29</v>
      </c>
      <c r="I2612" s="1" t="str">
        <f ca="1">IFERROR(__xludf.DUMMYFUNCTION("GOOGLETRANSLATE(F2612, ""auto"", ""en"")
"),"In my opinion, the xbox360 was a good console, but with the release of slim it became even cooler. Buy it, you won’t regret it!")</f>
        <v>In my opinion, the xbox360 was a good console, but with the release of slim it became even cooler. Buy it, you won’t regret it!</v>
      </c>
    </row>
    <row r="2613" spans="1:9" x14ac:dyDescent="0.3">
      <c r="A2613" s="1" t="s">
        <v>169</v>
      </c>
      <c r="B2613" s="1" t="s">
        <v>170</v>
      </c>
      <c r="C2613" s="1" t="s">
        <v>171</v>
      </c>
      <c r="D2613" s="1" t="s">
        <v>280</v>
      </c>
      <c r="E2613" s="1" t="s">
        <v>3454</v>
      </c>
      <c r="F2613" s="1" t="s">
        <v>5024</v>
      </c>
      <c r="G2613" s="1" t="s">
        <v>36</v>
      </c>
      <c r="H2613" s="1" t="s">
        <v>29</v>
      </c>
      <c r="I2613" s="1" t="str">
        <f ca="1">IFERROR(__xludf.DUMMYFUNCTION("GOOGLETRANSLATE(F2613, ""auto"", ""en"")
"),"I've been using these headphones for about a year now. I can recommend them. Excellent sound... I think for the money you can hardly find better ones.")</f>
        <v>I've been using these headphones for about a year now. I can recommend them. Excellent sound... I think for the money you can hardly find better ones.</v>
      </c>
    </row>
    <row r="2614" spans="1:9" x14ac:dyDescent="0.3">
      <c r="A2614" s="1" t="s">
        <v>4415</v>
      </c>
      <c r="B2614" s="1" t="s">
        <v>5025</v>
      </c>
      <c r="C2614" s="1" t="s">
        <v>479</v>
      </c>
      <c r="D2614" s="1" t="s">
        <v>592</v>
      </c>
      <c r="E2614" s="1" t="s">
        <v>1510</v>
      </c>
      <c r="F2614" s="1" t="s">
        <v>5026</v>
      </c>
      <c r="G2614" s="1" t="s">
        <v>36</v>
      </c>
      <c r="H2614" s="1" t="s">
        <v>29</v>
      </c>
      <c r="I2614" s="1" t="str">
        <f ca="1">IFERROR(__xludf.DUMMYFUNCTION("GOOGLETRANSLATE(F2614, ""auto"", ""en"")
"),"I really like the fairy tales of this author. Few people these days are endowed with such literary taste to create fairy tales for children and adults at the same time so simply and easily. Thank you.")</f>
        <v>I really like the fairy tales of this author. Few people these days are endowed with such literary taste to create fairy tales for children and adults at the same time so simply and easily. Thank you.</v>
      </c>
    </row>
    <row r="2615" spans="1:9" x14ac:dyDescent="0.3">
      <c r="A2615" s="1" t="s">
        <v>61</v>
      </c>
      <c r="B2615" s="1" t="s">
        <v>318</v>
      </c>
      <c r="C2615" s="1" t="s">
        <v>69</v>
      </c>
      <c r="D2615" s="1" t="s">
        <v>4546</v>
      </c>
      <c r="E2615" s="1" t="s">
        <v>3771</v>
      </c>
      <c r="F2615" s="1" t="s">
        <v>5027</v>
      </c>
      <c r="G2615" s="1" t="s">
        <v>36</v>
      </c>
      <c r="H2615" s="1" t="s">
        <v>29</v>
      </c>
      <c r="I2615" s="1" t="str">
        <f ca="1">IFERROR(__xludf.DUMMYFUNCTION("GOOGLETRANSLATE(F2615, ""auto"", ""en"")
"),"We chose a kettle based on its direct functions + color. First we took Czech brown, which had a smell, and the water made my stomach ache. I called the store and they said they would change it! For which RESPECT to them! Brought it - and they replaced it "&amp;"without any problems! Unfortunately, not everyone can do that... I gave it a 5, because it’s simply impossible to find a kettle whose water won’t make you wrinkle - it’s simply impossible! I would like it to work longer. Before this, there were “pure” Ger"&amp;"mans and French Tefal, impeccable! But everything has its time...And we don’t want to be poisoned by chemistry with a beautiful design. Thanks again to the staff, because the opinion about the network is created by them!")</f>
        <v>We chose a kettle based on its direct functions + color. First we took Czech brown, which had a smell, and the water made my stomach ache. I called the store and they said they would change it! For which RESPECT to them! Brought it - and they replaced it without any problems! Unfortunately, not everyone can do that... I gave it a 5, because it’s simply impossible to find a kettle whose water won’t make you wrinkle - it’s simply impossible! I would like it to work longer. Before this, there were “pure” Germans and French Tefal, impeccable! But everything has its time...And we don’t want to be poisoned by chemistry with a beautiful design. Thanks again to the staff, because the opinion about the network is created by them!</v>
      </c>
    </row>
    <row r="2616" spans="1:9" x14ac:dyDescent="0.3">
      <c r="A2616" s="1" t="s">
        <v>519</v>
      </c>
      <c r="B2616" s="1" t="s">
        <v>520</v>
      </c>
      <c r="C2616" s="1" t="s">
        <v>3571</v>
      </c>
      <c r="D2616" s="1" t="s">
        <v>64</v>
      </c>
      <c r="E2616" s="1" t="s">
        <v>5028</v>
      </c>
      <c r="F2616" s="1" t="s">
        <v>5029</v>
      </c>
      <c r="G2616" s="1" t="s">
        <v>36</v>
      </c>
      <c r="H2616" s="1" t="s">
        <v>29</v>
      </c>
      <c r="I2616" s="1" t="str">
        <f ca="1">IFERROR(__xludf.DUMMYFUNCTION("GOOGLETRANSLATE(F2616, ""auto"", ""en"")
"),"We bought all the pots from the set and really like the dishes. We cook on an induction hob - nothing burns, the handles don’t get hot, the bottom is practically not scratched. Convenient drainage, we have already forgotten what a colander is. The volume "&amp;"is also very convenient.")</f>
        <v>We bought all the pots from the set and really like the dishes. We cook on an induction hob - nothing burns, the handles don’t get hot, the bottom is practically not scratched. Convenient drainage, we have already forgotten what a colander is. The volume is also very convenient.</v>
      </c>
    </row>
    <row r="2617" spans="1:9" x14ac:dyDescent="0.3">
      <c r="A2617" s="1" t="s">
        <v>37</v>
      </c>
      <c r="B2617" s="1" t="s">
        <v>38</v>
      </c>
      <c r="C2617" s="1" t="s">
        <v>151</v>
      </c>
      <c r="D2617" s="1" t="s">
        <v>967</v>
      </c>
      <c r="E2617" s="1" t="s">
        <v>3184</v>
      </c>
      <c r="F2617" s="1" t="s">
        <v>5030</v>
      </c>
      <c r="G2617" s="1" t="s">
        <v>36</v>
      </c>
      <c r="H2617" s="1" t="s">
        <v>29</v>
      </c>
      <c r="I2617" s="1" t="str">
        <f ca="1">IFERROR(__xludf.DUMMYFUNCTION("GOOGLETRANSLATE(F2617, ""auto"", ""en"")
"),"Super price for 3G. The quality of workmanship is excellent. Get it while you can. This model has already been discontinued. All the benefits. Except for one thing. This device's battery is not very strong. But I have enough. Holds a card up to 8GB. I rec"&amp;"ommend!")</f>
        <v>Super price for 3G. The quality of workmanship is excellent. Get it while you can. This model has already been discontinued. All the benefits. Except for one thing. This device's battery is not very strong. But I have enough. Holds a card up to 8GB. I recommend!</v>
      </c>
    </row>
    <row r="2618" spans="1:9" x14ac:dyDescent="0.3">
      <c r="A2618" s="1" t="s">
        <v>211</v>
      </c>
      <c r="B2618" s="1" t="s">
        <v>212</v>
      </c>
      <c r="C2618" s="1" t="s">
        <v>381</v>
      </c>
      <c r="D2618" s="1" t="s">
        <v>5031</v>
      </c>
      <c r="E2618" s="1" t="s">
        <v>5032</v>
      </c>
      <c r="F2618" s="1" t="s">
        <v>5033</v>
      </c>
      <c r="G2618" s="1" t="s">
        <v>36</v>
      </c>
      <c r="H2618" s="1" t="s">
        <v>29</v>
      </c>
      <c r="I2618" s="1" t="str">
        <f ca="1">IFERROR(__xludf.DUMMYFUNCTION("GOOGLETRANSLATE(F2618, ""auto"", ""en"")
"),"Great brush! But this is specifically for styling hair, not for drying. I've been using it for a year now and I'm very pleased.")</f>
        <v>Great brush! But this is specifically for styling hair, not for drying. I've been using it for a year now and I'm very pleased.</v>
      </c>
    </row>
    <row r="2619" spans="1:9" x14ac:dyDescent="0.3">
      <c r="A2619" s="1" t="s">
        <v>30</v>
      </c>
      <c r="B2619" s="1" t="s">
        <v>50</v>
      </c>
      <c r="C2619" s="1" t="s">
        <v>1003</v>
      </c>
      <c r="D2619" s="1" t="s">
        <v>280</v>
      </c>
      <c r="E2619" s="1" t="s">
        <v>236</v>
      </c>
      <c r="F2619" s="1" t="s">
        <v>5034</v>
      </c>
      <c r="G2619" s="1" t="s">
        <v>28</v>
      </c>
      <c r="H2619" s="1" t="s">
        <v>29</v>
      </c>
      <c r="I2619" s="1" t="str">
        <f ca="1">IFERROR(__xludf.DUMMYFUNCTION("GOOGLETRANSLATE(F2619, ""auto"", ""en"")
"),"I got it today on sale - it seemed okay, but 64-bit Windows is already killing me ((Ordinary programs don’t work, you can’t find 64-bit ones. Looks like I’ll have to tear it down.")</f>
        <v>I got it today on sale - it seemed okay, but 64-bit Windows is already killing me ((Ordinary programs don’t work, you can’t find 64-bit ones. Looks like I’ll have to tear it down.</v>
      </c>
    </row>
    <row r="2620" spans="1:9" x14ac:dyDescent="0.3">
      <c r="A2620" s="1" t="s">
        <v>120</v>
      </c>
      <c r="B2620" s="1" t="s">
        <v>121</v>
      </c>
      <c r="C2620" s="1" t="s">
        <v>80</v>
      </c>
      <c r="D2620" s="1" t="s">
        <v>568</v>
      </c>
      <c r="E2620" s="1" t="s">
        <v>4398</v>
      </c>
      <c r="F2620" s="1" t="s">
        <v>5035</v>
      </c>
      <c r="G2620" s="1" t="s">
        <v>36</v>
      </c>
      <c r="H2620" s="1" t="s">
        <v>29</v>
      </c>
      <c r="I2620" s="1" t="str">
        <f ca="1">IFERROR(__xludf.DUMMYFUNCTION("GOOGLETRANSLATE(F2620, ""auto"", ""en"")
"),"I bought this TV, I really liked it! but I don’t understand how to find digital channels! I live in Abkhazia, here there is digital phone. There is!")</f>
        <v>I bought this TV, I really liked it! but I don’t understand how to find digital channels! I live in Abkhazia, here there is digital phone. There is!</v>
      </c>
    </row>
    <row r="2621" spans="1:9" x14ac:dyDescent="0.3">
      <c r="A2621" s="1" t="s">
        <v>17</v>
      </c>
      <c r="B2621" s="1" t="s">
        <v>18</v>
      </c>
      <c r="C2621" s="1" t="s">
        <v>885</v>
      </c>
      <c r="D2621" s="1" t="s">
        <v>295</v>
      </c>
      <c r="E2621" s="1" t="s">
        <v>3755</v>
      </c>
      <c r="F2621" s="1" t="s">
        <v>5036</v>
      </c>
      <c r="G2621" s="1" t="s">
        <v>49</v>
      </c>
      <c r="H2621" s="1" t="s">
        <v>16</v>
      </c>
      <c r="I2621" s="1" t="str">
        <f ca="1">IFERROR(__xludf.DUMMYFUNCTION("GOOGLETRANSLATE(F2621, ""auto"", ""en"")
"),"We used the machine for 1.5 years, after it started to malfunction and eventually turned off completely, they called a diagnostician, the result: it is necessary to change the boards, each of them costs about 5 thousand... i.e. the price of a new car... t"&amp;"he master said never buy cars made by us, they are disposable!!! I'll overpay and buy Boch")</f>
        <v>We used the machine for 1.5 years, after it started to malfunction and eventually turned off completely, they called a diagnostician, the result: it is necessary to change the boards, each of them costs about 5 thousand... i.e. the price of a new car... the master said never buy cars made by us, they are disposable!!! I'll overpay and buy Boch</v>
      </c>
    </row>
    <row r="2622" spans="1:9" x14ac:dyDescent="0.3">
      <c r="A2622" s="1" t="s">
        <v>1443</v>
      </c>
      <c r="B2622" s="1" t="s">
        <v>1444</v>
      </c>
      <c r="C2622" s="1" t="s">
        <v>1445</v>
      </c>
      <c r="D2622" s="1" t="s">
        <v>5037</v>
      </c>
      <c r="E2622" s="1" t="s">
        <v>5038</v>
      </c>
      <c r="F2622" s="1" t="s">
        <v>5039</v>
      </c>
      <c r="G2622" s="1" t="s">
        <v>28</v>
      </c>
      <c r="H2622" s="1" t="s">
        <v>29</v>
      </c>
      <c r="I2622" s="1" t="str">
        <f ca="1">IFERROR(__xludf.DUMMYFUNCTION("GOOGLETRANSLATE(F2622, ""auto"", ""en"")
"),"Not a bad flash drive. Read/write speed is on par (not the fastest, but not the slowest). The only criticism is in terms of the case - I would like a more durable case.")</f>
        <v>Not a bad flash drive. Read/write speed is on par (not the fastest, but not the slowest). The only criticism is in terms of the case - I would like a more durable case.</v>
      </c>
    </row>
    <row r="2623" spans="1:9" x14ac:dyDescent="0.3">
      <c r="A2623" s="1" t="s">
        <v>61</v>
      </c>
      <c r="B2623" s="1" t="s">
        <v>318</v>
      </c>
      <c r="C2623" s="1" t="s">
        <v>101</v>
      </c>
      <c r="D2623" s="1" t="s">
        <v>152</v>
      </c>
      <c r="E2623" s="1" t="s">
        <v>5040</v>
      </c>
      <c r="F2623" s="1" t="s">
        <v>5041</v>
      </c>
      <c r="G2623" s="1" t="s">
        <v>28</v>
      </c>
      <c r="H2623" s="1" t="s">
        <v>29</v>
      </c>
      <c r="I2623" s="1" t="str">
        <f ca="1">IFERROR(__xludf.DUMMYFUNCTION("GOOGLETRANSLATE(F2623, ""auto"", ""en"")
"),"The kettle worked for exactly a year. No odors, cracks or problems. I know several people who have the same thing - some have had it for 2 years, some bought it with me at the same time and everyone is happy. One of the disadvantages is that a click sound"&amp;"s a few minutes after turning off. If you know about it, it won’t bother you too much. I think a year ago teapots began to be riveted from bad plastic and the overall quality dropped sharply.")</f>
        <v>The kettle worked for exactly a year. No odors, cracks or problems. I know several people who have the same thing - some have had it for 2 years, some bought it with me at the same time and everyone is happy. One of the disadvantages is that a click sounds a few minutes after turning off. If you know about it, it won’t bother you too much. I think a year ago teapots began to be riveted from bad plastic and the overall quality dropped sharply.</v>
      </c>
    </row>
    <row r="2624" spans="1:9" x14ac:dyDescent="0.3">
      <c r="A2624" s="1" t="s">
        <v>757</v>
      </c>
      <c r="B2624" s="1" t="s">
        <v>758</v>
      </c>
      <c r="C2624" s="1" t="s">
        <v>160</v>
      </c>
      <c r="D2624" s="1" t="s">
        <v>4545</v>
      </c>
      <c r="E2624" s="1" t="s">
        <v>3125</v>
      </c>
      <c r="F2624" s="1" t="s">
        <v>5042</v>
      </c>
      <c r="G2624" s="1" t="s">
        <v>36</v>
      </c>
      <c r="H2624" s="1" t="s">
        <v>29</v>
      </c>
      <c r="I2624" s="1" t="str">
        <f ca="1">IFERROR(__xludf.DUMMYFUNCTION("GOOGLETRANSLATE(F2624, ""auto"", ""en"")
"),"I bought new speakers, and the low frequencies immediately began to drop into them. And so I played with the settings and so on, but listening to Killers or Muse never became more comfortable for me. After all, everything in music is important, not just t"&amp;"he mids and highs. I bought this sub. Well, as a girl, I also focused on the appearance - it’s so cute) Made of MDF, varnished on top, durable fabric protection, not a dust collector. And he has good, strong legs that won’t let him fall off and won’t scra"&amp;"tch the furniture.  And there is no better choice for white speakers. Finally I was able to perceive any music normally. At the same time, I won’t say that the bass is straight out and when I raise my hand to the speakers, I can feel the flow of sound hit"&amp;"ting my hand. No, everything is perfectly balanced, the lows don’t come to the fore, but they are there and there are enough of them! The frequency range is normal - 33 - 200 Hz, I don’t need any more or less. The sub has its own volume control. Everythin"&amp;"g is provided, everything is well and neatly implemented. The bass reflex, however, is in the back, well, I placed it so that it would not interfere in any way, but I still don’t understand why it couldn’t be done in front.")</f>
        <v>I bought new speakers, and the low frequencies immediately began to drop into them. And so I played with the settings and so on, but listening to Killers or Muse never became more comfortable for me. After all, everything in music is important, not just the mids and highs. I bought this sub. Well, as a girl, I also focused on the appearance - it’s so cute) Made of MDF, varnished on top, durable fabric protection, not a dust collector. And he has good, strong legs that won’t let him fall off and won’t scratch the furniture.  And there is no better choice for white speakers. Finally I was able to perceive any music normally. At the same time, I won’t say that the bass is straight out and when I raise my hand to the speakers, I can feel the flow of sound hitting my hand. No, everything is perfectly balanced, the lows don’t come to the fore, but they are there and there are enough of them! The frequency range is normal - 33 - 200 Hz, I don’t need any more or less. The sub has its own volume control. Everything is provided, everything is well and neatly implemented. The bass reflex, however, is in the back, well, I placed it so that it would not interfere in any way, but I still don’t understand why it couldn’t be done in front.</v>
      </c>
    </row>
    <row r="2625" spans="1:9" x14ac:dyDescent="0.3">
      <c r="A2625" s="1" t="s">
        <v>120</v>
      </c>
      <c r="B2625" s="1" t="s">
        <v>121</v>
      </c>
      <c r="C2625" s="1" t="s">
        <v>97</v>
      </c>
      <c r="D2625" s="1" t="s">
        <v>5043</v>
      </c>
      <c r="E2625" s="1" t="s">
        <v>1236</v>
      </c>
      <c r="F2625" s="1" t="s">
        <v>5044</v>
      </c>
      <c r="G2625" s="1" t="s">
        <v>36</v>
      </c>
      <c r="H2625" s="1" t="s">
        <v>29</v>
      </c>
      <c r="I2625" s="1" t="str">
        <f ca="1">IFERROR(__xludf.DUMMYFUNCTION("GOOGLETRANSLATE(F2625, ""auto"", ""en"")
"),"I’ve been wanting one for myself for a long time, I’m going to buy it tomorrow!")</f>
        <v>I’ve been wanting one for myself for a long time, I’m going to buy it tomorrow!</v>
      </c>
    </row>
    <row r="2626" spans="1:9" x14ac:dyDescent="0.3">
      <c r="A2626" s="1" t="s">
        <v>61</v>
      </c>
      <c r="B2626" s="1" t="s">
        <v>318</v>
      </c>
      <c r="C2626" s="1" t="s">
        <v>85</v>
      </c>
      <c r="D2626" s="1" t="s">
        <v>456</v>
      </c>
      <c r="E2626" s="1" t="s">
        <v>3983</v>
      </c>
      <c r="F2626" s="1" t="s">
        <v>5045</v>
      </c>
      <c r="G2626" s="1" t="s">
        <v>36</v>
      </c>
      <c r="H2626" s="1" t="s">
        <v>29</v>
      </c>
      <c r="I2626" s="1" t="str">
        <f ca="1">IFERROR(__xludf.DUMMYFUNCTION("GOOGLETRANSLATE(F2626, ""auto"", ""en"")
"),"almost silent, stylish, high-quality materials")</f>
        <v>almost silent, stylish, high-quality materials</v>
      </c>
    </row>
    <row r="2627" spans="1:9" x14ac:dyDescent="0.3">
      <c r="A2627" s="1" t="s">
        <v>17</v>
      </c>
      <c r="B2627" s="1" t="s">
        <v>18</v>
      </c>
      <c r="C2627" s="1" t="s">
        <v>243</v>
      </c>
      <c r="D2627" s="1" t="s">
        <v>152</v>
      </c>
      <c r="E2627" s="1" t="s">
        <v>5046</v>
      </c>
      <c r="F2627" s="1" t="s">
        <v>5047</v>
      </c>
      <c r="G2627" s="1" t="s">
        <v>49</v>
      </c>
      <c r="H2627" s="1" t="s">
        <v>16</v>
      </c>
      <c r="I2627" s="1" t="str">
        <f ca="1">IFERROR(__xludf.DUMMYFUNCTION("GOOGLETRANSLATE(F2627, ""auto"", ""en"")
"),"I can’t say anything good about Indesit... my parents have been using this brand of washing machine for several years and have already repaired it countless times, especially the door lock, which breaks down at intervals of one and a half, two months; I b"&amp;"ought myself an indesit IWSD5105... during the spin cycle it almost went into the hallway, and during the second wash it completely froze and gave error F01; The lock indicator lights up and the door opens freely. I don't recommend it.")</f>
        <v>I can’t say anything good about Indesit... my parents have been using this brand of washing machine for several years and have already repaired it countless times, especially the door lock, which breaks down at intervals of one and a half, two months; I bought myself an indesit IWSD5105... during the spin cycle it almost went into the hallway, and during the second wash it completely froze and gave error F01; The lock indicator lights up and the door opens freely. I don't recommend it.</v>
      </c>
    </row>
    <row r="2628" spans="1:9" x14ac:dyDescent="0.3">
      <c r="A2628" s="1" t="s">
        <v>61</v>
      </c>
      <c r="B2628" s="1" t="s">
        <v>318</v>
      </c>
      <c r="C2628" s="1" t="s">
        <v>745</v>
      </c>
      <c r="D2628" s="1" t="s">
        <v>208</v>
      </c>
      <c r="E2628" s="1" t="s">
        <v>2603</v>
      </c>
      <c r="F2628" s="1" t="s">
        <v>5048</v>
      </c>
      <c r="G2628" s="1" t="s">
        <v>49</v>
      </c>
      <c r="H2628" s="1" t="s">
        <v>16</v>
      </c>
      <c r="I2628" s="1" t="str">
        <f ca="1">IFERROR(__xludf.DUMMYFUNCTION("GOOGLETRANSLATE(F2628, ""auto"", ""en"")
"),"One of the advantages is the price. Cons - the heater burned out after a month of use.")</f>
        <v>One of the advantages is the price. Cons - the heater burned out after a month of use.</v>
      </c>
    </row>
    <row r="2629" spans="1:9" x14ac:dyDescent="0.3">
      <c r="A2629" s="1" t="s">
        <v>149</v>
      </c>
      <c r="B2629" s="1" t="s">
        <v>155</v>
      </c>
      <c r="C2629" s="1" t="s">
        <v>996</v>
      </c>
      <c r="D2629" s="1" t="s">
        <v>2386</v>
      </c>
      <c r="E2629" s="1" t="s">
        <v>1207</v>
      </c>
      <c r="F2629" s="1" t="s">
        <v>5049</v>
      </c>
      <c r="G2629" s="1" t="s">
        <v>28</v>
      </c>
      <c r="H2629" s="1" t="s">
        <v>29</v>
      </c>
      <c r="I2629" s="1" t="str">
        <f ca="1">IFERROR(__xludf.DUMMYFUNCTION("GOOGLETRANSLATE(F2629, ""auto"", ""en"")
"),"bought 2 days ago. Everything is fine, good value for money :)")</f>
        <v>bought 2 days ago. Everything is fine, good value for money :)</v>
      </c>
    </row>
    <row r="2630" spans="1:9" x14ac:dyDescent="0.3">
      <c r="A2630" s="1" t="s">
        <v>111</v>
      </c>
      <c r="B2630" s="1" t="s">
        <v>112</v>
      </c>
      <c r="C2630" s="1" t="s">
        <v>113</v>
      </c>
      <c r="D2630" s="1" t="s">
        <v>64</v>
      </c>
      <c r="E2630" s="1" t="s">
        <v>4231</v>
      </c>
      <c r="F2630" s="1" t="s">
        <v>5050</v>
      </c>
      <c r="G2630" s="1" t="s">
        <v>36</v>
      </c>
      <c r="H2630" s="1" t="s">
        <v>29</v>
      </c>
      <c r="I2630" s="1" t="str">
        <f ca="1">IFERROR(__xludf.DUMMYFUNCTION("GOOGLETRANSLATE(F2630, ""auto"", ""en"")
"),"I have been a Pilot user for over 10 years without any complaints. But now the time has come to change them and I suffered the same fate as those who left bad reviews. Filter purchased in February 2015. Stopped working for no reason after 3 months. M-Vide"&amp;"o exchanged it for a new one, which set a record - 1.5 months and died. But then I decided not to tempt fate anymore, having read the reviews, and turned directly to the manufacturer. As it turned out, this was some kind of manufacturing defect that they "&amp;"could not immediately identify. The company offered to exchange it, which I did. I hope it serves its intended service life. Still, Pilots remain the best in their price segment.")</f>
        <v>I have been a Pilot user for over 10 years without any complaints. But now the time has come to change them and I suffered the same fate as those who left bad reviews. Filter purchased in February 2015. Stopped working for no reason after 3 months. M-Video exchanged it for a new one, which set a record - 1.5 months and died. But then I decided not to tempt fate anymore, having read the reviews, and turned directly to the manufacturer. As it turned out, this was some kind of manufacturing defect that they could not immediately identify. The company offered to exchange it, which I did. I hope it serves its intended service life. Still, Pilots remain the best in their price segment.</v>
      </c>
    </row>
    <row r="2631" spans="1:9" x14ac:dyDescent="0.3">
      <c r="A2631" s="1" t="s">
        <v>37</v>
      </c>
      <c r="B2631" s="1" t="s">
        <v>38</v>
      </c>
      <c r="C2631" s="1" t="s">
        <v>163</v>
      </c>
      <c r="D2631" s="1" t="s">
        <v>545</v>
      </c>
      <c r="E2631" s="1" t="s">
        <v>883</v>
      </c>
      <c r="F2631" s="1" t="s">
        <v>5051</v>
      </c>
      <c r="G2631" s="1" t="s">
        <v>15</v>
      </c>
      <c r="H2631" s="1" t="s">
        <v>16</v>
      </c>
      <c r="I2631" s="1" t="str">
        <f ca="1">IFERROR(__xludf.DUMMYFUNCTION("GOOGLETRANSLATE(F2631, ""auto"", ""en"")
"),"The phone was given to me as a New Year's gift, I really liked the look and used to trust Nokia. After a while it started to freeze constantly. It could freeze right during a conversation, or very often when the built-in games are running, at times it is "&amp;"so silent that you have to take out the battery, it may turn on immediately, maybe only after 40 minutes. In general, I’m already tired of suffering with it, I’ll change it to another model.")</f>
        <v>The phone was given to me as a New Year's gift, I really liked the look and used to trust Nokia. After a while it started to freeze constantly. It could freeze right during a conversation, or very often when the built-in games are running, at times it is so silent that you have to take out the battery, it may turn on immediately, maybe only after 40 minutes. In general, I’m already tired of suffering with it, I’ll change it to another model.</v>
      </c>
    </row>
    <row r="2632" spans="1:9" x14ac:dyDescent="0.3">
      <c r="A2632" s="1" t="s">
        <v>30</v>
      </c>
      <c r="B2632" s="1" t="s">
        <v>50</v>
      </c>
      <c r="C2632" s="1" t="s">
        <v>32</v>
      </c>
      <c r="D2632" s="1" t="s">
        <v>203</v>
      </c>
      <c r="E2632" s="1" t="s">
        <v>2298</v>
      </c>
      <c r="F2632" s="1" t="s">
        <v>5052</v>
      </c>
      <c r="G2632" s="1" t="s">
        <v>36</v>
      </c>
      <c r="H2632" s="1" t="s">
        <v>29</v>
      </c>
      <c r="I2632" s="1" t="str">
        <f ca="1">IFERROR(__xludf.DUMMYFUNCTION("GOOGLETRANSLATE(F2632, ""auto"", ""en"")
"),"I went through all the stores in the city and chose this particular model. I didn't regret the purchase at all! The laptop is worth the money. The performance is very pleasing: you can work and play a little. In my opinion, you simply cannot find a better"&amp;" beech tree for the money.")</f>
        <v>I went through all the stores in the city and chose this particular model. I didn't regret the purchase at all! The laptop is worth the money. The performance is very pleasing: you can work and play a little. In my opinion, you simply cannot find a better beech tree for the money.</v>
      </c>
    </row>
    <row r="2633" spans="1:9" x14ac:dyDescent="0.3">
      <c r="A2633" s="1" t="s">
        <v>30</v>
      </c>
      <c r="B2633" s="1" t="s">
        <v>50</v>
      </c>
      <c r="C2633" s="1" t="s">
        <v>32</v>
      </c>
      <c r="D2633" s="1" t="s">
        <v>5053</v>
      </c>
      <c r="E2633" s="1" t="s">
        <v>1871</v>
      </c>
      <c r="F2633" s="1" t="s">
        <v>5054</v>
      </c>
      <c r="G2633" s="1" t="s">
        <v>28</v>
      </c>
      <c r="H2633" s="1" t="s">
        <v>29</v>
      </c>
      <c r="I2633" s="1" t="str">
        <f ca="1">IFERROR(__xludf.DUMMYFUNCTION("GOOGLETRANSLATE(F2633, ""auto"", ""en"")
"),"I went to the site to see what good appeared, but something is not right and this product is the same, I have an Acer Aspire 6930g, it runs all the games (I haven’t tried Metro, it’s not interested), there are four metina2 online at the same time + my pro"&amp;"grams, the laptop works constantly, I haven’t turned it off for 5 months :), I haven’t seen anything better yet, neither in terms of sound nor in terms of port equipment, there is a 4-core Acer here, but it’s poorly equipped... but 2-nuclear is already a "&amp;"thing of the past :)")</f>
        <v>I went to the site to see what good appeared, but something is not right and this product is the same, I have an Acer Aspire 6930g, it runs all the games (I haven’t tried Metro, it’s not interested), there are four metina2 online at the same time + my programs, the laptop works constantly, I haven’t turned it off for 5 months :), I haven’t seen anything better yet, neither in terms of sound nor in terms of port equipment, there is a 4-core Acer here, but it’s poorly equipped... but 2-nuclear is already a thing of the past :)</v>
      </c>
    </row>
    <row r="2634" spans="1:9" x14ac:dyDescent="0.3">
      <c r="A2634" s="1" t="s">
        <v>373</v>
      </c>
      <c r="B2634" s="1" t="s">
        <v>374</v>
      </c>
      <c r="C2634" s="1" t="s">
        <v>134</v>
      </c>
      <c r="D2634" s="1" t="s">
        <v>75</v>
      </c>
      <c r="E2634" s="1" t="s">
        <v>5055</v>
      </c>
      <c r="F2634" s="1" t="s">
        <v>5056</v>
      </c>
      <c r="G2634" s="1" t="s">
        <v>28</v>
      </c>
      <c r="H2634" s="1" t="s">
        <v>29</v>
      </c>
      <c r="I2634" s="1" t="str">
        <f ca="1">IFERROR(__xludf.DUMMYFUNCTION("GOOGLETRANSLATE(F2634, ""auto"", ""en"")
"),"A dishwasher of this model was purchased and installed before the new year (at the end of December 2010). After a month of using it, the opinion about it is average, the washing quality is not 100% (although washing class is A).  I’ll explain what the dis"&amp;"appointment is: 1. the machine doesn’t wash pots well (in some places there may be food particles left inside, as well as pots in which the meat was cooked - a rim remains that is formed when the meat is cooked on top). After this, you have to wash the jo"&amp;"ints manually (this happens even at the 70-degree program).  2. It dries somehow strangely, the dishes are still wet (but for me this is not important, so I don’t pay attention to it).  3. if you keep the car door closed, a specific unpleasant odor accumu"&amp;"lates in it (this happened even after the first wash of the car itself (without dishes). To combat the smell, we keep the car door ajar all the time (except when it’s running, of course). Overall, my mother is happy with the car.")</f>
        <v>A dishwasher of this model was purchased and installed before the new year (at the end of December 2010). After a month of using it, the opinion about it is average, the washing quality is not 100% (although washing class is A).  I’ll explain what the disappointment is: 1. the machine doesn’t wash pots well (in some places there may be food particles left inside, as well as pots in which the meat was cooked - a rim remains that is formed when the meat is cooked on top). After this, you have to wash the joints manually (this happens even at the 70-degree program).  2. It dries somehow strangely, the dishes are still wet (but for me this is not important, so I don’t pay attention to it).  3. if you keep the car door closed, a specific unpleasant odor accumulates in it (this happened even after the first wash of the car itself (without dishes). To combat the smell, we keep the car door ajar all the time (except when it’s running, of course). Overall, my mother is happy with the car.</v>
      </c>
    </row>
    <row r="2635" spans="1:9" x14ac:dyDescent="0.3">
      <c r="A2635" s="1" t="s">
        <v>557</v>
      </c>
      <c r="B2635" s="1" t="s">
        <v>558</v>
      </c>
      <c r="C2635" s="1" t="s">
        <v>122</v>
      </c>
      <c r="D2635" s="1" t="s">
        <v>592</v>
      </c>
      <c r="E2635" s="1" t="s">
        <v>5057</v>
      </c>
      <c r="F2635" s="1" t="s">
        <v>5058</v>
      </c>
      <c r="G2635" s="1" t="s">
        <v>49</v>
      </c>
      <c r="H2635" s="1" t="s">
        <v>16</v>
      </c>
      <c r="I2635" s="1" t="str">
        <f ca="1">IFERROR(__xludf.DUMMYFUNCTION("GOOGLETRANSLATE(F2635, ""auto"", ""en"")
"),"We've been using it for two years - the batteries work, but some shortcomings of the model have been identified. 1). The main thing is that you cannot “reject” an incoming call without picking up the handset. It is very important when a subscriber calls o"&amp;"n a time-based call basis and you need to call him back by answering his call. 2). The base does not ring, so when the handset is not on the base, but the subscriber is near the base, the call may not be heard. 3). The call is quite quiet - we often canno"&amp;"t hear it when we are in the next room.")</f>
        <v>We've been using it for two years - the batteries work, but some shortcomings of the model have been identified. 1). The main thing is that you cannot “reject” an incoming call without picking up the handset. It is very important when a subscriber calls on a time-based call basis and you need to call him back by answering his call. 2). The base does not ring, so when the handset is not on the base, but the subscriber is near the base, the call may not be heard. 3). The call is quite quiet - we often cannot hear it when we are in the next room.</v>
      </c>
    </row>
    <row r="2636" spans="1:9" x14ac:dyDescent="0.3">
      <c r="A2636" s="1" t="s">
        <v>105</v>
      </c>
      <c r="B2636" s="1" t="s">
        <v>106</v>
      </c>
      <c r="C2636" s="1" t="s">
        <v>107</v>
      </c>
      <c r="D2636" s="1" t="s">
        <v>5059</v>
      </c>
      <c r="E2636" s="1" t="s">
        <v>1401</v>
      </c>
      <c r="F2636" s="1" t="s">
        <v>5060</v>
      </c>
      <c r="G2636" s="1" t="s">
        <v>28</v>
      </c>
      <c r="H2636" s="1" t="s">
        <v>29</v>
      </c>
      <c r="I2636" s="1" t="str">
        <f ca="1">IFERROR(__xludf.DUMMYFUNCTION("GOOGLETRANSLATE(F2636, ""auto"", ""en"")
"),"In general, the player is certainly not bad.. I really like the screen, it’s bright, beautiful.. True, in most cases the video will have to be re-encoded for it, so be mentally prepared for this.. It even plays 3GP and MP4 videos - this is good.. I’m also"&amp;" pleased with the support for text files, the reader is very decent, I’ve read more than a dozen books on it.. Pictures, photographs also look great on it.. But not everything is perfect, there are, of course, disadvantages.. Of the minuses I’ll highlight"&amp;": 1. when there are a lot of songs in a folder, for some reason the player does not play all the songs in a row, several songs are skipped... i.e. for example, 2-3 songs go in a row, then abruptly jumps to the 6th and so on... 2. For some reason, .jpg res"&amp;"olution pictures don’t open, an error pops up like a corrupted file, although everything opens fine on the computer.. But in general, if you set the random playback of songs mode, then everything is just fine!")</f>
        <v>In general, the player is certainly not bad.. I really like the screen, it’s bright, beautiful.. True, in most cases the video will have to be re-encoded for it, so be mentally prepared for this.. It even plays 3GP and MP4 videos - this is good.. I’m also pleased with the support for text files, the reader is very decent, I’ve read more than a dozen books on it.. Pictures, photographs also look great on it.. But not everything is perfect, there are, of course, disadvantages.. Of the minuses I’ll highlight: 1. when there are a lot of songs in a folder, for some reason the player does not play all the songs in a row, several songs are skipped... i.e. for example, 2-3 songs go in a row, then abruptly jumps to the 6th and so on... 2. For some reason, .jpg resolution pictures don’t open, an error pops up like a corrupted file, although everything opens fine on the computer.. But in general, if you set the random playback of songs mode, then everything is just fine!</v>
      </c>
    </row>
    <row r="2637" spans="1:9" x14ac:dyDescent="0.3">
      <c r="A2637" s="1" t="s">
        <v>149</v>
      </c>
      <c r="B2637" s="1" t="s">
        <v>155</v>
      </c>
      <c r="C2637" s="1" t="s">
        <v>101</v>
      </c>
      <c r="D2637" s="1" t="s">
        <v>46</v>
      </c>
      <c r="E2637" s="1" t="s">
        <v>4080</v>
      </c>
      <c r="F2637" s="1" t="s">
        <v>5061</v>
      </c>
      <c r="G2637" s="1" t="s">
        <v>15</v>
      </c>
      <c r="H2637" s="1" t="s">
        <v>16</v>
      </c>
      <c r="I2637" s="1" t="str">
        <f ca="1">IFERROR(__xludf.DUMMYFUNCTION("GOOGLETRANSLATE(F2637, ""auto"", ""en"")
"),"Terrible vacuum cleaner model! When I was choosing a vacuum cleaner, I was looking for a compact model at an affordable price, this copy was strongly recommended to me, and in the end I became the “happy” owner of this masterpiece. In fact, it turned out "&amp;"that the suction power is low, it makes a lot of noise, during operation there is a specific smell of plastic in the room (quite strong), the tube constantly falls out of the hose, in short - complete disappointment! Of course, I understand that for such "&amp;"a price I couldn’t expect anything more, but I thought I’d be lucky this time. Now you will have to buy a new one, more expensive and of higher quality, since it is not possible to use it.")</f>
        <v>Terrible vacuum cleaner model! When I was choosing a vacuum cleaner, I was looking for a compact model at an affordable price, this copy was strongly recommended to me, and in the end I became the “happy” owner of this masterpiece. In fact, it turned out that the suction power is low, it makes a lot of noise, during operation there is a specific smell of plastic in the room (quite strong), the tube constantly falls out of the hose, in short - complete disappointment! Of course, I understand that for such a price I couldn’t expect anything more, but I thought I’d be lucky this time. Now you will have to buy a new one, more expensive and of higher quality, since it is not possible to use it.</v>
      </c>
    </row>
    <row r="2638" spans="1:9" x14ac:dyDescent="0.3">
      <c r="A2638" s="1" t="s">
        <v>43</v>
      </c>
      <c r="B2638" s="1" t="s">
        <v>303</v>
      </c>
      <c r="C2638" s="1" t="s">
        <v>665</v>
      </c>
      <c r="D2638" s="1" t="s">
        <v>916</v>
      </c>
      <c r="E2638" s="1" t="s">
        <v>614</v>
      </c>
      <c r="F2638" s="1" t="s">
        <v>5062</v>
      </c>
      <c r="G2638" s="1" t="s">
        <v>36</v>
      </c>
      <c r="H2638" s="1" t="s">
        <v>29</v>
      </c>
      <c r="I2638" s="1" t="str">
        <f ca="1">IFERROR(__xludf.DUMMYFUNCTION("GOOGLETRANSLATE(F2638, ""auto"", ""en"")
"),"We bought it for our dacha 2 years ago, having taken advantage of a generous promotion and having read some pretty positive options about Haier. And I didn’t regret it, guys. First impressions are that the assembly is strong, the switch/temperature regula"&amp;"tor is well made, with no play and no hint of “flying off”. And there’s nothing else there :) In my opinion, the fastening is unsuccessful - the brackets are attached to the heater and I had to screw in the anchors, while simultaneously holding it over th"&amp;"e canopy for another person. It was possible to make brackets separately for the walls and then hang them on them. But this is also a plus - it is more reliable in operation and will not fall off the fastenings.   Heats up quickly and quietly. The tempera"&amp;"ture scale is divided into divisions, without numbers, so heating is monitored relatively, not absolutely. When you start using it, the needle almost immediately goes to “cold”, although the water in the tank is 70% hot. This is because the temperature se"&amp;"nsor is located at the bottom and the newly incoming flow cools it. It's a matter of habit, it doesn't interfere much.  Keeps heat well. For example, we heat it in the evening, wash together, and the next day at lunch the water is warm when the water is t"&amp;"urned on without mixing with cold.    This year I decided to disassemble it, as the heating element began to hum due to scale. I didn't take it off the wall.  I was pleasantly surprised by the high-quality and neat assembly. The contacts do not dangle, th"&amp;"e parts/controllers/sensors do not look like crap in the hand and are covered with iridescent haier stickers. The heating element is really steel.   There was some water in the tank. We leave it for the winter (draining the water as much as possible), so "&amp;"it obviously froze there, but nothing was damaged in two winters. This makes me happy!  I was a little confused by the rust on the outside of the tank near the heating element mount - it looks like condensation is still forming there. I cleaned the heatin"&amp;"g element, silence again when turned on. I even thought that I had assembled it wrong and that the first moments weren’t working.    The review is chaotic, but the bottom line is: there is “Chinese” technology, and there is high-quality Chinese technology"&amp;". So this is the second one. It can be seen that the production is a corporation, and not sub-Chinese under a Chinese license. I recommend!")</f>
        <v>We bought it for our dacha 2 years ago, having taken advantage of a generous promotion and having read some pretty positive options about Haier. And I didn’t regret it, guys. First impressions are that the assembly is strong, the switch/temperature regulator is well made, with no play and no hint of “flying off”. And there’s nothing else there :) In my opinion, the fastening is unsuccessful - the brackets are attached to the heater and I had to screw in the anchors, while simultaneously holding it over the canopy for another person. It was possible to make brackets separately for the walls and then hang them on them. But this is also a plus - it is more reliable in operation and will not fall off the fastenings.   Heats up quickly and quietly. The temperature scale is divided into divisions, without numbers, so heating is monitored relatively, not absolutely. When you start using it, the needle almost immediately goes to “cold”, although the water in the tank is 70% hot. This is because the temperature sensor is located at the bottom and the newly incoming flow cools it. It's a matter of habit, it doesn't interfere much.  Keeps heat well. For example, we heat it in the evening, wash together, and the next day at lunch the water is warm when the water is turned on without mixing with cold.    This year I decided to disassemble it, as the heating element began to hum due to scale. I didn't take it off the wall.  I was pleasantly surprised by the high-quality and neat assembly. The contacts do not dangle, the parts/controllers/sensors do not look like crap in the hand and are covered with iridescent haier stickers. The heating element is really steel.   There was some water in the tank. We leave it for the winter (draining the water as much as possible), so it obviously froze there, but nothing was damaged in two winters. This makes me happy!  I was a little confused by the rust on the outside of the tank near the heating element mount - it looks like condensation is still forming there. I cleaned the heating element, silence again when turned on. I even thought that I had assembled it wrong and that the first moments weren’t working.    The review is chaotic, but the bottom line is: there is “Chinese” technology, and there is high-quality Chinese technology. So this is the second one. It can be seen that the production is a corporation, and not sub-Chinese under a Chinese license. I recommend!</v>
      </c>
    </row>
    <row r="2639" spans="1:9" x14ac:dyDescent="0.3">
      <c r="A2639" s="1" t="s">
        <v>61</v>
      </c>
      <c r="B2639" s="1" t="s">
        <v>318</v>
      </c>
      <c r="C2639" s="1" t="s">
        <v>101</v>
      </c>
      <c r="D2639" s="1" t="s">
        <v>139</v>
      </c>
      <c r="E2639" s="1" t="s">
        <v>5063</v>
      </c>
      <c r="F2639" s="1" t="s">
        <v>5064</v>
      </c>
      <c r="G2639" s="1" t="s">
        <v>49</v>
      </c>
      <c r="H2639" s="1" t="s">
        <v>16</v>
      </c>
      <c r="I2639" s="1" t="str">
        <f ca="1">IFERROR(__xludf.DUMMYFUNCTION("GOOGLETRANSLATE(F2639, ""auto"", ""en"")
"),"after 10 boilings the smell and taste of plastic has not disappeared, I do not recommend sniffing it right away. If you feel the smell, change it immediately so as not to ride in vain")</f>
        <v>after 10 boilings the smell and taste of plastic has not disappeared, I do not recommend sniffing it right away. If you feel the smell, change it immediately so as not to ride in vain</v>
      </c>
    </row>
    <row r="2640" spans="1:9" x14ac:dyDescent="0.3">
      <c r="A2640" s="1" t="s">
        <v>30</v>
      </c>
      <c r="B2640" s="1" t="s">
        <v>50</v>
      </c>
      <c r="C2640" s="1" t="s">
        <v>694</v>
      </c>
      <c r="D2640" s="1" t="s">
        <v>75</v>
      </c>
      <c r="E2640" s="1" t="s">
        <v>1273</v>
      </c>
      <c r="F2640" s="1" t="s">
        <v>5065</v>
      </c>
      <c r="G2640" s="1" t="s">
        <v>36</v>
      </c>
      <c r="H2640" s="1" t="s">
        <v>29</v>
      </c>
      <c r="I2640" s="1" t="str">
        <f ca="1">IFERROR(__xludf.DUMMYFUNCTION("GOOGLETRANSLATE(F2640, ""auto"", ""en"")
"),"I've been using it for 2 weeks - I'm happy with everything! Neat, light, bright display, full keyboard, bluetooth. Surfing the Internet is a pleasure. An excellent combination of price and quality! I recommend it to everyone who needs a compact, inexpensi"&amp;"ve laptop for the Internet (not only). The build quality is 4+ (not everyone can boast a higher rating). The battery lasts no more than 2 hours (can be purchased additionally).")</f>
        <v>I've been using it for 2 weeks - I'm happy with everything! Neat, light, bright display, full keyboard, bluetooth. Surfing the Internet is a pleasure. An excellent combination of price and quality! I recommend it to everyone who needs a compact, inexpensive laptop for the Internet (not only). The build quality is 4+ (not everyone can boast a higher rating). The battery lasts no more than 2 hours (can be purchased additionally).</v>
      </c>
    </row>
    <row r="2641" spans="1:9" x14ac:dyDescent="0.3">
      <c r="A2641" s="1" t="s">
        <v>5066</v>
      </c>
      <c r="B2641" s="1" t="s">
        <v>5067</v>
      </c>
      <c r="C2641" s="1" t="s">
        <v>911</v>
      </c>
      <c r="D2641" s="1" t="s">
        <v>228</v>
      </c>
      <c r="E2641" s="1" t="s">
        <v>3545</v>
      </c>
      <c r="F2641" s="1" t="s">
        <v>5068</v>
      </c>
      <c r="G2641" s="1" t="s">
        <v>36</v>
      </c>
      <c r="H2641" s="1" t="s">
        <v>29</v>
      </c>
      <c r="I2641" s="1" t="str">
        <f ca="1">IFERROR(__xludf.DUMMYFUNCTION("GOOGLETRANSLATE(F2641, ""auto"", ""en"")
"),"I replaced the damaged trimmer without any problems, in almost three minutes. I didn't even expect it")</f>
        <v>I replaced the damaged trimmer without any problems, in almost three minutes. I didn't even expect it</v>
      </c>
    </row>
    <row r="2642" spans="1:9" x14ac:dyDescent="0.3">
      <c r="A2642" s="1" t="s">
        <v>55</v>
      </c>
      <c r="B2642" s="1" t="s">
        <v>56</v>
      </c>
      <c r="C2642" s="1" t="s">
        <v>85</v>
      </c>
      <c r="D2642" s="1" t="s">
        <v>280</v>
      </c>
      <c r="E2642" s="1" t="s">
        <v>2500</v>
      </c>
      <c r="F2642" s="1" t="s">
        <v>5069</v>
      </c>
      <c r="G2642" s="1" t="s">
        <v>36</v>
      </c>
      <c r="H2642" s="1" t="s">
        <v>29</v>
      </c>
      <c r="I2642" s="1" t="str">
        <f ca="1">IFERROR(__xludf.DUMMYFUNCTION("GOOGLETRANSLATE(F2642, ""auto"", ""en"")
"),"Convenience, greater efficiency, automatic operation.")</f>
        <v>Convenience, greater efficiency, automatic operation.</v>
      </c>
    </row>
    <row r="2643" spans="1:9" x14ac:dyDescent="0.3">
      <c r="A2643" s="1" t="s">
        <v>9</v>
      </c>
      <c r="B2643" s="1" t="s">
        <v>133</v>
      </c>
      <c r="C2643" s="1" t="s">
        <v>151</v>
      </c>
      <c r="D2643" s="1" t="s">
        <v>545</v>
      </c>
      <c r="E2643" s="1" t="s">
        <v>4849</v>
      </c>
      <c r="F2643" s="1" t="s">
        <v>5070</v>
      </c>
      <c r="G2643" s="1" t="s">
        <v>36</v>
      </c>
      <c r="H2643" s="1" t="s">
        <v>29</v>
      </c>
      <c r="I2643" s="1" t="str">
        <f ca="1">IFERROR(__xludf.DUMMYFUNCTION("GOOGLETRANSLATE(F2643, ""auto"", ""en"")
"),"The oven is wonderful: it bakes well, the pull-out panels are lovely, the deep baking sheet is also convenient. There are no problems with cleaning with a special cleaner. Among the disadvantages: you need to sit and wait for the heating signal, it beeps "&amp;"once and that’s it.")</f>
        <v>The oven is wonderful: it bakes well, the pull-out panels are lovely, the deep baking sheet is also convenient. There are no problems with cleaning with a special cleaner. Among the disadvantages: you need to sit and wait for the heating signal, it beeps once and that’s it.</v>
      </c>
    </row>
    <row r="2644" spans="1:9" x14ac:dyDescent="0.3">
      <c r="A2644" s="1" t="s">
        <v>624</v>
      </c>
      <c r="B2644" s="1" t="s">
        <v>625</v>
      </c>
      <c r="C2644" s="1" t="s">
        <v>479</v>
      </c>
      <c r="D2644" s="1" t="s">
        <v>33</v>
      </c>
      <c r="E2644" s="1" t="s">
        <v>2804</v>
      </c>
      <c r="F2644" s="1" t="s">
        <v>5071</v>
      </c>
      <c r="G2644" s="1" t="s">
        <v>36</v>
      </c>
      <c r="H2644" s="1" t="s">
        <v>29</v>
      </c>
      <c r="I2644" s="1" t="str">
        <f ca="1">IFERROR(__xludf.DUMMYFUNCTION("GOOGLETRANSLATE(F2644, ""auto"", ""en"")
"),"Game for 5+. I recommend it to everyone, even adults play with enthusiasm. I was very impressed by the accuracy of the movements: for example, you need to monitor the position of the hand when playing ping pong and disco golf (striking similarity to movem"&amp;"ents from real sports)")</f>
        <v>Game for 5+. I recommend it to everyone, even adults play with enthusiasm. I was very impressed by the accuracy of the movements: for example, you need to monitor the position of the hand when playing ping pong and disco golf (striking similarity to movements from real sports)</v>
      </c>
    </row>
    <row r="2645" spans="1:9" x14ac:dyDescent="0.3">
      <c r="A2645" s="1" t="s">
        <v>211</v>
      </c>
      <c r="B2645" s="1" t="s">
        <v>515</v>
      </c>
      <c r="C2645" s="1" t="s">
        <v>213</v>
      </c>
      <c r="D2645" s="1" t="s">
        <v>378</v>
      </c>
      <c r="E2645" s="1" t="s">
        <v>1441</v>
      </c>
      <c r="F2645" s="1" t="s">
        <v>5072</v>
      </c>
      <c r="G2645" s="1" t="s">
        <v>36</v>
      </c>
      <c r="H2645" s="1" t="s">
        <v>29</v>
      </c>
      <c r="I2645" s="1" t="str">
        <f ca="1">IFERROR(__xludf.DUMMYFUNCTION("GOOGLETRANSLATE(F2645, ""auto"", ""en"")
"),"This is my first epilator and I wouldn’t trade it for anything. I've been using it for a long time.   There is no loss of hair and no pain. The kit includes a very important attachment for the bikini area and armpits. Of course, there is only one mode, an"&amp;"d this is not a minus; it can fully cope with its functions.. Compact, very comfortable to hold in your hands.")</f>
        <v>This is my first epilator and I wouldn’t trade it for anything. I've been using it for a long time.   There is no loss of hair and no pain. The kit includes a very important attachment for the bikini area and armpits. Of course, there is only one mode, and this is not a minus; it can fully cope with its functions.. Compact, very comfortable to hold in your hands.</v>
      </c>
    </row>
    <row r="2646" spans="1:9" x14ac:dyDescent="0.3">
      <c r="A2646" s="1" t="s">
        <v>95</v>
      </c>
      <c r="B2646" s="1" t="s">
        <v>227</v>
      </c>
      <c r="C2646" s="1" t="s">
        <v>97</v>
      </c>
      <c r="D2646" s="1" t="s">
        <v>2923</v>
      </c>
      <c r="E2646" s="1" t="s">
        <v>5073</v>
      </c>
      <c r="F2646" s="1" t="s">
        <v>5074</v>
      </c>
      <c r="G2646" s="1" t="s">
        <v>36</v>
      </c>
      <c r="H2646" s="1" t="s">
        <v>29</v>
      </c>
      <c r="I2646" s="1" t="str">
        <f ca="1">IFERROR(__xludf.DUMMYFUNCTION("GOOGLETRANSLATE(F2646, ""auto"", ""en"")
"),"Super toy!!! I recommend it to everyone!!!!!")</f>
        <v>Super toy!!! I recommend it to everyone!!!!!</v>
      </c>
    </row>
    <row r="2647" spans="1:9" x14ac:dyDescent="0.3">
      <c r="A2647" s="1" t="s">
        <v>30</v>
      </c>
      <c r="B2647" s="1" t="s">
        <v>31</v>
      </c>
      <c r="C2647" s="1" t="s">
        <v>365</v>
      </c>
      <c r="D2647" s="1" t="s">
        <v>152</v>
      </c>
      <c r="E2647" s="1" t="s">
        <v>26</v>
      </c>
      <c r="F2647" s="1" t="s">
        <v>5075</v>
      </c>
      <c r="G2647" s="1" t="s">
        <v>28</v>
      </c>
      <c r="H2647" s="1" t="s">
        <v>29</v>
      </c>
      <c r="I2647" s="1" t="str">
        <f ca="1">IFERROR(__xludf.DUMMYFUNCTION("GOOGLETRANSLATE(F2647, ""auto"", ""en"")
"),"The computer is powerful, Counter-Strike Source runs at maximum speed without any slowdowns, but after 1 Win7 update my desktop crashed. It was expressed this way: after the reboot, everything seemed to be fine, it loaded, a greeting, and then the backgro"&amp;"und color (I have black), an arrow and an open control panel and that’s it, no desktop, no Start control panel. Thank God the control panel was open, I turned on recovery and rolled back the system for 1 hour, nothing changed, then for 4 hours, that’s whe"&amp;"n the win7 updates arrived (but I delayed the reboot for 4 hours), and everything was restored.")</f>
        <v>The computer is powerful, Counter-Strike Source runs at maximum speed without any slowdowns, but after 1 Win7 update my desktop crashed. It was expressed this way: after the reboot, everything seemed to be fine, it loaded, a greeting, and then the background color (I have black), an arrow and an open control panel and that’s it, no desktop, no Start control panel. Thank God the control panel was open, I turned on recovery and rolled back the system for 1 hour, nothing changed, then for 4 hours, that’s when the win7 updates arrived (but I delayed the reboot for 4 hours), and everything was restored.</v>
      </c>
    </row>
    <row r="2648" spans="1:9" x14ac:dyDescent="0.3">
      <c r="A2648" s="1" t="s">
        <v>9</v>
      </c>
      <c r="B2648" s="1" t="s">
        <v>133</v>
      </c>
      <c r="C2648" s="1" t="s">
        <v>151</v>
      </c>
      <c r="D2648" s="1" t="s">
        <v>1188</v>
      </c>
      <c r="E2648" s="1" t="s">
        <v>5076</v>
      </c>
      <c r="F2648" s="1" t="s">
        <v>5077</v>
      </c>
      <c r="G2648" s="1" t="s">
        <v>36</v>
      </c>
      <c r="H2648" s="1" t="s">
        <v>29</v>
      </c>
      <c r="I2648" s="1" t="str">
        <f ca="1">IFERROR(__xludf.DUMMYFUNCTION("GOOGLETRANSLATE(F2648, ""auto"", ""en"")
"),"I’m very happy with the purchase, it doesn’t make any noise, it cooks perfectly, the telescopic guides are a very convenient device, the cooking timer notifies you until you turn it off, all modes work, very easy to use. And no automatic programs or clean"&amp;"ing functions are needed, so don’t overpay for unnecessary functions, this oven has all the necessary functions, the dishes turn out excellent, the baked goods are generally super! I was very pleased with Samsung!")</f>
        <v>I’m very happy with the purchase, it doesn’t make any noise, it cooks perfectly, the telescopic guides are a very convenient device, the cooking timer notifies you until you turn it off, all modes work, very easy to use. And no automatic programs or cleaning functions are needed, so don’t overpay for unnecessary functions, this oven has all the necessary functions, the dishes turn out excellent, the baked goods are generally super! I was very pleased with Samsung!</v>
      </c>
    </row>
    <row r="2649" spans="1:9" x14ac:dyDescent="0.3">
      <c r="A2649" s="1" t="s">
        <v>17</v>
      </c>
      <c r="B2649" s="1" t="s">
        <v>325</v>
      </c>
      <c r="C2649" s="1" t="s">
        <v>326</v>
      </c>
      <c r="D2649" s="1" t="s">
        <v>2233</v>
      </c>
      <c r="E2649" s="1" t="s">
        <v>5078</v>
      </c>
      <c r="F2649" s="1" t="s">
        <v>5079</v>
      </c>
      <c r="G2649" s="1" t="s">
        <v>36</v>
      </c>
      <c r="H2649" s="1" t="s">
        <v>29</v>
      </c>
      <c r="I2649" s="1" t="str">
        <f ca="1">IFERROR(__xludf.DUMMYFUNCTION("GOOGLETRANSLATE(F2649, ""auto"", ""en"")
"),"Very pleased with the purchase. An irreplaceable thing for washing small items. There is no comparison with an automatic machine. Simply super!!! I didn’t wash it at once, lather it up and turn it on again, you can’t do that in a machine. I came home from"&amp;" work, put it on the shelves in the bathhouse, poured 15 liters of water from the water heater and let it wash (for example, socks). I really like it. And you can rinse in the machine. I give it a 5.")</f>
        <v>Very pleased with the purchase. An irreplaceable thing for washing small items. There is no comparison with an automatic machine. Simply super!!! I didn’t wash it at once, lather it up and turn it on again, you can’t do that in a machine. I came home from work, put it on the shelves in the bathhouse, poured 15 liters of water from the water heater and let it wash (for example, socks). I really like it. And you can rinse in the machine. I give it a 5.</v>
      </c>
    </row>
    <row r="2650" spans="1:9" x14ac:dyDescent="0.3">
      <c r="A2650" s="1" t="s">
        <v>211</v>
      </c>
      <c r="B2650" s="1" t="s">
        <v>410</v>
      </c>
      <c r="C2650" s="1" t="s">
        <v>69</v>
      </c>
      <c r="D2650" s="1" t="s">
        <v>152</v>
      </c>
      <c r="E2650" s="1" t="s">
        <v>1745</v>
      </c>
      <c r="F2650" s="1" t="s">
        <v>5080</v>
      </c>
      <c r="G2650" s="1" t="s">
        <v>36</v>
      </c>
      <c r="H2650" s="1" t="s">
        <v>29</v>
      </c>
      <c r="I2650" s="1" t="str">
        <f ca="1">IFERROR(__xludf.DUMMYFUNCTION("GOOGLETRANSLATE(F2650, ""auto"", ""en"")
"),"I bought an electric razor for the first time and, to be honest, I was amazed. I didn't shave for a week before using it. I shaved dry with her and she shaved me just perfectly! And chin and neck, without skin irritation! I am shocked by the quality of th"&amp;"e shave and therefore recommend this razor.")</f>
        <v>I bought an electric razor for the first time and, to be honest, I was amazed. I didn't shave for a week before using it. I shaved dry with her and she shaved me just perfectly! And chin and neck, without skin irritation! I am shocked by the quality of the shave and therefore recommend this razor.</v>
      </c>
    </row>
    <row r="2651" spans="1:9" x14ac:dyDescent="0.3">
      <c r="A2651" s="1" t="s">
        <v>61</v>
      </c>
      <c r="B2651" s="1" t="s">
        <v>318</v>
      </c>
      <c r="C2651" s="1" t="s">
        <v>2840</v>
      </c>
      <c r="D2651" s="1" t="s">
        <v>305</v>
      </c>
      <c r="E2651" s="1" t="s">
        <v>5081</v>
      </c>
      <c r="F2651" s="1" t="s">
        <v>5082</v>
      </c>
      <c r="G2651" s="1" t="s">
        <v>28</v>
      </c>
      <c r="H2651" s="1" t="s">
        <v>29</v>
      </c>
      <c r="I2651" s="1" t="str">
        <f ca="1">IFERROR(__xludf.DUMMYFUNCTION("GOOGLETRANSLATE(F2651, ""auto"", ""en"")
"),"Pros: Beautiful and elegant look. Glass jug, white plastic, metal design. Large capacity. Unusual blue illumination of the water during operation, a very fantastic look. Doesn't smell like plastic. Disadvantages: The power button is located inconveniently"&amp;" at the bottom under the handle, when turning it on, you have to hold the kettle with your hand. The lid of the jug opens up a small space for pouring water. You can't even lift the lid 90 degrees, you could spill water. And when you pour water into a gla"&amp;"ss or cup, you have to tilt the kettle very hard for the water to start flowing. It makes the same noise as all kettles. Heating time for 1.8 liters is approximately 5 minutes. And yet, the time from the start of boiling (when the bubbles have already sta"&amp;"rted) until the kettle is completely turned off is for some reason long (30-40 seconds), at least it seems so to me. The cord is a bit short, however, like all electric kettles. Comment: Australian manufacturer. Assembly of the People's Republic of China."&amp;" If you want to have a stylish item (and I think this is a reliable kettle) in your kitchen, buy it. The design of the kettle is really cool, but I think you can get used to the quibbles I listed.")</f>
        <v>Pros: Beautiful and elegant look. Glass jug, white plastic, metal design. Large capacity. Unusual blue illumination of the water during operation, a very fantastic look. Doesn't smell like plastic. Disadvantages: The power button is located inconveniently at the bottom under the handle, when turning it on, you have to hold the kettle with your hand. The lid of the jug opens up a small space for pouring water. You can't even lift the lid 90 degrees, you could spill water. And when you pour water into a glass or cup, you have to tilt the kettle very hard for the water to start flowing. It makes the same noise as all kettles. Heating time for 1.8 liters is approximately 5 minutes. And yet, the time from the start of boiling (when the bubbles have already started) until the kettle is completely turned off is for some reason long (30-40 seconds), at least it seems so to me. The cord is a bit short, however, like all electric kettles. Comment: Australian manufacturer. Assembly of the People's Republic of China. If you want to have a stylish item (and I think this is a reliable kettle) in your kitchen, buy it. The design of the kettle is really cool, but I think you can get used to the quibbles I listed.</v>
      </c>
    </row>
    <row r="2652" spans="1:9" x14ac:dyDescent="0.3">
      <c r="A2652" s="1" t="s">
        <v>965</v>
      </c>
      <c r="B2652" s="1" t="s">
        <v>966</v>
      </c>
      <c r="C2652" s="1" t="s">
        <v>2149</v>
      </c>
      <c r="D2652" s="1" t="s">
        <v>5083</v>
      </c>
      <c r="E2652" s="1" t="s">
        <v>2514</v>
      </c>
      <c r="F2652" s="1" t="s">
        <v>5084</v>
      </c>
      <c r="G2652" s="1" t="s">
        <v>36</v>
      </c>
      <c r="H2652" s="1" t="s">
        <v>29</v>
      </c>
      <c r="I2652" s="1" t="str">
        <f ca="1">IFERROR(__xludf.DUMMYFUNCTION("GOOGLETRANSLATE(F2652, ""auto"", ""en"")
"),"3 requests from neighbors! I need to look for something weaker: D")</f>
        <v>3 requests from neighbors! I need to look for something weaker: D</v>
      </c>
    </row>
    <row r="2653" spans="1:9" x14ac:dyDescent="0.3">
      <c r="A2653" s="1" t="s">
        <v>89</v>
      </c>
      <c r="B2653" s="1" t="s">
        <v>1106</v>
      </c>
      <c r="C2653" s="1" t="s">
        <v>74</v>
      </c>
      <c r="D2653" s="1" t="s">
        <v>545</v>
      </c>
      <c r="E2653" s="1" t="s">
        <v>631</v>
      </c>
      <c r="F2653" s="1" t="s">
        <v>5085</v>
      </c>
      <c r="G2653" s="1" t="s">
        <v>28</v>
      </c>
      <c r="H2653" s="1" t="s">
        <v>29</v>
      </c>
      <c r="I2653" s="1" t="str">
        <f ca="1">IFERROR(__xludf.DUMMYFUNCTION("GOOGLETRANSLATE(F2653, ""auto"", ""en"")
"),"I was recently given a Moulinex coffee maker. It is simple and easy to use. The only thing I didn't like was the instructions. It does not indicate whether the coffee maker should turn itself off after making coffee or not.")</f>
        <v>I was recently given a Moulinex coffee maker. It is simple and easy to use. The only thing I didn't like was the instructions. It does not indicate whether the coffee maker should turn itself off after making coffee or not.</v>
      </c>
    </row>
    <row r="2654" spans="1:9" x14ac:dyDescent="0.3">
      <c r="A2654" s="1" t="s">
        <v>61</v>
      </c>
      <c r="B2654" s="1" t="s">
        <v>180</v>
      </c>
      <c r="C2654" s="1" t="s">
        <v>246</v>
      </c>
      <c r="D2654" s="1" t="s">
        <v>621</v>
      </c>
      <c r="E2654" s="1" t="s">
        <v>5086</v>
      </c>
      <c r="F2654" s="1" t="s">
        <v>5087</v>
      </c>
      <c r="G2654" s="1" t="s">
        <v>36</v>
      </c>
      <c r="H2654" s="1" t="s">
        <v>29</v>
      </c>
      <c r="I2654" s="1" t="str">
        <f ca="1">IFERROR(__xludf.DUMMYFUNCTION("GOOGLETRANSLATE(F2654, ""auto"", ""en"")
"),"Great toaster! Smooth serving of toast, convenient spatula included! Everything you need for a good breakfast!")</f>
        <v>Great toaster! Smooth serving of toast, convenient spatula included! Everything you need for a good breakfast!</v>
      </c>
    </row>
    <row r="2655" spans="1:9" x14ac:dyDescent="0.3">
      <c r="A2655" s="1" t="s">
        <v>61</v>
      </c>
      <c r="B2655" s="1" t="s">
        <v>180</v>
      </c>
      <c r="C2655" s="1" t="s">
        <v>57</v>
      </c>
      <c r="D2655" s="1" t="s">
        <v>1121</v>
      </c>
      <c r="E2655" s="1" t="s">
        <v>563</v>
      </c>
      <c r="F2655" s="1" t="s">
        <v>5088</v>
      </c>
      <c r="G2655" s="1" t="s">
        <v>15</v>
      </c>
      <c r="H2655" s="1" t="s">
        <v>16</v>
      </c>
      <c r="I2655" s="1" t="str">
        <f ca="1">IFERROR(__xludf.DUMMYFUNCTION("GOOGLETRANSLATE(F2655, ""auto"", ""en"")
"),"I didn't like the toaster. Didn't even work for a year. The bread was toasted unevenly")</f>
        <v>I didn't like the toaster. Didn't even work for a year. The bread was toasted unevenly</v>
      </c>
    </row>
    <row r="2656" spans="1:9" x14ac:dyDescent="0.3">
      <c r="A2656" s="1" t="s">
        <v>43</v>
      </c>
      <c r="B2656" s="1" t="s">
        <v>1616</v>
      </c>
      <c r="C2656" s="1" t="s">
        <v>85</v>
      </c>
      <c r="D2656" s="1" t="s">
        <v>4546</v>
      </c>
      <c r="E2656" s="1" t="s">
        <v>508</v>
      </c>
      <c r="F2656" s="1" t="s">
        <v>5089</v>
      </c>
      <c r="G2656" s="1" t="s">
        <v>36</v>
      </c>
      <c r="H2656" s="1" t="s">
        <v>29</v>
      </c>
      <c r="I2656" s="1" t="str">
        <f ca="1">IFERROR(__xludf.DUMMYFUNCTION("GOOGLETRANSLATE(F2656, ""auto"", ""en"")
"),"It has been working perfectly for 4 years now, the whole system is normal and there are no comments, SUPER!!!!!")</f>
        <v>It has been working perfectly for 4 years now, the whole system is normal and there are no comments, SUPER!!!!!</v>
      </c>
    </row>
    <row r="2657" spans="1:9" x14ac:dyDescent="0.3">
      <c r="A2657" s="1" t="s">
        <v>211</v>
      </c>
      <c r="B2657" s="1" t="s">
        <v>384</v>
      </c>
      <c r="C2657" s="1" t="s">
        <v>63</v>
      </c>
      <c r="D2657" s="1" t="s">
        <v>39</v>
      </c>
      <c r="E2657" s="1" t="s">
        <v>2120</v>
      </c>
      <c r="F2657" s="1" t="s">
        <v>5090</v>
      </c>
      <c r="G2657" s="1" t="s">
        <v>49</v>
      </c>
      <c r="H2657" s="1" t="s">
        <v>16</v>
      </c>
      <c r="I2657" s="1" t="str">
        <f ca="1">IFERROR(__xludf.DUMMYFUNCTION("GOOGLETRANSLATE(F2657, ""auto"", ""en"")
"),"We chose scales on the spot (without studying the reviews, but in vain!), there was no consultant, I liked the design and the attitude towards Bosch was very good. good. Arriving home and weighing myself, at first I was wildly happy and showed very good r"&amp;"esults. good weight and fit well into the design, but after 3 seconds I gained half a kilogram, and then another kilogram, and then lost three kilograms)))). I'll go change it tomorrow)))")</f>
        <v>We chose scales on the spot (without studying the reviews, but in vain!), there was no consultant, I liked the design and the attitude towards Bosch was very good. good. Arriving home and weighing myself, at first I was wildly happy and showed very good results. good weight and fit well into the design, but after 3 seconds I gained half a kilogram, and then another kilogram, and then lost three kilograms)))). I'll go change it tomorrow)))</v>
      </c>
    </row>
    <row r="2658" spans="1:9" x14ac:dyDescent="0.3">
      <c r="A2658" s="1" t="s">
        <v>120</v>
      </c>
      <c r="B2658" s="1" t="s">
        <v>126</v>
      </c>
      <c r="C2658" s="1" t="s">
        <v>151</v>
      </c>
      <c r="D2658" s="1" t="s">
        <v>742</v>
      </c>
      <c r="E2658" s="1" t="s">
        <v>5091</v>
      </c>
      <c r="F2658" s="1" t="s">
        <v>5092</v>
      </c>
      <c r="G2658" s="1" t="s">
        <v>28</v>
      </c>
      <c r="H2658" s="1" t="s">
        <v>29</v>
      </c>
      <c r="I2658" s="1" t="str">
        <f ca="1">IFERROR(__xludf.DUMMYFUNCTION("GOOGLETRANSLATE(F2658, ""auto"", ""en"")
"),"Hello Alexander!  I have the same problem with turning my TV on and off. You have already brought the TV from those. department? And what is the result? Should I take him there or leave him like that? Of course, this inclusion does not particularly interf"&amp;"ere, but it is somehow unpleasant.")</f>
        <v>Hello Alexander!  I have the same problem with turning my TV on and off. You have already brought the TV from those. department? And what is the result? Should I take him there or leave him like that? Of course, this inclusion does not particularly interfere, but it is somehow unpleasant.</v>
      </c>
    </row>
    <row r="2659" spans="1:9" x14ac:dyDescent="0.3">
      <c r="A2659" s="1" t="s">
        <v>149</v>
      </c>
      <c r="B2659" s="1" t="s">
        <v>576</v>
      </c>
      <c r="C2659" s="1" t="s">
        <v>69</v>
      </c>
      <c r="D2659" s="1" t="s">
        <v>308</v>
      </c>
      <c r="E2659" s="1" t="s">
        <v>4929</v>
      </c>
      <c r="F2659" s="1" t="s">
        <v>5093</v>
      </c>
      <c r="G2659" s="1" t="s">
        <v>36</v>
      </c>
      <c r="H2659" s="1" t="s">
        <v>29</v>
      </c>
      <c r="I2659" s="1" t="str">
        <f ca="1">IFERROR(__xludf.DUMMYFUNCTION("GOOGLETRANSLATE(F2659, ""auto"", ""en"")
"),"I have been using the vacuum cleaner for four months. There is a dog and a cat in the house. Floors are linoleum. I really like the power of this vacuum cleaner - I almost always use it only for min. power. At minimum power it works VERY quietly (I didn’t"&amp;" even expect that a vacuum cleaner could work like that). The dog was hysterically afraid of the noise of a washing vacuum cleaner, but he is not afraid of this. The cat also treats him calmly.  The brush takes a little getting used to, but overall it is "&amp;"better than a classic carpet-floor brush. I use disposable bags (impregnated with animal repellent so that there is no smell in the vacuum cleaner). Bags about 400 rub. for 4 pieces. One bag is enough for 3-4 weeks. I don’t mind the money, since the conta"&amp;"iners need to be washed (they gave a vacuum cleaner with the container to a relative), but with the bag, I vacuumed it and forgot about it until next time. It also comes with a reusable bag (I don't use it). Disposable bags are very convenient to remove; "&amp;"there is no dust at all when removing the bag. At maximum power, the vacuum cleaner, of course, is not very quiet, but such power is only needed on carpets, and even then, in my opinion, when using a turbo brush. The vacuum cleaner has no disadvantages! I"&amp;" didn’t regret buying it (except that the bags would have been cheaper).")</f>
        <v>I have been using the vacuum cleaner for four months. There is a dog and a cat in the house. Floors are linoleum. I really like the power of this vacuum cleaner - I almost always use it only for min. power. At minimum power it works VERY quietly (I didn’t even expect that a vacuum cleaner could work like that). The dog was hysterically afraid of the noise of a washing vacuum cleaner, but he is not afraid of this. The cat also treats him calmly.  The brush takes a little getting used to, but overall it is better than a classic carpet-floor brush. I use disposable bags (impregnated with animal repellent so that there is no smell in the vacuum cleaner). Bags about 400 rub. for 4 pieces. One bag is enough for 3-4 weeks. I don’t mind the money, since the containers need to be washed (they gave a vacuum cleaner with the container to a relative), but with the bag, I vacuumed it and forgot about it until next time. It also comes with a reusable bag (I don't use it). Disposable bags are very convenient to remove; there is no dust at all when removing the bag. At maximum power, the vacuum cleaner, of course, is not very quiet, but such power is only needed on carpets, and even then, in my opinion, when using a turbo brush. The vacuum cleaner has no disadvantages! I didn’t regret buying it (except that the bags would have been cheaper).</v>
      </c>
    </row>
    <row r="2660" spans="1:9" x14ac:dyDescent="0.3">
      <c r="A2660" s="1" t="s">
        <v>149</v>
      </c>
      <c r="B2660" s="1" t="s">
        <v>155</v>
      </c>
      <c r="C2660" s="1" t="s">
        <v>80</v>
      </c>
      <c r="D2660" s="1" t="s">
        <v>5094</v>
      </c>
      <c r="E2660" s="1" t="s">
        <v>3038</v>
      </c>
      <c r="F2660" s="1" t="s">
        <v>5095</v>
      </c>
      <c r="G2660" s="1" t="s">
        <v>36</v>
      </c>
      <c r="H2660" s="1" t="s">
        <v>29</v>
      </c>
      <c r="I2660" s="1" t="str">
        <f ca="1">IFERROR(__xludf.DUMMYFUNCTION("GOOGLETRANSLATE(F2660, ""auto"", ""en"")
"),"We bought this model. We've been using it for two weeks. Satisfied. I have a small child and a dog. The carpet is perfectly clean. I was especially pleased with the amount of dirt removed after the first cleaning. Buy a vacuum cleaner with a dust containe"&amp;"r LG VK8828HQ, you won’t regret it.")</f>
        <v>We bought this model. We've been using it for two weeks. Satisfied. I have a small child and a dog. The carpet is perfectly clean. I was especially pleased with the amount of dirt removed after the first cleaning. Buy a vacuum cleaner with a dust container LG VK8828HQ, you won’t regret it.</v>
      </c>
    </row>
    <row r="2661" spans="1:9" x14ac:dyDescent="0.3">
      <c r="A2661" s="1" t="s">
        <v>30</v>
      </c>
      <c r="B2661" s="1" t="s">
        <v>50</v>
      </c>
      <c r="C2661" s="1" t="s">
        <v>189</v>
      </c>
      <c r="D2661" s="1" t="s">
        <v>5096</v>
      </c>
      <c r="E2661" s="1" t="s">
        <v>971</v>
      </c>
      <c r="F2661" s="1" t="s">
        <v>5097</v>
      </c>
      <c r="G2661" s="1" t="s">
        <v>36</v>
      </c>
      <c r="H2661" s="1" t="s">
        <v>29</v>
      </c>
      <c r="I2661" s="1" t="str">
        <f ca="1">IFERROR(__xludf.DUMMYFUNCTION("GOOGLETRANSLATE(F2661, ""auto"", ""en"")
"),"I bought this laptop 2 days ago, the touchpad works well, the laptop itself is fast, it makes me happy =)")</f>
        <v>I bought this laptop 2 days ago, the touchpad works well, the laptop itself is fast, it makes me happy =)</v>
      </c>
    </row>
    <row r="2662" spans="1:9" x14ac:dyDescent="0.3">
      <c r="A2662" s="1" t="s">
        <v>211</v>
      </c>
      <c r="B2662" s="1" t="s">
        <v>212</v>
      </c>
      <c r="C2662" s="1" t="s">
        <v>294</v>
      </c>
      <c r="D2662" s="1" t="s">
        <v>5098</v>
      </c>
      <c r="E2662" s="1" t="s">
        <v>1736</v>
      </c>
      <c r="F2662" s="1" t="s">
        <v>5099</v>
      </c>
      <c r="G2662" s="1" t="s">
        <v>49</v>
      </c>
      <c r="H2662" s="1" t="s">
        <v>16</v>
      </c>
      <c r="I2662" s="1" t="str">
        <f ca="1">IFERROR(__xludf.DUMMYFUNCTION("GOOGLETRANSLATE(F2662, ""auto"", ""en"")
"),"Terrible quality, after 4 months of purchase it began to hum, it started to drive and return to being too lazy... somehow I discovered this miracle, which is very difficult. And I found the reason! The turbo mode mechanism - the gears are rubber and crumb"&amp;"le over time, as a result they jump and stop working... somehow I put this crap together. Then it worked for half a year and eventually burned out with an explosion, and burned my wife... It dries normally, like any hair dryer with such power. The only th"&amp;"ing he has from a professional is his design!!! threw it out and bought a normal Swiss professional!!! Dangerous unit!!!!! - I don’t recommend it!!!")</f>
        <v>Terrible quality, after 4 months of purchase it began to hum, it started to drive and return to being too lazy... somehow I discovered this miracle, which is very difficult. And I found the reason! The turbo mode mechanism - the gears are rubber and crumble over time, as a result they jump and stop working... somehow I put this crap together. Then it worked for half a year and eventually burned out with an explosion, and burned my wife... It dries normally, like any hair dryer with such power. The only thing he has from a professional is his design!!! threw it out and bought a normal Swiss professional!!! Dangerous unit!!!!! - I don’t recommend it!!!</v>
      </c>
    </row>
    <row r="2663" spans="1:9" x14ac:dyDescent="0.3">
      <c r="A2663" s="1" t="s">
        <v>1443</v>
      </c>
      <c r="B2663" s="1" t="s">
        <v>1444</v>
      </c>
      <c r="C2663" s="1" t="s">
        <v>1489</v>
      </c>
      <c r="D2663" s="1" t="s">
        <v>5100</v>
      </c>
      <c r="E2663" s="1" t="s">
        <v>418</v>
      </c>
      <c r="F2663" s="1" t="s">
        <v>5101</v>
      </c>
      <c r="G2663" s="1" t="s">
        <v>36</v>
      </c>
      <c r="H2663" s="1" t="s">
        <v>29</v>
      </c>
      <c r="I2663" s="1" t="str">
        <f ca="1">IFERROR(__xludf.DUMMYFUNCTION("GOOGLETRANSLATE(F2663, ""auto"", ""en"")
"),"Very high quality and reliable device. Excellent case and reliable filling. The read-write speed is excellent. I really like it.")</f>
        <v>Very high quality and reliable device. Excellent case and reliable filling. The read-write speed is excellent. I really like it.</v>
      </c>
    </row>
    <row r="2664" spans="1:9" x14ac:dyDescent="0.3">
      <c r="A2664" s="1" t="s">
        <v>89</v>
      </c>
      <c r="B2664" s="1" t="s">
        <v>90</v>
      </c>
      <c r="C2664" s="1" t="s">
        <v>745</v>
      </c>
      <c r="D2664" s="1" t="s">
        <v>305</v>
      </c>
      <c r="E2664" s="1" t="s">
        <v>5102</v>
      </c>
      <c r="F2664" s="1" t="s">
        <v>5103</v>
      </c>
      <c r="G2664" s="1" t="s">
        <v>49</v>
      </c>
      <c r="H2664" s="1" t="s">
        <v>16</v>
      </c>
      <c r="I2664" s="1" t="str">
        <f ca="1">IFERROR(__xludf.DUMMYFUNCTION("GOOGLETRANSLATE(F2664, ""auto"", ""en"")
"),"She worked for one year and nine days. not used often. very bad quality. If it only works during the warranty period, why buy more? I'll buy the cheapest one, maybe it will work longer)))")</f>
        <v>She worked for one year and nine days. not used often. very bad quality. If it only works during the warranty period, why buy more? I'll buy the cheapest one, maybe it will work longer)))</v>
      </c>
    </row>
    <row r="2665" spans="1:9" x14ac:dyDescent="0.3">
      <c r="A2665" s="1" t="s">
        <v>852</v>
      </c>
      <c r="B2665" s="1" t="s">
        <v>853</v>
      </c>
      <c r="C2665" s="1" t="s">
        <v>356</v>
      </c>
      <c r="D2665" s="1" t="s">
        <v>5104</v>
      </c>
      <c r="E2665" s="1" t="s">
        <v>1245</v>
      </c>
      <c r="F2665" s="1" t="s">
        <v>5105</v>
      </c>
      <c r="G2665" s="1" t="s">
        <v>36</v>
      </c>
      <c r="H2665" s="1" t="s">
        <v>29</v>
      </c>
      <c r="I2665" s="1" t="str">
        <f ca="1">IFERROR(__xludf.DUMMYFUNCTION("GOOGLETRANSLATE(F2665, ""auto"", ""en"")
"),"He's awesome!!!  Sony Vaio is just resting in comparison")</f>
        <v>He's awesome!!!  Sony Vaio is just resting in comparison</v>
      </c>
    </row>
    <row r="2666" spans="1:9" x14ac:dyDescent="0.3">
      <c r="A2666" s="1" t="s">
        <v>477</v>
      </c>
      <c r="B2666" s="1" t="s">
        <v>478</v>
      </c>
      <c r="C2666" s="1" t="s">
        <v>479</v>
      </c>
      <c r="D2666" s="1" t="s">
        <v>5106</v>
      </c>
      <c r="E2666" s="1" t="s">
        <v>353</v>
      </c>
      <c r="F2666" s="1" t="s">
        <v>5107</v>
      </c>
      <c r="G2666" s="1" t="s">
        <v>36</v>
      </c>
      <c r="H2666" s="1" t="s">
        <v>29</v>
      </c>
      <c r="I2666" s="1" t="str">
        <f ca="1">IFERROR(__xludf.DUMMYFUNCTION("GOOGLETRANSLATE(F2666, ""auto"", ""en"")
"),"Finally, FIFA has surpassed its competitor PES.  The game is simply gorgeous!  Thanks to EA for making this game on PC.")</f>
        <v>Finally, FIFA has surpassed its competitor PES.  The game is simply gorgeous!  Thanks to EA for making this game on PC.</v>
      </c>
    </row>
    <row r="2667" spans="1:9" x14ac:dyDescent="0.3">
      <c r="A2667" s="1" t="s">
        <v>17</v>
      </c>
      <c r="B2667" s="1" t="s">
        <v>18</v>
      </c>
      <c r="C2667" s="1" t="s">
        <v>243</v>
      </c>
      <c r="D2667" s="1" t="s">
        <v>411</v>
      </c>
      <c r="E2667" s="1" t="s">
        <v>346</v>
      </c>
      <c r="F2667" s="1" t="s">
        <v>5108</v>
      </c>
      <c r="G2667" s="1" t="s">
        <v>36</v>
      </c>
      <c r="H2667" s="1" t="s">
        <v>29</v>
      </c>
      <c r="I2667" s="1" t="str">
        <f ca="1">IFERROR(__xludf.DUMMYFUNCTION("GOOGLETRANSLATE(F2667, ""auto"", ""en"")
"),"An excellent machine, the dryer works well, you can put things straight into the closet :)")</f>
        <v>An excellent machine, the dryer works well, you can put things straight into the closet :)</v>
      </c>
    </row>
    <row r="2668" spans="1:9" x14ac:dyDescent="0.3">
      <c r="A2668" s="1" t="s">
        <v>9</v>
      </c>
      <c r="B2668" s="1" t="s">
        <v>133</v>
      </c>
      <c r="C2668" s="1" t="s">
        <v>151</v>
      </c>
      <c r="D2668" s="1" t="s">
        <v>568</v>
      </c>
      <c r="E2668" s="1" t="s">
        <v>2028</v>
      </c>
      <c r="F2668" s="1" t="s">
        <v>5109</v>
      </c>
      <c r="G2668" s="1" t="s">
        <v>36</v>
      </c>
      <c r="H2668" s="1" t="s">
        <v>29</v>
      </c>
      <c r="I2668" s="1" t="str">
        <f ca="1">IFERROR(__xludf.DUMMYFUNCTION("GOOGLETRANSLATE(F2668, ""auto"", ""en"")
"),"Guys, that's five!!! Complete stuffing, nothing more to wish for, it’s all in one! In one compartment there is an oven, a wave oven, a quick oven, a grill, a corvector... I don’t have enough imagination to come up with the downsides! The buttons are comfo"&amp;"rtable and high quality!!! If you compare it with others that are even several times superior in price, it wins, take it, you won’t regret it, it works like silk for a month! I love it, I couldn’t tear my wife away for the first week, I cooked everything "&amp;"in it, in general, take it, you won’t regret it!")</f>
        <v>Guys, that's five!!! Complete stuffing, nothing more to wish for, it’s all in one! In one compartment there is an oven, a wave oven, a quick oven, a grill, a corvector... I don’t have enough imagination to come up with the downsides! The buttons are comfortable and high quality!!! If you compare it with others that are even several times superior in price, it wins, take it, you won’t regret it, it works like silk for a month! I love it, I couldn’t tear my wife away for the first week, I cooked everything in it, in general, take it, you won’t regret it!</v>
      </c>
    </row>
    <row r="2669" spans="1:9" x14ac:dyDescent="0.3">
      <c r="A2669" s="1" t="s">
        <v>105</v>
      </c>
      <c r="B2669" s="1" t="s">
        <v>106</v>
      </c>
      <c r="C2669" s="1" t="s">
        <v>1526</v>
      </c>
      <c r="D2669" s="1" t="s">
        <v>5110</v>
      </c>
      <c r="E2669" s="1" t="s">
        <v>998</v>
      </c>
      <c r="F2669" s="1" t="s">
        <v>5111</v>
      </c>
      <c r="G2669" s="1" t="s">
        <v>28</v>
      </c>
      <c r="H2669" s="1" t="s">
        <v>29</v>
      </c>
      <c r="I2669" s="1" t="str">
        <f ca="1">IFERROR(__xludf.DUMMYFUNCTION("GOOGLETRANSLATE(F2669, ""auto"", ""en"")
"),"I bought it in December, after 3 months the headphones began to play current in the left ear, everything is fine, but my ears do not plow, and no")</f>
        <v>I bought it in December, after 3 months the headphones began to play current in the left ear, everything is fine, but my ears do not plow, and no</v>
      </c>
    </row>
    <row r="2670" spans="1:9" x14ac:dyDescent="0.3">
      <c r="A2670" s="1" t="s">
        <v>61</v>
      </c>
      <c r="B2670" s="1" t="s">
        <v>180</v>
      </c>
      <c r="C2670" s="1" t="s">
        <v>57</v>
      </c>
      <c r="D2670" s="1" t="s">
        <v>1476</v>
      </c>
      <c r="E2670" s="1" t="s">
        <v>5112</v>
      </c>
      <c r="F2670" s="1" t="s">
        <v>5113</v>
      </c>
      <c r="G2670" s="1" t="s">
        <v>36</v>
      </c>
      <c r="H2670" s="1" t="s">
        <v>29</v>
      </c>
      <c r="I2670" s="1" t="str">
        <f ca="1">IFERROR(__xludf.DUMMYFUNCTION("GOOGLETRANSLATE(F2670, ""auto"", ""en"")
"),"An excellent toaster for little money. We've been using it for over a year, no complaints. The result is good toast, after 3-4 minutes the crust will be crispy, and after 7 minutes it will have turned black. We didn’t use the heating modes, there was no n"&amp;"eed, and for the quality of making toast, there’s nothing more you could want from a toaster.")</f>
        <v>An excellent toaster for little money. We've been using it for over a year, no complaints. The result is good toast, after 3-4 minutes the crust will be crispy, and after 7 minutes it will have turned black. We didn’t use the heating modes, there was no need, and for the quality of making toast, there’s nothing more you could want from a toaster.</v>
      </c>
    </row>
    <row r="2671" spans="1:9" x14ac:dyDescent="0.3">
      <c r="A2671" s="1" t="s">
        <v>61</v>
      </c>
      <c r="B2671" s="1" t="s">
        <v>145</v>
      </c>
      <c r="C2671" s="1" t="s">
        <v>69</v>
      </c>
      <c r="D2671" s="1" t="s">
        <v>64</v>
      </c>
      <c r="E2671" s="1" t="s">
        <v>886</v>
      </c>
      <c r="F2671" s="1" t="s">
        <v>5114</v>
      </c>
      <c r="G2671" s="1" t="s">
        <v>36</v>
      </c>
      <c r="H2671" s="1" t="s">
        <v>29</v>
      </c>
      <c r="I2671" s="1" t="str">
        <f ca="1">IFERROR(__xludf.DUMMYFUNCTION("GOOGLETRANSLATE(F2671, ""auto"", ""en"")
"),"I've been using this steamer for six months and I really like it. Especially the fish turns out tasty and juicy. I’m glad that there is a compartment for spices, because the child does not like to eat food with seasoning, but here he put it in the compart"&amp;"ment - it’s fragrant and tasty! I'm happy with the steamer.")</f>
        <v>I've been using this steamer for six months and I really like it. Especially the fish turns out tasty and juicy. I’m glad that there is a compartment for spices, because the child does not like to eat food with seasoning, but here he put it in the compartment - it’s fragrant and tasty! I'm happy with the steamer.</v>
      </c>
    </row>
    <row r="2672" spans="1:9" x14ac:dyDescent="0.3">
      <c r="A2672" s="1" t="s">
        <v>37</v>
      </c>
      <c r="B2672" s="1" t="s">
        <v>536</v>
      </c>
      <c r="C2672" s="1" t="s">
        <v>32</v>
      </c>
      <c r="D2672" s="1" t="s">
        <v>39</v>
      </c>
      <c r="E2672" s="1" t="s">
        <v>2120</v>
      </c>
      <c r="F2672" s="1" t="s">
        <v>5115</v>
      </c>
      <c r="G2672" s="1" t="s">
        <v>36</v>
      </c>
      <c r="H2672" s="1" t="s">
        <v>29</v>
      </c>
      <c r="I2672" s="1" t="str">
        <f ca="1">IFERROR(__xludf.DUMMYFUNCTION("GOOGLETRANSLATE(F2672, ""auto"", ""en"")
"),"The device is killer!!!! it's worth the money. But I want to warn the owners, and those who are just planning to purchase it: Take care of the screen, it is sooooo fragile!!!! And a store warranty won't hurt either.")</f>
        <v>The device is killer!!!! it's worth the money. But I want to warn the owners, and those who are just planning to purchase it: Take care of the screen, it is sooooo fragile!!!! And a store warranty won't hurt either.</v>
      </c>
    </row>
    <row r="2673" spans="1:9" x14ac:dyDescent="0.3">
      <c r="A2673" s="1" t="s">
        <v>732</v>
      </c>
      <c r="B2673" s="1" t="s">
        <v>733</v>
      </c>
      <c r="C2673" s="1" t="s">
        <v>80</v>
      </c>
      <c r="D2673" s="1" t="s">
        <v>152</v>
      </c>
      <c r="E2673" s="1" t="s">
        <v>5116</v>
      </c>
      <c r="F2673" s="1" t="s">
        <v>5117</v>
      </c>
      <c r="G2673" s="1" t="s">
        <v>36</v>
      </c>
      <c r="H2673" s="1" t="s">
        <v>29</v>
      </c>
      <c r="I2673" s="1" t="str">
        <f ca="1">IFERROR(__xludf.DUMMYFUNCTION("GOOGLETRANSLATE(F2673, ""auto"", ""en"")
"),"Excellent monitor and wonderful TV, fully corresponds to the description. All interfaces work without problems, convenient settings, both manual and automatic, color rendition is excellent. I work in graphics and photography, and even cope with this task "&amp;"very well, there is a slight flare around the edges on a black background in complete darkness, but this is not visible in the real picture.")</f>
        <v>Excellent monitor and wonderful TV, fully corresponds to the description. All interfaces work without problems, convenient settings, both manual and automatic, color rendition is excellent. I work in graphics and photography, and even cope with this task very well, there is a slight flare around the edges on a black background in complete darkness, but this is not visible in the real picture.</v>
      </c>
    </row>
    <row r="2674" spans="1:9" x14ac:dyDescent="0.3">
      <c r="A2674" s="1" t="s">
        <v>238</v>
      </c>
      <c r="B2674" s="1" t="s">
        <v>276</v>
      </c>
      <c r="C2674" s="1" t="s">
        <v>5118</v>
      </c>
      <c r="D2674" s="1" t="s">
        <v>86</v>
      </c>
      <c r="E2674" s="1" t="s">
        <v>5119</v>
      </c>
      <c r="F2674" s="1" t="s">
        <v>5120</v>
      </c>
      <c r="G2674" s="1" t="s">
        <v>36</v>
      </c>
      <c r="H2674" s="1" t="s">
        <v>29</v>
      </c>
      <c r="I2674" s="1" t="str">
        <f ca="1">IFERROR(__xludf.DUMMYFUNCTION("GOOGLETRANSLATE(F2674, ""auto"", ""en"")
"),"Nice refrigerator! I bought it on the recommendation of the seller! Modern, reliable, copes with everything perfectly. The freezer freezes quickly. I have constant problems with the electrical network at home, the voltage is fluctuating. Withstands extrem"&amp;"e fluctuations and has been working without failures or breakdowns for 3 years now. I recommend!")</f>
        <v>Nice refrigerator! I bought it on the recommendation of the seller! Modern, reliable, copes with everything perfectly. The freezer freezes quickly. I have constant problems with the electrical network at home, the voltage is fluctuating. Withstands extreme fluctuations and has been working without failures or breakdowns for 3 years now. I recommend!</v>
      </c>
    </row>
    <row r="2675" spans="1:9" x14ac:dyDescent="0.3">
      <c r="A2675" s="1" t="s">
        <v>211</v>
      </c>
      <c r="B2675" s="1" t="s">
        <v>212</v>
      </c>
      <c r="C2675" s="1" t="s">
        <v>453</v>
      </c>
      <c r="D2675" s="1" t="s">
        <v>335</v>
      </c>
      <c r="E2675" s="1" t="s">
        <v>2810</v>
      </c>
      <c r="F2675" s="1" t="s">
        <v>5121</v>
      </c>
      <c r="G2675" s="1" t="s">
        <v>36</v>
      </c>
      <c r="H2675" s="1" t="s">
        <v>29</v>
      </c>
      <c r="I2675" s="1" t="str">
        <f ca="1">IFERROR(__xludf.DUMMYFUNCTION("GOOGLETRANSLATE(F2675, ""auto"", ""en"")
"),"I bought it in 11, because I rarely used hair dye. I recently decided to curl my hair with a flat iron, it turned out sooooo cool) I’m delighted with the flat iron, it doesn’t dry out, the temperature is right, it’s comfortable! No worse than those that a"&amp;"re much more expensive. I bought it for pennies, and now it’s not expensive. I highly recommend!!!")</f>
        <v>I bought it in 11, because I rarely used hair dye. I recently decided to curl my hair with a flat iron, it turned out sooooo cool) I’m delighted with the flat iron, it doesn’t dry out, the temperature is right, it’s comfortable! No worse than those that are much more expensive. I bought it for pennies, and now it’s not expensive. I highly recommend!!!</v>
      </c>
    </row>
    <row r="2676" spans="1:9" x14ac:dyDescent="0.3">
      <c r="A2676" s="1" t="s">
        <v>30</v>
      </c>
      <c r="B2676" s="1" t="s">
        <v>31</v>
      </c>
      <c r="C2676" s="1" t="s">
        <v>5122</v>
      </c>
      <c r="D2676" s="1" t="s">
        <v>52</v>
      </c>
      <c r="E2676" s="1" t="s">
        <v>1321</v>
      </c>
      <c r="F2676" s="1" t="s">
        <v>5123</v>
      </c>
      <c r="G2676" s="1" t="s">
        <v>15</v>
      </c>
      <c r="H2676" s="1" t="s">
        <v>16</v>
      </c>
      <c r="I2676" s="1" t="str">
        <f ca="1">IFERROR(__xludf.DUMMYFUNCTION("GOOGLETRANSLATE(F2676, ""auto"", ""en"")
"),"Every time you turn on the computer, the desktop does not load and the start menu does not appear. The pre-installed screen saver remains on the screen. However, after trying to open the task manager, the monitor screen turns black.")</f>
        <v>Every time you turn on the computer, the desktop does not load and the start menu does not appear. The pre-installed screen saver remains on the screen. However, after trying to open the task manager, the monitor screen turns black.</v>
      </c>
    </row>
    <row r="2677" spans="1:9" x14ac:dyDescent="0.3">
      <c r="A2677" s="1" t="s">
        <v>206</v>
      </c>
      <c r="B2677" s="1" t="s">
        <v>207</v>
      </c>
      <c r="C2677" s="1" t="s">
        <v>351</v>
      </c>
      <c r="D2677" s="1" t="s">
        <v>5124</v>
      </c>
      <c r="E2677" s="1" t="s">
        <v>446</v>
      </c>
      <c r="F2677" s="1" t="s">
        <v>5125</v>
      </c>
      <c r="G2677" s="1" t="s">
        <v>28</v>
      </c>
      <c r="H2677" s="1" t="s">
        <v>29</v>
      </c>
      <c r="I2677" s="1" t="str">
        <f ca="1">IFERROR(__xludf.DUMMYFUNCTION("GOOGLETRANSLATE(F2677, ""auto"", ""en"")
"),"I bought it two years ago, I was happy with it, but I didn’t like the device - it heats up very quickly, I quickly solved the problem, I installed large coolers from my computer on it, and now everything is fine)) for that amount you can buy it, but I wan"&amp;"t a different device")</f>
        <v>I bought it two years ago, I was happy with it, but I didn’t like the device - it heats up very quickly, I quickly solved the problem, I installed large coolers from my computer on it, and now everything is fine)) for that amount you can buy it, but I want a different device</v>
      </c>
    </row>
    <row r="2678" spans="1:9" x14ac:dyDescent="0.3">
      <c r="A2678" s="1" t="s">
        <v>30</v>
      </c>
      <c r="B2678" s="1" t="s">
        <v>50</v>
      </c>
      <c r="C2678" s="1" t="s">
        <v>189</v>
      </c>
      <c r="D2678" s="1" t="s">
        <v>280</v>
      </c>
      <c r="E2678" s="1" t="s">
        <v>5126</v>
      </c>
      <c r="F2678" s="1" t="s">
        <v>5127</v>
      </c>
      <c r="G2678" s="1" t="s">
        <v>36</v>
      </c>
      <c r="H2678" s="1" t="s">
        <v>29</v>
      </c>
      <c r="I2678" s="1" t="str">
        <f ca="1">IFERROR(__xludf.DUMMYFUNCTION("GOOGLETRANSLATE(F2678, ""auto"", ""en"")
"),"So I’ll add, I calculated the performance index. Well, not bad, but for some reason on another weaker beech the index turned out to be one tenth larger. I didn’t understand, I scored it. I connected the LCD TV via hdmi-hdmi and watched star wars episode I"&amp;"II (dvd-9 license). Super. I took a wireless mouse as a bonus, and I control the beech from the bed. (It’s a pity there is no built-in blue tooth, but it’s not critical, there are plenty of USB slots) It’s very convenient to turn off the monitor (there is"&amp;" a special function button) while you are projecting something from it onto the monitor. An incomprehensible feature, sometimes it falls asleep so that you can’t wake it up, the overload saves you. Fast copying (compared with a desktop PC with XP) to flas"&amp;"h media. The charging slot is located conveniently; my friend’s HP has it on the side, opposite the Asus’s on the back side, which is more convenient and doesn’t interfere with your hand when you’re sitting at the table. USB ports on the left side. Which "&amp;"is important when connecting a flash drive. I never installed productive games, because what I want is not sold under license. And small games fly (my wife plays in the garden).  There are many programs included. In particular, Asus DVD. That is, you don’"&amp;"t have to buy more. Operating modes are functionally switchable (Productive, cinema, office, and economical). Whoever will take it, take it with you in the future when buying a bag. Bag manufacturers lie about their sizes.")</f>
        <v>So I’ll add, I calculated the performance index. Well, not bad, but for some reason on another weaker beech the index turned out to be one tenth larger. I didn’t understand, I scored it. I connected the LCD TV via hdmi-hdmi and watched star wars episode III (dvd-9 license). Super. I took a wireless mouse as a bonus, and I control the beech from the bed. (It’s a pity there is no built-in blue tooth, but it’s not critical, there are plenty of USB slots) It’s very convenient to turn off the monitor (there is a special function button) while you are projecting something from it onto the monitor. An incomprehensible feature, sometimes it falls asleep so that you can’t wake it up, the overload saves you. Fast copying (compared with a desktop PC with XP) to flash media. The charging slot is located conveniently; my friend’s HP has it on the side, opposite the Asus’s on the back side, which is more convenient and doesn’t interfere with your hand when you’re sitting at the table. USB ports on the left side. Which is important when connecting a flash drive. I never installed productive games, because what I want is not sold under license. And small games fly (my wife plays in the garden).  There are many programs included. In particular, Asus DVD. That is, you don’t have to buy more. Operating modes are functionally switchable (Productive, cinema, office, and economical). Whoever will take it, take it with you in the future when buying a bag. Bag manufacturers lie about their sizes.</v>
      </c>
    </row>
    <row r="2679" spans="1:9" x14ac:dyDescent="0.3">
      <c r="A2679" s="1" t="s">
        <v>30</v>
      </c>
      <c r="B2679" s="1" t="s">
        <v>50</v>
      </c>
      <c r="C2679" s="1" t="s">
        <v>32</v>
      </c>
      <c r="D2679" s="1" t="s">
        <v>305</v>
      </c>
      <c r="E2679" s="1" t="s">
        <v>2733</v>
      </c>
      <c r="F2679" s="1" t="s">
        <v>5128</v>
      </c>
      <c r="G2679" s="1" t="s">
        <v>36</v>
      </c>
      <c r="H2679" s="1" t="s">
        <v>29</v>
      </c>
      <c r="I2679" s="1" t="str">
        <f ca="1">IFERROR(__xludf.DUMMYFUNCTION("GOOGLETRANSLATE(F2679, ""auto"", ""en"")
"),"I'm happy with it, there are no external comments, I checked 2 games Juiced-2 and NFS PROSTREET so far, it runs without problems, it works quietly. We bought it at the beginning of November 2009 from M-Video for 19,990 rubles (for this price I couldn’t fi"&amp;"nd better characteristics, the built-in video card is here, which is important). The battery lasts for 2-2.30 hours, but if there is an outlet nearby, this may not be a drawback. Overall very pleased, there were no glitches.")</f>
        <v>I'm happy with it, there are no external comments, I checked 2 games Juiced-2 and NFS PROSTREET so far, it runs without problems, it works quietly. We bought it at the beginning of November 2009 from M-Video for 19,990 rubles (for this price I couldn’t find better characteristics, the built-in video card is here, which is important). The battery lasts for 2-2.30 hours, but if there is an outlet nearby, this may not be a drawback. Overall very pleased, there were no glitches.</v>
      </c>
    </row>
    <row r="2680" spans="1:9" x14ac:dyDescent="0.3">
      <c r="A2680" s="1" t="s">
        <v>120</v>
      </c>
      <c r="B2680" s="1" t="s">
        <v>256</v>
      </c>
      <c r="C2680" s="1" t="s">
        <v>69</v>
      </c>
      <c r="D2680" s="1" t="s">
        <v>228</v>
      </c>
      <c r="E2680" s="1" t="s">
        <v>1267</v>
      </c>
      <c r="F2680" s="1" t="s">
        <v>5129</v>
      </c>
      <c r="G2680" s="1" t="s">
        <v>49</v>
      </c>
      <c r="H2680" s="1" t="s">
        <v>16</v>
      </c>
      <c r="I2680" s="1" t="str">
        <f ca="1">IFERROR(__xludf.DUMMYFUNCTION("GOOGLETRANSLATE(F2680, ""auto"", ""en"")
"),"1. The power supply beeps in standby mode, you have to unplug it at night.  2. The image on the screen has color noise and interference; there is no such interference on the low-frequency channel.   3. After six months of use, the remote control stopped r"&amp;"esponding to the volume control and channel switching buttons, which was cured by disassembling the remote control and wiping with plenty of grease.   4. The claimed “excellent, powerful sound” does not actually meet these sound quality requirements.")</f>
        <v>1. The power supply beeps in standby mode, you have to unplug it at night.  2. The image on the screen has color noise and interference; there is no such interference on the low-frequency channel.   3. After six months of use, the remote control stopped responding to the volume control and channel switching buttons, which was cured by disassembling the remote control and wiping with plenty of grease.   4. The claimed “excellent, powerful sound” does not actually meet these sound quality requirements.</v>
      </c>
    </row>
    <row r="2681" spans="1:9" x14ac:dyDescent="0.3">
      <c r="A2681" s="1" t="s">
        <v>61</v>
      </c>
      <c r="B2681" s="1" t="s">
        <v>318</v>
      </c>
      <c r="C2681" s="1" t="s">
        <v>246</v>
      </c>
      <c r="D2681" s="1" t="s">
        <v>33</v>
      </c>
      <c r="E2681" s="1" t="s">
        <v>2948</v>
      </c>
      <c r="F2681" s="1" t="s">
        <v>5130</v>
      </c>
      <c r="G2681" s="1" t="s">
        <v>28</v>
      </c>
      <c r="H2681" s="1" t="s">
        <v>29</v>
      </c>
      <c r="I2681" s="1" t="str">
        <f ca="1">IFERROR(__xludf.DUMMYFUNCTION("GOOGLETRANSLATE(F2681, ""auto"", ""en"")
"),"Overall the kettle is good. The included case will come in handy. The cups included in the kit are garbage. They could make them retractable (they fold them up and don’t take up space). The cord is thick. On the one hand, it’s good - reliable (if you didn"&amp;"’t save on copper), on the other hand, pouring boiling water into a mug is not convenient, it gets in the way. Still, if the dimensions were not the smallest, they could have made the stand separate. Boil for 2 cups in about 2 minutes. Fine. The case gets"&amp;" very hot. The handle doesn't get hot at all. Great.")</f>
        <v>Overall the kettle is good. The included case will come in handy. The cups included in the kit are garbage. They could make them retractable (they fold them up and don’t take up space). The cord is thick. On the one hand, it’s good - reliable (if you didn’t save on copper), on the other hand, pouring boiling water into a mug is not convenient, it gets in the way. Still, if the dimensions were not the smallest, they could have made the stand separate. Boil for 2 cups in about 2 minutes. Fine. The case gets very hot. The handle doesn't get hot at all. Great.</v>
      </c>
    </row>
    <row r="2682" spans="1:9" x14ac:dyDescent="0.3">
      <c r="A2682" s="1" t="s">
        <v>61</v>
      </c>
      <c r="B2682" s="1" t="s">
        <v>726</v>
      </c>
      <c r="C2682" s="1" t="s">
        <v>146</v>
      </c>
      <c r="D2682" s="1" t="s">
        <v>295</v>
      </c>
      <c r="E2682" s="1" t="s">
        <v>5131</v>
      </c>
      <c r="F2682" s="1" t="s">
        <v>5132</v>
      </c>
      <c r="G2682" s="1" t="s">
        <v>5133</v>
      </c>
      <c r="H2682" s="1" t="s">
        <v>16</v>
      </c>
      <c r="I2682" s="1" t="str">
        <f ca="1">IFERROR(__xludf.DUMMYFUNCTION("GOOGLETRANSLATE(F2682, ""auto"", ""en"")
"),"many functions")</f>
        <v>many functions</v>
      </c>
    </row>
    <row r="2683" spans="1:9" x14ac:dyDescent="0.3">
      <c r="A2683" s="1" t="s">
        <v>37</v>
      </c>
      <c r="B2683" s="1" t="s">
        <v>38</v>
      </c>
      <c r="C2683" s="1" t="s">
        <v>39</v>
      </c>
      <c r="D2683" s="1" t="s">
        <v>102</v>
      </c>
      <c r="E2683" s="1" t="s">
        <v>460</v>
      </c>
      <c r="F2683" s="1" t="s">
        <v>5134</v>
      </c>
      <c r="G2683" s="1" t="s">
        <v>36</v>
      </c>
      <c r="H2683" s="1" t="s">
        <v>29</v>
      </c>
      <c r="I2683" s="1" t="str">
        <f ca="1">IFERROR(__xludf.DUMMYFUNCTION("GOOGLETRANSLATE(F2683, ""auto"", ""en"")
"),"Cool, small flash drive, cheap and camera ok!")</f>
        <v>Cool, small flash drive, cheap and camera ok!</v>
      </c>
    </row>
    <row r="2684" spans="1:9" x14ac:dyDescent="0.3">
      <c r="A2684" s="1" t="s">
        <v>211</v>
      </c>
      <c r="B2684" s="1" t="s">
        <v>265</v>
      </c>
      <c r="C2684" s="1" t="s">
        <v>69</v>
      </c>
      <c r="D2684" s="1" t="s">
        <v>2217</v>
      </c>
      <c r="E2684" s="1" t="s">
        <v>157</v>
      </c>
      <c r="F2684" s="1" t="s">
        <v>5135</v>
      </c>
      <c r="G2684" s="1" t="s">
        <v>36</v>
      </c>
      <c r="H2684" s="1" t="s">
        <v>29</v>
      </c>
      <c r="I2684" s="1" t="str">
        <f ca="1">IFERROR(__xludf.DUMMYFUNCTION("GOOGLETRANSLATE(F2684, ""auto"", ""en"")
"),"For this amount, the machine is quite worth it. I cut hair for several people a day. I bought the machine about six years ago, the attachment was cracked, I sealed it with super glue, it became like new in order for the machine to work for a long time, yo"&amp;"u need to take care of it, clean it, lubricate it and cut pre-washed dry hair. and if you don’t like the quality, then take a Mozer or X-pert unit from Wella, only it will cost you 3-4 times more. And the machine weighs so much!!!")</f>
        <v>For this amount, the machine is quite worth it. I cut hair for several people a day. I bought the machine about six years ago, the attachment was cracked, I sealed it with super glue, it became like new in order for the machine to work for a long time, you need to take care of it, clean it, lubricate it and cut pre-washed dry hair. and if you don’t like the quality, then take a Mozer or X-pert unit from Wella, only it will cost you 3-4 times more. And the machine weighs so much!!!</v>
      </c>
    </row>
    <row r="2685" spans="1:9" x14ac:dyDescent="0.3">
      <c r="A2685" s="1" t="s">
        <v>30</v>
      </c>
      <c r="B2685" s="1" t="s">
        <v>50</v>
      </c>
      <c r="C2685" s="1" t="s">
        <v>189</v>
      </c>
      <c r="D2685" s="1" t="s">
        <v>690</v>
      </c>
      <c r="E2685" s="1" t="s">
        <v>1037</v>
      </c>
      <c r="F2685" s="1" t="s">
        <v>5136</v>
      </c>
      <c r="G2685" s="1" t="s">
        <v>36</v>
      </c>
      <c r="H2685" s="1" t="s">
        <v>29</v>
      </c>
      <c r="I2685" s="1" t="str">
        <f ca="1">IFERROR(__xludf.DUMMYFUNCTION("GOOGLETRANSLATE(F2685, ""auto"", ""en"")
"),"I bought it two months ago. Works great, is quiet, doesn't get hot at all. The touch pad works great. The sound is surround as they say)) but quiet, don’t bother, all laptops don’t have loud sound.")</f>
        <v>I bought it two months ago. Works great, is quiet, doesn't get hot at all. The touch pad works great. The sound is surround as they say)) but quiet, don’t bother, all laptops don’t have loud sound.</v>
      </c>
    </row>
    <row r="2686" spans="1:9" x14ac:dyDescent="0.3">
      <c r="A2686" s="1" t="s">
        <v>61</v>
      </c>
      <c r="B2686" s="1" t="s">
        <v>977</v>
      </c>
      <c r="C2686" s="1" t="s">
        <v>246</v>
      </c>
      <c r="D2686" s="1" t="s">
        <v>1659</v>
      </c>
      <c r="E2686" s="1" t="s">
        <v>5137</v>
      </c>
      <c r="F2686" s="1" t="s">
        <v>5138</v>
      </c>
      <c r="G2686" s="1" t="s">
        <v>28</v>
      </c>
      <c r="H2686" s="1" t="s">
        <v>29</v>
      </c>
      <c r="I2686" s="1" t="str">
        <f ca="1">IFERROR(__xludf.DUMMYFUNCTION("GOOGLETRANSLATE(F2686, ""auto"", ""en"")
"),"For some reason, the kit does not include fasteners for attaching to the wall; the blender button is not fixed when making purees, for example, this should at least be warned about in the instructions.")</f>
        <v>For some reason, the kit does not include fasteners for attaching to the wall; the blender button is not fixed when making purees, for example, this should at least be warned about in the instructions.</v>
      </c>
    </row>
    <row r="2687" spans="1:9" x14ac:dyDescent="0.3">
      <c r="A2687" s="1" t="s">
        <v>169</v>
      </c>
      <c r="B2687" s="1" t="s">
        <v>170</v>
      </c>
      <c r="C2687" s="1" t="s">
        <v>171</v>
      </c>
      <c r="D2687" s="1" t="s">
        <v>5139</v>
      </c>
      <c r="E2687" s="1" t="s">
        <v>960</v>
      </c>
      <c r="F2687" s="1" t="s">
        <v>5140</v>
      </c>
      <c r="G2687" s="1" t="s">
        <v>28</v>
      </c>
      <c r="H2687" s="1" t="s">
        <v>29</v>
      </c>
      <c r="I2687" s="1" t="str">
        <f ca="1">IFERROR(__xludf.DUMMYFUNCTION("GOOGLETRANSLATE(F2687, ""auto"", ""en"")
"),"They served for 5 months, or rather the right earphone worked... I really liked the ears)")</f>
        <v>They served for 5 months, or rather the right earphone worked... I really liked the ears)</v>
      </c>
    </row>
    <row r="2688" spans="1:9" x14ac:dyDescent="0.3">
      <c r="A2688" s="1" t="s">
        <v>149</v>
      </c>
      <c r="B2688" s="1" t="s">
        <v>576</v>
      </c>
      <c r="C2688" s="1" t="s">
        <v>69</v>
      </c>
      <c r="D2688" s="1" t="s">
        <v>203</v>
      </c>
      <c r="E2688" s="1" t="s">
        <v>5141</v>
      </c>
      <c r="F2688" s="1" t="s">
        <v>5142</v>
      </c>
      <c r="G2688" s="1" t="s">
        <v>49</v>
      </c>
      <c r="H2688" s="1" t="s">
        <v>16</v>
      </c>
      <c r="I2688" s="1" t="str">
        <f ca="1">IFERROR(__xludf.DUMMYFUNCTION("GOOGLETRANSLATE(F2688, ""auto"", ""en"")
"),"3 weeks after purchase, the brush broke (it stopped switching to “carpet” mode). The store refused to exchange, citing that the exchange/return took 2 weeks, and I did not buy a paid exchange from m-video. I gave it to the service department through the s"&amp;"tore.")</f>
        <v>3 weeks after purchase, the brush broke (it stopped switching to “carpet” mode). The store refused to exchange, citing that the exchange/return took 2 weeks, and I did not buy a paid exchange from m-video. I gave it to the service department through the store.</v>
      </c>
    </row>
    <row r="2689" spans="1:9" x14ac:dyDescent="0.3">
      <c r="A2689" s="1" t="s">
        <v>211</v>
      </c>
      <c r="B2689" s="1" t="s">
        <v>515</v>
      </c>
      <c r="C2689" s="1" t="s">
        <v>213</v>
      </c>
      <c r="D2689" s="1" t="s">
        <v>4281</v>
      </c>
      <c r="E2689" s="1" t="s">
        <v>5143</v>
      </c>
      <c r="F2689" s="1" t="s">
        <v>5144</v>
      </c>
      <c r="G2689" s="1" t="s">
        <v>36</v>
      </c>
      <c r="H2689" s="1" t="s">
        <v>29</v>
      </c>
      <c r="I2689" s="1" t="str">
        <f ca="1">IFERROR(__xludf.DUMMYFUNCTION("GOOGLETRANSLATE(F2689, ""auto"", ""en"")
"),"Convenient to use. Not an expensive price. Copes with all functions certified by the manufacturer")</f>
        <v>Convenient to use. Not an expensive price. Copes with all functions certified by the manufacturer</v>
      </c>
    </row>
    <row r="2690" spans="1:9" x14ac:dyDescent="0.3">
      <c r="A2690" s="1" t="s">
        <v>17</v>
      </c>
      <c r="B2690" s="1" t="s">
        <v>18</v>
      </c>
      <c r="C2690" s="1" t="s">
        <v>870</v>
      </c>
      <c r="D2690" s="1" t="s">
        <v>172</v>
      </c>
      <c r="E2690" s="1" t="s">
        <v>5145</v>
      </c>
      <c r="F2690" s="1" t="s">
        <v>5146</v>
      </c>
      <c r="G2690" s="1" t="s">
        <v>36</v>
      </c>
      <c r="H2690" s="1" t="s">
        <v>29</v>
      </c>
      <c r="I2690" s="1" t="str">
        <f ca="1">IFERROR(__xludf.DUMMYFUNCTION("GOOGLETRANSLATE(F2690, ""auto"", ""en"")
"),"Loaded a full set of bed linen. The machine washed for what felt like two hours, if not more, but at the end the laundry turned out to be boiling hot, in general I was very pleased. Now I confidently wash almost everything I wear: shirts, jeans, underwear"&amp;", bed linen. The flight is normal, the results are pleasing. The machine does not rattle or run, apparently the master installed it well. Regarding what they write about whistling/squealing: I rather experience slight squeals. Even when fully loaded and s"&amp;"pinning at 800 rpm, there are no squeals like an airplane taking off. The daily washing mode is generally pleasing. If, for example, you wear the same shirts and change them every day or more often, this mode simply helps out. Just keep in mind that, acco"&amp;"rding to my observations, the machine is very prone to long washes; almost all programs are really long. But the results are worth it.")</f>
        <v>Loaded a full set of bed linen. The machine washed for what felt like two hours, if not more, but at the end the laundry turned out to be boiling hot, in general I was very pleased. Now I confidently wash almost everything I wear: shirts, jeans, underwear, bed linen. The flight is normal, the results are pleasing. The machine does not rattle or run, apparently the master installed it well. Regarding what they write about whistling/squealing: I rather experience slight squeals. Even when fully loaded and spinning at 800 rpm, there are no squeals like an airplane taking off. The daily washing mode is generally pleasing. If, for example, you wear the same shirts and change them every day or more often, this mode simply helps out. Just keep in mind that, according to my observations, the machine is very prone to long washes; almost all programs are really long. But the results are worth it.</v>
      </c>
    </row>
    <row r="2691" spans="1:9" x14ac:dyDescent="0.3">
      <c r="A2691" s="1" t="s">
        <v>61</v>
      </c>
      <c r="B2691" s="1" t="s">
        <v>977</v>
      </c>
      <c r="C2691" s="1" t="s">
        <v>69</v>
      </c>
      <c r="D2691" s="1" t="s">
        <v>3596</v>
      </c>
      <c r="E2691" s="1" t="s">
        <v>5147</v>
      </c>
      <c r="F2691" s="1" t="s">
        <v>5148</v>
      </c>
      <c r="G2691" s="1" t="s">
        <v>36</v>
      </c>
      <c r="H2691" s="1" t="s">
        <v>29</v>
      </c>
      <c r="I2691" s="1" t="str">
        <f ca="1">IFERROR(__xludf.DUMMYFUNCTION("GOOGLETRANSLATE(F2691, ""auto"", ""en"")
"),"Very good model! I’ve been using it for a year now and I’m happy with everything) With the help of this wonderful assistant I chop any food, including fish. I make cocktails and baby food. No shortcomings were identified, which was very pleasing.")</f>
        <v>Very good model! I’ve been using it for a year now and I’m happy with everything) With the help of this wonderful assistant I chop any food, including fish. I make cocktails and baby food. No shortcomings were identified, which was very pleasing.</v>
      </c>
    </row>
    <row r="2692" spans="1:9" x14ac:dyDescent="0.3">
      <c r="A2692" s="1" t="s">
        <v>17</v>
      </c>
      <c r="B2692" s="1" t="s">
        <v>18</v>
      </c>
      <c r="C2692" s="1" t="s">
        <v>243</v>
      </c>
      <c r="D2692" s="1" t="s">
        <v>1840</v>
      </c>
      <c r="E2692" s="1" t="s">
        <v>1978</v>
      </c>
      <c r="F2692" s="1" t="s">
        <v>5149</v>
      </c>
      <c r="G2692" s="1" t="s">
        <v>49</v>
      </c>
      <c r="H2692" s="1" t="s">
        <v>16</v>
      </c>
      <c r="I2692" s="1" t="str">
        <f ca="1">IFERROR(__xludf.DUMMYFUNCTION("GOOGLETRANSLATE(F2692, ""auto"", ""en"")
"),"I bought a car on September 4th! Disappointed! From the first days it started washing noisily, and during the spin cycle it seemed to take off!")</f>
        <v>I bought a car on September 4th! Disappointed! From the first days it started washing noisily, and during the spin cycle it seemed to take off!</v>
      </c>
    </row>
    <row r="2693" spans="1:9" x14ac:dyDescent="0.3">
      <c r="A2693" s="1" t="s">
        <v>557</v>
      </c>
      <c r="B2693" s="1" t="s">
        <v>558</v>
      </c>
      <c r="C2693" s="1" t="s">
        <v>122</v>
      </c>
      <c r="D2693" s="1" t="s">
        <v>5150</v>
      </c>
      <c r="E2693" s="1" t="s">
        <v>3755</v>
      </c>
      <c r="F2693" s="1" t="s">
        <v>5151</v>
      </c>
      <c r="G2693" s="1" t="s">
        <v>36</v>
      </c>
      <c r="H2693" s="1" t="s">
        <v>29</v>
      </c>
      <c r="I2693" s="1" t="str">
        <f ca="1">IFERROR(__xludf.DUMMYFUNCTION("GOOGLETRANSLATE(F2693, ""auto"", ""en"")
"),"A very convenient and profitable offer, worth the money.")</f>
        <v>A very convenient and profitable offer, worth the money.</v>
      </c>
    </row>
    <row r="2694" spans="1:9" x14ac:dyDescent="0.3">
      <c r="A2694" s="1" t="s">
        <v>211</v>
      </c>
      <c r="B2694" s="1" t="s">
        <v>265</v>
      </c>
      <c r="C2694" s="1" t="s">
        <v>266</v>
      </c>
      <c r="D2694" s="1" t="s">
        <v>280</v>
      </c>
      <c r="E2694" s="1" t="s">
        <v>511</v>
      </c>
      <c r="F2694" s="1" t="s">
        <v>5152</v>
      </c>
      <c r="G2694" s="1" t="s">
        <v>28</v>
      </c>
      <c r="H2694" s="1" t="s">
        <v>29</v>
      </c>
      <c r="I2694" s="1" t="str">
        <f ca="1">IFERROR(__xludf.DUMMYFUNCTION("GOOGLETRANSLATE(F2694, ""auto"", ""en"")
"),"I didn’t pick my nose or ears. He trimmed his beard, mustache and stubble. If you get the hang of it, he shaves and trims it as you wish. But you need to go over your face with diligence several times or more. I expected that one touch would create a mira"&amp;"culously smooth beard surface. Probably, a lot also depends on the hair on your face... In general, the name of the device is very pleasing, you can tell your friend that you use Valera and it’s in your drawer :)")</f>
        <v>I didn’t pick my nose or ears. He trimmed his beard, mustache and stubble. If you get the hang of it, he shaves and trims it as you wish. But you need to go over your face with diligence several times or more. I expected that one touch would create a miraculously smooth beard surface. Probably, a lot also depends on the hair on your face... In general, the name of the device is very pleasing, you can tell your friend that you use Valera and it’s in your drawer :)</v>
      </c>
    </row>
    <row r="2695" spans="1:9" x14ac:dyDescent="0.3">
      <c r="A2695" s="1" t="s">
        <v>67</v>
      </c>
      <c r="B2695" s="1" t="s">
        <v>68</v>
      </c>
      <c r="C2695" s="1" t="s">
        <v>246</v>
      </c>
      <c r="D2695" s="1" t="s">
        <v>52</v>
      </c>
      <c r="E2695" s="1" t="s">
        <v>5153</v>
      </c>
      <c r="F2695" s="1" t="s">
        <v>5154</v>
      </c>
      <c r="G2695" s="1" t="s">
        <v>28</v>
      </c>
      <c r="H2695" s="1" t="s">
        <v>29</v>
      </c>
      <c r="I2695" s="1" t="str">
        <f ca="1">IFERROR(__xludf.DUMMYFUNCTION("GOOGLETRANSLATE(F2695, ""auto"", ""en"")
"),"In general, we were satisfied with the iron, we used it for 2.5 years, it even worked a little more than indicated in the operating instructions :) “The service life of the product is 2 years from the date of sale” We will buy a new one, but one that work"&amp;"s longer;). It's up to you to decide.")</f>
        <v>In general, we were satisfied with the iron, we used it for 2.5 years, it even worked a little more than indicated in the operating instructions :) “The service life of the product is 2 years from the date of sale” We will buy a new one, but one that works longer;). It's up to you to decide.</v>
      </c>
    </row>
    <row r="2696" spans="1:9" x14ac:dyDescent="0.3">
      <c r="A2696" s="1" t="s">
        <v>30</v>
      </c>
      <c r="B2696" s="1" t="s">
        <v>50</v>
      </c>
      <c r="C2696" s="1" t="s">
        <v>1003</v>
      </c>
      <c r="D2696" s="1" t="s">
        <v>2893</v>
      </c>
      <c r="E2696" s="1" t="s">
        <v>2348</v>
      </c>
      <c r="F2696" s="1" t="s">
        <v>5155</v>
      </c>
      <c r="G2696" s="1" t="s">
        <v>28</v>
      </c>
      <c r="H2696" s="1" t="s">
        <v>29</v>
      </c>
      <c r="I2696" s="1" t="str">
        <f ca="1">IFERROR(__xludf.DUMMYFUNCTION("GOOGLETRANSLATE(F2696, ""auto"", ""en"")
"),"first of all, hello! I bought this miracle laptop in January of this year, everything is fine, but here’s the problem, what colored squares and stripes appear and flash when playing games, but when watching videos they don’t happen, what kind of problem c"&amp;"ould it be, windows7 ultimate OS")</f>
        <v>first of all, hello! I bought this miracle laptop in January of this year, everything is fine, but here’s the problem, what colored squares and stripes appear and flash when playing games, but when watching videos they don’t happen, what kind of problem could it be, windows7 ultimate OS</v>
      </c>
    </row>
    <row r="2697" spans="1:9" x14ac:dyDescent="0.3">
      <c r="A2697" s="1" t="s">
        <v>61</v>
      </c>
      <c r="B2697" s="1" t="s">
        <v>318</v>
      </c>
      <c r="C2697" s="1" t="s">
        <v>122</v>
      </c>
      <c r="D2697" s="1" t="s">
        <v>1747</v>
      </c>
      <c r="E2697" s="1" t="s">
        <v>5156</v>
      </c>
      <c r="F2697" s="1" t="s">
        <v>5157</v>
      </c>
      <c r="G2697" s="1" t="s">
        <v>36</v>
      </c>
      <c r="H2697" s="1" t="s">
        <v>29</v>
      </c>
      <c r="I2697" s="1" t="str">
        <f ca="1">IFERROR(__xludf.DUMMYFUNCTION("GOOGLETRANSLATE(F2697, ""auto"", ""en"")
"),"I worked faithfully for 6 years! they dropped it twice, immersed it in the input when washing (without thinking to read that this should not be done), even some particles broke off on the front panel, but it still worked, until one terrible day the pump c"&amp;"losed, the pump stopped supplying water and that’s it. So I take it to the trash and rush for a new one!")</f>
        <v>I worked faithfully for 6 years! they dropped it twice, immersed it in the input when washing (without thinking to read that this should not be done), even some particles broke off on the front panel, but it still worked, until one terrible day the pump closed, the pump stopped supplying water and that’s it. So I take it to the trash and rush for a new one!</v>
      </c>
    </row>
    <row r="2698" spans="1:9" x14ac:dyDescent="0.3">
      <c r="A2698" s="1" t="s">
        <v>61</v>
      </c>
      <c r="B2698" s="1" t="s">
        <v>977</v>
      </c>
      <c r="C2698" s="1" t="s">
        <v>69</v>
      </c>
      <c r="D2698" s="1" t="s">
        <v>565</v>
      </c>
      <c r="E2698" s="1" t="s">
        <v>1571</v>
      </c>
      <c r="F2698" s="1" t="s">
        <v>5158</v>
      </c>
      <c r="G2698" s="1" t="s">
        <v>36</v>
      </c>
      <c r="H2698" s="1" t="s">
        <v>29</v>
      </c>
      <c r="I2698" s="1" t="str">
        <f ca="1">IFERROR(__xludf.DUMMYFUNCTION("GOOGLETRANSLATE(F2698, ""auto"", ""en"")
"),"I really like the blender. It really shreds as advertised in seconds!")</f>
        <v>I really like the blender. It really shreds as advertised in seconds!</v>
      </c>
    </row>
    <row r="2699" spans="1:9" x14ac:dyDescent="0.3">
      <c r="A2699" s="1" t="s">
        <v>61</v>
      </c>
      <c r="B2699" s="1" t="s">
        <v>145</v>
      </c>
      <c r="C2699" s="1" t="s">
        <v>246</v>
      </c>
      <c r="D2699" s="1" t="s">
        <v>213</v>
      </c>
      <c r="E2699" s="1" t="s">
        <v>1401</v>
      </c>
      <c r="F2699" s="1" t="s">
        <v>5159</v>
      </c>
      <c r="G2699" s="1" t="s">
        <v>36</v>
      </c>
      <c r="H2699" s="1" t="s">
        <v>29</v>
      </c>
      <c r="I2699" s="1" t="str">
        <f ca="1">IFERROR(__xludf.DUMMYFUNCTION("GOOGLETRANSLATE(F2699, ""auto"", ""en"")
"),"wonderful thing. very tasty and easy to prepare. I advise! the price is justified.")</f>
        <v>wonderful thing. very tasty and easy to prepare. I advise! the price is justified.</v>
      </c>
    </row>
    <row r="2700" spans="1:9" x14ac:dyDescent="0.3">
      <c r="A2700" s="1" t="s">
        <v>17</v>
      </c>
      <c r="B2700" s="1" t="s">
        <v>18</v>
      </c>
      <c r="C2700" s="1" t="s">
        <v>159</v>
      </c>
      <c r="D2700" s="1" t="s">
        <v>521</v>
      </c>
      <c r="E2700" s="1" t="s">
        <v>4702</v>
      </c>
      <c r="F2700" s="1" t="s">
        <v>5160</v>
      </c>
      <c r="G2700" s="1" t="s">
        <v>28</v>
      </c>
      <c r="H2700" s="1" t="s">
        <v>29</v>
      </c>
      <c r="I2700" s="1" t="str">
        <f ca="1">IFERROR(__xludf.DUMMYFUNCTION("GOOGLETRANSLATE(F2700, ""auto"", ""en"")
"),"The machine washes and spins perfectly, it is very convenient to have functions: selecting the degree of soiling of the laundry (washing time), spinning, additional function. rinsing, selecting the desired temperature. Of course there is noise, but with t"&amp;"he door closed in the bathroom it is insignificant.")</f>
        <v>The machine washes and spins perfectly, it is very convenient to have functions: selecting the degree of soiling of the laundry (washing time), spinning, additional function. rinsing, selecting the desired temperature. Of course there is noise, but with the door closed in the bathroom it is insignificant.</v>
      </c>
    </row>
    <row r="2701" spans="1:9" x14ac:dyDescent="0.3">
      <c r="A2701" s="1" t="s">
        <v>149</v>
      </c>
      <c r="B2701" s="1" t="s">
        <v>150</v>
      </c>
      <c r="C2701" s="1" t="s">
        <v>57</v>
      </c>
      <c r="D2701" s="1" t="s">
        <v>4730</v>
      </c>
      <c r="E2701" s="1" t="s">
        <v>5161</v>
      </c>
      <c r="F2701" s="1" t="s">
        <v>5162</v>
      </c>
      <c r="G2701" s="1" t="s">
        <v>36</v>
      </c>
      <c r="H2701" s="1" t="s">
        <v>29</v>
      </c>
      <c r="I2701" s="1" t="str">
        <f ca="1">IFERROR(__xludf.DUMMYFUNCTION("GOOGLETRANSLATE(F2701, ""auto"", ""en"")
"),"Vitek has a fairly old model of a car vacuum cleaner, and since it’s been in production, I’ve bought it for the second time))) yes, yes, it’s such a conservative one. There were no complaints about the previous vacuum cleaner; it served faithfully (with a"&amp;"lmost daily use) for more than 5 years. Then the engine power began to noticeably decrease, and then the plastic began to slowly crumble. But it’s time) Although the motor was still working. In general, I decided that good is not expected from good, espec"&amp;"ially since I got used to its rubberized handle and shape and bought the same model. Of the new ones, none of them appealed to me as much as my good old Vitek. In general, stability is a sign of mastery))")</f>
        <v>Vitek has a fairly old model of a car vacuum cleaner, and since it’s been in production, I’ve bought it for the second time))) yes, yes, it’s such a conservative one. There were no complaints about the previous vacuum cleaner; it served faithfully (with almost daily use) for more than 5 years. Then the engine power began to noticeably decrease, and then the plastic began to slowly crumble. But it’s time) Although the motor was still working. In general, I decided that good is not expected from good, especially since I got used to its rubberized handle and shape and bought the same model. Of the new ones, none of them appealed to me as much as my good old Vitek. In general, stability is a sign of mastery))</v>
      </c>
    </row>
    <row r="2702" spans="1:9" x14ac:dyDescent="0.3">
      <c r="A2702" s="1" t="s">
        <v>238</v>
      </c>
      <c r="B2702" s="1" t="s">
        <v>276</v>
      </c>
      <c r="C2702" s="1" t="s">
        <v>243</v>
      </c>
      <c r="D2702" s="1" t="s">
        <v>52</v>
      </c>
      <c r="E2702" s="1" t="s">
        <v>1005</v>
      </c>
      <c r="F2702" s="1" t="s">
        <v>5163</v>
      </c>
      <c r="G2702" s="1" t="s">
        <v>36</v>
      </c>
      <c r="H2702" s="1" t="s">
        <v>29</v>
      </c>
      <c r="I2702" s="1" t="str">
        <f ca="1">IFERROR(__xludf.DUMMYFUNCTION("GOOGLETRANSLATE(F2702, ""auto"", ""en"")
"),"1 year in operation, works in position 3, so far everything is fine. Brought in a vertical position. Connected to the outlet via a surge protector. Works quietly. Good refrigerator.")</f>
        <v>1 year in operation, works in position 3, so far everything is fine. Brought in a vertical position. Connected to the outlet via a surge protector. Works quietly. Good refrigerator.</v>
      </c>
    </row>
    <row r="2703" spans="1:9" x14ac:dyDescent="0.3">
      <c r="A2703" s="1" t="s">
        <v>9</v>
      </c>
      <c r="B2703" s="1" t="s">
        <v>137</v>
      </c>
      <c r="C2703" s="1" t="s">
        <v>63</v>
      </c>
      <c r="D2703" s="1" t="s">
        <v>3253</v>
      </c>
      <c r="E2703" s="1" t="s">
        <v>4780</v>
      </c>
      <c r="F2703" s="1" t="s">
        <v>5164</v>
      </c>
      <c r="G2703" s="1" t="s">
        <v>36</v>
      </c>
      <c r="H2703" s="1" t="s">
        <v>29</v>
      </c>
      <c r="I2703" s="1" t="str">
        <f ca="1">IFERROR(__xludf.DUMMYFUNCTION("GOOGLETRANSLATE(F2703, ""auto"", ""en"")
"),"It’s a beautiful panel, even very))) We bought it for the kitchen after renovation, it seems to me that it fits perfectly with the overall style. And using a panel rather than a full-fledged stove greatly saves space in the kitchen. I like the fact that i"&amp;"t does not smoke and there is no gas smell when cooking. I’ve read a lot of scary stories in my time and I’m very afraid of leaks, so I’m constantly sniffing. The switches are located conveniently - in the front, there is no need to reach anywhere. The pa"&amp;"nel is very easy to clean, but it is better not to use abrasives)))")</f>
        <v>It’s a beautiful panel, even very))) We bought it for the kitchen after renovation, it seems to me that it fits perfectly with the overall style. And using a panel rather than a full-fledged stove greatly saves space in the kitchen. I like the fact that it does not smoke and there is no gas smell when cooking. I’ve read a lot of scary stories in my time and I’m very afraid of leaks, so I’m constantly sniffing. The switches are located conveniently - in the front, there is no need to reach anywhere. The panel is very easy to clean, but it is better not to use abrasives)))</v>
      </c>
    </row>
    <row r="2704" spans="1:9" x14ac:dyDescent="0.3">
      <c r="A2704" s="1" t="s">
        <v>61</v>
      </c>
      <c r="B2704" s="1" t="s">
        <v>224</v>
      </c>
      <c r="C2704" s="1" t="s">
        <v>85</v>
      </c>
      <c r="D2704" s="1" t="s">
        <v>152</v>
      </c>
      <c r="E2704" s="1" t="s">
        <v>3542</v>
      </c>
      <c r="F2704" s="1" t="s">
        <v>5165</v>
      </c>
      <c r="G2704" s="1" t="s">
        <v>28</v>
      </c>
      <c r="H2704" s="1" t="s">
        <v>29</v>
      </c>
      <c r="I2704" s="1" t="str">
        <f ca="1">IFERROR(__xludf.DUMMYFUNCTION("GOOGLETRANSLATE(F2704, ""auto"", ""en"")
"),"Not bad and reliable, washes well and quickly - no “pockets”. I tried it on apples, carrots, beets, lemons. The juice is clean and without pulp, I recommend putting the bag on the pulp collector, since high speeds cause a (small) release of pulp through t"&amp;"he junction with the lid. I drank the foam in a glass and poured it on the table, you need to use it more often to empty, there is a lot of foam and it settles for a long time - I decided to rinse the glass more often and the yield of juice from apples is"&amp;" 0.4 by weight. After 3 liters of juice I cleaned the lid, the sieve does not clog. It works quietly and does not feel the apples being pushed in. Expensive, but I have not seen any analogues in terms of power and steel. “I have no Chinese” complaints, bu"&amp;"t I advise you to acquire skills in the country without dirtying the European table and wallpaper. Now I confidently use at home, I don’t let my wife in yet. I haven’t tried it on berries, I’ll run my garden grapes in a week and share my experience. I adv"&amp;"ise you to buy it if you have the money - the cost is considerable and overpriced.")</f>
        <v>Not bad and reliable, washes well and quickly - no “pockets”. I tried it on apples, carrots, beets, lemons. The juice is clean and without pulp, I recommend putting the bag on the pulp collector, since high speeds cause a (small) release of pulp through the junction with the lid. I drank the foam in a glass and poured it on the table, you need to use it more often to empty, there is a lot of foam and it settles for a long time - I decided to rinse the glass more often and the yield of juice from apples is 0.4 by weight. After 3 liters of juice I cleaned the lid, the sieve does not clog. It works quietly and does not feel the apples being pushed in. Expensive, but I have not seen any analogues in terms of power and steel. “I have no Chinese” complaints, but I advise you to acquire skills in the country without dirtying the European table and wallpaper. Now I confidently use at home, I don’t let my wife in yet. I haven’t tried it on berries, I’ll run my garden grapes in a week and share my experience. I advise you to buy it if you have the money - the cost is considerable and overpriced.</v>
      </c>
    </row>
    <row r="2705" spans="1:9" x14ac:dyDescent="0.3">
      <c r="A2705" s="1" t="s">
        <v>211</v>
      </c>
      <c r="B2705" s="1" t="s">
        <v>212</v>
      </c>
      <c r="C2705" s="1" t="s">
        <v>294</v>
      </c>
      <c r="D2705" s="1" t="s">
        <v>467</v>
      </c>
      <c r="E2705" s="1" t="s">
        <v>143</v>
      </c>
      <c r="F2705" s="1" t="s">
        <v>5166</v>
      </c>
      <c r="G2705" s="1" t="s">
        <v>15</v>
      </c>
      <c r="H2705" s="1" t="s">
        <v>16</v>
      </c>
      <c r="I2705" s="1" t="str">
        <f ca="1">IFERROR(__xludf.DUMMYFUNCTION("GOOGLETRANSLATE(F2705, ""auto"", ""en"")
"),"it burns my hair terribly as the girls above said, my hair really smokes, my curly hair straightens really well, I just straightened it 2 years ago and I still can’t cure the whole length of my hair! Although I use expensive hair products. The quality is "&amp;"normal, it’s been working for me for 3 years already. Only the protective coating on the plates has worn off to the bare metal, I’m planning another one, now I’m faced with a choice!) I wish you all good shopping girls, take care of your hair)))")</f>
        <v>it burns my hair terribly as the girls above said, my hair really smokes, my curly hair straightens really well, I just straightened it 2 years ago and I still can’t cure the whole length of my hair! Although I use expensive hair products. The quality is normal, it’s been working for me for 3 years already. Only the protective coating on the plates has worn off to the bare metal, I’m planning another one, now I’m faced with a choice!) I wish you all good shopping girls, take care of your hair)))</v>
      </c>
    </row>
    <row r="2706" spans="1:9" x14ac:dyDescent="0.3">
      <c r="A2706" s="1" t="s">
        <v>120</v>
      </c>
      <c r="B2706" s="1" t="s">
        <v>126</v>
      </c>
      <c r="C2706" s="1" t="s">
        <v>122</v>
      </c>
      <c r="D2706" s="1" t="s">
        <v>247</v>
      </c>
      <c r="E2706" s="1" t="s">
        <v>430</v>
      </c>
      <c r="F2706" s="1" t="s">
        <v>5167</v>
      </c>
      <c r="G2706" s="1" t="s">
        <v>36</v>
      </c>
      <c r="H2706" s="1" t="s">
        <v>29</v>
      </c>
      <c r="I2706" s="1" t="str">
        <f ca="1">IFERROR(__xludf.DUMMYFUNCTION("GOOGLETRANSLATE(F2706, ""auto"", ""en"")
"),"Even though the model is not new, there was not much choice in the store and this one seemed to be the most optimal in terms of picture quality. Before that there was an LCD, or rather it still exists now, it just migrated to another room, so if you compa"&amp;"re the saturation and brightness of the picture, the plasma has left the LCD behind, and besides, the viewing angle is large. But I don’t recommend using it as a monitor, since with a static picture it can leave a mark, because in principle, plasma is mai"&amp;"nly intended for viewing HD content. In general, I like everything, minor flaws don’t count.")</f>
        <v>Even though the model is not new, there was not much choice in the store and this one seemed to be the most optimal in terms of picture quality. Before that there was an LCD, or rather it still exists now, it just migrated to another room, so if you compare the saturation and brightness of the picture, the plasma has left the LCD behind, and besides, the viewing angle is large. But I don’t recommend using it as a monitor, since with a static picture it can leave a mark, because in principle, plasma is mainly intended for viewing HD content. In general, I like everything, minor flaws don’t count.</v>
      </c>
    </row>
    <row r="2707" spans="1:9" x14ac:dyDescent="0.3">
      <c r="A2707" s="1" t="s">
        <v>149</v>
      </c>
      <c r="B2707" s="1" t="s">
        <v>155</v>
      </c>
      <c r="C2707" s="1" t="s">
        <v>151</v>
      </c>
      <c r="D2707" s="1" t="s">
        <v>2078</v>
      </c>
      <c r="E2707" s="1" t="s">
        <v>1139</v>
      </c>
      <c r="F2707" s="1" t="s">
        <v>5168</v>
      </c>
      <c r="G2707" s="1" t="s">
        <v>36</v>
      </c>
      <c r="H2707" s="1" t="s">
        <v>29</v>
      </c>
      <c r="I2707" s="1" t="str">
        <f ca="1">IFERROR(__xludf.DUMMYFUNCTION("GOOGLETRANSLATE(F2707, ""auto"", ""en"")
"),"I recently purchased this vacuum cleaner and am pleased with everything. Excellent suction power, I have never been to the maximum (it immediately starts sucking up the carpet), the controls on the handle are also very convenient, and you don’t have to wo"&amp;"rry about throwing out garbage either (unlike baggy vacuum cleaners).  But I have a couple of questions: How to properly clean the filter (I’m talking about the one with a sponge) with a sponge, it’s clear to rinse everything thoroughly under water so tha"&amp;"t there is no dust left, but how to properly clean the white mesh part?? After the second cleaning, it became very dirty...at first I just rinsed it under water, but it didn’t give much results, then I rubbed the old tooth. Using a brush with soap seems t"&amp;"o give a better result, but will such cleaning harm it?  And another question: how long does it take to wash or change this HEPA filter? Is it even washable?")</f>
        <v>I recently purchased this vacuum cleaner and am pleased with everything. Excellent suction power, I have never been to the maximum (it immediately starts sucking up the carpet), the controls on the handle are also very convenient, and you don’t have to worry about throwing out garbage either (unlike baggy vacuum cleaners).  But I have a couple of questions: How to properly clean the filter (I’m talking about the one with a sponge) with a sponge, it’s clear to rinse everything thoroughly under water so that there is no dust left, but how to properly clean the white mesh part?? After the second cleaning, it became very dirty...at first I just rinsed it under water, but it didn’t give much results, then I rubbed the old tooth. Using a brush with soap seems to give a better result, but will such cleaning harm it?  And another question: how long does it take to wash or change this HEPA filter? Is it even washable?</v>
      </c>
    </row>
    <row r="2708" spans="1:9" x14ac:dyDescent="0.3">
      <c r="A2708" s="1" t="s">
        <v>120</v>
      </c>
      <c r="B2708" s="1" t="s">
        <v>256</v>
      </c>
      <c r="C2708" s="1" t="s">
        <v>97</v>
      </c>
      <c r="D2708" s="1" t="s">
        <v>1289</v>
      </c>
      <c r="E2708" s="1" t="s">
        <v>1207</v>
      </c>
      <c r="F2708" s="1" t="s">
        <v>5169</v>
      </c>
      <c r="G2708" s="1" t="s">
        <v>36</v>
      </c>
      <c r="H2708" s="1" t="s">
        <v>29</v>
      </c>
      <c r="I2708" s="1" t="str">
        <f ca="1">IFERROR(__xludf.DUMMYFUNCTION("GOOGLETRANSLATE(F2708, ""auto"", ""en"")
"),"The TV is large and comfortable! I recommend it to everyone!")</f>
        <v>The TV is large and comfortable! I recommend it to everyone!</v>
      </c>
    </row>
    <row r="2709" spans="1:9" x14ac:dyDescent="0.3">
      <c r="A2709" s="1" t="s">
        <v>477</v>
      </c>
      <c r="B2709" s="1" t="s">
        <v>478</v>
      </c>
      <c r="C2709" s="1" t="s">
        <v>479</v>
      </c>
      <c r="D2709" s="1" t="s">
        <v>1605</v>
      </c>
      <c r="E2709" s="1" t="s">
        <v>1565</v>
      </c>
      <c r="F2709" s="1" t="s">
        <v>5170</v>
      </c>
      <c r="G2709" s="1" t="s">
        <v>36</v>
      </c>
      <c r="H2709" s="1" t="s">
        <v>29</v>
      </c>
      <c r="I2709" s="1" t="str">
        <f ca="1">IFERROR(__xludf.DUMMYFUNCTION("GOOGLETRANSLATE(F2709, ""auto"", ""en"")
"),"Previously, starting from FIFA 06 on the computer, PES really ruled, but this year, with the transition of FIFA11 to the next-gen, PES sucks hard... So the game definitely needs to be bought a license in order to fully enjoy all the modes, and most import"&amp;"antly the multiplayer.")</f>
        <v>Previously, starting from FIFA 06 on the computer, PES really ruled, but this year, with the transition of FIFA11 to the next-gen, PES sucks hard... So the game definitely needs to be bought a license in order to fully enjoy all the modes, and most importantly the multiplayer.</v>
      </c>
    </row>
    <row r="2710" spans="1:9" x14ac:dyDescent="0.3">
      <c r="A2710" s="1" t="s">
        <v>9</v>
      </c>
      <c r="B2710" s="1" t="s">
        <v>133</v>
      </c>
      <c r="C2710" s="1" t="s">
        <v>24</v>
      </c>
      <c r="D2710" s="1" t="s">
        <v>52</v>
      </c>
      <c r="E2710" s="1" t="s">
        <v>1129</v>
      </c>
      <c r="F2710" s="1" t="s">
        <v>5171</v>
      </c>
      <c r="G2710" s="1" t="s">
        <v>36</v>
      </c>
      <c r="H2710" s="1" t="s">
        <v>29</v>
      </c>
      <c r="I2710" s="1" t="str">
        <f ca="1">IFERROR(__xludf.DUMMYFUNCTION("GOOGLETRANSLATE(F2710, ""auto"", ""en"")
"),"Excellent oven. The wife is very pleased. I specifically chose one with simple mechanical control. And I was right.")</f>
        <v>Excellent oven. The wife is very pleased. I specifically chose one with simple mechanical control. And I was right.</v>
      </c>
    </row>
    <row r="2711" spans="1:9" x14ac:dyDescent="0.3">
      <c r="A2711" s="1" t="s">
        <v>206</v>
      </c>
      <c r="B2711" s="1" t="s">
        <v>261</v>
      </c>
      <c r="C2711" s="1" t="s">
        <v>262</v>
      </c>
      <c r="D2711" s="1" t="s">
        <v>5172</v>
      </c>
      <c r="E2711" s="1" t="s">
        <v>5173</v>
      </c>
      <c r="F2711" s="1" t="s">
        <v>5174</v>
      </c>
      <c r="G2711" s="1" t="s">
        <v>36</v>
      </c>
      <c r="H2711" s="1" t="s">
        <v>29</v>
      </c>
      <c r="I2711" s="1" t="str">
        <f ca="1">IFERROR(__xludf.DUMMYFUNCTION("GOOGLETRANSLATE(F2711, ""auto"", ""en"")
"),"I like. The radio picks up without interference. I'm very pleased. I recommend it.")</f>
        <v>I like. The radio picks up without interference. I'm very pleased. I recommend it.</v>
      </c>
    </row>
    <row r="2712" spans="1:9" x14ac:dyDescent="0.3">
      <c r="A2712" s="1" t="s">
        <v>61</v>
      </c>
      <c r="B2712" s="1" t="s">
        <v>145</v>
      </c>
      <c r="C2712" s="1" t="s">
        <v>246</v>
      </c>
      <c r="D2712" s="1" t="s">
        <v>64</v>
      </c>
      <c r="E2712" s="1" t="s">
        <v>708</v>
      </c>
      <c r="F2712" s="1" t="s">
        <v>5175</v>
      </c>
      <c r="G2712" s="1" t="s">
        <v>36</v>
      </c>
      <c r="H2712" s="1" t="s">
        <v>29</v>
      </c>
      <c r="I2712" s="1" t="str">
        <f ca="1">IFERROR(__xludf.DUMMYFUNCTION("GOOGLETRANSLATE(F2712, ""auto"", ""en"")
"),"The pancake maker is simply superb, pancakes, hash browns and pancakes are prepared very quickly, they turn out very thin and tasty. I don’t see any problems with washing, I just wipe it right after cooking and that’s it. I don’t wash it in the dishwasher"&amp;", I take care of the coating. No oil, nothing burns, in general, I should have bought such a gadget for the kitchen a long time ago!!")</f>
        <v>The pancake maker is simply superb, pancakes, hash browns and pancakes are prepared very quickly, they turn out very thin and tasty. I don’t see any problems with washing, I just wipe it right after cooking and that’s it. I don’t wash it in the dishwasher, I take care of the coating. No oil, nothing burns, in general, I should have bought such a gadget for the kitchen a long time ago!!</v>
      </c>
    </row>
    <row r="2713" spans="1:9" x14ac:dyDescent="0.3">
      <c r="A2713" s="1" t="s">
        <v>17</v>
      </c>
      <c r="B2713" s="1" t="s">
        <v>18</v>
      </c>
      <c r="C2713" s="1" t="s">
        <v>277</v>
      </c>
      <c r="D2713" s="1" t="s">
        <v>2595</v>
      </c>
      <c r="E2713" s="1" t="s">
        <v>1649</v>
      </c>
      <c r="F2713" s="1" t="s">
        <v>5176</v>
      </c>
      <c r="G2713" s="1" t="s">
        <v>36</v>
      </c>
      <c r="H2713" s="1" t="s">
        <v>29</v>
      </c>
      <c r="I2713" s="1" t="str">
        <f ca="1">IFERROR(__xludf.DUMMYFUNCTION("GOOGLETRANSLATE(F2713, ""auto"", ""en"")
"),"First of all, I was attracted by the price, appearance, nothing superfluous, a sufficient set of functions, everything is clear. I washed it several times, so far no complaints, whichever program you choose, it does the same, it doesn’t jump on the floor,"&amp;" it doesn’t make noise. We’ll see what happens next. The not very positive reviews about this company are alarming.")</f>
        <v>First of all, I was attracted by the price, appearance, nothing superfluous, a sufficient set of functions, everything is clear. I washed it several times, so far no complaints, whichever program you choose, it does the same, it doesn’t jump on the floor, it doesn’t make noise. We’ll see what happens next. The not very positive reviews about this company are alarming.</v>
      </c>
    </row>
    <row r="2714" spans="1:9" x14ac:dyDescent="0.3">
      <c r="A2714" s="1" t="s">
        <v>211</v>
      </c>
      <c r="B2714" s="1" t="s">
        <v>265</v>
      </c>
      <c r="C2714" s="1" t="s">
        <v>266</v>
      </c>
      <c r="D2714" s="1" t="s">
        <v>203</v>
      </c>
      <c r="E2714" s="1" t="s">
        <v>829</v>
      </c>
      <c r="F2714" s="1" t="s">
        <v>5177</v>
      </c>
      <c r="G2714" s="1" t="s">
        <v>36</v>
      </c>
      <c r="H2714" s="1" t="s">
        <v>29</v>
      </c>
      <c r="I2714" s="1" t="str">
        <f ca="1">IFERROR(__xludf.DUMMYFUNCTION("GOOGLETRANSLATE(F2714, ""auto"", ""en"")
"),"After at least 7 years of use, it works. Performs all functions perfectly. And this is not a hair trimmer. This is a trimmer for trimming.")</f>
        <v>After at least 7 years of use, it works. Performs all functions perfectly. And this is not a hair trimmer. This is a trimmer for trimming.</v>
      </c>
    </row>
    <row r="2715" spans="1:9" x14ac:dyDescent="0.3">
      <c r="A2715" s="1" t="s">
        <v>67</v>
      </c>
      <c r="B2715" s="1" t="s">
        <v>68</v>
      </c>
      <c r="C2715" s="1" t="s">
        <v>69</v>
      </c>
      <c r="D2715" s="1" t="s">
        <v>64</v>
      </c>
      <c r="E2715" s="1" t="s">
        <v>2502</v>
      </c>
      <c r="F2715" s="1" t="s">
        <v>5178</v>
      </c>
      <c r="G2715" s="1" t="s">
        <v>36</v>
      </c>
      <c r="H2715" s="1" t="s">
        <v>29</v>
      </c>
      <c r="I2715" s="1" t="str">
        <f ca="1">IFERROR(__xludf.DUMMYFUNCTION("GOOGLETRANSLATE(F2715, ""auto"", ""en"")
"),"I have been using the iron for 6 years. No shortcomings or complaints. All my relatives received such irons as a gift from me and everyone is happy. The sole is super duper! Anything that sticks comes off easily and doesn’t scratch your clothes.   And alm"&amp;"ost all “cold” irons leak, even the most expensive ones, believe me.")</f>
        <v>I have been using the iron for 6 years. No shortcomings or complaints. All my relatives received such irons as a gift from me and everyone is happy. The sole is super duper! Anything that sticks comes off easily and doesn’t scratch your clothes.   And almost all “cold” irons leak, even the most expensive ones, believe me.</v>
      </c>
    </row>
    <row r="2716" spans="1:9" x14ac:dyDescent="0.3">
      <c r="A2716" s="1" t="s">
        <v>149</v>
      </c>
      <c r="B2716" s="1" t="s">
        <v>155</v>
      </c>
      <c r="C2716" s="1" t="s">
        <v>80</v>
      </c>
      <c r="D2716" s="1" t="s">
        <v>280</v>
      </c>
      <c r="E2716" s="1" t="s">
        <v>1852</v>
      </c>
      <c r="F2716" s="1" t="s">
        <v>5179</v>
      </c>
      <c r="G2716" s="1" t="s">
        <v>15</v>
      </c>
      <c r="H2716" s="1" t="s">
        <v>16</v>
      </c>
      <c r="I2716" s="1" t="str">
        <f ca="1">IFERROR(__xludf.DUMMYFUNCTION("GOOGLETRANSLATE(F2716, ""auto"", ""en"")
"),"I bought it on sale half a year ago. During the first cleaning, everything seems to be OK, it sucks well. After 3-4 cleanings of a one-room apartment, the container becomes clogged. And then it begins... Do you think you can turn the container over with a"&amp;" slight movement and the garbage will fall out as in the advertisement? Ha, that was not the case! Handles will have to get dirty. But that's not all! If you do not wash ALL filters after each container cleaning, the power drops by half. The filters take "&amp;"about a day to dry. And when washing, we get our hands dirty again. So in just 24 hours you can vacuum up what's left!  The brush broke after 3 months. The attachments cannot be installed on the end of the telescopic tube, only instead.")</f>
        <v>I bought it on sale half a year ago. During the first cleaning, everything seems to be OK, it sucks well. After 3-4 cleanings of a one-room apartment, the container becomes clogged. And then it begins... Do you think you can turn the container over with a slight movement and the garbage will fall out as in the advertisement? Ha, that was not the case! Handles will have to get dirty. But that's not all! If you do not wash ALL filters after each container cleaning, the power drops by half. The filters take about a day to dry. And when washing, we get our hands dirty again. So in just 24 hours you can vacuum up what's left!  The brush broke after 3 months. The attachments cannot be installed on the end of the telescopic tube, only instead.</v>
      </c>
    </row>
    <row r="2717" spans="1:9" x14ac:dyDescent="0.3">
      <c r="A2717" s="1" t="s">
        <v>1443</v>
      </c>
      <c r="B2717" s="1" t="s">
        <v>1444</v>
      </c>
      <c r="C2717" s="1" t="s">
        <v>1445</v>
      </c>
      <c r="D2717" s="1" t="s">
        <v>127</v>
      </c>
      <c r="E2717" s="1" t="s">
        <v>4780</v>
      </c>
      <c r="F2717" s="1" t="s">
        <v>5180</v>
      </c>
      <c r="G2717" s="1" t="s">
        <v>15</v>
      </c>
      <c r="H2717" s="1" t="s">
        <v>16</v>
      </c>
      <c r="I2717" s="1" t="str">
        <f ca="1">IFERROR(__xludf.DUMMYFUNCTION("GOOGLETRANSLATE(F2717, ""auto"", ""en"")
"),"Recording speed 7-8 MB/s.")</f>
        <v>Recording speed 7-8 MB/s.</v>
      </c>
    </row>
    <row r="2718" spans="1:9" x14ac:dyDescent="0.3">
      <c r="A2718" s="1" t="s">
        <v>206</v>
      </c>
      <c r="B2718" s="1" t="s">
        <v>261</v>
      </c>
      <c r="C2718" s="1" t="s">
        <v>262</v>
      </c>
      <c r="D2718" s="1" t="s">
        <v>39</v>
      </c>
      <c r="E2718" s="1" t="s">
        <v>3444</v>
      </c>
      <c r="F2718" s="1" t="s">
        <v>5181</v>
      </c>
      <c r="G2718" s="1" t="s">
        <v>36</v>
      </c>
      <c r="H2718" s="1" t="s">
        <v>29</v>
      </c>
      <c r="I2718" s="1" t="str">
        <f ca="1">IFERROR(__xludf.DUMMYFUNCTION("GOOGLETRANSLATE(F2718, ""auto"", ""en"")
"),"The antenna is good. Compared to the retractable antenna on the rear fender, it catches a little better. Completely justifies its price.")</f>
        <v>The antenna is good. Compared to the retractable antenna on the rear fender, it catches a little better. Completely justifies its price.</v>
      </c>
    </row>
    <row r="2719" spans="1:9" x14ac:dyDescent="0.3">
      <c r="A2719" s="1" t="s">
        <v>120</v>
      </c>
      <c r="B2719" s="1" t="s">
        <v>121</v>
      </c>
      <c r="C2719" s="1" t="s">
        <v>658</v>
      </c>
      <c r="D2719" s="1" t="s">
        <v>589</v>
      </c>
      <c r="E2719" s="1" t="s">
        <v>3872</v>
      </c>
      <c r="F2719" s="1" t="s">
        <v>5182</v>
      </c>
      <c r="G2719" s="1" t="s">
        <v>28</v>
      </c>
      <c r="H2719" s="1" t="s">
        <v>29</v>
      </c>
      <c r="I2719" s="1" t="str">
        <f ca="1">IFERROR(__xludf.DUMMYFUNCTION("GOOGLETRANSLATE(F2719, ""auto"", ""en"")
"),"For a long time I couldn’t find a picture for the TV channels. I chose the SuperLive 1 mode. It became much nicer, there are no wide faces.))) Sergey (Rostov) please tell us how you changed the mode?   I tried to repeat everything as it was written in the"&amp;" instructions - nothing worked, the button on the remote control did not work, I couldn’t find another mode change.... I was very upset")</f>
        <v>For a long time I couldn’t find a picture for the TV channels. I chose the SuperLive 1 mode. It became much nicer, there are no wide faces.))) Sergey (Rostov) please tell us how you changed the mode?   I tried to repeat everything as it was written in the instructions - nothing worked, the button on the remote control did not work, I couldn’t find another mode change.... I was very upset</v>
      </c>
    </row>
    <row r="2720" spans="1:9" x14ac:dyDescent="0.3">
      <c r="A2720" s="1" t="s">
        <v>67</v>
      </c>
      <c r="B2720" s="1" t="s">
        <v>68</v>
      </c>
      <c r="C2720" s="1" t="s">
        <v>185</v>
      </c>
      <c r="D2720" s="1" t="s">
        <v>308</v>
      </c>
      <c r="E2720" s="1" t="s">
        <v>5183</v>
      </c>
      <c r="F2720" s="1" t="s">
        <v>5184</v>
      </c>
      <c r="G2720" s="1" t="s">
        <v>36</v>
      </c>
      <c r="H2720" s="1" t="s">
        <v>29</v>
      </c>
      <c r="I2720" s="1" t="str">
        <f ca="1">IFERROR(__xludf.DUMMYFUNCTION("GOOGLETRANSLATE(F2720, ""auto"", ""en"")
"),"Gave it to this mom for her birthday. Mom, although old, mastered it quickly. He strokes and rejoices! He says that he won’t pick up a regular iron anymore! Now I’ll tell you in more detail why we chose this particular steam generator. Firstly, this is th"&amp;"e price. For that kind of money you can buy a regular iron. It is easy to use, there are no unnecessary, incomprehensible buttons that you often don’t even use. Just turn on the iron, turn on the boiler and adjust the steam strength. Due to this, water is"&amp;" used economically. I don’t consider the fact that there is no continuous topping up of water to be a minus. Because one hollow boiler is enough for an hour and a half of ironing. Well, the Delonghi company itself, we already use their equipment at home, "&amp;"we are very satisfied!")</f>
        <v>Gave it to this mom for her birthday. Mom, although old, mastered it quickly. He strokes and rejoices! He says that he won’t pick up a regular iron anymore! Now I’ll tell you in more detail why we chose this particular steam generator. Firstly, this is the price. For that kind of money you can buy a regular iron. It is easy to use, there are no unnecessary, incomprehensible buttons that you often don’t even use. Just turn on the iron, turn on the boiler and adjust the steam strength. Due to this, water is used economically. I don’t consider the fact that there is no continuous topping up of water to be a minus. Because one hollow boiler is enough for an hour and a half of ironing. Well, the Delonghi company itself, we already use their equipment at home, we are very satisfied!</v>
      </c>
    </row>
    <row r="2721" spans="1:9" x14ac:dyDescent="0.3">
      <c r="A2721" s="1" t="s">
        <v>61</v>
      </c>
      <c r="B2721" s="1" t="s">
        <v>318</v>
      </c>
      <c r="C2721" s="1" t="s">
        <v>57</v>
      </c>
      <c r="D2721" s="1" t="s">
        <v>471</v>
      </c>
      <c r="E2721" s="1" t="s">
        <v>5185</v>
      </c>
      <c r="F2721" s="1" t="s">
        <v>5186</v>
      </c>
      <c r="G2721" s="1" t="s">
        <v>28</v>
      </c>
      <c r="H2721" s="1" t="s">
        <v>29</v>
      </c>
      <c r="I2721" s="1" t="str">
        <f ca="1">IFERROR(__xludf.DUMMYFUNCTION("GOOGLETRANSLATE(F2721, ""auto"", ""en"")
"),"Pros: 1. I bought the same kettle and I won’t say when - it works like a clock, 2. The lid is in place and holds securely. 3. The filter fell off quickly, but in fact I didn’t notice any use in it: it was not fixed and did not adhere to the flask, it only"&amp;" knocked on the glass when the kettle was tilted (irritating), and would have caught something if it had been a cobblestone or large debris, in general, it fell off and was good.  Cons: over time, the foil on the lid peeled off and got into the flask a co"&amp;"uple of times (when the chrome starts to fall off, you need to keep an eye on what you drink).  Conclusion: the kettle has lost its appearance over time, but continues to perform its function - a total of 4 points.")</f>
        <v>Pros: 1. I bought the same kettle and I won’t say when - it works like a clock, 2. The lid is in place and holds securely. 3. The filter fell off quickly, but in fact I didn’t notice any use in it: it was not fixed and did not adhere to the flask, it only knocked on the glass when the kettle was tilted (irritating), and would have caught something if it had been a cobblestone or large debris, in general, it fell off and was good.  Cons: over time, the foil on the lid peeled off and got into the flask a couple of times (when the chrome starts to fall off, you need to keep an eye on what you drink).  Conclusion: the kettle has lost its appearance over time, but continues to perform its function - a total of 4 points.</v>
      </c>
    </row>
    <row r="2722" spans="1:9" x14ac:dyDescent="0.3">
      <c r="A2722" s="1" t="s">
        <v>211</v>
      </c>
      <c r="B2722" s="1" t="s">
        <v>410</v>
      </c>
      <c r="C2722" s="1" t="s">
        <v>69</v>
      </c>
      <c r="D2722" s="1" t="s">
        <v>52</v>
      </c>
      <c r="E2722" s="1" t="s">
        <v>5187</v>
      </c>
      <c r="F2722" s="1" t="s">
        <v>5188</v>
      </c>
      <c r="G2722" s="1" t="s">
        <v>36</v>
      </c>
      <c r="H2722" s="1" t="s">
        <v>29</v>
      </c>
      <c r="I2722" s="1" t="str">
        <f ca="1">IFERROR(__xludf.DUMMYFUNCTION("GOOGLETRANSLATE(F2722, ""auto"", ""en"")
"),"I bought it about 5 months ago, I only charged it three times, I shave every other day, the stubble is quite hard. I like the razor. I have never shaved against the grain with a machine, so the razor shaves no worse than a machine. Yes, it doesn’t shave t"&amp;"he neck area very well, some hairs remain here and there, but I’m not too lazy to run the razor over the problem area a couple of times and everything is OK.")</f>
        <v>I bought it about 5 months ago, I only charged it three times, I shave every other day, the stubble is quite hard. I like the razor. I have never shaved against the grain with a machine, so the razor shaves no worse than a machine. Yes, it doesn’t shave the neck area very well, some hairs remain here and there, but I’m not too lazy to run the razor over the problem area a couple of times and everything is OK.</v>
      </c>
    </row>
    <row r="2723" spans="1:9" x14ac:dyDescent="0.3">
      <c r="A2723" s="1" t="s">
        <v>43</v>
      </c>
      <c r="B2723" s="1" t="s">
        <v>303</v>
      </c>
      <c r="C2723" s="1" t="s">
        <v>304</v>
      </c>
      <c r="D2723" s="1" t="s">
        <v>5189</v>
      </c>
      <c r="E2723" s="1" t="s">
        <v>4171</v>
      </c>
      <c r="F2723" s="1" t="s">
        <v>5190</v>
      </c>
      <c r="G2723" s="1" t="s">
        <v>36</v>
      </c>
      <c r="H2723" s="1" t="s">
        <v>29</v>
      </c>
      <c r="I2723" s="1" t="str">
        <f ca="1">IFERROR(__xludf.DUMMYFUNCTION("GOOGLETRANSLATE(F2723, ""auto"", ""en"")
"),"Price, quality, ease of use, heats quickly")</f>
        <v>Price, quality, ease of use, heats quickly</v>
      </c>
    </row>
    <row r="2724" spans="1:9" x14ac:dyDescent="0.3">
      <c r="A2724" s="1" t="s">
        <v>557</v>
      </c>
      <c r="B2724" s="1" t="s">
        <v>558</v>
      </c>
      <c r="C2724" s="1" t="s">
        <v>122</v>
      </c>
      <c r="D2724" s="1" t="s">
        <v>5191</v>
      </c>
      <c r="E2724" s="1" t="s">
        <v>131</v>
      </c>
      <c r="F2724" s="1" t="s">
        <v>5192</v>
      </c>
      <c r="G2724" s="1" t="s">
        <v>36</v>
      </c>
      <c r="H2724" s="1" t="s">
        <v>29</v>
      </c>
      <c r="I2724" s="1" t="str">
        <f ca="1">IFERROR(__xludf.DUMMYFUNCTION("GOOGLETRANSLATE(F2724, ""auto"", ""en"")
"),"Great phone!!! I'm happy with everything")</f>
        <v>Great phone!!! I'm happy with everything</v>
      </c>
    </row>
    <row r="2725" spans="1:9" x14ac:dyDescent="0.3">
      <c r="A2725" s="1" t="s">
        <v>61</v>
      </c>
      <c r="B2725" s="1" t="s">
        <v>318</v>
      </c>
      <c r="C2725" s="1" t="s">
        <v>122</v>
      </c>
      <c r="D2725" s="1" t="s">
        <v>1055</v>
      </c>
      <c r="E2725" s="1" t="s">
        <v>5193</v>
      </c>
      <c r="F2725" s="1" t="s">
        <v>5194</v>
      </c>
      <c r="G2725" s="1" t="s">
        <v>36</v>
      </c>
      <c r="H2725" s="1" t="s">
        <v>29</v>
      </c>
      <c r="I2725" s="1" t="str">
        <f ca="1">IFERROR(__xludf.DUMMYFUNCTION("GOOGLETRANSLATE(F2725, ""auto"", ""en"")
"),"We have been using this thermopot for almost 4 years now and have never been unplugged! We have a large family (there were 4 people, now 5), all adults, someone is always at home, guests come and everyone drinks tea. Our cute thermopot regularly boils wat"&amp;"er for us, we just have time to fill it. We calculated: per month, continuous operation of the thermopot costs us 50-60 rubles, depending on the number of guests. Our only regret is that we didn’t buy a larger volume, it would have been even more economic"&amp;"al. Buy it, you won't regret it! By the way, our thermopot is made in China")</f>
        <v>We have been using this thermopot for almost 4 years now and have never been unplugged! We have a large family (there were 4 people, now 5), all adults, someone is always at home, guests come and everyone drinks tea. Our cute thermopot regularly boils water for us, we just have time to fill it. We calculated: per month, continuous operation of the thermopot costs us 50-60 rubles, depending on the number of guests. Our only regret is that we didn’t buy a larger volume, it would have been even more economical. Buy it, you won't regret it! By the way, our thermopot is made in China</v>
      </c>
    </row>
    <row r="2726" spans="1:9" x14ac:dyDescent="0.3">
      <c r="A2726" s="1" t="s">
        <v>206</v>
      </c>
      <c r="B2726" s="1" t="s">
        <v>1349</v>
      </c>
      <c r="C2726" s="1" t="s">
        <v>351</v>
      </c>
      <c r="D2726" s="1" t="s">
        <v>305</v>
      </c>
      <c r="E2726" s="1" t="s">
        <v>5195</v>
      </c>
      <c r="F2726" s="1" t="s">
        <v>5196</v>
      </c>
      <c r="G2726" s="1" t="s">
        <v>15</v>
      </c>
      <c r="H2726" s="1" t="s">
        <v>16</v>
      </c>
      <c r="I2726" s="1" t="str">
        <f ca="1">IFERROR(__xludf.DUMMYFUNCTION("GOOGLETRANSLATE(F2726, ""auto"", ""en"")
"),"Impressions from the radio are mixed. On the one hand, its functionality is not bad (for such a price), but if everything still worked properly... But in order: 1) Installation. There were no big problems with the installation - I bought a Euro connector "&amp;"for 25 rubles, connected the wires and no problems. I impatiently stuck in the first DVD I came across and it was a bummer: a blue screen and the inscription “for your safety, do not watch movies while driving.” But there is sound, so it’s playing. After "&amp;"dancing with a tambourine, I guessed to connect the parking brake wire to ground and voila - there is a picture!  2) Video. The downside is that it's too dark and uncomfortable to look at. On the plus side, the radio is omnivorous; CDs with films can be r"&amp;"ead by everyone.  3) Music. There was a hard bummer here - none of the mp3 discs I recorded were readable, although the old JVC played normally. Pirate mp3 plays every now and then, licensed discs are fine. The main complaint is the sound. The bass is som"&amp;"ewhat weak, it sounds like clapping hands. After turning up the bass to maximum and setting the equalizer to “rock,” it became better, but it was far from JVC. I haven't checked the DVD with music yet. By the way, when playing a movie, the bass must be se"&amp;"t to default, otherwise there will be terrible distortion in the sound.  4) TV. It's deaf here - I don't know what kind of antenna I need to install to pick up at least 1 channel.  5) USB. It understands flash drives up to 2 GB normally, beyond that there"&amp;" are slowdowns and glitches.  6) Russification: Native letters can be seen only when reading a disk (“reading” and “reading error”) and in the extended settings menu (it can only be activated from the remote control).   To summarize: Watching movies on th"&amp;"e built-in screen is inconvenient; you need to buy a larger monitor. The sound quality is worse than on conventional mp3 radios. On the technical side, I note that the radio does not look serious due to the acid backlight (this is not visible in the pictu"&amp;"re), and when driving the panel shakes slightly, making a quiet rattling sound.")</f>
        <v>Impressions from the radio are mixed. On the one hand, its functionality is not bad (for such a price), but if everything still worked properly... But in order: 1) Installation. There were no big problems with the installation - I bought a Euro connector for 25 rubles, connected the wires and no problems. I impatiently stuck in the first DVD I came across and it was a bummer: a blue screen and the inscription “for your safety, do not watch movies while driving.” But there is sound, so it’s playing. After dancing with a tambourine, I guessed to connect the parking brake wire to ground and voila - there is a picture!  2) Video. The downside is that it's too dark and uncomfortable to look at. On the plus side, the radio is omnivorous; CDs with films can be read by everyone.  3) Music. There was a hard bummer here - none of the mp3 discs I recorded were readable, although the old JVC played normally. Pirate mp3 plays every now and then, licensed discs are fine. The main complaint is the sound. The bass is somewhat weak, it sounds like clapping hands. After turning up the bass to maximum and setting the equalizer to “rock,” it became better, but it was far from JVC. I haven't checked the DVD with music yet. By the way, when playing a movie, the bass must be set to default, otherwise there will be terrible distortion in the sound.  4) TV. It's deaf here - I don't know what kind of antenna I need to install to pick up at least 1 channel.  5) USB. It understands flash drives up to 2 GB normally, beyond that there are slowdowns and glitches.  6) Russification: Native letters can be seen only when reading a disk (“reading” and “reading error”) and in the extended settings menu (it can only be activated from the remote control).   To summarize: Watching movies on the built-in screen is inconvenient; you need to buy a larger monitor. The sound quality is worse than on conventional mp3 radios. On the technical side, I note that the radio does not look serious due to the acid backlight (this is not visible in the picture), and when driving the panel shakes slightly, making a quiet rattling sound.</v>
      </c>
    </row>
    <row r="2727" spans="1:9" x14ac:dyDescent="0.3">
      <c r="A2727" s="1" t="s">
        <v>211</v>
      </c>
      <c r="B2727" s="1" t="s">
        <v>212</v>
      </c>
      <c r="C2727" s="1" t="s">
        <v>294</v>
      </c>
      <c r="D2727" s="1" t="s">
        <v>64</v>
      </c>
      <c r="E2727" s="1" t="s">
        <v>2896</v>
      </c>
      <c r="F2727" s="1" t="s">
        <v>5197</v>
      </c>
      <c r="G2727" s="1" t="s">
        <v>36</v>
      </c>
      <c r="H2727" s="1" t="s">
        <v>29</v>
      </c>
      <c r="I2727" s="1" t="str">
        <f ca="1">IFERROR(__xludf.DUMMYFUNCTION("GOOGLETRANSLATE(F2727, ""auto"", ""en"")
"),"I bought it a week ago, at first I didn’t really like the design, I was attracted by the low price. Now I’m crazy happy, the hairdryer is excellent, cold air drying, just what my hair needs. I recommend it to everyone")</f>
        <v>I bought it a week ago, at first I didn’t really like the design, I was attracted by the low price. Now I’m crazy happy, the hairdryer is excellent, cold air drying, just what my hair needs. I recommend it to everyone</v>
      </c>
    </row>
    <row r="2728" spans="1:9" x14ac:dyDescent="0.3">
      <c r="A2728" s="1" t="s">
        <v>61</v>
      </c>
      <c r="B2728" s="1" t="s">
        <v>62</v>
      </c>
      <c r="C2728" s="1" t="s">
        <v>74</v>
      </c>
      <c r="D2728" s="1" t="s">
        <v>64</v>
      </c>
      <c r="E2728" s="1" t="s">
        <v>1359</v>
      </c>
      <c r="F2728" s="1" t="s">
        <v>5198</v>
      </c>
      <c r="G2728" s="1" t="s">
        <v>36</v>
      </c>
      <c r="H2728" s="1" t="s">
        <v>29</v>
      </c>
      <c r="I2728" s="1" t="str">
        <f ca="1">IFERROR(__xludf.DUMMYFUNCTION("GOOGLETRANSLATE(F2728, ""auto"", ""en"")
"),"A very useful thing in the kitchen. I use all the functions except the small chopper for greens (I somehow got used to using my hands)... But I could chop French fries, chips, salad, whip up puree for the child, I even survived the bird cherry for a bird "&amp;"cherry cake, but I won’t risk it again of course - I was straining. The berry season is absolutely wonderful: the juices and purees are fresh, and excellent jam is made from such raw materials.  I have a big wish (everything is great), but the graters are"&amp;" getting dull, and new ones are not on sale anywhere, neither on the Internet nor in stores in the city. But on the other hand, it’s nice that after hard use, the iron graters are the first to give up, and not the combine itself.")</f>
        <v>A very useful thing in the kitchen. I use all the functions except the small chopper for greens (I somehow got used to using my hands)... But I could chop French fries, chips, salad, whip up puree for the child, I even survived the bird cherry for a bird cherry cake, but I won’t risk it again of course - I was straining. The berry season is absolutely wonderful: the juices and purees are fresh, and excellent jam is made from such raw materials.  I have a big wish (everything is great), but the graters are getting dull, and new ones are not on sale anywhere, neither on the Internet nor in stores in the city. But on the other hand, it’s nice that after hard use, the iron graters are the first to give up, and not the combine itself.</v>
      </c>
    </row>
    <row r="2729" spans="1:9" x14ac:dyDescent="0.3">
      <c r="A2729" s="1" t="s">
        <v>30</v>
      </c>
      <c r="B2729" s="1" t="s">
        <v>50</v>
      </c>
      <c r="C2729" s="1" t="s">
        <v>189</v>
      </c>
      <c r="D2729" s="1" t="s">
        <v>186</v>
      </c>
      <c r="E2729" s="1" t="s">
        <v>2265</v>
      </c>
      <c r="F2729" s="1" t="s">
        <v>5199</v>
      </c>
      <c r="G2729" s="1" t="s">
        <v>36</v>
      </c>
      <c r="H2729" s="1" t="s">
        <v>29</v>
      </c>
      <c r="I2729" s="1" t="str">
        <f ca="1">IFERROR(__xludf.DUMMYFUNCTION("GOOGLETRANSLATE(F2729, ""auto"", ""en"")
"),"I went and looked, after such reviews, I ran to buy guys.  Indeed, what it has for such a price can be seen in few places.   I recommend it.")</f>
        <v>I went and looked, after such reviews, I ran to buy guys.  Indeed, what it has for such a price can be seen in few places.   I recommend it.</v>
      </c>
    </row>
    <row r="2730" spans="1:9" x14ac:dyDescent="0.3">
      <c r="A2730" s="1" t="s">
        <v>120</v>
      </c>
      <c r="B2730" s="1" t="s">
        <v>256</v>
      </c>
      <c r="C2730" s="1" t="s">
        <v>32</v>
      </c>
      <c r="D2730" s="1" t="s">
        <v>3100</v>
      </c>
      <c r="E2730" s="1" t="s">
        <v>214</v>
      </c>
      <c r="F2730" s="1" t="s">
        <v>5200</v>
      </c>
      <c r="G2730" s="1" t="s">
        <v>28</v>
      </c>
      <c r="H2730" s="1" t="s">
        <v>29</v>
      </c>
      <c r="I2730" s="1" t="str">
        <f ca="1">IFERROR(__xludf.DUMMYFUNCTION("GOOGLETRANSLATE(F2730, ""auto"", ""en"")
"),"I bought it more than a year ago. I’m very pleased. As a second TV in the house, it’s just super! The colors, clarity are all OK!")</f>
        <v>I bought it more than a year ago. I’m very pleased. As a second TV in the house, it’s just super! The colors, clarity are all OK!</v>
      </c>
    </row>
    <row r="2731" spans="1:9" x14ac:dyDescent="0.3">
      <c r="A2731" s="1" t="s">
        <v>169</v>
      </c>
      <c r="B2731" s="1" t="s">
        <v>170</v>
      </c>
      <c r="C2731" s="1" t="s">
        <v>122</v>
      </c>
      <c r="D2731" s="1" t="s">
        <v>186</v>
      </c>
      <c r="E2731" s="1" t="s">
        <v>4939</v>
      </c>
      <c r="F2731" s="1" t="s">
        <v>5201</v>
      </c>
      <c r="G2731" s="1" t="s">
        <v>36</v>
      </c>
      <c r="H2731" s="1" t="s">
        <v>29</v>
      </c>
      <c r="I2731" s="1" t="str">
        <f ca="1">IFERROR(__xludf.DUMMYFUNCTION("GOOGLETRANSLATE(F2731, ""auto"", ""en"")
"),"I bought these headphones for recording, they soundproof well and are a pleasure to record and listen to. It seemed that the high frequencies were a little lacking, but the bass made an impression, rock music is a pleasure to listen to, well-recorded song"&amp;"s are generally listened to as if they were at a concert. The long wire causes a little inconvenience, you have to fold it, but in general everything is ok! I don't regret buying it!")</f>
        <v>I bought these headphones for recording, they soundproof well and are a pleasure to record and listen to. It seemed that the high frequencies were a little lacking, but the bass made an impression, rock music is a pleasure to listen to, well-recorded songs are generally listened to as if they were at a concert. The long wire causes a little inconvenience, you have to fold it, but in general everything is ok! I don't regret buying it!</v>
      </c>
    </row>
    <row r="2732" spans="1:9" x14ac:dyDescent="0.3">
      <c r="A2732" s="1" t="s">
        <v>61</v>
      </c>
      <c r="B2732" s="1" t="s">
        <v>73</v>
      </c>
      <c r="C2732" s="1" t="s">
        <v>314</v>
      </c>
      <c r="D2732" s="1" t="s">
        <v>39</v>
      </c>
      <c r="E2732" s="1" t="s">
        <v>5202</v>
      </c>
      <c r="F2732" s="1" t="s">
        <v>5203</v>
      </c>
      <c r="G2732" s="1" t="s">
        <v>49</v>
      </c>
      <c r="H2732" s="1" t="s">
        <v>16</v>
      </c>
      <c r="I2732" s="1" t="str">
        <f ca="1">IFERROR(__xludf.DUMMYFUNCTION("GOOGLETRANSLATE(F2732, ""auto"", ""en"")
"),"I am taking the meat grinder to the warranty workshop, 2 weeks after purchase. During this time, minced meat was made from chilled pork and beef (1.5 kg) once and orange juice was squeezed twice (2 glasses at a time). It looks like the motor brushes are s"&amp;"tuck, because... the engine began to run in short jerks until it stopped completely + abnormal sparking in the collector area. The reverse stopped working completely. The build quality of the meat grinder is therefore not up to par.")</f>
        <v>I am taking the meat grinder to the warranty workshop, 2 weeks after purchase. During this time, minced meat was made from chilled pork and beef (1.5 kg) once and orange juice was squeezed twice (2 glasses at a time). It looks like the motor brushes are stuck, because... the engine began to run in short jerks until it stopped completely + abnormal sparking in the collector area. The reverse stopped working completely. The build quality of the meat grinder is therefore not up to par.</v>
      </c>
    </row>
    <row r="2733" spans="1:9" x14ac:dyDescent="0.3">
      <c r="A2733" s="1" t="s">
        <v>2087</v>
      </c>
      <c r="B2733" s="1" t="s">
        <v>2088</v>
      </c>
      <c r="C2733" s="1" t="s">
        <v>151</v>
      </c>
      <c r="D2733" s="1" t="s">
        <v>5204</v>
      </c>
      <c r="E2733" s="1" t="s">
        <v>397</v>
      </c>
      <c r="F2733" s="1" t="s">
        <v>5205</v>
      </c>
      <c r="G2733" s="1" t="s">
        <v>36</v>
      </c>
      <c r="H2733" s="1" t="s">
        <v>29</v>
      </c>
      <c r="I2733" s="1" t="str">
        <f ca="1">IFERROR(__xludf.DUMMYFUNCTION("GOOGLETRANSLATE(F2733, ""auto"", ""en"")
"),"HD video from an external USB screw plays, although not everything in a row, like on a computer. Great player!")</f>
        <v>HD video from an external USB screw plays, although not everything in a row, like on a computer. Great player!</v>
      </c>
    </row>
    <row r="2734" spans="1:9" x14ac:dyDescent="0.3">
      <c r="A2734" s="1" t="s">
        <v>30</v>
      </c>
      <c r="B2734" s="1" t="s">
        <v>50</v>
      </c>
      <c r="C2734" s="1" t="s">
        <v>51</v>
      </c>
      <c r="D2734" s="1" t="s">
        <v>442</v>
      </c>
      <c r="E2734" s="1" t="s">
        <v>2206</v>
      </c>
      <c r="F2734" s="1" t="s">
        <v>5206</v>
      </c>
      <c r="G2734" s="1" t="s">
        <v>28</v>
      </c>
      <c r="H2734" s="1" t="s">
        <v>29</v>
      </c>
      <c r="I2734" s="1" t="str">
        <f ca="1">IFERROR(__xludf.DUMMYFUNCTION("GOOGLETRANSLATE(F2734, ""auto"", ""en"")
"),"The computer is great. The latest games are playing, excellent graphics, good performance. But there is a small problem. I can't set up Bluetooth. The device appears to be missing. If anyone knows what the reason is, help!")</f>
        <v>The computer is great. The latest games are playing, excellent graphics, good performance. But there is a small problem. I can't set up Bluetooth. The device appears to be missing. If anyone knows what the reason is, help!</v>
      </c>
    </row>
    <row r="2735" spans="1:9" x14ac:dyDescent="0.3">
      <c r="A2735" s="1" t="s">
        <v>149</v>
      </c>
      <c r="B2735" s="1" t="s">
        <v>150</v>
      </c>
      <c r="C2735" s="1" t="s">
        <v>2016</v>
      </c>
      <c r="D2735" s="1" t="s">
        <v>3326</v>
      </c>
      <c r="E2735" s="1" t="s">
        <v>2432</v>
      </c>
      <c r="F2735" s="1" t="s">
        <v>5207</v>
      </c>
      <c r="G2735" s="1" t="s">
        <v>28</v>
      </c>
      <c r="H2735" s="1" t="s">
        <v>29</v>
      </c>
      <c r="I2735" s="1" t="str">
        <f ca="1">IFERROR(__xludf.DUMMYFUNCTION("GOOGLETRANSLATE(F2735, ""auto"", ""en"")
"),"The fact that the plug falls out of the cigarette lighter is bullshit, I immediately cut it off and installed another one. Well, the power, of course, is not enough, but in general you need to clean the filter more often. But overall it’s ok for the money"&amp;".")</f>
        <v>The fact that the plug falls out of the cigarette lighter is bullshit, I immediately cut it off and installed another one. Well, the power, of course, is not enough, but in general you need to clean the filter more often. But overall it’s ok for the money.</v>
      </c>
    </row>
    <row r="2736" spans="1:9" x14ac:dyDescent="0.3">
      <c r="A2736" s="1" t="s">
        <v>206</v>
      </c>
      <c r="B2736" s="1" t="s">
        <v>207</v>
      </c>
      <c r="C2736" s="1" t="s">
        <v>1143</v>
      </c>
      <c r="D2736" s="1" t="s">
        <v>5208</v>
      </c>
      <c r="E2736" s="1" t="s">
        <v>2188</v>
      </c>
      <c r="F2736" s="1" t="s">
        <v>5209</v>
      </c>
      <c r="G2736" s="1" t="s">
        <v>36</v>
      </c>
      <c r="H2736" s="1" t="s">
        <v>29</v>
      </c>
      <c r="I2736" s="1" t="str">
        <f ca="1">IFERROR(__xludf.DUMMYFUNCTION("GOOGLETRANSLATE(F2736, ""auto"", ""en"")
"),"It plays simply clearly, I installed a normal amp, 800 watts go boom boom boom...")</f>
        <v>It plays simply clearly, I installed a normal amp, 800 watts go boom boom boom...</v>
      </c>
    </row>
    <row r="2737" spans="1:9" x14ac:dyDescent="0.3">
      <c r="A2737" s="1" t="s">
        <v>61</v>
      </c>
      <c r="B2737" s="1" t="s">
        <v>318</v>
      </c>
      <c r="C2737" s="1" t="s">
        <v>69</v>
      </c>
      <c r="D2737" s="1" t="s">
        <v>203</v>
      </c>
      <c r="E2737" s="1" t="s">
        <v>3547</v>
      </c>
      <c r="F2737" s="1" t="s">
        <v>5210</v>
      </c>
      <c r="G2737" s="1" t="s">
        <v>15</v>
      </c>
      <c r="H2737" s="1" t="s">
        <v>16</v>
      </c>
      <c r="I2737" s="1" t="str">
        <f ca="1">IFERROR(__xludf.DUMMYFUNCTION("GOOGLETRANSLATE(F2737, ""auto"", ""en"")
"),"The kettle leaked after a week from the shutdown button. Now in the service, but they immediately said that it cannot be repaired.  The kettle is good, does not make noise, boils quickly.  I think I'll exchange it for the same one. The main thing is not t"&amp;"o leak.")</f>
        <v>The kettle leaked after a week from the shutdown button. Now in the service, but they immediately said that it cannot be repaired.  The kettle is good, does not make noise, boils quickly.  I think I'll exchange it for the same one. The main thing is not to leak.</v>
      </c>
    </row>
    <row r="2738" spans="1:9" x14ac:dyDescent="0.3">
      <c r="A2738" s="1" t="s">
        <v>61</v>
      </c>
      <c r="B2738" s="1" t="s">
        <v>726</v>
      </c>
      <c r="C2738" s="1" t="s">
        <v>85</v>
      </c>
      <c r="D2738" s="1" t="s">
        <v>232</v>
      </c>
      <c r="E2738" s="1" t="s">
        <v>5211</v>
      </c>
      <c r="F2738" s="1" t="s">
        <v>5212</v>
      </c>
      <c r="G2738" s="1" t="s">
        <v>36</v>
      </c>
      <c r="H2738" s="1" t="s">
        <v>29</v>
      </c>
      <c r="I2738" s="1" t="str">
        <f ca="1">IFERROR(__xludf.DUMMYFUNCTION("GOOGLETRANSLATE(F2738, ""auto"", ""en"")
"),"This is the third bread maker I have purchased in the last 2 months. The previous 2 bread makers from other companies baked white bread quite normally, but when it came to dark bread, the dough almost didn’t rise at all.  I decided to take a risk and boug"&amp;"ht a Bork X800, the oven is certainly not cheap, but after I baked 100% black bread on it, I really realized that it was worth the money, and the ability to change the recipe is generally great, bake whatever you want.  I'm happy.")</f>
        <v>This is the third bread maker I have purchased in the last 2 months. The previous 2 bread makers from other companies baked white bread quite normally, but when it came to dark bread, the dough almost didn’t rise at all.  I decided to take a risk and bought a Bork X800, the oven is certainly not cheap, but after I baked 100% black bread on it, I really realized that it was worth the money, and the ability to change the recipe is generally great, bake whatever you want.  I'm happy.</v>
      </c>
    </row>
    <row r="2739" spans="1:9" x14ac:dyDescent="0.3">
      <c r="A2739" s="1" t="s">
        <v>149</v>
      </c>
      <c r="B2739" s="1" t="s">
        <v>150</v>
      </c>
      <c r="C2739" s="1" t="s">
        <v>2016</v>
      </c>
      <c r="D2739" s="1" t="s">
        <v>81</v>
      </c>
      <c r="E2739" s="1" t="s">
        <v>5213</v>
      </c>
      <c r="F2739" s="1" t="s">
        <v>5214</v>
      </c>
      <c r="G2739" s="1" t="s">
        <v>36</v>
      </c>
      <c r="H2739" s="1" t="s">
        <v>29</v>
      </c>
      <c r="I2739" s="1" t="str">
        <f ca="1">IFERROR(__xludf.DUMMYFUNCTION("GOOGLETRANSLATE(F2739, ""auto"", ""en"")
"),"+++ 1. Very light 2. Comfortable handle 3. Sucks well (even better when wound up) 4. The cord is long 4. Folds up quickly, despite the long cord --- 1. The brush on the nozzle folds when pressed hard 2. Price (although it's worth it). Today I vacuumed my "&amp;"car quickly and easily. Two attachments are enough to get into any place in the car.")</f>
        <v>+++ 1. Very light 2. Comfortable handle 3. Sucks well (even better when wound up) 4. The cord is long 4. Folds up quickly, despite the long cord --- 1. The brush on the nozzle folds when pressed hard 2. Price (although it's worth it). Today I vacuumed my car quickly and easily. Two attachments are enough to get into any place in the car.</v>
      </c>
    </row>
    <row r="2740" spans="1:9" x14ac:dyDescent="0.3">
      <c r="A2740" s="1" t="s">
        <v>9</v>
      </c>
      <c r="B2740" s="1" t="s">
        <v>133</v>
      </c>
      <c r="C2740" s="1" t="s">
        <v>151</v>
      </c>
      <c r="D2740" s="1" t="s">
        <v>12</v>
      </c>
      <c r="E2740" s="1" t="s">
        <v>5215</v>
      </c>
      <c r="F2740" s="1" t="s">
        <v>5216</v>
      </c>
      <c r="G2740" s="1" t="s">
        <v>36</v>
      </c>
      <c r="H2740" s="1" t="s">
        <v>29</v>
      </c>
      <c r="I2740" s="1" t="str">
        <f ca="1">IFERROR(__xludf.DUMMYFUNCTION("GOOGLETRANSLATE(F2740, ""auto"", ""en"")
"),"We bought an oven in the spring and couldn’t be happier. Easy to use, cooks great, the dishes come out amazing. Super oven, every housewife's dream. I recommend it.")</f>
        <v>We bought an oven in the spring and couldn’t be happier. Easy to use, cooks great, the dishes come out amazing. Super oven, every housewife's dream. I recommend it.</v>
      </c>
    </row>
    <row r="2741" spans="1:9" x14ac:dyDescent="0.3">
      <c r="A2741" s="1" t="s">
        <v>37</v>
      </c>
      <c r="B2741" s="1" t="s">
        <v>536</v>
      </c>
      <c r="C2741" s="1" t="s">
        <v>151</v>
      </c>
      <c r="D2741" s="1" t="s">
        <v>5217</v>
      </c>
      <c r="E2741" s="1" t="s">
        <v>3652</v>
      </c>
      <c r="F2741" s="1" t="s">
        <v>5218</v>
      </c>
      <c r="G2741" s="1" t="s">
        <v>36</v>
      </c>
      <c r="H2741" s="1" t="s">
        <v>29</v>
      </c>
      <c r="I2741" s="1" t="str">
        <f ca="1">IFERROR(__xludf.DUMMYFUNCTION("GOOGLETRANSLATE(F2741, ""auto"", ""en"")
"),"Very good phone. Huge, obedient touch display, convenient operation. After a month of use, I had good impressions. Clear connection, fast internet, excellent camera. Photos come out no worse than a digital camera, and videos as well.   Special respect to "&amp;"the GPS Navigator. There is a built-in navigation program that uses both GPS and GPRS at the same time. Plots a route in a matter of seconds, takes up only 500kb, indicates traffic jams, obstacles, closures, etc. on the roads. Costs 400r/month. A week of "&amp;"trial of the full version was enough for me to understand that the license was worth it. For a day of driving, I save at least an hour).  In general, the phone is an ideal option for driving in large cities, not only Moscow.")</f>
        <v>Very good phone. Huge, obedient touch display, convenient operation. After a month of use, I had good impressions. Clear connection, fast internet, excellent camera. Photos come out no worse than a digital camera, and videos as well.   Special respect to the GPS Navigator. There is a built-in navigation program that uses both GPS and GPRS at the same time. Plots a route in a matter of seconds, takes up only 500kb, indicates traffic jams, obstacles, closures, etc. on the roads. Costs 400r/month. A week of trial of the full version was enough for me to understand that the license was worth it. For a day of driving, I save at least an hour).  In general, the phone is an ideal option for driving in large cities, not only Moscow.</v>
      </c>
    </row>
    <row r="2742" spans="1:9" x14ac:dyDescent="0.3">
      <c r="A2742" s="1" t="s">
        <v>120</v>
      </c>
      <c r="B2742" s="1" t="s">
        <v>5219</v>
      </c>
      <c r="C2742" s="1" t="s">
        <v>69</v>
      </c>
      <c r="D2742" s="1" t="s">
        <v>2923</v>
      </c>
      <c r="E2742" s="1" t="s">
        <v>1765</v>
      </c>
      <c r="F2742" s="1" t="s">
        <v>5220</v>
      </c>
      <c r="G2742" s="1" t="s">
        <v>36</v>
      </c>
      <c r="H2742" s="1" t="s">
        <v>29</v>
      </c>
      <c r="I2742" s="1" t="str">
        <f ca="1">IFERROR(__xludf.DUMMYFUNCTION("GOOGLETRANSLATE(F2742, ""auto"", ""en"")
"),"Excellent TV, at this price Samsung is relaxing, I recommend 3D to everyone.")</f>
        <v>Excellent TV, at this price Samsung is relaxing, I recommend 3D to everyone.</v>
      </c>
    </row>
    <row r="2743" spans="1:9" x14ac:dyDescent="0.3">
      <c r="A2743" s="1" t="s">
        <v>732</v>
      </c>
      <c r="B2743" s="1" t="s">
        <v>733</v>
      </c>
      <c r="C2743" s="1" t="s">
        <v>80</v>
      </c>
      <c r="D2743" s="1" t="s">
        <v>203</v>
      </c>
      <c r="E2743" s="1" t="s">
        <v>1788</v>
      </c>
      <c r="F2743" s="1" t="s">
        <v>5221</v>
      </c>
      <c r="G2743" s="1" t="s">
        <v>28</v>
      </c>
      <c r="H2743" s="1" t="s">
        <v>29</v>
      </c>
      <c r="I2743" s="1" t="str">
        <f ca="1">IFERROR(__xludf.DUMMYFUNCTION("GOOGLETRANSLATE(F2743, ""auto"", ""en"")
"),"The monitor meets all its parameters! Ideal purchase!")</f>
        <v>The monitor meets all its parameters! Ideal purchase!</v>
      </c>
    </row>
    <row r="2744" spans="1:9" x14ac:dyDescent="0.3">
      <c r="A2744" s="1" t="s">
        <v>61</v>
      </c>
      <c r="B2744" s="1" t="s">
        <v>180</v>
      </c>
      <c r="C2744" s="1" t="s">
        <v>57</v>
      </c>
      <c r="D2744" s="1" t="s">
        <v>2826</v>
      </c>
      <c r="E2744" s="1" t="s">
        <v>5222</v>
      </c>
      <c r="F2744" s="1" t="s">
        <v>5223</v>
      </c>
      <c r="G2744" s="1" t="s">
        <v>36</v>
      </c>
      <c r="H2744" s="1" t="s">
        <v>29</v>
      </c>
      <c r="I2744" s="1" t="str">
        <f ca="1">IFERROR(__xludf.DUMMYFUNCTION("GOOGLETRANSLATE(F2744, ""auto"", ""en"")
"),"I've been wanting a toaster for a long time, read the reviews, and bought this one. I really liked it, I fry the bread on a triple, it turns out delicious, crispy, now I make toast for any meal, although before I didn’t really like bread, now I’ll probabl"&amp;"y get better))))")</f>
        <v>I've been wanting a toaster for a long time, read the reviews, and bought this one. I really liked it, I fry the bread on a triple, it turns out delicious, crispy, now I make toast for any meal, although before I didn’t really like bread, now I’ll probably get better))))</v>
      </c>
    </row>
    <row r="2745" spans="1:9" x14ac:dyDescent="0.3">
      <c r="A2745" s="1" t="s">
        <v>211</v>
      </c>
      <c r="B2745" s="1" t="s">
        <v>212</v>
      </c>
      <c r="C2745" s="1" t="s">
        <v>63</v>
      </c>
      <c r="D2745" s="1" t="s">
        <v>592</v>
      </c>
      <c r="E2745" s="1" t="s">
        <v>555</v>
      </c>
      <c r="F2745" s="1" t="s">
        <v>5224</v>
      </c>
      <c r="G2745" s="1" t="s">
        <v>36</v>
      </c>
      <c r="H2745" s="1" t="s">
        <v>29</v>
      </c>
      <c r="I2745" s="1" t="str">
        <f ca="1">IFERROR(__xludf.DUMMYFUNCTION("GOOGLETRANSLATE(F2745, ""auto"", ""en"")
"),"I bought the hair dryer in 2006, it still works, only the attachment with the fingers is broken.")</f>
        <v>I bought the hair dryer in 2006, it still works, only the attachment with the fingers is broken.</v>
      </c>
    </row>
    <row r="2746" spans="1:9" x14ac:dyDescent="0.3">
      <c r="A2746" s="1" t="s">
        <v>211</v>
      </c>
      <c r="B2746" s="1" t="s">
        <v>384</v>
      </c>
      <c r="C2746" s="1" t="s">
        <v>246</v>
      </c>
      <c r="D2746" s="1" t="s">
        <v>172</v>
      </c>
      <c r="E2746" s="1" t="s">
        <v>2008</v>
      </c>
      <c r="F2746" s="1" t="s">
        <v>5225</v>
      </c>
      <c r="G2746" s="1" t="s">
        <v>28</v>
      </c>
      <c r="H2746" s="1" t="s">
        <v>29</v>
      </c>
      <c r="I2746" s="1" t="str">
        <f ca="1">IFERROR(__xludf.DUMMYFUNCTION("GOOGLETRANSLATE(F2746, ""auto"", ""en"")
"),"Libra is like scales. Beautiful white ones, exactly the same as in the picture. I stood up and they showed me the weight. Nothing extra. For six months I did not observe any special glitches. If you step on the scale several times in a row, they show the "&amp;"same weight, i.e. Weighing error is within normal limits.  Has memory for 2 people. After the first weighing, you must press button 1 or 2. The next weighings will be automatically assigned to numbers whose results are closer, and the difference in weight"&amp;" is shown. If the weights of 1 and 2 people are close enough (within 3-4 kg), then the values ​​​​will be confused all the time. I have long forgotten about these plus or minus, I just stupidly look at what weight they show when I stand on them.")</f>
        <v>Libra is like scales. Beautiful white ones, exactly the same as in the picture. I stood up and they showed me the weight. Nothing extra. For six months I did not observe any special glitches. If you step on the scale several times in a row, they show the same weight, i.e. Weighing error is within normal limits.  Has memory for 2 people. After the first weighing, you must press button 1 or 2. The next weighings will be automatically assigned to numbers whose results are closer, and the difference in weight is shown. If the weights of 1 and 2 people are close enough (within 3-4 kg), then the values ​​​​will be confused all the time. I have long forgotten about these plus or minus, I just stupidly look at what weight they show when I stand on them.</v>
      </c>
    </row>
    <row r="2747" spans="1:9" x14ac:dyDescent="0.3">
      <c r="A2747" s="1" t="s">
        <v>95</v>
      </c>
      <c r="B2747" s="1" t="s">
        <v>227</v>
      </c>
      <c r="C2747" s="1" t="s">
        <v>97</v>
      </c>
      <c r="D2747" s="1" t="s">
        <v>345</v>
      </c>
      <c r="E2747" s="1" t="s">
        <v>2484</v>
      </c>
      <c r="F2747" s="1" t="s">
        <v>5226</v>
      </c>
      <c r="G2747" s="1" t="s">
        <v>36</v>
      </c>
      <c r="H2747" s="1" t="s">
        <v>29</v>
      </c>
      <c r="I2747" s="1" t="str">
        <f ca="1">IFERROR(__xludf.DUMMYFUNCTION("GOOGLETRANSLATE(F2747, ""auto"", ""en"")
"),"I never regretted buying this console. The console is really worth the money, even though the games are expensive, I listen to the words of those who are reflashing - why. If you can't, get an Xbox 360")</f>
        <v>I never regretted buying this console. The console is really worth the money, even though the games are expensive, I listen to the words of those who are reflashing - why. If you can't, get an Xbox 360</v>
      </c>
    </row>
    <row r="2748" spans="1:9" x14ac:dyDescent="0.3">
      <c r="A2748" s="1" t="s">
        <v>149</v>
      </c>
      <c r="B2748" s="1" t="s">
        <v>155</v>
      </c>
      <c r="C2748" s="1" t="s">
        <v>80</v>
      </c>
      <c r="D2748" s="1" t="s">
        <v>152</v>
      </c>
      <c r="E2748" s="1" t="s">
        <v>3712</v>
      </c>
      <c r="F2748" s="1" t="s">
        <v>5227</v>
      </c>
      <c r="G2748" s="1" t="s">
        <v>36</v>
      </c>
      <c r="H2748" s="1" t="s">
        <v>29</v>
      </c>
      <c r="I2748" s="1" t="str">
        <f ca="1">IFERROR(__xludf.DUMMYFUNCTION("GOOGLETRANSLATE(F2748, ""auto"", ""en"")
"),"We got it on sale, we thought it wouldn’t be very good, but it turned out that we weren’t deceived, it turned out to be a good device, it cleans well and doesn’t make much noise, and it’s very easy to clean and wash. Doesn't take up much space.")</f>
        <v>We got it on sale, we thought it wouldn’t be very good, but it turned out that we weren’t deceived, it turned out to be a good device, it cleans well and doesn’t make much noise, and it’s very easy to clean and wash. Doesn't take up much space.</v>
      </c>
    </row>
    <row r="2749" spans="1:9" x14ac:dyDescent="0.3">
      <c r="A2749" s="1" t="s">
        <v>55</v>
      </c>
      <c r="B2749" s="1" t="s">
        <v>184</v>
      </c>
      <c r="C2749" s="1" t="s">
        <v>45</v>
      </c>
      <c r="D2749" s="1" t="s">
        <v>152</v>
      </c>
      <c r="E2749" s="1" t="s">
        <v>2563</v>
      </c>
      <c r="F2749" s="1" t="s">
        <v>5228</v>
      </c>
      <c r="G2749" s="1" t="s">
        <v>15</v>
      </c>
      <c r="H2749" s="1" t="s">
        <v>16</v>
      </c>
      <c r="I2749" s="1" t="str">
        <f ca="1">IFERROR(__xludf.DUMMYFUNCTION("GOOGLETRANSLATE(F2749, ""auto"", ""en"")
"),"It’s very easy to use, there is a remote control, the device heats well, it doesn’t make much noise, but after a month of use it stopped working, the money was returned.")</f>
        <v>It’s very easy to use, there is a remote control, the device heats well, it doesn’t make much noise, but after a month of use it stopped working, the money was returned.</v>
      </c>
    </row>
    <row r="2750" spans="1:9" x14ac:dyDescent="0.3">
      <c r="A2750" s="1" t="s">
        <v>61</v>
      </c>
      <c r="B2750" s="1" t="s">
        <v>73</v>
      </c>
      <c r="C2750" s="1" t="s">
        <v>146</v>
      </c>
      <c r="D2750" s="1" t="s">
        <v>33</v>
      </c>
      <c r="E2750" s="1" t="s">
        <v>2371</v>
      </c>
      <c r="F2750" s="1" t="s">
        <v>5229</v>
      </c>
      <c r="G2750" s="1" t="s">
        <v>36</v>
      </c>
      <c r="H2750" s="1" t="s">
        <v>29</v>
      </c>
      <c r="I2750" s="1" t="str">
        <f ca="1">IFERROR(__xludf.DUMMYFUNCTION("GOOGLETRANSLATE(F2750, ""auto"", ""en"")
"),"I bought this meat grinder for my wife's birthday. She often likes to cook something from meat. Now her job has become much easier. A meat grinder perfectly grinds meat into good, homogeneous minced meat without veins or layers, and graters and shredders "&amp;"perfectly replace a food processor. Plus there are attachments for making your own sausage cutlets and sausages.")</f>
        <v>I bought this meat grinder for my wife's birthday. She often likes to cook something from meat. Now her job has become much easier. A meat grinder perfectly grinds meat into good, homogeneous minced meat without veins or layers, and graters and shredders perfectly replace a food processor. Plus there are attachments for making your own sausage cutlets and sausages.</v>
      </c>
    </row>
    <row r="2751" spans="1:9" x14ac:dyDescent="0.3">
      <c r="A2751" s="1" t="s">
        <v>120</v>
      </c>
      <c r="B2751" s="1" t="s">
        <v>121</v>
      </c>
      <c r="C2751" s="1" t="s">
        <v>122</v>
      </c>
      <c r="D2751" s="1" t="s">
        <v>327</v>
      </c>
      <c r="E2751" s="1" t="s">
        <v>4739</v>
      </c>
      <c r="F2751" s="1" t="s">
        <v>5230</v>
      </c>
      <c r="G2751" s="1" t="s">
        <v>28</v>
      </c>
      <c r="H2751" s="1" t="s">
        <v>29</v>
      </c>
      <c r="I2751" s="1" t="str">
        <f ca="1">IFERROR(__xludf.DUMMYFUNCTION("GOOGLETRANSLATE(F2751, ""auto"", ""en"")
"),"I bought it for my home, took a long time to choose, decided to go with this LCD model from Panasonic, I took the diagonal 32, this is quite enough for a small room, and decided not to skimp on the price and go for a slightly more expensive one, but of be"&amp;"tter quality. I am very pleased with the model.")</f>
        <v>I bought it for my home, took a long time to choose, decided to go with this LCD model from Panasonic, I took the diagonal 32, this is quite enough for a small room, and decided not to skimp on the price and go for a slightly more expensive one, but of better quality. I am very pleased with the model.</v>
      </c>
    </row>
    <row r="2752" spans="1:9" x14ac:dyDescent="0.3">
      <c r="A2752" s="1" t="s">
        <v>477</v>
      </c>
      <c r="B2752" s="1" t="s">
        <v>478</v>
      </c>
      <c r="C2752" s="1" t="s">
        <v>479</v>
      </c>
      <c r="D2752" s="1" t="s">
        <v>5231</v>
      </c>
      <c r="E2752" s="1" t="s">
        <v>353</v>
      </c>
      <c r="F2752" s="1" t="s">
        <v>5232</v>
      </c>
      <c r="G2752" s="1" t="s">
        <v>15</v>
      </c>
      <c r="H2752" s="1" t="s">
        <v>16</v>
      </c>
      <c r="I2752" s="1" t="str">
        <f ca="1">IFERROR(__xludf.DUMMYFUNCTION("GOOGLETRANSLATE(F2752, ""auto"", ""en"")
"),"The game is very far behind PES11, it would be better to watch the PES11 video on YouTube and realize that FIFA is not even close. But if you compare it with PES10, then of course FIFA11 will be better.  PES11 should go on sale on October 5th, so I’ll buy"&amp;" it from Mvideo :)")</f>
        <v>The game is very far behind PES11, it would be better to watch the PES11 video on YouTube and realize that FIFA is not even close. But if you compare it with PES10, then of course FIFA11 will be better.  PES11 should go on sale on October 5th, so I’ll buy it from Mvideo :)</v>
      </c>
    </row>
    <row r="2753" spans="1:9" x14ac:dyDescent="0.3">
      <c r="A2753" s="1" t="s">
        <v>43</v>
      </c>
      <c r="B2753" s="1" t="s">
        <v>44</v>
      </c>
      <c r="C2753" s="1" t="s">
        <v>85</v>
      </c>
      <c r="D2753" s="1" t="s">
        <v>5233</v>
      </c>
      <c r="E2753" s="1" t="s">
        <v>994</v>
      </c>
      <c r="F2753" s="1" t="s">
        <v>5234</v>
      </c>
      <c r="G2753" s="1" t="s">
        <v>36</v>
      </c>
      <c r="H2753" s="1" t="s">
        <v>29</v>
      </c>
      <c r="I2753" s="1" t="str">
        <f ca="1">IFERROR(__xludf.DUMMYFUNCTION("GOOGLETRANSLATE(F2753, ""auto"", ""en"")
"),"This is simply Paradise! Air strike more than 5 meters!!!! The whole room is ventilated and the cigarette smoke instantly dissipates! You can put it in any position, but it’s a pity there is no safe-touch for safety. The Sleep mode is a real pleasure, fir"&amp;"st it accelerates, then it calms down. If this prevents someone from falling asleep, you can simply move it to the other end of the room, we put it near the bed, it doesn’t bother us at all and it’s inaudible! except that the sound is like a small breeze!"&amp;" They wrote here that it is loud. Nothing like that, maybe they just got it with a defect or they assembled something incorrectly.... The design is super, the quality of Bork is 5+, it’s certainly not cheap and transportation is a bit difficult (we couldn"&amp;"’t disassemble the stand with the stand in the store, we had to put it in the trunk like that, and it weighs a lot), but we assembled it at home in no time and now the heat is not a problem for us!!!!")</f>
        <v>This is simply Paradise! Air strike more than 5 meters!!!! The whole room is ventilated and the cigarette smoke instantly dissipates! You can put it in any position, but it’s a pity there is no safe-touch for safety. The Sleep mode is a real pleasure, first it accelerates, then it calms down. If this prevents someone from falling asleep, you can simply move it to the other end of the room, we put it near the bed, it doesn’t bother us at all and it’s inaudible! except that the sound is like a small breeze! They wrote here that it is loud. Nothing like that, maybe they just got it with a defect or they assembled something incorrectly.... The design is super, the quality of Bork is 5+, it’s certainly not cheap and transportation is a bit difficult (we couldn’t disassemble the stand with the stand in the store, we had to put it in the trunk like that, and it weighs a lot), but we assembled it at home in no time and now the heat is not a problem for us!!!!</v>
      </c>
    </row>
    <row r="2754" spans="1:9" x14ac:dyDescent="0.3">
      <c r="A2754" s="1" t="s">
        <v>120</v>
      </c>
      <c r="B2754" s="1" t="s">
        <v>126</v>
      </c>
      <c r="C2754" s="1" t="s">
        <v>80</v>
      </c>
      <c r="D2754" s="1" t="s">
        <v>5235</v>
      </c>
      <c r="E2754" s="1" t="s">
        <v>849</v>
      </c>
      <c r="F2754" s="1" t="s">
        <v>5236</v>
      </c>
      <c r="G2754" s="1" t="s">
        <v>36</v>
      </c>
      <c r="H2754" s="1" t="s">
        <v>29</v>
      </c>
      <c r="I2754" s="1" t="str">
        <f ca="1">IFERROR(__xludf.DUMMYFUNCTION("GOOGLETRANSLATE(F2754, ""auto"", ""en"")
"),"excellent solution, for this money and black - black, Kuro is resting :) I look at the plate and rips myself, everything is fine. HF connection is a thing of the past; it shows equally bad devices for both 30r and 80r.  I managed to grab it for another 32"&amp;" rubles :)")</f>
        <v>excellent solution, for this money and black - black, Kuro is resting :) I look at the plate and rips myself, everything is fine. HF connection is a thing of the past; it shows equally bad devices for both 30r and 80r.  I managed to grab it for another 32 rubles :)</v>
      </c>
    </row>
    <row r="2755" spans="1:9" x14ac:dyDescent="0.3">
      <c r="A2755" s="1" t="s">
        <v>55</v>
      </c>
      <c r="B2755" s="1" t="s">
        <v>56</v>
      </c>
      <c r="C2755" s="1" t="s">
        <v>85</v>
      </c>
      <c r="D2755" s="1" t="s">
        <v>139</v>
      </c>
      <c r="E2755" s="1" t="s">
        <v>2548</v>
      </c>
      <c r="F2755" s="1" t="s">
        <v>5237</v>
      </c>
      <c r="G2755" s="1" t="s">
        <v>36</v>
      </c>
      <c r="H2755" s="1" t="s">
        <v>29</v>
      </c>
      <c r="I2755" s="1" t="str">
        <f ca="1">IFERROR(__xludf.DUMMYFUNCTION("GOOGLETRANSLATE(F2755, ""auto"", ""en"")
"),"easy to operate, long lifespan, quiet.")</f>
        <v>easy to operate, long lifespan, quiet.</v>
      </c>
    </row>
    <row r="2756" spans="1:9" x14ac:dyDescent="0.3">
      <c r="A2756" s="1" t="s">
        <v>361</v>
      </c>
      <c r="B2756" s="1" t="s">
        <v>362</v>
      </c>
      <c r="C2756" s="1" t="s">
        <v>561</v>
      </c>
      <c r="D2756" s="1" t="s">
        <v>5238</v>
      </c>
      <c r="E2756" s="1" t="s">
        <v>4668</v>
      </c>
      <c r="F2756" s="1" t="s">
        <v>5239</v>
      </c>
      <c r="G2756" s="1" t="s">
        <v>15</v>
      </c>
      <c r="H2756" s="1" t="s">
        <v>16</v>
      </c>
      <c r="I2756" s="1" t="str">
        <f ca="1">IFERROR(__xludf.DUMMYFUNCTION("GOOGLETRANSLATE(F2756, ""auto"", ""en"")
"),"Unfortunately, the review is negative, the grater is unusable, everyone who saw an advertisement about how great it is is greatly disappointed when purchasing it - and I am no exception.  1 cutting works easily only on fruits and boiled vegetables, since "&amp;"fresh ones require effort, after which the knives bend and the fingers are shredded 2 grater inserts are so small that you have to constantly twist the vegetable in your hands so that it does not fall on the same knives as a fresh cut 3 the thing that see"&amp;"ms to be possible to press the vegetables to the grater does not hold them and slides off, and in order for them to fit into a special niche, they must be cut in very small parts 4 the legs slide because they are made not of rubber but of flexible plastic")</f>
        <v>Unfortunately, the review is negative, the grater is unusable, everyone who saw an advertisement about how great it is is greatly disappointed when purchasing it - and I am no exception.  1 cutting works easily only on fruits and boiled vegetables, since fresh ones require effort, after which the knives bend and the fingers are shredded 2 grater inserts are so small that you have to constantly twist the vegetable in your hands so that it does not fall on the same knives as a fresh cut 3 the thing that seems to be possible to press the vegetables to the grater does not hold them and slides off, and in order for them to fit into a special niche, they must be cut in very small parts 4 the legs slide because they are made not of rubber but of flexible plastic</v>
      </c>
    </row>
    <row r="2757" spans="1:9" x14ac:dyDescent="0.3">
      <c r="A2757" s="1" t="s">
        <v>78</v>
      </c>
      <c r="B2757" s="1" t="s">
        <v>79</v>
      </c>
      <c r="C2757" s="1" t="s">
        <v>122</v>
      </c>
      <c r="D2757" s="1" t="s">
        <v>5240</v>
      </c>
      <c r="E2757" s="1" t="s">
        <v>5241</v>
      </c>
      <c r="F2757" s="1" t="s">
        <v>5242</v>
      </c>
      <c r="G2757" s="1" t="s">
        <v>28</v>
      </c>
      <c r="H2757" s="1" t="s">
        <v>29</v>
      </c>
      <c r="I2757" s="1" t="str">
        <f ca="1">IFERROR(__xludf.DUMMYFUNCTION("GOOGLETRANSLATE(F2757, ""auto"", ""en"")
"),"Stylish design, but very small window, poor lighting... and in principle not bad......")</f>
        <v>Stylish design, but very small window, poor lighting... and in principle not bad......</v>
      </c>
    </row>
    <row r="2758" spans="1:9" x14ac:dyDescent="0.3">
      <c r="A2758" s="1" t="s">
        <v>211</v>
      </c>
      <c r="B2758" s="1" t="s">
        <v>410</v>
      </c>
      <c r="C2758" s="1" t="s">
        <v>213</v>
      </c>
      <c r="D2758" s="1" t="s">
        <v>5243</v>
      </c>
      <c r="E2758" s="1" t="s">
        <v>5244</v>
      </c>
      <c r="F2758" s="1" t="s">
        <v>5245</v>
      </c>
      <c r="G2758" s="1" t="s">
        <v>49</v>
      </c>
      <c r="H2758" s="1" t="s">
        <v>16</v>
      </c>
      <c r="I2758" s="1" t="str">
        <f ca="1">IFERROR(__xludf.DUMMYFUNCTION("GOOGLETRANSLATE(F2758, ""auto"", ""en"")
"),"terrible razor, they gave it to me today, it shaves badly, makes terrible noise, only works from the mains, there is no battery, and the cord is very short.")</f>
        <v>terrible razor, they gave it to me today, it shaves badly, makes terrible noise, only works from the mains, there is no battery, and the cord is very short.</v>
      </c>
    </row>
    <row r="2759" spans="1:9" x14ac:dyDescent="0.3">
      <c r="A2759" s="1" t="s">
        <v>17</v>
      </c>
      <c r="B2759" s="1" t="s">
        <v>18</v>
      </c>
      <c r="C2759" s="1" t="s">
        <v>151</v>
      </c>
      <c r="D2759" s="1" t="s">
        <v>152</v>
      </c>
      <c r="E2759" s="1" t="s">
        <v>41</v>
      </c>
      <c r="F2759" s="1" t="s">
        <v>5246</v>
      </c>
      <c r="G2759" s="1" t="s">
        <v>36</v>
      </c>
      <c r="H2759" s="1" t="s">
        <v>29</v>
      </c>
      <c r="I2759" s="1" t="str">
        <f ca="1">IFERROR(__xludf.DUMMYFUNCTION("GOOGLETRANSLATE(F2759, ""auto"", ""en"")
"),"We bought the machine two months ago!! no problems, it washes just fine!! in general we are happy!)")</f>
        <v>We bought the machine two months ago!! no problems, it washes just fine!! in general we are happy!)</v>
      </c>
    </row>
    <row r="2760" spans="1:9" x14ac:dyDescent="0.3">
      <c r="A2760" s="1" t="s">
        <v>61</v>
      </c>
      <c r="B2760" s="1" t="s">
        <v>726</v>
      </c>
      <c r="C2760" s="1" t="s">
        <v>146</v>
      </c>
      <c r="D2760" s="1" t="s">
        <v>142</v>
      </c>
      <c r="E2760" s="1" t="s">
        <v>5247</v>
      </c>
      <c r="F2760" s="1" t="s">
        <v>5248</v>
      </c>
      <c r="G2760" s="1" t="s">
        <v>36</v>
      </c>
      <c r="H2760" s="1" t="s">
        <v>29</v>
      </c>
      <c r="I2760" s="1" t="str">
        <f ca="1">IFERROR(__xludf.DUMMYFUNCTION("GOOGLETRANSLATE(F2760, ""auto"", ""en"")
"),"Reliability, quality, ease of management")</f>
        <v>Reliability, quality, ease of management</v>
      </c>
    </row>
    <row r="2761" spans="1:9" x14ac:dyDescent="0.3">
      <c r="A2761" s="1" t="s">
        <v>61</v>
      </c>
      <c r="B2761" s="1" t="s">
        <v>434</v>
      </c>
      <c r="C2761" s="1" t="s">
        <v>185</v>
      </c>
      <c r="D2761" s="1" t="s">
        <v>5249</v>
      </c>
      <c r="E2761" s="1" t="s">
        <v>2684</v>
      </c>
      <c r="F2761" s="1" t="s">
        <v>5250</v>
      </c>
      <c r="G2761" s="1" t="s">
        <v>36</v>
      </c>
      <c r="H2761" s="1" t="s">
        <v>29</v>
      </c>
      <c r="I2761" s="1" t="str">
        <f ca="1">IFERROR(__xludf.DUMMYFUNCTION("GOOGLETRANSLATE(F2761, ""auto"", ""en"")
"),"bought in April very happy with the oven everything is just super amazing")</f>
        <v>bought in April very happy with the oven everything is just super amazing</v>
      </c>
    </row>
    <row r="2762" spans="1:9" x14ac:dyDescent="0.3">
      <c r="A2762" s="1" t="s">
        <v>30</v>
      </c>
      <c r="B2762" s="1" t="s">
        <v>50</v>
      </c>
      <c r="C2762" s="1" t="s">
        <v>32</v>
      </c>
      <c r="D2762" s="1" t="s">
        <v>39</v>
      </c>
      <c r="E2762" s="1" t="s">
        <v>5241</v>
      </c>
      <c r="F2762" s="1" t="s">
        <v>5251</v>
      </c>
      <c r="G2762" s="1" t="s">
        <v>28</v>
      </c>
      <c r="H2762" s="1" t="s">
        <v>29</v>
      </c>
      <c r="I2762" s="1" t="str">
        <f ca="1">IFERROR(__xludf.DUMMYFUNCTION("GOOGLETRANSLATE(F2762, ""auto"", ""en"")
"),"I have the same problem as Max. Everything works fine, but as soon as I launch some powerful game, after a while it turns off. I haven't taken it to the service center yet. No time. Before you buy 100 times, think about whether it’s worth it!")</f>
        <v>I have the same problem as Max. Everything works fine, but as soon as I launch some powerful game, after a while it turns off. I haven't taken it to the service center yet. No time. Before you buy 100 times, think about whether it’s worth it!</v>
      </c>
    </row>
    <row r="2763" spans="1:9" x14ac:dyDescent="0.3">
      <c r="A2763" s="1" t="s">
        <v>149</v>
      </c>
      <c r="B2763" s="1" t="s">
        <v>155</v>
      </c>
      <c r="C2763" s="1" t="s">
        <v>1187</v>
      </c>
      <c r="D2763" s="1" t="s">
        <v>5252</v>
      </c>
      <c r="E2763" s="1" t="s">
        <v>128</v>
      </c>
      <c r="F2763" s="1" t="s">
        <v>5253</v>
      </c>
      <c r="G2763" s="1" t="s">
        <v>36</v>
      </c>
      <c r="H2763" s="1" t="s">
        <v>29</v>
      </c>
      <c r="I2763" s="1" t="str">
        <f ca="1">IFERROR(__xludf.DUMMYFUNCTION("GOOGLETRANSLATE(F2763, ""auto"", ""en"")
"),"good vacuum cleaner .. bought in mid-January 2011 quality of cleaning: vacuums well .. I clean once a week, each time I shake out 100-150 grams of dust and debris, in the first week I vacuumed upholstered furniture and mattresses - there was a lot of tiny"&amp;" dust, the remains of which did not even sink in the water! I recently washed the motor filter for the first time... it looked almost clean, but when washing it a lot of dirty water came out... I didn’t wash the output filter, although it was slightly bla"&amp;"ckened on the inside (I think it’s carbon from the motor brushes). It is important not to forget to open the red “windows” on the large brush when cleaning the floor and smooth surfaces, otherwise the suction will be reduced and the load on the engine wil"&amp;"l be increased! (on linoleum, even with the “windows” open, you have to hold the trigger on the handle so that you can move it).    care: after cleaning, I wipe the brush and pipe from adhering dust, shake out the dirt into a sealed bag and rinse the cont"&amp;"ainer (the internal cyclone cannot be washed, so I just wipe it with a slightly damp cloth) quality: good.. in the best Soviet traditions (most connections are screwed). The quality of materials is also excellent. True, I had to lubricate the brush wheels"&amp;" and moving parts, after which it just rolls like a children's car. There are plans to seal the pipe connections, because... they are too loose and slightly let in air (I think the loss of suction from this is no more than 5%, but still). It is noisy, IMH"&amp;"O, no more than others (more like whistling) in general, a normal vacuum cleaner, I hope it will serve properly for the 5 years stated in the warranty (at least)")</f>
        <v>good vacuum cleaner .. bought in mid-January 2011 quality of cleaning: vacuums well .. I clean once a week, each time I shake out 100-150 grams of dust and debris, in the first week I vacuumed upholstered furniture and mattresses - there was a lot of tiny dust, the remains of which did not even sink in the water! I recently washed the motor filter for the first time... it looked almost clean, but when washing it a lot of dirty water came out... I didn’t wash the output filter, although it was slightly blackened on the inside (I think it’s carbon from the motor brushes). It is important not to forget to open the red “windows” on the large brush when cleaning the floor and smooth surfaces, otherwise the suction will be reduced and the load on the engine will be increased! (on linoleum, even with the “windows” open, you have to hold the trigger on the handle so that you can move it).    care: after cleaning, I wipe the brush and pipe from adhering dust, shake out the dirt into a sealed bag and rinse the container (the internal cyclone cannot be washed, so I just wipe it with a slightly damp cloth) quality: good.. in the best Soviet traditions (most connections are screwed). The quality of materials is also excellent. True, I had to lubricate the brush wheels and moving parts, after which it just rolls like a children's car. There are plans to seal the pipe connections, because... they are too loose and slightly let in air (I think the loss of suction from this is no more than 5%, but still). It is noisy, IMHO, no more than others (more like whistling) in general, a normal vacuum cleaner, I hope it will serve properly for the 5 years stated in the warranty (at least)</v>
      </c>
    </row>
    <row r="2764" spans="1:9" x14ac:dyDescent="0.3">
      <c r="A2764" s="1" t="s">
        <v>1443</v>
      </c>
      <c r="B2764" s="1" t="s">
        <v>1444</v>
      </c>
      <c r="C2764" s="1" t="s">
        <v>4886</v>
      </c>
      <c r="D2764" s="1" t="s">
        <v>4812</v>
      </c>
      <c r="E2764" s="1" t="s">
        <v>4972</v>
      </c>
      <c r="F2764" s="1" t="s">
        <v>5254</v>
      </c>
      <c r="G2764" s="1" t="s">
        <v>36</v>
      </c>
      <c r="H2764" s="1" t="s">
        <v>29</v>
      </c>
      <c r="I2764" s="1" t="str">
        <f ca="1">IFERROR(__xludf.DUMMYFUNCTION("GOOGLETRANSLATE(F2764, ""auto"", ""en"")
"),"Great stuff. Fast, stylish, hardware encryption. I've been using it for over a year.")</f>
        <v>Great stuff. Fast, stylish, hardware encryption. I've been using it for over a year.</v>
      </c>
    </row>
    <row r="2765" spans="1:9" x14ac:dyDescent="0.3">
      <c r="A2765" s="1" t="s">
        <v>17</v>
      </c>
      <c r="B2765" s="1" t="s">
        <v>18</v>
      </c>
      <c r="C2765" s="1" t="s">
        <v>138</v>
      </c>
      <c r="D2765" s="1" t="s">
        <v>1890</v>
      </c>
      <c r="E2765" s="1" t="s">
        <v>886</v>
      </c>
      <c r="F2765" s="1" t="s">
        <v>5255</v>
      </c>
      <c r="G2765" s="1" t="s">
        <v>15</v>
      </c>
      <c r="H2765" s="1" t="s">
        <v>16</v>
      </c>
      <c r="I2765" s="1" t="str">
        <f ca="1">IFERROR(__xludf.DUMMYFUNCTION("GOOGLETRANSLATE(F2765, ""auto"", ""en"")
"),"We bought the machine a couple of months ago, on a promotion. The first thing that confused us was the one-month warranty. It’s not clear at all why, but we needed it urgently. The other day it started creaking terribly. It washes so-so, it could have bee"&amp;"n better. But our previous one didn’t spin at all, we pulled out the clothes from there along with the water, the spin is certainly good for this one, the water doesn’t run down your hands when you hang it up. Well, for now it’s good for us.")</f>
        <v>We bought the machine a couple of months ago, on a promotion. The first thing that confused us was the one-month warranty. It’s not clear at all why, but we needed it urgently. The other day it started creaking terribly. It washes so-so, it could have been better. But our previous one didn’t spin at all, we pulled out the clothes from there along with the water, the spin is certainly good for this one, the water doesn’t run down your hands when you hang it up. Well, for now it’s good for us.</v>
      </c>
    </row>
    <row r="2766" spans="1:9" x14ac:dyDescent="0.3">
      <c r="A2766" s="1" t="s">
        <v>55</v>
      </c>
      <c r="B2766" s="1" t="s">
        <v>56</v>
      </c>
      <c r="C2766" s="1" t="s">
        <v>85</v>
      </c>
      <c r="D2766" s="1" t="s">
        <v>232</v>
      </c>
      <c r="E2766" s="1" t="s">
        <v>1423</v>
      </c>
      <c r="F2766" s="1" t="s">
        <v>5256</v>
      </c>
      <c r="G2766" s="1" t="s">
        <v>49</v>
      </c>
      <c r="H2766" s="1" t="s">
        <v>16</v>
      </c>
      <c r="I2766" s="1" t="str">
        <f ca="1">IFERROR(__xludf.DUMMYFUNCTION("GOOGLETRANSLATE(F2766, ""auto"", ""en"")
"),"Design")</f>
        <v>Design</v>
      </c>
    </row>
    <row r="2767" spans="1:9" x14ac:dyDescent="0.3">
      <c r="A2767" s="1" t="s">
        <v>30</v>
      </c>
      <c r="B2767" s="1" t="s">
        <v>50</v>
      </c>
      <c r="C2767" s="1" t="s">
        <v>51</v>
      </c>
      <c r="D2767" s="1" t="s">
        <v>171</v>
      </c>
      <c r="E2767" s="1" t="s">
        <v>2401</v>
      </c>
      <c r="F2767" s="1" t="s">
        <v>5257</v>
      </c>
      <c r="G2767" s="1" t="s">
        <v>36</v>
      </c>
      <c r="H2767" s="1" t="s">
        <v>29</v>
      </c>
      <c r="I2767" s="1" t="str">
        <f ca="1">IFERROR(__xludf.DUMMYFUNCTION("GOOGLETRANSLATE(F2767, ""auto"", ""en"")
"),"I've been using this model for a month and a half. Overall very pleased. Movies in HD quality look great on the LED display. Based on the games, I can say that Ksne and Lynch 2 ran at maximum speed without any problems at all, Mafia 2 without physics too."&amp;" So I highly recommend it to anyone who needs a powerful beech and wants to keep it around 35.")</f>
        <v>I've been using this model for a month and a half. Overall very pleased. Movies in HD quality look great on the LED display. Based on the games, I can say that Ksne and Lynch 2 ran at maximum speed without any problems at all, Mafia 2 without physics too. So I highly recommend it to anyone who needs a powerful beech and wants to keep it around 35.</v>
      </c>
    </row>
    <row r="2768" spans="1:9" x14ac:dyDescent="0.3">
      <c r="A2768" s="1" t="s">
        <v>61</v>
      </c>
      <c r="B2768" s="1" t="s">
        <v>224</v>
      </c>
      <c r="C2768" s="1" t="s">
        <v>74</v>
      </c>
      <c r="D2768" s="1" t="s">
        <v>308</v>
      </c>
      <c r="E2768" s="1" t="s">
        <v>209</v>
      </c>
      <c r="F2768" s="1" t="s">
        <v>5258</v>
      </c>
      <c r="G2768" s="1" t="s">
        <v>36</v>
      </c>
      <c r="H2768" s="1" t="s">
        <v>29</v>
      </c>
      <c r="I2768" s="1" t="str">
        <f ca="1">IFERROR(__xludf.DUMMYFUNCTION("GOOGLETRANSLATE(F2768, ""auto"", ""en"")
"),"Ideal for home. Every morning a glass of freshly squeezed juice for the whole family is easy and simple! Rotation in both directions, 2 filters (with or without pulp), very easy disassembly and assembly. I would especially like to note the convenient opti"&amp;"on for fixing the glass - without additional buttons and latches (not always reliable) as in other models.  I recommend this product!")</f>
        <v>Ideal for home. Every morning a glass of freshly squeezed juice for the whole family is easy and simple! Rotation in both directions, 2 filters (with or without pulp), very easy disassembly and assembly. I would especially like to note the convenient option for fixing the glass - without additional buttons and latches (not always reliable) as in other models.  I recommend this product!</v>
      </c>
    </row>
    <row r="2769" spans="1:9" x14ac:dyDescent="0.3">
      <c r="A2769" s="1" t="s">
        <v>30</v>
      </c>
      <c r="B2769" s="1" t="s">
        <v>50</v>
      </c>
      <c r="C2769" s="1" t="s">
        <v>51</v>
      </c>
      <c r="D2769" s="1" t="s">
        <v>5259</v>
      </c>
      <c r="E2769" s="1" t="s">
        <v>1000</v>
      </c>
      <c r="F2769" s="1" t="s">
        <v>5260</v>
      </c>
      <c r="G2769" s="1" t="s">
        <v>28</v>
      </c>
      <c r="H2769" s="1" t="s">
        <v>29</v>
      </c>
      <c r="I2769" s="1" t="str">
        <f ca="1">IFERROR(__xludf.DUMMYFUNCTION("GOOGLETRANSLATE(F2769, ""auto"", ""en"")
"),"Dmitry, tell me, do you have any of these bugs: 1. it was noticed that when pressed the TAB button touches a certain element of the body, and this interferes with its normal fit 2. the bottom speaker (as I understand it, the subwoofer) sometimes began to "&amp;"wheeze, not all the time, otherwise everything seems ok so far")</f>
        <v>Dmitry, tell me, do you have any of these bugs: 1. it was noticed that when pressed the TAB button touches a certain element of the body, and this interferes with its normal fit 2. the bottom speaker (as I understand it, the subwoofer) sometimes began to wheeze, not all the time, otherwise everything seems ok so far</v>
      </c>
    </row>
    <row r="2770" spans="1:9" x14ac:dyDescent="0.3">
      <c r="A2770" s="1" t="s">
        <v>78</v>
      </c>
      <c r="B2770" s="1" t="s">
        <v>79</v>
      </c>
      <c r="C2770" s="1" t="s">
        <v>80</v>
      </c>
      <c r="D2770" s="1" t="s">
        <v>319</v>
      </c>
      <c r="E2770" s="1" t="s">
        <v>2280</v>
      </c>
      <c r="F2770" s="1" t="s">
        <v>5261</v>
      </c>
      <c r="G2770" s="1" t="s">
        <v>15</v>
      </c>
      <c r="H2770" s="1" t="s">
        <v>16</v>
      </c>
      <c r="I2770" s="1" t="str">
        <f ca="1">IFERROR(__xludf.DUMMYFUNCTION("GOOGLETRANSLATE(F2770, ""auto"", ""en"")
"),"The oven is very easy to use and quite powerful. The only drawback is that it broke 12 days after purchase. I didn’t buy a certificate from Mvideo. The store replaced the microwave ""without sound"". Thank you, everything was done clearly and quickly enou"&amp;"gh. Whether it's worth buying, decide for yourself. Maybe I'm just unlucky. But still, if you decide to buy, I advise you to take a certificate so that later you don’t have to wander around to services. Unfortunately, LG's quality was very disappointing.")</f>
        <v>The oven is very easy to use and quite powerful. The only drawback is that it broke 12 days after purchase. I didn’t buy a certificate from Mvideo. The store replaced the microwave "without sound". Thank you, everything was done clearly and quickly enough. Whether it's worth buying, decide for yourself. Maybe I'm just unlucky. But still, if you decide to buy, I advise you to take a certificate so that later you don’t have to wander around to services. Unfortunately, LG's quality was very disappointing.</v>
      </c>
    </row>
    <row r="2771" spans="1:9" x14ac:dyDescent="0.3">
      <c r="A2771" s="1" t="s">
        <v>149</v>
      </c>
      <c r="B2771" s="1" t="s">
        <v>423</v>
      </c>
      <c r="C2771" s="1" t="s">
        <v>531</v>
      </c>
      <c r="D2771" s="1" t="s">
        <v>152</v>
      </c>
      <c r="E2771" s="1" t="s">
        <v>1312</v>
      </c>
      <c r="F2771" s="1" t="s">
        <v>5262</v>
      </c>
      <c r="G2771" s="1" t="s">
        <v>36</v>
      </c>
      <c r="H2771" s="1" t="s">
        <v>29</v>
      </c>
      <c r="I2771" s="1" t="str">
        <f ca="1">IFERROR(__xludf.DUMMYFUNCTION("GOOGLETRANSLATE(F2771, ""auto"", ""en"")
"),"We have been using it for over a year - we are completely satisfied, the vacuum cleaner is ideal for large rooms and general cleaning, it will be difficult in a small apartment, it does its job 100% (we have laminate, tiles, carpet and a hairy cat, it cle"&amp;"ans everything, the hair sticks to the brush during dry cleaning, so it disappears best after wet cleaning), someone wrote above that there is an unpleasant smell, so please, if you don’t even take a shower yourself Wake up, you will smell too, spending a"&amp;" little more time cleaning a couple of times a week to wash this unit is not as difficult as it seems. The shampoo from the kit quickly ran out and was painlessly replaced with the most common Vanish. I would like to add about washing upholstered furnitur"&amp;"e - the same Vanish + furniture brush from the kit and the sofa became like new, after 2 years of use and cleaning somehow. In total, we have an excellent vacuum cleaner for general cleaning, which requires a little more attention than a regular vacuum cl"&amp;"eaner for every day.")</f>
        <v>We have been using it for over a year - we are completely satisfied, the vacuum cleaner is ideal for large rooms and general cleaning, it will be difficult in a small apartment, it does its job 100% (we have laminate, tiles, carpet and a hairy cat, it cleans everything, the hair sticks to the brush during dry cleaning, so it disappears best after wet cleaning), someone wrote above that there is an unpleasant smell, so please, if you don’t even take a shower yourself Wake up, you will smell too, spending a little more time cleaning a couple of times a week to wash this unit is not as difficult as it seems. The shampoo from the kit quickly ran out and was painlessly replaced with the most common Vanish. I would like to add about washing upholstered furniture - the same Vanish + furniture brush from the kit and the sofa became like new, after 2 years of use and cleaning somehow. In total, we have an excellent vacuum cleaner for general cleaning, which requires a little more attention than a regular vacuum cleaner for every day.</v>
      </c>
    </row>
    <row r="2772" spans="1:9" x14ac:dyDescent="0.3">
      <c r="A2772" s="1" t="s">
        <v>17</v>
      </c>
      <c r="B2772" s="1" t="s">
        <v>18</v>
      </c>
      <c r="C2772" s="1" t="s">
        <v>243</v>
      </c>
      <c r="D2772" s="1" t="s">
        <v>247</v>
      </c>
      <c r="E2772" s="1" t="s">
        <v>5263</v>
      </c>
      <c r="F2772" s="1" t="s">
        <v>5264</v>
      </c>
      <c r="G2772" s="1" t="s">
        <v>36</v>
      </c>
      <c r="H2772" s="1" t="s">
        <v>29</v>
      </c>
      <c r="I2772" s="1" t="str">
        <f ca="1">IFERROR(__xludf.DUMMYFUNCTION("GOOGLETRANSLATE(F2772, ""auto"", ""en"")
"),"We bought an Indesit IWE 6105 B (CIS) machine when the previous one broke. I got used to this TM, and I wanted the new one to be as similar as possible to the old one: that is, the display, programs, etc. They convinced me in the store that cars in this p"&amp;"rice segment are no longer as good as they were 8-9 years ago, but I had no choice.   To be honest, I'm incredibly pleased. They wrote that it was very noisy (compared to the old one, it hums quietly in my case). The choice of programs is large - I chose "&amp;"the three most convenient for myself and use them. The washing quality is top five.  In general, this machine has everything I wanted, and that’s the most important thing!")</f>
        <v>We bought an Indesit IWE 6105 B (CIS) machine when the previous one broke. I got used to this TM, and I wanted the new one to be as similar as possible to the old one: that is, the display, programs, etc. They convinced me in the store that cars in this price segment are no longer as good as they were 8-9 years ago, but I had no choice.   To be honest, I'm incredibly pleased. They wrote that it was very noisy (compared to the old one, it hums quietly in my case). The choice of programs is large - I chose the three most convenient for myself and use them. The washing quality is top five.  In general, this machine has everything I wanted, and that’s the most important thing!</v>
      </c>
    </row>
    <row r="2773" spans="1:9" x14ac:dyDescent="0.3">
      <c r="A2773" s="1" t="s">
        <v>369</v>
      </c>
      <c r="B2773" s="1" t="s">
        <v>370</v>
      </c>
      <c r="C2773" s="1" t="s">
        <v>138</v>
      </c>
      <c r="D2773" s="1" t="s">
        <v>1681</v>
      </c>
      <c r="E2773" s="1" t="s">
        <v>4980</v>
      </c>
      <c r="F2773" s="1" t="s">
        <v>5265</v>
      </c>
      <c r="G2773" s="1" t="s">
        <v>36</v>
      </c>
      <c r="H2773" s="1" t="s">
        <v>29</v>
      </c>
      <c r="I2773" s="1" t="str">
        <f ca="1">IFERROR(__xludf.DUMMYFUNCTION("GOOGLETRANSLATE(F2773, ""auto"", ""en"")
"),"Inexpensive, but the quality is good. Cooking comfortably is the most important thing. Timer with automatic shutdown. I like it very much)")</f>
        <v>Inexpensive, but the quality is good. Cooking comfortably is the most important thing. Timer with automatic shutdown. I like it very much)</v>
      </c>
    </row>
    <row r="2774" spans="1:9" x14ac:dyDescent="0.3">
      <c r="A2774" s="1" t="s">
        <v>95</v>
      </c>
      <c r="B2774" s="1" t="s">
        <v>648</v>
      </c>
      <c r="C2774" s="1" t="s">
        <v>97</v>
      </c>
      <c r="D2774" s="1" t="s">
        <v>5266</v>
      </c>
      <c r="E2774" s="1" t="s">
        <v>4502</v>
      </c>
      <c r="F2774" s="1" t="s">
        <v>5267</v>
      </c>
      <c r="G2774" s="1" t="s">
        <v>28</v>
      </c>
      <c r="H2774" s="1" t="s">
        <v>29</v>
      </c>
      <c r="I2774" s="1" t="str">
        <f ca="1">IFERROR(__xludf.DUMMYFUNCTION("GOOGLETRANSLATE(F2774, ""auto"", ""en"")
"),"I bought this console for my child last New Year (2009-2010), the child is 7 years old, he plays on it all the time, it hasn’t broken during the year! I didn’t regret at all that the color was red, since fingerprints are less noticeable on it than on blac"&amp;"k - tested from the experience of friends.")</f>
        <v>I bought this console for my child last New Year (2009-2010), the child is 7 years old, he plays on it all the time, it hasn’t broken during the year! I didn’t regret at all that the color was red, since fingerprints are less noticeable on it than on black - tested from the experience of friends.</v>
      </c>
    </row>
    <row r="2775" spans="1:9" x14ac:dyDescent="0.3">
      <c r="A2775" s="1" t="s">
        <v>17</v>
      </c>
      <c r="B2775" s="1" t="s">
        <v>18</v>
      </c>
      <c r="C2775" s="1" t="s">
        <v>19</v>
      </c>
      <c r="D2775" s="1" t="s">
        <v>545</v>
      </c>
      <c r="E2775" s="1" t="s">
        <v>722</v>
      </c>
      <c r="F2775" s="1" t="s">
        <v>5268</v>
      </c>
      <c r="G2775" s="1" t="s">
        <v>28</v>
      </c>
      <c r="H2775" s="1" t="s">
        <v>29</v>
      </c>
      <c r="I2775" s="1" t="str">
        <f ca="1">IFERROR(__xludf.DUMMYFUNCTION("GOOGLETRANSLATE(F2775, ""auto"", ""en"")
"),"I give it a rating of 4. First, about the advantages: a variety of washing modes, delayed start and pause of the program, you can wash a large volume of laundry at a time, easy to operate, there is a sound notification when washing is stopped, automatic c"&amp;"leaning.  Now about the minuses: after 3 years of operation, the bearing failed, the drum is not dismountable, repairs, problems with powder collection (some of it always remains in the tray, although it poured out according to the norm), quite noisy, esp"&amp;"ecially when squeezing.  Overall the impression is positive, but I would not recommend this product.")</f>
        <v>I give it a rating of 4. First, about the advantages: a variety of washing modes, delayed start and pause of the program, you can wash a large volume of laundry at a time, easy to operate, there is a sound notification when washing is stopped, automatic cleaning.  Now about the minuses: after 3 years of operation, the bearing failed, the drum is not dismountable, repairs, problems with powder collection (some of it always remains in the tray, although it poured out according to the norm), quite noisy, especially when squeezing.  Overall the impression is positive, but I would not recommend this product.</v>
      </c>
    </row>
    <row r="2776" spans="1:9" x14ac:dyDescent="0.3">
      <c r="A2776" s="1" t="s">
        <v>811</v>
      </c>
      <c r="B2776" s="1" t="s">
        <v>812</v>
      </c>
      <c r="C2776" s="1" t="s">
        <v>813</v>
      </c>
      <c r="D2776" s="1" t="s">
        <v>152</v>
      </c>
      <c r="E2776" s="1" t="s">
        <v>3431</v>
      </c>
      <c r="F2776" s="1" t="s">
        <v>5269</v>
      </c>
      <c r="G2776" s="1" t="s">
        <v>15</v>
      </c>
      <c r="H2776" s="1" t="s">
        <v>16</v>
      </c>
      <c r="I2776" s="1" t="str">
        <f ca="1">IFERROR(__xludf.DUMMYFUNCTION("GOOGLETRANSLATE(F2776, ""auto"", ""en"")
"),"Price, stable")</f>
        <v>Price, stable</v>
      </c>
    </row>
    <row r="2777" spans="1:9" x14ac:dyDescent="0.3">
      <c r="A2777" s="1" t="s">
        <v>9</v>
      </c>
      <c r="B2777" s="1" t="s">
        <v>133</v>
      </c>
      <c r="C2777" s="1" t="s">
        <v>290</v>
      </c>
      <c r="D2777" s="1" t="s">
        <v>940</v>
      </c>
      <c r="E2777" s="1" t="s">
        <v>5270</v>
      </c>
      <c r="F2777" s="1" t="s">
        <v>5271</v>
      </c>
      <c r="G2777" s="1" t="s">
        <v>49</v>
      </c>
      <c r="H2777" s="1" t="s">
        <v>16</v>
      </c>
      <c r="I2777" s="1" t="str">
        <f ca="1">IFERROR(__xludf.DUMMYFUNCTION("GOOGLETRANSLATE(F2777, ""auto"", ""en"")
"),"We purchased this oven from the M-video online store and had a lot of problems: the timer does not work correctly, the cooling fan sensor does not work, the door lock cannot be installed. I would not recommend anyone to deal with this brand. Due to curren"&amp;"t circumstances, more than 2 weeks have passed since the purchase, now, unfortunately, only repairs.")</f>
        <v>We purchased this oven from the M-video online store and had a lot of problems: the timer does not work correctly, the cooling fan sensor does not work, the door lock cannot be installed. I would not recommend anyone to deal with this brand. Due to current circumstances, more than 2 weeks have passed since the purchase, now, unfortunately, only repairs.</v>
      </c>
    </row>
    <row r="2778" spans="1:9" x14ac:dyDescent="0.3">
      <c r="A2778" s="1" t="s">
        <v>43</v>
      </c>
      <c r="B2778" s="1" t="s">
        <v>303</v>
      </c>
      <c r="C2778" s="1" t="s">
        <v>304</v>
      </c>
      <c r="D2778" s="1" t="s">
        <v>305</v>
      </c>
      <c r="E2778" s="1" t="s">
        <v>5272</v>
      </c>
      <c r="F2778" s="1" t="s">
        <v>5273</v>
      </c>
      <c r="G2778" s="1" t="s">
        <v>36</v>
      </c>
      <c r="H2778" s="1" t="s">
        <v>29</v>
      </c>
      <c r="I2778" s="1" t="str">
        <f ca="1">IFERROR(__xludf.DUMMYFUNCTION("GOOGLETRANSLATE(F2778, ""auto"", ""en"")
"),"Still, we decided to purchase this heater (for now, while the hot water is turned off). After installation, we'll see, but at first glance it is assembled with high quality, and does not differ in appearance from imported analogues. Additionally, I was pl"&amp;"eased with the manufacturing plant thermex, which, as many know, is famous for its quality products. I will definitely write back after installation and operation.")</f>
        <v>Still, we decided to purchase this heater (for now, while the hot water is turned off). After installation, we'll see, but at first glance it is assembled with high quality, and does not differ in appearance from imported analogues. Additionally, I was pleased with the manufacturing plant thermex, which, as many know, is famous for its quality products. I will definitely write back after installation and operation.</v>
      </c>
    </row>
    <row r="2779" spans="1:9" x14ac:dyDescent="0.3">
      <c r="A2779" s="1" t="s">
        <v>105</v>
      </c>
      <c r="B2779" s="1" t="s">
        <v>106</v>
      </c>
      <c r="C2779" s="1" t="s">
        <v>69</v>
      </c>
      <c r="D2779" s="1" t="s">
        <v>5274</v>
      </c>
      <c r="E2779" s="1" t="s">
        <v>3594</v>
      </c>
      <c r="F2779" s="1" t="s">
        <v>5275</v>
      </c>
      <c r="G2779" s="1" t="s">
        <v>36</v>
      </c>
      <c r="H2779" s="1" t="s">
        <v>29</v>
      </c>
      <c r="I2779" s="1" t="str">
        <f ca="1">IFERROR(__xludf.DUMMYFUNCTION("GOOGLETRANSLATE(F2779, ""auto"", ""en"")
"),"I bought one with 4GB on board. A very simple and convenient player without bells and whistles, one charge lasts a long time. The headphones included are, of course, rubbish and must be changed! I would like to note, in addition to the supported formats l"&amp;"isted in the description, support for lossless formats - flac and ape, which surprised me very pleasantly. Completely satisfied.")</f>
        <v>I bought one with 4GB on board. A very simple and convenient player without bells and whistles, one charge lasts a long time. The headphones included are, of course, rubbish and must be changed! I would like to note, in addition to the supported formats listed in the description, support for lossless formats - flac and ape, which surprised me very pleasantly. Completely satisfied.</v>
      </c>
    </row>
    <row r="2780" spans="1:9" x14ac:dyDescent="0.3">
      <c r="A2780" s="1" t="s">
        <v>120</v>
      </c>
      <c r="B2780" s="1" t="s">
        <v>121</v>
      </c>
      <c r="C2780" s="1" t="s">
        <v>122</v>
      </c>
      <c r="D2780" s="1" t="s">
        <v>774</v>
      </c>
      <c r="E2780" s="1" t="s">
        <v>543</v>
      </c>
      <c r="F2780" s="1" t="s">
        <v>5276</v>
      </c>
      <c r="G2780" s="1" t="s">
        <v>36</v>
      </c>
      <c r="H2780" s="1" t="s">
        <v>29</v>
      </c>
      <c r="I2780" s="1" t="str">
        <f ca="1">IFERROR(__xludf.DUMMYFUNCTION("GOOGLETRANSLATE(F2780, ""auto"", ""en"")
"),"The model is very good with an IPS matrix, the colors are wonderful. With a simple antenna it shows better (analogue channels) than Samsung and LG, the colors do not put pressure on the eyes. I was pleased with how the photo was reproduced, better than on"&amp;" a computer, the image is magnificent. Panasonic didn’t skimp on the matrix! I’m glad we bought this model, as it’s the best TV in its price category, the build is excellent. The fact that the video plays a certain format didn’t even upset me; we connecte"&amp;"d a media player. First of all, it's a TV!")</f>
        <v>The model is very good with an IPS matrix, the colors are wonderful. With a simple antenna it shows better (analogue channels) than Samsung and LG, the colors do not put pressure on the eyes. I was pleased with how the photo was reproduced, better than on a computer, the image is magnificent. Panasonic didn’t skimp on the matrix! I’m glad we bought this model, as it’s the best TV in its price category, the build is excellent. The fact that the video plays a certain format didn’t even upset me; we connected a media player. First of all, it's a TV!</v>
      </c>
    </row>
    <row r="2781" spans="1:9" x14ac:dyDescent="0.3">
      <c r="A2781" s="1" t="s">
        <v>78</v>
      </c>
      <c r="B2781" s="1" t="s">
        <v>1163</v>
      </c>
      <c r="C2781" s="1" t="s">
        <v>1224</v>
      </c>
      <c r="D2781" s="1" t="s">
        <v>64</v>
      </c>
      <c r="E2781" s="1" t="s">
        <v>124</v>
      </c>
      <c r="F2781" s="1" t="s">
        <v>5277</v>
      </c>
      <c r="G2781" s="1" t="s">
        <v>36</v>
      </c>
      <c r="H2781" s="1" t="s">
        <v>29</v>
      </c>
      <c r="I2781" s="1" t="str">
        <f ca="1">IFERROR(__xludf.DUMMYFUNCTION("GOOGLETRANSLATE(F2781, ""auto"", ""en"")
"),"If you need a microwave to just reheat, this is a great option. It works quietly, although they wrote about it that it makes a lot of noise. We bought this microwave for work and are very pleased. Good, easy to use (no frills), roomy - 17 liters. I recomm"&amp;"end it to everyone.")</f>
        <v>If you need a microwave to just reheat, this is a great option. It works quietly, although they wrote about it that it makes a lot of noise. We bought this microwave for work and are very pleased. Good, easy to use (no frills), roomy - 17 liters. I recommend it to everyone.</v>
      </c>
    </row>
    <row r="2782" spans="1:9" x14ac:dyDescent="0.3">
      <c r="A2782" s="1" t="s">
        <v>17</v>
      </c>
      <c r="B2782" s="1" t="s">
        <v>18</v>
      </c>
      <c r="C2782" s="1" t="s">
        <v>243</v>
      </c>
      <c r="D2782" s="1" t="s">
        <v>5278</v>
      </c>
      <c r="E2782" s="1" t="s">
        <v>2228</v>
      </c>
      <c r="F2782" s="1" t="s">
        <v>5279</v>
      </c>
      <c r="G2782" s="1" t="s">
        <v>36</v>
      </c>
      <c r="H2782" s="1" t="s">
        <v>29</v>
      </c>
      <c r="I2782" s="1" t="str">
        <f ca="1">IFERROR(__xludf.DUMMYFUNCTION("GOOGLETRANSLATE(F2782, ""auto"", ""en"")
"),"A good device for small bathrooms. The narrowest one I've found. There are many programs, although only 3-4 are actually required. It works flawlessly. The display allows you to see how much time is left until the end. Very convenient. Yes, the load is to"&amp;"o small. But it suits me. Vibrates a lot at high speeds. But, given the small area that the machine occupies, it is not surprising.")</f>
        <v>A good device for small bathrooms. The narrowest one I've found. There are many programs, although only 3-4 are actually required. It works flawlessly. The display allows you to see how much time is left until the end. Very convenient. Yes, the load is too small. But it suits me. Vibrates a lot at high speeds. But, given the small area that the machine occupies, it is not surprising.</v>
      </c>
    </row>
    <row r="2783" spans="1:9" x14ac:dyDescent="0.3">
      <c r="A2783" s="1" t="s">
        <v>67</v>
      </c>
      <c r="B2783" s="1" t="s">
        <v>68</v>
      </c>
      <c r="C2783" s="1" t="s">
        <v>69</v>
      </c>
      <c r="D2783" s="1" t="s">
        <v>5280</v>
      </c>
      <c r="E2783" s="1" t="s">
        <v>1871</v>
      </c>
      <c r="F2783" s="1" t="s">
        <v>5281</v>
      </c>
      <c r="G2783" s="1" t="s">
        <v>36</v>
      </c>
      <c r="H2783" s="1" t="s">
        <v>29</v>
      </c>
      <c r="I2783" s="1" t="str">
        <f ca="1">IFERROR(__xludf.DUMMYFUNCTION("GOOGLETRANSLATE(F2783, ""auto"", ""en"")
"),"The iron is really very good, especially the auto-off function))) I iron with pleasure, all the wrinkles are ironed in one motion using steam, you will not regret buying it.")</f>
        <v>The iron is really very good, especially the auto-off function))) I iron with pleasure, all the wrinkles are ironed in one motion using steam, you will not regret buying it.</v>
      </c>
    </row>
    <row r="2784" spans="1:9" x14ac:dyDescent="0.3">
      <c r="A2784" s="1" t="s">
        <v>9</v>
      </c>
      <c r="B2784" s="1" t="s">
        <v>10</v>
      </c>
      <c r="C2784" s="1" t="s">
        <v>407</v>
      </c>
      <c r="D2784" s="1" t="s">
        <v>1055</v>
      </c>
      <c r="E2784" s="1" t="s">
        <v>1978</v>
      </c>
      <c r="F2784" s="1" t="s">
        <v>5282</v>
      </c>
      <c r="G2784" s="1" t="s">
        <v>36</v>
      </c>
      <c r="H2784" s="1" t="s">
        <v>29</v>
      </c>
      <c r="I2784" s="1" t="str">
        <f ca="1">IFERROR(__xludf.DUMMYFUNCTION("GOOGLETRANSLATE(F2784, ""auto"", ""en"")
"),"I'm delighted, the hood is quiet on speeds 1 and 2, my kettle makes louder noise when it boils. There is no need to turn on speeds 3 and 4, and it pulls just fine at 1.2! I bought this hood after reading the reviews and did not regret it. Neighbors and re"&amp;"latives also have hoods, so there is no comparison with this one. Buy!")</f>
        <v>I'm delighted, the hood is quiet on speeds 1 and 2, my kettle makes louder noise when it boils. There is no need to turn on speeds 3 and 4, and it pulls just fine at 1.2! I bought this hood after reading the reviews and did not regret it. Neighbors and relatives also have hoods, so there is no comparison with this one. Buy!</v>
      </c>
    </row>
    <row r="2785" spans="1:9" x14ac:dyDescent="0.3">
      <c r="A2785" s="1" t="s">
        <v>43</v>
      </c>
      <c r="B2785" s="1" t="s">
        <v>303</v>
      </c>
      <c r="C2785" s="1" t="s">
        <v>304</v>
      </c>
      <c r="D2785" s="1" t="s">
        <v>327</v>
      </c>
      <c r="E2785" s="1" t="s">
        <v>1270</v>
      </c>
      <c r="F2785" s="1" t="s">
        <v>5283</v>
      </c>
      <c r="G2785" s="1" t="s">
        <v>36</v>
      </c>
      <c r="H2785" s="1" t="s">
        <v>29</v>
      </c>
      <c r="I2785" s="1" t="str">
        <f ca="1">IFERROR(__xludf.DUMMYFUNCTION("GOOGLETRANSLATE(F2785, ""auto"", ""en"")
"),"Very convenient to use. I thought for a long time about where to hang it (it’s not allowed in shower rooms or above the bathtub - water will get in, it’s written in the instructions). But with our ordinary apartments there is no special way out. Or remove"&amp;" the mirror above the sink or above the bathtub. I chose above the bath. I removed the fasteners from the shower and hung it in its place, moving the shower a little. Now when I wash, I just cover it with a bath curtain and that’s it.   And if anyone has "&amp;"weak old aluminum wiring, I advise you to install a separate socket from the panel. On my old wiring, at the end of heating, the plugs were knocked out. But this is when the tank is completely empty (cold). If you use it a little, it's fine.   It’s also c"&amp;"onvenient because it has a faucet for washing your hands, washing up, and a shower. Moreover, everything is included. And most importantly, the built-in mixer. I simply connected the shower hose from the main mixer.   And I was thinking about buying an or"&amp;"dinary small heater, but you also need to buy a mixer for it or puff over an ordinary one... In general, take it, you won’t regret it!")</f>
        <v>Very convenient to use. I thought for a long time about where to hang it (it’s not allowed in shower rooms or above the bathtub - water will get in, it’s written in the instructions). But with our ordinary apartments there is no special way out. Or remove the mirror above the sink or above the bathtub. I chose above the bath. I removed the fasteners from the shower and hung it in its place, moving the shower a little. Now when I wash, I just cover it with a bath curtain and that’s it.   And if anyone has weak old aluminum wiring, I advise you to install a separate socket from the panel. On my old wiring, at the end of heating, the plugs were knocked out. But this is when the tank is completely empty (cold). If you use it a little, it's fine.   It’s also convenient because it has a faucet for washing your hands, washing up, and a shower. Moreover, everything is included. And most importantly, the built-in mixer. I simply connected the shower hose from the main mixer.   And I was thinking about buying an ordinary small heater, but you also need to buy a mixer for it or puff over an ordinary one... In general, take it, you won’t regret it!</v>
      </c>
    </row>
    <row r="2786" spans="1:9" x14ac:dyDescent="0.3">
      <c r="A2786" s="1" t="s">
        <v>67</v>
      </c>
      <c r="B2786" s="1" t="s">
        <v>68</v>
      </c>
      <c r="C2786" s="1" t="s">
        <v>246</v>
      </c>
      <c r="D2786" s="1" t="s">
        <v>5284</v>
      </c>
      <c r="E2786" s="1" t="s">
        <v>225</v>
      </c>
      <c r="F2786" s="1" t="s">
        <v>5285</v>
      </c>
      <c r="G2786" s="1" t="s">
        <v>36</v>
      </c>
      <c r="H2786" s="1" t="s">
        <v>29</v>
      </c>
      <c r="I2786" s="1" t="str">
        <f ca="1">IFERROR(__xludf.DUMMYFUNCTION("GOOGLETRANSLATE(F2786, ""auto"", ""en"")
"),"The previous Tefal iron was 6 years old, it didn’t break down, I just didn’t have enough power to iron men’s trousers made from natural fabrics. I chose this brand 5246, I am very pleased with the iron, which is called “iron itself”, it is good for ironin"&amp;"g items made of delicate fabrics, as well as dry bed linen made of cotton, calico, and tablecloths and napkins made of natural linen. In addition, it has a convenient stand for vertical positioning, a large water capacity and a wonderful auto-shut-off fea"&amp;"ture.   In general, I recommend it!")</f>
        <v>The previous Tefal iron was 6 years old, it didn’t break down, I just didn’t have enough power to iron men’s trousers made from natural fabrics. I chose this brand 5246, I am very pleased with the iron, which is called “iron itself”, it is good for ironing items made of delicate fabrics, as well as dry bed linen made of cotton, calico, and tablecloths and napkins made of natural linen. In addition, it has a convenient stand for vertical positioning, a large water capacity and a wonderful auto-shut-off feature.   In general, I recommend it!</v>
      </c>
    </row>
    <row r="2787" spans="1:9" x14ac:dyDescent="0.3">
      <c r="A2787" s="1" t="s">
        <v>519</v>
      </c>
      <c r="B2787" s="1" t="s">
        <v>3088</v>
      </c>
      <c r="C2787" s="1" t="s">
        <v>246</v>
      </c>
      <c r="D2787" s="1" t="s">
        <v>5286</v>
      </c>
      <c r="E2787" s="1" t="s">
        <v>2254</v>
      </c>
      <c r="F2787" s="1" t="s">
        <v>5287</v>
      </c>
      <c r="G2787" s="1" t="s">
        <v>36</v>
      </c>
      <c r="H2787" s="1" t="s">
        <v>29</v>
      </c>
      <c r="I2787" s="1" t="str">
        <f ca="1">IFERROR(__xludf.DUMMYFUNCTION("GOOGLETRANSLATE(F2787, ""auto"", ""en"")
"),"I really like it so far!")</f>
        <v>I really like it so far!</v>
      </c>
    </row>
    <row r="2788" spans="1:9" x14ac:dyDescent="0.3">
      <c r="A2788" s="1" t="s">
        <v>211</v>
      </c>
      <c r="B2788" s="1" t="s">
        <v>265</v>
      </c>
      <c r="C2788" s="1" t="s">
        <v>1591</v>
      </c>
      <c r="D2788" s="1" t="s">
        <v>5288</v>
      </c>
      <c r="E2788" s="1" t="s">
        <v>5289</v>
      </c>
      <c r="F2788" s="1" t="s">
        <v>5290</v>
      </c>
      <c r="G2788" s="1" t="s">
        <v>36</v>
      </c>
      <c r="H2788" s="1" t="s">
        <v>29</v>
      </c>
      <c r="I2788" s="1" t="str">
        <f ca="1">IFERROR(__xludf.DUMMYFUNCTION("GOOGLETRANSLATE(F2788, ""auto"", ""en"")
"),"I agree with all the previous reviews, this trimmer is really good. As for me, the only negative is that it is NOT compact; I can’t allocate all the space in the bathroom for it, let alone take it with me somewhere. As for the functions, everything is sup"&amp;"er, it’s mega convenient to use, I got used to it very quickly")</f>
        <v>I agree with all the previous reviews, this trimmer is really good. As for me, the only negative is that it is NOT compact; I can’t allocate all the space in the bathroom for it, let alone take it with me somewhere. As for the functions, everything is super, it’s mega convenient to use, I got used to it very quickly</v>
      </c>
    </row>
    <row r="2789" spans="1:9" x14ac:dyDescent="0.3">
      <c r="A2789" s="1" t="s">
        <v>43</v>
      </c>
      <c r="B2789" s="1" t="s">
        <v>334</v>
      </c>
      <c r="C2789" s="1" t="s">
        <v>101</v>
      </c>
      <c r="D2789" s="1" t="s">
        <v>5291</v>
      </c>
      <c r="E2789" s="1" t="s">
        <v>2759</v>
      </c>
      <c r="F2789" s="1" t="s">
        <v>5292</v>
      </c>
      <c r="G2789" s="1" t="s">
        <v>28</v>
      </c>
      <c r="H2789" s="1" t="s">
        <v>29</v>
      </c>
      <c r="I2789" s="1" t="str">
        <f ca="1">IFERROR(__xludf.DUMMYFUNCTION("GOOGLETRANSLATE(F2789, ""auto"", ""en"")
"),"not noisy, compact, has a clothespin attachment, ")</f>
        <v xml:space="preserve">not noisy, compact, has a clothespin attachment, </v>
      </c>
    </row>
    <row r="2790" spans="1:9" x14ac:dyDescent="0.3">
      <c r="A2790" s="1" t="s">
        <v>61</v>
      </c>
      <c r="B2790" s="1" t="s">
        <v>224</v>
      </c>
      <c r="C2790" s="1" t="s">
        <v>74</v>
      </c>
      <c r="D2790" s="1" t="s">
        <v>5293</v>
      </c>
      <c r="E2790" s="1" t="s">
        <v>5294</v>
      </c>
      <c r="F2790" s="1" t="s">
        <v>5295</v>
      </c>
      <c r="G2790" s="1" t="s">
        <v>28</v>
      </c>
      <c r="H2790" s="1" t="s">
        <v>29</v>
      </c>
      <c r="I2790" s="1" t="str">
        <f ca="1">IFERROR(__xludf.DUMMYFUNCTION("GOOGLETRANSLATE(F2790, ""auto"", ""en"")
"),"The apple pulp is moist, I expected something other than puree, although I didn’t try to squeeze it out again, maybe there’s nothing to squeeze out there. But it works quickly, the juice is excellent, and it fills the tank very quickly. It doesn't make mu"&amp;"ch noise, there's no vibration, it sticks well to the suction cups. It's not difficult to care for; you quickly get used to the four parts. The pulp container falls off if you grab it to move the squeezer.")</f>
        <v>The apple pulp is moist, I expected something other than puree, although I didn’t try to squeeze it out again, maybe there’s nothing to squeeze out there. But it works quickly, the juice is excellent, and it fills the tank very quickly. It doesn't make much noise, there's no vibration, it sticks well to the suction cups. It's not difficult to care for; you quickly get used to the four parts. The pulp container falls off if you grab it to move the squeezer.</v>
      </c>
    </row>
    <row r="2791" spans="1:9" x14ac:dyDescent="0.3">
      <c r="A2791" s="1" t="s">
        <v>149</v>
      </c>
      <c r="B2791" s="1" t="s">
        <v>155</v>
      </c>
      <c r="C2791" s="1" t="s">
        <v>151</v>
      </c>
      <c r="D2791" s="1" t="s">
        <v>3923</v>
      </c>
      <c r="E2791" s="1" t="s">
        <v>5296</v>
      </c>
      <c r="F2791" s="1" t="s">
        <v>5297</v>
      </c>
      <c r="G2791" s="1" t="s">
        <v>36</v>
      </c>
      <c r="H2791" s="1" t="s">
        <v>29</v>
      </c>
      <c r="I2791" s="1" t="str">
        <f ca="1">IFERROR(__xludf.DUMMYFUNCTION("GOOGLETRANSLATE(F2791, ""auto"", ""en"")
"),"I liked the vacuum cleaner: 1. Price and size 2. For this price it exceeded my expectations! 3. No bags, everything is washable. 4. Thank you very much to the consultant!!! M.video store in RIO on Sevastopolsky.")</f>
        <v>I liked the vacuum cleaner: 1. Price and size 2. For this price it exceeded my expectations! 3. No bags, everything is washable. 4. Thank you very much to the consultant!!! M.video store in RIO on Sevastopolsky.</v>
      </c>
    </row>
    <row r="2792" spans="1:9" x14ac:dyDescent="0.3">
      <c r="A2792" s="1" t="s">
        <v>811</v>
      </c>
      <c r="B2792" s="1" t="s">
        <v>812</v>
      </c>
      <c r="C2792" s="1" t="s">
        <v>813</v>
      </c>
      <c r="D2792" s="1" t="s">
        <v>5298</v>
      </c>
      <c r="E2792" s="1" t="s">
        <v>5299</v>
      </c>
      <c r="F2792" s="1" t="s">
        <v>5300</v>
      </c>
      <c r="G2792" s="1" t="s">
        <v>36</v>
      </c>
      <c r="H2792" s="1" t="s">
        <v>29</v>
      </c>
      <c r="I2792" s="1" t="str">
        <f ca="1">IFERROR(__xludf.DUMMYFUNCTION("GOOGLETRANSLATE(F2792, ""auto"", ""en"")
"),"Price-quality corresponds 100% for amateur photo video, high shooting height, 3D head I’ve been using for 2 months, about 2 times a week, light and comfortable, the pipes near the handle are covered with pleasant foam rubber, I’m completely satisfied, I s"&amp;"hot the whole summer season, I think with careful handling it will last 2.5-3 years, just right for a new camera.")</f>
        <v>Price-quality corresponds 100% for amateur photo video, high shooting height, 3D head I’ve been using for 2 months, about 2 times a week, light and comfortable, the pipes near the handle are covered with pleasant foam rubber, I’m completely satisfied, I shot the whole summer season, I think with careful handling it will last 2.5-3 years, just right for a new camera.</v>
      </c>
    </row>
    <row r="2793" spans="1:9" x14ac:dyDescent="0.3">
      <c r="A2793" s="1" t="s">
        <v>624</v>
      </c>
      <c r="B2793" s="1" t="s">
        <v>625</v>
      </c>
      <c r="C2793" s="1" t="s">
        <v>479</v>
      </c>
      <c r="D2793" s="1" t="s">
        <v>5301</v>
      </c>
      <c r="E2793" s="1" t="s">
        <v>4187</v>
      </c>
      <c r="F2793" s="1" t="s">
        <v>5302</v>
      </c>
      <c r="G2793" s="1" t="s">
        <v>36</v>
      </c>
      <c r="H2793" s="1" t="s">
        <v>29</v>
      </c>
      <c r="I2793" s="1" t="str">
        <f ca="1">IFERROR(__xludf.DUMMYFUNCTION("GOOGLETRANSLATE(F2793, ""auto"", ""en"")
"),"The game is just super, the graphics are 5+!!!! it’s a pleasure to play!! play this game you won’t regret it!!!!!!")</f>
        <v>The game is just super, the graphics are 5+!!!! it’s a pleasure to play!! play this game you won’t regret it!!!!!!</v>
      </c>
    </row>
    <row r="2794" spans="1:9" x14ac:dyDescent="0.3">
      <c r="A2794" s="1" t="s">
        <v>61</v>
      </c>
      <c r="B2794" s="1" t="s">
        <v>318</v>
      </c>
      <c r="C2794" s="1" t="s">
        <v>69</v>
      </c>
      <c r="D2794" s="1" t="s">
        <v>411</v>
      </c>
      <c r="E2794" s="1" t="s">
        <v>5303</v>
      </c>
      <c r="F2794" s="1" t="s">
        <v>5304</v>
      </c>
      <c r="G2794" s="1" t="s">
        <v>49</v>
      </c>
      <c r="H2794" s="1" t="s">
        <v>16</v>
      </c>
      <c r="I2794" s="1" t="str">
        <f ca="1">IFERROR(__xludf.DUMMYFUNCTION("GOOGLETRANSLATE(F2794, ""auto"", ""en"")
"),"I bought a kettle at a discount. Firstly, the kit did not include instructions in Russian. Don't pay attention to the brand. This kettle makes an awful noise, it wakes up the child in the next room! Moreover, recently it stopped turning off automatically,"&amp;" we put the kettle on and got distracted, it worked until the machine in the meter burned out, the light went out, we had to change the wiring! The heating element became covered with rust and scale after 3 months, even though we poured water into it from"&amp;" the filter! The plastic inside the kettle has turned yellow! No descaling! I'll get it replaced under warranty!")</f>
        <v>I bought a kettle at a discount. Firstly, the kit did not include instructions in Russian. Don't pay attention to the brand. This kettle makes an awful noise, it wakes up the child in the next room! Moreover, recently it stopped turning off automatically, we put the kettle on and got distracted, it worked until the machine in the meter burned out, the light went out, we had to change the wiring! The heating element became covered with rust and scale after 3 months, even though we poured water into it from the filter! The plastic inside the kettle has turned yellow! No descaling! I'll get it replaced under warranty!</v>
      </c>
    </row>
    <row r="2795" spans="1:9" x14ac:dyDescent="0.3">
      <c r="A2795" s="1" t="s">
        <v>211</v>
      </c>
      <c r="B2795" s="1" t="s">
        <v>515</v>
      </c>
      <c r="C2795" s="1" t="s">
        <v>213</v>
      </c>
      <c r="D2795" s="1" t="s">
        <v>308</v>
      </c>
      <c r="E2795" s="1" t="s">
        <v>2103</v>
      </c>
      <c r="F2795" s="1" t="s">
        <v>5305</v>
      </c>
      <c r="G2795" s="1" t="s">
        <v>36</v>
      </c>
      <c r="H2795" s="1" t="s">
        <v>29</v>
      </c>
      <c r="I2795" s="1" t="str">
        <f ca="1">IFERROR(__xludf.DUMMYFUNCTION("GOOGLETRANSLATE(F2795, ""auto"", ""en"")
"),"Lightweight, easy to use, removes short hairs, does not cause irritation")</f>
        <v>Lightweight, easy to use, removes short hairs, does not cause irritation</v>
      </c>
    </row>
    <row r="2796" spans="1:9" x14ac:dyDescent="0.3">
      <c r="A2796" s="1" t="s">
        <v>30</v>
      </c>
      <c r="B2796" s="1" t="s">
        <v>50</v>
      </c>
      <c r="C2796" s="1" t="s">
        <v>1003</v>
      </c>
      <c r="D2796" s="1" t="s">
        <v>139</v>
      </c>
      <c r="E2796" s="1" t="s">
        <v>3829</v>
      </c>
      <c r="F2796" s="1" t="s">
        <v>5306</v>
      </c>
      <c r="G2796" s="1" t="s">
        <v>36</v>
      </c>
      <c r="H2796" s="1" t="s">
        <v>29</v>
      </c>
      <c r="I2796" s="1" t="str">
        <f ca="1">IFERROR(__xludf.DUMMYFUNCTION("GOOGLETRANSLATE(F2796, ""auto"", ""en"")
"),"I bought the laptop back in December, the machine is cool both in design and in terms of price-performance ratio, in general I’m happy with everything, my rating is a solid A with a minus, but there is one thing - Windows is buggy, the programs sometimes "&amp;"give an error (even the native HP Support Assistant) and twice after starting Windows was dead (an inscription appeared in the window that the Windows program is not responding, but it might respond if you wait) I had to turn off the laptop with buttons. "&amp;"I tried to restore from the recovery disks that I created, but it doesn’t work from them, although I followed the instructions strictly. I don’t want to demolish this one and install another one, because... This is licensed, people, if anyone has encounte"&amp;"red a similar problem, please let me know!")</f>
        <v>I bought the laptop back in December, the machine is cool both in design and in terms of price-performance ratio, in general I’m happy with everything, my rating is a solid A with a minus, but there is one thing - Windows is buggy, the programs sometimes give an error (even the native HP Support Assistant) and twice after starting Windows was dead (an inscription appeared in the window that the Windows program is not responding, but it might respond if you wait) I had to turn off the laptop with buttons. I tried to restore from the recovery disks that I created, but it doesn’t work from them, although I followed the instructions strictly. I don’t want to demolish this one and install another one, because... This is licensed, people, if anyone has encountered a similar problem, please let me know!</v>
      </c>
    </row>
    <row r="2797" spans="1:9" x14ac:dyDescent="0.3">
      <c r="A2797" s="1" t="s">
        <v>211</v>
      </c>
      <c r="B2797" s="1" t="s">
        <v>265</v>
      </c>
      <c r="C2797" s="1" t="s">
        <v>1591</v>
      </c>
      <c r="D2797" s="1" t="s">
        <v>1152</v>
      </c>
      <c r="E2797" s="1" t="s">
        <v>5307</v>
      </c>
      <c r="F2797" s="1" t="s">
        <v>5308</v>
      </c>
      <c r="G2797" s="1" t="s">
        <v>36</v>
      </c>
      <c r="H2797" s="1" t="s">
        <v>29</v>
      </c>
      <c r="I2797" s="1" t="str">
        <f ca="1">IFERROR(__xludf.DUMMYFUNCTION("GOOGLETRANSLATE(F2797, ""auto"", ""en"")
"),"I bought it just a couple of days ago, honestly, I’m very pleased. The number of various attachments is not scary, but on the contrary very pleasing. Doesn't pull hair, doesn't touch skin, doesn't touch moles or other things, doesn't scratch. I highly rec"&amp;"ommend it to anyone who maintains a beard shape. Yes, you can also just shave dry. I’m not talking about the intimate haircut, everything is just gorgeous, not scary at all. I recommend it to everyone)")</f>
        <v>I bought it just a couple of days ago, honestly, I’m very pleased. The number of various attachments is not scary, but on the contrary very pleasing. Doesn't pull hair, doesn't touch skin, doesn't touch moles or other things, doesn't scratch. I highly recommend it to anyone who maintains a beard shape. Yes, you can also just shave dry. I’m not talking about the intimate haircut, everything is just gorgeous, not scary at all. I recommend it to everyone)</v>
      </c>
    </row>
    <row r="2798" spans="1:9" x14ac:dyDescent="0.3">
      <c r="A2798" s="1" t="s">
        <v>43</v>
      </c>
      <c r="B2798" s="1" t="s">
        <v>1382</v>
      </c>
      <c r="C2798" s="1" t="s">
        <v>45</v>
      </c>
      <c r="D2798" s="1" t="s">
        <v>39</v>
      </c>
      <c r="E2798" s="1" t="s">
        <v>3877</v>
      </c>
      <c r="F2798" s="1" t="s">
        <v>5309</v>
      </c>
      <c r="G2798" s="1" t="s">
        <v>28</v>
      </c>
      <c r="H2798" s="1" t="s">
        <v>29</v>
      </c>
      <c r="I2798" s="1" t="str">
        <f ca="1">IFERROR(__xludf.DUMMYFUNCTION("GOOGLETRANSLATE(F2798, ""auto"", ""en"")
"),"The fan is noisy, the kit included a control panel, but it didn’t work, I changed the battery - everything was fine, it works, the noise is the same as with the blade ones, it’s also a good design and blows well")</f>
        <v>The fan is noisy, the kit included a control panel, but it didn’t work, I changed the battery - everything was fine, it works, the noise is the same as with the blade ones, it’s also a good design and blows well</v>
      </c>
    </row>
    <row r="2799" spans="1:9" x14ac:dyDescent="0.3">
      <c r="A2799" s="1" t="s">
        <v>111</v>
      </c>
      <c r="B2799" s="1" t="s">
        <v>112</v>
      </c>
      <c r="C2799" s="1" t="s">
        <v>1230</v>
      </c>
      <c r="D2799" s="1" t="s">
        <v>152</v>
      </c>
      <c r="E2799" s="1" t="s">
        <v>5310</v>
      </c>
      <c r="F2799" s="1" t="s">
        <v>5311</v>
      </c>
      <c r="G2799" s="1" t="s">
        <v>15</v>
      </c>
      <c r="H2799" s="1" t="s">
        <v>16</v>
      </c>
      <c r="I2799" s="1" t="str">
        <f ca="1">IFERROR(__xludf.DUMMYFUNCTION("GOOGLETRANSLATE(F2799, ""auto"", ""en"")
"),"After 1.5 years it stopped turning on. There was a guarantee, but there were no documents, so I decided to see what was inside. An autopsy showed terrible soldering on the board, tin plaques, as if someone had practiced soldering. I used to treat APC with"&amp;" respect, but now I don’t.")</f>
        <v>After 1.5 years it stopped turning on. There was a guarantee, but there were no documents, so I decided to see what was inside. An autopsy showed terrible soldering on the board, tin plaques, as if someone had practiced soldering. I used to treat APC with respect, but now I don’t.</v>
      </c>
    </row>
    <row r="2800" spans="1:9" x14ac:dyDescent="0.3">
      <c r="A2800" s="1" t="s">
        <v>30</v>
      </c>
      <c r="B2800" s="1" t="s">
        <v>50</v>
      </c>
      <c r="C2800" s="1" t="s">
        <v>32</v>
      </c>
      <c r="D2800" s="1" t="s">
        <v>172</v>
      </c>
      <c r="E2800" s="1" t="s">
        <v>251</v>
      </c>
      <c r="F2800" s="1" t="s">
        <v>5312</v>
      </c>
      <c r="G2800" s="1" t="s">
        <v>28</v>
      </c>
      <c r="H2800" s="1" t="s">
        <v>29</v>
      </c>
      <c r="I2800" s="1" t="str">
        <f ca="1">IFERROR(__xludf.DUMMYFUNCTION("GOOGLETRANSLATE(F2800, ""auto"", ""en"")
"),"I bought and have been using the device at home for personal purposes for about a month.  Overall, satisfied. True, I expected a little more agility (based on the characteristics).  It was not possible to overcome clicks when playing MP3 (reinstalling the"&amp;" sound card driver did not help). But this is not very critical for me.  I was pleased with the battery life: it lasts for three hours quietly, although without using Wi-Fi. There are many gadgets to reduce energy consumption, and if you use them you can "&amp;"add autonomy.")</f>
        <v>I bought and have been using the device at home for personal purposes for about a month.  Overall, satisfied. True, I expected a little more agility (based on the characteristics).  It was not possible to overcome clicks when playing MP3 (reinstalling the sound card driver did not help). But this is not very critical for me.  I was pleased with the battery life: it lasts for three hours quietly, although without using Wi-Fi. There are many gadgets to reduce energy consumption, and if you use them you can add autonomy.</v>
      </c>
    </row>
    <row r="2801" spans="1:9" x14ac:dyDescent="0.3">
      <c r="A2801" s="1" t="s">
        <v>811</v>
      </c>
      <c r="B2801" s="1" t="s">
        <v>812</v>
      </c>
      <c r="C2801" s="1" t="s">
        <v>813</v>
      </c>
      <c r="D2801" s="1" t="s">
        <v>86</v>
      </c>
      <c r="E2801" s="1" t="s">
        <v>886</v>
      </c>
      <c r="F2801" s="1" t="s">
        <v>5313</v>
      </c>
      <c r="G2801" s="1" t="s">
        <v>49</v>
      </c>
      <c r="H2801" s="1" t="s">
        <v>16</v>
      </c>
      <c r="I2801" s="1" t="str">
        <f ca="1">IFERROR(__xludf.DUMMYFUNCTION("GOOGLETRANSLATE(F2801, ""auto"", ""en"")
"),"I purchased it about a year ago with the goal of filming with an amateur video camera. At first there seemed to be nothing in the store. Then after a month and a half, the head stopped turning left and right. I had to sort it out. The design is very unfor"&amp;"tunate: I repaired the head, but it is basically impossible to get rid of jerks when turning and tilting. The slope of the site has already been written about. I recently tried to install a serious camera (2.8 kg). He definitely won’t be able to handle th"&amp;"e stated 3 kg. Or it will be so scary that you yourself will be afraid to hold such equipment on it. In my case it turned out to be very unstable; the load on the hook from below did not practically change the situation. In general I DO NOT RECOMMEND. Cle"&amp;"arly not worth the money!")</f>
        <v>I purchased it about a year ago with the goal of filming with an amateur video camera. At first there seemed to be nothing in the store. Then after a month and a half, the head stopped turning left and right. I had to sort it out. The design is very unfortunate: I repaired the head, but it is basically impossible to get rid of jerks when turning and tilting. The slope of the site has already been written about. I recently tried to install a serious camera (2.8 kg). He definitely won’t be able to handle the stated 3 kg. Or it will be so scary that you yourself will be afraid to hold such equipment on it. In my case it turned out to be very unstable; the load on the hook from below did not practically change the situation. In general I DO NOT RECOMMEND. Clearly not worth the money!</v>
      </c>
    </row>
    <row r="2802" spans="1:9" x14ac:dyDescent="0.3">
      <c r="A2802" s="1" t="s">
        <v>211</v>
      </c>
      <c r="B2802" s="1" t="s">
        <v>212</v>
      </c>
      <c r="C2802" s="1" t="s">
        <v>381</v>
      </c>
      <c r="D2802" s="1" t="s">
        <v>471</v>
      </c>
      <c r="E2802" s="1" t="s">
        <v>3673</v>
      </c>
      <c r="F2802" s="1" t="s">
        <v>5314</v>
      </c>
      <c r="G2802" s="1" t="s">
        <v>36</v>
      </c>
      <c r="H2802" s="1" t="s">
        <v>29</v>
      </c>
      <c r="I2802" s="1" t="str">
        <f ca="1">IFERROR(__xludf.DUMMYFUNCTION("GOOGLETRANSLATE(F2802, ""auto"", ""en"")
"),"Before buying this curling iron, I read all the comments here...! Of course, I had doubts about whether to take it or not, but I still decided to take a chance and bought it today! I really liked the curling iron, it heats up well and curls quickly! The c"&amp;"urls are of medium diameter, very “movable” and natural! don't bloom! I want to say that really, it all depends on your hair, on its structure. If they are thick and straight, it will be a bit difficult! and if you have thin and curly hair (like mine), th"&amp;"en everything will work out very well!!")</f>
        <v>Before buying this curling iron, I read all the comments here...! Of course, I had doubts about whether to take it or not, but I still decided to take a chance and bought it today! I really liked the curling iron, it heats up well and curls quickly! The curls are of medium diameter, very “movable” and natural! don't bloom! I want to say that really, it all depends on your hair, on its structure. If they are thick and straight, it will be a bit difficult! and if you have thin and curly hair (like mine), then everything will work out very well!!</v>
      </c>
    </row>
    <row r="2803" spans="1:9" x14ac:dyDescent="0.3">
      <c r="A2803" s="1" t="s">
        <v>89</v>
      </c>
      <c r="B2803" s="1" t="s">
        <v>231</v>
      </c>
      <c r="C2803" s="1" t="s">
        <v>185</v>
      </c>
      <c r="D2803" s="1" t="s">
        <v>1659</v>
      </c>
      <c r="E2803" s="1" t="s">
        <v>323</v>
      </c>
      <c r="F2803" s="1" t="s">
        <v>5315</v>
      </c>
      <c r="G2803" s="1" t="s">
        <v>36</v>
      </c>
      <c r="H2803" s="1" t="s">
        <v>29</v>
      </c>
      <c r="I2803" s="1" t="str">
        <f ca="1">IFERROR(__xludf.DUMMYFUNCTION("GOOGLETRANSLATE(F2803, ""auto"", ""en"")
"),"Compactness, price, low noise, ease of use.")</f>
        <v>Compactness, price, low noise, ease of use.</v>
      </c>
    </row>
    <row r="2804" spans="1:9" x14ac:dyDescent="0.3">
      <c r="A2804" s="1" t="s">
        <v>105</v>
      </c>
      <c r="B2804" s="1" t="s">
        <v>106</v>
      </c>
      <c r="C2804" s="1" t="s">
        <v>151</v>
      </c>
      <c r="D2804" s="1" t="s">
        <v>1329</v>
      </c>
      <c r="E2804" s="1" t="s">
        <v>511</v>
      </c>
      <c r="F2804" s="1" t="s">
        <v>5316</v>
      </c>
      <c r="G2804" s="1" t="s">
        <v>36</v>
      </c>
      <c r="H2804" s="1" t="s">
        <v>29</v>
      </c>
      <c r="I2804" s="1" t="str">
        <f ca="1">IFERROR(__xludf.DUMMYFUNCTION("GOOGLETRANSLATE(F2804, ""auto"", ""en"")
"),"Satisfied with absolutely everything!!!!!!!!!!!! And the battery, hardly anyone leaves the headphones for 50 hours. I run out of battery on the fourth day of regular listening.  The sound quality is excellent, overall 5 points.")</f>
        <v>Satisfied with absolutely everything!!!!!!!!!!!! And the battery, hardly anyone leaves the headphones for 50 hours. I run out of battery on the fourth day of regular listening.  The sound quality is excellent, overall 5 points.</v>
      </c>
    </row>
    <row r="2805" spans="1:9" x14ac:dyDescent="0.3">
      <c r="A2805" s="1" t="s">
        <v>211</v>
      </c>
      <c r="B2805" s="1" t="s">
        <v>384</v>
      </c>
      <c r="C2805" s="1" t="s">
        <v>246</v>
      </c>
      <c r="D2805" s="1" t="s">
        <v>305</v>
      </c>
      <c r="E2805" s="1" t="s">
        <v>822</v>
      </c>
      <c r="F2805" s="1" t="s">
        <v>5317</v>
      </c>
      <c r="G2805" s="1" t="s">
        <v>28</v>
      </c>
      <c r="H2805" s="1" t="s">
        <v>29</v>
      </c>
      <c r="I2805" s="1" t="str">
        <f ca="1">IFERROR(__xludf.DUMMYFUNCTION("GOOGLETRANSLATE(F2805, ""auto"", ""en"")
"),"Just bought it. So far everything is OK, the weight always shows the same. The advantage is its compact size.   The case looks quite flimsy. No batteries included.    It was written on the packaging that the warranty card was filled out and the product ha"&amp;"d been checked. So, the warranty card was not filled out. Moreover, it is simply not in the package.")</f>
        <v>Just bought it. So far everything is OK, the weight always shows the same. The advantage is its compact size.   The case looks quite flimsy. No batteries included.    It was written on the packaging that the warranty card was filled out and the product had been checked. So, the warranty card was not filled out. Moreover, it is simply not in the package.</v>
      </c>
    </row>
    <row r="2806" spans="1:9" x14ac:dyDescent="0.3">
      <c r="A2806" s="1" t="s">
        <v>95</v>
      </c>
      <c r="B2806" s="1" t="s">
        <v>227</v>
      </c>
      <c r="C2806" s="1" t="s">
        <v>97</v>
      </c>
      <c r="D2806" s="1" t="s">
        <v>280</v>
      </c>
      <c r="E2806" s="1" t="s">
        <v>1012</v>
      </c>
      <c r="F2806" s="1" t="s">
        <v>5318</v>
      </c>
      <c r="G2806" s="1" t="s">
        <v>36</v>
      </c>
      <c r="H2806" s="1" t="s">
        <v>29</v>
      </c>
      <c r="I2806" s="1" t="str">
        <f ca="1">IFERROR(__xludf.DUMMYFUNCTION("GOOGLETRANSLATE(F2806, ""auto"", ""en"")
"),"Beauty? and not a console and there are a lot of advantages 1) Free network service and multiplayer 2) Support for Blu-Ray Disc (BD) 3) Cool exclusives (games) 4) DOES NOT LIT (unlike XBOX 360) 5) No accessories need to be purchased (again, unlike XBOX 36"&amp;"0) And the vaunted XBOX 360 turned out to be worse much.")</f>
        <v>Beauty? and not a console and there are a lot of advantages 1) Free network service and multiplayer 2) Support for Blu-Ray Disc (BD) 3) Cool exclusives (games) 4) DOES NOT LIT (unlike XBOX 360) 5) No accessories need to be purchased (again, unlike XBOX 360) And the vaunted XBOX 360 turned out to be worse much.</v>
      </c>
    </row>
    <row r="2807" spans="1:9" x14ac:dyDescent="0.3">
      <c r="A2807" s="1" t="s">
        <v>206</v>
      </c>
      <c r="B2807" s="1" t="s">
        <v>1349</v>
      </c>
      <c r="C2807" s="1" t="s">
        <v>5319</v>
      </c>
      <c r="D2807" s="1" t="s">
        <v>127</v>
      </c>
      <c r="E2807" s="1" t="s">
        <v>656</v>
      </c>
      <c r="F2807" s="1" t="s">
        <v>5320</v>
      </c>
      <c r="G2807" s="1" t="s">
        <v>36</v>
      </c>
      <c r="H2807" s="1" t="s">
        <v>29</v>
      </c>
      <c r="I2807" s="1" t="str">
        <f ca="1">IFERROR(__xludf.DUMMYFUNCTION("GOOGLETRANSLATE(F2807, ""auto"", ""en"")
"),"Very good and high quality CD receiver!!!  I have been using it for more than 2 years, no breakdowns or glitches. You can really get amazing sound, but for this you also need to take care of the acoustics themselves and the wiring.  Through a 1000 watt 4-"&amp;"channel amplifier and an active sub through a 2-channel amplifier, on 690 Hertz (6 speakers), on wires with a normal cross-section, at least 2.5 mm and good equalizer settings - JUST BOMB! I advise")</f>
        <v>Very good and high quality CD receiver!!!  I have been using it for more than 2 years, no breakdowns or glitches. You can really get amazing sound, but for this you also need to take care of the acoustics themselves and the wiring.  Through a 1000 watt 4-channel amplifier and an active sub through a 2-channel amplifier, on 690 Hertz (6 speakers), on wires with a normal cross-section, at least 2.5 mm and good equalizer settings - JUST BOMB! I advise</v>
      </c>
    </row>
    <row r="2808" spans="1:9" x14ac:dyDescent="0.3">
      <c r="A2808" s="1" t="s">
        <v>149</v>
      </c>
      <c r="B2808" s="1" t="s">
        <v>423</v>
      </c>
      <c r="C2808" s="1" t="s">
        <v>424</v>
      </c>
      <c r="D2808" s="1" t="s">
        <v>152</v>
      </c>
      <c r="E2808" s="1" t="s">
        <v>2964</v>
      </c>
      <c r="F2808" s="1" t="s">
        <v>5321</v>
      </c>
      <c r="G2808" s="1" t="s">
        <v>36</v>
      </c>
      <c r="H2808" s="1" t="s">
        <v>29</v>
      </c>
      <c r="I2808" s="1" t="str">
        <f ca="1">IFERROR(__xludf.DUMMYFUNCTION("GOOGLETRANSLATE(F2808, ""auto"", ""en"")
"),"I would like to warn you right away that I bought two VAX vacuum cleaners from M-Video: one for dry cleaning and the other for washing.   Why did you buy two? Yes, because after using a washing vacuum cleaner, the latter must be washed, which is not very "&amp;"convenient for me, my wife and daughter.  After all, I don’t wash carpets or sofas every week... Well, now about the VAX V-020 TFR vacuum cleaner. This is my first washing vacuum cleaner. I'm very pleased with it.  Cleans well and collects moisture from t"&amp;"he carpet. I haven’t washed the floor, but I think it will handle this just fine.  Easy to assemble and disassemble. It is easy to clean after cleaning (unlike Thomas): you need to pour dirty water from a round container, pour clean water with detergent f"&amp;"rom a ring-shaped container in the shape of a torus (donut).    Disadvantages: So far I have noticed only one - the hose with the telescopic tube does not fit well, sometimes it starts to separate, because The vacuum cleaner suctions strongly to the carpe"&amp;"t.    Advice on how to wash a vacuum cleaner after cleaning: 1. Prepare a bucket on which you can place the engine.  2. Remove the engine and place it on a bucket.  3. Pour out dirty and clean water.  4. Fill the clean water container with water to rinse "&amp;"the tube that delivers detergent to the carpet or floor.  5. Assemble the vacuum cleaner, pour 4 liters of water into the bucket.  6. Turn on the vacuum cleaner in detergent supply mode and rinse the tube with clean water.  5. Turn on the vacuum cleaner i"&amp;"n carpet drying mode and, immersing the brush in a bucket, suck out the water with a vacuum cleaner. This way you will wash the brush, telescopic pipe and hose.  6. Remove the brush and rinse in the sink. Disconnect the pipe and hose and hold them vertica"&amp;"lly over a bucket to drain the remaining water.  7. Rinse the containers and leave it all to dry.    It looks complicated, but this vacuum cleaner deserves such attention and in fact I carried out this procedure for 10 minutes + time for drying the parts.")</f>
        <v>I would like to warn you right away that I bought two VAX vacuum cleaners from M-Video: one for dry cleaning and the other for washing.   Why did you buy two? Yes, because after using a washing vacuum cleaner, the latter must be washed, which is not very convenient for me, my wife and daughter.  After all, I don’t wash carpets or sofas every week... Well, now about the VAX V-020 TFR vacuum cleaner. This is my first washing vacuum cleaner. I'm very pleased with it.  Cleans well and collects moisture from the carpet. I haven’t washed the floor, but I think it will handle this just fine.  Easy to assemble and disassemble. It is easy to clean after cleaning (unlike Thomas): you need to pour dirty water from a round container, pour clean water with detergent from a ring-shaped container in the shape of a torus (donut).    Disadvantages: So far I have noticed only one - the hose with the telescopic tube does not fit well, sometimes it starts to separate, because The vacuum cleaner suctions strongly to the carpet.    Advice on how to wash a vacuum cleaner after cleaning: 1. Prepare a bucket on which you can place the engine.  2. Remove the engine and place it on a bucket.  3. Pour out dirty and clean water.  4. Fill the clean water container with water to rinse the tube that delivers detergent to the carpet or floor.  5. Assemble the vacuum cleaner, pour 4 liters of water into the bucket.  6. Turn on the vacuum cleaner in detergent supply mode and rinse the tube with clean water.  5. Turn on the vacuum cleaner in carpet drying mode and, immersing the brush in a bucket, suck out the water with a vacuum cleaner. This way you will wash the brush, telescopic pipe and hose.  6. Remove the brush and rinse in the sink. Disconnect the pipe and hose and hold them vertically over a bucket to drain the remaining water.  7. Rinse the containers and leave it all to dry.    It looks complicated, but this vacuum cleaner deserves such attention and in fact I carried out this procedure for 10 minutes + time for drying the parts.</v>
      </c>
    </row>
    <row r="2809" spans="1:9" x14ac:dyDescent="0.3">
      <c r="A2809" s="1" t="s">
        <v>61</v>
      </c>
      <c r="B2809" s="1" t="s">
        <v>62</v>
      </c>
      <c r="C2809" s="1" t="s">
        <v>63</v>
      </c>
      <c r="D2809" s="1" t="s">
        <v>5322</v>
      </c>
      <c r="E2809" s="1" t="s">
        <v>2113</v>
      </c>
      <c r="F2809" s="1" t="s">
        <v>5323</v>
      </c>
      <c r="G2809" s="1" t="s">
        <v>36</v>
      </c>
      <c r="H2809" s="1" t="s">
        <v>29</v>
      </c>
      <c r="I2809" s="1" t="str">
        <f ca="1">IFERROR(__xludf.DUMMYFUNCTION("GOOGLETRANSLATE(F2809, ""auto"", ""en"")
"),"Yesterday we bought this processor! It’s just super. The number of attachments was pleasantly impressive. I can’t say that it’s very noisy! It grinds meat into minced meat in a matter of seconds.")</f>
        <v>Yesterday we bought this processor! It’s just super. The number of attachments was pleasantly impressive. I can’t say that it’s very noisy! It grinds meat into minced meat in a matter of seconds.</v>
      </c>
    </row>
    <row r="2810" spans="1:9" x14ac:dyDescent="0.3">
      <c r="A2810" s="1" t="s">
        <v>43</v>
      </c>
      <c r="B2810" s="1" t="s">
        <v>303</v>
      </c>
      <c r="C2810" s="1" t="s">
        <v>304</v>
      </c>
      <c r="D2810" s="1" t="s">
        <v>592</v>
      </c>
      <c r="E2810" s="1" t="s">
        <v>2704</v>
      </c>
      <c r="F2810" s="1" t="s">
        <v>5324</v>
      </c>
      <c r="G2810" s="1" t="s">
        <v>36</v>
      </c>
      <c r="H2810" s="1" t="s">
        <v>29</v>
      </c>
      <c r="I2810" s="1" t="str">
        <f ca="1">IFERROR(__xludf.DUMMYFUNCTION("GOOGLETRANSLATE(F2810, ""auto"", ""en"")
"),"We bought a water heater more than 4 years ago, there are no leaks, we installed it ourselves, an excellent product, I recommend it.")</f>
        <v>We bought a water heater more than 4 years ago, there are no leaks, we installed it ourselves, an excellent product, I recommend it.</v>
      </c>
    </row>
    <row r="2811" spans="1:9" x14ac:dyDescent="0.3">
      <c r="A2811" s="1" t="s">
        <v>111</v>
      </c>
      <c r="B2811" s="1" t="s">
        <v>298</v>
      </c>
      <c r="C2811" s="1" t="s">
        <v>710</v>
      </c>
      <c r="D2811" s="1" t="s">
        <v>5325</v>
      </c>
      <c r="E2811" s="1" t="s">
        <v>4240</v>
      </c>
      <c r="F2811" s="1" t="s">
        <v>5326</v>
      </c>
      <c r="G2811" s="1" t="s">
        <v>36</v>
      </c>
      <c r="H2811" s="1" t="s">
        <v>29</v>
      </c>
      <c r="I2811" s="1" t="str">
        <f ca="1">IFERROR(__xludf.DUMMYFUNCTION("GOOGLETRANSLATE(F2811, ""auto"", ""en"")
"),"Napkins are not expensive. They are impregnated with some special agent that cleans the glass-ceramic surface well. I usually have problems with this, since it is not recommended to clean it with abrasives, and ordinary liquid products such as dishwashing"&amp;" detergents do not give much effect.")</f>
        <v>Napkins are not expensive. They are impregnated with some special agent that cleans the glass-ceramic surface well. I usually have problems with this, since it is not recommended to clean it with abrasives, and ordinary liquid products such as dishwashing detergents do not give much effect.</v>
      </c>
    </row>
    <row r="2812" spans="1:9" x14ac:dyDescent="0.3">
      <c r="A2812" s="1" t="s">
        <v>30</v>
      </c>
      <c r="B2812" s="1" t="s">
        <v>50</v>
      </c>
      <c r="C2812" s="1" t="s">
        <v>32</v>
      </c>
      <c r="D2812" s="1" t="s">
        <v>2293</v>
      </c>
      <c r="E2812" s="1" t="s">
        <v>628</v>
      </c>
      <c r="F2812" s="1" t="s">
        <v>5327</v>
      </c>
      <c r="G2812" s="1" t="s">
        <v>36</v>
      </c>
      <c r="H2812" s="1" t="s">
        <v>29</v>
      </c>
      <c r="I2812" s="1" t="str">
        <f ca="1">IFERROR(__xludf.DUMMYFUNCTION("GOOGLETRANSLATE(F2812, ""auto"", ""en"")
"),"Very pleased with the tchotchke!  I took a video from Ryazan at the end of July that took me there from Ukraine)) Well, in general, it’s cool! I bought it in 2 minutes and was late for the train!  Everything is great!!  it gets hot, yes, but it’s not fata"&amp;"l... not enough USB?? you can buy an adapter)) installed Liberty City and Mafia 2 without any questions! it runs without slowing down!")</f>
        <v>Very pleased with the tchotchke!  I took a video from Ryazan at the end of July that took me there from Ukraine)) Well, in general, it’s cool! I bought it in 2 minutes and was late for the train!  Everything is great!!  it gets hot, yes, but it’s not fatal... not enough USB?? you can buy an adapter)) installed Liberty City and Mafia 2 without any questions! it runs without slowing down!</v>
      </c>
    </row>
    <row r="2813" spans="1:9" x14ac:dyDescent="0.3">
      <c r="A2813" s="1" t="s">
        <v>17</v>
      </c>
      <c r="B2813" s="1" t="s">
        <v>18</v>
      </c>
      <c r="C2813" s="1" t="s">
        <v>80</v>
      </c>
      <c r="D2813" s="1" t="s">
        <v>5328</v>
      </c>
      <c r="E2813" s="1" t="s">
        <v>864</v>
      </c>
      <c r="F2813" s="1" t="s">
        <v>5329</v>
      </c>
      <c r="G2813" s="1" t="s">
        <v>36</v>
      </c>
      <c r="H2813" s="1" t="s">
        <v>29</v>
      </c>
      <c r="I2813" s="1" t="str">
        <f ca="1">IFERROR(__xludf.DUMMYFUNCTION("GOOGLETRANSLATE(F2813, ""auto"", ""en"")
"),"Bought on May 8, flight is normal, low noise, does not “walk” around the bathroom. The test for the stability of any jars and bottles placed on the top cover of the washing machine passed perfectly - nothing fell off during washing and spinning.")</f>
        <v>Bought on May 8, flight is normal, low noise, does not “walk” around the bathroom. The test for the stability of any jars and bottles placed on the top cover of the washing machine passed perfectly - nothing fell off during washing and spinning.</v>
      </c>
    </row>
    <row r="2814" spans="1:9" x14ac:dyDescent="0.3">
      <c r="A2814" s="1" t="s">
        <v>149</v>
      </c>
      <c r="B2814" s="1" t="s">
        <v>155</v>
      </c>
      <c r="C2814" s="1" t="s">
        <v>80</v>
      </c>
      <c r="D2814" s="1" t="s">
        <v>305</v>
      </c>
      <c r="E2814" s="1" t="s">
        <v>5330</v>
      </c>
      <c r="F2814" s="1" t="s">
        <v>5331</v>
      </c>
      <c r="G2814" s="1" t="s">
        <v>15</v>
      </c>
      <c r="H2814" s="1" t="s">
        <v>16</v>
      </c>
      <c r="I2814" s="1" t="str">
        <f ca="1">IFERROR(__xludf.DUMMYFUNCTION("GOOGLETRANSLATE(F2814, ""auto"", ""en"")
"),"The vacuum cleaner is 2 years old. A complete hassle. The control lamp constantly lights up. The vacuum cleaner clogs after the first cleaning. You constantly have to completely disassemble the container. Now also out of production. And what should we do "&amp;"with it now? It's not worth the money.")</f>
        <v>The vacuum cleaner is 2 years old. A complete hassle. The control lamp constantly lights up. The vacuum cleaner clogs after the first cleaning. You constantly have to completely disassemble the container. Now also out of production. And what should we do with it now? It's not worth the money.</v>
      </c>
    </row>
    <row r="2815" spans="1:9" x14ac:dyDescent="0.3">
      <c r="A2815" s="1" t="s">
        <v>89</v>
      </c>
      <c r="B2815" s="1" t="s">
        <v>90</v>
      </c>
      <c r="C2815" s="1" t="s">
        <v>63</v>
      </c>
      <c r="D2815" s="1" t="s">
        <v>545</v>
      </c>
      <c r="E2815" s="1" t="s">
        <v>5332</v>
      </c>
      <c r="F2815" s="1" t="s">
        <v>5333</v>
      </c>
      <c r="G2815" s="1" t="s">
        <v>36</v>
      </c>
      <c r="H2815" s="1" t="s">
        <v>29</v>
      </c>
      <c r="I2815" s="1" t="str">
        <f ca="1">IFERROR(__xludf.DUMMYFUNCTION("GOOGLETRANSLATE(F2815, ""auto"", ""en"")
"),"Takes up little space in the closet")</f>
        <v>Takes up little space in the closet</v>
      </c>
    </row>
    <row r="2816" spans="1:9" x14ac:dyDescent="0.3">
      <c r="A2816" s="1" t="s">
        <v>105</v>
      </c>
      <c r="B2816" s="1" t="s">
        <v>106</v>
      </c>
      <c r="C2816" s="1" t="s">
        <v>1921</v>
      </c>
      <c r="D2816" s="1" t="s">
        <v>870</v>
      </c>
      <c r="E2816" s="1" t="s">
        <v>3184</v>
      </c>
      <c r="F2816" s="1" t="s">
        <v>5334</v>
      </c>
      <c r="G2816" s="1" t="s">
        <v>36</v>
      </c>
      <c r="H2816" s="1" t="s">
        <v>29</v>
      </c>
      <c r="I2816" s="1" t="str">
        <f ca="1">IFERROR(__xludf.DUMMYFUNCTION("GOOGLETRANSLATE(F2816, ""auto"", ""en"")
"),"For 3 months of use, no jambs were observed, no cons at all!!! I advise you will not regret it!!!")</f>
        <v>For 3 months of use, no jambs were observed, no cons at all!!! I advise you will not regret it!!!</v>
      </c>
    </row>
    <row r="2817" spans="1:9" x14ac:dyDescent="0.3">
      <c r="A2817" s="1" t="s">
        <v>211</v>
      </c>
      <c r="B2817" s="1" t="s">
        <v>265</v>
      </c>
      <c r="C2817" s="1" t="s">
        <v>57</v>
      </c>
      <c r="D2817" s="1" t="s">
        <v>2573</v>
      </c>
      <c r="E2817" s="1" t="s">
        <v>543</v>
      </c>
      <c r="F2817" s="1" t="s">
        <v>5335</v>
      </c>
      <c r="G2817" s="1" t="s">
        <v>36</v>
      </c>
      <c r="H2817" s="1" t="s">
        <v>29</v>
      </c>
      <c r="I2817" s="1" t="str">
        <f ca="1">IFERROR(__xludf.DUMMYFUNCTION("GOOGLETRANSLATE(F2817, ""auto"", ""en"")
"),"I bought it for my husband, he is very pleased. We've been using it for six months now and everything is fine, no problems!")</f>
        <v>I bought it for my husband, he is very pleased. We've been using it for six months now and everything is fine, no problems!</v>
      </c>
    </row>
    <row r="2818" spans="1:9" x14ac:dyDescent="0.3">
      <c r="A2818" s="1" t="s">
        <v>61</v>
      </c>
      <c r="B2818" s="1" t="s">
        <v>180</v>
      </c>
      <c r="C2818" s="1" t="s">
        <v>85</v>
      </c>
      <c r="D2818" s="1" t="s">
        <v>1917</v>
      </c>
      <c r="E2818" s="1" t="s">
        <v>563</v>
      </c>
      <c r="F2818" s="1" t="s">
        <v>5336</v>
      </c>
      <c r="G2818" s="1" t="s">
        <v>36</v>
      </c>
      <c r="H2818" s="1" t="s">
        <v>29</v>
      </c>
      <c r="I2818" s="1" t="str">
        <f ca="1">IFERROR(__xludf.DUMMYFUNCTION("GOOGLETRANSLATE(F2818, ""auto"", ""en"")
"),"An excellent toaster that has been serving us for about 2 years, we have never had any problems, it fries toast perfectly, and I also really like to fry it on one side and spread butter on the other, with red caviar on top, you’ll lick your fingers. I rec"&amp;"ommend it to everyone, I'm sure you won't be disappointed!!!")</f>
        <v>An excellent toaster that has been serving us for about 2 years, we have never had any problems, it fries toast perfectly, and I also really like to fry it on one side and spread butter on the other, with red caviar on top, you’ll lick your fingers. I recommend it to everyone, I'm sure you won't be disappointed!!!</v>
      </c>
    </row>
    <row r="2819" spans="1:9" x14ac:dyDescent="0.3">
      <c r="A2819" s="1" t="s">
        <v>369</v>
      </c>
      <c r="B2819" s="1" t="s">
        <v>2480</v>
      </c>
      <c r="C2819" s="1" t="s">
        <v>453</v>
      </c>
      <c r="D2819" s="1" t="s">
        <v>308</v>
      </c>
      <c r="E2819" s="1" t="s">
        <v>371</v>
      </c>
      <c r="F2819" s="1" t="s">
        <v>5337</v>
      </c>
      <c r="G2819" s="1" t="s">
        <v>28</v>
      </c>
      <c r="H2819" s="1" t="s">
        <v>29</v>
      </c>
      <c r="I2819" s="1" t="str">
        <f ca="1">IFERROR(__xludf.DUMMYFUNCTION("GOOGLETRANSLATE(F2819, ""auto"", ""en"")
"),"The tile works well! I'm quite happy, it helps in a new apartment because you can't buy everything at once))) It works for 6 months. It warms up quickly.")</f>
        <v>The tile works well! I'm quite happy, it helps in a new apartment because you can't buy everything at once))) It works for 6 months. It warms up quickly.</v>
      </c>
    </row>
    <row r="2820" spans="1:9" x14ac:dyDescent="0.3">
      <c r="A2820" s="1" t="s">
        <v>30</v>
      </c>
      <c r="B2820" s="1" t="s">
        <v>50</v>
      </c>
      <c r="C2820" s="1" t="s">
        <v>694</v>
      </c>
      <c r="D2820" s="1" t="s">
        <v>295</v>
      </c>
      <c r="E2820" s="1" t="s">
        <v>131</v>
      </c>
      <c r="F2820" s="1" t="s">
        <v>5338</v>
      </c>
      <c r="G2820" s="1" t="s">
        <v>28</v>
      </c>
      <c r="H2820" s="1" t="s">
        <v>29</v>
      </c>
      <c r="I2820" s="1" t="str">
        <f ca="1">IFERROR(__xludf.DUMMYFUNCTION("GOOGLETRANSLATE(F2820, ""auto"", ""en"")
"),"3 weeks ago I bought my daughter a levono s10-2 Mickey R netbook. It turned out that the netbook does not work without a network. In the morning, without any problems, we changed the original 3-section battery to a 6-section one. Accordingly, the time wit"&amp;"hout recharging has doubled and is about 5-6 hours (if Bluetooth is turned off, then longer) Unfortunately, there is no built-in 3G modem (there is only a hole for a SIM card, so you shouldn’t shove it there! Fail, check! In general, expectations were met"&amp;". Fast Internet, mediocre toys work. In general, if you need a mobile, inexpensive netbook, this is what you need: light, comfortable, cute!")</f>
        <v>3 weeks ago I bought my daughter a levono s10-2 Mickey R netbook. It turned out that the netbook does not work without a network. In the morning, without any problems, we changed the original 3-section battery to a 6-section one. Accordingly, the time without recharging has doubled and is about 5-6 hours (if Bluetooth is turned off, then longer) Unfortunately, there is no built-in 3G modem (there is only a hole for a SIM card, so you shouldn’t shove it there! Fail, check! In general, expectations were met. Fast Internet, mediocre toys work. In general, if you need a mobile, inexpensive netbook, this is what you need: light, comfortable, cute!</v>
      </c>
    </row>
    <row r="2821" spans="1:9" x14ac:dyDescent="0.3">
      <c r="A2821" s="1" t="s">
        <v>55</v>
      </c>
      <c r="B2821" s="1" t="s">
        <v>184</v>
      </c>
      <c r="C2821" s="1" t="s">
        <v>85</v>
      </c>
      <c r="D2821" s="1" t="s">
        <v>1456</v>
      </c>
      <c r="E2821" s="1" t="s">
        <v>3771</v>
      </c>
      <c r="F2821" s="1" t="s">
        <v>5339</v>
      </c>
      <c r="G2821" s="1" t="s">
        <v>28</v>
      </c>
      <c r="H2821" s="1" t="s">
        <v>29</v>
      </c>
      <c r="I2821" s="1" t="str">
        <f ca="1">IFERROR(__xludf.DUMMYFUNCTION("GOOGLETRANSLATE(F2821, ""auto"", ""en"")
"),"I don't like it yet. makes noise. At night it is even more audible. The flow of warm air goes along the top. the floor is cold. after 1.5 m you no longer feel the heat. And most importantly, the sockets melt. . I change the second extension cord in a week"&amp;".  Should I take it back to the store, but oil ones heat worse. That's for sure. I'm still looking closely.")</f>
        <v>I don't like it yet. makes noise. At night it is even more audible. The flow of warm air goes along the top. the floor is cold. after 1.5 m you no longer feel the heat. And most importantly, the sockets melt. . I change the second extension cord in a week.  Should I take it back to the store, but oil ones heat worse. That's for sure. I'm still looking closely.</v>
      </c>
    </row>
    <row r="2822" spans="1:9" x14ac:dyDescent="0.3">
      <c r="A2822" s="1" t="s">
        <v>37</v>
      </c>
      <c r="B2822" s="1" t="s">
        <v>536</v>
      </c>
      <c r="C2822" s="1" t="s">
        <v>151</v>
      </c>
      <c r="D2822" s="1" t="s">
        <v>172</v>
      </c>
      <c r="E2822" s="1" t="s">
        <v>1497</v>
      </c>
      <c r="F2822" s="1" t="s">
        <v>5340</v>
      </c>
      <c r="G2822" s="1" t="s">
        <v>28</v>
      </c>
      <c r="H2822" s="1" t="s">
        <v>29</v>
      </c>
      <c r="I2822" s="1" t="str">
        <f ca="1">IFERROR(__xludf.DUMMYFUNCTION("GOOGLETRANSLATE(F2822, ""auto"", ""en"")
"),"Yes, I also forgot to add: if you reflash it, then glitches may appear, my brother changed the firmware on a different phone and glitches appeared, some functions stop working.  And it's a worthwhile phone, the best product of 2009 according to one magazi"&amp;"ne")</f>
        <v>Yes, I also forgot to add: if you reflash it, then glitches may appear, my brother changed the firmware on a different phone and glitches appeared, some functions stop working.  And it's a worthwhile phone, the best product of 2009 according to one magazine</v>
      </c>
    </row>
    <row r="2823" spans="1:9" x14ac:dyDescent="0.3">
      <c r="A2823" s="1" t="s">
        <v>95</v>
      </c>
      <c r="B2823" s="1" t="s">
        <v>648</v>
      </c>
      <c r="C2823" s="1" t="s">
        <v>97</v>
      </c>
      <c r="D2823" s="1" t="s">
        <v>5341</v>
      </c>
      <c r="E2823" s="1" t="s">
        <v>4875</v>
      </c>
      <c r="F2823" s="1" t="s">
        <v>5342</v>
      </c>
      <c r="G2823" s="1" t="s">
        <v>36</v>
      </c>
      <c r="H2823" s="1" t="s">
        <v>29</v>
      </c>
      <c r="I2823" s="1" t="str">
        <f ca="1">IFERROR(__xludf.DUMMYFUNCTION("GOOGLETRANSLATE(F2823, ""auto"", ""en"")
"),"very good toy)) very happy with the purchase)))")</f>
        <v>very good toy)) very happy with the purchase)))</v>
      </c>
    </row>
    <row r="2824" spans="1:9" x14ac:dyDescent="0.3">
      <c r="A2824" s="1" t="s">
        <v>43</v>
      </c>
      <c r="B2824" s="1" t="s">
        <v>1382</v>
      </c>
      <c r="C2824" s="1" t="s">
        <v>85</v>
      </c>
      <c r="D2824" s="1" t="s">
        <v>5343</v>
      </c>
      <c r="E2824" s="1" t="s">
        <v>532</v>
      </c>
      <c r="F2824" s="1" t="s">
        <v>5344</v>
      </c>
      <c r="G2824" s="1" t="s">
        <v>28</v>
      </c>
      <c r="H2824" s="1" t="s">
        <v>29</v>
      </c>
      <c r="I2824" s="1" t="str">
        <f ca="1">IFERROR(__xludf.DUMMYFUNCTION("GOOGLETRANSLATE(F2824, ""auto"", ""en"")
"),"I agree with Yulia on everything except that he is strong. It is not super powerful, but for a room of 10-12 square meters. m just right. The blowing mode is not necessary, because the ventilation mode is much more effective. But the compactness and low n"&amp;"oise level are a +, only for the missing watts I give it 4")</f>
        <v>I agree with Yulia on everything except that he is strong. It is not super powerful, but for a room of 10-12 square meters. m just right. The blowing mode is not necessary, because the ventilation mode is much more effective. But the compactness and low noise level are a +, only for the missing watts I give it 4</v>
      </c>
    </row>
    <row r="2825" spans="1:9" x14ac:dyDescent="0.3">
      <c r="A2825" s="1" t="s">
        <v>89</v>
      </c>
      <c r="B2825" s="1" t="s">
        <v>231</v>
      </c>
      <c r="C2825" s="1" t="s">
        <v>185</v>
      </c>
      <c r="D2825" s="1" t="s">
        <v>5345</v>
      </c>
      <c r="E2825" s="1" t="s">
        <v>5346</v>
      </c>
      <c r="F2825" s="1" t="s">
        <v>5347</v>
      </c>
      <c r="G2825" s="1" t="s">
        <v>36</v>
      </c>
      <c r="H2825" s="1" t="s">
        <v>29</v>
      </c>
      <c r="I2825" s="1" t="str">
        <f ca="1">IFERROR(__xludf.DUMMYFUNCTION("GOOGLETRANSLATE(F2825, ""auto"", ""en"")
"),"1) It has what you need for the price. 2) All manipulations with cleaning, refueling, and maintenance are performed from the front, so you can install a large water tank in a row with other equipment: a microwave, a food processor, etc. 3) The foam is whi"&amp;"pped very dense, milk 3.5% Milok increases three times. 4) the coffee is strong, I had to reduce the strength adjustment by placing the dispenser in the middle. 5) Convenient table for cups on top. 6) A real Italian. Packed in a double box, the outside is"&amp;" all Italian with their stickers, barcodes, etc., apparently only from the road. 7) I think I’ll find it again. I haven’t noticed any shortcomings as such yet, but I just didn’t really feel the heating of the table. Well, if you don’t take into account th"&amp;"e incorrect description, an outdated photo on the official website, Yandex and throughout the entire network. I spent a long time choosing, when I settled on DeLong, I began to rush through the models, there was a huge selection of them. I spent two days "&amp;"and finally chose this one. When I called the online store, they explained to me that it turns out that all models up to 30,000 rubles are the same, the only difference is in the design and the presence of a display. The information on the official websit"&amp;"e is outdated, including instructions and photographs floating around the Internet. In fact, on this model, instead of a button with a faucet, there is a steam button like everyone else (during the selection process, this faucet scared me away because of "&amp;"the lack of a quick steam function, which is still confirmed on the website), and instead of a spoon button, an ECO button appeared. Thus, the machine has become equal in function to its older brothers and has reached the modern level. Normal fast steam, "&amp;"programming the shutdown time, contrary to the description on the official website, a switch appeared on the back wall. The instructions included are correct, and not the outdated ones from the office. site, if you want to read the correct one, download f"&amp;"rom an older model, all the buttons and functions are the same, the machines are the same. I highly recommend buying it, it’s a beautiful, compact, comfortable and stylish model with functions similar to expensive models. P/S/ I liked the phrase in the in"&amp;"structions at the very beginning. Take a COUPLE OF MINUTES to read these instructions :-)), it took me a lot longer to read, and it also took me a long time to figure out the settings, because... their mass.")</f>
        <v>1) It has what you need for the price. 2) All manipulations with cleaning, refueling, and maintenance are performed from the front, so you can install a large water tank in a row with other equipment: a microwave, a food processor, etc. 3) The foam is whipped very dense, milk 3.5% Milok increases three times. 4) the coffee is strong, I had to reduce the strength adjustment by placing the dispenser in the middle. 5) Convenient table for cups on top. 6) A real Italian. Packed in a double box, the outside is all Italian with their stickers, barcodes, etc., apparently only from the road. 7) I think I’ll find it again. I haven’t noticed any shortcomings as such yet, but I just didn’t really feel the heating of the table. Well, if you don’t take into account the incorrect description, an outdated photo on the official website, Yandex and throughout the entire network. I spent a long time choosing, when I settled on DeLong, I began to rush through the models, there was a huge selection of them. I spent two days and finally chose this one. When I called the online store, they explained to me that it turns out that all models up to 30,000 rubles are the same, the only difference is in the design and the presence of a display. The information on the official website is outdated, including instructions and photographs floating around the Internet. In fact, on this model, instead of a button with a faucet, there is a steam button like everyone else (during the selection process, this faucet scared me away because of the lack of a quick steam function, which is still confirmed on the website), and instead of a spoon button, an ECO button appeared. Thus, the machine has become equal in function to its older brothers and has reached the modern level. Normal fast steam, programming the shutdown time, contrary to the description on the official website, a switch appeared on the back wall. The instructions included are correct, and not the outdated ones from the office. site, if you want to read the correct one, download from an older model, all the buttons and functions are the same, the machines are the same. I highly recommend buying it, it’s a beautiful, compact, comfortable and stylish model with functions similar to expensive models. P/S/ I liked the phrase in the instructions at the very beginning. Take a COUPLE OF MINUTES to read these instructions :-)), it took me a lot longer to read, and it also took me a long time to figure out the settings, because... their mass.</v>
      </c>
    </row>
    <row r="2826" spans="1:9" x14ac:dyDescent="0.3">
      <c r="A2826" s="1" t="s">
        <v>61</v>
      </c>
      <c r="B2826" s="1" t="s">
        <v>318</v>
      </c>
      <c r="C2826" s="1" t="s">
        <v>246</v>
      </c>
      <c r="D2826" s="1" t="s">
        <v>5348</v>
      </c>
      <c r="E2826" s="1" t="s">
        <v>3089</v>
      </c>
      <c r="F2826" s="1" t="s">
        <v>5349</v>
      </c>
      <c r="G2826" s="1" t="s">
        <v>36</v>
      </c>
      <c r="H2826" s="1" t="s">
        <v>29</v>
      </c>
      <c r="I2826" s="1" t="str">
        <f ca="1">IFERROR(__xludf.DUMMYFUNCTION("GOOGLETRANSLATE(F2826, ""auto"", ""en"")
"),"I bought this model three years ago, only the color is light green.   cons: when the water is already boiling, it makes a loud noise, so that mobile subscribers ask what you have?) pros: it's a blast! When there is no water, you set the regulator to half "&amp;"heating and there is water. Easy to install on the socket! I'm very pleased!")</f>
        <v>I bought this model three years ago, only the color is light green.   cons: when the water is already boiling, it makes a loud noise, so that mobile subscribers ask what you have?) pros: it's a blast! When there is no water, you set the regulator to half heating and there is water. Easy to install on the socket! I'm very pleased!</v>
      </c>
    </row>
    <row r="2827" spans="1:9" x14ac:dyDescent="0.3">
      <c r="A2827" s="1" t="s">
        <v>89</v>
      </c>
      <c r="B2827" s="1" t="s">
        <v>231</v>
      </c>
      <c r="C2827" s="1" t="s">
        <v>1072</v>
      </c>
      <c r="D2827" s="1" t="s">
        <v>589</v>
      </c>
      <c r="E2827" s="1" t="s">
        <v>5350</v>
      </c>
      <c r="F2827" s="1" t="s">
        <v>5351</v>
      </c>
      <c r="G2827" s="1" t="s">
        <v>28</v>
      </c>
      <c r="H2827" s="1" t="s">
        <v>29</v>
      </c>
      <c r="I2827" s="1" t="str">
        <f ca="1">IFERROR(__xludf.DUMMYFUNCTION("GOOGLETRANSLATE(F2827, ""auto"", ""en"")
"),"Excellent device! Don't regret a single penny of money spent! The coffee is excellent! The one cooked in Turk is not even close in terms of strength or aroma, although I experimented with different varieties, degrees of grinding, and cooking recipes. It w"&amp;"orks quietly - the washing machine spins clothes louder. The foam is extraordinary - the first time it frothed the milk three times in two minutes. I make foam from baked milk. I've heard that you can whip chocolate, but haven't tried it yet. The coffee i"&amp;"sn't very hot, but I don't need boiling water. Ready drink - take it and drink. I was a little confused by the unclear instructions for preparing ground coffee. I went to the store where I bought the coffee machine, and a kind girl consultant explained ev"&amp;"erything to me.")</f>
        <v>Excellent device! Don't regret a single penny of money spent! The coffee is excellent! The one cooked in Turk is not even close in terms of strength or aroma, although I experimented with different varieties, degrees of grinding, and cooking recipes. It works quietly - the washing machine spins clothes louder. The foam is extraordinary - the first time it frothed the milk three times in two minutes. I make foam from baked milk. I've heard that you can whip chocolate, but haven't tried it yet. The coffee isn't very hot, but I don't need boiling water. Ready drink - take it and drink. I was a little confused by the unclear instructions for preparing ground coffee. I went to the store where I bought the coffee machine, and a kind girl consultant explained everything to me.</v>
      </c>
    </row>
    <row r="2828" spans="1:9" x14ac:dyDescent="0.3">
      <c r="A2828" s="1" t="s">
        <v>477</v>
      </c>
      <c r="B2828" s="1" t="s">
        <v>478</v>
      </c>
      <c r="C2828" s="1" t="s">
        <v>479</v>
      </c>
      <c r="D2828" s="1" t="s">
        <v>5189</v>
      </c>
      <c r="E2828" s="1" t="s">
        <v>1129</v>
      </c>
      <c r="F2828" s="1" t="s">
        <v>5352</v>
      </c>
      <c r="G2828" s="1" t="s">
        <v>36</v>
      </c>
      <c r="H2828" s="1" t="s">
        <v>29</v>
      </c>
      <c r="I2828" s="1" t="str">
        <f ca="1">IFERROR(__xludf.DUMMYFUNCTION("GOOGLETRANSLATE(F2828, ""auto"", ""en"")
"),"Great game. I played for 15 minutes at a friend’s place and after that I decided to buy myself such a computer with the highest settings (with NVidia PhysX and CUDA). What about IVAN? How to put it into RUSSIAN language. You go to STEAM, find MAFIA II and"&amp;" set it to Russian in the settings. And about the brakes... It looks like your settings really don't meet the minimum settings. Minimum required: NVidia GeForce 8600, Intel Pentium D with a frequency of 3 GHz, 1.5 GB of RAM.")</f>
        <v>Great game. I played for 15 minutes at a friend’s place and after that I decided to buy myself such a computer with the highest settings (with NVidia PhysX and CUDA). What about IVAN? How to put it into RUSSIAN language. You go to STEAM, find MAFIA II and set it to Russian in the settings. And about the brakes... It looks like your settings really don't meet the minimum settings. Minimum required: NVidia GeForce 8600, Intel Pentium D with a frequency of 3 GHz, 1.5 GB of RAM.</v>
      </c>
    </row>
    <row r="2829" spans="1:9" x14ac:dyDescent="0.3">
      <c r="A2829" s="1" t="s">
        <v>61</v>
      </c>
      <c r="B2829" s="1" t="s">
        <v>318</v>
      </c>
      <c r="C2829" s="1" t="s">
        <v>4871</v>
      </c>
      <c r="D2829" s="1" t="s">
        <v>327</v>
      </c>
      <c r="E2829" s="1" t="s">
        <v>5353</v>
      </c>
      <c r="F2829" s="1" t="s">
        <v>5354</v>
      </c>
      <c r="G2829" s="1" t="s">
        <v>36</v>
      </c>
      <c r="H2829" s="1" t="s">
        <v>29</v>
      </c>
      <c r="I2829" s="1" t="str">
        <f ca="1">IFERROR(__xludf.DUMMYFUNCTION("GOOGLETRANSLATE(F2829, ""auto"", ""en"")
"),"Excellent thermopot, the best company. I highly recommend it! You won't regret the money spent.")</f>
        <v>Excellent thermopot, the best company. I highly recommend it! You won't regret the money spent.</v>
      </c>
    </row>
    <row r="2830" spans="1:9" x14ac:dyDescent="0.3">
      <c r="A2830" s="1" t="s">
        <v>2087</v>
      </c>
      <c r="B2830" s="1" t="s">
        <v>2088</v>
      </c>
      <c r="C2830" s="1" t="s">
        <v>1771</v>
      </c>
      <c r="D2830" s="1" t="s">
        <v>366</v>
      </c>
      <c r="E2830" s="1" t="s">
        <v>3730</v>
      </c>
      <c r="F2830" s="1" t="s">
        <v>5355</v>
      </c>
      <c r="G2830" s="1" t="s">
        <v>36</v>
      </c>
      <c r="H2830" s="1" t="s">
        <v>29</v>
      </c>
      <c r="I2830" s="1" t="str">
        <f ca="1">IFERROR(__xludf.DUMMYFUNCTION("GOOGLETRANSLATE(F2830, ""auto"", ""en"")
"),"Yes, I bought myself a new toy, the device is excellent, the quality of the picture and sound is prohibitive, minus one thing - it takes a long time to load, and even a new format of Blu-ray discs like ((avatar)) refused to read, gave a link to the site, "&amp;"I had to update the software, but after the update it became even better.")</f>
        <v>Yes, I bought myself a new toy, the device is excellent, the quality of the picture and sound is prohibitive, minus one thing - it takes a long time to load, and even a new format of Blu-ray discs like ((avatar)) refused to read, gave a link to the site, I had to update the software, but after the update it became even better.</v>
      </c>
    </row>
    <row r="2831" spans="1:9" x14ac:dyDescent="0.3">
      <c r="A2831" s="1" t="s">
        <v>61</v>
      </c>
      <c r="B2831" s="1" t="s">
        <v>318</v>
      </c>
      <c r="C2831" s="1" t="s">
        <v>246</v>
      </c>
      <c r="D2831" s="1" t="s">
        <v>919</v>
      </c>
      <c r="E2831" s="1" t="s">
        <v>3203</v>
      </c>
      <c r="F2831" s="1" t="s">
        <v>5356</v>
      </c>
      <c r="G2831" s="1" t="s">
        <v>28</v>
      </c>
      <c r="H2831" s="1" t="s">
        <v>29</v>
      </c>
      <c r="I2831" s="1" t="str">
        <f ca="1">IFERROR(__xludf.DUMMYFUNCTION("GOOGLETRANSLATE(F2831, ""auto"", ""en"")
"),"I’ve been using the kettle for about 2 years. It still works. When I bought it, I liked the appearance, the modern design, the water boils quickly enough, unfortunately, stains quickly appear on the metal surface, but they can be easily washed off with a "&amp;"detergent, but most of all I didn’t like the strong noise when used (when compared with plastic kettles), but if the noise level is not the main thing for you, then I recommend buying it.")</f>
        <v>I’ve been using the kettle for about 2 years. It still works. When I bought it, I liked the appearance, the modern design, the water boils quickly enough, unfortunately, stains quickly appear on the metal surface, but they can be easily washed off with a detergent, but most of all I didn’t like the strong noise when used (when compared with plastic kettles), but if the noise level is not the main thing for you, then I recommend buying it.</v>
      </c>
    </row>
    <row r="2832" spans="1:9" x14ac:dyDescent="0.3">
      <c r="A2832" s="1" t="s">
        <v>477</v>
      </c>
      <c r="B2832" s="1" t="s">
        <v>478</v>
      </c>
      <c r="C2832" s="1" t="s">
        <v>479</v>
      </c>
      <c r="D2832" s="1" t="s">
        <v>152</v>
      </c>
      <c r="E2832" s="1" t="s">
        <v>2533</v>
      </c>
      <c r="F2832" s="1" t="s">
        <v>5357</v>
      </c>
      <c r="G2832" s="1" t="s">
        <v>49</v>
      </c>
      <c r="H2832" s="1" t="s">
        <v>16</v>
      </c>
      <c r="I2832" s="1" t="str">
        <f ca="1">IFERROR(__xludf.DUMMYFUNCTION("GOOGLETRANSLATE(F2832, ""auto"", ""en"")
"),"As soon as I see these two words “Russian Racing”, I won’t want to play the game, much less buy it!  Well, they still don’t know how to make good games in Russia!  From me: The game is terrible!")</f>
        <v>As soon as I see these two words “Russian Racing”, I won’t want to play the game, much less buy it!  Well, they still don’t know how to make good games in Russia!  From me: The game is terrible!</v>
      </c>
    </row>
    <row r="2833" spans="1:9" x14ac:dyDescent="0.3">
      <c r="A2833" s="1" t="s">
        <v>61</v>
      </c>
      <c r="B2833" s="1" t="s">
        <v>145</v>
      </c>
      <c r="C2833" s="1" t="s">
        <v>57</v>
      </c>
      <c r="D2833" s="1" t="s">
        <v>695</v>
      </c>
      <c r="E2833" s="1" t="s">
        <v>4452</v>
      </c>
      <c r="F2833" s="1" t="s">
        <v>5358</v>
      </c>
      <c r="G2833" s="1" t="s">
        <v>36</v>
      </c>
      <c r="H2833" s="1" t="s">
        <v>29</v>
      </c>
      <c r="I2833" s="1" t="str">
        <f ca="1">IFERROR(__xludf.DUMMYFUNCTION("GOOGLETRANSLATE(F2833, ""auto"", ""en"")
"),"The Vitek VT-1535 deep fryer is a great thing! The quality is super, the plastic is great, compact, super efficient and economical (only half a liter of oil!), half a liter of oil is enough to cook 5 kg of potatoes without deteriorating in taste (tested);"&amp;" no hassle with cleaning, very convenient and thoughtful design. The only thing is you need a kitchen oven mitt :)")</f>
        <v>The Vitek VT-1535 deep fryer is a great thing! The quality is super, the plastic is great, compact, super efficient and economical (only half a liter of oil!), half a liter of oil is enough to cook 5 kg of potatoes without deteriorating in taste (tested); no hassle with cleaning, very convenient and thoughtful design. The only thing is you need a kitchen oven mitt :)</v>
      </c>
    </row>
    <row r="2834" spans="1:9" x14ac:dyDescent="0.3">
      <c r="A2834" s="1" t="s">
        <v>105</v>
      </c>
      <c r="B2834" s="1" t="s">
        <v>106</v>
      </c>
      <c r="C2834" s="1" t="s">
        <v>1209</v>
      </c>
      <c r="D2834" s="1" t="s">
        <v>220</v>
      </c>
      <c r="E2834" s="1" t="s">
        <v>1586</v>
      </c>
      <c r="F2834" s="1" t="s">
        <v>5359</v>
      </c>
      <c r="G2834" s="1" t="s">
        <v>36</v>
      </c>
      <c r="H2834" s="1" t="s">
        <v>29</v>
      </c>
      <c r="I2834" s="1" t="str">
        <f ca="1">IFERROR(__xludf.DUMMYFUNCTION("GOOGLETRANSLATE(F2834, ""auto"", ""en"")
"),"My dad gave me a player 3 years ago, I didn’t use it for six months, when I started, I just fell in love. It's a wonderful thing, but it recently broke and won't turn on. I will send it in for repair. But still, during the entire time of its use it behave"&amp;"d well, I was satisfied. Great memory, functional... just super! :) They just deceived me a little, it was written that it was touch sensitive, unfortunately, this is not so.")</f>
        <v>My dad gave me a player 3 years ago, I didn’t use it for six months, when I started, I just fell in love. It's a wonderful thing, but it recently broke and won't turn on. I will send it in for repair. But still, during the entire time of its use it behaved well, I was satisfied. Great memory, functional... just super! :) They just deceived me a little, it was written that it was touch sensitive, unfortunately, this is not so.</v>
      </c>
    </row>
    <row r="2835" spans="1:9" x14ac:dyDescent="0.3">
      <c r="A2835" s="1" t="s">
        <v>624</v>
      </c>
      <c r="B2835" s="1" t="s">
        <v>625</v>
      </c>
      <c r="C2835" s="1" t="s">
        <v>479</v>
      </c>
      <c r="D2835" s="1" t="s">
        <v>152</v>
      </c>
      <c r="E2835" s="1" t="s">
        <v>1909</v>
      </c>
      <c r="F2835" s="1" t="s">
        <v>5360</v>
      </c>
      <c r="G2835" s="1" t="s">
        <v>36</v>
      </c>
      <c r="H2835" s="1" t="s">
        <v>29</v>
      </c>
      <c r="I2835" s="1" t="str">
        <f ca="1">IFERROR(__xludf.DUMMYFUNCTION("GOOGLETRANSLATE(F2835, ""auto"", ""en"")
"),"All games can be played with one Move, that's true.  In Gladiatorial battles, by holding the ""trigger"" (T), you switch to defense mode and begin to control one Move with a shield instead of a sword. When you release the trigger, you control the sword ag"&amp;"ain.    In Archery, a single Move is responsible mainly for the arrow (pulling it out and shooting it), the bow is aimed by the Move, of course, but indirectly.    Everything is more interesting with 2 Moves in these games, when, for example, in the left "&amp;"hand there is an independent Move-shield, and in the right hand an independent Move-sword or a beam and arrow, respectively. The immersion into the game with 2 Moves is much stronger.")</f>
        <v>All games can be played with one Move, that's true.  In Gladiatorial battles, by holding the "trigger" (T), you switch to defense mode and begin to control one Move with a shield instead of a sword. When you release the trigger, you control the sword again.    In Archery, a single Move is responsible mainly for the arrow (pulling it out and shooting it), the bow is aimed by the Move, of course, but indirectly.    Everything is more interesting with 2 Moves in these games, when, for example, in the left hand there is an independent Move-shield, and in the right hand an independent Move-sword or a beam and arrow, respectively. The immersion into the game with 2 Moves is much stronger.</v>
      </c>
    </row>
    <row r="2836" spans="1:9" x14ac:dyDescent="0.3">
      <c r="A2836" s="1" t="s">
        <v>2087</v>
      </c>
      <c r="B2836" s="1" t="s">
        <v>2088</v>
      </c>
      <c r="C2836" s="1" t="s">
        <v>151</v>
      </c>
      <c r="D2836" s="1" t="s">
        <v>5204</v>
      </c>
      <c r="E2836" s="1" t="s">
        <v>2640</v>
      </c>
      <c r="F2836" s="1" t="s">
        <v>5361</v>
      </c>
      <c r="G2836" s="1" t="s">
        <v>36</v>
      </c>
      <c r="H2836" s="1" t="s">
        <v>29</v>
      </c>
      <c r="I2836" s="1" t="str">
        <f ca="1">IFERROR(__xludf.DUMMYFUNCTION("GOOGLETRANSLATE(F2836, ""auto"", ""en"")
"),"The player is good, the equipment pleased me. The set includes an HDMI-HDMI cable (although the consultant in the hall didn’t know about it and wanted to sell me such a cable separately at a price of 2500 rubles), 3 Blu-ray discs (which is also very good,"&amp;" because buying discs for a ruble is expensive).    As for USB, the player read the flash drive and screw (Seagate FreeAgent 320) normally in both FAT32 and NTFS!!!    I was pleased to be able to watch YouTube from the player. Connecting the player to the"&amp;" Internet did not cause any problems, I connected the wire to the router and everything worked. When starting, the player checks for the latest firmware and downloads them itself (no need to surf websites and download them separately).    It is not yet po"&amp;"ssible to play HD video from the screw, there is no sound, there is no picture, the player writes that the format is not supported. Now I'm experimenting with different resolutions and codecs.    Everything else is without any complaints so far, I recomme"&amp;"nd not to trust the instructions, because... Firmware is constantly changing and capabilities are expanding.")</f>
        <v>The player is good, the equipment pleased me. The set includes an HDMI-HDMI cable (although the consultant in the hall didn’t know about it and wanted to sell me such a cable separately at a price of 2500 rubles), 3 Blu-ray discs (which is also very good, because buying discs for a ruble is expensive).    As for USB, the player read the flash drive and screw (Seagate FreeAgent 320) normally in both FAT32 and NTFS!!!    I was pleased to be able to watch YouTube from the player. Connecting the player to the Internet did not cause any problems, I connected the wire to the router and everything worked. When starting, the player checks for the latest firmware and downloads them itself (no need to surf websites and download them separately).    It is not yet possible to play HD video from the screw, there is no sound, there is no picture, the player writes that the format is not supported. Now I'm experimenting with different resolutions and codecs.    Everything else is without any complaints so far, I recommend not to trust the instructions, because... Firmware is constantly changing and capabilities are expanding.</v>
      </c>
    </row>
    <row r="2837" spans="1:9" x14ac:dyDescent="0.3">
      <c r="A2837" s="1" t="s">
        <v>89</v>
      </c>
      <c r="B2837" s="1" t="s">
        <v>231</v>
      </c>
      <c r="C2837" s="1" t="s">
        <v>63</v>
      </c>
      <c r="D2837" s="1" t="s">
        <v>568</v>
      </c>
      <c r="E2837" s="1" t="s">
        <v>1792</v>
      </c>
      <c r="F2837" s="1" t="s">
        <v>5362</v>
      </c>
      <c r="G2837" s="1" t="s">
        <v>36</v>
      </c>
      <c r="H2837" s="1" t="s">
        <v>29</v>
      </c>
      <c r="I2837" s="1" t="str">
        <f ca="1">IFERROR(__xludf.DUMMYFUNCTION("GOOGLETRANSLATE(F2837, ""auto"", ""en"")
"),"So far we're happy.  Something went wrong with the washing. It was necessary to make a separate key.    If you run out of water and you add water, but the device does not work, turn the steam switch 2 seconds. The instructions don't say this.    The coffe"&amp;"e is delicious, even without milk. In a transparent glass, the color of the coffee ranges from beige on top to dark on the bottom, as in the pictures.  The milk frother makes cool foam from milk that does not settle.    One bad thing - they raised the pri"&amp;"ce by 20 thousand. Bought with coupons for 16,000.")</f>
        <v>So far we're happy.  Something went wrong with the washing. It was necessary to make a separate key.    If you run out of water and you add water, but the device does not work, turn the steam switch 2 seconds. The instructions don't say this.    The coffee is delicious, even without milk. In a transparent glass, the color of the coffee ranges from beige on top to dark on the bottom, as in the pictures.  The milk frother makes cool foam from milk that does not settle.    One bad thing - they raised the price by 20 thousand. Bought with coupons for 16,000.</v>
      </c>
    </row>
    <row r="2838" spans="1:9" x14ac:dyDescent="0.3">
      <c r="A2838" s="1" t="s">
        <v>61</v>
      </c>
      <c r="B2838" s="1" t="s">
        <v>318</v>
      </c>
      <c r="C2838" s="1" t="s">
        <v>57</v>
      </c>
      <c r="D2838" s="1" t="s">
        <v>589</v>
      </c>
      <c r="E2838" s="1" t="s">
        <v>3854</v>
      </c>
      <c r="F2838" s="1" t="s">
        <v>5363</v>
      </c>
      <c r="G2838" s="1" t="s">
        <v>36</v>
      </c>
      <c r="H2838" s="1" t="s">
        <v>29</v>
      </c>
      <c r="I2838" s="1" t="str">
        <f ca="1">IFERROR(__xludf.DUMMYFUNCTION("GOOGLETRANSLATE(F2838, ""auto"", ""en"")
"),"An excellent purchase for a family with small children. Having bought a thermopot, I finally got rid of the eternal boiling and cooling of the kettle. Now I dilute both teas and baby food without any problems. This particular model attracted me with its p"&amp;"rice and cute appearance. The body is made of high-quality stainless steel and does not heat up at all when boiling. Water can be poured using a pump or valve. I like the pump best. The model is simple and safe - it does not heat up, does not leak, and ha"&amp;"s a lid lock. In general, I can’t say anything bad. Only positive impressions.")</f>
        <v>An excellent purchase for a family with small children. Having bought a thermopot, I finally got rid of the eternal boiling and cooling of the kettle. Now I dilute both teas and baby food without any problems. This particular model attracted me with its price and cute appearance. The body is made of high-quality stainless steel and does not heat up at all when boiling. Water can be poured using a pump or valve. I like the pump best. The model is simple and safe - it does not heat up, does not leak, and has a lid lock. In general, I can’t say anything bad. Only positive impressions.</v>
      </c>
    </row>
    <row r="2839" spans="1:9" x14ac:dyDescent="0.3">
      <c r="A2839" s="1" t="s">
        <v>624</v>
      </c>
      <c r="B2839" s="1" t="s">
        <v>625</v>
      </c>
      <c r="C2839" s="1" t="s">
        <v>479</v>
      </c>
      <c r="D2839" s="1" t="s">
        <v>3456</v>
      </c>
      <c r="E2839" s="1" t="s">
        <v>395</v>
      </c>
      <c r="F2839" s="1" t="s">
        <v>5364</v>
      </c>
      <c r="G2839" s="1" t="s">
        <v>36</v>
      </c>
      <c r="H2839" s="1" t="s">
        <v>29</v>
      </c>
      <c r="I2839" s="1" t="str">
        <f ca="1">IFERROR(__xludf.DUMMYFUNCTION("GOOGLETRANSLATE(F2839, ""auto"", ""en"")
"),"With one Move you can play all games, the second Move is needed for games with two people, volleyball, bow, table tennis,")</f>
        <v>With one Move you can play all games, the second Move is needed for games with two people, volleyball, bow, table tennis,</v>
      </c>
    </row>
    <row r="2840" spans="1:9" x14ac:dyDescent="0.3">
      <c r="A2840" s="1" t="s">
        <v>149</v>
      </c>
      <c r="B2840" s="1" t="s">
        <v>150</v>
      </c>
      <c r="C2840" s="1" t="s">
        <v>151</v>
      </c>
      <c r="D2840" s="1" t="s">
        <v>940</v>
      </c>
      <c r="E2840" s="1" t="s">
        <v>4552</v>
      </c>
      <c r="F2840" s="1" t="s">
        <v>5365</v>
      </c>
      <c r="G2840" s="1" t="s">
        <v>36</v>
      </c>
      <c r="H2840" s="1" t="s">
        <v>29</v>
      </c>
      <c r="I2840" s="1" t="str">
        <f ca="1">IFERROR(__xludf.DUMMYFUNCTION("GOOGLETRANSLATE(F2840, ""auto"", ""en"")
"),"Still, I bought a Samsung SP-9480. The main criterion for the purchase was the absence of these vacuum cleaners in the 3 nearest large stores and their warehouses. It turns out that all the bad vacuum cleaners with aqua filters have been sold out - only t"&amp;"he good ones with bags and containers remain. The delivery arrived, poured it, turned it on, moved around a little to try it - so much dirt, as if it had never been cleaned. The quality of plastic, assembly and parts is decent. Overall, very pleased so fa"&amp;"r. The only thing that scared me was that immediately after cleaning, the remote control on the vacuum cleaner handle stopped working. I got upset and put it in a box to change it. Then I remembered that something similar had already happened to me with o"&amp;"ther equipment with IR control and I just had to pull the plug and wait a little. Apparently, static from friction on the carpet accumulates somewhere. I took it out of the box, turned it on - everything worked. In general we recommend it.")</f>
        <v>Still, I bought a Samsung SP-9480. The main criterion for the purchase was the absence of these vacuum cleaners in the 3 nearest large stores and their warehouses. It turns out that all the bad vacuum cleaners with aqua filters have been sold out - only the good ones with bags and containers remain. The delivery arrived, poured it, turned it on, moved around a little to try it - so much dirt, as if it had never been cleaned. The quality of plastic, assembly and parts is decent. Overall, very pleased so far. The only thing that scared me was that immediately after cleaning, the remote control on the vacuum cleaner handle stopped working. I got upset and put it in a box to change it. Then I remembered that something similar had already happened to me with other equipment with IR control and I just had to pull the plug and wait a little. Apparently, static from friction on the carpet accumulates somewhere. I took it out of the box, turned it on - everything worked. In general we recommend it.</v>
      </c>
    </row>
    <row r="2841" spans="1:9" x14ac:dyDescent="0.3">
      <c r="A2841" s="1" t="s">
        <v>61</v>
      </c>
      <c r="B2841" s="1" t="s">
        <v>145</v>
      </c>
      <c r="C2841" s="1" t="s">
        <v>1981</v>
      </c>
      <c r="D2841" s="1" t="s">
        <v>1506</v>
      </c>
      <c r="E2841" s="1" t="s">
        <v>3714</v>
      </c>
      <c r="F2841" s="1" t="s">
        <v>5366</v>
      </c>
      <c r="G2841" s="1" t="s">
        <v>36</v>
      </c>
      <c r="H2841" s="1" t="s">
        <v>29</v>
      </c>
      <c r="I2841" s="1" t="str">
        <f ca="1">IFERROR(__xludf.DUMMYFUNCTION("GOOGLETRANSLATE(F2841, ""auto"", ""en"")
"),"It’s just a great irreplaceable thing in the kitchen, the egg cooks quickly and without any problems and is exactly what you need. I recommend it to everyone.")</f>
        <v>It’s just a great irreplaceable thing in the kitchen, the egg cooks quickly and without any problems and is exactly what you need. I recommend it to everyone.</v>
      </c>
    </row>
    <row r="2842" spans="1:9" x14ac:dyDescent="0.3">
      <c r="A2842" s="1" t="s">
        <v>149</v>
      </c>
      <c r="B2842" s="1" t="s">
        <v>155</v>
      </c>
      <c r="C2842" s="1" t="s">
        <v>1187</v>
      </c>
      <c r="D2842" s="1" t="s">
        <v>166</v>
      </c>
      <c r="E2842" s="1" t="s">
        <v>750</v>
      </c>
      <c r="F2842" s="1" t="s">
        <v>5367</v>
      </c>
      <c r="G2842" s="1" t="s">
        <v>36</v>
      </c>
      <c r="H2842" s="1" t="s">
        <v>29</v>
      </c>
      <c r="I2842" s="1" t="str">
        <f ca="1">IFERROR(__xludf.DUMMYFUNCTION("GOOGLETRANSLATE(F2842, ""auto"", ""en"")
"),"We bought a Dyson/DC29 Allergy vacuum cleaner. It didn’t take long to choose, looked at reviews on the Internet, and settled on this model. When choosing in the store, it seemed heavy, as operation showed, you didn’t feel it at all. I used it 2 times, but"&amp;" immediately felt the difference. Both the body and the brush itself are very maneuverable. I did the cleaning 2 or even 3 times faster than with the old vacuum cleaner. I was a little disappointed that it took up more space when parking than the old vacu"&amp;"um cleaner. Before that I had a Bork from cheap models, after three years the hose broke, and besides, they were tired of looking for an HP filter, which was never on sale. But in general, the vacuum cleaner is just super!!! A worthy alternative to vacuum"&amp;" cleaners of the same price category only with consumables. Optimal price-quality ratio.")</f>
        <v>We bought a Dyson/DC29 Allergy vacuum cleaner. It didn’t take long to choose, looked at reviews on the Internet, and settled on this model. When choosing in the store, it seemed heavy, as operation showed, you didn’t feel it at all. I used it 2 times, but immediately felt the difference. Both the body and the brush itself are very maneuverable. I did the cleaning 2 or even 3 times faster than with the old vacuum cleaner. I was a little disappointed that it took up more space when parking than the old vacuum cleaner. Before that I had a Bork from cheap models, after three years the hose broke, and besides, they were tired of looking for an HP filter, which was never on sale. But in general, the vacuum cleaner is just super!!! A worthy alternative to vacuum cleaners of the same price category only with consumables. Optimal price-quality ratio.</v>
      </c>
    </row>
    <row r="2843" spans="1:9" x14ac:dyDescent="0.3">
      <c r="A2843" s="1" t="s">
        <v>369</v>
      </c>
      <c r="B2843" s="1" t="s">
        <v>2480</v>
      </c>
      <c r="C2843" s="1" t="s">
        <v>453</v>
      </c>
      <c r="D2843" s="1" t="s">
        <v>5368</v>
      </c>
      <c r="E2843" s="1" t="s">
        <v>5369</v>
      </c>
      <c r="F2843" s="1" t="s">
        <v>5370</v>
      </c>
      <c r="G2843" s="1" t="s">
        <v>15</v>
      </c>
      <c r="H2843" s="1" t="s">
        <v>16</v>
      </c>
      <c r="I2843" s="1" t="str">
        <f ca="1">IFERROR(__xludf.DUMMYFUNCTION("GOOGLETRANSLATE(F2843, ""auto"", ""en"")
"),"Heats up quickly")</f>
        <v>Heats up quickly</v>
      </c>
    </row>
    <row r="2844" spans="1:9" x14ac:dyDescent="0.3">
      <c r="A2844" s="1" t="s">
        <v>105</v>
      </c>
      <c r="B2844" s="1" t="s">
        <v>106</v>
      </c>
      <c r="C2844" s="1" t="s">
        <v>1419</v>
      </c>
      <c r="D2844" s="1" t="s">
        <v>305</v>
      </c>
      <c r="E2844" s="1" t="s">
        <v>3512</v>
      </c>
      <c r="F2844" s="1" t="s">
        <v>5371</v>
      </c>
      <c r="G2844" s="1" t="s">
        <v>28</v>
      </c>
      <c r="H2844" s="1" t="s">
        <v>29</v>
      </c>
      <c r="I2844" s="1" t="str">
        <f ca="1">IFERROR(__xludf.DUMMYFUNCTION("GOOGLETRANSLATE(F2844, ""auto"", ""en"")
"),"If you can’t hear, attach speakers to your head, 10 watts :)) The player is convenient, everything is visible on the display, the sound is good.")</f>
        <v>If you can’t hear, attach speakers to your head, 10 watts :)) The player is convenient, everything is visible on the display, the sound is good.</v>
      </c>
    </row>
    <row r="2845" spans="1:9" x14ac:dyDescent="0.3">
      <c r="A2845" s="1" t="s">
        <v>30</v>
      </c>
      <c r="B2845" s="1" t="s">
        <v>50</v>
      </c>
      <c r="C2845" s="1" t="s">
        <v>377</v>
      </c>
      <c r="D2845" s="1" t="s">
        <v>5372</v>
      </c>
      <c r="E2845" s="1" t="s">
        <v>597</v>
      </c>
      <c r="F2845" s="1" t="s">
        <v>5373</v>
      </c>
      <c r="G2845" s="1" t="s">
        <v>36</v>
      </c>
      <c r="H2845" s="1" t="s">
        <v>29</v>
      </c>
      <c r="I2845" s="1" t="str">
        <f ca="1">IFERROR(__xludf.DUMMYFUNCTION("GOOGLETRANSLATE(F2845, ""auto"", ""en"")
"),"For a long time I was looking for a suitable laptop for myself and settled on the Compaq 615 Laptop; it combines price, quality and all the necessary functions within reasonable limits in this segment!!!!!!")</f>
        <v>For a long time I was looking for a suitable laptop for myself and settled on the Compaq 615 Laptop; it combines price, quality and all the necessary functions within reasonable limits in this segment!!!!!!</v>
      </c>
    </row>
    <row r="2846" spans="1:9" x14ac:dyDescent="0.3">
      <c r="A2846" s="1" t="s">
        <v>149</v>
      </c>
      <c r="B2846" s="1" t="s">
        <v>423</v>
      </c>
      <c r="C2846" s="1" t="s">
        <v>531</v>
      </c>
      <c r="D2846" s="1" t="s">
        <v>75</v>
      </c>
      <c r="E2846" s="1" t="s">
        <v>3778</v>
      </c>
      <c r="F2846" s="1" t="s">
        <v>5374</v>
      </c>
      <c r="G2846" s="1" t="s">
        <v>28</v>
      </c>
      <c r="H2846" s="1" t="s">
        <v>29</v>
      </c>
      <c r="I2846" s="1" t="str">
        <f ca="1">IFERROR(__xludf.DUMMYFUNCTION("GOOGLETRANSLATE(F2846, ""auto"", ""en"")
"),"I've been using this model for a little over a year. Relatively inexpensive. The advantages of this model are reduced to 5+; you can wash windows (although there is no separate nozzle for this), tiles in the bathroom, floors, carpets, upholstered furnitur"&amp;"e. Especially after the first cleaning, it’s amazing how dirty they lived in before. A rag and a simple vacuum cleaner, they don’t clean like Thomas! It absorbs water well, the floors are immediately dry. Of course, you can’t do wet cleaning every week, b"&amp;"ecause... After this, you need to rinse all hoses, tubes and filters well. There are no big disadvantages, it’s still a bit heavy, there’s no turbo brush included, so I had to buy it separately; After 3 months of use, the metal tube stopped folding, now t"&amp;"he water supply gun is loose, they don’t sell original detergents, but I would like to. But the vacuum cleaner is not bad.")</f>
        <v>I've been using this model for a little over a year. Relatively inexpensive. The advantages of this model are reduced to 5+; you can wash windows (although there is no separate nozzle for this), tiles in the bathroom, floors, carpets, upholstered furniture. Especially after the first cleaning, it’s amazing how dirty they lived in before. A rag and a simple vacuum cleaner, they don’t clean like Thomas! It absorbs water well, the floors are immediately dry. Of course, you can’t do wet cleaning every week, because... After this, you need to rinse all hoses, tubes and filters well. There are no big disadvantages, it’s still a bit heavy, there’s no turbo brush included, so I had to buy it separately; After 3 months of use, the metal tube stopped folding, now the water supply gun is loose, they don’t sell original detergents, but I would like to. But the vacuum cleaner is not bad.</v>
      </c>
    </row>
    <row r="2847" spans="1:9" x14ac:dyDescent="0.3">
      <c r="A2847" s="1" t="s">
        <v>169</v>
      </c>
      <c r="B2847" s="1" t="s">
        <v>170</v>
      </c>
      <c r="C2847" s="1" t="s">
        <v>97</v>
      </c>
      <c r="D2847" s="1" t="s">
        <v>75</v>
      </c>
      <c r="E2847" s="1" t="s">
        <v>194</v>
      </c>
      <c r="F2847" s="1" t="s">
        <v>5375</v>
      </c>
      <c r="G2847" s="1" t="s">
        <v>36</v>
      </c>
      <c r="H2847" s="1" t="s">
        <v>29</v>
      </c>
      <c r="I2847" s="1" t="str">
        <f ca="1">IFERROR(__xludf.DUMMYFUNCTION("GOOGLETRANSLATE(F2847, ""auto"", ""en"")
"),"The best headphones!")</f>
        <v>The best headphones!</v>
      </c>
    </row>
    <row r="2848" spans="1:9" x14ac:dyDescent="0.3">
      <c r="A2848" s="1" t="s">
        <v>9</v>
      </c>
      <c r="B2848" s="1" t="s">
        <v>10</v>
      </c>
      <c r="C2848" s="1" t="s">
        <v>466</v>
      </c>
      <c r="D2848" s="1" t="s">
        <v>653</v>
      </c>
      <c r="E2848" s="1" t="s">
        <v>2308</v>
      </c>
      <c r="F2848" s="1" t="s">
        <v>5376</v>
      </c>
      <c r="G2848" s="1" t="s">
        <v>28</v>
      </c>
      <c r="H2848" s="1" t="s">
        <v>29</v>
      </c>
      <c r="I2848" s="1" t="str">
        <f ca="1">IFERROR(__xludf.DUMMYFUNCTION("GOOGLETRANSLATE(F2848, ""auto"", ""en"")
"),"The hood is good, but the plastic things (I don’t know what to call them) that hold the glass broke right away!")</f>
        <v>The hood is good, but the plastic things (I don’t know what to call them) that hold the glass broke right away!</v>
      </c>
    </row>
    <row r="2849" spans="1:9" x14ac:dyDescent="0.3">
      <c r="A2849" s="1" t="s">
        <v>169</v>
      </c>
      <c r="B2849" s="1" t="s">
        <v>170</v>
      </c>
      <c r="C2849" s="1" t="s">
        <v>193</v>
      </c>
      <c r="D2849" s="1" t="s">
        <v>152</v>
      </c>
      <c r="E2849" s="1" t="s">
        <v>1273</v>
      </c>
      <c r="F2849" s="1" t="s">
        <v>5377</v>
      </c>
      <c r="G2849" s="1" t="s">
        <v>28</v>
      </c>
      <c r="H2849" s="1" t="s">
        <v>29</v>
      </c>
      <c r="I2849" s="1" t="str">
        <f ca="1">IFERROR(__xludf.DUMMYFUNCTION("GOOGLETRANSLATE(F2849, ""auto"", ""en"")
"),"Pros: 1. They fit perfectly on the head 2. The reception range is good 3. The automatic shutdown of the base and the headphones themselves is implemented well, when a signal arrives the base is activated again, you need to click a button on the ears (ther"&amp;"e are models from other manufacturers where the base is extinguished until you turn it on with your hands, this is not comme il faut) 4. The appearance is pleasing, the stand is stable.    Cons: 1. There is always background noise. Quiet, but noticeable i"&amp;"n pauses.  2. The sound quality for wireless headphones is decent, but it’s not up to par with “stationary” ones.")</f>
        <v>Pros: 1. They fit perfectly on the head 2. The reception range is good 3. The automatic shutdown of the base and the headphones themselves is implemented well, when a signal arrives the base is activated again, you need to click a button on the ears (there are models from other manufacturers where the base is extinguished until you turn it on with your hands, this is not comme il faut) 4. The appearance is pleasing, the stand is stable.    Cons: 1. There is always background noise. Quiet, but noticeable in pauses.  2. The sound quality for wireless headphones is decent, but it’s not up to par with “stationary” ones.</v>
      </c>
    </row>
    <row r="2850" spans="1:9" x14ac:dyDescent="0.3">
      <c r="A2850" s="1" t="s">
        <v>37</v>
      </c>
      <c r="B2850" s="1" t="s">
        <v>38</v>
      </c>
      <c r="C2850" s="1" t="s">
        <v>151</v>
      </c>
      <c r="D2850" s="1" t="s">
        <v>5378</v>
      </c>
      <c r="E2850" s="1" t="s">
        <v>849</v>
      </c>
      <c r="F2850" s="1" t="s">
        <v>5379</v>
      </c>
      <c r="G2850" s="1" t="s">
        <v>36</v>
      </c>
      <c r="H2850" s="1" t="s">
        <v>29</v>
      </c>
      <c r="I2850" s="1" t="str">
        <f ca="1">IFERROR(__xludf.DUMMYFUNCTION("GOOGLETRANSLATE(F2850, ""auto"", ""en"")
"),"Good phone... even great!!!! I'm happy with everything!!!  Lightweight, beautiful, stylish, multifunctional.  And what was especially pleasing was that it did not let us down even in 25 degree frost!!!!  I recommend it to everyone with all my heart!!! I R"&amp;"ECOMMEND... Buy it, you won't regret it!!!")</f>
        <v>Good phone... even great!!!! I'm happy with everything!!!  Lightweight, beautiful, stylish, multifunctional.  And what was especially pleasing was that it did not let us down even in 25 degree frost!!!!  I recommend it to everyone with all my heart!!! I RECOMMEND... Buy it, you won't regret it!!!</v>
      </c>
    </row>
    <row r="2851" spans="1:9" x14ac:dyDescent="0.3">
      <c r="A2851" s="1" t="s">
        <v>373</v>
      </c>
      <c r="B2851" s="1" t="s">
        <v>374</v>
      </c>
      <c r="C2851" s="1" t="s">
        <v>19</v>
      </c>
      <c r="D2851" s="1" t="s">
        <v>1383</v>
      </c>
      <c r="E2851" s="1" t="s">
        <v>5380</v>
      </c>
      <c r="F2851" s="1" t="s">
        <v>5381</v>
      </c>
      <c r="G2851" s="1" t="s">
        <v>36</v>
      </c>
      <c r="H2851" s="1" t="s">
        <v>29</v>
      </c>
      <c r="I2851" s="1" t="str">
        <f ca="1">IFERROR(__xludf.DUMMYFUNCTION("GOOGLETRANSLATE(F2851, ""auto"", ""en"")
"),"I bought my mother a DW H-A LSF 7237 X dishwasher. Mom felt doubly like a woman! I saved time, saved my hands, and the dishes are shiny and disinfected. I recommend it to everyone!")</f>
        <v>I bought my mother a DW H-A LSF 7237 X dishwasher. Mom felt doubly like a woman! I saved time, saved my hands, and the dishes are shiny and disinfected. I recommend it to everyone!</v>
      </c>
    </row>
    <row r="2852" spans="1:9" x14ac:dyDescent="0.3">
      <c r="A2852" s="1" t="s">
        <v>37</v>
      </c>
      <c r="B2852" s="1" t="s">
        <v>536</v>
      </c>
      <c r="C2852" s="1" t="s">
        <v>163</v>
      </c>
      <c r="D2852" s="1" t="s">
        <v>5382</v>
      </c>
      <c r="E2852" s="1" t="s">
        <v>2089</v>
      </c>
      <c r="F2852" s="1" t="s">
        <v>5383</v>
      </c>
      <c r="G2852" s="1" t="s">
        <v>36</v>
      </c>
      <c r="H2852" s="1" t="s">
        <v>29</v>
      </c>
      <c r="I2852" s="1" t="str">
        <f ca="1">IFERROR(__xludf.DUMMYFUNCTION("GOOGLETRANSLATE(F2852, ""auto"", ""en"")
"),"The phone is just great! I bought it a year ago and am pleased! loud speaker ergonomic stylish design! looks great! and the headphones are also great, the sound is awesome! if there is a question to buy or not: of course buy!))")</f>
        <v>The phone is just great! I bought it a year ago and am pleased! loud speaker ergonomic stylish design! looks great! and the headphones are also great, the sound is awesome! if there is a question to buy or not: of course buy!))</v>
      </c>
    </row>
    <row r="2853" spans="1:9" x14ac:dyDescent="0.3">
      <c r="A2853" s="1" t="s">
        <v>67</v>
      </c>
      <c r="B2853" s="1" t="s">
        <v>68</v>
      </c>
      <c r="C2853" s="1" t="s">
        <v>69</v>
      </c>
      <c r="D2853" s="1" t="s">
        <v>166</v>
      </c>
      <c r="E2853" s="1" t="s">
        <v>1988</v>
      </c>
      <c r="F2853" s="1" t="s">
        <v>5384</v>
      </c>
      <c r="G2853" s="1" t="s">
        <v>36</v>
      </c>
      <c r="H2853" s="1" t="s">
        <v>29</v>
      </c>
      <c r="I2853" s="1" t="str">
        <f ca="1">IFERROR(__xludf.DUMMYFUNCTION("GOOGLETRANSLATE(F2853, ""auto"", ""en"")
"),"I've been using it for about a year now and couldn't be happier. The main advantage is the long cord!!! Only in comparison do you understand what a thrill it is! And another plus is the increased water capacity, and a very comfortable spout - I recommend "&amp;"it to those who iron their husband’s shirts a lot; it irons around the buttons better than other irons.")</f>
        <v>I've been using it for about a year now and couldn't be happier. The main advantage is the long cord!!! Only in comparison do you understand what a thrill it is! And another plus is the increased water capacity, and a very comfortable spout - I recommend it to those who iron their husband’s shirts a lot; it irons around the buttons better than other irons.</v>
      </c>
    </row>
    <row r="2854" spans="1:9" x14ac:dyDescent="0.3">
      <c r="A2854" s="1" t="s">
        <v>61</v>
      </c>
      <c r="B2854" s="1" t="s">
        <v>73</v>
      </c>
      <c r="C2854" s="1" t="s">
        <v>85</v>
      </c>
      <c r="D2854" s="1" t="s">
        <v>152</v>
      </c>
      <c r="E2854" s="1" t="s">
        <v>5385</v>
      </c>
      <c r="F2854" s="1" t="s">
        <v>5386</v>
      </c>
      <c r="G2854" s="1" t="s">
        <v>15</v>
      </c>
      <c r="H2854" s="1" t="s">
        <v>16</v>
      </c>
      <c r="I2854" s="1" t="str">
        <f ca="1">IFERROR(__xludf.DUMMYFUNCTION("GOOGLETRANSLATE(F2854, ""auto"", ""en"")
"),"Didn't justify itself!!! At first everything was very good. It all started after the warranty expired. While using this meat grinder, juice from the meat began to flow into the body of the device. After 3 years from the date of purchase, the meat grinder "&amp;"simply began to smell like rotten meat. I had to take it in for repairs. I'm disappointed with this model, it's not worth the money!")</f>
        <v>Didn't justify itself!!! At first everything was very good. It all started after the warranty expired. While using this meat grinder, juice from the meat began to flow into the body of the device. After 3 years from the date of purchase, the meat grinder simply began to smell like rotten meat. I had to take it in for repairs. I'm disappointed with this model, it's not worth the money!</v>
      </c>
    </row>
    <row r="2855" spans="1:9" x14ac:dyDescent="0.3">
      <c r="A2855" s="1" t="s">
        <v>37</v>
      </c>
      <c r="B2855" s="1" t="s">
        <v>536</v>
      </c>
      <c r="C2855" s="1" t="s">
        <v>151</v>
      </c>
      <c r="D2855" s="1" t="s">
        <v>2462</v>
      </c>
      <c r="E2855" s="1" t="s">
        <v>176</v>
      </c>
      <c r="F2855" s="1" t="s">
        <v>5387</v>
      </c>
      <c r="G2855" s="1" t="s">
        <v>36</v>
      </c>
      <c r="H2855" s="1" t="s">
        <v>29</v>
      </c>
      <c r="I2855" s="1" t="str">
        <f ca="1">IFERROR(__xludf.DUMMYFUNCTION("GOOGLETRANSLATE(F2855, ""auto"", ""en"")
"),"The smartphone is just super!!!!!!!!! Well, the battery, with such eaters as the processor and so on, I think it’s normal!")</f>
        <v>The smartphone is just super!!!!!!!!! Well, the battery, with such eaters as the processor and so on, I think it’s normal!</v>
      </c>
    </row>
    <row r="2856" spans="1:9" x14ac:dyDescent="0.3">
      <c r="A2856" s="1" t="s">
        <v>206</v>
      </c>
      <c r="B2856" s="1" t="s">
        <v>1349</v>
      </c>
      <c r="C2856" s="1" t="s">
        <v>5319</v>
      </c>
      <c r="D2856" s="1" t="s">
        <v>2016</v>
      </c>
      <c r="E2856" s="1" t="s">
        <v>5388</v>
      </c>
      <c r="F2856" s="1" t="s">
        <v>5389</v>
      </c>
      <c r="G2856" s="1" t="s">
        <v>36</v>
      </c>
      <c r="H2856" s="1" t="s">
        <v>29</v>
      </c>
      <c r="I2856" s="1" t="str">
        <f ca="1">IFERROR(__xludf.DUMMYFUNCTION("GOOGLETRANSLATE(F2856, ""auto"", ""en"")
"),"Excellent head, semi-processor (not developed), 9 equalizer bands. Many settings such as x-over, time delays, etc. I give it a solid 5, it’s a joy to use!")</f>
        <v>Excellent head, semi-processor (not developed), 9 equalizer bands. Many settings such as x-over, time delays, etc. I give it a solid 5, it’s a joy to use!</v>
      </c>
    </row>
    <row r="2857" spans="1:9" x14ac:dyDescent="0.3">
      <c r="A2857" s="1" t="s">
        <v>43</v>
      </c>
      <c r="B2857" s="1" t="s">
        <v>334</v>
      </c>
      <c r="C2857" s="1" t="s">
        <v>101</v>
      </c>
      <c r="D2857" s="1" t="s">
        <v>305</v>
      </c>
      <c r="E2857" s="1" t="s">
        <v>5390</v>
      </c>
      <c r="F2857" s="1" t="s">
        <v>5391</v>
      </c>
      <c r="G2857" s="1" t="s">
        <v>36</v>
      </c>
      <c r="H2857" s="1" t="s">
        <v>29</v>
      </c>
      <c r="I2857" s="1" t="str">
        <f ca="1">IFERROR(__xludf.DUMMYFUNCTION("GOOGLETRANSLATE(F2857, ""auto"", ""en"")
"),"When it was new, it worked fine for two summers. He's small, but he loves butter. Lubricate the axle with sewing machine oil (one drop at the front and back of the axle) as soon as you hear a rumbling sound. If you ignore the rumble, the propeller will in"&amp;"evitably stop rotating. Unlocking occurs after oil gets on the axle. Always remove the plug from the socket when servicing or not using the fan.")</f>
        <v>When it was new, it worked fine for two summers. He's small, but he loves butter. Lubricate the axle with sewing machine oil (one drop at the front and back of the axle) as soon as you hear a rumbling sound. If you ignore the rumble, the propeller will inevitably stop rotating. Unlocking occurs after oil gets on the axle. Always remove the plug from the socket when servicing or not using the fan.</v>
      </c>
    </row>
    <row r="2858" spans="1:9" x14ac:dyDescent="0.3">
      <c r="A2858" s="1" t="s">
        <v>105</v>
      </c>
      <c r="B2858" s="1" t="s">
        <v>106</v>
      </c>
      <c r="C2858" s="1" t="s">
        <v>151</v>
      </c>
      <c r="D2858" s="1" t="s">
        <v>75</v>
      </c>
      <c r="E2858" s="1" t="s">
        <v>4984</v>
      </c>
      <c r="F2858" s="1" t="s">
        <v>5392</v>
      </c>
      <c r="G2858" s="1" t="s">
        <v>28</v>
      </c>
      <c r="H2858" s="1" t="s">
        <v>29</v>
      </c>
      <c r="I2858" s="1" t="str">
        <f ca="1">IFERROR(__xludf.DUMMYFUNCTION("GOOGLETRANSLATE(F2858, ""auto"", ""en"")
"),"I bought it almost a year ago.   Cons: - freezes from time to time;  - thinks for a hundred thousand years if you open a large video file (film, etc.) on a bookmark;  - it’s not always convenient to use external memory (after turning it off, either listen"&amp;" to the list again from the beginning, or scroll through a lot to the place where you stopped last time).   Otherwise, it's a pretty nice little animal.")</f>
        <v>I bought it almost a year ago.   Cons: - freezes from time to time;  - thinks for a hundred thousand years if you open a large video file (film, etc.) on a bookmark;  - it’s not always convenient to use external memory (after turning it off, either listen to the list again from the beginning, or scroll through a lot to the place where you stopped last time).   Otherwise, it's a pretty nice little animal.</v>
      </c>
    </row>
    <row r="2859" spans="1:9" x14ac:dyDescent="0.3">
      <c r="A2859" s="1" t="s">
        <v>624</v>
      </c>
      <c r="B2859" s="1" t="s">
        <v>2107</v>
      </c>
      <c r="C2859" s="1" t="s">
        <v>479</v>
      </c>
      <c r="D2859" s="1" t="s">
        <v>1036</v>
      </c>
      <c r="E2859" s="1" t="s">
        <v>1452</v>
      </c>
      <c r="F2859" s="1" t="s">
        <v>5393</v>
      </c>
      <c r="G2859" s="1" t="s">
        <v>36</v>
      </c>
      <c r="H2859" s="1" t="s">
        <v>29</v>
      </c>
      <c r="I2859" s="1" t="str">
        <f ca="1">IFERROR(__xludf.DUMMYFUNCTION("GOOGLETRANSLATE(F2859, ""auto"", ""en"")
"),"Take it, this is a real thing!!!!!!)")</f>
        <v>Take it, this is a real thing!!!!!!)</v>
      </c>
    </row>
    <row r="2860" spans="1:9" x14ac:dyDescent="0.3">
      <c r="A2860" s="1" t="s">
        <v>211</v>
      </c>
      <c r="B2860" s="1" t="s">
        <v>410</v>
      </c>
      <c r="C2860" s="1" t="s">
        <v>69</v>
      </c>
      <c r="D2860" s="1" t="s">
        <v>4103</v>
      </c>
      <c r="E2860" s="1" t="s">
        <v>254</v>
      </c>
      <c r="F2860" s="1" t="s">
        <v>5394</v>
      </c>
      <c r="G2860" s="1" t="s">
        <v>36</v>
      </c>
      <c r="H2860" s="1" t="s">
        <v>29</v>
      </c>
      <c r="I2860" s="1" t="str">
        <f ca="1">IFERROR(__xludf.DUMMYFUNCTION("GOOGLETRANSLATE(F2860, ""auto"", ""en"")
"),"Excellent razor. Works very quietly and shave clean. No irritation.")</f>
        <v>Excellent razor. Works very quietly and shave clean. No irritation.</v>
      </c>
    </row>
    <row r="2861" spans="1:9" x14ac:dyDescent="0.3">
      <c r="A2861" s="1" t="s">
        <v>78</v>
      </c>
      <c r="B2861" s="1" t="s">
        <v>493</v>
      </c>
      <c r="C2861" s="1" t="s">
        <v>80</v>
      </c>
      <c r="D2861" s="1" t="s">
        <v>308</v>
      </c>
      <c r="E2861" s="1" t="s">
        <v>5395</v>
      </c>
      <c r="F2861" s="1" t="s">
        <v>5396</v>
      </c>
      <c r="G2861" s="1" t="s">
        <v>36</v>
      </c>
      <c r="H2861" s="1" t="s">
        <v>29</v>
      </c>
      <c r="I2861" s="1" t="str">
        <f ca="1">IFERROR(__xludf.DUMMYFUNCTION("GOOGLETRANSLATE(F2861, ""auto"", ""en"")
"),"It’s a good model, we chose LG and looked at the reliability, simplicity and quality of the assembly, I can definitely say that this is the microwave! I advise you to buy!")</f>
        <v>It’s a good model, we chose LG and looked at the reliability, simplicity and quality of the assembly, I can definitely say that this is the microwave! I advise you to buy!</v>
      </c>
    </row>
    <row r="2862" spans="1:9" x14ac:dyDescent="0.3">
      <c r="A2862" s="1" t="s">
        <v>37</v>
      </c>
      <c r="B2862" s="1" t="s">
        <v>38</v>
      </c>
      <c r="C2862" s="1" t="s">
        <v>163</v>
      </c>
      <c r="D2862" s="1" t="s">
        <v>940</v>
      </c>
      <c r="E2862" s="1" t="s">
        <v>2502</v>
      </c>
      <c r="F2862" s="1" t="s">
        <v>5397</v>
      </c>
      <c r="G2862" s="1" t="s">
        <v>28</v>
      </c>
      <c r="H2862" s="1" t="s">
        <v>29</v>
      </c>
      <c r="I2862" s="1" t="str">
        <f ca="1">IFERROR(__xludf.DUMMYFUNCTION("GOOGLETRANSLATE(F2862, ""auto"", ""en"")
"),"Hello everyone, I have had this phone in my hands for 2 days, I have found only one of the minuses so far, out of the stated 32 MB on the website, in reality there are only 10 on the phone, when asked why the manager answered that system files take up the"&amp;" remaining 22)) what else... it screams loudly, does not scream like 3250 (was in possession) there is no bass, high frequencies cut the ears at high volume... The charge holds well, I have not charged it since the purchase at all.  The phone is nice, for"&amp;" people who buy a phone specifically for its intended purpose, and not to show off, in principle, they are satisfied with the purchase.    Good luck to everyone, take care of yourself, if you have any questions, write here, I will try to answer as best I "&amp;"can.")</f>
        <v>Hello everyone, I have had this phone in my hands for 2 days, I have found only one of the minuses so far, out of the stated 32 MB on the website, in reality there are only 10 on the phone, when asked why the manager answered that system files take up the remaining 22)) what else... it screams loudly, does not scream like 3250 (was in possession) there is no bass, high frequencies cut the ears at high volume... The charge holds well, I have not charged it since the purchase at all.  The phone is nice, for people who buy a phone specifically for its intended purpose, and not to show off, in principle, they are satisfied with the purchase.    Good luck to everyone, take care of yourself, if you have any questions, write here, I will try to answer as best I can.</v>
      </c>
    </row>
    <row r="2863" spans="1:9" x14ac:dyDescent="0.3">
      <c r="A2863" s="1" t="s">
        <v>43</v>
      </c>
      <c r="B2863" s="1" t="s">
        <v>1370</v>
      </c>
      <c r="C2863" s="1" t="s">
        <v>2137</v>
      </c>
      <c r="D2863" s="1" t="s">
        <v>228</v>
      </c>
      <c r="E2863" s="1" t="s">
        <v>320</v>
      </c>
      <c r="F2863" s="1" t="s">
        <v>5398</v>
      </c>
      <c r="G2863" s="1" t="s">
        <v>28</v>
      </c>
      <c r="H2863" s="1" t="s">
        <v>29</v>
      </c>
      <c r="I2863" s="1" t="str">
        <f ca="1">IFERROR(__xludf.DUMMYFUNCTION("GOOGLETRANSLATE(F2863, ""auto"", ""en"")
"),"I bought it before turning off the hot water. Connected via electric stove. It heats normally, even perfectly at medium pressure and at full power.")</f>
        <v>I bought it before turning off the hot water. Connected via electric stove. It heats normally, even perfectly at medium pressure and at full power.</v>
      </c>
    </row>
    <row r="2864" spans="1:9" x14ac:dyDescent="0.3">
      <c r="A2864" s="1" t="s">
        <v>211</v>
      </c>
      <c r="B2864" s="1" t="s">
        <v>410</v>
      </c>
      <c r="C2864" s="1" t="s">
        <v>57</v>
      </c>
      <c r="D2864" s="1" t="s">
        <v>5399</v>
      </c>
      <c r="E2864" s="1" t="s">
        <v>4972</v>
      </c>
      <c r="F2864" s="1" t="s">
        <v>5400</v>
      </c>
      <c r="G2864" s="1" t="s">
        <v>28</v>
      </c>
      <c r="H2864" s="1" t="s">
        <v>29</v>
      </c>
      <c r="I2864" s="1" t="str">
        <f ca="1">IFERROR(__xludf.DUMMYFUNCTION("GOOGLETRANSLATE(F2864, ""auto"", ""en"")
"),"I bought a razor about 2 years ago. It shaves quite clean (with a machine, of course, it’s better), but it takes a long time. You have to go through one place several times. Battery for 30 min. Not enough, maximum 15 in operating mode. The case has not fr"&amp;"ayed in 2 years, the rubberized coating has not peeled off. Of the minuses: in the first couple of days the decorative caps fell off from the shaving heads. This does not affect shaving, but it is unpleasant.")</f>
        <v>I bought a razor about 2 years ago. It shaves quite clean (with a machine, of course, it’s better), but it takes a long time. You have to go through one place several times. Battery for 30 min. Not enough, maximum 15 in operating mode. The case has not frayed in 2 years, the rubberized coating has not peeled off. Of the minuses: in the first couple of days the decorative caps fell off from the shaving heads. This does not affect shaving, but it is unpleasant.</v>
      </c>
    </row>
    <row r="2865" spans="1:9" x14ac:dyDescent="0.3">
      <c r="A2865" s="1" t="s">
        <v>43</v>
      </c>
      <c r="B2865" s="1" t="s">
        <v>303</v>
      </c>
      <c r="C2865" s="1" t="s">
        <v>220</v>
      </c>
      <c r="D2865" s="1" t="s">
        <v>232</v>
      </c>
      <c r="E2865" s="1" t="s">
        <v>2440</v>
      </c>
      <c r="F2865" s="1" t="s">
        <v>5401</v>
      </c>
      <c r="G2865" s="1" t="s">
        <v>36</v>
      </c>
      <c r="H2865" s="1" t="s">
        <v>29</v>
      </c>
      <c r="I2865" s="1" t="str">
        <f ca="1">IFERROR(__xludf.DUMMYFUNCTION("GOOGLETRANSLATE(F2865, ""auto"", ""en"")
"),"I have been using it for 4 years now, during this time I have not had a single comment. I recommend")</f>
        <v>I have been using it for 4 years now, during this time I have not had a single comment. I recommend</v>
      </c>
    </row>
    <row r="2866" spans="1:9" x14ac:dyDescent="0.3">
      <c r="A2866" s="1" t="s">
        <v>61</v>
      </c>
      <c r="B2866" s="1" t="s">
        <v>318</v>
      </c>
      <c r="C2866" s="1" t="s">
        <v>101</v>
      </c>
      <c r="D2866" s="1" t="s">
        <v>545</v>
      </c>
      <c r="E2866" s="1" t="s">
        <v>5402</v>
      </c>
      <c r="F2866" s="1" t="s">
        <v>5403</v>
      </c>
      <c r="G2866" s="1" t="s">
        <v>28</v>
      </c>
      <c r="H2866" s="1" t="s">
        <v>29</v>
      </c>
      <c r="I2866" s="1" t="str">
        <f ca="1">IFERROR(__xludf.DUMMYFUNCTION("GOOGLETRANSLATE(F2866, ""auto"", ""en"")
"),"A cool teapot in every sense! Appearance, quality of work, speed of water heating, noise level - you can’t imagine anything better! We must take it.")</f>
        <v>A cool teapot in every sense! Appearance, quality of work, speed of water heating, noise level - you can’t imagine anything better! We must take it.</v>
      </c>
    </row>
    <row r="2867" spans="1:9" x14ac:dyDescent="0.3">
      <c r="A2867" s="1" t="s">
        <v>211</v>
      </c>
      <c r="B2867" s="1" t="s">
        <v>265</v>
      </c>
      <c r="C2867" s="1" t="s">
        <v>294</v>
      </c>
      <c r="D2867" s="1" t="s">
        <v>232</v>
      </c>
      <c r="E2867" s="1" t="s">
        <v>5404</v>
      </c>
      <c r="F2867" s="1" t="s">
        <v>5405</v>
      </c>
      <c r="G2867" s="1" t="s">
        <v>49</v>
      </c>
      <c r="H2867" s="1" t="s">
        <v>16</v>
      </c>
      <c r="I2867" s="1" t="str">
        <f ca="1">IFERROR(__xludf.DUMMYFUNCTION("GOOGLETRANSLATE(F2867, ""auto"", ""en"")
"),"Pros - works both from the mains and from the battery. The blades are its second main advantage - I’ve been using them for 2 years now and have never pulled them.  cons - the battery died after 2 uses (I couldn’t return it because my nephew tore the recei"&amp;"pt in the first hours of purchase). There are only 2 attachments (one had a broken side tooth after a year of use). If one breaks, then you can simply throw it away, since the range of sizes there is maximum, and it’s unlikely to replace the nozzle where "&amp;"possible.   The most important disadvantage is the loss of power due to non-functional protection of the moving parts - after cutting the hair, it is commonplace to remove the hair and disassemble the entire machine, right down to the motor.")</f>
        <v>Pros - works both from the mains and from the battery. The blades are its second main advantage - I’ve been using them for 2 years now and have never pulled them.  cons - the battery died after 2 uses (I couldn’t return it because my nephew tore the receipt in the first hours of purchase). There are only 2 attachments (one had a broken side tooth after a year of use). If one breaks, then you can simply throw it away, since the range of sizes there is maximum, and it’s unlikely to replace the nozzle where possible.   The most important disadvantage is the loss of power due to non-functional protection of the moving parts - after cutting the hair, it is commonplace to remove the hair and disassemble the entire machine, right down to the motor.</v>
      </c>
    </row>
    <row r="2868" spans="1:9" x14ac:dyDescent="0.3">
      <c r="A2868" s="1" t="s">
        <v>9</v>
      </c>
      <c r="B2868" s="1" t="s">
        <v>133</v>
      </c>
      <c r="C2868" s="1" t="s">
        <v>24</v>
      </c>
      <c r="D2868" s="1" t="s">
        <v>308</v>
      </c>
      <c r="E2868" s="1" t="s">
        <v>628</v>
      </c>
      <c r="F2868" s="1" t="s">
        <v>5406</v>
      </c>
      <c r="G2868" s="1" t="s">
        <v>36</v>
      </c>
      <c r="H2868" s="1" t="s">
        <v>29</v>
      </c>
      <c r="I2868" s="1" t="str">
        <f ca="1">IFERROR(__xludf.DUMMYFUNCTION("GOOGLETRANSLATE(F2868, ""auto"", ""en"")
"),"I really liked it!!! The simple thing is that you need to hold the ignition for a while and then release it, then it won’t go out. Something has to heat up there to a certain temperature...")</f>
        <v>I really liked it!!! The simple thing is that you need to hold the ignition for a while and then release it, then it won’t go out. Something has to heat up there to a certain temperature...</v>
      </c>
    </row>
    <row r="2869" spans="1:9" x14ac:dyDescent="0.3">
      <c r="A2869" s="1" t="s">
        <v>37</v>
      </c>
      <c r="B2869" s="1" t="s">
        <v>38</v>
      </c>
      <c r="C2869" s="1" t="s">
        <v>151</v>
      </c>
      <c r="D2869" s="1" t="s">
        <v>5407</v>
      </c>
      <c r="E2869" s="1" t="s">
        <v>229</v>
      </c>
      <c r="F2869" s="1" t="s">
        <v>5408</v>
      </c>
      <c r="G2869" s="1" t="s">
        <v>28</v>
      </c>
      <c r="H2869" s="1" t="s">
        <v>29</v>
      </c>
      <c r="I2869" s="1" t="str">
        <f ca="1">IFERROR(__xludf.DUMMYFUNCTION("GOOGLETRANSLATE(F2869, ""auto"", ""en"")
"),"Everything is good, super phone, I’m happy, except for one minus, I think, the camera is somehow not impressive... I compared the photo from a digital camera with a 5 megapixel camera. Photos on the phone are 3.2 pm, not 5 mp.    Who agrees?")</f>
        <v>Everything is good, super phone, I’m happy, except for one minus, I think, the camera is somehow not impressive... I compared the photo from a digital camera with a 5 megapixel camera. Photos on the phone are 3.2 pm, not 5 mp.    Who agrees?</v>
      </c>
    </row>
    <row r="2870" spans="1:9" x14ac:dyDescent="0.3">
      <c r="A2870" s="1" t="s">
        <v>1443</v>
      </c>
      <c r="B2870" s="1" t="s">
        <v>1444</v>
      </c>
      <c r="C2870" s="1" t="s">
        <v>1489</v>
      </c>
      <c r="D2870" s="1" t="s">
        <v>5409</v>
      </c>
      <c r="E2870" s="1" t="s">
        <v>2206</v>
      </c>
      <c r="F2870" s="1" t="s">
        <v>5410</v>
      </c>
      <c r="G2870" s="1" t="s">
        <v>28</v>
      </c>
      <c r="H2870" s="1" t="s">
        <v>29</v>
      </c>
      <c r="I2870" s="1" t="str">
        <f ca="1">IFERROR(__xludf.DUMMYFUNCTION("GOOGLETRANSLATE(F2870, ""auto"", ""en"")
"),"A wonderful thing, it works without glitches and is quite fast. Reliable, I can always rely on her. And no searching for the cap.")</f>
        <v>A wonderful thing, it works without glitches and is quite fast. Reliable, I can always rely on her. And no searching for the cap.</v>
      </c>
    </row>
    <row r="2871" spans="1:9" x14ac:dyDescent="0.3">
      <c r="A2871" s="1" t="s">
        <v>369</v>
      </c>
      <c r="B2871" s="1" t="s">
        <v>587</v>
      </c>
      <c r="C2871" s="1" t="s">
        <v>290</v>
      </c>
      <c r="D2871" s="1" t="s">
        <v>653</v>
      </c>
      <c r="E2871" s="1" t="s">
        <v>3504</v>
      </c>
      <c r="F2871" s="1" t="s">
        <v>5411</v>
      </c>
      <c r="G2871" s="1" t="s">
        <v>36</v>
      </c>
      <c r="H2871" s="1" t="s">
        <v>29</v>
      </c>
      <c r="I2871" s="1" t="str">
        <f ca="1">IFERROR(__xludf.DUMMYFUNCTION("GOOGLETRANSLATE(F2871, ""auto"", ""en"")
"),"Review of Gorenje. Excellent gas stove!!! Will fit perfectly into the interior of any kitchen and decorate it! My husband and I are glad that we purchased a gas stove from this Gorenje company. Initially, the choice was up to this company on the advice of"&amp;" most of our friends. We recommend it to everyone!!! You won't regret it!!!")</f>
        <v>Review of Gorenje. Excellent gas stove!!! Will fit perfectly into the interior of any kitchen and decorate it! My husband and I are glad that we purchased a gas stove from this Gorenje company. Initially, the choice was up to this company on the advice of most of our friends. We recommend it to everyone!!! You won't regret it!!!</v>
      </c>
    </row>
    <row r="2872" spans="1:9" x14ac:dyDescent="0.3">
      <c r="A2872" s="1" t="s">
        <v>211</v>
      </c>
      <c r="B2872" s="1" t="s">
        <v>212</v>
      </c>
      <c r="C2872" s="1" t="s">
        <v>63</v>
      </c>
      <c r="D2872" s="1" t="s">
        <v>295</v>
      </c>
      <c r="E2872" s="1" t="s">
        <v>5137</v>
      </c>
      <c r="F2872" s="1" t="s">
        <v>5412</v>
      </c>
      <c r="G2872" s="1" t="s">
        <v>36</v>
      </c>
      <c r="H2872" s="1" t="s">
        <v>29</v>
      </c>
      <c r="I2872" s="1" t="str">
        <f ca="1">IFERROR(__xludf.DUMMYFUNCTION("GOOGLETRANSLATE(F2872, ""auto"", ""en"")
"),"Very good hairdryer! Convenient in that 2 speed modes and 2 heat modes are switched separately. I have been using this hair dryer for almost 5 years (most of my friends’ hair dryers stopped working after 1.5-2 years). I will buy the same one :)")</f>
        <v>Very good hairdryer! Convenient in that 2 speed modes and 2 heat modes are switched separately. I have been using this hair dryer for almost 5 years (most of my friends’ hair dryers stopped working after 1.5-2 years). I will buy the same one :)</v>
      </c>
    </row>
    <row r="2873" spans="1:9" x14ac:dyDescent="0.3">
      <c r="A2873" s="1" t="s">
        <v>61</v>
      </c>
      <c r="B2873" s="1" t="s">
        <v>224</v>
      </c>
      <c r="C2873" s="1" t="s">
        <v>74</v>
      </c>
      <c r="D2873" s="1" t="s">
        <v>247</v>
      </c>
      <c r="E2873" s="1" t="s">
        <v>808</v>
      </c>
      <c r="F2873" s="1" t="s">
        <v>5413</v>
      </c>
      <c r="G2873" s="1" t="s">
        <v>15</v>
      </c>
      <c r="H2873" s="1" t="s">
        <v>16</v>
      </c>
      <c r="I2873" s="1" t="str">
        <f ca="1">IFERROR(__xludf.DUMMYFUNCTION("GOOGLETRANSLATE(F2873, ""auto"", ""en"")
"),"The juicer only produces juice with pulp; it squeezes poorly and throws out pulp that is too wet. It would be a pity to throw away something like this, but there is nothing to do with it, just throw it away... You can’t make juice from the berries at all,"&amp;" everything constantly gets clogged, you have to take it apart and wash it. For 2 seasons now it has been put out of sight so as not to be upset at the sight of such an assistant in the kitchen.")</f>
        <v>The juicer only produces juice with pulp; it squeezes poorly and throws out pulp that is too wet. It would be a pity to throw away something like this, but there is nothing to do with it, just throw it away... You can’t make juice from the berries at all, everything constantly gets clogged, you have to take it apart and wash it. For 2 seasons now it has been put out of sight so as not to be upset at the sight of such an assistant in the kitchen.</v>
      </c>
    </row>
    <row r="2874" spans="1:9" x14ac:dyDescent="0.3">
      <c r="A2874" s="1" t="s">
        <v>61</v>
      </c>
      <c r="B2874" s="1" t="s">
        <v>318</v>
      </c>
      <c r="C2874" s="1" t="s">
        <v>246</v>
      </c>
      <c r="D2874" s="1" t="s">
        <v>5414</v>
      </c>
      <c r="E2874" s="1" t="s">
        <v>5415</v>
      </c>
      <c r="F2874" s="1" t="s">
        <v>5416</v>
      </c>
      <c r="G2874" s="1" t="s">
        <v>28</v>
      </c>
      <c r="H2874" s="1" t="s">
        <v>29</v>
      </c>
      <c r="I2874" s="1" t="str">
        <f ca="1">IFERROR(__xludf.DUMMYFUNCTION("GOOGLETRANSLATE(F2874, ""auto"", ""en"")
"),"Convenient, compact, cups with spoons and a bag are actually included. Immediately after the purchase, I poured it full and noted the time - it warmed up for 8 minutes before turning off, so 4, everything else was an A. I didn’t notice the smell of plasti"&amp;"c in the water. The bottom line is that it’s worth the money.")</f>
        <v>Convenient, compact, cups with spoons and a bag are actually included. Immediately after the purchase, I poured it full and noted the time - it warmed up for 8 minutes before turning off, so 4, everything else was an A. I didn’t notice the smell of plastic in the water. The bottom line is that it’s worth the money.</v>
      </c>
    </row>
    <row r="2875" spans="1:9" x14ac:dyDescent="0.3">
      <c r="A2875" s="1" t="s">
        <v>211</v>
      </c>
      <c r="B2875" s="1" t="s">
        <v>265</v>
      </c>
      <c r="C2875" s="1" t="s">
        <v>294</v>
      </c>
      <c r="D2875" s="1" t="s">
        <v>64</v>
      </c>
      <c r="E2875" s="1" t="s">
        <v>5417</v>
      </c>
      <c r="F2875" s="1" t="s">
        <v>5418</v>
      </c>
      <c r="G2875" s="1" t="s">
        <v>36</v>
      </c>
      <c r="H2875" s="1" t="s">
        <v>29</v>
      </c>
      <c r="I2875" s="1" t="str">
        <f ca="1">IFERROR(__xludf.DUMMYFUNCTION("GOOGLETRANSLATE(F2875, ""auto"", ""en"")
"),"I bought the machine about six months ago as a gift for my husband. And now I cut his hair myself, he is happy. We save on the hairdresser and spend time together. It is very convenient that there is no wire. Everything is OK, everyone is happy. Great val"&amp;"ue for money!")</f>
        <v>I bought the machine about six months ago as a gift for my husband. And now I cut his hair myself, he is happy. We save on the hairdresser and spend time together. It is very convenient that there is no wire. Everything is OK, everyone is happy. Great value for money!</v>
      </c>
    </row>
    <row r="2876" spans="1:9" x14ac:dyDescent="0.3">
      <c r="A2876" s="1" t="s">
        <v>361</v>
      </c>
      <c r="B2876" s="1" t="s">
        <v>1077</v>
      </c>
      <c r="C2876" s="1" t="s">
        <v>2143</v>
      </c>
      <c r="D2876" s="1" t="s">
        <v>305</v>
      </c>
      <c r="E2876" s="1" t="s">
        <v>5419</v>
      </c>
      <c r="F2876" s="1" t="s">
        <v>5420</v>
      </c>
      <c r="G2876" s="1" t="s">
        <v>36</v>
      </c>
      <c r="H2876" s="1" t="s">
        <v>29</v>
      </c>
      <c r="I2876" s="1" t="str">
        <f ca="1">IFERROR(__xludf.DUMMYFUNCTION("GOOGLETRANSLATE(F2876, ""auto"", ""en"")
"),"wonderful teapot. everyone is happy. water remains hot for a long time after heating, so I use it for brewing various types of herbs and also berries")</f>
        <v>wonderful teapot. everyone is happy. water remains hot for a long time after heating, so I use it for brewing various types of herbs and also berries</v>
      </c>
    </row>
    <row r="2877" spans="1:9" x14ac:dyDescent="0.3">
      <c r="A2877" s="1" t="s">
        <v>61</v>
      </c>
      <c r="B2877" s="1" t="s">
        <v>318</v>
      </c>
      <c r="C2877" s="1" t="s">
        <v>69</v>
      </c>
      <c r="D2877" s="1" t="s">
        <v>411</v>
      </c>
      <c r="E2877" s="1" t="s">
        <v>3145</v>
      </c>
      <c r="F2877" s="1" t="s">
        <v>5421</v>
      </c>
      <c r="G2877" s="1" t="s">
        <v>49</v>
      </c>
      <c r="H2877" s="1" t="s">
        <v>16</v>
      </c>
      <c r="I2877" s="1" t="str">
        <f ca="1">IFERROR(__xludf.DUMMYFUNCTION("GOOGLETRANSLATE(F2877, ""auto"", ""en"")
"),"works for 2-3 years")</f>
        <v>works for 2-3 years</v>
      </c>
    </row>
    <row r="2878" spans="1:9" x14ac:dyDescent="0.3">
      <c r="A2878" s="1" t="s">
        <v>37</v>
      </c>
      <c r="B2878" s="1" t="s">
        <v>38</v>
      </c>
      <c r="C2878" s="1" t="s">
        <v>39</v>
      </c>
      <c r="D2878" s="1" t="s">
        <v>982</v>
      </c>
      <c r="E2878" s="1" t="s">
        <v>229</v>
      </c>
      <c r="F2878" s="1" t="s">
        <v>5422</v>
      </c>
      <c r="G2878" s="1" t="s">
        <v>36</v>
      </c>
      <c r="H2878" s="1" t="s">
        <v>29</v>
      </c>
      <c r="I2878" s="1" t="str">
        <f ca="1">IFERROR(__xludf.DUMMYFUNCTION("GOOGLETRANSLATE(F2878, ""auto"", ""en"")
"),"I bought this phone two years ago - I still use it and am happy. There is everything you need - GPS, Wi-Fi, bluetooth, radio, etc., etc. The phone is small in size and fits comfortably in both your pocket and hand. I am especially pleased that the slider "&amp;"has not yet become loose and the lid moves back and forth as it should.    And the screen is good, it allows you to set your own screensavers and enjoy rich colors ;)")</f>
        <v>I bought this phone two years ago - I still use it and am happy. There is everything you need - GPS, Wi-Fi, bluetooth, radio, etc., etc. The phone is small in size and fits comfortably in both your pocket and hand. I am especially pleased that the slider has not yet become loose and the lid moves back and forth as it should.    And the screen is good, it allows you to set your own screensavers and enjoy rich colors ;)</v>
      </c>
    </row>
    <row r="2879" spans="1:9" x14ac:dyDescent="0.3">
      <c r="A2879" s="1" t="s">
        <v>43</v>
      </c>
      <c r="B2879" s="1" t="s">
        <v>303</v>
      </c>
      <c r="C2879" s="1" t="s">
        <v>220</v>
      </c>
      <c r="D2879" s="1" t="s">
        <v>33</v>
      </c>
      <c r="E2879" s="1" t="s">
        <v>5423</v>
      </c>
      <c r="F2879" s="1" t="s">
        <v>5424</v>
      </c>
      <c r="G2879" s="1" t="s">
        <v>36</v>
      </c>
      <c r="H2879" s="1" t="s">
        <v>29</v>
      </c>
      <c r="I2879" s="1" t="str">
        <f ca="1">IFERROR(__xludf.DUMMYFUNCTION("GOOGLETRANSLATE(F2879, ""auto"", ""en"")
"),"flat, stainless steel, chrome plated for bathroom mixes.")</f>
        <v>flat, stainless steel, chrome plated for bathroom mixes.</v>
      </c>
    </row>
    <row r="2880" spans="1:9" x14ac:dyDescent="0.3">
      <c r="A2880" s="1" t="s">
        <v>211</v>
      </c>
      <c r="B2880" s="1" t="s">
        <v>410</v>
      </c>
      <c r="C2880" s="1" t="s">
        <v>69</v>
      </c>
      <c r="D2880" s="1" t="s">
        <v>1659</v>
      </c>
      <c r="E2880" s="1" t="s">
        <v>1871</v>
      </c>
      <c r="F2880" s="1" t="s">
        <v>5425</v>
      </c>
      <c r="G2880" s="1" t="s">
        <v>36</v>
      </c>
      <c r="H2880" s="1" t="s">
        <v>29</v>
      </c>
      <c r="I2880" s="1" t="str">
        <f ca="1">IFERROR(__xludf.DUMMYFUNCTION("GOOGLETRANSLATE(F2880, ""auto"", ""en"")
"),"The razor is very good. It shaves almost like a machine. There is no self-discharge, it holds a charge for a long time. Elegant. The period of use is already three months. In general, I'm satisfied.")</f>
        <v>The razor is very good. It shaves almost like a machine. There is no self-discharge, it holds a charge for a long time. Elegant. The period of use is already three months. In general, I'm satisfied.</v>
      </c>
    </row>
    <row r="2881" spans="1:9" x14ac:dyDescent="0.3">
      <c r="A2881" s="1" t="s">
        <v>37</v>
      </c>
      <c r="B2881" s="1" t="s">
        <v>38</v>
      </c>
      <c r="C2881" s="1" t="s">
        <v>163</v>
      </c>
      <c r="D2881" s="1" t="s">
        <v>172</v>
      </c>
      <c r="E2881" s="1" t="s">
        <v>917</v>
      </c>
      <c r="F2881" s="1" t="s">
        <v>5426</v>
      </c>
      <c r="G2881" s="1" t="s">
        <v>28</v>
      </c>
      <c r="H2881" s="1" t="s">
        <v>29</v>
      </c>
      <c r="I2881" s="1" t="str">
        <f ca="1">IFERROR(__xludf.DUMMYFUNCTION("GOOGLETRANSLATE(F2881, ""auto"", ""en"")
"),"The device is both convenient and functional, but there is also a minus, a very quiet polyphonic speaker, the keyboard buttons are too small. I think that the price is too high for such a phone, but it’s very good.")</f>
        <v>The device is both convenient and functional, but there is also a minus, a very quiet polyphonic speaker, the keyboard buttons are too small. I think that the price is too high for such a phone, but it’s very good.</v>
      </c>
    </row>
    <row r="2882" spans="1:9" x14ac:dyDescent="0.3">
      <c r="A2882" s="1" t="s">
        <v>61</v>
      </c>
      <c r="B2882" s="1" t="s">
        <v>318</v>
      </c>
      <c r="C2882" s="1" t="s">
        <v>63</v>
      </c>
      <c r="D2882" s="1" t="s">
        <v>305</v>
      </c>
      <c r="E2882" s="1" t="s">
        <v>379</v>
      </c>
      <c r="F2882" s="1" t="s">
        <v>5427</v>
      </c>
      <c r="G2882" s="1" t="s">
        <v>49</v>
      </c>
      <c r="H2882" s="1" t="s">
        <v>16</v>
      </c>
      <c r="I2882" s="1" t="str">
        <f ca="1">IFERROR(__xludf.DUMMYFUNCTION("GOOGLETRANSLATE(F2882, ""auto"", ""en"")
"),"when the kettle is full there is a lot of spillage past the mug.... bad neck")</f>
        <v>when the kettle is full there is a lot of spillage past the mug.... bad neck</v>
      </c>
    </row>
    <row r="2883" spans="1:9" x14ac:dyDescent="0.3">
      <c r="A2883" s="1" t="s">
        <v>149</v>
      </c>
      <c r="B2883" s="1" t="s">
        <v>576</v>
      </c>
      <c r="C2883" s="1" t="s">
        <v>151</v>
      </c>
      <c r="D2883" s="1" t="s">
        <v>5428</v>
      </c>
      <c r="E2883" s="1" t="s">
        <v>1280</v>
      </c>
      <c r="F2883" s="1" t="s">
        <v>5429</v>
      </c>
      <c r="G2883" s="1" t="s">
        <v>36</v>
      </c>
      <c r="H2883" s="1" t="s">
        <v>29</v>
      </c>
      <c r="I2883" s="1" t="str">
        <f ca="1">IFERROR(__xludf.DUMMYFUNCTION("GOOGLETRANSLATE(F2883, ""auto"", ""en"")
"),"A small and convenient vacuum cleaner. After purchasing, it’s better to immediately buy a set of disposable paper bags. It’s noisy, but the neighbors don’t complain).  Of the minuses: when it sucks in metal objects, it becomes electrified. Sometimes it gi"&amp;"ves a static shock.  Overall, a very good device.")</f>
        <v>A small and convenient vacuum cleaner. After purchasing, it’s better to immediately buy a set of disposable paper bags. It’s noisy, but the neighbors don’t complain).  Of the minuses: when it sucks in metal objects, it becomes electrified. Sometimes it gives a static shock.  Overall, a very good device.</v>
      </c>
    </row>
    <row r="2884" spans="1:9" x14ac:dyDescent="0.3">
      <c r="A2884" s="1" t="s">
        <v>238</v>
      </c>
      <c r="B2884" s="1" t="s">
        <v>276</v>
      </c>
      <c r="C2884" s="1" t="s">
        <v>5118</v>
      </c>
      <c r="D2884" s="1" t="s">
        <v>589</v>
      </c>
      <c r="E2884" s="1" t="s">
        <v>405</v>
      </c>
      <c r="F2884" s="1" t="s">
        <v>5430</v>
      </c>
      <c r="G2884" s="1" t="s">
        <v>15</v>
      </c>
      <c r="H2884" s="1" t="s">
        <v>16</v>
      </c>
      <c r="I2884" s="1" t="str">
        <f ca="1">IFERROR(__xludf.DUMMYFUNCTION("GOOGLETRANSLATE(F2884, ""auto"", ""en"")
"),"We bought a refrigerator in May. Immediately a fur coat of up to 2 cm began to form on the wall of the cold room. The store said that this is how it should be. I had to defrost it every 2 weeks. But after several calls, they took it away for repairs. It t"&amp;"ook exactly one month to repair. It's been working for a week now. I don't recommend Nord to anyone.")</f>
        <v>We bought a refrigerator in May. Immediately a fur coat of up to 2 cm began to form on the wall of the cold room. The store said that this is how it should be. I had to defrost it every 2 weeks. But after several calls, they took it away for repairs. It took exactly one month to repair. It's been working for a week now. I don't recommend Nord to anyone.</v>
      </c>
    </row>
    <row r="2885" spans="1:9" x14ac:dyDescent="0.3">
      <c r="A2885" s="1" t="s">
        <v>37</v>
      </c>
      <c r="B2885" s="1" t="s">
        <v>38</v>
      </c>
      <c r="C2885" s="1" t="s">
        <v>39</v>
      </c>
      <c r="D2885" s="1" t="s">
        <v>5431</v>
      </c>
      <c r="E2885" s="1" t="s">
        <v>998</v>
      </c>
      <c r="F2885" s="1" t="s">
        <v>5432</v>
      </c>
      <c r="G2885" s="1" t="s">
        <v>28</v>
      </c>
      <c r="H2885" s="1" t="s">
        <v>29</v>
      </c>
      <c r="I2885" s="1" t="str">
        <f ca="1">IFERROR(__xludf.DUMMYFUNCTION("GOOGLETRANSLATE(F2885, ""auto"", ""en"")
"),"After the theft of my favorite smartphone W960i, I decided to take something cheaper, but also to have a workman and a lot of memory - I bought the W902. The gaps on the sides of the display strained me a little, but now I don’t notice them anymore. The s"&amp;"ound is excellent, the camera is good.  I'm happy with the device")</f>
        <v>After the theft of my favorite smartphone W960i, I decided to take something cheaper, but also to have a workman and a lot of memory - I bought the W902. The gaps on the sides of the display strained me a little, but now I don’t notice them anymore. The sound is excellent, the camera is good.  I'm happy with the device</v>
      </c>
    </row>
    <row r="2886" spans="1:9" x14ac:dyDescent="0.3">
      <c r="A2886" s="1" t="s">
        <v>477</v>
      </c>
      <c r="B2886" s="1" t="s">
        <v>478</v>
      </c>
      <c r="C2886" s="1" t="s">
        <v>479</v>
      </c>
      <c r="D2886" s="1" t="s">
        <v>366</v>
      </c>
      <c r="E2886" s="1" t="s">
        <v>2593</v>
      </c>
      <c r="F2886" s="1" t="s">
        <v>5433</v>
      </c>
      <c r="G2886" s="1" t="s">
        <v>36</v>
      </c>
      <c r="H2886" s="1" t="s">
        <v>29</v>
      </c>
      <c r="I2886" s="1" t="str">
        <f ca="1">IFERROR(__xludf.DUMMYFUNCTION("GOOGLETRANSLATE(F2886, ""auto"", ""en"")
"),"This is the best multiplayer game until BF3 came out)))")</f>
        <v>This is the best multiplayer game until BF3 came out)))</v>
      </c>
    </row>
    <row r="2887" spans="1:9" x14ac:dyDescent="0.3">
      <c r="A2887" s="1" t="s">
        <v>120</v>
      </c>
      <c r="B2887" s="1" t="s">
        <v>121</v>
      </c>
      <c r="C2887" s="1" t="s">
        <v>97</v>
      </c>
      <c r="D2887" s="1" t="s">
        <v>5434</v>
      </c>
      <c r="E2887" s="1" t="s">
        <v>3002</v>
      </c>
      <c r="F2887" s="1" t="s">
        <v>5435</v>
      </c>
      <c r="G2887" s="1" t="s">
        <v>36</v>
      </c>
      <c r="H2887" s="1" t="s">
        <v>29</v>
      </c>
      <c r="I2887" s="1" t="str">
        <f ca="1">IFERROR(__xludf.DUMMYFUNCTION("GOOGLETRANSLATE(F2887, ""auto"", ""en"")
"),"Is there an HDMI output here? Otherwise I’m going to buy a PlayStation3 for my TV, but it just needs an HDMI output. Of course, tulips will do, but HDMI is recommended.")</f>
        <v>Is there an HDMI output here? Otherwise I’m going to buy a PlayStation3 for my TV, but it just needs an HDMI output. Of course, tulips will do, but HDMI is recommended.</v>
      </c>
    </row>
    <row r="2888" spans="1:9" x14ac:dyDescent="0.3">
      <c r="A2888" s="1" t="s">
        <v>120</v>
      </c>
      <c r="B2888" s="1" t="s">
        <v>121</v>
      </c>
      <c r="C2888" s="1" t="s">
        <v>97</v>
      </c>
      <c r="D2888" s="1" t="s">
        <v>308</v>
      </c>
      <c r="E2888" s="1" t="s">
        <v>1401</v>
      </c>
      <c r="F2888" s="1" t="s">
        <v>5436</v>
      </c>
      <c r="G2888" s="1" t="s">
        <v>49</v>
      </c>
      <c r="H2888" s="1" t="s">
        <v>16</v>
      </c>
      <c r="I2888" s="1" t="str">
        <f ca="1">IFERROR(__xludf.DUMMYFUNCTION("GOOGLETRANSLATE(F2888, ""auto"", ""en"")
"),"We came to the store to buy a 32"" LCD TV, having previously chosen LG, looked on the spot, saw a Sony Bravia - the design is really interesting, the clarity of the advertising picture is excellent... We brought it home, turned it on and tried for a long "&amp;"time to set up a beautiful image, on all channels it shows a weak signal, the clarity and contrast are not adjustable at all, in general we were upset... The next day we went and exchanged for another TV (we took a Samsung) having paid an additional 1000 "&amp;"rubles, and realized that and for 18,000 thousand you can enjoy the image. And Sony, firstly, has low brightness and contrast, and secondly, the fluorescent backlight of the display gives a poisonous green light... In general, M-Video has a large selectio"&amp;"n and reasonable prices!")</f>
        <v>We came to the store to buy a 32" LCD TV, having previously chosen LG, looked on the spot, saw a Sony Bravia - the design is really interesting, the clarity of the advertising picture is excellent... We brought it home, turned it on and tried for a long time to set up a beautiful image, on all channels it shows a weak signal, the clarity and contrast are not adjustable at all, in general we were upset... The next day we went and exchanged for another TV (we took a Samsung) having paid an additional 1000 rubles, and realized that and for 18,000 thousand you can enjoy the image. And Sony, firstly, has low brightness and contrast, and secondly, the fluorescent backlight of the display gives a poisonous green light... In general, M-Video has a large selection and reasonable prices!</v>
      </c>
    </row>
    <row r="2889" spans="1:9" x14ac:dyDescent="0.3">
      <c r="A2889" s="1" t="s">
        <v>67</v>
      </c>
      <c r="B2889" s="1" t="s">
        <v>68</v>
      </c>
      <c r="C2889" s="1" t="s">
        <v>246</v>
      </c>
      <c r="D2889" s="1" t="s">
        <v>5437</v>
      </c>
      <c r="E2889" s="1" t="s">
        <v>580</v>
      </c>
      <c r="F2889" s="1" t="s">
        <v>5438</v>
      </c>
      <c r="G2889" s="1" t="s">
        <v>36</v>
      </c>
      <c r="H2889" s="1" t="s">
        <v>29</v>
      </c>
      <c r="I2889" s="1" t="str">
        <f ca="1">IFERROR(__xludf.DUMMYFUNCTION("GOOGLETRANSLATE(F2889, ""auto"", ""en"")
"),"There are no complaints, it has been working for 3 months. Excellent ironing and steaming. My sister has the same one, she says sometimes water leaks out through the steam holes, but I haven’t noticed this with mine. Overall the iron is good")</f>
        <v>There are no complaints, it has been working for 3 months. Excellent ironing and steaming. My sister has the same one, she says sometimes water leaks out through the steam holes, but I haven’t noticed this with mine. Overall the iron is good</v>
      </c>
    </row>
    <row r="2890" spans="1:9" x14ac:dyDescent="0.3">
      <c r="A2890" s="1" t="s">
        <v>211</v>
      </c>
      <c r="B2890" s="1" t="s">
        <v>384</v>
      </c>
      <c r="C2890" s="1" t="s">
        <v>246</v>
      </c>
      <c r="D2890" s="1" t="s">
        <v>308</v>
      </c>
      <c r="E2890" s="1" t="s">
        <v>2313</v>
      </c>
      <c r="F2890" s="1" t="s">
        <v>5439</v>
      </c>
      <c r="G2890" s="1" t="s">
        <v>36</v>
      </c>
      <c r="H2890" s="1" t="s">
        <v>29</v>
      </c>
      <c r="I2890" s="1" t="str">
        <f ca="1">IFERROR(__xludf.DUMMYFUNCTION("GOOGLETRANSLATE(F2890, ""auto"", ""en"")
"),"The scales are wonderful and work great!)) I couldn’t be happier!))) You just need to figure out how to use them! ""Krakozyabra"" is a setting before use. You turn on the scale, wait for it to adjust, and then weigh yourself! And everything is great!")</f>
        <v>The scales are wonderful and work great!)) I couldn’t be happier!))) You just need to figure out how to use them! "Krakozyabra" is a setting before use. You turn on the scale, wait for it to adjust, and then weigh yourself! And everything is great!</v>
      </c>
    </row>
    <row r="2891" spans="1:9" x14ac:dyDescent="0.3">
      <c r="A2891" s="1" t="s">
        <v>61</v>
      </c>
      <c r="B2891" s="1" t="s">
        <v>318</v>
      </c>
      <c r="C2891" s="1" t="s">
        <v>74</v>
      </c>
      <c r="D2891" s="1" t="s">
        <v>139</v>
      </c>
      <c r="E2891" s="1" t="s">
        <v>2627</v>
      </c>
      <c r="F2891" s="1" t="s">
        <v>5440</v>
      </c>
      <c r="G2891" s="1" t="s">
        <v>36</v>
      </c>
      <c r="H2891" s="1" t="s">
        <v>29</v>
      </c>
      <c r="I2891" s="1" t="str">
        <f ca="1">IFERROR(__xludf.DUMMYFUNCTION("GOOGLETRANSLATE(F2891, ""auto"", ""en"")
"),"Excellent kettle, I've been using it for a year now with no problems.")</f>
        <v>Excellent kettle, I've been using it for a year now with no problems.</v>
      </c>
    </row>
    <row r="2892" spans="1:9" x14ac:dyDescent="0.3">
      <c r="A2892" s="1" t="s">
        <v>30</v>
      </c>
      <c r="B2892" s="1" t="s">
        <v>50</v>
      </c>
      <c r="C2892" s="1" t="s">
        <v>694</v>
      </c>
      <c r="D2892" s="1" t="s">
        <v>152</v>
      </c>
      <c r="E2892" s="1" t="s">
        <v>717</v>
      </c>
      <c r="F2892" s="1" t="s">
        <v>5441</v>
      </c>
      <c r="G2892" s="1" t="s">
        <v>28</v>
      </c>
      <c r="H2892" s="1" t="s">
        <v>29</v>
      </c>
      <c r="I2892" s="1" t="str">
        <f ca="1">IFERROR(__xludf.DUMMYFUNCTION("GOOGLETRANSLATE(F2892, ""auto"", ""en"")
"),"I bought Lenovo S12 (VIA Nano) six months ago, mainly for use on the internet. In principle, everything is fine, only the battery lasts for 1.5-2 hours, this is with the Wi-Fi toggle switch turned off. The screen is cool, the sound is loud, the keyboard i"&amp;"s comfortable. But the cooler is a little noisy. It's impossible to play games, everything slows down (I tried GTA Vice city, NFS Underground 2), but in general it was not bought for games. Blue ray quality films also slow down. Recently the scrolling on "&amp;"the touchpad stopped working. But I still think it's better to buy it than some 10-inch netbook.")</f>
        <v>I bought Lenovo S12 (VIA Nano) six months ago, mainly for use on the internet. In principle, everything is fine, only the battery lasts for 1.5-2 hours, this is with the Wi-Fi toggle switch turned off. The screen is cool, the sound is loud, the keyboard is comfortable. But the cooler is a little noisy. It's impossible to play games, everything slows down (I tried GTA Vice city, NFS Underground 2), but in general it was not bought for games. Blue ray quality films also slow down. Recently the scrolling on the touchpad stopped working. But I still think it's better to buy it than some 10-inch netbook.</v>
      </c>
    </row>
    <row r="2893" spans="1:9" x14ac:dyDescent="0.3">
      <c r="A2893" s="1" t="s">
        <v>30</v>
      </c>
      <c r="B2893" s="1" t="s">
        <v>50</v>
      </c>
      <c r="C2893" s="1" t="s">
        <v>32</v>
      </c>
      <c r="D2893" s="1" t="s">
        <v>366</v>
      </c>
      <c r="E2893" s="1" t="s">
        <v>3184</v>
      </c>
      <c r="F2893" s="1" t="s">
        <v>5442</v>
      </c>
      <c r="G2893" s="1" t="s">
        <v>28</v>
      </c>
      <c r="H2893" s="1" t="s">
        <v>29</v>
      </c>
      <c r="I2893" s="1" t="str">
        <f ca="1">IFERROR(__xludf.DUMMYFUNCTION("GOOGLETRANSLATE(F2893, ""auto"", ""en"")
"),"Nice beech. Seven flies. The games are great too.")</f>
        <v>Nice beech. Seven flies. The games are great too.</v>
      </c>
    </row>
    <row r="2894" spans="1:9" x14ac:dyDescent="0.3">
      <c r="A2894" s="1" t="s">
        <v>120</v>
      </c>
      <c r="B2894" s="1" t="s">
        <v>126</v>
      </c>
      <c r="C2894" s="1" t="s">
        <v>80</v>
      </c>
      <c r="D2894" s="1" t="s">
        <v>280</v>
      </c>
      <c r="E2894" s="1" t="s">
        <v>1319</v>
      </c>
      <c r="F2894" s="1" t="s">
        <v>5443</v>
      </c>
      <c r="G2894" s="1" t="s">
        <v>36</v>
      </c>
      <c r="H2894" s="1" t="s">
        <v>29</v>
      </c>
      <c r="I2894" s="1" t="str">
        <f ca="1">IFERROR(__xludf.DUMMYFUNCTION("GOOGLETRANSLATE(F2894, ""auto"", ""en"")
"),"Where exactly are these “Tool Options in USB Type” located and how to get there? Using diodes, I got into the EZ ADJUST menu, but I couldn’t find anything about “Tool Options”! Or was I looking in the wrong place at all?")</f>
        <v>Where exactly are these “Tool Options in USB Type” located and how to get there? Using diodes, I got into the EZ ADJUST menu, but I couldn’t find anything about “Tool Options”! Or was I looking in the wrong place at all?</v>
      </c>
    </row>
    <row r="2895" spans="1:9" x14ac:dyDescent="0.3">
      <c r="A2895" s="1" t="s">
        <v>965</v>
      </c>
      <c r="B2895" s="1" t="s">
        <v>966</v>
      </c>
      <c r="C2895" s="1" t="s">
        <v>967</v>
      </c>
      <c r="D2895" s="1" t="s">
        <v>117</v>
      </c>
      <c r="E2895" s="1" t="s">
        <v>3587</v>
      </c>
      <c r="F2895" s="1" t="s">
        <v>5444</v>
      </c>
      <c r="G2895" s="1" t="s">
        <v>36</v>
      </c>
      <c r="H2895" s="1" t="s">
        <v>29</v>
      </c>
      <c r="I2895" s="1" t="str">
        <f ca="1">IFERROR(__xludf.DUMMYFUNCTION("GOOGLETRANSLATE(F2895, ""auto"", ""en"")
"),"I've had them at home for over 6 years now, it's inconvenient with the wires, but the sound is the best.")</f>
        <v>I've had them at home for over 6 years now, it's inconvenient with the wires, but the sound is the best.</v>
      </c>
    </row>
    <row r="2896" spans="1:9" x14ac:dyDescent="0.3">
      <c r="A2896" s="1" t="s">
        <v>624</v>
      </c>
      <c r="B2896" s="1" t="s">
        <v>625</v>
      </c>
      <c r="C2896" s="1" t="s">
        <v>479</v>
      </c>
      <c r="D2896" s="1" t="s">
        <v>605</v>
      </c>
      <c r="E2896" s="1" t="s">
        <v>1481</v>
      </c>
      <c r="F2896" s="1" t="s">
        <v>5445</v>
      </c>
      <c r="G2896" s="1" t="s">
        <v>36</v>
      </c>
      <c r="H2896" s="1" t="s">
        <v>29</v>
      </c>
      <c r="I2896" s="1" t="str">
        <f ca="1">IFERROR(__xludf.DUMMYFUNCTION("GOOGLETRANSLATE(F2896, ""auto"", ""en"")
"),"Super masterpiece toy")</f>
        <v>Super masterpiece toy</v>
      </c>
    </row>
    <row r="2897" spans="1:9" x14ac:dyDescent="0.3">
      <c r="A2897" s="1" t="s">
        <v>61</v>
      </c>
      <c r="B2897" s="1" t="s">
        <v>318</v>
      </c>
      <c r="C2897" s="1" t="s">
        <v>85</v>
      </c>
      <c r="D2897" s="1" t="s">
        <v>295</v>
      </c>
      <c r="E2897" s="1" t="s">
        <v>1883</v>
      </c>
      <c r="F2897" s="1" t="s">
        <v>5446</v>
      </c>
      <c r="G2897" s="1" t="s">
        <v>49</v>
      </c>
      <c r="H2897" s="1" t="s">
        <v>16</v>
      </c>
      <c r="I2897" s="1" t="str">
        <f ca="1">IFERROR(__xludf.DUMMYFUNCTION("GOOGLETRANSLATE(F2897, ""auto"", ""en"")
"),"Water temperature selection buttons")</f>
        <v>Water temperature selection buttons</v>
      </c>
    </row>
    <row r="2898" spans="1:9" x14ac:dyDescent="0.3">
      <c r="A2898" s="1" t="s">
        <v>211</v>
      </c>
      <c r="B2898" s="1" t="s">
        <v>212</v>
      </c>
      <c r="C2898" s="1" t="s">
        <v>294</v>
      </c>
      <c r="D2898" s="1" t="s">
        <v>5447</v>
      </c>
      <c r="E2898" s="1" t="s">
        <v>1207</v>
      </c>
      <c r="F2898" s="1" t="s">
        <v>5448</v>
      </c>
      <c r="G2898" s="1" t="s">
        <v>36</v>
      </c>
      <c r="H2898" s="1" t="s">
        <v>29</v>
      </c>
      <c r="I2898" s="1" t="str">
        <f ca="1">IFERROR(__xludf.DUMMYFUNCTION("GOOGLETRANSLATE(F2898, ""auto"", ""en"")
"),"I've been using it for almost a year now, no complaints. Comfortable handle, “cold air” function, thanks to ionization I forgot that there are magnetized hair))))) Special thanks to the manufacturers for the design)))")</f>
        <v>I've been using it for almost a year now, no complaints. Comfortable handle, “cold air” function, thanks to ionization I forgot that there are magnetized hair))))) Special thanks to the manufacturers for the design)))</v>
      </c>
    </row>
    <row r="2899" spans="1:9" x14ac:dyDescent="0.3">
      <c r="A2899" s="1" t="s">
        <v>67</v>
      </c>
      <c r="B2899" s="1" t="s">
        <v>68</v>
      </c>
      <c r="C2899" s="1" t="s">
        <v>246</v>
      </c>
      <c r="D2899" s="1" t="s">
        <v>545</v>
      </c>
      <c r="E2899" s="1" t="s">
        <v>5449</v>
      </c>
      <c r="F2899" s="1" t="s">
        <v>5450</v>
      </c>
      <c r="G2899" s="1" t="s">
        <v>36</v>
      </c>
      <c r="H2899" s="1" t="s">
        <v>29</v>
      </c>
      <c r="I2899" s="1" t="str">
        <f ca="1">IFERROR(__xludf.DUMMYFUNCTION("GOOGLETRANSLATE(F2899, ""auto"", ""en"")
"),"I settled on this model because of its good characteristics, the consultant explained that this sole is coated with something, so you don’t have to clean it with a pencil. The steam is powerful and the ironing speed is significantly reduced. I can’t stop "&amp;"looking at perfectly ironed shirts :) I fold the bed linen 2-4 times and iron it. In general, I’m very pleased, I recommend it, and I don’t mind spending money on this")</f>
        <v>I settled on this model because of its good characteristics, the consultant explained that this sole is coated with something, so you don’t have to clean it with a pencil. The steam is powerful and the ironing speed is significantly reduced. I can’t stop looking at perfectly ironed shirts :) I fold the bed linen 2-4 times and iron it. In general, I’m very pleased, I recommend it, and I don’t mind spending money on this</v>
      </c>
    </row>
    <row r="2900" spans="1:9" x14ac:dyDescent="0.3">
      <c r="A2900" s="1" t="s">
        <v>30</v>
      </c>
      <c r="B2900" s="1" t="s">
        <v>50</v>
      </c>
      <c r="C2900" s="1" t="s">
        <v>694</v>
      </c>
      <c r="D2900" s="1" t="s">
        <v>142</v>
      </c>
      <c r="E2900" s="1" t="s">
        <v>1695</v>
      </c>
      <c r="F2900" s="1" t="s">
        <v>5451</v>
      </c>
      <c r="G2900" s="1" t="s">
        <v>36</v>
      </c>
      <c r="H2900" s="1" t="s">
        <v>29</v>
      </c>
      <c r="I2900" s="1" t="str">
        <f ca="1">IFERROR(__xludf.DUMMYFUNCTION("GOOGLETRANSLATE(F2900, ""auto"", ""en"")
"),"It turns out that you cannot insert a SIM card into this netbook, for example, to access the Internet in another city? Perhaps my question is a little incorrect, I don’t really know much about computers.....thanks in advance for your answer! =)")</f>
        <v>It turns out that you cannot insert a SIM card into this netbook, for example, to access the Internet in another city? Perhaps my question is a little incorrect, I don’t really know much about computers.....thanks in advance for your answer! =)</v>
      </c>
    </row>
    <row r="2901" spans="1:9" x14ac:dyDescent="0.3">
      <c r="A2901" s="1" t="s">
        <v>211</v>
      </c>
      <c r="B2901" s="1" t="s">
        <v>899</v>
      </c>
      <c r="C2901" s="1" t="s">
        <v>213</v>
      </c>
      <c r="D2901" s="1" t="s">
        <v>742</v>
      </c>
      <c r="E2901" s="1" t="s">
        <v>5452</v>
      </c>
      <c r="F2901" s="1" t="s">
        <v>5453</v>
      </c>
      <c r="G2901" s="1" t="s">
        <v>36</v>
      </c>
      <c r="H2901" s="1" t="s">
        <v>29</v>
      </c>
      <c r="I2901" s="1" t="str">
        <f ca="1">IFERROR(__xludf.DUMMYFUNCTION("GOOGLETRANSLATE(F2901, ""auto"", ""en"")
"),"I chose for a long time. You definitely need not only rotational, but also pulsating movements. After just 3 brushings, my teeth became noticeably brighter - super! You can't clean the backs of your teeth with a regular brush. I recommend it. Those that a"&amp;"re more expensive, in my opinion, are no longer necessary bells and whistles.")</f>
        <v>I chose for a long time. You definitely need not only rotational, but also pulsating movements. After just 3 brushings, my teeth became noticeably brighter - super! You can't clean the backs of your teeth with a regular brush. I recommend it. Those that are more expensive, in my opinion, are no longer necessary bells and whistles.</v>
      </c>
    </row>
    <row r="2902" spans="1:9" x14ac:dyDescent="0.3">
      <c r="A2902" s="1" t="s">
        <v>2087</v>
      </c>
      <c r="B2902" s="1" t="s">
        <v>2088</v>
      </c>
      <c r="C2902" s="1" t="s">
        <v>151</v>
      </c>
      <c r="D2902" s="1" t="s">
        <v>5454</v>
      </c>
      <c r="E2902" s="1" t="s">
        <v>1517</v>
      </c>
      <c r="F2902" s="1" t="s">
        <v>5455</v>
      </c>
      <c r="G2902" s="1" t="s">
        <v>36</v>
      </c>
      <c r="H2902" s="1" t="s">
        <v>29</v>
      </c>
      <c r="I2902" s="1" t="str">
        <f ca="1">IFERROR(__xludf.DUMMYFUNCTION("GOOGLETRANSLATE(F2902, ""auto"", ""en"")
"),"Unlike competitors, it eats NTFS (both the HDD and the USB flash drive have enough power) and catches files over the network (the main thing is to correctly create a rule on the FireWall) is displayed as a shared folder (tested with a laptop without acces"&amp;"s to the Internet) works via HDMI-CEC with a Philips TV, although only the Philips remote control works for 2 Samsung devices. Philips refuses to turn on, pleased with the trilogy of pirates, upset by the lack of the stated cable hdmi-hdmi containers mkv "&amp;"and avi eats with certain parameters, generally satisfied")</f>
        <v>Unlike competitors, it eats NTFS (both the HDD and the USB flash drive have enough power) and catches files over the network (the main thing is to correctly create a rule on the FireWall) is displayed as a shared folder (tested with a laptop without access to the Internet) works via HDMI-CEC with a Philips TV, although only the Philips remote control works for 2 Samsung devices. Philips refuses to turn on, pleased with the trilogy of pirates, upset by the lack of the stated cable hdmi-hdmi containers mkv and avi eats with certain parameters, generally satisfied</v>
      </c>
    </row>
    <row r="2903" spans="1:9" x14ac:dyDescent="0.3">
      <c r="A2903" s="1" t="s">
        <v>61</v>
      </c>
      <c r="B2903" s="1" t="s">
        <v>318</v>
      </c>
      <c r="C2903" s="1" t="s">
        <v>101</v>
      </c>
      <c r="D2903" s="1" t="s">
        <v>710</v>
      </c>
      <c r="E2903" s="1" t="s">
        <v>5456</v>
      </c>
      <c r="F2903" s="1" t="s">
        <v>5457</v>
      </c>
      <c r="G2903" s="1" t="s">
        <v>36</v>
      </c>
      <c r="H2903" s="1" t="s">
        <v>29</v>
      </c>
      <c r="I2903" s="1" t="str">
        <f ca="1">IFERROR(__xludf.DUMMYFUNCTION("GOOGLETRANSLATE(F2903, ""auto"", ""en"")
"),"Defects can happen to any manufacturer! I bought the kettle almost a year ago. It never smelled like plastic, it doesn’t form much scale, and it can withstand all the blows of fate like bang and bang. The water level is clearly visible. The only thing is "&amp;"that it is a little noisy, you have to turn the TV up louder. That's all! I recommend it both for the office and home :).")</f>
        <v>Defects can happen to any manufacturer! I bought the kettle almost a year ago. It never smelled like plastic, it doesn’t form much scale, and it can withstand all the blows of fate like bang and bang. The water level is clearly visible. The only thing is that it is a little noisy, you have to turn the TV up louder. That's all! I recommend it both for the office and home :).</v>
      </c>
    </row>
    <row r="2904" spans="1:9" x14ac:dyDescent="0.3">
      <c r="A2904" s="1" t="s">
        <v>211</v>
      </c>
      <c r="B2904" s="1" t="s">
        <v>410</v>
      </c>
      <c r="C2904" s="1" t="s">
        <v>122</v>
      </c>
      <c r="D2904" s="1" t="s">
        <v>1894</v>
      </c>
      <c r="E2904" s="1" t="s">
        <v>3333</v>
      </c>
      <c r="F2904" s="1" t="s">
        <v>5458</v>
      </c>
      <c r="G2904" s="1" t="s">
        <v>36</v>
      </c>
      <c r="H2904" s="1" t="s">
        <v>29</v>
      </c>
      <c r="I2904" s="1" t="str">
        <f ca="1">IFERROR(__xludf.DUMMYFUNCTION("GOOGLETRANSLATE(F2904, ""auto"", ""en"")
"),"This razor has completely replaced my razor; I no longer use it.  I like dry shaving better. Doesn't make any cuts. After shaving, as well as after shaving, I use balm.  I shave with pleasure every day, I’m very happy.")</f>
        <v>This razor has completely replaced my razor; I no longer use it.  I like dry shaving better. Doesn't make any cuts. After shaving, as well as after shaving, I use balm.  I shave with pleasure every day, I’m very happy.</v>
      </c>
    </row>
    <row r="2905" spans="1:9" x14ac:dyDescent="0.3">
      <c r="A2905" s="1" t="s">
        <v>105</v>
      </c>
      <c r="B2905" s="1" t="s">
        <v>106</v>
      </c>
      <c r="C2905" s="1" t="s">
        <v>151</v>
      </c>
      <c r="D2905" s="1" t="s">
        <v>5459</v>
      </c>
      <c r="E2905" s="1" t="s">
        <v>688</v>
      </c>
      <c r="F2905" s="1" t="s">
        <v>5460</v>
      </c>
      <c r="G2905" s="1" t="s">
        <v>28</v>
      </c>
      <c r="H2905" s="1" t="s">
        <v>29</v>
      </c>
      <c r="I2905" s="1" t="str">
        <f ca="1">IFERROR(__xludf.DUMMYFUNCTION("GOOGLETRANSLATE(F2905, ""auto"", ""en"")
"),"The player is very good. Disadvantages: the display goes blind in the sun and the brightness is at least at minimum and at maximum it is very difficult to see. The new firmware can only be downloaded from the Korean Samsung website; on our official one, o"&amp;"nly the very first firmware. inconvenient standard headphones, the sound is not bad, well, the wire is terribly inconvenient. there are no covers for it and you can’t hang it on a strap, there is no lanyard fastening. The cable for connecting to the PC is"&amp;" rare, if you lose it, I think it will be very difficult to find it, it’s unusual. PROS: the video shows well, the beautiful case has bluetooth, well, it’s good for everyone.")</f>
        <v>The player is very good. Disadvantages: the display goes blind in the sun and the brightness is at least at minimum and at maximum it is very difficult to see. The new firmware can only be downloaded from the Korean Samsung website; on our official one, only the very first firmware. inconvenient standard headphones, the sound is not bad, well, the wire is terribly inconvenient. there are no covers for it and you can’t hang it on a strap, there is no lanyard fastening. The cable for connecting to the PC is rare, if you lose it, I think it will be very difficult to find it, it’s unusual. PROS: the video shows well, the beautiful case has bluetooth, well, it’s good for everyone.</v>
      </c>
    </row>
    <row r="2906" spans="1:9" x14ac:dyDescent="0.3">
      <c r="A2906" s="1" t="s">
        <v>89</v>
      </c>
      <c r="B2906" s="1" t="s">
        <v>231</v>
      </c>
      <c r="C2906" s="1" t="s">
        <v>185</v>
      </c>
      <c r="D2906" s="1" t="s">
        <v>295</v>
      </c>
      <c r="E2906" s="1" t="s">
        <v>5461</v>
      </c>
      <c r="F2906" s="1" t="s">
        <v>5462</v>
      </c>
      <c r="G2906" s="1" t="s">
        <v>36</v>
      </c>
      <c r="H2906" s="1" t="s">
        <v>29</v>
      </c>
      <c r="I2906" s="1" t="str">
        <f ca="1">IFERROR(__xludf.DUMMYFUNCTION("GOOGLETRANSLATE(F2906, ""auto"", ""en"")
"),"An excellent coffee machine, it makes wonderfully tasty coffee, it’s very easy to operate and very easy to clean (we don’t spend money on some other expensive tablets, like our neighbors with their Jura). In general, we get the same pleasure, only for muc"&amp;"h less money)))")</f>
        <v>An excellent coffee machine, it makes wonderfully tasty coffee, it’s very easy to operate and very easy to clean (we don’t spend money on some other expensive tablets, like our neighbors with their Jura). In general, we get the same pleasure, only for much less money)))</v>
      </c>
    </row>
    <row r="2907" spans="1:9" x14ac:dyDescent="0.3">
      <c r="A2907" s="1" t="s">
        <v>17</v>
      </c>
      <c r="B2907" s="1" t="s">
        <v>18</v>
      </c>
      <c r="C2907" s="1" t="s">
        <v>138</v>
      </c>
      <c r="D2907" s="1" t="s">
        <v>295</v>
      </c>
      <c r="E2907" s="1" t="s">
        <v>2780</v>
      </c>
      <c r="F2907" s="1" t="s">
        <v>5463</v>
      </c>
      <c r="G2907" s="1" t="s">
        <v>36</v>
      </c>
      <c r="H2907" s="1" t="s">
        <v>29</v>
      </c>
      <c r="I2907" s="1" t="str">
        <f ca="1">IFERROR(__xludf.DUMMYFUNCTION("GOOGLETRANSLATE(F2907, ""auto"", ""en"")
"),"I bought the car a week ago. I'm very pleased. I've washed it five times already. It washes everything perfectly. The only thing is that it doesn't wash shoes very well. I washed my sneakers and there was still dust where the creases were. It doesn’t shak"&amp;"e, it doesn’t wash loudly, I washed it at night - the neighbors didn’t come :)")</f>
        <v>I bought the car a week ago. I'm very pleased. I've washed it five times already. It washes everything perfectly. The only thing is that it doesn't wash shoes very well. I washed my sneakers and there was still dust where the creases were. It doesn’t shake, it doesn’t wash loudly, I washed it at night - the neighbors didn’t come :)</v>
      </c>
    </row>
    <row r="2908" spans="1:9" x14ac:dyDescent="0.3">
      <c r="A2908" s="1" t="s">
        <v>61</v>
      </c>
      <c r="B2908" s="1" t="s">
        <v>62</v>
      </c>
      <c r="C2908" s="1" t="s">
        <v>146</v>
      </c>
      <c r="D2908" s="1" t="s">
        <v>2096</v>
      </c>
      <c r="E2908" s="1" t="s">
        <v>954</v>
      </c>
      <c r="F2908" s="1" t="s">
        <v>5464</v>
      </c>
      <c r="G2908" s="1" t="s">
        <v>36</v>
      </c>
      <c r="H2908" s="1" t="s">
        <v>29</v>
      </c>
      <c r="I2908" s="1" t="str">
        <f ca="1">IFERROR(__xludf.DUMMYFUNCTION("GOOGLETRANSLATE(F2908, ""auto"", ""en"")
"),"Bought from Mvideo. We were very pleased. We chose between Bosch and Kenwood. We chose Kenwood; it is more compact, can easily stand on the table and can be used every day. It chops and grates well. He did a great job with the carrots and radishes and eve"&amp;"n managed to chop the meat. A real assistant in the kitchen, it makes your work easier; you no longer have to rub anything with your hands and save time. Now we enjoy preparing a variety of dishes every day.")</f>
        <v>Bought from Mvideo. We were very pleased. We chose between Bosch and Kenwood. We chose Kenwood; it is more compact, can easily stand on the table and can be used every day. It chops and grates well. He did a great job with the carrots and radishes and even managed to chop the meat. A real assistant in the kitchen, it makes your work easier; you no longer have to rub anything with your hands and save time. Now we enjoy preparing a variety of dishes every day.</v>
      </c>
    </row>
    <row r="2909" spans="1:9" x14ac:dyDescent="0.3">
      <c r="A2909" s="1" t="s">
        <v>105</v>
      </c>
      <c r="B2909" s="1" t="s">
        <v>106</v>
      </c>
      <c r="C2909" s="1" t="s">
        <v>1209</v>
      </c>
      <c r="D2909" s="1" t="s">
        <v>52</v>
      </c>
      <c r="E2909" s="1" t="s">
        <v>3542</v>
      </c>
      <c r="F2909" s="1" t="s">
        <v>5465</v>
      </c>
      <c r="G2909" s="1" t="s">
        <v>28</v>
      </c>
      <c r="H2909" s="1" t="s">
        <v>29</v>
      </c>
      <c r="I2909" s="1" t="str">
        <f ca="1">IFERROR(__xludf.DUMMYFUNCTION("GOOGLETRANSLATE(F2909, ""auto"", ""en"")
"),"Yes, it’s a cool player, but I load AVI video into it as it should, but it says that the format is incorrect.")</f>
        <v>Yes, it’s a cool player, but I load AVI video into it as it should, but it says that the format is incorrect.</v>
      </c>
    </row>
    <row r="2910" spans="1:9" x14ac:dyDescent="0.3">
      <c r="A2910" s="1" t="s">
        <v>149</v>
      </c>
      <c r="B2910" s="1" t="s">
        <v>576</v>
      </c>
      <c r="C2910" s="1" t="s">
        <v>80</v>
      </c>
      <c r="D2910" s="1" t="s">
        <v>64</v>
      </c>
      <c r="E2910" s="1" t="s">
        <v>201</v>
      </c>
      <c r="F2910" s="1" t="s">
        <v>5466</v>
      </c>
      <c r="G2910" s="1" t="s">
        <v>28</v>
      </c>
      <c r="H2910" s="1" t="s">
        <v>29</v>
      </c>
      <c r="I2910" s="1" t="str">
        <f ca="1">IFERROR(__xludf.DUMMYFUNCTION("GOOGLETRANSLATE(F2910, ""auto"", ""en"")
"),"We've been using it for a couple of months now.    In general, the vacuum cleaner is not bad, considering the especially low price. The only thing I didn’t like was the main attachment, which may not be bad for the price, but has some drawbacks.      Pros"&amp;": good design, the dust collector is quite voluminous for such a small vacuum cleaner, the suction power is also decent, low price, good value for money Cons: the main nozzle (made of plastic) does not have the usual insert for collecting wool and hair;  "&amp;"on smooth surfaces, the wheels are too hard and sometimes scrape on the floor, it seems that they do not scroll well; for the same reason, the brush sometimes glides poorly on the carpet surface. For this reason, the product rating is 4, not 5. Solution: "&amp;"if you wish, you can buy another attachment.    Conclusion: for unpretentious and economical buyers, this is the best thing, all the main functions of the vacuum cleaner are in place.")</f>
        <v>We've been using it for a couple of months now.    In general, the vacuum cleaner is not bad, considering the especially low price. The only thing I didn’t like was the main attachment, which may not be bad for the price, but has some drawbacks.      Pros: good design, the dust collector is quite voluminous for such a small vacuum cleaner, the suction power is also decent, low price, good value for money Cons: the main nozzle (made of plastic) does not have the usual insert for collecting wool and hair;  on smooth surfaces, the wheels are too hard and sometimes scrape on the floor, it seems that they do not scroll well; for the same reason, the brush sometimes glides poorly on the carpet surface. For this reason, the product rating is 4, not 5. Solution: if you wish, you can buy another attachment.    Conclusion: for unpretentious and economical buyers, this is the best thing, all the main functions of the vacuum cleaner are in place.</v>
      </c>
    </row>
    <row r="2911" spans="1:9" x14ac:dyDescent="0.3">
      <c r="A2911" s="1" t="s">
        <v>61</v>
      </c>
      <c r="B2911" s="1" t="s">
        <v>977</v>
      </c>
      <c r="C2911" s="1" t="s">
        <v>85</v>
      </c>
      <c r="D2911" s="1" t="s">
        <v>39</v>
      </c>
      <c r="E2911" s="1" t="s">
        <v>5467</v>
      </c>
      <c r="F2911" s="1" t="s">
        <v>5468</v>
      </c>
      <c r="G2911" s="1" t="s">
        <v>36</v>
      </c>
      <c r="H2911" s="1" t="s">
        <v>29</v>
      </c>
      <c r="I2911" s="1" t="str">
        <f ca="1">IFERROR(__xludf.DUMMYFUNCTION("GOOGLETRANSLATE(F2911, ""auto"", ""en"")
"),"It crushes beautifully, mixes perfectly and crushes ice with ease!!! Nice case, high quality parts!! Cons: Not found!")</f>
        <v>It crushes beautifully, mixes perfectly and crushes ice with ease!!! Nice case, high quality parts!! Cons: Not found!</v>
      </c>
    </row>
    <row r="2912" spans="1:9" x14ac:dyDescent="0.3">
      <c r="A2912" s="1" t="s">
        <v>120</v>
      </c>
      <c r="B2912" s="1" t="s">
        <v>121</v>
      </c>
      <c r="C2912" s="1" t="s">
        <v>80</v>
      </c>
      <c r="D2912" s="1" t="s">
        <v>456</v>
      </c>
      <c r="E2912" s="1" t="s">
        <v>391</v>
      </c>
      <c r="F2912" s="1" t="s">
        <v>5469</v>
      </c>
      <c r="G2912" s="1" t="s">
        <v>36</v>
      </c>
      <c r="H2912" s="1" t="s">
        <v>29</v>
      </c>
      <c r="I2912" s="1" t="str">
        <f ca="1">IFERROR(__xludf.DUMMYFUNCTION("GOOGLETRANSLATE(F2912, ""auto"", ""en"")
"),"We bought a 32"" LCD TV LG 32 LH5000 and were pleased with the purchase!")</f>
        <v>We bought a 32" LCD TV LG 32 LH5000 and were pleased with the purchase!</v>
      </c>
    </row>
    <row r="2913" spans="1:9" x14ac:dyDescent="0.3">
      <c r="A2913" s="1" t="s">
        <v>811</v>
      </c>
      <c r="B2913" s="1" t="s">
        <v>1294</v>
      </c>
      <c r="C2913" s="1" t="s">
        <v>1295</v>
      </c>
      <c r="D2913" s="1" t="s">
        <v>545</v>
      </c>
      <c r="E2913" s="1" t="s">
        <v>5470</v>
      </c>
      <c r="F2913" s="1" t="s">
        <v>5471</v>
      </c>
      <c r="G2913" s="1" t="s">
        <v>36</v>
      </c>
      <c r="H2913" s="1" t="s">
        <v>29</v>
      </c>
      <c r="I2913" s="1" t="str">
        <f ca="1">IFERROR(__xludf.DUMMYFUNCTION("GOOGLETRANSLATE(F2913, ""auto"", ""en"")
"),"Great purchase. We cleaned all the optics (photo lenses, filters and even glasses). Easy to use, results exceeded expectations.")</f>
        <v>Great purchase. We cleaned all the optics (photo lenses, filters and even glasses). Easy to use, results exceeded expectations.</v>
      </c>
    </row>
    <row r="2914" spans="1:9" x14ac:dyDescent="0.3">
      <c r="A2914" s="1" t="s">
        <v>369</v>
      </c>
      <c r="B2914" s="1" t="s">
        <v>2480</v>
      </c>
      <c r="C2914" s="1" t="s">
        <v>453</v>
      </c>
      <c r="D2914" s="1" t="s">
        <v>5472</v>
      </c>
      <c r="E2914" s="1" t="s">
        <v>5473</v>
      </c>
      <c r="F2914" s="1" t="s">
        <v>5474</v>
      </c>
      <c r="G2914" s="1" t="s">
        <v>49</v>
      </c>
      <c r="H2914" s="1" t="s">
        <v>16</v>
      </c>
      <c r="I2914" s="1" t="str">
        <f ca="1">IFERROR(__xludf.DUMMYFUNCTION("GOOGLETRANSLATE(F2914, ""auto"", ""en"")
"),"I do not recommend buying this tile. I liked the design, the completely black coat looks nice. But I wasn’t happy for long (((( Yesterday it stopped working. It worked for nothing: about 4 months. Honestly, I’m sorry for the money spent.")</f>
        <v>I do not recommend buying this tile. I liked the design, the completely black coat looks nice. But I wasn’t happy for long (((( Yesterday it stopped working. It worked for nothing: about 4 months. Honestly, I’m sorry for the money spent.</v>
      </c>
    </row>
    <row r="2915" spans="1:9" x14ac:dyDescent="0.3">
      <c r="A2915" s="1" t="s">
        <v>211</v>
      </c>
      <c r="B2915" s="1" t="s">
        <v>899</v>
      </c>
      <c r="C2915" s="1" t="s">
        <v>69</v>
      </c>
      <c r="D2915" s="1" t="s">
        <v>1581</v>
      </c>
      <c r="E2915" s="1" t="s">
        <v>5475</v>
      </c>
      <c r="F2915" s="1" t="s">
        <v>5476</v>
      </c>
      <c r="G2915" s="1" t="s">
        <v>49</v>
      </c>
      <c r="H2915" s="1" t="s">
        <v>16</v>
      </c>
      <c r="I2915" s="1" t="str">
        <f ca="1">IFERROR(__xludf.DUMMYFUNCTION("GOOGLETRANSLATE(F2915, ""auto"", ""en"")
"),"It is completely unclear why the movements of the bristles of this brush were so aggressive. The manufacturer himself understands this, so he created an addictive mode, but it gives little. The gums began to bleed and the discomfort from brushing intensif"&amp;"ied.")</f>
        <v>It is completely unclear why the movements of the bristles of this brush were so aggressive. The manufacturer himself understands this, so he created an addictive mode, but it gives little. The gums began to bleed and the discomfort from brushing intensified.</v>
      </c>
    </row>
    <row r="2916" spans="1:9" x14ac:dyDescent="0.3">
      <c r="A2916" s="1" t="s">
        <v>89</v>
      </c>
      <c r="B2916" s="1" t="s">
        <v>231</v>
      </c>
      <c r="C2916" s="1" t="s">
        <v>63</v>
      </c>
      <c r="D2916" s="1" t="s">
        <v>39</v>
      </c>
      <c r="E2916" s="1" t="s">
        <v>734</v>
      </c>
      <c r="F2916" s="1" t="s">
        <v>5477</v>
      </c>
      <c r="G2916" s="1" t="s">
        <v>36</v>
      </c>
      <c r="H2916" s="1" t="s">
        <v>29</v>
      </c>
      <c r="I2916" s="1" t="str">
        <f ca="1">IFERROR(__xludf.DUMMYFUNCTION("GOOGLETRANSLATE(F2916, ""auto"", ""en"")
"),"Great device! I'm very pleased. produces quality coffee. Reliable machine.")</f>
        <v>Great device! I'm very pleased. produces quality coffee. Reliable machine.</v>
      </c>
    </row>
    <row r="2917" spans="1:9" x14ac:dyDescent="0.3">
      <c r="A2917" s="1" t="s">
        <v>61</v>
      </c>
      <c r="B2917" s="1" t="s">
        <v>73</v>
      </c>
      <c r="C2917" s="1" t="s">
        <v>146</v>
      </c>
      <c r="D2917" s="1" t="s">
        <v>152</v>
      </c>
      <c r="E2917" s="1" t="s">
        <v>3416</v>
      </c>
      <c r="F2917" s="1" t="s">
        <v>5478</v>
      </c>
      <c r="G2917" s="1" t="s">
        <v>28</v>
      </c>
      <c r="H2917" s="1" t="s">
        <v>29</v>
      </c>
      <c r="I2917" s="1" t="str">
        <f ca="1">IFERROR(__xludf.DUMMYFUNCTION("GOOGLETRANSLATE(F2917, ""auto"", ""en"")
"),"I bought this meat grinder as a gift for my wife. The first thing that unpleasantly surprised me was that the nameplate says MG510 instead of MG520. After much clarification, I was told that this is how it’s supposed to be and that the machines are the sa"&amp;"me, differing only in the additional graters. So for those who choose a meat grinder (and nothing more!), you shouldn’t overpay for additional and unnecessary accessories. I read reviews from those who bought such a processor - many are satisfied with the"&amp;" MEAT GRINDER, and not with the ability to grate carrots. Then why pay an extra 6-8 thousand rubles?  Overall, the car is good, strong, beautiful. I liked the stainless steel knives, they have enough power. I can’t say anything about the gears breaking; t"&amp;"hey haven’t broken yet, although the gears did break in the old Kenwood meat grinder (2400W) (they are made of plastic).  I rate the car 4 stars, taking into account the above.  P.S. When you read only laudatory reviews, without comments --- (is EVERYTHIN"&amp;"G really good?).")</f>
        <v>I bought this meat grinder as a gift for my wife. The first thing that unpleasantly surprised me was that the nameplate says MG510 instead of MG520. After much clarification, I was told that this is how it’s supposed to be and that the machines are the same, differing only in the additional graters. So for those who choose a meat grinder (and nothing more!), you shouldn’t overpay for additional and unnecessary accessories. I read reviews from those who bought such a processor - many are satisfied with the MEAT GRINDER, and not with the ability to grate carrots. Then why pay an extra 6-8 thousand rubles?  Overall, the car is good, strong, beautiful. I liked the stainless steel knives, they have enough power. I can’t say anything about the gears breaking; they haven’t broken yet, although the gears did break in the old Kenwood meat grinder (2400W) (they are made of plastic).  I rate the car 4 stars, taking into account the above.  P.S. When you read only laudatory reviews, without comments --- (is EVERYTHING really good?).</v>
      </c>
    </row>
    <row r="2918" spans="1:9" x14ac:dyDescent="0.3">
      <c r="A2918" s="1" t="s">
        <v>43</v>
      </c>
      <c r="B2918" s="1" t="s">
        <v>1382</v>
      </c>
      <c r="C2918" s="1" t="s">
        <v>57</v>
      </c>
      <c r="D2918" s="1" t="s">
        <v>5479</v>
      </c>
      <c r="E2918" s="1" t="s">
        <v>5480</v>
      </c>
      <c r="F2918" s="1" t="s">
        <v>5481</v>
      </c>
      <c r="G2918" s="1" t="s">
        <v>36</v>
      </c>
      <c r="H2918" s="1" t="s">
        <v>29</v>
      </c>
      <c r="I2918" s="1" t="str">
        <f ca="1">IFERROR(__xludf.DUMMYFUNCTION("GOOGLETRANSLATE(F2918, ""auto"", ""en"")
"),"I bought a fan a year ago and I couldn’t be happier. Of course it’s noisy, but it’s so powerful!! I didn’t turn on the air conditioning at all in the summer; the fan saved the day 100%.")</f>
        <v>I bought a fan a year ago and I couldn’t be happier. Of course it’s noisy, but it’s so powerful!! I didn’t turn on the air conditioning at all in the summer; the fan saved the day 100%.</v>
      </c>
    </row>
    <row r="2919" spans="1:9" x14ac:dyDescent="0.3">
      <c r="A2919" s="1" t="s">
        <v>37</v>
      </c>
      <c r="B2919" s="1" t="s">
        <v>38</v>
      </c>
      <c r="C2919" s="1" t="s">
        <v>151</v>
      </c>
      <c r="D2919" s="1" t="s">
        <v>742</v>
      </c>
      <c r="E2919" s="1" t="s">
        <v>1632</v>
      </c>
      <c r="F2919" s="1" t="s">
        <v>5482</v>
      </c>
      <c r="G2919" s="1" t="s">
        <v>28</v>
      </c>
      <c r="H2919" s="1" t="s">
        <v>29</v>
      </c>
      <c r="I2919" s="1" t="str">
        <f ca="1">IFERROR(__xludf.DUMMYFUNCTION("GOOGLETRANSLATE(F2919, ""auto"", ""en"")
"),"Everything is fine, I’ve been using it for six months now... The downside is that it runs out quickly: if you listen to the radio for 1.5 days, otherwise there are enough days for 5 charges")</f>
        <v>Everything is fine, I’ve been using it for six months now... The downside is that it runs out quickly: if you listen to the radio for 1.5 days, otherwise there are enough days for 5 charges</v>
      </c>
    </row>
    <row r="2920" spans="1:9" x14ac:dyDescent="0.3">
      <c r="A2920" s="1" t="s">
        <v>55</v>
      </c>
      <c r="B2920" s="1" t="s">
        <v>56</v>
      </c>
      <c r="C2920" s="1" t="s">
        <v>159</v>
      </c>
      <c r="D2920" s="1" t="s">
        <v>305</v>
      </c>
      <c r="E2920" s="1" t="s">
        <v>3323</v>
      </c>
      <c r="F2920" s="1" t="s">
        <v>5483</v>
      </c>
      <c r="G2920" s="1" t="s">
        <v>15</v>
      </c>
      <c r="H2920" s="1" t="s">
        <v>16</v>
      </c>
      <c r="I2920" s="1" t="str">
        <f ca="1">IFERROR(__xludf.DUMMYFUNCTION("GOOGLETRANSLATE(F2920, ""auto"", ""en"")
"),"Purchased on January 19, 2013 and failed on February 8, 2014, having worked 2 weeks longer than the warranty period! The ultrasonic transducer itself has failed.")</f>
        <v>Purchased on January 19, 2013 and failed on February 8, 2014, having worked 2 weeks longer than the warranty period! The ultrasonic transducer itself has failed.</v>
      </c>
    </row>
    <row r="2921" spans="1:9" x14ac:dyDescent="0.3">
      <c r="A2921" s="1" t="s">
        <v>557</v>
      </c>
      <c r="B2921" s="1" t="s">
        <v>558</v>
      </c>
      <c r="C2921" s="1" t="s">
        <v>1921</v>
      </c>
      <c r="D2921" s="1" t="s">
        <v>5484</v>
      </c>
      <c r="E2921" s="1" t="s">
        <v>296</v>
      </c>
      <c r="F2921" s="1" t="s">
        <v>5485</v>
      </c>
      <c r="G2921" s="1" t="s">
        <v>49</v>
      </c>
      <c r="H2921" s="1" t="s">
        <v>16</v>
      </c>
      <c r="I2921" s="1" t="str">
        <f ca="1">IFERROR(__xludf.DUMMYFUNCTION("GOOGLETRANSLATE(F2921, ""auto"", ""en"")
"),"I didn’t like the phone, the answering machine turns on even after you pick up the parallel phone, the phone froze and blocked the entire network - I had to reset all settings.")</f>
        <v>I didn’t like the phone, the answering machine turns on even after you pick up the parallel phone, the phone froze and blocked the entire network - I had to reset all settings.</v>
      </c>
    </row>
    <row r="2922" spans="1:9" x14ac:dyDescent="0.3">
      <c r="A2922" s="1" t="s">
        <v>211</v>
      </c>
      <c r="B2922" s="1" t="s">
        <v>265</v>
      </c>
      <c r="C2922" s="1" t="s">
        <v>69</v>
      </c>
      <c r="D2922" s="1" t="s">
        <v>521</v>
      </c>
      <c r="E2922" s="1" t="s">
        <v>1315</v>
      </c>
      <c r="F2922" s="1" t="s">
        <v>5486</v>
      </c>
      <c r="G2922" s="1" t="s">
        <v>49</v>
      </c>
      <c r="H2922" s="1" t="s">
        <v>16</v>
      </c>
      <c r="I2922" s="1" t="str">
        <f ca="1">IFERROR(__xludf.DUMMYFUNCTION("GOOGLETRANSLATE(F2922, ""auto"", ""en"")
"),"bought 3 days ago. At home we discovered that there was no information about the battery, and it was unknown how to determine the charging time. While searching, we came across this site and decided not to start using it, but to exchange it. Even the lack"&amp;" of information is an unpleasant fact, and even if the quality is as people write....")</f>
        <v>bought 3 days ago. At home we discovered that there was no information about the battery, and it was unknown how to determine the charging time. While searching, we came across this site and decided not to start using it, but to exchange it. Even the lack of information is an unpleasant fact, and even if the quality is as people write....</v>
      </c>
    </row>
    <row r="2923" spans="1:9" x14ac:dyDescent="0.3">
      <c r="A2923" s="1" t="s">
        <v>111</v>
      </c>
      <c r="B2923" s="1" t="s">
        <v>636</v>
      </c>
      <c r="C2923" s="1" t="s">
        <v>637</v>
      </c>
      <c r="D2923" s="1" t="s">
        <v>232</v>
      </c>
      <c r="E2923" s="1" t="s">
        <v>1841</v>
      </c>
      <c r="F2923" s="1" t="s">
        <v>5487</v>
      </c>
      <c r="G2923" s="1" t="s">
        <v>36</v>
      </c>
      <c r="H2923" s="1" t="s">
        <v>29</v>
      </c>
      <c r="I2923" s="1" t="str">
        <f ca="1">IFERROR(__xludf.DUMMYFUNCTION("GOOGLETRANSLATE(F2923, ""auto"", ""en"")
"),"I bought it three months ago. Works in conjunction with 208 + another external sensor. It shows accurately, and, most importantly, is clearly visible from any distance.")</f>
        <v>I bought it three months ago. Works in conjunction with 208 + another external sensor. It shows accurately, and, most importantly, is clearly visible from any distance.</v>
      </c>
    </row>
    <row r="2924" spans="1:9" x14ac:dyDescent="0.3">
      <c r="A2924" s="1" t="s">
        <v>55</v>
      </c>
      <c r="B2924" s="1" t="s">
        <v>56</v>
      </c>
      <c r="C2924" s="1" t="s">
        <v>159</v>
      </c>
      <c r="D2924" s="1" t="s">
        <v>39</v>
      </c>
      <c r="E2924" s="1" t="s">
        <v>552</v>
      </c>
      <c r="F2924" s="1" t="s">
        <v>5488</v>
      </c>
      <c r="G2924" s="1" t="s">
        <v>28</v>
      </c>
      <c r="H2924" s="1" t="s">
        <v>29</v>
      </c>
      <c r="I2924" s="1" t="str">
        <f ca="1">IFERROR(__xludf.DUMMYFUNCTION("GOOGLETRANSLATE(F2924, ""auto"", ""en"")
"),"The air humidifier is good, no complaints, but unfortunately I can’t find a filter for it anywhere without which it won’t work. I consulted with M-video sellers about the possibility of ordering this filter, but in response they just shrugged their should"&amp;"ers, they don’t deliver such a product to order, and they can’t tell me where to buy it. I believe that if a store sells any equipment, then it should also sell consumables for it.")</f>
        <v>The air humidifier is good, no complaints, but unfortunately I can’t find a filter for it anywhere without which it won’t work. I consulted with M-video sellers about the possibility of ordering this filter, but in response they just shrugged their shoulders, they don’t deliver such a product to order, and they can’t tell me where to buy it. I believe that if a store sells any equipment, then it should also sell consumables for it.</v>
      </c>
    </row>
    <row r="2925" spans="1:9" x14ac:dyDescent="0.3">
      <c r="A2925" s="1" t="s">
        <v>61</v>
      </c>
      <c r="B2925" s="1" t="s">
        <v>224</v>
      </c>
      <c r="C2925" s="1" t="s">
        <v>85</v>
      </c>
      <c r="D2925" s="1" t="s">
        <v>171</v>
      </c>
      <c r="E2925" s="1" t="s">
        <v>5489</v>
      </c>
      <c r="F2925" s="1" t="s">
        <v>5490</v>
      </c>
      <c r="G2925" s="1" t="s">
        <v>36</v>
      </c>
      <c r="H2925" s="1" t="s">
        <v>29</v>
      </c>
      <c r="I2925" s="1" t="str">
        <f ca="1">IFERROR(__xludf.DUMMYFUNCTION("GOOGLETRANSLATE(F2925, ""auto"", ""en"")
"),"appeared in our family with a child. My wife was puzzled by the usefulness of fruits, healthy eating, and treatment with juices. We chose a juicer for one-time use, so, as it seemed to me, there was no point in more expensive models. We were satisfied, it"&amp;" justified its price, it squeezes everything from berries to pineapple without peel.")</f>
        <v>appeared in our family with a child. My wife was puzzled by the usefulness of fruits, healthy eating, and treatment with juices. We chose a juicer for one-time use, so, as it seemed to me, there was no point in more expensive models. We were satisfied, it justified its price, it squeezes everything from berries to pineapple without peel.</v>
      </c>
    </row>
    <row r="2926" spans="1:9" x14ac:dyDescent="0.3">
      <c r="A2926" s="1" t="s">
        <v>61</v>
      </c>
      <c r="B2926" s="1" t="s">
        <v>977</v>
      </c>
      <c r="C2926" s="1" t="s">
        <v>246</v>
      </c>
      <c r="D2926" s="1" t="s">
        <v>5491</v>
      </c>
      <c r="E2926" s="1" t="s">
        <v>2097</v>
      </c>
      <c r="F2926" s="1" t="s">
        <v>5492</v>
      </c>
      <c r="G2926" s="1" t="s">
        <v>36</v>
      </c>
      <c r="H2926" s="1" t="s">
        <v>29</v>
      </c>
      <c r="I2926" s="1" t="str">
        <f ca="1">IFERROR(__xludf.DUMMYFUNCTION("GOOGLETRANSLATE(F2926, ""auto"", ""en"")
"),"I purchased the mixer and was very pleased! It makes no noise, beats well, no smell compared to cheaper models!) The cord winding is the best thing that can be!)))) I am very happy with my purchase!)))")</f>
        <v>I purchased the mixer and was very pleased! It makes no noise, beats well, no smell compared to cheaper models!) The cord winding is the best thing that can be!)))) I am very happy with my purchase!)))</v>
      </c>
    </row>
    <row r="2927" spans="1:9" x14ac:dyDescent="0.3">
      <c r="A2927" s="1" t="s">
        <v>61</v>
      </c>
      <c r="B2927" s="1" t="s">
        <v>318</v>
      </c>
      <c r="C2927" s="1" t="s">
        <v>246</v>
      </c>
      <c r="D2927" s="1" t="s">
        <v>152</v>
      </c>
      <c r="E2927" s="1" t="s">
        <v>5493</v>
      </c>
      <c r="F2927" s="1" t="s">
        <v>5494</v>
      </c>
      <c r="G2927" s="1" t="s">
        <v>49</v>
      </c>
      <c r="H2927" s="1" t="s">
        <v>16</v>
      </c>
      <c r="I2927" s="1" t="str">
        <f ca="1">IFERROR(__xludf.DUMMYFUNCTION("GOOGLETRANSLATE(F2927, ""auto"", ""en"")
"),"Price, design")</f>
        <v>Price, design</v>
      </c>
    </row>
    <row r="2928" spans="1:9" x14ac:dyDescent="0.3">
      <c r="A2928" s="1" t="s">
        <v>37</v>
      </c>
      <c r="B2928" s="1" t="s">
        <v>536</v>
      </c>
      <c r="C2928" s="1" t="s">
        <v>1419</v>
      </c>
      <c r="D2928" s="1" t="s">
        <v>287</v>
      </c>
      <c r="E2928" s="1" t="s">
        <v>1586</v>
      </c>
      <c r="F2928" s="1" t="s">
        <v>5495</v>
      </c>
      <c r="G2928" s="1" t="s">
        <v>15</v>
      </c>
      <c r="H2928" s="1" t="s">
        <v>16</v>
      </c>
      <c r="I2928" s="1" t="str">
        <f ca="1">IFERROR(__xludf.DUMMYFUNCTION("GOOGLETRANSLATE(F2928, ""auto"", ""en"")
"),"The same stupidity as V7. He really took it for more, apparently it’s getting cheaper. It slows down more and more. A device for those who have nothing to occupy themselves with :)")</f>
        <v>The same stupidity as V7. He really took it for more, apparently it’s getting cheaper. It slows down more and more. A device for those who have nothing to occupy themselves with :)</v>
      </c>
    </row>
    <row r="2929" spans="1:9" x14ac:dyDescent="0.3">
      <c r="A2929" s="1" t="s">
        <v>169</v>
      </c>
      <c r="B2929" s="1" t="s">
        <v>170</v>
      </c>
      <c r="C2929" s="1" t="s">
        <v>97</v>
      </c>
      <c r="D2929" s="1" t="s">
        <v>5496</v>
      </c>
      <c r="E2929" s="1" t="s">
        <v>947</v>
      </c>
      <c r="F2929" s="1" t="s">
        <v>5497</v>
      </c>
      <c r="G2929" s="1" t="s">
        <v>28</v>
      </c>
      <c r="H2929" s="1" t="s">
        <v>29</v>
      </c>
      <c r="I2929" s="1" t="str">
        <f ca="1">IFERROR(__xludf.DUMMYFUNCTION("GOOGLETRANSLATE(F2929, ""auto"", ""en"")
"),"Good price/quality ratio, during use for 1 year almost every day and min. 6 hours: Advantages: - price (inexpensive for wireless ears);  - sound quality;  - landing on the head;  - sound control and on/off on the right ear;  - good reception within one ro"&amp;"om;  Disadvantages: - wheezing sound when the batteries are running low;  - hissing at full volume;  - with intensive use, the battery lasts for 1 month;  - after a year, the headphone level adjustment mechanism failed.  Conclusion: it may well exist as a"&amp;" budget solution, but for convenience and duration of use, you need to spend money on normal fish soup)))")</f>
        <v>Good price/quality ratio, during use for 1 year almost every day and min. 6 hours: Advantages: - price (inexpensive for wireless ears);  - sound quality;  - landing on the head;  - sound control and on/off on the right ear;  - good reception within one room;  Disadvantages: - wheezing sound when the batteries are running low;  - hissing at full volume;  - with intensive use, the battery lasts for 1 month;  - after a year, the headphone level adjustment mechanism failed.  Conclusion: it may well exist as a budget solution, but for convenience and duration of use, you need to spend money on normal fish soup)))</v>
      </c>
    </row>
    <row r="2930" spans="1:9" x14ac:dyDescent="0.3">
      <c r="A2930" s="1" t="s">
        <v>732</v>
      </c>
      <c r="B2930" s="1" t="s">
        <v>733</v>
      </c>
      <c r="C2930" s="1" t="s">
        <v>80</v>
      </c>
      <c r="D2930" s="1" t="s">
        <v>1008</v>
      </c>
      <c r="E2930" s="1" t="s">
        <v>1576</v>
      </c>
      <c r="F2930" s="1" t="s">
        <v>5498</v>
      </c>
      <c r="G2930" s="1" t="s">
        <v>28</v>
      </c>
      <c r="H2930" s="1" t="s">
        <v>29</v>
      </c>
      <c r="I2930" s="1" t="str">
        <f ca="1">IFERROR(__xludf.DUMMYFUNCTION("GOOGLETRANSLATE(F2930, ""auto"", ""en"")
"),"+ beautiful design.  + Full HD support, I watched Avatar on it in 720p, the picture is amazing, everything is clear and without any distortion.  + Viewing angle, even standing from the side at a decent distance, distortion is minimal - the stand seems rat"&amp;"her weak, although this is not the case, shake the table a little and the monitor starts playing.  - lack of HDMI, although the analogue picture is amazing, this is more of a whim!!     When purchasing, there were broken pixels in the center of the screen"&amp;", so before purchasing, check for the integrity of the pixels, they were replaced without any problems. After the 17-inch, of course, you need to get used to it, it seems simply huge, don’t forget about the video card, at least GTS 250 and higher.. or sim"&amp;"ilar ones from other manufacturers!!!")</f>
        <v>+ beautiful design.  + Full HD support, I watched Avatar on it in 720p, the picture is amazing, everything is clear and without any distortion.  + Viewing angle, even standing from the side at a decent distance, distortion is minimal - the stand seems rather weak, although this is not the case, shake the table a little and the monitor starts playing.  - lack of HDMI, although the analogue picture is amazing, this is more of a whim!!     When purchasing, there were broken pixels in the center of the screen, so before purchasing, check for the integrity of the pixels, they were replaced without any problems. After the 17-inch, of course, you need to get used to it, it seems simply huge, don’t forget about the video card, at least GTS 250 and higher.. or similar ones from other manufacturers!!!</v>
      </c>
    </row>
    <row r="2931" spans="1:9" x14ac:dyDescent="0.3">
      <c r="A2931" s="1" t="s">
        <v>149</v>
      </c>
      <c r="B2931" s="1" t="s">
        <v>155</v>
      </c>
      <c r="C2931" s="1" t="s">
        <v>151</v>
      </c>
      <c r="D2931" s="1" t="s">
        <v>5499</v>
      </c>
      <c r="E2931" s="1" t="s">
        <v>2640</v>
      </c>
      <c r="F2931" s="1" t="s">
        <v>5500</v>
      </c>
      <c r="G2931" s="1" t="s">
        <v>36</v>
      </c>
      <c r="H2931" s="1" t="s">
        <v>29</v>
      </c>
      <c r="I2931" s="1" t="str">
        <f ca="1">IFERROR(__xludf.DUMMYFUNCTION("GOOGLETRANSLATE(F2931, ""auto"", ""en"")
"),"I bought it as a gift for my mother and decided to try it right away - we were very surprised by the quality and result")</f>
        <v>I bought it as a gift for my mother and decided to try it right away - we were very surprised by the quality and result</v>
      </c>
    </row>
    <row r="2932" spans="1:9" x14ac:dyDescent="0.3">
      <c r="A2932" s="1" t="s">
        <v>111</v>
      </c>
      <c r="B2932" s="1" t="s">
        <v>112</v>
      </c>
      <c r="C2932" s="1" t="s">
        <v>113</v>
      </c>
      <c r="D2932" s="1" t="s">
        <v>592</v>
      </c>
      <c r="E2932" s="1" t="s">
        <v>5501</v>
      </c>
      <c r="F2932" s="1" t="s">
        <v>5502</v>
      </c>
      <c r="G2932" s="1" t="s">
        <v>49</v>
      </c>
      <c r="H2932" s="1" t="s">
        <v>16</v>
      </c>
      <c r="I2932" s="1" t="str">
        <f ca="1">IFERROR(__xludf.DUMMYFUNCTION("GOOGLETRANSLATE(F2932, ""auto"", ""en"")
"),"This surge protector was purchased specifically for an AEG brand refrigerator to protect against power surges. As a result, the surge protector did not help and the refrigerator burned out. Do not buy this filter under any circumstances.")</f>
        <v>This surge protector was purchased specifically for an AEG brand refrigerator to protect against power surges. As a result, the surge protector did not help and the refrigerator burned out. Do not buy this filter under any circumstances.</v>
      </c>
    </row>
    <row r="2933" spans="1:9" x14ac:dyDescent="0.3">
      <c r="A2933" s="1" t="s">
        <v>211</v>
      </c>
      <c r="B2933" s="1" t="s">
        <v>515</v>
      </c>
      <c r="C2933" s="1" t="s">
        <v>381</v>
      </c>
      <c r="D2933" s="1" t="s">
        <v>5503</v>
      </c>
      <c r="E2933" s="1" t="s">
        <v>3395</v>
      </c>
      <c r="F2933" s="1" t="s">
        <v>5504</v>
      </c>
      <c r="G2933" s="1" t="s">
        <v>36</v>
      </c>
      <c r="H2933" s="1" t="s">
        <v>29</v>
      </c>
      <c r="I2933" s="1" t="str">
        <f ca="1">IFERROR(__xludf.DUMMYFUNCTION("GOOGLETRANSLATE(F2933, ""auto"", ""en"")
"),"Before this I used a Brown 7 series epilator, so I compare it with it. What I liked: - Air blowing really reduces pain - The massage is quite pleasant, but it’s bad that it doesn’t come off because... in some places it only gets in the way - Effective bac"&amp;"klight (large rectangle of light), you can see better compared to Brown - You can wash the attachments under water - The kit includes a trimmer What I didn’t like: - Flimsy plastic (I hope it will last a long time) Overall, the epilator is just excellent "&amp;"for the money! With so many attachments and features, it simply has no competitors. Removes even the smallest hairs on the legs, armpits - everything is convenient!!")</f>
        <v>Before this I used a Brown 7 series epilator, so I compare it with it. What I liked: - Air blowing really reduces pain - The massage is quite pleasant, but it’s bad that it doesn’t come off because... in some places it only gets in the way - Effective backlight (large rectangle of light), you can see better compared to Brown - You can wash the attachments under water - The kit includes a trimmer What I didn’t like: - Flimsy plastic (I hope it will last a long time) Overall, the epilator is just excellent for the money! With so many attachments and features, it simply has no competitors. Removes even the smallest hairs on the legs, armpits - everything is convenient!!</v>
      </c>
    </row>
    <row r="2934" spans="1:9" x14ac:dyDescent="0.3">
      <c r="A2934" s="1" t="s">
        <v>30</v>
      </c>
      <c r="B2934" s="1" t="s">
        <v>50</v>
      </c>
      <c r="C2934" s="1" t="s">
        <v>32</v>
      </c>
      <c r="D2934" s="1" t="s">
        <v>5505</v>
      </c>
      <c r="E2934" s="1" t="s">
        <v>585</v>
      </c>
      <c r="F2934" s="1" t="s">
        <v>5506</v>
      </c>
      <c r="G2934" s="1" t="s">
        <v>36</v>
      </c>
      <c r="H2934" s="1" t="s">
        <v>29</v>
      </c>
      <c r="I2934" s="1" t="str">
        <f ca="1">IFERROR(__xludf.DUMMYFUNCTION("GOOGLETRANSLATE(F2934, ""auto"", ""en"")
"),"Excellent beech, managed to get it for 35 kr on a promotion, everything that was on disks and screws goes up to the games of June 2010 ... although GTA 4 at maximum with aliasing and other features turned on, it slows down slightly (about the same as the "&amp;"whole game before on another beech)))) the battery lasts for about an hour of play and 2.5 hours of office work with the music turned on..")</f>
        <v>Excellent beech, managed to get it for 35 kr on a promotion, everything that was on disks and screws goes up to the games of June 2010 ... although GTA 4 at maximum with aliasing and other features turned on, it slows down slightly (about the same as the whole game before on another beech)))) the battery lasts for about an hour of play and 2.5 hours of office work with the music turned on..</v>
      </c>
    </row>
    <row r="2935" spans="1:9" x14ac:dyDescent="0.3">
      <c r="A2935" s="1" t="s">
        <v>105</v>
      </c>
      <c r="B2935" s="1" t="s">
        <v>106</v>
      </c>
      <c r="C2935" s="1" t="s">
        <v>69</v>
      </c>
      <c r="D2935" s="1" t="s">
        <v>1431</v>
      </c>
      <c r="E2935" s="1" t="s">
        <v>2565</v>
      </c>
      <c r="F2935" s="1" t="s">
        <v>5507</v>
      </c>
      <c r="G2935" s="1" t="s">
        <v>36</v>
      </c>
      <c r="H2935" s="1" t="s">
        <v>29</v>
      </c>
      <c r="I2935" s="1" t="str">
        <f ca="1">IFERROR(__xludf.DUMMYFUNCTION("GOOGLETRANSLATE(F2935, ""auto"", ""en"")
"),"It took me a long time to choose from the many options available for that kind of money. I settled on this model because of its nice design and convenient controls. I didn’t throw out the standard ears so as not to sit without music in case the main ones "&amp;"broke. Confidently maintains the specified operating time. This is exactly what is obtained with intensive use for 5-6 hours a day for 4-5 days. The sound quality is decent, although in my opinion it’s stupid to ask for perfect sound for that kind of mone"&amp;"y. I really didn’t like the organization of the playlist, it was very inconvenient. The screen is a little bright in my opinion, I would turn down the brightness a couple of notches, but that’s the problem. There is no such option. The old Samsung yp-f1 f"&amp;"rom 2005 had that too. I really liked the retractable USB, there is no cover that is easy to lose. Although the correct operation of this mechanism after 1-2 years raises my big doubts. The last factor in favor of this model was the brand. The products of"&amp;" this company have almost never let me down, and many of their equipment still work properly in my home.")</f>
        <v>It took me a long time to choose from the many options available for that kind of money. I settled on this model because of its nice design and convenient controls. I didn’t throw out the standard ears so as not to sit without music in case the main ones broke. Confidently maintains the specified operating time. This is exactly what is obtained with intensive use for 5-6 hours a day for 4-5 days. The sound quality is decent, although in my opinion it’s stupid to ask for perfect sound for that kind of money. I really didn’t like the organization of the playlist, it was very inconvenient. The screen is a little bright in my opinion, I would turn down the brightness a couple of notches, but that’s the problem. There is no such option. The old Samsung yp-f1 from 2005 had that too. I really liked the retractable USB, there is no cover that is easy to lose. Although the correct operation of this mechanism after 1-2 years raises my big doubts. The last factor in favor of this model was the brand. The products of this company have almost never let me down, and many of their equipment still work properly in my home.</v>
      </c>
    </row>
    <row r="2936" spans="1:9" x14ac:dyDescent="0.3">
      <c r="A2936" s="1" t="s">
        <v>95</v>
      </c>
      <c r="B2936" s="1" t="s">
        <v>227</v>
      </c>
      <c r="C2936" s="1" t="s">
        <v>97</v>
      </c>
      <c r="D2936" s="1" t="s">
        <v>1782</v>
      </c>
      <c r="E2936" s="1" t="s">
        <v>2265</v>
      </c>
      <c r="F2936" s="1" t="s">
        <v>5508</v>
      </c>
      <c r="G2936" s="1" t="s">
        <v>49</v>
      </c>
      <c r="H2936" s="1" t="s">
        <v>16</v>
      </c>
      <c r="I2936" s="1" t="str">
        <f ca="1">IFERROR(__xludf.DUMMYFUNCTION("GOOGLETRANSLATE(F2936, ""auto"", ""en"")
"),"firstly, expensive games, secondly, the assortment is not what I would like, if there was a choice of games, I would have thought about it, but it turns out he had one for my nephew......well, okay, I like to play, but I sold it for 15,990 rubles, I lost "&amp;"it........I don’t recommend it, it’s better to have a normal laptop and a joystick for it, then you’ll be glad")</f>
        <v>firstly, expensive games, secondly, the assortment is not what I would like, if there was a choice of games, I would have thought about it, but it turns out he had one for my nephew......well, okay, I like to play, but I sold it for 15,990 rubles, I lost it........I don’t recommend it, it’s better to have a normal laptop and a joystick for it, then you’ll be glad</v>
      </c>
    </row>
    <row r="2937" spans="1:9" x14ac:dyDescent="0.3">
      <c r="A2937" s="1" t="s">
        <v>477</v>
      </c>
      <c r="B2937" s="1" t="s">
        <v>478</v>
      </c>
      <c r="C2937" s="1" t="s">
        <v>479</v>
      </c>
      <c r="D2937" s="1" t="s">
        <v>5509</v>
      </c>
      <c r="E2937" s="1" t="s">
        <v>3664</v>
      </c>
      <c r="F2937" s="1" t="s">
        <v>5510</v>
      </c>
      <c r="G2937" s="1" t="s">
        <v>36</v>
      </c>
      <c r="H2937" s="1" t="s">
        <v>29</v>
      </c>
      <c r="I2937" s="1" t="str">
        <f ca="1">IFERROR(__xludf.DUMMYFUNCTION("GOOGLETRANSLATE(F2937, ""auto"", ""en"")
"),"Continuation of Call of Juarez. Aztec gold. Or rather, not a continuation, but a prequel, so you can play without familiarizing yourself with the first game. Although I recommend purchasing it.   Dynamic shooter, cool graphics, various locations, two-hand"&amp;"ed shooting, Wild West, chases, shootouts, war of independence, the obligatory Mexican bandit. Do you need anything else? The struggle for the attention of beauties, duels, Indians.  The game is played in one breath, the developers have tried very hard so"&amp;" that the player does not get bored, the situation changes every 5-10 minutes. In general, we take it without hesitation.")</f>
        <v>Continuation of Call of Juarez. Aztec gold. Or rather, not a continuation, but a prequel, so you can play without familiarizing yourself with the first game. Although I recommend purchasing it.   Dynamic shooter, cool graphics, various locations, two-handed shooting, Wild West, chases, shootouts, war of independence, the obligatory Mexican bandit. Do you need anything else? The struggle for the attention of beauties, duels, Indians.  The game is played in one breath, the developers have tried very hard so that the player does not get bored, the situation changes every 5-10 minutes. In general, we take it without hesitation.</v>
      </c>
    </row>
    <row r="2938" spans="1:9" x14ac:dyDescent="0.3">
      <c r="A2938" s="1" t="s">
        <v>496</v>
      </c>
      <c r="B2938" s="1" t="s">
        <v>497</v>
      </c>
      <c r="C2938" s="1" t="s">
        <v>487</v>
      </c>
      <c r="D2938" s="1" t="s">
        <v>33</v>
      </c>
      <c r="E2938" s="1" t="s">
        <v>800</v>
      </c>
      <c r="F2938" s="1" t="s">
        <v>5511</v>
      </c>
      <c r="G2938" s="1" t="s">
        <v>36</v>
      </c>
      <c r="H2938" s="1" t="s">
        <v>29</v>
      </c>
      <c r="I2938" s="1" t="str">
        <f ca="1">IFERROR(__xludf.DUMMYFUNCTION("GOOGLETRANSLATE(F2938, ""auto"", ""en"")
"),"The operating system is actually very good, it doesn’t slow down, it’s a pity that not all applications from XP work, those created for xp sp2 don’t work... the good news is that there are already a lot of programs on the internet that work with it.")</f>
        <v>The operating system is actually very good, it doesn’t slow down, it’s a pity that not all applications from XP work, those created for xp sp2 don’t work... the good news is that there are already a lot of programs on the internet that work with it.</v>
      </c>
    </row>
    <row r="2939" spans="1:9" x14ac:dyDescent="0.3">
      <c r="A2939" s="1" t="s">
        <v>149</v>
      </c>
      <c r="B2939" s="1" t="s">
        <v>155</v>
      </c>
      <c r="C2939" s="1" t="s">
        <v>80</v>
      </c>
      <c r="D2939" s="1" t="s">
        <v>75</v>
      </c>
      <c r="E2939" s="1" t="s">
        <v>822</v>
      </c>
      <c r="F2939" s="1" t="s">
        <v>5512</v>
      </c>
      <c r="G2939" s="1" t="s">
        <v>36</v>
      </c>
      <c r="H2939" s="1" t="s">
        <v>29</v>
      </c>
      <c r="I2939" s="1" t="str">
        <f ca="1">IFERROR(__xludf.DUMMYFUNCTION("GOOGLETRANSLATE(F2939, ""auto"", ""en"")
"),"I bought this vacuum cleaner today. Indeed, the power is high (linoleum comes off the floor!), ease of operation from the first minutes, ease of starting and power adjustment on the handle. Easy disposal of dust from the container. In my opinion, this vac"&amp;"uum cleaner is the best combination of price and truly comfortable feeling when cleaning an apartment. Positive emotions are guaranteed for a long time.")</f>
        <v>I bought this vacuum cleaner today. Indeed, the power is high (linoleum comes off the floor!), ease of operation from the first minutes, ease of starting and power adjustment on the handle. Easy disposal of dust from the container. In my opinion, this vacuum cleaner is the best combination of price and truly comfortable feeling when cleaning an apartment. Positive emotions are guaranteed for a long time.</v>
      </c>
    </row>
    <row r="2940" spans="1:9" x14ac:dyDescent="0.3">
      <c r="A2940" s="1" t="s">
        <v>105</v>
      </c>
      <c r="B2940" s="1" t="s">
        <v>106</v>
      </c>
      <c r="C2940" s="1" t="s">
        <v>69</v>
      </c>
      <c r="D2940" s="1" t="s">
        <v>589</v>
      </c>
      <c r="E2940" s="1" t="s">
        <v>397</v>
      </c>
      <c r="F2940" s="1" t="s">
        <v>5513</v>
      </c>
      <c r="G2940" s="1" t="s">
        <v>36</v>
      </c>
      <c r="H2940" s="1" t="s">
        <v>29</v>
      </c>
      <c r="I2940" s="1" t="str">
        <f ca="1">IFERROR(__xludf.DUMMYFUNCTION("GOOGLETRANSLATE(F2940, ""auto"", ""en"")
"),"Very nice, convenient, easy to use, the interface is intuitive, the battery lasts a really long time (which is incredibly pleasing), the sound is excellent, even the included headphones were a pleasant surprise... overall 5+ Very happy with the purchase")</f>
        <v>Very nice, convenient, easy to use, the interface is intuitive, the battery lasts a really long time (which is incredibly pleasing), the sound is excellent, even the included headphones were a pleasant surprise... overall 5+ Very happy with the purchase</v>
      </c>
    </row>
    <row r="2941" spans="1:9" x14ac:dyDescent="0.3">
      <c r="A2941" s="1" t="s">
        <v>17</v>
      </c>
      <c r="B2941" s="1" t="s">
        <v>18</v>
      </c>
      <c r="C2941" s="1" t="s">
        <v>19</v>
      </c>
      <c r="D2941" s="1" t="s">
        <v>378</v>
      </c>
      <c r="E2941" s="1" t="s">
        <v>5514</v>
      </c>
      <c r="F2941" s="1" t="s">
        <v>5515</v>
      </c>
      <c r="G2941" s="1" t="s">
        <v>1580</v>
      </c>
      <c r="H2941" s="1" t="s">
        <v>29</v>
      </c>
      <c r="I2941" s="1" t="str">
        <f ca="1">IFERROR(__xludf.DUMMYFUNCTION("GOOGLETRANSLATE(F2941, ""auto"", ""en"")
"),"affordable price, we bought it three years ago, there are short programs of 15.30 minutes")</f>
        <v>affordable price, we bought it three years ago, there are short programs of 15.30 minutes</v>
      </c>
    </row>
    <row r="2942" spans="1:9" x14ac:dyDescent="0.3">
      <c r="A2942" s="1" t="s">
        <v>211</v>
      </c>
      <c r="B2942" s="1" t="s">
        <v>212</v>
      </c>
      <c r="C2942" s="1" t="s">
        <v>266</v>
      </c>
      <c r="D2942" s="1" t="s">
        <v>12</v>
      </c>
      <c r="E2942" s="1" t="s">
        <v>5013</v>
      </c>
      <c r="F2942" s="1" t="s">
        <v>5516</v>
      </c>
      <c r="G2942" s="1" t="s">
        <v>28</v>
      </c>
      <c r="H2942" s="1" t="s">
        <v>29</v>
      </c>
      <c r="I2942" s="1" t="str">
        <f ca="1">IFERROR(__xludf.DUMMYFUNCTION("GOOGLETRANSLATE(F2942, ""auto"", ""en"")
"),"It took me a long time to decide whether I needed electric curlers or simple thermal rollers. Then I searched for a long time on the forums for everything about electric curlers. In terms of appearance, I was more inclined to buy Vitek, but in the end I c"&amp;"ame to the conclusion that this model would be better. 1. The number of curlers is 24, in other models there are 20. 2. The set includes clips and crabs (people wrote in reviews about other models that only metal clips are included) 3. The coating of the "&amp;"curlers is very high quality, the hair is absolutely not damaged or burned. It is a little more difficult to wear such curlers on your head than thermal ones, but they are much more convenient. In general, I’m happy with the purchase, it’s convenient to u"&amp;"se and the girls at work are jealous of my curls. I recommend")</f>
        <v>It took me a long time to decide whether I needed electric curlers or simple thermal rollers. Then I searched for a long time on the forums for everything about electric curlers. In terms of appearance, I was more inclined to buy Vitek, but in the end I came to the conclusion that this model would be better. 1. The number of curlers is 24, in other models there are 20. 2. The set includes clips and crabs (people wrote in reviews about other models that only metal clips are included) 3. The coating of the curlers is very high quality, the hair is absolutely not damaged or burned. It is a little more difficult to wear such curlers on your head than thermal ones, but they are much more convenient. In general, I’m happy with the purchase, it’s convenient to use and the girls at work are jealous of my curls. I recommend</v>
      </c>
    </row>
    <row r="2943" spans="1:9" x14ac:dyDescent="0.3">
      <c r="A2943" s="1" t="s">
        <v>120</v>
      </c>
      <c r="B2943" s="1" t="s">
        <v>196</v>
      </c>
      <c r="C2943" s="1" t="s">
        <v>97</v>
      </c>
      <c r="D2943" s="1" t="s">
        <v>483</v>
      </c>
      <c r="E2943" s="1" t="s">
        <v>5517</v>
      </c>
      <c r="F2943" s="1" t="s">
        <v>5518</v>
      </c>
      <c r="G2943" s="1" t="s">
        <v>36</v>
      </c>
      <c r="H2943" s="1" t="s">
        <v>29</v>
      </c>
      <c r="I2943" s="1" t="str">
        <f ca="1">IFERROR(__xludf.DUMMYFUNCTION("GOOGLETRANSLATE(F2943, ""auto"", ""en"")
"),"Normal TV, excellent picture quality.")</f>
        <v>Normal TV, excellent picture quality.</v>
      </c>
    </row>
    <row r="2944" spans="1:9" x14ac:dyDescent="0.3">
      <c r="A2944" s="1" t="s">
        <v>61</v>
      </c>
      <c r="B2944" s="1" t="s">
        <v>318</v>
      </c>
      <c r="C2944" s="1" t="s">
        <v>69</v>
      </c>
      <c r="D2944" s="1" t="s">
        <v>308</v>
      </c>
      <c r="E2944" s="1" t="s">
        <v>5195</v>
      </c>
      <c r="F2944" s="1" t="s">
        <v>5519</v>
      </c>
      <c r="G2944" s="1" t="s">
        <v>28</v>
      </c>
      <c r="H2944" s="1" t="s">
        <v>29</v>
      </c>
      <c r="I2944" s="1" t="str">
        <f ca="1">IFERROR(__xludf.DUMMYFUNCTION("GOOGLETRANSLATE(F2944, ""auto"", ""en"")
"),"In general, the kettle is normal, but the sound of switching off is almost inaudible.")</f>
        <v>In general, the kettle is normal, but the sound of switching off is almost inaudible.</v>
      </c>
    </row>
    <row r="2945" spans="1:9" x14ac:dyDescent="0.3">
      <c r="A2945" s="1" t="s">
        <v>120</v>
      </c>
      <c r="B2945" s="1" t="s">
        <v>126</v>
      </c>
      <c r="C2945" s="1" t="s">
        <v>151</v>
      </c>
      <c r="D2945" s="1" t="s">
        <v>5520</v>
      </c>
      <c r="E2945" s="1" t="s">
        <v>2942</v>
      </c>
      <c r="F2945" s="1" t="s">
        <v>5521</v>
      </c>
      <c r="G2945" s="1" t="s">
        <v>36</v>
      </c>
      <c r="H2945" s="1" t="s">
        <v>29</v>
      </c>
      <c r="I2945" s="1" t="str">
        <f ca="1">IFERROR(__xludf.DUMMYFUNCTION("GOOGLETRANSLATE(F2945, ""auto"", ""en"")
"),"I bought it here... Excellent bright picture, looks the same from any angle. Reads almost everything, connected an external 500 gig screw. Obviously stitched with Linux. You can connect it to a computer, but it’s still too big for a monitor :) Without an "&amp;"antenna, it’s a pity it doesn’t catch anything on TV =( It just showed itself perfectly in games and when watching movies. Some will say that 1920 resolution is more important - but we now have few films in this quality, and for ordinary DVDs it’s enough "&amp;"for the eyes.")</f>
        <v>I bought it here... Excellent bright picture, looks the same from any angle. Reads almost everything, connected an external 500 gig screw. Obviously stitched with Linux. You can connect it to a computer, but it’s still too big for a monitor :) Without an antenna, it’s a pity it doesn’t catch anything on TV =( It just showed itself perfectly in games and when watching movies. Some will say that 1920 resolution is more important - but we now have few films in this quality, and for ordinary DVDs it’s enough for the eyes.</v>
      </c>
    </row>
    <row r="2946" spans="1:9" x14ac:dyDescent="0.3">
      <c r="A2946" s="1" t="s">
        <v>732</v>
      </c>
      <c r="B2946" s="1" t="s">
        <v>733</v>
      </c>
      <c r="C2946" s="1" t="s">
        <v>377</v>
      </c>
      <c r="D2946" s="1" t="s">
        <v>5522</v>
      </c>
      <c r="E2946" s="1" t="s">
        <v>1228</v>
      </c>
      <c r="F2946" s="1" t="s">
        <v>5523</v>
      </c>
      <c r="G2946" s="1" t="s">
        <v>28</v>
      </c>
      <c r="H2946" s="1" t="s">
        <v>29</v>
      </c>
      <c r="I2946" s="1" t="str">
        <f ca="1">IFERROR(__xludf.DUMMYFUNCTION("GOOGLETRANSLATE(F2946, ""auto"", ""en"")
"),"I was pleased with the image quality and the visible (perceptible) high contrast, although we must take into account that the screen surface is glossy.  As it turned out, the monitor is made by HP, which is good news;) At the back there is a mount for han"&amp;"ging on the wall, but it is something non-standard - with two bolts.  These are all details, of course, nonsense.  But the built-in speakers, for which I had certain expectations - modest, to put it mildly: the volume is low, and the frequency range start"&amp;"s somewhere in the lower middle, i.e. vocal range. What bass is, at least the top monitor doesn’t know, which is why watching the same TV on it seems a bit detrimental :( and there isn’t even a basic equalizer. In general, the sound sucks!")</f>
        <v>I was pleased with the image quality and the visible (perceptible) high contrast, although we must take into account that the screen surface is glossy.  As it turned out, the monitor is made by HP, which is good news;) At the back there is a mount for hanging on the wall, but it is something non-standard - with two bolts.  These are all details, of course, nonsense.  But the built-in speakers, for which I had certain expectations - modest, to put it mildly: the volume is low, and the frequency range starts somewhere in the lower middle, i.e. vocal range. What bass is, at least the top monitor doesn’t know, which is why watching the same TV on it seems a bit detrimental :( and there isn’t even a basic equalizer. In general, the sound sucks!</v>
      </c>
    </row>
    <row r="2947" spans="1:9" x14ac:dyDescent="0.3">
      <c r="A2947" s="1" t="s">
        <v>111</v>
      </c>
      <c r="B2947" s="1" t="s">
        <v>1090</v>
      </c>
      <c r="C2947" s="1" t="s">
        <v>1091</v>
      </c>
      <c r="D2947" s="1" t="s">
        <v>521</v>
      </c>
      <c r="E2947" s="1" t="s">
        <v>638</v>
      </c>
      <c r="F2947" s="1" t="s">
        <v>5524</v>
      </c>
      <c r="G2947" s="1" t="s">
        <v>15</v>
      </c>
      <c r="H2947" s="1" t="s">
        <v>16</v>
      </c>
      <c r="I2947" s="1" t="str">
        <f ca="1">IFERROR(__xludf.DUMMYFUNCTION("GOOGLETRANSLATE(F2947, ""auto"", ""en"")
"),"I bought a lamp for home as a spare. A month later she was needed. When you first turned it on, it flared up for about 5 minutes, but according to the instructions this is normal. The next time it was turned on, it took approximately 2 to 5 seconds to war"&amp;"m up, depending on how long it was not turned on. It burned with a cold white light, not very pleasant.  After 3 weeks she burned out.  So I didn't like this lamp. It’s good that it had a 2-year warranty and was exchanged for a different type of lamp.")</f>
        <v>I bought a lamp for home as a spare. A month later she was needed. When you first turned it on, it flared up for about 5 minutes, but according to the instructions this is normal. The next time it was turned on, it took approximately 2 to 5 seconds to warm up, depending on how long it was not turned on. It burned with a cold white light, not very pleasant.  After 3 weeks she burned out.  So I didn't like this lamp. It’s good that it had a 2-year warranty and was exchanged for a different type of lamp.</v>
      </c>
    </row>
    <row r="2948" spans="1:9" x14ac:dyDescent="0.3">
      <c r="A2948" s="1" t="s">
        <v>67</v>
      </c>
      <c r="B2948" s="1" t="s">
        <v>340</v>
      </c>
      <c r="C2948" s="1" t="s">
        <v>341</v>
      </c>
      <c r="D2948" s="1" t="s">
        <v>1055</v>
      </c>
      <c r="E2948" s="1" t="s">
        <v>2371</v>
      </c>
      <c r="F2948" s="1" t="s">
        <v>5525</v>
      </c>
      <c r="G2948" s="1" t="s">
        <v>36</v>
      </c>
      <c r="H2948" s="1" t="s">
        <v>29</v>
      </c>
      <c r="I2948" s="1" t="str">
        <f ca="1">IFERROR(__xludf.DUMMYFUNCTION("GOOGLETRANSLATE(F2948, ""auto"", ""en"")
"),"I bought a car to replace my Chaika. I had my eye on this particular model, not expensive, without any bells and whistles. She immediately put it into action. There was no limit to my delight: the move was quiet, soft, and I sewed through thick denim fold"&amp;"s without any gaps. Easy to use, simple. The case is thin, but can be stored in a box. Light in weight. I give it a solid 5!")</f>
        <v>I bought a car to replace my Chaika. I had my eye on this particular model, not expensive, without any bells and whistles. She immediately put it into action. There was no limit to my delight: the move was quiet, soft, and I sewed through thick denim folds without any gaps. Easy to use, simple. The case is thin, but can be stored in a box. Light in weight. I give it a solid 5!</v>
      </c>
    </row>
    <row r="2949" spans="1:9" x14ac:dyDescent="0.3">
      <c r="A2949" s="1" t="s">
        <v>149</v>
      </c>
      <c r="B2949" s="1" t="s">
        <v>155</v>
      </c>
      <c r="C2949" s="1" t="s">
        <v>159</v>
      </c>
      <c r="D2949" s="1" t="s">
        <v>200</v>
      </c>
      <c r="E2949" s="1" t="s">
        <v>1139</v>
      </c>
      <c r="F2949" s="1" t="s">
        <v>5526</v>
      </c>
      <c r="G2949" s="1" t="s">
        <v>28</v>
      </c>
      <c r="H2949" s="1" t="s">
        <v>29</v>
      </c>
      <c r="I2949" s="1" t="str">
        <f ca="1">IFERROR(__xludf.DUMMYFUNCTION("GOOGLETRANSLATE(F2949, ""auto"", ""en"")
"),"the vacuum cleaner is good.  We went to the store for zelmer and bought this one. It looks beautiful in appearance, the quality of the materials is excellent, the equipment is simple. Cleaning the container is very convenient, but you don’t have to wash i"&amp;"t every time. The cord is quite long and can be rolled around two rooms :) it collects a lot of dirt and the filters work well. In general, a wonderful, beautiful, powerful vacuum cleaner. True, I was not very lucky with him and after 2 months he unexpect"&amp;"edly died. I put it under warranty and now have to wait 45 days for repairs. I hope they fix it, but if not, I’ll still buy the same one.    Best regards, Sergey")</f>
        <v>the vacuum cleaner is good.  We went to the store for zelmer and bought this one. It looks beautiful in appearance, the quality of the materials is excellent, the equipment is simple. Cleaning the container is very convenient, but you don’t have to wash it every time. The cord is quite long and can be rolled around two rooms :) it collects a lot of dirt and the filters work well. In general, a wonderful, beautiful, powerful vacuum cleaner. True, I was not very lucky with him and after 2 months he unexpectedly died. I put it under warranty and now have to wait 45 days for repairs. I hope they fix it, but if not, I’ll still buy the same one.    Best regards, Sergey</v>
      </c>
    </row>
    <row r="2950" spans="1:9" x14ac:dyDescent="0.3">
      <c r="A2950" s="1" t="s">
        <v>732</v>
      </c>
      <c r="B2950" s="1" t="s">
        <v>733</v>
      </c>
      <c r="C2950" s="1" t="s">
        <v>1680</v>
      </c>
      <c r="D2950" s="1" t="s">
        <v>3091</v>
      </c>
      <c r="E2950" s="1" t="s">
        <v>824</v>
      </c>
      <c r="F2950" s="1" t="s">
        <v>5527</v>
      </c>
      <c r="G2950" s="1" t="s">
        <v>36</v>
      </c>
      <c r="H2950" s="1" t="s">
        <v>29</v>
      </c>
      <c r="I2950" s="1" t="str">
        <f ca="1">IFERROR(__xludf.DUMMYFUNCTION("GOOGLETRANSLATE(F2950, ""auto"", ""en"")
"),"For this money you can’t find anything better with such a diagonal. The only annoying thing is the lack of height adjustment, but considering the price of the product... I recommend turning off dynamic contrast in the settings - it hurts your eyes.")</f>
        <v>For this money you can’t find anything better with such a diagonal. The only annoying thing is the lack of height adjustment, but considering the price of the product... I recommend turning off dynamic contrast in the settings - it hurts your eyes.</v>
      </c>
    </row>
    <row r="2951" spans="1:9" x14ac:dyDescent="0.3">
      <c r="A2951" s="1" t="s">
        <v>9</v>
      </c>
      <c r="B2951" s="1" t="s">
        <v>133</v>
      </c>
      <c r="C2951" s="1" t="s">
        <v>5528</v>
      </c>
      <c r="D2951" s="1" t="s">
        <v>411</v>
      </c>
      <c r="E2951" s="1" t="s">
        <v>750</v>
      </c>
      <c r="F2951" s="1" t="s">
        <v>5529</v>
      </c>
      <c r="G2951" s="1" t="s">
        <v>15</v>
      </c>
      <c r="H2951" s="1" t="s">
        <v>16</v>
      </c>
      <c r="I2951" s="1" t="str">
        <f ca="1">IFERROR(__xludf.DUMMYFUNCTION("GOOGLETRANSLATE(F2951, ""auto"", ""en"")
"),"The design is good - that's all the benefits of this cabinet.  While the oven was operating, the inner glass on the door exploded. Almost left a small child (9 months old) stuttering (possibly defective or due to improper transportation). The warranty is "&amp;"not valid. Repair and replacement of glass - 10,000 rubles.  Think before you buy!  Choose another model (AEG of course)")</f>
        <v>The design is good - that's all the benefits of this cabinet.  While the oven was operating, the inner glass on the door exploded. Almost left a small child (9 months old) stuttering (possibly defective or due to improper transportation). The warranty is not valid. Repair and replacement of glass - 10,000 rubles.  Think before you buy!  Choose another model (AEG of course)</v>
      </c>
    </row>
    <row r="2952" spans="1:9" x14ac:dyDescent="0.3">
      <c r="A2952" s="1" t="s">
        <v>61</v>
      </c>
      <c r="B2952" s="1" t="s">
        <v>318</v>
      </c>
      <c r="C2952" s="1" t="s">
        <v>57</v>
      </c>
      <c r="D2952" s="1" t="s">
        <v>474</v>
      </c>
      <c r="E2952" s="1" t="s">
        <v>5530</v>
      </c>
      <c r="F2952" s="1" t="s">
        <v>5531</v>
      </c>
      <c r="G2952" s="1" t="s">
        <v>36</v>
      </c>
      <c r="H2952" s="1" t="s">
        <v>29</v>
      </c>
      <c r="I2952" s="1" t="str">
        <f ca="1">IFERROR(__xludf.DUMMYFUNCTION("GOOGLETRANSLATE(F2952, ""auto"", ""en"")
"),"With the advent of a small child, this thing became not just convenient, but necessary! Hot water is always at hand, the thermopot is simple, without any additional functions or extra buttons, even a person far from technology can figure it out, which was"&amp;" also important when choosing, since all family members from children to grandmothers use it, it heats the water slowly, like any other thermopot in principle, then the water temperature is maintained and it is always hot, it is convenient that there is a"&amp;" hand pump, there is only one downside so far, the water level is not very clearly visible")</f>
        <v>With the advent of a small child, this thing became not just convenient, but necessary! Hot water is always at hand, the thermopot is simple, without any additional functions or extra buttons, even a person far from technology can figure it out, which was also important when choosing, since all family members from children to grandmothers use it, it heats the water slowly, like any other thermopot in principle, then the water temperature is maintained and it is always hot, it is convenient that there is a hand pump, there is only one downside so far, the water level is not very clearly visible</v>
      </c>
    </row>
    <row r="2953" spans="1:9" x14ac:dyDescent="0.3">
      <c r="A2953" s="1" t="s">
        <v>373</v>
      </c>
      <c r="B2953" s="1" t="s">
        <v>374</v>
      </c>
      <c r="C2953" s="1" t="s">
        <v>159</v>
      </c>
      <c r="D2953" s="1" t="s">
        <v>86</v>
      </c>
      <c r="E2953" s="1" t="s">
        <v>1148</v>
      </c>
      <c r="F2953" s="1" t="s">
        <v>5532</v>
      </c>
      <c r="G2953" s="1" t="s">
        <v>36</v>
      </c>
      <c r="H2953" s="1" t="s">
        <v>29</v>
      </c>
      <c r="I2953" s="1" t="str">
        <f ca="1">IFERROR(__xludf.DUMMYFUNCTION("GOOGLETRANSLATE(F2953, ""auto"", ""en"")
"),"Reading reviews about this car I had serious doubts about buying it. but it was the only size that fit.  Now I specifically came here to write that all this is nonsense that was written at the beginning.  The machine washes dishes perfectly. nothing was e"&amp;"xperimented with the means.  everything is clean! just half a tablet of finish (three in one). Well, I just didn’t wash off the burnt porridge in the pan. EVERYTHING IS ON ECONOMY MODE (the one for 30 minutes). But this is nonsense! the fact that there is"&amp;" little space is not a disadvantage! If you want a lot of space, take a large dishwasher!  and the biggest joke is that it is quieter than a range hood!  In short, a cool machine!")</f>
        <v>Reading reviews about this car I had serious doubts about buying it. but it was the only size that fit.  Now I specifically came here to write that all this is nonsense that was written at the beginning.  The machine washes dishes perfectly. nothing was experimented with the means.  everything is clean! just half a tablet of finish (three in one). Well, I just didn’t wash off the burnt porridge in the pan. EVERYTHING IS ON ECONOMY MODE (the one for 30 minutes). But this is nonsense! the fact that there is little space is not a disadvantage! If you want a lot of space, take a large dishwasher!  and the biggest joke is that it is quieter than a range hood!  In short, a cool machine!</v>
      </c>
    </row>
    <row r="2954" spans="1:9" x14ac:dyDescent="0.3">
      <c r="A2954" s="1" t="s">
        <v>95</v>
      </c>
      <c r="B2954" s="1" t="s">
        <v>648</v>
      </c>
      <c r="C2954" s="1" t="s">
        <v>97</v>
      </c>
      <c r="D2954" s="1" t="s">
        <v>152</v>
      </c>
      <c r="E2954" s="1" t="s">
        <v>4284</v>
      </c>
      <c r="F2954" s="1" t="s">
        <v>5533</v>
      </c>
      <c r="G2954" s="1" t="s">
        <v>36</v>
      </c>
      <c r="H2954" s="1" t="s">
        <v>29</v>
      </c>
      <c r="I2954" s="1" t="str">
        <f ca="1">IFERROR(__xludf.DUMMYFUNCTION("GOOGLETRANSLATE(F2954, ""auto"", ""en"")
"),"An excellent thing that cannot be replaced when traveling. I chose it because of its compactness, and because I wanted it for a long time. There are no disadvantages. I recommend it to everyone.")</f>
        <v>An excellent thing that cannot be replaced when traveling. I chose it because of its compactness, and because I wanted it for a long time. There are no disadvantages. I recommend it to everyone.</v>
      </c>
    </row>
    <row r="2955" spans="1:9" x14ac:dyDescent="0.3">
      <c r="A2955" s="1" t="s">
        <v>149</v>
      </c>
      <c r="B2955" s="1" t="s">
        <v>155</v>
      </c>
      <c r="C2955" s="1" t="s">
        <v>151</v>
      </c>
      <c r="D2955" s="1" t="s">
        <v>2233</v>
      </c>
      <c r="E2955" s="1" t="s">
        <v>5534</v>
      </c>
      <c r="F2955" s="1" t="s">
        <v>5535</v>
      </c>
      <c r="G2955" s="1" t="s">
        <v>36</v>
      </c>
      <c r="H2955" s="1" t="s">
        <v>29</v>
      </c>
      <c r="I2955" s="1" t="str">
        <f ca="1">IFERROR(__xludf.DUMMYFUNCTION("GOOGLETRANSLATE(F2955, ""auto"", ""en"")
"),"Excellent model, I've been using it for 5 years. No complaints, light, maneuverable, vacuum cleaner excellent. The main thing is to watch the filters!!!")</f>
        <v>Excellent model, I've been using it for 5 years. No complaints, light, maneuverable, vacuum cleaner excellent. The main thing is to watch the filters!!!</v>
      </c>
    </row>
    <row r="2956" spans="1:9" x14ac:dyDescent="0.3">
      <c r="A2956" s="1" t="s">
        <v>211</v>
      </c>
      <c r="B2956" s="1" t="s">
        <v>212</v>
      </c>
      <c r="C2956" s="1" t="s">
        <v>294</v>
      </c>
      <c r="D2956" s="1" t="s">
        <v>335</v>
      </c>
      <c r="E2956" s="1" t="s">
        <v>161</v>
      </c>
      <c r="F2956" s="1" t="s">
        <v>5536</v>
      </c>
      <c r="G2956" s="1" t="s">
        <v>36</v>
      </c>
      <c r="H2956" s="1" t="s">
        <v>29</v>
      </c>
      <c r="I2956" s="1" t="str">
        <f ca="1">IFERROR(__xludf.DUMMYFUNCTION("GOOGLETRANSLATE(F2956, ""auto"", ""en"")
"),"I bought these tongs today and tried them out right away. I was delighted! They heat up quickly and form curls very well without burning your hair. Because I have thick and coarse hair, so I twisted it into thin strands. It took about 1.5 hours, maybe a l"&amp;"ittle longer, but the result is worth it! Surprisingly excellent quality for such a reasonable price. The tongs also have a beautiful thermal cover.")</f>
        <v>I bought these tongs today and tried them out right away. I was delighted! They heat up quickly and form curls very well without burning your hair. Because I have thick and coarse hair, so I twisted it into thin strands. It took about 1.5 hours, maybe a little longer, but the result is worth it! Surprisingly excellent quality for such a reasonable price. The tongs also have a beautiful thermal cover.</v>
      </c>
    </row>
    <row r="2957" spans="1:9" x14ac:dyDescent="0.3">
      <c r="A2957" s="1" t="s">
        <v>37</v>
      </c>
      <c r="B2957" s="1" t="s">
        <v>1829</v>
      </c>
      <c r="C2957" s="1" t="s">
        <v>151</v>
      </c>
      <c r="D2957" s="1" t="s">
        <v>171</v>
      </c>
      <c r="E2957" s="1" t="s">
        <v>5537</v>
      </c>
      <c r="F2957" s="1" t="s">
        <v>5538</v>
      </c>
      <c r="G2957" s="1" t="s">
        <v>36</v>
      </c>
      <c r="H2957" s="1" t="s">
        <v>29</v>
      </c>
      <c r="I2957" s="1" t="str">
        <f ca="1">IFERROR(__xludf.DUMMYFUNCTION("GOOGLETRANSLATE(F2957, ""auto"", ""en"")
"),"I bought the phone in November 2013.... I’ve been using it for more than a month - I haven’t found any cons... pluses - the screen is beyond praise, the camera is better than on a digital camera, it’s fast, it can still run all the games that I installed."&amp;".. the battery, despite all the characteristics of the phone, holds up very well!!")</f>
        <v>I bought the phone in November 2013.... I’ve been using it for more than a month - I haven’t found any cons... pluses - the screen is beyond praise, the camera is better than on a digital camera, it’s fast, it can still run all the games that I installed... the battery, despite all the characteristics of the phone, holds up very well!!</v>
      </c>
    </row>
    <row r="2958" spans="1:9" x14ac:dyDescent="0.3">
      <c r="A2958" s="1" t="s">
        <v>43</v>
      </c>
      <c r="B2958" s="1" t="s">
        <v>502</v>
      </c>
      <c r="C2958" s="1" t="s">
        <v>122</v>
      </c>
      <c r="D2958" s="1" t="s">
        <v>52</v>
      </c>
      <c r="E2958" s="1" t="s">
        <v>4977</v>
      </c>
      <c r="F2958" s="1" t="s">
        <v>5539</v>
      </c>
      <c r="G2958" s="1" t="s">
        <v>36</v>
      </c>
      <c r="H2958" s="1" t="s">
        <v>29</v>
      </c>
      <c r="I2958" s="1" t="str">
        <f ca="1">IFERROR(__xludf.DUMMYFUNCTION("GOOGLETRANSLATE(F2958, ""auto"", ""en"")
"),"About emotions: There were problems ONLY with MVideo managers. He organized the delivery himself and agreed on installation at a convenient time. Well, then there are only positive emotions! About installation: I advise everyone to choose installers from "&amp;"MVideo - as I thought, a serious company that values ​​such a supplier, and therefore with high quality and quickly - 1.20 and ready. And no stories about additional costs due to a high floor, etc. About the air conditioner: everything is just fine, but t"&amp;"he model is NOT FOR the bedroom (hung in the living room), as it blows downward or slightly higher. As I thought, 9 is OPTIMUM for a 20-meter room. Both units operate quietly. The remote control, of course... but what do you need from it? The display on t"&amp;"he external unit... well, a Chinese friend of mine is all lit up with huge numbers - what's the point - at night it's like a lantern! So everything is very competent and intelligent. I came to the conclusion that the optimum for him is everything on auto "&amp;"(STD mode - 25 degrees). Conclusion: a brand is a brand - I don’t regret that I overpaid a couple of thousand (NoName-mov got divorced...)! P.S. They say Malaysians are passing by. The truth is more expensive. But in Voronezh I found nothing except China."&amp;"..")</f>
        <v>About emotions: There were problems ONLY with MVideo managers. He organized the delivery himself and agreed on installation at a convenient time. Well, then there are only positive emotions! About installation: I advise everyone to choose installers from MVideo - as I thought, a serious company that values ​​such a supplier, and therefore with high quality and quickly - 1.20 and ready. And no stories about additional costs due to a high floor, etc. About the air conditioner: everything is just fine, but the model is NOT FOR the bedroom (hung in the living room), as it blows downward or slightly higher. As I thought, 9 is OPTIMUM for a 20-meter room. Both units operate quietly. The remote control, of course... but what do you need from it? The display on the external unit... well, a Chinese friend of mine is all lit up with huge numbers - what's the point - at night it's like a lantern! So everything is very competent and intelligent. I came to the conclusion that the optimum for him is everything on auto (STD mode - 25 degrees). Conclusion: a brand is a brand - I don’t regret that I overpaid a couple of thousand (NoName-mov got divorced...)! P.S. They say Malaysians are passing by. The truth is more expensive. But in Voronezh I found nothing except China...</v>
      </c>
    </row>
    <row r="2959" spans="1:9" x14ac:dyDescent="0.3">
      <c r="A2959" s="1" t="s">
        <v>43</v>
      </c>
      <c r="B2959" s="1" t="s">
        <v>303</v>
      </c>
      <c r="C2959" s="1" t="s">
        <v>665</v>
      </c>
      <c r="D2959" s="1" t="s">
        <v>280</v>
      </c>
      <c r="E2959" s="1" t="s">
        <v>3642</v>
      </c>
      <c r="F2959" s="1" t="s">
        <v>5540</v>
      </c>
      <c r="G2959" s="1" t="s">
        <v>36</v>
      </c>
      <c r="H2959" s="1" t="s">
        <v>29</v>
      </c>
      <c r="I2959" s="1" t="str">
        <f ca="1">IFERROR(__xludf.DUMMYFUNCTION("GOOGLETRANSLATE(F2959, ""auto"", ""en"")
"),"I picked up the water heater from the store myself, fits into the back seat of a foreign car from class (if you throw out the packaging and foam). I installed it at the dacha myself, hanging it on hooks is no problem. The water heater is made well, the ki"&amp;"t contains everything you need for installation except hoses (selected separately depending on the required length.) There was a problem with the safety valve, if you install it according to the instructions, water does not flow into the tank, as the valv"&amp;"e turns out to be installed the other way around, while installed without it.&amp;nbsp;")</f>
        <v>I picked up the water heater from the store myself, fits into the back seat of a foreign car from class (if you throw out the packaging and foam). I installed it at the dacha myself, hanging it on hooks is no problem. The water heater is made well, the kit contains everything you need for installation except hoses (selected separately depending on the required length.) There was a problem with the safety valve, if you install it according to the instructions, water does not flow into the tank, as the valve turns out to be installed the other way around, while installed without it.&amp;nbsp;</v>
      </c>
    </row>
    <row r="2960" spans="1:9" x14ac:dyDescent="0.3">
      <c r="A2960" s="1" t="s">
        <v>37</v>
      </c>
      <c r="B2960" s="1" t="s">
        <v>38</v>
      </c>
      <c r="C2960" s="1" t="s">
        <v>39</v>
      </c>
      <c r="D2960" s="1" t="s">
        <v>5541</v>
      </c>
      <c r="E2960" s="1" t="s">
        <v>2231</v>
      </c>
      <c r="F2960" s="1" t="s">
        <v>5542</v>
      </c>
      <c r="G2960" s="1" t="s">
        <v>36</v>
      </c>
      <c r="H2960" s="1" t="s">
        <v>29</v>
      </c>
      <c r="I2960" s="1" t="str">
        <f ca="1">IFERROR(__xludf.DUMMYFUNCTION("GOOGLETRANSLATE(F2960, ""auto"", ""en"")
"),"I like it because it’s not a smartphone, but a simple Sony Ericsson with a big screen) I like absolutely everything about it, my joy knows no bounds. I like the bluetooth headset, the sound is very high quality, but quiet (in general there are a lot of pr"&amp;"os, I haven’t found any cons yet. I advise everyone to choose this phone :) you won’t regret it;)")</f>
        <v>I like it because it’s not a smartphone, but a simple Sony Ericsson with a big screen) I like absolutely everything about it, my joy knows no bounds. I like the bluetooth headset, the sound is very high quality, but quiet (in general there are a lot of pros, I haven’t found any cons yet. I advise everyone to choose this phone :) you won’t regret it;)</v>
      </c>
    </row>
    <row r="2961" spans="1:9" x14ac:dyDescent="0.3">
      <c r="A2961" s="1" t="s">
        <v>1443</v>
      </c>
      <c r="B2961" s="1" t="s">
        <v>1444</v>
      </c>
      <c r="C2961" s="1" t="s">
        <v>1489</v>
      </c>
      <c r="D2961" s="1" t="s">
        <v>2055</v>
      </c>
      <c r="E2961" s="1" t="s">
        <v>2063</v>
      </c>
      <c r="F2961" s="1" t="s">
        <v>5543</v>
      </c>
      <c r="G2961" s="1" t="s">
        <v>15</v>
      </c>
      <c r="H2961" s="1" t="s">
        <v>16</v>
      </c>
      <c r="I2961" s="1" t="str">
        <f ca="1">IFERROR(__xludf.DUMMYFUNCTION("GOOGLETRANSLATE(F2961, ""auto"", ""en"")
"),"I was disappointed with this particular 16 gig flash drive, it works slowly, but the exact same one with 8 or 4 works perfectly!!!")</f>
        <v>I was disappointed with this particular 16 gig flash drive, it works slowly, but the exact same one with 8 or 4 works perfectly!!!</v>
      </c>
    </row>
    <row r="2962" spans="1:9" x14ac:dyDescent="0.3">
      <c r="A2962" s="1" t="s">
        <v>120</v>
      </c>
      <c r="B2962" s="1" t="s">
        <v>126</v>
      </c>
      <c r="C2962" s="1" t="s">
        <v>151</v>
      </c>
      <c r="D2962" s="1" t="s">
        <v>208</v>
      </c>
      <c r="E2962" s="1" t="s">
        <v>1005</v>
      </c>
      <c r="F2962" s="1" t="s">
        <v>5544</v>
      </c>
      <c r="G2962" s="1" t="s">
        <v>36</v>
      </c>
      <c r="H2962" s="1" t="s">
        <v>29</v>
      </c>
      <c r="I2962" s="1" t="str">
        <f ca="1">IFERROR(__xludf.DUMMYFUNCTION("GOOGLETRANSLATE(F2962, ""auto"", ""en"")
"),"I really like TV. Already 2 weeks of use. Plus I connected a 5.1 system for sound. I watch channels through a regular ATK cable")</f>
        <v>I really like TV. Already 2 weeks of use. Plus I connected a 5.1 system for sound. I watch channels through a regular ATK cable</v>
      </c>
    </row>
    <row r="2963" spans="1:9" x14ac:dyDescent="0.3">
      <c r="A2963" s="1" t="s">
        <v>61</v>
      </c>
      <c r="B2963" s="1" t="s">
        <v>318</v>
      </c>
      <c r="C2963" s="1" t="s">
        <v>57</v>
      </c>
      <c r="D2963" s="1" t="s">
        <v>308</v>
      </c>
      <c r="E2963" s="1" t="s">
        <v>1384</v>
      </c>
      <c r="F2963" s="1" t="s">
        <v>5545</v>
      </c>
      <c r="G2963" s="1" t="s">
        <v>28</v>
      </c>
      <c r="H2963" s="1" t="s">
        <v>29</v>
      </c>
      <c r="I2963" s="1" t="str">
        <f ca="1">IFERROR(__xludf.DUMMYFUNCTION("GOOGLETRANSLATE(F2963, ""auto"", ""en"")
"),"After 2 years of operation of this wonderful kettle, the automatic opening of the lid does not work. There is nothing to do, there is absolutely nothing to disassemble and we cannot understand the reason, help if anyone knows")</f>
        <v>After 2 years of operation of this wonderful kettle, the automatic opening of the lid does not work. There is nothing to do, there is absolutely nothing to disassemble and we cannot understand the reason, help if anyone knows</v>
      </c>
    </row>
    <row r="2964" spans="1:9" x14ac:dyDescent="0.3">
      <c r="A2964" s="1" t="s">
        <v>55</v>
      </c>
      <c r="B2964" s="1" t="s">
        <v>84</v>
      </c>
      <c r="C2964" s="1" t="s">
        <v>85</v>
      </c>
      <c r="D2964" s="1" t="s">
        <v>32</v>
      </c>
      <c r="E2964" s="1" t="s">
        <v>1666</v>
      </c>
      <c r="F2964" s="1" t="s">
        <v>5546</v>
      </c>
      <c r="G2964" s="1" t="s">
        <v>36</v>
      </c>
      <c r="H2964" s="1" t="s">
        <v>29</v>
      </c>
      <c r="I2964" s="1" t="str">
        <f ca="1">IFERROR(__xludf.DUMMYFUNCTION("GOOGLETRANSLATE(F2964, ""auto"", ""en"")
"),"We've been using it for over 6 months now. In the first week of work, the humidity rose to 40% and now remains stable at 45%. There is less dust, but there is no need to count on the dust completely disappearing... This is still not a vacuum cleaner.  The"&amp;" noise (not strong) does not interfere, even at night now we often do not turn on the night mode, although we did after the purchase. It is quite easy to clean and unpretentious in maintenance. We are happy with the purchase.")</f>
        <v>We've been using it for over 6 months now. In the first week of work, the humidity rose to 40% and now remains stable at 45%. There is less dust, but there is no need to count on the dust completely disappearing... This is still not a vacuum cleaner.  The noise (not strong) does not interfere, even at night now we often do not turn on the night mode, although we did after the purchase. It is quite easy to clean and unpretentious in maintenance. We are happy with the purchase.</v>
      </c>
    </row>
    <row r="2965" spans="1:9" x14ac:dyDescent="0.3">
      <c r="A2965" s="1" t="s">
        <v>149</v>
      </c>
      <c r="B2965" s="1" t="s">
        <v>423</v>
      </c>
      <c r="C2965" s="1" t="s">
        <v>314</v>
      </c>
      <c r="D2965" s="1" t="s">
        <v>64</v>
      </c>
      <c r="E2965" s="1" t="s">
        <v>3987</v>
      </c>
      <c r="F2965" s="1" t="s">
        <v>5547</v>
      </c>
      <c r="G2965" s="1" t="s">
        <v>1580</v>
      </c>
      <c r="H2965" s="1" t="s">
        <v>29</v>
      </c>
      <c r="I2965" s="1" t="str">
        <f ca="1">IFERROR(__xludf.DUMMYFUNCTION("GOOGLETRANSLATE(F2965, ""auto"", ""en"")
"),"Convenient.")</f>
        <v>Convenient.</v>
      </c>
    </row>
    <row r="2966" spans="1:9" x14ac:dyDescent="0.3">
      <c r="A2966" s="1" t="s">
        <v>61</v>
      </c>
      <c r="B2966" s="1" t="s">
        <v>726</v>
      </c>
      <c r="C2966" s="1" t="s">
        <v>85</v>
      </c>
      <c r="D2966" s="1" t="s">
        <v>81</v>
      </c>
      <c r="E2966" s="1" t="s">
        <v>5548</v>
      </c>
      <c r="F2966" s="1" t="s">
        <v>5549</v>
      </c>
      <c r="G2966" s="1" t="s">
        <v>36</v>
      </c>
      <c r="H2966" s="1" t="s">
        <v>29</v>
      </c>
      <c r="I2966" s="1" t="str">
        <f ca="1">IFERROR(__xludf.DUMMYFUNCTION("GOOGLETRANSLATE(F2966, ""auto"", ""en"")
"),"We tried two different ready-made mixtures (including black bread) and everything worked out. There is nothing to say about the design - everything is super.")</f>
        <v>We tried two different ready-made mixtures (including black bread) and everything worked out. There is nothing to say about the design - everything is super.</v>
      </c>
    </row>
    <row r="2967" spans="1:9" x14ac:dyDescent="0.3">
      <c r="A2967" s="1" t="s">
        <v>9</v>
      </c>
      <c r="B2967" s="1" t="s">
        <v>133</v>
      </c>
      <c r="C2967" s="1" t="s">
        <v>290</v>
      </c>
      <c r="D2967" s="1" t="s">
        <v>891</v>
      </c>
      <c r="E2967" s="1" t="s">
        <v>3361</v>
      </c>
      <c r="F2967" s="1" t="s">
        <v>5550</v>
      </c>
      <c r="G2967" s="1" t="s">
        <v>36</v>
      </c>
      <c r="H2967" s="1" t="s">
        <v>29</v>
      </c>
      <c r="I2967" s="1" t="str">
        <f ca="1">IFERROR(__xludf.DUMMYFUNCTION("GOOGLETRANSLATE(F2967, ""auto"", ""en"")
"),"I bought this oven for my wife's birthday. The wife is delighted. Pros: large oven volume, as much as 60 liters, the door closes smoothly, many automatic programs, design, European assembly, telescopic guides, self-cleaning mode, which is very important e"&amp;"specially after cooking meat. Before I bought, of course, I checked all the competitors, I couldn’t find it cheaper anywhere. I came, paid, arranged delivery, and it was delivered the next day. What I also liked was that the delivery staff lifted this cab"&amp;"inet for me to the 9th floor and didn’t charge me a penny. In general, I'm happy with the purchase. I recommend it to everyone.")</f>
        <v>I bought this oven for my wife's birthday. The wife is delighted. Pros: large oven volume, as much as 60 liters, the door closes smoothly, many automatic programs, design, European assembly, telescopic guides, self-cleaning mode, which is very important especially after cooking meat. Before I bought, of course, I checked all the competitors, I couldn’t find it cheaper anywhere. I came, paid, arranged delivery, and it was delivered the next day. What I also liked was that the delivery staff lifted this cabinet for me to the 9th floor and didn’t charge me a penny. In general, I'm happy with the purchase. I recommend it to everyone.</v>
      </c>
    </row>
    <row r="2968" spans="1:9" x14ac:dyDescent="0.3">
      <c r="A2968" s="1" t="s">
        <v>67</v>
      </c>
      <c r="B2968" s="1" t="s">
        <v>68</v>
      </c>
      <c r="C2968" s="1" t="s">
        <v>69</v>
      </c>
      <c r="D2968" s="1" t="s">
        <v>5551</v>
      </c>
      <c r="E2968" s="1" t="s">
        <v>397</v>
      </c>
      <c r="F2968" s="1" t="s">
        <v>5552</v>
      </c>
      <c r="G2968" s="1" t="s">
        <v>28</v>
      </c>
      <c r="H2968" s="1" t="s">
        <v>29</v>
      </c>
      <c r="I2968" s="1" t="str">
        <f ca="1">IFERROR(__xludf.DUMMYFUNCTION("GOOGLETRANSLATE(F2968, ""auto"", ""en"")
"),"I bought it a month ago. An excellent iron. It works great)) Performs all functions 100%! In general, it fully justifies itself)")</f>
        <v>I bought it a month ago. An excellent iron. It works great)) Performs all functions 100%! In general, it fully justifies itself)</v>
      </c>
    </row>
    <row r="2969" spans="1:9" x14ac:dyDescent="0.3">
      <c r="A2969" s="1" t="s">
        <v>55</v>
      </c>
      <c r="B2969" s="1" t="s">
        <v>184</v>
      </c>
      <c r="C2969" s="1" t="s">
        <v>101</v>
      </c>
      <c r="D2969" s="1" t="s">
        <v>5553</v>
      </c>
      <c r="E2969" s="1" t="s">
        <v>5554</v>
      </c>
      <c r="F2969" s="1" t="s">
        <v>5555</v>
      </c>
      <c r="G2969" s="1" t="s">
        <v>49</v>
      </c>
      <c r="H2969" s="1" t="s">
        <v>16</v>
      </c>
      <c r="I2969" s="1" t="str">
        <f ca="1">IFERROR(__xludf.DUMMYFUNCTION("GOOGLETRANSLATE(F2969, ""auto"", ""en"")
"),"It burned out after 10 minutes of use in a cool autumn apartment. What can I say - Scarlett.")</f>
        <v>It burned out after 10 minutes of use in a cool autumn apartment. What can I say - Scarlett.</v>
      </c>
    </row>
    <row r="2970" spans="1:9" x14ac:dyDescent="0.3">
      <c r="A2970" s="1" t="s">
        <v>30</v>
      </c>
      <c r="B2970" s="1" t="s">
        <v>50</v>
      </c>
      <c r="C2970" s="1" t="s">
        <v>1386</v>
      </c>
      <c r="D2970" s="1" t="s">
        <v>247</v>
      </c>
      <c r="E2970" s="1" t="s">
        <v>2030</v>
      </c>
      <c r="F2970" s="1" t="s">
        <v>5556</v>
      </c>
      <c r="G2970" s="1" t="s">
        <v>28</v>
      </c>
      <c r="H2970" s="1" t="s">
        <v>29</v>
      </c>
      <c r="I2970" s="1" t="str">
        <f ca="1">IFERROR(__xludf.DUMMYFUNCTION("GOOGLETRANSLATE(F2970, ""auto"", ""en"")
"),"2 weeks ago I bought such a thing and did not regret it. The sound is good, and the screen... one drawback that we noticed is that everything gets very hot. But about the battery, I don’t know... it lasts 6 hours when I use it and a very long time when I "&amp;"wait... the main thing is that it is quiet, which is very important for me.")</f>
        <v>2 weeks ago I bought such a thing and did not regret it. The sound is good, and the screen... one drawback that we noticed is that everything gets very hot. But about the battery, I don’t know... it lasts 6 hours when I use it and a very long time when I wait... the main thing is that it is quiet, which is very important for me.</v>
      </c>
    </row>
    <row r="2971" spans="1:9" x14ac:dyDescent="0.3">
      <c r="A2971" s="1" t="s">
        <v>149</v>
      </c>
      <c r="B2971" s="1" t="s">
        <v>150</v>
      </c>
      <c r="C2971" s="1" t="s">
        <v>2016</v>
      </c>
      <c r="D2971" s="1" t="s">
        <v>39</v>
      </c>
      <c r="E2971" s="1" t="s">
        <v>2275</v>
      </c>
      <c r="F2971" s="1" t="s">
        <v>5557</v>
      </c>
      <c r="G2971" s="1" t="s">
        <v>36</v>
      </c>
      <c r="H2971" s="1" t="s">
        <v>29</v>
      </c>
      <c r="I2971" s="1" t="str">
        <f ca="1">IFERROR(__xludf.DUMMYFUNCTION("GOOGLETRANSLATE(F2971, ""auto"", ""en"")
"),"A compact, convenient and quite powerful vacuum cleaner (current consumption 8 A, power 11 aerowatts, suction power 320 mm high, productivity 900 l/min. High-quality assembly, good plastic. Among the disadvantages, the cord is a little stiff, although on "&amp;"the other hand it is more difficult to damage. The rubber on the door for removing debris could have been made tighter, even if it is small, but there is still air leakage, and this affects the power. A strip of paper inserted as a test for the tightness "&amp;"of the rubber band between the body and the door in its upper part is not pressed at all by the rubber band and falls out; it had to be modified, but overall the impression of the vacuum cleaner is very good!")</f>
        <v>A compact, convenient and quite powerful vacuum cleaner (current consumption 8 A, power 11 aerowatts, suction power 320 mm high, productivity 900 l/min. High-quality assembly, good plastic. Among the disadvantages, the cord is a little stiff, although on the other hand it is more difficult to damage. The rubber on the door for removing debris could have been made tighter, even if it is small, but there is still air leakage, and this affects the power. A strip of paper inserted as a test for the tightness of the rubber band between the body and the door in its upper part is not pressed at all by the rubber band and falls out; it had to be modified, but overall the impression of the vacuum cleaner is very good!</v>
      </c>
    </row>
    <row r="2972" spans="1:9" x14ac:dyDescent="0.3">
      <c r="A2972" s="1" t="s">
        <v>17</v>
      </c>
      <c r="B2972" s="1" t="s">
        <v>18</v>
      </c>
      <c r="C2972" s="1" t="s">
        <v>159</v>
      </c>
      <c r="D2972" s="1" t="s">
        <v>319</v>
      </c>
      <c r="E2972" s="1" t="s">
        <v>5558</v>
      </c>
      <c r="F2972" s="1" t="s">
        <v>5559</v>
      </c>
      <c r="G2972" s="1" t="s">
        <v>36</v>
      </c>
      <c r="H2972" s="1" t="s">
        <v>29</v>
      </c>
      <c r="I2972" s="1" t="str">
        <f ca="1">IFERROR(__xludf.DUMMYFUNCTION("GOOGLETRANSLATE(F2972, ""auto"", ""en"")
"),"It feels like previous authors write reviews without even using this machine themselves. I will say this - it washes very well, rinses perfectly, things don’t smell like powder, the evaporation is nonsense, the machine is airtight. Before this there was a"&amp;"n Italian one from another company, also with vertical loading - I’m even glad that it broke down without even working for 3 years, because it was jumping around the bathroom, making noise. We bought Electrolux on the recommendation of the seller - it’s s"&amp;"table, it works quite quietly, a very convenient powder receptacle, in this price category, in my opinion, the most successful option 5+")</f>
        <v>It feels like previous authors write reviews without even using this machine themselves. I will say this - it washes very well, rinses perfectly, things don’t smell like powder, the evaporation is nonsense, the machine is airtight. Before this there was an Italian one from another company, also with vertical loading - I’m even glad that it broke down without even working for 3 years, because it was jumping around the bathroom, making noise. We bought Electrolux on the recommendation of the seller - it’s stable, it works quite quietly, a very convenient powder receptacle, in this price category, in my opinion, the most successful option 5+</v>
      </c>
    </row>
    <row r="2973" spans="1:9" x14ac:dyDescent="0.3">
      <c r="A2973" s="1" t="s">
        <v>61</v>
      </c>
      <c r="B2973" s="1" t="s">
        <v>73</v>
      </c>
      <c r="C2973" s="1" t="s">
        <v>314</v>
      </c>
      <c r="D2973" s="1" t="s">
        <v>39</v>
      </c>
      <c r="E2973" s="1" t="s">
        <v>2423</v>
      </c>
      <c r="F2973" s="1" t="s">
        <v>5560</v>
      </c>
      <c r="G2973" s="1" t="s">
        <v>49</v>
      </c>
      <c r="H2973" s="1" t="s">
        <v>16</v>
      </c>
      <c r="I2973" s="1" t="str">
        <f ca="1">IFERROR(__xludf.DUMMYFUNCTION("GOOGLETRANSLATE(F2973, ""auto"", ""en"")
"),"I’ve already written about sticky commutator brushes and contacting a warranty workshop. After the repair, the meat grinder worked for a total of (15+15) 30 minutes, and jerks in engine speed and stopping began again (even without load). Long story short,"&amp;" the commutator brush is stuck again. Conclusion - no warranty service. I didn’t call for service the second time, I opened the unit, found a loose brush, sharpened it a little and everything worked fine. Conclusion - a meat grinder for crazy hands. Someh"&amp;"ow frivolous... I will not do business with this company again. Low quality workmanship and branded service.")</f>
        <v>I’ve already written about sticky commutator brushes and contacting a warranty workshop. After the repair, the meat grinder worked for a total of (15+15) 30 minutes, and jerks in engine speed and stopping began again (even without load). Long story short, the commutator brush is stuck again. Conclusion - no warranty service. I didn’t call for service the second time, I opened the unit, found a loose brush, sharpened it a little and everything worked fine. Conclusion - a meat grinder for crazy hands. Somehow frivolous... I will not do business with this company again. Low quality workmanship and branded service.</v>
      </c>
    </row>
    <row r="2974" spans="1:9" x14ac:dyDescent="0.3">
      <c r="A2974" s="1" t="s">
        <v>211</v>
      </c>
      <c r="B2974" s="1" t="s">
        <v>856</v>
      </c>
      <c r="C2974" s="1" t="s">
        <v>57</v>
      </c>
      <c r="D2974" s="1" t="s">
        <v>943</v>
      </c>
      <c r="E2974" s="1" t="s">
        <v>5561</v>
      </c>
      <c r="F2974" s="1" t="s">
        <v>5562</v>
      </c>
      <c r="G2974" s="1" t="s">
        <v>36</v>
      </c>
      <c r="H2974" s="1" t="s">
        <v>29</v>
      </c>
      <c r="I2974" s="1" t="str">
        <f ca="1">IFERROR(__xludf.DUMMYFUNCTION("GOOGLETRANSLATE(F2974, ""auto"", ""en"")
"),"In my opinion, this is one of the most popular manicure sets from Vitek. At least among my friends. By the way, a friend recommended it. For which I am very grateful to her. The set is suitable for manicure and pedicure. Pedicure discs remove even the mos"&amp;"t stubborn corns on the heels. All attachments and the device itself are put away in a convenient case; with so many attachments, everything looks very compact, and is light in weight. I definitely take it with me on vacation, I’m used to it and can’t do "&amp;"any other manicure or pedicure anymore. It turns out that everything can be replaced with one device - manicure files, pumice stones, all sorts of pedicure graters, and machines (I once used it for a pedicure, now I remember with a shudder). On the downsi"&amp;"de, I don’t even know what to say. Of course, it would be great if there was still drying, but then he would probably just be huge.")</f>
        <v>In my opinion, this is one of the most popular manicure sets from Vitek. At least among my friends. By the way, a friend recommended it. For which I am very grateful to her. The set is suitable for manicure and pedicure. Pedicure discs remove even the most stubborn corns on the heels. All attachments and the device itself are put away in a convenient case; with so many attachments, everything looks very compact, and is light in weight. I definitely take it with me on vacation, I’m used to it and can’t do any other manicure or pedicure anymore. It turns out that everything can be replaced with one device - manicure files, pumice stones, all sorts of pedicure graters, and machines (I once used it for a pedicure, now I remember with a shudder). On the downside, I don’t even know what to say. Of course, it would be great if there was still drying, but then he would probably just be huge.</v>
      </c>
    </row>
    <row r="2975" spans="1:9" x14ac:dyDescent="0.3">
      <c r="A2975" s="1" t="s">
        <v>30</v>
      </c>
      <c r="B2975" s="1" t="s">
        <v>50</v>
      </c>
      <c r="C2975" s="1" t="s">
        <v>189</v>
      </c>
      <c r="D2975" s="1" t="s">
        <v>114</v>
      </c>
      <c r="E2975" s="1" t="s">
        <v>1310</v>
      </c>
      <c r="F2975" s="1" t="s">
        <v>5563</v>
      </c>
      <c r="G2975" s="1" t="s">
        <v>36</v>
      </c>
      <c r="H2975" s="1" t="s">
        <v>29</v>
      </c>
      <c r="I2975" s="1" t="str">
        <f ca="1">IFERROR(__xludf.DUMMYFUNCTION("GOOGLETRANSLATE(F2975, ""auto"", ""en"")
"),"Fourth day since I bought a laptop. So far there are no serious complaints about it. Windows 7 works very quickly. Games at maximum settings can be said to “fly”.  Tested on Assassin's Creed, Fallout 3, CallOfDuty Modern Ware 2. An excellent choice in ter"&amp;"ms of price-quality criteria.")</f>
        <v>Fourth day since I bought a laptop. So far there are no serious complaints about it. Windows 7 works very quickly. Games at maximum settings can be said to “fly”.  Tested on Assassin's Creed, Fallout 3, CallOfDuty Modern Ware 2. An excellent choice in terms of price-quality criteria.</v>
      </c>
    </row>
    <row r="2976" spans="1:9" x14ac:dyDescent="0.3">
      <c r="A2976" s="1" t="s">
        <v>206</v>
      </c>
      <c r="B2976" s="1" t="s">
        <v>1253</v>
      </c>
      <c r="C2976" s="1" t="s">
        <v>1254</v>
      </c>
      <c r="D2976" s="1" t="s">
        <v>152</v>
      </c>
      <c r="E2976" s="1" t="s">
        <v>1571</v>
      </c>
      <c r="F2976" s="1" t="s">
        <v>5564</v>
      </c>
      <c r="G2976" s="1" t="s">
        <v>36</v>
      </c>
      <c r="H2976" s="1" t="s">
        <v>29</v>
      </c>
      <c r="I2976" s="1" t="str">
        <f ca="1">IFERROR(__xludf.DUMMYFUNCTION("GOOGLETRANSLATE(F2976, ""auto"", ""en"")
"),"Normal walkie-talkies, in a city with dense buildings it takes 1 km, you can make out what they say. Easy to use. The battery pack is enough for a day. I recommend a good radio.")</f>
        <v>Normal walkie-talkies, in a city with dense buildings it takes 1 km, you can make out what they say. Easy to use. The battery pack is enough for a day. I recommend a good radio.</v>
      </c>
    </row>
    <row r="2977" spans="1:9" x14ac:dyDescent="0.3">
      <c r="A2977" s="1" t="s">
        <v>477</v>
      </c>
      <c r="B2977" s="1" t="s">
        <v>478</v>
      </c>
      <c r="C2977" s="1" t="s">
        <v>479</v>
      </c>
      <c r="D2977" s="1" t="s">
        <v>1431</v>
      </c>
      <c r="E2977" s="1" t="s">
        <v>792</v>
      </c>
      <c r="F2977" s="1" t="s">
        <v>5565</v>
      </c>
      <c r="G2977" s="1" t="s">
        <v>36</v>
      </c>
      <c r="H2977" s="1" t="s">
        <v>29</v>
      </c>
      <c r="I2977" s="1" t="str">
        <f ca="1">IFERROR(__xludf.DUMMYFUNCTION("GOOGLETRANSLATE(F2977, ""auto"", ""en"")
"),"Is it possible to play via no?")</f>
        <v>Is it possible to play via no?</v>
      </c>
    </row>
    <row r="2978" spans="1:9" x14ac:dyDescent="0.3">
      <c r="A2978" s="1" t="s">
        <v>169</v>
      </c>
      <c r="B2978" s="1" t="s">
        <v>170</v>
      </c>
      <c r="C2978" s="1" t="s">
        <v>122</v>
      </c>
      <c r="D2978" s="1" t="s">
        <v>5566</v>
      </c>
      <c r="E2978" s="1" t="s">
        <v>131</v>
      </c>
      <c r="F2978" s="1" t="s">
        <v>5567</v>
      </c>
      <c r="G2978" s="1" t="s">
        <v>36</v>
      </c>
      <c r="H2978" s="1" t="s">
        <v>29</v>
      </c>
      <c r="I2978" s="1" t="str">
        <f ca="1">IFERROR(__xludf.DUMMYFUNCTION("GOOGLETRANSLATE(F2978, ""auto"", ""en"")
"),"I bought these headphones just recently. After reading the reviews, I was very upset... Why are there so few reviews written? Was it really worth buying Sony?   But, you know, having tested them for bass (which is worth hearing just one Nelly Furtado - Ca"&amp;"n you get to heaven!) and high frequencies, I realized that you should never judge without trying. The headphones are really unusual, the main thing is to position them correctly in the auricle. Trust me, a person who is used to listening to music with hi"&amp;"s body)) Excellent noise suppression... It’s one thing to listen to music at home, in a 7.1 system with a powerful subwoofer, and quite another thing on the street, on the bus, metro and college... Many people understand me perfectly... In general, a grea"&amp;"t gift for a music lover)")</f>
        <v>I bought these headphones just recently. After reading the reviews, I was very upset... Why are there so few reviews written? Was it really worth buying Sony?   But, you know, having tested them for bass (which is worth hearing just one Nelly Furtado - Can you get to heaven!) and high frequencies, I realized that you should never judge without trying. The headphones are really unusual, the main thing is to position them correctly in the auricle. Trust me, a person who is used to listening to music with his body)) Excellent noise suppression... It’s one thing to listen to music at home, in a 7.1 system with a powerful subwoofer, and quite another thing on the street, on the bus, metro and college... Many people understand me perfectly... In general, a great gift for a music lover)</v>
      </c>
    </row>
    <row r="2979" spans="1:9" x14ac:dyDescent="0.3">
      <c r="A2979" s="1" t="s">
        <v>149</v>
      </c>
      <c r="B2979" s="1" t="s">
        <v>155</v>
      </c>
      <c r="C2979" s="1" t="s">
        <v>101</v>
      </c>
      <c r="D2979" s="1" t="s">
        <v>75</v>
      </c>
      <c r="E2979" s="1" t="s">
        <v>382</v>
      </c>
      <c r="F2979" s="1" t="s">
        <v>5568</v>
      </c>
      <c r="G2979" s="1" t="s">
        <v>28</v>
      </c>
      <c r="H2979" s="1" t="s">
        <v>29</v>
      </c>
      <c r="I2979" s="1" t="str">
        <f ca="1">IFERROR(__xludf.DUMMYFUNCTION("GOOGLETRANSLATE(F2979, ""auto"", ""en"")
"),"I bought a vacuum cleaner and liked it: it’s powerful, it pulls well, it’s light, it’s convenient to throw garbage out of the vacuum cleaner. Cons: short handle, you have to bend over, it’s noisy. But overall I like it.")</f>
        <v>I bought a vacuum cleaner and liked it: it’s powerful, it pulls well, it’s light, it’s convenient to throw garbage out of the vacuum cleaner. Cons: short handle, you have to bend over, it’s noisy. But overall I like it.</v>
      </c>
    </row>
    <row r="2980" spans="1:9" x14ac:dyDescent="0.3">
      <c r="A2980" s="1" t="s">
        <v>211</v>
      </c>
      <c r="B2980" s="1" t="s">
        <v>899</v>
      </c>
      <c r="C2980" s="1" t="s">
        <v>69</v>
      </c>
      <c r="D2980" s="1" t="s">
        <v>3273</v>
      </c>
      <c r="E2980" s="1" t="s">
        <v>153</v>
      </c>
      <c r="F2980" s="1" t="s">
        <v>5569</v>
      </c>
      <c r="G2980" s="1" t="s">
        <v>36</v>
      </c>
      <c r="H2980" s="1" t="s">
        <v>29</v>
      </c>
      <c r="I2980" s="1" t="str">
        <f ca="1">IFERROR(__xludf.DUMMYFUNCTION("GOOGLETRANSLATE(F2980, ""auto"", ""en"")
"),"I bought it, used it, and am very pleased. Now I bought a second one for the dacha, so as not to carry it back and forth. Since there is room to put a second attachment on the charger, my husband and I use different attachments, but only one brush. Plus I"&amp;" like that the replacement tips are not very expensive. The teeth became half a tone, or maybe a tone lighter, which is quite a lot)")</f>
        <v>I bought it, used it, and am very pleased. Now I bought a second one for the dacha, so as not to carry it back and forth. Since there is room to put a second attachment on the charger, my husband and I use different attachments, but only one brush. Plus I like that the replacement tips are not very expensive. The teeth became half a tone, or maybe a tone lighter, which is quite a lot)</v>
      </c>
    </row>
    <row r="2981" spans="1:9" x14ac:dyDescent="0.3">
      <c r="A2981" s="1" t="s">
        <v>238</v>
      </c>
      <c r="B2981" s="1" t="s">
        <v>276</v>
      </c>
      <c r="C2981" s="1" t="s">
        <v>1677</v>
      </c>
      <c r="D2981" s="1" t="s">
        <v>5570</v>
      </c>
      <c r="E2981" s="1" t="s">
        <v>1273</v>
      </c>
      <c r="F2981" s="1" t="s">
        <v>5571</v>
      </c>
      <c r="G2981" s="1" t="s">
        <v>36</v>
      </c>
      <c r="H2981" s="1" t="s">
        <v>29</v>
      </c>
      <c r="I2981" s="1" t="str">
        <f ca="1">IFERROR(__xludf.DUMMYFUNCTION("GOOGLETRANSLATE(F2981, ""auto"", ""en"")
"),"I have been using this model of refrigerator for over 7 years. I chose a refrigerator with the largest refrigerator volume. Very pleased. Comfortable for storing food, very roomy, huge and convenient drawer for vegetables. The refrigerator is easy to clea"&amp;"n, the glass shelves can be rearranged to any height. The refrigerator door can also accommodate a large amount of food and drinks. Great design, quality and price. For 7 years of operation, not a single problem. I recommend it.")</f>
        <v>I have been using this model of refrigerator for over 7 years. I chose a refrigerator with the largest refrigerator volume. Very pleased. Comfortable for storing food, very roomy, huge and convenient drawer for vegetables. The refrigerator is easy to clean, the glass shelves can be rearranged to any height. The refrigerator door can also accommodate a large amount of food and drinks. Great design, quality and price. For 7 years of operation, not a single problem. I recommend it.</v>
      </c>
    </row>
    <row r="2982" spans="1:9" x14ac:dyDescent="0.3">
      <c r="A2982" s="1" t="s">
        <v>55</v>
      </c>
      <c r="B2982" s="1" t="s">
        <v>84</v>
      </c>
      <c r="C2982" s="1" t="s">
        <v>85</v>
      </c>
      <c r="D2982" s="1" t="s">
        <v>232</v>
      </c>
      <c r="E2982" s="1" t="s">
        <v>1589</v>
      </c>
      <c r="F2982" s="1" t="s">
        <v>5572</v>
      </c>
      <c r="G2982" s="1" t="s">
        <v>36</v>
      </c>
      <c r="H2982" s="1" t="s">
        <v>29</v>
      </c>
      <c r="I2982" s="1" t="str">
        <f ca="1">IFERROR(__xludf.DUMMYFUNCTION("GOOGLETRANSLATE(F2982, ""auto"", ""en"")
"),"We've been using it for six months now. We are very pleased with the device. Makes cleaning your home easier as there is actually less dust. Night mode is very quiet and does not disturb sleep.  The most important thing is that now it has become much more"&amp;" pleasant to sleep, since the nose does not become clogged as it was before use, and the skin does not dry out as much.  I think it will be very useful when the child arrives.  I recommend it to everyone!")</f>
        <v>We've been using it for six months now. We are very pleased with the device. Makes cleaning your home easier as there is actually less dust. Night mode is very quiet and does not disturb sleep.  The most important thing is that now it has become much more pleasant to sleep, since the nose does not become clogged as it was before use, and the skin does not dry out as much.  I think it will be very useful when the child arrives.  I recommend it to everyone!</v>
      </c>
    </row>
    <row r="2983" spans="1:9" x14ac:dyDescent="0.3">
      <c r="A2983" s="1" t="s">
        <v>451</v>
      </c>
      <c r="B2983" s="1" t="s">
        <v>452</v>
      </c>
      <c r="C2983" s="1" t="s">
        <v>1033</v>
      </c>
      <c r="D2983" s="1" t="s">
        <v>521</v>
      </c>
      <c r="E2983" s="1" t="s">
        <v>832</v>
      </c>
      <c r="F2983" s="1" t="s">
        <v>5573</v>
      </c>
      <c r="G2983" s="1" t="s">
        <v>15</v>
      </c>
      <c r="H2983" s="1" t="s">
        <v>16</v>
      </c>
      <c r="I2983" s="1" t="str">
        <f ca="1">IFERROR(__xludf.DUMMYFUNCTION("GOOGLETRANSLATE(F2983, ""auto"", ""en"")
"),"For the MK-G30 Panasonic meat grinder, the hole in the knife is too large... The knife is dangling... Compared with the original... Hmmm... I don’t know about other Panasonic meat grinders, but the knife is very different from the original knife...((")</f>
        <v>For the MK-G30 Panasonic meat grinder, the hole in the knife is too large... The knife is dangling... Compared with the original... Hmmm... I don’t know about other Panasonic meat grinders, but the knife is very different from the original knife...((</v>
      </c>
    </row>
    <row r="2984" spans="1:9" x14ac:dyDescent="0.3">
      <c r="A2984" s="1" t="s">
        <v>451</v>
      </c>
      <c r="B2984" s="1" t="s">
        <v>452</v>
      </c>
      <c r="C2984" s="1" t="s">
        <v>710</v>
      </c>
      <c r="D2984" s="1" t="s">
        <v>5574</v>
      </c>
      <c r="E2984" s="1" t="s">
        <v>5575</v>
      </c>
      <c r="F2984" s="1" t="s">
        <v>5576</v>
      </c>
      <c r="G2984" s="1" t="s">
        <v>49</v>
      </c>
      <c r="H2984" s="1" t="s">
        <v>16</v>
      </c>
      <c r="I2984" s="1" t="str">
        <f ca="1">IFERROR(__xludf.DUMMYFUNCTION("GOOGLETRANSLATE(F2984, ""auto"", ""en"")
"),"The knife didn't last even a year, it broke. The steel is brittle, cracks appeared from the hole for the auger.")</f>
        <v>The knife didn't last even a year, it broke. The steel is brittle, cracks appeared from the hole for the auger.</v>
      </c>
    </row>
    <row r="2985" spans="1:9" x14ac:dyDescent="0.3">
      <c r="A2985" s="1" t="s">
        <v>78</v>
      </c>
      <c r="B2985" s="1" t="s">
        <v>79</v>
      </c>
      <c r="C2985" s="1" t="s">
        <v>151</v>
      </c>
      <c r="D2985" s="1" t="s">
        <v>3030</v>
      </c>
      <c r="E2985" s="1" t="s">
        <v>2543</v>
      </c>
      <c r="F2985" s="1" t="s">
        <v>5577</v>
      </c>
      <c r="G2985" s="1" t="s">
        <v>36</v>
      </c>
      <c r="H2985" s="1" t="s">
        <v>29</v>
      </c>
      <c r="I2985" s="1" t="str">
        <f ca="1">IFERROR(__xludf.DUMMYFUNCTION("GOOGLETRANSLATE(F2985, ""auto"", ""en"")
"),"cool microwave I have at home, good")</f>
        <v>cool microwave I have at home, good</v>
      </c>
    </row>
    <row r="2986" spans="1:9" x14ac:dyDescent="0.3">
      <c r="A2986" s="1" t="s">
        <v>61</v>
      </c>
      <c r="B2986" s="1" t="s">
        <v>318</v>
      </c>
      <c r="C2986" s="1" t="s">
        <v>63</v>
      </c>
      <c r="D2986" s="1" t="s">
        <v>305</v>
      </c>
      <c r="E2986" s="1" t="s">
        <v>743</v>
      </c>
      <c r="F2986" s="1" t="s">
        <v>5578</v>
      </c>
      <c r="G2986" s="1" t="s">
        <v>15</v>
      </c>
      <c r="H2986" s="1" t="s">
        <v>16</v>
      </c>
      <c r="I2986" s="1" t="str">
        <f ca="1">IFERROR(__xludf.DUMMYFUNCTION("GOOGLETRANSLATE(F2986, ""auto"", ""en"")
"),"This miracle of technology pours water past the cup, with a small amount of water in the kettle it does not turn off for a long time, the lid is deformed.")</f>
        <v>This miracle of technology pours water past the cup, with a small amount of water in the kettle it does not turn off for a long time, the lid is deformed.</v>
      </c>
    </row>
    <row r="2987" spans="1:9" x14ac:dyDescent="0.3">
      <c r="A2987" s="1" t="s">
        <v>30</v>
      </c>
      <c r="B2987" s="1" t="s">
        <v>31</v>
      </c>
      <c r="C2987" s="1" t="s">
        <v>32</v>
      </c>
      <c r="D2987" s="1" t="s">
        <v>366</v>
      </c>
      <c r="E2987" s="1" t="s">
        <v>2323</v>
      </c>
      <c r="F2987" s="1" t="s">
        <v>5579</v>
      </c>
      <c r="G2987" s="1" t="s">
        <v>28</v>
      </c>
      <c r="H2987" s="1" t="s">
        <v>29</v>
      </c>
      <c r="I2987" s="1" t="str">
        <f ca="1">IFERROR(__xludf.DUMMYFUNCTION("GOOGLETRANSLATE(F2987, ""auto"", ""en"")
"),"The computer is excellent, Acer, as always, did everything perfectly, conscientiously, the only problem is a weak power supply unit, which does not quite cope with the capabilities entrusted to it, and an incompletely thought-out cooling system, otherwise"&amp;" an excellent device!")</f>
        <v>The computer is excellent, Acer, as always, did everything perfectly, conscientiously, the only problem is a weak power supply unit, which does not quite cope with the capabilities entrusted to it, and an incompletely thought-out cooling system, otherwise an excellent device!</v>
      </c>
    </row>
    <row r="2988" spans="1:9" x14ac:dyDescent="0.3">
      <c r="A2988" s="1" t="s">
        <v>369</v>
      </c>
      <c r="B2988" s="1" t="s">
        <v>587</v>
      </c>
      <c r="C2988" s="1" t="s">
        <v>290</v>
      </c>
      <c r="D2988" s="1" t="s">
        <v>5580</v>
      </c>
      <c r="E2988" s="1" t="s">
        <v>469</v>
      </c>
      <c r="F2988" s="1" t="s">
        <v>5581</v>
      </c>
      <c r="G2988" s="1" t="s">
        <v>28</v>
      </c>
      <c r="H2988" s="1" t="s">
        <v>29</v>
      </c>
      <c r="I2988" s="1" t="str">
        <f ca="1">IFERROR(__xludf.DUMMYFUNCTION("GOOGLETRANSLATE(F2988, ""auto"", ""en"")
"),"It is better to take a model without a display; the control buttons die after using the oven several times (even faster when grilling). They replaced it under warranty (after 3 months of operation), and confirmed that this was a disease of this model. A y"&amp;"ear later, the buttons don’t work again, the warranty has expired, this thing costs about 3,000 rubles.")</f>
        <v>It is better to take a model without a display; the control buttons die after using the oven several times (even faster when grilling). They replaced it under warranty (after 3 months of operation), and confirmed that this was a disease of this model. A year later, the buttons don’t work again, the warranty has expired, this thing costs about 3,000 rubles.</v>
      </c>
    </row>
    <row r="2989" spans="1:9" x14ac:dyDescent="0.3">
      <c r="A2989" s="1" t="s">
        <v>17</v>
      </c>
      <c r="B2989" s="1" t="s">
        <v>18</v>
      </c>
      <c r="C2989" s="1" t="s">
        <v>243</v>
      </c>
      <c r="D2989" s="1" t="s">
        <v>64</v>
      </c>
      <c r="E2989" s="1" t="s">
        <v>817</v>
      </c>
      <c r="F2989" s="1" t="s">
        <v>5582</v>
      </c>
      <c r="G2989" s="1" t="s">
        <v>28</v>
      </c>
      <c r="H2989" s="1" t="s">
        <v>29</v>
      </c>
      <c r="I2989" s="1" t="str">
        <f ca="1">IFERROR(__xludf.DUMMYFUNCTION("GOOGLETRANSLATE(F2989, ""auto"", ""en"")
"),"We have been using this machine for several days. It washes well and with virtually no noise (I was pleased).   We were not pleasantly surprised to discover that the spin class is “D”, although on the M-Video website the characteristics indicate “C”. This"&amp;" was an important criterion when choosing a washing machine.    So be careful and check this information with consultants.")</f>
        <v>We have been using this machine for several days. It washes well and with virtually no noise (I was pleased).   We were not pleasantly surprised to discover that the spin class is “D”, although on the M-Video website the characteristics indicate “C”. This was an important criterion when choosing a washing machine.    So be careful and check this information with consultants.</v>
      </c>
    </row>
    <row r="2990" spans="1:9" x14ac:dyDescent="0.3">
      <c r="A2990" s="1" t="s">
        <v>9</v>
      </c>
      <c r="B2990" s="1" t="s">
        <v>23</v>
      </c>
      <c r="C2990" s="1" t="s">
        <v>134</v>
      </c>
      <c r="D2990" s="1" t="s">
        <v>420</v>
      </c>
      <c r="E2990" s="1" t="s">
        <v>5583</v>
      </c>
      <c r="F2990" s="1" t="s">
        <v>5584</v>
      </c>
      <c r="G2990" s="1" t="s">
        <v>36</v>
      </c>
      <c r="H2990" s="1" t="s">
        <v>29</v>
      </c>
      <c r="I2990" s="1" t="str">
        <f ca="1">IFERROR(__xludf.DUMMYFUNCTION("GOOGLETRANSLATE(F2990, ""auto"", ""en"")
"),"The device is quiet (even when used outside the kitchen during renovation), cleans perfectly, I use Finish powder and rinse aid, Calgon salt, the cost is several times lower than when using tablets. Initially there was a problem, the machine gave a signal"&amp;" that water was supposedly not flowing into it. I read similar reviews here.  As a result, the kitchen installers helped us sort everything out and explained that they install such devices quite often and have already encountered similar problems. The fac"&amp;"t is that the valve, which is located at the end of the gravity-type water supply hose (or something like that), must be screwed up with a nut so that the valve itself opens under its own weight, otherwise water does not flow into the machine and it gives"&amp;" an error. They said that it was in the instructions, but for some reason I couldn’t find it. I unsoldered the water pipes according to their recommendation and have had no problems since then. Otherwise everything is fine, my wife is happy. I will be gla"&amp;"d if I help someone with my review.")</f>
        <v>The device is quiet (even when used outside the kitchen during renovation), cleans perfectly, I use Finish powder and rinse aid, Calgon salt, the cost is several times lower than when using tablets. Initially there was a problem, the machine gave a signal that water was supposedly not flowing into it. I read similar reviews here.  As a result, the kitchen installers helped us sort everything out and explained that they install such devices quite often and have already encountered similar problems. The fact is that the valve, which is located at the end of the gravity-type water supply hose (or something like that), must be screwed up with a nut so that the valve itself opens under its own weight, otherwise water does not flow into the machine and it gives an error. They said that it was in the instructions, but for some reason I couldn’t find it. I unsoldered the water pipes according to their recommendation and have had no problems since then. Otherwise everything is fine, my wife is happy. I will be glad if I help someone with my review.</v>
      </c>
    </row>
    <row r="2991" spans="1:9" x14ac:dyDescent="0.3">
      <c r="A2991" s="1" t="s">
        <v>17</v>
      </c>
      <c r="B2991" s="1" t="s">
        <v>18</v>
      </c>
      <c r="C2991" s="1" t="s">
        <v>243</v>
      </c>
      <c r="D2991" s="1" t="s">
        <v>589</v>
      </c>
      <c r="E2991" s="1" t="s">
        <v>5585</v>
      </c>
      <c r="F2991" s="1" t="s">
        <v>5586</v>
      </c>
      <c r="G2991" s="1" t="s">
        <v>28</v>
      </c>
      <c r="H2991" s="1" t="s">
        <v>29</v>
      </c>
      <c r="I2991" s="1" t="str">
        <f ca="1">IFERROR(__xludf.DUMMYFUNCTION("GOOGLETRANSLATE(F2991, ""auto"", ""en"")
"),"We purchased the machine in April 2010, it worked perfectly for a little over a year and a half, it was installed smoothly and therefore there were no vibrations, jumping, it was quite good. Nine months after the end of the warranty period, it began to ma"&amp;"ke a little noise, and then there was even a subtle smell from the friction of rubber and something metallic. They called a specialist for diagnostics, it turned out that one bearing and some other part were broken; it could not be replaced, because... Th"&amp;"e drum of this model is non-separable. Either change the drum or buy a new one after this one has been completed to the point of complete failure. In general, we now know that Indesit is expensive to repair.")</f>
        <v>We purchased the machine in April 2010, it worked perfectly for a little over a year and a half, it was installed smoothly and therefore there were no vibrations, jumping, it was quite good. Nine months after the end of the warranty period, it began to make a little noise, and then there was even a subtle smell from the friction of rubber and something metallic. They called a specialist for diagnostics, it turned out that one bearing and some other part were broken; it could not be replaced, because... The drum of this model is non-separable. Either change the drum or buy a new one after this one has been completed to the point of complete failure. In general, we now know that Indesit is expensive to repair.</v>
      </c>
    </row>
    <row r="2992" spans="1:9" x14ac:dyDescent="0.3">
      <c r="A2992" s="1" t="s">
        <v>17</v>
      </c>
      <c r="B2992" s="1" t="s">
        <v>18</v>
      </c>
      <c r="C2992" s="1" t="s">
        <v>24</v>
      </c>
      <c r="D2992" s="1" t="s">
        <v>5587</v>
      </c>
      <c r="E2992" s="1" t="s">
        <v>5588</v>
      </c>
      <c r="F2992" s="1" t="s">
        <v>5589</v>
      </c>
      <c r="G2992" s="1" t="s">
        <v>36</v>
      </c>
      <c r="H2992" s="1" t="s">
        <v>29</v>
      </c>
      <c r="I2992" s="1" t="str">
        <f ca="1">IFERROR(__xludf.DUMMYFUNCTION("GOOGLETRANSLATE(F2992, ""auto"", ""en"")
"),"It’s an excellent machine, it washes quite quietly, and with the top loading you can easily add things if you forgot something. One of the inconveniences is that it is not entirely clear from the pictures which mode provides which advantages.")</f>
        <v>It’s an excellent machine, it washes quite quietly, and with the top loading you can easily add things if you forgot something. One of the inconveniences is that it is not entirely clear from the pictures which mode provides which advantages.</v>
      </c>
    </row>
    <row r="2993" spans="1:9" x14ac:dyDescent="0.3">
      <c r="A2993" s="1" t="s">
        <v>149</v>
      </c>
      <c r="B2993" s="1" t="s">
        <v>155</v>
      </c>
      <c r="C2993" s="1" t="s">
        <v>24</v>
      </c>
      <c r="D2993" s="1" t="s">
        <v>565</v>
      </c>
      <c r="E2993" s="1" t="s">
        <v>2845</v>
      </c>
      <c r="F2993" s="1" t="s">
        <v>5590</v>
      </c>
      <c r="G2993" s="1" t="s">
        <v>36</v>
      </c>
      <c r="H2993" s="1" t="s">
        <v>29</v>
      </c>
      <c r="I2993" s="1" t="str">
        <f ca="1">IFERROR(__xludf.DUMMYFUNCTION("GOOGLETRANSLATE(F2993, ""auto"", ""en"")
"),"Vacuums excellently. Easy to operate, and the technical properties fully met my expectations. The price and quality pleasantly surprised me. I really like it")</f>
        <v>Vacuums excellently. Easy to operate, and the technical properties fully met my expectations. The price and quality pleasantly surprised me. I really like it</v>
      </c>
    </row>
    <row r="2994" spans="1:9" x14ac:dyDescent="0.3">
      <c r="A2994" s="1" t="s">
        <v>61</v>
      </c>
      <c r="B2994" s="1" t="s">
        <v>977</v>
      </c>
      <c r="C2994" s="1" t="s">
        <v>85</v>
      </c>
      <c r="D2994" s="1" t="s">
        <v>685</v>
      </c>
      <c r="E2994" s="1" t="s">
        <v>3461</v>
      </c>
      <c r="F2994" s="1" t="s">
        <v>5591</v>
      </c>
      <c r="G2994" s="1" t="s">
        <v>36</v>
      </c>
      <c r="H2994" s="1" t="s">
        <v>29</v>
      </c>
      <c r="I2994" s="1" t="str">
        <f ca="1">IFERROR(__xludf.DUMMYFUNCTION("GOOGLETRANSLATE(F2994, ""auto"", ""en"")
"),"I've been using it for two years now and have no complaints! True, I never got excited about cooking all sorts of pies and other confectionery delicacies, but I’ll tell you a little secret that this mixer is just great at making mashed potatoes with the p"&amp;"astry attachment! So my mixer is constantly in use even without preparing baked goods, since we love puree very much))) And from the mixer it turns out very tender!) I recommend everyone to buy the mixer.&amp;nbsp;")</f>
        <v>I've been using it for two years now and have no complaints! True, I never got excited about cooking all sorts of pies and other confectionery delicacies, but I’ll tell you a little secret that this mixer is just great at making mashed potatoes with the pastry attachment! So my mixer is constantly in use even without preparing baked goods, since we love puree very much))) And from the mixer it turns out very tender!) I recommend everyone to buy the mixer.&amp;nbsp;</v>
      </c>
    </row>
    <row r="2995" spans="1:9" x14ac:dyDescent="0.3">
      <c r="A2995" s="1" t="s">
        <v>17</v>
      </c>
      <c r="B2995" s="1" t="s">
        <v>18</v>
      </c>
      <c r="C2995" s="1" t="s">
        <v>151</v>
      </c>
      <c r="D2995" s="1" t="s">
        <v>152</v>
      </c>
      <c r="E2995" s="1" t="s">
        <v>1649</v>
      </c>
      <c r="F2995" s="1" t="s">
        <v>5592</v>
      </c>
      <c r="G2995" s="1" t="s">
        <v>36</v>
      </c>
      <c r="H2995" s="1" t="s">
        <v>29</v>
      </c>
      <c r="I2995" s="1" t="str">
        <f ca="1">IFERROR(__xludf.DUMMYFUNCTION("GOOGLETRANSLATE(F2995, ""auto"", ""en"")
"),"I bought the car 5-6 months ago at a discount for 10990 :) and I don’t regret it at all.  Convenient loading of laundry, large capacity, simple controls (washing programs are designed in such a way that they will not allow you to reach a “dangerous” tempe"&amp;"rature for things for which it is “contraindicated”), it washes well for your money.   I put it on the footrests and it doesn’t “jiggle” even an inch during the spin cycle.  Of the minuses... the only thing that comes to mind is the noise during the spin "&amp;"cycle, but... This is the first washing machine - I have nothing to compare it with (I close the door to the kitchen and there is silence :)).  I recommend it.")</f>
        <v>I bought the car 5-6 months ago at a discount for 10990 :) and I don’t regret it at all.  Convenient loading of laundry, large capacity, simple controls (washing programs are designed in such a way that they will not allow you to reach a “dangerous” temperature for things for which it is “contraindicated”), it washes well for your money.   I put it on the footrests and it doesn’t “jiggle” even an inch during the spin cycle.  Of the minuses... the only thing that comes to mind is the noise during the spin cycle, but... This is the first washing machine - I have nothing to compare it with (I close the door to the kitchen and there is silence :)).  I recommend it.</v>
      </c>
    </row>
    <row r="2996" spans="1:9" x14ac:dyDescent="0.3">
      <c r="A2996" s="1" t="s">
        <v>43</v>
      </c>
      <c r="B2996" s="1" t="s">
        <v>44</v>
      </c>
      <c r="C2996" s="1" t="s">
        <v>85</v>
      </c>
      <c r="D2996" s="1" t="s">
        <v>20</v>
      </c>
      <c r="E2996" s="1" t="s">
        <v>585</v>
      </c>
      <c r="F2996" s="1" t="s">
        <v>5593</v>
      </c>
      <c r="G2996" s="1" t="s">
        <v>28</v>
      </c>
      <c r="H2996" s="1" t="s">
        <v>29</v>
      </c>
      <c r="I2996" s="1" t="str">
        <f ca="1">IFERROR(__xludf.DUMMYFUNCTION("GOOGLETRANSLATE(F2996, ""auto"", ""en"")
"),"I wouldn’t call it light, the fan is all made of stainless steel, the stand is heavy - for the stability of the structure. A significant disadvantage is that rotation in the vertical plane is not provided. This is not noted by any seller of this model. Si"&amp;"lent - yes, it is normal to sleep at night at the lowest operating speed. What not to take away is a stylish thing. The design is called Aviator.")</f>
        <v>I wouldn’t call it light, the fan is all made of stainless steel, the stand is heavy - for the stability of the structure. A significant disadvantage is that rotation in the vertical plane is not provided. This is not noted by any seller of this model. Silent - yes, it is normal to sleep at night at the lowest operating speed. What not to take away is a stylish thing. The design is called Aviator.</v>
      </c>
    </row>
    <row r="2997" spans="1:9" x14ac:dyDescent="0.3">
      <c r="A2997" s="1" t="s">
        <v>9</v>
      </c>
      <c r="B2997" s="1" t="s">
        <v>10</v>
      </c>
      <c r="C2997" s="1" t="s">
        <v>466</v>
      </c>
      <c r="D2997" s="1" t="s">
        <v>420</v>
      </c>
      <c r="E2997" s="1" t="s">
        <v>5594</v>
      </c>
      <c r="F2997" s="1" t="s">
        <v>5595</v>
      </c>
      <c r="G2997" s="1" t="s">
        <v>28</v>
      </c>
      <c r="H2997" s="1" t="s">
        <v>29</v>
      </c>
      <c r="I2997" s="1" t="str">
        <f ca="1">IFERROR(__xludf.DUMMYFUNCTION("GOOGLETRANSLATE(F2997, ""auto"", ""en"")
"),"The power cord climbs out from the top of the hood, onto which a box is placed up to the ceiling. And how should I get it to the outlet? I had to drill a hole in the side and bring the cord out from the side. And the hood is excellent!")</f>
        <v>The power cord climbs out from the top of the hood, onto which a box is placed up to the ceiling. And how should I get it to the outlet? I had to drill a hole in the side and bring the cord out from the side. And the hood is excellent!</v>
      </c>
    </row>
    <row r="2998" spans="1:9" x14ac:dyDescent="0.3">
      <c r="A2998" s="1" t="s">
        <v>61</v>
      </c>
      <c r="B2998" s="1" t="s">
        <v>726</v>
      </c>
      <c r="C2998" s="1" t="s">
        <v>74</v>
      </c>
      <c r="D2998" s="1" t="s">
        <v>589</v>
      </c>
      <c r="E2998" s="1" t="s">
        <v>5596</v>
      </c>
      <c r="F2998" s="1" t="s">
        <v>5597</v>
      </c>
      <c r="G2998" s="1" t="s">
        <v>28</v>
      </c>
      <c r="H2998" s="1" t="s">
        <v>29</v>
      </c>
      <c r="I2998" s="1" t="str">
        <f ca="1">IFERROR(__xludf.DUMMYFUNCTION("GOOGLETRANSLATE(F2998, ""auto"", ""en"")
"),"Thank you, Oksana. I'll try. Does all this need to be done together or is one action enough? And another question: this oven does not have a signal when you can add additional ingredients, how do you know when you can add them? During kneading?")</f>
        <v>Thank you, Oksana. I'll try. Does all this need to be done together or is one action enough? And another question: this oven does not have a signal when you can add additional ingredients, how do you know when you can add them? During kneading?</v>
      </c>
    </row>
    <row r="2999" spans="1:9" x14ac:dyDescent="0.3">
      <c r="A2999" s="1" t="s">
        <v>211</v>
      </c>
      <c r="B2999" s="1" t="s">
        <v>856</v>
      </c>
      <c r="C2999" s="1" t="s">
        <v>57</v>
      </c>
      <c r="D2999" s="1" t="s">
        <v>934</v>
      </c>
      <c r="E2999" s="1" t="s">
        <v>1231</v>
      </c>
      <c r="F2999" s="1" t="s">
        <v>5598</v>
      </c>
      <c r="G2999" s="1" t="s">
        <v>36</v>
      </c>
      <c r="H2999" s="1" t="s">
        <v>29</v>
      </c>
      <c r="I2999" s="1" t="str">
        <f ca="1">IFERROR(__xludf.DUMMYFUNCTION("GOOGLETRANSLATE(F2999, ""auto"", ""en"")
"),"Inexpensive, compact, it copes with its task if you do a manicure every 1-1.5 weeks. Of course, it can’t be compared to going to a salon, but it’s good for keeping your hands in order. I liked how it polishes calluses on my feet (on my little toes). I'm h"&amp;"appy with the purchase!")</f>
        <v>Inexpensive, compact, it copes with its task if you do a manicure every 1-1.5 weeks. Of course, it can’t be compared to going to a salon, but it’s good for keeping your hands in order. I liked how it polishes calluses on my feet (on my little toes). I'm happy with the purchase!</v>
      </c>
    </row>
    <row r="3000" spans="1:9" x14ac:dyDescent="0.3">
      <c r="A3000" s="1" t="s">
        <v>149</v>
      </c>
      <c r="B3000" s="1" t="s">
        <v>155</v>
      </c>
      <c r="C3000" s="1" t="s">
        <v>80</v>
      </c>
      <c r="D3000" s="1" t="s">
        <v>4136</v>
      </c>
      <c r="E3000" s="1" t="s">
        <v>1742</v>
      </c>
      <c r="F3000" s="1" t="s">
        <v>5599</v>
      </c>
      <c r="G3000" s="1" t="s">
        <v>49</v>
      </c>
      <c r="H3000" s="1" t="s">
        <v>16</v>
      </c>
      <c r="I3000" s="1" t="str">
        <f ca="1">IFERROR(__xludf.DUMMYFUNCTION("GOOGLETRANSLATE(F3000, ""auto"", ""en"")
"),"I bought this vacuum cleaner during a 50% discount on gift cards. I brought it home and plugged it in, it roared like an old refrigerator. During operation, there is a power drop, at times until it stops completely. The vacuum cleaner is of the lowest qua"&amp;"lity. They brought it for exchange within 14 days. They turned it around and decided that it was defective, but it was not possible to exchange it. It turns out that the gift card of 3,000 rubles is canceled upon replacement.")</f>
        <v>I bought this vacuum cleaner during a 50% discount on gift cards. I brought it home and plugged it in, it roared like an old refrigerator. During operation, there is a power drop, at times until it stops completely. The vacuum cleaner is of the lowest quality. They brought it for exchange within 14 days. They turned it around and decided that it was defective, but it was not possible to exchange it. It turns out that the gift card of 3,000 rubles is canceled upon replacement.</v>
      </c>
    </row>
    <row r="3001" spans="1:9" x14ac:dyDescent="0.3">
      <c r="A3001" s="1" t="s">
        <v>37</v>
      </c>
      <c r="B3001" s="1" t="s">
        <v>536</v>
      </c>
      <c r="C3001" s="1" t="s">
        <v>32</v>
      </c>
      <c r="D3001" s="1" t="s">
        <v>152</v>
      </c>
      <c r="E3001" s="1" t="s">
        <v>2815</v>
      </c>
      <c r="F3001" s="1" t="s">
        <v>5600</v>
      </c>
      <c r="G3001" s="1" t="s">
        <v>15</v>
      </c>
      <c r="H3001" s="1" t="s">
        <v>16</v>
      </c>
      <c r="I3001" s="1" t="str">
        <f ca="1">IFERROR(__xludf.DUMMYFUNCTION("GOOGLETRANSLATE(F3001, ""auto"", ""en"")
"),"I bought the PDA in December. The design of the device is 100%. But the rest is a complete problem.  1. Doesn't hold much charge.  2. Very poor communication reception. When you go into a regular store, the network disappears. (and changed SIM cards to ot"&amp;"her operators) 3. When opening the slider, the phone menu is glitchy.   4. There is no separate Reset button.  5. No Wi-Fi Moreover, when purchasing and the instructions say that there is.  6. Weak sound from the external speaker and headphones too.   6. "&amp;"No photo flash.  7. Bad GPS receiver signal.  The model was not made correctly and requires modifications in order to sell at least at this price of 15 thousand rubles.")</f>
        <v>I bought the PDA in December. The design of the device is 100%. But the rest is a complete problem.  1. Doesn't hold much charge.  2. Very poor communication reception. When you go into a regular store, the network disappears. (and changed SIM cards to other operators) 3. When opening the slider, the phone menu is glitchy.   4. There is no separate Reset button.  5. No Wi-Fi Moreover, when purchasing and the instructions say that there is.  6. Weak sound from the external speaker and headphones too.   6. No photo flash.  7. Bad GPS receiver signal.  The model was not made correctly and requires modifications in order to sell at least at this price of 15 thousand rubles.</v>
      </c>
    </row>
    <row r="3002" spans="1:9" x14ac:dyDescent="0.3">
      <c r="A3002" s="1" t="s">
        <v>61</v>
      </c>
      <c r="B3002" s="1" t="s">
        <v>145</v>
      </c>
      <c r="C3002" s="1" t="s">
        <v>85</v>
      </c>
      <c r="D3002" s="1" t="s">
        <v>1917</v>
      </c>
      <c r="E3002" s="1" t="s">
        <v>5601</v>
      </c>
      <c r="F3002" s="1" t="s">
        <v>5602</v>
      </c>
      <c r="G3002" s="1" t="s">
        <v>36</v>
      </c>
      <c r="H3002" s="1" t="s">
        <v>29</v>
      </c>
      <c r="I3002" s="1" t="str">
        <f ca="1">IFERROR(__xludf.DUMMYFUNCTION("GOOGLETRANSLATE(F3002, ""auto"", ""en"")
"),"It's been working for a little over a year without any complaints. We bought it on the recommendation of the seller: it is made with high quality, the manti are delicious, it does its job 100%, it is easy to operate and clean. In general, we are completel"&amp;"y satisfied. I will buy the same one for my mother on March 8th!!")</f>
        <v>It's been working for a little over a year without any complaints. We bought it on the recommendation of the seller: it is made with high quality, the manti are delicious, it does its job 100%, it is easy to operate and clean. In general, we are completely satisfied. I will buy the same one for my mother on March 8th!!</v>
      </c>
    </row>
    <row r="3003" spans="1:9" x14ac:dyDescent="0.3">
      <c r="A3003" s="1" t="s">
        <v>61</v>
      </c>
      <c r="B3003" s="1" t="s">
        <v>318</v>
      </c>
      <c r="C3003" s="1" t="s">
        <v>146</v>
      </c>
      <c r="D3003" s="1" t="s">
        <v>86</v>
      </c>
      <c r="E3003" s="1" t="s">
        <v>1586</v>
      </c>
      <c r="F3003" s="1" t="s">
        <v>5603</v>
      </c>
      <c r="G3003" s="1" t="s">
        <v>49</v>
      </c>
      <c r="H3003" s="1" t="s">
        <v>16</v>
      </c>
      <c r="I3003" s="1" t="str">
        <f ca="1">IFERROR(__xludf.DUMMYFUNCTION("GOOGLETRANSLATE(F3003, ""auto"", ""en"")
"),"I bought a kettle a month ago, the heating element is rusty, although the design is very good, don’t buy complete crap.")</f>
        <v>I bought a kettle a month ago, the heating element is rusty, although the design is very good, don’t buy complete crap.</v>
      </c>
    </row>
    <row r="3004" spans="1:9" x14ac:dyDescent="0.3">
      <c r="A3004" s="1" t="s">
        <v>9</v>
      </c>
      <c r="B3004" s="1" t="s">
        <v>137</v>
      </c>
      <c r="C3004" s="1" t="s">
        <v>151</v>
      </c>
      <c r="D3004" s="1" t="s">
        <v>327</v>
      </c>
      <c r="E3004" s="1" t="s">
        <v>1856</v>
      </c>
      <c r="F3004" s="1" t="s">
        <v>5604</v>
      </c>
      <c r="G3004" s="1" t="s">
        <v>36</v>
      </c>
      <c r="H3004" s="1" t="s">
        <v>29</v>
      </c>
      <c r="I3004" s="1" t="str">
        <f ca="1">IFERROR(__xludf.DUMMYFUNCTION("GOOGLETRANSLATE(F3004, ""auto"", ""en"")
"),"I've been using it for three years now. Nice stove. I recommend it to everyone. If you stupidly heat the buckets and don’t place them on the burners closest to the handles, then everything will be fine. In three years of use, not a single handle has melte"&amp;"d.")</f>
        <v>I've been using it for three years now. Nice stove. I recommend it to everyone. If you stupidly heat the buckets and don’t place them on the burners closest to the handles, then everything will be fine. In three years of use, not a single handle has melted.</v>
      </c>
    </row>
    <row r="3005" spans="1:9" x14ac:dyDescent="0.3">
      <c r="A3005" s="1" t="s">
        <v>43</v>
      </c>
      <c r="B3005" s="1" t="s">
        <v>303</v>
      </c>
      <c r="C3005" s="1" t="s">
        <v>220</v>
      </c>
      <c r="D3005" s="1" t="s">
        <v>568</v>
      </c>
      <c r="E3005" s="1" t="s">
        <v>2804</v>
      </c>
      <c r="F3005" s="1" t="s">
        <v>5605</v>
      </c>
      <c r="G3005" s="1" t="s">
        <v>36</v>
      </c>
      <c r="H3005" s="1" t="s">
        <v>29</v>
      </c>
      <c r="I3005" s="1" t="str">
        <f ca="1">IFERROR(__xludf.DUMMYFUNCTION("GOOGLETRANSLATE(F3005, ""auto"", ""en"")
"),"Great boiler. Not fussy, easy to install. Convenient to use. Of course, I'm pleased with its design. It has been working for about 3 years and has never given any failures.")</f>
        <v>Great boiler. Not fussy, easy to install. Convenient to use. Of course, I'm pleased with its design. It has been working for about 3 years and has never given any failures.</v>
      </c>
    </row>
    <row r="3006" spans="1:9" x14ac:dyDescent="0.3">
      <c r="A3006" s="1" t="s">
        <v>105</v>
      </c>
      <c r="B3006" s="1" t="s">
        <v>106</v>
      </c>
      <c r="C3006" s="1" t="s">
        <v>1209</v>
      </c>
      <c r="D3006" s="1" t="s">
        <v>5606</v>
      </c>
      <c r="E3006" s="1" t="s">
        <v>646</v>
      </c>
      <c r="F3006" s="1" t="s">
        <v>5607</v>
      </c>
      <c r="G3006" s="1" t="s">
        <v>15</v>
      </c>
      <c r="H3006" s="1" t="s">
        <v>16</v>
      </c>
      <c r="I3006" s="1" t="str">
        <f ca="1">IFERROR(__xludf.DUMMYFUNCTION("GOOGLETRANSLATE(F3006, ""auto"", ""en"")
"),"I used this player.  The sound is average; noise is heard when switching from one song to another.  The battery lasts for a day of listening, that is, 6-8 hours in a row.  works without a hitch.  only there is a significant but, after which I went to buy "&amp;"another player: it constantly has a contact inside the headphone jack unsoldered - and then one or the other :( you solder it and it is soldered again, for example, when you put it in your pocket and bent over, or accidentally pulled the headphones - in s"&amp;"hort, any tilt of the headphone jack leads to the contact coming off... the case was not thought through at all. It’s only suitable for lying on a computer desk.")</f>
        <v>I used this player.  The sound is average; noise is heard when switching from one song to another.  The battery lasts for a day of listening, that is, 6-8 hours in a row.  works without a hitch.  only there is a significant but, after which I went to buy another player: it constantly has a contact inside the headphone jack unsoldered - and then one or the other :( you solder it and it is soldered again, for example, when you put it in your pocket and bent over, or accidentally pulled the headphones - in short, any tilt of the headphone jack leads to the contact coming off... the case was not thought through at all. It’s only suitable for lying on a computer desk.</v>
      </c>
    </row>
    <row r="3007" spans="1:9" x14ac:dyDescent="0.3">
      <c r="A3007" s="1" t="s">
        <v>373</v>
      </c>
      <c r="B3007" s="1" t="s">
        <v>374</v>
      </c>
      <c r="C3007" s="1" t="s">
        <v>138</v>
      </c>
      <c r="D3007" s="1" t="s">
        <v>295</v>
      </c>
      <c r="E3007" s="1" t="s">
        <v>2874</v>
      </c>
      <c r="F3007" s="1" t="s">
        <v>5608</v>
      </c>
      <c r="G3007" s="1" t="s">
        <v>36</v>
      </c>
      <c r="H3007" s="1" t="s">
        <v>29</v>
      </c>
      <c r="I3007" s="1" t="str">
        <f ca="1">IFERROR(__xludf.DUMMYFUNCTION("GOOGLETRANSLATE(F3007, ""auto"", ""en"")
"),"It washes well, the main thing is to place the dishes correctly.")</f>
        <v>It washes well, the main thing is to place the dishes correctly.</v>
      </c>
    </row>
    <row r="3008" spans="1:9" x14ac:dyDescent="0.3">
      <c r="A3008" s="1" t="s">
        <v>30</v>
      </c>
      <c r="B3008" s="1" t="s">
        <v>31</v>
      </c>
      <c r="C3008" s="1" t="s">
        <v>377</v>
      </c>
      <c r="D3008" s="1" t="s">
        <v>3133</v>
      </c>
      <c r="E3008" s="1" t="s">
        <v>164</v>
      </c>
      <c r="F3008" s="1" t="s">
        <v>5609</v>
      </c>
      <c r="G3008" s="1" t="s">
        <v>36</v>
      </c>
      <c r="H3008" s="1" t="s">
        <v>29</v>
      </c>
      <c r="I3008" s="1" t="str">
        <f ca="1">IFERROR(__xludf.DUMMYFUNCTION("GOOGLETRANSLATE(F3008, ""auto"", ""en"")
"),"great computer and it really works quietly, I liked the LightScribe function (allows you to put an image on a disk) you just need a disk with LightScribe support")</f>
        <v>great computer and it really works quietly, I liked the LightScribe function (allows you to put an image on a disk) you just need a disk with LightScribe support</v>
      </c>
    </row>
    <row r="3009" spans="1:9" x14ac:dyDescent="0.3">
      <c r="A3009" s="1" t="s">
        <v>211</v>
      </c>
      <c r="B3009" s="1" t="s">
        <v>212</v>
      </c>
      <c r="C3009" s="1" t="s">
        <v>381</v>
      </c>
      <c r="D3009" s="1" t="s">
        <v>474</v>
      </c>
      <c r="E3009" s="1" t="s">
        <v>1336</v>
      </c>
      <c r="F3009" s="1" t="s">
        <v>5610</v>
      </c>
      <c r="G3009" s="1" t="s">
        <v>36</v>
      </c>
      <c r="H3009" s="1" t="s">
        <v>29</v>
      </c>
      <c r="I3009" s="1" t="str">
        <f ca="1">IFERROR(__xludf.DUMMYFUNCTION("GOOGLETRANSLATE(F3009, ""auto"", ""en"")
"),"I've been wanting something like this for a long time. Well, it happened - my husband gave it to me)) Very comfortable! The cord is rotating and does not wrap around your hand. They heat up very quickly, there is a display on which you can see how many de"&amp;"grees they have heated up to, as well as + and - buttons to regulate the heating - this is important for me, because... hair is a little dry. The curls are obtained quite quickly - elastic, shiny, and last a long time. Doesn't dry out hair. I really liked"&amp;" it! Take it, you won't regret it!")</f>
        <v>I've been wanting something like this for a long time. Well, it happened - my husband gave it to me)) Very comfortable! The cord is rotating and does not wrap around your hand. They heat up very quickly, there is a display on which you can see how many degrees they have heated up to, as well as + and - buttons to regulate the heating - this is important for me, because... hair is a little dry. The curls are obtained quite quickly - elastic, shiny, and last a long time. Doesn't dry out hair. I really liked it! Take it, you won't regret it!</v>
      </c>
    </row>
    <row r="3010" spans="1:9" x14ac:dyDescent="0.3">
      <c r="A3010" s="1" t="s">
        <v>120</v>
      </c>
      <c r="B3010" s="1" t="s">
        <v>196</v>
      </c>
      <c r="C3010" s="1" t="s">
        <v>80</v>
      </c>
      <c r="D3010" s="1" t="s">
        <v>5611</v>
      </c>
      <c r="E3010" s="1" t="s">
        <v>1988</v>
      </c>
      <c r="F3010" s="1" t="s">
        <v>5612</v>
      </c>
      <c r="G3010" s="1" t="s">
        <v>36</v>
      </c>
      <c r="H3010" s="1" t="s">
        <v>29</v>
      </c>
      <c r="I3010" s="1" t="str">
        <f ca="1">IFERROR(__xludf.DUMMYFUNCTION("GOOGLETRANSLATE(F3010, ""auto"", ""en"")
"),"LH2000 An excellent choice in terms of price-quality.. in my opinion the best offer on the current market, taking into account the hidden USB feature!!")</f>
        <v>LH2000 An excellent choice in terms of price-quality.. in my opinion the best offer on the current market, taking into account the hidden USB feature!!</v>
      </c>
    </row>
    <row r="3011" spans="1:9" x14ac:dyDescent="0.3">
      <c r="A3011" s="1" t="s">
        <v>61</v>
      </c>
      <c r="B3011" s="1" t="s">
        <v>224</v>
      </c>
      <c r="C3011" s="1" t="s">
        <v>74</v>
      </c>
      <c r="D3011" s="1" t="s">
        <v>474</v>
      </c>
      <c r="E3011" s="1" t="s">
        <v>917</v>
      </c>
      <c r="F3011" s="1" t="s">
        <v>5613</v>
      </c>
      <c r="G3011" s="1" t="s">
        <v>36</v>
      </c>
      <c r="H3011" s="1" t="s">
        <v>29</v>
      </c>
      <c r="I3011" s="1" t="str">
        <f ca="1">IFERROR(__xludf.DUMMYFUNCTION("GOOGLETRANSLATE(F3011, ""auto"", ""en"")
"),"I bought it for the village! We made 10 liters a day! Presses the juice with Hurray!")</f>
        <v>I bought it for the village! We made 10 liters a day! Presses the juice with Hurray!</v>
      </c>
    </row>
    <row r="3012" spans="1:9" x14ac:dyDescent="0.3">
      <c r="A3012" s="1" t="s">
        <v>206</v>
      </c>
      <c r="B3012" s="1" t="s">
        <v>1253</v>
      </c>
      <c r="C3012" s="1" t="s">
        <v>1254</v>
      </c>
      <c r="D3012" s="1" t="s">
        <v>5614</v>
      </c>
      <c r="E3012" s="1" t="s">
        <v>1207</v>
      </c>
      <c r="F3012" s="1" t="s">
        <v>5615</v>
      </c>
      <c r="G3012" s="1" t="s">
        <v>36</v>
      </c>
      <c r="H3012" s="1" t="s">
        <v>29</v>
      </c>
      <c r="I3012" s="1" t="str">
        <f ca="1">IFERROR(__xludf.DUMMYFUNCTION("GOOGLETRANSLATE(F3012, ""auto"", ""en"")
"),"Excellent radio! In summer cottages it takes 2.5 km just fine, and the presence of a voice recognition function (VOX) allows you to use it as a radio nanny. A very convenient thing!")</f>
        <v>Excellent radio! In summer cottages it takes 2.5 km just fine, and the presence of a voice recognition function (VOX) allows you to use it as a radio nanny. A very convenient thing!</v>
      </c>
    </row>
    <row r="3013" spans="1:9" x14ac:dyDescent="0.3">
      <c r="A3013" s="1" t="s">
        <v>211</v>
      </c>
      <c r="B3013" s="1" t="s">
        <v>265</v>
      </c>
      <c r="C3013" s="1" t="s">
        <v>57</v>
      </c>
      <c r="D3013" s="1" t="s">
        <v>729</v>
      </c>
      <c r="E3013" s="1" t="s">
        <v>400</v>
      </c>
      <c r="F3013" s="1" t="s">
        <v>5616</v>
      </c>
      <c r="G3013" s="1" t="s">
        <v>15</v>
      </c>
      <c r="H3013" s="1" t="s">
        <v>16</v>
      </c>
      <c r="I3013" s="1" t="str">
        <f ca="1">IFERROR(__xludf.DUMMYFUNCTION("GOOGLETRANSLATE(F3013, ""auto"", ""en"")
"),"The spring that presses one blade to the other broke, it’s difficult to find one.")</f>
        <v>The spring that presses one blade to the other broke, it’s difficult to find one.</v>
      </c>
    </row>
    <row r="3014" spans="1:9" x14ac:dyDescent="0.3">
      <c r="A3014" s="1" t="s">
        <v>852</v>
      </c>
      <c r="B3014" s="1" t="s">
        <v>853</v>
      </c>
      <c r="C3014" s="1" t="s">
        <v>356</v>
      </c>
      <c r="D3014" s="1" t="s">
        <v>5617</v>
      </c>
      <c r="E3014" s="1" t="s">
        <v>2853</v>
      </c>
      <c r="F3014" s="1" t="s">
        <v>5618</v>
      </c>
      <c r="G3014" s="1" t="s">
        <v>36</v>
      </c>
      <c r="H3014" s="1" t="s">
        <v>29</v>
      </c>
      <c r="I3014" s="1" t="str">
        <f ca="1">IFERROR(__xludf.DUMMYFUNCTION("GOOGLETRANSLATE(F3014, ""auto"", ""en"")
"),"Until you try it yourself, you won’t understand! I’ve been using this laptop for the best for half a year! And I don’t mind spending that much money for it!")</f>
        <v>Until you try it yourself, you won’t understand! I’ve been using this laptop for the best for half a year! And I don’t mind spending that much money for it!</v>
      </c>
    </row>
    <row r="3015" spans="1:9" x14ac:dyDescent="0.3">
      <c r="A3015" s="1" t="s">
        <v>211</v>
      </c>
      <c r="B3015" s="1" t="s">
        <v>212</v>
      </c>
      <c r="C3015" s="1" t="s">
        <v>69</v>
      </c>
      <c r="D3015" s="1" t="s">
        <v>3948</v>
      </c>
      <c r="E3015" s="1" t="s">
        <v>3095</v>
      </c>
      <c r="F3015" s="1" t="s">
        <v>5619</v>
      </c>
      <c r="G3015" s="1" t="s">
        <v>36</v>
      </c>
      <c r="H3015" s="1" t="s">
        <v>29</v>
      </c>
      <c r="I3015" s="1" t="str">
        <f ca="1">IFERROR(__xludf.DUMMYFUNCTION("GOOGLETRANSLATE(F3015, ""auto"", ""en"")
"),"Very good straightener!!!  I bought it a year ago, I curl it, straighten it, and everything is fine with it =) I recommend it!")</f>
        <v>Very good straightener!!!  I bought it a year ago, I curl it, straighten it, and everything is fine with it =) I recommend it!</v>
      </c>
    </row>
    <row r="3016" spans="1:9" x14ac:dyDescent="0.3">
      <c r="A3016" s="1" t="s">
        <v>105</v>
      </c>
      <c r="B3016" s="1" t="s">
        <v>106</v>
      </c>
      <c r="C3016" s="1" t="s">
        <v>1209</v>
      </c>
      <c r="D3016" s="1" t="s">
        <v>1509</v>
      </c>
      <c r="E3016" s="1" t="s">
        <v>1654</v>
      </c>
      <c r="F3016" s="1" t="s">
        <v>5620</v>
      </c>
      <c r="G3016" s="1" t="s">
        <v>49</v>
      </c>
      <c r="H3016" s="1" t="s">
        <v>16</v>
      </c>
      <c r="I3016" s="1" t="str">
        <f ca="1">IFERROR(__xludf.DUMMYFUNCTION("GOOGLETRANSLATE(F3016, ""auto"", ""en"")
"),"From the first days the player pleased me, but every day it became less and less. and now it turns itself on and off as it pleases. The sensor completely refused - you press video, it turns on the settings for you.")</f>
        <v>From the first days the player pleased me, but every day it became less and less. and now it turns itself on and off as it pleases. The sensor completely refused - you press video, it turns on the settings for you.</v>
      </c>
    </row>
    <row r="3017" spans="1:9" x14ac:dyDescent="0.3">
      <c r="A3017" s="1" t="s">
        <v>78</v>
      </c>
      <c r="B3017" s="1" t="s">
        <v>79</v>
      </c>
      <c r="C3017" s="1" t="s">
        <v>1677</v>
      </c>
      <c r="D3017" s="1" t="s">
        <v>2233</v>
      </c>
      <c r="E3017" s="1" t="s">
        <v>1929</v>
      </c>
      <c r="F3017" s="1" t="s">
        <v>5621</v>
      </c>
      <c r="G3017" s="1" t="s">
        <v>36</v>
      </c>
      <c r="H3017" s="1" t="s">
        <v>29</v>
      </c>
      <c r="I3017" s="1" t="str">
        <f ca="1">IFERROR(__xludf.DUMMYFUNCTION("GOOGLETRANSLATE(F3017, ""auto"", ""en"")
"),"We bought a microwave more than 2 years ago! Very convenient to use.  Pros: - convenient menu;  - powerful (at maximum power I heat a portion of any dish for just 1 minute);  - the presence of a grill (the set includes a stainless steel stand);  - the wal"&amp;"ls are easily washed from grease and splashes;  - presence of a timer.  Of the minuses: - when using the grill, there is no container for dripping fat, you have to substitute a plate.    In general, the microwave is 5+. We didn't regret purchasing it.")</f>
        <v>We bought a microwave more than 2 years ago! Very convenient to use.  Pros: - convenient menu;  - powerful (at maximum power I heat a portion of any dish for just 1 minute);  - the presence of a grill (the set includes a stainless steel stand);  - the walls are easily washed from grease and splashes;  - presence of a timer.  Of the minuses: - when using the grill, there is no container for dripping fat, you have to substitute a plate.    In general, the microwave is 5+. We didn't regret purchasing it.</v>
      </c>
    </row>
    <row r="3018" spans="1:9" x14ac:dyDescent="0.3">
      <c r="A3018" s="1" t="s">
        <v>37</v>
      </c>
      <c r="B3018" s="1" t="s">
        <v>38</v>
      </c>
      <c r="C3018" s="1" t="s">
        <v>151</v>
      </c>
      <c r="D3018" s="1" t="s">
        <v>39</v>
      </c>
      <c r="E3018" s="1" t="s">
        <v>1332</v>
      </c>
      <c r="F3018" s="1" t="s">
        <v>5622</v>
      </c>
      <c r="G3018" s="1" t="s">
        <v>36</v>
      </c>
      <c r="H3018" s="1" t="s">
        <v>29</v>
      </c>
      <c r="I3018" s="1" t="str">
        <f ca="1">IFERROR(__xludf.DUMMYFUNCTION("GOOGLETRANSLATE(F3018, ""auto"", ""en"")
"),"I have been using this phone for two days. Before purchasing, I read a lot of literature and forums and realized that this is my dream come true! Take advantage of my experience too! Before the Samsung S5560, I had a Philips Xenium 830, but unfortunately "&amp;"it broke. There are many advantages: Firstly, widgets! A trifle, but nice. Secondly, the sound! I haven’t heard better sound even from the 5800 (I had one).     Thirdly, this is Wi-Fi, of course! Well, find at least one person who doesn’t want to surf for"&amp;" free!!!     Fourthly, this is the camera. It takes excellent pictures, the flash will outshine the glare of the spotlights, and smile recognition is an innovation that was previously only found in cameras.     Fifthly, this is Google maps. I do not recom"&amp;"mend using normal mode, use satellite view. If you get lost, you will definitely find your way.     Sixthly, this is a screen that responds to both the finger and the stylus.  One of the previous phones (Samsung i7500) did not have this and it was annoyin"&amp;"g because... the screen was dirty.     And now the flaw. What the hell, when you insert the headset, the last call is dialed. If anyone knows how to remove it please answer!")</f>
        <v>I have been using this phone for two days. Before purchasing, I read a lot of literature and forums and realized that this is my dream come true! Take advantage of my experience too! Before the Samsung S5560, I had a Philips Xenium 830, but unfortunately it broke. There are many advantages: Firstly, widgets! A trifle, but nice. Secondly, the sound! I haven’t heard better sound even from the 5800 (I had one).     Thirdly, this is Wi-Fi, of course! Well, find at least one person who doesn’t want to surf for free!!!     Fourthly, this is the camera. It takes excellent pictures, the flash will outshine the glare of the spotlights, and smile recognition is an innovation that was previously only found in cameras.     Fifthly, this is Google maps. I do not recommend using normal mode, use satellite view. If you get lost, you will definitely find your way.     Sixthly, this is a screen that responds to both the finger and the stylus.  One of the previous phones (Samsung i7500) did not have this and it was annoying because... the screen was dirty.     And now the flaw. What the hell, when you insert the headset, the last call is dialed. If anyone knows how to remove it please answer!</v>
      </c>
    </row>
    <row r="3019" spans="1:9" x14ac:dyDescent="0.3">
      <c r="A3019" s="1" t="s">
        <v>9</v>
      </c>
      <c r="B3019" s="1" t="s">
        <v>133</v>
      </c>
      <c r="C3019" s="1" t="s">
        <v>588</v>
      </c>
      <c r="D3019" s="1" t="s">
        <v>2045</v>
      </c>
      <c r="E3019" s="1" t="s">
        <v>5299</v>
      </c>
      <c r="F3019" s="1" t="s">
        <v>5623</v>
      </c>
      <c r="G3019" s="1" t="s">
        <v>28</v>
      </c>
      <c r="H3019" s="1" t="s">
        <v>29</v>
      </c>
      <c r="I3019" s="1" t="str">
        <f ca="1">IFERROR(__xludf.DUMMYFUNCTION("GOOGLETRANSLATE(F3019, ""auto"", ""en"")
"),"I've been using this oven for a little over a year. There are no complaints about the work, but the smell. I washed it, calcined it, but still when I cook it smells slightly like rubber, although the oven has already been used countless times. Maybe we we"&amp;"re just so lucky, of course :(")</f>
        <v>I've been using this oven for a little over a year. There are no complaints about the work, but the smell. I washed it, calcined it, but still when I cook it smells slightly like rubber, although the oven has already been used countless times. Maybe we were just so lucky, of course :(</v>
      </c>
    </row>
    <row r="3020" spans="1:9" x14ac:dyDescent="0.3">
      <c r="A3020" s="1" t="s">
        <v>105</v>
      </c>
      <c r="B3020" s="1" t="s">
        <v>106</v>
      </c>
      <c r="C3020" s="1" t="s">
        <v>151</v>
      </c>
      <c r="D3020" s="1" t="s">
        <v>39</v>
      </c>
      <c r="E3020" s="1" t="s">
        <v>504</v>
      </c>
      <c r="F3020" s="1" t="s">
        <v>5624</v>
      </c>
      <c r="G3020" s="1" t="s">
        <v>36</v>
      </c>
      <c r="H3020" s="1" t="s">
        <v>29</v>
      </c>
      <c r="I3020" s="1" t="str">
        <f ca="1">IFERROR(__xludf.DUMMYFUNCTION("GOOGLETRANSLATE(F3020, ""auto"", ""en"")
"),"I've been using this player for about six months. Very pleased with the purchase! The sound is very good! loud! There is a customizable equalizer!   The player fits very well and comfortably in your hand! you don’t feel it in your pocket at all! very ligh"&amp;"t and thin!   The cover of the player is good! Good because it holds tightly!")</f>
        <v>I've been using this player for about six months. Very pleased with the purchase! The sound is very good! loud! There is a customizable equalizer!   The player fits very well and comfortably in your hand! you don’t feel it in your pocket at all! very light and thin!   The cover of the player is good! Good because it holds tightly!</v>
      </c>
    </row>
    <row r="3021" spans="1:9" x14ac:dyDescent="0.3">
      <c r="A3021" s="1" t="s">
        <v>811</v>
      </c>
      <c r="B3021" s="1" t="s">
        <v>1294</v>
      </c>
      <c r="C3021" s="1" t="s">
        <v>1295</v>
      </c>
      <c r="D3021" s="1" t="s">
        <v>81</v>
      </c>
      <c r="E3021" s="1" t="s">
        <v>5625</v>
      </c>
      <c r="F3021" s="1" t="s">
        <v>5626</v>
      </c>
      <c r="G3021" s="1" t="s">
        <v>36</v>
      </c>
      <c r="H3021" s="1" t="s">
        <v>29</v>
      </c>
      <c r="I3021" s="1" t="str">
        <f ca="1">IFERROR(__xludf.DUMMYFUNCTION("GOOGLETRANSLATE(F3021, ""auto"", ""en"")
"),"Having bought a fast lens for a lot of money, the question arose of cleaning the front lens. After “smoking” the topic, I realized that it’s easy to ruin the lens with incomprehensible wipes. The conclusion is simple: don't skimp on the little things. The"&amp;" principle of operation is simple, the result is decent. It takes up little space, you can always take it with you, fortunately the pencil is just a bomb - it helps out a lot.")</f>
        <v>Having bought a fast lens for a lot of money, the question arose of cleaning the front lens. After “smoking” the topic, I realized that it’s easy to ruin the lens with incomprehensible wipes. The conclusion is simple: don't skimp on the little things. The principle of operation is simple, the result is decent. It takes up little space, you can always take it with you, fortunately the pencil is just a bomb - it helps out a lot.</v>
      </c>
    </row>
    <row r="3022" spans="1:9" x14ac:dyDescent="0.3">
      <c r="A3022" s="1" t="s">
        <v>149</v>
      </c>
      <c r="B3022" s="1" t="s">
        <v>576</v>
      </c>
      <c r="C3022" s="1" t="s">
        <v>80</v>
      </c>
      <c r="D3022" s="1" t="s">
        <v>64</v>
      </c>
      <c r="E3022" s="1" t="s">
        <v>3527</v>
      </c>
      <c r="F3022" s="1" t="s">
        <v>5627</v>
      </c>
      <c r="G3022" s="1" t="s">
        <v>36</v>
      </c>
      <c r="H3022" s="1" t="s">
        <v>29</v>
      </c>
      <c r="I3022" s="1" t="str">
        <f ca="1">IFERROR(__xludf.DUMMYFUNCTION("GOOGLETRANSLATE(F3022, ""auto"", ""en"")
"),"I'm satisfied with the vacuum cleaner. Bought about 7 months ago. The quality is excellent. The power is high, I would even say very high, the turbo brush is included, the noise level is no higher than in many other models.  The only negative for me is th"&amp;"at the trash compartment opens too easily. It usually closes (snaps) and opens by pressing some lever. But here the top cover simply folds back even without any effort. The youngest child (2 years old) climbed in without difficulty, which was disappointin"&amp;"g.  Otherwise there are no complaints.")</f>
        <v>I'm satisfied with the vacuum cleaner. Bought about 7 months ago. The quality is excellent. The power is high, I would even say very high, the turbo brush is included, the noise level is no higher than in many other models.  The only negative for me is that the trash compartment opens too easily. It usually closes (snaps) and opens by pressing some lever. But here the top cover simply folds back even without any effort. The youngest child (2 years old) climbed in without difficulty, which was disappointing.  Otherwise there are no complaints.</v>
      </c>
    </row>
    <row r="3023" spans="1:9" x14ac:dyDescent="0.3">
      <c r="A3023" s="1" t="s">
        <v>30</v>
      </c>
      <c r="B3023" s="1" t="s">
        <v>50</v>
      </c>
      <c r="C3023" s="1" t="s">
        <v>694</v>
      </c>
      <c r="D3023" s="1" t="s">
        <v>152</v>
      </c>
      <c r="E3023" s="1" t="s">
        <v>430</v>
      </c>
      <c r="F3023" s="1" t="s">
        <v>5628</v>
      </c>
      <c r="G3023" s="1" t="s">
        <v>36</v>
      </c>
      <c r="H3023" s="1" t="s">
        <v>29</v>
      </c>
      <c r="I3023" s="1" t="str">
        <f ca="1">IFERROR(__xludf.DUMMYFUNCTION("GOOGLETRANSLATE(F3023, ""auto"", ""en"")
"),"I bought this laptop a month ago. You won't find a better laptop for the money. Everything works great. There were, of course, small problems, for example with sound, but everything can be solved if your hands are sharpened to the right level, of course. "&amp;"There are a lot of advantages, but the disadvantages are insignificant. The most significant disadvantage is the small viewing angles of the LCD display. And it would be possible to have a larger hard drive (solved by purchasing an external HDD). In gener"&amp;"al, powerful hardware, comparable to an above-average desktop PC.  Performance index in WIN7 Maximum: CPU- 5.7 DDR 5.7 GPU- 6.7 GPU- 6.7 HDD 5.5 The LENOVO website has all the necessary drivers for various OS (XP, VISTA, 7).")</f>
        <v>I bought this laptop a month ago. You won't find a better laptop for the money. Everything works great. There were, of course, small problems, for example with sound, but everything can be solved if your hands are sharpened to the right level, of course. There are a lot of advantages, but the disadvantages are insignificant. The most significant disadvantage is the small viewing angles of the LCD display. And it would be possible to have a larger hard drive (solved by purchasing an external HDD). In general, powerful hardware, comparable to an above-average desktop PC.  Performance index in WIN7 Maximum: CPU- 5.7 DDR 5.7 GPU- 6.7 GPU- 6.7 HDD 5.5 The LENOVO website has all the necessary drivers for various OS (XP, VISTA, 7).</v>
      </c>
    </row>
    <row r="3024" spans="1:9" x14ac:dyDescent="0.3">
      <c r="A3024" s="1" t="s">
        <v>17</v>
      </c>
      <c r="B3024" s="1" t="s">
        <v>18</v>
      </c>
      <c r="C3024" s="1" t="s">
        <v>885</v>
      </c>
      <c r="D3024" s="1" t="s">
        <v>411</v>
      </c>
      <c r="E3024" s="1" t="s">
        <v>675</v>
      </c>
      <c r="F3024" s="1" t="s">
        <v>5629</v>
      </c>
      <c r="G3024" s="1" t="s">
        <v>49</v>
      </c>
      <c r="H3024" s="1" t="s">
        <v>16</v>
      </c>
      <c r="I3024" s="1" t="str">
        <f ca="1">IFERROR(__xludf.DUMMYFUNCTION("GOOGLETRANSLATE(F3024, ""auto"", ""en"")
"),"I bought a Candy GO4 1074LH-07S, it worked for 2 weeks and the drum began to crack, then the loading door fell off. In general, I returned it before it was too late.")</f>
        <v>I bought a Candy GO4 1074LH-07S, it worked for 2 weeks and the drum began to crack, then the loading door fell off. In general, I returned it before it was too late.</v>
      </c>
    </row>
    <row r="3025" spans="1:9" x14ac:dyDescent="0.3">
      <c r="A3025" s="1" t="s">
        <v>37</v>
      </c>
      <c r="B3025" s="1" t="s">
        <v>38</v>
      </c>
      <c r="C3025" s="1" t="s">
        <v>163</v>
      </c>
      <c r="D3025" s="1" t="s">
        <v>5630</v>
      </c>
      <c r="E3025" s="1" t="s">
        <v>1267</v>
      </c>
      <c r="F3025" s="1" t="s">
        <v>5631</v>
      </c>
      <c r="G3025" s="1" t="s">
        <v>28</v>
      </c>
      <c r="H3025" s="1" t="s">
        <v>29</v>
      </c>
      <c r="I3025" s="1" t="str">
        <f ca="1">IFERROR(__xludf.DUMMYFUNCTION("GOOGLETRANSLATE(F3025, ""auto"", ""en"")
"),"I bought the phone in the spring. The advantages are that you can always hear good sound, but there are more disadvantages.   1 these are the side keys for controlling the player, I would like them to be locked separately because they are constantly press"&amp;"ed 2 the phone constantly freezes when turned off 3 it is inconvenient to change the SIM card In general, the phone is tenacious, it fell repeatedly only scratches, the body remained intact.  I can’t say that I regretted the purchase, but if there was an "&amp;"opportunity, I changed it to 6303.")</f>
        <v>I bought the phone in the spring. The advantages are that you can always hear good sound, but there are more disadvantages.   1 these are the side keys for controlling the player, I would like them to be locked separately because they are constantly pressed 2 the phone constantly freezes when turned off 3 it is inconvenient to change the SIM card In general, the phone is tenacious, it fell repeatedly only scratches, the body remained intact.  I can’t say that I regretted the purchase, but if there was an opportunity, I changed it to 6303.</v>
      </c>
    </row>
    <row r="3026" spans="1:9" x14ac:dyDescent="0.3">
      <c r="A3026" s="1" t="s">
        <v>211</v>
      </c>
      <c r="B3026" s="1" t="s">
        <v>212</v>
      </c>
      <c r="C3026" s="1" t="s">
        <v>294</v>
      </c>
      <c r="D3026" s="1" t="s">
        <v>1559</v>
      </c>
      <c r="E3026" s="1" t="s">
        <v>2365</v>
      </c>
      <c r="F3026" s="1" t="s">
        <v>5632</v>
      </c>
      <c r="G3026" s="1" t="s">
        <v>36</v>
      </c>
      <c r="H3026" s="1" t="s">
        <v>29</v>
      </c>
      <c r="I3026" s="1" t="str">
        <f ca="1">IFERROR(__xludf.DUMMYFUNCTION("GOOGLETRANSLATE(F3026, ""auto"", ""en"")
"),"I really liked the rectifier, I was satisfied, it heats up quickly, there is an option to adjust the temperature, nice design))")</f>
        <v>I really liked the rectifier, I was satisfied, it heats up quickly, there is an option to adjust the temperature, nice design))</v>
      </c>
    </row>
    <row r="3027" spans="1:9" x14ac:dyDescent="0.3">
      <c r="A3027" s="1" t="s">
        <v>9</v>
      </c>
      <c r="B3027" s="1" t="s">
        <v>10</v>
      </c>
      <c r="C3027" s="1" t="s">
        <v>407</v>
      </c>
      <c r="D3027" s="1" t="s">
        <v>545</v>
      </c>
      <c r="E3027" s="1" t="s">
        <v>5633</v>
      </c>
      <c r="F3027" s="1" t="s">
        <v>5634</v>
      </c>
      <c r="G3027" s="1" t="s">
        <v>36</v>
      </c>
      <c r="H3027" s="1" t="s">
        <v>29</v>
      </c>
      <c r="I3027" s="1" t="str">
        <f ca="1">IFERROR(__xludf.DUMMYFUNCTION("GOOGLETRANSLATE(F3027, ""auto"", ""en"")
"),"The hood is excellent, works properly. I don’t know how it is with others with light bulbs, but mine came with 2 replacement light bulbs. I am very pleased with the hood, I recommend it to everyone.")</f>
        <v>The hood is excellent, works properly. I don’t know how it is with others with light bulbs, but mine came with 2 replacement light bulbs. I am very pleased with the hood, I recommend it to everyone.</v>
      </c>
    </row>
    <row r="3028" spans="1:9" x14ac:dyDescent="0.3">
      <c r="A3028" s="1" t="s">
        <v>361</v>
      </c>
      <c r="B3028" s="1" t="s">
        <v>1077</v>
      </c>
      <c r="C3028" s="1" t="s">
        <v>561</v>
      </c>
      <c r="D3028" s="1" t="s">
        <v>5635</v>
      </c>
      <c r="E3028" s="1" t="s">
        <v>1929</v>
      </c>
      <c r="F3028" s="1" t="s">
        <v>5636</v>
      </c>
      <c r="G3028" s="1" t="s">
        <v>49</v>
      </c>
      <c r="H3028" s="1" t="s">
        <v>16</v>
      </c>
      <c r="I3028" s="1" t="str">
        <f ca="1">IFERROR(__xludf.DUMMYFUNCTION("GOOGLETRANSLATE(F3028, ""auto"", ""en"")
"),"The kettle was very disappointing, after two days of use, brown dots appeared on the bottom and in places where it joined the handle, although filtered water was used!!! I don't recommend buying it!")</f>
        <v>The kettle was very disappointing, after two days of use, brown dots appeared on the bottom and in places where it joined the handle, although filtered water was used!!! I don't recommend buying it!</v>
      </c>
    </row>
    <row r="3029" spans="1:9" x14ac:dyDescent="0.3">
      <c r="A3029" s="1" t="s">
        <v>95</v>
      </c>
      <c r="B3029" s="1" t="s">
        <v>486</v>
      </c>
      <c r="C3029" s="1" t="s">
        <v>487</v>
      </c>
      <c r="D3029" s="1" t="s">
        <v>5637</v>
      </c>
      <c r="E3029" s="1" t="s">
        <v>1955</v>
      </c>
      <c r="F3029" s="1" t="s">
        <v>5638</v>
      </c>
      <c r="G3029" s="1" t="s">
        <v>36</v>
      </c>
      <c r="H3029" s="1" t="s">
        <v>29</v>
      </c>
      <c r="I3029" s="1" t="str">
        <f ca="1">IFERROR(__xludf.DUMMYFUNCTION("GOOGLETRANSLATE(F3029, ""auto"", ""en"")
"),"Sonyboys envy silently..")</f>
        <v>Sonyboys envy silently..</v>
      </c>
    </row>
    <row r="3030" spans="1:9" x14ac:dyDescent="0.3">
      <c r="A3030" s="1" t="s">
        <v>30</v>
      </c>
      <c r="B3030" s="1" t="s">
        <v>50</v>
      </c>
      <c r="C3030" s="1" t="s">
        <v>51</v>
      </c>
      <c r="D3030" s="1" t="s">
        <v>152</v>
      </c>
      <c r="E3030" s="1" t="s">
        <v>214</v>
      </c>
      <c r="F3030" s="1" t="s">
        <v>5639</v>
      </c>
      <c r="G3030" s="1" t="s">
        <v>28</v>
      </c>
      <c r="H3030" s="1" t="s">
        <v>29</v>
      </c>
      <c r="I3030" s="1" t="str">
        <f ca="1">IFERROR(__xludf.DUMMYFUNCTION("GOOGLETRANSLATE(F3030, ""auto"", ""en"")
"),"It’s certainly good, but when I took it there was a problem with drivers for Windows XP, but now there are no such problems, all the drivers are on the internet! For its price range, even it is not bad at all! So take it and don't worry!")</f>
        <v>It’s certainly good, but when I took it there was a problem with drivers for Windows XP, but now there are no such problems, all the drivers are on the internet! For its price range, even it is not bad at all! So take it and don't worry!</v>
      </c>
    </row>
    <row r="3031" spans="1:9" x14ac:dyDescent="0.3">
      <c r="A3031" s="1" t="s">
        <v>9</v>
      </c>
      <c r="B3031" s="1" t="s">
        <v>23</v>
      </c>
      <c r="C3031" s="1" t="s">
        <v>466</v>
      </c>
      <c r="D3031" s="1" t="s">
        <v>295</v>
      </c>
      <c r="E3031" s="1" t="s">
        <v>841</v>
      </c>
      <c r="F3031" s="1" t="s">
        <v>5640</v>
      </c>
      <c r="G3031" s="1" t="s">
        <v>49</v>
      </c>
      <c r="H3031" s="1" t="s">
        <v>16</v>
      </c>
      <c r="I3031" s="1" t="str">
        <f ca="1">IFERROR(__xludf.DUMMYFUNCTION("GOOGLETRANSLATE(F3031, ""auto"", ""en"")
"),"I regretted the purchase. It is noisy. Doesn't wash well. After six months of operation, it began to display error code E4. For 2,500, the technician found the sensor stuck and fixed the breakdown. After 1.5 years I started writing error code E3. I called"&amp;" the service - 4,000 to replace the thermostat or heating element. I bought Elektrolux.")</f>
        <v>I regretted the purchase. It is noisy. Doesn't wash well. After six months of operation, it began to display error code E4. For 2,500, the technician found the sensor stuck and fixed the breakdown. After 1.5 years I started writing error code E3. I called the service - 4,000 to replace the thermostat or heating element. I bought Elektrolux.</v>
      </c>
    </row>
    <row r="3032" spans="1:9" x14ac:dyDescent="0.3">
      <c r="A3032" s="1" t="s">
        <v>120</v>
      </c>
      <c r="B3032" s="1" t="s">
        <v>121</v>
      </c>
      <c r="C3032" s="1" t="s">
        <v>151</v>
      </c>
      <c r="D3032" s="1" t="s">
        <v>5641</v>
      </c>
      <c r="E3032" s="1" t="s">
        <v>1517</v>
      </c>
      <c r="F3032" s="1" t="s">
        <v>5642</v>
      </c>
      <c r="G3032" s="1" t="s">
        <v>28</v>
      </c>
      <c r="H3032" s="1" t="s">
        <v>29</v>
      </c>
      <c r="I3032" s="1" t="str">
        <f ca="1">IFERROR(__xludf.DUMMYFUNCTION("GOOGLETRANSLATE(F3032, ""auto"", ""en"")
"),"Quite a good panel. The analogue channels are so-so (basically like all LCDs), but I think the picture is superb. For a long time I chose from all sorts of companies and models, but this price and quality are quite compatible! I'm happy")</f>
        <v>Quite a good panel. The analogue channels are so-so (basically like all LCDs), but I think the picture is superb. For a long time I chose from all sorts of companies and models, but this price and quality are quite compatible! I'm happy</v>
      </c>
    </row>
    <row r="3033" spans="1:9" x14ac:dyDescent="0.3">
      <c r="A3033" s="1" t="s">
        <v>30</v>
      </c>
      <c r="B3033" s="1" t="s">
        <v>50</v>
      </c>
      <c r="C3033" s="1" t="s">
        <v>32</v>
      </c>
      <c r="D3033" s="1" t="s">
        <v>327</v>
      </c>
      <c r="E3033" s="1" t="s">
        <v>3755</v>
      </c>
      <c r="F3033" s="1" t="s">
        <v>5643</v>
      </c>
      <c r="G3033" s="1" t="s">
        <v>36</v>
      </c>
      <c r="H3033" s="1" t="s">
        <v>29</v>
      </c>
      <c r="I3033" s="1" t="str">
        <f ca="1">IFERROR(__xludf.DUMMYFUNCTION("GOOGLETRANSLATE(F3033, ""auto"", ""en"")
"),"Great item for the money.    Now everything is in order.  Cons: - we already talked about USB ports, not a very convenient location.  - manufacturer's company policy. What pisses me off is that they don't supply the software on disk. We got completely laz"&amp;"y.  - varnished surface, already tired of wiping.    Next. I don’t know what kind of gaming computers you marmosets need, but GTA4 just flies for me, as do Dragon Age, StarCraf2 and other modern games. Playing in a crisis at 16x anti-aliasing... excuse me"&amp;", this is already deep gamerism. If you have money - good, if not - it’s unlikely that your parents will give you 50 thousand rubles. for Crisis 16x))) In my understanding, and I like to play, the laptop is a gaming laptop. All games run on it at maximum "&amp;"speed, in fact.    As for Win7 and other software, everything works fine for me. The wallpaper is set in the Control Panel, don't be stupid. Normal version of Windows. Just buy 4 DVDs, burn everything on them and do whatever you want.    ATTENTION: the sc"&amp;"reen is 16:9, so, for example, old games will only run in the center of the screen, with black edges.    Audio is of very high quality.    such a sum for such a car is worthy, especially since I have never found a competitor for it in this price range. Up"&amp;" to RUR 35,000 is the most suitable option.")</f>
        <v>Great item for the money.    Now everything is in order.  Cons: - we already talked about USB ports, not a very convenient location.  - manufacturer's company policy. What pisses me off is that they don't supply the software on disk. We got completely lazy.  - varnished surface, already tired of wiping.    Next. I don’t know what kind of gaming computers you marmosets need, but GTA4 just flies for me, as do Dragon Age, StarCraf2 and other modern games. Playing in a crisis at 16x anti-aliasing... excuse me, this is already deep gamerism. If you have money - good, if not - it’s unlikely that your parents will give you 50 thousand rubles. for Crisis 16x))) In my understanding, and I like to play, the laptop is a gaming laptop. All games run on it at maximum speed, in fact.    As for Win7 and other software, everything works fine for me. The wallpaper is set in the Control Panel, don't be stupid. Normal version of Windows. Just buy 4 DVDs, burn everything on them and do whatever you want.    ATTENTION: the screen is 16:9, so, for example, old games will only run in the center of the screen, with black edges.    Audio is of very high quality.    such a sum for such a car is worthy, especially since I have never found a competitor for it in this price range. Up to RUR 35,000 is the most suitable option.</v>
      </c>
    </row>
    <row r="3034" spans="1:9" x14ac:dyDescent="0.3">
      <c r="A3034" s="1" t="s">
        <v>149</v>
      </c>
      <c r="B3034" s="1" t="s">
        <v>150</v>
      </c>
      <c r="C3034" s="1" t="s">
        <v>314</v>
      </c>
      <c r="D3034" s="1" t="s">
        <v>280</v>
      </c>
      <c r="E3034" s="1" t="s">
        <v>87</v>
      </c>
      <c r="F3034" s="1" t="s">
        <v>5644</v>
      </c>
      <c r="G3034" s="1" t="s">
        <v>49</v>
      </c>
      <c r="H3034" s="1" t="s">
        <v>16</v>
      </c>
      <c r="I3034" s="1" t="str">
        <f ca="1">IFERROR(__xludf.DUMMYFUNCTION("GOOGLETRANSLATE(F3034, ""auto"", ""en"")
"),"I do not recommend the vacuum cleaner, because... It's low-power and you can't find a filter for it. After six months of use, the brush broke. Now I’m choosing something else, but not with an aqua filter.")</f>
        <v>I do not recommend the vacuum cleaner, because... It's low-power and you can't find a filter for it. After six months of use, the brush broke. Now I’m choosing something else, but not with an aqua filter.</v>
      </c>
    </row>
    <row r="3035" spans="1:9" x14ac:dyDescent="0.3">
      <c r="A3035" s="1" t="s">
        <v>9</v>
      </c>
      <c r="B3035" s="1" t="s">
        <v>137</v>
      </c>
      <c r="C3035" s="1" t="s">
        <v>151</v>
      </c>
      <c r="D3035" s="1" t="s">
        <v>2826</v>
      </c>
      <c r="E3035" s="1" t="s">
        <v>3475</v>
      </c>
      <c r="F3035" s="1" t="s">
        <v>5645</v>
      </c>
      <c r="G3035" s="1" t="s">
        <v>28</v>
      </c>
      <c r="H3035" s="1" t="s">
        <v>29</v>
      </c>
      <c r="I3035" s="1" t="str">
        <f ca="1">IFERROR(__xludf.DUMMYFUNCTION("GOOGLETRANSLATE(F3035, ""auto"", ""en"")
"),"In continuation of the previously left review.   The stove began to work well only after the service center changed the entire electronic control unit.")</f>
        <v>In continuation of the previously left review.   The stove began to work well only after the service center changed the entire electronic control unit.</v>
      </c>
    </row>
    <row r="3036" spans="1:9" x14ac:dyDescent="0.3">
      <c r="A3036" s="1" t="s">
        <v>9</v>
      </c>
      <c r="B3036" s="1" t="s">
        <v>10</v>
      </c>
      <c r="C3036" s="1" t="s">
        <v>466</v>
      </c>
      <c r="D3036" s="1" t="s">
        <v>277</v>
      </c>
      <c r="E3036" s="1" t="s">
        <v>5646</v>
      </c>
      <c r="F3036" s="1" t="s">
        <v>5647</v>
      </c>
      <c r="G3036" s="1" t="s">
        <v>28</v>
      </c>
      <c r="H3036" s="1" t="s">
        <v>29</v>
      </c>
      <c r="I3036" s="1" t="str">
        <f ca="1">IFERROR(__xludf.DUMMYFUNCTION("GOOGLETRANSLATE(F3036, ""auto"", ""en"")
"),"Good, quiet, beautiful, functional, comfortable, easy to maintain, bright lighting, fits perfectly into any interior, but I was a little disappointed with its performance, maybe because of my vent. channel so, but still.")</f>
        <v>Good, quiet, beautiful, functional, comfortable, easy to maintain, bright lighting, fits perfectly into any interior, but I was a little disappointed with its performance, maybe because of my vent. channel so, but still.</v>
      </c>
    </row>
    <row r="3037" spans="1:9" x14ac:dyDescent="0.3">
      <c r="A3037" s="1" t="s">
        <v>211</v>
      </c>
      <c r="B3037" s="1" t="s">
        <v>212</v>
      </c>
      <c r="C3037" s="1" t="s">
        <v>63</v>
      </c>
      <c r="D3037" s="1" t="s">
        <v>58</v>
      </c>
      <c r="E3037" s="1" t="s">
        <v>5648</v>
      </c>
      <c r="F3037" s="1" t="s">
        <v>5649</v>
      </c>
      <c r="G3037" s="1" t="s">
        <v>36</v>
      </c>
      <c r="H3037" s="1" t="s">
        <v>29</v>
      </c>
      <c r="I3037" s="1" t="str">
        <f ca="1">IFERROR(__xludf.DUMMYFUNCTION("GOOGLETRANSLATE(F3037, ""auto"", ""en"")
"),"I have been using it for almost 3 years, there are 5 people in the family and everyone uses it, it fell out of my hands in the bathroom several times and nothing is holding on)) it has not broken anywhere and nothing has changed in the operation of the ha"&amp;"ir dryer, there is a cold air flow, it is convenient to change attachments, in short, my family and I are happy)) I recommend =)")</f>
        <v>I have been using it for almost 3 years, there are 5 people in the family and everyone uses it, it fell out of my hands in the bathroom several times and nothing is holding on)) it has not broken anywhere and nothing has changed in the operation of the hair dryer, there is a cold air flow, it is convenient to change attachments, in short, my family and I are happy)) I recommend =)</v>
      </c>
    </row>
    <row r="3038" spans="1:9" x14ac:dyDescent="0.3">
      <c r="A3038" s="1" t="s">
        <v>369</v>
      </c>
      <c r="B3038" s="1" t="s">
        <v>370</v>
      </c>
      <c r="C3038" s="1" t="s">
        <v>138</v>
      </c>
      <c r="D3038" s="1" t="s">
        <v>1747</v>
      </c>
      <c r="E3038" s="1" t="s">
        <v>53</v>
      </c>
      <c r="F3038" s="1" t="s">
        <v>5650</v>
      </c>
      <c r="G3038" s="1" t="s">
        <v>28</v>
      </c>
      <c r="H3038" s="1" t="s">
        <v>29</v>
      </c>
      <c r="I3038" s="1" t="str">
        <f ca="1">IFERROR(__xludf.DUMMYFUNCTION("GOOGLETRANSLATE(F3038, ""auto"", ""en"")
"),"The stove is compact, convenient, one big minus on the top panel after 6 months the enamel cracked, I called in for repairs, the stove was replaced without any problems, which is nice, but on the new stove the cracks in the enamel again appeared strong.")</f>
        <v>The stove is compact, convenient, one big minus on the top panel after 6 months the enamel cracked, I called in for repairs, the stove was replaced without any problems, which is nice, but on the new stove the cracks in the enamel again appeared strong.</v>
      </c>
    </row>
    <row r="3039" spans="1:9" x14ac:dyDescent="0.3">
      <c r="A3039" s="1" t="s">
        <v>61</v>
      </c>
      <c r="B3039" s="1" t="s">
        <v>73</v>
      </c>
      <c r="C3039" s="1" t="s">
        <v>146</v>
      </c>
      <c r="D3039" s="1" t="s">
        <v>2886</v>
      </c>
      <c r="E3039" s="1" t="s">
        <v>4697</v>
      </c>
      <c r="F3039" s="1" t="s">
        <v>5651</v>
      </c>
      <c r="G3039" s="1" t="s">
        <v>36</v>
      </c>
      <c r="H3039" s="1" t="s">
        <v>29</v>
      </c>
      <c r="I3039" s="1" t="str">
        <f ca="1">IFERROR(__xludf.DUMMYFUNCTION("GOOGLETRANSLATE(F3039, ""auto"", ""en"")
"),"The technology is simply super!!! We've been using it for three years now - no questions, I'm very pleased. We are going to give our sister an MG-510A for her birthday/")</f>
        <v>The technology is simply super!!! We've been using it for three years now - no questions, I'm very pleased. We are going to give our sister an MG-510A for her birthday/</v>
      </c>
    </row>
    <row r="3040" spans="1:9" x14ac:dyDescent="0.3">
      <c r="A3040" s="1" t="s">
        <v>61</v>
      </c>
      <c r="B3040" s="1" t="s">
        <v>180</v>
      </c>
      <c r="C3040" s="1" t="s">
        <v>85</v>
      </c>
      <c r="D3040" s="1" t="s">
        <v>5652</v>
      </c>
      <c r="E3040" s="1" t="s">
        <v>5653</v>
      </c>
      <c r="F3040" s="1" t="s">
        <v>5654</v>
      </c>
      <c r="G3040" s="1" t="s">
        <v>36</v>
      </c>
      <c r="H3040" s="1" t="s">
        <v>29</v>
      </c>
      <c r="I3040" s="1" t="str">
        <f ca="1">IFERROR(__xludf.DUMMYFUNCTION("GOOGLETRANSLATE(F3040, ""auto"", ""en"")
"),"We've been using it for 1.5 years now! We approached it from the point of view of logic: so that it is convenient, practical, beautiful (as without this) and most importantly (!) quietly and evenly!!! On all points 5 points! When you buy, ask the seller t"&amp;"o turn on this toaster! I'll tell you something!")</f>
        <v>We've been using it for 1.5 years now! We approached it from the point of view of logic: so that it is convenient, practical, beautiful (as without this) and most importantly (!) quietly and evenly!!! On all points 5 points! When you buy, ask the seller to turn on this toaster! I'll tell you something!</v>
      </c>
    </row>
    <row r="3041" spans="1:9" x14ac:dyDescent="0.3">
      <c r="A3041" s="1" t="s">
        <v>9</v>
      </c>
      <c r="B3041" s="1" t="s">
        <v>23</v>
      </c>
      <c r="C3041" s="1" t="s">
        <v>134</v>
      </c>
      <c r="D3041" s="1" t="s">
        <v>695</v>
      </c>
      <c r="E3041" s="1" t="s">
        <v>5417</v>
      </c>
      <c r="F3041" s="1" t="s">
        <v>5655</v>
      </c>
      <c r="G3041" s="1" t="s">
        <v>36</v>
      </c>
      <c r="H3041" s="1" t="s">
        <v>29</v>
      </c>
      <c r="I3041" s="1" t="str">
        <f ca="1">IFERROR(__xludf.DUMMYFUNCTION("GOOGLETRANSLATE(F3041, ""auto"", ""en"")
"),"I have been using this dishwasher for almost a year. What can I say?! The car is great!!!! German assembly. Washes dishes very clean!!! And this is the most important thing in a dishwasher. What else can be highlighted as an advantage?! Firstly, it is ver"&amp;"y quiet. Secondly, it consumes very little electricity.  We have a family of four. During the day we eat, drink or cook something, put all the dirty dishes in it, and in the evening before going to bed, turn it on. She calmly washed it, and in the morning"&amp;" we just take out the dishes, put them in cabinets and repeat the cycle again. Before purchasing, of course, I checked all the sites selling dishwashers, but I couldn’t find them cheaper than on M.Video. In addition, I was also given bonuses and then I ac"&amp;"tually bought dishwashing tablets for free. Right there in MVideo!!! I recommend this dishwasher to everyone. You won't regret it.")</f>
        <v>I have been using this dishwasher for almost a year. What can I say?! The car is great!!!! German assembly. Washes dishes very clean!!! And this is the most important thing in a dishwasher. What else can be highlighted as an advantage?! Firstly, it is very quiet. Secondly, it consumes very little electricity.  We have a family of four. During the day we eat, drink or cook something, put all the dirty dishes in it, and in the evening before going to bed, turn it on. She calmly washed it, and in the morning we just take out the dishes, put them in cabinets and repeat the cycle again. Before purchasing, of course, I checked all the sites selling dishwashers, but I couldn’t find them cheaper than on M.Video. In addition, I was also given bonuses and then I actually bought dishwashing tablets for free. Right there in MVideo!!! I recommend this dishwasher to everyone. You won't regret it.</v>
      </c>
    </row>
    <row r="3042" spans="1:9" x14ac:dyDescent="0.3">
      <c r="A3042" s="1" t="s">
        <v>17</v>
      </c>
      <c r="B3042" s="1" t="s">
        <v>18</v>
      </c>
      <c r="C3042" s="1" t="s">
        <v>159</v>
      </c>
      <c r="D3042" s="1" t="s">
        <v>896</v>
      </c>
      <c r="E3042" s="1" t="s">
        <v>670</v>
      </c>
      <c r="F3042" s="1" t="s">
        <v>5656</v>
      </c>
      <c r="G3042" s="1" t="s">
        <v>49</v>
      </c>
      <c r="H3042" s="1" t="s">
        <v>16</v>
      </c>
      <c r="I3042" s="1" t="str">
        <f ca="1">IFERROR(__xludf.DUMMYFUNCTION("GOOGLETRANSLATE(F3042, ""auto"", ""en"")
"),"A terrible machine, less than a year later, because of it, the electricity began to go out at home (as soon as I turned on the machine). Under warranty, a technician came and fixed the problem. After about half a year, the Start button stopped working, or"&amp;" rather, it sometimes worked, sometimes it didn’t, it’s not clear what it depended on.  Now (after) another 1.6 years, the Start button works 1 time out of 20, i.e. , if now the button does not work, you need to try in 5 minutes, and so on, until the mach"&amp;"ine’s mood changes and it deigns to wash. The t button is also glitchy. Pause can also work spontaneously during washing, so you need to periodically check whether it is washing or not. The machine is not even 3 years old, but its paint is already crackin"&amp;"g and you can see what’s underneath the paint on the top cover. Well, there are still some minor nuances.")</f>
        <v>A terrible machine, less than a year later, because of it, the electricity began to go out at home (as soon as I turned on the machine). Under warranty, a technician came and fixed the problem. After about half a year, the Start button stopped working, or rather, it sometimes worked, sometimes it didn’t, it’s not clear what it depended on.  Now (after) another 1.6 years, the Start button works 1 time out of 20, i.e. , if now the button does not work, you need to try in 5 minutes, and so on, until the machine’s mood changes and it deigns to wash. The t button is also glitchy. Pause can also work spontaneously during washing, so you need to periodically check whether it is washing or not. The machine is not even 3 years old, but its paint is already cracking and you can see what’s underneath the paint on the top cover. Well, there are still some minor nuances.</v>
      </c>
    </row>
    <row r="3043" spans="1:9" x14ac:dyDescent="0.3">
      <c r="A3043" s="1" t="s">
        <v>496</v>
      </c>
      <c r="B3043" s="1" t="s">
        <v>497</v>
      </c>
      <c r="C3043" s="1" t="s">
        <v>487</v>
      </c>
      <c r="D3043" s="1" t="s">
        <v>5657</v>
      </c>
      <c r="E3043" s="1" t="s">
        <v>606</v>
      </c>
      <c r="F3043" s="1" t="s">
        <v>5658</v>
      </c>
      <c r="G3043" s="1" t="s">
        <v>36</v>
      </c>
      <c r="H3043" s="1" t="s">
        <v>29</v>
      </c>
      <c r="I3043" s="1" t="str">
        <f ca="1">IFERROR(__xludf.DUMMYFUNCTION("GOOGLETRANSLATE(F3043, ""auto"", ""en"")
"),"In Windows 7 gta 4 works faster than in Vista and a little faster than xp, there are pros and cons of 7.  Pros: Windows is fast, but if you have a 64-bit computer, install a 32-bit system because it consumes less memory and runs programs and games faster,"&amp;" that is, 64x 8 GB of RAM is the same as in a 32x 4 GB RAM.  And if you have a 32-bit system, don’t change it to a 64-bit one, or you’ll break the BIOS or it won’t work.")</f>
        <v>In Windows 7 gta 4 works faster than in Vista and a little faster than xp, there are pros and cons of 7.  Pros: Windows is fast, but if you have a 64-bit computer, install a 32-bit system because it consumes less memory and runs programs and games faster, that is, 64x 8 GB of RAM is the same as in a 32x 4 GB RAM.  And if you have a 32-bit system, don’t change it to a 64-bit one, or you’ll break the BIOS or it won’t work.</v>
      </c>
    </row>
    <row r="3044" spans="1:9" x14ac:dyDescent="0.3">
      <c r="A3044" s="1" t="s">
        <v>120</v>
      </c>
      <c r="B3044" s="1" t="s">
        <v>121</v>
      </c>
      <c r="C3044" s="1" t="s">
        <v>151</v>
      </c>
      <c r="D3044" s="1" t="s">
        <v>5659</v>
      </c>
      <c r="E3044" s="1" t="s">
        <v>832</v>
      </c>
      <c r="F3044" s="1" t="s">
        <v>5660</v>
      </c>
      <c r="G3044" s="1" t="s">
        <v>36</v>
      </c>
      <c r="H3044" s="1" t="s">
        <v>29</v>
      </c>
      <c r="I3044" s="1" t="str">
        <f ca="1">IFERROR(__xludf.DUMMYFUNCTION("GOOGLETRANSLATE(F3044, ""auto"", ""en"")
"),"In its price category the TV is super. I bought it a month ago, everything is fine. DVD via HDMI plays just fine. At first it was very unusual to watch after a CRT TV. The picture in Full HD movies is like looking out the window. Regarding the sound in MK"&amp;"V files, it does not read DTS tracks.    A small minus - when watching MKV - I didn’t find how to switch between audio tracks.    I haven’t tried watching movies with a high bitrate (~20Mb/s) yet - I wonder whether it will slow down or not.    But in gene"&amp;"ral - I’m very happy with it.")</f>
        <v>In its price category the TV is super. I bought it a month ago, everything is fine. DVD via HDMI plays just fine. At first it was very unusual to watch after a CRT TV. The picture in Full HD movies is like looking out the window. Regarding the sound in MKV files, it does not read DTS tracks.    A small minus - when watching MKV - I didn’t find how to switch between audio tracks.    I haven’t tried watching movies with a high bitrate (~20Mb/s) yet - I wonder whether it will slow down or not.    But in general - I’m very happy with it.</v>
      </c>
    </row>
    <row r="3045" spans="1:9" x14ac:dyDescent="0.3">
      <c r="A3045" s="1" t="s">
        <v>17</v>
      </c>
      <c r="B3045" s="1" t="s">
        <v>18</v>
      </c>
      <c r="C3045" s="1" t="s">
        <v>80</v>
      </c>
      <c r="D3045" s="1" t="s">
        <v>171</v>
      </c>
      <c r="E3045" s="1" t="s">
        <v>5661</v>
      </c>
      <c r="F3045" s="1" t="s">
        <v>5662</v>
      </c>
      <c r="G3045" s="1" t="s">
        <v>36</v>
      </c>
      <c r="H3045" s="1" t="s">
        <v>29</v>
      </c>
      <c r="I3045" s="1" t="str">
        <f ca="1">IFERROR(__xludf.DUMMYFUNCTION("GOOGLETRANSLATE(F3045, ""auto"", ""en"")
"),"Direct drive. Inverter.")</f>
        <v>Direct drive. Inverter.</v>
      </c>
    </row>
    <row r="3046" spans="1:9" x14ac:dyDescent="0.3">
      <c r="A3046" s="1" t="s">
        <v>206</v>
      </c>
      <c r="B3046" s="1" t="s">
        <v>261</v>
      </c>
      <c r="C3046" s="1" t="s">
        <v>351</v>
      </c>
      <c r="D3046" s="1" t="s">
        <v>152</v>
      </c>
      <c r="E3046" s="1" t="s">
        <v>5663</v>
      </c>
      <c r="F3046" s="1" t="s">
        <v>5664</v>
      </c>
      <c r="G3046" s="1" t="s">
        <v>28</v>
      </c>
      <c r="H3046" s="1" t="s">
        <v>29</v>
      </c>
      <c r="I3046" s="1" t="str">
        <f ca="1">IFERROR(__xludf.DUMMYFUNCTION("GOOGLETRANSLATE(F3046, ""auto"", ""en"")
"),"I bought it in 2012. Worked for 4 years without problems. Today the fuse blew because the recorder, radar detector and compressor were plugged in at the same time. I worked with the recorder and radar without problems.")</f>
        <v>I bought it in 2012. Worked for 4 years without problems. Today the fuse blew because the recorder, radar detector and compressor were plugged in at the same time. I worked with the recorder and radar without problems.</v>
      </c>
    </row>
    <row r="3047" spans="1:9" x14ac:dyDescent="0.3">
      <c r="A3047" s="1" t="s">
        <v>477</v>
      </c>
      <c r="B3047" s="1" t="s">
        <v>478</v>
      </c>
      <c r="C3047" s="1" t="s">
        <v>479</v>
      </c>
      <c r="D3047" s="1" t="s">
        <v>152</v>
      </c>
      <c r="E3047" s="1" t="s">
        <v>3890</v>
      </c>
      <c r="F3047" s="1" t="s">
        <v>5665</v>
      </c>
      <c r="G3047" s="1" t="s">
        <v>36</v>
      </c>
      <c r="H3047" s="1" t="s">
        <v>29</v>
      </c>
      <c r="I3047" s="1" t="str">
        <f ca="1">IFERROR(__xludf.DUMMYFUNCTION("GOOGLETRANSLATE(F3047, ""auto"", ""en"")
"),"I recommend it to everyone, it’s a good game, you won’t regret it =)")</f>
        <v>I recommend it to everyone, it’s a good game, you won’t regret it =)</v>
      </c>
    </row>
    <row r="3048" spans="1:9" x14ac:dyDescent="0.3">
      <c r="A3048" s="1" t="s">
        <v>238</v>
      </c>
      <c r="B3048" s="1" t="s">
        <v>5666</v>
      </c>
      <c r="C3048" s="1" t="s">
        <v>240</v>
      </c>
      <c r="D3048" s="1" t="s">
        <v>326</v>
      </c>
      <c r="E3048" s="1" t="s">
        <v>2841</v>
      </c>
      <c r="F3048" s="1" t="s">
        <v>5667</v>
      </c>
      <c r="G3048" s="1" t="s">
        <v>36</v>
      </c>
      <c r="H3048" s="1" t="s">
        <v>29</v>
      </c>
      <c r="I3048" s="1" t="str">
        <f ca="1">IFERROR(__xludf.DUMMYFUNCTION("GOOGLETRANSLATE(F3048, ""auto"", ""en"")
"),"Not long ago we took such a wine cabinet to our home, fortunately it is relatively compact and does not take up much space) we were very pleased with the purchase, it is immediately clear that it was designed by people who understand the issue) The locati"&amp;"on of the bottles in the cabinet is very convenient, you can set the temperature and, if necessary, turn on the fan to circulate air inside and achieve ideal storage conditions! I also liked the presence of a drawer for storing various accessories, for ex"&amp;"ample, a corkscrew - a small thing, but nice) the cabinet has a carbon filter to remove excess odors so that they do not affect the final quality of the wine. In general, for true connoisseurs it is simply a must-have purchase!))")</f>
        <v>Not long ago we took such a wine cabinet to our home, fortunately it is relatively compact and does not take up much space) we were very pleased with the purchase, it is immediately clear that it was designed by people who understand the issue) The location of the bottles in the cabinet is very convenient, you can set the temperature and, if necessary, turn on the fan to circulate air inside and achieve ideal storage conditions! I also liked the presence of a drawer for storing various accessories, for example, a corkscrew - a small thing, but nice) the cabinet has a carbon filter to remove excess odors so that they do not affect the final quality of the wine. In general, for true connoisseurs it is simply a must-have purchase!))</v>
      </c>
    </row>
    <row r="3049" spans="1:9" x14ac:dyDescent="0.3">
      <c r="A3049" s="1" t="s">
        <v>149</v>
      </c>
      <c r="B3049" s="1" t="s">
        <v>155</v>
      </c>
      <c r="C3049" s="1" t="s">
        <v>63</v>
      </c>
      <c r="D3049" s="1" t="s">
        <v>565</v>
      </c>
      <c r="E3049" s="1" t="s">
        <v>1866</v>
      </c>
      <c r="F3049" s="1" t="s">
        <v>5668</v>
      </c>
      <c r="G3049" s="1" t="s">
        <v>28</v>
      </c>
      <c r="H3049" s="1" t="s">
        <v>29</v>
      </c>
      <c r="I3049" s="1" t="str">
        <f ca="1">IFERROR(__xludf.DUMMYFUNCTION("GOOGLETRANSLATE(F3049, ""auto"", ""en"")
"),"The vacuum cleaner is good and powerful. But with a garbage collection container, the suction power drops, after the 2nd cleaning...we use disposable garbage collection bags.")</f>
        <v>The vacuum cleaner is good and powerful. But with a garbage collection container, the suction power drops, after the 2nd cleaning...we use disposable garbage collection bags.</v>
      </c>
    </row>
    <row r="3050" spans="1:9" x14ac:dyDescent="0.3">
      <c r="A3050" s="1" t="s">
        <v>120</v>
      </c>
      <c r="B3050" s="1" t="s">
        <v>196</v>
      </c>
      <c r="C3050" s="1" t="s">
        <v>80</v>
      </c>
      <c r="D3050" s="1" t="s">
        <v>5669</v>
      </c>
      <c r="E3050" s="1" t="s">
        <v>4486</v>
      </c>
      <c r="F3050" s="1" t="s">
        <v>5670</v>
      </c>
      <c r="G3050" s="1" t="s">
        <v>36</v>
      </c>
      <c r="H3050" s="1" t="s">
        <v>29</v>
      </c>
      <c r="I3050" s="1" t="str">
        <f ca="1">IFERROR(__xludf.DUMMYFUNCTION("GOOGLETRANSLATE(F3050, ""auto"", ""en"")
"),"I activated USB in the service menu and, by connecting my 42LH2000 with an optical cable to a receiver with DTS, I got real 5.1 sound. The main thing is that the video file itself contains 6 audio channels. Tested on both Divx and Mpeg files. So there is "&amp;"no need to buy any additional media players. You just need to buy a larger external USB 2.0 HDD (1Tb is possible) and stuff it with movies, music and photos. The software (unlocked) player works well! Playback control from the standard remote control.")</f>
        <v>I activated USB in the service menu and, by connecting my 42LH2000 with an optical cable to a receiver with DTS, I got real 5.1 sound. The main thing is that the video file itself contains 6 audio channels. Tested on both Divx and Mpeg files. So there is no need to buy any additional media players. You just need to buy a larger external USB 2.0 HDD (1Tb is possible) and stuff it with movies, music and photos. The software (unlocked) player works well! Playback control from the standard remote control.</v>
      </c>
    </row>
    <row r="3051" spans="1:9" x14ac:dyDescent="0.3">
      <c r="A3051" s="1" t="s">
        <v>61</v>
      </c>
      <c r="B3051" s="1" t="s">
        <v>318</v>
      </c>
      <c r="C3051" s="1" t="s">
        <v>57</v>
      </c>
      <c r="D3051" s="1" t="s">
        <v>152</v>
      </c>
      <c r="E3051" s="1" t="s">
        <v>1723</v>
      </c>
      <c r="F3051" s="1" t="s">
        <v>5671</v>
      </c>
      <c r="G3051" s="1" t="s">
        <v>49</v>
      </c>
      <c r="H3051" s="1" t="s">
        <v>16</v>
      </c>
      <c r="I3051" s="1" t="str">
        <f ca="1">IFERROR(__xludf.DUMMYFUNCTION("GOOGLETRANSLATE(F3051, ""auto"", ""en"")
"),"Miracle technology!! After the first turn on, I boiled the water and automatically drained it onto the floor!!! On subsequent launches... I repeated everything exactly. The product is dangerous to our health, gentlemen. Beware of this brand")</f>
        <v>Miracle technology!! After the first turn on, I boiled the water and automatically drained it onto the floor!!! On subsequent launches... I repeated everything exactly. The product is dangerous to our health, gentlemen. Beware of this brand</v>
      </c>
    </row>
    <row r="3052" spans="1:9" x14ac:dyDescent="0.3">
      <c r="A3052" s="1" t="s">
        <v>211</v>
      </c>
      <c r="B3052" s="1" t="s">
        <v>265</v>
      </c>
      <c r="C3052" s="1" t="s">
        <v>1591</v>
      </c>
      <c r="D3052" s="1" t="s">
        <v>4730</v>
      </c>
      <c r="E3052" s="1" t="s">
        <v>330</v>
      </c>
      <c r="F3052" s="1" t="s">
        <v>5672</v>
      </c>
      <c r="G3052" s="1" t="s">
        <v>49</v>
      </c>
      <c r="H3052" s="1" t="s">
        <v>16</v>
      </c>
      <c r="I3052" s="1" t="str">
        <f ca="1">IFERROR(__xludf.DUMMYFUNCTION("GOOGLETRANSLATE(F3052, ""auto"", ""en"")
"),"Very dull cutting elements - don't waste your money")</f>
        <v>Very dull cutting elements - don't waste your money</v>
      </c>
    </row>
    <row r="3053" spans="1:9" x14ac:dyDescent="0.3">
      <c r="A3053" s="1" t="s">
        <v>120</v>
      </c>
      <c r="B3053" s="1" t="s">
        <v>126</v>
      </c>
      <c r="C3053" s="1" t="s">
        <v>122</v>
      </c>
      <c r="D3053" s="1" t="s">
        <v>4685</v>
      </c>
      <c r="E3053" s="1" t="s">
        <v>864</v>
      </c>
      <c r="F3053" s="1" t="s">
        <v>5673</v>
      </c>
      <c r="G3053" s="1" t="s">
        <v>36</v>
      </c>
      <c r="H3053" s="1" t="s">
        <v>29</v>
      </c>
      <c r="I3053" s="1" t="str">
        <f ca="1">IFERROR(__xludf.DUMMYFUNCTION("GOOGLETRANSLATE(F3053, ""auto"", ""en"")
"),"bought 3 months ago, happy with the purchase, very good color rendition, good sound, even if you don’t turn on the home theater, I’m pleased with the European assembly, I watch movies in HD, I’m pleased with the image quality, I was surprised by the remot"&amp;"e control, you have to hold the power button for about 2-3 seconds to turn it on, maybe it’s just me.")</f>
        <v>bought 3 months ago, happy with the purchase, very good color rendition, good sound, even if you don’t turn on the home theater, I’m pleased with the European assembly, I watch movies in HD, I’m pleased with the image quality, I was surprised by the remote control, you have to hold the power button for about 2-3 seconds to turn it on, maybe it’s just me.</v>
      </c>
    </row>
    <row r="3054" spans="1:9" x14ac:dyDescent="0.3">
      <c r="A3054" s="1" t="s">
        <v>30</v>
      </c>
      <c r="B3054" s="1" t="s">
        <v>50</v>
      </c>
      <c r="C3054" s="1" t="s">
        <v>189</v>
      </c>
      <c r="D3054" s="1" t="s">
        <v>545</v>
      </c>
      <c r="E3054" s="1" t="s">
        <v>1086</v>
      </c>
      <c r="F3054" s="1" t="s">
        <v>5674</v>
      </c>
      <c r="G3054" s="1" t="s">
        <v>36</v>
      </c>
      <c r="H3054" s="1" t="s">
        <v>29</v>
      </c>
      <c r="I3054" s="1" t="str">
        <f ca="1">IFERROR(__xludf.DUMMYFUNCTION("GOOGLETRANSLATE(F3054, ""auto"", ""en"")
"),"I've been looking for a good laptop for a long time... both in terms of content and price. At first my eyes fell on another company... but when I saw this Asus, I realized that it was as good on the outside as it was on the inside. Nothing superfluous, ju"&amp;"st enough for work, the Internet and games. I was very afraid of Windows Vista software... but I quickly found a common language with it :) And it's light weight and you can easily take it with you.")</f>
        <v>I've been looking for a good laptop for a long time... both in terms of content and price. At first my eyes fell on another company... but when I saw this Asus, I realized that it was as good on the outside as it was on the inside. Nothing superfluous, just enough for work, the Internet and games. I was very afraid of Windows Vista software... but I quickly found a common language with it :) And it's light weight and you can easily take it with you.</v>
      </c>
    </row>
    <row r="3055" spans="1:9" x14ac:dyDescent="0.3">
      <c r="A3055" s="1" t="s">
        <v>55</v>
      </c>
      <c r="B3055" s="1" t="s">
        <v>3549</v>
      </c>
      <c r="C3055" s="1" t="s">
        <v>57</v>
      </c>
      <c r="D3055" s="1" t="s">
        <v>305</v>
      </c>
      <c r="E3055" s="1" t="s">
        <v>1527</v>
      </c>
      <c r="F3055" s="1" t="s">
        <v>5675</v>
      </c>
      <c r="G3055" s="1" t="s">
        <v>36</v>
      </c>
      <c r="H3055" s="1" t="s">
        <v>29</v>
      </c>
      <c r="I3055" s="1" t="str">
        <f ca="1">IFERROR(__xludf.DUMMYFUNCTION("GOOGLETRANSLATE(F3055, ""auto"", ""en"")
"),"One day - normal flight! The fan is quiet, the smell from the “hospital” is present (ions are flying), the UV lamps shine quietly. His wife says that his work makes him cold. I think this is a plus - the device is small, but works like a big one!")</f>
        <v>One day - normal flight! The fan is quiet, the smell from the “hospital” is present (ions are flying), the UV lamps shine quietly. His wife says that his work makes him cold. I think this is a plus - the device is small, but works like a big one!</v>
      </c>
    </row>
    <row r="3056" spans="1:9" x14ac:dyDescent="0.3">
      <c r="A3056" s="1" t="s">
        <v>89</v>
      </c>
      <c r="B3056" s="1" t="s">
        <v>1106</v>
      </c>
      <c r="C3056" s="1" t="s">
        <v>63</v>
      </c>
      <c r="D3056" s="1" t="s">
        <v>12</v>
      </c>
      <c r="E3056" s="1" t="s">
        <v>3694</v>
      </c>
      <c r="F3056" s="1" t="s">
        <v>5676</v>
      </c>
      <c r="G3056" s="1" t="s">
        <v>36</v>
      </c>
      <c r="H3056" s="1" t="s">
        <v>29</v>
      </c>
      <c r="I3056" s="1" t="str">
        <f ca="1">IFERROR(__xludf.DUMMYFUNCTION("GOOGLETRANSLATE(F3056, ""auto"", ""en"")
"),"Convenient item in all respects!!! It's been threshing for three years. We brew tea in it, and it just serves boiling water very quickly, and coffee goes without saying!!! It's good that we bought it!!! No problems like with carob. If the coffee is good, "&amp;"then the coffee from this coffee maker is good!!!")</f>
        <v>Convenient item in all respects!!! It's been threshing for three years. We brew tea in it, and it just serves boiling water very quickly, and coffee goes without saying!!! It's good that we bought it!!! No problems like with carob. If the coffee is good, then the coffee from this coffee maker is good!!!</v>
      </c>
    </row>
    <row r="3057" spans="1:9" x14ac:dyDescent="0.3">
      <c r="A3057" s="1" t="s">
        <v>17</v>
      </c>
      <c r="B3057" s="1" t="s">
        <v>18</v>
      </c>
      <c r="C3057" s="1" t="s">
        <v>151</v>
      </c>
      <c r="D3057" s="1" t="s">
        <v>152</v>
      </c>
      <c r="E3057" s="1" t="s">
        <v>1228</v>
      </c>
      <c r="F3057" s="1" t="s">
        <v>5677</v>
      </c>
      <c r="G3057" s="1" t="s">
        <v>28</v>
      </c>
      <c r="H3057" s="1" t="s">
        <v>29</v>
      </c>
      <c r="I3057" s="1" t="str">
        <f ca="1">IFERROR(__xludf.DUMMYFUNCTION("GOOGLETRANSLATE(F3057, ""auto"", ""en"")
"),"Sergey, try setting the machine level, add pieces of linoleum, it will stop jumping around the bathroom....")</f>
        <v>Sergey, try setting the machine level, add pieces of linoleum, it will stop jumping around the bathroom....</v>
      </c>
    </row>
    <row r="3058" spans="1:9" x14ac:dyDescent="0.3">
      <c r="A3058" s="1" t="s">
        <v>61</v>
      </c>
      <c r="B3058" s="1" t="s">
        <v>73</v>
      </c>
      <c r="C3058" s="1" t="s">
        <v>85</v>
      </c>
      <c r="D3058" s="1" t="s">
        <v>216</v>
      </c>
      <c r="E3058" s="1" t="s">
        <v>5678</v>
      </c>
      <c r="F3058" s="1" t="s">
        <v>5679</v>
      </c>
      <c r="G3058" s="1" t="s">
        <v>36</v>
      </c>
      <c r="H3058" s="1" t="s">
        <v>29</v>
      </c>
      <c r="I3058" s="1" t="str">
        <f ca="1">IFERROR(__xludf.DUMMYFUNCTION("GOOGLETRANSLATE(F3058, ""auto"", ""en"")
"),"The meat grinder is compact, powerful, and very quiet. The meat is cut excellently. The knife is high quality and does everything well. I really liked the vegetable cutter attachment in this meat grinder. I recommend it.")</f>
        <v>The meat grinder is compact, powerful, and very quiet. The meat is cut excellently. The knife is high quality and does everything well. I really liked the vegetable cutter attachment in this meat grinder. I recommend it.</v>
      </c>
    </row>
    <row r="3059" spans="1:9" x14ac:dyDescent="0.3">
      <c r="A3059" s="1" t="s">
        <v>67</v>
      </c>
      <c r="B3059" s="1" t="s">
        <v>68</v>
      </c>
      <c r="C3059" s="1" t="s">
        <v>63</v>
      </c>
      <c r="D3059" s="1" t="s">
        <v>5680</v>
      </c>
      <c r="E3059" s="1" t="s">
        <v>1682</v>
      </c>
      <c r="F3059" s="1" t="s">
        <v>5681</v>
      </c>
      <c r="G3059" s="1" t="s">
        <v>36</v>
      </c>
      <c r="H3059" s="1" t="s">
        <v>29</v>
      </c>
      <c r="I3059" s="1" t="str">
        <f ca="1">IFERROR(__xludf.DUMMYFUNCTION("GOOGLETRANSLATE(F3059, ""auto"", ""en"")
"),"Excellent iron! I recommend it to everyone!")</f>
        <v>Excellent iron! I recommend it to everyone!</v>
      </c>
    </row>
    <row r="3060" spans="1:9" x14ac:dyDescent="0.3">
      <c r="A3060" s="1" t="s">
        <v>61</v>
      </c>
      <c r="B3060" s="1" t="s">
        <v>145</v>
      </c>
      <c r="C3060" s="1" t="s">
        <v>246</v>
      </c>
      <c r="D3060" s="1" t="s">
        <v>521</v>
      </c>
      <c r="E3060" s="1" t="s">
        <v>3690</v>
      </c>
      <c r="F3060" s="1" t="s">
        <v>5682</v>
      </c>
      <c r="G3060" s="1" t="s">
        <v>36</v>
      </c>
      <c r="H3060" s="1" t="s">
        <v>29</v>
      </c>
      <c r="I3060" s="1" t="str">
        <f ca="1">IFERROR(__xludf.DUMMYFUNCTION("GOOGLETRANSLATE(F3060, ""auto"", ""en"")
"),"I am very pleased with the purchase of this device! natural, tasty products at any time without much effort, and most importantly, children began to eat dairy!!! You can’t force it before))) I use Lactina starter for yogurt and sour cream, the consistency"&amp;" is excellent! The yogurt maker does not overheat, is easy to clean, and takes up little space. the whole family is happy!!! I recommend it to those who care about their family.")</f>
        <v>I am very pleased with the purchase of this device! natural, tasty products at any time without much effort, and most importantly, children began to eat dairy!!! You can’t force it before))) I use Lactina starter for yogurt and sour cream, the consistency is excellent! The yogurt maker does not overheat, is easy to clean, and takes up little space. the whole family is happy!!! I recommend it to those who care about their family.</v>
      </c>
    </row>
    <row r="3061" spans="1:9" x14ac:dyDescent="0.3">
      <c r="A3061" s="1" t="s">
        <v>89</v>
      </c>
      <c r="B3061" s="1" t="s">
        <v>90</v>
      </c>
      <c r="C3061" s="1" t="s">
        <v>57</v>
      </c>
      <c r="D3061" s="1" t="s">
        <v>565</v>
      </c>
      <c r="E3061" s="1" t="s">
        <v>755</v>
      </c>
      <c r="F3061" s="1" t="s">
        <v>5683</v>
      </c>
      <c r="G3061" s="1" t="s">
        <v>36</v>
      </c>
      <c r="H3061" s="1" t="s">
        <v>29</v>
      </c>
      <c r="I3061" s="1" t="str">
        <f ca="1">IFERROR(__xludf.DUMMYFUNCTION("GOOGLETRANSLATE(F3061, ""auto"", ""en"")
"),"I recommend it to everyone!!! Not noisy, grinds perfectly! Take it without hesitation!")</f>
        <v>I recommend it to everyone!!! Not noisy, grinds perfectly! Take it without hesitation!</v>
      </c>
    </row>
    <row r="3062" spans="1:9" x14ac:dyDescent="0.3">
      <c r="A3062" s="1" t="s">
        <v>169</v>
      </c>
      <c r="B3062" s="1" t="s">
        <v>170</v>
      </c>
      <c r="C3062" s="1" t="s">
        <v>171</v>
      </c>
      <c r="D3062" s="1" t="s">
        <v>81</v>
      </c>
      <c r="E3062" s="1" t="s">
        <v>353</v>
      </c>
      <c r="F3062" s="1" t="s">
        <v>5684</v>
      </c>
      <c r="G3062" s="1" t="s">
        <v>28</v>
      </c>
      <c r="H3062" s="1" t="s">
        <v>29</v>
      </c>
      <c r="I3062" s="1" t="str">
        <f ca="1">IFERROR(__xludf.DUMMYFUNCTION("GOOGLETRANSLATE(F3062, ""auto"", ""en"")
"),"I plan to use it while jogging, a seemingly reliable and soft wire that does not lose its plasticity in the cold. There is reinforcement with plastic braiding in problem areas. Clear bass reproduction.")</f>
        <v>I plan to use it while jogging, a seemingly reliable and soft wire that does not lose its plasticity in the cold. There is reinforcement with plastic braiding in problem areas. Clear bass reproduction.</v>
      </c>
    </row>
    <row r="3063" spans="1:9" x14ac:dyDescent="0.3">
      <c r="A3063" s="1" t="s">
        <v>61</v>
      </c>
      <c r="B3063" s="1" t="s">
        <v>726</v>
      </c>
      <c r="C3063" s="1" t="s">
        <v>85</v>
      </c>
      <c r="D3063" s="1" t="s">
        <v>5685</v>
      </c>
      <c r="E3063" s="1" t="s">
        <v>917</v>
      </c>
      <c r="F3063" s="1" t="s">
        <v>5686</v>
      </c>
      <c r="G3063" s="1" t="s">
        <v>49</v>
      </c>
      <c r="H3063" s="1" t="s">
        <v>16</v>
      </c>
      <c r="I3063" s="1" t="str">
        <f ca="1">IFERROR(__xludf.DUMMYFUNCTION("GOOGLETRANSLATE(F3063, ""auto"", ""en"")
"),"Terribly dissatisfied! I do everything according to the included Bork recipe book, but the dough does not rise! I already took it to Techno-Service, they scratched it there and gave me one single recipe, according to which their bread rose. I don’t know w"&amp;"hat to do next! Very upset!")</f>
        <v>Terribly dissatisfied! I do everything according to the included Bork recipe book, but the dough does not rise! I already took it to Techno-Service, they scratched it there and gave me one single recipe, according to which their bread rose. I don’t know what to do next! Very upset!</v>
      </c>
    </row>
    <row r="3064" spans="1:9" x14ac:dyDescent="0.3">
      <c r="A3064" s="1" t="s">
        <v>624</v>
      </c>
      <c r="B3064" s="1" t="s">
        <v>625</v>
      </c>
      <c r="C3064" s="1" t="s">
        <v>479</v>
      </c>
      <c r="D3064" s="1" t="s">
        <v>152</v>
      </c>
      <c r="E3064" s="1" t="s">
        <v>5687</v>
      </c>
      <c r="F3064" s="1" t="s">
        <v>5688</v>
      </c>
      <c r="G3064" s="1" t="s">
        <v>36</v>
      </c>
      <c r="H3064" s="1" t="s">
        <v>29</v>
      </c>
      <c r="I3064" s="1" t="str">
        <f ca="1">IFERROR(__xludf.DUMMYFUNCTION("GOOGLETRANSLATE(F3064, ""auto"", ""en"")
"),"A cool game for adults and children. It's great to play with 4 people. It's a pity that the game for more than 4 people is not provided. But overall the game is great.")</f>
        <v>A cool game for adults and children. It's great to play with 4 people. It's a pity that the game for more than 4 people is not provided. But overall the game is great.</v>
      </c>
    </row>
    <row r="3065" spans="1:9" x14ac:dyDescent="0.3">
      <c r="A3065" s="1" t="s">
        <v>211</v>
      </c>
      <c r="B3065" s="1" t="s">
        <v>856</v>
      </c>
      <c r="C3065" s="1" t="s">
        <v>57</v>
      </c>
      <c r="D3065" s="1" t="s">
        <v>1241</v>
      </c>
      <c r="E3065" s="1" t="s">
        <v>274</v>
      </c>
      <c r="F3065" s="1" t="s">
        <v>5689</v>
      </c>
      <c r="G3065" s="1" t="s">
        <v>36</v>
      </c>
      <c r="H3065" s="1" t="s">
        <v>29</v>
      </c>
      <c r="I3065" s="1" t="str">
        <f ca="1">IFERROR(__xludf.DUMMYFUNCTION("GOOGLETRANSLATE(F3065, ""auto"", ""en"")
"),"I chose the manicure set for a long time and meticulously based on the attachments. In this set it suited me like no other. I am especially pleased with the attachments for pedicure (for manicure they are mostly standard, but for pedicure I still need to "&amp;"look for them). Two graters there are just a miracle. I just advise you not to try for the first time to saw and rub everything with them to the point of fanaticism. Especially if you have fairly rough heels. Divide the process three or four times, and th"&amp;"en you will see an amazing effect! And when you use it regularly, your heels will always look like a baby’s. I would also like to say about the set that it is very convenient, compact, there are attachments for cuticles and even for polishing the nail - a"&amp;" special felt disc. It's a pleasure to use, as if you were doing a massage.")</f>
        <v>I chose the manicure set for a long time and meticulously based on the attachments. In this set it suited me like no other. I am especially pleased with the attachments for pedicure (for manicure they are mostly standard, but for pedicure I still need to look for them). Two graters there are just a miracle. I just advise you not to try for the first time to saw and rub everything with them to the point of fanaticism. Especially if you have fairly rough heels. Divide the process three or four times, and then you will see an amazing effect! And when you use it regularly, your heels will always look like a baby’s. I would also like to say about the set that it is very convenient, compact, there are attachments for cuticles and even for polishing the nail - a special felt disc. It's a pleasure to use, as if you were doing a massage.</v>
      </c>
    </row>
    <row r="3066" spans="1:9" x14ac:dyDescent="0.3">
      <c r="A3066" s="1" t="s">
        <v>211</v>
      </c>
      <c r="B3066" s="1" t="s">
        <v>515</v>
      </c>
      <c r="C3066" s="1" t="s">
        <v>213</v>
      </c>
      <c r="D3066" s="1" t="s">
        <v>134</v>
      </c>
      <c r="E3066" s="1" t="s">
        <v>2870</v>
      </c>
      <c r="F3066" s="1" t="s">
        <v>5690</v>
      </c>
      <c r="G3066" s="1" t="s">
        <v>94</v>
      </c>
      <c r="H3066" s="1" t="s">
        <v>29</v>
      </c>
      <c r="I3066" s="1" t="str">
        <f ca="1">IFERROR(__xludf.DUMMYFUNCTION("GOOGLETRANSLATE(F3066, ""auto"", ""en"")
"),"removes even short hairs, optimal price-quality ratio, easy to use.")</f>
        <v>removes even short hairs, optimal price-quality ratio, easy to use.</v>
      </c>
    </row>
    <row r="3067" spans="1:9" x14ac:dyDescent="0.3">
      <c r="A3067" s="1" t="s">
        <v>9</v>
      </c>
      <c r="B3067" s="1" t="s">
        <v>133</v>
      </c>
      <c r="C3067" s="1" t="s">
        <v>290</v>
      </c>
      <c r="D3067" s="1" t="s">
        <v>521</v>
      </c>
      <c r="E3067" s="1" t="s">
        <v>4690</v>
      </c>
      <c r="F3067" s="1" t="s">
        <v>5691</v>
      </c>
      <c r="G3067" s="1" t="s">
        <v>36</v>
      </c>
      <c r="H3067" s="1" t="s">
        <v>29</v>
      </c>
      <c r="I3067" s="1" t="str">
        <f ca="1">IFERROR(__xludf.DUMMYFUNCTION("GOOGLETRANSLATE(F3067, ""auto"", ""en"")
"),"The cleaning temperature is even lower in Gorenje ovens with the Aqua Clean system. To do this cleaning, you need to pour 0.5 liters of ordinary water into the oven tray and leave for half an hour at a temperature of 50°C, activating the cleaning program."&amp;" Then you just need to wipe the inside of the oven, removing any remaining dirt &amp;mdash; and your oven is ready for new culinary exploits.")</f>
        <v>The cleaning temperature is even lower in Gorenje ovens with the Aqua Clean system. To do this cleaning, you need to pour 0.5 liters of ordinary water into the oven tray and leave for half an hour at a temperature of 50°C, activating the cleaning program. Then you just need to wipe the inside of the oven, removing any remaining dirt &amp;mdash; and your oven is ready for new culinary exploits.</v>
      </c>
    </row>
    <row r="3068" spans="1:9" x14ac:dyDescent="0.3">
      <c r="A3068" s="1" t="s">
        <v>37</v>
      </c>
      <c r="B3068" s="1" t="s">
        <v>536</v>
      </c>
      <c r="C3068" s="1" t="s">
        <v>537</v>
      </c>
      <c r="D3068" s="1" t="s">
        <v>5692</v>
      </c>
      <c r="E3068" s="1" t="s">
        <v>800</v>
      </c>
      <c r="F3068" s="1" t="s">
        <v>5693</v>
      </c>
      <c r="G3068" s="1" t="s">
        <v>36</v>
      </c>
      <c r="H3068" s="1" t="s">
        <v>29</v>
      </c>
      <c r="I3068" s="1" t="str">
        <f ca="1">IFERROR(__xludf.DUMMYFUNCTION("GOOGLETRANSLATE(F3068, ""auto"", ""en"")
"),"True, there are defects, here’s what I was able to find out about it: 1. the case creaks, 2. the dust insulation is poorly glued and dust begins to accumulate at the top left under the screen. I got a device without these problems - I'm just glad. The pho"&amp;"ne is really convenient, beautiful and functional")</f>
        <v>True, there are defects, here’s what I was able to find out about it: 1. the case creaks, 2. the dust insulation is poorly glued and dust begins to accumulate at the top left under the screen. I got a device without these problems - I'm just glad. The phone is really convenient, beautiful and functional</v>
      </c>
    </row>
    <row r="3069" spans="1:9" x14ac:dyDescent="0.3">
      <c r="A3069" s="1" t="s">
        <v>67</v>
      </c>
      <c r="B3069" s="1" t="s">
        <v>68</v>
      </c>
      <c r="C3069" s="1" t="s">
        <v>381</v>
      </c>
      <c r="D3069" s="1" t="s">
        <v>152</v>
      </c>
      <c r="E3069" s="1" t="s">
        <v>628</v>
      </c>
      <c r="F3069" s="1" t="s">
        <v>5694</v>
      </c>
      <c r="G3069" s="1" t="s">
        <v>36</v>
      </c>
      <c r="H3069" s="1" t="s">
        <v>29</v>
      </c>
      <c r="I3069" s="1" t="str">
        <f ca="1">IFERROR(__xludf.DUMMYFUNCTION("GOOGLETRANSLATE(F3069, ""auto"", ""en"")
"),"cool iron, my wife and I bought it and we can’t get enough of it")</f>
        <v>cool iron, my wife and I bought it and we can’t get enough of it</v>
      </c>
    </row>
    <row r="3070" spans="1:9" x14ac:dyDescent="0.3">
      <c r="A3070" s="1" t="s">
        <v>149</v>
      </c>
      <c r="B3070" s="1" t="s">
        <v>155</v>
      </c>
      <c r="C3070" s="1" t="s">
        <v>63</v>
      </c>
      <c r="D3070" s="1" t="s">
        <v>568</v>
      </c>
      <c r="E3070" s="1" t="s">
        <v>5470</v>
      </c>
      <c r="F3070" s="1" t="s">
        <v>5695</v>
      </c>
      <c r="G3070" s="1" t="s">
        <v>36</v>
      </c>
      <c r="H3070" s="1" t="s">
        <v>29</v>
      </c>
      <c r="I3070" s="1" t="str">
        <f ca="1">IFERROR(__xludf.DUMMYFUNCTION("GOOGLETRANSLATE(F3070, ""auto"", ""en"")
"),"An excellent vacuum cleaner! Everything is thought out to the smallest detail, the container is very easy to clean, there are attachments for all occasions.")</f>
        <v>An excellent vacuum cleaner! Everything is thought out to the smallest detail, the container is very easy to clean, there are attachments for all occasions.</v>
      </c>
    </row>
    <row r="3071" spans="1:9" x14ac:dyDescent="0.3">
      <c r="A3071" s="1" t="s">
        <v>211</v>
      </c>
      <c r="B3071" s="1" t="s">
        <v>384</v>
      </c>
      <c r="C3071" s="1" t="s">
        <v>101</v>
      </c>
      <c r="D3071" s="1" t="s">
        <v>33</v>
      </c>
      <c r="E3071" s="1" t="s">
        <v>5696</v>
      </c>
      <c r="F3071" s="1" t="s">
        <v>5697</v>
      </c>
      <c r="G3071" s="1" t="s">
        <v>49</v>
      </c>
      <c r="H3071" s="1" t="s">
        <v>16</v>
      </c>
      <c r="I3071" s="1" t="str">
        <f ca="1">IFERROR(__xludf.DUMMYFUNCTION("GOOGLETRANSLATE(F3071, ""auto"", ""en"")
"),"Very disappointed with the purchase. The scales stopped working the day they were purchased. The inscription “Lo” was displayed, the battery was replaced, they worked for a day. The next day they didn't even turn on. The quality is bad. It needs to be cha"&amp;"nged.")</f>
        <v>Very disappointed with the purchase. The scales stopped working the day they were purchased. The inscription “Lo” was displayed, the battery was replaced, they worked for a day. The next day they didn't even turn on. The quality is bad. It needs to be changed.</v>
      </c>
    </row>
    <row r="3072" spans="1:9" x14ac:dyDescent="0.3">
      <c r="A3072" s="1" t="s">
        <v>37</v>
      </c>
      <c r="B3072" s="1" t="s">
        <v>38</v>
      </c>
      <c r="C3072" s="1" t="s">
        <v>39</v>
      </c>
      <c r="D3072" s="1" t="s">
        <v>86</v>
      </c>
      <c r="E3072" s="1" t="s">
        <v>971</v>
      </c>
      <c r="F3072" s="1" t="s">
        <v>5698</v>
      </c>
      <c r="G3072" s="1" t="s">
        <v>36</v>
      </c>
      <c r="H3072" s="1" t="s">
        <v>29</v>
      </c>
      <c r="I3072" s="1" t="str">
        <f ca="1">IFERROR(__xludf.DUMMYFUNCTION("GOOGLETRANSLATE(F3072, ""auto"", ""en"")
"),"1. “This darkening of the screen in a dark room is annoying” Alex, this is called a light sensor. Personally, it never bothers me + it saves battery.  2. “something was messed up with it, the call playback is quiet” is complete nonsense. The phone has a c"&amp;"ompletely ordinary speaker. “Ordinary” does not mean something of very high quality and loud, but you can’t call it quiet or low-quality either. absolutely normal speaker. The volume is quite sufficient, it plays without any crackling or wheezing.    The "&amp;"phone has pleasant weight/dimensions/assembly/materials (aluminum cover, minimal glass, rubberized keys). good photo/video camera, many functions, convenient menu and keys. There are no glitches or slowdowns as such. very good phone. I recommend it.")</f>
        <v>1. “This darkening of the screen in a dark room is annoying” Alex, this is called a light sensor. Personally, it never bothers me + it saves battery.  2. “something was messed up with it, the call playback is quiet” is complete nonsense. The phone has a completely ordinary speaker. “Ordinary” does not mean something of very high quality and loud, but you can’t call it quiet or low-quality either. absolutely normal speaker. The volume is quite sufficient, it plays without any crackling or wheezing.    The phone has pleasant weight/dimensions/assembly/materials (aluminum cover, minimal glass, rubberized keys). good photo/video camera, many functions, convenient menu and keys. There are no glitches or slowdowns as such. very good phone. I recommend it.</v>
      </c>
    </row>
    <row r="3073" spans="1:9" x14ac:dyDescent="0.3">
      <c r="A3073" s="1" t="s">
        <v>211</v>
      </c>
      <c r="B3073" s="1" t="s">
        <v>212</v>
      </c>
      <c r="C3073" s="1" t="s">
        <v>57</v>
      </c>
      <c r="D3073" s="1" t="s">
        <v>4244</v>
      </c>
      <c r="E3073" s="1" t="s">
        <v>4010</v>
      </c>
      <c r="F3073" s="1" t="s">
        <v>5699</v>
      </c>
      <c r="G3073" s="1" t="s">
        <v>36</v>
      </c>
      <c r="H3073" s="1" t="s">
        <v>29</v>
      </c>
      <c r="I3073" s="1" t="str">
        <f ca="1">IFERROR(__xludf.DUMMYFUNCTION("GOOGLETRANSLATE(F3073, ""auto"", ""en"")
"),"Inexpensive, compact and practical model of curling iron. I don’t know what could be even simpler and cheaper, but it’s simple here. This is probably where the genius lies. I chose the tongs first by appearance, then by power, then by price. And it was in"&amp;" this model that everything coincided. I never thought that I would be so happy about such simple things. And yet, the tongs have a newfangled ceramic coating, there are 2 heating modes, and the cord does not twist during the process. The price is more th"&amp;"an attractive. I liked the design itself - very thoughtful and elegant. We didn’t forget about ergonomics. It’s pleasant to hold in your hands, and even more pleasant to work with. Cons: due to the low temperature, it takes a long time to heat up. Well, i"&amp;"t’s a long one – several minutes, but there are impatient people who need everything right now and at once for 5 minutes, because they are constantly late. But I think this is not a drawback of the forceps, but rather of their users.")</f>
        <v>Inexpensive, compact and practical model of curling iron. I don’t know what could be even simpler and cheaper, but it’s simple here. This is probably where the genius lies. I chose the tongs first by appearance, then by power, then by price. And it was in this model that everything coincided. I never thought that I would be so happy about such simple things. And yet, the tongs have a newfangled ceramic coating, there are 2 heating modes, and the cord does not twist during the process. The price is more than attractive. I liked the design itself - very thoughtful and elegant. We didn’t forget about ergonomics. It’s pleasant to hold in your hands, and even more pleasant to work with. Cons: due to the low temperature, it takes a long time to heat up. Well, it’s a long one – several minutes, but there are impatient people who need everything right now and at once for 5 minutes, because they are constantly late. But I think this is not a drawback of the forceps, but rather of their users.</v>
      </c>
    </row>
    <row r="3074" spans="1:9" x14ac:dyDescent="0.3">
      <c r="A3074" s="1" t="s">
        <v>43</v>
      </c>
      <c r="B3074" s="1" t="s">
        <v>219</v>
      </c>
      <c r="C3074" s="1" t="s">
        <v>220</v>
      </c>
      <c r="D3074" s="1" t="s">
        <v>12</v>
      </c>
      <c r="E3074" s="1" t="s">
        <v>838</v>
      </c>
      <c r="F3074" s="1" t="s">
        <v>5700</v>
      </c>
      <c r="G3074" s="1" t="s">
        <v>28</v>
      </c>
      <c r="H3074" s="1" t="s">
        <v>29</v>
      </c>
      <c r="I3074" s="1" t="str">
        <f ca="1">IFERROR(__xludf.DUMMYFUNCTION("GOOGLETRANSLATE(F3074, ""auto"", ""en"")
"),"The water heater served excellently for 5 years in the kitchen of a private house, but for a month now it has started leaking, ruined the cabinet in which it was hidden, you will have to buy a new one, it’s a pity that it didn’t last long")</f>
        <v>The water heater served excellently for 5 years in the kitchen of a private house, but for a month now it has started leaking, ruined the cabinet in which it was hidden, you will have to buy a new one, it’s a pity that it didn’t last long</v>
      </c>
    </row>
    <row r="3075" spans="1:9" x14ac:dyDescent="0.3">
      <c r="A3075" s="1" t="s">
        <v>120</v>
      </c>
      <c r="B3075" s="1" t="s">
        <v>121</v>
      </c>
      <c r="C3075" s="1" t="s">
        <v>80</v>
      </c>
      <c r="D3075" s="1" t="s">
        <v>305</v>
      </c>
      <c r="E3075" s="1" t="s">
        <v>1207</v>
      </c>
      <c r="F3075" s="1" t="s">
        <v>5701</v>
      </c>
      <c r="G3075" s="1" t="s">
        <v>49</v>
      </c>
      <c r="H3075" s="1" t="s">
        <v>16</v>
      </c>
      <c r="I3075" s="1" t="str">
        <f ca="1">IFERROR(__xludf.DUMMYFUNCTION("GOOGLETRANSLATE(F3075, ""auto"", ""en"")
"),"Do not buy this TV like others from Lg that do not have the 100 Hz function.  I bought this TV and was disappointed. The picture quality is like a cheap LCD monitor, a lot of noise, unnatural colors, artifacts hurt the eyes. Not suitable for watching TV a"&amp;"t all. In addition, the TV emits a very noticeable strange odor. It seems to me that this is due to the mercury used in cheap LCDs. Overall the money was wasted. I plan to take it to the landfill.")</f>
        <v>Do not buy this TV like others from Lg that do not have the 100 Hz function.  I bought this TV and was disappointed. The picture quality is like a cheap LCD monitor, a lot of noise, unnatural colors, artifacts hurt the eyes. Not suitable for watching TV at all. In addition, the TV emits a very noticeable strange odor. It seems to me that this is due to the mercury used in cheap LCDs. Overall the money was wasted. I plan to take it to the landfill.</v>
      </c>
    </row>
    <row r="3076" spans="1:9" x14ac:dyDescent="0.3">
      <c r="A3076" s="1" t="s">
        <v>37</v>
      </c>
      <c r="B3076" s="1" t="s">
        <v>1829</v>
      </c>
      <c r="C3076" s="1" t="s">
        <v>151</v>
      </c>
      <c r="D3076" s="1" t="s">
        <v>2764</v>
      </c>
      <c r="E3076" s="1" t="s">
        <v>796</v>
      </c>
      <c r="F3076" s="1" t="s">
        <v>5702</v>
      </c>
      <c r="G3076" s="1" t="s">
        <v>36</v>
      </c>
      <c r="H3076" s="1" t="s">
        <v>29</v>
      </c>
      <c r="I3076" s="1" t="str">
        <f ca="1">IFERROR(__xludf.DUMMYFUNCTION("GOOGLETRANSLATE(F3076, ""auto"", ""en"")
"),"I've been using it for almost 2 years and I wouldn't trade it for anything else)), I'm still delighted with it)) Thin, light, bright, clear, the photos are gorgeous)) There was one problem with the battery swelling, but the service center resolved this is"&amp;"sue without any problems. I use it with pleasure and recommend it to everyone!!!)")</f>
        <v>I've been using it for almost 2 years and I wouldn't trade it for anything else)), I'm still delighted with it)) Thin, light, bright, clear, the photos are gorgeous)) There was one problem with the battery swelling, but the service center resolved this issue without any problems. I use it with pleasure and recommend it to everyone!!!)</v>
      </c>
    </row>
    <row r="3077" spans="1:9" x14ac:dyDescent="0.3">
      <c r="A3077" s="1" t="s">
        <v>61</v>
      </c>
      <c r="B3077" s="1" t="s">
        <v>224</v>
      </c>
      <c r="C3077" s="1" t="s">
        <v>85</v>
      </c>
      <c r="D3077" s="1" t="s">
        <v>12</v>
      </c>
      <c r="E3077" s="1" t="s">
        <v>3909</v>
      </c>
      <c r="F3077" s="1" t="s">
        <v>5703</v>
      </c>
      <c r="G3077" s="1" t="s">
        <v>36</v>
      </c>
      <c r="H3077" s="1" t="s">
        <v>29</v>
      </c>
      <c r="I3077" s="1" t="str">
        <f ca="1">IFERROR(__xludf.DUMMYFUNCTION("GOOGLETRANSLATE(F3077, ""auto"", ""en"")
"),"An excellent juicer, everything is thought out to the smallest detail, it’s convenient, even a child can handle it.")</f>
        <v>An excellent juicer, everything is thought out to the smallest detail, it’s convenient, even a child can handle it.</v>
      </c>
    </row>
    <row r="3078" spans="1:9" x14ac:dyDescent="0.3">
      <c r="A3078" s="1" t="s">
        <v>30</v>
      </c>
      <c r="B3078" s="1" t="s">
        <v>50</v>
      </c>
      <c r="C3078" s="1" t="s">
        <v>189</v>
      </c>
      <c r="D3078" s="1" t="s">
        <v>39</v>
      </c>
      <c r="E3078" s="1" t="s">
        <v>824</v>
      </c>
      <c r="F3078" s="1" t="s">
        <v>5704</v>
      </c>
      <c r="G3078" s="1" t="s">
        <v>28</v>
      </c>
      <c r="H3078" s="1" t="s">
        <v>29</v>
      </c>
      <c r="I3078" s="1" t="str">
        <f ca="1">IFERROR(__xludf.DUMMYFUNCTION("GOOGLETRANSLATE(F3078, ""auto"", ""en"")
"),"When connecting a 16GB USB flash drive, data cannot be copied from it.  ASUS blocked N (WiFi) due to lack of certification (and on some, it resolders modules only to b / g).")</f>
        <v>When connecting a 16GB USB flash drive, data cannot be copied from it.  ASUS blocked N (WiFi) due to lack of certification (and on some, it resolders modules only to b / g).</v>
      </c>
    </row>
    <row r="3079" spans="1:9" x14ac:dyDescent="0.3">
      <c r="A3079" s="1" t="s">
        <v>9</v>
      </c>
      <c r="B3079" s="1" t="s">
        <v>137</v>
      </c>
      <c r="C3079" s="1" t="s">
        <v>63</v>
      </c>
      <c r="D3079" s="1" t="s">
        <v>1506</v>
      </c>
      <c r="E3079" s="1" t="s">
        <v>563</v>
      </c>
      <c r="F3079" s="1" t="s">
        <v>5705</v>
      </c>
      <c r="G3079" s="1" t="s">
        <v>36</v>
      </c>
      <c r="H3079" s="1" t="s">
        <v>29</v>
      </c>
      <c r="I3079" s="1" t="str">
        <f ca="1">IFERROR(__xludf.DUMMYFUNCTION("GOOGLETRANSLATE(F3079, ""auto"", ""en"")
"),"We have been using this panel for six months. I also don’t agree with Igor’s reviews, as does Pavel, but I wouldn’t risk cleaning with soda, after all, it’s an abrasive agent. We clean with Schumanite, no stains, the surface is like new. It heats up very "&amp;"quickly, I also like that the control is not touch-sensitive, but mechanical. A wonderful thing. In my opinion, there is only one drawback - you cannot place two pots or pans with a large diameter at once")</f>
        <v>We have been using this panel for six months. I also don’t agree with Igor’s reviews, as does Pavel, but I wouldn’t risk cleaning with soda, after all, it’s an abrasive agent. We clean with Schumanite, no stains, the surface is like new. It heats up very quickly, I also like that the control is not touch-sensitive, but mechanical. A wonderful thing. In my opinion, there is only one drawback - you cannot place two pots or pans with a large diameter at once</v>
      </c>
    </row>
    <row r="3080" spans="1:9" x14ac:dyDescent="0.3">
      <c r="A3080" s="1" t="s">
        <v>211</v>
      </c>
      <c r="B3080" s="1" t="s">
        <v>410</v>
      </c>
      <c r="C3080" s="1" t="s">
        <v>213</v>
      </c>
      <c r="D3080" s="1" t="s">
        <v>81</v>
      </c>
      <c r="E3080" s="1" t="s">
        <v>5706</v>
      </c>
      <c r="F3080" s="1" t="s">
        <v>5707</v>
      </c>
      <c r="G3080" s="1" t="s">
        <v>36</v>
      </c>
      <c r="H3080" s="1" t="s">
        <v>29</v>
      </c>
      <c r="I3080" s="1" t="str">
        <f ca="1">IFERROR(__xludf.DUMMYFUNCTION("GOOGLETRANSLATE(F3080, ""auto"", ""en"")
"),"Many useful functions, very high quality build, nice design.  The shave pleased me with its quality and less irritation than when shaving with a machine.  All sorts of little things, such as self-cleaning, the level of contamination of the razor, eliminat"&amp;"e questions about maintaining the razor.")</f>
        <v>Many useful functions, very high quality build, nice design.  The shave pleased me with its quality and less irritation than when shaving with a machine.  All sorts of little things, such as self-cleaning, the level of contamination of the razor, eliminate questions about maintaining the razor.</v>
      </c>
    </row>
    <row r="3081" spans="1:9" x14ac:dyDescent="0.3">
      <c r="A3081" s="1" t="s">
        <v>30</v>
      </c>
      <c r="B3081" s="1" t="s">
        <v>50</v>
      </c>
      <c r="C3081" s="1" t="s">
        <v>32</v>
      </c>
      <c r="D3081" s="1" t="s">
        <v>5708</v>
      </c>
      <c r="E3081" s="1" t="s">
        <v>1527</v>
      </c>
      <c r="F3081" s="1" t="s">
        <v>5709</v>
      </c>
      <c r="G3081" s="1" t="s">
        <v>28</v>
      </c>
      <c r="H3081" s="1" t="s">
        <v>29</v>
      </c>
      <c r="I3081" s="1" t="str">
        <f ca="1">IFERROR(__xludf.DUMMYFUNCTION("GOOGLETRANSLATE(F3081, ""auto"", ""en"")
"),"So I’ll tell you how it is... I’ve had this laptop for four months now... pros: design, battery life (not 8 hours, 3 although you can squeeze out up to 5), screen, performance, runs fine Faracry2, Fallout3, etc., price, comfortable keyboard + us lock, sma"&amp;"rt touchpad, silent, does not heat up, thin and light... cons: no bluetooth, after a month a dead pixel appeared (so you need to change 5 of these), weak sound (very)...")</f>
        <v>So I’ll tell you how it is... I’ve had this laptop for four months now... pros: design, battery life (not 8 hours, 3 although you can squeeze out up to 5), screen, performance, runs fine Faracry2, Fallout3, etc., price, comfortable keyboard + us lock, smart touchpad, silent, does not heat up, thin and light... cons: no bluetooth, after a month a dead pixel appeared (so you need to change 5 of these), weak sound (very)...</v>
      </c>
    </row>
    <row r="3082" spans="1:9" x14ac:dyDescent="0.3">
      <c r="A3082" s="1" t="s">
        <v>169</v>
      </c>
      <c r="B3082" s="1" t="s">
        <v>170</v>
      </c>
      <c r="C3082" s="1" t="s">
        <v>69</v>
      </c>
      <c r="D3082" s="1" t="s">
        <v>5710</v>
      </c>
      <c r="E3082" s="1" t="s">
        <v>3999</v>
      </c>
      <c r="F3082" s="1" t="s">
        <v>5711</v>
      </c>
      <c r="G3082" s="1" t="s">
        <v>36</v>
      </c>
      <c r="H3082" s="1" t="s">
        <v>29</v>
      </c>
      <c r="I3082" s="1" t="str">
        <f ca="1">IFERROR(__xludf.DUMMYFUNCTION("GOOGLETRANSLATE(F3082, ""auto"", ""en"")
"),"I agree with the post above, the mugs are simply excellent, I’ve been using them for 4 years now, the bass is simply excellent, the 6-meter cord can be connected to the TV, they are light, do not rub, do not press.  Take it, you won't regret it!")</f>
        <v>I agree with the post above, the mugs are simply excellent, I’ve been using them for 4 years now, the bass is simply excellent, the 6-meter cord can be connected to the TV, they are light, do not rub, do not press.  Take it, you won't regret it!</v>
      </c>
    </row>
    <row r="3083" spans="1:9" x14ac:dyDescent="0.3">
      <c r="A3083" s="1" t="s">
        <v>2087</v>
      </c>
      <c r="B3083" s="1" t="s">
        <v>2088</v>
      </c>
      <c r="C3083" s="1" t="s">
        <v>69</v>
      </c>
      <c r="D3083" s="1" t="s">
        <v>420</v>
      </c>
      <c r="E3083" s="1" t="s">
        <v>824</v>
      </c>
      <c r="F3083" s="1" t="s">
        <v>5712</v>
      </c>
      <c r="G3083" s="1" t="s">
        <v>28</v>
      </c>
      <c r="H3083" s="1" t="s">
        <v>29</v>
      </c>
      <c r="I3083" s="1" t="str">
        <f ca="1">IFERROR(__xludf.DUMMYFUNCTION("GOOGLETRANSLATE(F3083, ""auto"", ""en"")
"),"Good design, I was pleased that it reproduces the MKV format, the picture is clear.")</f>
        <v>Good design, I was pleased that it reproduces the MKV format, the picture is clear.</v>
      </c>
    </row>
    <row r="3084" spans="1:9" x14ac:dyDescent="0.3">
      <c r="A3084" s="1" t="s">
        <v>30</v>
      </c>
      <c r="B3084" s="1" t="s">
        <v>31</v>
      </c>
      <c r="C3084" s="1" t="s">
        <v>32</v>
      </c>
      <c r="D3084" s="1" t="s">
        <v>327</v>
      </c>
      <c r="E3084" s="1" t="s">
        <v>269</v>
      </c>
      <c r="F3084" s="1" t="s">
        <v>5713</v>
      </c>
      <c r="G3084" s="1" t="s">
        <v>28</v>
      </c>
      <c r="H3084" s="1" t="s">
        <v>29</v>
      </c>
      <c r="I3084" s="1" t="str">
        <f ca="1">IFERROR(__xludf.DUMMYFUNCTION("GOOGLETRANSLATE(F3084, ""auto"", ""en"")
"),"It sees 3 gigs instead of 6 because it has 32-bit Windows 7, this is the main drawback that they couldn’t immediately install the 64-bit version")</f>
        <v>It sees 3 gigs instead of 6 because it has 32-bit Windows 7, this is the main drawback that they couldn’t immediately install the 64-bit version</v>
      </c>
    </row>
    <row r="3085" spans="1:9" x14ac:dyDescent="0.3">
      <c r="A3085" s="1" t="s">
        <v>61</v>
      </c>
      <c r="B3085" s="1" t="s">
        <v>5714</v>
      </c>
      <c r="C3085" s="1" t="s">
        <v>146</v>
      </c>
      <c r="D3085" s="1" t="s">
        <v>5715</v>
      </c>
      <c r="E3085" s="1" t="s">
        <v>3975</v>
      </c>
      <c r="F3085" s="1" t="s">
        <v>5716</v>
      </c>
      <c r="G3085" s="1" t="s">
        <v>36</v>
      </c>
      <c r="H3085" s="1" t="s">
        <v>29</v>
      </c>
      <c r="I3085" s="1" t="str">
        <f ca="1">IFERROR(__xludf.DUMMYFUNCTION("GOOGLETRANSLATE(F3085, ""auto"", ""en"")
"),"My husband was recently pleased that the plastic attachment for sausage on the food processor cracked, and here in the set there are three pieces at once - a metal one with small holes for minced meat, the same one as a replacement for sausage and another"&amp;" one for kebabs) They are attached to the processor very securely and do not fall off during the process, in general, a really high-quality product, I don’t see any disadvantages!")</f>
        <v>My husband was recently pleased that the plastic attachment for sausage on the food processor cracked, and here in the set there are three pieces at once - a metal one with small holes for minced meat, the same one as a replacement for sausage and another one for kebabs) They are attached to the processor very securely and do not fall off during the process, in general, a really high-quality product, I don’t see any disadvantages!</v>
      </c>
    </row>
    <row r="3086" spans="1:9" x14ac:dyDescent="0.3">
      <c r="A3086" s="1" t="s">
        <v>496</v>
      </c>
      <c r="B3086" s="1" t="s">
        <v>497</v>
      </c>
      <c r="C3086" s="1" t="s">
        <v>479</v>
      </c>
      <c r="D3086" s="1" t="s">
        <v>5717</v>
      </c>
      <c r="E3086" s="1" t="s">
        <v>1136</v>
      </c>
      <c r="F3086" s="1" t="s">
        <v>5718</v>
      </c>
      <c r="G3086" s="1" t="s">
        <v>36</v>
      </c>
      <c r="H3086" s="1" t="s">
        <v>29</v>
      </c>
      <c r="I3086" s="1" t="str">
        <f ca="1">IFERROR(__xludf.DUMMYFUNCTION("GOOGLETRANSLATE(F3086, ""auto"", ""en"")
"),"In principle, I liked the software. Everything is somehow clearly laid out on the shelves, questions, task options, documents. Finding what you need is not a problem. I don’t have to sit over my son myself, he decides everything on his own and then the re"&amp;"sult is displayed. I hope we can scrape together some decent points. Still, there will be less stress; he’s already used to taking the exam.")</f>
        <v>In principle, I liked the software. Everything is somehow clearly laid out on the shelves, questions, task options, documents. Finding what you need is not a problem. I don’t have to sit over my son myself, he decides everything on his own and then the result is displayed. I hope we can scrape together some decent points. Still, there will be less stress; he’s already used to taking the exam.</v>
      </c>
    </row>
    <row r="3087" spans="1:9" x14ac:dyDescent="0.3">
      <c r="A3087" s="1" t="s">
        <v>61</v>
      </c>
      <c r="B3087" s="1" t="s">
        <v>73</v>
      </c>
      <c r="C3087" s="1" t="s">
        <v>314</v>
      </c>
      <c r="D3087" s="1" t="s">
        <v>5719</v>
      </c>
      <c r="E3087" s="1" t="s">
        <v>3461</v>
      </c>
      <c r="F3087" s="1" t="s">
        <v>5720</v>
      </c>
      <c r="G3087" s="1" t="s">
        <v>15</v>
      </c>
      <c r="H3087" s="1" t="s">
        <v>16</v>
      </c>
      <c r="I3087" s="1" t="str">
        <f ca="1">IFERROR(__xludf.DUMMYFUNCTION("GOOGLETRANSLATE(F3087, ""auto"", ""en"")
"),"The meat grinder seems to be quite good. But I can’t help but speak about the discrepancy between the price and quality of the Zelmer meat grinder. The plastic drive is the lot of the cheapest consumer goods from the market. But there is a corresponding p"&amp;"rice. And for that kind of money it’s simply not serious. Yesterday I discovered a chip on the drive. I'm waiting for an expensive toy to break...")</f>
        <v>The meat grinder seems to be quite good. But I can’t help but speak about the discrepancy between the price and quality of the Zelmer meat grinder. The plastic drive is the lot of the cheapest consumer goods from the market. But there is a corresponding price. And for that kind of money it’s simply not serious. Yesterday I discovered a chip on the drive. I'm waiting for an expensive toy to break...</v>
      </c>
    </row>
    <row r="3088" spans="1:9" x14ac:dyDescent="0.3">
      <c r="A3088" s="1" t="s">
        <v>89</v>
      </c>
      <c r="B3088" s="1" t="s">
        <v>231</v>
      </c>
      <c r="C3088" s="1" t="s">
        <v>185</v>
      </c>
      <c r="D3088" s="1" t="s">
        <v>280</v>
      </c>
      <c r="E3088" s="1" t="s">
        <v>517</v>
      </c>
      <c r="F3088" s="1" t="s">
        <v>5721</v>
      </c>
      <c r="G3088" s="1" t="s">
        <v>36</v>
      </c>
      <c r="H3088" s="1" t="s">
        <v>29</v>
      </c>
      <c r="I3088" s="1" t="str">
        <f ca="1">IFERROR(__xludf.DUMMYFUNCTION("GOOGLETRANSLATE(F3088, ""auto"", ""en"")
"),"Price and Quality. Does not require additional lubrication or special care. Reliable. 5 years warranty")</f>
        <v>Price and Quality. Does not require additional lubrication or special care. Reliable. 5 years warranty</v>
      </c>
    </row>
    <row r="3089" spans="1:9" x14ac:dyDescent="0.3">
      <c r="A3089" s="1" t="s">
        <v>37</v>
      </c>
      <c r="B3089" s="1" t="s">
        <v>355</v>
      </c>
      <c r="C3089" s="1" t="s">
        <v>356</v>
      </c>
      <c r="D3089" s="1" t="s">
        <v>280</v>
      </c>
      <c r="E3089" s="1" t="s">
        <v>3867</v>
      </c>
      <c r="F3089" s="1" t="s">
        <v>5722</v>
      </c>
      <c r="G3089" s="1" t="s">
        <v>36</v>
      </c>
      <c r="H3089" s="1" t="s">
        <v>29</v>
      </c>
      <c r="I3089" s="1" t="str">
        <f ca="1">IFERROR(__xludf.DUMMYFUNCTION("GOOGLETRANSLATE(F3089, ""auto"", ""en"")
"),"Roman, I understand and respect your opinion, because you are partly right, but it’s not a problem to reflash the device, installing an operating system on a Computer is many times more difficult, no, even more tedious, but I think you have nothing agains"&amp;"t computers and their “firmware”.   All those disadvantages of the iPhone that you listed in modern firmware have been eliminated and, in addition, hundreds of amenities have been added that will make the hearts of even the most “iPhone-hating” people mel"&amp;"t.    In general, everyone remains to their own opinion, personally, I see the main disadvantages of the device in its excessively strong energy requirements (1400 mAh, for example, the Nokia N97 has such a capacity for a week and a half in standby mode) "&amp;"and the lack of a slot for additional memory cards.    But the 21st century has just begun, and consumers will be able to find disadvantages in everything they use, and this has always been the case.")</f>
        <v>Roman, I understand and respect your opinion, because you are partly right, but it’s not a problem to reflash the device, installing an operating system on a Computer is many times more difficult, no, even more tedious, but I think you have nothing against computers and their “firmware”.   All those disadvantages of the iPhone that you listed in modern firmware have been eliminated and, in addition, hundreds of amenities have been added that will make the hearts of even the most “iPhone-hating” people melt.    In general, everyone remains to their own opinion, personally, I see the main disadvantages of the device in its excessively strong energy requirements (1400 mAh, for example, the Nokia N97 has such a capacity for a week and a half in standby mode) and the lack of a slot for additional memory cards.    But the 21st century has just begun, and consumers will be able to find disadvantages in everything they use, and this has always been the case.</v>
      </c>
    </row>
    <row r="3090" spans="1:9" x14ac:dyDescent="0.3">
      <c r="A3090" s="1" t="s">
        <v>37</v>
      </c>
      <c r="B3090" s="1" t="s">
        <v>38</v>
      </c>
      <c r="C3090" s="1" t="s">
        <v>163</v>
      </c>
      <c r="D3090" s="1" t="s">
        <v>39</v>
      </c>
      <c r="E3090" s="1" t="s">
        <v>1826</v>
      </c>
      <c r="F3090" s="1" t="s">
        <v>5723</v>
      </c>
      <c r="G3090" s="1" t="s">
        <v>36</v>
      </c>
      <c r="H3090" s="1" t="s">
        <v>29</v>
      </c>
      <c r="I3090" s="1" t="str">
        <f ca="1">IFERROR(__xludf.DUMMYFUNCTION("GOOGLETRANSLATE(F3090, ""auto"", ""en"")
"),"It’s a good device, I’ve been using it for more than six months, there were no complaints about its performance. The battery lasts a long time, the speaker is loud, good design, comfortable to hold in your hand, I'm pleased with the new OS.  The downside "&amp;"is that the silver coating on the joystick quickly wears off and the surface of the phone is almost always covered in fingerprints. Well, even in bright light, for example in the summer during the day, it is very difficult to see what is on the screen.")</f>
        <v>It’s a good device, I’ve been using it for more than six months, there were no complaints about its performance. The battery lasts a long time, the speaker is loud, good design, comfortable to hold in your hand, I'm pleased with the new OS.  The downside is that the silver coating on the joystick quickly wears off and the surface of the phone is almost always covered in fingerprints. Well, even in bright light, for example in the summer during the day, it is very difficult to see what is on the screen.</v>
      </c>
    </row>
    <row r="3091" spans="1:9" x14ac:dyDescent="0.3">
      <c r="A3091" s="1" t="s">
        <v>30</v>
      </c>
      <c r="B3091" s="1" t="s">
        <v>50</v>
      </c>
      <c r="C3091" s="1" t="s">
        <v>694</v>
      </c>
      <c r="D3091" s="1" t="s">
        <v>280</v>
      </c>
      <c r="E3091" s="1" t="s">
        <v>750</v>
      </c>
      <c r="F3091" s="1" t="s">
        <v>5724</v>
      </c>
      <c r="G3091" s="1" t="s">
        <v>36</v>
      </c>
      <c r="H3091" s="1" t="s">
        <v>29</v>
      </c>
      <c r="I3091" s="1" t="str">
        <f ca="1">IFERROR(__xludf.DUMMYFUNCTION("GOOGLETRANSLATE(F3091, ""auto"", ""en"")
"),"Nice laptop. Unrivaled design. If you need power and beauty, then take this beech. There are really many advantages. Among them, high-quality sound using Dolby technology and a high-definition multimedia interface that allows the transmission of high-reso"&amp;"lution digital video data and multi-channel digital audio signals stand out. Very convenient desktop control sensor. Adaptive light sensor.  About the cons. The color of the Russian and Latin layouts is the same, the case appears to be easily soiled. The "&amp;"video card is limited, so it slows down in complex graphics programs. Yes, there is no WiMax yet. and there are only two USB 2.0 slots, which is really not enough.")</f>
        <v>Nice laptop. Unrivaled design. If you need power and beauty, then take this beech. There are really many advantages. Among them, high-quality sound using Dolby technology and a high-definition multimedia interface that allows the transmission of high-resolution digital video data and multi-channel digital audio signals stand out. Very convenient desktop control sensor. Adaptive light sensor.  About the cons. The color of the Russian and Latin layouts is the same, the case appears to be easily soiled. The video card is limited, so it slows down in complex graphics programs. Yes, there is no WiMax yet. and there are only two USB 2.0 slots, which is really not enough.</v>
      </c>
    </row>
    <row r="3092" spans="1:9" x14ac:dyDescent="0.3">
      <c r="A3092" s="1" t="s">
        <v>43</v>
      </c>
      <c r="B3092" s="1" t="s">
        <v>334</v>
      </c>
      <c r="C3092" s="1" t="s">
        <v>101</v>
      </c>
      <c r="D3092" s="1" t="s">
        <v>102</v>
      </c>
      <c r="E3092" s="1" t="s">
        <v>1692</v>
      </c>
      <c r="F3092" s="1" t="s">
        <v>5725</v>
      </c>
      <c r="G3092" s="1" t="s">
        <v>49</v>
      </c>
      <c r="H3092" s="1" t="s">
        <v>16</v>
      </c>
      <c r="I3092" s="1" t="str">
        <f ca="1">IFERROR(__xludf.DUMMYFUNCTION("GOOGLETRANSLATE(F3092, ""auto"", ""en"")
"),"Cheap fan, good airflow")</f>
        <v>Cheap fan, good airflow</v>
      </c>
    </row>
    <row r="3093" spans="1:9" x14ac:dyDescent="0.3">
      <c r="A3093" s="1" t="s">
        <v>211</v>
      </c>
      <c r="B3093" s="1" t="s">
        <v>899</v>
      </c>
      <c r="C3093" s="1" t="s">
        <v>213</v>
      </c>
      <c r="D3093" s="1" t="s">
        <v>5172</v>
      </c>
      <c r="E3093" s="1" t="s">
        <v>1088</v>
      </c>
      <c r="F3093" s="1" t="s">
        <v>5726</v>
      </c>
      <c r="G3093" s="1" t="s">
        <v>36</v>
      </c>
      <c r="H3093" s="1" t="s">
        <v>29</v>
      </c>
      <c r="I3093" s="1" t="str">
        <f ca="1">IFERROR(__xludf.DUMMYFUNCTION("GOOGLETRANSLATE(F3093, ""auto"", ""en"")
"),"Yes, the toothbrush is good. I'm happy with the purchase, especially my first electric toothbrush! Charging lasts for a week. It has a whitening effect and cleans teeth perfectly. There are 3 attachments, I use them all :)")</f>
        <v>Yes, the toothbrush is good. I'm happy with the purchase, especially my first electric toothbrush! Charging lasts for a week. It has a whitening effect and cleans teeth perfectly. There are 3 attachments, I use them all :)</v>
      </c>
    </row>
    <row r="3094" spans="1:9" x14ac:dyDescent="0.3">
      <c r="A3094" s="1" t="s">
        <v>37</v>
      </c>
      <c r="B3094" s="1" t="s">
        <v>536</v>
      </c>
      <c r="C3094" s="1" t="s">
        <v>537</v>
      </c>
      <c r="D3094" s="1" t="s">
        <v>2764</v>
      </c>
      <c r="E3094" s="1" t="s">
        <v>2150</v>
      </c>
      <c r="F3094" s="1" t="s">
        <v>5727</v>
      </c>
      <c r="G3094" s="1" t="s">
        <v>28</v>
      </c>
      <c r="H3094" s="1" t="s">
        <v>29</v>
      </c>
      <c r="I3094" s="1" t="str">
        <f ca="1">IFERROR(__xludf.DUMMYFUNCTION("GOOGLETRANSLATE(F3094, ""auto"", ""en"")
"),"8 months and died (so-so) that’s all")</f>
        <v>8 months and died (so-so) that’s all</v>
      </c>
    </row>
    <row r="3095" spans="1:9" x14ac:dyDescent="0.3">
      <c r="A3095" s="1" t="s">
        <v>9</v>
      </c>
      <c r="B3095" s="1" t="s">
        <v>23</v>
      </c>
      <c r="C3095" s="1" t="s">
        <v>466</v>
      </c>
      <c r="D3095" s="1" t="s">
        <v>46</v>
      </c>
      <c r="E3095" s="1" t="s">
        <v>5728</v>
      </c>
      <c r="F3095" s="1" t="s">
        <v>5729</v>
      </c>
      <c r="G3095" s="1" t="s">
        <v>28</v>
      </c>
      <c r="H3095" s="1" t="s">
        <v>29</v>
      </c>
      <c r="I3095" s="1" t="str">
        <f ca="1">IFERROR(__xludf.DUMMYFUNCTION("GOOGLETRANSLATE(F3095, ""auto"", ""en"")
"),"I've been using it for a year. After a couple of months, problems began with the E3, it squeaked and did not wash. It turned out that the salt had simply run out. Now I sprinkle it on a spoon before the sink, everything is fine. It cleans plates, mugs, an"&amp;"d pans perfectly, but leaves a streak on pots while there is liquid.&amp;nbsp;")</f>
        <v>I've been using it for a year. After a couple of months, problems began with the E3, it squeaked and did not wash. It turned out that the salt had simply run out. Now I sprinkle it on a spoon before the sink, everything is fine. It cleans plates, mugs, and pans perfectly, but leaves a streak on pots while there is liquid.&amp;nbsp;</v>
      </c>
    </row>
    <row r="3096" spans="1:9" x14ac:dyDescent="0.3">
      <c r="A3096" s="1" t="s">
        <v>37</v>
      </c>
      <c r="B3096" s="1" t="s">
        <v>38</v>
      </c>
      <c r="C3096" s="1" t="s">
        <v>39</v>
      </c>
      <c r="D3096" s="1" t="s">
        <v>232</v>
      </c>
      <c r="E3096" s="1" t="s">
        <v>26</v>
      </c>
      <c r="F3096" s="1" t="s">
        <v>5730</v>
      </c>
      <c r="G3096" s="1" t="s">
        <v>36</v>
      </c>
      <c r="H3096" s="1" t="s">
        <v>29</v>
      </c>
      <c r="I3096" s="1" t="str">
        <f ca="1">IFERROR(__xludf.DUMMYFUNCTION("GOOGLETRANSLATE(F3096, ""auto"", ""en"")
"),"My opinion is that this is an awesome phone, I’m happy with everything about it, take it, you won’t regret it")</f>
        <v>My opinion is that this is an awesome phone, I’m happy with everything about it, take it, you won’t regret it</v>
      </c>
    </row>
    <row r="3097" spans="1:9" x14ac:dyDescent="0.3">
      <c r="A3097" s="1" t="s">
        <v>61</v>
      </c>
      <c r="B3097" s="1" t="s">
        <v>318</v>
      </c>
      <c r="C3097" s="1" t="s">
        <v>69</v>
      </c>
      <c r="D3097" s="1" t="s">
        <v>228</v>
      </c>
      <c r="E3097" s="1" t="s">
        <v>1150</v>
      </c>
      <c r="F3097" s="1" t="s">
        <v>5731</v>
      </c>
      <c r="G3097" s="1" t="s">
        <v>36</v>
      </c>
      <c r="H3097" s="1" t="s">
        <v>29</v>
      </c>
      <c r="I3097" s="1" t="str">
        <f ca="1">IFERROR(__xludf.DUMMYFUNCTION("GOOGLETRANSLATE(F3097, ""auto"", ""en"")
"),"We used the kettle for 10 years, we are very satisfied, during the entire period of operation the following broke down: 1. The scale filter died, 2 In the second year of operation, the bell stopped working when turned off, and no more breakdowns. They did"&amp;"n't take it in for repairs, the kettle is perfect. The most interesting thing is that on the kettle itself it is written: made in France.")</f>
        <v>We used the kettle for 10 years, we are very satisfied, during the entire period of operation the following broke down: 1. The scale filter died, 2 In the second year of operation, the bell stopped working when turned off, and no more breakdowns. They didn't take it in for repairs, the kettle is perfect. The most interesting thing is that on the kettle itself it is written: made in France.</v>
      </c>
    </row>
    <row r="3098" spans="1:9" x14ac:dyDescent="0.3">
      <c r="A3098" s="1" t="s">
        <v>105</v>
      </c>
      <c r="B3098" s="1" t="s">
        <v>106</v>
      </c>
      <c r="C3098" s="1" t="s">
        <v>107</v>
      </c>
      <c r="D3098" s="1" t="s">
        <v>5732</v>
      </c>
      <c r="E3098" s="1" t="s">
        <v>1639</v>
      </c>
      <c r="F3098" s="1" t="s">
        <v>5733</v>
      </c>
      <c r="G3098" s="1" t="s">
        <v>49</v>
      </c>
      <c r="H3098" s="1" t="s">
        <v>16</v>
      </c>
      <c r="I3098" s="1" t="str">
        <f ca="1">IFERROR(__xludf.DUMMYFUNCTION("GOOGLETRANSLATE(F3098, ""auto"", ""en"")
"),"There was just a revolution, I bought the player, everything was great, everything worked 2 and the movie was the same music for a long time, but it happened that it died. Suddenly it didn’t turn on anymore, like when you press, a red screen comes out and"&amp;" questions at the top left ????  and right now it’s generally only used as a flash drive for me to carry data around. stupid player")</f>
        <v>There was just a revolution, I bought the player, everything was great, everything worked 2 and the movie was the same music for a long time, but it happened that it died. Suddenly it didn’t turn on anymore, like when you press, a red screen comes out and questions at the top left ????  and right now it’s generally only used as a flash drive for me to carry data around. stupid player</v>
      </c>
    </row>
    <row r="3099" spans="1:9" x14ac:dyDescent="0.3">
      <c r="A3099" s="1" t="s">
        <v>61</v>
      </c>
      <c r="B3099" s="1" t="s">
        <v>726</v>
      </c>
      <c r="C3099" s="1" t="s">
        <v>74</v>
      </c>
      <c r="D3099" s="1" t="s">
        <v>5734</v>
      </c>
      <c r="E3099" s="1" t="s">
        <v>622</v>
      </c>
      <c r="F3099" s="1" t="s">
        <v>5735</v>
      </c>
      <c r="G3099" s="1" t="s">
        <v>36</v>
      </c>
      <c r="H3099" s="1" t="s">
        <v>29</v>
      </c>
      <c r="I3099" s="1" t="str">
        <f ca="1">IFERROR(__xludf.DUMMYFUNCTION("GOOGLETRANSLATE(F3099, ""auto"", ""en"")
"),"A lot of time has passed since October and I want to tell you - the oven is excellent! My family gets upset when I forget about bread... The main thing is to put the food in on time (you have to wait at least 3 hours for the finished bread) and enjoy! The"&amp;" aroma during baking - mmmmmmmm!!! Like grandma's in the village! The yeast must be fresh and the sequence of products must be observed (salt should not come into contact with the yeast and first liquids, and then bulk products)! Buy! Eat!")</f>
        <v>A lot of time has passed since October and I want to tell you - the oven is excellent! My family gets upset when I forget about bread... The main thing is to put the food in on time (you have to wait at least 3 hours for the finished bread) and enjoy! The aroma during baking - mmmmmmmm!!! Like grandma's in the village! The yeast must be fresh and the sequence of products must be observed (salt should not come into contact with the yeast and first liquids, and then bulk products)! Buy! Eat!</v>
      </c>
    </row>
    <row r="3100" spans="1:9" x14ac:dyDescent="0.3">
      <c r="A3100" s="1" t="s">
        <v>61</v>
      </c>
      <c r="B3100" s="1" t="s">
        <v>726</v>
      </c>
      <c r="C3100" s="1" t="s">
        <v>146</v>
      </c>
      <c r="D3100" s="1" t="s">
        <v>335</v>
      </c>
      <c r="E3100" s="1" t="s">
        <v>5736</v>
      </c>
      <c r="F3100" s="1" t="s">
        <v>5737</v>
      </c>
      <c r="G3100" s="1" t="s">
        <v>36</v>
      </c>
      <c r="H3100" s="1" t="s">
        <v>29</v>
      </c>
      <c r="I3100" s="1" t="str">
        <f ca="1">IFERROR(__xludf.DUMMYFUNCTION("GOOGLETRANSLATE(F3100, ""auto"", ""en"")
"),"A very good bread maker, bakes bread perfectly, makes super jam, I haven’t mixed the dough yet, but I think it won’t let you down here either. When kneading, no flour remains at the edges; you just load the program, press the necessary buttons and calmly "&amp;"go about your business while it works. Even at night when you set the baking delay, you sleep peacefully because it works relatively quietly! I highly recommend it, not a bread machine, but a gift from fate.")</f>
        <v>A very good bread maker, bakes bread perfectly, makes super jam, I haven’t mixed the dough yet, but I think it won’t let you down here either. When kneading, no flour remains at the edges; you just load the program, press the necessary buttons and calmly go about your business while it works. Even at night when you set the baking delay, you sleep peacefully because it works relatively quietly! I highly recommend it, not a bread machine, but a gift from fate.</v>
      </c>
    </row>
    <row r="3101" spans="1:9" x14ac:dyDescent="0.3">
      <c r="A3101" s="1" t="s">
        <v>55</v>
      </c>
      <c r="B3101" s="1" t="s">
        <v>56</v>
      </c>
      <c r="C3101" s="1" t="s">
        <v>57</v>
      </c>
      <c r="D3101" s="1" t="s">
        <v>471</v>
      </c>
      <c r="E3101" s="1" t="s">
        <v>5738</v>
      </c>
      <c r="F3101" s="1" t="s">
        <v>5739</v>
      </c>
      <c r="G3101" s="1" t="s">
        <v>15</v>
      </c>
      <c r="H3101" s="1" t="s">
        <v>16</v>
      </c>
      <c r="I3101" s="1" t="str">
        <f ca="1">IFERROR(__xludf.DUMMYFUNCTION("GOOGLETRANSLATE(F3101, ""auto"", ""en"")
"),"design, big tank")</f>
        <v>design, big tank</v>
      </c>
    </row>
    <row r="3102" spans="1:9" x14ac:dyDescent="0.3">
      <c r="A3102" s="1" t="s">
        <v>61</v>
      </c>
      <c r="B3102" s="1" t="s">
        <v>318</v>
      </c>
      <c r="C3102" s="1" t="s">
        <v>101</v>
      </c>
      <c r="D3102" s="1" t="s">
        <v>565</v>
      </c>
      <c r="E3102" s="1" t="s">
        <v>229</v>
      </c>
      <c r="F3102" s="1" t="s">
        <v>5740</v>
      </c>
      <c r="G3102" s="1" t="s">
        <v>36</v>
      </c>
      <c r="H3102" s="1" t="s">
        <v>29</v>
      </c>
      <c r="I3102" s="1" t="str">
        <f ca="1">IFERROR(__xludf.DUMMYFUNCTION("GOOGLETRANSLATE(F3102, ""auto"", ""en"")
"),"Magnificent teapot! I liked it very much! When boiling, it does not make noise and has a charming blue backlight. And the design is very nice and laconic. To all those who have doubts, I recommend casting aside doubts and buying. Our family is very happy.")</f>
        <v>Magnificent teapot! I liked it very much! When boiling, it does not make noise and has a charming blue backlight. And the design is very nice and laconic. To all those who have doubts, I recommend casting aside doubts and buying. Our family is very happy.</v>
      </c>
    </row>
    <row r="3103" spans="1:9" x14ac:dyDescent="0.3">
      <c r="A3103" s="1" t="s">
        <v>61</v>
      </c>
      <c r="B3103" s="1" t="s">
        <v>62</v>
      </c>
      <c r="C3103" s="1" t="s">
        <v>69</v>
      </c>
      <c r="D3103" s="1" t="s">
        <v>308</v>
      </c>
      <c r="E3103" s="1" t="s">
        <v>2563</v>
      </c>
      <c r="F3103" s="1" t="s">
        <v>5741</v>
      </c>
      <c r="G3103" s="1" t="s">
        <v>36</v>
      </c>
      <c r="H3103" s="1" t="s">
        <v>29</v>
      </c>
      <c r="I3103" s="1" t="str">
        <f ca="1">IFERROR(__xludf.DUMMYFUNCTION("GOOGLETRANSLATE(F3103, ""auto"", ""en"")
"),"We bought this combine a month ago and first read the reviews here. And we were very pleased! The combine is really compact, takes up little space, quickly assembles and disassembles, and quickly cuts vegetables (cabbage, beets, carrots, potatoes for fryi"&amp;"ng). Great, you don’t have to chop anything by hand!")</f>
        <v>We bought this combine a month ago and first read the reviews here. And we were very pleased! The combine is really compact, takes up little space, quickly assembles and disassembles, and quickly cuts vegetables (cabbage, beets, carrots, potatoes for frying). Great, you don’t have to chop anything by hand!</v>
      </c>
    </row>
    <row r="3104" spans="1:9" x14ac:dyDescent="0.3">
      <c r="A3104" s="1" t="s">
        <v>211</v>
      </c>
      <c r="B3104" s="1" t="s">
        <v>515</v>
      </c>
      <c r="C3104" s="1" t="s">
        <v>381</v>
      </c>
      <c r="D3104" s="1" t="s">
        <v>5742</v>
      </c>
      <c r="E3104" s="1" t="s">
        <v>1675</v>
      </c>
      <c r="F3104" s="1" t="s">
        <v>5743</v>
      </c>
      <c r="G3104" s="1" t="s">
        <v>28</v>
      </c>
      <c r="H3104" s="1" t="s">
        <v>29</v>
      </c>
      <c r="I3104" s="1" t="str">
        <f ca="1">IFERROR(__xludf.DUMMYFUNCTION("GOOGLETRANSLATE(F3104, ""auto"", ""en"")
"),"The main thing: cold air and balls reduce pain, all attachments can be washed, even short hairs are removed, there is an irreplaceable backlight. I have not experienced severe pain with any device, so for me they are the best option for hair removal. This"&amp;" doesn't hurt either.")</f>
        <v>The main thing: cold air and balls reduce pain, all attachments can be washed, even short hairs are removed, there is an irreplaceable backlight. I have not experienced severe pain with any device, so for me they are the best option for hair removal. This doesn't hurt either.</v>
      </c>
    </row>
    <row r="3105" spans="1:9" x14ac:dyDescent="0.3">
      <c r="A3105" s="1" t="s">
        <v>61</v>
      </c>
      <c r="B3105" s="1" t="s">
        <v>726</v>
      </c>
      <c r="C3105" s="1" t="s">
        <v>146</v>
      </c>
      <c r="D3105" s="1" t="s">
        <v>545</v>
      </c>
      <c r="E3105" s="1" t="s">
        <v>1287</v>
      </c>
      <c r="F3105" s="1" t="s">
        <v>5744</v>
      </c>
      <c r="G3105" s="1" t="s">
        <v>36</v>
      </c>
      <c r="H3105" s="1" t="s">
        <v>29</v>
      </c>
      <c r="I3105" s="1" t="str">
        <f ca="1">IFERROR(__xludf.DUMMYFUNCTION("GOOGLETRANSLATE(F3105, ""auto"", ""en"")
"),"I purchased this item yesterday and am extremely happy!!! Great item!!! The bread turned out right the first time. The bun dough turned out great too! I recommend it to everyone!")</f>
        <v>I purchased this item yesterday and am extremely happy!!! Great item!!! The bread turned out right the first time. The bun dough turned out great too! I recommend it to everyone!</v>
      </c>
    </row>
    <row r="3106" spans="1:9" x14ac:dyDescent="0.3">
      <c r="A3106" s="1" t="s">
        <v>211</v>
      </c>
      <c r="B3106" s="1" t="s">
        <v>856</v>
      </c>
      <c r="C3106" s="1" t="s">
        <v>57</v>
      </c>
      <c r="D3106" s="1" t="s">
        <v>142</v>
      </c>
      <c r="E3106" s="1" t="s">
        <v>274</v>
      </c>
      <c r="F3106" s="1" t="s">
        <v>5745</v>
      </c>
      <c r="G3106" s="1" t="s">
        <v>36</v>
      </c>
      <c r="H3106" s="1" t="s">
        <v>29</v>
      </c>
      <c r="I3106" s="1" t="str">
        <f ca="1">IFERROR(__xludf.DUMMYFUNCTION("GOOGLETRANSLATE(F3106, ""auto"", ""en"")
"),"To do something nice for yourself, sometimes you need very little money. I even regret that I didn’t buy this bath earlier, even though the women at our work once got together and bought 3 people for themselves right away. But I kept looking closely. The "&amp;"bath is wonderful - it puts you to sleep in the evening better than any sleeping pill. On weekends I do it slowly, with feeling, sensibly, along with a manicure. I love geyser massage, especially when heated. The sensations are indescribable - like being "&amp;"in a jacuzzi, only several times more pleasant. There are 2 attachments that can be changed. You can control it with your toes) without bending over)) The bath itself is very compact, neat, and the water does not splash. I put it in the room on a regular "&amp;"foot towel.")</f>
        <v>To do something nice for yourself, sometimes you need very little money. I even regret that I didn’t buy this bath earlier, even though the women at our work once got together and bought 3 people for themselves right away. But I kept looking closely. The bath is wonderful - it puts you to sleep in the evening better than any sleeping pill. On weekends I do it slowly, with feeling, sensibly, along with a manicure. I love geyser massage, especially when heated. The sensations are indescribable - like being in a jacuzzi, only several times more pleasant. There are 2 attachments that can be changed. You can control it with your toes) without bending over)) The bath itself is very compact, neat, and the water does not splash. I put it in the room on a regular foot towel.</v>
      </c>
    </row>
    <row r="3107" spans="1:9" x14ac:dyDescent="0.3">
      <c r="A3107" s="1" t="s">
        <v>61</v>
      </c>
      <c r="B3107" s="1" t="s">
        <v>318</v>
      </c>
      <c r="C3107" s="1" t="s">
        <v>101</v>
      </c>
      <c r="D3107" s="1" t="s">
        <v>308</v>
      </c>
      <c r="E3107" s="1" t="s">
        <v>4483</v>
      </c>
      <c r="F3107" s="1" t="s">
        <v>5746</v>
      </c>
      <c r="G3107" s="1" t="s">
        <v>49</v>
      </c>
      <c r="H3107" s="1" t="s">
        <v>16</v>
      </c>
      <c r="I3107" s="1" t="str">
        <f ca="1">IFERROR(__xludf.DUMMYFUNCTION("GOOGLETRANSLATE(F3107, ""auto"", ""en"")
"),"We have been using a kettle of the same model regularly for 4.5 years. We were very pleased. The price-quality ratio is 5+. But... Everything comes to an end and our first teapot has given a long life. We decided to buy the same kettle in the same store ("&amp;"M-VIDEO). I received a new kettle of the same model for my birthday as a gift. But to my great regret, after a couple of days of use, a very unpleasant defect emerged: if you boil water and immediately need a new batch of boiled water, you will have to wa"&amp;"it a while (about 15 minutes) for the kettle to turn on again and bring the water to a boil. It seems like a small thing, but VERY INCONVENIENT.")</f>
        <v>We have been using a kettle of the same model regularly for 4.5 years. We were very pleased. The price-quality ratio is 5+. But... Everything comes to an end and our first teapot has given a long life. We decided to buy the same kettle in the same store (M-VIDEO). I received a new kettle of the same model for my birthday as a gift. But to my great regret, after a couple of days of use, a very unpleasant defect emerged: if you boil water and immediately need a new batch of boiled water, you will have to wait a while (about 15 minutes) for the kettle to turn on again and bring the water to a boil. It seems like a small thing, but VERY INCONVENIENT.</v>
      </c>
    </row>
    <row r="3108" spans="1:9" x14ac:dyDescent="0.3">
      <c r="A3108" s="1" t="s">
        <v>37</v>
      </c>
      <c r="B3108" s="1" t="s">
        <v>38</v>
      </c>
      <c r="C3108" s="1" t="s">
        <v>163</v>
      </c>
      <c r="D3108" s="1" t="s">
        <v>5747</v>
      </c>
      <c r="E3108" s="1" t="s">
        <v>1063</v>
      </c>
      <c r="F3108" s="1" t="s">
        <v>5748</v>
      </c>
      <c r="G3108" s="1" t="s">
        <v>36</v>
      </c>
      <c r="H3108" s="1" t="s">
        <v>29</v>
      </c>
      <c r="I3108" s="1" t="str">
        <f ca="1">IFERROR(__xludf.DUMMYFUNCTION("GOOGLETRANSLATE(F3108, ""auto"", ""en"")
"),"I've been using the phone for 4 months... Great phone! The charge lasts a long time, the price is affordable. A good phone for an active life.")</f>
        <v>I've been using the phone for 4 months... Great phone! The charge lasts a long time, the price is affordable. A good phone for an active life.</v>
      </c>
    </row>
    <row r="3109" spans="1:9" x14ac:dyDescent="0.3">
      <c r="A3109" s="1" t="s">
        <v>206</v>
      </c>
      <c r="B3109" s="1" t="s">
        <v>2026</v>
      </c>
      <c r="C3109" s="1" t="s">
        <v>262</v>
      </c>
      <c r="D3109" s="1" t="s">
        <v>605</v>
      </c>
      <c r="E3109" s="1" t="s">
        <v>4739</v>
      </c>
      <c r="F3109" s="1" t="s">
        <v>5749</v>
      </c>
      <c r="G3109" s="1" t="s">
        <v>28</v>
      </c>
      <c r="H3109" s="1" t="s">
        <v>29</v>
      </c>
      <c r="I3109" s="1" t="str">
        <f ca="1">IFERROR(__xludf.DUMMYFUNCTION("GOOGLETRANSLATE(F3109, ""auto"", ""en"")
"),"It’s strange that your USB won’t read without a disk, I specifically checked everything works. Of course it pumps without an amplifier, but for me it’s good!")</f>
        <v>It’s strange that your USB won’t read without a disk, I specifically checked everything works. Of course it pumps without an amplifier, but for me it’s good!</v>
      </c>
    </row>
    <row r="3110" spans="1:9" x14ac:dyDescent="0.3">
      <c r="A3110" s="1" t="s">
        <v>211</v>
      </c>
      <c r="B3110" s="1" t="s">
        <v>212</v>
      </c>
      <c r="C3110" s="1" t="s">
        <v>69</v>
      </c>
      <c r="D3110" s="1" t="s">
        <v>64</v>
      </c>
      <c r="E3110" s="1" t="s">
        <v>1203</v>
      </c>
      <c r="F3110" s="1" t="s">
        <v>5750</v>
      </c>
      <c r="G3110" s="1" t="s">
        <v>15</v>
      </c>
      <c r="H3110" s="1" t="s">
        <v>16</v>
      </c>
      <c r="I3110" s="1" t="str">
        <f ca="1">IFERROR(__xludf.DUMMYFUNCTION("GOOGLETRANSLATE(F3110, ""auto"", ""en"")
"),"I didn’t like the hairdryer; with such low power, all these attachments are useless rubbish. It’s a pain to style their hair, but it’s completely impossible for them to style their thick hair. So I’m not happy with the purchase and I don’t recommend the g"&amp;"irls to you.")</f>
        <v>I didn’t like the hairdryer; with such low power, all these attachments are useless rubbish. It’s a pain to style their hair, but it’s completely impossible for them to style their thick hair. So I’m not happy with the purchase and I don’t recommend the girls to you.</v>
      </c>
    </row>
    <row r="3111" spans="1:9" x14ac:dyDescent="0.3">
      <c r="A3111" s="1" t="s">
        <v>61</v>
      </c>
      <c r="B3111" s="1" t="s">
        <v>180</v>
      </c>
      <c r="C3111" s="1" t="s">
        <v>57</v>
      </c>
      <c r="D3111" s="1" t="s">
        <v>695</v>
      </c>
      <c r="E3111" s="1" t="s">
        <v>2810</v>
      </c>
      <c r="F3111" s="1" t="s">
        <v>5751</v>
      </c>
      <c r="G3111" s="1" t="s">
        <v>28</v>
      </c>
      <c r="H3111" s="1" t="s">
        <v>29</v>
      </c>
      <c r="I3111" s="1" t="str">
        <f ca="1">IFERROR(__xludf.DUMMYFUNCTION("GOOGLETRANSLATE(F3111, ""auto"", ""en"")
"),"It's beautiful, it cooks bread, what else do you need? The cord is a little inconvenient, but nothing can be done; all energy-intensive devices have a thick cord.  We've been using it daily for over a month now. Even just for lunch, we sometimes fry bread"&amp;" until crispy. We have never used heating and defrosting, and I don’t think we will use it.")</f>
        <v>It's beautiful, it cooks bread, what else do you need? The cord is a little inconvenient, but nothing can be done; all energy-intensive devices have a thick cord.  We've been using it daily for over a month now. Even just for lunch, we sometimes fry bread until crispy. We have never used heating and defrosting, and I don’t think we will use it.</v>
      </c>
    </row>
    <row r="3112" spans="1:9" x14ac:dyDescent="0.3">
      <c r="A3112" s="1" t="s">
        <v>477</v>
      </c>
      <c r="B3112" s="1" t="s">
        <v>478</v>
      </c>
      <c r="C3112" s="1" t="s">
        <v>479</v>
      </c>
      <c r="D3112" s="1" t="s">
        <v>366</v>
      </c>
      <c r="E3112" s="1" t="s">
        <v>2593</v>
      </c>
      <c r="F3112" s="1" t="s">
        <v>5752</v>
      </c>
      <c r="G3112" s="1" t="s">
        <v>15</v>
      </c>
      <c r="H3112" s="1" t="s">
        <v>16</v>
      </c>
      <c r="I3112" s="1" t="str">
        <f ca="1">IFERROR(__xludf.DUMMYFUNCTION("GOOGLETRANSLATE(F3112, ""auto"", ""en"")
"),"the game is simply worse than ever. Came out bugged, played for 30 minutes and deleted it. waste of time.")</f>
        <v>the game is simply worse than ever. Came out bugged, played for 30 minutes and deleted it. waste of time.</v>
      </c>
    </row>
    <row r="3113" spans="1:9" x14ac:dyDescent="0.3">
      <c r="A3113" s="1" t="s">
        <v>120</v>
      </c>
      <c r="B3113" s="1" t="s">
        <v>126</v>
      </c>
      <c r="C3113" s="1" t="s">
        <v>151</v>
      </c>
      <c r="D3113" s="1" t="s">
        <v>1509</v>
      </c>
      <c r="E3113" s="1" t="s">
        <v>443</v>
      </c>
      <c r="F3113" s="1" t="s">
        <v>5753</v>
      </c>
      <c r="G3113" s="1" t="s">
        <v>28</v>
      </c>
      <c r="H3113" s="1" t="s">
        <v>29</v>
      </c>
      <c r="I3113" s="1" t="str">
        <f ca="1">IFERROR(__xludf.DUMMYFUNCTION("GOOGLETRANSLATE(F3113, ""auto"", ""en"")
"),"good TV is better than LCD")</f>
        <v>good TV is better than LCD</v>
      </c>
    </row>
    <row r="3114" spans="1:9" x14ac:dyDescent="0.3">
      <c r="A3114" s="1" t="s">
        <v>61</v>
      </c>
      <c r="B3114" s="1" t="s">
        <v>180</v>
      </c>
      <c r="C3114" s="1" t="s">
        <v>74</v>
      </c>
      <c r="D3114" s="1" t="s">
        <v>46</v>
      </c>
      <c r="E3114" s="1" t="s">
        <v>5754</v>
      </c>
      <c r="F3114" s="1" t="s">
        <v>5755</v>
      </c>
      <c r="G3114" s="1" t="s">
        <v>36</v>
      </c>
      <c r="H3114" s="1" t="s">
        <v>29</v>
      </c>
      <c r="I3114" s="1" t="str">
        <f ca="1">IFERROR(__xludf.DUMMYFUNCTION("GOOGLETRANSLATE(F3114, ""auto"", ""en"")
"),"I've been using it for a very long time. Sandwiches of different breads and with different fillings are loved by both family and friends. The main thing is everything is very fast and tasty. Surprisingly easy to clean. The indicator shows when the device "&amp;"is ready to work. It often helps me out when friends come over and there is only a small selection of food in the refrigerator.   I recommend it to everyone! Take it, you won't regret it!")</f>
        <v>I've been using it for a very long time. Sandwiches of different breads and with different fillings are loved by both family and friends. The main thing is everything is very fast and tasty. Surprisingly easy to clean. The indicator shows when the device is ready to work. It often helps me out when friends come over and there is only a small selection of food in the refrigerator.   I recommend it to everyone! Take it, you won't regret it!</v>
      </c>
    </row>
    <row r="3115" spans="1:9" x14ac:dyDescent="0.3">
      <c r="A3115" s="1" t="s">
        <v>67</v>
      </c>
      <c r="B3115" s="1" t="s">
        <v>68</v>
      </c>
      <c r="C3115" s="1" t="s">
        <v>246</v>
      </c>
      <c r="D3115" s="1" t="s">
        <v>896</v>
      </c>
      <c r="E3115" s="1" t="s">
        <v>5756</v>
      </c>
      <c r="F3115" s="1" t="s">
        <v>5757</v>
      </c>
      <c r="G3115" s="1" t="s">
        <v>36</v>
      </c>
      <c r="H3115" s="1" t="s">
        <v>29</v>
      </c>
      <c r="I3115" s="1" t="str">
        <f ca="1">IFERROR(__xludf.DUMMYFUNCTION("GOOGLETRANSLATE(F3115, ""auto"", ""en"")
"),"Great iron. If you do everything according to the instructions the first time you use it, there is no smell. Glides great. On cotton it perfectly irons two layers of heavily wrinkled denim. Overall, an excellent choice for the money.")</f>
        <v>Great iron. If you do everything according to the instructions the first time you use it, there is no smell. Glides great. On cotton it perfectly irons two layers of heavily wrinkled denim. Overall, an excellent choice for the money.</v>
      </c>
    </row>
    <row r="3116" spans="1:9" x14ac:dyDescent="0.3">
      <c r="A3116" s="1" t="s">
        <v>61</v>
      </c>
      <c r="B3116" s="1" t="s">
        <v>180</v>
      </c>
      <c r="C3116" s="1" t="s">
        <v>57</v>
      </c>
      <c r="D3116" s="1" t="s">
        <v>152</v>
      </c>
      <c r="E3116" s="1" t="s">
        <v>5758</v>
      </c>
      <c r="F3116" s="1" t="s">
        <v>5759</v>
      </c>
      <c r="G3116" s="1" t="s">
        <v>15</v>
      </c>
      <c r="H3116" s="1" t="s">
        <v>16</v>
      </c>
      <c r="I3116" s="1" t="str">
        <f ca="1">IFERROR(__xludf.DUMMYFUNCTION("GOOGLETRANSLATE(F3116, ""auto"", ""en"")
"),"I also went cheap and bought this toaster. I’ve already tried it.... and now I can say that all the comments here are false, only Oleg said the truth, that in order to fry pieces of bread a little, you need to run it on the seventh mode three times, then "&amp;"it will fry a little, but it just warms up and that’s it. And those assurances that this thing fries bread to an even golden crust on the third mode are all lies or these are comments from those who sell these toasters. It’s not for nothing that they say,"&amp;" the stingy pays twice, so I was caught, it would be better to buy a more expensive one, but with more power. Therefore, I don’t recommend taking it, take those with more power.")</f>
        <v>I also went cheap and bought this toaster. I’ve already tried it.... and now I can say that all the comments here are false, only Oleg said the truth, that in order to fry pieces of bread a little, you need to run it on the seventh mode three times, then it will fry a little, but it just warms up and that’s it. And those assurances that this thing fries bread to an even golden crust on the third mode are all lies or these are comments from those who sell these toasters. It’s not for nothing that they say, the stingy pays twice, so I was caught, it would be better to buy a more expensive one, but with more power. Therefore, I don’t recommend taking it, take those with more power.</v>
      </c>
    </row>
    <row r="3117" spans="1:9" x14ac:dyDescent="0.3">
      <c r="A3117" s="1" t="s">
        <v>30</v>
      </c>
      <c r="B3117" s="1" t="s">
        <v>50</v>
      </c>
      <c r="C3117" s="1" t="s">
        <v>32</v>
      </c>
      <c r="D3117" s="1" t="s">
        <v>335</v>
      </c>
      <c r="E3117" s="1" t="s">
        <v>5011</v>
      </c>
      <c r="F3117" s="1" t="s">
        <v>5760</v>
      </c>
      <c r="G3117" s="1" t="s">
        <v>28</v>
      </c>
      <c r="H3117" s="1" t="s">
        <v>29</v>
      </c>
      <c r="I3117" s="1" t="str">
        <f ca="1">IFERROR(__xludf.DUMMYFUNCTION("GOOGLETRANSLATE(F3117, ""auto"", ""en"")
"),"The laptop is great, but what the hell did they put Windows in there - a waste of money. You can't tear it down anyway(((damn, you can't buy it anywhere without Windows(The only negative in my opinion. The configuration makes me happy, we'll see how it go"&amp;"es in reality.")</f>
        <v>The laptop is great, but what the hell did they put Windows in there - a waste of money. You can't tear it down anyway(((damn, you can't buy it anywhere without Windows(The only negative in my opinion. The configuration makes me happy, we'll see how it goes in reality.</v>
      </c>
    </row>
    <row r="3118" spans="1:9" x14ac:dyDescent="0.3">
      <c r="A3118" s="1" t="s">
        <v>61</v>
      </c>
      <c r="B3118" s="1" t="s">
        <v>726</v>
      </c>
      <c r="C3118" s="1" t="s">
        <v>74</v>
      </c>
      <c r="D3118" s="1" t="s">
        <v>327</v>
      </c>
      <c r="E3118" s="1" t="s">
        <v>1079</v>
      </c>
      <c r="F3118" s="1" t="s">
        <v>5761</v>
      </c>
      <c r="G3118" s="1" t="s">
        <v>36</v>
      </c>
      <c r="H3118" s="1" t="s">
        <v>29</v>
      </c>
      <c r="I3118" s="1" t="str">
        <f ca="1">IFERROR(__xludf.DUMMYFUNCTION("GOOGLETRANSLATE(F3118, ""auto"", ""en"")
"),"The stove is super. I gave it to my mother three years ago. I’m very pleased. The bread turns out delicious and beautiful and can be stored for a long time without a refrigerator. Now at work my boss wants one for himself as a gift. We’ll take it....")</f>
        <v>The stove is super. I gave it to my mother three years ago. I’m very pleased. The bread turns out delicious and beautiful and can be stored for a long time without a refrigerator. Now at work my boss wants one for himself as a gift. We’ll take it....</v>
      </c>
    </row>
    <row r="3119" spans="1:9" x14ac:dyDescent="0.3">
      <c r="A3119" s="1" t="s">
        <v>1443</v>
      </c>
      <c r="B3119" s="1" t="s">
        <v>1444</v>
      </c>
      <c r="C3119" s="1" t="s">
        <v>1489</v>
      </c>
      <c r="D3119" s="1" t="s">
        <v>139</v>
      </c>
      <c r="E3119" s="1" t="s">
        <v>460</v>
      </c>
      <c r="F3119" s="1" t="s">
        <v>5762</v>
      </c>
      <c r="G3119" s="1" t="s">
        <v>15</v>
      </c>
      <c r="H3119" s="1" t="s">
        <v>16</v>
      </c>
      <c r="I3119" s="1" t="str">
        <f ca="1">IFERROR(__xludf.DUMMYFUNCTION("GOOGLETRANSLATE(F3119, ""auto"", ""en"")
"),"The flash drive worked for 2 months, then one day it simply stopped being detected. I didn't expect it, to be honest.")</f>
        <v>The flash drive worked for 2 months, then one day it simply stopped being detected. I didn't expect it, to be honest.</v>
      </c>
    </row>
    <row r="3120" spans="1:9" x14ac:dyDescent="0.3">
      <c r="A3120" s="1" t="s">
        <v>61</v>
      </c>
      <c r="B3120" s="1" t="s">
        <v>318</v>
      </c>
      <c r="C3120" s="1" t="s">
        <v>101</v>
      </c>
      <c r="D3120" s="1" t="s">
        <v>152</v>
      </c>
      <c r="E3120" s="1" t="s">
        <v>2531</v>
      </c>
      <c r="F3120" s="1" t="s">
        <v>5763</v>
      </c>
      <c r="G3120" s="1" t="s">
        <v>49</v>
      </c>
      <c r="H3120" s="1" t="s">
        <v>16</v>
      </c>
      <c r="I3120" s="1" t="str">
        <f ca="1">IFERROR(__xludf.DUMMYFUNCTION("GOOGLETRANSLATE(F3120, ""auto"", ""en"")
"),"Bought it two days ago. Boiled it many times, but it STINKS of plastic! Both the kettle and the water stink. It's impossible to drink!")</f>
        <v>Bought it two days ago. Boiled it many times, but it STINKS of plastic! Both the kettle and the water stink. It's impossible to drink!</v>
      </c>
    </row>
    <row r="3121" spans="1:9" x14ac:dyDescent="0.3">
      <c r="A3121" s="1" t="s">
        <v>9</v>
      </c>
      <c r="B3121" s="1" t="s">
        <v>137</v>
      </c>
      <c r="C3121" s="1" t="s">
        <v>159</v>
      </c>
      <c r="D3121" s="1" t="s">
        <v>5764</v>
      </c>
      <c r="E3121" s="1" t="s">
        <v>5032</v>
      </c>
      <c r="F3121" s="1" t="s">
        <v>5765</v>
      </c>
      <c r="G3121" s="1" t="s">
        <v>28</v>
      </c>
      <c r="H3121" s="1" t="s">
        <v>29</v>
      </c>
      <c r="I3121" s="1" t="str">
        <f ca="1">IFERROR(__xludf.DUMMYFUNCTION("GOOGLETRANSLATE(F3121, ""auto"", ""en"")
"),"Bought a few months ago, excellent quality. But as written above, there is one drawback - in order for the flame not to go out, you need to hold the gas switch for some time.")</f>
        <v>Bought a few months ago, excellent quality. But as written above, there is one drawback - in order for the flame not to go out, you need to hold the gas switch for some time.</v>
      </c>
    </row>
    <row r="3122" spans="1:9" x14ac:dyDescent="0.3">
      <c r="A3122" s="1" t="s">
        <v>105</v>
      </c>
      <c r="B3122" s="1" t="s">
        <v>106</v>
      </c>
      <c r="C3122" s="1" t="s">
        <v>107</v>
      </c>
      <c r="D3122" s="1" t="s">
        <v>308</v>
      </c>
      <c r="E3122" s="1" t="s">
        <v>4409</v>
      </c>
      <c r="F3122" s="1" t="s">
        <v>5766</v>
      </c>
      <c r="G3122" s="1" t="s">
        <v>28</v>
      </c>
      <c r="H3122" s="1" t="s">
        <v>29</v>
      </c>
      <c r="I3122" s="1" t="str">
        <f ca="1">IFERROR(__xludf.DUMMYFUNCTION("GOOGLETRANSLATE(F3122, ""auto"", ""en"")
"),"I worked for 3 months and the touchscreen stopped working, I took it to a service center and they replaced the controller, so far it’s working well.")</f>
        <v>I worked for 3 months and the touchscreen stopped working, I took it to a service center and they replaced the controller, so far it’s working well.</v>
      </c>
    </row>
    <row r="3123" spans="1:9" x14ac:dyDescent="0.3">
      <c r="A3123" s="1" t="s">
        <v>61</v>
      </c>
      <c r="B3123" s="1" t="s">
        <v>180</v>
      </c>
      <c r="C3123" s="1" t="s">
        <v>85</v>
      </c>
      <c r="D3123" s="1" t="s">
        <v>39</v>
      </c>
      <c r="E3123" s="1" t="s">
        <v>5767</v>
      </c>
      <c r="F3123" s="1" t="s">
        <v>5768</v>
      </c>
      <c r="G3123" s="1" t="s">
        <v>36</v>
      </c>
      <c r="H3123" s="1" t="s">
        <v>29</v>
      </c>
      <c r="I3123" s="1" t="str">
        <f ca="1">IFERROR(__xludf.DUMMYFUNCTION("GOOGLETRANSLATE(F3123, ""auto"", ""en"")
"),"The bread toasts evenly, nothing burns, I cook on medium power. I’m simply delighted with the one-sided toasting. The bread does not shoot out like some people do, it rises quite smoothly. I am very pleased with the purchase.")</f>
        <v>The bread toasts evenly, nothing burns, I cook on medium power. I’m simply delighted with the one-sided toasting. The bread does not shoot out like some people do, it rises quite smoothly. I am very pleased with the purchase.</v>
      </c>
    </row>
    <row r="3124" spans="1:9" x14ac:dyDescent="0.3">
      <c r="A3124" s="1" t="s">
        <v>169</v>
      </c>
      <c r="B3124" s="1" t="s">
        <v>170</v>
      </c>
      <c r="C3124" s="1" t="s">
        <v>69</v>
      </c>
      <c r="D3124" s="1" t="s">
        <v>228</v>
      </c>
      <c r="E3124" s="1" t="s">
        <v>225</v>
      </c>
      <c r="F3124" s="1" t="s">
        <v>5769</v>
      </c>
      <c r="G3124" s="1" t="s">
        <v>36</v>
      </c>
      <c r="H3124" s="1" t="s">
        <v>29</v>
      </c>
      <c r="I3124" s="1" t="str">
        <f ca="1">IFERROR(__xludf.DUMMYFUNCTION("GOOGLETRANSLATE(F3124, ""auto"", ""en"")
"),"I've been using headphones for 3 years... I like everything. Excellent sound, long cable, comfortable.. a week ago I sat on them =\ now I have 2 halves) one of these days I’ll go get the same new ones) I recommend.")</f>
        <v>I've been using headphones for 3 years... I like everything. Excellent sound, long cable, comfortable.. a week ago I sat on them =\ now I have 2 halves) one of these days I’ll go get the same new ones) I recommend.</v>
      </c>
    </row>
    <row r="3125" spans="1:9" x14ac:dyDescent="0.3">
      <c r="A3125" s="1" t="s">
        <v>61</v>
      </c>
      <c r="B3125" s="1" t="s">
        <v>145</v>
      </c>
      <c r="C3125" s="1" t="s">
        <v>246</v>
      </c>
      <c r="D3125" s="1" t="s">
        <v>474</v>
      </c>
      <c r="E3125" s="1" t="s">
        <v>3169</v>
      </c>
      <c r="F3125" s="1" t="s">
        <v>5770</v>
      </c>
      <c r="G3125" s="1" t="s">
        <v>28</v>
      </c>
      <c r="H3125" s="1" t="s">
        <v>29</v>
      </c>
      <c r="I3125" s="1" t="str">
        <f ca="1">IFERROR(__xludf.DUMMYFUNCTION("GOOGLETRANSLATE(F3125, ""auto"", ""en"")
"),"We bought this steamer a month ago. It’s not loud, the first dish we made was manti. It turned out delicious, it took about 40 minutes. Of course, the cooking time, which is written in the instructions, is a little less than it actually is.")</f>
        <v>We bought this steamer a month ago. It’s not loud, the first dish we made was manti. It turned out delicious, it took about 40 minutes. Of course, the cooking time, which is written in the instructions, is a little less than it actually is.</v>
      </c>
    </row>
    <row r="3126" spans="1:9" x14ac:dyDescent="0.3">
      <c r="A3126" s="1" t="s">
        <v>30</v>
      </c>
      <c r="B3126" s="1" t="s">
        <v>50</v>
      </c>
      <c r="C3126" s="1" t="s">
        <v>694</v>
      </c>
      <c r="D3126" s="1" t="s">
        <v>127</v>
      </c>
      <c r="E3126" s="1" t="s">
        <v>4578</v>
      </c>
      <c r="F3126" s="1" t="s">
        <v>5771</v>
      </c>
      <c r="G3126" s="1" t="s">
        <v>28</v>
      </c>
      <c r="H3126" s="1" t="s">
        <v>29</v>
      </c>
      <c r="I3126" s="1" t="str">
        <f ca="1">IFERROR(__xludf.DUMMYFUNCTION("GOOGLETRANSLATE(F3126, ""auto"", ""en"")
"),"I have been looking for a similar configuration in Yekaterinburg for a long time. As soon as they appeared, I bought them immediately. I wanted a productive laptop for more than one year. Not gigantic in size and portable. With a discreet modern design an"&amp;"d the ability to connect HDMI, IEEE 1494, eSata, so that Win 7 is already installed.   Advantages: all of the above is present, a neat, high-quality case, a comfortable keyboard, a bright LCD display, clear sound, the video card is one of the best in this"&amp;" segment, it is quiet during operation, you can hardly hear it, the top panel and keyboard heat up very little, similar models from other manufacturers cost 35-40 thousand. There are some disadvantages, but they are minor. The plastic of the case “walks” "&amp;"a little, the lid bends if you grab it when it’s closed, the gloss of the inner coating is covered with “fingers”, the LCD matrix has a small vertical viewing angle, the weight is not 2.2 kg, but 2.32 kg, in general, you need to handle it with care, this "&amp;"is not a “travelling” laptop.  I think that the advantages outweigh the disadvantages many times over, for the money it costs (minus the bonus) - 32,000. The overall rating is a four plus (or a five minus).")</f>
        <v>I have been looking for a similar configuration in Yekaterinburg for a long time. As soon as they appeared, I bought them immediately. I wanted a productive laptop for more than one year. Not gigantic in size and portable. With a discreet modern design and the ability to connect HDMI, IEEE 1494, eSata, so that Win 7 is already installed.   Advantages: all of the above is present, a neat, high-quality case, a comfortable keyboard, a bright LCD display, clear sound, the video card is one of the best in this segment, it is quiet during operation, you can hardly hear it, the top panel and keyboard heat up very little, similar models from other manufacturers cost 35-40 thousand. There are some disadvantages, but they are minor. The plastic of the case “walks” a little, the lid bends if you grab it when it’s closed, the gloss of the inner coating is covered with “fingers”, the LCD matrix has a small vertical viewing angle, the weight is not 2.2 kg, but 2.32 kg, in general, you need to handle it with care, this is not a “travelling” laptop.  I think that the advantages outweigh the disadvantages many times over, for the money it costs (minus the bonus) - 32,000. The overall rating is a four plus (or a five minus).</v>
      </c>
    </row>
    <row r="3127" spans="1:9" x14ac:dyDescent="0.3">
      <c r="A3127" s="1" t="s">
        <v>111</v>
      </c>
      <c r="B3127" s="1" t="s">
        <v>636</v>
      </c>
      <c r="C3127" s="1" t="s">
        <v>637</v>
      </c>
      <c r="D3127" s="1" t="s">
        <v>152</v>
      </c>
      <c r="E3127" s="1" t="s">
        <v>5119</v>
      </c>
      <c r="F3127" s="1" t="s">
        <v>5772</v>
      </c>
      <c r="G3127" s="1" t="s">
        <v>49</v>
      </c>
      <c r="H3127" s="1" t="s">
        <v>16</v>
      </c>
      <c r="I3127" s="1" t="str">
        <f ca="1">IFERROR(__xludf.DUMMYFUNCTION("GOOGLETRANSLATE(F3127, ""auto"", ""en"")
"),"I bought 3 pieces as a gift, on two of the three the projector stopped working after half a year, and they won’t repair it anywhere, so it’s better to choose something from another company.")</f>
        <v>I bought 3 pieces as a gift, on two of the three the projector stopped working after half a year, and they won’t repair it anywhere, so it’s better to choose something from another company.</v>
      </c>
    </row>
    <row r="3128" spans="1:9" x14ac:dyDescent="0.3">
      <c r="A3128" s="1" t="s">
        <v>211</v>
      </c>
      <c r="B3128" s="1" t="s">
        <v>384</v>
      </c>
      <c r="C3128" s="1" t="s">
        <v>63</v>
      </c>
      <c r="D3128" s="1" t="s">
        <v>5773</v>
      </c>
      <c r="E3128" s="1" t="s">
        <v>886</v>
      </c>
      <c r="F3128" s="1" t="s">
        <v>5774</v>
      </c>
      <c r="G3128" s="1" t="s">
        <v>49</v>
      </c>
      <c r="H3128" s="1" t="s">
        <v>16</v>
      </c>
      <c r="I3128" s="1" t="str">
        <f ca="1">IFERROR(__xludf.DUMMYFUNCTION("GOOGLETRANSLATE(F3128, ""auto"", ""en"")
"),"Initially I wanted other scales, a more economical option, but my husband persuaded me - like Bosh, a guarantor of reliability. We worked for less than a year. The problem with the display is like everyone else's. We also opened it and marveled at the con"&amp;"tacts. The system of switching on with a kick (someone wrote lightly - what the heck, you don’t need to move on them like a child) - you should have thought of something like that! I think this is one of the reasons for the breakdown")</f>
        <v>Initially I wanted other scales, a more economical option, but my husband persuaded me - like Bosh, a guarantor of reliability. We worked for less than a year. The problem with the display is like everyone else's. We also opened it and marveled at the contacts. The system of switching on with a kick (someone wrote lightly - what the heck, you don’t need to move on them like a child) - you should have thought of something like that! I think this is one of the reasons for the breakdown</v>
      </c>
    </row>
    <row r="3129" spans="1:9" x14ac:dyDescent="0.3">
      <c r="A3129" s="1" t="s">
        <v>811</v>
      </c>
      <c r="B3129" s="1" t="s">
        <v>812</v>
      </c>
      <c r="C3129" s="1" t="s">
        <v>949</v>
      </c>
      <c r="D3129" s="1" t="s">
        <v>987</v>
      </c>
      <c r="E3129" s="1" t="s">
        <v>5775</v>
      </c>
      <c r="F3129" s="1" t="s">
        <v>5776</v>
      </c>
      <c r="G3129" s="1" t="s">
        <v>36</v>
      </c>
      <c r="H3129" s="1" t="s">
        <v>29</v>
      </c>
      <c r="I3129" s="1" t="str">
        <f ca="1">IFERROR(__xludf.DUMMYFUNCTION("GOOGLETRANSLATE(F3129, ""auto"", ""en"")
"),"I have been using this tripod for 1.5 years. Worth the price. At first I was looking for a cheaper tripod, because I mostly shoot in nature, and it’s a shame to climb into a swamp with an expensive tripod). But the cheaper tripods turned out to be not tri"&amp;"pods at all, flimsy, fastened sticks on which Canon dangles more than in your hands. But this one turned out to be strong, stable, I’m happy with it. Of course, the plastic mounts don’t look super durable, but with proper care I think it will last a very "&amp;"long time. After a trip to the forest, I wipe it, dry it, put it in order and it’s as good as new. My faithful assistant).")</f>
        <v>I have been using this tripod for 1.5 years. Worth the price. At first I was looking for a cheaper tripod, because I mostly shoot in nature, and it’s a shame to climb into a swamp with an expensive tripod). But the cheaper tripods turned out to be not tripods at all, flimsy, fastened sticks on which Canon dangles more than in your hands. But this one turned out to be strong, stable, I’m happy with it. Of course, the plastic mounts don’t look super durable, but with proper care I think it will last a very long time. After a trip to the forest, I wipe it, dry it, put it in order and it’s as good as new. My faithful assistant).</v>
      </c>
    </row>
    <row r="3130" spans="1:9" x14ac:dyDescent="0.3">
      <c r="A3130" s="1" t="s">
        <v>17</v>
      </c>
      <c r="B3130" s="1" t="s">
        <v>18</v>
      </c>
      <c r="C3130" s="1" t="s">
        <v>63</v>
      </c>
      <c r="D3130" s="1" t="s">
        <v>232</v>
      </c>
      <c r="E3130" s="1" t="s">
        <v>580</v>
      </c>
      <c r="F3130" s="1" t="s">
        <v>5777</v>
      </c>
      <c r="G3130" s="1" t="s">
        <v>36</v>
      </c>
      <c r="H3130" s="1" t="s">
        <v>29</v>
      </c>
      <c r="I3130" s="1" t="str">
        <f ca="1">IFERROR(__xludf.DUMMYFUNCTION("GOOGLETRANSLATE(F3130, ""auto"", ""en"")
"),"Everything is great!    But we launched her without touching her legs and she almost jumped out of the bathtub into the corridor. The legs were twisted by eye, without a level, just to prevent them from wobbling. And everything became quiet. Only whistlin"&amp;"g (high-pitched sound) during spin cycle.")</f>
        <v>Everything is great!    But we launched her without touching her legs and she almost jumped out of the bathtub into the corridor. The legs were twisted by eye, without a level, just to prevent them from wobbling. And everything became quiet. Only whistling (high-pitched sound) during spin cycle.</v>
      </c>
    </row>
    <row r="3131" spans="1:9" x14ac:dyDescent="0.3">
      <c r="A3131" s="1" t="s">
        <v>477</v>
      </c>
      <c r="B3131" s="1" t="s">
        <v>478</v>
      </c>
      <c r="C3131" s="1" t="s">
        <v>479</v>
      </c>
      <c r="D3131" s="1" t="s">
        <v>1445</v>
      </c>
      <c r="E3131" s="1" t="s">
        <v>2365</v>
      </c>
      <c r="F3131" s="1" t="s">
        <v>5778</v>
      </c>
      <c r="G3131" s="1" t="s">
        <v>36</v>
      </c>
      <c r="H3131" s="1" t="s">
        <v>29</v>
      </c>
      <c r="I3131" s="1" t="str">
        <f ca="1">IFERROR(__xludf.DUMMYFUNCTION("GOOGLETRANSLATE(F3131, ""auto"", ""en"")
"),"norms")</f>
        <v>norms</v>
      </c>
    </row>
    <row r="3132" spans="1:9" x14ac:dyDescent="0.3">
      <c r="A3132" s="1" t="s">
        <v>120</v>
      </c>
      <c r="B3132" s="1" t="s">
        <v>126</v>
      </c>
      <c r="C3132" s="1" t="s">
        <v>80</v>
      </c>
      <c r="D3132" s="1" t="s">
        <v>589</v>
      </c>
      <c r="E3132" s="1" t="s">
        <v>2994</v>
      </c>
      <c r="F3132" s="1" t="s">
        <v>5779</v>
      </c>
      <c r="G3132" s="1" t="s">
        <v>36</v>
      </c>
      <c r="H3132" s="1" t="s">
        <v>29</v>
      </c>
      <c r="I3132" s="1" t="str">
        <f ca="1">IFERROR(__xludf.DUMMYFUNCTION("GOOGLETRANSLATE(F3132, ""auto"", ""en"")
"),"I play AVI from a flash drive (only with the DivX codec), but it doesn’t show TV channels well, everything ripples a lot(((. Let’s try to call an adjuster, maybe he will tell you what the problem is.")</f>
        <v>I play AVI from a flash drive (only with the DivX codec), but it doesn’t show TV channels well, everything ripples a lot(((. Let’s try to call an adjuster, maybe he will tell you what the problem is.</v>
      </c>
    </row>
    <row r="3133" spans="1:9" x14ac:dyDescent="0.3">
      <c r="A3133" s="1" t="s">
        <v>149</v>
      </c>
      <c r="B3133" s="1" t="s">
        <v>155</v>
      </c>
      <c r="C3133" s="1" t="s">
        <v>80</v>
      </c>
      <c r="D3133" s="1" t="s">
        <v>1431</v>
      </c>
      <c r="E3133" s="1" t="s">
        <v>1376</v>
      </c>
      <c r="F3133" s="1" t="s">
        <v>5780</v>
      </c>
      <c r="G3133" s="1" t="s">
        <v>36</v>
      </c>
      <c r="H3133" s="1" t="s">
        <v>29</v>
      </c>
      <c r="I3133" s="1" t="str">
        <f ca="1">IFERROR(__xludf.DUMMYFUNCTION("GOOGLETRANSLATE(F3133, ""auto"", ""en"")
"),"Good vacuum cleaner, low hassle, easy to clean and quick to assemble!!! I'm delighted!!! I recommend it to everyone!!!")</f>
        <v>Good vacuum cleaner, low hassle, easy to clean and quick to assemble!!! I'm delighted!!! I recommend it to everyone!!!</v>
      </c>
    </row>
    <row r="3134" spans="1:9" x14ac:dyDescent="0.3">
      <c r="A3134" s="1" t="s">
        <v>120</v>
      </c>
      <c r="B3134" s="1" t="s">
        <v>121</v>
      </c>
      <c r="C3134" s="1" t="s">
        <v>80</v>
      </c>
      <c r="D3134" s="1" t="s">
        <v>420</v>
      </c>
      <c r="E3134" s="1" t="s">
        <v>2254</v>
      </c>
      <c r="F3134" s="1" t="s">
        <v>5781</v>
      </c>
      <c r="G3134" s="1" t="s">
        <v>36</v>
      </c>
      <c r="H3134" s="1" t="s">
        <v>29</v>
      </c>
      <c r="I3134" s="1" t="str">
        <f ca="1">IFERROR(__xludf.DUMMYFUNCTION("GOOGLETRANSLATE(F3134, ""auto"", ""en"")
"),"It’s in vain that people consider 100 Hz to be necessary only for high-quality reception; using an analog common antenna also improves the quality of TV playback. I also recommend changing the power cord to a better one, this TV reacts very much to this, "&amp;"otherwise its potential will not be developed. Cool, after 100 Hz, 50 Hz is not rated when compared in other places.    I understood how to decode USB, but I have a separate media player.    check carefully, when checking, the first TV that was taken out "&amp;"turned out to have a quiet sound, I asked to check the other one, it turned out to be 2 times louder.")</f>
        <v>It’s in vain that people consider 100 Hz to be necessary only for high-quality reception; using an analog common antenna also improves the quality of TV playback. I also recommend changing the power cord to a better one, this TV reacts very much to this, otherwise its potential will not be developed. Cool, after 100 Hz, 50 Hz is not rated when compared in other places.    I understood how to decode USB, but I have a separate media player.    check carefully, when checking, the first TV that was taken out turned out to have a quiet sound, I asked to check the other one, it turned out to be 2 times louder.</v>
      </c>
    </row>
    <row r="3135" spans="1:9" x14ac:dyDescent="0.3">
      <c r="A3135" s="1" t="s">
        <v>30</v>
      </c>
      <c r="B3135" s="1" t="s">
        <v>31</v>
      </c>
      <c r="C3135" s="1" t="s">
        <v>32</v>
      </c>
      <c r="D3135" s="1" t="s">
        <v>690</v>
      </c>
      <c r="E3135" s="1" t="s">
        <v>201</v>
      </c>
      <c r="F3135" s="1" t="s">
        <v>5782</v>
      </c>
      <c r="G3135" s="1" t="s">
        <v>28</v>
      </c>
      <c r="H3135" s="1" t="s">
        <v>29</v>
      </c>
      <c r="I3135" s="1" t="str">
        <f ca="1">IFERROR(__xludf.DUMMYFUNCTION("GOOGLETRANSLATE(F3135, ""auto"", ""en"")
"),"The computer wasn't bad... it was. The BIOS is burned out, can't be reflashed, and you can't just replace the hardware. In operation for only eight months.")</f>
        <v>The computer wasn't bad... it was. The BIOS is burned out, can't be reflashed, and you can't just replace the hardware. In operation for only eight months.</v>
      </c>
    </row>
    <row r="3136" spans="1:9" x14ac:dyDescent="0.3">
      <c r="A3136" s="1" t="s">
        <v>496</v>
      </c>
      <c r="B3136" s="1" t="s">
        <v>497</v>
      </c>
      <c r="C3136" s="1" t="s">
        <v>479</v>
      </c>
      <c r="D3136" s="1" t="s">
        <v>1940</v>
      </c>
      <c r="E3136" s="1" t="s">
        <v>532</v>
      </c>
      <c r="F3136" s="1" t="s">
        <v>5783</v>
      </c>
      <c r="G3136" s="1" t="s">
        <v>49</v>
      </c>
      <c r="H3136" s="1" t="s">
        <v>16</v>
      </c>
      <c r="I3136" s="1" t="str">
        <f ca="1">IFERROR(__xludf.DUMMYFUNCTION("GOOGLETRANSLATE(F3136, ""auto"", ""en"")
"),"We bought the disk and were shocked: in the second lesson the program does not work and the problem is not in the disk, but in the wrong program. The answer does not count! And then there is no way to move on to learning, it’s programmed that way!!, the c"&amp;"hild cries, we are unhappy!!!!!!")</f>
        <v>We bought the disk and were shocked: in the second lesson the program does not work and the problem is not in the disk, but in the wrong program. The answer does not count! And then there is no way to move on to learning, it’s programmed that way!!, the child cries, we are unhappy!!!!!!</v>
      </c>
    </row>
    <row r="3137" spans="1:9" x14ac:dyDescent="0.3">
      <c r="A3137" s="1" t="s">
        <v>61</v>
      </c>
      <c r="B3137" s="1" t="s">
        <v>73</v>
      </c>
      <c r="C3137" s="1" t="s">
        <v>63</v>
      </c>
      <c r="D3137" s="1" t="s">
        <v>5784</v>
      </c>
      <c r="E3137" s="1" t="s">
        <v>889</v>
      </c>
      <c r="F3137" s="1" t="s">
        <v>5785</v>
      </c>
      <c r="G3137" s="1" t="s">
        <v>49</v>
      </c>
      <c r="H3137" s="1" t="s">
        <v>16</v>
      </c>
      <c r="I3137" s="1" t="str">
        <f ca="1">IFERROR(__xludf.DUMMYFUNCTION("GOOGLETRANSLATE(F3137, ""auto"", ""en"")
"),"I managed to use this meat grinder only two times, on the third it made a strange noise and stopped turning the auger (once they turned fish, and the second turned pork flesh without veins and bones). Imagine my surprise when I had to open this device in "&amp;"the hope of repair. It turned out there was absolutely nothing to repair there; the entire mechanism (gearbox) was made of soft plastic, even the gears rested on thin plastic legs, which, not only under load, but even at idle, were simply bound to fall ap"&amp;"art. In general, I was once again convinced of what the vaunted German quality means.")</f>
        <v>I managed to use this meat grinder only two times, on the third it made a strange noise and stopped turning the auger (once they turned fish, and the second turned pork flesh without veins and bones). Imagine my surprise when I had to open this device in the hope of repair. It turned out there was absolutely nothing to repair there; the entire mechanism (gearbox) was made of soft plastic, even the gears rested on thin plastic legs, which, not only under load, but even at idle, were simply bound to fall apart. In general, I was once again convinced of what the vaunted German quality means.</v>
      </c>
    </row>
    <row r="3138" spans="1:9" x14ac:dyDescent="0.3">
      <c r="A3138" s="1" t="s">
        <v>61</v>
      </c>
      <c r="B3138" s="1" t="s">
        <v>180</v>
      </c>
      <c r="C3138" s="1" t="s">
        <v>63</v>
      </c>
      <c r="D3138" s="1" t="s">
        <v>12</v>
      </c>
      <c r="E3138" s="1" t="s">
        <v>5786</v>
      </c>
      <c r="F3138" s="1" t="s">
        <v>5787</v>
      </c>
      <c r="G3138" s="1" t="s">
        <v>36</v>
      </c>
      <c r="H3138" s="1" t="s">
        <v>29</v>
      </c>
      <c r="I3138" s="1" t="str">
        <f ca="1">IFERROR(__xludf.DUMMYFUNCTION("GOOGLETRANSLATE(F3138, ""auto"", ""en"")
"),"I bought it in 2009, and it cost exactly the same, the price has not changed. Good toaster, never had any problems with it! The bread is fried perfectly: deep fried in mode 5, or if you like it less fried, in mode 3 or 2. I recommend it to everyone!")</f>
        <v>I bought it in 2009, and it cost exactly the same, the price has not changed. Good toaster, never had any problems with it! The bread is fried perfectly: deep fried in mode 5, or if you like it less fried, in mode 3 or 2. I recommend it to everyone!</v>
      </c>
    </row>
    <row r="3139" spans="1:9" x14ac:dyDescent="0.3">
      <c r="A3139" s="1" t="s">
        <v>30</v>
      </c>
      <c r="B3139" s="1" t="s">
        <v>31</v>
      </c>
      <c r="C3139" s="1" t="s">
        <v>32</v>
      </c>
      <c r="D3139" s="1" t="s">
        <v>33</v>
      </c>
      <c r="E3139" s="1" t="s">
        <v>1228</v>
      </c>
      <c r="F3139" s="1" t="s">
        <v>5788</v>
      </c>
      <c r="G3139" s="1" t="s">
        <v>28</v>
      </c>
      <c r="H3139" s="1" t="s">
        <v>29</v>
      </c>
      <c r="I3139" s="1" t="str">
        <f ca="1">IFERROR(__xludf.DUMMYFUNCTION("GOOGLETRANSLATE(F3139, ""auto"", ""en"")
"),"A month from the date of purchase - overall satisfied. In the first days I was simply fascinated. After 2 weeks, defects appeared. When watching a video, the signal from the monitor disappears and a stupid prompt appears. Allegedly, the computer itself ma"&amp;"de a mistake and corrected it itself. I thought it was a problem with my hardware, it turns out I’m not the only one with such glitches. Apparently, something with P.O.   About Windows -7 - His birthday is October 22, and the Acer3812 was manufactured and"&amp;" refilled in September with the not yet born Windows -7 ???? Hence the problems, I don’t rule out that soon something else will start throwing out a stupid hint. I will exchange the baby ""Seven"" for a mature XP or a young VISTA. I tried to load a DVD dr"&amp;"ive with a small CD - it falls out in a vertical position, I had to put it in the horizontal position, it works fine, but it looks kind of miserable - I had to put a laptop drive in such a case. The first days of charm turn into disappointment, so I give "&amp;"it four stars.")</f>
        <v>A month from the date of purchase - overall satisfied. In the first days I was simply fascinated. After 2 weeks, defects appeared. When watching a video, the signal from the monitor disappears and a stupid prompt appears. Allegedly, the computer itself made a mistake and corrected it itself. I thought it was a problem with my hardware, it turns out I’m not the only one with such glitches. Apparently, something with P.O.   About Windows -7 - His birthday is October 22, and the Acer3812 was manufactured and refilled in September with the not yet born Windows -7 ???? Hence the problems, I don’t rule out that soon something else will start throwing out a stupid hint. I will exchange the baby "Seven" for a mature XP or a young VISTA. I tried to load a DVD drive with a small CD - it falls out in a vertical position, I had to put it in the horizontal position, it works fine, but it looks kind of miserable - I had to put a laptop drive in such a case. The first days of charm turn into disappointment, so I give it four stars.</v>
      </c>
    </row>
    <row r="3140" spans="1:9" x14ac:dyDescent="0.3">
      <c r="A3140" s="1" t="s">
        <v>149</v>
      </c>
      <c r="B3140" s="1" t="s">
        <v>155</v>
      </c>
      <c r="C3140" s="1" t="s">
        <v>101</v>
      </c>
      <c r="D3140" s="1" t="s">
        <v>5789</v>
      </c>
      <c r="E3140" s="1" t="s">
        <v>5790</v>
      </c>
      <c r="F3140" s="1" t="s">
        <v>5791</v>
      </c>
      <c r="G3140" s="1" t="s">
        <v>28</v>
      </c>
      <c r="H3140" s="1" t="s">
        <v>29</v>
      </c>
      <c r="I3140" s="1" t="str">
        <f ca="1">IFERROR(__xludf.DUMMYFUNCTION("GOOGLETRANSLATE(F3140, ""auto"", ""en"")
"),"My husband and I bought it yesterday and after vacuuming two carpets in a one-room apartment, the dust container immediately became clogged. The vacuum cleaner works well, but is very loud. Due to its low weight, it easily turns over on its side and the h"&amp;"ose is not flexible at all - this is very inconvenient. The original brush is very small, and the attachments are just doll-like and funny. In general, the vacuum cleaner is a toy, created for a small apartment and a small amount of work, more likely for "&amp;"a car than a regular one.")</f>
        <v>My husband and I bought it yesterday and after vacuuming two carpets in a one-room apartment, the dust container immediately became clogged. The vacuum cleaner works well, but is very loud. Due to its low weight, it easily turns over on its side and the hose is not flexible at all - this is very inconvenient. The original brush is very small, and the attachments are just doll-like and funny. In general, the vacuum cleaner is a toy, created for a small apartment and a small amount of work, more likely for a car than a regular one.</v>
      </c>
    </row>
    <row r="3141" spans="1:9" x14ac:dyDescent="0.3">
      <c r="A3141" s="1" t="s">
        <v>61</v>
      </c>
      <c r="B3141" s="1" t="s">
        <v>726</v>
      </c>
      <c r="C3141" s="1" t="s">
        <v>122</v>
      </c>
      <c r="D3141" s="1" t="s">
        <v>690</v>
      </c>
      <c r="E3141" s="1" t="s">
        <v>1065</v>
      </c>
      <c r="F3141" s="1" t="s">
        <v>5792</v>
      </c>
      <c r="G3141" s="1" t="s">
        <v>36</v>
      </c>
      <c r="H3141" s="1" t="s">
        <v>29</v>
      </c>
      <c r="I3141" s="1" t="str">
        <f ca="1">IFERROR(__xludf.DUMMYFUNCTION("GOOGLETRANSLATE(F3141, ""auto"", ""en"")
"),"I’m very pleased with the device, you can immediately see the samurai were shamanizing over it. Before that, I had a bad experience using a stove from another company, I changed it the next day to a Panasonic SD-255 and have never regretted it. The bread "&amp;"turned out right the first time, and what a success! The whole family squealed with pleasure. She does not have a viewing window, and this is only a plus. The double lid is designed to minimize heat loss, so the bread is always baked. The bucket, unlike o"&amp;"ther stoves, is thick-walled cast (ideal heat distribution), others have a thin tin with non-stick and that’s it. What else, the presence of a dispenser, who doesn’t know this is a thing where they put additional ingredients like raisins, nuts, etc. So, t"&amp;"his thing will add everything at the right time. But in other stoves you have to sit near it (otherwise you might not hear it) and wait for the sound signal, open the lid and add everything by hand. So the car works at 100. The price is certainly steep, b"&amp;"ut it’s worth it.")</f>
        <v>I’m very pleased with the device, you can immediately see the samurai were shamanizing over it. Before that, I had a bad experience using a stove from another company, I changed it the next day to a Panasonic SD-255 and have never regretted it. The bread turned out right the first time, and what a success! The whole family squealed with pleasure. She does not have a viewing window, and this is only a plus. The double lid is designed to minimize heat loss, so the bread is always baked. The bucket, unlike other stoves, is thick-walled cast (ideal heat distribution), others have a thin tin with non-stick and that’s it. What else, the presence of a dispenser, who doesn’t know this is a thing where they put additional ingredients like raisins, nuts, etc. So, this thing will add everything at the right time. But in other stoves you have to sit near it (otherwise you might not hear it) and wait for the sound signal, open the lid and add everything by hand. So the car works at 100. The price is certainly steep, but it’s worth it.</v>
      </c>
    </row>
    <row r="3142" spans="1:9" x14ac:dyDescent="0.3">
      <c r="A3142" s="1" t="s">
        <v>149</v>
      </c>
      <c r="B3142" s="1" t="s">
        <v>423</v>
      </c>
      <c r="C3142" s="1" t="s">
        <v>314</v>
      </c>
      <c r="D3142" s="1" t="s">
        <v>2764</v>
      </c>
      <c r="E3142" s="1" t="s">
        <v>4386</v>
      </c>
      <c r="F3142" s="1" t="s">
        <v>5793</v>
      </c>
      <c r="G3142" s="1" t="s">
        <v>36</v>
      </c>
      <c r="H3142" s="1" t="s">
        <v>29</v>
      </c>
      <c r="I3142" s="1" t="str">
        <f ca="1">IFERROR(__xludf.DUMMYFUNCTION("GOOGLETRANSLATE(F3142, ""auto"", ""en"")
"),"Powerful, fairly quiet, functional")</f>
        <v>Powerful, fairly quiet, functional</v>
      </c>
    </row>
    <row r="3143" spans="1:9" x14ac:dyDescent="0.3">
      <c r="A3143" s="1" t="s">
        <v>211</v>
      </c>
      <c r="B3143" s="1" t="s">
        <v>212</v>
      </c>
      <c r="C3143" s="1" t="s">
        <v>69</v>
      </c>
      <c r="D3143" s="1" t="s">
        <v>335</v>
      </c>
      <c r="E3143" s="1" t="s">
        <v>971</v>
      </c>
      <c r="F3143" s="1" t="s">
        <v>5794</v>
      </c>
      <c r="G3143" s="1" t="s">
        <v>36</v>
      </c>
      <c r="H3143" s="1" t="s">
        <v>29</v>
      </c>
      <c r="I3143" s="1" t="str">
        <f ca="1">IFERROR(__xludf.DUMMYFUNCTION("GOOGLETRANSLATE(F3143, ""auto"", ""en"")
"),"Ideal value for money, perfect for owners of various bobs, the set includes a semicircular comb and a round comb! I recommend it to everyone!")</f>
        <v>Ideal value for money, perfect for owners of various bobs, the set includes a semicircular comb and a round comb! I recommend it to everyone!</v>
      </c>
    </row>
    <row r="3144" spans="1:9" x14ac:dyDescent="0.3">
      <c r="A3144" s="1" t="s">
        <v>37</v>
      </c>
      <c r="B3144" s="1" t="s">
        <v>38</v>
      </c>
      <c r="C3144" s="1" t="s">
        <v>163</v>
      </c>
      <c r="D3144" s="1" t="s">
        <v>3273</v>
      </c>
      <c r="E3144" s="1" t="s">
        <v>1657</v>
      </c>
      <c r="F3144" s="1" t="s">
        <v>5795</v>
      </c>
      <c r="G3144" s="1" t="s">
        <v>28</v>
      </c>
      <c r="H3144" s="1" t="s">
        <v>29</v>
      </c>
      <c r="I3144" s="1" t="str">
        <f ca="1">IFERROR(__xludf.DUMMYFUNCTION("GOOGLETRANSLATE(F3144, ""auto"", ""en"")
"),"Overall a good phone. I bought it for my mother. Pros: price, color, functionality, convenient buttons.  Of the minuses: the keypad lock is activated at a set time (inconvenient).  By the way, it was made not in China, but in Hungary, which gives it the g"&amp;"reatest advantage.")</f>
        <v>Overall a good phone. I bought it for my mother. Pros: price, color, functionality, convenient buttons.  Of the minuses: the keypad lock is activated at a set time (inconvenient).  By the way, it was made not in China, but in Hungary, which gives it the greatest advantage.</v>
      </c>
    </row>
    <row r="3145" spans="1:9" x14ac:dyDescent="0.3">
      <c r="A3145" s="1" t="s">
        <v>211</v>
      </c>
      <c r="B3145" s="1" t="s">
        <v>212</v>
      </c>
      <c r="C3145" s="1" t="s">
        <v>1591</v>
      </c>
      <c r="D3145" s="1" t="s">
        <v>1499</v>
      </c>
      <c r="E3145" s="1" t="s">
        <v>5796</v>
      </c>
      <c r="F3145" s="1" t="s">
        <v>5797</v>
      </c>
      <c r="G3145" s="1" t="s">
        <v>36</v>
      </c>
      <c r="H3145" s="1" t="s">
        <v>29</v>
      </c>
      <c r="I3145" s="1" t="str">
        <f ca="1">IFERROR(__xludf.DUMMYFUNCTION("GOOGLETRANSLATE(F3145, ""auto"", ""en"")
"),"Cool hair dryer brush. I bought it for my mother, and now I often use it myself. The curls come out beautiful and the styling lasts until the evening. I didn’t even expect it to have such an effect.")</f>
        <v>Cool hair dryer brush. I bought it for my mother, and now I often use it myself. The curls come out beautiful and the styling lasts until the evening. I didn’t even expect it to have such an effect.</v>
      </c>
    </row>
    <row r="3146" spans="1:9" x14ac:dyDescent="0.3">
      <c r="A3146" s="1" t="s">
        <v>120</v>
      </c>
      <c r="B3146" s="1" t="s">
        <v>121</v>
      </c>
      <c r="C3146" s="1" t="s">
        <v>97</v>
      </c>
      <c r="D3146" s="1" t="s">
        <v>232</v>
      </c>
      <c r="E3146" s="1" t="s">
        <v>5798</v>
      </c>
      <c r="F3146" s="1" t="s">
        <v>5799</v>
      </c>
      <c r="G3146" s="1" t="s">
        <v>36</v>
      </c>
      <c r="H3146" s="1" t="s">
        <v>29</v>
      </c>
      <c r="I3146" s="1" t="str">
        <f ca="1">IFERROR(__xludf.DUMMYFUNCTION("GOOGLETRANSLATE(F3146, ""auto"", ""en"")
"),"bought. Well, there are a couple, just a couple of unnecessary settings. and everything is so gorgeous.    excellent quality, as said, only Led is better, but I would also add Sharp. But you can’t find sharp full hd for that kind of money.   I haven't tri"&amp;"ed the Internet yet. and the fact that the video is not read is not important. Take multimedia players if necessary. Personally, I plan to get a PlayStation 3.")</f>
        <v>bought. Well, there are a couple, just a couple of unnecessary settings. and everything is so gorgeous.    excellent quality, as said, only Led is better, but I would also add Sharp. But you can’t find sharp full hd for that kind of money.   I haven't tried the Internet yet. and the fact that the video is not read is not important. Take multimedia players if necessary. Personally, I plan to get a PlayStation 3.</v>
      </c>
    </row>
    <row r="3147" spans="1:9" x14ac:dyDescent="0.3">
      <c r="A3147" s="1" t="s">
        <v>282</v>
      </c>
      <c r="B3147" s="1" t="s">
        <v>806</v>
      </c>
      <c r="C3147" s="1" t="s">
        <v>284</v>
      </c>
      <c r="D3147" s="1" t="s">
        <v>280</v>
      </c>
      <c r="E3147" s="1" t="s">
        <v>5800</v>
      </c>
      <c r="F3147" s="1" t="s">
        <v>5801</v>
      </c>
      <c r="G3147" s="1" t="s">
        <v>36</v>
      </c>
      <c r="H3147" s="1" t="s">
        <v>29</v>
      </c>
      <c r="I3147" s="1" t="str">
        <f ca="1">IFERROR(__xludf.DUMMYFUNCTION("GOOGLETRANSLATE(F3147, ""auto"", ""en"")
"),"The film is a true classic of the genre. One of the best films in the careers of Schwarzenegger and McTiernan. As for the disc, it is quite good. The picture has been beautifully restored. There are almost no film defects; you need to look closely to find"&amp;" them. Clarity is good, with no noise or grain detected. The sound is great too. The only drawback of the publication is that not all additional materials presented on the disc have been translated into Russian.")</f>
        <v>The film is a true classic of the genre. One of the best films in the careers of Schwarzenegger and McTiernan. As for the disc, it is quite good. The picture has been beautifully restored. There are almost no film defects; you need to look closely to find them. Clarity is good, with no noise or grain detected. The sound is great too. The only drawback of the publication is that not all additional materials presented on the disc have been translated into Russian.</v>
      </c>
    </row>
    <row r="3148" spans="1:9" x14ac:dyDescent="0.3">
      <c r="A3148" s="1" t="s">
        <v>61</v>
      </c>
      <c r="B3148" s="1" t="s">
        <v>977</v>
      </c>
      <c r="C3148" s="1" t="s">
        <v>63</v>
      </c>
      <c r="D3148" s="1" t="s">
        <v>3923</v>
      </c>
      <c r="E3148" s="1" t="s">
        <v>3053</v>
      </c>
      <c r="F3148" s="1" t="s">
        <v>5802</v>
      </c>
      <c r="G3148" s="1" t="s">
        <v>36</v>
      </c>
      <c r="H3148" s="1" t="s">
        <v>29</v>
      </c>
      <c r="I3148" s="1" t="str">
        <f ca="1">IFERROR(__xludf.DUMMYFUNCTION("GOOGLETRANSLATE(F3148, ""auto"", ""en"")
"),"Mixer - for those who often cook and bake. The biggest plus is hands-free. In fact, it turned out that it was really very convenient. I liked that the whisks reach to the very bottom of the bowl (but do not scratch it), so you can beat even small amounts "&amp;"of ingredients. The power is high, there are 5 speeds. The pulse mode is still a mystery to me, I can’t figure out where to use it, but I think we can work with it. The mixer is very good, if in doubt, take it - you won’t regret it.")</f>
        <v>Mixer - for those who often cook and bake. The biggest plus is hands-free. In fact, it turned out that it was really very convenient. I liked that the whisks reach to the very bottom of the bowl (but do not scratch it), so you can beat even small amounts of ingredients. The power is high, there are 5 speeds. The pulse mode is still a mystery to me, I can’t figure out where to use it, but I think we can work with it. The mixer is very good, if in doubt, take it - you won’t regret it.</v>
      </c>
    </row>
    <row r="3149" spans="1:9" x14ac:dyDescent="0.3">
      <c r="A3149" s="1" t="s">
        <v>120</v>
      </c>
      <c r="B3149" s="1" t="s">
        <v>196</v>
      </c>
      <c r="C3149" s="1" t="s">
        <v>80</v>
      </c>
      <c r="D3149" s="1" t="s">
        <v>172</v>
      </c>
      <c r="E3149" s="1" t="s">
        <v>5803</v>
      </c>
      <c r="F3149" s="1" t="s">
        <v>5804</v>
      </c>
      <c r="G3149" s="1" t="s">
        <v>36</v>
      </c>
      <c r="H3149" s="1" t="s">
        <v>29</v>
      </c>
      <c r="I3149" s="1" t="str">
        <f ca="1">IFERROR(__xludf.DUMMYFUNCTION("GOOGLETRANSLATE(F3149, ""auto"", ""en"")
"),"Excellent TV, 100Hz is super, USB reads and MKV, DVDrips are great (100Hz helps out). Many useful functions. Excellent colors. Analogue signal is normal. Very happy with the purchase, thanks M-Video!")</f>
        <v>Excellent TV, 100Hz is super, USB reads and MKV, DVDrips are great (100Hz helps out). Many useful functions. Excellent colors. Analogue signal is normal. Very happy with the purchase, thanks M-Video!</v>
      </c>
    </row>
    <row r="3150" spans="1:9" x14ac:dyDescent="0.3">
      <c r="A3150" s="1" t="s">
        <v>211</v>
      </c>
      <c r="B3150" s="1" t="s">
        <v>212</v>
      </c>
      <c r="C3150" s="1" t="s">
        <v>294</v>
      </c>
      <c r="D3150" s="1" t="s">
        <v>1111</v>
      </c>
      <c r="E3150" s="1" t="s">
        <v>969</v>
      </c>
      <c r="F3150" s="1" t="s">
        <v>5805</v>
      </c>
      <c r="G3150" s="1" t="s">
        <v>36</v>
      </c>
      <c r="H3150" s="1" t="s">
        <v>29</v>
      </c>
      <c r="I3150" s="1" t="str">
        <f ca="1">IFERROR(__xludf.DUMMYFUNCTION("GOOGLETRANSLATE(F3150, ""auto"", ""en"")
"),"Just sssuuuuupppppeeerrr!!! Very fast, convenient and not expensive!")</f>
        <v>Just sssuuuuupppppeeerrr!!! Very fast, convenient and not expensive!</v>
      </c>
    </row>
    <row r="3151" spans="1:9" x14ac:dyDescent="0.3">
      <c r="A3151" s="1" t="s">
        <v>149</v>
      </c>
      <c r="B3151" s="1" t="s">
        <v>423</v>
      </c>
      <c r="C3151" s="1" t="s">
        <v>531</v>
      </c>
      <c r="D3151" s="1" t="s">
        <v>308</v>
      </c>
      <c r="E3151" s="1" t="s">
        <v>2593</v>
      </c>
      <c r="F3151" s="1" t="s">
        <v>5806</v>
      </c>
      <c r="G3151" s="1" t="s">
        <v>36</v>
      </c>
      <c r="H3151" s="1" t="s">
        <v>29</v>
      </c>
      <c r="I3151" s="1" t="str">
        <f ca="1">IFERROR(__xludf.DUMMYFUNCTION("GOOGLETRANSLATE(F3151, ""auto"", ""en"")
"),"I read the previous review - some kind of bullshit. Before buying this vacuum cleaner, I did a lot of research on the Internet and looked at reviews. It turned out to be 50/50. My husband and I decided for a long time whether to take it or not, and even t"&amp;"he consultant at M-Video began to warn us against buying it, saying that the residual humidity is high, etc. We decided to buy it. Yesterday I spent the whole day with Thomas. Powerful, small carpets can even be lifted into the air, carpets after wet clea"&amp;"ning dry completely after 1-1.5, and then all this time they are not wet but slightly damp - you can feel it if you walk on it with bare feet, washing windows with it - it’s a little inconvenient, the window sills prevent you from placing the brush correc"&amp;"tly, so I had to wield it from left to right and not from top to bottom and remove stains here and there (that’s why my advice - it’s better to wash the windows the old fashioned way, it takes the same amount of time), he also did a good job of washing th"&amp;"e parquet - there is no more water on the parquet than you would leave on it after a rag. As for washing it after, if in dry cleaning mode it’s a matter of a few minutes (rinse the bucket, nozzle and filter), after wet cleaning it’s a little longer, but i"&amp;"t didn’t bother me at all (by the way, who doesn’t know, the front cover is also removed for washing - rinsed and that’s it, just many people complain that it’s difficult to wash without removing it - read the instructions more carefully, gentlemen). Rega"&amp;"rding its heaviness, yes, this is not a small device with a dust collection bag, but I could easily handle it with or without water (and I’m 7 months pregnant). The only downside is that the hose does not rotate very much around its axis and I had to adju"&amp;"st it so as not to pinch the air flow, but this is a matter of dexterity, it seems to me. One gets the feeling that everyone who writes bad reviews is competitors or absolute lazy people, if you are one of them, this vacuum cleaner is not for you. I am pe"&amp;"rsonally pleased with the result. I recommend it!")</f>
        <v>I read the previous review - some kind of bullshit. Before buying this vacuum cleaner, I did a lot of research on the Internet and looked at reviews. It turned out to be 50/50. My husband and I decided for a long time whether to take it or not, and even the consultant at M-Video began to warn us against buying it, saying that the residual humidity is high, etc. We decided to buy it. Yesterday I spent the whole day with Thomas. Powerful, small carpets can even be lifted into the air, carpets after wet cleaning dry completely after 1-1.5, and then all this time they are not wet but slightly damp - you can feel it if you walk on it with bare feet, washing windows with it - it’s a little inconvenient, the window sills prevent you from placing the brush correctly, so I had to wield it from left to right and not from top to bottom and remove stains here and there (that’s why my advice - it’s better to wash the windows the old fashioned way, it takes the same amount of time), he also did a good job of washing the parquet - there is no more water on the parquet than you would leave on it after a rag. As for washing it after, if in dry cleaning mode it’s a matter of a few minutes (rinse the bucket, nozzle and filter), after wet cleaning it’s a little longer, but it didn’t bother me at all (by the way, who doesn’t know, the front cover is also removed for washing - rinsed and that’s it, just many people complain that it’s difficult to wash without removing it - read the instructions more carefully, gentlemen). Regarding its heaviness, yes, this is not a small device with a dust collection bag, but I could easily handle it with or without water (and I’m 7 months pregnant). The only downside is that the hose does not rotate very much around its axis and I had to adjust it so as not to pinch the air flow, but this is a matter of dexterity, it seems to me. One gets the feeling that everyone who writes bad reviews is competitors or absolute lazy people, if you are one of them, this vacuum cleaner is not for you. I am personally pleased with the result. I recommend it!</v>
      </c>
    </row>
    <row r="3152" spans="1:9" x14ac:dyDescent="0.3">
      <c r="A3152" s="1" t="s">
        <v>206</v>
      </c>
      <c r="B3152" s="1" t="s">
        <v>1349</v>
      </c>
      <c r="C3152" s="1" t="s">
        <v>262</v>
      </c>
      <c r="D3152" s="1" t="s">
        <v>5807</v>
      </c>
      <c r="E3152" s="1" t="s">
        <v>4956</v>
      </c>
      <c r="F3152" s="1" t="s">
        <v>5808</v>
      </c>
      <c r="G3152" s="1" t="s">
        <v>36</v>
      </c>
      <c r="H3152" s="1" t="s">
        <v>29</v>
      </c>
      <c r="I3152" s="1" t="str">
        <f ca="1">IFERROR(__xludf.DUMMYFUNCTION("GOOGLETRANSLATE(F3152, ""auto"", ""en"")
"),"I’ve been using it for a year, the flight is normal, the flash drive is up to 16 GB, there have never been any glitches, I can’t hear the fan at all! Movies from a flash drive are slow at first, but after 3 minutes the picture gets better!")</f>
        <v>I’ve been using it for a year, the flight is normal, the flash drive is up to 16 GB, there have never been any glitches, I can’t hear the fan at all! Movies from a flash drive are slow at first, but after 3 minutes the picture gets better!</v>
      </c>
    </row>
    <row r="3153" spans="1:9" x14ac:dyDescent="0.3">
      <c r="A3153" s="1" t="s">
        <v>61</v>
      </c>
      <c r="B3153" s="1" t="s">
        <v>224</v>
      </c>
      <c r="C3153" s="1" t="s">
        <v>85</v>
      </c>
      <c r="D3153" s="1" t="s">
        <v>1152</v>
      </c>
      <c r="E3153" s="1" t="s">
        <v>1838</v>
      </c>
      <c r="F3153" s="1" t="s">
        <v>5809</v>
      </c>
      <c r="G3153" s="1" t="s">
        <v>36</v>
      </c>
      <c r="H3153" s="1" t="s">
        <v>29</v>
      </c>
      <c r="I3153" s="1" t="str">
        <f ca="1">IFERROR(__xludf.DUMMYFUNCTION("GOOGLETRANSLATE(F3153, ""auto"", ""en"")
"),"I needed a good, reliable juicer for my home and decided on the Bork S400. I make juice from almost everything from oranges (peeled, naturally), to carrots, beets, apples and pineapple. The quality of the juice is good, there is not a lot of foam, a glass"&amp;" with a special spout helps to cope with it, the pulp is dry. So I'm very pleased with the purchase. I recommend it to everyone!")</f>
        <v>I needed a good, reliable juicer for my home and decided on the Bork S400. I make juice from almost everything from oranges (peeled, naturally), to carrots, beets, apples and pineapple. The quality of the juice is good, there is not a lot of foam, a glass with a special spout helps to cope with it, the pulp is dry. So I'm very pleased with the purchase. I recommend it to everyone!</v>
      </c>
    </row>
    <row r="3154" spans="1:9" x14ac:dyDescent="0.3">
      <c r="A3154" s="1" t="s">
        <v>43</v>
      </c>
      <c r="B3154" s="1" t="s">
        <v>502</v>
      </c>
      <c r="C3154" s="1" t="s">
        <v>151</v>
      </c>
      <c r="D3154" s="1" t="s">
        <v>280</v>
      </c>
      <c r="E3154" s="1" t="s">
        <v>5810</v>
      </c>
      <c r="F3154" s="1" t="s">
        <v>5811</v>
      </c>
      <c r="G3154" s="1" t="s">
        <v>36</v>
      </c>
      <c r="H3154" s="1" t="s">
        <v>29</v>
      </c>
      <c r="I3154" s="1" t="str">
        <f ca="1">IFERROR(__xludf.DUMMYFUNCTION("GOOGLETRANSLATE(F3154, ""auto"", ""en"")
"),"I spent a long time choosing, and finally settled on it. I bought it from mvideo with installation. I did not detect vibrations or noise.")</f>
        <v>I spent a long time choosing, and finally settled on it. I bought it from mvideo with installation. I did not detect vibrations or noise.</v>
      </c>
    </row>
    <row r="3155" spans="1:9" x14ac:dyDescent="0.3">
      <c r="A3155" s="1" t="s">
        <v>211</v>
      </c>
      <c r="B3155" s="1" t="s">
        <v>789</v>
      </c>
      <c r="C3155" s="1" t="s">
        <v>246</v>
      </c>
      <c r="D3155" s="1" t="s">
        <v>335</v>
      </c>
      <c r="E3155" s="1" t="s">
        <v>594</v>
      </c>
      <c r="F3155" s="1" t="s">
        <v>5812</v>
      </c>
      <c r="G3155" s="1" t="s">
        <v>28</v>
      </c>
      <c r="H3155" s="1" t="s">
        <v>29</v>
      </c>
      <c r="I3155" s="1" t="str">
        <f ca="1">IFERROR(__xludf.DUMMYFUNCTION("GOOGLETRANSLATE(F3155, ""auto"", ""en"")
"),"I already left a review on 04/26/10. I found a way to treat the “disease” of incomplete cycle after descaling! after rinsing (do not immerse! You need to leave it to dry upside down for a while. And everything will work as expected. But I discovered anoth"&amp;"er serious drawback - the lower stand apparently expands from frequent heating. In 3 months it began to crack and by 5 months it broke. You can buy a spare part, it costs only 225 rubles. But it is not in stock, and you can wait from a month to three for "&amp;"an order! And so - six months of operation - I am generally satisfied. Now, if only it didn't break...")</f>
        <v>I already left a review on 04/26/10. I found a way to treat the “disease” of incomplete cycle after descaling! after rinsing (do not immerse! You need to leave it to dry upside down for a while. And everything will work as expected. But I discovered another serious drawback - the lower stand apparently expands from frequent heating. In 3 months it began to crack and by 5 months it broke. You can buy a spare part, it costs only 225 rubles. But it is not in stock, and you can wait from a month to three for an order! And so - six months of operation - I am generally satisfied. Now, if only it didn't break...</v>
      </c>
    </row>
    <row r="3156" spans="1:9" x14ac:dyDescent="0.3">
      <c r="A3156" s="1" t="s">
        <v>5066</v>
      </c>
      <c r="B3156" s="1" t="s">
        <v>5067</v>
      </c>
      <c r="C3156" s="1" t="s">
        <v>911</v>
      </c>
      <c r="D3156" s="1" t="s">
        <v>1042</v>
      </c>
      <c r="E3156" s="1" t="s">
        <v>3563</v>
      </c>
      <c r="F3156" s="1" t="s">
        <v>5813</v>
      </c>
      <c r="G3156" s="1" t="s">
        <v>36</v>
      </c>
      <c r="H3156" s="1" t="s">
        <v>29</v>
      </c>
      <c r="I3156" s="1" t="str">
        <f ca="1">IFERROR(__xludf.DUMMYFUNCTION("GOOGLETRANSLATE(F3156, ""auto"", ""en"")
"),"Very convenient")</f>
        <v>Very convenient</v>
      </c>
    </row>
    <row r="3157" spans="1:9" x14ac:dyDescent="0.3">
      <c r="A3157" s="1" t="s">
        <v>61</v>
      </c>
      <c r="B3157" s="1" t="s">
        <v>318</v>
      </c>
      <c r="C3157" s="1" t="s">
        <v>101</v>
      </c>
      <c r="D3157" s="1" t="s">
        <v>471</v>
      </c>
      <c r="E3157" s="1" t="s">
        <v>954</v>
      </c>
      <c r="F3157" s="1" t="s">
        <v>5814</v>
      </c>
      <c r="G3157" s="1" t="s">
        <v>28</v>
      </c>
      <c r="H3157" s="1" t="s">
        <v>29</v>
      </c>
      <c r="I3157" s="1" t="str">
        <f ca="1">IFERROR(__xludf.DUMMYFUNCTION("GOOGLETRANSLATE(F3157, ""auto"", ""en"")
"),"We have small children and I believe that a thermopot is a safer thing compared to electric kettles, and everything has a lock button; we did not look at its energy consumption. It worked for us for one year, without any complaints, all the buttons worked"&amp;", but after a year it broke down and could not be repaired. Now it would be possible to take one, but for us it is too small in volume.")</f>
        <v>We have small children and I believe that a thermopot is a safer thing compared to electric kettles, and everything has a lock button; we did not look at its energy consumption. It worked for us for one year, without any complaints, all the buttons worked, but after a year it broke down and could not be repaired. Now it would be possible to take one, but for us it is too small in volume.</v>
      </c>
    </row>
    <row r="3158" spans="1:9" x14ac:dyDescent="0.3">
      <c r="A3158" s="1" t="s">
        <v>30</v>
      </c>
      <c r="B3158" s="1" t="s">
        <v>31</v>
      </c>
      <c r="C3158" s="1" t="s">
        <v>32</v>
      </c>
      <c r="D3158" s="1" t="s">
        <v>3456</v>
      </c>
      <c r="E3158" s="1" t="s">
        <v>750</v>
      </c>
      <c r="F3158" s="1" t="s">
        <v>5815</v>
      </c>
      <c r="G3158" s="1" t="s">
        <v>36</v>
      </c>
      <c r="H3158" s="1" t="s">
        <v>29</v>
      </c>
      <c r="I3158" s="1" t="str">
        <f ca="1">IFERROR(__xludf.DUMMYFUNCTION("GOOGLETRANSLATE(F3158, ""auto"", ""en"")
"),"I bought it for myself before the New Year, no complaints, everything works great... I like toys ok :)")</f>
        <v>I bought it for myself before the New Year, no complaints, everything works great... I like toys ok :)</v>
      </c>
    </row>
    <row r="3159" spans="1:9" x14ac:dyDescent="0.3">
      <c r="A3159" s="1" t="s">
        <v>120</v>
      </c>
      <c r="B3159" s="1" t="s">
        <v>126</v>
      </c>
      <c r="C3159" s="1" t="s">
        <v>122</v>
      </c>
      <c r="D3159" s="1" t="s">
        <v>599</v>
      </c>
      <c r="E3159" s="1" t="s">
        <v>2514</v>
      </c>
      <c r="F3159" s="1" t="s">
        <v>5816</v>
      </c>
      <c r="G3159" s="1" t="s">
        <v>36</v>
      </c>
      <c r="H3159" s="1" t="s">
        <v>29</v>
      </c>
      <c r="I3159" s="1" t="str">
        <f ca="1">IFERROR(__xludf.DUMMYFUNCTION("GOOGLETRANSLATE(F3159, ""auto"", ""en"")
"),"I agree with many who wrote here, super TV, but not G20, so what?    The picture for most cases is still better than on other TVs at a similar price.    I’m happy and I’m not going to change to expensive and sophisticated plasmas or LCDs, of course they a"&amp;"re cooler, but believe me, this model is far from bad.  Movies with good quality on DVD are great to watch!")</f>
        <v>I agree with many who wrote here, super TV, but not G20, so what?    The picture for most cases is still better than on other TVs at a similar price.    I’m happy and I’m not going to change to expensive and sophisticated plasmas or LCDs, of course they are cooler, but believe me, this model is far from bad.  Movies with good quality on DVD are great to watch!</v>
      </c>
    </row>
    <row r="3160" spans="1:9" x14ac:dyDescent="0.3">
      <c r="A3160" s="1" t="s">
        <v>95</v>
      </c>
      <c r="B3160" s="1" t="s">
        <v>486</v>
      </c>
      <c r="C3160" s="1" t="s">
        <v>487</v>
      </c>
      <c r="D3160" s="1" t="s">
        <v>5817</v>
      </c>
      <c r="E3160" s="1" t="s">
        <v>1540</v>
      </c>
      <c r="F3160" s="1" t="s">
        <v>5818</v>
      </c>
      <c r="G3160" s="1" t="s">
        <v>28</v>
      </c>
      <c r="H3160" s="1" t="s">
        <v>29</v>
      </c>
      <c r="I3160" s="1" t="str">
        <f ca="1">IFERROR(__xludf.DUMMYFUNCTION("GOOGLETRANSLATE(F3160, ""auto"", ""en"")
"),"That's right, copy from the Japanese if you can't come up with your own. Sony made a console in 2006 that Microsoft still cannot catch up with. Shame and disgrace.")</f>
        <v>That's right, copy from the Japanese if you can't come up with your own. Sony made a console in 2006 that Microsoft still cannot catch up with. Shame and disgrace.</v>
      </c>
    </row>
    <row r="3161" spans="1:9" x14ac:dyDescent="0.3">
      <c r="A3161" s="1" t="s">
        <v>17</v>
      </c>
      <c r="B3161" s="1" t="s">
        <v>18</v>
      </c>
      <c r="C3161" s="1" t="s">
        <v>243</v>
      </c>
      <c r="D3161" s="1" t="s">
        <v>52</v>
      </c>
      <c r="E3161" s="1" t="s">
        <v>5819</v>
      </c>
      <c r="F3161" s="1" t="s">
        <v>5820</v>
      </c>
      <c r="G3161" s="1" t="s">
        <v>49</v>
      </c>
      <c r="H3161" s="1" t="s">
        <v>16</v>
      </c>
      <c r="I3161" s="1" t="str">
        <f ca="1">IFERROR(__xludf.DUMMYFUNCTION("GOOGLETRANSLATE(F3161, ""auto"", ""en"")
"),"She worked for 2 years and died. I don't recommend it. !")</f>
        <v>She worked for 2 years and died. I don't recommend it. !</v>
      </c>
    </row>
    <row r="3162" spans="1:9" x14ac:dyDescent="0.3">
      <c r="A3162" s="1" t="s">
        <v>105</v>
      </c>
      <c r="B3162" s="1" t="s">
        <v>106</v>
      </c>
      <c r="C3162" s="1" t="s">
        <v>151</v>
      </c>
      <c r="D3162" s="1" t="s">
        <v>39</v>
      </c>
      <c r="E3162" s="1" t="s">
        <v>559</v>
      </c>
      <c r="F3162" s="1" t="s">
        <v>5821</v>
      </c>
      <c r="G3162" s="1" t="s">
        <v>36</v>
      </c>
      <c r="H3162" s="1" t="s">
        <v>29</v>
      </c>
      <c r="I3162" s="1" t="str">
        <f ca="1">IFERROR(__xludf.DUMMYFUNCTION("GOOGLETRANSLATE(F3162, ""auto"", ""en"")
"),"An excellent and high-quality device, it has been working flawlessly for two years, the sound is of very high quality - I listen to it on high-quality Sony players for FLAC format players (yes, this player can do that too), and I have something to compare"&amp;" the sound with, I have high-level audio equipment. I recommend it to those who prefer quality.")</f>
        <v>An excellent and high-quality device, it has been working flawlessly for two years, the sound is of very high quality - I listen to it on high-quality Sony players for FLAC format players (yes, this player can do that too), and I have something to compare the sound with, I have high-level audio equipment. I recommend it to those who prefer quality.</v>
      </c>
    </row>
    <row r="3163" spans="1:9" x14ac:dyDescent="0.3">
      <c r="A3163" s="1" t="s">
        <v>89</v>
      </c>
      <c r="B3163" s="1" t="s">
        <v>90</v>
      </c>
      <c r="C3163" s="1" t="s">
        <v>185</v>
      </c>
      <c r="D3163" s="1" t="s">
        <v>521</v>
      </c>
      <c r="E3163" s="1" t="s">
        <v>1971</v>
      </c>
      <c r="F3163" s="1" t="s">
        <v>5822</v>
      </c>
      <c r="G3163" s="1" t="s">
        <v>36</v>
      </c>
      <c r="H3163" s="1" t="s">
        <v>29</v>
      </c>
      <c r="I3163" s="1" t="str">
        <f ca="1">IFERROR(__xludf.DUMMYFUNCTION("GOOGLETRANSLATE(F3163, ""auto"", ""en"")
"),"I chose for a long time, I doubted it, but when I saw it was removable and deep!!! cup, then I decided that I would only buy this!!! It’s easy to wash and clean, it grinds without difficulty, my son likes to grind it longer so that it gets fried a little!"&amp;"))) Excellent design! Now I’m comparing it with the one that broke, its bowl is 2 times smaller than this one! I’m not ashamed to recommend it to friends and acquaintances! (Although I would have given preference to Bosch before!)")</f>
        <v>I chose for a long time, I doubted it, but when I saw it was removable and deep!!! cup, then I decided that I would only buy this!!! It’s easy to wash and clean, it grinds without difficulty, my son likes to grind it longer so that it gets fried a little!))) Excellent design! Now I’m comparing it with the one that broke, its bowl is 2 times smaller than this one! I’m not ashamed to recommend it to friends and acquaintances! (Although I would have given preference to Bosch before!)</v>
      </c>
    </row>
    <row r="3164" spans="1:9" x14ac:dyDescent="0.3">
      <c r="A3164" s="1" t="s">
        <v>17</v>
      </c>
      <c r="B3164" s="1" t="s">
        <v>18</v>
      </c>
      <c r="C3164" s="1" t="s">
        <v>80</v>
      </c>
      <c r="D3164" s="1" t="s">
        <v>653</v>
      </c>
      <c r="E3164" s="1" t="s">
        <v>5823</v>
      </c>
      <c r="F3164" s="1" t="s">
        <v>5824</v>
      </c>
      <c r="G3164" s="1" t="s">
        <v>49</v>
      </c>
      <c r="H3164" s="1" t="s">
        <v>16</v>
      </c>
      <c r="I3164" s="1" t="str">
        <f ca="1">IFERROR(__xludf.DUMMYFUNCTION("GOOGLETRANSLATE(F3164, ""auto"", ""en"")
"),"I am very unhappy with the machine, because the first time I connected it, it leaked from the bottom. Appearance - so-so. In general, I'm not at all satisfied.")</f>
        <v>I am very unhappy with the machine, because the first time I connected it, it leaked from the bottom. Appearance - so-so. In general, I'm not at all satisfied.</v>
      </c>
    </row>
    <row r="3165" spans="1:9" x14ac:dyDescent="0.3">
      <c r="A3165" s="1" t="s">
        <v>211</v>
      </c>
      <c r="B3165" s="1" t="s">
        <v>515</v>
      </c>
      <c r="C3165" s="1" t="s">
        <v>213</v>
      </c>
      <c r="D3165" s="1" t="s">
        <v>5825</v>
      </c>
      <c r="E3165" s="1" t="s">
        <v>5826</v>
      </c>
      <c r="F3165" s="1" t="s">
        <v>5827</v>
      </c>
      <c r="G3165" s="1" t="s">
        <v>36</v>
      </c>
      <c r="H3165" s="1" t="s">
        <v>29</v>
      </c>
      <c r="I3165" s="1" t="str">
        <f ca="1">IFERROR(__xludf.DUMMYFUNCTION("GOOGLETRANSLATE(F3165, ""auto"", ""en"")
"),"“Review of Braun”. In my opinion, a great thing. Better than just an epilator. There are several attachments, you can choose individually for yourself. It’s very easy to use, fits comfortably in your hand. and in addition to everything, it is very light. "&amp;"Can be used both for the bikini area and for the eyebrows.. No razor will cope with this task, and the trimmer will very carefully adjust the length and give the desired shape. It doesn’t cause irritation, it doesn’t pull out hair, the main thing is to us"&amp;"e it carefully and in accordance with the manufacturer’s recommendations. Thanks to its compactness, the device can always be taken with you on vacation. It will definitely come in handy there. It’s assembled very high quality, because it’s Braun.")</f>
        <v>“Review of Braun”. In my opinion, a great thing. Better than just an epilator. There are several attachments, you can choose individually for yourself. It’s very easy to use, fits comfortably in your hand. and in addition to everything, it is very light. Can be used both for the bikini area and for the eyebrows.. No razor will cope with this task, and the trimmer will very carefully adjust the length and give the desired shape. It doesn’t cause irritation, it doesn’t pull out hair, the main thing is to use it carefully and in accordance with the manufacturer’s recommendations. Thanks to its compactness, the device can always be taken with you on vacation. It will definitely come in handy there. It’s assembled very high quality, because it’s Braun.</v>
      </c>
    </row>
    <row r="3166" spans="1:9" x14ac:dyDescent="0.3">
      <c r="A3166" s="1" t="s">
        <v>43</v>
      </c>
      <c r="B3166" s="1" t="s">
        <v>1382</v>
      </c>
      <c r="C3166" s="1" t="s">
        <v>57</v>
      </c>
      <c r="D3166" s="1" t="s">
        <v>385</v>
      </c>
      <c r="E3166" s="1" t="s">
        <v>960</v>
      </c>
      <c r="F3166" s="1" t="s">
        <v>5828</v>
      </c>
      <c r="G3166" s="1" t="s">
        <v>36</v>
      </c>
      <c r="H3166" s="1" t="s">
        <v>29</v>
      </c>
      <c r="I3166" s="1" t="str">
        <f ca="1">IFERROR(__xludf.DUMMYFUNCTION("GOOGLETRANSLATE(F3166, ""auto"", ""en"")
"),"very satisfied - price - quality - simply beyond all praise.")</f>
        <v>very satisfied - price - quality - simply beyond all praise.</v>
      </c>
    </row>
    <row r="3167" spans="1:9" x14ac:dyDescent="0.3">
      <c r="A3167" s="1" t="s">
        <v>149</v>
      </c>
      <c r="B3167" s="1" t="s">
        <v>423</v>
      </c>
      <c r="C3167" s="1" t="s">
        <v>531</v>
      </c>
      <c r="D3167" s="1" t="s">
        <v>5829</v>
      </c>
      <c r="E3167" s="1" t="s">
        <v>836</v>
      </c>
      <c r="F3167" s="1" t="s">
        <v>5830</v>
      </c>
      <c r="G3167" s="1" t="s">
        <v>36</v>
      </c>
      <c r="H3167" s="1" t="s">
        <v>29</v>
      </c>
      <c r="I3167" s="1" t="str">
        <f ca="1">IFERROR(__xludf.DUMMYFUNCTION("GOOGLETRANSLATE(F3167, ""auto"", ""en"")
"),"Good vacuum cleaner. It copes with its task as expected. &amp;nbsp;There are no problems with the filters or with washing after cleaning. Everything is easy and simple. Not for white-handed and blondes. We must learn to use good things, gentlemen, and not buy"&amp;" just because of the price to make it cool...")</f>
        <v>Good vacuum cleaner. It copes with its task as expected. &amp;nbsp;There are no problems with the filters or with washing after cleaning. Everything is easy and simple. Not for white-handed and blondes. We must learn to use good things, gentlemen, and not buy just because of the price to make it cool...</v>
      </c>
    </row>
    <row r="3168" spans="1:9" x14ac:dyDescent="0.3">
      <c r="A3168" s="1" t="s">
        <v>9</v>
      </c>
      <c r="B3168" s="1" t="s">
        <v>10</v>
      </c>
      <c r="C3168" s="1" t="s">
        <v>466</v>
      </c>
      <c r="D3168" s="1" t="s">
        <v>101</v>
      </c>
      <c r="E3168" s="1" t="s">
        <v>5831</v>
      </c>
      <c r="F3168" s="1" t="s">
        <v>5832</v>
      </c>
      <c r="G3168" s="1" t="s">
        <v>36</v>
      </c>
      <c r="H3168" s="1" t="s">
        <v>29</v>
      </c>
      <c r="I3168" s="1" t="str">
        <f ca="1">IFERROR(__xludf.DUMMYFUNCTION("GOOGLETRANSLATE(F3168, ""auto"", ""en"")
"),"In the store, this model did not particularly attract my attention; frankly speaking, it looks gloomy, heavy, not very elegant and light in body shape. Due to the fact that the kitchen renovation consumed the lion's share of financial resources, we had to"&amp;" return to a number of budget hoods. Fortunately, all my doubts were not justified; after installation in the kitchen box, the hood began to look with a diagonally opposite effect, neat, compact, covering the entire surface of the hob with its dome. Simpl"&amp;"e, but tasteful! It works powerfully, copes with all vapors, smoke, odors, and partly grease (there are noticeably fewer sticky stains on the wall). It hums, but to say that it blows my mind - no, I’m already used to it and rarely can I cook without turni"&amp;"ng it on. There is one useful function - recirculation, if you missed a moment and the room is already filled with an unpleasant (and sometimes pleasant, but unnecessary) smell, in 10 minutes of operation in this mode the air becomes fresh and clean. Easy"&amp;" to use, easy to care for. 5 out of 5.")</f>
        <v>In the store, this model did not particularly attract my attention; frankly speaking, it looks gloomy, heavy, not very elegant and light in body shape. Due to the fact that the kitchen renovation consumed the lion's share of financial resources, we had to return to a number of budget hoods. Fortunately, all my doubts were not justified; after installation in the kitchen box, the hood began to look with a diagonally opposite effect, neat, compact, covering the entire surface of the hob with its dome. Simple, but tasteful! It works powerfully, copes with all vapors, smoke, odors, and partly grease (there are noticeably fewer sticky stains on the wall). It hums, but to say that it blows my mind - no, I’m already used to it and rarely can I cook without turning it on. There is one useful function - recirculation, if you missed a moment and the room is already filled with an unpleasant (and sometimes pleasant, but unnecessary) smell, in 10 minutes of operation in this mode the air becomes fresh and clean. Easy to use, easy to care for. 5 out of 5.</v>
      </c>
    </row>
    <row r="3169" spans="1:9" x14ac:dyDescent="0.3">
      <c r="A3169" s="1" t="s">
        <v>61</v>
      </c>
      <c r="B3169" s="1" t="s">
        <v>224</v>
      </c>
      <c r="C3169" s="1" t="s">
        <v>85</v>
      </c>
      <c r="D3169" s="1" t="s">
        <v>280</v>
      </c>
      <c r="E3169" s="1" t="s">
        <v>5011</v>
      </c>
      <c r="F3169" s="1" t="s">
        <v>5833</v>
      </c>
      <c r="G3169" s="1" t="s">
        <v>36</v>
      </c>
      <c r="H3169" s="1" t="s">
        <v>29</v>
      </c>
      <c r="I3169" s="1" t="str">
        <f ca="1">IFERROR(__xludf.DUMMYFUNCTION("GOOGLETRANSLATE(F3169, ""auto"", ""en"")
"),"Gorgeous juicer with dry pulp.  I RECOMMEND TO EVERYONE!!!")</f>
        <v>Gorgeous juicer with dry pulp.  I RECOMMEND TO EVERYONE!!!</v>
      </c>
    </row>
    <row r="3170" spans="1:9" x14ac:dyDescent="0.3">
      <c r="A3170" s="1" t="s">
        <v>211</v>
      </c>
      <c r="B3170" s="1" t="s">
        <v>265</v>
      </c>
      <c r="C3170" s="1" t="s">
        <v>69</v>
      </c>
      <c r="D3170" s="1" t="s">
        <v>5834</v>
      </c>
      <c r="E3170" s="1" t="s">
        <v>201</v>
      </c>
      <c r="F3170" s="1" t="s">
        <v>5835</v>
      </c>
      <c r="G3170" s="1" t="s">
        <v>36</v>
      </c>
      <c r="H3170" s="1" t="s">
        <v>29</v>
      </c>
      <c r="I3170" s="1" t="str">
        <f ca="1">IFERROR(__xludf.DUMMYFUNCTION("GOOGLETRANSLATE(F3170, ""auto"", ""en"")
"),"just cut my hair = THING")</f>
        <v>just cut my hair = THING</v>
      </c>
    </row>
    <row r="3171" spans="1:9" x14ac:dyDescent="0.3">
      <c r="A3171" s="1" t="s">
        <v>55</v>
      </c>
      <c r="B3171" s="1" t="s">
        <v>235</v>
      </c>
      <c r="C3171" s="1" t="s">
        <v>101</v>
      </c>
      <c r="D3171" s="1" t="s">
        <v>3596</v>
      </c>
      <c r="E3171" s="1" t="s">
        <v>3044</v>
      </c>
      <c r="F3171" s="1" t="s">
        <v>5836</v>
      </c>
      <c r="G3171" s="1" t="s">
        <v>49</v>
      </c>
      <c r="H3171" s="1" t="s">
        <v>16</v>
      </c>
      <c r="I3171" s="1" t="str">
        <f ca="1">IFERROR(__xludf.DUMMYFUNCTION("GOOGLETRANSLATE(F3171, ""auto"", ""en"")
"),"I bought a heater on November 20, 2011. I turned it on only 3 times at work and then only for a short time, the 3rd time it worked for a little bit and went silent forever. Simply amazing.")</f>
        <v>I bought a heater on November 20, 2011. I turned it on only 3 times at work and then only for a short time, the 3rd time it worked for a little bit and went silent forever. Simply amazing.</v>
      </c>
    </row>
    <row r="3172" spans="1:9" x14ac:dyDescent="0.3">
      <c r="A3172" s="1" t="s">
        <v>211</v>
      </c>
      <c r="B3172" s="1" t="s">
        <v>410</v>
      </c>
      <c r="C3172" s="1" t="s">
        <v>213</v>
      </c>
      <c r="D3172" s="1" t="s">
        <v>5837</v>
      </c>
      <c r="E3172" s="1" t="s">
        <v>4984</v>
      </c>
      <c r="F3172" s="1" t="s">
        <v>5838</v>
      </c>
      <c r="G3172" s="1" t="s">
        <v>15</v>
      </c>
      <c r="H3172" s="1" t="s">
        <v>16</v>
      </c>
      <c r="I3172" s="1" t="str">
        <f ca="1">IFERROR(__xludf.DUMMYFUNCTION("GOOGLETRANSLATE(F3172, ""auto"", ""en"")
"),"So-so razor. before that, I was also brown, only a very ancient one with one head, so: there is no difference at all, because you have to do this several times and the hairs remain, and this despite the fact that my stubble is not very hard!!!")</f>
        <v>So-so razor. before that, I was also brown, only a very ancient one with one head, so: there is no difference at all, because you have to do this several times and the hairs remain, and this despite the fact that my stubble is not very hard!!!</v>
      </c>
    </row>
    <row r="3173" spans="1:9" x14ac:dyDescent="0.3">
      <c r="A3173" s="1" t="s">
        <v>149</v>
      </c>
      <c r="B3173" s="1" t="s">
        <v>423</v>
      </c>
      <c r="C3173" s="1" t="s">
        <v>424</v>
      </c>
      <c r="D3173" s="1" t="s">
        <v>12</v>
      </c>
      <c r="E3173" s="1" t="s">
        <v>2964</v>
      </c>
      <c r="F3173" s="1" t="s">
        <v>5839</v>
      </c>
      <c r="G3173" s="1" t="s">
        <v>36</v>
      </c>
      <c r="H3173" s="1" t="s">
        <v>29</v>
      </c>
      <c r="I3173" s="1" t="str">
        <f ca="1">IFERROR(__xludf.DUMMYFUNCTION("GOOGLETRANSLATE(F3173, ""auto"", ""en"")
"),"I’m very pleased with my purchase. I bought this model on recommendation. I’ve been wanting to have a washing vacuum cleaner for a long time, but the prices are too high. Many thanks to MVideo for the New Year’s discount provided. The vacuum cleaner is qu"&amp;"ite powerful, it has very strong suction. I cleaned the carpet with detergent, sucked up almost all the water, but the carpet remained moderately damp. The floor remains dry immediately after washing, just switching the buttons is enough. In general, ever"&amp;"ything is very accessible. The only drawback is there is no electric winding of the cord, but this is not so significant.")</f>
        <v>I’m very pleased with my purchase. I bought this model on recommendation. I’ve been wanting to have a washing vacuum cleaner for a long time, but the prices are too high. Many thanks to MVideo for the New Year’s discount provided. The vacuum cleaner is quite powerful, it has very strong suction. I cleaned the carpet with detergent, sucked up almost all the water, but the carpet remained moderately damp. The floor remains dry immediately after washing, just switching the buttons is enough. In general, everything is very accessible. The only drawback is there is no electric winding of the cord, but this is not so significant.</v>
      </c>
    </row>
    <row r="3174" spans="1:9" x14ac:dyDescent="0.3">
      <c r="A3174" s="1" t="s">
        <v>89</v>
      </c>
      <c r="B3174" s="1" t="s">
        <v>1106</v>
      </c>
      <c r="C3174" s="1" t="s">
        <v>74</v>
      </c>
      <c r="D3174" s="1" t="s">
        <v>1890</v>
      </c>
      <c r="E3174" s="1" t="s">
        <v>4016</v>
      </c>
      <c r="F3174" s="1" t="s">
        <v>5840</v>
      </c>
      <c r="G3174" s="1" t="s">
        <v>15</v>
      </c>
      <c r="H3174" s="1" t="s">
        <v>16</v>
      </c>
      <c r="I3174" s="1" t="str">
        <f ca="1">IFERROR(__xludf.DUMMYFUNCTION("GOOGLETRANSLATE(F3174, ""auto"", ""en"")
"),"Not boiling water, not hot, but barely warm, unpleasant to drink, tasteless. The heating keeps it barely warm.")</f>
        <v>Not boiling water, not hot, but barely warm, unpleasant to drink, tasteless. The heating keeps it barely warm.</v>
      </c>
    </row>
    <row r="3175" spans="1:9" x14ac:dyDescent="0.3">
      <c r="A3175" s="1" t="s">
        <v>557</v>
      </c>
      <c r="B3175" s="1" t="s">
        <v>558</v>
      </c>
      <c r="C3175" s="1" t="s">
        <v>122</v>
      </c>
      <c r="D3175" s="1" t="s">
        <v>5841</v>
      </c>
      <c r="E3175" s="1" t="s">
        <v>5842</v>
      </c>
      <c r="F3175" s="1" t="s">
        <v>5843</v>
      </c>
      <c r="G3175" s="1" t="s">
        <v>36</v>
      </c>
      <c r="H3175" s="1" t="s">
        <v>29</v>
      </c>
      <c r="I3175" s="1" t="str">
        <f ca="1">IFERROR(__xludf.DUMMYFUNCTION("GOOGLETRANSLATE(F3175, ""auto"", ""en"")
"),"Good phone, optimal price-quality.")</f>
        <v>Good phone, optimal price-quality.</v>
      </c>
    </row>
    <row r="3176" spans="1:9" x14ac:dyDescent="0.3">
      <c r="A3176" s="1" t="s">
        <v>61</v>
      </c>
      <c r="B3176" s="1" t="s">
        <v>318</v>
      </c>
      <c r="C3176" s="1" t="s">
        <v>1461</v>
      </c>
      <c r="D3176" s="1" t="s">
        <v>52</v>
      </c>
      <c r="E3176" s="1" t="s">
        <v>4409</v>
      </c>
      <c r="F3176" s="1" t="s">
        <v>5844</v>
      </c>
      <c r="G3176" s="1" t="s">
        <v>49</v>
      </c>
      <c r="H3176" s="1" t="s">
        <v>16</v>
      </c>
      <c r="I3176" s="1" t="str">
        <f ca="1">IFERROR(__xludf.DUMMYFUNCTION("GOOGLETRANSLATE(F3176, ""auto"", ""en"")
"),"The kettle is very bad.    We used the kettle on weekdays (Monday to Friday). Four to five boils per day.    After a week of operation, the first spots of rust appeared. After a month of operation, the bottom was covered with rust (~ up to 30% of the surf"&amp;"ace). After the third month of operation, rust appeared on the walls and cracks appeared on the body.  In the fourth month, the body of the kettle burst (along its entire height on both sides of the handle) and began to leak very badly.    There are no co"&amp;"mplaints about the operation of the heater.")</f>
        <v>The kettle is very bad.    We used the kettle on weekdays (Monday to Friday). Four to five boils per day.    After a week of operation, the first spots of rust appeared. After a month of operation, the bottom was covered with rust (~ up to 30% of the surface). After the third month of operation, rust appeared on the walls and cracks appeared on the body.  In the fourth month, the body of the kettle burst (along its entire height on both sides of the handle) and began to leak very badly.    There are no complaints about the operation of the heater.</v>
      </c>
    </row>
    <row r="3177" spans="1:9" x14ac:dyDescent="0.3">
      <c r="A3177" s="1" t="s">
        <v>61</v>
      </c>
      <c r="B3177" s="1" t="s">
        <v>224</v>
      </c>
      <c r="C3177" s="1" t="s">
        <v>314</v>
      </c>
      <c r="D3177" s="1" t="s">
        <v>172</v>
      </c>
      <c r="E3177" s="1" t="s">
        <v>1632</v>
      </c>
      <c r="F3177" s="1" t="s">
        <v>5845</v>
      </c>
      <c r="G3177" s="1" t="s">
        <v>36</v>
      </c>
      <c r="H3177" s="1" t="s">
        <v>29</v>
      </c>
      <c r="I3177" s="1" t="str">
        <f ca="1">IFERROR(__xludf.DUMMYFUNCTION("GOOGLETRANSLATE(F3177, ""auto"", ""en"")
"),"The juicer is compact (slightly larger than an electric kettle), lightweight, and easy to clean, as has already been noted here. Easily makes juice from apples, carrots, oranges.     The downside is that the juice splashes a little, so I don’t put a glass"&amp;", but a tall and wide plastic container, tilting it slightly under the spout of the juicer (the splashes don’t get on the table).    For the money, this juicer is an excellent choice.")</f>
        <v>The juicer is compact (slightly larger than an electric kettle), lightweight, and easy to clean, as has already been noted here. Easily makes juice from apples, carrots, oranges.     The downside is that the juice splashes a little, so I don’t put a glass, but a tall and wide plastic container, tilting it slightly under the spout of the juicer (the splashes don’t get on the table).    For the money, this juicer is an excellent choice.</v>
      </c>
    </row>
    <row r="3178" spans="1:9" x14ac:dyDescent="0.3">
      <c r="A3178" s="1" t="s">
        <v>9</v>
      </c>
      <c r="B3178" s="1" t="s">
        <v>10</v>
      </c>
      <c r="C3178" s="1" t="s">
        <v>407</v>
      </c>
      <c r="D3178" s="1" t="s">
        <v>2145</v>
      </c>
      <c r="E3178" s="1" t="s">
        <v>5846</v>
      </c>
      <c r="F3178" s="1" t="s">
        <v>5847</v>
      </c>
      <c r="G3178" s="1" t="s">
        <v>49</v>
      </c>
      <c r="H3178" s="1" t="s">
        <v>16</v>
      </c>
      <c r="I3178" s="1" t="str">
        <f ca="1">IFERROR(__xludf.DUMMYFUNCTION("GOOGLETRANSLATE(F3178, ""auto"", ""en"")
"),"It hums like a tractor! The TV is barely audible!")</f>
        <v>It hums like a tractor! The TV is barely audible!</v>
      </c>
    </row>
    <row r="3179" spans="1:9" x14ac:dyDescent="0.3">
      <c r="A3179" s="1" t="s">
        <v>61</v>
      </c>
      <c r="B3179" s="1" t="s">
        <v>5714</v>
      </c>
      <c r="C3179" s="1" t="s">
        <v>146</v>
      </c>
      <c r="D3179" s="1" t="s">
        <v>5848</v>
      </c>
      <c r="E3179" s="1" t="s">
        <v>5849</v>
      </c>
      <c r="F3179" s="1" t="s">
        <v>5850</v>
      </c>
      <c r="G3179" s="1" t="s">
        <v>36</v>
      </c>
      <c r="H3179" s="1" t="s">
        <v>29</v>
      </c>
      <c r="I3179" s="1" t="str">
        <f ca="1">IFERROR(__xludf.DUMMYFUNCTION("GOOGLETRANSLATE(F3179, ""auto"", ""en"")
"),"My sister gave it to me recently; I didn’t think that you could make thin paste so easily at home, but here everything is so simple - I attached it to the food processor, made the dough and the attachment cuts it perfectly! Made of stainless steel, so you"&amp;" can safely wash it with water and are not afraid of rust stains. It does not require special care, which is also pleasing; ordinary wiping is usually enough to maintain cleanliness. The roller spins the dough without squeaking, it is immediately clear th"&amp;"at the manufacturer did his best - the attachment does not create the impression of some kind of cheap fake. In my opinion, this is a very high quality item!")</f>
        <v>My sister gave it to me recently; I didn’t think that you could make thin paste so easily at home, but here everything is so simple - I attached it to the food processor, made the dough and the attachment cuts it perfectly! Made of stainless steel, so you can safely wash it with water and are not afraid of rust stains. It does not require special care, which is also pleasing; ordinary wiping is usually enough to maintain cleanliness. The roller spins the dough without squeaking, it is immediately clear that the manufacturer did his best - the attachment does not create the impression of some kind of cheap fake. In my opinion, this is a very high quality item!</v>
      </c>
    </row>
    <row r="3180" spans="1:9" x14ac:dyDescent="0.3">
      <c r="A3180" s="1" t="s">
        <v>169</v>
      </c>
      <c r="B3180" s="1" t="s">
        <v>170</v>
      </c>
      <c r="C3180" s="1" t="s">
        <v>171</v>
      </c>
      <c r="D3180" s="1" t="s">
        <v>305</v>
      </c>
      <c r="E3180" s="1" t="s">
        <v>2231</v>
      </c>
      <c r="F3180" s="1" t="s">
        <v>5851</v>
      </c>
      <c r="G3180" s="1" t="s">
        <v>15</v>
      </c>
      <c r="H3180" s="1" t="s">
        <v>16</v>
      </c>
      <c r="I3180" s="1" t="str">
        <f ca="1">IFERROR(__xludf.DUMMYFUNCTION("GOOGLETRANSLATE(F3180, ""auto"", ""en"")
"),"The sound of music makes your ears droop. No bass, highs hiss.  They will be suitable for radio or TV series (don’t throw them away).")</f>
        <v>The sound of music makes your ears droop. No bass, highs hiss.  They will be suitable for radio or TV series (don’t throw them away).</v>
      </c>
    </row>
    <row r="3181" spans="1:9" x14ac:dyDescent="0.3">
      <c r="A3181" s="1" t="s">
        <v>965</v>
      </c>
      <c r="B3181" s="1" t="s">
        <v>966</v>
      </c>
      <c r="C3181" s="1" t="s">
        <v>2149</v>
      </c>
      <c r="D3181" s="1" t="s">
        <v>1036</v>
      </c>
      <c r="E3181" s="1" t="s">
        <v>1267</v>
      </c>
      <c r="F3181" s="1" t="s">
        <v>5852</v>
      </c>
      <c r="G3181" s="1" t="s">
        <v>36</v>
      </c>
      <c r="H3181" s="1" t="s">
        <v>29</v>
      </c>
      <c r="I3181" s="1" t="str">
        <f ca="1">IFERROR(__xludf.DUMMYFUNCTION("GOOGLETRANSLATE(F3181, ""auto"", ""en"")
"),"Excellent acoustics, especially if properly configured in the Creative X-FI Xtreme Audio software (bass, equalizer and other gadgets) super sound. I’ve had them for a year now and they work fine. The only negative is that over time the volume control slig"&amp;"htly hisses when you turn it, but this is typical for such volume controls.")</f>
        <v>Excellent acoustics, especially if properly configured in the Creative X-FI Xtreme Audio software (bass, equalizer and other gadgets) super sound. I’ve had them for a year now and they work fine. The only negative is that over time the volume control slightly hisses when you turn it, but this is typical for such volume controls.</v>
      </c>
    </row>
    <row r="3182" spans="1:9" x14ac:dyDescent="0.3">
      <c r="A3182" s="1" t="s">
        <v>30</v>
      </c>
      <c r="B3182" s="1" t="s">
        <v>31</v>
      </c>
      <c r="C3182" s="1" t="s">
        <v>32</v>
      </c>
      <c r="D3182" s="1" t="s">
        <v>5853</v>
      </c>
      <c r="E3182" s="1" t="s">
        <v>2222</v>
      </c>
      <c r="F3182" s="1" t="s">
        <v>5854</v>
      </c>
      <c r="G3182" s="1" t="s">
        <v>36</v>
      </c>
      <c r="H3182" s="1" t="s">
        <v>29</v>
      </c>
      <c r="I3182" s="1" t="str">
        <f ca="1">IFERROR(__xludf.DUMMYFUNCTION("GOOGLETRANSLATE(F3182, ""auto"", ""en"")
"),"The computer is super, all the toys are great, the processor doesn’t strain!")</f>
        <v>The computer is super, all the toys are great, the processor doesn’t strain!</v>
      </c>
    </row>
    <row r="3183" spans="1:9" x14ac:dyDescent="0.3">
      <c r="A3183" s="1" t="s">
        <v>206</v>
      </c>
      <c r="B3183" s="1" t="s">
        <v>207</v>
      </c>
      <c r="C3183" s="1" t="s">
        <v>1143</v>
      </c>
      <c r="D3183" s="1" t="s">
        <v>305</v>
      </c>
      <c r="E3183" s="1" t="s">
        <v>5855</v>
      </c>
      <c r="F3183" s="1" t="s">
        <v>5856</v>
      </c>
      <c r="G3183" s="1" t="s">
        <v>36</v>
      </c>
      <c r="H3183" s="1" t="s">
        <v>29</v>
      </c>
      <c r="I3183" s="1" t="str">
        <f ca="1">IFERROR(__xludf.DUMMYFUNCTION("GOOGLETRANSLATE(F3183, ""auto"", ""en"")
"),"Excellent sub, listened to everything in MVideo. Thanks to the seller for taking the time and giving me the opportunity to compare with other models. This one, in my opinion, turned out to be the most musical of what was available. I don’t know about pres"&amp;"sure, I’m not a fan of such things. The task was to level out the frequency response at the bottom, while unloading the acoustics. The bass became pleasant, I didn’t notice any strong brakes either.")</f>
        <v>Excellent sub, listened to everything in MVideo. Thanks to the seller for taking the time and giving me the opportunity to compare with other models. This one, in my opinion, turned out to be the most musical of what was available. I don’t know about pressure, I’m not a fan of such things. The task was to level out the frequency response at the bottom, while unloading the acoustics. The bass became pleasant, I didn’t notice any strong brakes either.</v>
      </c>
    </row>
    <row r="3184" spans="1:9" x14ac:dyDescent="0.3">
      <c r="A3184" s="1" t="s">
        <v>211</v>
      </c>
      <c r="B3184" s="1" t="s">
        <v>856</v>
      </c>
      <c r="C3184" s="1" t="s">
        <v>57</v>
      </c>
      <c r="D3184" s="1" t="s">
        <v>46</v>
      </c>
      <c r="E3184" s="1" t="s">
        <v>1150</v>
      </c>
      <c r="F3184" s="1" t="s">
        <v>5857</v>
      </c>
      <c r="G3184" s="1" t="s">
        <v>36</v>
      </c>
      <c r="H3184" s="1" t="s">
        <v>29</v>
      </c>
      <c r="I3184" s="1" t="str">
        <f ca="1">IFERROR(__xludf.DUMMYFUNCTION("GOOGLETRANSLATE(F3184, ""auto"", ""en"")
"),"Vibra. Shakes your dear soul both on your back and neck (if you are short and close). You can choose specifically what and how to shake and shake specifically - for example, only the lower back. Of course, there is no roller sensitive muscle massage, but "&amp;"it disperses stagnation in the body. You even feel some kind of lightness afterwards. It also heats up very quickly and pleasantly.")</f>
        <v>Vibra. Shakes your dear soul both on your back and neck (if you are short and close). You can choose specifically what and how to shake and shake specifically - for example, only the lower back. Of course, there is no roller sensitive muscle massage, but it disperses stagnation in the body. You even feel some kind of lightness afterwards. It also heats up very quickly and pleasantly.</v>
      </c>
    </row>
    <row r="3185" spans="1:9" x14ac:dyDescent="0.3">
      <c r="A3185" s="1" t="s">
        <v>169</v>
      </c>
      <c r="B3185" s="1" t="s">
        <v>170</v>
      </c>
      <c r="C3185" s="1" t="s">
        <v>97</v>
      </c>
      <c r="D3185" s="1" t="s">
        <v>5858</v>
      </c>
      <c r="E3185" s="1" t="s">
        <v>5859</v>
      </c>
      <c r="F3185" s="1" t="s">
        <v>5860</v>
      </c>
      <c r="G3185" s="1" t="s">
        <v>36</v>
      </c>
      <c r="H3185" s="1" t="s">
        <v>29</v>
      </c>
      <c r="I3185" s="1" t="str">
        <f ca="1">IFERROR(__xludf.DUMMYFUNCTION("GOOGLETRANSLATE(F3185, ""auto"", ""en"")
"),"Very loud and good headphones!!!! They served for half a year! Used every day at full volume!!! Don't sit down!!! And the wire of the left earphone fell off!!!")</f>
        <v>Very loud and good headphones!!!! They served for half a year! Used every day at full volume!!! Don't sit down!!! And the wire of the left earphone fell off!!!</v>
      </c>
    </row>
    <row r="3186" spans="1:9" x14ac:dyDescent="0.3">
      <c r="A3186" s="1" t="s">
        <v>61</v>
      </c>
      <c r="B3186" s="1" t="s">
        <v>73</v>
      </c>
      <c r="C3186" s="1" t="s">
        <v>146</v>
      </c>
      <c r="D3186" s="1" t="s">
        <v>33</v>
      </c>
      <c r="E3186" s="1" t="s">
        <v>5861</v>
      </c>
      <c r="F3186" s="1" t="s">
        <v>5862</v>
      </c>
      <c r="G3186" s="1" t="s">
        <v>36</v>
      </c>
      <c r="H3186" s="1" t="s">
        <v>29</v>
      </c>
      <c r="I3186" s="1" t="str">
        <f ca="1">IFERROR(__xludf.DUMMYFUNCTION("GOOGLETRANSLATE(F3186, ""auto"", ""en"")
"),"Yes, it’s noisy, but still I’ve never seen such a durable meat grinder, it’s been working almost every day in a cafe for two years now. The minced meat comes out well, the meat comes out with a bang! In general, we’re happy, and I recommend it to everyone"&amp;" I know.")</f>
        <v>Yes, it’s noisy, but still I’ve never seen such a durable meat grinder, it’s been working almost every day in a cafe for two years now. The minced meat comes out well, the meat comes out with a bang! In general, we’re happy, and I recommend it to everyone I know.</v>
      </c>
    </row>
    <row r="3187" spans="1:9" x14ac:dyDescent="0.3">
      <c r="A3187" s="1" t="s">
        <v>89</v>
      </c>
      <c r="B3187" s="1" t="s">
        <v>90</v>
      </c>
      <c r="C3187" s="1" t="s">
        <v>63</v>
      </c>
      <c r="D3187" s="1" t="s">
        <v>280</v>
      </c>
      <c r="E3187" s="1" t="s">
        <v>4143</v>
      </c>
      <c r="F3187" s="1" t="s">
        <v>5863</v>
      </c>
      <c r="G3187" s="1" t="s">
        <v>94</v>
      </c>
      <c r="H3187" s="1" t="s">
        <v>29</v>
      </c>
      <c r="I3187" s="1" t="str">
        <f ca="1">IFERROR(__xludf.DUMMYFUNCTION("GOOGLETRANSLATE(F3187, ""auto"", ""en"")
"),"simplicity, reliability, low price")</f>
        <v>simplicity, reliability, low price</v>
      </c>
    </row>
    <row r="3188" spans="1:9" x14ac:dyDescent="0.3">
      <c r="A3188" s="1" t="s">
        <v>9</v>
      </c>
      <c r="B3188" s="1" t="s">
        <v>4430</v>
      </c>
      <c r="C3188" s="1" t="s">
        <v>63</v>
      </c>
      <c r="D3188" s="1" t="s">
        <v>5864</v>
      </c>
      <c r="E3188" s="1" t="s">
        <v>4051</v>
      </c>
      <c r="F3188" s="1" t="s">
        <v>5865</v>
      </c>
      <c r="G3188" s="1" t="s">
        <v>36</v>
      </c>
      <c r="H3188" s="1" t="s">
        <v>29</v>
      </c>
      <c r="I3188" s="1" t="str">
        <f ca="1">IFERROR(__xludf.DUMMYFUNCTION("GOOGLETRANSLATE(F3188, ""auto"", ""en"")
"),"Comfortable, fairly large display. The wife is satisfied with the quality of the wash and the spin cycle. Many useful options - automatic water level adjustment, accelerated washing, delayed start.")</f>
        <v>Comfortable, fairly large display. The wife is satisfied with the quality of the wash and the spin cycle. Many useful options - automatic water level adjustment, accelerated washing, delayed start.</v>
      </c>
    </row>
    <row r="3189" spans="1:9" x14ac:dyDescent="0.3">
      <c r="A3189" s="1" t="s">
        <v>369</v>
      </c>
      <c r="B3189" s="1" t="s">
        <v>587</v>
      </c>
      <c r="C3189" s="1" t="s">
        <v>588</v>
      </c>
      <c r="D3189" s="1" t="s">
        <v>117</v>
      </c>
      <c r="E3189" s="1" t="s">
        <v>1467</v>
      </c>
      <c r="F3189" s="1" t="s">
        <v>5866</v>
      </c>
      <c r="G3189" s="1" t="s">
        <v>36</v>
      </c>
      <c r="H3189" s="1" t="s">
        <v>29</v>
      </c>
      <c r="I3189" s="1" t="str">
        <f ca="1">IFERROR(__xludf.DUMMYFUNCTION("GOOGLETRANSLATE(F3189, ""auto"", ""en"")
"),"The stove is just great. Electric ignition - matches are not needed at all) in comparison with previous models, I consider it a big disadvantage that there is no grill, although to be honest we have never used it. The stove does not allow heat to pass thr"&amp;"ough - the lid and door gasket fit tightly. There is a function to turn off the gas when the fire goes out, the only downside is that it only works in the stove on the burners. It is also inferior in width to previous models of the same model range (not m"&amp;"ade of stainless steel). Minor shortcomings do not matter, so the stove is a full five, I advise everyone!")</f>
        <v>The stove is just great. Electric ignition - matches are not needed at all) in comparison with previous models, I consider it a big disadvantage that there is no grill, although to be honest we have never used it. The stove does not allow heat to pass through - the lid and door gasket fit tightly. There is a function to turn off the gas when the fire goes out, the only downside is that it only works in the stove on the burners. It is also inferior in width to previous models of the same model range (not made of stainless steel). Minor shortcomings do not matter, so the stove is a full five, I advise everyone!</v>
      </c>
    </row>
    <row r="3190" spans="1:9" x14ac:dyDescent="0.3">
      <c r="A3190" s="1" t="s">
        <v>61</v>
      </c>
      <c r="B3190" s="1" t="s">
        <v>726</v>
      </c>
      <c r="C3190" s="1" t="s">
        <v>74</v>
      </c>
      <c r="D3190" s="1" t="s">
        <v>247</v>
      </c>
      <c r="E3190" s="1" t="s">
        <v>5867</v>
      </c>
      <c r="F3190" s="1" t="s">
        <v>5868</v>
      </c>
      <c r="G3190" s="1" t="s">
        <v>36</v>
      </c>
      <c r="H3190" s="1" t="s">
        <v>29</v>
      </c>
      <c r="I3190" s="1" t="str">
        <f ca="1">IFERROR(__xludf.DUMMYFUNCTION("GOOGLETRANSLATE(F3190, ""auto"", ""en"")
"),"I spent a long time studying all the forums and reviews about stoves and companies, but decided to settle on Mulinex.  In general, we brought it home, and as advised in the book, we decided to start with white bread. It turned out great, but as I expected"&amp;", the crust then had to be baked at 12 degrees, but I don’t consider this a minus. This afternoon we made French bread, which is also good. The only stirrer always remains in the baked bread, so you have to pick it out with a fork. In general, we became f"&amp;"riends with her!!!!!")</f>
        <v>I spent a long time studying all the forums and reviews about stoves and companies, but decided to settle on Mulinex.  In general, we brought it home, and as advised in the book, we decided to start with white bread. It turned out great, but as I expected, the crust then had to be baked at 12 degrees, but I don’t consider this a minus. This afternoon we made French bread, which is also good. The only stirrer always remains in the baked bread, so you have to pick it out with a fork. In general, we became friends with her!!!!!</v>
      </c>
    </row>
    <row r="3191" spans="1:9" x14ac:dyDescent="0.3">
      <c r="A3191" s="1" t="s">
        <v>89</v>
      </c>
      <c r="B3191" s="1" t="s">
        <v>90</v>
      </c>
      <c r="C3191" s="1" t="s">
        <v>185</v>
      </c>
      <c r="D3191" s="1" t="s">
        <v>5869</v>
      </c>
      <c r="E3191" s="1" t="s">
        <v>5870</v>
      </c>
      <c r="F3191" s="1" t="s">
        <v>5871</v>
      </c>
      <c r="G3191" s="1" t="s">
        <v>28</v>
      </c>
      <c r="H3191" s="1" t="s">
        <v>29</v>
      </c>
      <c r="I3191" s="1" t="str">
        <f ca="1">IFERROR(__xludf.DUMMYFUNCTION("GOOGLETRANSLATE(F3191, ""auto"", ""en"")
"),"Beautiful, neat, functional.")</f>
        <v>Beautiful, neat, functional.</v>
      </c>
    </row>
    <row r="3192" spans="1:9" x14ac:dyDescent="0.3">
      <c r="A3192" s="1" t="s">
        <v>105</v>
      </c>
      <c r="B3192" s="1" t="s">
        <v>106</v>
      </c>
      <c r="C3192" s="1" t="s">
        <v>107</v>
      </c>
      <c r="D3192" s="1" t="s">
        <v>280</v>
      </c>
      <c r="E3192" s="1" t="s">
        <v>2176</v>
      </c>
      <c r="F3192" s="1" t="s">
        <v>5872</v>
      </c>
      <c r="G3192" s="1" t="s">
        <v>36</v>
      </c>
      <c r="H3192" s="1" t="s">
        <v>29</v>
      </c>
      <c r="I3192" s="1" t="str">
        <f ca="1">IFERROR(__xludf.DUMMYFUNCTION("GOOGLETRANSLATE(F3192, ""auto"", ""en"")
"),"The player made an excellent impression. The sound is detailed, clear, bass is present, and there are also adjustments to enhance it if necessary. If this is not the case, then either you have low-quality headphones (Sony mdr-32ex are excellent headphones"&amp;" for any players), or you listen to low-quality recordings (flac ape is what you need to listen to to evaluate the sound, and in the event that these 2 formats compressed cd-da, and not a fake from mp3 to cd-da), or you have configured the sound or it is "&amp;"not configured correctly. In general, I don’t set any amplification on the player, there are no effects and the sound is excellent, all the lows, highs and mids are enough, but just buy better headphones, and pay attention to the formats you listen to, as"&amp;" well as the sound adjustments.  As for the video, I really liked that it doesn’t always need to be converted, and even the player reads it from the memory card without any problems, which is also a plus.   Some people here have problems with ape, I had t"&amp;"he same problem, and this is how I solved it: I said monkey audio, unpacked the ape files into wav, then compressed them again into ape and threw them into the player, the player played them. When you compress with this program in ape, you should not choo"&amp;"se a compression level lower than normal, because a player with a more efficient compression ratio does not play this format; the processor will not support it because Even when using ape rewind on a computer with a 2-core processor, there are noticeable "&amp;"pauses.  Of course, there are small comments, but they are not so significant and do not interfere with using the player for its intended purpose.   In general, a successful model from ritmix at a very reasonable price! It was possible to squeeze out comp"&amp;"etitors, because For almost similar models, competitors ask for more money.")</f>
        <v>The player made an excellent impression. The sound is detailed, clear, bass is present, and there are also adjustments to enhance it if necessary. If this is not the case, then either you have low-quality headphones (Sony mdr-32ex are excellent headphones for any players), or you listen to low-quality recordings (flac ape is what you need to listen to to evaluate the sound, and in the event that these 2 formats compressed cd-da, and not a fake from mp3 to cd-da), or you have configured the sound or it is not configured correctly. In general, I don’t set any amplification on the player, there are no effects and the sound is excellent, all the lows, highs and mids are enough, but just buy better headphones, and pay attention to the formats you listen to, as well as the sound adjustments.  As for the video, I really liked that it doesn’t always need to be converted, and even the player reads it from the memory card without any problems, which is also a plus.   Some people here have problems with ape, I had the same problem, and this is how I solved it: I said monkey audio, unpacked the ape files into wav, then compressed them again into ape and threw them into the player, the player played them. When you compress with this program in ape, you should not choose a compression level lower than normal, because a player with a more efficient compression ratio does not play this format; the processor will not support it because Even when using ape rewind on a computer with a 2-core processor, there are noticeable pauses.  Of course, there are small comments, but they are not so significant and do not interfere with using the player for its intended purpose.   In general, a successful model from ritmix at a very reasonable price! It was possible to squeeze out competitors, because For almost similar models, competitors ask for more money.</v>
      </c>
    </row>
    <row r="3193" spans="1:9" x14ac:dyDescent="0.3">
      <c r="A3193" s="1" t="s">
        <v>120</v>
      </c>
      <c r="B3193" s="1" t="s">
        <v>126</v>
      </c>
      <c r="C3193" s="1" t="s">
        <v>122</v>
      </c>
      <c r="D3193" s="1" t="s">
        <v>327</v>
      </c>
      <c r="E3193" s="1" t="s">
        <v>1065</v>
      </c>
      <c r="F3193" s="1" t="s">
        <v>5873</v>
      </c>
      <c r="G3193" s="1" t="s">
        <v>36</v>
      </c>
      <c r="H3193" s="1" t="s">
        <v>29</v>
      </c>
      <c r="I3193" s="1" t="str">
        <f ca="1">IFERROR(__xludf.DUMMYFUNCTION("GOOGLETRANSLATE(F3193, ""auto"", ""en"")
"),"The crisis is still beneficial for ordinary people; equipment has dropped significantly in price. so I pleased myself and my family with this model. The picture is perfect, the colors and details are reproduced very well, the only disappointment is the la"&amp;"ck of USB, well, God bless him. And it's just great TV.")</f>
        <v>The crisis is still beneficial for ordinary people; equipment has dropped significantly in price. so I pleased myself and my family with this model. The picture is perfect, the colors and details are reproduced very well, the only disappointment is the lack of USB, well, God bless him. And it's just great TV.</v>
      </c>
    </row>
    <row r="3194" spans="1:9" x14ac:dyDescent="0.3">
      <c r="A3194" s="1" t="s">
        <v>61</v>
      </c>
      <c r="B3194" s="1" t="s">
        <v>977</v>
      </c>
      <c r="C3194" s="1" t="s">
        <v>63</v>
      </c>
      <c r="D3194" s="1" t="s">
        <v>295</v>
      </c>
      <c r="E3194" s="1" t="s">
        <v>5874</v>
      </c>
      <c r="F3194" s="1" t="s">
        <v>5875</v>
      </c>
      <c r="G3194" s="1" t="s">
        <v>36</v>
      </c>
      <c r="H3194" s="1" t="s">
        <v>29</v>
      </c>
      <c r="I3194" s="1" t="str">
        <f ca="1">IFERROR(__xludf.DUMMYFUNCTION("GOOGLETRANSLATE(F3194, ""auto"", ""en"")
"),"The mixer with the bowl turned out to be a super convenient thing. The sponge cake whips up wonderfully, in fact only for the sponge cake you need a mixer, and everything else is quicker to beat with a whisk and wash. Unfortunately, a year later one of th"&amp;"e whisks fell apart...")</f>
        <v>The mixer with the bowl turned out to be a super convenient thing. The sponge cake whips up wonderfully, in fact only for the sponge cake you need a mixer, and everything else is quicker to beat with a whisk and wash. Unfortunately, a year later one of the whisks fell apart...</v>
      </c>
    </row>
    <row r="3195" spans="1:9" x14ac:dyDescent="0.3">
      <c r="A3195" s="1" t="s">
        <v>211</v>
      </c>
      <c r="B3195" s="1" t="s">
        <v>212</v>
      </c>
      <c r="C3195" s="1" t="s">
        <v>63</v>
      </c>
      <c r="D3195" s="1" t="s">
        <v>4679</v>
      </c>
      <c r="E3195" s="1" t="s">
        <v>3694</v>
      </c>
      <c r="F3195" s="1" t="s">
        <v>5876</v>
      </c>
      <c r="G3195" s="1" t="s">
        <v>36</v>
      </c>
      <c r="H3195" s="1" t="s">
        <v>29</v>
      </c>
      <c r="I3195" s="1" t="str">
        <f ca="1">IFERROR(__xludf.DUMMYFUNCTION("GOOGLETRANSLATE(F3195, ""auto"", ""en"")
"),"The hairdryer is excellent. I've been using it for about 5 years, my hair is medium long. It lifts well at the roots and gives volume to the hair. Makes them smooth and silky. The first year I didn’t use it much - apparently I couldn’t apply it correctly."&amp;" Now the hand is already full - 10 minutes - and an excellent hairstyle, no additional styling is required from all sorts of irons and so on. The volume from styling with this hairdryer lasts all day. I'm satisfied, I recommend it :)")</f>
        <v>The hairdryer is excellent. I've been using it for about 5 years, my hair is medium long. It lifts well at the roots and gives volume to the hair. Makes them smooth and silky. The first year I didn’t use it much - apparently I couldn’t apply it correctly. Now the hand is already full - 10 minutes - and an excellent hairstyle, no additional styling is required from all sorts of irons and so on. The volume from styling with this hairdryer lasts all day. I'm satisfied, I recommend it :)</v>
      </c>
    </row>
    <row r="3196" spans="1:9" x14ac:dyDescent="0.3">
      <c r="A3196" s="1" t="s">
        <v>211</v>
      </c>
      <c r="B3196" s="1" t="s">
        <v>212</v>
      </c>
      <c r="C3196" s="1" t="s">
        <v>381</v>
      </c>
      <c r="D3196" s="1" t="s">
        <v>247</v>
      </c>
      <c r="E3196" s="1" t="s">
        <v>254</v>
      </c>
      <c r="F3196" s="1" t="s">
        <v>5877</v>
      </c>
      <c r="G3196" s="1" t="s">
        <v>49</v>
      </c>
      <c r="H3196" s="1" t="s">
        <v>16</v>
      </c>
      <c r="I3196" s="1" t="str">
        <f ca="1">IFERROR(__xludf.DUMMYFUNCTION("GOOGLETRANSLATE(F3196, ""auto"", ""en"")
"),"It’s not possible to use the comb attachment at all, it constantly flies off and doesn’t stay on at all! I didn’t like it.")</f>
        <v>It’s not possible to use the comb attachment at all, it constantly flies off and doesn’t stay on at all! I didn’t like it.</v>
      </c>
    </row>
    <row r="3197" spans="1:9" x14ac:dyDescent="0.3">
      <c r="A3197" s="1" t="s">
        <v>9</v>
      </c>
      <c r="B3197" s="1" t="s">
        <v>10</v>
      </c>
      <c r="C3197" s="1" t="s">
        <v>466</v>
      </c>
      <c r="D3197" s="1" t="s">
        <v>5878</v>
      </c>
      <c r="E3197" s="1" t="s">
        <v>5879</v>
      </c>
      <c r="F3197" s="1" t="s">
        <v>5880</v>
      </c>
      <c r="G3197" s="1" t="s">
        <v>36</v>
      </c>
      <c r="H3197" s="1" t="s">
        <v>29</v>
      </c>
      <c r="I3197" s="1" t="str">
        <f ca="1">IFERROR(__xludf.DUMMYFUNCTION("GOOGLETRANSLATE(F3197, ""auto"", ""en"")
"),"When purchasing, I was limited in money and the choice of this model was justified by its quite affordable cost. At first glance I thought it would look cumbersome, but after installation I was even attracted by this overhanging box. It works powerfully a"&amp;"nd copes with the brightest odors, such as fried fish, cutlets, etc., without any problems. It is controlled by a pair of buttons, has a backlight, and the absorbent grilles are easily removed for washing. I was very pleased with the hood!")</f>
        <v>When purchasing, I was limited in money and the choice of this model was justified by its quite affordable cost. At first glance I thought it would look cumbersome, but after installation I was even attracted by this overhanging box. It works powerfully and copes with the brightest odors, such as fried fish, cutlets, etc., without any problems. It is controlled by a pair of buttons, has a backlight, and the absorbent grilles are easily removed for washing. I was very pleased with the hood!</v>
      </c>
    </row>
    <row r="3198" spans="1:9" x14ac:dyDescent="0.3">
      <c r="A3198" s="1" t="s">
        <v>211</v>
      </c>
      <c r="B3198" s="1" t="s">
        <v>2818</v>
      </c>
      <c r="C3198" s="1" t="s">
        <v>122</v>
      </c>
      <c r="D3198" s="1" t="s">
        <v>5881</v>
      </c>
      <c r="E3198" s="1" t="s">
        <v>5882</v>
      </c>
      <c r="F3198" s="1" t="s">
        <v>5883</v>
      </c>
      <c r="G3198" s="1" t="s">
        <v>36</v>
      </c>
      <c r="H3198" s="1" t="s">
        <v>29</v>
      </c>
      <c r="I3198" s="1" t="str">
        <f ca="1">IFERROR(__xludf.DUMMYFUNCTION("GOOGLETRANSLATE(F3198, ""auto"", ""en"")
"),"I've been using a Panasonic electric razor for over a year now and overall I've been very pleased. It shaves much faster and cleaner than a machine. But the problem is that shaving has become worse lately, as the knives have become dull. I didn’t even thi"&amp;"nk about the fact that they could become unusable before the razor itself breaks))) But since they are removable, I thought it would be a good idea to replace them. Moreover, the razor itself is very comfortable and I got used to it. And over the past yea"&amp;"r and a half it has almost doubled in price, so there seems to be no point in buying a new one. I first tried to look for knives for it in stores in the neighborhood where I live, I even carried a razor with me so as not to make a mistake, but I didn’t fi"&amp;"nd anything. Then I decided to google the brand of this razor to see if there were any knives for it and immediately, oh, happiness))) I came across this site and these knives. I ordered at my own peril and risk, so to speak, without trying on. And in gen"&amp;"eral, I didn’t make a mistake, since the knives really fit and they are sharp. I hope that they will also be enough for a year. I'll probably order another set right away. so as not to search later.")</f>
        <v>I've been using a Panasonic electric razor for over a year now and overall I've been very pleased. It shaves much faster and cleaner than a machine. But the problem is that shaving has become worse lately, as the knives have become dull. I didn’t even think about the fact that they could become unusable before the razor itself breaks))) But since they are removable, I thought it would be a good idea to replace them. Moreover, the razor itself is very comfortable and I got used to it. And over the past year and a half it has almost doubled in price, so there seems to be no point in buying a new one. I first tried to look for knives for it in stores in the neighborhood where I live, I even carried a razor with me so as not to make a mistake, but I didn’t find anything. Then I decided to google the brand of this razor to see if there were any knives for it and immediately, oh, happiness))) I came across this site and these knives. I ordered at my own peril and risk, so to speak, without trying on. And in general, I didn’t make a mistake, since the knives really fit and they are sharp. I hope that they will also be enough for a year. I'll probably order another set right away. so as not to search later.</v>
      </c>
    </row>
    <row r="3199" spans="1:9" x14ac:dyDescent="0.3">
      <c r="A3199" s="1" t="s">
        <v>30</v>
      </c>
      <c r="B3199" s="1" t="s">
        <v>50</v>
      </c>
      <c r="C3199" s="1" t="s">
        <v>32</v>
      </c>
      <c r="D3199" s="1" t="s">
        <v>1036</v>
      </c>
      <c r="E3199" s="1" t="s">
        <v>4578</v>
      </c>
      <c r="F3199" s="1" t="s">
        <v>5884</v>
      </c>
      <c r="G3199" s="1" t="s">
        <v>36</v>
      </c>
      <c r="H3199" s="1" t="s">
        <v>29</v>
      </c>
      <c r="I3199" s="1" t="str">
        <f ca="1">IFERROR(__xludf.DUMMYFUNCTION("GOOGLETRANSLATE(F3199, ""auto"", ""en"")
"),"Cool laptop, price, system at the highest level, I recommend it.")</f>
        <v>Cool laptop, price, system at the highest level, I recommend it.</v>
      </c>
    </row>
    <row r="3200" spans="1:9" x14ac:dyDescent="0.3">
      <c r="A3200" s="1" t="s">
        <v>211</v>
      </c>
      <c r="B3200" s="1" t="s">
        <v>212</v>
      </c>
      <c r="C3200" s="1" t="s">
        <v>69</v>
      </c>
      <c r="D3200" s="1" t="s">
        <v>471</v>
      </c>
      <c r="E3200" s="1" t="s">
        <v>1649</v>
      </c>
      <c r="F3200" s="1" t="s">
        <v>5885</v>
      </c>
      <c r="G3200" s="1" t="s">
        <v>49</v>
      </c>
      <c r="H3200" s="1" t="s">
        <v>16</v>
      </c>
      <c r="I3200" s="1" t="str">
        <f ca="1">IFERROR(__xludf.DUMMYFUNCTION("GOOGLETRANSLATE(F3200, ""auto"", ""en"")
"),"terrible is not the right word!!!! 10 in one and not one of them works as it should!!!")</f>
        <v>terrible is not the right word!!!! 10 in one and not one of them works as it should!!!</v>
      </c>
    </row>
    <row r="3201" spans="1:9" x14ac:dyDescent="0.3">
      <c r="A3201" s="1" t="s">
        <v>369</v>
      </c>
      <c r="B3201" s="1" t="s">
        <v>370</v>
      </c>
      <c r="C3201" s="1" t="s">
        <v>63</v>
      </c>
      <c r="D3201" s="1" t="s">
        <v>1776</v>
      </c>
      <c r="E3201" s="1" t="s">
        <v>5886</v>
      </c>
      <c r="F3201" s="1" t="s">
        <v>5887</v>
      </c>
      <c r="G3201" s="1" t="s">
        <v>36</v>
      </c>
      <c r="H3201" s="1" t="s">
        <v>29</v>
      </c>
      <c r="I3201" s="1" t="str">
        <f ca="1">IFERROR(__xludf.DUMMYFUNCTION("GOOGLETRANSLATE(F3201, ""auto"", ""en"")
"),"We bought this model in December, we are happy with everything")</f>
        <v>We bought this model in December, we are happy with everything</v>
      </c>
    </row>
    <row r="3202" spans="1:9" x14ac:dyDescent="0.3">
      <c r="A3202" s="1" t="s">
        <v>61</v>
      </c>
      <c r="B3202" s="1" t="s">
        <v>318</v>
      </c>
      <c r="C3202" s="1" t="s">
        <v>246</v>
      </c>
      <c r="D3202" s="1" t="s">
        <v>64</v>
      </c>
      <c r="E3202" s="1" t="s">
        <v>316</v>
      </c>
      <c r="F3202" s="1" t="s">
        <v>5888</v>
      </c>
      <c r="G3202" s="1" t="s">
        <v>36</v>
      </c>
      <c r="H3202" s="1" t="s">
        <v>29</v>
      </c>
      <c r="I3202" s="1" t="str">
        <f ca="1">IFERROR(__xludf.DUMMYFUNCTION("GOOGLETRANSLATE(F3202, ""auto"", ""en"")
"),"I bought a kettle a month ago to take on trips. I boiled water in it a couple of times. There is no smell. Very light, compact, heats water quickly. Ideal for travel.")</f>
        <v>I bought a kettle a month ago to take on trips. I boiled water in it a couple of times. There is no smell. Very light, compact, heats water quickly. Ideal for travel.</v>
      </c>
    </row>
    <row r="3203" spans="1:9" x14ac:dyDescent="0.3">
      <c r="A3203" s="1" t="s">
        <v>9</v>
      </c>
      <c r="B3203" s="1" t="s">
        <v>133</v>
      </c>
      <c r="C3203" s="1" t="s">
        <v>151</v>
      </c>
      <c r="D3203" s="1" t="s">
        <v>52</v>
      </c>
      <c r="E3203" s="1" t="s">
        <v>5889</v>
      </c>
      <c r="F3203" s="1" t="s">
        <v>5890</v>
      </c>
      <c r="G3203" s="1" t="s">
        <v>36</v>
      </c>
      <c r="H3203" s="1" t="s">
        <v>29</v>
      </c>
      <c r="I3203" s="1" t="str">
        <f ca="1">IFERROR(__xludf.DUMMYFUNCTION("GOOGLETRANSLATE(F3203, ""auto"", ""en"")
"),"We bought it for the first time four years ago, it worked flawlessly.  The only advice is not to start cleaning the surface.  After moving to another living space, we didn’t take any risks and bought the same one, although it was 50% more expensive. Infla"&amp;"tion)))")</f>
        <v>We bought it for the first time four years ago, it worked flawlessly.  The only advice is not to start cleaning the surface.  After moving to another living space, we didn’t take any risks and bought the same one, although it was 50% more expensive. Inflation)))</v>
      </c>
    </row>
    <row r="3204" spans="1:9" x14ac:dyDescent="0.3">
      <c r="A3204" s="1" t="s">
        <v>120</v>
      </c>
      <c r="B3204" s="1" t="s">
        <v>121</v>
      </c>
      <c r="C3204" s="1" t="s">
        <v>69</v>
      </c>
      <c r="D3204" s="1" t="s">
        <v>5891</v>
      </c>
      <c r="E3204" s="1" t="s">
        <v>4603</v>
      </c>
      <c r="F3204" s="1" t="s">
        <v>5892</v>
      </c>
      <c r="G3204" s="1" t="s">
        <v>36</v>
      </c>
      <c r="H3204" s="1" t="s">
        <v>29</v>
      </c>
      <c r="I3204" s="1" t="str">
        <f ca="1">IFERROR(__xludf.DUMMYFUNCTION("GOOGLETRANSLATE(F3204, ""auto"", ""en"")
"),"Although everyone says that these TVs are not 5+, judging by the sales during the 2 days of the promotion, 9 TVs of this model were sold in our video. 9 is mine. For 19t. you get full + dvb-t + reading ND multimedia from the USB port. The MKV really doesn"&amp;"’t see it, but let’s hope the new firmware will fix it. About the colors - they are not pink, everything looks great. Look at the minimum price on the Internet for this model and the price of 19t. and you will understand everything. Look at other models u"&amp;"sing the same principle, and it will become clear to you that you need to take it. Just make no mistake, take /12 Hungary.  Tambov.")</f>
        <v>Although everyone says that these TVs are not 5+, judging by the sales during the 2 days of the promotion, 9 TVs of this model were sold in our video. 9 is mine. For 19t. you get full + dvb-t + reading ND multimedia from the USB port. The MKV really doesn’t see it, but let’s hope the new firmware will fix it. About the colors - they are not pink, everything looks great. Look at the minimum price on the Internet for this model and the price of 19t. and you will understand everything. Look at other models using the same principle, and it will become clear to you that you need to take it. Just make no mistake, take /12 Hungary.  Tambov.</v>
      </c>
    </row>
    <row r="3205" spans="1:9" x14ac:dyDescent="0.3">
      <c r="A3205" s="1" t="s">
        <v>9</v>
      </c>
      <c r="B3205" s="1" t="s">
        <v>133</v>
      </c>
      <c r="C3205" s="1" t="s">
        <v>63</v>
      </c>
      <c r="D3205" s="1" t="s">
        <v>32</v>
      </c>
      <c r="E3205" s="1" t="s">
        <v>802</v>
      </c>
      <c r="F3205" s="1" t="s">
        <v>5893</v>
      </c>
      <c r="G3205" s="1" t="s">
        <v>36</v>
      </c>
      <c r="H3205" s="1" t="s">
        <v>29</v>
      </c>
      <c r="I3205" s="1" t="str">
        <f ca="1">IFERROR(__xludf.DUMMYFUNCTION("GOOGLETRANSLATE(F3205, ""auto"", ""en"")
"),"We bought this oven just a month ago, but have already prepared a bunch of delicious things. Baking and cooking in it is a pleasure, so far there has not been a single mistake! In addition, the set comes with two different baking sheets for different purp"&amp;"oses. In a deep dish you can bake meat in French style with potatoes, for example. And in a flatter one - prepare various pastries. The oven looks very organic in the kitchen.")</f>
        <v>We bought this oven just a month ago, but have already prepared a bunch of delicious things. Baking and cooking in it is a pleasure, so far there has not been a single mistake! In addition, the set comes with two different baking sheets for different purposes. In a deep dish you can bake meat in French style with potatoes, for example. And in a flatter one - prepare various pastries. The oven looks very organic in the kitchen.</v>
      </c>
    </row>
    <row r="3206" spans="1:9" x14ac:dyDescent="0.3">
      <c r="A3206" s="1" t="s">
        <v>61</v>
      </c>
      <c r="B3206" s="1" t="s">
        <v>318</v>
      </c>
      <c r="C3206" s="1" t="s">
        <v>122</v>
      </c>
      <c r="D3206" s="1" t="s">
        <v>33</v>
      </c>
      <c r="E3206" s="1" t="s">
        <v>5894</v>
      </c>
      <c r="F3206" s="1" t="s">
        <v>5895</v>
      </c>
      <c r="G3206" s="1" t="s">
        <v>28</v>
      </c>
      <c r="H3206" s="1" t="s">
        <v>29</v>
      </c>
      <c r="I3206" s="1" t="str">
        <f ca="1">IFERROR(__xludf.DUMMYFUNCTION("GOOGLETRANSLATE(F3206, ""auto"", ""en"")
"),"A good replacement for a kettle. In the morning there is no need to wait for the kettle to boil, the water in the thermopot is always hot.   Among the shortcomings, I will note the somewhat inflated price for the brand, although when conducting comparativ"&amp;"e “crash tests” in a store, the build quality of analogues is somewhat inferior, there is an inexplicable desire to have a larger model, even +0.5-1 liters would distinguish this manufacturer in a more favorable direction.  But the advantages clearly outw"&amp;"eigh all the minor disadvantages: boiling from the “zero cycle” takes no more than 15 minutes, the noise when boiling water does not strain the ears, unlike the generally accepted standards of 1-2-liter electric kettles, the plastic case holds the tempera"&amp;"ture perfectly, the ability to maintain different temperature conditions 60/80/90/98 degrees, the manufacturer claims the presence of filtration of chlorinated water, the water supply lock button will be useful for unauthorized games with boiling water fo"&amp;"r growing up children generation, the power saving mode, for example at night, is also important for the family budget; unlike the cheaper brother installed at work, there is no need to monitor the presence of drops after pouring water; the level of remai"&amp;"ning water in the thermopot is conveniently monitored thanks to the red ball on the measuring scale located on the body of the thermopot; when disconnected from the network, previously set settings are not reset.")</f>
        <v>A good replacement for a kettle. In the morning there is no need to wait for the kettle to boil, the water in the thermopot is always hot.   Among the shortcomings, I will note the somewhat inflated price for the brand, although when conducting comparative “crash tests” in a store, the build quality of analogues is somewhat inferior, there is an inexplicable desire to have a larger model, even +0.5-1 liters would distinguish this manufacturer in a more favorable direction.  But the advantages clearly outweigh all the minor disadvantages: boiling from the “zero cycle” takes no more than 15 minutes, the noise when boiling water does not strain the ears, unlike the generally accepted standards of 1-2-liter electric kettles, the plastic case holds the temperature perfectly, the ability to maintain different temperature conditions 60/80/90/98 degrees, the manufacturer claims the presence of filtration of chlorinated water, the water supply lock button will be useful for unauthorized games with boiling water for growing up children generation, the power saving mode, for example at night, is also important for the family budget; unlike the cheaper brother installed at work, there is no need to monitor the presence of drops after pouring water; the level of remaining water in the thermopot is conveniently monitored thanks to the red ball on the measuring scale located on the body of the thermopot; when disconnected from the network, previously set settings are not reset.</v>
      </c>
    </row>
    <row r="3207" spans="1:9" x14ac:dyDescent="0.3">
      <c r="A3207" s="1" t="s">
        <v>61</v>
      </c>
      <c r="B3207" s="1" t="s">
        <v>977</v>
      </c>
      <c r="C3207" s="1" t="s">
        <v>63</v>
      </c>
      <c r="D3207" s="1" t="s">
        <v>12</v>
      </c>
      <c r="E3207" s="1" t="s">
        <v>5473</v>
      </c>
      <c r="F3207" s="1" t="s">
        <v>5896</v>
      </c>
      <c r="G3207" s="1" t="s">
        <v>36</v>
      </c>
      <c r="H3207" s="1" t="s">
        <v>29</v>
      </c>
      <c r="I3207" s="1" t="str">
        <f ca="1">IFERROR(__xludf.DUMMYFUNCTION("GOOGLETRANSLATE(F3207, ""auto"", ""en"")
"),"We've been using it for half a year now and it hasn't let us down once. We chop nuts, fruits, dried fruits, prepare cocktails and everything else that can be made into one. We use it often. Regarding power, we have enough. The cord is of normal length and"&amp;" the parts are easy to clean. Easy to use. I recommend!!!")</f>
        <v>We've been using it for half a year now and it hasn't let us down once. We chop nuts, fruits, dried fruits, prepare cocktails and everything else that can be made into one. We use it often. Regarding power, we have enough. The cord is of normal length and the parts are easy to clean. Easy to use. I recommend!!!</v>
      </c>
    </row>
    <row r="3208" spans="1:9" x14ac:dyDescent="0.3">
      <c r="A3208" s="1" t="s">
        <v>67</v>
      </c>
      <c r="B3208" s="1" t="s">
        <v>68</v>
      </c>
      <c r="C3208" s="1" t="s">
        <v>101</v>
      </c>
      <c r="D3208" s="1" t="s">
        <v>5897</v>
      </c>
      <c r="E3208" s="1" t="s">
        <v>4884</v>
      </c>
      <c r="F3208" s="1" t="s">
        <v>5898</v>
      </c>
      <c r="G3208" s="1" t="s">
        <v>28</v>
      </c>
      <c r="H3208" s="1" t="s">
        <v>29</v>
      </c>
      <c r="I3208" s="1" t="str">
        <f ca="1">IFERROR(__xludf.DUMMYFUNCTION("GOOGLETRANSLATE(F3208, ""auto"", ""en"")
"),"I recommend this iron for holidays or if you often iron something with small details, puff sleeves, etc. They can even really iron out a heavily wrinkled item, but of course it will take a little longer to do this than with a large regular iron. But that’"&amp;"s why he’s expensive")</f>
        <v>I recommend this iron for holidays or if you often iron something with small details, puff sleeves, etc. They can even really iron out a heavily wrinkled item, but of course it will take a little longer to do this than with a large regular iron. But that’s why he’s expensive</v>
      </c>
    </row>
    <row r="3209" spans="1:9" x14ac:dyDescent="0.3">
      <c r="A3209" s="1" t="s">
        <v>120</v>
      </c>
      <c r="B3209" s="1" t="s">
        <v>256</v>
      </c>
      <c r="C3209" s="1" t="s">
        <v>2697</v>
      </c>
      <c r="D3209" s="1" t="s">
        <v>114</v>
      </c>
      <c r="E3209" s="1" t="s">
        <v>1639</v>
      </c>
      <c r="F3209" s="1" t="s">
        <v>5899</v>
      </c>
      <c r="G3209" s="1" t="s">
        <v>28</v>
      </c>
      <c r="H3209" s="1" t="s">
        <v>29</v>
      </c>
      <c r="I3209" s="1" t="str">
        <f ca="1">IFERROR(__xludf.DUMMYFUNCTION("GOOGLETRANSLATE(F3209, ""auto"", ""en"")
"),"The TV is excellent but the sound is bad, it’s better to use computer speakers")</f>
        <v>The TV is excellent but the sound is bad, it’s better to use computer speakers</v>
      </c>
    </row>
    <row r="3210" spans="1:9" x14ac:dyDescent="0.3">
      <c r="A3210" s="1" t="s">
        <v>67</v>
      </c>
      <c r="B3210" s="1" t="s">
        <v>68</v>
      </c>
      <c r="C3210" s="1" t="s">
        <v>213</v>
      </c>
      <c r="D3210" s="1" t="s">
        <v>633</v>
      </c>
      <c r="E3210" s="1" t="s">
        <v>118</v>
      </c>
      <c r="F3210" s="1" t="s">
        <v>5900</v>
      </c>
      <c r="G3210" s="1" t="s">
        <v>49</v>
      </c>
      <c r="H3210" s="1" t="s">
        <v>16</v>
      </c>
      <c r="I3210" s="1" t="str">
        <f ca="1">IFERROR(__xludf.DUMMYFUNCTION("GOOGLETRANSLATE(F3210, ""auto"", ""en"")
"),"The iron was disappointing The stop drop stated does not work; at low power, water flows from the iron in a stream onto the clothes")</f>
        <v>The iron was disappointing The stop drop stated does not work; at low power, water flows from the iron in a stream onto the clothes</v>
      </c>
    </row>
    <row r="3211" spans="1:9" x14ac:dyDescent="0.3">
      <c r="A3211" s="1" t="s">
        <v>9</v>
      </c>
      <c r="B3211" s="1" t="s">
        <v>133</v>
      </c>
      <c r="C3211" s="1" t="s">
        <v>290</v>
      </c>
      <c r="D3211" s="1" t="s">
        <v>5901</v>
      </c>
      <c r="E3211" s="1" t="s">
        <v>5902</v>
      </c>
      <c r="F3211" s="1" t="s">
        <v>5903</v>
      </c>
      <c r="G3211" s="1" t="s">
        <v>36</v>
      </c>
      <c r="H3211" s="1" t="s">
        <v>29</v>
      </c>
      <c r="I3211" s="1" t="str">
        <f ca="1">IFERROR(__xludf.DUMMYFUNCTION("GOOGLETRANSLATE(F3211, ""auto"", ""en"")
"),"Initially, the selection criteria were as follows: 1. The presence of telescopic guides 2. The presence of a door closer 3. The presence of airflow 4. Recessed switches First of all, equipment from another manufacturer was considered. However, all my requ"&amp;"irements were met by ovens in the high price segment, and in the end my choice fell on GORENJE. The manufacturer is well-known, and the presence of negative reviews did not bother me. I have never regretted my choice.  Preparation: The oven bakes perfectl"&amp;"y, baked on all sides. A huge number of programs. Can be used as a separate dish. Moreover, when using airflow, the dish can be baked/roasted at less time and temperature.   Design: The black design of the oven is suitable for any kitchen; the sides and h"&amp;"andles are made of completely non-marking stainless steel.  Hygiene: The walls are easy to clean, the steam cleaning function is very convenient.  Other things: the fact that the ventilation blows into your face when you turn on any mode is a little confu"&amp;"sing, but the presence of so many advantages outweighs this minor disadvantage, in addition, it is an excellent heat dissipation, as a result of which the furniture does not heat up. Three-layer glass also does not heat up, which is convenient for familie"&amp;"s with children.")</f>
        <v>Initially, the selection criteria were as follows: 1. The presence of telescopic guides 2. The presence of a door closer 3. The presence of airflow 4. Recessed switches First of all, equipment from another manufacturer was considered. However, all my requirements were met by ovens in the high price segment, and in the end my choice fell on GORENJE. The manufacturer is well-known, and the presence of negative reviews did not bother me. I have never regretted my choice.  Preparation: The oven bakes perfectly, baked on all sides. A huge number of programs. Can be used as a separate dish. Moreover, when using airflow, the dish can be baked/roasted at less time and temperature.   Design: The black design of the oven is suitable for any kitchen; the sides and handles are made of completely non-marking stainless steel.  Hygiene: The walls are easy to clean, the steam cleaning function is very convenient.  Other things: the fact that the ventilation blows into your face when you turn on any mode is a little confusing, but the presence of so many advantages outweighs this minor disadvantage, in addition, it is an excellent heat dissipation, as a result of which the furniture does not heat up. Three-layer glass also does not heat up, which is convenient for families with children.</v>
      </c>
    </row>
    <row r="3212" spans="1:9" x14ac:dyDescent="0.3">
      <c r="A3212" s="1" t="s">
        <v>43</v>
      </c>
      <c r="B3212" s="1" t="s">
        <v>1616</v>
      </c>
      <c r="C3212" s="1" t="s">
        <v>85</v>
      </c>
      <c r="D3212" s="1" t="s">
        <v>171</v>
      </c>
      <c r="E3212" s="1" t="s">
        <v>2680</v>
      </c>
      <c r="F3212" s="1" t="s">
        <v>5904</v>
      </c>
      <c r="G3212" s="1" t="s">
        <v>15</v>
      </c>
      <c r="H3212" s="1" t="s">
        <v>16</v>
      </c>
      <c r="I3212" s="1" t="str">
        <f ca="1">IFERROR(__xludf.DUMMYFUNCTION("GOOGLETRANSLATE(F3212, ""auto"", ""en"")
"),"I bought a Bork AC MHR 25155 S 2 days ago. I installed it in a small room, took the hose outside, filled a full tank of water and started cooling at 18g. 2 hours passed, the temperature dropped from 27 to 26. I checked that cold air was coming out.  I lef"&amp;"t it overnight!!! at 5 am the water in the tank ran out, got up, filled it up again (8 liters (by the way) Enough for 8-10 hours of continuous operation (tested at low speeds) at 10 am the room was 24 degrees! The size of the room is 17 m2 with a ceiling "&amp;"height of 2.7. I was hoping for a different result!!! I’m not happy yet!!! I’m tired of pouring water, and the hot air exhaust system is no good!!! Undoubtedly +, no need to wait for installation! In M-Video the installation time is up to a month!!!")</f>
        <v>I bought a Bork AC MHR 25155 S 2 days ago. I installed it in a small room, took the hose outside, filled a full tank of water and started cooling at 18g. 2 hours passed, the temperature dropped from 27 to 26. I checked that cold air was coming out.  I left it overnight!!! at 5 am the water in the tank ran out, got up, filled it up again (8 liters (by the way) Enough for 8-10 hours of continuous operation (tested at low speeds) at 10 am the room was 24 degrees! The size of the room is 17 m2 with a ceiling height of 2.7. I was hoping for a different result!!! I’m not happy yet!!! I’m tired of pouring water, and the hot air exhaust system is no good!!! Undoubtedly +, no need to wait for installation! In M-Video the installation time is up to a month!!!</v>
      </c>
    </row>
    <row r="3213" spans="1:9" x14ac:dyDescent="0.3">
      <c r="A3213" s="1" t="s">
        <v>149</v>
      </c>
      <c r="B3213" s="1" t="s">
        <v>576</v>
      </c>
      <c r="C3213" s="1" t="s">
        <v>80</v>
      </c>
      <c r="D3213" s="1" t="s">
        <v>114</v>
      </c>
      <c r="E3213" s="1" t="s">
        <v>2089</v>
      </c>
      <c r="F3213" s="1" t="s">
        <v>5905</v>
      </c>
      <c r="G3213" s="1" t="s">
        <v>15</v>
      </c>
      <c r="H3213" s="1" t="s">
        <v>16</v>
      </c>
      <c r="I3213" s="1" t="str">
        <f ca="1">IFERROR(__xludf.DUMMYFUNCTION("GOOGLETRANSLATE(F3213, ""auto"", ""en"")
"),"After the first cleaning, the power cord stopped rewinding. Otherwise everything is fine.")</f>
        <v>After the first cleaning, the power cord stopped rewinding. Otherwise everything is fine.</v>
      </c>
    </row>
    <row r="3214" spans="1:9" x14ac:dyDescent="0.3">
      <c r="A3214" s="1" t="s">
        <v>67</v>
      </c>
      <c r="B3214" s="1" t="s">
        <v>68</v>
      </c>
      <c r="C3214" s="1" t="s">
        <v>246</v>
      </c>
      <c r="D3214" s="1" t="s">
        <v>2826</v>
      </c>
      <c r="E3214" s="1" t="s">
        <v>5480</v>
      </c>
      <c r="F3214" s="1" t="s">
        <v>5906</v>
      </c>
      <c r="G3214" s="1" t="s">
        <v>36</v>
      </c>
      <c r="H3214" s="1" t="s">
        <v>29</v>
      </c>
      <c r="I3214" s="1" t="str">
        <f ca="1">IFERROR(__xludf.DUMMYFUNCTION("GOOGLETRANSLATE(F3214, ""auto"", ""en"")
"),"One hundred percent satisfied! Super steam boost! Irons even dry clothes. The sole is a delight! Cleans with a bang with a regular cotton cloth. I add to the above comment that there is not enough water glass.")</f>
        <v>One hundred percent satisfied! Super steam boost! Irons even dry clothes. The sole is a delight! Cleans with a bang with a regular cotton cloth. I add to the above comment that there is not enough water glass.</v>
      </c>
    </row>
    <row r="3215" spans="1:9" x14ac:dyDescent="0.3">
      <c r="A3215" s="1" t="s">
        <v>43</v>
      </c>
      <c r="B3215" s="1" t="s">
        <v>1616</v>
      </c>
      <c r="C3215" s="1" t="s">
        <v>138</v>
      </c>
      <c r="D3215" s="1" t="s">
        <v>319</v>
      </c>
      <c r="E3215" s="1" t="s">
        <v>1657</v>
      </c>
      <c r="F3215" s="1" t="s">
        <v>5907</v>
      </c>
      <c r="G3215" s="1" t="s">
        <v>28</v>
      </c>
      <c r="H3215" s="1" t="s">
        <v>29</v>
      </c>
      <c r="I3215" s="1" t="str">
        <f ca="1">IFERROR(__xludf.DUMMYFUNCTION("GOOGLETRANSLATE(F3215, ""auto"", ""en"")
"),"A real savior from the heat! Mobile, quickly assembled and disassembled and rolled into a corner. Very pleased! When outside the window it’s +30+35 in the apartment +25. It is best to place it in the next room or in the kitchen, where you are not, then th"&amp;"e noise will not interfere. Warm air coming from the window, interacting with the incoming cold currents coming from the kitchen, creates a convection effect. As a result, the room is both fresh and cool!    Disadvantage: the corrugated pipe for removing "&amp;"hot air at the point of attachment to the air conditioner wears out very quickly. Manufacturers did not think of coming up with some kind of plastic tip. But this pipe quite often has to be screwed in and out.")</f>
        <v>A real savior from the heat! Mobile, quickly assembled and disassembled and rolled into a corner. Very pleased! When outside the window it’s +30+35 in the apartment +25. It is best to place it in the next room or in the kitchen, where you are not, then the noise will not interfere. Warm air coming from the window, interacting with the incoming cold currents coming from the kitchen, creates a convection effect. As a result, the room is both fresh and cool!    Disadvantage: the corrugated pipe for removing hot air at the point of attachment to the air conditioner wears out very quickly. Manufacturers did not think of coming up with some kind of plastic tip. But this pipe quite often has to be screwed in and out.</v>
      </c>
    </row>
    <row r="3216" spans="1:9" x14ac:dyDescent="0.3">
      <c r="A3216" s="1" t="s">
        <v>37</v>
      </c>
      <c r="B3216" s="1" t="s">
        <v>536</v>
      </c>
      <c r="C3216" s="1" t="s">
        <v>1419</v>
      </c>
      <c r="D3216" s="1" t="s">
        <v>1782</v>
      </c>
      <c r="E3216" s="1" t="s">
        <v>971</v>
      </c>
      <c r="F3216" s="1" t="s">
        <v>5908</v>
      </c>
      <c r="G3216" s="1" t="s">
        <v>36</v>
      </c>
      <c r="H3216" s="1" t="s">
        <v>29</v>
      </c>
      <c r="I3216" s="1" t="str">
        <f ca="1">IFERROR(__xludf.DUMMYFUNCTION("GOOGLETRANSLATE(F3216, ""auto"", ""en"")
"),"The thing is great, I bought it yesterday, I really like it, I’m happy with everything. It works great")</f>
        <v>The thing is great, I bought it yesterday, I really like it, I’m happy with everything. It works great</v>
      </c>
    </row>
    <row r="3217" spans="1:9" x14ac:dyDescent="0.3">
      <c r="A3217" s="1" t="s">
        <v>43</v>
      </c>
      <c r="B3217" s="1" t="s">
        <v>502</v>
      </c>
      <c r="C3217" s="1" t="s">
        <v>159</v>
      </c>
      <c r="D3217" s="1" t="s">
        <v>5909</v>
      </c>
      <c r="E3217" s="1" t="s">
        <v>405</v>
      </c>
      <c r="F3217" s="1" t="s">
        <v>5910</v>
      </c>
      <c r="G3217" s="1" t="s">
        <v>36</v>
      </c>
      <c r="H3217" s="1" t="s">
        <v>29</v>
      </c>
      <c r="I3217" s="1" t="str">
        <f ca="1">IFERROR(__xludf.DUMMYFUNCTION("GOOGLETRANSLATE(F3217, ""auto"", ""en"")
"),"I’m happy with the model. This is the third air conditioner in the house. I had already installed LG and Vitek before it. This one turned out to be the quietest and this was the main condition when choosing. Moreover, one of them can be heard in the room "&amp;"even the outdoor unit. For the money they also installed it, and they also gave 2 bonus units. So you shouldn’t find fault with the little things in a cheap air conditioner.")</f>
        <v>I’m happy with the model. This is the third air conditioner in the house. I had already installed LG and Vitek before it. This one turned out to be the quietest and this was the main condition when choosing. Moreover, one of them can be heard in the room even the outdoor unit. For the money they also installed it, and they also gave 2 bonus units. So you shouldn’t find fault with the little things in a cheap air conditioner.</v>
      </c>
    </row>
    <row r="3218" spans="1:9" x14ac:dyDescent="0.3">
      <c r="A3218" s="1" t="s">
        <v>43</v>
      </c>
      <c r="B3218" s="1" t="s">
        <v>303</v>
      </c>
      <c r="C3218" s="1" t="s">
        <v>304</v>
      </c>
      <c r="D3218" s="1" t="s">
        <v>521</v>
      </c>
      <c r="E3218" s="1" t="s">
        <v>386</v>
      </c>
      <c r="F3218" s="1" t="s">
        <v>5911</v>
      </c>
      <c r="G3218" s="1" t="s">
        <v>49</v>
      </c>
      <c r="H3218" s="1" t="s">
        <v>16</v>
      </c>
      <c r="I3218" s="1" t="str">
        <f ca="1">IFERROR(__xludf.DUMMYFUNCTION("GOOGLETRANSLATE(F3218, ""auto"", ""en"")
"),"Advantages: water heats up in accordance with the stated parameters 1 hour 45 minutes. Disadvantages: water does not just “ooze” out of the valve, as the manufacturer promises, but runs like a stream!!! What kind of drainage is there in the sewer when it "&amp;"flows not only from the pipe, but also from under the handle for manual pressure release. And so intensely that you will be guaranteed “dances with tambourines” around the EWH for a long time. I do not recommend such a device, even as a very budget option"&amp;".")</f>
        <v>Advantages: water heats up in accordance with the stated parameters 1 hour 45 minutes. Disadvantages: water does not just “ooze” out of the valve, as the manufacturer promises, but runs like a stream!!! What kind of drainage is there in the sewer when it flows not only from the pipe, but also from under the handle for manual pressure release. And so intensely that you will be guaranteed “dances with tambourines” around the EWH for a long time. I do not recommend such a device, even as a very budget option.</v>
      </c>
    </row>
    <row r="3219" spans="1:9" x14ac:dyDescent="0.3">
      <c r="A3219" s="1" t="s">
        <v>61</v>
      </c>
      <c r="B3219" s="1" t="s">
        <v>73</v>
      </c>
      <c r="C3219" s="1" t="s">
        <v>74</v>
      </c>
      <c r="D3219" s="1" t="s">
        <v>64</v>
      </c>
      <c r="E3219" s="1" t="s">
        <v>386</v>
      </c>
      <c r="F3219" s="1" t="s">
        <v>5912</v>
      </c>
      <c r="G3219" s="1" t="s">
        <v>36</v>
      </c>
      <c r="H3219" s="1" t="s">
        <v>29</v>
      </c>
      <c r="I3219" s="1" t="str">
        <f ca="1">IFERROR(__xludf.DUMMYFUNCTION("GOOGLETRANSLATE(F3219, ""auto"", ""en"")
"),"We bought 1 such meat grinder 4 years ago, we are very satisfied, it’s just super, it works great, the attachments are also all excellent, and 5 more pieces. Already bought it as a gift, everyone is happy. Buy it, you won’t regret it!")</f>
        <v>We bought 1 such meat grinder 4 years ago, we are very satisfied, it’s just super, it works great, the attachments are also all excellent, and 5 more pieces. Already bought it as a gift, everyone is happy. Buy it, you won’t regret it!</v>
      </c>
    </row>
    <row r="3220" spans="1:9" x14ac:dyDescent="0.3">
      <c r="A3220" s="1" t="s">
        <v>238</v>
      </c>
      <c r="B3220" s="1" t="s">
        <v>276</v>
      </c>
      <c r="C3220" s="1" t="s">
        <v>243</v>
      </c>
      <c r="D3220" s="1" t="s">
        <v>5913</v>
      </c>
      <c r="E3220" s="1" t="s">
        <v>5914</v>
      </c>
      <c r="F3220" s="1" t="s">
        <v>5915</v>
      </c>
      <c r="G3220" s="1" t="s">
        <v>49</v>
      </c>
      <c r="H3220" s="1" t="s">
        <v>16</v>
      </c>
      <c r="I3220" s="1" t="str">
        <f ca="1">IFERROR(__xludf.DUMMYFUNCTION("GOOGLETRANSLATE(F3220, ""auto"", ""en"")
"),"The refrigerator showed its worst performance on the first day; in the middle position of the regulator it cools the temperature of the refrigerator compartment to only +13, and in maximum cooling to +10. I called the officials at Indesit, they said this "&amp;"is normal. I’m trying to call a repairman, because I’m not happy with this bug, GOST is violated, if they don’t fix it soon I’ll take the money.")</f>
        <v>The refrigerator showed its worst performance on the first day; in the middle position of the regulator it cools the temperature of the refrigerator compartment to only +13, and in maximum cooling to +10. I called the officials at Indesit, they said this is normal. I’m trying to call a repairman, because I’m not happy with this bug, GOST is violated, if they don’t fix it soon I’ll take the money.</v>
      </c>
    </row>
    <row r="3221" spans="1:9" x14ac:dyDescent="0.3">
      <c r="A3221" s="1" t="s">
        <v>369</v>
      </c>
      <c r="B3221" s="1" t="s">
        <v>370</v>
      </c>
      <c r="C3221" s="1" t="s">
        <v>63</v>
      </c>
      <c r="D3221" s="1" t="s">
        <v>1055</v>
      </c>
      <c r="E3221" s="1" t="s">
        <v>1441</v>
      </c>
      <c r="F3221" s="1" t="s">
        <v>5916</v>
      </c>
      <c r="G3221" s="1" t="s">
        <v>36</v>
      </c>
      <c r="H3221" s="1" t="s">
        <v>29</v>
      </c>
      <c r="I3221" s="1" t="str">
        <f ca="1">IFERROR(__xludf.DUMMYFUNCTION("GOOGLETRANSLATE(F3221, ""auto"", ""en"")
"),"I have been using the stove since 2007. I don’t regret that I bought it. All pluses! But, unfortunately, there are still disadvantages. The drawer under the oven is where I store pot lids. You have to open it carefully, it comes off the guides. But no pro"&amp;"blem. And one more drawback: liquid can leak between the glass of the oven door; if something spills on the stove, you have to take it apart and wash it. And the surface of the stove, in the area of ​​the burners, becomes gray and rough over time.  But I "&amp;"bought it a long time ago, maybe the manufacturers have improved something. I repeat, the stove is good, convenient, and has many necessary functions.")</f>
        <v>I have been using the stove since 2007. I don’t regret that I bought it. All pluses! But, unfortunately, there are still disadvantages. The drawer under the oven is where I store pot lids. You have to open it carefully, it comes off the guides. But no problem. And one more drawback: liquid can leak between the glass of the oven door; if something spills on the stove, you have to take it apart and wash it. And the surface of the stove, in the area of ​​the burners, becomes gray and rough over time.  But I bought it a long time ago, maybe the manufacturers have improved something. I repeat, the stove is good, convenient, and has many necessary functions.</v>
      </c>
    </row>
    <row r="3222" spans="1:9" x14ac:dyDescent="0.3">
      <c r="A3222" s="1" t="s">
        <v>9</v>
      </c>
      <c r="B3222" s="1" t="s">
        <v>874</v>
      </c>
      <c r="C3222" s="1" t="s">
        <v>588</v>
      </c>
      <c r="D3222" s="1" t="s">
        <v>186</v>
      </c>
      <c r="E3222" s="1" t="s">
        <v>3750</v>
      </c>
      <c r="F3222" s="1" t="s">
        <v>5917</v>
      </c>
      <c r="G3222" s="1" t="s">
        <v>36</v>
      </c>
      <c r="H3222" s="1" t="s">
        <v>29</v>
      </c>
      <c r="I3222" s="1" t="str">
        <f ca="1">IFERROR(__xludf.DUMMYFUNCTION("GOOGLETRANSLATE(F3222, ""auto"", ""en"")
"),"The price for installing the kit was more than acceptable, two times lower than that of competitors (and I called everyone). Even if you bought it somewhere, you must get the service here.  Now about the technology.  The price was suspicious, no doubt. We"&amp;" connected it and set the oven to test heat for one hour at 250 degrees. The smell was terrible, burnt rubber-plastic and all that. But they said it was normal, I believed it.  All pancakes of the electric panel heat up in 3 seconds, and two of them are d"&amp;"ual-circuit, very convenient!  The oven has no bells and whistles, there are enough modes, it fries and bakes perfectly!  It looks very expensive and respectable, friends envy, girlfriend rejoices. I recommend it.")</f>
        <v>The price for installing the kit was more than acceptable, two times lower than that of competitors (and I called everyone). Even if you bought it somewhere, you must get the service here.  Now about the technology.  The price was suspicious, no doubt. We connected it and set the oven to test heat for one hour at 250 degrees. The smell was terrible, burnt rubber-plastic and all that. But they said it was normal, I believed it.  All pancakes of the electric panel heat up in 3 seconds, and two of them are dual-circuit, very convenient!  The oven has no bells and whistles, there are enough modes, it fries and bakes perfectly!  It looks very expensive and respectable, friends envy, girlfriend rejoices. I recommend it.</v>
      </c>
    </row>
    <row r="3223" spans="1:9" x14ac:dyDescent="0.3">
      <c r="A3223" s="1" t="s">
        <v>89</v>
      </c>
      <c r="B3223" s="1" t="s">
        <v>231</v>
      </c>
      <c r="C3223" s="1" t="s">
        <v>185</v>
      </c>
      <c r="D3223" s="1" t="s">
        <v>5918</v>
      </c>
      <c r="E3223" s="1" t="s">
        <v>217</v>
      </c>
      <c r="F3223" s="1" t="s">
        <v>5919</v>
      </c>
      <c r="G3223" s="1" t="s">
        <v>36</v>
      </c>
      <c r="H3223" s="1" t="s">
        <v>29</v>
      </c>
      <c r="I3223" s="1" t="str">
        <f ca="1">IFERROR(__xludf.DUMMYFUNCTION("GOOGLETRANSLATE(F3223, ""auto"", ""en"")
"),"Easy to use and makes delicious coffee. I don't drink cappuccino. I bought it on credit, but I'm very pleased.")</f>
        <v>Easy to use and makes delicious coffee. I don't drink cappuccino. I bought it on credit, but I'm very pleased.</v>
      </c>
    </row>
    <row r="3224" spans="1:9" x14ac:dyDescent="0.3">
      <c r="A3224" s="1" t="s">
        <v>149</v>
      </c>
      <c r="B3224" s="1" t="s">
        <v>423</v>
      </c>
      <c r="C3224" s="1" t="s">
        <v>531</v>
      </c>
      <c r="D3224" s="1" t="s">
        <v>5920</v>
      </c>
      <c r="E3224" s="1" t="s">
        <v>2236</v>
      </c>
      <c r="F3224" s="1" t="s">
        <v>5921</v>
      </c>
      <c r="G3224" s="1" t="s">
        <v>36</v>
      </c>
      <c r="H3224" s="1" t="s">
        <v>29</v>
      </c>
      <c r="I3224" s="1" t="str">
        <f ca="1">IFERROR(__xludf.DUMMYFUNCTION("GOOGLETRANSLATE(F3224, ""auto"", ""en"")
"),"Cleaning the vacuum cleaner after cleaning is a breeze!!! Simply empty the used water from the container and rinse the filter like a bucket and rag! 5+")</f>
        <v>Cleaning the vacuum cleaner after cleaning is a breeze!!! Simply empty the used water from the container and rinse the filter like a bucket and rag! 5+</v>
      </c>
    </row>
    <row r="3225" spans="1:9" x14ac:dyDescent="0.3">
      <c r="A3225" s="1" t="s">
        <v>211</v>
      </c>
      <c r="B3225" s="1" t="s">
        <v>384</v>
      </c>
      <c r="C3225" s="1" t="s">
        <v>246</v>
      </c>
      <c r="D3225" s="1" t="s">
        <v>456</v>
      </c>
      <c r="E3225" s="1" t="s">
        <v>5195</v>
      </c>
      <c r="F3225" s="1" t="s">
        <v>5922</v>
      </c>
      <c r="G3225" s="1" t="s">
        <v>36</v>
      </c>
      <c r="H3225" s="1" t="s">
        <v>29</v>
      </c>
      <c r="I3225" s="1" t="str">
        <f ca="1">IFERROR(__xludf.DUMMYFUNCTION("GOOGLETRANSLATE(F3225, ""auto"", ""en"")
"),"Bought it a week ago. When choosing scales, I was guided by reviews and did not regret it. Accurate, convenient. I’m very pleased, but if something goes wrong, I’ll definitely write)")</f>
        <v>Bought it a week ago. When choosing scales, I was guided by reviews and did not regret it. Accurate, convenient. I’m very pleased, but if something goes wrong, I’ll definitely write)</v>
      </c>
    </row>
    <row r="3226" spans="1:9" x14ac:dyDescent="0.3">
      <c r="A3226" s="1" t="s">
        <v>211</v>
      </c>
      <c r="B3226" s="1" t="s">
        <v>265</v>
      </c>
      <c r="C3226" s="1" t="s">
        <v>1591</v>
      </c>
      <c r="D3226" s="1" t="s">
        <v>875</v>
      </c>
      <c r="E3226" s="1" t="s">
        <v>5923</v>
      </c>
      <c r="F3226" s="1" t="s">
        <v>5924</v>
      </c>
      <c r="G3226" s="1" t="s">
        <v>36</v>
      </c>
      <c r="H3226" s="1" t="s">
        <v>29</v>
      </c>
      <c r="I3226" s="1" t="str">
        <f ca="1">IFERROR(__xludf.DUMMYFUNCTION("GOOGLETRANSLATE(F3226, ""auto"", ""en"")
"),"The hair clipper is good. The plastic is durable, the attachments fit snugly, you can easily adjust the length of the haircut, it can be used autonomously and does not take long to charge. It’s bad that they didn’t come up with a bag for the whole set, I "&amp;"had to buy it separately, otherwise there are no complaints.")</f>
        <v>The hair clipper is good. The plastic is durable, the attachments fit snugly, you can easily adjust the length of the haircut, it can be used autonomously and does not take long to charge. It’s bad that they didn’t come up with a bag for the whole set, I had to buy it separately, otherwise there are no complaints.</v>
      </c>
    </row>
    <row r="3227" spans="1:9" x14ac:dyDescent="0.3">
      <c r="A3227" s="1" t="s">
        <v>89</v>
      </c>
      <c r="B3227" s="1" t="s">
        <v>231</v>
      </c>
      <c r="C3227" s="1" t="s">
        <v>185</v>
      </c>
      <c r="D3227" s="1" t="s">
        <v>52</v>
      </c>
      <c r="E3227" s="1" t="s">
        <v>2910</v>
      </c>
      <c r="F3227" s="1" t="s">
        <v>5925</v>
      </c>
      <c r="G3227" s="1" t="s">
        <v>36</v>
      </c>
      <c r="H3227" s="1" t="s">
        <v>29</v>
      </c>
      <c r="I3227" s="1" t="str">
        <f ca="1">IFERROR(__xludf.DUMMYFUNCTION("GOOGLETRANSLATE(F3227, ""auto"", ""en"")
"),"Price, reliability, ease of maintenance")</f>
        <v>Price, reliability, ease of maintenance</v>
      </c>
    </row>
    <row r="3228" spans="1:9" x14ac:dyDescent="0.3">
      <c r="A3228" s="1" t="s">
        <v>149</v>
      </c>
      <c r="B3228" s="1" t="s">
        <v>150</v>
      </c>
      <c r="C3228" s="1" t="s">
        <v>57</v>
      </c>
      <c r="D3228" s="1" t="s">
        <v>2145</v>
      </c>
      <c r="E3228" s="1" t="s">
        <v>4929</v>
      </c>
      <c r="F3228" s="1" t="s">
        <v>5926</v>
      </c>
      <c r="G3228" s="1" t="s">
        <v>49</v>
      </c>
      <c r="H3228" s="1" t="s">
        <v>16</v>
      </c>
      <c r="I3228" s="1" t="str">
        <f ca="1">IFERROR(__xludf.DUMMYFUNCTION("GOOGLETRANSLATE(F3228, ""auto"", ""en"")
"),"It was purchased as a result of long marketing research to replace the outdated Daewoo. We bought into an extremely tempting advertisement for water filtration. As a result, we continue to use the old and cheap Daewoo. The Vitek makes a lot of noise, but "&amp;"the suction is much worse than the old (&gt;5 years old) Daewoo!!! Even if we remove all the filters, the suction practically does not increase. There is no smell of the promised 400 aeroWatts!!! After the water filter, almost all fine dust settles in the ai"&amp;"r duct and on the foam filter in front of the hepafilter. It seems that the water filter is just a collection of heavy debris. A simple fabric bag filters much better than a Vitek aquafilter! CONCLUSION: MONEY WAS THROWN TO THE WIND!!!!! Now it’s standing"&amp;", it’s taking up space (and it’s BULKY), but it’s a shame to throw it away - after all, the money was paid :-)))) DON’T BUY!!!!!")</f>
        <v>It was purchased as a result of long marketing research to replace the outdated Daewoo. We bought into an extremely tempting advertisement for water filtration. As a result, we continue to use the old and cheap Daewoo. The Vitek makes a lot of noise, but the suction is much worse than the old (&gt;5 years old) Daewoo!!! Even if we remove all the filters, the suction practically does not increase. There is no smell of the promised 400 aeroWatts!!! After the water filter, almost all fine dust settles in the air duct and on the foam filter in front of the hepafilter. It seems that the water filter is just a collection of heavy debris. A simple fabric bag filters much better than a Vitek aquafilter! CONCLUSION: MONEY WAS THROWN TO THE WIND!!!!! Now it’s standing, it’s taking up space (and it’s BULKY), but it’s a shame to throw it away - after all, the money was paid :-)))) DON’T BUY!!!!!</v>
      </c>
    </row>
    <row r="3229" spans="1:9" x14ac:dyDescent="0.3">
      <c r="A3229" s="1" t="s">
        <v>211</v>
      </c>
      <c r="B3229" s="1" t="s">
        <v>515</v>
      </c>
      <c r="C3229" s="1" t="s">
        <v>213</v>
      </c>
      <c r="D3229" s="1" t="s">
        <v>5927</v>
      </c>
      <c r="E3229" s="1" t="s">
        <v>2584</v>
      </c>
      <c r="F3229" s="1" t="s">
        <v>5928</v>
      </c>
      <c r="G3229" s="1" t="s">
        <v>36</v>
      </c>
      <c r="H3229" s="1" t="s">
        <v>29</v>
      </c>
      <c r="I3229" s="1" t="str">
        <f ca="1">IFERROR(__xludf.DUMMYFUNCTION("GOOGLETRANSLATE(F3229, ""auto"", ""en"")
"),"For hairy and face women")</f>
        <v>For hairy and face women</v>
      </c>
    </row>
    <row r="3230" spans="1:9" x14ac:dyDescent="0.3">
      <c r="A3230" s="1" t="s">
        <v>369</v>
      </c>
      <c r="B3230" s="1" t="s">
        <v>370</v>
      </c>
      <c r="C3230" s="1" t="s">
        <v>243</v>
      </c>
      <c r="D3230" s="1" t="s">
        <v>208</v>
      </c>
      <c r="E3230" s="1" t="s">
        <v>2094</v>
      </c>
      <c r="F3230" s="1" t="s">
        <v>5929</v>
      </c>
      <c r="G3230" s="1" t="s">
        <v>36</v>
      </c>
      <c r="H3230" s="1" t="s">
        <v>29</v>
      </c>
      <c r="I3230" s="1" t="str">
        <f ca="1">IFERROR(__xludf.DUMMYFUNCTION("GOOGLETRANSLATE(F3230, ""auto"", ""en"")
"),"The stove is just a fairy tale, I recommend it to everyone, here you can get barbecue and grilled chicken and pizza and a lot of pleasant things. She's worth the money. I couldn't be happier!")</f>
        <v>The stove is just a fairy tale, I recommend it to everyone, here you can get barbecue and grilled chicken and pizza and a lot of pleasant things. She's worth the money. I couldn't be happier!</v>
      </c>
    </row>
    <row r="3231" spans="1:9" x14ac:dyDescent="0.3">
      <c r="A3231" s="1" t="s">
        <v>149</v>
      </c>
      <c r="B3231" s="1" t="s">
        <v>155</v>
      </c>
      <c r="C3231" s="1" t="s">
        <v>151</v>
      </c>
      <c r="D3231" s="1" t="s">
        <v>12</v>
      </c>
      <c r="E3231" s="1" t="s">
        <v>2759</v>
      </c>
      <c r="F3231" s="1" t="s">
        <v>5930</v>
      </c>
      <c r="G3231" s="1" t="s">
        <v>36</v>
      </c>
      <c r="H3231" s="1" t="s">
        <v>29</v>
      </c>
      <c r="I3231" s="1" t="str">
        <f ca="1">IFERROR(__xludf.DUMMYFUNCTION("GOOGLETRANSLATE(F3231, ""auto"", ""en"")
"),"The suction power is really great. After cleaning yesterday with an old vacuum cleaner, this one today collected twice as much dust as the old one did yesterday.")</f>
        <v>The suction power is really great. After cleaning yesterday with an old vacuum cleaner, this one today collected twice as much dust as the old one did yesterday.</v>
      </c>
    </row>
    <row r="3232" spans="1:9" x14ac:dyDescent="0.3">
      <c r="A3232" s="1" t="s">
        <v>149</v>
      </c>
      <c r="B3232" s="1" t="s">
        <v>155</v>
      </c>
      <c r="C3232" s="1" t="s">
        <v>151</v>
      </c>
      <c r="D3232" s="1" t="s">
        <v>5931</v>
      </c>
      <c r="E3232" s="1" t="s">
        <v>1553</v>
      </c>
      <c r="F3232" s="1" t="s">
        <v>5932</v>
      </c>
      <c r="G3232" s="1" t="s">
        <v>36</v>
      </c>
      <c r="H3232" s="1" t="s">
        <v>29</v>
      </c>
      <c r="I3232" s="1" t="str">
        <f ca="1">IFERROR(__xludf.DUMMYFUNCTION("GOOGLETRANSLATE(F3232, ""auto"", ""en"")
"),"The vacuum cleaner is excellent (we have a model without power adjustment), I’ve been using it for a year with no problems, I’m not overjoyed after the bags, they write that it clogs up quickly, be happy that means all the dust remained in the filters and"&amp;" did not fly out back. I vacuum two rooms, a corridor (where there is always a lot of squeaking), the kitchen, and even after the parrots, it collects everything without any problems. I wash the foam rubber filter under a glass with soap until the water r"&amp;"uns clear, it dries for about a day and then it goes on. I'm happy!!!!")</f>
        <v>The vacuum cleaner is excellent (we have a model without power adjustment), I’ve been using it for a year with no problems, I’m not overjoyed after the bags, they write that it clogs up quickly, be happy that means all the dust remained in the filters and did not fly out back. I vacuum two rooms, a corridor (where there is always a lot of squeaking), the kitchen, and even after the parrots, it collects everything without any problems. I wash the foam rubber filter under a glass with soap until the water runs clear, it dries for about a day and then it goes on. I'm happy!!!!</v>
      </c>
    </row>
    <row r="3233" spans="1:9" x14ac:dyDescent="0.3">
      <c r="A3233" s="1" t="s">
        <v>105</v>
      </c>
      <c r="B3233" s="1" t="s">
        <v>106</v>
      </c>
      <c r="C3233" s="1" t="s">
        <v>107</v>
      </c>
      <c r="D3233" s="1" t="s">
        <v>33</v>
      </c>
      <c r="E3233" s="1" t="s">
        <v>3233</v>
      </c>
      <c r="F3233" s="1" t="s">
        <v>5933</v>
      </c>
      <c r="G3233" s="1" t="s">
        <v>36</v>
      </c>
      <c r="H3233" s="1" t="s">
        <v>29</v>
      </c>
      <c r="I3233" s="1" t="str">
        <f ca="1">IFERROR(__xludf.DUMMYFUNCTION("GOOGLETRANSLATE(F3233, ""auto"", ""en"")
"),"I bought a player today. I was immediately pleased with the price-quality ratio. There is everything you need. So far I have found only one drawback: it slows down when you watch a large video.")</f>
        <v>I bought a player today. I was immediately pleased with the price-quality ratio. There is everything you need. So far I have found only one drawback: it slows down when you watch a large video.</v>
      </c>
    </row>
    <row r="3234" spans="1:9" x14ac:dyDescent="0.3">
      <c r="A3234" s="1" t="s">
        <v>17</v>
      </c>
      <c r="B3234" s="1" t="s">
        <v>18</v>
      </c>
      <c r="C3234" s="1" t="s">
        <v>19</v>
      </c>
      <c r="D3234" s="1" t="s">
        <v>2809</v>
      </c>
      <c r="E3234" s="1" t="s">
        <v>357</v>
      </c>
      <c r="F3234" s="1" t="s">
        <v>5934</v>
      </c>
      <c r="G3234" s="1" t="s">
        <v>36</v>
      </c>
      <c r="H3234" s="1" t="s">
        <v>29</v>
      </c>
      <c r="I3234" s="1" t="str">
        <f ca="1">IFERROR(__xludf.DUMMYFUNCTION("GOOGLETRANSLATE(F3234, ""auto"", ""en"")
"),"We bought it recently, but we wash it often, we have two kids, I’m very happy with the machine!!! It washes perfectly and quietly, doesn’t jump around the bathroom like my previous machine did, very good. convenient and beautiful design, compact, unusual;"&amp;" I'm especially pleased that the receiving tray is hidden. To be honest, while I was waiting for delivery I managed to read some bad comments here and the joy of the purchase gave way to anxiety, now I understand that I was worrying in vain; about saving "&amp;"water - complete nonsense!")</f>
        <v>We bought it recently, but we wash it often, we have two kids, I’m very happy with the machine!!! It washes perfectly and quietly, doesn’t jump around the bathroom like my previous machine did, very good. convenient and beautiful design, compact, unusual; I'm especially pleased that the receiving tray is hidden. To be honest, while I was waiting for delivery I managed to read some bad comments here and the joy of the purchase gave way to anxiety, now I understand that I was worrying in vain; about saving water - complete nonsense!</v>
      </c>
    </row>
    <row r="3235" spans="1:9" x14ac:dyDescent="0.3">
      <c r="A3235" s="1" t="s">
        <v>43</v>
      </c>
      <c r="B3235" s="1" t="s">
        <v>303</v>
      </c>
      <c r="C3235" s="1" t="s">
        <v>220</v>
      </c>
      <c r="D3235" s="1" t="s">
        <v>295</v>
      </c>
      <c r="E3235" s="1" t="s">
        <v>5935</v>
      </c>
      <c r="F3235" s="1" t="s">
        <v>5936</v>
      </c>
      <c r="G3235" s="1" t="s">
        <v>49</v>
      </c>
      <c r="H3235" s="1" t="s">
        <v>16</v>
      </c>
      <c r="I3235" s="1" t="str">
        <f ca="1">IFERROR(__xludf.DUMMYFUNCTION("GOOGLETRANSLATE(F3235, ""auto"", ""en"")
"),"Capacity, price")</f>
        <v>Capacity, price</v>
      </c>
    </row>
    <row r="3236" spans="1:9" x14ac:dyDescent="0.3">
      <c r="A3236" s="1" t="s">
        <v>211</v>
      </c>
      <c r="B3236" s="1" t="s">
        <v>212</v>
      </c>
      <c r="C3236" s="1" t="s">
        <v>101</v>
      </c>
      <c r="D3236" s="1" t="s">
        <v>471</v>
      </c>
      <c r="E3236" s="1" t="s">
        <v>2236</v>
      </c>
      <c r="F3236" s="1" t="s">
        <v>5937</v>
      </c>
      <c r="G3236" s="1" t="s">
        <v>36</v>
      </c>
      <c r="H3236" s="1" t="s">
        <v>29</v>
      </c>
      <c r="I3236" s="1" t="str">
        <f ca="1">IFERROR(__xludf.DUMMYFUNCTION("GOOGLETRANSLATE(F3236, ""auto"", ""en"")
"),"The straightener is excellent, but to prevent the teeth from tearing out the hair, you need to comb it! Otherwise, it doesn’t depend much on the price!!!")</f>
        <v>The straightener is excellent, but to prevent the teeth from tearing out the hair, you need to comb it! Otherwise, it doesn’t depend much on the price!!!</v>
      </c>
    </row>
    <row r="3237" spans="1:9" x14ac:dyDescent="0.3">
      <c r="A3237" s="1" t="s">
        <v>37</v>
      </c>
      <c r="B3237" s="1" t="s">
        <v>38</v>
      </c>
      <c r="C3237" s="1" t="s">
        <v>163</v>
      </c>
      <c r="D3237" s="1" t="s">
        <v>911</v>
      </c>
      <c r="E3237" s="1" t="s">
        <v>201</v>
      </c>
      <c r="F3237" s="1" t="s">
        <v>5938</v>
      </c>
      <c r="G3237" s="1" t="s">
        <v>36</v>
      </c>
      <c r="H3237" s="1" t="s">
        <v>29</v>
      </c>
      <c r="I3237" s="1" t="str">
        <f ca="1">IFERROR(__xludf.DUMMYFUNCTION("GOOGLETRANSLATE(F3237, ""auto"", ""en"")
"),"does it really cost 3690? Why can’t I believe it!")</f>
        <v>does it really cost 3690? Why can’t I believe it!</v>
      </c>
    </row>
    <row r="3238" spans="1:9" x14ac:dyDescent="0.3">
      <c r="A3238" s="1" t="s">
        <v>105</v>
      </c>
      <c r="B3238" s="1" t="s">
        <v>106</v>
      </c>
      <c r="C3238" s="1" t="s">
        <v>151</v>
      </c>
      <c r="D3238" s="1" t="s">
        <v>64</v>
      </c>
      <c r="E3238" s="1" t="s">
        <v>3664</v>
      </c>
      <c r="F3238" s="1" t="s">
        <v>5939</v>
      </c>
      <c r="G3238" s="1" t="s">
        <v>36</v>
      </c>
      <c r="H3238" s="1" t="s">
        <v>29</v>
      </c>
      <c r="I3238" s="1" t="str">
        <f ca="1">IFERROR(__xludf.DUMMYFUNCTION("GOOGLETRANSLATE(F3238, ""auto"", ""en"")
"),"I was pleasantly surprised - the player is simply wonderful: easy to use, and the sound quality is beyond praise! I listen to literature, my favorite music, read a book (convenient bookmark). I need to make room for the video - I regret a little that I di"&amp;"dn’t buy the 8 GB one... I recommend it!")</f>
        <v>I was pleasantly surprised - the player is simply wonderful: easy to use, and the sound quality is beyond praise! I listen to literature, my favorite music, read a book (convenient bookmark). I need to make room for the video - I regret a little that I didn’t buy the 8 GB one... I recommend it!</v>
      </c>
    </row>
    <row r="3239" spans="1:9" x14ac:dyDescent="0.3">
      <c r="A3239" s="1" t="s">
        <v>238</v>
      </c>
      <c r="B3239" s="1" t="s">
        <v>276</v>
      </c>
      <c r="C3239" s="1" t="s">
        <v>138</v>
      </c>
      <c r="D3239" s="1" t="s">
        <v>152</v>
      </c>
      <c r="E3239" s="1" t="s">
        <v>1219</v>
      </c>
      <c r="F3239" s="1" t="s">
        <v>5940</v>
      </c>
      <c r="G3239" s="1" t="s">
        <v>28</v>
      </c>
      <c r="H3239" s="1" t="s">
        <v>29</v>
      </c>
      <c r="I3239" s="1" t="str">
        <f ca="1">IFERROR(__xludf.DUMMYFUNCTION("GOOGLETRANSLATE(F3239, ""auto"", ""en"")
"),"I used this for about a year. Nothing special. cools well.")</f>
        <v>I used this for about a year. Nothing special. cools well.</v>
      </c>
    </row>
    <row r="3240" spans="1:9" x14ac:dyDescent="0.3">
      <c r="A3240" s="1" t="s">
        <v>37</v>
      </c>
      <c r="B3240" s="1" t="s">
        <v>38</v>
      </c>
      <c r="C3240" s="1" t="s">
        <v>151</v>
      </c>
      <c r="D3240" s="1" t="s">
        <v>152</v>
      </c>
      <c r="E3240" s="1" t="s">
        <v>859</v>
      </c>
      <c r="F3240" s="1" t="s">
        <v>5941</v>
      </c>
      <c r="G3240" s="1" t="s">
        <v>36</v>
      </c>
      <c r="H3240" s="1" t="s">
        <v>29</v>
      </c>
      <c r="I3240" s="1" t="str">
        <f ca="1">IFERROR(__xludf.DUMMYFUNCTION("GOOGLETRANSLATE(F3240, ""auto"", ""en"")
"),"The phone pleases: convenient functionality, all the necessary options are intuitive, I was pleased with the camera (in the dark it’s useless, but in normal lighting the A4 sheet takes pictures quite well), 2 SIM cards work without any problems, 5 alarm c"&amp;"locks. By the way, it’s quite durable, not often, but it happens when I either drop it or fly out of my pocket - at most the battery cover came off a little - I pressed it lightly with my fingers and everything fell into place.  Those. In general, the dev"&amp;"ice is very decent and high quality.    But I’ll also note a couple of disadvantages: -Weak battery. If you use it a little, it lasts quite a long time, but if you put the backlight on for 30 seconds, a few SMS a day and an hour and a half of conversation"&amp;", it completely shuts down. Although when I don’t talk much, I don’t charge for 2 or even 3 days, but this is very rare.  -Either I’m an idiot, or you can’t save SMS on a memory card - it’s annoying that you constantly have to delete SMS... I got used to "&amp;"the last phone that I had thousands of SMS stored there.    In general, I recommend it.")</f>
        <v>The phone pleases: convenient functionality, all the necessary options are intuitive, I was pleased with the camera (in the dark it’s useless, but in normal lighting the A4 sheet takes pictures quite well), 2 SIM cards work without any problems, 5 alarm clocks. By the way, it’s quite durable, not often, but it happens when I either drop it or fly out of my pocket - at most the battery cover came off a little - I pressed it lightly with my fingers and everything fell into place.  Those. In general, the device is very decent and high quality.    But I’ll also note a couple of disadvantages: -Weak battery. If you use it a little, it lasts quite a long time, but if you put the backlight on for 30 seconds, a few SMS a day and an hour and a half of conversation, it completely shuts down. Although when I don’t talk much, I don’t charge for 2 or even 3 days, but this is very rare.  -Either I’m an idiot, or you can’t save SMS on a memory card - it’s annoying that you constantly have to delete SMS... I got used to the last phone that I had thousands of SMS stored there.    In general, I recommend it.</v>
      </c>
    </row>
    <row r="3241" spans="1:9" x14ac:dyDescent="0.3">
      <c r="A3241" s="1" t="s">
        <v>37</v>
      </c>
      <c r="B3241" s="1" t="s">
        <v>536</v>
      </c>
      <c r="C3241" s="1" t="s">
        <v>32</v>
      </c>
      <c r="D3241" s="1" t="s">
        <v>5942</v>
      </c>
      <c r="E3241" s="1" t="s">
        <v>443</v>
      </c>
      <c r="F3241" s="1" t="s">
        <v>5943</v>
      </c>
      <c r="G3241" s="1" t="s">
        <v>36</v>
      </c>
      <c r="H3241" s="1" t="s">
        <v>29</v>
      </c>
      <c r="I3241" s="1" t="str">
        <f ca="1">IFERROR(__xludf.DUMMYFUNCTION("GOOGLETRANSLATE(F3241, ""auto"", ""en"")
"),"PDAs have some advantages. Of the minuses, perhaps the only dirty case. The content is amazing, 720p is easy to watch. The sound in the headphones is quite acceptable. Great replacement for Hero")</f>
        <v>PDAs have some advantages. Of the minuses, perhaps the only dirty case. The content is amazing, 720p is easy to watch. The sound in the headphones is quite acceptable. Great replacement for Hero</v>
      </c>
    </row>
    <row r="3242" spans="1:9" x14ac:dyDescent="0.3">
      <c r="A3242" s="1" t="s">
        <v>61</v>
      </c>
      <c r="B3242" s="1" t="s">
        <v>224</v>
      </c>
      <c r="C3242" s="1" t="s">
        <v>85</v>
      </c>
      <c r="D3242" s="1" t="s">
        <v>545</v>
      </c>
      <c r="E3242" s="1" t="s">
        <v>5944</v>
      </c>
      <c r="F3242" s="1" t="s">
        <v>5945</v>
      </c>
      <c r="G3242" s="1" t="s">
        <v>36</v>
      </c>
      <c r="H3242" s="1" t="s">
        <v>29</v>
      </c>
      <c r="I3242" s="1" t="str">
        <f ca="1">IFERROR(__xludf.DUMMYFUNCTION("GOOGLETRANSLATE(F3242, ""auto"", ""en"")
"),"I thought for a very long time about which juicer to buy, read reviews, wanted to buy another one, because... I was scared by the not very good opinions of some owners of this equipment, but the seller of M.video convinced me to buy this particular model."&amp;" He clearly showed all its advantages, namely the stainless knives, the smooth surface of the mesh inside the juicer, which will not accumulate residues of fruits or vegetables, and therefore will not become so clogged, compared to other models from compe"&amp;"ting companies, and of course, very easy assembly. During this month, my new juicer extracted about 80 liters of juice. The tomatoes make a wet pulp, but I processed it and made a dressing for borscht. From hard varieties of apples and pears, lemons and c"&amp;"arrots, you get only sawdust, a lot of juice, of good quality. From soft apples and pears, oranges, of course, the cake is wet, but not so much that the juice runs down your hands. You just need to not be lazy and wash the sieve more often. I advise every"&amp;"one, the juicer is worth the money.")</f>
        <v>I thought for a very long time about which juicer to buy, read reviews, wanted to buy another one, because... I was scared by the not very good opinions of some owners of this equipment, but the seller of M.video convinced me to buy this particular model. He clearly showed all its advantages, namely the stainless knives, the smooth surface of the mesh inside the juicer, which will not accumulate residues of fruits or vegetables, and therefore will not become so clogged, compared to other models from competing companies, and of course, very easy assembly. During this month, my new juicer extracted about 80 liters of juice. The tomatoes make a wet pulp, but I processed it and made a dressing for borscht. From hard varieties of apples and pears, lemons and carrots, you get only sawdust, a lot of juice, of good quality. From soft apples and pears, oranges, of course, the cake is wet, but not so much that the juice runs down your hands. You just need to not be lazy and wash the sieve more often. I advise everyone, the juicer is worth the money.</v>
      </c>
    </row>
    <row r="3243" spans="1:9" x14ac:dyDescent="0.3">
      <c r="A3243" s="1" t="s">
        <v>211</v>
      </c>
      <c r="B3243" s="1" t="s">
        <v>384</v>
      </c>
      <c r="C3243" s="1" t="s">
        <v>63</v>
      </c>
      <c r="D3243" s="1" t="s">
        <v>5118</v>
      </c>
      <c r="E3243" s="1" t="s">
        <v>1207</v>
      </c>
      <c r="F3243" s="1" t="s">
        <v>5946</v>
      </c>
      <c r="G3243" s="1" t="s">
        <v>49</v>
      </c>
      <c r="H3243" s="1" t="s">
        <v>16</v>
      </c>
      <c r="I3243" s="1" t="str">
        <f ca="1">IFERROR(__xludf.DUMMYFUNCTION("GOOGLETRANSLATE(F3243, ""auto"", ""en"")
"),"They show different weights all the time. And also Bosch. Disgrace.")</f>
        <v>They show different weights all the time. And also Bosch. Disgrace.</v>
      </c>
    </row>
    <row r="3244" spans="1:9" x14ac:dyDescent="0.3">
      <c r="A3244" s="1" t="s">
        <v>61</v>
      </c>
      <c r="B3244" s="1" t="s">
        <v>62</v>
      </c>
      <c r="C3244" s="1" t="s">
        <v>146</v>
      </c>
      <c r="D3244" s="1" t="s">
        <v>247</v>
      </c>
      <c r="E3244" s="1" t="s">
        <v>5947</v>
      </c>
      <c r="F3244" s="1" t="s">
        <v>5948</v>
      </c>
      <c r="G3244" s="1" t="s">
        <v>36</v>
      </c>
      <c r="H3244" s="1" t="s">
        <v>29</v>
      </c>
      <c r="I3244" s="1" t="str">
        <f ca="1">IFERROR(__xludf.DUMMYFUNCTION("GOOGLETRANSLATE(F3244, ""auto"", ""en"")
"),"The processor meets the stated requirements, I was pleased with the very attentive service at the TK ""Scale"" store. I ordered a processor through the Internet with the service of picking up in the store, unfortunately the next day, when I came to pick u"&amp;"p the goods, it turned out that the promotion for it had ended and they helped me pick up this Kenwood, which I am very pleased with, as well as the patience of the staff.")</f>
        <v>The processor meets the stated requirements, I was pleased with the very attentive service at the TK "Scale" store. I ordered a processor through the Internet with the service of picking up in the store, unfortunately the next day, when I came to pick up the goods, it turned out that the promotion for it had ended and they helped me pick up this Kenwood, which I am very pleased with, as well as the patience of the staff.</v>
      </c>
    </row>
    <row r="3245" spans="1:9" x14ac:dyDescent="0.3">
      <c r="A3245" s="1" t="s">
        <v>211</v>
      </c>
      <c r="B3245" s="1" t="s">
        <v>212</v>
      </c>
      <c r="C3245" s="1" t="s">
        <v>381</v>
      </c>
      <c r="D3245" s="1" t="s">
        <v>138</v>
      </c>
      <c r="E3245" s="1" t="s">
        <v>5949</v>
      </c>
      <c r="F3245" s="1" t="s">
        <v>5950</v>
      </c>
      <c r="G3245" s="1" t="s">
        <v>36</v>
      </c>
      <c r="H3245" s="1" t="s">
        <v>29</v>
      </c>
      <c r="I3245" s="1" t="str">
        <f ca="1">IFERROR(__xludf.DUMMYFUNCTION("GOOGLETRANSLATE(F3245, ""auto"", ""en"")
"),"I had my doubts about purchasing this rectifier for a long time.  And after much thought, I finally decided.  I didn’t regret it at all.  The hair is shiny and silky. There is a case. You won’t regret it!")</f>
        <v>I had my doubts about purchasing this rectifier for a long time.  And after much thought, I finally decided.  I didn’t regret it at all.  The hair is shiny and silky. There is a case. You won’t regret it!</v>
      </c>
    </row>
    <row r="3246" spans="1:9" x14ac:dyDescent="0.3">
      <c r="A3246" s="1" t="s">
        <v>55</v>
      </c>
      <c r="B3246" s="1" t="s">
        <v>56</v>
      </c>
      <c r="C3246" s="1" t="s">
        <v>85</v>
      </c>
      <c r="D3246" s="1" t="s">
        <v>2771</v>
      </c>
      <c r="E3246" s="1" t="s">
        <v>5951</v>
      </c>
      <c r="F3246" s="1" t="s">
        <v>5952</v>
      </c>
      <c r="G3246" s="1" t="s">
        <v>36</v>
      </c>
      <c r="H3246" s="1" t="s">
        <v>29</v>
      </c>
      <c r="I3246" s="1" t="str">
        <f ca="1">IFERROR(__xludf.DUMMYFUNCTION("GOOGLETRANSLATE(F3246, ""auto"", ""en"")
"),"Our air humidifier Bork N700 is almost 4 years old. We bought it in connection with the birth of a child, because we wanted to create the most comfortable microclimate in the apartment. It works properly to this day, there was no need to contact service, "&amp;"the device is functional, simple and easy to use. It has many different operating modes, we most often use children's and night modes. It works for us almost all the time, is silent, and does not bother us at all at night. There is a shutdown timer for up"&amp;" to 12 hours. Another undoubted advantage is the presence of three different filters, both for water purification and softening, and for outgoing steam, so the device not only humidifies, but also purifies the air. The device has a lot of indicators, so i"&amp;"t tells you when you need to add water, when it needs to be cleaned, and how dirty the filters are. It seems to me that such a useful machine should be in every home. I recommend it.")</f>
        <v>Our air humidifier Bork N700 is almost 4 years old. We bought it in connection with the birth of a child, because we wanted to create the most comfortable microclimate in the apartment. It works properly to this day, there was no need to contact service, the device is functional, simple and easy to use. It has many different operating modes, we most often use children's and night modes. It works for us almost all the time, is silent, and does not bother us at all at night. There is a shutdown timer for up to 12 hours. Another undoubted advantage is the presence of three different filters, both for water purification and softening, and for outgoing steam, so the device not only humidifies, but also purifies the air. The device has a lot of indicators, so it tells you when you need to add water, when it needs to be cleaned, and how dirty the filters are. It seems to me that such a useful machine should be in every home. I recommend it.</v>
      </c>
    </row>
    <row r="3247" spans="1:9" x14ac:dyDescent="0.3">
      <c r="A3247" s="1" t="s">
        <v>9</v>
      </c>
      <c r="B3247" s="1" t="s">
        <v>137</v>
      </c>
      <c r="C3247" s="1" t="s">
        <v>870</v>
      </c>
      <c r="D3247" s="1" t="s">
        <v>545</v>
      </c>
      <c r="E3247" s="1" t="s">
        <v>5953</v>
      </c>
      <c r="F3247" s="1" t="s">
        <v>5954</v>
      </c>
      <c r="G3247" s="1" t="s">
        <v>36</v>
      </c>
      <c r="H3247" s="1" t="s">
        <v>29</v>
      </c>
      <c r="I3247" s="1" t="str">
        <f ca="1">IFERROR(__xludf.DUMMYFUNCTION("GOOGLETRANSLATE(F3247, ""auto"", ""en"")
"),"I bought it yesterday. Unfortunately, bad choice. The comforters are located inconveniently. A burner with an extension for a frying pan is located in the far left corner. It's inconvenient to fry. I tried to fry with the lower oval extension, but it was "&amp;"unevenly fried. You have to choose carefully. I find this model inconvenient.")</f>
        <v>I bought it yesterday. Unfortunately, bad choice. The comforters are located inconveniently. A burner with an extension for a frying pan is located in the far left corner. It's inconvenient to fry. I tried to fry with the lower oval extension, but it was unevenly fried. You have to choose carefully. I find this model inconvenient.</v>
      </c>
    </row>
    <row r="3248" spans="1:9" x14ac:dyDescent="0.3">
      <c r="A3248" s="1" t="s">
        <v>89</v>
      </c>
      <c r="B3248" s="1" t="s">
        <v>90</v>
      </c>
      <c r="C3248" s="1" t="s">
        <v>185</v>
      </c>
      <c r="D3248" s="1" t="s">
        <v>58</v>
      </c>
      <c r="E3248" s="1" t="s">
        <v>5955</v>
      </c>
      <c r="F3248" s="1" t="s">
        <v>5956</v>
      </c>
      <c r="G3248" s="1" t="s">
        <v>36</v>
      </c>
      <c r="H3248" s="1" t="s">
        <v>29</v>
      </c>
      <c r="I3248" s="1" t="str">
        <f ca="1">IFERROR(__xludf.DUMMYFUNCTION("GOOGLETRANSLATE(F3248, ""auto"", ""en"")
"),"I bought it a week ago, the button on the previous one fell off after a month, so I chose it based on reliability, so far no complaints, fast and high-quality results. I'm very pleased.")</f>
        <v>I bought it a week ago, the button on the previous one fell off after a month, so I chose it based on reliability, so far no complaints, fast and high-quality results. I'm very pleased.</v>
      </c>
    </row>
    <row r="3249" spans="1:9" x14ac:dyDescent="0.3">
      <c r="A3249" s="1" t="s">
        <v>111</v>
      </c>
      <c r="B3249" s="1" t="s">
        <v>1090</v>
      </c>
      <c r="C3249" s="1" t="s">
        <v>1091</v>
      </c>
      <c r="D3249" s="1" t="s">
        <v>139</v>
      </c>
      <c r="E3249" s="1" t="s">
        <v>3013</v>
      </c>
      <c r="F3249" s="1" t="s">
        <v>5957</v>
      </c>
      <c r="G3249" s="1" t="s">
        <v>36</v>
      </c>
      <c r="H3249" s="1" t="s">
        <v>29</v>
      </c>
      <c r="I3249" s="1" t="str">
        <f ca="1">IFERROR(__xludf.DUMMYFUNCTION("GOOGLETRANSLATE(F3249, ""auto"", ""en"")
"),"Lights up normally, lights up without delay")</f>
        <v>Lights up normally, lights up without delay</v>
      </c>
    </row>
    <row r="3250" spans="1:9" x14ac:dyDescent="0.3">
      <c r="A3250" s="1" t="s">
        <v>55</v>
      </c>
      <c r="B3250" s="1" t="s">
        <v>3549</v>
      </c>
      <c r="C3250" s="1" t="s">
        <v>57</v>
      </c>
      <c r="D3250" s="1" t="s">
        <v>232</v>
      </c>
      <c r="E3250" s="1" t="s">
        <v>131</v>
      </c>
      <c r="F3250" s="1" t="s">
        <v>5958</v>
      </c>
      <c r="G3250" s="1" t="s">
        <v>36</v>
      </c>
      <c r="H3250" s="1" t="s">
        <v>29</v>
      </c>
      <c r="I3250" s="1" t="str">
        <f ca="1">IFERROR(__xludf.DUMMYFUNCTION("GOOGLETRANSLATE(F3250, ""auto"", ""en"")
"),"I bought this amazing device today and am very pleased!  I worked in a 13m2 room for a couple of hours, and the air became clean and the air condition really felt clean (it really generates negative ions)! The fan noise is barely audible, the UV lamp is r"&amp;"eliably protected (only its light inside is slightly visible), it is not visible, i.e. harmful effects of UV on the body are excluded.  No replacement filters are needed, easy to clean as needed.  Consumes only 12 W of electricity, which is very nice. Ver"&amp;"y compact, easily placed on the bedside table.  I plan to leave it on all night, leaving the window on micro-ventilation.  Before using, I recommend reading information on the Internet on the topic of ionizers (when using them, it is necessary to ventilat"&amp;"e the room, since a certain amount of ozone is formed in the air) and on the topic of bactericidal UV lamps.")</f>
        <v>I bought this amazing device today and am very pleased!  I worked in a 13m2 room for a couple of hours, and the air became clean and the air condition really felt clean (it really generates negative ions)! The fan noise is barely audible, the UV lamp is reliably protected (only its light inside is slightly visible), it is not visible, i.e. harmful effects of UV on the body are excluded.  No replacement filters are needed, easy to clean as needed.  Consumes only 12 W of electricity, which is very nice. Very compact, easily placed on the bedside table.  I plan to leave it on all night, leaving the window on micro-ventilation.  Before using, I recommend reading information on the Internet on the topic of ionizers (when using them, it is necessary to ventilate the room, since a certain amount of ozone is formed in the air) and on the topic of bactericidal UV lamps.</v>
      </c>
    </row>
    <row r="3251" spans="1:9" x14ac:dyDescent="0.3">
      <c r="A3251" s="1" t="s">
        <v>211</v>
      </c>
      <c r="B3251" s="1" t="s">
        <v>384</v>
      </c>
      <c r="C3251" s="1" t="s">
        <v>246</v>
      </c>
      <c r="D3251" s="1" t="s">
        <v>32</v>
      </c>
      <c r="E3251" s="1" t="s">
        <v>1545</v>
      </c>
      <c r="F3251" s="1" t="s">
        <v>5959</v>
      </c>
      <c r="G3251" s="1" t="s">
        <v>28</v>
      </c>
      <c r="H3251" s="1" t="s">
        <v>29</v>
      </c>
      <c r="I3251" s="1" t="str">
        <f ca="1">IFERROR(__xludf.DUMMYFUNCTION("GOOGLETRANSLATE(F3251, ""auto"", ""en"")
"),"I have been using the scales for 3 weeks now and have not observed any of the above-mentioned shortcomings. I did the weight training on the first day, the error was 100g, they showed 15.9 kg. Now, even out of curiosity, I weighed myself in different plac"&amp;"es, the result was the same everywhere. Solid four!")</f>
        <v>I have been using the scales for 3 weeks now and have not observed any of the above-mentioned shortcomings. I did the weight training on the first day, the error was 100g, they showed 15.9 kg. Now, even out of curiosity, I weighed myself in different places, the result was the same everywhere. Solid four!</v>
      </c>
    </row>
    <row r="3252" spans="1:9" x14ac:dyDescent="0.3">
      <c r="A3252" s="1" t="s">
        <v>169</v>
      </c>
      <c r="B3252" s="1" t="s">
        <v>170</v>
      </c>
      <c r="C3252" s="1" t="s">
        <v>193</v>
      </c>
      <c r="D3252" s="1" t="s">
        <v>280</v>
      </c>
      <c r="E3252" s="1" t="s">
        <v>1586</v>
      </c>
      <c r="F3252" s="1" t="s">
        <v>5960</v>
      </c>
      <c r="G3252" s="1" t="s">
        <v>28</v>
      </c>
      <c r="H3252" s="1" t="s">
        <v>29</v>
      </c>
      <c r="I3252" s="1" t="str">
        <f ca="1">IFERROR(__xludf.DUMMYFUNCTION("GOOGLETRANSLATE(F3252, ""auto"", ""en"")
"),"hmm, I bought it today, I was pleased with the device, the sound is quite good, for the price I got what I expected, I recommend it")</f>
        <v>hmm, I bought it today, I was pleased with the device, the sound is quite good, for the price I got what I expected, I recommend it</v>
      </c>
    </row>
    <row r="3253" spans="1:9" x14ac:dyDescent="0.3">
      <c r="A3253" s="1" t="s">
        <v>519</v>
      </c>
      <c r="B3253" s="1" t="s">
        <v>3088</v>
      </c>
      <c r="C3253" s="1" t="s">
        <v>246</v>
      </c>
      <c r="D3253" s="1" t="s">
        <v>64</v>
      </c>
      <c r="E3253" s="1" t="s">
        <v>1553</v>
      </c>
      <c r="F3253" s="1" t="s">
        <v>5961</v>
      </c>
      <c r="G3253" s="1" t="s">
        <v>36</v>
      </c>
      <c r="H3253" s="1" t="s">
        <v>29</v>
      </c>
      <c r="I3253" s="1" t="str">
        <f ca="1">IFERROR(__xludf.DUMMYFUNCTION("GOOGLETRANSLATE(F3253, ""auto"", ""en"")
"),"I've been using this frying pan for three years now! This is my favorite cookware. Very comfortable handle. Convenient to wash in the dishwasher. A frying pan without a handle can be used as a baking dish. Excellent quality set. I didn't find any shortcom"&amp;"ings.")</f>
        <v>I've been using this frying pan for three years now! This is my favorite cookware. Very comfortable handle. Convenient to wash in the dishwasher. A frying pan without a handle can be used as a baking dish. Excellent quality set. I didn't find any shortcomings.</v>
      </c>
    </row>
    <row r="3254" spans="1:9" x14ac:dyDescent="0.3">
      <c r="A3254" s="1" t="s">
        <v>67</v>
      </c>
      <c r="B3254" s="1" t="s">
        <v>68</v>
      </c>
      <c r="C3254" s="1" t="s">
        <v>246</v>
      </c>
      <c r="D3254" s="1" t="s">
        <v>75</v>
      </c>
      <c r="E3254" s="1" t="s">
        <v>178</v>
      </c>
      <c r="F3254" s="1" t="s">
        <v>5962</v>
      </c>
      <c r="G3254" s="1" t="s">
        <v>36</v>
      </c>
      <c r="H3254" s="1" t="s">
        <v>29</v>
      </c>
      <c r="I3254" s="1" t="str">
        <f ca="1">IFERROR(__xludf.DUMMYFUNCTION("GOOGLETRANSLATE(F3254, ""auto"", ""en"")
"),"A good enough iron, light, steams well, glides. A good, high-quality offer in its price category. I'm happy with it)")</f>
        <v>A good enough iron, light, steams well, glides. A good, high-quality offer in its price category. I'm happy with it)</v>
      </c>
    </row>
    <row r="3255" spans="1:9" x14ac:dyDescent="0.3">
      <c r="A3255" s="1" t="s">
        <v>2087</v>
      </c>
      <c r="B3255" s="1" t="s">
        <v>2088</v>
      </c>
      <c r="C3255" s="1" t="s">
        <v>69</v>
      </c>
      <c r="D3255" s="1" t="s">
        <v>3589</v>
      </c>
      <c r="E3255" s="1" t="s">
        <v>5963</v>
      </c>
      <c r="F3255" s="1" t="s">
        <v>5964</v>
      </c>
      <c r="G3255" s="1" t="s">
        <v>36</v>
      </c>
      <c r="H3255" s="1" t="s">
        <v>29</v>
      </c>
      <c r="I3255" s="1" t="str">
        <f ca="1">IFERROR(__xludf.DUMMYFUNCTION("GOOGLETRANSLATE(F3255, ""auto"", ""en"")
"),"good player! everything works mkv reads.net tv good thing YouTube. games. I'm happy. Take it! although everyone has different tastes. GOOD LUCK.")</f>
        <v>good player! everything works mkv reads.net tv good thing YouTube. games. I'm happy. Take it! although everyone has different tastes. GOOD LUCK.</v>
      </c>
    </row>
    <row r="3256" spans="1:9" x14ac:dyDescent="0.3">
      <c r="A3256" s="1" t="s">
        <v>519</v>
      </c>
      <c r="B3256" s="1" t="s">
        <v>3088</v>
      </c>
      <c r="C3256" s="1" t="s">
        <v>246</v>
      </c>
      <c r="D3256" s="1" t="s">
        <v>247</v>
      </c>
      <c r="E3256" s="1" t="s">
        <v>2853</v>
      </c>
      <c r="F3256" s="1" t="s">
        <v>5965</v>
      </c>
      <c r="G3256" s="1" t="s">
        <v>36</v>
      </c>
      <c r="H3256" s="1" t="s">
        <v>29</v>
      </c>
      <c r="I3256" s="1" t="str">
        <f ca="1">IFERROR(__xludf.DUMMYFUNCTION("GOOGLETRANSLATE(F3256, ""auto"", ""en"")
"),"The frying pan is just SUPER!!! I’ve been using it for four years now. The frying pan has no equal.")</f>
        <v>The frying pan is just SUPER!!! I’ve been using it for four years now. The frying pan has no equal.</v>
      </c>
    </row>
    <row r="3257" spans="1:9" x14ac:dyDescent="0.3">
      <c r="A3257" s="1" t="s">
        <v>61</v>
      </c>
      <c r="B3257" s="1" t="s">
        <v>73</v>
      </c>
      <c r="C3257" s="1" t="s">
        <v>63</v>
      </c>
      <c r="D3257" s="1" t="s">
        <v>411</v>
      </c>
      <c r="E3257" s="1" t="s">
        <v>2430</v>
      </c>
      <c r="F3257" s="1" t="s">
        <v>5966</v>
      </c>
      <c r="G3257" s="1" t="s">
        <v>49</v>
      </c>
      <c r="H3257" s="1" t="s">
        <v>16</v>
      </c>
      <c r="I3257" s="1" t="str">
        <f ca="1">IFERROR(__xludf.DUMMYFUNCTION("GOOGLETRANSLATE(F3257, ""auto"", ""en"")
"),"Extremely unreliable. The entire gearbox crumbled inside. I will choose a new one, but NOT Bosch.")</f>
        <v>Extremely unreliable. The entire gearbox crumbled inside. I will choose a new one, but NOT Bosch.</v>
      </c>
    </row>
    <row r="3258" spans="1:9" x14ac:dyDescent="0.3">
      <c r="A3258" s="1" t="s">
        <v>9</v>
      </c>
      <c r="B3258" s="1" t="s">
        <v>10</v>
      </c>
      <c r="C3258" s="1" t="s">
        <v>4314</v>
      </c>
      <c r="D3258" s="1" t="s">
        <v>568</v>
      </c>
      <c r="E3258" s="1" t="s">
        <v>1029</v>
      </c>
      <c r="F3258" s="1" t="s">
        <v>5967</v>
      </c>
      <c r="G3258" s="1" t="s">
        <v>36</v>
      </c>
      <c r="H3258" s="1" t="s">
        <v>29</v>
      </c>
      <c r="I3258" s="1" t="str">
        <f ca="1">IFERROR(__xludf.DUMMYFUNCTION("GOOGLETRANSLATE(F3258, ""auto"", ""en"")
"),"I bought it six months ago.  There are no complaints about the work. Everything works great. There are no cons.")</f>
        <v>I bought it six months ago.  There are no complaints about the work. Everything works great. There are no cons.</v>
      </c>
    </row>
    <row r="3259" spans="1:9" x14ac:dyDescent="0.3">
      <c r="A3259" s="1" t="s">
        <v>9</v>
      </c>
      <c r="B3259" s="1" t="s">
        <v>137</v>
      </c>
      <c r="C3259" s="1" t="s">
        <v>870</v>
      </c>
      <c r="D3259" s="1" t="s">
        <v>5968</v>
      </c>
      <c r="E3259" s="1" t="s">
        <v>4780</v>
      </c>
      <c r="F3259" s="1" t="s">
        <v>5969</v>
      </c>
      <c r="G3259" s="1" t="s">
        <v>36</v>
      </c>
      <c r="H3259" s="1" t="s">
        <v>29</v>
      </c>
      <c r="I3259" s="1" t="str">
        <f ca="1">IFERROR(__xludf.DUMMYFUNCTION("GOOGLETRANSLATE(F3259, ""auto"", ""en"")
"),"The panel is indeed very small in size, but this is quite understandable from its description. For example, this is exactly what I needed, since our kitchen is 4.5 meters high. It’s enough for example to cook soup. And between two people and with such a k"&amp;"itchen, you don’t need more, since in addition to the gas stove, as usual, there is also an electric kettle and a microwave and a multicooker. In general, we very rarely cook with gas now. And we have no complaints about its quality, it burns normally and"&amp;" the minimum fire function works as stated. The appearance is stylish and easy to clean if necessary.")</f>
        <v>The panel is indeed very small in size, but this is quite understandable from its description. For example, this is exactly what I needed, since our kitchen is 4.5 meters high. It’s enough for example to cook soup. And between two people and with such a kitchen, you don’t need more, since in addition to the gas stove, as usual, there is also an electric kettle and a microwave and a multicooker. In general, we very rarely cook with gas now. And we have no complaints about its quality, it burns normally and the minimum fire function works as stated. The appearance is stylish and easy to clean if necessary.</v>
      </c>
    </row>
    <row r="3260" spans="1:9" x14ac:dyDescent="0.3">
      <c r="A3260" s="1" t="s">
        <v>811</v>
      </c>
      <c r="B3260" s="1" t="s">
        <v>812</v>
      </c>
      <c r="C3260" s="1" t="s">
        <v>974</v>
      </c>
      <c r="D3260" s="1" t="s">
        <v>568</v>
      </c>
      <c r="E3260" s="1" t="s">
        <v>5970</v>
      </c>
      <c r="F3260" s="1" t="s">
        <v>5971</v>
      </c>
      <c r="G3260" s="1" t="s">
        <v>36</v>
      </c>
      <c r="H3260" s="1" t="s">
        <v>29</v>
      </c>
      <c r="I3260" s="1" t="str">
        <f ca="1">IFERROR(__xludf.DUMMYFUNCTION("GOOGLETRANSLATE(F3260, ""auto"", ""en"")
"),"An excellent tripod for a traveler - lightweight, compact and very wide possibilities for attachment - branches, stones, fences, etc. Only for light point-and-shoot cameras and action cameras. It’s already scary to grab a half-kilogram mirrorless camera.")</f>
        <v>An excellent tripod for a traveler - lightweight, compact and very wide possibilities for attachment - branches, stones, fences, etc. Only for light point-and-shoot cameras and action cameras. It’s already scary to grab a half-kilogram mirrorless camera.</v>
      </c>
    </row>
    <row r="3261" spans="1:9" x14ac:dyDescent="0.3">
      <c r="A3261" s="1" t="s">
        <v>95</v>
      </c>
      <c r="B3261" s="1" t="s">
        <v>486</v>
      </c>
      <c r="C3261" s="1" t="s">
        <v>487</v>
      </c>
      <c r="D3261" s="1" t="s">
        <v>5972</v>
      </c>
      <c r="E3261" s="1" t="s">
        <v>1339</v>
      </c>
      <c r="F3261" s="1" t="s">
        <v>5973</v>
      </c>
      <c r="G3261" s="1" t="s">
        <v>36</v>
      </c>
      <c r="H3261" s="1" t="s">
        <v>29</v>
      </c>
      <c r="I3261" s="1" t="str">
        <f ca="1">IFERROR(__xludf.DUMMYFUNCTION("GOOGLETRANSLATE(F3261, ""auto"", ""en"")
"),"In general, I’m happy with the set-top box, there’s nothing better, but I was less lucky than all of you, after working for a month and a half, it started giving a system error, freezing and not saving anything to the hard drive, I came to change it; ther"&amp;"e were no such things, now I had to get another one.")</f>
        <v>In general, I’m happy with the set-top box, there’s nothing better, but I was less lucky than all of you, after working for a month and a half, it started giving a system error, freezing and not saving anything to the hard drive, I came to change it; there were no such things, now I had to get another one.</v>
      </c>
    </row>
    <row r="3262" spans="1:9" x14ac:dyDescent="0.3">
      <c r="A3262" s="1" t="s">
        <v>37</v>
      </c>
      <c r="B3262" s="1" t="s">
        <v>536</v>
      </c>
      <c r="C3262" s="1" t="s">
        <v>151</v>
      </c>
      <c r="D3262" s="1" t="s">
        <v>5974</v>
      </c>
      <c r="E3262" s="1" t="s">
        <v>606</v>
      </c>
      <c r="F3262" s="1" t="s">
        <v>5975</v>
      </c>
      <c r="G3262" s="1" t="s">
        <v>28</v>
      </c>
      <c r="H3262" s="1" t="s">
        <v>29</v>
      </c>
      <c r="I3262" s="1" t="str">
        <f ca="1">IFERROR(__xludf.DUMMYFUNCTION("GOOGLETRANSLATE(F3262, ""auto"", ""en"")
"),"Alexander - the update is happening through the Samsung pc studio program! you need to be more careful. I’ve had it for half a year, I dropped it on the tile once, nothing. At first the charge was enough for 1 day - until you climb everything and calm dow"&amp;"n. Right now it’s been 3 days with moderate conversations. I'm happy with the GPS/installed a car satellite - now there are no problems with traffic jams, there is little traffic, but with navigation the battery drains quickly, although the car has a ciga"&amp;"rette lighter. Excellent display - even in the sun it is easy to see (I set the brightness to 75% manually). Although many people criticize Windows, it works, and work is underway on its errors. But unlike the vaunted Android, I easily do synchronization "&amp;"on my computer, and not through other people’s sites! And there are a lot of programs for Windows - look at 4pda! I gave it a four - I think this is objective!")</f>
        <v>Alexander - the update is happening through the Samsung pc studio program! you need to be more careful. I’ve had it for half a year, I dropped it on the tile once, nothing. At first the charge was enough for 1 day - until you climb everything and calm down. Right now it’s been 3 days with moderate conversations. I'm happy with the GPS/installed a car satellite - now there are no problems with traffic jams, there is little traffic, but with navigation the battery drains quickly, although the car has a cigarette lighter. Excellent display - even in the sun it is easy to see (I set the brightness to 75% manually). Although many people criticize Windows, it works, and work is underway on its errors. But unlike the vaunted Android, I easily do synchronization on my computer, and not through other people’s sites! And there are a lot of programs for Windows - look at 4pda! I gave it a four - I think this is objective!</v>
      </c>
    </row>
    <row r="3263" spans="1:9" x14ac:dyDescent="0.3">
      <c r="A3263" s="1" t="s">
        <v>9</v>
      </c>
      <c r="B3263" s="1" t="s">
        <v>10</v>
      </c>
      <c r="C3263" s="1" t="s">
        <v>466</v>
      </c>
      <c r="D3263" s="1" t="s">
        <v>5976</v>
      </c>
      <c r="E3263" s="1" t="s">
        <v>5977</v>
      </c>
      <c r="F3263" s="1" t="s">
        <v>5978</v>
      </c>
      <c r="G3263" s="1" t="s">
        <v>36</v>
      </c>
      <c r="H3263" s="1" t="s">
        <v>29</v>
      </c>
      <c r="I3263" s="1" t="str">
        <f ca="1">IFERROR(__xludf.DUMMYFUNCTION("GOOGLETRANSLATE(F3263, ""auto"", ""en"")
"),"Not a bad hood, cheap. It was made normally, nothing fell off and my husband hung it without any problems. The air flows well, at least the smells are not very noticeable throughout the apartment. There is noise, but I think it’s normal, how else could it"&amp;" work. And you get used to the noise quickly. I also liked the speed change buttons, they are easy to press. And the lighting on the hood is good, it illuminates all my cooking perfectly.")</f>
        <v>Not a bad hood, cheap. It was made normally, nothing fell off and my husband hung it without any problems. The air flows well, at least the smells are not very noticeable throughout the apartment. There is noise, but I think it’s normal, how else could it work. And you get used to the noise quickly. I also liked the speed change buttons, they are easy to press. And the lighting on the hood is good, it illuminates all my cooking perfectly.</v>
      </c>
    </row>
    <row r="3264" spans="1:9" x14ac:dyDescent="0.3">
      <c r="A3264" s="1" t="s">
        <v>238</v>
      </c>
      <c r="B3264" s="1" t="s">
        <v>276</v>
      </c>
      <c r="C3264" s="1" t="s">
        <v>1677</v>
      </c>
      <c r="D3264" s="1" t="s">
        <v>4840</v>
      </c>
      <c r="E3264" s="1" t="s">
        <v>5979</v>
      </c>
      <c r="F3264" s="1" t="s">
        <v>5980</v>
      </c>
      <c r="G3264" s="1" t="s">
        <v>36</v>
      </c>
      <c r="H3264" s="1" t="s">
        <v>29</v>
      </c>
      <c r="I3264" s="1" t="str">
        <f ca="1">IFERROR(__xludf.DUMMYFUNCTION("GOOGLETRANSLATE(F3264, ""auto"", ""en"")
"),"WE BOUGHT THIS REFRIGERATOR 2 YEARS AGO. YES, IT MAKES NOISE, BUT IT’S NOT ESSENTIAL, WE DON’T EVEN PAY ATTENTION, IT DOESN’T INTERFERE.  I LIKE IT VERY, BIG, SPACEY, THE PRODUCTS ARE EXCELLENT AND KEEP FOR A LONG TIME. A 3-LITER CAN WILL NOT FIT, BUT IT’"&amp;"S NO TROUBLE WE Switched TO SMALLER CANS AND EVERYTHING IS NORMAL. MY SISTER ALSO HAS A SHARPEY FRIDGE FOR 8 YEARS. AND I REALLY LIKE IT.")</f>
        <v>WE BOUGHT THIS REFRIGERATOR 2 YEARS AGO. YES, IT MAKES NOISE, BUT IT’S NOT ESSENTIAL, WE DON’T EVEN PAY ATTENTION, IT DOESN’T INTERFERE.  I LIKE IT VERY, BIG, SPACEY, THE PRODUCTS ARE EXCELLENT AND KEEP FOR A LONG TIME. A 3-LITER CAN WILL NOT FIT, BUT IT’S NO TROUBLE WE Switched TO SMALLER CANS AND EVERYTHING IS NORMAL. MY SISTER ALSO HAS A SHARPEY FRIDGE FOR 8 YEARS. AND I REALLY LIKE IT.</v>
      </c>
    </row>
    <row r="3265" spans="1:9" x14ac:dyDescent="0.3">
      <c r="A3265" s="1" t="s">
        <v>211</v>
      </c>
      <c r="B3265" s="1" t="s">
        <v>212</v>
      </c>
      <c r="C3265" s="1" t="s">
        <v>381</v>
      </c>
      <c r="D3265" s="1" t="s">
        <v>295</v>
      </c>
      <c r="E3265" s="1" t="s">
        <v>2260</v>
      </c>
      <c r="F3265" s="1" t="s">
        <v>5981</v>
      </c>
      <c r="G3265" s="1" t="s">
        <v>36</v>
      </c>
      <c r="H3265" s="1" t="s">
        <v>29</v>
      </c>
      <c r="I3265" s="1" t="str">
        <f ca="1">IFERROR(__xludf.DUMMYFUNCTION("GOOGLETRANSLATE(F3265, ""auto"", ""en"")
"),"Excellent curling iron, I bought it as a gift, I don’t use it often, but when I turn it on, the curls come out super.")</f>
        <v>Excellent curling iron, I bought it as a gift, I don’t use it often, but when I turn it on, the curls come out super.</v>
      </c>
    </row>
    <row r="3266" spans="1:9" x14ac:dyDescent="0.3">
      <c r="A3266" s="1" t="s">
        <v>61</v>
      </c>
      <c r="B3266" s="1" t="s">
        <v>726</v>
      </c>
      <c r="C3266" s="1" t="s">
        <v>146</v>
      </c>
      <c r="D3266" s="1" t="s">
        <v>4322</v>
      </c>
      <c r="E3266" s="1" t="s">
        <v>5982</v>
      </c>
      <c r="F3266" s="1" t="s">
        <v>5983</v>
      </c>
      <c r="G3266" s="1" t="s">
        <v>36</v>
      </c>
      <c r="H3266" s="1" t="s">
        <v>29</v>
      </c>
      <c r="I3266" s="1" t="str">
        <f ca="1">IFERROR(__xludf.DUMMYFUNCTION("GOOGLETRANSLATE(F3266, ""auto"", ""en"")
"),"The stove is great. It makes the most delicious bread. Kenwood quality keeps its mark as always. Everything is intuitive.")</f>
        <v>The stove is great. It makes the most delicious bread. Kenwood quality keeps its mark as always. Everything is intuitive.</v>
      </c>
    </row>
    <row r="3267" spans="1:9" x14ac:dyDescent="0.3">
      <c r="A3267" s="1" t="s">
        <v>120</v>
      </c>
      <c r="B3267" s="1" t="s">
        <v>256</v>
      </c>
      <c r="C3267" s="1" t="s">
        <v>80</v>
      </c>
      <c r="D3267" s="1" t="s">
        <v>152</v>
      </c>
      <c r="E3267" s="1" t="s">
        <v>734</v>
      </c>
      <c r="F3267" s="1" t="s">
        <v>5984</v>
      </c>
      <c r="G3267" s="1" t="s">
        <v>49</v>
      </c>
      <c r="H3267" s="1" t="s">
        <v>16</v>
      </c>
      <c r="I3267" s="1" t="str">
        <f ca="1">IFERROR(__xludf.DUMMYFUNCTION("GOOGLETRANSLATE(F3267, ""auto"", ""en"")
"),"After two months of use. the TV is broken. At the service center it turned out that the warranty card was filled out incorrectly, so I had to go to the store and fill it out correctly. In general, the rating is nowhere worse; this has not happened with an"&amp;"y other brand of household appliances.")</f>
        <v>After two months of use. the TV is broken. At the service center it turned out that the warranty card was filled out incorrectly, so I had to go to the store and fill it out correctly. In general, the rating is nowhere worse; this has not happened with any other brand of household appliances.</v>
      </c>
    </row>
    <row r="3268" spans="1:9" x14ac:dyDescent="0.3">
      <c r="A3268" s="1" t="s">
        <v>61</v>
      </c>
      <c r="B3268" s="1" t="s">
        <v>224</v>
      </c>
      <c r="C3268" s="1" t="s">
        <v>85</v>
      </c>
      <c r="D3268" s="1" t="s">
        <v>190</v>
      </c>
      <c r="E3268" s="1" t="s">
        <v>5985</v>
      </c>
      <c r="F3268" s="1" t="s">
        <v>5986</v>
      </c>
      <c r="G3268" s="1" t="s">
        <v>36</v>
      </c>
      <c r="H3268" s="1" t="s">
        <v>29</v>
      </c>
      <c r="I3268" s="1" t="str">
        <f ca="1">IFERROR(__xludf.DUMMYFUNCTION("GOOGLETRANSLATE(F3268, ""auto"", ""en"")
"),"It stands firmly and does not jump at all speeds. The cake is dry. It is very convenient that the container is detachable and you can replace it with another bowl or even a bag. When choosing, it turned out that not everyone has this (some do not work if "&amp;"the package is disconnected). Luckily, it's easy to clean.  Another plus I would like to note is the absolutely cosmic coated blade. Looks and works 200%. And the design of the juicer itself. It looked great both in the kitchen and in the country house, l"&amp;"ined with clapboards.  There are two drawbacks. Price and lack of a recipe book. It is sold separately, but could be included in the kit.  PS: I looked at the comments before publishing. I’ll add a little more about the cake.  When I bought it I didn’t ex"&amp;"pect it to be as dry as sand, so I wasn’t disappointed. It can be wet, depending on what you grind, but it does not cause any discomfort. The juicer is not for soft foods. I tried grinding a banana. It would be better not to do this) It turned out to be a"&amp;" mess. A similar story emerged with a particularly soft melon. Here the cake was not just wet, here the fruits themselves became cake) There was almost zero juice. But with a hard and not so overripe melon, the result was delicious water with foam.  Somet"&amp;"imes pieces can fly whistling to the side, hitting the wall. At first it alarmed me, but I got used to it quickly. As I understand it, sometimes the flat parts are not clamped well enough to grind them, and at full speed of rotation they fly out of the me"&amp;"sh into the cake collector.  I recommend to buy)")</f>
        <v>It stands firmly and does not jump at all speeds. The cake is dry. It is very convenient that the container is detachable and you can replace it with another bowl or even a bag. When choosing, it turned out that not everyone has this (some do not work if the package is disconnected). Luckily, it's easy to clean.  Another plus I would like to note is the absolutely cosmic coated blade. Looks and works 200%. And the design of the juicer itself. It looked great both in the kitchen and in the country house, lined with clapboards.  There are two drawbacks. Price and lack of a recipe book. It is sold separately, but could be included in the kit.  PS: I looked at the comments before publishing. I’ll add a little more about the cake.  When I bought it I didn’t expect it to be as dry as sand, so I wasn’t disappointed. It can be wet, depending on what you grind, but it does not cause any discomfort. The juicer is not for soft foods. I tried grinding a banana. It would be better not to do this) It turned out to be a mess. A similar story emerged with a particularly soft melon. Here the cake was not just wet, here the fruits themselves became cake) There was almost zero juice. But with a hard and not so overripe melon, the result was delicious water with foam.  Sometimes pieces can fly whistling to the side, hitting the wall. At first it alarmed me, but I got used to it quickly. As I understand it, sometimes the flat parts are not clamped well enough to grind them, and at full speed of rotation they fly out of the mesh into the cake collector.  I recommend to buy)</v>
      </c>
    </row>
    <row r="3269" spans="1:9" x14ac:dyDescent="0.3">
      <c r="A3269" s="1" t="s">
        <v>206</v>
      </c>
      <c r="B3269" s="1" t="s">
        <v>207</v>
      </c>
      <c r="C3269" s="1" t="s">
        <v>152</v>
      </c>
      <c r="D3269" s="1" t="s">
        <v>152</v>
      </c>
      <c r="E3269" s="1" t="s">
        <v>2636</v>
      </c>
      <c r="F3269" s="1" t="s">
        <v>5987</v>
      </c>
      <c r="G3269" s="1" t="s">
        <v>36</v>
      </c>
      <c r="H3269" s="1" t="s">
        <v>29</v>
      </c>
      <c r="I3269" s="1" t="str">
        <f ca="1">IFERROR(__xludf.DUMMYFUNCTION("GOOGLETRANSLATE(F3269, ""auto"", ""en"")
"),"I took it for high frequencies, in addition to the Kick STQ-130 speakers, at first I ran around the shops and looked for crossovers, then I discovered that the tweeter itself had a polar capacitor, which means the manufacturer took care of us. Installed i"&amp;"n parallel to the front - the sound is amazing even without an amplifier. Became a fan of Kicks.")</f>
        <v>I took it for high frequencies, in addition to the Kick STQ-130 speakers, at first I ran around the shops and looked for crossovers, then I discovered that the tweeter itself had a polar capacitor, which means the manufacturer took care of us. Installed in parallel to the front - the sound is amazing even without an amplifier. Became a fan of Kicks.</v>
      </c>
    </row>
    <row r="3270" spans="1:9" x14ac:dyDescent="0.3">
      <c r="A3270" s="1" t="s">
        <v>149</v>
      </c>
      <c r="B3270" s="1" t="s">
        <v>155</v>
      </c>
      <c r="C3270" s="1" t="s">
        <v>63</v>
      </c>
      <c r="D3270" s="1" t="s">
        <v>171</v>
      </c>
      <c r="E3270" s="1" t="s">
        <v>594</v>
      </c>
      <c r="F3270" s="1" t="s">
        <v>5988</v>
      </c>
      <c r="G3270" s="1" t="s">
        <v>36</v>
      </c>
      <c r="H3270" s="1" t="s">
        <v>29</v>
      </c>
      <c r="I3270" s="1" t="str">
        <f ca="1">IFERROR(__xludf.DUMMYFUNCTION("GOOGLETRANSLATE(F3270, ""auto"", ""en"")
"),"The vacuum cleaner is super, but for those who are ready to make a small compromise and not much, and also save money, they can buy Zelmer 5500.3")</f>
        <v>The vacuum cleaner is super, but for those who are ready to make a small compromise and not much, and also save money, they can buy Zelmer 5500.3</v>
      </c>
    </row>
    <row r="3271" spans="1:9" x14ac:dyDescent="0.3">
      <c r="A3271" s="1" t="s">
        <v>211</v>
      </c>
      <c r="B3271" s="1" t="s">
        <v>212</v>
      </c>
      <c r="C3271" s="1" t="s">
        <v>294</v>
      </c>
      <c r="D3271" s="1" t="s">
        <v>3668</v>
      </c>
      <c r="E3271" s="1" t="s">
        <v>3095</v>
      </c>
      <c r="F3271" s="1" t="s">
        <v>5989</v>
      </c>
      <c r="G3271" s="1" t="s">
        <v>36</v>
      </c>
      <c r="H3271" s="1" t="s">
        <v>29</v>
      </c>
      <c r="I3271" s="1" t="str">
        <f ca="1">IFERROR(__xludf.DUMMYFUNCTION("GOOGLETRANSLATE(F3271, ""auto"", ""en"")
"),"Very convenient, quickly straightens my curls, and not expensive. I'm very glad I bought it. I recommend it to everyone.")</f>
        <v>Very convenient, quickly straightens my curls, and not expensive. I'm very glad I bought it. I recommend it to everyone.</v>
      </c>
    </row>
    <row r="3272" spans="1:9" x14ac:dyDescent="0.3">
      <c r="A3272" s="1" t="s">
        <v>120</v>
      </c>
      <c r="B3272" s="1" t="s">
        <v>121</v>
      </c>
      <c r="C3272" s="1" t="s">
        <v>80</v>
      </c>
      <c r="D3272" s="1" t="s">
        <v>52</v>
      </c>
      <c r="E3272" s="1" t="s">
        <v>1654</v>
      </c>
      <c r="F3272" s="1" t="s">
        <v>5990</v>
      </c>
      <c r="G3272" s="1" t="s">
        <v>36</v>
      </c>
      <c r="H3272" s="1" t="s">
        <v>29</v>
      </c>
      <c r="I3272" s="1" t="str">
        <f ca="1">IFERROR(__xludf.DUMMYFUNCTION("GOOGLETRANSLATE(F3272, ""auto"", ""en"")
"),"A very cool TV for that kind of money, you can’t think of a better one! I recommend everyone the easiest way to unlock, I did this, I bought a universal remote control (yesterday) http://www.mvideo.ru/product_review/251008.html and yesterday I unlocked it"&amp;" without any problems at all!!! The cost of the remote control is 590 rubles. The whole unlocking took 10 minutes!!")</f>
        <v>A very cool TV for that kind of money, you can’t think of a better one! I recommend everyone the easiest way to unlock, I did this, I bought a universal remote control (yesterday) http://www.mvideo.ru/product_review/251008.html and yesterday I unlocked it without any problems at all!!! The cost of the remote control is 590 rubles. The whole unlocking took 10 minutes!!</v>
      </c>
    </row>
    <row r="3273" spans="1:9" x14ac:dyDescent="0.3">
      <c r="A3273" s="1" t="s">
        <v>169</v>
      </c>
      <c r="B3273" s="1" t="s">
        <v>170</v>
      </c>
      <c r="C3273" s="1" t="s">
        <v>171</v>
      </c>
      <c r="D3273" s="1" t="s">
        <v>5991</v>
      </c>
      <c r="E3273" s="1" t="s">
        <v>1000</v>
      </c>
      <c r="F3273" s="1" t="s">
        <v>5992</v>
      </c>
      <c r="G3273" s="1" t="s">
        <v>28</v>
      </c>
      <c r="H3273" s="1" t="s">
        <v>29</v>
      </c>
      <c r="I3273" s="1" t="str">
        <f ca="1">IFERROR(__xludf.DUMMYFUNCTION("GOOGLETRANSLATE(F3273, ""auto"", ""en"")
"),"The headphones are excellent, but they only worked for 2 months, after which one of the speakers simply stopped producing sound. I guarantee")</f>
        <v>The headphones are excellent, but they only worked for 2 months, after which one of the speakers simply stopped producing sound. I guarantee</v>
      </c>
    </row>
    <row r="3274" spans="1:9" x14ac:dyDescent="0.3">
      <c r="A3274" s="1" t="s">
        <v>43</v>
      </c>
      <c r="B3274" s="1" t="s">
        <v>334</v>
      </c>
      <c r="C3274" s="1" t="s">
        <v>1138</v>
      </c>
      <c r="D3274" s="1" t="s">
        <v>568</v>
      </c>
      <c r="E3274" s="1" t="s">
        <v>2502</v>
      </c>
      <c r="F3274" s="1" t="s">
        <v>5993</v>
      </c>
      <c r="G3274" s="1" t="s">
        <v>28</v>
      </c>
      <c r="H3274" s="1" t="s">
        <v>29</v>
      </c>
      <c r="I3274" s="1" t="str">
        <f ca="1">IFERROR(__xludf.DUMMYFUNCTION("GOOGLETRANSLATE(F3274, ""auto"", ""en"")
"),"The fan is working fine, there are no defects yet. However, at 3rd speed it is noisy. As for the price, prices for all fans are higher this year. in general it will be suitable for a room))")</f>
        <v>The fan is working fine, there are no defects yet. However, at 3rd speed it is noisy. As for the price, prices for all fans are higher this year. in general it will be suitable for a room))</v>
      </c>
    </row>
    <row r="3275" spans="1:9" x14ac:dyDescent="0.3">
      <c r="A3275" s="1" t="s">
        <v>61</v>
      </c>
      <c r="B3275" s="1" t="s">
        <v>73</v>
      </c>
      <c r="C3275" s="1" t="s">
        <v>314</v>
      </c>
      <c r="D3275" s="1" t="s">
        <v>5994</v>
      </c>
      <c r="E3275" s="1" t="s">
        <v>2706</v>
      </c>
      <c r="F3275" s="1" t="s">
        <v>5995</v>
      </c>
      <c r="G3275" s="1" t="s">
        <v>49</v>
      </c>
      <c r="H3275" s="1" t="s">
        <v>16</v>
      </c>
      <c r="I3275" s="1" t="str">
        <f ca="1">IFERROR(__xludf.DUMMYFUNCTION("GOOGLETRANSLATE(F3275, ""auto"", ""en"")
"),"My husband was spinning it, and it seemed like her knives weren’t particularly dull, but the meat was barely coming through. He said the motor is weak and there is not enough of it to turn the meat, unless you throw it in small pieces at intervals. At fir"&amp;"st we tried to use it somehow, but it became clear that the family budget had suffered in vain.")</f>
        <v>My husband was spinning it, and it seemed like her knives weren’t particularly dull, but the meat was barely coming through. He said the motor is weak and there is not enough of it to turn the meat, unless you throw it in small pieces at intervals. At first we tried to use it somehow, but it became clear that the family budget had suffered in vain.</v>
      </c>
    </row>
    <row r="3276" spans="1:9" x14ac:dyDescent="0.3">
      <c r="A3276" s="1" t="s">
        <v>95</v>
      </c>
      <c r="B3276" s="1" t="s">
        <v>4131</v>
      </c>
      <c r="C3276" s="1" t="s">
        <v>97</v>
      </c>
      <c r="D3276" s="1" t="s">
        <v>695</v>
      </c>
      <c r="E3276" s="1" t="s">
        <v>5996</v>
      </c>
      <c r="F3276" s="1" t="s">
        <v>5997</v>
      </c>
      <c r="G3276" s="1" t="s">
        <v>36</v>
      </c>
      <c r="H3276" s="1" t="s">
        <v>29</v>
      </c>
      <c r="I3276" s="1" t="str">
        <f ca="1">IFERROR(__xludf.DUMMYFUNCTION("GOOGLETRANSLATE(F3276, ""auto"", ""en"")
"),"I am very pleased with the purchase!!! Includes 8 GB flash drive and augmented reality cards. Everything is fine, it works fine, wi-fi and SIM card are fine. The camera, front and rear, takes good pictures. To install the game that comes with the kit, you"&amp;" need to enter the code from the card and download using wi-fi. I advise everyone who is thinking about buying it!")</f>
        <v>I am very pleased with the purchase!!! Includes 8 GB flash drive and augmented reality cards. Everything is fine, it works fine, wi-fi and SIM card are fine. The camera, front and rear, takes good pictures. To install the game that comes with the kit, you need to enter the code from the card and download using wi-fi. I advise everyone who is thinking about buying it!</v>
      </c>
    </row>
    <row r="3277" spans="1:9" x14ac:dyDescent="0.3">
      <c r="A3277" s="1" t="s">
        <v>111</v>
      </c>
      <c r="B3277" s="1" t="s">
        <v>636</v>
      </c>
      <c r="C3277" s="1" t="s">
        <v>637</v>
      </c>
      <c r="D3277" s="1" t="s">
        <v>280</v>
      </c>
      <c r="E3277" s="1" t="s">
        <v>5998</v>
      </c>
      <c r="F3277" s="1" t="s">
        <v>5999</v>
      </c>
      <c r="G3277" s="1" t="s">
        <v>36</v>
      </c>
      <c r="H3277" s="1" t="s">
        <v>29</v>
      </c>
      <c r="I3277" s="1" t="str">
        <f ca="1">IFERROR(__xludf.DUMMYFUNCTION("GOOGLETRANSLATE(F3277, ""auto"", ""en"")
"),"Working for the 3rd month. No complaints. I placed the sensor next to the station - the readings were the same! It’s a pity, there are no additional sensors in the store, I will purchase them separately (supports up to 3 sensors). The forecast so far pred"&amp;"icted with a probability of 80-90%. Energizer immediately supplied the batteries; I’ll buy lithium ones for the external sensor(s) for the winter. The screen is clearly visible (standing on the table). The external sensor transmits data perfectly through "&amp;"2 concrete walls at a distance of 4-5 meters. I would never have thought that the apartment was so dry - 2% humidity. I set the pressure in millibars - it’s intuitively easier to understand or multiply by 0.75)) Clock / Alarm clock / Calendar / Moon phase"&amp;"s - I’m happy with everything...")</f>
        <v>Working for the 3rd month. No complaints. I placed the sensor next to the station - the readings were the same! It’s a pity, there are no additional sensors in the store, I will purchase them separately (supports up to 3 sensors). The forecast so far predicted with a probability of 80-90%. Energizer immediately supplied the batteries; I’ll buy lithium ones for the external sensor(s) for the winter. The screen is clearly visible (standing on the table). The external sensor transmits data perfectly through 2 concrete walls at a distance of 4-5 meters. I would never have thought that the apartment was so dry - 2% humidity. I set the pressure in millibars - it’s intuitively easier to understand or multiply by 0.75)) Clock / Alarm clock / Calendar / Moon phases - I’m happy with everything...</v>
      </c>
    </row>
    <row r="3278" spans="1:9" x14ac:dyDescent="0.3">
      <c r="A3278" s="1" t="s">
        <v>120</v>
      </c>
      <c r="B3278" s="1" t="s">
        <v>256</v>
      </c>
      <c r="C3278" s="1" t="s">
        <v>69</v>
      </c>
      <c r="D3278" s="1" t="s">
        <v>471</v>
      </c>
      <c r="E3278" s="1" t="s">
        <v>1228</v>
      </c>
      <c r="F3278" s="1" t="s">
        <v>6000</v>
      </c>
      <c r="G3278" s="1" t="s">
        <v>36</v>
      </c>
      <c r="H3278" s="1" t="s">
        <v>29</v>
      </c>
      <c r="I3278" s="1" t="str">
        <f ca="1">IFERROR(__xludf.DUMMYFUNCTION("GOOGLETRANSLATE(F3278, ""auto"", ""en"")
"),"The design is simply excellent, like most Philips TVs. Very stylish! The image did not disappoint, the picture is pleasing. Simplicity, clarity, conciseness of Quick start settings. Surround sound. My family liked this purchase)).")</f>
        <v>The design is simply excellent, like most Philips TVs. Very stylish! The image did not disappoint, the picture is pleasing. Simplicity, clarity, conciseness of Quick start settings. Surround sound. My family liked this purchase)).</v>
      </c>
    </row>
    <row r="3279" spans="1:9" x14ac:dyDescent="0.3">
      <c r="A3279" s="1" t="s">
        <v>105</v>
      </c>
      <c r="B3279" s="1" t="s">
        <v>106</v>
      </c>
      <c r="C3279" s="1" t="s">
        <v>107</v>
      </c>
      <c r="D3279" s="1" t="s">
        <v>682</v>
      </c>
      <c r="E3279" s="1" t="s">
        <v>6001</v>
      </c>
      <c r="F3279" s="1" t="s">
        <v>6002</v>
      </c>
      <c r="G3279" s="1" t="s">
        <v>36</v>
      </c>
      <c r="H3279" s="1" t="s">
        <v>29</v>
      </c>
      <c r="I3279" s="1" t="str">
        <f ca="1">IFERROR(__xludf.DUMMYFUNCTION("GOOGLETRANSLATE(F3279, ""auto"", ""en"")
"),"The player is very good, I have been using it for more than a year.   It's convenient that you don't need to convert movies. The only downsides I can highlight are the dust that accumulates under the screen protection and the lack of a watch. And the play"&amp;"er is perfect!!!!")</f>
        <v>The player is very good, I have been using it for more than a year.   It's convenient that you don't need to convert movies. The only downsides I can highlight are the dust that accumulates under the screen protection and the lack of a watch. And the player is perfect!!!!</v>
      </c>
    </row>
    <row r="3280" spans="1:9" x14ac:dyDescent="0.3">
      <c r="A3280" s="1" t="s">
        <v>9</v>
      </c>
      <c r="B3280" s="1" t="s">
        <v>10</v>
      </c>
      <c r="C3280" s="1" t="s">
        <v>466</v>
      </c>
      <c r="D3280" s="1" t="s">
        <v>102</v>
      </c>
      <c r="E3280" s="1" t="s">
        <v>666</v>
      </c>
      <c r="F3280" s="1" t="s">
        <v>6003</v>
      </c>
      <c r="G3280" s="1" t="s">
        <v>36</v>
      </c>
      <c r="H3280" s="1" t="s">
        <v>29</v>
      </c>
      <c r="I3280" s="1" t="str">
        <f ca="1">IFERROR(__xludf.DUMMYFUNCTION("GOOGLETRANSLATE(F3280, ""auto"", ""en"")
"),"I love to cook. Sometimes all burners and oven work. Dukhan is unreal. The kitchen is 12 m2 and there is no ventilation. The question arose about purchasing a range hood. The M.video store recommended this model. It copes 100%. I didn't even expect such a"&amp;" result. It has 2 motors - higher power than its analogues. And, as M.video assured me, they always have carbon filters for these models - you don’t have to remove the pipe. Important, in my case!")</f>
        <v>I love to cook. Sometimes all burners and oven work. Dukhan is unreal. The kitchen is 12 m2 and there is no ventilation. The question arose about purchasing a range hood. The M.video store recommended this model. It copes 100%. I didn't even expect such a result. It has 2 motors - higher power than its analogues. And, as M.video assured me, they always have carbon filters for these models - you don’t have to remove the pipe. Important, in my case!</v>
      </c>
    </row>
    <row r="3281" spans="1:9" x14ac:dyDescent="0.3">
      <c r="A3281" s="1" t="s">
        <v>9</v>
      </c>
      <c r="B3281" s="1" t="s">
        <v>23</v>
      </c>
      <c r="C3281" s="1" t="s">
        <v>870</v>
      </c>
      <c r="D3281" s="1" t="s">
        <v>6004</v>
      </c>
      <c r="E3281" s="1" t="s">
        <v>3794</v>
      </c>
      <c r="F3281" s="1" t="s">
        <v>6005</v>
      </c>
      <c r="G3281" s="1" t="s">
        <v>49</v>
      </c>
      <c r="H3281" s="1" t="s">
        <v>16</v>
      </c>
      <c r="I3281" s="1" t="str">
        <f ca="1">IFERROR(__xludf.DUMMYFUNCTION("GOOGLETRANSLATE(F3281, ""auto"", ""en"")
"),"I bought this device six months ago, and problems began with the programs, first the electronic valve filter failed, then the programs froze completely, I couldn’t get out of repairs, but they said that the company was good. I also bought a washing machin"&amp;"e from this company, it hasn’t broken yet, I’m waiting. I used to have a Samsung, I used it for seven years, no problems, I installed it in my dacha.")</f>
        <v>I bought this device six months ago, and problems began with the programs, first the electronic valve filter failed, then the programs froze completely, I couldn’t get out of repairs, but they said that the company was good. I also bought a washing machine from this company, it hasn’t broken yet, I’m waiting. I used to have a Samsung, I used it for seven years, no problems, I installed it in my dacha.</v>
      </c>
    </row>
    <row r="3282" spans="1:9" x14ac:dyDescent="0.3">
      <c r="A3282" s="1" t="s">
        <v>61</v>
      </c>
      <c r="B3282" s="1" t="s">
        <v>318</v>
      </c>
      <c r="C3282" s="1" t="s">
        <v>57</v>
      </c>
      <c r="D3282" s="1" t="s">
        <v>471</v>
      </c>
      <c r="E3282" s="1" t="s">
        <v>2280</v>
      </c>
      <c r="F3282" s="1" t="s">
        <v>6006</v>
      </c>
      <c r="G3282" s="1" t="s">
        <v>15</v>
      </c>
      <c r="H3282" s="1" t="s">
        <v>16</v>
      </c>
      <c r="I3282" s="1" t="str">
        <f ca="1">IFERROR(__xludf.DUMMYFUNCTION("GOOGLETRANSLATE(F3282, ""auto"", ""en"")
"),"We have been using it, or rather we have been using it, for 2 years.   Among the advantages are the beautiful design and lighting (especially as a night light :).   Disadvantages....After 6 months of use, the lid mysteriously stopped closing all the way, "&amp;"and it became necessary to turn off the kettle manually (it simply turned into a glowing boiler). The store refused to exchange it, and they also refused to accept it back...After 2 years, it also stopped boiling, the backlight is on both blue and red...a"&amp;"pparently he prefers the role of a lamp (((Who needs a stylized lamp for the kitchen - go ahead and buy it!")</f>
        <v>We have been using it, or rather we have been using it, for 2 years.   Among the advantages are the beautiful design and lighting (especially as a night light :).   Disadvantages....After 6 months of use, the lid mysteriously stopped closing all the way, and it became necessary to turn off the kettle manually (it simply turned into a glowing boiler). The store refused to exchange it, and they also refused to accept it back...After 2 years, it also stopped boiling, the backlight is on both blue and red...apparently he prefers the role of a lamp (((Who needs a stylized lamp for the kitchen - go ahead and buy it!</v>
      </c>
    </row>
    <row r="3283" spans="1:9" x14ac:dyDescent="0.3">
      <c r="A3283" s="1" t="s">
        <v>9</v>
      </c>
      <c r="B3283" s="1" t="s">
        <v>23</v>
      </c>
      <c r="C3283" s="1" t="s">
        <v>63</v>
      </c>
      <c r="D3283" s="1" t="s">
        <v>642</v>
      </c>
      <c r="E3283" s="1" t="s">
        <v>6007</v>
      </c>
      <c r="F3283" s="1" t="s">
        <v>6008</v>
      </c>
      <c r="G3283" s="1" t="s">
        <v>36</v>
      </c>
      <c r="H3283" s="1" t="s">
        <v>29</v>
      </c>
      <c r="I3283" s="1" t="str">
        <f ca="1">IFERROR(__xludf.DUMMYFUNCTION("GOOGLETRANSLATE(F3283, ""auto"", ""en"")
"),"I was choosing and pricing for about two months. This is my first dishwasher. But I am very pleased! It works very quietly... there are many programs, there is a half load, which shortens the program time. The shortest is 30 minutes. There is simply rinsi"&amp;"ng of dishes. And most importantly, it fits a lot of dishes. I use finish tablets. Haven't tried others. Everything is perfectly clean, without smudges or stains.")</f>
        <v>I was choosing and pricing for about two months. This is my first dishwasher. But I am very pleased! It works very quietly... there are many programs, there is a half load, which shortens the program time. The shortest is 30 minutes. There is simply rinsing of dishes. And most importantly, it fits a lot of dishes. I use finish tablets. Haven't tried others. Everything is perfectly clean, without smudges or stains.</v>
      </c>
    </row>
    <row r="3284" spans="1:9" x14ac:dyDescent="0.3">
      <c r="A3284" s="1" t="s">
        <v>55</v>
      </c>
      <c r="B3284" s="1" t="s">
        <v>184</v>
      </c>
      <c r="C3284" s="1" t="s">
        <v>101</v>
      </c>
      <c r="D3284" s="1" t="s">
        <v>545</v>
      </c>
      <c r="E3284" s="1" t="s">
        <v>5998</v>
      </c>
      <c r="F3284" s="1" t="s">
        <v>6009</v>
      </c>
      <c r="G3284" s="1" t="s">
        <v>36</v>
      </c>
      <c r="H3284" s="1" t="s">
        <v>29</v>
      </c>
      <c r="I3284" s="1" t="str">
        <f ca="1">IFERROR(__xludf.DUMMYFUNCTION("GOOGLETRANSLATE(F3284, ""auto"", ""en"")
"),"It warms up great. It makes little noise, I would say, soothingly. In addition, we have very high humidity in the room. He copes with this with a bang. I highly recommend it! Another huge plus is that it takes up little space.")</f>
        <v>It warms up great. It makes little noise, I would say, soothingly. In addition, we have very high humidity in the room. He copes with this with a bang. I highly recommend it! Another huge plus is that it takes up little space.</v>
      </c>
    </row>
    <row r="3285" spans="1:9" x14ac:dyDescent="0.3">
      <c r="A3285" s="1" t="s">
        <v>61</v>
      </c>
      <c r="B3285" s="1" t="s">
        <v>318</v>
      </c>
      <c r="C3285" s="1" t="s">
        <v>57</v>
      </c>
      <c r="D3285" s="1" t="s">
        <v>295</v>
      </c>
      <c r="E3285" s="1" t="s">
        <v>2328</v>
      </c>
      <c r="F3285" s="1" t="s">
        <v>6010</v>
      </c>
      <c r="G3285" s="1" t="s">
        <v>28</v>
      </c>
      <c r="H3285" s="1" t="s">
        <v>29</v>
      </c>
      <c r="I3285" s="1" t="str">
        <f ca="1">IFERROR(__xludf.DUMMYFUNCTION("GOOGLETRANSLATE(F3285, ""auto"", ""en"")
"),"The kettle is 2 years old, happy!  half a year ago the lid fell off and the metal paint peeled off.  And so everything works, we’ll buy Vitek again.")</f>
        <v>The kettle is 2 years old, happy!  half a year ago the lid fell off and the metal paint peeled off.  And so everything works, we’ll buy Vitek again.</v>
      </c>
    </row>
    <row r="3286" spans="1:9" x14ac:dyDescent="0.3">
      <c r="A3286" s="1" t="s">
        <v>206</v>
      </c>
      <c r="B3286" s="1" t="s">
        <v>261</v>
      </c>
      <c r="C3286" s="1" t="s">
        <v>351</v>
      </c>
      <c r="D3286" s="1" t="s">
        <v>39</v>
      </c>
      <c r="E3286" s="1" t="s">
        <v>346</v>
      </c>
      <c r="F3286" s="1" t="s">
        <v>6011</v>
      </c>
      <c r="G3286" s="1" t="s">
        <v>36</v>
      </c>
      <c r="H3286" s="1" t="s">
        <v>29</v>
      </c>
      <c r="I3286" s="1" t="str">
        <f ca="1">IFERROR(__xludf.DUMMYFUNCTION("GOOGLETRANSLATE(F3286, ""auto"", ""en"")
"),"What you need to connect any amplifier. Thick wires are the most important thing. And don’t forget to buy a 100uF capacitor per 100 watts of output power.")</f>
        <v>What you need to connect any amplifier. Thick wires are the most important thing. And don’t forget to buy a 100uF capacitor per 100 watts of output power.</v>
      </c>
    </row>
    <row r="3287" spans="1:9" x14ac:dyDescent="0.3">
      <c r="A3287" s="1" t="s">
        <v>30</v>
      </c>
      <c r="B3287" s="1" t="s">
        <v>50</v>
      </c>
      <c r="C3287" s="1" t="s">
        <v>151</v>
      </c>
      <c r="D3287" s="1" t="s">
        <v>152</v>
      </c>
      <c r="E3287" s="1" t="s">
        <v>6012</v>
      </c>
      <c r="F3287" s="1" t="s">
        <v>6013</v>
      </c>
      <c r="G3287" s="1" t="s">
        <v>28</v>
      </c>
      <c r="H3287" s="1" t="s">
        <v>29</v>
      </c>
      <c r="I3287" s="1" t="str">
        <f ca="1">IFERROR(__xludf.DUMMYFUNCTION("GOOGLETRANSLATE(F3287, ""auto"", ""en"")
"),"According to its characteristics, the laptop is excellent for this price!  I’m a little disappointed in the video card (after changing Vista to XP, I began to detect only 256 videos) (there were no problems finding firewood, everything is on the official "&amp;"website) after 2 weeks of use, abrasions became visible on the right side of the touchpad (cracked into paint), think another month or 2 and you’ll have to do airbrushing........ in general, the internal surface wears off very quickly!  The beech is very "&amp;"quiet, the battery lasts for an hour and a half on games, on text programs, on Photoshop it lasts for 3.5 - 4.5 hours (pretty good)")</f>
        <v>According to its characteristics, the laptop is excellent for this price!  I’m a little disappointed in the video card (after changing Vista to XP, I began to detect only 256 videos) (there were no problems finding firewood, everything is on the official website) after 2 weeks of use, abrasions became visible on the right side of the touchpad (cracked into paint), think another month or 2 and you’ll have to do airbrushing........ in general, the internal surface wears off very quickly!  The beech is very quiet, the battery lasts for an hour and a half on games, on text programs, on Photoshop it lasts for 3.5 - 4.5 hours (pretty good)</v>
      </c>
    </row>
    <row r="3288" spans="1:9" x14ac:dyDescent="0.3">
      <c r="A3288" s="1" t="s">
        <v>111</v>
      </c>
      <c r="B3288" s="1" t="s">
        <v>636</v>
      </c>
      <c r="C3288" s="1" t="s">
        <v>637</v>
      </c>
      <c r="D3288" s="1" t="s">
        <v>280</v>
      </c>
      <c r="E3288" s="1" t="s">
        <v>118</v>
      </c>
      <c r="F3288" s="1" t="s">
        <v>6014</v>
      </c>
      <c r="G3288" s="1" t="s">
        <v>28</v>
      </c>
      <c r="H3288" s="1" t="s">
        <v>29</v>
      </c>
      <c r="I3288" s="1" t="str">
        <f ca="1">IFERROR(__xludf.DUMMYFUNCTION("GOOGLETRANSLATE(F3288, ""auto"", ""en"")
"),"It is necessary to take into account that this weather station has measurements of atmospheric pressure and moon phase (not specified in the specification).  A significant disadvantage is that the pressure is indicated in inches of mercury, and not in our"&amp;" customary millimeters.  To get the result in millimeters, you have to multiply the indicator by 25.")</f>
        <v>It is necessary to take into account that this weather station has measurements of atmospheric pressure and moon phase (not specified in the specification).  A significant disadvantage is that the pressure is indicated in inches of mercury, and not in our customary millimeters.  To get the result in millimeters, you have to multiply the indicator by 25.</v>
      </c>
    </row>
    <row r="3289" spans="1:9" x14ac:dyDescent="0.3">
      <c r="A3289" s="1" t="s">
        <v>105</v>
      </c>
      <c r="B3289" s="1" t="s">
        <v>106</v>
      </c>
      <c r="C3289" s="1" t="s">
        <v>151</v>
      </c>
      <c r="D3289" s="1" t="s">
        <v>6015</v>
      </c>
      <c r="E3289" s="1" t="s">
        <v>2874</v>
      </c>
      <c r="F3289" s="1" t="s">
        <v>6016</v>
      </c>
      <c r="G3289" s="1" t="s">
        <v>36</v>
      </c>
      <c r="H3289" s="1" t="s">
        <v>29</v>
      </c>
      <c r="I3289" s="1" t="str">
        <f ca="1">IFERROR(__xludf.DUMMYFUNCTION("GOOGLETRANSLATE(F3289, ""auto"", ""en"")
"),"Very cheerful player. I took it 3 months ago. Believe me, you won’t find anything better, except perhaps from analogues from Sony. The sound quality and volume are simply 10+++. The headphones are simply super, even the demo ones produce very good sound. "&amp;"Believe me.... I tried so many headphones from different companies in the price range of 300-1.5k, the competition was only with sinhizers. And this is wow, how cool, isn’t it? It looks stylish, it won’t be awkward to take out on public transport, on the "&amp;"contrary, it will increase your prestige ala vert :) The touch clearly responds to commands, bright backlighting, convenient menu, there is a keyboard block. The battery lasts for me personally for 5 days. Basically, I listen to music for 3 hours a day, w"&amp;"hen I go to school and during the rest of the day :) It’s completely worth the money. Who needs a device to listen to their favorite music, let's take it!")</f>
        <v>Very cheerful player. I took it 3 months ago. Believe me, you won’t find anything better, except perhaps from analogues from Sony. The sound quality and volume are simply 10+++. The headphones are simply super, even the demo ones produce very good sound. Believe me.... I tried so many headphones from different companies in the price range of 300-1.5k, the competition was only with sinhizers. And this is wow, how cool, isn’t it? It looks stylish, it won’t be awkward to take out on public transport, on the contrary, it will increase your prestige ala vert :) The touch clearly responds to commands, bright backlighting, convenient menu, there is a keyboard block. The battery lasts for me personally for 5 days. Basically, I listen to music for 3 hours a day, when I go to school and during the rest of the day :) It’s completely worth the money. Who needs a device to listen to their favorite music, let's take it!</v>
      </c>
    </row>
    <row r="3290" spans="1:9" x14ac:dyDescent="0.3">
      <c r="A3290" s="1" t="s">
        <v>105</v>
      </c>
      <c r="B3290" s="1" t="s">
        <v>106</v>
      </c>
      <c r="C3290" s="1" t="s">
        <v>1209</v>
      </c>
      <c r="D3290" s="1" t="s">
        <v>6017</v>
      </c>
      <c r="E3290" s="1" t="s">
        <v>1866</v>
      </c>
      <c r="F3290" s="1" t="s">
        <v>6018</v>
      </c>
      <c r="G3290" s="1" t="s">
        <v>36</v>
      </c>
      <c r="H3290" s="1" t="s">
        <v>29</v>
      </c>
      <c r="I3290" s="1" t="str">
        <f ca="1">IFERROR(__xludf.DUMMYFUNCTION("GOOGLETRANSLATE(F3290, ""auto"", ""en"")
"),"Initially I went for another player, but in the end I bought this one - I was interested in the opportunity to watch TV in the country at the same price of the player. I am satisfied with the purchase, the quality of music is 5, video is 5, TV is 4.")</f>
        <v>Initially I went for another player, but in the end I bought this one - I was interested in the opportunity to watch TV in the country at the same price of the player. I am satisfied with the purchase, the quality of music is 5, video is 5, TV is 4.</v>
      </c>
    </row>
    <row r="3291" spans="1:9" x14ac:dyDescent="0.3">
      <c r="A3291" s="1" t="s">
        <v>2087</v>
      </c>
      <c r="B3291" s="1" t="s">
        <v>2088</v>
      </c>
      <c r="C3291" s="1" t="s">
        <v>4545</v>
      </c>
      <c r="D3291" s="1" t="s">
        <v>295</v>
      </c>
      <c r="E3291" s="1" t="s">
        <v>3567</v>
      </c>
      <c r="F3291" s="1" t="s">
        <v>6019</v>
      </c>
      <c r="G3291" s="1" t="s">
        <v>15</v>
      </c>
      <c r="H3291" s="1" t="s">
        <v>16</v>
      </c>
      <c r="I3291" s="1" t="str">
        <f ca="1">IFERROR(__xludf.DUMMYFUNCTION("GOOGLETRANSLATE(F3291, ""auto"", ""en"")
"),"Doesn't read in SRT subtitle format. It's in the instructions. I didn't know. I bought it so I could read everything. There are films that can only be watched with subtitles.   The menu font is too small.   To change the screen resolution you need to comp"&amp;"letely stop viewing, return to the menu and configure... I don’t like it, there is no joy from the purchase.")</f>
        <v>Doesn't read in SRT subtitle format. It's in the instructions. I didn't know. I bought it so I could read everything. There are films that can only be watched with subtitles.   The menu font is too small.   To change the screen resolution you need to completely stop viewing, return to the menu and configure... I don’t like it, there is no joy from the purchase.</v>
      </c>
    </row>
    <row r="3292" spans="1:9" x14ac:dyDescent="0.3">
      <c r="A3292" s="1" t="s">
        <v>55</v>
      </c>
      <c r="B3292" s="1" t="s">
        <v>56</v>
      </c>
      <c r="C3292" s="1" t="s">
        <v>1373</v>
      </c>
      <c r="D3292" s="1" t="s">
        <v>228</v>
      </c>
      <c r="E3292" s="1" t="s">
        <v>4763</v>
      </c>
      <c r="F3292" s="1" t="s">
        <v>6020</v>
      </c>
      <c r="G3292" s="1" t="s">
        <v>28</v>
      </c>
      <c r="H3292" s="1" t="s">
        <v>29</v>
      </c>
      <c r="I3292" s="1" t="str">
        <f ca="1">IFERROR(__xludf.DUMMYFUNCTION("GOOGLETRANSLATE(F3292, ""auto"", ""en"")
"),"We purchased a Boneco 7135 humidifier a week ago; we read from reviews that it takes 1-2 days of operation of the device to achieve the required humidity in the apartment. We concluded that after almost continuous operation of the humidifier, the required"&amp;" power for our apartment is not enough; when the doors of the room (about 30 m2) are closed, it is stuffy and the humidity rises to a maximum of 35%; when open, drafts begin and the humidity remains at a minimum of 25-26%. I would like to add that we stil"&amp;"l felt the benefits; we can breathe easier, the air is noticeably softer to breathe. Initially we thought about how to test the device, we locked it in the bathroom, after 15 minutes the humidity was already 50%. :)")</f>
        <v>We purchased a Boneco 7135 humidifier a week ago; we read from reviews that it takes 1-2 days of operation of the device to achieve the required humidity in the apartment. We concluded that after almost continuous operation of the humidifier, the required power for our apartment is not enough; when the doors of the room (about 30 m2) are closed, it is stuffy and the humidity rises to a maximum of 35%; when open, drafts begin and the humidity remains at a minimum of 25-26%. I would like to add that we still felt the benefits; we can breathe easier, the air is noticeably softer to breathe. Initially we thought about how to test the device, we locked it in the bathroom, after 15 minutes the humidity was already 50%. :)</v>
      </c>
    </row>
    <row r="3293" spans="1:9" x14ac:dyDescent="0.3">
      <c r="A3293" s="1" t="s">
        <v>105</v>
      </c>
      <c r="B3293" s="1" t="s">
        <v>106</v>
      </c>
      <c r="C3293" s="1" t="s">
        <v>97</v>
      </c>
      <c r="D3293" s="1" t="s">
        <v>875</v>
      </c>
      <c r="E3293" s="1" t="s">
        <v>6021</v>
      </c>
      <c r="F3293" s="1" t="s">
        <v>6022</v>
      </c>
      <c r="G3293" s="1" t="s">
        <v>28</v>
      </c>
      <c r="H3293" s="1" t="s">
        <v>29</v>
      </c>
      <c r="I3293" s="1" t="str">
        <f ca="1">IFERROR(__xludf.DUMMYFUNCTION("GOOGLETRANSLATE(F3293, ""auto"", ""en"")
"),"The player is not bad at all for its price. A volume of 2 GB is sure enough for a week (well, to each his own))). The sound is at a high level, but what else would you expect from a walkman.   The output signal level is high, it plays quite loudly on head"&amp;"phones with 70 Ohms, taking into account that they are closed in daytime traffic, I don’t hear too much))) it takes up space in your pocket, like a lighter, and it weighs little. The charge lasts for 10 hours at high volume.   Regarding the two buttons) t"&amp;"hey are quite convenient) the first is bass, with one click it adds low frequencies to the track. if suddenly a “heavy” track starts, then in order to protect your delicate brain from concussions, you can easily turn them down) the second is zappin. cool "&amp;"thing) scrolls through all the tracks and plays 4 seconds of each with 25% of the total duration) it’s fun to play “guess the melody” on the street) so you can easily find a track that you would like to listen to with 2 clicks) for the less hardcore there"&amp;" is a mode for about 10 seconds. Like a voice recorder... better buy a voice recorder) the radio doesn’t pick up very well either.  It doesn’t want to work as a disk drive for me yet, I hope that this is just for now))) in general, the player performs all"&amp;" the functions of a player at a pleasant level, and not at all for a lot of money) if you want to listen to music, “walk to the rhythm,” and not carry a hefty display in your back pocket, then this is for you)")</f>
        <v>The player is not bad at all for its price. A volume of 2 GB is sure enough for a week (well, to each his own))). The sound is at a high level, but what else would you expect from a walkman.   The output signal level is high, it plays quite loudly on headphones with 70 Ohms, taking into account that they are closed in daytime traffic, I don’t hear too much))) it takes up space in your pocket, like a lighter, and it weighs little. The charge lasts for 10 hours at high volume.   Regarding the two buttons) they are quite convenient) the first is bass, with one click it adds low frequencies to the track. if suddenly a “heavy” track starts, then in order to protect your delicate brain from concussions, you can easily turn them down) the second is zappin. cool thing) scrolls through all the tracks and plays 4 seconds of each with 25% of the total duration) it’s fun to play “guess the melody” on the street) so you can easily find a track that you would like to listen to with 2 clicks) for the less hardcore there is a mode for about 10 seconds. Like a voice recorder... better buy a voice recorder) the radio doesn’t pick up very well either.  It doesn’t want to work as a disk drive for me yet, I hope that this is just for now))) in general, the player performs all the functions of a player at a pleasant level, and not at all for a lot of money) if you want to listen to music, “walk to the rhythm,” and not carry a hefty display in your back pocket, then this is for you)</v>
      </c>
    </row>
    <row r="3294" spans="1:9" x14ac:dyDescent="0.3">
      <c r="A3294" s="1" t="s">
        <v>61</v>
      </c>
      <c r="B3294" s="1" t="s">
        <v>180</v>
      </c>
      <c r="C3294" s="1" t="s">
        <v>63</v>
      </c>
      <c r="D3294" s="1" t="s">
        <v>305</v>
      </c>
      <c r="E3294" s="1" t="s">
        <v>760</v>
      </c>
      <c r="F3294" s="1" t="s">
        <v>6023</v>
      </c>
      <c r="G3294" s="1" t="s">
        <v>28</v>
      </c>
      <c r="H3294" s="1" t="s">
        <v>29</v>
      </c>
      <c r="I3294" s="1" t="str">
        <f ca="1">IFERROR(__xludf.DUMMYFUNCTION("GOOGLETRANSLATE(F3294, ""auto"", ""en"")
"),"A toaster is like a toaster. Nothing to add. My wife asked, I bought it. It will play for a couple of months, then it will go into the collection of “necessary” things - a slow cooker, a blender, etc.")</f>
        <v>A toaster is like a toaster. Nothing to add. My wife asked, I bought it. It will play for a couple of months, then it will go into the collection of “necessary” things - a slow cooker, a blender, etc.</v>
      </c>
    </row>
    <row r="3295" spans="1:9" x14ac:dyDescent="0.3">
      <c r="A3295" s="1" t="s">
        <v>211</v>
      </c>
      <c r="B3295" s="1" t="s">
        <v>384</v>
      </c>
      <c r="C3295" s="1" t="s">
        <v>63</v>
      </c>
      <c r="D3295" s="1" t="s">
        <v>6024</v>
      </c>
      <c r="E3295" s="1" t="s">
        <v>4710</v>
      </c>
      <c r="F3295" s="1" t="s">
        <v>6025</v>
      </c>
      <c r="G3295" s="1" t="s">
        <v>36</v>
      </c>
      <c r="H3295" s="1" t="s">
        <v>29</v>
      </c>
      <c r="I3295" s="1" t="str">
        <f ca="1">IFERROR(__xludf.DUMMYFUNCTION("GOOGLETRANSLATE(F3295, ""auto"", ""en"")
"),"The scales are excellent, accurate, we have been using them for 2.5 years now, no complaints. To turn them on you need to tap them with your foot, but I don’t see any difficulties in this. I hope they will serve us for a long time.")</f>
        <v>The scales are excellent, accurate, we have been using them for 2.5 years now, no complaints. To turn them on you need to tap them with your foot, but I don’t see any difficulties in this. I hope they will serve us for a long time.</v>
      </c>
    </row>
    <row r="3296" spans="1:9" x14ac:dyDescent="0.3">
      <c r="A3296" s="1" t="s">
        <v>37</v>
      </c>
      <c r="B3296" s="1" t="s">
        <v>536</v>
      </c>
      <c r="C3296" s="1" t="s">
        <v>189</v>
      </c>
      <c r="D3296" s="1" t="s">
        <v>52</v>
      </c>
      <c r="E3296" s="1" t="s">
        <v>1384</v>
      </c>
      <c r="F3296" s="1" t="s">
        <v>6026</v>
      </c>
      <c r="G3296" s="1" t="s">
        <v>28</v>
      </c>
      <c r="H3296" s="1" t="s">
        <v>29</v>
      </c>
      <c r="I3296" s="1" t="str">
        <f ca="1">IFERROR(__xludf.DUMMYFUNCTION("GOOGLETRANSLATE(F3296, ""auto"", ""en"")
"),"Great stuff! But if it was 8GB and the battery capacity was larger, it would be good!")</f>
        <v>Great stuff! But if it was 8GB and the battery capacity was larger, it would be good!</v>
      </c>
    </row>
    <row r="3297" spans="1:9" x14ac:dyDescent="0.3">
      <c r="A3297" s="1" t="s">
        <v>120</v>
      </c>
      <c r="B3297" s="1" t="s">
        <v>121</v>
      </c>
      <c r="C3297" s="1" t="s">
        <v>151</v>
      </c>
      <c r="D3297" s="1" t="s">
        <v>749</v>
      </c>
      <c r="E3297" s="1" t="s">
        <v>3184</v>
      </c>
      <c r="F3297" s="1" t="s">
        <v>6027</v>
      </c>
      <c r="G3297" s="1" t="s">
        <v>36</v>
      </c>
      <c r="H3297" s="1" t="s">
        <v>29</v>
      </c>
      <c r="I3297" s="1" t="str">
        <f ca="1">IFERROR(__xludf.DUMMYFUNCTION("GOOGLETRANSLATE(F3297, ""auto"", ""en"")
"),"Excellent TV and player and the sound is also excellent. Settings - everything is accessible and understandable and I don’t notice anything unnecessary. I don't find any cons. I'm glad. One purchase and the issue of the media player is solved. There is no"&amp;" point in describing the details - the TV is very excellent, I can’t even believe that this can happen")</f>
        <v>Excellent TV and player and the sound is also excellent. Settings - everything is accessible and understandable and I don’t notice anything unnecessary. I don't find any cons. I'm glad. One purchase and the issue of the media player is solved. There is no point in describing the details - the TV is very excellent, I can’t even believe that this can happen</v>
      </c>
    </row>
    <row r="3298" spans="1:9" x14ac:dyDescent="0.3">
      <c r="A3298" s="1" t="s">
        <v>61</v>
      </c>
      <c r="B3298" s="1" t="s">
        <v>726</v>
      </c>
      <c r="C3298" s="1" t="s">
        <v>85</v>
      </c>
      <c r="D3298" s="1" t="s">
        <v>64</v>
      </c>
      <c r="E3298" s="1" t="s">
        <v>6028</v>
      </c>
      <c r="F3298" s="1" t="s">
        <v>6029</v>
      </c>
      <c r="G3298" s="1" t="s">
        <v>28</v>
      </c>
      <c r="H3298" s="1" t="s">
        <v>29</v>
      </c>
      <c r="I3298" s="1" t="str">
        <f ca="1">IFERROR(__xludf.DUMMYFUNCTION("GOOGLETRANSLATE(F3298, ""auto"", ""en"")
"),"I have been using the stove for 3 years now. I am very pleased. I bake bread often and make dough for pies and pizza. I use recipes from books and the Internet. 99% everything works out. The only thing is that over time the Teflon on the form wore out and"&amp;" sometimes it began to creak, but I still love it and am grateful for the fresh bread! I plan to replace the uniform, fortunately it’s not difficult. Overall, a solid 4!")</f>
        <v>I have been using the stove for 3 years now. I am very pleased. I bake bread often and make dough for pies and pizza. I use recipes from books and the Internet. 99% everything works out. The only thing is that over time the Teflon on the form wore out and sometimes it began to creak, but I still love it and am grateful for the fresh bread! I plan to replace the uniform, fortunately it’s not difficult. Overall, a solid 4!</v>
      </c>
    </row>
    <row r="3299" spans="1:9" x14ac:dyDescent="0.3">
      <c r="A3299" s="1" t="s">
        <v>17</v>
      </c>
      <c r="B3299" s="1" t="s">
        <v>18</v>
      </c>
      <c r="C3299" s="1" t="s">
        <v>63</v>
      </c>
      <c r="D3299" s="1" t="s">
        <v>114</v>
      </c>
      <c r="E3299" s="1" t="s">
        <v>1529</v>
      </c>
      <c r="F3299" s="1" t="s">
        <v>6030</v>
      </c>
      <c r="G3299" s="1" t="s">
        <v>49</v>
      </c>
      <c r="H3299" s="1" t="s">
        <v>16</v>
      </c>
      <c r="I3299" s="1" t="str">
        <f ca="1">IFERROR(__xludf.DUMMYFUNCTION("GOOGLETRANSLATE(F3299, ""auto"", ""en"")
"),"The car is crap. Just like in the previous review, it broke down after 3.5 years. Water leaked from behind the cuff and then the block burned out. The cost of repairs is 15 thousand, so decide for yourself whether to buy into these expensive brands.")</f>
        <v>The car is crap. Just like in the previous review, it broke down after 3.5 years. Water leaked from behind the cuff and then the block burned out. The cost of repairs is 15 thousand, so decide for yourself whether to buy into these expensive brands.</v>
      </c>
    </row>
    <row r="3300" spans="1:9" x14ac:dyDescent="0.3">
      <c r="A3300" s="1" t="s">
        <v>557</v>
      </c>
      <c r="B3300" s="1" t="s">
        <v>1977</v>
      </c>
      <c r="C3300" s="1" t="s">
        <v>369</v>
      </c>
      <c r="D3300" s="1" t="s">
        <v>308</v>
      </c>
      <c r="E3300" s="1" t="s">
        <v>6031</v>
      </c>
      <c r="F3300" s="1" t="s">
        <v>6032</v>
      </c>
      <c r="G3300" s="1" t="s">
        <v>36</v>
      </c>
      <c r="H3300" s="1" t="s">
        <v>29</v>
      </c>
      <c r="I3300" s="1" t="str">
        <f ca="1">IFERROR(__xludf.DUMMYFUNCTION("GOOGLETRANSLATE(F3300, ""auto"", ""en"")
"),"The only phone powered by the telephone network (no need for a 220v network for Caller ID and other things), all the lighting, speakerphone, voice-activated caller ID are powered by the telephone network itself. In ten years it will save you the cost of t"&amp;"he device itself.     If it doesn’t work for you, look through the instructions and perform a “factory reset”, this is programmable electronics, and there are software failures. Reset the setting - everything works great!    This is the most reliable, bea"&amp;"utiful and unpretentious equipment in this segment, my small children have dropped it a hundred times, everything works very well.")</f>
        <v>The only phone powered by the telephone network (no need for a 220v network for Caller ID and other things), all the lighting, speakerphone, voice-activated caller ID are powered by the telephone network itself. In ten years it will save you the cost of the device itself.     If it doesn’t work for you, look through the instructions and perform a “factory reset”, this is programmable electronics, and there are software failures. Reset the setting - everything works great!    This is the most reliable, beautiful and unpretentious equipment in this segment, my small children have dropped it a hundred times, everything works very well.</v>
      </c>
    </row>
    <row r="3301" spans="1:9" x14ac:dyDescent="0.3">
      <c r="A3301" s="1" t="s">
        <v>67</v>
      </c>
      <c r="B3301" s="1" t="s">
        <v>340</v>
      </c>
      <c r="C3301" s="1" t="s">
        <v>341</v>
      </c>
      <c r="D3301" s="1" t="s">
        <v>46</v>
      </c>
      <c r="E3301" s="1" t="s">
        <v>1490</v>
      </c>
      <c r="F3301" s="1" t="s">
        <v>6033</v>
      </c>
      <c r="G3301" s="1" t="s">
        <v>94</v>
      </c>
      <c r="H3301" s="1" t="s">
        <v>29</v>
      </c>
      <c r="I3301" s="1" t="str">
        <f ca="1">IFERROR(__xludf.DUMMYFUNCTION("GOOGLETRANSLATE(F3301, ""auto"", ""en"")
"),"High quality, reliable. ")</f>
        <v xml:space="preserve">High quality, reliable. </v>
      </c>
    </row>
    <row r="3302" spans="1:9" x14ac:dyDescent="0.3">
      <c r="A3302" s="1" t="s">
        <v>369</v>
      </c>
      <c r="B3302" s="1" t="s">
        <v>587</v>
      </c>
      <c r="C3302" s="1" t="s">
        <v>290</v>
      </c>
      <c r="D3302" s="1" t="s">
        <v>247</v>
      </c>
      <c r="E3302" s="1" t="s">
        <v>1330</v>
      </c>
      <c r="F3302" s="1" t="s">
        <v>6034</v>
      </c>
      <c r="G3302" s="1" t="s">
        <v>36</v>
      </c>
      <c r="H3302" s="1" t="s">
        <v>29</v>
      </c>
      <c r="I3302" s="1" t="str">
        <f ca="1">IFERROR(__xludf.DUMMYFUNCTION("GOOGLETRANSLATE(F3302, ""auto"", ""en"")
"),"I chose this particular model a year ago and have not regretted it one bit. Very convenient dimensions - not big and not small. Everything is automatic. The oven cooks and bakes - you'll lick your fingers: you set the temperature and don't worry, because "&amp;"it will be constant + there is a timer on the stove that will always remind you! Cleans with a bang.")</f>
        <v>I chose this particular model a year ago and have not regretted it one bit. Very convenient dimensions - not big and not small. Everything is automatic. The oven cooks and bakes - you'll lick your fingers: you set the temperature and don't worry, because it will be constant + there is a timer on the stove that will always remind you! Cleans with a bang.</v>
      </c>
    </row>
    <row r="3303" spans="1:9" x14ac:dyDescent="0.3">
      <c r="A3303" s="1" t="s">
        <v>61</v>
      </c>
      <c r="B3303" s="1" t="s">
        <v>977</v>
      </c>
      <c r="C3303" s="1" t="s">
        <v>69</v>
      </c>
      <c r="D3303" s="1" t="s">
        <v>81</v>
      </c>
      <c r="E3303" s="1" t="s">
        <v>3813</v>
      </c>
      <c r="F3303" s="1" t="s">
        <v>6035</v>
      </c>
      <c r="G3303" s="1" t="s">
        <v>15</v>
      </c>
      <c r="H3303" s="1" t="s">
        <v>16</v>
      </c>
      <c r="I3303" s="1" t="str">
        <f ca="1">IFERROR(__xludf.DUMMYFUNCTION("GOOGLETRANSLATE(F3303, ""auto"", ""en"")
"),"We purchased this model in a company store, the design is stylish - stainless steel with durable rubber, the power is good, we crushed vegetables, cottage cheese and meat for 4 months, then the blender turned off for no reason. Cannot be repaired - non-de"&amp;"mountable body!")</f>
        <v>We purchased this model in a company store, the design is stylish - stainless steel with durable rubber, the power is good, we crushed vegetables, cottage cheese and meat for 4 months, then the blender turned off for no reason. Cannot be repaired - non-demountable body!</v>
      </c>
    </row>
    <row r="3304" spans="1:9" x14ac:dyDescent="0.3">
      <c r="A3304" s="1" t="s">
        <v>111</v>
      </c>
      <c r="B3304" s="1" t="s">
        <v>636</v>
      </c>
      <c r="C3304" s="1" t="s">
        <v>637</v>
      </c>
      <c r="D3304" s="1" t="s">
        <v>6036</v>
      </c>
      <c r="E3304" s="1" t="s">
        <v>3254</v>
      </c>
      <c r="F3304" s="1" t="s">
        <v>6037</v>
      </c>
      <c r="G3304" s="1" t="s">
        <v>15</v>
      </c>
      <c r="H3304" s="1" t="s">
        <v>16</v>
      </c>
      <c r="I3304" s="1" t="str">
        <f ca="1">IFERROR(__xludf.DUMMYFUNCTION("GOOGLETRANSLATE(F3304, ""auto"", ""en"")
"),"The station fundamentally incorrectly shows the air humidity in the room. It's always 2%, it doesn't happen! And it gives the temperature with an error of 7 degrees. We bought it to control the climate in a small child’s room, but the thing turned out to "&amp;"be useless. It’s strange that the authors of the above-published reviews did not notice these disadvantages; the Internet is full of reviews on other sites where the same shortcomings are mentioned. It's a pity I didn't read them earlier.")</f>
        <v>The station fundamentally incorrectly shows the air humidity in the room. It's always 2%, it doesn't happen! And it gives the temperature with an error of 7 degrees. We bought it to control the climate in a small child’s room, but the thing turned out to be useless. It’s strange that the authors of the above-published reviews did not notice these disadvantages; the Internet is full of reviews on other sites where the same shortcomings are mentioned. It's a pity I didn't read them earlier.</v>
      </c>
    </row>
    <row r="3305" spans="1:9" x14ac:dyDescent="0.3">
      <c r="A3305" s="1" t="s">
        <v>61</v>
      </c>
      <c r="B3305" s="1" t="s">
        <v>73</v>
      </c>
      <c r="C3305" s="1" t="s">
        <v>74</v>
      </c>
      <c r="D3305" s="1" t="s">
        <v>2217</v>
      </c>
      <c r="E3305" s="1" t="s">
        <v>6038</v>
      </c>
      <c r="F3305" s="1" t="s">
        <v>6039</v>
      </c>
      <c r="G3305" s="1" t="s">
        <v>36</v>
      </c>
      <c r="H3305" s="1" t="s">
        <v>29</v>
      </c>
      <c r="I3305" s="1" t="str">
        <f ca="1">IFERROR(__xludf.DUMMYFUNCTION("GOOGLETRANSLATE(F3305, ""auto"", ""en"")
"),"I bought a meat grinder about 5 years ago, this model only has options - graters, kebbe, with an attachment for cookies and cutlets, a citrus juicer (you need to put the device on the butt, etc. in the maximum configuration. To this day it works well (pah"&amp;"-pah). I made minced meat for two families of 50-60 kg (half a carcass of a bull), without any complaints. I wanted this device to give to my parents, in the store I was surprised, the strange plastic mount does not hold the nozzle, but dangles, the manag"&amp;"er explained that now everyone has the same mount and the insides are plastic, the choice at one time fell on it, because I took the assembly from France, but now it is not clear whose it is.")</f>
        <v>I bought a meat grinder about 5 years ago, this model only has options - graters, kebbe, with an attachment for cookies and cutlets, a citrus juicer (you need to put the device on the butt, etc. in the maximum configuration. To this day it works well (pah-pah). I made minced meat for two families of 50-60 kg (half a carcass of a bull), without any complaints. I wanted this device to give to my parents, in the store I was surprised, the strange plastic mount does not hold the nozzle, but dangles, the manager explained that now everyone has the same mount and the insides are plastic, the choice at one time fell on it, because I took the assembly from France, but now it is not clear whose it is.</v>
      </c>
    </row>
    <row r="3306" spans="1:9" x14ac:dyDescent="0.3">
      <c r="A3306" s="1" t="s">
        <v>169</v>
      </c>
      <c r="B3306" s="1" t="s">
        <v>170</v>
      </c>
      <c r="C3306" s="1" t="s">
        <v>193</v>
      </c>
      <c r="D3306" s="1" t="s">
        <v>78</v>
      </c>
      <c r="E3306" s="1" t="s">
        <v>3829</v>
      </c>
      <c r="F3306" s="1" t="s">
        <v>6040</v>
      </c>
      <c r="G3306" s="1" t="s">
        <v>36</v>
      </c>
      <c r="H3306" s="1" t="s">
        <v>29</v>
      </c>
      <c r="I3306" s="1" t="str">
        <f ca="1">IFERROR(__xludf.DUMMYFUNCTION("GOOGLETRANSLATE(F3306, ""auto"", ""en"")
"),"The sound is 5. Pay attention to the size at the back of the head before taking it.")</f>
        <v>The sound is 5. Pay attention to the size at the back of the head before taking it.</v>
      </c>
    </row>
    <row r="3307" spans="1:9" x14ac:dyDescent="0.3">
      <c r="A3307" s="1" t="s">
        <v>89</v>
      </c>
      <c r="B3307" s="1" t="s">
        <v>90</v>
      </c>
      <c r="C3307" s="1" t="s">
        <v>185</v>
      </c>
      <c r="D3307" s="1" t="s">
        <v>695</v>
      </c>
      <c r="E3307" s="1" t="s">
        <v>1982</v>
      </c>
      <c r="F3307" s="1" t="s">
        <v>6041</v>
      </c>
      <c r="G3307" s="1" t="s">
        <v>36</v>
      </c>
      <c r="H3307" s="1" t="s">
        <v>29</v>
      </c>
      <c r="I3307" s="1" t="str">
        <f ca="1">IFERROR(__xludf.DUMMYFUNCTION("GOOGLETRANSLATE(F3307, ""auto"", ""en"")
"),"Excellent coffee grinder, grinds very well, I haven’t seen any problems, I’m happy with the purchase!")</f>
        <v>Excellent coffee grinder, grinds very well, I haven’t seen any problems, I’m happy with the purchase!</v>
      </c>
    </row>
    <row r="3308" spans="1:9" x14ac:dyDescent="0.3">
      <c r="A3308" s="1" t="s">
        <v>61</v>
      </c>
      <c r="B3308" s="1" t="s">
        <v>180</v>
      </c>
      <c r="C3308" s="1" t="s">
        <v>74</v>
      </c>
      <c r="D3308" s="1" t="s">
        <v>6042</v>
      </c>
      <c r="E3308" s="1" t="s">
        <v>666</v>
      </c>
      <c r="F3308" s="1" t="s">
        <v>6043</v>
      </c>
      <c r="G3308" s="1" t="s">
        <v>28</v>
      </c>
      <c r="H3308" s="1" t="s">
        <v>29</v>
      </c>
      <c r="I3308" s="1" t="str">
        <f ca="1">IFERROR(__xludf.DUMMYFUNCTION("GOOGLETRANSLATE(F3308, ""auto"", ""en"")
"),"I’ve been using this device for 10 years now; I bought the first one in Europe on vacation. Both I and my guests really like the wonderful cheese sandwiches. No one has resisted yet. There were several models during this time: I bought them for myself, an"&amp;"d gave them to my parents. This particular model is very convenient with removable sandwich molds - easy to remove and wash and there are no other advantages, because the most important thing it does not provide is the most delicious product. The sandwich"&amp;"es in it are less tasty than in the other two models that I had, apparently the heating elements are located differently and the product just burns, you need to get used to it so that they don’t burn, the sandwiches dry out. Warming up happens differently"&amp;". If I didn’t know that it could be different, I would have thought that it should be so. It is a fact that other models taste better. Because having noticed this, I didn’t say anything about it to my brother, who was visiting me, but he also noticed that"&amp;" it wasn’t as tasty as the previous one and they were dry.  I have never cooked waffles - this addition turned out to be useless for me.  This particular one has been in service for three years and everything is intact.")</f>
        <v>I’ve been using this device for 10 years now; I bought the first one in Europe on vacation. Both I and my guests really like the wonderful cheese sandwiches. No one has resisted yet. There were several models during this time: I bought them for myself, and gave them to my parents. This particular model is very convenient with removable sandwich molds - easy to remove and wash and there are no other advantages, because the most important thing it does not provide is the most delicious product. The sandwiches in it are less tasty than in the other two models that I had, apparently the heating elements are located differently and the product just burns, you need to get used to it so that they don’t burn, the sandwiches dry out. Warming up happens differently. If I didn’t know that it could be different, I would have thought that it should be so. It is a fact that other models taste better. Because having noticed this, I didn’t say anything about it to my brother, who was visiting me, but he also noticed that it wasn’t as tasty as the previous one and they were dry.  I have never cooked waffles - this addition turned out to be useless for me.  This particular one has been in service for three years and everything is intact.</v>
      </c>
    </row>
    <row r="3309" spans="1:9" x14ac:dyDescent="0.3">
      <c r="A3309" s="1" t="s">
        <v>169</v>
      </c>
      <c r="B3309" s="1" t="s">
        <v>170</v>
      </c>
      <c r="C3309" s="1" t="s">
        <v>122</v>
      </c>
      <c r="D3309" s="1" t="s">
        <v>102</v>
      </c>
      <c r="E3309" s="1" t="s">
        <v>5831</v>
      </c>
      <c r="F3309" s="1" t="s">
        <v>6044</v>
      </c>
      <c r="G3309" s="1" t="s">
        <v>36</v>
      </c>
      <c r="H3309" s="1" t="s">
        <v>29</v>
      </c>
      <c r="I3309" s="1" t="str">
        <f ca="1">IFERROR(__xludf.DUMMYFUNCTION("GOOGLETRANSLATE(F3309, ""auto"", ""en"")
"),"I bought headphones a couple of days ago, spent a long time searching on the Internet, and visited many sites. But in the end, my eyes fell on these headphones, plus I got 500 rubles in bonuses, and of course it was the best choice of headphones for the p"&amp;"rice. They fit well on the head, excellent sound, I play on an electronic setup and now I connect these headphones, thanks to the length of the wire, it has become convenient to play, before I had to pull out another wire. The plastic is good, everything "&amp;"is solid. I hope they will serve you faithfully for a long time.")</f>
        <v>I bought headphones a couple of days ago, spent a long time searching on the Internet, and visited many sites. But in the end, my eyes fell on these headphones, plus I got 500 rubles in bonuses, and of course it was the best choice of headphones for the price. They fit well on the head, excellent sound, I play on an electronic setup and now I connect these headphones, thanks to the length of the wire, it has become convenient to play, before I had to pull out another wire. The plastic is good, everything is solid. I hope they will serve you faithfully for a long time.</v>
      </c>
    </row>
    <row r="3310" spans="1:9" x14ac:dyDescent="0.3">
      <c r="A3310" s="1" t="s">
        <v>61</v>
      </c>
      <c r="B3310" s="1" t="s">
        <v>1727</v>
      </c>
      <c r="C3310" s="1" t="s">
        <v>122</v>
      </c>
      <c r="D3310" s="1" t="s">
        <v>247</v>
      </c>
      <c r="E3310" s="1" t="s">
        <v>1529</v>
      </c>
      <c r="F3310" s="1" t="s">
        <v>6045</v>
      </c>
      <c r="G3310" s="1" t="s">
        <v>28</v>
      </c>
      <c r="H3310" s="1" t="s">
        <v>29</v>
      </c>
      <c r="I3310" s="1" t="str">
        <f ca="1">IFERROR(__xludf.DUMMYFUNCTION("GOOGLETRANSLATE(F3310, ""auto"", ""en"")
"),"Some write in their reviews that the multicooker comes with a bad recipe book. Friends, it’s easy to learn how to cook with a multicooker; you simply don’t need such a book. Does a regular stove come with a recipe book? I have been using this, dare I say "&amp;"it, magic pot for more than 1.5 years. I can't imagine cooking without it. My only regret is that I bought such a small one. For those who have problems cooking in the kitchen, this is just a godsend. Thanks to her, I fell in love with porridge. I even co"&amp;"ok them without milk. Corn, millet - just a fairy tale! But there are also disadvantages: the tefon coating is very delicate, it is scratched even with a standard plastic spoon, I use a bamboo one; there are few programs, their temperature is not clear, b"&amp;"ut you can adapt to this; It’s a bit difficult to clean the top cover; The rubber bands and filter smell of previously used spices even after washing, but this does not affect the taste and smell of subsequent dishes.")</f>
        <v>Some write in their reviews that the multicooker comes with a bad recipe book. Friends, it’s easy to learn how to cook with a multicooker; you simply don’t need such a book. Does a regular stove come with a recipe book? I have been using this, dare I say it, magic pot for more than 1.5 years. I can't imagine cooking without it. My only regret is that I bought such a small one. For those who have problems cooking in the kitchen, this is just a godsend. Thanks to her, I fell in love with porridge. I even cook them without milk. Corn, millet - just a fairy tale! But there are also disadvantages: the tefon coating is very delicate, it is scratched even with a standard plastic spoon, I use a bamboo one; there are few programs, their temperature is not clear, but you can adapt to this; It’s a bit difficult to clean the top cover; The rubber bands and filter smell of previously used spices even after washing, but this does not affect the taste and smell of subsequent dishes.</v>
      </c>
    </row>
    <row r="3311" spans="1:9" x14ac:dyDescent="0.3">
      <c r="A3311" s="1" t="s">
        <v>120</v>
      </c>
      <c r="B3311" s="1" t="s">
        <v>121</v>
      </c>
      <c r="C3311" s="1" t="s">
        <v>151</v>
      </c>
      <c r="D3311" s="1" t="s">
        <v>6046</v>
      </c>
      <c r="E3311" s="1" t="s">
        <v>1321</v>
      </c>
      <c r="F3311" s="1" t="s">
        <v>6047</v>
      </c>
      <c r="G3311" s="1" t="s">
        <v>36</v>
      </c>
      <c r="H3311" s="1" t="s">
        <v>29</v>
      </c>
      <c r="I3311" s="1" t="str">
        <f ca="1">IFERROR(__xludf.DUMMYFUNCTION("GOOGLETRANSLATE(F3311, ""auto"", ""en"")
"),"All I can say is that it’s a Super TV and nothing more, simple, convenient, high quality, the picture is good, if you set it up properly.")</f>
        <v>All I can say is that it’s a Super TV and nothing more, simple, convenient, high quality, the picture is good, if you set it up properly.</v>
      </c>
    </row>
    <row r="3312" spans="1:9" x14ac:dyDescent="0.3">
      <c r="A3312" s="1" t="s">
        <v>211</v>
      </c>
      <c r="B3312" s="1" t="s">
        <v>2818</v>
      </c>
      <c r="C3312" s="1" t="s">
        <v>213</v>
      </c>
      <c r="D3312" s="1" t="s">
        <v>690</v>
      </c>
      <c r="E3312" s="1" t="s">
        <v>4867</v>
      </c>
      <c r="F3312" s="1" t="s">
        <v>6048</v>
      </c>
      <c r="G3312" s="1" t="s">
        <v>36</v>
      </c>
      <c r="H3312" s="1" t="s">
        <v>29</v>
      </c>
      <c r="I3312" s="1" t="str">
        <f ca="1">IFERROR(__xludf.DUMMYFUNCTION("GOOGLETRANSLATE(F3312, ""auto"", ""en"")
"),"I was actually ready to buy a new razor, but I found out in time that you can just buy a foil with a replaceable block, and that’s the whole problem. In my case, the mesh and cutting block are a single system and do not change separately, so they also com"&amp;"e together in the set. Suitable for Brown 7 series razors.")</f>
        <v>I was actually ready to buy a new razor, but I found out in time that you can just buy a foil with a replaceable block, and that’s the whole problem. In my case, the mesh and cutting block are a single system and do not change separately, so they also come together in the set. Suitable for Brown 7 series razors.</v>
      </c>
    </row>
    <row r="3313" spans="1:9" x14ac:dyDescent="0.3">
      <c r="A3313" s="1" t="s">
        <v>30</v>
      </c>
      <c r="B3313" s="1" t="s">
        <v>31</v>
      </c>
      <c r="C3313" s="1" t="s">
        <v>32</v>
      </c>
      <c r="D3313" s="1" t="s">
        <v>1419</v>
      </c>
      <c r="E3313" s="1" t="s">
        <v>397</v>
      </c>
      <c r="F3313" s="1" t="s">
        <v>6049</v>
      </c>
      <c r="G3313" s="1" t="s">
        <v>36</v>
      </c>
      <c r="H3313" s="1" t="s">
        <v>29</v>
      </c>
      <c r="I3313" s="1" t="str">
        <f ca="1">IFERROR(__xludf.DUMMYFUNCTION("GOOGLETRANSLATE(F3313, ""auto"", ""en"")
"),"The computer is just lovely! I reinstalled Windows using a proprietary program, everything worked fine and installed. I updated Windows to pack 2 and generally started flying, all the programs and games are running, it doesn’t feel the load, excellent noi"&amp;"se reduction, Windows is super. Just in case, I made images for it. I made the image with factory settings on 2 disks. In a word, a fairy tale, not a computer! I didn’t even have to spend money on Windows.")</f>
        <v>The computer is just lovely! I reinstalled Windows using a proprietary program, everything worked fine and installed. I updated Windows to pack 2 and generally started flying, all the programs and games are running, it doesn’t feel the load, excellent noise reduction, Windows is super. Just in case, I made images for it. I made the image with factory settings on 2 disks. In a word, a fairy tale, not a computer! I didn’t even have to spend money on Windows.</v>
      </c>
    </row>
    <row r="3314" spans="1:9" x14ac:dyDescent="0.3">
      <c r="A3314" s="1" t="s">
        <v>78</v>
      </c>
      <c r="B3314" s="1" t="s">
        <v>1163</v>
      </c>
      <c r="C3314" s="1" t="s">
        <v>1224</v>
      </c>
      <c r="D3314" s="1" t="s">
        <v>6050</v>
      </c>
      <c r="E3314" s="1" t="s">
        <v>2365</v>
      </c>
      <c r="F3314" s="1" t="s">
        <v>6051</v>
      </c>
      <c r="G3314" s="1" t="s">
        <v>36</v>
      </c>
      <c r="H3314" s="1" t="s">
        <v>29</v>
      </c>
      <c r="I3314" s="1" t="str">
        <f ca="1">IFERROR(__xludf.DUMMYFUNCTION("GOOGLETRANSLATE(F3314, ""auto"", ""en"")
"),"I bought it for work. I’m very pleased. I’m thinking of taking it home. For the money you can’t imagine anything better.")</f>
        <v>I bought it for work. I’m very pleased. I’m thinking of taking it home. For the money you can’t imagine anything better.</v>
      </c>
    </row>
    <row r="3315" spans="1:9" x14ac:dyDescent="0.3">
      <c r="A3315" s="1" t="s">
        <v>37</v>
      </c>
      <c r="B3315" s="1" t="s">
        <v>38</v>
      </c>
      <c r="C3315" s="1" t="s">
        <v>163</v>
      </c>
      <c r="D3315" s="1" t="s">
        <v>6052</v>
      </c>
      <c r="E3315" s="1" t="s">
        <v>3284</v>
      </c>
      <c r="F3315" s="1" t="s">
        <v>6053</v>
      </c>
      <c r="G3315" s="1" t="s">
        <v>36</v>
      </c>
      <c r="H3315" s="1" t="s">
        <v>29</v>
      </c>
      <c r="I3315" s="1" t="str">
        <f ca="1">IFERROR(__xludf.DUMMYFUNCTION("GOOGLETRANSLATE(F3315, ""auto"", ""en"")
"),"I want to buy a phone. Tell me which is better, this one or Nokia X2-00 2gb Blue?")</f>
        <v>I want to buy a phone. Tell me which is better, this one or Nokia X2-00 2gb Blue?</v>
      </c>
    </row>
    <row r="3316" spans="1:9" x14ac:dyDescent="0.3">
      <c r="A3316" s="1" t="s">
        <v>95</v>
      </c>
      <c r="B3316" s="1" t="s">
        <v>648</v>
      </c>
      <c r="C3316" s="1" t="s">
        <v>97</v>
      </c>
      <c r="D3316" s="1" t="s">
        <v>6054</v>
      </c>
      <c r="E3316" s="1" t="s">
        <v>421</v>
      </c>
      <c r="F3316" s="1" t="s">
        <v>6055</v>
      </c>
      <c r="G3316" s="1" t="s">
        <v>36</v>
      </c>
      <c r="H3316" s="1" t="s">
        <v>29</v>
      </c>
      <c r="I3316" s="1" t="str">
        <f ca="1">IFERROR(__xludf.DUMMYFUNCTION("GOOGLETRANSLATE(F3316, ""auto"", ""en"")
"),"I generally disagree with the comments that say that psp go is complete garbage. It has bluetooth, wi-fi, downloads games from the play station store, it weighs 158 grams, built-in memory is 16 gig. In general, I don't respect people who rate below 4.")</f>
        <v>I generally disagree with the comments that say that psp go is complete garbage. It has bluetooth, wi-fi, downloads games from the play station store, it weighs 158 grams, built-in memory is 16 gig. In general, I don't respect people who rate below 4.</v>
      </c>
    </row>
    <row r="3317" spans="1:9" x14ac:dyDescent="0.3">
      <c r="A3317" s="1" t="s">
        <v>149</v>
      </c>
      <c r="B3317" s="1" t="s">
        <v>576</v>
      </c>
      <c r="C3317" s="1" t="s">
        <v>69</v>
      </c>
      <c r="D3317" s="1" t="s">
        <v>335</v>
      </c>
      <c r="E3317" s="1" t="s">
        <v>4621</v>
      </c>
      <c r="F3317" s="1" t="s">
        <v>6056</v>
      </c>
      <c r="G3317" s="1" t="s">
        <v>36</v>
      </c>
      <c r="H3317" s="1" t="s">
        <v>29</v>
      </c>
      <c r="I3317" s="1" t="str">
        <f ca="1">IFERROR(__xludf.DUMMYFUNCTION("GOOGLETRANSLATE(F3317, ""auto"", ""en"")
"),"This vacuum cleaner was given to me by my husband, who bought it from our favorite Mvideo, it’s just a miracle! Convenient nozzle that fits well into corners and silence during operation!!! at half power you can hardly hear it at all, but it still pulls s"&amp;"trongly! I really like it!!!")</f>
        <v>This vacuum cleaner was given to me by my husband, who bought it from our favorite Mvideo, it’s just a miracle! Convenient nozzle that fits well into corners and silence during operation!!! at half power you can hardly hear it at all, but it still pulls strongly! I really like it!!!</v>
      </c>
    </row>
    <row r="3318" spans="1:9" x14ac:dyDescent="0.3">
      <c r="A3318" s="1" t="s">
        <v>120</v>
      </c>
      <c r="B3318" s="1" t="s">
        <v>121</v>
      </c>
      <c r="C3318" s="1" t="s">
        <v>122</v>
      </c>
      <c r="D3318" s="1" t="s">
        <v>411</v>
      </c>
      <c r="E3318" s="1" t="s">
        <v>1643</v>
      </c>
      <c r="F3318" s="1" t="s">
        <v>6057</v>
      </c>
      <c r="G3318" s="1" t="s">
        <v>36</v>
      </c>
      <c r="H3318" s="1" t="s">
        <v>29</v>
      </c>
      <c r="I3318" s="1" t="str">
        <f ca="1">IFERROR(__xludf.DUMMYFUNCTION("GOOGLETRANSLATE(F3318, ""auto"", ""en"")
"),"I bought a TV for my child's nursery. I took 32 so that it wouldn’t spoil my eyes too much, and I took the panas because it’s a panas. I read it on the forums beforehand, like TV, wow. When I arrived at the store, I didn’t like the picture; there were bet"&amp;"ter pictures, especially on ice TV. I took it only because they have a demo mode on all TVs, and at home they have ordinary cable for the entrance. I bought it and installed it. I spent 2 evenings setting it up, playing around with modes, functions, etc. "&amp;"There are a million functions, about half are useful. In the end, I set it up. Verdict - the TV is quite universal, i.e. The analog shows quite well, the sound is good, the picture is like all Panas without pronounced graininess, the colors are not poison"&amp;"ous. Then the most interesting thing - they called the kids, connected the Play Station and goodbye free time. in game mode on the TV - no freezes, no slowdowns, the picture is bomb. then I connected the laptop via HDMI - the quality is excellent, althoug"&amp;"h working at a computer while watching 32 TV is not for everyone.  The only thing that floats slightly is a bunch of Panas screensavers, pictures, etc. I'll look for a way to get rid of it. Otherwise, it's a great TV for the home.  I haven’t watched the m"&amp;"ovie through USB and I don’t plan to, in my opinion it’s a perversion. It’s easier to “splurge” on the most basic DVD for a ruble, it’s actually put together for these purposes by playful Chinese hands. and TV is for TV. Conclusion - you need a second (th"&amp;"ird, .. eleventh TV) at home - take it boldly and may the force be with you")</f>
        <v>I bought a TV for my child's nursery. I took 32 so that it wouldn’t spoil my eyes too much, and I took the panas because it’s a panas. I read it on the forums beforehand, like TV, wow. When I arrived at the store, I didn’t like the picture; there were better pictures, especially on ice TV. I took it only because they have a demo mode on all TVs, and at home they have ordinary cable for the entrance. I bought it and installed it. I spent 2 evenings setting it up, playing around with modes, functions, etc. There are a million functions, about half are useful. In the end, I set it up. Verdict - the TV is quite universal, i.e. The analog shows quite well, the sound is good, the picture is like all Panas without pronounced graininess, the colors are not poisonous. Then the most interesting thing - they called the kids, connected the Play Station and goodbye free time. in game mode on the TV - no freezes, no slowdowns, the picture is bomb. then I connected the laptop via HDMI - the quality is excellent, although working at a computer while watching 32 TV is not for everyone.  The only thing that floats slightly is a bunch of Panas screensavers, pictures, etc. I'll look for a way to get rid of it. Otherwise, it's a great TV for the home.  I haven’t watched the movie through USB and I don’t plan to, in my opinion it’s a perversion. It’s easier to “splurge” on the most basic DVD for a ruble, it’s actually put together for these purposes by playful Chinese hands. and TV is for TV. Conclusion - you need a second (third, .. eleventh TV) at home - take it boldly and may the force be with you</v>
      </c>
    </row>
    <row r="3319" spans="1:9" x14ac:dyDescent="0.3">
      <c r="A3319" s="1" t="s">
        <v>211</v>
      </c>
      <c r="B3319" s="1" t="s">
        <v>856</v>
      </c>
      <c r="C3319" s="1" t="s">
        <v>57</v>
      </c>
      <c r="D3319" s="1" t="s">
        <v>474</v>
      </c>
      <c r="E3319" s="1" t="s">
        <v>1804</v>
      </c>
      <c r="F3319" s="1" t="s">
        <v>6058</v>
      </c>
      <c r="G3319" s="1" t="s">
        <v>49</v>
      </c>
      <c r="H3319" s="1" t="s">
        <v>16</v>
      </c>
      <c r="I3319" s="1" t="str">
        <f ca="1">IFERROR(__xludf.DUMMYFUNCTION("GOOGLETRANSLATE(F3319, ""auto"", ""en"")
"),"not expensive")</f>
        <v>not expensive</v>
      </c>
    </row>
    <row r="3320" spans="1:9" x14ac:dyDescent="0.3">
      <c r="A3320" s="1" t="s">
        <v>30</v>
      </c>
      <c r="B3320" s="1" t="s">
        <v>31</v>
      </c>
      <c r="C3320" s="1" t="s">
        <v>365</v>
      </c>
      <c r="D3320" s="1" t="s">
        <v>6059</v>
      </c>
      <c r="E3320" s="1" t="s">
        <v>1012</v>
      </c>
      <c r="F3320" s="1" t="s">
        <v>6060</v>
      </c>
      <c r="G3320" s="1" t="s">
        <v>49</v>
      </c>
      <c r="H3320" s="1" t="s">
        <v>16</v>
      </c>
      <c r="I3320" s="1" t="str">
        <f ca="1">IFERROR(__xludf.DUMMYFUNCTION("GOOGLETRANSLATE(F3320, ""auto"", ""en"")
"),"This 100% non-gaming computer is suitable for work, but DDR2 memory and a previous generation processor + a mid-level video card will not allow you to play GTA at maximum even at 1440x900")</f>
        <v>This 100% non-gaming computer is suitable for work, but DDR2 memory and a previous generation processor + a mid-level video card will not allow you to play GTA at maximum even at 1440x900</v>
      </c>
    </row>
    <row r="3321" spans="1:9" x14ac:dyDescent="0.3">
      <c r="A3321" s="1" t="s">
        <v>149</v>
      </c>
      <c r="B3321" s="1" t="s">
        <v>423</v>
      </c>
      <c r="C3321" s="1" t="s">
        <v>424</v>
      </c>
      <c r="D3321" s="1" t="s">
        <v>2521</v>
      </c>
      <c r="E3321" s="1" t="s">
        <v>1446</v>
      </c>
      <c r="F3321" s="1" t="s">
        <v>6061</v>
      </c>
      <c r="G3321" s="1" t="s">
        <v>49</v>
      </c>
      <c r="H3321" s="1" t="s">
        <v>16</v>
      </c>
      <c r="I3321" s="1" t="str">
        <f ca="1">IFERROR(__xludf.DUMMYFUNCTION("GOOGLETRANSLATE(F3321, ""auto"", ""en"")
"),"Constantly falls on its side when cleaning it is bad and takes a long time to remove a lot of water, after which the carpets are completely wet")</f>
        <v>Constantly falls on its side when cleaning it is bad and takes a long time to remove a lot of water, after which the carpets are completely wet</v>
      </c>
    </row>
    <row r="3322" spans="1:9" x14ac:dyDescent="0.3">
      <c r="A3322" s="1" t="s">
        <v>169</v>
      </c>
      <c r="B3322" s="1" t="s">
        <v>170</v>
      </c>
      <c r="C3322" s="1" t="s">
        <v>193</v>
      </c>
      <c r="D3322" s="1" t="s">
        <v>4812</v>
      </c>
      <c r="E3322" s="1" t="s">
        <v>449</v>
      </c>
      <c r="F3322" s="1" t="s">
        <v>6062</v>
      </c>
      <c r="G3322" s="1" t="s">
        <v>36</v>
      </c>
      <c r="H3322" s="1" t="s">
        <v>29</v>
      </c>
      <c r="I3322" s="1" t="str">
        <f ca="1">IFERROR(__xludf.DUMMYFUNCTION("GOOGLETRANSLATE(F3322, ""auto"", ""en"")
"),"Overall the headphones are great! I've been using it for 3 months now and there hasn't been a single lag. Just one question. Why is the manufacturing country China if the company itself is German?")</f>
        <v>Overall the headphones are great! I've been using it for 3 months now and there hasn't been a single lag. Just one question. Why is the manufacturing country China if the company itself is German?</v>
      </c>
    </row>
    <row r="3323" spans="1:9" x14ac:dyDescent="0.3">
      <c r="A3323" s="1" t="s">
        <v>811</v>
      </c>
      <c r="B3323" s="1" t="s">
        <v>812</v>
      </c>
      <c r="C3323" s="1" t="s">
        <v>974</v>
      </c>
      <c r="D3323" s="1" t="s">
        <v>5447</v>
      </c>
      <c r="E3323" s="1" t="s">
        <v>708</v>
      </c>
      <c r="F3323" s="1" t="s">
        <v>6063</v>
      </c>
      <c r="G3323" s="1" t="s">
        <v>36</v>
      </c>
      <c r="H3323" s="1" t="s">
        <v>29</v>
      </c>
      <c r="I3323" s="1" t="str">
        <f ca="1">IFERROR(__xludf.DUMMYFUNCTION("GOOGLETRANSLATE(F3323, ""auto"", ""en"")
"),"The tripod, it seems to me, is good, but its scope is limited: it is inconvenient to use on a smooth surface - it is difficult to align the legs. The tripod is designed more for extreme conditions, as can be seen in the photographs - it can be attached an"&amp;"ywhere.")</f>
        <v>The tripod, it seems to me, is good, but its scope is limited: it is inconvenient to use on a smooth surface - it is difficult to align the legs. The tripod is designed more for extreme conditions, as can be seen in the photographs - it can be attached anywhere.</v>
      </c>
    </row>
    <row r="3324" spans="1:9" x14ac:dyDescent="0.3">
      <c r="A3324" s="1" t="s">
        <v>17</v>
      </c>
      <c r="B3324" s="1" t="s">
        <v>18</v>
      </c>
      <c r="C3324" s="1" t="s">
        <v>80</v>
      </c>
      <c r="D3324" s="1" t="s">
        <v>247</v>
      </c>
      <c r="E3324" s="1" t="s">
        <v>6064</v>
      </c>
      <c r="F3324" s="1" t="s">
        <v>6065</v>
      </c>
      <c r="G3324" s="1" t="s">
        <v>36</v>
      </c>
      <c r="H3324" s="1" t="s">
        <v>29</v>
      </c>
      <c r="I3324" s="1" t="str">
        <f ca="1">IFERROR(__xludf.DUMMYFUNCTION("GOOGLETRANSLATE(F3324, ""auto"", ""en"")
"),"It washes and spins perfectly!")</f>
        <v>It washes and spins perfectly!</v>
      </c>
    </row>
    <row r="3325" spans="1:9" x14ac:dyDescent="0.3">
      <c r="A3325" s="1" t="s">
        <v>61</v>
      </c>
      <c r="B3325" s="1" t="s">
        <v>318</v>
      </c>
      <c r="C3325" s="1" t="s">
        <v>745</v>
      </c>
      <c r="D3325" s="1" t="s">
        <v>232</v>
      </c>
      <c r="E3325" s="1" t="s">
        <v>3084</v>
      </c>
      <c r="F3325" s="1" t="s">
        <v>6066</v>
      </c>
      <c r="G3325" s="1" t="s">
        <v>36</v>
      </c>
      <c r="H3325" s="1" t="s">
        <v>29</v>
      </c>
      <c r="I3325" s="1" t="str">
        <f ca="1">IFERROR(__xludf.DUMMYFUNCTION("GOOGLETRANSLATE(F3325, ""auto"", ""en"")
"),"We have been using this kettle for a month. I really like the kettle, it has a backlight, it turns off quickly when it boils, it looks attractive, the water is odorless.")</f>
        <v>We have been using this kettle for a month. I really like the kettle, it has a backlight, it turns off quickly when it boils, it looks attractive, the water is odorless.</v>
      </c>
    </row>
    <row r="3326" spans="1:9" x14ac:dyDescent="0.3">
      <c r="A3326" s="1" t="s">
        <v>89</v>
      </c>
      <c r="B3326" s="1" t="s">
        <v>231</v>
      </c>
      <c r="C3326" s="1" t="s">
        <v>185</v>
      </c>
      <c r="D3326" s="1" t="s">
        <v>2145</v>
      </c>
      <c r="E3326" s="1" t="s">
        <v>6067</v>
      </c>
      <c r="F3326" s="1" t="s">
        <v>6068</v>
      </c>
      <c r="G3326" s="1" t="s">
        <v>36</v>
      </c>
      <c r="H3326" s="1" t="s">
        <v>29</v>
      </c>
      <c r="I3326" s="1" t="str">
        <f ca="1">IFERROR(__xludf.DUMMYFUNCTION("GOOGLETRANSLATE(F3326, ""auto"", ""en"")
"),"This is my first coffee machine, take it and don't be afraid. It will delight you with both its quality and the quality of its coffee.")</f>
        <v>This is my first coffee machine, take it and don't be afraid. It will delight you with both its quality and the quality of its coffee.</v>
      </c>
    </row>
    <row r="3327" spans="1:9" x14ac:dyDescent="0.3">
      <c r="A3327" s="1" t="s">
        <v>169</v>
      </c>
      <c r="B3327" s="1" t="s">
        <v>170</v>
      </c>
      <c r="C3327" s="1" t="s">
        <v>69</v>
      </c>
      <c r="D3327" s="1" t="s">
        <v>280</v>
      </c>
      <c r="E3327" s="1" t="s">
        <v>6069</v>
      </c>
      <c r="F3327" s="1" t="s">
        <v>6070</v>
      </c>
      <c r="G3327" s="1" t="s">
        <v>15</v>
      </c>
      <c r="H3327" s="1" t="s">
        <v>16</v>
      </c>
      <c r="I3327" s="1" t="str">
        <f ca="1">IFERROR(__xludf.DUMMYFUNCTION("GOOGLETRANSLATE(F3327, ""auto"", ""en"")
"),"In 2 years I replaced 2 pairs of these headphones.   After half a year, problems appear: 1) the sound begins to hiss 2) one of the mounts “moves off” and does not stay on the ear 3) the plug stops making contact normally and the sound disappears, you have"&amp;" to twist it all the time")</f>
        <v>In 2 years I replaced 2 pairs of these headphones.   After half a year, problems appear: 1) the sound begins to hiss 2) one of the mounts “moves off” and does not stay on the ear 3) the plug stops making contact normally and the sound disappears, you have to twist it all the time</v>
      </c>
    </row>
    <row r="3328" spans="1:9" x14ac:dyDescent="0.3">
      <c r="A3328" s="1" t="s">
        <v>149</v>
      </c>
      <c r="B3328" s="1" t="s">
        <v>155</v>
      </c>
      <c r="C3328" s="1" t="s">
        <v>24</v>
      </c>
      <c r="D3328" s="1" t="s">
        <v>6071</v>
      </c>
      <c r="E3328" s="1" t="s">
        <v>4555</v>
      </c>
      <c r="F3328" s="1" t="s">
        <v>6072</v>
      </c>
      <c r="G3328" s="1" t="s">
        <v>36</v>
      </c>
      <c r="H3328" s="1" t="s">
        <v>29</v>
      </c>
      <c r="I3328" s="1" t="str">
        <f ca="1">IFERROR(__xludf.DUMMYFUNCTION("GOOGLETRANSLATE(F3328, ""auto"", ""en"")
"),"Wonderful vacuum cleaner! Everything is good: the length adjuster is normal, holds well; the brushes are also good, adjustable; It is convenient to wash the filter, it is not even possible very often (after three cleanings), and even a small child does no"&amp;"t interfere, daily cleaning is easy. I recommend it (just not to jinx it!)")</f>
        <v>Wonderful vacuum cleaner! Everything is good: the length adjuster is normal, holds well; the brushes are also good, adjustable; It is convenient to wash the filter, it is not even possible very often (after three cleanings), and even a small child does not interfere, daily cleaning is easy. I recommend it (just not to jinx it!)</v>
      </c>
    </row>
    <row r="3329" spans="1:9" x14ac:dyDescent="0.3">
      <c r="A3329" s="1" t="s">
        <v>43</v>
      </c>
      <c r="B3329" s="1" t="s">
        <v>219</v>
      </c>
      <c r="C3329" s="1" t="s">
        <v>220</v>
      </c>
      <c r="D3329" s="1" t="s">
        <v>280</v>
      </c>
      <c r="E3329" s="1" t="s">
        <v>3494</v>
      </c>
      <c r="F3329" s="1" t="s">
        <v>6073</v>
      </c>
      <c r="G3329" s="1" t="s">
        <v>36</v>
      </c>
      <c r="H3329" s="1" t="s">
        <v>29</v>
      </c>
      <c r="I3329" s="1" t="str">
        <f ca="1">IFERROR(__xludf.DUMMYFUNCTION("GOOGLETRANSLATE(F3329, ""auto"", ""en"")
"),"Yesterday I installed a 10 liter Thermex. It's enough to wash alone. After 20-30 minutes, you can wash someone else. An excellent option for those who need hot water 1 month a year. For everyday use in a family of 3 people you need to take at least 50 lit"&amp;"ers.")</f>
        <v>Yesterday I installed a 10 liter Thermex. It's enough to wash alone. After 20-30 minutes, you can wash someone else. An excellent option for those who need hot water 1 month a year. For everyday use in a family of 3 people you need to take at least 50 liters.</v>
      </c>
    </row>
    <row r="3330" spans="1:9" x14ac:dyDescent="0.3">
      <c r="A3330" s="1" t="s">
        <v>17</v>
      </c>
      <c r="B3330" s="1" t="s">
        <v>18</v>
      </c>
      <c r="C3330" s="1" t="s">
        <v>243</v>
      </c>
      <c r="D3330" s="1" t="s">
        <v>75</v>
      </c>
      <c r="E3330" s="1" t="s">
        <v>6074</v>
      </c>
      <c r="F3330" s="1" t="s">
        <v>6075</v>
      </c>
      <c r="G3330" s="1" t="s">
        <v>36</v>
      </c>
      <c r="H3330" s="1" t="s">
        <v>29</v>
      </c>
      <c r="I3330" s="1" t="str">
        <f ca="1">IFERROR(__xludf.DUMMYFUNCTION("GOOGLETRANSLATE(F3330, ""auto"", ""en"")
"),"very comfortable, compact, silent")</f>
        <v>very comfortable, compact, silent</v>
      </c>
    </row>
    <row r="3331" spans="1:9" x14ac:dyDescent="0.3">
      <c r="A3331" s="1" t="s">
        <v>43</v>
      </c>
      <c r="B3331" s="1" t="s">
        <v>1382</v>
      </c>
      <c r="C3331" s="1" t="s">
        <v>45</v>
      </c>
      <c r="D3331" s="1" t="s">
        <v>247</v>
      </c>
      <c r="E3331" s="1" t="s">
        <v>3642</v>
      </c>
      <c r="F3331" s="1" t="s">
        <v>6076</v>
      </c>
      <c r="G3331" s="1" t="s">
        <v>36</v>
      </c>
      <c r="H3331" s="1" t="s">
        <v>29</v>
      </c>
      <c r="I3331" s="1" t="str">
        <f ca="1">IFERROR(__xludf.DUMMYFUNCTION("GOOGLETRANSLATE(F3331, ""auto"", ""en"")
"),"I had my eye on this fan last year and bought it for a small room. I used it that summer with great pleasure. For the large room, my husband chose another one, not on a disk base, but on arched legs, I won’t say under what circumstances, but his legs brok"&amp;"e off and now the fan is useless. That’s why I went to the website to buy this model for a large room. I highly recommend it, it’s a good fan and looks great.")</f>
        <v>I had my eye on this fan last year and bought it for a small room. I used it that summer with great pleasure. For the large room, my husband chose another one, not on a disk base, but on arched legs, I won’t say under what circumstances, but his legs broke off and now the fan is useless. That’s why I went to the website to buy this model for a large room. I highly recommend it, it’s a good fan and looks great.</v>
      </c>
    </row>
    <row r="3332" spans="1:9" x14ac:dyDescent="0.3">
      <c r="A3332" s="1" t="s">
        <v>55</v>
      </c>
      <c r="B3332" s="1" t="s">
        <v>56</v>
      </c>
      <c r="C3332" s="1" t="s">
        <v>57</v>
      </c>
      <c r="D3332" s="1" t="s">
        <v>474</v>
      </c>
      <c r="E3332" s="1" t="s">
        <v>4259</v>
      </c>
      <c r="F3332" s="1" t="s">
        <v>6077</v>
      </c>
      <c r="G3332" s="1" t="s">
        <v>36</v>
      </c>
      <c r="H3332" s="1" t="s">
        <v>29</v>
      </c>
      <c r="I3332" s="1" t="str">
        <f ca="1">IFERROR(__xludf.DUMMYFUNCTION("GOOGLETRANSLATE(F3332, ""auto"", ""en"")
"),"Large water tank, lasts a long time! promotional price!!! automatic maintenance of humidity, ionization!")</f>
        <v>Large water tank, lasts a long time! promotional price!!! automatic maintenance of humidity, ionization!</v>
      </c>
    </row>
    <row r="3333" spans="1:9" x14ac:dyDescent="0.3">
      <c r="A3333" s="1" t="s">
        <v>17</v>
      </c>
      <c r="B3333" s="1" t="s">
        <v>18</v>
      </c>
      <c r="C3333" s="1" t="s">
        <v>243</v>
      </c>
      <c r="D3333" s="1" t="s">
        <v>39</v>
      </c>
      <c r="E3333" s="1" t="s">
        <v>2928</v>
      </c>
      <c r="F3333" s="1" t="s">
        <v>6078</v>
      </c>
      <c r="G3333" s="1" t="s">
        <v>36</v>
      </c>
      <c r="H3333" s="1" t="s">
        <v>29</v>
      </c>
      <c r="I3333" s="1" t="str">
        <f ca="1">IFERROR(__xludf.DUMMYFUNCTION("GOOGLETRANSLATE(F3333, ""auto"", ""en"")
"),"My wife and I bought it 2 months ago, connected it, started it up, works like a watch and doesn’t consume much water or electricity.. We were happy with the machine...")</f>
        <v>My wife and I bought it 2 months ago, connected it, started it up, works like a watch and doesn’t consume much water or electricity.. We were happy with the machine...</v>
      </c>
    </row>
    <row r="3334" spans="1:9" x14ac:dyDescent="0.3">
      <c r="A3334" s="1" t="s">
        <v>67</v>
      </c>
      <c r="B3334" s="1" t="s">
        <v>68</v>
      </c>
      <c r="C3334" s="1" t="s">
        <v>246</v>
      </c>
      <c r="D3334" s="1" t="s">
        <v>4433</v>
      </c>
      <c r="E3334" s="1" t="s">
        <v>3454</v>
      </c>
      <c r="F3334" s="1" t="s">
        <v>6079</v>
      </c>
      <c r="G3334" s="1" t="s">
        <v>36</v>
      </c>
      <c r="H3334" s="1" t="s">
        <v>29</v>
      </c>
      <c r="I3334" s="1" t="str">
        <f ca="1">IFERROR(__xludf.DUMMYFUNCTION("GOOGLETRANSLATE(F3334, ""auto"", ""en"")
"),"To prevent scale, try either pouring distilled water into it, or water from a water filter like (barrier)")</f>
        <v>To prevent scale, try either pouring distilled water into it, or water from a water filter like (barrier)</v>
      </c>
    </row>
    <row r="3335" spans="1:9" x14ac:dyDescent="0.3">
      <c r="A3335" s="1" t="s">
        <v>211</v>
      </c>
      <c r="B3335" s="1" t="s">
        <v>789</v>
      </c>
      <c r="C3335" s="1" t="s">
        <v>69</v>
      </c>
      <c r="D3335" s="1" t="s">
        <v>280</v>
      </c>
      <c r="E3335" s="1" t="s">
        <v>53</v>
      </c>
      <c r="F3335" s="1" t="s">
        <v>6080</v>
      </c>
      <c r="G3335" s="1" t="s">
        <v>15</v>
      </c>
      <c r="H3335" s="1" t="s">
        <v>16</v>
      </c>
      <c r="I3335" s="1" t="str">
        <f ca="1">IFERROR(__xludf.DUMMYFUNCTION("GOOGLETRANSLATE(F3335, ""auto"", ""en"")
"),"I didn't like the baby monitor.    It works stably only if you speak directly to the children's unit. And even if you just talk at a distance of a meter or two, the children’s unit either transmits or does not transmit sounds. You don’t have to try to hea"&amp;"r the baby’s movements in the crib - you definitely can’t hear it.")</f>
        <v>I didn't like the baby monitor.    It works stably only if you speak directly to the children's unit. And even if you just talk at a distance of a meter or two, the children’s unit either transmits or does not transmit sounds. You don’t have to try to hear the baby’s movements in the crib - you definitely can’t hear it.</v>
      </c>
    </row>
    <row r="3336" spans="1:9" x14ac:dyDescent="0.3">
      <c r="A3336" s="1" t="s">
        <v>61</v>
      </c>
      <c r="B3336" s="1" t="s">
        <v>318</v>
      </c>
      <c r="C3336" s="1" t="s">
        <v>57</v>
      </c>
      <c r="D3336" s="1" t="s">
        <v>6081</v>
      </c>
      <c r="E3336" s="1" t="s">
        <v>3537</v>
      </c>
      <c r="F3336" s="1" t="s">
        <v>6082</v>
      </c>
      <c r="G3336" s="1" t="s">
        <v>49</v>
      </c>
      <c r="H3336" s="1" t="s">
        <v>16</v>
      </c>
      <c r="I3336" s="1" t="str">
        <f ca="1">IFERROR(__xludf.DUMMYFUNCTION("GOOGLETRANSLATE(F3336, ""auto"", ""en"")
"),"I can't remember a more unsuccessful purchase. Less than six months later it stopped turning off. After 11 months he ordered to live long by short circuit. It was scary.")</f>
        <v>I can't remember a more unsuccessful purchase. Less than six months later it stopped turning off. After 11 months he ordered to live long by short circuit. It was scary.</v>
      </c>
    </row>
    <row r="3337" spans="1:9" x14ac:dyDescent="0.3">
      <c r="A3337" s="1" t="s">
        <v>120</v>
      </c>
      <c r="B3337" s="1" t="s">
        <v>196</v>
      </c>
      <c r="C3337" s="1" t="s">
        <v>151</v>
      </c>
      <c r="D3337" s="1" t="s">
        <v>152</v>
      </c>
      <c r="E3337" s="1" t="s">
        <v>4049</v>
      </c>
      <c r="F3337" s="1" t="s">
        <v>6083</v>
      </c>
      <c r="G3337" s="1" t="s">
        <v>28</v>
      </c>
      <c r="H3337" s="1" t="s">
        <v>29</v>
      </c>
      <c r="I3337" s="1" t="str">
        <f ca="1">IFERROR(__xludf.DUMMYFUNCTION("GOOGLETRANSLATE(F3337, ""auto"", ""en"")
"),"Everything is fine, it’s worth the money, but there is one significant drawback: when displaying dark scenes, for example when watching a movie, it starts to buzz, or if you put it on economy modes, it also starts to buzz. I bought it at a discount, so I "&amp;"would have bought Sony....")</f>
        <v>Everything is fine, it’s worth the money, but there is one significant drawback: when displaying dark scenes, for example when watching a movie, it starts to buzz, or if you put it on economy modes, it also starts to buzz. I bought it at a discount, so I would have bought Sony....</v>
      </c>
    </row>
    <row r="3338" spans="1:9" x14ac:dyDescent="0.3">
      <c r="A3338" s="1" t="s">
        <v>61</v>
      </c>
      <c r="B3338" s="1" t="s">
        <v>318</v>
      </c>
      <c r="C3338" s="1" t="s">
        <v>69</v>
      </c>
      <c r="D3338" s="1" t="s">
        <v>75</v>
      </c>
      <c r="E3338" s="1" t="s">
        <v>6084</v>
      </c>
      <c r="F3338" s="1" t="s">
        <v>6085</v>
      </c>
      <c r="G3338" s="1" t="s">
        <v>36</v>
      </c>
      <c r="H3338" s="1" t="s">
        <v>29</v>
      </c>
      <c r="I3338" s="1" t="str">
        <f ca="1">IFERROR(__xludf.DUMMYFUNCTION("GOOGLETRANSLATE(F3338, ""auto"", ""en"")
"),"I am surprised and delighted! I started looking for a kettle and saw that this kettle is still relevant. This kettle has served me for 7 long years and is still serving me, the only problem is its lid is made of plastic and it began to crumble, just recen"&amp;"tly, otherwise the kettle is excellent, a pleasant blue light when you turn it on. I won’t even consider other options, I will buy the same one again.")</f>
        <v>I am surprised and delighted! I started looking for a kettle and saw that this kettle is still relevant. This kettle has served me for 7 long years and is still serving me, the only problem is its lid is made of plastic and it began to crumble, just recently, otherwise the kettle is excellent, a pleasant blue light when you turn it on. I won’t even consider other options, I will buy the same one again.</v>
      </c>
    </row>
    <row r="3339" spans="1:9" x14ac:dyDescent="0.3">
      <c r="A3339" s="1" t="s">
        <v>17</v>
      </c>
      <c r="B3339" s="1" t="s">
        <v>18</v>
      </c>
      <c r="C3339" s="1" t="s">
        <v>243</v>
      </c>
      <c r="D3339" s="1" t="s">
        <v>568</v>
      </c>
      <c r="E3339" s="1" t="s">
        <v>738</v>
      </c>
      <c r="F3339" s="1" t="s">
        <v>6086</v>
      </c>
      <c r="G3339" s="1" t="s">
        <v>28</v>
      </c>
      <c r="H3339" s="1" t="s">
        <v>29</v>
      </c>
      <c r="I3339" s="1" t="str">
        <f ca="1">IFERROR(__xludf.DUMMYFUNCTION("GOOGLETRANSLATE(F3339, ""auto"", ""en"")
"),"Everything seems to be normal, but once you start to understand the instructions, questions arise. The instructions do not have a ""stains"" function, but there is a ""bleaching"" function, and on the washing machine it says ""stains"" above the button. W"&amp;"ell, why mislead the user? A lot of speculation arises - is this the same thing or not, is this where the instructions come from? It would be forgivable if these instructions were for several models at the same time and were universal, but this is not the"&amp;" case.")</f>
        <v>Everything seems to be normal, but once you start to understand the instructions, questions arise. The instructions do not have a "stains" function, but there is a "bleaching" function, and on the washing machine it says "stains" above the button. Well, why mislead the user? A lot of speculation arises - is this the same thing or not, is this where the instructions come from? It would be forgivable if these instructions were for several models at the same time and were universal, but this is not the case.</v>
      </c>
    </row>
    <row r="3340" spans="1:9" x14ac:dyDescent="0.3">
      <c r="A3340" s="1" t="s">
        <v>1119</v>
      </c>
      <c r="B3340" s="1" t="s">
        <v>1120</v>
      </c>
      <c r="C3340" s="1" t="s">
        <v>97</v>
      </c>
      <c r="D3340" s="1" t="s">
        <v>6087</v>
      </c>
      <c r="E3340" s="1" t="s">
        <v>2684</v>
      </c>
      <c r="F3340" s="1" t="s">
        <v>6088</v>
      </c>
      <c r="G3340" s="1" t="s">
        <v>28</v>
      </c>
      <c r="H3340" s="1" t="s">
        <v>29</v>
      </c>
      <c r="I3340" s="1" t="str">
        <f ca="1">IFERROR(__xludf.DUMMYFUNCTION("GOOGLETRANSLATE(F3340, ""auto"", ""en"")
"),"I LIKED THIS CAMERA. THE PICTURES ARE COOL, THE VIDEO IS ALSO NORMAL. OVERALL I AM SATISFIED THAT I WAS OFFERED IT. THE ONLY MINUS ONE IS REALLY IS IT DOES NOT REMOVE BADLY IN THE DARK. AND A SHORT WORKING TIME IS TO BUY AN ADDITIONAL BATTERY AND THAT'S A"&amp;"LL IN PRINCIPLE.")</f>
        <v>I LIKED THIS CAMERA. THE PICTURES ARE COOL, THE VIDEO IS ALSO NORMAL. OVERALL I AM SATISFIED THAT I WAS OFFERED IT. THE ONLY MINUS ONE IS REALLY IS IT DOES NOT REMOVE BADLY IN THE DARK. AND A SHORT WORKING TIME IS TO BUY AN ADDITIONAL BATTERY AND THAT'S ALL IN PRINCIPLE.</v>
      </c>
    </row>
    <row r="3341" spans="1:9" x14ac:dyDescent="0.3">
      <c r="A3341" s="1" t="s">
        <v>43</v>
      </c>
      <c r="B3341" s="1" t="s">
        <v>502</v>
      </c>
      <c r="C3341" s="1" t="s">
        <v>151</v>
      </c>
      <c r="D3341" s="1" t="s">
        <v>282</v>
      </c>
      <c r="E3341" s="1" t="s">
        <v>6089</v>
      </c>
      <c r="F3341" s="1" t="s">
        <v>6090</v>
      </c>
      <c r="G3341" s="1" t="s">
        <v>36</v>
      </c>
      <c r="H3341" s="1" t="s">
        <v>29</v>
      </c>
      <c r="I3341" s="1" t="str">
        <f ca="1">IFERROR(__xludf.DUMMYFUNCTION("GOOGLETRANSLATE(F3341, ""auto"", ""en"")
"),"Andrey, we do not recommend taking such actions. To solve the problem, contact the air conditioner installers or our service center under warranty.")</f>
        <v>Andrey, we do not recommend taking such actions. To solve the problem, contact the air conditioner installers or our service center under warranty.</v>
      </c>
    </row>
    <row r="3342" spans="1:9" x14ac:dyDescent="0.3">
      <c r="A3342" s="1" t="s">
        <v>37</v>
      </c>
      <c r="B3342" s="1" t="s">
        <v>536</v>
      </c>
      <c r="C3342" s="1" t="s">
        <v>1419</v>
      </c>
      <c r="D3342" s="1" t="s">
        <v>6091</v>
      </c>
      <c r="E3342" s="1" t="s">
        <v>386</v>
      </c>
      <c r="F3342" s="1" t="s">
        <v>6092</v>
      </c>
      <c r="G3342" s="1" t="s">
        <v>36</v>
      </c>
      <c r="H3342" s="1" t="s">
        <v>29</v>
      </c>
      <c r="I3342" s="1" t="str">
        <f ca="1">IFERROR(__xludf.DUMMYFUNCTION("GOOGLETRANSLATE(F3342, ""auto"", ""en"")
"),"I bought it for five thousand while there was a promotion. Very pleased. There are few glitches (the processor is good), although the battery is rather weak.")</f>
        <v>I bought it for five thousand while there was a promotion. Very pleased. There are few glitches (the processor is good), although the battery is rather weak.</v>
      </c>
    </row>
    <row r="3343" spans="1:9" x14ac:dyDescent="0.3">
      <c r="A3343" s="1" t="s">
        <v>105</v>
      </c>
      <c r="B3343" s="1" t="s">
        <v>106</v>
      </c>
      <c r="C3343" s="1" t="s">
        <v>1209</v>
      </c>
      <c r="D3343" s="1" t="s">
        <v>774</v>
      </c>
      <c r="E3343" s="1" t="s">
        <v>513</v>
      </c>
      <c r="F3343" s="1" t="s">
        <v>6093</v>
      </c>
      <c r="G3343" s="1" t="s">
        <v>36</v>
      </c>
      <c r="H3343" s="1" t="s">
        <v>29</v>
      </c>
      <c r="I3343" s="1" t="str">
        <f ca="1">IFERROR(__xludf.DUMMYFUNCTION("GOOGLETRANSLATE(F3343, ""auto"", ""en"")
"),"I bought it 2 years ago and it still works well. I'm happy with the purchase, I like the design, although sometimes the buttons are glitchy.")</f>
        <v>I bought it 2 years ago and it still works well. I'm happy with the purchase, I like the design, although sometimes the buttons are glitchy.</v>
      </c>
    </row>
    <row r="3344" spans="1:9" x14ac:dyDescent="0.3">
      <c r="A3344" s="1" t="s">
        <v>9</v>
      </c>
      <c r="B3344" s="1" t="s">
        <v>10</v>
      </c>
      <c r="C3344" s="1" t="s">
        <v>407</v>
      </c>
      <c r="D3344" s="1" t="s">
        <v>6094</v>
      </c>
      <c r="E3344" s="1" t="s">
        <v>5646</v>
      </c>
      <c r="F3344" s="1" t="s">
        <v>6095</v>
      </c>
      <c r="G3344" s="1" t="s">
        <v>36</v>
      </c>
      <c r="H3344" s="1" t="s">
        <v>29</v>
      </c>
      <c r="I3344" s="1" t="str">
        <f ca="1">IFERROR(__xludf.DUMMYFUNCTION("GOOGLETRANSLATE(F3344, ""auto"", ""en"")
"),"The design is beautiful, the lighting is generally super and does its job, the kitchen is 15 sq. m. he copes calmly with two. No deficiencies found. I'm glad it's not produced in China, I recommend it")</f>
        <v>The design is beautiful, the lighting is generally super and does its job, the kitchen is 15 sq. m. he copes calmly with two. No deficiencies found. I'm glad it's not produced in China, I recommend it</v>
      </c>
    </row>
    <row r="3345" spans="1:9" x14ac:dyDescent="0.3">
      <c r="A3345" s="1" t="s">
        <v>149</v>
      </c>
      <c r="B3345" s="1" t="s">
        <v>155</v>
      </c>
      <c r="C3345" s="1" t="s">
        <v>80</v>
      </c>
      <c r="D3345" s="1" t="s">
        <v>471</v>
      </c>
      <c r="E3345" s="1" t="s">
        <v>6096</v>
      </c>
      <c r="F3345" s="1" t="s">
        <v>6097</v>
      </c>
      <c r="G3345" s="1" t="s">
        <v>36</v>
      </c>
      <c r="H3345" s="1" t="s">
        <v>29</v>
      </c>
      <c r="I3345" s="1" t="str">
        <f ca="1">IFERROR(__xludf.DUMMYFUNCTION("GOOGLETRANSLATE(F3345, ""auto"", ""en"")
"),"It cleans very well, there is a cat and a dog in the house, there is no hair left after cleaning.")</f>
        <v>It cleans very well, there is a cat and a dog in the house, there is no hair left after cleaning.</v>
      </c>
    </row>
    <row r="3346" spans="1:9" x14ac:dyDescent="0.3">
      <c r="A3346" s="1" t="s">
        <v>78</v>
      </c>
      <c r="B3346" s="1" t="s">
        <v>79</v>
      </c>
      <c r="C3346" s="1" t="s">
        <v>151</v>
      </c>
      <c r="D3346" s="1" t="s">
        <v>5491</v>
      </c>
      <c r="E3346" s="1" t="s">
        <v>6098</v>
      </c>
      <c r="F3346" s="1" t="s">
        <v>6099</v>
      </c>
      <c r="G3346" s="1" t="s">
        <v>49</v>
      </c>
      <c r="H3346" s="1" t="s">
        <v>16</v>
      </c>
      <c r="I3346" s="1" t="str">
        <f ca="1">IFERROR(__xludf.DUMMYFUNCTION("GOOGLETRANSLATE(F3346, ""auto"", ""en"")
"),"Before purchasing this model, I looked for reviews. So I decided to take this particular microwave. On the 4th day after purchase, the door opening key stopped working. I really wanted to use the grill, after 20 minutes of cooking, as indicated in the ins"&amp;"tructions, the chicken fillet was raw, I had to use it for another 20 minutes to finish it. It’s good that it broke down quickly and we replaced it with another model. I was extremely upset with the purchase.")</f>
        <v>Before purchasing this model, I looked for reviews. So I decided to take this particular microwave. On the 4th day after purchase, the door opening key stopped working. I really wanted to use the grill, after 20 minutes of cooking, as indicated in the instructions, the chicken fillet was raw, I had to use it for another 20 minutes to finish it. It’s good that it broke down quickly and we replaced it with another model. I was extremely upset with the purchase.</v>
      </c>
    </row>
    <row r="3347" spans="1:9" x14ac:dyDescent="0.3">
      <c r="A3347" s="1" t="s">
        <v>105</v>
      </c>
      <c r="B3347" s="1" t="s">
        <v>106</v>
      </c>
      <c r="C3347" s="1" t="s">
        <v>151</v>
      </c>
      <c r="D3347" s="1" t="s">
        <v>6100</v>
      </c>
      <c r="E3347" s="1" t="s">
        <v>421</v>
      </c>
      <c r="F3347" s="1" t="s">
        <v>6101</v>
      </c>
      <c r="G3347" s="1" t="s">
        <v>36</v>
      </c>
      <c r="H3347" s="1" t="s">
        <v>29</v>
      </c>
      <c r="I3347" s="1" t="str">
        <f ca="1">IFERROR(__xludf.DUMMYFUNCTION("GOOGLETRANSLATE(F3347, ""auto"", ""en"")
"),"I like everything: the user-friendly interface - as if it was made for me, the speed of moving through the menu, and the build quality.  5/5, it was not in vain that I took it.  I recommend!")</f>
        <v>I like everything: the user-friendly interface - as if it was made for me, the speed of moving through the menu, and the build quality.  5/5, it was not in vain that I took it.  I recommend!</v>
      </c>
    </row>
    <row r="3348" spans="1:9" x14ac:dyDescent="0.3">
      <c r="A3348" s="1" t="s">
        <v>61</v>
      </c>
      <c r="B3348" s="1" t="s">
        <v>180</v>
      </c>
      <c r="C3348" s="1" t="s">
        <v>63</v>
      </c>
      <c r="D3348" s="1" t="s">
        <v>589</v>
      </c>
      <c r="E3348" s="1" t="s">
        <v>666</v>
      </c>
      <c r="F3348" s="1" t="s">
        <v>6102</v>
      </c>
      <c r="G3348" s="1" t="s">
        <v>36</v>
      </c>
      <c r="H3348" s="1" t="s">
        <v>29</v>
      </c>
      <c r="I3348" s="1" t="str">
        <f ca="1">IFERROR(__xludf.DUMMYFUNCTION("GOOGLETRANSLATE(F3348, ""auto"", ""en"")
"),"I’ve been using the toaster for three years and every day - I’d be happy to recommend it to everyone) and today I’m taking it as a gift to friends!")</f>
        <v>I’ve been using the toaster for three years and every day - I’d be happy to recommend it to everyone) and today I’m taking it as a gift to friends!</v>
      </c>
    </row>
    <row r="3349" spans="1:9" x14ac:dyDescent="0.3">
      <c r="A3349" s="1" t="s">
        <v>61</v>
      </c>
      <c r="B3349" s="1" t="s">
        <v>145</v>
      </c>
      <c r="C3349" s="1" t="s">
        <v>246</v>
      </c>
      <c r="D3349" s="1" t="s">
        <v>280</v>
      </c>
      <c r="E3349" s="1" t="s">
        <v>1864</v>
      </c>
      <c r="F3349" s="1" t="s">
        <v>6103</v>
      </c>
      <c r="G3349" s="1" t="s">
        <v>28</v>
      </c>
      <c r="H3349" s="1" t="s">
        <v>29</v>
      </c>
      <c r="I3349" s="1" t="str">
        <f ca="1">IFERROR(__xludf.DUMMYFUNCTION("GOOGLETRANSLATE(F3349, ""auto"", ""en"")
"),"As mentioned below, it is easy to wash with schumanite; if you use it frequently, you can wash it once a month, but it can be easily washed with liquid detergent. Removable baking sheets, this is the main plus, I put them in the sink and washed them for m"&amp;"y health.   The main disadvantage is the inconvenience of storage. You can’t put it sideways, as the top attachment will fall. Don't put anything on top of it; you can scratch the surface. You can’t put it on anything either; you can scratch the second at"&amp;"tachment, which is attached from below. You have to keep it in the box all the time.   The pancakes turn out amazing, we’ve already tried a bunch of recipes.")</f>
        <v>As mentioned below, it is easy to wash with schumanite; if you use it frequently, you can wash it once a month, but it can be easily washed with liquid detergent. Removable baking sheets, this is the main plus, I put them in the sink and washed them for my health.   The main disadvantage is the inconvenience of storage. You can’t put it sideways, as the top attachment will fall. Don't put anything on top of it; you can scratch the surface. You can’t put it on anything either; you can scratch the second attachment, which is attached from below. You have to keep it in the box all the time.   The pancakes turn out amazing, we’ve already tried a bunch of recipes.</v>
      </c>
    </row>
    <row r="3350" spans="1:9" x14ac:dyDescent="0.3">
      <c r="A3350" s="1" t="s">
        <v>30</v>
      </c>
      <c r="B3350" s="1" t="s">
        <v>31</v>
      </c>
      <c r="C3350" s="1" t="s">
        <v>32</v>
      </c>
      <c r="D3350" s="1" t="s">
        <v>6104</v>
      </c>
      <c r="E3350" s="1" t="s">
        <v>3509</v>
      </c>
      <c r="F3350" s="1" t="s">
        <v>6105</v>
      </c>
      <c r="G3350" s="1" t="s">
        <v>28</v>
      </c>
      <c r="H3350" s="1" t="s">
        <v>29</v>
      </c>
      <c r="I3350" s="1" t="str">
        <f ca="1">IFERROR(__xludf.DUMMYFUNCTION("GOOGLETRANSLATE(F3350, ""auto"", ""en"")
"),"I've been using it for a month. Overall satisfied. Excellent price/performance ratio!  BUT NOT price/quality: 1. Saved on the quality of the case. No sound insulation. That's why it hummed a lot (very loud - I've never seen anything like that before). It "&amp;"turned out that the vibration from the hard drive was transmitted to the case (I checked - I stopped the fans, the hum was not from them). I had to soundproof the disk by hand, using self-adhesive polypropylene. It helped.  2. Since I had to open the case"&amp;", I lost the warranty. The service would hardly consider the noise a malfunction.  3. The processor cooler is also noisy. Not that much, but not acceptable either. You'll have to replace it with a new one - you can't do it on your knees :) 4. The power su"&amp;"pply is really not 300 W, but 250! (it's written on it). The manufacturer, by the way, is FSP (not bad IMHO). It actually works with this configuration, but with any upgrade you need to install something more powerful. I would put it at 500. PS The video "&amp;"card is NOT 9600GSO. The performance is approximately 9600GT. 1.5 GB on board is a plus.    I bought it on promotion for 20 tr (21 tr - 5% for payment by card). 27 he is certainly not worth it.")</f>
        <v>I've been using it for a month. Overall satisfied. Excellent price/performance ratio!  BUT NOT price/quality: 1. Saved on the quality of the case. No sound insulation. That's why it hummed a lot (very loud - I've never seen anything like that before). It turned out that the vibration from the hard drive was transmitted to the case (I checked - I stopped the fans, the hum was not from them). I had to soundproof the disk by hand, using self-adhesive polypropylene. It helped.  2. Since I had to open the case, I lost the warranty. The service would hardly consider the noise a malfunction.  3. The processor cooler is also noisy. Not that much, but not acceptable either. You'll have to replace it with a new one - you can't do it on your knees :) 4. The power supply is really not 300 W, but 250! (it's written on it). The manufacturer, by the way, is FSP (not bad IMHO). It actually works with this configuration, but with any upgrade you need to install something more powerful. I would put it at 500. PS The video card is NOT 9600GSO. The performance is approximately 9600GT. 1.5 GB on board is a plus.    I bought it on promotion for 20 tr (21 tr - 5% for payment by card). 27 he is certainly not worth it.</v>
      </c>
    </row>
    <row r="3351" spans="1:9" x14ac:dyDescent="0.3">
      <c r="A3351" s="1" t="s">
        <v>61</v>
      </c>
      <c r="B3351" s="1" t="s">
        <v>73</v>
      </c>
      <c r="C3351" s="1" t="s">
        <v>146</v>
      </c>
      <c r="D3351" s="1" t="s">
        <v>6106</v>
      </c>
      <c r="E3351" s="1" t="s">
        <v>1352</v>
      </c>
      <c r="F3351" s="1" t="s">
        <v>6107</v>
      </c>
      <c r="G3351" s="1" t="s">
        <v>36</v>
      </c>
      <c r="H3351" s="1" t="s">
        <v>29</v>
      </c>
      <c r="I3351" s="1" t="str">
        <f ca="1">IFERROR(__xludf.DUMMYFUNCTION("GOOGLETRANSLATE(F3351, ""auto"", ""en"")
"),"It's excellent, beautiful design, + a bunch of attachments, the only downside is a bit noisy.   Grinds everything very well.")</f>
        <v>It's excellent, beautiful design, + a bunch of attachments, the only downside is a bit noisy.   Grinds everything very well.</v>
      </c>
    </row>
    <row r="3352" spans="1:9" x14ac:dyDescent="0.3">
      <c r="A3352" s="1" t="s">
        <v>37</v>
      </c>
      <c r="B3352" s="1" t="s">
        <v>38</v>
      </c>
      <c r="C3352" s="1" t="s">
        <v>39</v>
      </c>
      <c r="D3352" s="1" t="s">
        <v>2145</v>
      </c>
      <c r="E3352" s="1" t="s">
        <v>3637</v>
      </c>
      <c r="F3352" s="1" t="s">
        <v>6108</v>
      </c>
      <c r="G3352" s="1" t="s">
        <v>36</v>
      </c>
      <c r="H3352" s="1" t="s">
        <v>29</v>
      </c>
      <c r="I3352" s="1" t="str">
        <f ca="1">IFERROR(__xludf.DUMMYFUNCTION("GOOGLETRANSLATE(F3352, ""auto"", ""en"")
"),"Great phone! I was attracted by the design, and when I tried it in action, I simply fell in love. A three-megapixel camera with flash, which is rare for the w-series, a convenient player and the main difference from other SonyEricsoon phones is the steel "&amp;"body. Not a single scratch in 4 months of use!  In general, if you want to choose a premium phone with good hardware, take it and you won’t regret it!!!")</f>
        <v>Great phone! I was attracted by the design, and when I tried it in action, I simply fell in love. A three-megapixel camera with flash, which is rare for the w-series, a convenient player and the main difference from other SonyEricsoon phones is the steel body. Not a single scratch in 4 months of use!  In general, if you want to choose a premium phone with good hardware, take it and you won’t regret it!!!</v>
      </c>
    </row>
    <row r="3353" spans="1:9" x14ac:dyDescent="0.3">
      <c r="A3353" s="1" t="s">
        <v>43</v>
      </c>
      <c r="B3353" s="1" t="s">
        <v>1370</v>
      </c>
      <c r="C3353" s="1" t="s">
        <v>2137</v>
      </c>
      <c r="D3353" s="1" t="s">
        <v>305</v>
      </c>
      <c r="E3353" s="1" t="s">
        <v>2120</v>
      </c>
      <c r="F3353" s="1" t="s">
        <v>6109</v>
      </c>
      <c r="G3353" s="1" t="s">
        <v>36</v>
      </c>
      <c r="H3353" s="1" t="s">
        <v>29</v>
      </c>
      <c r="I3353" s="1" t="str">
        <f ca="1">IFERROR(__xludf.DUMMYFUNCTION("GOOGLETRANSLATE(F3353, ""auto"", ""en"")
"),"Are you accidentally confusing “zero” with “ground”? What about “grounding” and “grounding”? If all electricians are as competent as you, then I’m scared for the work you do! In new houses, there is “earth” with that very metal bus running through all flo"&amp;"ors, but the bulk of the housing stock in Russia was built during the Soviet era, then they did not consider it necessary to put “earth” into apartments, there were no electrical appliances that needed it, the exception is an electric stove, and if you ha"&amp;"ve a gas stove, then you can forget about “earth” altogether. What news is that “ground” is required for the RCD to work? The RCD connects “phase” and “zero”! “Ground,” if there is one, goes in a separate straight line without any switching equipment from"&amp;" the ground loop to the electrical device! ! What is the difference in metals on DIN rails that threatens oxidation and loss of contact? The contact between copper and aluminum oxidizes, but anodized steel is used on DIN rails! All electrical circuits aro"&amp;"und the world are built on contacts of copper and steel or aluminum and steel!")</f>
        <v>Are you accidentally confusing “zero” with “ground”? What about “grounding” and “grounding”? If all electricians are as competent as you, then I’m scared for the work you do! In new houses, there is “earth” with that very metal bus running through all floors, but the bulk of the housing stock in Russia was built during the Soviet era, then they did not consider it necessary to put “earth” into apartments, there were no electrical appliances that needed it, the exception is an electric stove, and if you have a gas stove, then you can forget about “earth” altogether. What news is that “ground” is required for the RCD to work? The RCD connects “phase” and “zero”! “Ground,” if there is one, goes in a separate straight line without any switching equipment from the ground loop to the electrical device! ! What is the difference in metals on DIN rails that threatens oxidation and loss of contact? The contact between copper and aluminum oxidizes, but anodized steel is used on DIN rails! All electrical circuits around the world are built on contacts of copper and steel or aluminum and steel!</v>
      </c>
    </row>
    <row r="3354" spans="1:9" x14ac:dyDescent="0.3">
      <c r="A3354" s="1" t="s">
        <v>369</v>
      </c>
      <c r="B3354" s="1" t="s">
        <v>587</v>
      </c>
      <c r="C3354" s="1" t="s">
        <v>290</v>
      </c>
      <c r="D3354" s="1" t="s">
        <v>6110</v>
      </c>
      <c r="E3354" s="1" t="s">
        <v>6111</v>
      </c>
      <c r="F3354" s="1" t="s">
        <v>6112</v>
      </c>
      <c r="G3354" s="1" t="s">
        <v>36</v>
      </c>
      <c r="H3354" s="1" t="s">
        <v>29</v>
      </c>
      <c r="I3354" s="1" t="str">
        <f ca="1">IFERROR(__xludf.DUMMYFUNCTION("GOOGLETRANSLATE(F3354, ""auto"", ""en"")
"),"Hooray! I became the happy owner of this stove :) I spent a long time choosing between it and the 320 model, I think I made the right decision - it has telescopic guides, and this is very convenient when using the oven! Thanks M-Video!")</f>
        <v>Hooray! I became the happy owner of this stove :) I spent a long time choosing between it and the 320 model, I think I made the right decision - it has telescopic guides, and this is very convenient when using the oven! Thanks M-Video!</v>
      </c>
    </row>
    <row r="3355" spans="1:9" x14ac:dyDescent="0.3">
      <c r="A3355" s="1" t="s">
        <v>211</v>
      </c>
      <c r="B3355" s="1" t="s">
        <v>265</v>
      </c>
      <c r="C3355" s="1" t="s">
        <v>122</v>
      </c>
      <c r="D3355" s="1" t="s">
        <v>247</v>
      </c>
      <c r="E3355" s="1" t="s">
        <v>6113</v>
      </c>
      <c r="F3355" s="1" t="s">
        <v>6114</v>
      </c>
      <c r="G3355" s="1" t="s">
        <v>36</v>
      </c>
      <c r="H3355" s="1" t="s">
        <v>29</v>
      </c>
      <c r="I3355" s="1" t="str">
        <f ca="1">IFERROR(__xludf.DUMMYFUNCTION("GOOGLETRANSLATE(F3355, ""auto"", ""en"")
"),"We like it")</f>
        <v>We like it</v>
      </c>
    </row>
    <row r="3356" spans="1:9" x14ac:dyDescent="0.3">
      <c r="A3356" s="1" t="s">
        <v>89</v>
      </c>
      <c r="B3356" s="1" t="s">
        <v>231</v>
      </c>
      <c r="C3356" s="1" t="s">
        <v>185</v>
      </c>
      <c r="D3356" s="1" t="s">
        <v>127</v>
      </c>
      <c r="E3356" s="1" t="s">
        <v>3494</v>
      </c>
      <c r="F3356" s="1" t="s">
        <v>6115</v>
      </c>
      <c r="G3356" s="1" t="s">
        <v>36</v>
      </c>
      <c r="H3356" s="1" t="s">
        <v>29</v>
      </c>
      <c r="I3356" s="1" t="str">
        <f ca="1">IFERROR(__xludf.DUMMYFUNCTION("GOOGLETRANSLATE(F3356, ""auto"", ""en"")
"),"Coffee machine 5 points! Coffee with foam, aromatic, just like in good coffee shops. You can easily adjust the amount and strength of the drink by simply turning the knob. attractive price for such a product.   Perfect for an office where everyone loves t"&amp;"heir own special coffee and can quickly change the coffee machine settings to suit themselves. no need to go anywhere deep into the menu settings.")</f>
        <v>Coffee machine 5 points! Coffee with foam, aromatic, just like in good coffee shops. You can easily adjust the amount and strength of the drink by simply turning the knob. attractive price for such a product.   Perfect for an office where everyone loves their own special coffee and can quickly change the coffee machine settings to suit themselves. no need to go anywhere deep into the menu settings.</v>
      </c>
    </row>
    <row r="3357" spans="1:9" x14ac:dyDescent="0.3">
      <c r="A3357" s="1" t="s">
        <v>1443</v>
      </c>
      <c r="B3357" s="1" t="s">
        <v>1444</v>
      </c>
      <c r="C3357" s="1" t="s">
        <v>1489</v>
      </c>
      <c r="D3357" s="1" t="s">
        <v>203</v>
      </c>
      <c r="E3357" s="1" t="s">
        <v>6116</v>
      </c>
      <c r="F3357" s="1" t="s">
        <v>6117</v>
      </c>
      <c r="G3357" s="1" t="s">
        <v>49</v>
      </c>
      <c r="H3357" s="1" t="s">
        <v>16</v>
      </c>
      <c r="I3357" s="1" t="str">
        <f ca="1">IFERROR(__xludf.DUMMYFUNCTION("GOOGLETRANSLATE(F3357, ""auto"", ""en"")
"),"It only lasted 1 year and 3 months. When copying a movie, it froze and was not formatted in any way. We returned the money to Mvideo without any problems.")</f>
        <v>It only lasted 1 year and 3 months. When copying a movie, it froze and was not formatted in any way. We returned the money to Mvideo without any problems.</v>
      </c>
    </row>
    <row r="3358" spans="1:9" x14ac:dyDescent="0.3">
      <c r="A3358" s="1" t="s">
        <v>43</v>
      </c>
      <c r="B3358" s="1" t="s">
        <v>303</v>
      </c>
      <c r="C3358" s="1" t="s">
        <v>1721</v>
      </c>
      <c r="D3358" s="1" t="s">
        <v>6118</v>
      </c>
      <c r="E3358" s="1" t="s">
        <v>481</v>
      </c>
      <c r="F3358" s="1" t="s">
        <v>6119</v>
      </c>
      <c r="G3358" s="1" t="s">
        <v>36</v>
      </c>
      <c r="H3358" s="1" t="s">
        <v>29</v>
      </c>
      <c r="I3358" s="1" t="str">
        <f ca="1">IFERROR(__xludf.DUMMYFUNCTION("GOOGLETRANSLATE(F3358, ""auto"", ""en"")
"),"It does its job perfectly, the controls are simple and effective. There is a function to “reduce” harmful organisms (useful if the water has been standing for a long time or there is no confidence in its safety).  Looks very good, really not big, fits per"&amp;"fectly into the toilet above the cistern (does not interfere at all)")</f>
        <v>It does its job perfectly, the controls are simple and effective. There is a function to “reduce” harmful organisms (useful if the water has been standing for a long time or there is no confidence in its safety).  Looks very good, really not big, fits perfectly into the toilet above the cistern (does not interfere at all)</v>
      </c>
    </row>
    <row r="3359" spans="1:9" x14ac:dyDescent="0.3">
      <c r="A3359" s="1" t="s">
        <v>149</v>
      </c>
      <c r="B3359" s="1" t="s">
        <v>576</v>
      </c>
      <c r="C3359" s="1" t="s">
        <v>80</v>
      </c>
      <c r="D3359" s="1" t="s">
        <v>5431</v>
      </c>
      <c r="E3359" s="1" t="s">
        <v>3184</v>
      </c>
      <c r="F3359" s="1" t="s">
        <v>6120</v>
      </c>
      <c r="G3359" s="1" t="s">
        <v>49</v>
      </c>
      <c r="H3359" s="1" t="s">
        <v>16</v>
      </c>
      <c r="I3359" s="1" t="str">
        <f ca="1">IFERROR(__xludf.DUMMYFUNCTION("GOOGLETRANSLATE(F3359, ""auto"", ""en"")
"),"It couldn't be worse!!!!!  The air blows out anywhere: from behind, through the wheel on the side, but not through the HEPA filter.")</f>
        <v>It couldn't be worse!!!!!  The air blows out anywhere: from behind, through the wheel on the side, but not through the HEPA filter.</v>
      </c>
    </row>
    <row r="3360" spans="1:9" x14ac:dyDescent="0.3">
      <c r="A3360" s="1" t="s">
        <v>105</v>
      </c>
      <c r="B3360" s="1" t="s">
        <v>106</v>
      </c>
      <c r="C3360" s="1" t="s">
        <v>1921</v>
      </c>
      <c r="D3360" s="1" t="s">
        <v>749</v>
      </c>
      <c r="E3360" s="1" t="s">
        <v>3184</v>
      </c>
      <c r="F3360" s="1" t="s">
        <v>6121</v>
      </c>
      <c r="G3360" s="1" t="s">
        <v>28</v>
      </c>
      <c r="H3360" s="1" t="s">
        <v>29</v>
      </c>
      <c r="I3360" s="1" t="str">
        <f ca="1">IFERROR(__xludf.DUMMYFUNCTION("GOOGLETRANSLATE(F3360, ""auto"", ""en"")
"),"The player is simply super - I liked it right away")</f>
        <v>The player is simply super - I liked it right away</v>
      </c>
    </row>
    <row r="3361" spans="1:9" x14ac:dyDescent="0.3">
      <c r="A3361" s="1" t="s">
        <v>95</v>
      </c>
      <c r="B3361" s="1" t="s">
        <v>227</v>
      </c>
      <c r="C3361" s="1" t="s">
        <v>97</v>
      </c>
      <c r="D3361" s="1" t="s">
        <v>411</v>
      </c>
      <c r="E3361" s="1" t="s">
        <v>6122</v>
      </c>
      <c r="F3361" s="1" t="s">
        <v>6123</v>
      </c>
      <c r="G3361" s="1" t="s">
        <v>36</v>
      </c>
      <c r="H3361" s="1" t="s">
        <v>29</v>
      </c>
      <c r="I3361" s="1" t="str">
        <f ca="1">IFERROR(__xludf.DUMMYFUNCTION("GOOGLETRANSLATE(F3361, ""auto"", ""en"")
"),"I have been the owner of a PS3 console for several years now. But now we’re not talking about the brand new Slim version, but about the PlayStation 3 in general. It's time to buy yourself this magnificent fruit of Japanese engineering. The PS3 console has"&amp;" become synonymous with reliability, high-quality and free service, high-definition movies and, of course, OUTSTANDING VIDEO GAMES. There's a lot to be said about Sony's online service, where you can not only try out the latest demos of games, but also pu"&amp;"rchase great little games that will give you a lot of fun for a few dollars, as well as buy additional content for the games you love. You can remember for a long time the impressions of watching films in crazy Blu-Ray quality. However, the games make the"&amp;" console. And here, few can argue with the “Japanese beast”. A huge number of hits and many amazing exclusives will give you tens and even hundreds of hours of continuous fun! Have you played through your favorite games two or three times? Welcome to mult"&amp;"iplayer, where you can fight with friends or just have a great time on Playstation Home without any worries. You can talk for a long time, but “it’s better to see once than to hear a hundred times!” “Slimka” is a compact and most convenient to use version"&amp;" of the PS3, and at a price of only 14,000 rubles (I bought mine for 23,000 rubles!!!!!!!) And don’t forget that by saving 34% of electricity with the new PS3, you are saving our planet :):):) .   Z.Y. I AM NOT A SCEE EMPLOYEE!!!!!! I'm just a satisfied u"&amp;"ser who wants to share my thoughts about this product with you. Let's meet in multiplayer Uncharted 2 and Call of Duty 6! Enjoy your game!")</f>
        <v>I have been the owner of a PS3 console for several years now. But now we’re not talking about the brand new Slim version, but about the PlayStation 3 in general. It's time to buy yourself this magnificent fruit of Japanese engineering. The PS3 console has become synonymous with reliability, high-quality and free service, high-definition movies and, of course, OUTSTANDING VIDEO GAMES. There's a lot to be said about Sony's online service, where you can not only try out the latest demos of games, but also purchase great little games that will give you a lot of fun for a few dollars, as well as buy additional content for the games you love. You can remember for a long time the impressions of watching films in crazy Blu-Ray quality. However, the games make the console. And here, few can argue with the “Japanese beast”. A huge number of hits and many amazing exclusives will give you tens and even hundreds of hours of continuous fun! Have you played through your favorite games two or three times? Welcome to multiplayer, where you can fight with friends or just have a great time on Playstation Home without any worries. You can talk for a long time, but “it’s better to see once than to hear a hundred times!” “Slimka” is a compact and most convenient to use version of the PS3, and at a price of only 14,000 rubles (I bought mine for 23,000 rubles!!!!!!!) And don’t forget that by saving 34% of electricity with the new PS3, you are saving our planet :):):) .   Z.Y. I AM NOT A SCEE EMPLOYEE!!!!!! I'm just a satisfied user who wants to share my thoughts about this product with you. Let's meet in multiplayer Uncharted 2 and Call of Duty 6! Enjoy your game!</v>
      </c>
    </row>
    <row r="3362" spans="1:9" x14ac:dyDescent="0.3">
      <c r="A3362" s="1" t="s">
        <v>149</v>
      </c>
      <c r="B3362" s="1" t="s">
        <v>576</v>
      </c>
      <c r="C3362" s="1" t="s">
        <v>122</v>
      </c>
      <c r="D3362" s="1" t="s">
        <v>33</v>
      </c>
      <c r="E3362" s="1" t="s">
        <v>1931</v>
      </c>
      <c r="F3362" s="1" t="s">
        <v>6124</v>
      </c>
      <c r="G3362" s="1" t="s">
        <v>28</v>
      </c>
      <c r="H3362" s="1" t="s">
        <v>29</v>
      </c>
      <c r="I3362" s="1" t="str">
        <f ca="1">IFERROR(__xludf.DUMMYFUNCTION("GOOGLETRANSLATE(F3362, ""auto"", ""en"")
"),"I bought a pretty good vacuum cleaner for my own money for 6250, it has more than enough power, but it doesn’t make much noise, you can hear the air in the brush more than the vacuum cleaner itself, it filters the air perfectly!  Disadvantages: 1. the hos"&amp;"e beats with static electricity (but invigorates) 2. when turned on, the housing rattles when unwinding.    Conclusion: a decent technological device, with the best suction power and current consumption, as well as noise (if you look at the ratio) in its "&amp;"price range. Let's see how long this ""miracle"" will last.")</f>
        <v>I bought a pretty good vacuum cleaner for my own money for 6250, it has more than enough power, but it doesn’t make much noise, you can hear the air in the brush more than the vacuum cleaner itself, it filters the air perfectly!  Disadvantages: 1. the hose beats with static electricity (but invigorates) 2. when turned on, the housing rattles when unwinding.    Conclusion: a decent technological device, with the best suction power and current consumption, as well as noise (if you look at the ratio) in its price range. Let's see how long this "miracle" will last.</v>
      </c>
    </row>
    <row r="3363" spans="1:9" x14ac:dyDescent="0.3">
      <c r="A3363" s="1" t="s">
        <v>17</v>
      </c>
      <c r="B3363" s="1" t="s">
        <v>18</v>
      </c>
      <c r="C3363" s="1" t="s">
        <v>151</v>
      </c>
      <c r="D3363" s="1" t="s">
        <v>6125</v>
      </c>
      <c r="E3363" s="1" t="s">
        <v>4176</v>
      </c>
      <c r="F3363" s="1" t="s">
        <v>6126</v>
      </c>
      <c r="G3363" s="1" t="s">
        <v>36</v>
      </c>
      <c r="H3363" s="1" t="s">
        <v>29</v>
      </c>
      <c r="I3363" s="1" t="str">
        <f ca="1">IFERROR(__xludf.DUMMYFUNCTION("GOOGLETRANSLATE(F3363, ""auto"", ""en"")
"),"I don’t know if this is necessary or not, but it takes up very little water. It only moisturizes the laundry, but there is no water in the drum. This confuses me. I don’t know if I should call a professional or if this is how it’s supposed to be. Maybe so"&amp;"meone can tell me?")</f>
        <v>I don’t know if this is necessary or not, but it takes up very little water. It only moisturizes the laundry, but there is no water in the drum. This confuses me. I don’t know if I should call a professional or if this is how it’s supposed to be. Maybe someone can tell me?</v>
      </c>
    </row>
    <row r="3364" spans="1:9" x14ac:dyDescent="0.3">
      <c r="A3364" s="1" t="s">
        <v>17</v>
      </c>
      <c r="B3364" s="1" t="s">
        <v>18</v>
      </c>
      <c r="C3364" s="1" t="s">
        <v>24</v>
      </c>
      <c r="D3364" s="1" t="s">
        <v>6127</v>
      </c>
      <c r="E3364" s="1" t="s">
        <v>822</v>
      </c>
      <c r="F3364" s="1" t="s">
        <v>6128</v>
      </c>
      <c r="G3364" s="1" t="s">
        <v>36</v>
      </c>
      <c r="H3364" s="1" t="s">
        <v>29</v>
      </c>
      <c r="I3364" s="1" t="str">
        <f ca="1">IFERROR(__xludf.DUMMYFUNCTION("GOOGLETRANSLATE(F3364, ""auto"", ""en"")
"),"I bought it and installed it (built it into the kitchen cabinet by removing the top cover). He copes with his duties with a bang. The indication of the remaining washing time works clearly: what is shown on the display is how much time is actually left un"&amp;"til the end. It wrings out well, and what is also important is that there is not much vibration. At 1000 rpm the machine vibrates, but stands still, i.e. doesn't try to jump out of place. This makes me happy. Although it is not set exactly to the level, b"&amp;"ecause... The floor is basically crooked, and only the front legs are adjustable (the first minus). The second disadvantage is that there is no hole for emergency drainage of water. Those. in the place where there should be a hole with a plug, there is ju"&amp;"st a piece of plastic. Those. If you have to drain the water in emergency mode (the drain filter gets clogged), you will need to unscrew the filter itself and all the water will flow onto the floor, because The filter hole is too low and you can't put any"&amp;"thing under it. Overall, I'm very pleased with the machine. I recommend it.")</f>
        <v>I bought it and installed it (built it into the kitchen cabinet by removing the top cover). He copes with his duties with a bang. The indication of the remaining washing time works clearly: what is shown on the display is how much time is actually left until the end. It wrings out well, and what is also important is that there is not much vibration. At 1000 rpm the machine vibrates, but stands still, i.e. doesn't try to jump out of place. This makes me happy. Although it is not set exactly to the level, because... The floor is basically crooked, and only the front legs are adjustable (the first minus). The second disadvantage is that there is no hole for emergency drainage of water. Those. in the place where there should be a hole with a plug, there is just a piece of plastic. Those. If you have to drain the water in emergency mode (the drain filter gets clogged), you will need to unscrew the filter itself and all the water will flow onto the floor, because The filter hole is too low and you can't put anything under it. Overall, I'm very pleased with the machine. I recommend it.</v>
      </c>
    </row>
    <row r="3365" spans="1:9" x14ac:dyDescent="0.3">
      <c r="A3365" s="1" t="s">
        <v>37</v>
      </c>
      <c r="B3365" s="1" t="s">
        <v>536</v>
      </c>
      <c r="C3365" s="1" t="s">
        <v>39</v>
      </c>
      <c r="D3365" s="1" t="s">
        <v>1055</v>
      </c>
      <c r="E3365" s="1" t="s">
        <v>1345</v>
      </c>
      <c r="F3365" s="1" t="s">
        <v>6129</v>
      </c>
      <c r="G3365" s="1" t="s">
        <v>36</v>
      </c>
      <c r="H3365" s="1" t="s">
        <v>29</v>
      </c>
      <c r="I3365" s="1" t="str">
        <f ca="1">IFERROR(__xludf.DUMMYFUNCTION("GOOGLETRANSLATE(F3365, ""auto"", ""en"")
"),"I've been using the phone for more than a month. I was looking for a communicator with a good office, since I work in the field of freelancing and I simply need Word, both at home and when traveling.  The phone met all expectations. Easy to learn, easy to"&amp;" use, great sound. Just understand the settings. When it’s impossible to take a laptop with you, xperia is a godsend.   There will be only one drawback in the phone - the reluctance to understand it and feel that this is exactly what you need. But we are "&amp;"already on familiar terms with him!   The score is ten or even more.  I recommend!")</f>
        <v>I've been using the phone for more than a month. I was looking for a communicator with a good office, since I work in the field of freelancing and I simply need Word, both at home and when traveling.  The phone met all expectations. Easy to learn, easy to use, great sound. Just understand the settings. When it’s impossible to take a laptop with you, xperia is a godsend.   There will be only one drawback in the phone - the reluctance to understand it and feel that this is exactly what you need. But we are already on familiar terms with him!   The score is ten or even more.  I recommend!</v>
      </c>
    </row>
    <row r="3366" spans="1:9" x14ac:dyDescent="0.3">
      <c r="A3366" s="1" t="s">
        <v>17</v>
      </c>
      <c r="B3366" s="1" t="s">
        <v>18</v>
      </c>
      <c r="C3366" s="1" t="s">
        <v>19</v>
      </c>
      <c r="D3366" s="1" t="s">
        <v>247</v>
      </c>
      <c r="E3366" s="1" t="s">
        <v>971</v>
      </c>
      <c r="F3366" s="1" t="s">
        <v>6130</v>
      </c>
      <c r="G3366" s="1" t="s">
        <v>36</v>
      </c>
      <c r="H3366" s="1" t="s">
        <v>29</v>
      </c>
      <c r="I3366" s="1" t="str">
        <f ca="1">IFERROR(__xludf.DUMMYFUNCTION("GOOGLETRANSLATE(F3366, ""auto"", ""en"")
"),"The car is just super! It washes perfectly, does not make noise, does not vibrate. It washes very quietly. Easy to use, shirt washing program is great! In general, I highly recommend it. Ideal price-quality ratio!")</f>
        <v>The car is just super! It washes perfectly, does not make noise, does not vibrate. It washes very quietly. Easy to use, shirt washing program is great! In general, I highly recommend it. Ideal price-quality ratio!</v>
      </c>
    </row>
    <row r="3367" spans="1:9" x14ac:dyDescent="0.3">
      <c r="A3367" s="1" t="s">
        <v>78</v>
      </c>
      <c r="B3367" s="1" t="s">
        <v>1163</v>
      </c>
      <c r="C3367" s="1" t="s">
        <v>1224</v>
      </c>
      <c r="D3367" s="1" t="s">
        <v>64</v>
      </c>
      <c r="E3367" s="1" t="s">
        <v>1207</v>
      </c>
      <c r="F3367" s="1" t="s">
        <v>6131</v>
      </c>
      <c r="G3367" s="1" t="s">
        <v>36</v>
      </c>
      <c r="H3367" s="1" t="s">
        <v>29</v>
      </c>
      <c r="I3367" s="1" t="str">
        <f ca="1">IFERROR(__xludf.DUMMYFUNCTION("GOOGLETRANSLATE(F3367, ""auto"", ""en"")
"),"We bought it as a gift for my mother, now I want one myself. Cool look, low price, convenient and easy to use.")</f>
        <v>We bought it as a gift for my mother, now I want one myself. Cool look, low price, convenient and easy to use.</v>
      </c>
    </row>
    <row r="3368" spans="1:9" x14ac:dyDescent="0.3">
      <c r="A3368" s="1" t="s">
        <v>67</v>
      </c>
      <c r="B3368" s="1" t="s">
        <v>340</v>
      </c>
      <c r="C3368" s="1" t="s">
        <v>1634</v>
      </c>
      <c r="D3368" s="1" t="s">
        <v>6132</v>
      </c>
      <c r="E3368" s="1" t="s">
        <v>1864</v>
      </c>
      <c r="F3368" s="1" t="s">
        <v>6133</v>
      </c>
      <c r="G3368" s="1" t="s">
        <v>36</v>
      </c>
      <c r="H3368" s="1" t="s">
        <v>29</v>
      </c>
      <c r="I3368" s="1" t="str">
        <f ca="1">IFERROR(__xludf.DUMMYFUNCTION("GOOGLETRANSLATE(F3368, ""auto"", ""en"")
"),"I purchased this model of machine and am very pleased, it’s just a fairy tale, comfortable, light, excellent selection of lines and overlock, in general, I recommend it.")</f>
        <v>I purchased this model of machine and am very pleased, it’s just a fairy tale, comfortable, light, excellent selection of lines and overlock, in general, I recommend it.</v>
      </c>
    </row>
    <row r="3369" spans="1:9" x14ac:dyDescent="0.3">
      <c r="A3369" s="1" t="s">
        <v>624</v>
      </c>
      <c r="B3369" s="1" t="s">
        <v>2107</v>
      </c>
      <c r="C3369" s="1" t="s">
        <v>479</v>
      </c>
      <c r="D3369" s="1" t="s">
        <v>52</v>
      </c>
      <c r="E3369" s="1" t="s">
        <v>2882</v>
      </c>
      <c r="F3369" s="1" t="s">
        <v>6134</v>
      </c>
      <c r="G3369" s="1" t="s">
        <v>36</v>
      </c>
      <c r="H3369" s="1" t="s">
        <v>29</v>
      </c>
      <c r="I3369" s="1" t="str">
        <f ca="1">IFERROR(__xludf.DUMMYFUNCTION("GOOGLETRANSLATE(F3369, ""auto"", ""en"")
"),"the graphics are simply super, a huge selection of fighters (excellent similarity), the physics of the battle are all A+, and of course FEDOR EMELYANENKO is the only reason I want to play it (I myself have been playing since its release to this day)")</f>
        <v>the graphics are simply super, a huge selection of fighters (excellent similarity), the physics of the battle are all A+, and of course FEDOR EMELYANENKO is the only reason I want to play it (I myself have been playing since its release to this day)</v>
      </c>
    </row>
    <row r="3370" spans="1:9" x14ac:dyDescent="0.3">
      <c r="A3370" s="1" t="s">
        <v>17</v>
      </c>
      <c r="B3370" s="1" t="s">
        <v>18</v>
      </c>
      <c r="C3370" s="1" t="s">
        <v>63</v>
      </c>
      <c r="D3370" s="1" t="s">
        <v>64</v>
      </c>
      <c r="E3370" s="1" t="s">
        <v>1275</v>
      </c>
      <c r="F3370" s="1" t="s">
        <v>6135</v>
      </c>
      <c r="G3370" s="1" t="s">
        <v>36</v>
      </c>
      <c r="H3370" s="1" t="s">
        <v>29</v>
      </c>
      <c r="I3370" s="1" t="str">
        <f ca="1">IFERROR(__xludf.DUMMYFUNCTION("GOOGLETRANSLATE(F3370, ""auto"", ""en"")
"),"My dear irreplaceable assistant! I can describe it as an excellent student (t-t-t) :-) A very nice feature is the child lock. My little one appreciated the lock: he no longer wants to press the buttons - a useless idea, just unnecessary noise :-)")</f>
        <v>My dear irreplaceable assistant! I can describe it as an excellent student (t-t-t) :-) A very nice feature is the child lock. My little one appreciated the lock: he no longer wants to press the buttons - a useless idea, just unnecessary noise :-)</v>
      </c>
    </row>
    <row r="3371" spans="1:9" x14ac:dyDescent="0.3">
      <c r="A3371" s="1" t="s">
        <v>89</v>
      </c>
      <c r="B3371" s="1" t="s">
        <v>231</v>
      </c>
      <c r="C3371" s="1" t="s">
        <v>185</v>
      </c>
      <c r="D3371" s="1" t="s">
        <v>1329</v>
      </c>
      <c r="E3371" s="1" t="s">
        <v>1029</v>
      </c>
      <c r="F3371" s="1" t="s">
        <v>6136</v>
      </c>
      <c r="G3371" s="1" t="s">
        <v>36</v>
      </c>
      <c r="H3371" s="1" t="s">
        <v>29</v>
      </c>
      <c r="I3371" s="1" t="str">
        <f ca="1">IFERROR(__xludf.DUMMYFUNCTION("GOOGLETRANSLATE(F3371, ""auto"", ""en"")
"),"I’ve been using it for the second month and so far I’m happy with it. This is my first coffee machine, so I have nothing to compare with. It works noisily (compared to a friend's Bosch), but personally this does not bother me at all. The coffee is delicio"&amp;"us (again, subjective opinion). It’s not clear how the waste fill sensor works; sometimes it works after 2 cups, other times it’s enough for 10 cups.  No significant shortcomings were found, and considering the price tag (on sale, a display sample, from a"&amp;"nother city was cheap) the machine is simply super!")</f>
        <v>I’ve been using it for the second month and so far I’m happy with it. This is my first coffee machine, so I have nothing to compare with. It works noisily (compared to a friend's Bosch), but personally this does not bother me at all. The coffee is delicious (again, subjective opinion). It’s not clear how the waste fill sensor works; sometimes it works after 2 cups, other times it’s enough for 10 cups.  No significant shortcomings were found, and considering the price tag (on sale, a display sample, from another city was cheap) the machine is simply super!</v>
      </c>
    </row>
    <row r="3372" spans="1:9" x14ac:dyDescent="0.3">
      <c r="A3372" s="1" t="s">
        <v>211</v>
      </c>
      <c r="B3372" s="1" t="s">
        <v>212</v>
      </c>
      <c r="C3372" s="1" t="s">
        <v>294</v>
      </c>
      <c r="D3372" s="1" t="s">
        <v>471</v>
      </c>
      <c r="E3372" s="1" t="s">
        <v>3337</v>
      </c>
      <c r="F3372" s="1" t="s">
        <v>6137</v>
      </c>
      <c r="G3372" s="1" t="s">
        <v>36</v>
      </c>
      <c r="H3372" s="1" t="s">
        <v>29</v>
      </c>
      <c r="I3372" s="1" t="str">
        <f ca="1">IFERROR(__xludf.DUMMYFUNCTION("GOOGLETRANSLATE(F3372, ""auto"", ""en"")
"),"The curling iron is just great! Heats up very quickly, the temperature is adjustable and a very useful swivel tip with a cord, thanks to which the wire does not get tangled! And the curls turn out just great! I went with them for 3 days! Take it - you won"&amp;"'t regret it! And don’t overpay for more expensive devices!")</f>
        <v>The curling iron is just great! Heats up very quickly, the temperature is adjustable and a very useful swivel tip with a cord, thanks to which the wire does not get tangled! And the curls turn out just great! I went with them for 3 days! Take it - you won't regret it! And don’t overpay for more expensive devices!</v>
      </c>
    </row>
    <row r="3373" spans="1:9" x14ac:dyDescent="0.3">
      <c r="A3373" s="1" t="s">
        <v>89</v>
      </c>
      <c r="B3373" s="1" t="s">
        <v>90</v>
      </c>
      <c r="C3373" s="1" t="s">
        <v>63</v>
      </c>
      <c r="D3373" s="1" t="s">
        <v>521</v>
      </c>
      <c r="E3373" s="1" t="s">
        <v>3835</v>
      </c>
      <c r="F3373" s="1" t="s">
        <v>6138</v>
      </c>
      <c r="G3373" s="1" t="s">
        <v>36</v>
      </c>
      <c r="H3373" s="1" t="s">
        <v>29</v>
      </c>
      <c r="I3373" s="1" t="str">
        <f ca="1">IFERROR(__xludf.DUMMYFUNCTION("GOOGLETRANSLATE(F3373, ""auto"", ""en"")
"),"The coffee grinder has worked for at least 15 years, no complaints about its operation, it grinds everything perfectly: coffee, powdered sugar. We drink coffee every day, so I worked constantly throughout. Nothing cracked anywhere, the lid is thick, so th"&amp;"ere are no cracks either.")</f>
        <v>The coffee grinder has worked for at least 15 years, no complaints about its operation, it grinds everything perfectly: coffee, powdered sugar. We drink coffee every day, so I worked constantly throughout. Nothing cracked anywhere, the lid is thick, so there are no cracks either.</v>
      </c>
    </row>
    <row r="3374" spans="1:9" x14ac:dyDescent="0.3">
      <c r="A3374" s="1" t="s">
        <v>373</v>
      </c>
      <c r="B3374" s="1" t="s">
        <v>374</v>
      </c>
      <c r="C3374" s="1" t="s">
        <v>19</v>
      </c>
      <c r="D3374" s="1" t="s">
        <v>247</v>
      </c>
      <c r="E3374" s="1" t="s">
        <v>4969</v>
      </c>
      <c r="F3374" s="1" t="s">
        <v>6139</v>
      </c>
      <c r="G3374" s="1" t="s">
        <v>36</v>
      </c>
      <c r="H3374" s="1" t="s">
        <v>29</v>
      </c>
      <c r="I3374" s="1" t="str">
        <f ca="1">IFERROR(__xludf.DUMMYFUNCTION("GOOGLETRANSLATE(F3374, ""auto"", ""en"")
"),"My husband gave me this model on March 8th, I’ve been using it for 1.5 months now and I’m very pleased. It cleans pots superbly, even old carbon deposits are gradually washed off. The most I do is remove leftover food and put everything in the dishwasher."&amp;".. freed up a lot of time... very good helper in the kitchen. I upload twice a day. A very convenient function to postpone the washing time for 3, 6, 8 hours in the evening, loaded it, set it to this mode, and in the morning the dishes were already clean."&amp;" SUPER!!!")</f>
        <v>My husband gave me this model on March 8th, I’ve been using it for 1.5 months now and I’m very pleased. It cleans pots superbly, even old carbon deposits are gradually washed off. The most I do is remove leftover food and put everything in the dishwasher... freed up a lot of time... very good helper in the kitchen. I upload twice a day. A very convenient function to postpone the washing time for 3, 6, 8 hours in the evening, loaded it, set it to this mode, and in the morning the dishes were already clean. SUPER!!!</v>
      </c>
    </row>
    <row r="3375" spans="1:9" x14ac:dyDescent="0.3">
      <c r="A3375" s="1" t="s">
        <v>361</v>
      </c>
      <c r="B3375" s="1" t="s">
        <v>1077</v>
      </c>
      <c r="C3375" s="1" t="s">
        <v>561</v>
      </c>
      <c r="D3375" s="1" t="s">
        <v>52</v>
      </c>
      <c r="E3375" s="1" t="s">
        <v>1553</v>
      </c>
      <c r="F3375" s="1" t="s">
        <v>6140</v>
      </c>
      <c r="G3375" s="1" t="s">
        <v>49</v>
      </c>
      <c r="H3375" s="1" t="s">
        <v>16</v>
      </c>
      <c r="I3375" s="1" t="str">
        <f ca="1">IFERROR(__xludf.DUMMYFUNCTION("GOOGLETRANSLATE(F3375, ""auto"", ""en"")
"),"Rust appeared the next day, the store looked at it and said that this product cannot be returned or exchanged, and the rust is scale from water. It's a waste of money, the quality sucks.")</f>
        <v>Rust appeared the next day, the store looked at it and said that this product cannot be returned or exchanged, and the rust is scale from water. It's a waste of money, the quality sucks.</v>
      </c>
    </row>
    <row r="3376" spans="1:9" x14ac:dyDescent="0.3">
      <c r="A3376" s="1" t="s">
        <v>67</v>
      </c>
      <c r="B3376" s="1" t="s">
        <v>68</v>
      </c>
      <c r="C3376" s="1" t="s">
        <v>381</v>
      </c>
      <c r="D3376" s="1" t="s">
        <v>420</v>
      </c>
      <c r="E3376" s="1" t="s">
        <v>6141</v>
      </c>
      <c r="F3376" s="1" t="s">
        <v>6142</v>
      </c>
      <c r="G3376" s="1" t="s">
        <v>36</v>
      </c>
      <c r="H3376" s="1" t="s">
        <v>29</v>
      </c>
      <c r="I3376" s="1" t="str">
        <f ca="1">IFERROR(__xludf.DUMMYFUNCTION("GOOGLETRANSLATE(F3376, ""auto"", ""en"")
"),"Rowenta gives a lot of steam, irons perfectly, the design is cool, the linen, wool mode is highlighted, and so on. But most importantly, I repeat, it irons things out perfectly, making funny sounds in the process))")</f>
        <v>Rowenta gives a lot of steam, irons perfectly, the design is cool, the linen, wool mode is highlighted, and so on. But most importantly, I repeat, it irons things out perfectly, making funny sounds in the process))</v>
      </c>
    </row>
    <row r="3377" spans="1:9" x14ac:dyDescent="0.3">
      <c r="A3377" s="1" t="s">
        <v>9</v>
      </c>
      <c r="B3377" s="1" t="s">
        <v>874</v>
      </c>
      <c r="C3377" s="1" t="s">
        <v>588</v>
      </c>
      <c r="D3377" s="1" t="s">
        <v>3820</v>
      </c>
      <c r="E3377" s="1" t="s">
        <v>5879</v>
      </c>
      <c r="F3377" s="1" t="s">
        <v>6143</v>
      </c>
      <c r="G3377" s="1" t="s">
        <v>49</v>
      </c>
      <c r="H3377" s="1" t="s">
        <v>16</v>
      </c>
      <c r="I3377" s="1" t="str">
        <f ca="1">IFERROR(__xludf.DUMMYFUNCTION("GOOGLETRANSLATE(F3377, ""auto"", ""en"")
"),"Is this kit suitable if the hob and cabinet are in different places?  The oven is separately built-in")</f>
        <v>Is this kit suitable if the hob and cabinet are in different places?  The oven is separately built-in</v>
      </c>
    </row>
    <row r="3378" spans="1:9" x14ac:dyDescent="0.3">
      <c r="A3378" s="1" t="s">
        <v>30</v>
      </c>
      <c r="B3378" s="1" t="s">
        <v>50</v>
      </c>
      <c r="C3378" s="1" t="s">
        <v>377</v>
      </c>
      <c r="D3378" s="1" t="s">
        <v>6144</v>
      </c>
      <c r="E3378" s="1" t="s">
        <v>849</v>
      </c>
      <c r="F3378" s="1" t="s">
        <v>6145</v>
      </c>
      <c r="G3378" s="1" t="s">
        <v>36</v>
      </c>
      <c r="H3378" s="1" t="s">
        <v>29</v>
      </c>
      <c r="I3378" s="1" t="str">
        <f ca="1">IFERROR(__xludf.DUMMYFUNCTION("GOOGLETRANSLATE(F3378, ""auto"", ""en"")
"),"I purchased several copies of this PC for clients. I simply snatched the Acers from their hands and led them by the hand to the hp compaq mini). Moreover, no one regretted it - on the contrary, everyone was satisfied.   Pros: fans of minimalism will like "&amp;"the laconic design with a touch of glamor; the case is made of non-marking plastic, on which fingerprints and minor abrasions are not visible; bright display - compared to my Asus EEE PC 900, matte with anti-glare coating; a fast hard drive of current siz"&amp;"e; the OS serial number allows activation of the regular XP Home SP3 OEM distribution - which means that once you get it, you can “trim” the system with programs like nLite, receiving additional performance benefits; the keyboard is incredibly large for a"&amp;" netbook - comparable to a full-size one; relatively quiet ventilation - when compared with ViewSonic, almost silent - but EEE PC is even quieter; three USB connectors; conveniently located connectors for card reader, headphones and external display; roun"&amp;"ded edges of the case - easier to take out and put away in a tight bag, not heavy in comparison with the same Asus EEE PC 900 - these are the most significant points for me.   There are also disadvantages: a non-standard touchpad that requires some gettin"&amp;"g used to - it’s not bad, just unusual; easily soiled top cover; lack of a built-in BlueTooth module (!!!), Wi-Fi without support for the 802.11N standard, although on a Broadcom chip, takes a relatively long time to receive an IP address from the DHPC of"&amp;" my router, also, the Wi-Fi driver with a Cyrillic word in the name confused KIS2010 (Kaspersky Internet Security) - it could not cope with the Cyrillic alphabet (!) and incorrectly displays the names of networks in the “Firewall” module - therefore, it i"&amp;"s impossible to assign them the status of trusted ones - and allow file sharing on the home network - this problem has not yet been solved by either Kaspersky employees or Broadcom employees. The package does not include a case - before you scratch the ma"&amp;"chine, purchase a case from a suitable portable DVD player. The battery lasted for two hours. Perhaps, by playing with the brightness of the backlight, you can squeeze out more - but then you won’t change your eyes.  Overall, a nice model in a case made o"&amp;"f high-quality materials and with good performance and interface - monitor and keyboard. If you buy a compact wireless mouse from Defender or Logitech for company, do the right thing. Five - but with some minor drawbacks!")</f>
        <v>I purchased several copies of this PC for clients. I simply snatched the Acers from their hands and led them by the hand to the hp compaq mini). Moreover, no one regretted it - on the contrary, everyone was satisfied.   Pros: fans of minimalism will like the laconic design with a touch of glamor; the case is made of non-marking plastic, on which fingerprints and minor abrasions are not visible; bright display - compared to my Asus EEE PC 900, matte with anti-glare coating; a fast hard drive of current size; the OS serial number allows activation of the regular XP Home SP3 OEM distribution - which means that once you get it, you can “trim” the system with programs like nLite, receiving additional performance benefits; the keyboard is incredibly large for a netbook - comparable to a full-size one; relatively quiet ventilation - when compared with ViewSonic, almost silent - but EEE PC is even quieter; three USB connectors; conveniently located connectors for card reader, headphones and external display; rounded edges of the case - easier to take out and put away in a tight bag, not heavy in comparison with the same Asus EEE PC 900 - these are the most significant points for me.   There are also disadvantages: a non-standard touchpad that requires some getting used to - it’s not bad, just unusual; easily soiled top cover; lack of a built-in BlueTooth module (!!!), Wi-Fi without support for the 802.11N standard, although on a Broadcom chip, takes a relatively long time to receive an IP address from the DHPC of my router, also, the Wi-Fi driver with a Cyrillic word in the name confused KIS2010 (Kaspersky Internet Security) - it could not cope with the Cyrillic alphabet (!) and incorrectly displays the names of networks in the “Firewall” module - therefore, it is impossible to assign them the status of trusted ones - and allow file sharing on the home network - this problem has not yet been solved by either Kaspersky employees or Broadcom employees. The package does not include a case - before you scratch the machine, purchase a case from a suitable portable DVD player. The battery lasted for two hours. Perhaps, by playing with the brightness of the backlight, you can squeeze out more - but then you won’t change your eyes.  Overall, a nice model in a case made of high-quality materials and with good performance and interface - monitor and keyboard. If you buy a compact wireless mouse from Defender or Logitech for company, do the right thing. Five - but with some minor drawbacks!</v>
      </c>
    </row>
    <row r="3379" spans="1:9" x14ac:dyDescent="0.3">
      <c r="A3379" s="1" t="s">
        <v>1443</v>
      </c>
      <c r="B3379" s="1" t="s">
        <v>1444</v>
      </c>
      <c r="C3379" s="1" t="s">
        <v>6146</v>
      </c>
      <c r="D3379" s="1" t="s">
        <v>152</v>
      </c>
      <c r="E3379" s="1" t="s">
        <v>1651</v>
      </c>
      <c r="F3379" s="1" t="s">
        <v>6147</v>
      </c>
      <c r="G3379" s="1" t="s">
        <v>36</v>
      </c>
      <c r="H3379" s="1" t="s">
        <v>29</v>
      </c>
      <c r="I3379" s="1" t="str">
        <f ca="1">IFERROR(__xludf.DUMMYFUNCTION("GOOGLETRANSLATE(F3379, ""auto"", ""en"")
"),"Awesome flash drive, a girl gave it to me for New Year, it’s very pleasant to hold in your hands, the polished metal is super, anyone who needs a flash drive should take it, although you don’t have to take it, just let me have one :D")</f>
        <v>Awesome flash drive, a girl gave it to me for New Year, it’s very pleasant to hold in your hands, the polished metal is super, anyone who needs a flash drive should take it, although you don’t have to take it, just let me have one :D</v>
      </c>
    </row>
    <row r="3380" spans="1:9" x14ac:dyDescent="0.3">
      <c r="A3380" s="1" t="s">
        <v>17</v>
      </c>
      <c r="B3380" s="1" t="s">
        <v>18</v>
      </c>
      <c r="C3380" s="1" t="s">
        <v>63</v>
      </c>
      <c r="D3380" s="1" t="s">
        <v>548</v>
      </c>
      <c r="E3380" s="1" t="s">
        <v>140</v>
      </c>
      <c r="F3380" s="1" t="s">
        <v>6148</v>
      </c>
      <c r="G3380" s="1" t="s">
        <v>36</v>
      </c>
      <c r="H3380" s="1" t="s">
        <v>29</v>
      </c>
      <c r="I3380" s="1" t="str">
        <f ca="1">IFERROR(__xludf.DUMMYFUNCTION("GOOGLETRANSLATE(F3380, ""auto"", ""en"")
"),"I bought this machine 2 years ago, no complaints, it works great.")</f>
        <v>I bought this machine 2 years ago, no complaints, it works great.</v>
      </c>
    </row>
    <row r="3381" spans="1:9" x14ac:dyDescent="0.3">
      <c r="A3381" s="1" t="s">
        <v>43</v>
      </c>
      <c r="B3381" s="1" t="s">
        <v>44</v>
      </c>
      <c r="C3381" s="1" t="s">
        <v>101</v>
      </c>
      <c r="D3381" s="1" t="s">
        <v>39</v>
      </c>
      <c r="E3381" s="1" t="s">
        <v>1452</v>
      </c>
      <c r="F3381" s="1" t="s">
        <v>6149</v>
      </c>
      <c r="G3381" s="1" t="s">
        <v>49</v>
      </c>
      <c r="H3381" s="1" t="s">
        <v>16</v>
      </c>
      <c r="I3381" s="1" t="str">
        <f ca="1">IFERROR(__xludf.DUMMYFUNCTION("GOOGLETRANSLATE(F3381, ""auto"", ""en"")
"),"The fan is very bad. Flimsy, poorly made. Stamping the base does not allow inserting plastic plugs, which also need to be modified with a knife. It works very loudly due to vibration, because... everything rests on snot. And in the end, the block of butto"&amp;"ns fell inside. I handed it in the next day.")</f>
        <v>The fan is very bad. Flimsy, poorly made. Stamping the base does not allow inserting plastic plugs, which also need to be modified with a knife. It works very loudly due to vibration, because... everything rests on snot. And in the end, the block of buttons fell inside. I handed it in the next day.</v>
      </c>
    </row>
    <row r="3382" spans="1:9" x14ac:dyDescent="0.3">
      <c r="A3382" s="1" t="s">
        <v>369</v>
      </c>
      <c r="B3382" s="1" t="s">
        <v>370</v>
      </c>
      <c r="C3382" s="1" t="s">
        <v>290</v>
      </c>
      <c r="D3382" s="1" t="s">
        <v>589</v>
      </c>
      <c r="E3382" s="1" t="s">
        <v>3945</v>
      </c>
      <c r="F3382" s="1" t="s">
        <v>6150</v>
      </c>
      <c r="G3382" s="1" t="s">
        <v>49</v>
      </c>
      <c r="H3382" s="1" t="s">
        <v>16</v>
      </c>
      <c r="I3382" s="1" t="str">
        <f ca="1">IFERROR(__xludf.DUMMYFUNCTION("GOOGLETRANSLATE(F3382, ""auto"", ""en"")
"),"We were disappointed: during the first heating, the enamel in the oven cracked in the places where the baking sheet is inserted and along the edge of the cover next to the door. We thought that a particular model was defective, so we exchanged it for the "&amp;"same one - the situation repeated itself, the enamel was disgusting - it also cracked during the first heating and was scratched by the baking sheet (I don’t know if all stoves have this problem or not, but I advise you to take a stove with guides. In the"&amp;" end, we bought a similar stove. We must pay tribute to MVideo - they changed it without problems in a store located in Rodnik, the exchange was polite and without nerves.")</f>
        <v>We were disappointed: during the first heating, the enamel in the oven cracked in the places where the baking sheet is inserted and along the edge of the cover next to the door. We thought that a particular model was defective, so we exchanged it for the same one - the situation repeated itself, the enamel was disgusting - it also cracked during the first heating and was scratched by the baking sheet (I don’t know if all stoves have this problem or not, but I advise you to take a stove with guides. In the end, we bought a similar stove. We must pay tribute to MVideo - they changed it without problems in a store located in Rodnik, the exchange was polite and without nerves.</v>
      </c>
    </row>
    <row r="3383" spans="1:9" x14ac:dyDescent="0.3">
      <c r="A3383" s="1" t="s">
        <v>43</v>
      </c>
      <c r="B3383" s="1" t="s">
        <v>303</v>
      </c>
      <c r="C3383" s="1" t="s">
        <v>1721</v>
      </c>
      <c r="D3383" s="1" t="s">
        <v>232</v>
      </c>
      <c r="E3383" s="1" t="s">
        <v>1467</v>
      </c>
      <c r="F3383" s="1" t="s">
        <v>6151</v>
      </c>
      <c r="G3383" s="1" t="s">
        <v>49</v>
      </c>
      <c r="H3383" s="1" t="s">
        <v>16</v>
      </c>
      <c r="I3383" s="1" t="str">
        <f ca="1">IFERROR(__xludf.DUMMYFUNCTION("GOOGLETRANSLATE(F3383, ""auto"", ""en"")
"),"Terrible boiler. Less than a couple of weeks after the purchase, it began to leak near the safety valve.")</f>
        <v>Terrible boiler. Less than a couple of weeks after the purchase, it began to leak near the safety valve.</v>
      </c>
    </row>
    <row r="3384" spans="1:9" x14ac:dyDescent="0.3">
      <c r="A3384" s="1" t="s">
        <v>30</v>
      </c>
      <c r="B3384" s="1" t="s">
        <v>31</v>
      </c>
      <c r="C3384" s="1" t="s">
        <v>32</v>
      </c>
      <c r="D3384" s="1" t="s">
        <v>6152</v>
      </c>
      <c r="E3384" s="1" t="s">
        <v>1086</v>
      </c>
      <c r="F3384" s="1" t="s">
        <v>6153</v>
      </c>
      <c r="G3384" s="1" t="s">
        <v>28</v>
      </c>
      <c r="H3384" s="1" t="s">
        <v>29</v>
      </c>
      <c r="I3384" s="1" t="str">
        <f ca="1">IFERROR(__xludf.DUMMYFUNCTION("GOOGLETRANSLATE(F3384, ""auto"", ""en"")
"),"I recently purchased this computer, the hardware is simply excellent. I don’t really like working with Windows 7, tell me, is it possible to install Windows XP on the Aspire series?")</f>
        <v>I recently purchased this computer, the hardware is simply excellent. I don’t really like working with Windows 7, tell me, is it possible to install Windows XP on the Aspire series?</v>
      </c>
    </row>
    <row r="3385" spans="1:9" x14ac:dyDescent="0.3">
      <c r="A3385" s="1" t="s">
        <v>105</v>
      </c>
      <c r="B3385" s="1" t="s">
        <v>106</v>
      </c>
      <c r="C3385" s="1" t="s">
        <v>1921</v>
      </c>
      <c r="D3385" s="1" t="s">
        <v>6154</v>
      </c>
      <c r="E3385" s="1" t="s">
        <v>5798</v>
      </c>
      <c r="F3385" s="1" t="s">
        <v>6155</v>
      </c>
      <c r="G3385" s="1" t="s">
        <v>36</v>
      </c>
      <c r="H3385" s="1" t="s">
        <v>29</v>
      </c>
      <c r="I3385" s="1" t="str">
        <f ca="1">IFERROR(__xludf.DUMMYFUNCTION("GOOGLETRANSLATE(F3385, ""auto"", ""en"")
"),"very good and portable player)) I’m not complaining, my own ears are very strong.  It works for a very long time, about a day...maybe even more.  everything an advanced person needs and very inexpensive) I think, suitable for students.  the downside is th"&amp;"at the paint wears off quickly, but it’s not that noticeable :)) overall a good purchase, I recommend it to everyone))")</f>
        <v>very good and portable player)) I’m not complaining, my own ears are very strong.  It works for a very long time, about a day...maybe even more.  everything an advanced person needs and very inexpensive) I think, suitable for students.  the downside is that the paint wears off quickly, but it’s not that noticeable :)) overall a good purchase, I recommend it to everyone))</v>
      </c>
    </row>
    <row r="3386" spans="1:9" x14ac:dyDescent="0.3">
      <c r="A3386" s="1" t="s">
        <v>95</v>
      </c>
      <c r="B3386" s="1" t="s">
        <v>648</v>
      </c>
      <c r="C3386" s="1" t="s">
        <v>97</v>
      </c>
      <c r="D3386" s="1" t="s">
        <v>6156</v>
      </c>
      <c r="E3386" s="1" t="s">
        <v>1454</v>
      </c>
      <c r="F3386" s="1" t="s">
        <v>6157</v>
      </c>
      <c r="G3386" s="1" t="s">
        <v>36</v>
      </c>
      <c r="H3386" s="1" t="s">
        <v>29</v>
      </c>
      <c r="I3386" s="1" t="str">
        <f ca="1">IFERROR(__xludf.DUMMYFUNCTION("GOOGLETRANSLATE(F3386, ""auto"", ""en"")
"),"Hi. I think that PSP is better than Ps3. Why? I explain: Ps3 is a good console, but so sophisticated. Firstly: 18 playback formats.. Why so many?! It’s not a computer. Secondly: the price is 13-17 thousand.. For that kind of money you can buy 2 PSPs + gam"&amp;"es or a case. Thirdly (most important): the price of games. From 1 to 3 thousand.. Then Yes, if you buy 7-8 games, will it cost you the price of a Ps3?   Now PSP. PSP is a game console, a smaller copy of Ps3. As I already said, you can carry it with you a"&amp;"nd connect it to your TV. Firstly: graphics. Graphics are of course not the same as on Ps3, but that’s normal. This is not a big, black, thick box with the inscription Ps3. Secondly: price. Price 7-10 thousand..8-10 including games or case. Thirdly (this "&amp;"is the most important thing): the price of the games. You don’t have to buy them. The scheme is as follows: buy, flash, download, play, that’s it. But if the PSP is not flashed, you can buy (or better yet, wait until the program is hacked) games. Their pr"&amp;"ice is 500-2000 rubles (games for 2 thousand are rare).   So, buy a PSP. But if you want to play with friends and expensive games, the Ps3 is at your service. Just remember, the console was not created to watch movies on it, not to listen to music, but to"&amp;" play on it.")</f>
        <v>Hi. I think that PSP is better than Ps3. Why? I explain: Ps3 is a good console, but so sophisticated. Firstly: 18 playback formats.. Why so many?! It’s not a computer. Secondly: the price is 13-17 thousand.. For that kind of money you can buy 2 PSPs + games or a case. Thirdly (most important): the price of games. From 1 to 3 thousand.. Then Yes, if you buy 7-8 games, will it cost you the price of a Ps3?   Now PSP. PSP is a game console, a smaller copy of Ps3. As I already said, you can carry it with you and connect it to your TV. Firstly: graphics. Graphics are of course not the same as on Ps3, but that’s normal. This is not a big, black, thick box with the inscription Ps3. Secondly: price. Price 7-10 thousand..8-10 including games or case. Thirdly (this is the most important thing): the price of the games. You don’t have to buy them. The scheme is as follows: buy, flash, download, play, that’s it. But if the PSP is not flashed, you can buy (or better yet, wait until the program is hacked) games. Their price is 500-2000 rubles (games for 2 thousand are rare).   So, buy a PSP. But if you want to play with friends and expensive games, the Ps3 is at your service. Just remember, the console was not created to watch movies on it, not to listen to music, but to play on it.</v>
      </c>
    </row>
    <row r="3387" spans="1:9" x14ac:dyDescent="0.3">
      <c r="A3387" s="1" t="s">
        <v>9</v>
      </c>
      <c r="B3387" s="1" t="s">
        <v>10</v>
      </c>
      <c r="C3387" s="1" t="s">
        <v>407</v>
      </c>
      <c r="D3387" s="1" t="s">
        <v>39</v>
      </c>
      <c r="E3387" s="1" t="s">
        <v>82</v>
      </c>
      <c r="F3387" s="1" t="s">
        <v>6158</v>
      </c>
      <c r="G3387" s="1" t="s">
        <v>28</v>
      </c>
      <c r="H3387" s="1" t="s">
        <v>29</v>
      </c>
      <c r="I3387" s="1" t="str">
        <f ca="1">IFERROR(__xludf.DUMMYFUNCTION("GOOGLETRANSLATE(F3387, ""auto"", ""en"")
"),"Noisy and the clock is constantly rushing! The design is just right for a modern kitchen.")</f>
        <v>Noisy and the clock is constantly rushing! The design is just right for a modern kitchen.</v>
      </c>
    </row>
    <row r="3388" spans="1:9" x14ac:dyDescent="0.3">
      <c r="A3388" s="1" t="s">
        <v>105</v>
      </c>
      <c r="B3388" s="1" t="s">
        <v>106</v>
      </c>
      <c r="C3388" s="1" t="s">
        <v>97</v>
      </c>
      <c r="D3388" s="1" t="s">
        <v>305</v>
      </c>
      <c r="E3388" s="1" t="s">
        <v>2094</v>
      </c>
      <c r="F3388" s="1" t="s">
        <v>6159</v>
      </c>
      <c r="G3388" s="1" t="s">
        <v>36</v>
      </c>
      <c r="H3388" s="1" t="s">
        <v>29</v>
      </c>
      <c r="I3388" s="1" t="str">
        <f ca="1">IFERROR(__xludf.DUMMYFUNCTION("GOOGLETRANSLATE(F3388, ""auto"", ""en"")
"),"A wonderful player for listening to audio files, which is what it's really for. Excellent design, comfortable controls, fits well in the hand. The battery lasts about 10 hours (I don’t know why they say 30 hours of continuous playback...), I listen at vol"&amp;"ume 25 out of 30. It is better to immediately replace the headphones that come with the kit, as they do not convey all the clarity of the sound... For video, of course, the display is too small (2 inches), it converts itself in the required format and res"&amp;"olution. When you connect the player to your computer, you will find setup. exe and install the program (Content Transfer) through which you can convert the video by simply dragging the file into this program, after conversion it will drop it into the des"&amp;"ired folder.  P.S. Great choice.")</f>
        <v>A wonderful player for listening to audio files, which is what it's really for. Excellent design, comfortable controls, fits well in the hand. The battery lasts about 10 hours (I don’t know why they say 30 hours of continuous playback...), I listen at volume 25 out of 30. It is better to immediately replace the headphones that come with the kit, as they do not convey all the clarity of the sound... For video, of course, the display is too small (2 inches), it converts itself in the required format and resolution. When you connect the player to your computer, you will find setup. exe and install the program (Content Transfer) through which you can convert the video by simply dragging the file into this program, after conversion it will drop it into the desired folder.  P.S. Great choice.</v>
      </c>
    </row>
    <row r="3389" spans="1:9" x14ac:dyDescent="0.3">
      <c r="A3389" s="1" t="s">
        <v>55</v>
      </c>
      <c r="B3389" s="1" t="s">
        <v>56</v>
      </c>
      <c r="C3389" s="1" t="s">
        <v>57</v>
      </c>
      <c r="D3389" s="1" t="s">
        <v>247</v>
      </c>
      <c r="E3389" s="1" t="s">
        <v>2089</v>
      </c>
      <c r="F3389" s="1" t="s">
        <v>6160</v>
      </c>
      <c r="G3389" s="1" t="s">
        <v>36</v>
      </c>
      <c r="H3389" s="1" t="s">
        <v>29</v>
      </c>
      <c r="I3389" s="1" t="str">
        <f ca="1">IFERROR(__xludf.DUMMYFUNCTION("GOOGLETRANSLATE(F3389, ""auto"", ""en"")
"),"The Vitek VT-1761 air humidifier is an excellent and affordable model. Stylish blue backlight, water level sensor (the humidifier turns off when the water in the tank runs out), ionization function, humidity level and humidification intensity controls. I "&amp;"really liked it and it was very useful.")</f>
        <v>The Vitek VT-1761 air humidifier is an excellent and affordable model. Stylish blue backlight, water level sensor (the humidifier turns off when the water in the tank runs out), ionization function, humidity level and humidification intensity controls. I really liked it and it was very useful.</v>
      </c>
    </row>
    <row r="3390" spans="1:9" x14ac:dyDescent="0.3">
      <c r="A3390" s="1" t="s">
        <v>30</v>
      </c>
      <c r="B3390" s="1" t="s">
        <v>31</v>
      </c>
      <c r="C3390" s="1" t="s">
        <v>32</v>
      </c>
      <c r="D3390" s="1" t="s">
        <v>327</v>
      </c>
      <c r="E3390" s="1" t="s">
        <v>3829</v>
      </c>
      <c r="F3390" s="1" t="s">
        <v>6161</v>
      </c>
      <c r="G3390" s="1" t="s">
        <v>36</v>
      </c>
      <c r="H3390" s="1" t="s">
        <v>29</v>
      </c>
      <c r="I3390" s="1" t="str">
        <f ca="1">IFERROR(__xludf.DUMMYFUNCTION("GOOGLETRANSLATE(F3390, ""auto"", ""en"")
"),"I bought it 4 days ago. No problems have arisen so far. The block is very powerful, hardware-demanding toys fly. It works almost silently. I recommend it to everyone.")</f>
        <v>I bought it 4 days ago. No problems have arisen so far. The block is very powerful, hardware-demanding toys fly. It works almost silently. I recommend it to everyone.</v>
      </c>
    </row>
    <row r="3391" spans="1:9" x14ac:dyDescent="0.3">
      <c r="A3391" s="1" t="s">
        <v>149</v>
      </c>
      <c r="B3391" s="1" t="s">
        <v>155</v>
      </c>
      <c r="C3391" s="1" t="s">
        <v>80</v>
      </c>
      <c r="D3391" s="1" t="s">
        <v>186</v>
      </c>
      <c r="E3391" s="1" t="s">
        <v>316</v>
      </c>
      <c r="F3391" s="1" t="s">
        <v>6162</v>
      </c>
      <c r="G3391" s="1" t="s">
        <v>28</v>
      </c>
      <c r="H3391" s="1" t="s">
        <v>29</v>
      </c>
      <c r="I3391" s="1" t="str">
        <f ca="1">IFERROR(__xludf.DUMMYFUNCTION("GOOGLETRANSLATE(F3391, ""auto"", ""en"")
"),"We purchased this vacuum cleaner model two months ago, and to be honest, I was pleased with its suction power! I was especially impressed by the amount of dirt removed in the first days of use. However, in my opinion there are disadvantages: the brush (bo"&amp;"unces when used) and the pre-motor sponge. When the container is 50% full, in my opinion, it is imperative to wash and dry the pre-motor sponge, because dust particles settled on it affect the contamination of the HEPA filter, and it is not cheap. In addi"&amp;"tion, it is even better to change the sponge that is located directly in front of the motor, I think it is generally useless, the pores are too large, it is better to buy a filter for ordinary vacuum cleaners, cut it out and put it in, the power is not lo"&amp;"st.")</f>
        <v>We purchased this vacuum cleaner model two months ago, and to be honest, I was pleased with its suction power! I was especially impressed by the amount of dirt removed in the first days of use. However, in my opinion there are disadvantages: the brush (bounces when used) and the pre-motor sponge. When the container is 50% full, in my opinion, it is imperative to wash and dry the pre-motor sponge, because dust particles settled on it affect the contamination of the HEPA filter, and it is not cheap. In addition, it is even better to change the sponge that is located directly in front of the motor, I think it is generally useless, the pores are too large, it is better to buy a filter for ordinary vacuum cleaners, cut it out and put it in, the power is not lost.</v>
      </c>
    </row>
    <row r="3392" spans="1:9" x14ac:dyDescent="0.3">
      <c r="A3392" s="1" t="s">
        <v>105</v>
      </c>
      <c r="B3392" s="1" t="s">
        <v>106</v>
      </c>
      <c r="C3392" s="1" t="s">
        <v>1921</v>
      </c>
      <c r="D3392" s="1" t="s">
        <v>327</v>
      </c>
      <c r="E3392" s="1" t="s">
        <v>832</v>
      </c>
      <c r="F3392" s="1" t="s">
        <v>6163</v>
      </c>
      <c r="G3392" s="1" t="s">
        <v>36</v>
      </c>
      <c r="H3392" s="1" t="s">
        <v>29</v>
      </c>
      <c r="I3392" s="1" t="str">
        <f ca="1">IFERROR(__xludf.DUMMYFUNCTION("GOOGLETRANSLATE(F3392, ""auto"", ""en"")
"),"cool, I like it")</f>
        <v>cool, I like it</v>
      </c>
    </row>
    <row r="3393" spans="1:9" x14ac:dyDescent="0.3">
      <c r="A3393" s="1" t="s">
        <v>361</v>
      </c>
      <c r="B3393" s="1" t="s">
        <v>462</v>
      </c>
      <c r="C3393" s="1" t="s">
        <v>698</v>
      </c>
      <c r="D3393" s="1" t="s">
        <v>39</v>
      </c>
      <c r="E3393" s="1" t="s">
        <v>178</v>
      </c>
      <c r="F3393" s="1" t="s">
        <v>6164</v>
      </c>
      <c r="G3393" s="1" t="s">
        <v>15</v>
      </c>
      <c r="H3393" s="1" t="s">
        <v>16</v>
      </c>
      <c r="I3393" s="1" t="str">
        <f ca="1">IFERROR(__xludf.DUMMYFUNCTION("GOOGLETRANSLATE(F3393, ""auto"", ""en"")
"),"Now I carried out a visual test, poured a glass of tea and got tea that was a little more yellow, there was almost no difference (of course, there is no point in returning them, they are all the same), now I will buy on the basis of reverse osmosis.")</f>
        <v>Now I carried out a visual test, poured a glass of tea and got tea that was a little more yellow, there was almost no difference (of course, there is no point in returning them, they are all the same), now I will buy on the basis of reverse osmosis.</v>
      </c>
    </row>
    <row r="3394" spans="1:9" x14ac:dyDescent="0.3">
      <c r="A3394" s="1" t="s">
        <v>211</v>
      </c>
      <c r="B3394" s="1" t="s">
        <v>212</v>
      </c>
      <c r="C3394" s="1" t="s">
        <v>381</v>
      </c>
      <c r="D3394" s="1" t="s">
        <v>545</v>
      </c>
      <c r="E3394" s="1" t="s">
        <v>1527</v>
      </c>
      <c r="F3394" s="1" t="s">
        <v>6165</v>
      </c>
      <c r="G3394" s="1" t="s">
        <v>36</v>
      </c>
      <c r="H3394" s="1" t="s">
        <v>29</v>
      </c>
      <c r="I3394" s="1" t="str">
        <f ca="1">IFERROR(__xludf.DUMMYFUNCTION("GOOGLETRANSLATE(F3394, ""auto"", ""en"")
"),"I agree with the opinion of ko-ko, because... I've been using this hair dryer for about 4 years - I have the very first model, I really like it - even with such frequent use, it still works. I have very curly hair - this product saves me a lot of time and"&amp;" effort. Today I'm going to buy a new model - then I'll write a review.")</f>
        <v>I agree with the opinion of ko-ko, because... I've been using this hair dryer for about 4 years - I have the very first model, I really like it - even with such frequent use, it still works. I have very curly hair - this product saves me a lot of time and effort. Today I'm going to buy a new model - then I'll write a review.</v>
      </c>
    </row>
    <row r="3395" spans="1:9" x14ac:dyDescent="0.3">
      <c r="A3395" s="1" t="s">
        <v>373</v>
      </c>
      <c r="B3395" s="1" t="s">
        <v>374</v>
      </c>
      <c r="C3395" s="1" t="s">
        <v>63</v>
      </c>
      <c r="D3395" s="1" t="s">
        <v>1506</v>
      </c>
      <c r="E3395" s="1" t="s">
        <v>3567</v>
      </c>
      <c r="F3395" s="1" t="s">
        <v>6166</v>
      </c>
      <c r="G3395" s="1" t="s">
        <v>36</v>
      </c>
      <c r="H3395" s="1" t="s">
        <v>29</v>
      </c>
      <c r="I3395" s="1" t="str">
        <f ca="1">IFERROR(__xludf.DUMMYFUNCTION("GOOGLETRANSLATE(F3395, ""auto"", ""en"")
"),"I’m very pleased, it washes well! The only downside is that the door is a bit difficult to open.")</f>
        <v>I’m very pleased, it washes well! The only downside is that the door is a bit difficult to open.</v>
      </c>
    </row>
    <row r="3396" spans="1:9" x14ac:dyDescent="0.3">
      <c r="A3396" s="1" t="s">
        <v>17</v>
      </c>
      <c r="B3396" s="1" t="s">
        <v>18</v>
      </c>
      <c r="C3396" s="1" t="s">
        <v>243</v>
      </c>
      <c r="D3396" s="1" t="s">
        <v>247</v>
      </c>
      <c r="E3396" s="1" t="s">
        <v>6167</v>
      </c>
      <c r="F3396" s="1" t="s">
        <v>6168</v>
      </c>
      <c r="G3396" s="1" t="s">
        <v>36</v>
      </c>
      <c r="H3396" s="1" t="s">
        <v>29</v>
      </c>
      <c r="I3396" s="1" t="str">
        <f ca="1">IFERROR(__xludf.DUMMYFUNCTION("GOOGLETRANSLATE(F3396, ""auto"", ""en"")
"),"Luxurious car for little money, made in Italy")</f>
        <v>Luxurious car for little money, made in Italy</v>
      </c>
    </row>
    <row r="3397" spans="1:9" x14ac:dyDescent="0.3">
      <c r="A3397" s="1" t="s">
        <v>149</v>
      </c>
      <c r="B3397" s="1" t="s">
        <v>155</v>
      </c>
      <c r="C3397" s="1" t="s">
        <v>1187</v>
      </c>
      <c r="D3397" s="1" t="s">
        <v>5252</v>
      </c>
      <c r="E3397" s="1" t="s">
        <v>386</v>
      </c>
      <c r="F3397" s="1" t="s">
        <v>6169</v>
      </c>
      <c r="G3397" s="1" t="s">
        <v>36</v>
      </c>
      <c r="H3397" s="1" t="s">
        <v>29</v>
      </c>
      <c r="I3397" s="1" t="str">
        <f ca="1">IFERROR(__xludf.DUMMYFUNCTION("GOOGLETRANSLATE(F3397, ""auto"", ""en"")
"),"a good vacuum cleaner.. I bought it in mid-January 2011, I deliberately did not write a review right away in order to evaluate it more objectively.. price: I initially expected to buy a vacuum cleaner within 10 thousand rubles. (either more expensive, was"&amp;"hing or with an aqua filter. Managers dissuaded us from using water vacuum cleaners because there are a lot of shortcomings, but that’s not what we’re talking about). At first I was aiming at 9 TR, then at 13+ TR, and then the manager told me about the Dy"&amp;"son... the price, of course, immediately put me off, but when I calculated the total cost of vacuum cleaners with consumables (13 TR + 1.5-2 TR/year for filters and bags), it turned out that in a couple of years it would be more expensive than this Dyson "&amp;"without consumables... in general, I bought a Dyson.. :) (by the way, on the day of purchase, 2 of the same ones were bought in front of me, I had to take them from the display case) quality of cleaning: vacuum cleaners well.. I clean once a week, each ti"&amp;"me I shake out 100-150 grams of dust and debris, in the first week I vacuumed upholstered furniture and mattresses - there was a lot of tiny dust, the remains of which did not even sink in the water! I recently washed the motor filter for the first time.."&amp;". it looked almost clean, but when washing it a lot of dirty water came out... I didn’t wash the output filter, although it was slightly blackened on the inside (I think it’s carbon from the motor brushes). It is important not to forget to open the red wi"&amp;"ndows on the large brush when cleaning the floor and smooth surfaces, otherwise the suction will be reduced and the load on the engine will be increased! (on linoleum, even with the “windows” open, you have to hold the trigger on the brush so that you can"&amp;" move it).    care: after cleaning, I wipe the brush and pipe from adhering dust, shake out the dirt into a sealed bag and rinse the container (the internal cyclone cannot be washed, so I just wipe it with a slightly damp cloth) quality: good.. in the bes"&amp;"t Soviet traditions (most connections are screwed). The quality of materials is also excellent. True, I had to lubricate the brush wheels and moving parts, after which it just rolls like a children's car. There are plans to seal the pipe connections, beca"&amp;"use... they are too loose and slightly let in air (I think the loss of suction from this is no more than 5%, but still). It makes noise, IMHO, no more than others (more like whistling), however, the cat is practically not afraid of it.. :) in general, a n"&amp;"ormal vacuum cleaner, if it serves properly for the 5 years stated in the guarantee (at least), will turn out to be more profitable than all other vacuum cleaners for 10-20 thousand rubles.")</f>
        <v>a good vacuum cleaner.. I bought it in mid-January 2011, I deliberately did not write a review right away in order to evaluate it more objectively.. price: I initially expected to buy a vacuum cleaner within 10 thousand rubles. (either more expensive, washing or with an aqua filter. Managers dissuaded us from using water vacuum cleaners because there are a lot of shortcomings, but that’s not what we’re talking about). At first I was aiming at 9 TR, then at 13+ TR, and then the manager told me about the Dyson... the price, of course, immediately put me off, but when I calculated the total cost of vacuum cleaners with consumables (13 TR + 1.5-2 TR/year for filters and bags), it turned out that in a couple of years it would be more expensive than this Dyson without consumables... in general, I bought a Dyson.. :) (by the way, on the day of purchase, 2 of the same ones were bought in front of me, I had to take them from the display case) quality of cleaning: vacuum cleaners well.. I clean once a week, each time I shake out 100-150 grams of dust and debris, in the first week I vacuumed upholstered furniture and mattresses - there was a lot of tiny dust, the remains of which did not even sink in the water! I recently washed the motor filter for the first time... it looked almost clean, but when washing it a lot of dirty water came out... I didn’t wash the output filter, although it was slightly blackened on the inside (I think it’s carbon from the motor brushes). It is important not to forget to open the red windows on the large brush when cleaning the floor and smooth surfaces, otherwise the suction will be reduced and the load on the engine will be increased! (on linoleum, even with the “windows” open, you have to hold the trigger on the brush so that you can move it).    care: after cleaning, I wipe the brush and pipe from adhering dust, shake out the dirt into a sealed bag and rinse the container (the internal cyclone cannot be washed, so I just wipe it with a slightly damp cloth) quality: good.. in the best Soviet traditions (most connections are screwed). The quality of materials is also excellent. True, I had to lubricate the brush wheels and moving parts, after which it just rolls like a children's car. There are plans to seal the pipe connections, because... they are too loose and slightly let in air (I think the loss of suction from this is no more than 5%, but still). It makes noise, IMHO, no more than others (more like whistling), however, the cat is practically not afraid of it.. :) in general, a normal vacuum cleaner, if it serves properly for the 5 years stated in the guarantee (at least), will turn out to be more profitable than all other vacuum cleaners for 10-20 thousand rubles.</v>
      </c>
    </row>
    <row r="3398" spans="1:9" x14ac:dyDescent="0.3">
      <c r="A3398" s="1" t="s">
        <v>9</v>
      </c>
      <c r="B3398" s="1" t="s">
        <v>10</v>
      </c>
      <c r="C3398" s="1" t="s">
        <v>407</v>
      </c>
      <c r="D3398" s="1" t="s">
        <v>208</v>
      </c>
      <c r="E3398" s="1" t="s">
        <v>6170</v>
      </c>
      <c r="F3398" s="1" t="s">
        <v>6171</v>
      </c>
      <c r="G3398" s="1" t="s">
        <v>36</v>
      </c>
      <c r="H3398" s="1" t="s">
        <v>29</v>
      </c>
      <c r="I3398" s="1" t="str">
        <f ca="1">IFERROR(__xludf.DUMMYFUNCTION("GOOGLETRANSLATE(F3398, ""auto"", ""en"")
"),"Good! We bought it today, took a long time to choose, low noise level, 4 speeds, touch control, stylish. At first speed it is practically inaudible (very quiet) compared to other models... as already written above. I recommend!")</f>
        <v>Good! We bought it today, took a long time to choose, low noise level, 4 speeds, touch control, stylish. At first speed it is practically inaudible (very quiet) compared to other models... as already written above. I recommend!</v>
      </c>
    </row>
    <row r="3399" spans="1:9" x14ac:dyDescent="0.3">
      <c r="A3399" s="1" t="s">
        <v>61</v>
      </c>
      <c r="B3399" s="1" t="s">
        <v>318</v>
      </c>
      <c r="C3399" s="1" t="s">
        <v>146</v>
      </c>
      <c r="D3399" s="1" t="s">
        <v>6172</v>
      </c>
      <c r="E3399" s="1" t="s">
        <v>386</v>
      </c>
      <c r="F3399" s="1" t="s">
        <v>6173</v>
      </c>
      <c r="G3399" s="1" t="s">
        <v>15</v>
      </c>
      <c r="H3399" s="1" t="s">
        <v>16</v>
      </c>
      <c r="I3399" s="1" t="str">
        <f ca="1">IFERROR(__xludf.DUMMYFUNCTION("GOOGLETRANSLATE(F3399, ""auto"", ""en"")
"),"Disadvantages: 1.after a month the lid did not close (repair under warranty) 2.after 1.5 years water began to flow from below 3.after the water boils it does not turn off for a long time 4.price")</f>
        <v>Disadvantages: 1.after a month the lid did not close (repair under warranty) 2.after 1.5 years water began to flow from below 3.after the water boils it does not turn off for a long time 4.price</v>
      </c>
    </row>
    <row r="3400" spans="1:9" x14ac:dyDescent="0.3">
      <c r="A3400" s="1" t="s">
        <v>95</v>
      </c>
      <c r="B3400" s="1" t="s">
        <v>648</v>
      </c>
      <c r="C3400" s="1" t="s">
        <v>97</v>
      </c>
      <c r="D3400" s="1" t="s">
        <v>896</v>
      </c>
      <c r="E3400" s="1" t="s">
        <v>3095</v>
      </c>
      <c r="F3400" s="1" t="s">
        <v>6174</v>
      </c>
      <c r="G3400" s="1" t="s">
        <v>36</v>
      </c>
      <c r="H3400" s="1" t="s">
        <v>29</v>
      </c>
      <c r="I3400" s="1" t="str">
        <f ca="1">IFERROR(__xludf.DUMMYFUNCTION("GOOGLETRANSLATE(F3400, ""auto"", ""en"")
"),"I bought it) it’s gorgeous) I’m very pleased)")</f>
        <v>I bought it) it’s gorgeous) I’m very pleased)</v>
      </c>
    </row>
    <row r="3401" spans="1:9" x14ac:dyDescent="0.3">
      <c r="A3401" s="1" t="s">
        <v>55</v>
      </c>
      <c r="B3401" s="1" t="s">
        <v>184</v>
      </c>
      <c r="C3401" s="1" t="s">
        <v>101</v>
      </c>
      <c r="D3401" s="1" t="s">
        <v>420</v>
      </c>
      <c r="E3401" s="1" t="s">
        <v>6175</v>
      </c>
      <c r="F3401" s="1" t="s">
        <v>6176</v>
      </c>
      <c r="G3401" s="1" t="s">
        <v>28</v>
      </c>
      <c r="H3401" s="1" t="s">
        <v>29</v>
      </c>
      <c r="I3401" s="1" t="str">
        <f ca="1">IFERROR(__xludf.DUMMYFUNCTION("GOOGLETRANSLATE(F3401, ""auto"", ""en"")
"),"Advantages: Pros - the heater is ceramic, i.e. heating is not “red hot”, there is no burning of dust and no corresponding smell, the air passes through honeycomb radiators which are heated by ceramics, in the “warm” mode the power is about 1 kW, 2 section"&amp;"s of 4 radiators work, in the “hot” mode - all 4, and about 2 kW. Mode 1 is quite enough. The fan speed does not change, the air flow is neither weak nor strong, quite comfortable, both in strength and temperature. The noise is quite adequate, about the s"&amp;"ame as a system unit makes noise, there is a slight extraneous sound (vibration). It is assembled quite neatly, the wire is of good cross-section, the plastic is not ideal, but a solid C. The length of the power cord is about 60 cm. Not enough but accepta"&amp;"ble.  Disadvantages: The blowing fan is not very convenient, in order to lubricate it after 3-4 months of operation and clean the honeycomb radiator from dust and “felt”, you need to disassemble everything and somehow remove the pressed-in impeller. The i"&amp;"mpeller, yes, is rather weak, the blades are attached to only a third of their width, and the plastic is again a C grade. But they shouldn’t fly off on their own, unless you put a foreign object in them. There is a “fan” mode. those. it blows cold air, bu"&amp;"t this is of no consequence, the flow is very weak and it is unrealistic to use it as a fan in the summer, and it is not necessary. Thermostat - yes, it is simply fixed inside above the casing with the motor, i.e. measures the heating temperature of the r"&amp;"adiator inside, but very little of the environment, I would consider it an additional element of protection against overheating (however, there is also a protective thermal fuse and a tip-over limit switch), it regulates the temperature indirectly and ina"&amp;"ccurately, but it is there :). The air intake actually comes from the floor, and if you have cats and dogs, then I highly recommend sticking a mosquito net onto the air intake mesh so that the radiator doesn’t clog and the performance doesn’t drop, since "&amp;"nothing gets hot there and it’s quite easy to stick it on. The controls are convenient, very light, there is a handle to carry it, it’s cute, everything is good with safety, the performance matches the price and it’s a solid C+. The fan blades are confusi"&amp;"ng and not very reliable, but we'll see. It heats well, is quiet, cheap, functional and ceramic, which is very good from the point of view of fire safety, lack of smell of burning dust and durability. I strongly recommend it.")</f>
        <v>Advantages: Pros - the heater is ceramic, i.e. heating is not “red hot”, there is no burning of dust and no corresponding smell, the air passes through honeycomb radiators which are heated by ceramics, in the “warm” mode the power is about 1 kW, 2 sections of 4 radiators work, in the “hot” mode - all 4, and about 2 kW. Mode 1 is quite enough. The fan speed does not change, the air flow is neither weak nor strong, quite comfortable, both in strength and temperature. The noise is quite adequate, about the same as a system unit makes noise, there is a slight extraneous sound (vibration). It is assembled quite neatly, the wire is of good cross-section, the plastic is not ideal, but a solid C. The length of the power cord is about 60 cm. Not enough but acceptable.  Disadvantages: The blowing fan is not very convenient, in order to lubricate it after 3-4 months of operation and clean the honeycomb radiator from dust and “felt”, you need to disassemble everything and somehow remove the pressed-in impeller. The impeller, yes, is rather weak, the blades are attached to only a third of their width, and the plastic is again a C grade. But they shouldn’t fly off on their own, unless you put a foreign object in them. There is a “fan” mode. those. it blows cold air, but this is of no consequence, the flow is very weak and it is unrealistic to use it as a fan in the summer, and it is not necessary. Thermostat - yes, it is simply fixed inside above the casing with the motor, i.e. measures the heating temperature of the radiator inside, but very little of the environment, I would consider it an additional element of protection against overheating (however, there is also a protective thermal fuse and a tip-over limit switch), it regulates the temperature indirectly and inaccurately, but it is there :). The air intake actually comes from the floor, and if you have cats and dogs, then I highly recommend sticking a mosquito net onto the air intake mesh so that the radiator doesn’t clog and the performance doesn’t drop, since nothing gets hot there and it’s quite easy to stick it on. The controls are convenient, very light, there is a handle to carry it, it’s cute, everything is good with safety, the performance matches the price and it’s a solid C+. The fan blades are confusing and not very reliable, but we'll see. It heats well, is quiet, cheap, functional and ceramic, which is very good from the point of view of fire safety, lack of smell of burning dust and durability. I strongly recommend it.</v>
      </c>
    </row>
    <row r="3402" spans="1:9" x14ac:dyDescent="0.3">
      <c r="A3402" s="1" t="s">
        <v>120</v>
      </c>
      <c r="B3402" s="1" t="s">
        <v>121</v>
      </c>
      <c r="C3402" s="1" t="s">
        <v>1677</v>
      </c>
      <c r="D3402" s="1" t="s">
        <v>152</v>
      </c>
      <c r="E3402" s="1" t="s">
        <v>675</v>
      </c>
      <c r="F3402" s="1" t="s">
        <v>6177</v>
      </c>
      <c r="G3402" s="1" t="s">
        <v>36</v>
      </c>
      <c r="H3402" s="1" t="s">
        <v>29</v>
      </c>
      <c r="I3402" s="1" t="str">
        <f ca="1">IFERROR(__xludf.DUMMYFUNCTION("GOOGLETRANSLATE(F3402, ""auto"", ""en"")
"),"The most important thing in an LCD is the matrix, and the matrices for Aquas are made in Japan, assembled in Poland, and Poland is the EU, 3-year warranty, there is an HD DBV tuner (terrestrial digital TV in HD format)")</f>
        <v>The most important thing in an LCD is the matrix, and the matrices for Aquas are made in Japan, assembled in Poland, and Poland is the EU, 3-year warranty, there is an HD DBV tuner (terrestrial digital TV in HD format)</v>
      </c>
    </row>
    <row r="3403" spans="1:9" x14ac:dyDescent="0.3">
      <c r="A3403" s="1" t="s">
        <v>477</v>
      </c>
      <c r="B3403" s="1" t="s">
        <v>478</v>
      </c>
      <c r="C3403" s="1" t="s">
        <v>479</v>
      </c>
      <c r="D3403" s="1" t="s">
        <v>6178</v>
      </c>
      <c r="E3403" s="1" t="s">
        <v>820</v>
      </c>
      <c r="F3403" s="1" t="s">
        <v>6179</v>
      </c>
      <c r="G3403" s="1" t="s">
        <v>36</v>
      </c>
      <c r="H3403" s="1" t="s">
        <v>29</v>
      </c>
      <c r="I3403" s="1" t="str">
        <f ca="1">IFERROR(__xludf.DUMMYFUNCTION("GOOGLETRANSLATE(F3403, ""auto"", ""en"")
"),"I left my review in the Mafia II Jewel Box section, but I’ll also note here that there’s no point in talking about the game, because... everyone should see and feel for themselves. The game is super, I recommend it to everyone! :)")</f>
        <v>I left my review in the Mafia II Jewel Box section, but I’ll also note here that there’s no point in talking about the game, because... everyone should see and feel for themselves. The game is super, I recommend it to everyone! :)</v>
      </c>
    </row>
    <row r="3404" spans="1:9" x14ac:dyDescent="0.3">
      <c r="A3404" s="1" t="s">
        <v>169</v>
      </c>
      <c r="B3404" s="1" t="s">
        <v>170</v>
      </c>
      <c r="C3404" s="1" t="s">
        <v>122</v>
      </c>
      <c r="D3404" s="1" t="s">
        <v>152</v>
      </c>
      <c r="E3404" s="1" t="s">
        <v>6180</v>
      </c>
      <c r="F3404" s="1" t="s">
        <v>6181</v>
      </c>
      <c r="G3404" s="1" t="s">
        <v>28</v>
      </c>
      <c r="H3404" s="1" t="s">
        <v>29</v>
      </c>
      <c r="I3404" s="1" t="str">
        <f ca="1">IFERROR(__xludf.DUMMYFUNCTION("GOOGLETRANSLATE(F3404, ""auto"", ""en"")
"),"If you sit in these headphones for a long time, your ears sweat. And for such a price it’s ok")</f>
        <v>If you sit in these headphones for a long time, your ears sweat. And for such a price it’s ok</v>
      </c>
    </row>
    <row r="3405" spans="1:9" x14ac:dyDescent="0.3">
      <c r="A3405" s="1" t="s">
        <v>17</v>
      </c>
      <c r="B3405" s="1" t="s">
        <v>325</v>
      </c>
      <c r="C3405" s="1" t="s">
        <v>326</v>
      </c>
      <c r="D3405" s="1" t="s">
        <v>1894</v>
      </c>
      <c r="E3405" s="1" t="s">
        <v>92</v>
      </c>
      <c r="F3405" s="1" t="s">
        <v>6182</v>
      </c>
      <c r="G3405" s="1" t="s">
        <v>1580</v>
      </c>
      <c r="H3405" s="1" t="s">
        <v>29</v>
      </c>
      <c r="I3405" s="1" t="str">
        <f ca="1">IFERROR(__xludf.DUMMYFUNCTION("GOOGLETRANSLATE(F3405, ""auto"", ""en"")
"),"Lightweight, small, reversible rotation, washes well")</f>
        <v>Lightweight, small, reversible rotation, washes well</v>
      </c>
    </row>
    <row r="3406" spans="1:9" x14ac:dyDescent="0.3">
      <c r="A3406" s="1" t="s">
        <v>89</v>
      </c>
      <c r="B3406" s="1" t="s">
        <v>90</v>
      </c>
      <c r="C3406" s="1" t="s">
        <v>185</v>
      </c>
      <c r="D3406" s="1" t="s">
        <v>6183</v>
      </c>
      <c r="E3406" s="1" t="s">
        <v>6184</v>
      </c>
      <c r="F3406" s="1" t="s">
        <v>6185</v>
      </c>
      <c r="G3406" s="1" t="s">
        <v>36</v>
      </c>
      <c r="H3406" s="1" t="s">
        <v>29</v>
      </c>
      <c r="I3406" s="1" t="str">
        <f ca="1">IFERROR(__xludf.DUMMYFUNCTION("GOOGLETRANSLATE(F3406, ""auto"", ""en"")
"),"Good coffee grinder. Removable bowl for washing, time indication - convenient, enough power - does not heat up. There were several cheap ones before - they broke down twice a year, but this one lives.")</f>
        <v>Good coffee grinder. Removable bowl for washing, time indication - convenient, enough power - does not heat up. There were several cheap ones before - they broke down twice a year, but this one lives.</v>
      </c>
    </row>
    <row r="3407" spans="1:9" x14ac:dyDescent="0.3">
      <c r="A3407" s="1" t="s">
        <v>149</v>
      </c>
      <c r="B3407" s="1" t="s">
        <v>423</v>
      </c>
      <c r="C3407" s="1" t="s">
        <v>314</v>
      </c>
      <c r="D3407" s="1" t="s">
        <v>1605</v>
      </c>
      <c r="E3407" s="1" t="s">
        <v>2453</v>
      </c>
      <c r="F3407" s="1" t="s">
        <v>6186</v>
      </c>
      <c r="G3407" s="1" t="s">
        <v>1580</v>
      </c>
      <c r="H3407" s="1" t="s">
        <v>29</v>
      </c>
      <c r="I3407" s="1" t="str">
        <f ca="1">IFERROR(__xludf.DUMMYFUNCTION("GOOGLETRANSLATE(F3407, ""auto"", ""en"")
"),"Reliable and easy to use")</f>
        <v>Reliable and easy to use</v>
      </c>
    </row>
    <row r="3408" spans="1:9" x14ac:dyDescent="0.3">
      <c r="A3408" s="1" t="s">
        <v>361</v>
      </c>
      <c r="B3408" s="1" t="s">
        <v>1077</v>
      </c>
      <c r="C3408" s="1" t="s">
        <v>2143</v>
      </c>
      <c r="D3408" s="1" t="s">
        <v>335</v>
      </c>
      <c r="E3408" s="1" t="s">
        <v>5767</v>
      </c>
      <c r="F3408" s="1" t="s">
        <v>6187</v>
      </c>
      <c r="G3408" s="1" t="s">
        <v>36</v>
      </c>
      <c r="H3408" s="1" t="s">
        <v>29</v>
      </c>
      <c r="I3408" s="1" t="str">
        <f ca="1">IFERROR(__xludf.DUMMYFUNCTION("GOOGLETRANSLATE(F3408, ""auto"", ""en"")
"),"We have been pleased with this kettle for over 5 years now. The model is of very high quality and very comfortable. The whistle when boiling is at first gentle, and then loud, from the room you can hear that the kettle has already boiled.")</f>
        <v>We have been pleased with this kettle for over 5 years now. The model is of very high quality and very comfortable. The whistle when boiling is at first gentle, and then loud, from the room you can hear that the kettle has already boiled.</v>
      </c>
    </row>
    <row r="3409" spans="1:9" x14ac:dyDescent="0.3">
      <c r="A3409" s="1" t="s">
        <v>965</v>
      </c>
      <c r="B3409" s="1" t="s">
        <v>966</v>
      </c>
      <c r="C3409" s="1" t="s">
        <v>2149</v>
      </c>
      <c r="D3409" s="1" t="s">
        <v>152</v>
      </c>
      <c r="E3409" s="1" t="s">
        <v>814</v>
      </c>
      <c r="F3409" s="1" t="s">
        <v>6188</v>
      </c>
      <c r="G3409" s="1" t="s">
        <v>36</v>
      </c>
      <c r="H3409" s="1" t="s">
        <v>29</v>
      </c>
      <c r="I3409" s="1" t="str">
        <f ca="1">IFERROR(__xludf.DUMMYFUNCTION("GOOGLETRANSLATE(F3409, ""auto"", ""en"")
"),"They sound cool, they look cool.  Everything suits me.")</f>
        <v>They sound cool, they look cool.  Everything suits me.</v>
      </c>
    </row>
    <row r="3410" spans="1:9" x14ac:dyDescent="0.3">
      <c r="A3410" s="1" t="s">
        <v>149</v>
      </c>
      <c r="B3410" s="1" t="s">
        <v>155</v>
      </c>
      <c r="C3410" s="1" t="s">
        <v>151</v>
      </c>
      <c r="D3410" s="1" t="s">
        <v>308</v>
      </c>
      <c r="E3410" s="1" t="s">
        <v>5996</v>
      </c>
      <c r="F3410" s="1" t="s">
        <v>6189</v>
      </c>
      <c r="G3410" s="1" t="s">
        <v>36</v>
      </c>
      <c r="H3410" s="1" t="s">
        <v>29</v>
      </c>
      <c r="I3410" s="1" t="str">
        <f ca="1">IFERROR(__xludf.DUMMYFUNCTION("GOOGLETRANSLATE(F3410, ""auto"", ""en"")
"),"We bought a vacuum cleaner 1.5 weeks ago. The container for dust and dirt can be easily removed. For that kind of money, a very powerful vacuum cleaner. I don’t have carpets, only tiles and laminate, those who have carpets and many children should not tak"&amp;"e this vacuum cleaner. Anyone who does not use a vacuum cleaner on an industrial scale - this vacuum cleaner is for you. The filter is easily washed and dried. I don’t know about you, but I have dirt in a container from an apartment of 70 sq.m. I picked i"&amp;"t up in a week, and I vacuumed every day instead of using a broom. I recommend it.")</f>
        <v>We bought a vacuum cleaner 1.5 weeks ago. The container for dust and dirt can be easily removed. For that kind of money, a very powerful vacuum cleaner. I don’t have carpets, only tiles and laminate, those who have carpets and many children should not take this vacuum cleaner. Anyone who does not use a vacuum cleaner on an industrial scale - this vacuum cleaner is for you. The filter is easily washed and dried. I don’t know about you, but I have dirt in a container from an apartment of 70 sq.m. I picked it up in a week, and I vacuumed every day instead of using a broom. I recommend it.</v>
      </c>
    </row>
    <row r="3411" spans="1:9" x14ac:dyDescent="0.3">
      <c r="A3411" s="1" t="s">
        <v>30</v>
      </c>
      <c r="B3411" s="1" t="s">
        <v>50</v>
      </c>
      <c r="C3411" s="1" t="s">
        <v>694</v>
      </c>
      <c r="D3411" s="1" t="s">
        <v>81</v>
      </c>
      <c r="E3411" s="1" t="s">
        <v>2011</v>
      </c>
      <c r="F3411" s="1" t="s">
        <v>6190</v>
      </c>
      <c r="G3411" s="1" t="s">
        <v>36</v>
      </c>
      <c r="H3411" s="1" t="s">
        <v>29</v>
      </c>
      <c r="I3411" s="1" t="str">
        <f ca="1">IFERROR(__xludf.DUMMYFUNCTION("GOOGLETRANSLATE(F3411, ""auto"", ""en"")
"),"I bought it today. I immediately demolished the wretched XP Home and installed Windows 7even. stood up perfectly, does not slow down. Only 2 devices were not identified (one of them is a card reader - there is firewood on the site. The second one has not "&amp;"yet been cured) I also strongly recommend flashing the BIOS to the latest firmware. Immediately after this it will work correctly with 3 GB of memory p.s. I don’t understand the idea of ​​the developers who decided to initially split the disk into 103 and"&amp;" 30 GB =))))")</f>
        <v>I bought it today. I immediately demolished the wretched XP Home and installed Windows 7even. stood up perfectly, does not slow down. Only 2 devices were not identified (one of them is a card reader - there is firewood on the site. The second one has not yet been cured) I also strongly recommend flashing the BIOS to the latest firmware. Immediately after this it will work correctly with 3 GB of memory p.s. I don’t understand the idea of ​​the developers who decided to initially split the disk into 103 and 30 GB =))))</v>
      </c>
    </row>
    <row r="3412" spans="1:9" x14ac:dyDescent="0.3">
      <c r="A3412" s="1" t="s">
        <v>206</v>
      </c>
      <c r="B3412" s="1" t="s">
        <v>261</v>
      </c>
      <c r="C3412" s="1" t="s">
        <v>107</v>
      </c>
      <c r="D3412" s="1" t="s">
        <v>6191</v>
      </c>
      <c r="E3412" s="1" t="s">
        <v>543</v>
      </c>
      <c r="F3412" s="1" t="s">
        <v>6192</v>
      </c>
      <c r="G3412" s="1" t="s">
        <v>28</v>
      </c>
      <c r="H3412" s="1" t="s">
        <v>29</v>
      </c>
      <c r="I3412" s="1" t="str">
        <f ca="1">IFERROR(__xludf.DUMMYFUNCTION("GOOGLETRANSLATE(F3412, ""auto"", ""en"")
"),"By default, the highs are “cut”, but they can be raised using the equalizer of the radio. After this, the quality becomes really good, the background noise in practice is not audible, you have to listen specifically. There is a built-in equalizer here and"&amp;" it seems to be adjustable, but the effect is invisible. It reads an 8Gb flash drive and an 8Gb SDHC card, and initializes it very quickly. The built-in display with red numbers can show frequency, time to end of song or signal strength dynamically. RDS w"&amp;"orks, but apparently my radio (original Toyota 2din) does not show Russian tags, plus often due to transmission failures all sorts of crap appears on the screen. However, the process is cyclical, so this is not particularly annoying. It flips through fold"&amp;"ers both from the remote control and from the buttons, and it really doesn’t matter what they are called. The remote control must be accurately “aimed”, the beam is very narrow.")</f>
        <v>By default, the highs are “cut”, but they can be raised using the equalizer of the radio. After this, the quality becomes really good, the background noise in practice is not audible, you have to listen specifically. There is a built-in equalizer here and it seems to be adjustable, but the effect is invisible. It reads an 8Gb flash drive and an 8Gb SDHC card, and initializes it very quickly. The built-in display with red numbers can show frequency, time to end of song or signal strength dynamically. RDS works, but apparently my radio (original Toyota 2din) does not show Russian tags, plus often due to transmission failures all sorts of crap appears on the screen. However, the process is cyclical, so this is not particularly annoying. It flips through folders both from the remote control and from the buttons, and it really doesn’t matter what they are called. The remote control must be accurately “aimed”, the beam is very narrow.</v>
      </c>
    </row>
    <row r="3413" spans="1:9" x14ac:dyDescent="0.3">
      <c r="A3413" s="1" t="s">
        <v>149</v>
      </c>
      <c r="B3413" s="1" t="s">
        <v>150</v>
      </c>
      <c r="C3413" s="1" t="s">
        <v>2016</v>
      </c>
      <c r="D3413" s="1" t="s">
        <v>52</v>
      </c>
      <c r="E3413" s="1" t="s">
        <v>692</v>
      </c>
      <c r="F3413" s="1" t="s">
        <v>6193</v>
      </c>
      <c r="G3413" s="1" t="s">
        <v>36</v>
      </c>
      <c r="H3413" s="1" t="s">
        <v>29</v>
      </c>
      <c r="I3413" s="1" t="str">
        <f ca="1">IFERROR(__xludf.DUMMYFUNCTION("GOOGLETRANSLATE(F3413, ""auto"", ""en"")
"),"Good thing.  The power is quite decent for a car vacuum cleaner.  High quality build. I recommend the purchase.")</f>
        <v>Good thing.  The power is quite decent for a car vacuum cleaner.  High quality build. I recommend the purchase.</v>
      </c>
    </row>
    <row r="3414" spans="1:9" x14ac:dyDescent="0.3">
      <c r="A3414" s="1" t="s">
        <v>9</v>
      </c>
      <c r="B3414" s="1" t="s">
        <v>10</v>
      </c>
      <c r="C3414" s="1" t="s">
        <v>407</v>
      </c>
      <c r="D3414" s="1" t="s">
        <v>6194</v>
      </c>
      <c r="E3414" s="1" t="s">
        <v>1688</v>
      </c>
      <c r="F3414" s="1" t="s">
        <v>6195</v>
      </c>
      <c r="G3414" s="1" t="s">
        <v>28</v>
      </c>
      <c r="H3414" s="1" t="s">
        <v>29</v>
      </c>
      <c r="I3414" s="1" t="str">
        <f ca="1">IFERROR(__xludf.DUMMYFUNCTION("GOOGLETRANSLATE(F3414, ""auto"", ""en"")
"),"Got it as a gift and delivered it to my parents, everything works fine, the steam blows smoke overboard. Normal model with no complaints. At first I wanted to keep one for myself, but on reflection I gave preference to the built-in one and in terms of siz"&amp;"e I had to take one that was 50 AND NOT 60 centimeters wide. And now that this hood has already appeared, everyone is happy.")</f>
        <v>Got it as a gift and delivered it to my parents, everything works fine, the steam blows smoke overboard. Normal model with no complaints. At first I wanted to keep one for myself, but on reflection I gave preference to the built-in one and in terms of size I had to take one that was 50 AND NOT 60 centimeters wide. And now that this hood has already appeared, everyone is happy.</v>
      </c>
    </row>
    <row r="3415" spans="1:9" x14ac:dyDescent="0.3">
      <c r="A3415" s="1" t="s">
        <v>211</v>
      </c>
      <c r="B3415" s="1" t="s">
        <v>410</v>
      </c>
      <c r="C3415" s="1" t="s">
        <v>213</v>
      </c>
      <c r="D3415" s="1" t="s">
        <v>39</v>
      </c>
      <c r="E3415" s="1" t="s">
        <v>229</v>
      </c>
      <c r="F3415" s="1" t="s">
        <v>6196</v>
      </c>
      <c r="G3415" s="1" t="s">
        <v>36</v>
      </c>
      <c r="H3415" s="1" t="s">
        <v>29</v>
      </c>
      <c r="I3415" s="1" t="str">
        <f ca="1">IFERROR(__xludf.DUMMYFUNCTION("GOOGLETRANSLATE(F3415, ""auto"", ""en"")
"),"Well, comrades, here, too, it depends on who you choose... I have soft, weak stubble and this razor shave me beautifully, so if someone is just starting to have stubble or has had it for a long time, but it’s weak, then take it boldly, don’t worry)))) Wel"&amp;"l, for those who have coarse stubble, then yes, take something better))))")</f>
        <v>Well, comrades, here, too, it depends on who you choose... I have soft, weak stubble and this razor shave me beautifully, so if someone is just starting to have stubble or has had it for a long time, but it’s weak, then take it boldly, don’t worry)))) Well, for those who have coarse stubble, then yes, take something better))))</v>
      </c>
    </row>
    <row r="3416" spans="1:9" x14ac:dyDescent="0.3">
      <c r="A3416" s="1" t="s">
        <v>43</v>
      </c>
      <c r="B3416" s="1" t="s">
        <v>502</v>
      </c>
      <c r="C3416" s="1" t="s">
        <v>1627</v>
      </c>
      <c r="D3416" s="1" t="s">
        <v>232</v>
      </c>
      <c r="E3416" s="1" t="s">
        <v>5078</v>
      </c>
      <c r="F3416" s="1" t="s">
        <v>6197</v>
      </c>
      <c r="G3416" s="1" t="s">
        <v>49</v>
      </c>
      <c r="H3416" s="1" t="s">
        <v>16</v>
      </c>
      <c r="I3416" s="1" t="str">
        <f ca="1">IFERROR(__xludf.DUMMYFUNCTION("GOOGLETRANSLATE(F3416, ""auto"", ""en"")
"),"I bought it this year. Cools well. Night mode works strangely. Within 2 hours the temperature rises by 2 degrees. It works noisily (it feels like some part is touching when rotating). Contacting the center did not bring any results. The Daikin name has no"&amp;"t lived up to expectations.")</f>
        <v>I bought it this year. Cools well. Night mode works strangely. Within 2 hours the temperature rises by 2 degrees. It works noisily (it feels like some part is touching when rotating). Contacting the center did not bring any results. The Daikin name has not lived up to expectations.</v>
      </c>
    </row>
    <row r="3417" spans="1:9" x14ac:dyDescent="0.3">
      <c r="A3417" s="1" t="s">
        <v>120</v>
      </c>
      <c r="B3417" s="1" t="s">
        <v>121</v>
      </c>
      <c r="C3417" s="1" t="s">
        <v>151</v>
      </c>
      <c r="D3417" s="1" t="s">
        <v>139</v>
      </c>
      <c r="E3417" s="1" t="s">
        <v>2990</v>
      </c>
      <c r="F3417" s="1" t="s">
        <v>6198</v>
      </c>
      <c r="G3417" s="1" t="s">
        <v>36</v>
      </c>
      <c r="H3417" s="1" t="s">
        <v>29</v>
      </c>
      <c r="I3417" s="1" t="str">
        <f ca="1">IFERROR(__xludf.DUMMYFUNCTION("GOOGLETRANSLATE(F3417, ""auto"", ""en"")
"),"“I also think that the disadvantage is that the TV turns on and off very loudly and there is no way to adjust the volume or turn it off completely.” It’s better to look in the settings (Menu - Installation (gear icon) - Last line ""General"" - Melody) and"&amp;" the problem is resolved")</f>
        <v>“I also think that the disadvantage is that the TV turns on and off very loudly and there is no way to adjust the volume or turn it off completely.” It’s better to look in the settings (Menu - Installation (gear icon) - Last line "General" - Melody) and the problem is resolved</v>
      </c>
    </row>
    <row r="3418" spans="1:9" x14ac:dyDescent="0.3">
      <c r="A3418" s="1" t="s">
        <v>211</v>
      </c>
      <c r="B3418" s="1" t="s">
        <v>212</v>
      </c>
      <c r="C3418" s="1" t="s">
        <v>69</v>
      </c>
      <c r="D3418" s="1" t="s">
        <v>774</v>
      </c>
      <c r="E3418" s="1" t="s">
        <v>1350</v>
      </c>
      <c r="F3418" s="1" t="s">
        <v>6199</v>
      </c>
      <c r="G3418" s="1" t="s">
        <v>36</v>
      </c>
      <c r="H3418" s="1" t="s">
        <v>29</v>
      </c>
      <c r="I3418" s="1" t="str">
        <f ca="1">IFERROR(__xludf.DUMMYFUNCTION("GOOGLETRANSLATE(F3418, ""auto"", ""en"")
"),"I've been using it for almost 2 years. Works smoothly. Comfortable. Quite compact and lightweight. A couple of months ago I bought a second one as a gift... no complaints about the performance or convenience either.")</f>
        <v>I've been using it for almost 2 years. Works smoothly. Comfortable. Quite compact and lightweight. A couple of months ago I bought a second one as a gift... no complaints about the performance or convenience either.</v>
      </c>
    </row>
    <row r="3419" spans="1:9" x14ac:dyDescent="0.3">
      <c r="A3419" s="1" t="s">
        <v>67</v>
      </c>
      <c r="B3419" s="1" t="s">
        <v>68</v>
      </c>
      <c r="C3419" s="1" t="s">
        <v>381</v>
      </c>
      <c r="D3419" s="1" t="s">
        <v>4886</v>
      </c>
      <c r="E3419" s="1" t="s">
        <v>6200</v>
      </c>
      <c r="F3419" s="1" t="s">
        <v>6201</v>
      </c>
      <c r="G3419" s="1" t="s">
        <v>49</v>
      </c>
      <c r="H3419" s="1" t="s">
        <v>16</v>
      </c>
      <c r="I3419" s="1" t="str">
        <f ca="1">IFERROR(__xludf.DUMMYFUNCTION("GOOGLETRANSLATE(F3419, ""auto"", ""en"")
"),"I bought the first such iron last year, it works great, 2 months ago I bought a second iron to give to my parents for vacation trips. As a result, I ironed well for a week, and then I stopped ironing and ironing at all, there is no steam supply, and the h"&amp;"andle is constantly wet from water, I do not recommend the new series of these irons with triangles drawn on a white background near the sole. They handed it back. The old series without the triangle pattern like in the picture is excellent, I can’t get e"&amp;"nough of it)))")</f>
        <v>I bought the first such iron last year, it works great, 2 months ago I bought a second iron to give to my parents for vacation trips. As a result, I ironed well for a week, and then I stopped ironing and ironing at all, there is no steam supply, and the handle is constantly wet from water, I do not recommend the new series of these irons with triangles drawn on a white background near the sole. They handed it back. The old series without the triangle pattern like in the picture is excellent, I can’t get enough of it)))</v>
      </c>
    </row>
    <row r="3420" spans="1:9" x14ac:dyDescent="0.3">
      <c r="A3420" s="1" t="s">
        <v>211</v>
      </c>
      <c r="B3420" s="1" t="s">
        <v>410</v>
      </c>
      <c r="C3420" s="1" t="s">
        <v>69</v>
      </c>
      <c r="D3420" s="1" t="s">
        <v>171</v>
      </c>
      <c r="E3420" s="1" t="s">
        <v>3128</v>
      </c>
      <c r="F3420" s="1" t="s">
        <v>6202</v>
      </c>
      <c r="G3420" s="1" t="s">
        <v>36</v>
      </c>
      <c r="H3420" s="1" t="s">
        <v>29</v>
      </c>
      <c r="I3420" s="1" t="str">
        <f ca="1">IFERROR(__xludf.DUMMYFUNCTION("GOOGLETRANSLATE(F3420, ""auto"", ""en"")
"),"I've been using this razor for about a year. Great razor. The shaving quality is good and very easy to use.")</f>
        <v>I've been using this razor for about a year. Great razor. The shaving quality is good and very easy to use.</v>
      </c>
    </row>
    <row r="3421" spans="1:9" x14ac:dyDescent="0.3">
      <c r="A3421" s="1" t="s">
        <v>67</v>
      </c>
      <c r="B3421" s="1" t="s">
        <v>340</v>
      </c>
      <c r="C3421" s="1" t="s">
        <v>341</v>
      </c>
      <c r="D3421" s="1" t="s">
        <v>152</v>
      </c>
      <c r="E3421" s="1" t="s">
        <v>1161</v>
      </c>
      <c r="F3421" s="1" t="s">
        <v>6203</v>
      </c>
      <c r="G3421" s="1" t="s">
        <v>36</v>
      </c>
      <c r="H3421" s="1" t="s">
        <v>29</v>
      </c>
      <c r="I3421" s="1" t="str">
        <f ca="1">IFERROR(__xludf.DUMMYFUNCTION("GOOGLETRANSLATE(F3421, ""auto"", ""en"")
"),"The machine is excellent, work on it occurs sporadically, my wife has been delighted for the third year now :-) I have lubricated and cleaned the compartment a couple of times during this time. A worthy, unpretentious replacement for old furniture element"&amp;"s, sorry, Zingers, Podolsks and Chaikas, but only if you do not sew thick leather and dense materials")</f>
        <v>The machine is excellent, work on it occurs sporadically, my wife has been delighted for the third year now :-) I have lubricated and cleaned the compartment a couple of times during this time. A worthy, unpretentious replacement for old furniture elements, sorry, Zingers, Podolsks and Chaikas, but only if you do not sew thick leather and dense materials</v>
      </c>
    </row>
    <row r="3422" spans="1:9" x14ac:dyDescent="0.3">
      <c r="A3422" s="1" t="s">
        <v>111</v>
      </c>
      <c r="B3422" s="1" t="s">
        <v>298</v>
      </c>
      <c r="C3422" s="1" t="s">
        <v>299</v>
      </c>
      <c r="D3422" s="1" t="s">
        <v>280</v>
      </c>
      <c r="E3422" s="1" t="s">
        <v>926</v>
      </c>
      <c r="F3422" s="1" t="s">
        <v>6204</v>
      </c>
      <c r="G3422" s="1" t="s">
        <v>36</v>
      </c>
      <c r="H3422" s="1" t="s">
        <v>29</v>
      </c>
      <c r="I3422" s="1" t="str">
        <f ca="1">IFERROR(__xludf.DUMMYFUNCTION("GOOGLETRANSLATE(F3422, ""auto"", ""en"")
"),"I bought a dryer in a store on Trubnaya. 08.27.14 13:55 sale No. 9908.  1. Dryers for 890 and for 399 are in the same basket with a common price tag. Tricky guys.  2. When turned on, the dryer started working at 50% with only one element. I didn't get it "&amp;"under warranty. I soldered the wiring myself.   3. This device should cost 100 rubles maximum.")</f>
        <v>I bought a dryer in a store on Trubnaya. 08.27.14 13:55 sale No. 9908.  1. Dryers for 890 and for 399 are in the same basket with a common price tag. Tricky guys.  2. When turned on, the dryer started working at 50% with only one element. I didn't get it under warranty. I soldered the wiring myself.   3. This device should cost 100 rubles maximum.</v>
      </c>
    </row>
    <row r="3423" spans="1:9" x14ac:dyDescent="0.3">
      <c r="A3423" s="1" t="s">
        <v>9</v>
      </c>
      <c r="B3423" s="1" t="s">
        <v>137</v>
      </c>
      <c r="C3423" s="1" t="s">
        <v>290</v>
      </c>
      <c r="D3423" s="1" t="s">
        <v>305</v>
      </c>
      <c r="E3423" s="1" t="s">
        <v>2874</v>
      </c>
      <c r="F3423" s="1" t="s">
        <v>6205</v>
      </c>
      <c r="G3423" s="1" t="s">
        <v>28</v>
      </c>
      <c r="H3423" s="1" t="s">
        <v>29</v>
      </c>
      <c r="I3423" s="1" t="str">
        <f ca="1">IFERROR(__xludf.DUMMYFUNCTION("GOOGLETRANSLATE(F3423, ""auto"", ""en"")
"),"I purchased a Gorenje G64AX1 gas hob several months ago, the only thing I’m dissatisfied with is the gas supply regulators, which are not resistant to contact with cookware and are susceptible to scratches. I assumed that this brand would not have such pr"&amp;"oblems. But overall the device is not bad.")</f>
        <v>I purchased a Gorenje G64AX1 gas hob several months ago, the only thing I’m dissatisfied with is the gas supply regulators, which are not resistant to contact with cookware and are susceptible to scratches. I assumed that this brand would not have such problems. But overall the device is not bad.</v>
      </c>
    </row>
    <row r="3424" spans="1:9" x14ac:dyDescent="0.3">
      <c r="A3424" s="1" t="s">
        <v>111</v>
      </c>
      <c r="B3424" s="1" t="s">
        <v>1090</v>
      </c>
      <c r="C3424" s="1" t="s">
        <v>6206</v>
      </c>
      <c r="D3424" s="1" t="s">
        <v>6207</v>
      </c>
      <c r="E3424" s="1" t="s">
        <v>2410</v>
      </c>
      <c r="F3424" s="1" t="s">
        <v>6208</v>
      </c>
      <c r="G3424" s="1" t="s">
        <v>36</v>
      </c>
      <c r="H3424" s="1" t="s">
        <v>29</v>
      </c>
      <c r="I3424" s="1" t="str">
        <f ca="1">IFERROR(__xludf.DUMMYFUNCTION("GOOGLETRANSLATE(F3424, ""auto"", ""en"")
"),"It’s clear that it’s shock-resistant and splash-proof - it’s wrapped in rubber around and gives a good luminous flux - a point and with a slight dispersion from the point - which is good in principle - so to speak, “Lateral vision”, honestly.. the toad wa"&amp;"s pressing to buy.. I thought it was a bullshit single LED, I took a risk, I’m happy.  due to the fact that super-bright is used! LED and, moreover, 1 (thereby achieving just the luminous flux point) results in low battery consumption.")</f>
        <v>It’s clear that it’s shock-resistant and splash-proof - it’s wrapped in rubber around and gives a good luminous flux - a point and with a slight dispersion from the point - which is good in principle - so to speak, “Lateral vision”, honestly.. the toad was pressing to buy.. I thought it was a bullshit single LED, I took a risk, I’m happy.  due to the fact that super-bright is used! LED and, moreover, 1 (thereby achieving just the luminous flux point) results in low battery consumption.</v>
      </c>
    </row>
    <row r="3425" spans="1:9" x14ac:dyDescent="0.3">
      <c r="A3425" s="1" t="s">
        <v>61</v>
      </c>
      <c r="B3425" s="1" t="s">
        <v>318</v>
      </c>
      <c r="C3425" s="1" t="s">
        <v>85</v>
      </c>
      <c r="D3425" s="1" t="s">
        <v>152</v>
      </c>
      <c r="E3425" s="1" t="s">
        <v>6074</v>
      </c>
      <c r="F3425" s="1" t="s">
        <v>6209</v>
      </c>
      <c r="G3425" s="1" t="s">
        <v>49</v>
      </c>
      <c r="H3425" s="1" t="s">
        <v>16</v>
      </c>
      <c r="I3425" s="1" t="str">
        <f ca="1">IFERROR(__xludf.DUMMYFUNCTION("GOOGLETRANSLATE(F3425, ""auto"", ""en"")
"),"beautiful box and instruction book")</f>
        <v>beautiful box and instruction book</v>
      </c>
    </row>
    <row r="3426" spans="1:9" x14ac:dyDescent="0.3">
      <c r="A3426" s="1" t="s">
        <v>169</v>
      </c>
      <c r="B3426" s="1" t="s">
        <v>170</v>
      </c>
      <c r="C3426" s="1" t="s">
        <v>193</v>
      </c>
      <c r="D3426" s="1" t="s">
        <v>345</v>
      </c>
      <c r="E3426" s="1" t="s">
        <v>2126</v>
      </c>
      <c r="F3426" s="1" t="s">
        <v>6210</v>
      </c>
      <c r="G3426" s="1" t="s">
        <v>36</v>
      </c>
      <c r="H3426" s="1" t="s">
        <v>29</v>
      </c>
      <c r="I3426" s="1" t="str">
        <f ca="1">IFERROR(__xludf.DUMMYFUNCTION("GOOGLETRANSLATE(F3426, ""auto"", ""en"")
"),"I took it in 2007. Back then they cost 2-something grand. Still like new, even the material of the pads has not worn off. Very high quality assembled.  The headphones are great and it’s great to watch computer games and movies on your computer. I recently"&amp;" took a shorter adapter from 3.5 to 2.5 and now I listen to them on my phone. Asha is cool. You can't hear it at all on the minibus. Rock the steering wheel to listen.")</f>
        <v>I took it in 2007. Back then they cost 2-something grand. Still like new, even the material of the pads has not worn off. Very high quality assembled.  The headphones are great and it’s great to watch computer games and movies on your computer. I recently took a shorter adapter from 3.5 to 2.5 and now I listen to them on my phone. Asha is cool. You can't hear it at all on the minibus. Rock the steering wheel to listen.</v>
      </c>
    </row>
    <row r="3427" spans="1:9" x14ac:dyDescent="0.3">
      <c r="A3427" s="1" t="s">
        <v>169</v>
      </c>
      <c r="B3427" s="1" t="s">
        <v>170</v>
      </c>
      <c r="C3427" s="1" t="s">
        <v>193</v>
      </c>
      <c r="D3427" s="1" t="s">
        <v>114</v>
      </c>
      <c r="E3427" s="1" t="s">
        <v>124</v>
      </c>
      <c r="F3427" s="1" t="s">
        <v>6211</v>
      </c>
      <c r="G3427" s="1" t="s">
        <v>36</v>
      </c>
      <c r="H3427" s="1" t="s">
        <v>29</v>
      </c>
      <c r="I3427" s="1" t="str">
        <f ca="1">IFERROR(__xludf.DUMMYFUNCTION("GOOGLETRANSLATE(F3427, ""auto"", ""en"")
"),"I can tell you with confidence that these headphones are very good. I've been wearing them for 2 years now, and they have never let me down!")</f>
        <v>I can tell you with confidence that these headphones are very good. I've been wearing them for 2 years now, and they have never let me down!</v>
      </c>
    </row>
    <row r="3428" spans="1:9" x14ac:dyDescent="0.3">
      <c r="A3428" s="1" t="s">
        <v>61</v>
      </c>
      <c r="B3428" s="1" t="s">
        <v>224</v>
      </c>
      <c r="C3428" s="1" t="s">
        <v>85</v>
      </c>
      <c r="D3428" s="1" t="s">
        <v>152</v>
      </c>
      <c r="E3428" s="1" t="s">
        <v>1228</v>
      </c>
      <c r="F3428" s="1" t="s">
        <v>6212</v>
      </c>
      <c r="G3428" s="1" t="s">
        <v>36</v>
      </c>
      <c r="H3428" s="1" t="s">
        <v>29</v>
      </c>
      <c r="I3428" s="1" t="str">
        <f ca="1">IFERROR(__xludf.DUMMYFUNCTION("GOOGLETRANSLATE(F3428, ""auto"", ""en"")
"),"The device is simply gorgeous, I tried it out as soon as I bought it. It squeezes out juice perfectly, dry pulp, pure juice, and washing it is a pleasure and takes less than a minute. Very pleased!")</f>
        <v>The device is simply gorgeous, I tried it out as soon as I bought it. It squeezes out juice perfectly, dry pulp, pure juice, and washing it is a pleasure and takes less than a minute. Very pleased!</v>
      </c>
    </row>
    <row r="3429" spans="1:9" x14ac:dyDescent="0.3">
      <c r="A3429" s="1" t="s">
        <v>9</v>
      </c>
      <c r="B3429" s="1" t="s">
        <v>137</v>
      </c>
      <c r="C3429" s="1" t="s">
        <v>134</v>
      </c>
      <c r="D3429" s="1" t="s">
        <v>326</v>
      </c>
      <c r="E3429" s="1" t="s">
        <v>2482</v>
      </c>
      <c r="F3429" s="1" t="s">
        <v>6213</v>
      </c>
      <c r="G3429" s="1" t="s">
        <v>36</v>
      </c>
      <c r="H3429" s="1" t="s">
        <v>29</v>
      </c>
      <c r="I3429" s="1" t="str">
        <f ca="1">IFERROR(__xludf.DUMMYFUNCTION("GOOGLETRANSLATE(F3429, ""auto"", ""en"")
"),"Made of glass ceramics, easy to clean. There is a timer, you can set the cooking time and go about your business - the stove will make a quiet sound and turn off the burner in time. The expansion zone is very convenient; you can display any dishes. The bu"&amp;"rners heat up very quickly and cool down quickly, but there is a residual heat indicator. It is safe for children, as there is a special lock. It will also automatically turn off if something spills from the pan onto the surface; it has saved me more than"&amp;" once! In principle, such quality is not surprising, this is German quality and assembly!")</f>
        <v>Made of glass ceramics, easy to clean. There is a timer, you can set the cooking time and go about your business - the stove will make a quiet sound and turn off the burner in time. The expansion zone is very convenient; you can display any dishes. The burners heat up very quickly and cool down quickly, but there is a residual heat indicator. It is safe for children, as there is a special lock. It will also automatically turn off if something spills from the pan onto the surface; it has saved me more than once! In principle, such quality is not surprising, this is German quality and assembly!</v>
      </c>
    </row>
    <row r="3430" spans="1:9" x14ac:dyDescent="0.3">
      <c r="A3430" s="1" t="s">
        <v>211</v>
      </c>
      <c r="B3430" s="1" t="s">
        <v>212</v>
      </c>
      <c r="C3430" s="1" t="s">
        <v>294</v>
      </c>
      <c r="D3430" s="1" t="s">
        <v>46</v>
      </c>
      <c r="E3430" s="1" t="s">
        <v>5558</v>
      </c>
      <c r="F3430" s="1" t="s">
        <v>6214</v>
      </c>
      <c r="G3430" s="1" t="s">
        <v>36</v>
      </c>
      <c r="H3430" s="1" t="s">
        <v>29</v>
      </c>
      <c r="I3430" s="1" t="str">
        <f ca="1">IFERROR(__xludf.DUMMYFUNCTION("GOOGLETRANSLATE(F3430, ""auto"", ""en"")
"),"I bought this hair dryer about 5 years ago! I'm delighted with it! Due to its compact size, it is very convenient to use! The main requirement for hair dryers for me is several power modes, cold and hot mode and, of course, to blow strongly - it has all t"&amp;"his and the price is reasonable! Later I bought hair straighteners from the same company, I’m also happy!")</f>
        <v>I bought this hair dryer about 5 years ago! I'm delighted with it! Due to its compact size, it is very convenient to use! The main requirement for hair dryers for me is several power modes, cold and hot mode and, of course, to blow strongly - it has all this and the price is reasonable! Later I bought hair straighteners from the same company, I’m also happy!</v>
      </c>
    </row>
    <row r="3431" spans="1:9" x14ac:dyDescent="0.3">
      <c r="A3431" s="1" t="s">
        <v>61</v>
      </c>
      <c r="B3431" s="1" t="s">
        <v>318</v>
      </c>
      <c r="C3431" s="1" t="s">
        <v>101</v>
      </c>
      <c r="D3431" s="1" t="s">
        <v>20</v>
      </c>
      <c r="E3431" s="1" t="s">
        <v>6215</v>
      </c>
      <c r="F3431" s="1" t="s">
        <v>6216</v>
      </c>
      <c r="G3431" s="1" t="s">
        <v>36</v>
      </c>
      <c r="H3431" s="1" t="s">
        <v>29</v>
      </c>
      <c r="I3431" s="1" t="str">
        <f ca="1">IFERROR(__xludf.DUMMYFUNCTION("GOOGLETRANSLATE(F3431, ""auto"", ""en"")
"),"I bought it at the end of 2007. At first there was a plastic smell, then everything went away. During merciless operation, it served until May 2013. The entire reliability of the Scarlett kettle lies in its simplicity)")</f>
        <v>I bought it at the end of 2007. At first there was a plastic smell, then everything went away. During merciless operation, it served until May 2013. The entire reliability of the Scarlett kettle lies in its simplicity)</v>
      </c>
    </row>
    <row r="3432" spans="1:9" x14ac:dyDescent="0.3">
      <c r="A3432" s="1" t="s">
        <v>17</v>
      </c>
      <c r="B3432" s="1" t="s">
        <v>18</v>
      </c>
      <c r="C3432" s="1" t="s">
        <v>151</v>
      </c>
      <c r="D3432" s="1" t="s">
        <v>64</v>
      </c>
      <c r="E3432" s="1" t="s">
        <v>2401</v>
      </c>
      <c r="F3432" s="1" t="s">
        <v>6217</v>
      </c>
      <c r="G3432" s="1" t="s">
        <v>36</v>
      </c>
      <c r="H3432" s="1" t="s">
        <v>29</v>
      </c>
      <c r="I3432" s="1" t="str">
        <f ca="1">IFERROR(__xludf.DUMMYFUNCTION("GOOGLETRANSLATE(F3432, ""auto"", ""en"")
"),"I have the same thing but 3.5 kg for 4 years!!! and pah-pah!! plows great. there is only one drawback. Recently, a hole appeared in the rubber belt that is in front when you open the drum... and I have not yet realized how much the machine itself suffers "&amp;"from this.")</f>
        <v>I have the same thing but 3.5 kg for 4 years!!! and pah-pah!! plows great. there is only one drawback. Recently, a hole appeared in the rubber belt that is in front when you open the drum... and I have not yet realized how much the machine itself suffers from this.</v>
      </c>
    </row>
    <row r="3433" spans="1:9" x14ac:dyDescent="0.3">
      <c r="A3433" s="1" t="s">
        <v>211</v>
      </c>
      <c r="B3433" s="1" t="s">
        <v>265</v>
      </c>
      <c r="C3433" s="1" t="s">
        <v>57</v>
      </c>
      <c r="D3433" s="1" t="s">
        <v>247</v>
      </c>
      <c r="E3433" s="1" t="s">
        <v>1695</v>
      </c>
      <c r="F3433" s="1" t="s">
        <v>6218</v>
      </c>
      <c r="G3433" s="1" t="s">
        <v>49</v>
      </c>
      <c r="H3433" s="1" t="s">
        <v>16</v>
      </c>
      <c r="I3433" s="1" t="str">
        <f ca="1">IFERROR(__xludf.DUMMYFUNCTION("GOOGLETRANSLATE(F3433, ""auto"", ""en"")
"),"We bought a clipper and started cutting the child’s hair; the hair was being pulled out and the child was screaming. Some kind of horror!!! An old machine for 300 rubles from an unknown brand even cuts hair better. One disappointment... I'll take it back "&amp;"tomorrow.  Wow, what kind of “badass” they sold!")</f>
        <v>We bought a clipper and started cutting the child’s hair; the hair was being pulled out and the child was screaming. Some kind of horror!!! An old machine for 300 rubles from an unknown brand even cuts hair better. One disappointment... I'll take it back tomorrow.  Wow, what kind of “badass” they sold!</v>
      </c>
    </row>
    <row r="3434" spans="1:9" x14ac:dyDescent="0.3">
      <c r="A3434" s="1" t="s">
        <v>9</v>
      </c>
      <c r="B3434" s="1" t="s">
        <v>133</v>
      </c>
      <c r="C3434" s="1" t="s">
        <v>19</v>
      </c>
      <c r="D3434" s="1" t="s">
        <v>6219</v>
      </c>
      <c r="E3434" s="1" t="s">
        <v>6220</v>
      </c>
      <c r="F3434" s="1" t="s">
        <v>6221</v>
      </c>
      <c r="G3434" s="1" t="s">
        <v>28</v>
      </c>
      <c r="H3434" s="1" t="s">
        <v>29</v>
      </c>
      <c r="I3434" s="1" t="str">
        <f ca="1">IFERROR(__xludf.DUMMYFUNCTION("GOOGLETRANSLATE(F3434, ""auto"", ""en"")
"),"Since both my husband and children have completely sat on my neck and since I went on maternity leave they demand delicious pies, duck with apples, kulebyak, boiled pork and so on almost every day, I decided to ask my husband for an independent oven that "&amp;"has more programs and everything works well, unlike the old stove. If there is a niche suitable in size, then I advise all lovers of baked goods and grilling to take such a cabinet. An excellent brand, known to everyone, everything you need is there, afte"&amp;"r all, there are service centers if anything happens, but so far everything is fine with us. Electric ignition works great here, you don’t have to climb inside the stove, having already turned on the gas, with a newspaper on fire, and then rush headlong w"&amp;"ith it across the kitchen to extinguish it in the sink! But it is impossible to light an ordinary oven properly with any matches. The lighting here is also good, you can see how everything is fried there, it comes through. The door tilts downwards, this i"&amp;"s the only thing that seems to me not very successful, it would be better on the side, otherwise you have to pull it out and load it from the side, you don’t always understand how best to approach it. but I realized this only after the purchase(")</f>
        <v>Since both my husband and children have completely sat on my neck and since I went on maternity leave they demand delicious pies, duck with apples, kulebyak, boiled pork and so on almost every day, I decided to ask my husband for an independent oven that has more programs and everything works well, unlike the old stove. If there is a niche suitable in size, then I advise all lovers of baked goods and grilling to take such a cabinet. An excellent brand, known to everyone, everything you need is there, after all, there are service centers if anything happens, but so far everything is fine with us. Electric ignition works great here, you don’t have to climb inside the stove, having already turned on the gas, with a newspaper on fire, and then rush headlong with it across the kitchen to extinguish it in the sink! But it is impossible to light an ordinary oven properly with any matches. The lighting here is also good, you can see how everything is fried there, it comes through. The door tilts downwards, this is the only thing that seems to me not very successful, it would be better on the side, otherwise you have to pull it out and load it from the side, you don’t always understand how best to approach it. but I realized this only after the purchase(</v>
      </c>
    </row>
    <row r="3435" spans="1:9" x14ac:dyDescent="0.3">
      <c r="A3435" s="1" t="s">
        <v>169</v>
      </c>
      <c r="B3435" s="1" t="s">
        <v>170</v>
      </c>
      <c r="C3435" s="1" t="s">
        <v>122</v>
      </c>
      <c r="D3435" s="1" t="s">
        <v>52</v>
      </c>
      <c r="E3435" s="1" t="s">
        <v>2325</v>
      </c>
      <c r="F3435" s="1" t="s">
        <v>6222</v>
      </c>
      <c r="G3435" s="1" t="s">
        <v>28</v>
      </c>
      <c r="H3435" s="1" t="s">
        <v>29</v>
      </c>
      <c r="I3435" s="1" t="str">
        <f ca="1">IFERROR(__xludf.DUMMYFUNCTION("GOOGLETRANSLATE(F3435, ""auto"", ""en"")
"),"Everything is fine, but the five-meter wiring doesn’t really fit here at all! And so... good sound, deep bass, comfortable fit, in general I was satisfied.")</f>
        <v>Everything is fine, but the five-meter wiring doesn’t really fit here at all! And so... good sound, deep bass, comfortable fit, in general I was satisfied.</v>
      </c>
    </row>
    <row r="3436" spans="1:9" x14ac:dyDescent="0.3">
      <c r="A3436" s="1" t="s">
        <v>519</v>
      </c>
      <c r="B3436" s="1" t="s">
        <v>3088</v>
      </c>
      <c r="C3436" s="1" t="s">
        <v>246</v>
      </c>
      <c r="D3436" s="1" t="s">
        <v>545</v>
      </c>
      <c r="E3436" s="1" t="s">
        <v>1450</v>
      </c>
      <c r="F3436" s="1" t="s">
        <v>6223</v>
      </c>
      <c r="G3436" s="1" t="s">
        <v>36</v>
      </c>
      <c r="H3436" s="1" t="s">
        <v>29</v>
      </c>
      <c r="I3436" s="1" t="str">
        <f ca="1">IFERROR(__xludf.DUMMYFUNCTION("GOOGLETRANSLATE(F3436, ""auto"", ""en"")
"),"The frying pans are super! Lightweight, very comfortable handle, double-sided non-stick coating! In short, Tefal is Tefal!")</f>
        <v>The frying pans are super! Lightweight, very comfortable handle, double-sided non-stick coating! In short, Tefal is Tefal!</v>
      </c>
    </row>
    <row r="3437" spans="1:9" x14ac:dyDescent="0.3">
      <c r="A3437" s="1" t="s">
        <v>169</v>
      </c>
      <c r="B3437" s="1" t="s">
        <v>170</v>
      </c>
      <c r="C3437" s="1" t="s">
        <v>97</v>
      </c>
      <c r="D3437" s="1" t="s">
        <v>6224</v>
      </c>
      <c r="E3437" s="1" t="s">
        <v>1332</v>
      </c>
      <c r="F3437" s="1" t="s">
        <v>6225</v>
      </c>
      <c r="G3437" s="1" t="s">
        <v>28</v>
      </c>
      <c r="H3437" s="1" t="s">
        <v>29</v>
      </c>
      <c r="I3437" s="1" t="str">
        <f ca="1">IFERROR(__xludf.DUMMYFUNCTION("GOOGLETRANSLATE(F3437, ""auto"", ""en"")
"),"In general, I bought these headphones, they fit comfortably in my ears, my ears don’t get tired, the sound insulation is excellent.  But I didn’t like the sound, there was no dull rise, I listened through a computer, the bass did not correspond to the dec"&amp;"lared range, the highs were low, but still better than the Philips SHE8500, there was no sound at all, and those who wrote a review about them apparently did not hear normal ears. In general, I listened to 3 ears, went and took http://penza.mvideo.ru/prod"&amp;"uct_review/50033279.html (Sennheiser CX-300-2 Silver) everything else just rests!!!     The sound is also at the same level - clear, low frequencies sound pleasant, high frequencies are also heard quite clearly. The only thing I don’t like is that the hea"&amp;"dphone wire looks quite fragile, but this, it seems to me, is a drawback of all headphones in this price category.")</f>
        <v>In general, I bought these headphones, they fit comfortably in my ears, my ears don’t get tired, the sound insulation is excellent.  But I didn’t like the sound, there was no dull rise, I listened through a computer, the bass did not correspond to the declared range, the highs were low, but still better than the Philips SHE8500, there was no sound at all, and those who wrote a review about them apparently did not hear normal ears. In general, I listened to 3 ears, went and took http://penza.mvideo.ru/product_review/50033279.html (Sennheiser CX-300-2 Silver) everything else just rests!!!     The sound is also at the same level - clear, low frequencies sound pleasant, high frequencies are also heard quite clearly. The only thing I don’t like is that the headphone wire looks quite fragile, but this, it seems to me, is a drawback of all headphones in this price category.</v>
      </c>
    </row>
    <row r="3438" spans="1:9" x14ac:dyDescent="0.3">
      <c r="A3438" s="1" t="s">
        <v>211</v>
      </c>
      <c r="B3438" s="1" t="s">
        <v>601</v>
      </c>
      <c r="C3438" s="1" t="s">
        <v>602</v>
      </c>
      <c r="D3438" s="1" t="s">
        <v>114</v>
      </c>
      <c r="E3438" s="1" t="s">
        <v>6226</v>
      </c>
      <c r="F3438" s="1" t="s">
        <v>6227</v>
      </c>
      <c r="G3438" s="1" t="s">
        <v>36</v>
      </c>
      <c r="H3438" s="1" t="s">
        <v>29</v>
      </c>
      <c r="I3438" s="1" t="str">
        <f ca="1">IFERROR(__xludf.DUMMYFUNCTION("GOOGLETRANSLATE(F3438, ""auto"", ""en"")
"),"Polishes your teeth, if you have problems with the whiteness of your teeth, you need it. Even after the first brushing, your teeth shine. Not rough, not hard, gums don’t burn after it.")</f>
        <v>Polishes your teeth, if you have problems with the whiteness of your teeth, you need it. Even after the first brushing, your teeth shine. Not rough, not hard, gums don’t burn after it.</v>
      </c>
    </row>
    <row r="3439" spans="1:9" x14ac:dyDescent="0.3">
      <c r="A3439" s="1" t="s">
        <v>211</v>
      </c>
      <c r="B3439" s="1" t="s">
        <v>212</v>
      </c>
      <c r="C3439" s="1" t="s">
        <v>266</v>
      </c>
      <c r="D3439" s="1" t="s">
        <v>64</v>
      </c>
      <c r="E3439" s="1" t="s">
        <v>128</v>
      </c>
      <c r="F3439" s="1" t="s">
        <v>6228</v>
      </c>
      <c r="G3439" s="1" t="s">
        <v>15</v>
      </c>
      <c r="H3439" s="1" t="s">
        <v>16</v>
      </c>
      <c r="I3439" s="1" t="str">
        <f ca="1">IFERROR(__xludf.DUMMYFUNCTION("GOOGLETRANSLATE(F3439, ""auto"", ""en"")
"),"It heats up slowly, the parts are squishy! To straighten your hair even a little, you have to wait about 40 minutes until it heats up. But it makes curls more or less normally!! The only plus is the corrugation: it’s done quickly and lasts a long time!!! "&amp;"Overall: I don’t recommend taking it, it’s not worth it.")</f>
        <v>It heats up slowly, the parts are squishy! To straighten your hair even a little, you have to wait about 40 minutes until it heats up. But it makes curls more or less normally!! The only plus is the corrugation: it’s done quickly and lasts a long time!!! Overall: I don’t recommend taking it, it’s not worth it.</v>
      </c>
    </row>
    <row r="3440" spans="1:9" x14ac:dyDescent="0.3">
      <c r="A3440" s="1" t="s">
        <v>2087</v>
      </c>
      <c r="B3440" s="1" t="s">
        <v>2088</v>
      </c>
      <c r="C3440" s="1" t="s">
        <v>1771</v>
      </c>
      <c r="D3440" s="1" t="s">
        <v>139</v>
      </c>
      <c r="E3440" s="1" t="s">
        <v>1742</v>
      </c>
      <c r="F3440" s="1" t="s">
        <v>6229</v>
      </c>
      <c r="G3440" s="1" t="s">
        <v>36</v>
      </c>
      <c r="H3440" s="1" t="s">
        <v>29</v>
      </c>
      <c r="I3440" s="1" t="str">
        <f ca="1">IFERROR(__xludf.DUMMYFUNCTION("GOOGLETRANSLATE(F3440, ""auto"", ""en"")
"),"In general, I spent a very long time choosing which player to buy. I chose the BLU-RAY Pioneer BDP-320 DVD player. I realized immediately that I was not mistaken. Sound 5++. CD playback is excellent. The picture is quite decent. In general, a decent devic"&amp;"e.")</f>
        <v>In general, I spent a very long time choosing which player to buy. I chose the BLU-RAY Pioneer BDP-320 DVD player. I realized immediately that I was not mistaken. Sound 5++. CD playback is excellent. The picture is quite decent. In general, a decent device.</v>
      </c>
    </row>
    <row r="3441" spans="1:9" x14ac:dyDescent="0.3">
      <c r="A3441" s="1" t="s">
        <v>61</v>
      </c>
      <c r="B3441" s="1" t="s">
        <v>224</v>
      </c>
      <c r="C3441" s="1" t="s">
        <v>85</v>
      </c>
      <c r="D3441" s="1" t="s">
        <v>203</v>
      </c>
      <c r="E3441" s="1" t="s">
        <v>241</v>
      </c>
      <c r="F3441" s="1" t="s">
        <v>6230</v>
      </c>
      <c r="G3441" s="1" t="s">
        <v>36</v>
      </c>
      <c r="H3441" s="1" t="s">
        <v>29</v>
      </c>
      <c r="I3441" s="1" t="str">
        <f ca="1">IFERROR(__xludf.DUMMYFUNCTION("GOOGLETRANSLATE(F3441, ""auto"", ""en"")
"),"I am one hundred percent satisfied with the purchase. Juicer for one or two glasses of juice in the morning, and/or afternoon, and/or evening. Why did they buy it? This is not a juice collection station - the pulp container does not allow it, and the spin"&amp;" speed is (one speed). Stylish, beautiful, convenient, neat, not bulky device for the city kitchen. Easy to disassemble/assemble and even easier to clean. One small drawback - one speed - at 18,500 rpm, three speeds could be made. And then there would be "&amp;"no price for her at all. But it is what it is. And so, for hard vegetables/fruits - the cake is slightly damp, not sawdust, but you won’t be able to squeeze out a couple more drops (for preparations there are other units with a different type of centrifug"&amp;"e, but also with other difficulties with washing after spinning each batch of products), for soft ones - more moist (loss of one or two teaspoons, or even less). But with one or two glasses of juice per squeeze, this is not critical. Completely satisfied "&amp;"with the purchase. Happy as an elephant. I recommend it, taking into account all of the above.")</f>
        <v>I am one hundred percent satisfied with the purchase. Juicer for one or two glasses of juice in the morning, and/or afternoon, and/or evening. Why did they buy it? This is not a juice collection station - the pulp container does not allow it, and the spin speed is (one speed). Stylish, beautiful, convenient, neat, not bulky device for the city kitchen. Easy to disassemble/assemble and even easier to clean. One small drawback - one speed - at 18,500 rpm, three speeds could be made. And then there would be no price for her at all. But it is what it is. And so, for hard vegetables/fruits - the cake is slightly damp, not sawdust, but you won’t be able to squeeze out a couple more drops (for preparations there are other units with a different type of centrifuge, but also with other difficulties with washing after spinning each batch of products), for soft ones - more moist (loss of one or two teaspoons, or even less). But with one or two glasses of juice per squeeze, this is not critical. Completely satisfied with the purchase. Happy as an elephant. I recommend it, taking into account all of the above.</v>
      </c>
    </row>
    <row r="3442" spans="1:9" x14ac:dyDescent="0.3">
      <c r="A3442" s="1" t="s">
        <v>477</v>
      </c>
      <c r="B3442" s="1" t="s">
        <v>478</v>
      </c>
      <c r="C3442" s="1" t="s">
        <v>479</v>
      </c>
      <c r="D3442" s="1" t="s">
        <v>6231</v>
      </c>
      <c r="E3442" s="1" t="s">
        <v>6232</v>
      </c>
      <c r="F3442" s="1" t="s">
        <v>6233</v>
      </c>
      <c r="G3442" s="1" t="s">
        <v>49</v>
      </c>
      <c r="H3442" s="1" t="s">
        <v>16</v>
      </c>
      <c r="I3442" s="1" t="str">
        <f ca="1">IFERROR(__xludf.DUMMYFUNCTION("GOOGLETRANSLATE(F3442, ""auto"", ""en"")
"),"The game is clearly not worth that kind of money), a narrow, straightforward plot... everything that the developers promised, for the most part, remains a lie... it feels like they stupidly took GTA 4 and tailored it to a gangster theme (I didn’t see anyt"&amp;"hing good in the graphics, as they promised... a lot of bugs... I won’t say anything about the plot at all... in general, so many years of waiting and all in vain)")</f>
        <v>The game is clearly not worth that kind of money), a narrow, straightforward plot... everything that the developers promised, for the most part, remains a lie... it feels like they stupidly took GTA 4 and tailored it to a gangster theme (I didn’t see anything good in the graphics, as they promised... a lot of bugs... I won’t say anything about the plot at all... in general, so many years of waiting and all in vain)</v>
      </c>
    </row>
    <row r="3443" spans="1:9" x14ac:dyDescent="0.3">
      <c r="A3443" s="1" t="s">
        <v>211</v>
      </c>
      <c r="B3443" s="1" t="s">
        <v>212</v>
      </c>
      <c r="C3443" s="1" t="s">
        <v>101</v>
      </c>
      <c r="D3443" s="1" t="s">
        <v>335</v>
      </c>
      <c r="E3443" s="1" t="s">
        <v>590</v>
      </c>
      <c r="F3443" s="1" t="s">
        <v>6234</v>
      </c>
      <c r="G3443" s="1" t="s">
        <v>36</v>
      </c>
      <c r="H3443" s="1" t="s">
        <v>29</v>
      </c>
      <c r="I3443" s="1" t="str">
        <f ca="1">IFERROR(__xludf.DUMMYFUNCTION("GOOGLETRANSLATE(F3443, ""auto"", ""en"")
"),"I recently purchased a straightener of this model. I really like it. Good combination of price and quality. The only small drawback is that the button for switching the temperature is in an awkward place (I press it all the time when I use it). And everyt"&amp;"hing is OK!")</f>
        <v>I recently purchased a straightener of this model. I really like it. Good combination of price and quality. The only small drawback is that the button for switching the temperature is in an awkward place (I press it all the time when I use it). And everything is OK!</v>
      </c>
    </row>
    <row r="3444" spans="1:9" x14ac:dyDescent="0.3">
      <c r="A3444" s="1" t="s">
        <v>30</v>
      </c>
      <c r="B3444" s="1" t="s">
        <v>50</v>
      </c>
      <c r="C3444" s="1" t="s">
        <v>32</v>
      </c>
      <c r="D3444" s="1" t="s">
        <v>545</v>
      </c>
      <c r="E3444" s="1" t="s">
        <v>4984</v>
      </c>
      <c r="F3444" s="1" t="s">
        <v>6235</v>
      </c>
      <c r="G3444" s="1" t="s">
        <v>36</v>
      </c>
      <c r="H3444" s="1" t="s">
        <v>29</v>
      </c>
      <c r="I3444" s="1" t="str">
        <f ca="1">IFERROR(__xludf.DUMMYFUNCTION("GOOGLETRANSLATE(F3444, ""auto"", ""en"")
"),"I bought this laptop. I have never regretted it. But there is a question: There was not a single disk included - neither Windows installation nor firewood. and Acer himself suggests writing the settings to disk. I’m buying a laptop for the first time, Win"&amp;"dows is installed, but if it flies, do I have to buy a new Windows again? It's not clear with this question. go to the store? but I bought it 2 months ago.")</f>
        <v>I bought this laptop. I have never regretted it. But there is a question: There was not a single disk included - neither Windows installation nor firewood. and Acer himself suggests writing the settings to disk. I’m buying a laptop for the first time, Windows is installed, but if it flies, do I have to buy a new Windows again? It's not clear with this question. go to the store? but I bought it 2 months ago.</v>
      </c>
    </row>
    <row r="3445" spans="1:9" x14ac:dyDescent="0.3">
      <c r="A3445" s="1" t="s">
        <v>30</v>
      </c>
      <c r="B3445" s="1" t="s">
        <v>50</v>
      </c>
      <c r="C3445" s="1" t="s">
        <v>32</v>
      </c>
      <c r="D3445" s="1" t="s">
        <v>6236</v>
      </c>
      <c r="E3445" s="1" t="s">
        <v>1654</v>
      </c>
      <c r="F3445" s="1" t="s">
        <v>6237</v>
      </c>
      <c r="G3445" s="1" t="s">
        <v>36</v>
      </c>
      <c r="H3445" s="1" t="s">
        <v>29</v>
      </c>
      <c r="I3445" s="1" t="str">
        <f ca="1">IFERROR(__xludf.DUMMYFUNCTION("GOOGLETRANSLATE(F3445, ""auto"", ""en"")
"),"I recommend it to everyone! laptop is great! I will say that it is better to take i5 than i7, because... i5 performance is better. and it heats up less and is cheaper. In general, in my opinion, it is better than the i7")</f>
        <v>I recommend it to everyone! laptop is great! I will say that it is better to take i5 than i7, because... i5 performance is better. and it heats up less and is cheaper. In general, in my opinion, it is better than the i7</v>
      </c>
    </row>
    <row r="3446" spans="1:9" x14ac:dyDescent="0.3">
      <c r="A3446" s="1" t="s">
        <v>37</v>
      </c>
      <c r="B3446" s="1" t="s">
        <v>38</v>
      </c>
      <c r="C3446" s="1" t="s">
        <v>163</v>
      </c>
      <c r="D3446" s="1" t="s">
        <v>152</v>
      </c>
      <c r="E3446" s="1" t="s">
        <v>4187</v>
      </c>
      <c r="F3446" s="1" t="s">
        <v>6238</v>
      </c>
      <c r="G3446" s="1" t="s">
        <v>36</v>
      </c>
      <c r="H3446" s="1" t="s">
        <v>29</v>
      </c>
      <c r="I3446" s="1" t="str">
        <f ca="1">IFERROR(__xludf.DUMMYFUNCTION("GOOGLETRANSLATE(F3446, ""auto"", ""en"")
"),"I bought this Nokia in the summer, it seems like a good phone for the money and it works well, but there was a problem with the player, it was glitchy, I didn’t want to go into the player, but then the glitch went away on its own.. and I like everything s"&amp;"o much")</f>
        <v>I bought this Nokia in the summer, it seems like a good phone for the money and it works well, but there was a problem with the player, it was glitchy, I didn’t want to go into the player, but then the glitch went away on its own.. and I like everything so much</v>
      </c>
    </row>
    <row r="3447" spans="1:9" x14ac:dyDescent="0.3">
      <c r="A3447" s="1" t="s">
        <v>61</v>
      </c>
      <c r="B3447" s="1" t="s">
        <v>224</v>
      </c>
      <c r="C3447" s="1" t="s">
        <v>85</v>
      </c>
      <c r="D3447" s="1" t="s">
        <v>12</v>
      </c>
      <c r="E3447" s="1" t="s">
        <v>6239</v>
      </c>
      <c r="F3447" s="1" t="s">
        <v>6240</v>
      </c>
      <c r="G3447" s="1" t="s">
        <v>49</v>
      </c>
      <c r="H3447" s="1" t="s">
        <v>16</v>
      </c>
      <c r="I3447" s="1" t="str">
        <f ca="1">IFERROR(__xludf.DUMMYFUNCTION("GOOGLETRANSLATE(F3447, ""auto"", ""en"")
"),"We bought a juicer because there are a lot of apples at the dacha. We went through three buckets very quickly. But where is the juice? It turned out to be applesauce. The currants generally produced a well-whipped mousse. The pulp is very wet and clogs. B"&amp;"ut the carrots made me happy. The dry cake and juice are what you need. I'll take it to the store. The juicer did not live up to expectations. Some people may like a lot of pulp, but I want juice.")</f>
        <v>We bought a juicer because there are a lot of apples at the dacha. We went through three buckets very quickly. But where is the juice? It turned out to be applesauce. The currants generally produced a well-whipped mousse. The pulp is very wet and clogs. But the carrots made me happy. The dry cake and juice are what you need. I'll take it to the store. The juicer did not live up to expectations. Some people may like a lot of pulp, but I want juice.</v>
      </c>
    </row>
    <row r="3448" spans="1:9" x14ac:dyDescent="0.3">
      <c r="A3448" s="1" t="s">
        <v>169</v>
      </c>
      <c r="B3448" s="1" t="s">
        <v>170</v>
      </c>
      <c r="C3448" s="1" t="s">
        <v>69</v>
      </c>
      <c r="D3448" s="1" t="s">
        <v>280</v>
      </c>
      <c r="E3448" s="1" t="s">
        <v>1280</v>
      </c>
      <c r="F3448" s="1" t="s">
        <v>6241</v>
      </c>
      <c r="G3448" s="1" t="s">
        <v>36</v>
      </c>
      <c r="H3448" s="1" t="s">
        <v>29</v>
      </c>
      <c r="I3448" s="1" t="str">
        <f ca="1">IFERROR(__xludf.DUMMYFUNCTION("GOOGLETRANSLATE(F3448, ""auto"", ""en"")
"),"I took it on the recommendation of a consultant. I'm pleased with the sound quality. The only negative is the lanyard for attaching it to the player. It is too short and if the connector on the player is on top, and the connector for connection is on the "&amp;"bottom, the cord is not long enough.")</f>
        <v>I took it on the recommendation of a consultant. I'm pleased with the sound quality. The only negative is the lanyard for attaching it to the player. It is too short and if the connector on the player is on top, and the connector for connection is on the bottom, the cord is not long enough.</v>
      </c>
    </row>
    <row r="3449" spans="1:9" x14ac:dyDescent="0.3">
      <c r="A3449" s="1" t="s">
        <v>61</v>
      </c>
      <c r="B3449" s="1" t="s">
        <v>1727</v>
      </c>
      <c r="C3449" s="1" t="s">
        <v>122</v>
      </c>
      <c r="D3449" s="1" t="s">
        <v>3407</v>
      </c>
      <c r="E3449" s="1" t="s">
        <v>353</v>
      </c>
      <c r="F3449" s="1" t="s">
        <v>6242</v>
      </c>
      <c r="G3449" s="1" t="s">
        <v>28</v>
      </c>
      <c r="H3449" s="1" t="s">
        <v>29</v>
      </c>
      <c r="I3449" s="1" t="str">
        <f ca="1">IFERROR(__xludf.DUMMYFUNCTION("GOOGLETRANSLATE(F3449, ""auto"", ""en"")
"),"I saw a 4.5 liter model from a friend. It is more powerful (not 490, but 670 W), the cup is larger. Most of the directions on recipe sites are for this large slow cooker. In mine (2.5 l), everything takes one and a half times longer to cook. Charlotte for"&amp;" 3 eggs at least 1.52 hours. Stewed vegetables for 2 hours. I think that the automatic modes are not significantly longer compared to 4.5 liters.  Another note: the delay timer only applies to automatic modes (buckwheat, pilaf, porridge); A friend wanted "&amp;"to cook oatmeal with a timer (for the morning) - it bubbles or burns - but it didn’t work.")</f>
        <v>I saw a 4.5 liter model from a friend. It is more powerful (not 490, but 670 W), the cup is larger. Most of the directions on recipe sites are for this large slow cooker. In mine (2.5 l), everything takes one and a half times longer to cook. Charlotte for 3 eggs at least 1.52 hours. Stewed vegetables for 2 hours. I think that the automatic modes are not significantly longer compared to 4.5 liters.  Another note: the delay timer only applies to automatic modes (buckwheat, pilaf, porridge); A friend wanted to cook oatmeal with a timer (for the morning) - it bubbles or burns - but it didn’t work.</v>
      </c>
    </row>
    <row r="3450" spans="1:9" x14ac:dyDescent="0.3">
      <c r="A3450" s="1" t="s">
        <v>17</v>
      </c>
      <c r="B3450" s="1" t="s">
        <v>18</v>
      </c>
      <c r="C3450" s="1" t="s">
        <v>243</v>
      </c>
      <c r="D3450" s="1" t="s">
        <v>592</v>
      </c>
      <c r="E3450" s="1" t="s">
        <v>6243</v>
      </c>
      <c r="F3450" s="1" t="s">
        <v>6244</v>
      </c>
      <c r="G3450" s="1" t="s">
        <v>28</v>
      </c>
      <c r="H3450" s="1" t="s">
        <v>29</v>
      </c>
      <c r="I3450" s="1" t="str">
        <f ca="1">IFERROR(__xludf.DUMMYFUNCTION("GOOGLETRANSLATE(F3450, ""auto"", ""en"")
"),"It's a good car, not big, doesn't jump around. One drawback - for a week there was a terrible smell of plastic during washing.")</f>
        <v>It's a good car, not big, doesn't jump around. One drawback - for a week there was a terrible smell of plastic during washing.</v>
      </c>
    </row>
    <row r="3451" spans="1:9" x14ac:dyDescent="0.3">
      <c r="A3451" s="1" t="s">
        <v>149</v>
      </c>
      <c r="B3451" s="1" t="s">
        <v>155</v>
      </c>
      <c r="C3451" s="1" t="s">
        <v>1187</v>
      </c>
      <c r="D3451" s="1" t="s">
        <v>1008</v>
      </c>
      <c r="E3451" s="1" t="s">
        <v>2769</v>
      </c>
      <c r="F3451" s="1" t="s">
        <v>6245</v>
      </c>
      <c r="G3451" s="1" t="s">
        <v>36</v>
      </c>
      <c r="H3451" s="1" t="s">
        <v>29</v>
      </c>
      <c r="I3451" s="1" t="str">
        <f ca="1">IFERROR(__xludf.DUMMYFUNCTION("GOOGLETRANSLATE(F3451, ""auto"", ""en"")
"),"I bought it today. Assembly in a couple of minutes. The first touch of the plastic and the sound of clicks immediately indicate the quality of the build. Everything is very thought out and convenient. Compact. In my opinion, it’s a little light when you p"&amp;"ull the hose. Washing and wiping - 1 min. Super thing! I hope for a long time.")</f>
        <v>I bought it today. Assembly in a couple of minutes. The first touch of the plastic and the sound of clicks immediately indicate the quality of the build. Everything is very thought out and convenient. Compact. In my opinion, it’s a little light when you pull the hose. Washing and wiping - 1 min. Super thing! I hope for a long time.</v>
      </c>
    </row>
    <row r="3452" spans="1:9" x14ac:dyDescent="0.3">
      <c r="A3452" s="1" t="s">
        <v>17</v>
      </c>
      <c r="B3452" s="1" t="s">
        <v>18</v>
      </c>
      <c r="C3452" s="1" t="s">
        <v>243</v>
      </c>
      <c r="D3452" s="1" t="s">
        <v>295</v>
      </c>
      <c r="E3452" s="1" t="s">
        <v>3724</v>
      </c>
      <c r="F3452" s="1" t="s">
        <v>6246</v>
      </c>
      <c r="G3452" s="1" t="s">
        <v>28</v>
      </c>
      <c r="H3452" s="1" t="s">
        <v>29</v>
      </c>
      <c r="I3452" s="1" t="str">
        <f ca="1">IFERROR(__xludf.DUMMYFUNCTION("GOOGLETRANSLATE(F3452, ""auto"", ""en"")
"),"The machine is not bad, it washes and dries things, there are many modes and additional functions. After the washing cycle, cotton items are dried for 4-5 hours until perfectly dry, synthetics - about 3 hours. As a result, washing and drying, say, towels "&amp;"takes 6-7 hours. There is also a loud whistling sound for some time during the wash cycle.")</f>
        <v>The machine is not bad, it washes and dries things, there are many modes and additional functions. After the washing cycle, cotton items are dried for 4-5 hours until perfectly dry, synthetics - about 3 hours. As a result, washing and drying, say, towels takes 6-7 hours. There is also a loud whistling sound for some time during the wash cycle.</v>
      </c>
    </row>
    <row r="3453" spans="1:9" x14ac:dyDescent="0.3">
      <c r="A3453" s="1" t="s">
        <v>120</v>
      </c>
      <c r="B3453" s="1" t="s">
        <v>126</v>
      </c>
      <c r="C3453" s="1" t="s">
        <v>122</v>
      </c>
      <c r="D3453" s="1" t="s">
        <v>52</v>
      </c>
      <c r="E3453" s="1" t="s">
        <v>5949</v>
      </c>
      <c r="F3453" s="1" t="s">
        <v>6247</v>
      </c>
      <c r="G3453" s="1" t="s">
        <v>36</v>
      </c>
      <c r="H3453" s="1" t="s">
        <v>29</v>
      </c>
      <c r="I3453" s="1" t="str">
        <f ca="1">IFERROR(__xludf.DUMMYFUNCTION("GOOGLETRANSLATE(F3453, ""auto"", ""en"")
"),"Great TV. Everything is fine, image, color. sound - what else can you expect from a TV..... If you don't like over-the-air reception, change your antenna. Take it and don’t regret anything!!!")</f>
        <v>Great TV. Everything is fine, image, color. sound - what else can you expect from a TV..... If you don't like over-the-air reception, change your antenna. Take it and don’t regret anything!!!</v>
      </c>
    </row>
    <row r="3454" spans="1:9" x14ac:dyDescent="0.3">
      <c r="A3454" s="1" t="s">
        <v>169</v>
      </c>
      <c r="B3454" s="1" t="s">
        <v>170</v>
      </c>
      <c r="C3454" s="1" t="s">
        <v>171</v>
      </c>
      <c r="D3454" s="1" t="s">
        <v>742</v>
      </c>
      <c r="E3454" s="1" t="s">
        <v>124</v>
      </c>
      <c r="F3454" s="1" t="s">
        <v>6248</v>
      </c>
      <c r="G3454" s="1" t="s">
        <v>36</v>
      </c>
      <c r="H3454" s="1" t="s">
        <v>29</v>
      </c>
      <c r="I3454" s="1" t="str">
        <f ca="1">IFERROR(__xludf.DUMMYFUNCTION("GOOGLETRANSLATE(F3454, ""auto"", ""en"")
"),"Super headphones!!!! I sit in them for three hours, my ears do not get tired, the sound is good. I always preferred monitor headphones, but after these I changed my tastes in favor of vacuum ones.")</f>
        <v>Super headphones!!!! I sit in them for three hours, my ears do not get tired, the sound is good. I always preferred monitor headphones, but after these I changed my tastes in favor of vacuum ones.</v>
      </c>
    </row>
    <row r="3455" spans="1:9" x14ac:dyDescent="0.3">
      <c r="A3455" s="1" t="s">
        <v>211</v>
      </c>
      <c r="B3455" s="1" t="s">
        <v>212</v>
      </c>
      <c r="C3455" s="1" t="s">
        <v>294</v>
      </c>
      <c r="D3455" s="1" t="s">
        <v>46</v>
      </c>
      <c r="E3455" s="1" t="s">
        <v>580</v>
      </c>
      <c r="F3455" s="1" t="s">
        <v>6249</v>
      </c>
      <c r="G3455" s="1" t="s">
        <v>36</v>
      </c>
      <c r="H3455" s="1" t="s">
        <v>29</v>
      </c>
      <c r="I3455" s="1" t="str">
        <f ca="1">IFERROR(__xludf.DUMMYFUNCTION("GOOGLETRANSLATE(F3455, ""auto"", ""en"")
"),"The electric tongs are simply wonderful! Very fast heating. Convenient and easy to use!")</f>
        <v>The electric tongs are simply wonderful! Very fast heating. Convenient and easy to use!</v>
      </c>
    </row>
    <row r="3456" spans="1:9" x14ac:dyDescent="0.3">
      <c r="A3456" s="1" t="s">
        <v>37</v>
      </c>
      <c r="B3456" s="1" t="s">
        <v>38</v>
      </c>
      <c r="C3456" s="1" t="s">
        <v>151</v>
      </c>
      <c r="D3456" s="1" t="s">
        <v>6071</v>
      </c>
      <c r="E3456" s="1" t="s">
        <v>6250</v>
      </c>
      <c r="F3456" s="1" t="s">
        <v>6251</v>
      </c>
      <c r="G3456" s="1" t="s">
        <v>36</v>
      </c>
      <c r="H3456" s="1" t="s">
        <v>29</v>
      </c>
      <c r="I3456" s="1" t="str">
        <f ca="1">IFERROR(__xludf.DUMMYFUNCTION("GOOGLETRANSLATE(F3456, ""auto"", ""en"")
"),"I bought a phone in an online store.  I'm very pleased with the phone. The battery lasts 4 days with active use. The case is durable. The camera is so-so, but for high-quality pictures, there is a camera. The menu is clear.   Bottom line: BUY, don't hesit"&amp;"ate.")</f>
        <v>I bought a phone in an online store.  I'm very pleased with the phone. The battery lasts 4 days with active use. The case is durable. The camera is so-so, but for high-quality pictures, there is a camera. The menu is clear.   Bottom line: BUY, don't hesitate.</v>
      </c>
    </row>
    <row r="3457" spans="1:9" x14ac:dyDescent="0.3">
      <c r="A3457" s="1" t="s">
        <v>238</v>
      </c>
      <c r="B3457" s="1" t="s">
        <v>276</v>
      </c>
      <c r="C3457" s="1" t="s">
        <v>1677</v>
      </c>
      <c r="D3457" s="1" t="s">
        <v>127</v>
      </c>
      <c r="E3457" s="1" t="s">
        <v>3516</v>
      </c>
      <c r="F3457" s="1" t="s">
        <v>6252</v>
      </c>
      <c r="G3457" s="1" t="s">
        <v>36</v>
      </c>
      <c r="H3457" s="1" t="s">
        <v>29</v>
      </c>
      <c r="I3457" s="1" t="str">
        <f ca="1">IFERROR(__xludf.DUMMYFUNCTION("GOOGLETRANSLATE(F3457, ""auto"", ""en"")
"),"The refrigerator is good in terms of design, operates quietly, and consumes little electricity. Citizens: for those who have a door opening less than 72-75 cm between the protruding parts of the door, this refrigerator may not fit, you will have to remove"&amp;" the doors and the front panel, well, it’s not difficult, the panel itself is removable, remove the glossy cover, it is on the latches on the left side, and then on 4 screws and don’t forget about the connector. So be vigilant, measure carefully, measure "&amp;"from the handle itself to the rear limiter, otherwise you will then suffer from skidding into the apartment.")</f>
        <v>The refrigerator is good in terms of design, operates quietly, and consumes little electricity. Citizens: for those who have a door opening less than 72-75 cm between the protruding parts of the door, this refrigerator may not fit, you will have to remove the doors and the front panel, well, it’s not difficult, the panel itself is removable, remove the glossy cover, it is on the latches on the left side, and then on 4 screws and don’t forget about the connector. So be vigilant, measure carefully, measure from the handle itself to the rear limiter, otherwise you will then suffer from skidding into the apartment.</v>
      </c>
    </row>
    <row r="3458" spans="1:9" x14ac:dyDescent="0.3">
      <c r="A3458" s="1" t="s">
        <v>37</v>
      </c>
      <c r="B3458" s="1" t="s">
        <v>38</v>
      </c>
      <c r="C3458" s="1" t="s">
        <v>151</v>
      </c>
      <c r="D3458" s="1" t="s">
        <v>52</v>
      </c>
      <c r="E3458" s="1" t="s">
        <v>6021</v>
      </c>
      <c r="F3458" s="1" t="s">
        <v>6253</v>
      </c>
      <c r="G3458" s="1" t="s">
        <v>28</v>
      </c>
      <c r="H3458" s="1" t="s">
        <v>29</v>
      </c>
      <c r="I3458" s="1" t="str">
        <f ca="1">IFERROR(__xludf.DUMMYFUNCTION("GOOGLETRANSLATE(F3458, ""auto"", ""en"")
"),"In terms of functionality and workmanship, the phone is not bad. The huge disadvantage of its battery or the gluttony of the phone itself is not clear... if you talk on the phone, the charge lasts for a maximum of two days.")</f>
        <v>In terms of functionality and workmanship, the phone is not bad. The huge disadvantage of its battery or the gluttony of the phone itself is not clear... if you talk on the phone, the charge lasts for a maximum of two days.</v>
      </c>
    </row>
    <row r="3459" spans="1:9" x14ac:dyDescent="0.3">
      <c r="A3459" s="1" t="s">
        <v>211</v>
      </c>
      <c r="B3459" s="1" t="s">
        <v>899</v>
      </c>
      <c r="C3459" s="1" t="s">
        <v>213</v>
      </c>
      <c r="D3459" s="1" t="s">
        <v>6254</v>
      </c>
      <c r="E3459" s="1" t="s">
        <v>3330</v>
      </c>
      <c r="F3459" s="1" t="s">
        <v>6255</v>
      </c>
      <c r="G3459" s="1" t="s">
        <v>36</v>
      </c>
      <c r="H3459" s="1" t="s">
        <v>29</v>
      </c>
      <c r="I3459" s="1" t="str">
        <f ca="1">IFERROR(__xludf.DUMMYFUNCTION("GOOGLETRANSLATE(F3459, ""auto"", ""en"")
"),"I've been using this brush for 6 years. Everything was excellent. Now the battery life has become rather weak.")</f>
        <v>I've been using this brush for 6 years. Everything was excellent. Now the battery life has become rather weak.</v>
      </c>
    </row>
    <row r="3460" spans="1:9" x14ac:dyDescent="0.3">
      <c r="A3460" s="1" t="s">
        <v>624</v>
      </c>
      <c r="B3460" s="1" t="s">
        <v>625</v>
      </c>
      <c r="C3460" s="1" t="s">
        <v>479</v>
      </c>
      <c r="D3460" s="1" t="s">
        <v>52</v>
      </c>
      <c r="E3460" s="1" t="s">
        <v>1723</v>
      </c>
      <c r="F3460" s="1" t="s">
        <v>6256</v>
      </c>
      <c r="G3460" s="1" t="s">
        <v>36</v>
      </c>
      <c r="H3460" s="1" t="s">
        <v>29</v>
      </c>
      <c r="I3460" s="1" t="str">
        <f ca="1">IFERROR(__xludf.DUMMYFUNCTION("GOOGLETRANSLATE(F3460, ""auto"", ""en"")
"),"The game is simply superb, I’m playing through it for the 2nd time and enjoying it, I recommend it to everyone, the graphics are 100 times better than on the most powerful PC!")</f>
        <v>The game is simply superb, I’m playing through it for the 2nd time and enjoying it, I recommend it to everyone, the graphics are 100 times better than on the most powerful PC!</v>
      </c>
    </row>
    <row r="3461" spans="1:9" x14ac:dyDescent="0.3">
      <c r="A3461" s="1" t="s">
        <v>111</v>
      </c>
      <c r="B3461" s="1" t="s">
        <v>636</v>
      </c>
      <c r="C3461" s="1" t="s">
        <v>637</v>
      </c>
      <c r="D3461" s="1" t="s">
        <v>171</v>
      </c>
      <c r="E3461" s="1" t="s">
        <v>4528</v>
      </c>
      <c r="F3461" s="1" t="s">
        <v>6257</v>
      </c>
      <c r="G3461" s="1" t="s">
        <v>49</v>
      </c>
      <c r="H3461" s="1" t="s">
        <v>16</v>
      </c>
      <c r="I3461" s="1" t="str">
        <f ca="1">IFERROR(__xludf.DUMMYFUNCTION("GOOGLETRANSLATE(F3461, ""auto"", ""en"")
"),"I completely agree: The station fundamentally incorrectly shows the air humidity in the room. It's always 2%, it doesn't happen! And it gives the temperature with an error of 7 degrees. We bought it to control the climate in a small child’s room, but the "&amp;"thing turned out to be useless.  Crap.")</f>
        <v>I completely agree: The station fundamentally incorrectly shows the air humidity in the room. It's always 2%, it doesn't happen! And it gives the temperature with an error of 7 degrees. We bought it to control the climate in a small child’s room, but the thing turned out to be useless.  Crap.</v>
      </c>
    </row>
    <row r="3462" spans="1:9" x14ac:dyDescent="0.3">
      <c r="A3462" s="1" t="s">
        <v>238</v>
      </c>
      <c r="B3462" s="1" t="s">
        <v>276</v>
      </c>
      <c r="C3462" s="1" t="s">
        <v>1677</v>
      </c>
      <c r="D3462" s="1" t="s">
        <v>2764</v>
      </c>
      <c r="E3462" s="1" t="s">
        <v>6258</v>
      </c>
      <c r="F3462" s="1" t="s">
        <v>6259</v>
      </c>
      <c r="G3462" s="1" t="s">
        <v>36</v>
      </c>
      <c r="H3462" s="1" t="s">
        <v>29</v>
      </c>
      <c r="I3462" s="1" t="str">
        <f ca="1">IFERROR(__xludf.DUMMYFUNCTION("GOOGLETRANSLATE(F3462, ""auto"", ""en"")
"),"Great refrigerator. We've been using it for 1.5 years now. I'm delighted as a hostess. I like everything. Buy it, you won't regret it. It's worth the money.")</f>
        <v>Great refrigerator. We've been using it for 1.5 years now. I'm delighted as a hostess. I like everything. Buy it, you won't regret it. It's worth the money.</v>
      </c>
    </row>
    <row r="3463" spans="1:9" x14ac:dyDescent="0.3">
      <c r="A3463" s="1" t="s">
        <v>477</v>
      </c>
      <c r="B3463" s="1" t="s">
        <v>478</v>
      </c>
      <c r="C3463" s="1" t="s">
        <v>479</v>
      </c>
      <c r="D3463" s="1" t="s">
        <v>1124</v>
      </c>
      <c r="E3463" s="1" t="s">
        <v>980</v>
      </c>
      <c r="F3463" s="1" t="s">
        <v>6260</v>
      </c>
      <c r="G3463" s="1" t="s">
        <v>36</v>
      </c>
      <c r="H3463" s="1" t="s">
        <v>29</v>
      </c>
      <c r="I3463" s="1" t="str">
        <f ca="1">IFERROR(__xludf.DUMMYFUNCTION("GOOGLETRANSLATE(F3463, ""auto"", ""en"")
"),"I play this game, the game is just cracking GRAPHICS VERY GOOD STORIES TOO SO BUY.")</f>
        <v>I play this game, the game is just cracking GRAPHICS VERY GOOD STORIES TOO SO BUY.</v>
      </c>
    </row>
    <row r="3464" spans="1:9" x14ac:dyDescent="0.3">
      <c r="A3464" s="1" t="s">
        <v>149</v>
      </c>
      <c r="B3464" s="1" t="s">
        <v>423</v>
      </c>
      <c r="C3464" s="1" t="s">
        <v>69</v>
      </c>
      <c r="D3464" s="1" t="s">
        <v>545</v>
      </c>
      <c r="E3464" s="1" t="s">
        <v>3829</v>
      </c>
      <c r="F3464" s="1" t="s">
        <v>6261</v>
      </c>
      <c r="G3464" s="1" t="s">
        <v>36</v>
      </c>
      <c r="H3464" s="1" t="s">
        <v>29</v>
      </c>
      <c r="I3464" s="1" t="str">
        <f ca="1">IFERROR(__xludf.DUMMYFUNCTION("GOOGLETRANSLATE(F3464, ""auto"", ""en"")
"),"Very satisfied.5+")</f>
        <v>Very satisfied.5+</v>
      </c>
    </row>
    <row r="3465" spans="1:9" x14ac:dyDescent="0.3">
      <c r="A3465" s="1" t="s">
        <v>89</v>
      </c>
      <c r="B3465" s="1" t="s">
        <v>231</v>
      </c>
      <c r="C3465" s="1" t="s">
        <v>185</v>
      </c>
      <c r="D3465" s="1" t="s">
        <v>319</v>
      </c>
      <c r="E3465" s="1" t="s">
        <v>6262</v>
      </c>
      <c r="F3465" s="1" t="s">
        <v>6263</v>
      </c>
      <c r="G3465" s="1" t="s">
        <v>36</v>
      </c>
      <c r="H3465" s="1" t="s">
        <v>29</v>
      </c>
      <c r="I3465" s="1" t="str">
        <f ca="1">IFERROR(__xludf.DUMMYFUNCTION("GOOGLETRANSLATE(F3465, ""auto"", ""en"")
"),"I agree with all the positive reviews. Use experience 4 months. My comments on the car: 1. Yes, it makes noise, but you can’t hear it in the next room.  2. The quality of brewed coffee depends solely on the quality of the beans.  3. When you use the “righ"&amp;"t” coffee beans, the coffee tastes amazing - head and shoulders above coffee from McDonald's.  4. Since using it, there have been no problems with the machine; I have not performed any maintenance yet.   5. I recommend the car for purchase. For true coffe"&amp;"e lovers, I wish you to find your taste from the variety of coffee beans on the market.")</f>
        <v>I agree with all the positive reviews. Use experience 4 months. My comments on the car: 1. Yes, it makes noise, but you can’t hear it in the next room.  2. The quality of brewed coffee depends solely on the quality of the beans.  3. When you use the “right” coffee beans, the coffee tastes amazing - head and shoulders above coffee from McDonald's.  4. Since using it, there have been no problems with the machine; I have not performed any maintenance yet.   5. I recommend the car for purchase. For true coffee lovers, I wish you to find your taste from the variety of coffee beans on the market.</v>
      </c>
    </row>
    <row r="3466" spans="1:9" x14ac:dyDescent="0.3">
      <c r="A3466" s="1" t="s">
        <v>9</v>
      </c>
      <c r="B3466" s="1" t="s">
        <v>133</v>
      </c>
      <c r="C3466" s="1" t="s">
        <v>588</v>
      </c>
      <c r="D3466" s="1" t="s">
        <v>208</v>
      </c>
      <c r="E3466" s="1" t="s">
        <v>6264</v>
      </c>
      <c r="F3466" s="1" t="s">
        <v>6265</v>
      </c>
      <c r="G3466" s="1" t="s">
        <v>36</v>
      </c>
      <c r="H3466" s="1" t="s">
        <v>29</v>
      </c>
      <c r="I3466" s="1" t="str">
        <f ca="1">IFERROR(__xludf.DUMMYFUNCTION("GOOGLETRANSLATE(F3466, ""auto"", ""en"")
"),"This is the second year we have been using the Hansa BOEI62000077 oven. Satisfied! The oven heats up quickly and evenly, which avoids burning. There are several modes of operation, it is quite spacious, it comes with baking trays and a wire rack. The oven"&amp;" coating is easy to clean, which is a big plus for any housewife. We would also like to note that the door has thick three-layer glass, which allows it to heat up less and be safer.")</f>
        <v>This is the second year we have been using the Hansa BOEI62000077 oven. Satisfied! The oven heats up quickly and evenly, which avoids burning. There are several modes of operation, it is quite spacious, it comes with baking trays and a wire rack. The oven coating is easy to clean, which is a big plus for any housewife. We would also like to note that the door has thick three-layer glass, which allows it to heat up less and be safer.</v>
      </c>
    </row>
    <row r="3467" spans="1:9" x14ac:dyDescent="0.3">
      <c r="A3467" s="1" t="s">
        <v>105</v>
      </c>
      <c r="B3467" s="1" t="s">
        <v>106</v>
      </c>
      <c r="C3467" s="1" t="s">
        <v>97</v>
      </c>
      <c r="D3467" s="1" t="s">
        <v>345</v>
      </c>
      <c r="E3467" s="1" t="s">
        <v>750</v>
      </c>
      <c r="F3467" s="1" t="s">
        <v>6266</v>
      </c>
      <c r="G3467" s="1" t="s">
        <v>36</v>
      </c>
      <c r="H3467" s="1" t="s">
        <v>29</v>
      </c>
      <c r="I3467" s="1" t="str">
        <f ca="1">IFERROR(__xludf.DUMMYFUNCTION("GOOGLETRANSLATE(F3467, ""auto"", ""en"")
"),"An excellent player, the low price, excellent sound quality, size and control speak for it. The sound quality more than meets the requirements for a player used in the gym or while running. With high-quality, expensive headphones they give excellent sound"&amp;", at the level of very good players. The size and price allow you not to worry about it during training (if it breaks, it’s not a pity, and there’s nothing to break; I’ve had it fall many times already, the worst thing it encountered was a 5-kg rubberized"&amp;" pancake falling on it, luck of course, but nothing happened to it except scratches))). The controls are not the best (the joystick is not comfortable), but it is much better than the touch control, which cannot be used at all during sports (you have to c"&amp;"onstantly take out the player), although it is inferior to many other players (I really liked the Samsung for 1500 in this regard).     In general, if you are looking at similar players, I think you need it to listen to music while playing sports or other"&amp;" active recreation, and in this case it is a really great choice :)")</f>
        <v>An excellent player, the low price, excellent sound quality, size and control speak for it. The sound quality more than meets the requirements for a player used in the gym or while running. With high-quality, expensive headphones they give excellent sound, at the level of very good players. The size and price allow you not to worry about it during training (if it breaks, it’s not a pity, and there’s nothing to break; I’ve had it fall many times already, the worst thing it encountered was a 5-kg rubberized pancake falling on it, luck of course, but nothing happened to it except scratches))). The controls are not the best (the joystick is not comfortable), but it is much better than the touch control, which cannot be used at all during sports (you have to constantly take out the player), although it is inferior to many other players (I really liked the Samsung for 1500 in this regard).     In general, if you are looking at similar players, I think you need it to listen to music while playing sports or other active recreation, and in this case it is a really great choice :)</v>
      </c>
    </row>
    <row r="3468" spans="1:9" x14ac:dyDescent="0.3">
      <c r="A3468" s="1" t="s">
        <v>206</v>
      </c>
      <c r="B3468" s="1" t="s">
        <v>207</v>
      </c>
      <c r="C3468" s="1" t="s">
        <v>152</v>
      </c>
      <c r="D3468" s="1" t="s">
        <v>33</v>
      </c>
      <c r="E3468" s="1" t="s">
        <v>6267</v>
      </c>
      <c r="F3468" s="1" t="s">
        <v>6268</v>
      </c>
      <c r="G3468" s="1" t="s">
        <v>28</v>
      </c>
      <c r="H3468" s="1" t="s">
        <v>29</v>
      </c>
      <c r="I3468" s="1" t="str">
        <f ca="1">IFERROR(__xludf.DUMMYFUNCTION("GOOGLETRANSLATE(F3468, ""auto"", ""en"")
"),"corresponds to the price, the sound is normal")</f>
        <v>corresponds to the price, the sound is normal</v>
      </c>
    </row>
    <row r="3469" spans="1:9" x14ac:dyDescent="0.3">
      <c r="A3469" s="1" t="s">
        <v>811</v>
      </c>
      <c r="B3469" s="1" t="s">
        <v>1712</v>
      </c>
      <c r="C3469" s="1" t="s">
        <v>4468</v>
      </c>
      <c r="D3469" s="1" t="s">
        <v>521</v>
      </c>
      <c r="E3469" s="1" t="s">
        <v>204</v>
      </c>
      <c r="F3469" s="1" t="s">
        <v>6269</v>
      </c>
      <c r="G3469" s="1" t="s">
        <v>36</v>
      </c>
      <c r="H3469" s="1" t="s">
        <v>29</v>
      </c>
      <c r="I3469" s="1" t="str">
        <f ca="1">IFERROR(__xludf.DUMMYFUNCTION("GOOGLETRANSLATE(F3469, ""auto"", ""en"")
"),"I also have this photo printer, it’s really simple and easy to use and doesn’t require any special skills, and the quality is excellent. If you’re thinking about buying it, don’t hesitate to buy this product, you won’t regret it.")</f>
        <v>I also have this photo printer, it’s really simple and easy to use and doesn’t require any special skills, and the quality is excellent. If you’re thinking about buying it, don’t hesitate to buy this product, you won’t regret it.</v>
      </c>
    </row>
    <row r="3470" spans="1:9" x14ac:dyDescent="0.3">
      <c r="A3470" s="1" t="s">
        <v>105</v>
      </c>
      <c r="B3470" s="1" t="s">
        <v>106</v>
      </c>
      <c r="C3470" s="1" t="s">
        <v>107</v>
      </c>
      <c r="D3470" s="1" t="s">
        <v>385</v>
      </c>
      <c r="E3470" s="1" t="s">
        <v>872</v>
      </c>
      <c r="F3470" s="1" t="s">
        <v>6270</v>
      </c>
      <c r="G3470" s="1" t="s">
        <v>36</v>
      </c>
      <c r="H3470" s="1" t="s">
        <v>29</v>
      </c>
      <c r="I3470" s="1" t="str">
        <f ca="1">IFERROR(__xludf.DUMMYFUNCTION("GOOGLETRANSLATE(F3470, ""auto"", ""en"")
"),"very cool player)))) best reviews)")</f>
        <v>very cool player)))) best reviews)</v>
      </c>
    </row>
    <row r="3471" spans="1:9" x14ac:dyDescent="0.3">
      <c r="A3471" s="1" t="s">
        <v>111</v>
      </c>
      <c r="B3471" s="1" t="s">
        <v>636</v>
      </c>
      <c r="C3471" s="1" t="s">
        <v>637</v>
      </c>
      <c r="D3471" s="1" t="s">
        <v>171</v>
      </c>
      <c r="E3471" s="1" t="s">
        <v>1005</v>
      </c>
      <c r="F3471" s="1" t="s">
        <v>6271</v>
      </c>
      <c r="G3471" s="1" t="s">
        <v>28</v>
      </c>
      <c r="H3471" s="1" t="s">
        <v>29</v>
      </c>
      <c r="I3471" s="1" t="str">
        <f ca="1">IFERROR(__xludf.DUMMYFUNCTION("GOOGLETRANSLATE(F3471, ""auto"", ""en"")
"),"During operation (about 1 month) I discovered several interesting features: 1. Atmospheric pressure is displayed either in inches of mercury or in mBa/hPa (heptaPascals), but the altitude of the weather station is set in meters. Obviously, the manufacture"&amp;"r considered hPa (a derivative of the SI unit) as the main unit of pressure, and because of this, meters came out;  2. This summer there was heavy smoke in our area due to forest fires. At that time the station was displaying “cloudy” and “rain,” although"&amp;" there was no rain (even after 24 hours), and it was extremely difficult to understand whether it was cloudy or clear.  Otherwise there are no complaints.")</f>
        <v>During operation (about 1 month) I discovered several interesting features: 1. Atmospheric pressure is displayed either in inches of mercury or in mBa/hPa (heptaPascals), but the altitude of the weather station is set in meters. Obviously, the manufacturer considered hPa (a derivative of the SI unit) as the main unit of pressure, and because of this, meters came out;  2. This summer there was heavy smoke in our area due to forest fires. At that time the station was displaying “cloudy” and “rain,” although there was no rain (even after 24 hours), and it was extremely difficult to understand whether it was cloudy or clear.  Otherwise there are no complaints.</v>
      </c>
    </row>
    <row r="3472" spans="1:9" x14ac:dyDescent="0.3">
      <c r="A3472" s="1" t="s">
        <v>9</v>
      </c>
      <c r="B3472" s="1" t="s">
        <v>133</v>
      </c>
      <c r="C3472" s="1" t="s">
        <v>159</v>
      </c>
      <c r="D3472" s="1" t="s">
        <v>308</v>
      </c>
      <c r="E3472" s="1" t="s">
        <v>6272</v>
      </c>
      <c r="F3472" s="1" t="s">
        <v>6273</v>
      </c>
      <c r="G3472" s="1" t="s">
        <v>36</v>
      </c>
      <c r="H3472" s="1" t="s">
        <v>29</v>
      </c>
      <c r="I3472" s="1" t="str">
        <f ca="1">IFERROR(__xludf.DUMMYFUNCTION("GOOGLETRANSLATE(F3472, ""auto"", ""en"")
"),"We have been using the oven for almost 5 years! Happy all these years! It bakes very quickly, sometimes we are even surprised at the speed! We recommend it to everyone!")</f>
        <v>We have been using the oven for almost 5 years! Happy all these years! It bakes very quickly, sometimes we are even surprised at the speed! We recommend it to everyone!</v>
      </c>
    </row>
    <row r="3473" spans="1:9" x14ac:dyDescent="0.3">
      <c r="A3473" s="1" t="s">
        <v>95</v>
      </c>
      <c r="B3473" s="1" t="s">
        <v>486</v>
      </c>
      <c r="C3473" s="1" t="s">
        <v>487</v>
      </c>
      <c r="D3473" s="1" t="s">
        <v>3993</v>
      </c>
      <c r="E3473" s="1" t="s">
        <v>2874</v>
      </c>
      <c r="F3473" s="1" t="s">
        <v>6274</v>
      </c>
      <c r="G3473" s="1" t="s">
        <v>36</v>
      </c>
      <c r="H3473" s="1" t="s">
        <v>29</v>
      </c>
      <c r="I3473" s="1" t="str">
        <f ca="1">IFERROR(__xludf.DUMMYFUNCTION("GOOGLETRANSLATE(F3473, ""auto"", ""en"")
"),"cool console, too bad I can’t buy it")</f>
        <v>cool console, too bad I can’t buy it</v>
      </c>
    </row>
    <row r="3474" spans="1:9" x14ac:dyDescent="0.3">
      <c r="A3474" s="1" t="s">
        <v>105</v>
      </c>
      <c r="B3474" s="1" t="s">
        <v>106</v>
      </c>
      <c r="C3474" s="1" t="s">
        <v>97</v>
      </c>
      <c r="D3474" s="1" t="s">
        <v>6275</v>
      </c>
      <c r="E3474" s="1" t="s">
        <v>800</v>
      </c>
      <c r="F3474" s="1" t="s">
        <v>6276</v>
      </c>
      <c r="G3474" s="1" t="s">
        <v>36</v>
      </c>
      <c r="H3474" s="1" t="s">
        <v>29</v>
      </c>
      <c r="I3474" s="1" t="str">
        <f ca="1">IFERROR(__xludf.DUMMYFUNCTION("GOOGLETRANSLATE(F3474, ""auto"", ""en"")
"),"A good player with not very good headphones included, so if you still decide to buy this player, then you will at least have to pay another ruble for headphones to evaluate the sound quality.   And I’ll also say in advance that the player is not located o"&amp;"n the computer if you have XP Service Pak3 (not always, but in most cases). The screen on it is good, bright, but it is only suitable for watching videos (3 frames per second and with a resolution of 320 * 240, and not cinema. The radio picks up well. It "&amp;"also has a voice recorder with the ability to record radio in MP3 format up to 160 kbit/s. You can also watch photos, but you can’t enlarge it. Cons does not read FLAG, does not support bitrates higher than 320 kbit, therefore it does not read music from "&amp;"CDs, The player cannot be completely turned off (it turns off completely on its own if you don’t use it for 4 hours), but you can put it in standby mode, there is no charger included, it is charged via a cable by connecting to a PC, the video will have to"&amp;" be convected. Well, that’s all up to you, but I think you won’t regret taking it.")</f>
        <v>A good player with not very good headphones included, so if you still decide to buy this player, then you will at least have to pay another ruble for headphones to evaluate the sound quality.   And I’ll also say in advance that the player is not located on the computer if you have XP Service Pak3 (not always, but in most cases). The screen on it is good, bright, but it is only suitable for watching videos (3 frames per second and with a resolution of 320 * 240, and not cinema. The radio picks up well. It also has a voice recorder with the ability to record radio in MP3 format up to 160 kbit/s. You can also watch photos, but you can’t enlarge it. Cons does not read FLAG, does not support bitrates higher than 320 kbit, therefore it does not read music from CDs, The player cannot be completely turned off (it turns off completely on its own if you don’t use it for 4 hours), but you can put it in standby mode, there is no charger included, it is charged via a cable by connecting to a PC, the video will have to be convected. Well, that’s all up to you, but I think you won’t regret taking it.</v>
      </c>
    </row>
    <row r="3475" spans="1:9" x14ac:dyDescent="0.3">
      <c r="A3475" s="1" t="s">
        <v>105</v>
      </c>
      <c r="B3475" s="1" t="s">
        <v>106</v>
      </c>
      <c r="C3475" s="1" t="s">
        <v>1209</v>
      </c>
      <c r="D3475" s="1" t="s">
        <v>6277</v>
      </c>
      <c r="E3475" s="1" t="s">
        <v>1586</v>
      </c>
      <c r="F3475" s="1" t="s">
        <v>6278</v>
      </c>
      <c r="G3475" s="1" t="s">
        <v>36</v>
      </c>
      <c r="H3475" s="1" t="s">
        <v>29</v>
      </c>
      <c r="I3475" s="1" t="str">
        <f ca="1">IFERROR(__xludf.DUMMYFUNCTION("GOOGLETRANSLATE(F3475, ""auto"", ""en"")
"),"01/20/2011 Alex (Izhevsk) after 1.5 months the headphone jack broke, also its downside is the buttons that sunk in and it also freezes periodically (this happens without a flash drive, with a flash drive much more often) -&gt; Freezes with an SD card can onl"&amp;"y happen if the card is formatted in a system that is not compatible with the player. Try formatting the card in FAT16, FAT32. Regarding the headphone jack, you can contact the service center for warranty repairs.    Best regards www.explay.ru")</f>
        <v>01/20/2011 Alex (Izhevsk) after 1.5 months the headphone jack broke, also its downside is the buttons that sunk in and it also freezes periodically (this happens without a flash drive, with a flash drive much more often) -&gt; Freezes with an SD card can only happen if the card is formatted in a system that is not compatible with the player. Try formatting the card in FAT16, FAT32. Regarding the headphone jack, you can contact the service center for warranty repairs.    Best regards www.explay.ru</v>
      </c>
    </row>
    <row r="3476" spans="1:9" x14ac:dyDescent="0.3">
      <c r="A3476" s="1" t="s">
        <v>17</v>
      </c>
      <c r="B3476" s="1" t="s">
        <v>18</v>
      </c>
      <c r="C3476" s="1" t="s">
        <v>665</v>
      </c>
      <c r="D3476" s="1" t="s">
        <v>152</v>
      </c>
      <c r="E3476" s="1" t="s">
        <v>1868</v>
      </c>
      <c r="F3476" s="1" t="s">
        <v>6279</v>
      </c>
      <c r="G3476" s="1" t="s">
        <v>36</v>
      </c>
      <c r="H3476" s="1" t="s">
        <v>29</v>
      </c>
      <c r="I3476" s="1" t="str">
        <f ca="1">IFERROR(__xludf.DUMMYFUNCTION("GOOGLETRANSLATE(F3476, ""auto"", ""en"")
"),"Advantages: 1. High spin speed. 1200 rpm is not done in every machine.  2. Very convenient control. Everything is clearly laid out. All settings are intuitive.  3. Convenient programs. There are enough built-in ones for everything. The ability to customiz"&amp;"e each program further expands the range of applications.  4. Correct timer. Almost always finishes exactly as promised. Sometimes there are slight delays of 5-10 minutes, but this is due to laundry.  5. Washes out all the powder. No matter how many times"&amp;" we wash it, the tray is always completely empty.  6. Electromechanical lock. The child just won't open it. In addition, this lock closes very easily and quietly.  7. Very interesting design. Personally, I don't like the white car.  8. A sufficiently comp"&amp;"act machine for its loading.  9. Doesn't jump at all. I leveled the machine myself in 15 minutes. When fully loaded and at maximum speed, the machine did not move an inch. We did not buy any additional accessories.  10. Linen distribution system. Before s"&amp;"pinning, the laundry is laid out on the drum.  11. Very quiet. The machine is in the kitchen. When the door is closed in the room, you can only hear the spin torque at 1000-1200 rpm.     Disadvantages: Essentially the only one.  At high speeds and a large"&amp;" load, the powder tray begins to vibrate. This causes additional noise. However, this only lasts 3-4 minutes. Accordingly, this does not create any inconvenience.    Comment: Very high quality machine. We were completely satisfied with the choice, althoug"&amp;"h we had our doubts before purchasing.")</f>
        <v>Advantages: 1. High spin speed. 1200 rpm is not done in every machine.  2. Very convenient control. Everything is clearly laid out. All settings are intuitive.  3. Convenient programs. There are enough built-in ones for everything. The ability to customize each program further expands the range of applications.  4. Correct timer. Almost always finishes exactly as promised. Sometimes there are slight delays of 5-10 minutes, but this is due to laundry.  5. Washes out all the powder. No matter how many times we wash it, the tray is always completely empty.  6. Electromechanical lock. The child just won't open it. In addition, this lock closes very easily and quietly.  7. Very interesting design. Personally, I don't like the white car.  8. A sufficiently compact machine for its loading.  9. Doesn't jump at all. I leveled the machine myself in 15 minutes. When fully loaded and at maximum speed, the machine did not move an inch. We did not buy any additional accessories.  10. Linen distribution system. Before spinning, the laundry is laid out on the drum.  11. Very quiet. The machine is in the kitchen. When the door is closed in the room, you can only hear the spin torque at 1000-1200 rpm.     Disadvantages: Essentially the only one.  At high speeds and a large load, the powder tray begins to vibrate. This causes additional noise. However, this only lasts 3-4 minutes. Accordingly, this does not create any inconvenience.    Comment: Very high quality machine. We were completely satisfied with the choice, although we had our doubts before purchasing.</v>
      </c>
    </row>
    <row r="3477" spans="1:9" x14ac:dyDescent="0.3">
      <c r="A3477" s="1" t="s">
        <v>61</v>
      </c>
      <c r="B3477" s="1" t="s">
        <v>62</v>
      </c>
      <c r="C3477" s="1" t="s">
        <v>146</v>
      </c>
      <c r="D3477" s="1" t="s">
        <v>545</v>
      </c>
      <c r="E3477" s="1" t="s">
        <v>1273</v>
      </c>
      <c r="F3477" s="1" t="s">
        <v>6280</v>
      </c>
      <c r="G3477" s="1" t="s">
        <v>36</v>
      </c>
      <c r="H3477" s="1" t="s">
        <v>29</v>
      </c>
      <c r="I3477" s="1" t="str">
        <f ca="1">IFERROR(__xludf.DUMMYFUNCTION("GOOGLETRANSLATE(F3477, ""auto"", ""en"")
"),"The combine is excellent. And its main advantage for me is its compact location on the table.   Completely satisfied")</f>
        <v>The combine is excellent. And its main advantage for me is its compact location on the table.   Completely satisfied</v>
      </c>
    </row>
    <row r="3478" spans="1:9" x14ac:dyDescent="0.3">
      <c r="A3478" s="1" t="s">
        <v>17</v>
      </c>
      <c r="B3478" s="1" t="s">
        <v>18</v>
      </c>
      <c r="C3478" s="1" t="s">
        <v>80</v>
      </c>
      <c r="D3478" s="1" t="s">
        <v>366</v>
      </c>
      <c r="E3478" s="1" t="s">
        <v>1122</v>
      </c>
      <c r="F3478" s="1" t="s">
        <v>6281</v>
      </c>
      <c r="G3478" s="1" t="s">
        <v>36</v>
      </c>
      <c r="H3478" s="1" t="s">
        <v>29</v>
      </c>
      <c r="I3478" s="1" t="str">
        <f ca="1">IFERROR(__xludf.DUMMYFUNCTION("GOOGLETRANSLATE(F3478, ""auto"", ""en"")
"),"I can’t be happier: the machine is class, the quality of washing is excellent, the design is excellent, the problem is that there is vibration during the last rinse, there is no such thing during the spin cycle (set according to the level...)")</f>
        <v>I can’t be happier: the machine is class, the quality of washing is excellent, the design is excellent, the problem is that there is vibration during the last rinse, there is no such thing during the spin cycle (set according to the level...)</v>
      </c>
    </row>
    <row r="3479" spans="1:9" x14ac:dyDescent="0.3">
      <c r="A3479" s="1" t="s">
        <v>61</v>
      </c>
      <c r="B3479" s="1" t="s">
        <v>318</v>
      </c>
      <c r="C3479" s="1" t="s">
        <v>101</v>
      </c>
      <c r="D3479" s="1" t="s">
        <v>6282</v>
      </c>
      <c r="E3479" s="1" t="s">
        <v>201</v>
      </c>
      <c r="F3479" s="1" t="s">
        <v>6283</v>
      </c>
      <c r="G3479" s="1" t="s">
        <v>49</v>
      </c>
      <c r="H3479" s="1" t="s">
        <v>16</v>
      </c>
      <c r="I3479" s="1" t="str">
        <f ca="1">IFERROR(__xludf.DUMMYFUNCTION("GOOGLETRANSLATE(F3479, ""auto"", ""en"")
"),"It leaked after two months of use (and not very active). Actually, no more comments...")</f>
        <v>It leaked after two months of use (and not very active). Actually, no more comments...</v>
      </c>
    </row>
    <row r="3480" spans="1:9" x14ac:dyDescent="0.3">
      <c r="A3480" s="1" t="s">
        <v>477</v>
      </c>
      <c r="B3480" s="1" t="s">
        <v>478</v>
      </c>
      <c r="C3480" s="1" t="s">
        <v>479</v>
      </c>
      <c r="D3480" s="1" t="s">
        <v>172</v>
      </c>
      <c r="E3480" s="1" t="s">
        <v>6284</v>
      </c>
      <c r="F3480" s="1" t="s">
        <v>6285</v>
      </c>
      <c r="G3480" s="1" t="s">
        <v>36</v>
      </c>
      <c r="H3480" s="1" t="s">
        <v>29</v>
      </c>
      <c r="I3480" s="1" t="str">
        <f ca="1">IFERROR(__xludf.DUMMYFUNCTION("GOOGLETRANSLATE(F3480, ""auto"", ""en"")
"),"Game of my childhood:) Excellent")</f>
        <v>Game of my childhood:) Excellent</v>
      </c>
    </row>
    <row r="3481" spans="1:9" x14ac:dyDescent="0.3">
      <c r="A3481" s="1" t="s">
        <v>17</v>
      </c>
      <c r="B3481" s="1" t="s">
        <v>325</v>
      </c>
      <c r="C3481" s="1" t="s">
        <v>326</v>
      </c>
      <c r="D3481" s="1" t="s">
        <v>545</v>
      </c>
      <c r="E3481" s="1" t="s">
        <v>201</v>
      </c>
      <c r="F3481" s="1" t="s">
        <v>6286</v>
      </c>
      <c r="G3481" s="1" t="s">
        <v>36</v>
      </c>
      <c r="H3481" s="1" t="s">
        <v>29</v>
      </c>
      <c r="I3481" s="1" t="str">
        <f ca="1">IFERROR(__xludf.DUMMYFUNCTION("GOOGLETRANSLATE(F3481, ""auto"", ""en"")
"),"Nice machine! I’ve been using it for six months, I even wash my bed linen and rinse it with it too. An excellent way out of a situation in the country or in a communal apartment.")</f>
        <v>Nice machine! I’ve been using it for six months, I even wash my bed linen and rinse it with it too. An excellent way out of a situation in the country or in a communal apartment.</v>
      </c>
    </row>
    <row r="3482" spans="1:9" x14ac:dyDescent="0.3">
      <c r="A3482" s="1" t="s">
        <v>61</v>
      </c>
      <c r="B3482" s="1" t="s">
        <v>145</v>
      </c>
      <c r="C3482" s="1" t="s">
        <v>246</v>
      </c>
      <c r="D3482" s="1" t="s">
        <v>6287</v>
      </c>
      <c r="E3482" s="1" t="s">
        <v>960</v>
      </c>
      <c r="F3482" s="1" t="s">
        <v>6288</v>
      </c>
      <c r="G3482" s="1" t="s">
        <v>36</v>
      </c>
      <c r="H3482" s="1" t="s">
        <v>29</v>
      </c>
      <c r="I3482" s="1" t="str">
        <f ca="1">IFERROR(__xludf.DUMMYFUNCTION("GOOGLETRANSLATE(F3482, ""auto"", ""en"")
"),"I was given a Tefal yogurt maker for my birthday. Everything worked out right the first time. The main thing is to carefully read the attached instructions and recipes. IT'S ALL WRITTEN THERE!!! For the starter I use Danone, I don’t heat anything, but on "&amp;"the contrary, I cool it, add dry milk, fruit (mango rules)))) The yogurt turns out amazing! The main disadvantage is that there are not enough jars for a large family. My family, incl. The little ones eat everything in a couple of minutes and sit with hun"&amp;"gry eyes, asking when I’ll make it again. ))) So, when purchasing, stock up on an additional set of jars) Bon appetit!!!")</f>
        <v>I was given a Tefal yogurt maker for my birthday. Everything worked out right the first time. The main thing is to carefully read the attached instructions and recipes. IT'S ALL WRITTEN THERE!!! For the starter I use Danone, I don’t heat anything, but on the contrary, I cool it, add dry milk, fruit (mango rules)))) The yogurt turns out amazing! The main disadvantage is that there are not enough jars for a large family. My family, incl. The little ones eat everything in a couple of minutes and sit with hungry eyes, asking when I’ll make it again. ))) So, when purchasing, stock up on an additional set of jars) Bon appetit!!!</v>
      </c>
    </row>
    <row r="3483" spans="1:9" x14ac:dyDescent="0.3">
      <c r="A3483" s="1" t="s">
        <v>17</v>
      </c>
      <c r="B3483" s="1" t="s">
        <v>18</v>
      </c>
      <c r="C3483" s="1" t="s">
        <v>243</v>
      </c>
      <c r="D3483" s="1" t="s">
        <v>139</v>
      </c>
      <c r="E3483" s="1" t="s">
        <v>6289</v>
      </c>
      <c r="F3483" s="1" t="s">
        <v>6290</v>
      </c>
      <c r="G3483" s="1" t="s">
        <v>36</v>
      </c>
      <c r="H3483" s="1" t="s">
        <v>29</v>
      </c>
      <c r="I3483" s="1" t="str">
        <f ca="1">IFERROR(__xludf.DUMMYFUNCTION("GOOGLETRANSLATE(F3483, ""auto"", ""en"")
"),"An excellent machine, I bought it for myself on a promotion in M-video on February 23, it washes great - for those who have stains after washing, put less powder in the tray and everything will be ok, compared to the old one, heaven and earth, even at 100"&amp;"0 rpm during the spin cycle it works quietly, and exhibits amazing centering properties - neither jumps nor vibrates, I advise EVERYONE not You will regret it, buy it, especially for such money!!!")</f>
        <v>An excellent machine, I bought it for myself on a promotion in M-video on February 23, it washes great - for those who have stains after washing, put less powder in the tray and everything will be ok, compared to the old one, heaven and earth, even at 1000 rpm during the spin cycle it works quietly, and exhibits amazing centering properties - neither jumps nor vibrates, I advise EVERYONE not You will regret it, buy it, especially for such money!!!</v>
      </c>
    </row>
    <row r="3484" spans="1:9" x14ac:dyDescent="0.3">
      <c r="A3484" s="1" t="s">
        <v>61</v>
      </c>
      <c r="B3484" s="1" t="s">
        <v>318</v>
      </c>
      <c r="C3484" s="1" t="s">
        <v>85</v>
      </c>
      <c r="D3484" s="1" t="s">
        <v>6291</v>
      </c>
      <c r="E3484" s="1" t="s">
        <v>4760</v>
      </c>
      <c r="F3484" s="1" t="s">
        <v>413</v>
      </c>
      <c r="G3484" s="1" t="s">
        <v>15</v>
      </c>
      <c r="H3484" s="1" t="s">
        <v>16</v>
      </c>
      <c r="I3484" s="1" t="str">
        <f ca="1">IFERROR(__xludf.DUMMYFUNCTION("GOOGLETRANSLATE(F3484, ""auto"", ""en"")
"),"No")</f>
        <v>No</v>
      </c>
    </row>
    <row r="3485" spans="1:9" x14ac:dyDescent="0.3">
      <c r="A3485" s="1" t="s">
        <v>206</v>
      </c>
      <c r="B3485" s="1" t="s">
        <v>261</v>
      </c>
      <c r="C3485" s="1" t="s">
        <v>45</v>
      </c>
      <c r="D3485" s="1" t="s">
        <v>6292</v>
      </c>
      <c r="E3485" s="1" t="s">
        <v>3512</v>
      </c>
      <c r="F3485" s="1" t="s">
        <v>6293</v>
      </c>
      <c r="G3485" s="1" t="s">
        <v>36</v>
      </c>
      <c r="H3485" s="1" t="s">
        <v>29</v>
      </c>
      <c r="I3485" s="1" t="str">
        <f ca="1">IFERROR(__xludf.DUMMYFUNCTION("GOOGLETRANSLATE(F3485, ""auto"", ""en"")
"),"My standard radio does not read MP3 (Mazda6). I'm okay with music, but the problem is that I spend more time listening to audiobooks, and almost all of them are in MP3. I recently downloaded a German audio course and had the same problem. It got me.  I bo"&amp;"ught this FM modulator and I can say that it solved all the necessary problems.   They wrote here that bluetooth does not work, so I turned it on, the code for it is 0000. I am very pleased with the purchase, the quality suits me, and therefore I recommen"&amp;"d this device to other buyers.")</f>
        <v>My standard radio does not read MP3 (Mazda6). I'm okay with music, but the problem is that I spend more time listening to audiobooks, and almost all of them are in MP3. I recently downloaded a German audio course and had the same problem. It got me.  I bought this FM modulator and I can say that it solved all the necessary problems.   They wrote here that bluetooth does not work, so I turned it on, the code for it is 0000. I am very pleased with the purchase, the quality suits me, and therefore I recommend this device to other buyers.</v>
      </c>
    </row>
    <row r="3486" spans="1:9" x14ac:dyDescent="0.3">
      <c r="A3486" s="1" t="s">
        <v>211</v>
      </c>
      <c r="B3486" s="1" t="s">
        <v>212</v>
      </c>
      <c r="C3486" s="1" t="s">
        <v>381</v>
      </c>
      <c r="D3486" s="1" t="s">
        <v>2595</v>
      </c>
      <c r="E3486" s="1" t="s">
        <v>6294</v>
      </c>
      <c r="F3486" s="1" t="s">
        <v>6295</v>
      </c>
      <c r="G3486" s="1" t="s">
        <v>49</v>
      </c>
      <c r="H3486" s="1" t="s">
        <v>16</v>
      </c>
      <c r="I3486" s="1" t="str">
        <f ca="1">IFERROR(__xludf.DUMMYFUNCTION("GOOGLETRANSLATE(F3486, ""auto"", ""en"")
"),"A completely useless curling iron. I tried it many times and with different styling products. No result. I don't recommend it.")</f>
        <v>A completely useless curling iron. I tried it many times and with different styling products. No result. I don't recommend it.</v>
      </c>
    </row>
    <row r="3487" spans="1:9" x14ac:dyDescent="0.3">
      <c r="A3487" s="1" t="s">
        <v>361</v>
      </c>
      <c r="B3487" s="1" t="s">
        <v>1077</v>
      </c>
      <c r="C3487" s="1" t="s">
        <v>2143</v>
      </c>
      <c r="D3487" s="1" t="s">
        <v>139</v>
      </c>
      <c r="E3487" s="1" t="s">
        <v>6296</v>
      </c>
      <c r="F3487" s="1" t="s">
        <v>6297</v>
      </c>
      <c r="G3487" s="1" t="s">
        <v>28</v>
      </c>
      <c r="H3487" s="1" t="s">
        <v>29</v>
      </c>
      <c r="I3487" s="1" t="str">
        <f ca="1">IFERROR(__xludf.DUMMYFUNCTION("GOOGLETRANSLATE(F3487, ""auto"", ""en"")
"),"I warn you right away that this review was written by me exactly as I was taught to write at school, i.e. thinking about the meaning of each written sentence and its semantic meaning in the overall text. If it is difficult for someone to perceive so many "&amp;"letters and words, then you don’t have to start. I don’t want to present it briefly, because the whole meaning is lost. So: I had to buy this kettle in order to spend the bonuses, otherwise they would simply burn out. Now about the main thing. The kettle "&amp;"has shown itself to be generally good, I have been using it for more than a year, and one of the problems is its periodic contamination by my beloved wife, since she does not remove it from the stove when frying on a nearby burner, but these contamination"&amp;"s are removed with her own hands using “Cillit Beng” or similar powerful alkalis. It whistles well, you have to try very hard not to hear its whistle, for example, put on deaf headphones, turn on loud music, and go into another room, closing both doors. I"&amp;"t also boils quite quickly, but I don’t really have anything to compare it with, before this I had a kettle with a volume twice as large as this one (after three years the whistle fell off because it was silumin) and it also took twice as long to boil. Bu"&amp;"t it was more convenient to fill it with water, since the whistle completely opened the entire neck and water was poured from the tap directly through the spout. But this one must be removed, but it is tight, and if you put it back loosely, which my wife "&amp;"likes to do, then there will be no whistle, but I hope everyone knows the consequences in case of complete oblivion and escapism from reality (a melted kettle, and the smell throughout the apartment). The handle of the kettle is good, one might even say s"&amp;"oft, but it’s impossible to brew tea (that is, pick it up and pour it into a cup) immediately after boiling on a 2-kilowatt gas burner without using an oven mitt. You can, of course, boil it at an average one kilowatt, but as always, “time is money” and t"&amp;"herefore there is no time. Now about the main drawback, which, I hope, was only in my copy. This is a wedging mechanism for raising the whistle by the trigger. This was expressed in the periodic (apparently depending on the temperature) jamming of the whi"&amp;"stle in the middle of its working stroke, which caused “inconvenience” when pouring boiling water into a cup. In some cases, it was even possible to get scalded by the splashes that appeared due to the meeting of the jet and the whistle. In general, not a"&amp;" very pleasant defect, which, by the way, went away after several strong pulls on the trigger, but not for long. Because the law of my life is: “If you don’t do it yourself, no one will do it.” works flawlessly for many years, then I disassembled this ket"&amp;"tle. The defect turned out to be a lever coming out of the handle that was not finished with a file, which raised the whistle. After smoothing out the burrs caused by stamping the part and then reassembling it in reverse order, everything began to work we"&amp;"ll.")</f>
        <v>I warn you right away that this review was written by me exactly as I was taught to write at school, i.e. thinking about the meaning of each written sentence and its semantic meaning in the overall text. If it is difficult for someone to perceive so many letters and words, then you don’t have to start. I don’t want to present it briefly, because the whole meaning is lost. So: I had to buy this kettle in order to spend the bonuses, otherwise they would simply burn out. Now about the main thing. The kettle has shown itself to be generally good, I have been using it for more than a year, and one of the problems is its periodic contamination by my beloved wife, since she does not remove it from the stove when frying on a nearby burner, but these contaminations are removed with her own hands using “Cillit Beng” or similar powerful alkalis. It whistles well, you have to try very hard not to hear its whistle, for example, put on deaf headphones, turn on loud music, and go into another room, closing both doors. It also boils quite quickly, but I don’t really have anything to compare it with, before this I had a kettle with a volume twice as large as this one (after three years the whistle fell off because it was silumin) and it also took twice as long to boil. But it was more convenient to fill it with water, since the whistle completely opened the entire neck and water was poured from the tap directly through the spout. But this one must be removed, but it is tight, and if you put it back loosely, which my wife likes to do, then there will be no whistle, but I hope everyone knows the consequences in case of complete oblivion and escapism from reality (a melted kettle, and the smell throughout the apartment). The handle of the kettle is good, one might even say soft, but it’s impossible to brew tea (that is, pick it up and pour it into a cup) immediately after boiling on a 2-kilowatt gas burner without using an oven mitt. You can, of course, boil it at an average one kilowatt, but as always, “time is money” and therefore there is no time. Now about the main drawback, which, I hope, was only in my copy. This is a wedging mechanism for raising the whistle by the trigger. This was expressed in the periodic (apparently depending on the temperature) jamming of the whistle in the middle of its working stroke, which caused “inconvenience” when pouring boiling water into a cup. In some cases, it was even possible to get scalded by the splashes that appeared due to the meeting of the jet and the whistle. In general, not a very pleasant defect, which, by the way, went away after several strong pulls on the trigger, but not for long. Because the law of my life is: “If you don’t do it yourself, no one will do it.” works flawlessly for many years, then I disassembled this kettle. The defect turned out to be a lever coming out of the handle that was not finished with a file, which raised the whistle. After smoothing out the burrs caused by stamping the part and then reassembling it in reverse order, everything began to work well.</v>
      </c>
    </row>
    <row r="3488" spans="1:9" x14ac:dyDescent="0.3">
      <c r="A3488" s="1" t="s">
        <v>61</v>
      </c>
      <c r="B3488" s="1" t="s">
        <v>318</v>
      </c>
      <c r="C3488" s="1" t="s">
        <v>122</v>
      </c>
      <c r="D3488" s="1" t="s">
        <v>521</v>
      </c>
      <c r="E3488" s="1" t="s">
        <v>5038</v>
      </c>
      <c r="F3488" s="1" t="s">
        <v>6298</v>
      </c>
      <c r="G3488" s="1" t="s">
        <v>36</v>
      </c>
      <c r="H3488" s="1" t="s">
        <v>29</v>
      </c>
      <c r="I3488" s="1" t="str">
        <f ca="1">IFERROR(__xludf.DUMMYFUNCTION("GOOGLETRANSLATE(F3488, ""auto"", ""en"")
"),"A very convenient thing! Much more convenient than a regular kettle, the water is always hot at the temperature you need. If the family is 3-4 people, it is better to take 5 liters, because the water is quickly consumed, and it takes about 10 minutes to h"&amp;"eat up. It is easy to clean. You won't regret it!")</f>
        <v>A very convenient thing! Much more convenient than a regular kettle, the water is always hot at the temperature you need. If the family is 3-4 people, it is better to take 5 liters, because the water is quickly consumed, and it takes about 10 minutes to heat up. It is easy to clean. You won't regret it!</v>
      </c>
    </row>
    <row r="3489" spans="1:9" x14ac:dyDescent="0.3">
      <c r="A3489" s="1" t="s">
        <v>811</v>
      </c>
      <c r="B3489" s="1" t="s">
        <v>812</v>
      </c>
      <c r="C3489" s="1" t="s">
        <v>813</v>
      </c>
      <c r="D3489" s="1" t="s">
        <v>52</v>
      </c>
      <c r="E3489" s="1" t="s">
        <v>128</v>
      </c>
      <c r="F3489" s="1" t="s">
        <v>6299</v>
      </c>
      <c r="G3489" s="1" t="s">
        <v>36</v>
      </c>
      <c r="H3489" s="1" t="s">
        <v>29</v>
      </c>
      <c r="I3489" s="1" t="str">
        <f ca="1">IFERROR(__xludf.DUMMYFUNCTION("GOOGLETRANSLATE(F3489, ""auto"", ""en"")
"),"The tripod is naturally tall, taller than me. Made normally, for fans - the best airplane!!")</f>
        <v>The tripod is naturally tall, taller than me. Made normally, for fans - the best airplane!!</v>
      </c>
    </row>
    <row r="3490" spans="1:9" x14ac:dyDescent="0.3">
      <c r="A3490" s="1" t="s">
        <v>624</v>
      </c>
      <c r="B3490" s="1" t="s">
        <v>2107</v>
      </c>
      <c r="C3490" s="1" t="s">
        <v>479</v>
      </c>
      <c r="D3490" s="1" t="s">
        <v>6300</v>
      </c>
      <c r="E3490" s="1" t="s">
        <v>6111</v>
      </c>
      <c r="F3490" s="1" t="s">
        <v>6301</v>
      </c>
      <c r="G3490" s="1" t="s">
        <v>28</v>
      </c>
      <c r="H3490" s="1" t="s">
        <v>29</v>
      </c>
      <c r="I3490" s="1" t="str">
        <f ca="1">IFERROR(__xludf.DUMMYFUNCTION("GOOGLETRANSLATE(F3490, ""auto"", ""en"")
"),"I advise everyone to purchase this add-on to the game Red Dead Redemption! A great addition to cowboy adventures and zombie hunting. Excellent gameplay of the game, the graphics engine didn’t let us down, it’s a pity of course that the game and all the ad"&amp;"ditions to it are not localized, there aren’t even titles in Russian, but nevertheless I recommend it to all fans of the GTA series of games. What can I say, this is ROCKSTAR and that says it all!  Happy gaming on Xbox everyone!")</f>
        <v>I advise everyone to purchase this add-on to the game Red Dead Redemption! A great addition to cowboy adventures and zombie hunting. Excellent gameplay of the game, the graphics engine didn’t let us down, it’s a pity of course that the game and all the additions to it are not localized, there aren’t even titles in Russian, but nevertheless I recommend it to all fans of the GTA series of games. What can I say, this is ROCKSTAR and that says it all!  Happy gaming on Xbox everyone!</v>
      </c>
    </row>
    <row r="3491" spans="1:9" x14ac:dyDescent="0.3">
      <c r="A3491" s="1" t="s">
        <v>120</v>
      </c>
      <c r="B3491" s="1" t="s">
        <v>121</v>
      </c>
      <c r="C3491" s="1" t="s">
        <v>1677</v>
      </c>
      <c r="D3491" s="1" t="s">
        <v>39</v>
      </c>
      <c r="E3491" s="1" t="s">
        <v>1275</v>
      </c>
      <c r="F3491" s="1" t="s">
        <v>6302</v>
      </c>
      <c r="G3491" s="1" t="s">
        <v>36</v>
      </c>
      <c r="H3491" s="1" t="s">
        <v>29</v>
      </c>
      <c r="I3491" s="1" t="str">
        <f ca="1">IFERROR(__xludf.DUMMYFUNCTION("GOOGLETRANSLATE(F3491, ""auto"", ""en"")
"),"I came for Philip, but I bought this TV and I don’t regret it. HD is perfect. From USB it reads all formats and plays without any brakes. Digital tuner with MPEG-4. Plus 3 years warranty. What else do you need? 5 points.")</f>
        <v>I came for Philip, but I bought this TV and I don’t regret it. HD is perfect. From USB it reads all formats and plays without any brakes. Digital tuner with MPEG-4. Plus 3 years warranty. What else do you need? 5 points.</v>
      </c>
    </row>
    <row r="3492" spans="1:9" x14ac:dyDescent="0.3">
      <c r="A3492" s="1" t="s">
        <v>2087</v>
      </c>
      <c r="B3492" s="1" t="s">
        <v>2088</v>
      </c>
      <c r="C3492" s="1" t="s">
        <v>1771</v>
      </c>
      <c r="D3492" s="1" t="s">
        <v>52</v>
      </c>
      <c r="E3492" s="1" t="s">
        <v>2896</v>
      </c>
      <c r="F3492" s="1" t="s">
        <v>6303</v>
      </c>
      <c r="G3492" s="1" t="s">
        <v>49</v>
      </c>
      <c r="H3492" s="1" t="s">
        <v>16</v>
      </c>
      <c r="I3492" s="1" t="str">
        <f ca="1">IFERROR(__xludf.DUMMYFUNCTION("GOOGLETRANSLATE(F3492, ""auto"", ""en"")
"),"Terrible player, long loading time, can't read 8 out of 10 faces. CDs including bonus in box")</f>
        <v>Terrible player, long loading time, can't read 8 out of 10 faces. CDs including bonus in box</v>
      </c>
    </row>
    <row r="3493" spans="1:9" x14ac:dyDescent="0.3">
      <c r="A3493" s="1" t="s">
        <v>61</v>
      </c>
      <c r="B3493" s="1" t="s">
        <v>73</v>
      </c>
      <c r="C3493" s="1" t="s">
        <v>213</v>
      </c>
      <c r="D3493" s="1" t="s">
        <v>6304</v>
      </c>
      <c r="E3493" s="1" t="s">
        <v>854</v>
      </c>
      <c r="F3493" s="1" t="s">
        <v>6305</v>
      </c>
      <c r="G3493" s="1" t="s">
        <v>36</v>
      </c>
      <c r="H3493" s="1" t="s">
        <v>29</v>
      </c>
      <c r="I3493" s="1" t="str">
        <f ca="1">IFERROR(__xludf.DUMMYFUNCTION("GOOGLETRANSLATE(F3493, ""auto"", ""en"")
"),"I bought it a month ago and am very pleased. Everything works properly, quickly, and not very noisy. In terms of quality, they say that it is one of the best. Well, time will tell :)")</f>
        <v>I bought it a month ago and am very pleased. Everything works properly, quickly, and not very noisy. In terms of quality, they say that it is one of the best. Well, time will tell :)</v>
      </c>
    </row>
    <row r="3494" spans="1:9" x14ac:dyDescent="0.3">
      <c r="A3494" s="1" t="s">
        <v>369</v>
      </c>
      <c r="B3494" s="1" t="s">
        <v>370</v>
      </c>
      <c r="C3494" s="1" t="s">
        <v>290</v>
      </c>
      <c r="D3494" s="1" t="s">
        <v>2764</v>
      </c>
      <c r="E3494" s="1" t="s">
        <v>2584</v>
      </c>
      <c r="F3494" s="1" t="s">
        <v>6306</v>
      </c>
      <c r="G3494" s="1" t="s">
        <v>15</v>
      </c>
      <c r="H3494" s="1" t="s">
        <v>16</v>
      </c>
      <c r="I3494" s="1" t="str">
        <f ca="1">IFERROR(__xludf.DUMMYFUNCTION("GOOGLETRANSLATE(F3494, ""auto"", ""en"")
"),"Perhaps only the burners work normally")</f>
        <v>Perhaps only the burners work normally</v>
      </c>
    </row>
    <row r="3495" spans="1:9" x14ac:dyDescent="0.3">
      <c r="A3495" s="1" t="s">
        <v>67</v>
      </c>
      <c r="B3495" s="1" t="s">
        <v>340</v>
      </c>
      <c r="C3495" s="1" t="s">
        <v>1634</v>
      </c>
      <c r="D3495" s="1" t="s">
        <v>592</v>
      </c>
      <c r="E3495" s="1" t="s">
        <v>824</v>
      </c>
      <c r="F3495" s="1" t="s">
        <v>6307</v>
      </c>
      <c r="G3495" s="1" t="s">
        <v>49</v>
      </c>
      <c r="H3495" s="1" t="s">
        <v>16</v>
      </c>
      <c r="I3495" s="1" t="str">
        <f ca="1">IFERROR(__xludf.DUMMYFUNCTION("GOOGLETRANSLATE(F3495, ""auto"", ""en"")
"),"I chose the machine according to the principle “average in price, always with a pedal and a horizontal shuttle type.”  I bought the machine 3 hours ago and I STILL can’t start sewing - the thread gets tangled in the bobbin, the instructions don’t have any"&amp;" instructions for threading, so it’s not possible to check its quality. the needle is so tightly tightened in the needle holder that you have to loosen it with pliers. horror! I have not yet discovered any advantages... I do not recommend this product.")</f>
        <v>I chose the machine according to the principle “average in price, always with a pedal and a horizontal shuttle type.”  I bought the machine 3 hours ago and I STILL can’t start sewing - the thread gets tangled in the bobbin, the instructions don’t have any instructions for threading, so it’s not possible to check its quality. the needle is so tightly tightened in the needle holder that you have to loosen it with pliers. horror! I have not yet discovered any advantages... I do not recommend this product.</v>
      </c>
    </row>
    <row r="3496" spans="1:9" x14ac:dyDescent="0.3">
      <c r="A3496" s="1" t="s">
        <v>9</v>
      </c>
      <c r="B3496" s="1" t="s">
        <v>137</v>
      </c>
      <c r="C3496" s="1" t="s">
        <v>466</v>
      </c>
      <c r="D3496" s="1" t="s">
        <v>658</v>
      </c>
      <c r="E3496" s="1" t="s">
        <v>2619</v>
      </c>
      <c r="F3496" s="1" t="s">
        <v>6308</v>
      </c>
      <c r="G3496" s="1" t="s">
        <v>36</v>
      </c>
      <c r="H3496" s="1" t="s">
        <v>29</v>
      </c>
      <c r="I3496" s="1" t="str">
        <f ca="1">IFERROR(__xludf.DUMMYFUNCTION("GOOGLETRANSLATE(F3496, ""auto"", ""en"")
"),"The panel is good. We were also upset at first when we had to change it because the gas wouldn’t light up. But when this happened with the second panel, they called a technician from the service center. It turned out that everything is very simple!!! The "&amp;"store sellers are incompetent in this matter! The master told us everything and showed us what to do in this situation. The panel is very reliable and good. We've been using it for a year. Take it - you won't regret it! The main thing is to know how to us"&amp;"e it correctly. Mine is white. Wash simply with a damp cloth and any dishwashing detergent.")</f>
        <v>The panel is good. We were also upset at first when we had to change it because the gas wouldn’t light up. But when this happened with the second panel, they called a technician from the service center. It turned out that everything is very simple!!! The store sellers are incompetent in this matter! The master told us everything and showed us what to do in this situation. The panel is very reliable and good. We've been using it for a year. Take it - you won't regret it! The main thing is to know how to use it correctly. Mine is white. Wash simply with a damp cloth and any dishwashing detergent.</v>
      </c>
    </row>
    <row r="3497" spans="1:9" x14ac:dyDescent="0.3">
      <c r="A3497" s="1" t="s">
        <v>37</v>
      </c>
      <c r="B3497" s="1" t="s">
        <v>38</v>
      </c>
      <c r="C3497" s="1" t="s">
        <v>3332</v>
      </c>
      <c r="D3497" s="1" t="s">
        <v>247</v>
      </c>
      <c r="E3497" s="1" t="s">
        <v>1723</v>
      </c>
      <c r="F3497" s="1" t="s">
        <v>6309</v>
      </c>
      <c r="G3497" s="1" t="s">
        <v>28</v>
      </c>
      <c r="H3497" s="1" t="s">
        <v>29</v>
      </c>
      <c r="I3497" s="1" t="str">
        <f ca="1">IFERROR(__xludf.DUMMYFUNCTION("GOOGLETRANSLATE(F3497, ""auto"", ""en"")
"),"Mobile phone Just5 - volume be healthy - just for the elderly.   It will only be 2 times more expensive. :))")</f>
        <v>Mobile phone Just5 - volume be healthy - just for the elderly.   It will only be 2 times more expensive. :))</v>
      </c>
    </row>
    <row r="3498" spans="1:9" x14ac:dyDescent="0.3">
      <c r="A3498" s="1" t="s">
        <v>811</v>
      </c>
      <c r="B3498" s="1" t="s">
        <v>812</v>
      </c>
      <c r="C3498" s="1" t="s">
        <v>813</v>
      </c>
      <c r="D3498" s="1" t="s">
        <v>589</v>
      </c>
      <c r="E3498" s="1" t="s">
        <v>4969</v>
      </c>
      <c r="F3498" s="1" t="s">
        <v>6310</v>
      </c>
      <c r="G3498" s="1" t="s">
        <v>36</v>
      </c>
      <c r="H3498" s="1" t="s">
        <v>29</v>
      </c>
      <c r="I3498" s="1" t="str">
        <f ca="1">IFERROR(__xludf.DUMMYFUNCTION("GOOGLETRANSLATE(F3498, ""auto"", ""en"")
"),"+: 1) lightweight 2) stable, holds the camera with lens normally (700g + 550g) 3) there is 1 level 4) convenient handle for carrying -: 1) flimsy plastic hook for hanging the load 2) the adjustment is normal, convenient, but for shooting video you should "&amp;"look for another tripod with a smoother horizontal movement. A normal tripod for the money. Good for shooting landscapes, portraits, not for video.")</f>
        <v>+: 1) lightweight 2) stable, holds the camera with lens normally (700g + 550g) 3) there is 1 level 4) convenient handle for carrying -: 1) flimsy plastic hook for hanging the load 2) the adjustment is normal, convenient, but for shooting video you should look for another tripod with a smoother horizontal movement. A normal tripod for the money. Good for shooting landscapes, portraits, not for video.</v>
      </c>
    </row>
    <row r="3499" spans="1:9" x14ac:dyDescent="0.3">
      <c r="A3499" s="1" t="s">
        <v>369</v>
      </c>
      <c r="B3499" s="1" t="s">
        <v>587</v>
      </c>
      <c r="C3499" s="1" t="s">
        <v>290</v>
      </c>
      <c r="D3499" s="1" t="s">
        <v>166</v>
      </c>
      <c r="E3499" s="1" t="s">
        <v>680</v>
      </c>
      <c r="F3499" s="1" t="s">
        <v>6311</v>
      </c>
      <c r="G3499" s="1" t="s">
        <v>36</v>
      </c>
      <c r="H3499" s="1" t="s">
        <v>29</v>
      </c>
      <c r="I3499" s="1" t="str">
        <f ca="1">IFERROR(__xludf.DUMMYFUNCTION("GOOGLETRANSLATE(F3499, ""auto"", ""en"")
"),"I have a 438 stove. There are a lot of advantages, but for me the most important thing was the oven. The baked goods will turn out great (evenly baked, browned on time, etc.)! The meat is juicy.   I have grates and circles that are cast iron on the burner"&amp;"s - they are easy to clean.   Looks beautiful.   Gas control is a thing! With the window open (if it’s summer, and your oven is also working!!!) it saved me more than once. It really takes a long time to work in the oven. This is a small thing.   Only Bos"&amp;"ch is better than Burning (in terms of food quality and performance). But this is a completely different price category...")</f>
        <v>I have a 438 stove. There are a lot of advantages, but for me the most important thing was the oven. The baked goods will turn out great (evenly baked, browned on time, etc.)! The meat is juicy.   I have grates and circles that are cast iron on the burners - they are easy to clean.   Looks beautiful.   Gas control is a thing! With the window open (if it’s summer, and your oven is also working!!!) it saved me more than once. It really takes a long time to work in the oven. This is a small thing.   Only Bosch is better than Burning (in terms of food quality and performance). But this is a completely different price category...</v>
      </c>
    </row>
    <row r="3500" spans="1:9" x14ac:dyDescent="0.3">
      <c r="A3500" s="1" t="s">
        <v>17</v>
      </c>
      <c r="B3500" s="1" t="s">
        <v>18</v>
      </c>
      <c r="C3500" s="1" t="s">
        <v>159</v>
      </c>
      <c r="D3500" s="1" t="s">
        <v>247</v>
      </c>
      <c r="E3500" s="1" t="s">
        <v>6312</v>
      </c>
      <c r="F3500" s="1" t="s">
        <v>6313</v>
      </c>
      <c r="G3500" s="1" t="s">
        <v>36</v>
      </c>
      <c r="H3500" s="1" t="s">
        <v>29</v>
      </c>
      <c r="I3500" s="1" t="str">
        <f ca="1">IFERROR(__xludf.DUMMYFUNCTION("GOOGLETRANSLATE(F3500, ""auto"", ""en"")
"),"We found 3 transportation bolts on the rear wall, all of them had a red gasket, we unscrewed them. The largest top gasket did not come off - we left it. It feels like there is still a bolt somewhere. But there is no rear panel on the diagrams and instruct"&amp;"ions. How many bolts should there be exactly? If anyone knows, please write. And so for the service 5+, and for the machine itself 4 - there is no drum parking and the instructions are incomplete.")</f>
        <v>We found 3 transportation bolts on the rear wall, all of them had a red gasket, we unscrewed them. The largest top gasket did not come off - we left it. It feels like there is still a bolt somewhere. But there is no rear panel on the diagrams and instructions. How many bolts should there be exactly? If anyone knows, please write. And so for the service 5+, and for the machine itself 4 - there is no drum parking and the instructions are incomplete.</v>
      </c>
    </row>
    <row r="3501" spans="1:9" x14ac:dyDescent="0.3">
      <c r="A3501" s="1" t="s">
        <v>624</v>
      </c>
      <c r="B3501" s="1" t="s">
        <v>2107</v>
      </c>
      <c r="C3501" s="1" t="s">
        <v>479</v>
      </c>
      <c r="D3501" s="1" t="s">
        <v>117</v>
      </c>
      <c r="E3501" s="1" t="s">
        <v>1922</v>
      </c>
      <c r="F3501" s="1" t="s">
        <v>6314</v>
      </c>
      <c r="G3501" s="1" t="s">
        <v>36</v>
      </c>
      <c r="H3501" s="1" t="s">
        <v>29</v>
      </c>
      <c r="I3501" s="1" t="str">
        <f ca="1">IFERROR(__xludf.DUMMYFUNCTION("GOOGLETRANSLATE(F3501, ""auto"", ""en"")
"),"The game is excellent, I recommend it to everyone! You just need to know English since the game has not been translated.")</f>
        <v>The game is excellent, I recommend it to everyone! You just need to know English since the game has not been translated.</v>
      </c>
    </row>
    <row r="3502" spans="1:9" x14ac:dyDescent="0.3">
      <c r="A3502" s="1" t="s">
        <v>477</v>
      </c>
      <c r="B3502" s="1" t="s">
        <v>478</v>
      </c>
      <c r="C3502" s="1" t="s">
        <v>479</v>
      </c>
      <c r="D3502" s="1" t="s">
        <v>6315</v>
      </c>
      <c r="E3502" s="1" t="s">
        <v>191</v>
      </c>
      <c r="F3502" s="1" t="s">
        <v>6316</v>
      </c>
      <c r="G3502" s="1" t="s">
        <v>36</v>
      </c>
      <c r="H3502" s="1" t="s">
        <v>29</v>
      </c>
      <c r="I3502" s="1" t="str">
        <f ca="1">IFERROR(__xludf.DUMMYFUNCTION("GOOGLETRANSLATE(F3502, ""auto"", ""en"")
"),"TTEEEEEMMAAAA, the game is generally cool, the best")</f>
        <v>TTEEEEEMMAAAA, the game is generally cool, the best</v>
      </c>
    </row>
    <row r="3503" spans="1:9" x14ac:dyDescent="0.3">
      <c r="A3503" s="1" t="s">
        <v>61</v>
      </c>
      <c r="B3503" s="1" t="s">
        <v>318</v>
      </c>
      <c r="C3503" s="1" t="s">
        <v>246</v>
      </c>
      <c r="D3503" s="1" t="s">
        <v>75</v>
      </c>
      <c r="E3503" s="1" t="s">
        <v>5013</v>
      </c>
      <c r="F3503" s="1" t="s">
        <v>6317</v>
      </c>
      <c r="G3503" s="1" t="s">
        <v>15</v>
      </c>
      <c r="H3503" s="1" t="s">
        <v>16</v>
      </c>
      <c r="I3503" s="1" t="str">
        <f ca="1">IFERROR(__xludf.DUMMYFUNCTION("GOOGLETRANSLATE(F3503, ""auto"", ""en"")
"),"After a year of work, the glass burst. I wonder why pay that kind of money when you can buy a kettle 6 times cheaper and it will last the same amount of time. Moreover, in search of a new kettle, I read many reviews. Both for this kettle and for other Tef"&amp;"al models.&amp;nbsp;")</f>
        <v>After a year of work, the glass burst. I wonder why pay that kind of money when you can buy a kettle 6 times cheaper and it will last the same amount of time. Moreover, in search of a new kettle, I read many reviews. Both for this kettle and for other Tefal models.&amp;nbsp;</v>
      </c>
    </row>
    <row r="3504" spans="1:9" x14ac:dyDescent="0.3">
      <c r="A3504" s="1" t="s">
        <v>105</v>
      </c>
      <c r="B3504" s="1" t="s">
        <v>106</v>
      </c>
      <c r="C3504" s="1" t="s">
        <v>151</v>
      </c>
      <c r="D3504" s="1" t="s">
        <v>1520</v>
      </c>
      <c r="E3504" s="1" t="s">
        <v>3664</v>
      </c>
      <c r="F3504" s="1" t="s">
        <v>6318</v>
      </c>
      <c r="G3504" s="1" t="s">
        <v>36</v>
      </c>
      <c r="H3504" s="1" t="s">
        <v>29</v>
      </c>
      <c r="I3504" s="1" t="str">
        <f ca="1">IFERROR(__xludf.DUMMYFUNCTION("GOOGLETRANSLATE(F3504, ""auto"", ""en"")
"),"very good device, the buttons don’t stick, it lasts a long time, there’s a lot of memory, I recommend it to everyone")</f>
        <v>very good device, the buttons don’t stick, it lasts a long time, there’s a lot of memory, I recommend it to everyone</v>
      </c>
    </row>
    <row r="3505" spans="1:9" x14ac:dyDescent="0.3">
      <c r="A3505" s="1" t="s">
        <v>120</v>
      </c>
      <c r="B3505" s="1" t="s">
        <v>121</v>
      </c>
      <c r="C3505" s="1" t="s">
        <v>122</v>
      </c>
      <c r="D3505" s="1" t="s">
        <v>305</v>
      </c>
      <c r="E3505" s="1" t="s">
        <v>1448</v>
      </c>
      <c r="F3505" s="1" t="s">
        <v>6319</v>
      </c>
      <c r="G3505" s="1" t="s">
        <v>28</v>
      </c>
      <c r="H3505" s="1" t="s">
        <v>29</v>
      </c>
      <c r="I3505" s="1" t="str">
        <f ca="1">IFERROR(__xludf.DUMMYFUNCTION("GOOGLETRANSLATE(F3505, ""auto"", ""en"")
"),"In operation since August of this year. Excellent colors and image sharpness when watching satellite television, videos recorded on the camera in HDM format and DVD films, stereo sound is simply superb. Very intuitive and intuitive settings menu interface"&amp;".  Of the minuses: 1. “braking” channel switching When switching channels, an information line with the channel number, reception frequency and type (digital-analog) of the signal is displayed on the screen, and this crap hangs for 10 seconds and does not"&amp;" turn off.  2.This model does NOT have a scart connector.   3. Poor-quality reception of the analog signal from the collective entrance antenna due to which we had to purchase a satellite dish as well.  Considering the pros and cons, I rate this TV model "&amp;"a solid 4.")</f>
        <v>In operation since August of this year. Excellent colors and image sharpness when watching satellite television, videos recorded on the camera in HDM format and DVD films, stereo sound is simply superb. Very intuitive and intuitive settings menu interface.  Of the minuses: 1. “braking” channel switching When switching channels, an information line with the channel number, reception frequency and type (digital-analog) of the signal is displayed on the screen, and this crap hangs for 10 seconds and does not turn off.  2.This model does NOT have a scart connector.   3. Poor-quality reception of the analog signal from the collective entrance antenna due to which we had to purchase a satellite dish as well.  Considering the pros and cons, I rate this TV model a solid 4.</v>
      </c>
    </row>
    <row r="3506" spans="1:9" x14ac:dyDescent="0.3">
      <c r="A3506" s="1" t="s">
        <v>43</v>
      </c>
      <c r="B3506" s="1" t="s">
        <v>502</v>
      </c>
      <c r="C3506" s="1" t="s">
        <v>151</v>
      </c>
      <c r="D3506" s="1" t="s">
        <v>305</v>
      </c>
      <c r="E3506" s="1" t="s">
        <v>1290</v>
      </c>
      <c r="F3506" s="1" t="s">
        <v>6320</v>
      </c>
      <c r="G3506" s="1" t="s">
        <v>36</v>
      </c>
      <c r="H3506" s="1" t="s">
        <v>29</v>
      </c>
      <c r="I3506" s="1" t="str">
        <f ca="1">IFERROR(__xludf.DUMMYFUNCTION("GOOGLETRANSLATE(F3506, ""auto"", ""en"")
"),"I really liked the split system! Compact (easily fits in the trunk), quite light... Reasonable price + free installation (although not installed yet...). It fits into the interior simply wonderfully. Convenient remote control... ...but I still don’t know "&amp;"how it will work....., but I hope that someday (well, if it’s summer) I’ll feel a pleasant cold!")</f>
        <v>I really liked the split system! Compact (easily fits in the trunk), quite light... Reasonable price + free installation (although not installed yet...). It fits into the interior simply wonderfully. Convenient remote control... ...but I still don’t know how it will work....., but I hope that someday (well, if it’s summer) I’ll feel a pleasant cold!</v>
      </c>
    </row>
    <row r="3507" spans="1:9" x14ac:dyDescent="0.3">
      <c r="A3507" s="1" t="s">
        <v>30</v>
      </c>
      <c r="B3507" s="1" t="s">
        <v>31</v>
      </c>
      <c r="C3507" s="1" t="s">
        <v>32</v>
      </c>
      <c r="D3507" s="1" t="s">
        <v>2923</v>
      </c>
      <c r="E3507" s="1" t="s">
        <v>2333</v>
      </c>
      <c r="F3507" s="1" t="s">
        <v>6321</v>
      </c>
      <c r="G3507" s="1" t="s">
        <v>36</v>
      </c>
      <c r="H3507" s="1" t="s">
        <v>29</v>
      </c>
      <c r="I3507" s="1" t="str">
        <f ca="1">IFERROR(__xludf.DUMMYFUNCTION("GOOGLETRANSLATE(F3507, ""auto"", ""en"")
"),"Is the cooling system not heating up?")</f>
        <v>Is the cooling system not heating up?</v>
      </c>
    </row>
    <row r="3508" spans="1:9" x14ac:dyDescent="0.3">
      <c r="A3508" s="1" t="s">
        <v>206</v>
      </c>
      <c r="B3508" s="1" t="s">
        <v>261</v>
      </c>
      <c r="C3508" s="1" t="s">
        <v>262</v>
      </c>
      <c r="D3508" s="1" t="s">
        <v>52</v>
      </c>
      <c r="E3508" s="1" t="s">
        <v>4122</v>
      </c>
      <c r="F3508" s="1" t="s">
        <v>6322</v>
      </c>
      <c r="G3508" s="1" t="s">
        <v>49</v>
      </c>
      <c r="H3508" s="1" t="s">
        <v>16</v>
      </c>
      <c r="I3508" s="1" t="str">
        <f ca="1">IFERROR(__xludf.DUMMYFUNCTION("GOOGLETRANSLATE(F3508, ""auto"", ""en"")
"),"There are no advantages!")</f>
        <v>There are no advantages!</v>
      </c>
    </row>
    <row r="3509" spans="1:9" x14ac:dyDescent="0.3">
      <c r="A3509" s="1" t="s">
        <v>624</v>
      </c>
      <c r="B3509" s="1" t="s">
        <v>2107</v>
      </c>
      <c r="C3509" s="1" t="s">
        <v>479</v>
      </c>
      <c r="D3509" s="1" t="s">
        <v>1124</v>
      </c>
      <c r="E3509" s="1" t="s">
        <v>1384</v>
      </c>
      <c r="F3509" s="1" t="s">
        <v>6323</v>
      </c>
      <c r="G3509" s="1" t="s">
        <v>36</v>
      </c>
      <c r="H3509" s="1" t="s">
        <v>29</v>
      </c>
      <c r="I3509" s="1" t="str">
        <f ca="1">IFERROR(__xludf.DUMMYFUNCTION("GOOGLETRANSLATE(F3509, ""auto"", ""en"")
"),"the game is super. you can play it a hundred times")</f>
        <v>the game is super. you can play it a hundred times</v>
      </c>
    </row>
    <row r="3510" spans="1:9" x14ac:dyDescent="0.3">
      <c r="A3510" s="1" t="s">
        <v>95</v>
      </c>
      <c r="B3510" s="1" t="s">
        <v>227</v>
      </c>
      <c r="C3510" s="1" t="s">
        <v>97</v>
      </c>
      <c r="D3510" s="1" t="s">
        <v>1659</v>
      </c>
      <c r="E3510" s="1" t="s">
        <v>594</v>
      </c>
      <c r="F3510" s="1" t="s">
        <v>6324</v>
      </c>
      <c r="G3510" s="1" t="s">
        <v>36</v>
      </c>
      <c r="H3510" s="1" t="s">
        <v>29</v>
      </c>
      <c r="I3510" s="1" t="str">
        <f ca="1">IFERROR(__xludf.DUMMYFUNCTION("GOOGLETRANSLATE(F3510, ""auto"", ""en"")
"),"When will this product be available in stores in our city?")</f>
        <v>When will this product be available in stores in our city?</v>
      </c>
    </row>
    <row r="3511" spans="1:9" x14ac:dyDescent="0.3">
      <c r="A3511" s="1" t="s">
        <v>149</v>
      </c>
      <c r="B3511" s="1" t="s">
        <v>423</v>
      </c>
      <c r="C3511" s="1" t="s">
        <v>531</v>
      </c>
      <c r="D3511" s="1" t="s">
        <v>1008</v>
      </c>
      <c r="E3511" s="1" t="s">
        <v>4659</v>
      </c>
      <c r="F3511" s="1" t="s">
        <v>6325</v>
      </c>
      <c r="G3511" s="1" t="s">
        <v>49</v>
      </c>
      <c r="H3511" s="1" t="s">
        <v>16</v>
      </c>
      <c r="I3511" s="1" t="str">
        <f ca="1">IFERROR(__xludf.DUMMYFUNCTION("GOOGLETRANSLATE(F3511, ""auto"", ""en"")
"),"We bought this model, nothing to worry about, it performs its functions 30% and even all the components are flimsy, everything is broken!!!!")</f>
        <v>We bought this model, nothing to worry about, it performs its functions 30% and even all the components are flimsy, everything is broken!!!!</v>
      </c>
    </row>
    <row r="3512" spans="1:9" x14ac:dyDescent="0.3">
      <c r="A3512" s="1" t="s">
        <v>211</v>
      </c>
      <c r="B3512" s="1" t="s">
        <v>212</v>
      </c>
      <c r="C3512" s="1" t="s">
        <v>745</v>
      </c>
      <c r="D3512" s="1" t="s">
        <v>308</v>
      </c>
      <c r="E3512" s="1" t="s">
        <v>2752</v>
      </c>
      <c r="F3512" s="1" t="s">
        <v>6326</v>
      </c>
      <c r="G3512" s="1" t="s">
        <v>36</v>
      </c>
      <c r="H3512" s="1" t="s">
        <v>29</v>
      </c>
      <c r="I3512" s="1" t="str">
        <f ca="1">IFERROR(__xludf.DUMMYFUNCTION("GOOGLETRANSLATE(F3512, ""auto"", ""en"")
"),"Price+power")</f>
        <v>Price+power</v>
      </c>
    </row>
    <row r="3513" spans="1:9" x14ac:dyDescent="0.3">
      <c r="A3513" s="1" t="s">
        <v>37</v>
      </c>
      <c r="B3513" s="1" t="s">
        <v>38</v>
      </c>
      <c r="C3513" s="1" t="s">
        <v>151</v>
      </c>
      <c r="D3513" s="1" t="s">
        <v>6327</v>
      </c>
      <c r="E3513" s="1" t="s">
        <v>5947</v>
      </c>
      <c r="F3513" s="1" t="s">
        <v>6328</v>
      </c>
      <c r="G3513" s="1" t="s">
        <v>36</v>
      </c>
      <c r="H3513" s="1" t="s">
        <v>29</v>
      </c>
      <c r="I3513" s="1" t="str">
        <f ca="1">IFERROR(__xludf.DUMMYFUNCTION("GOOGLETRANSLATE(F3513, ""auto"", ""en"")
"),"Great phone, the most important thing is good sound!")</f>
        <v>Great phone, the most important thing is good sound!</v>
      </c>
    </row>
    <row r="3514" spans="1:9" x14ac:dyDescent="0.3">
      <c r="A3514" s="1" t="s">
        <v>149</v>
      </c>
      <c r="B3514" s="1" t="s">
        <v>155</v>
      </c>
      <c r="C3514" s="1" t="s">
        <v>151</v>
      </c>
      <c r="D3514" s="1" t="s">
        <v>81</v>
      </c>
      <c r="E3514" s="1" t="s">
        <v>886</v>
      </c>
      <c r="F3514" s="1" t="s">
        <v>6329</v>
      </c>
      <c r="G3514" s="1" t="s">
        <v>36</v>
      </c>
      <c r="H3514" s="1" t="s">
        <v>29</v>
      </c>
      <c r="I3514" s="1" t="str">
        <f ca="1">IFERROR(__xludf.DUMMYFUNCTION("GOOGLETRANSLATE(F3514, ""auto"", ""en"")
"),"Having had enough of a bagged vacuum cleaner, I decided to purchase a bagless model.  What pleased me was the clarity of cleaning and the ease of cleaning the container.  After cleaning the entire apartment (3 rooms), be sure to clean the container and ri"&amp;"nse the filters; I just can’t stand to see something dangling in a transparent container. Therefore, there are no issues with power, wash the filter and the device will serve you faithfully for a long time.  + quiet operation, power, power adjustment, lon"&amp;"g power cord (enough everywhere with one connection, visibility of the work done (transparent container), simple filter, not expensive. - few additional attachments")</f>
        <v>Having had enough of a bagged vacuum cleaner, I decided to purchase a bagless model.  What pleased me was the clarity of cleaning and the ease of cleaning the container.  After cleaning the entire apartment (3 rooms), be sure to clean the container and rinse the filters; I just can’t stand to see something dangling in a transparent container. Therefore, there are no issues with power, wash the filter and the device will serve you faithfully for a long time.  + quiet operation, power, power adjustment, long power cord (enough everywhere with one connection, visibility of the work done (transparent container), simple filter, not expensive. - few additional attachments</v>
      </c>
    </row>
    <row r="3515" spans="1:9" x14ac:dyDescent="0.3">
      <c r="A3515" s="1" t="s">
        <v>55</v>
      </c>
      <c r="B3515" s="1" t="s">
        <v>56</v>
      </c>
      <c r="C3515" s="1" t="s">
        <v>85</v>
      </c>
      <c r="D3515" s="1" t="s">
        <v>64</v>
      </c>
      <c r="E3515" s="1" t="s">
        <v>4458</v>
      </c>
      <c r="F3515" s="1" t="s">
        <v>6330</v>
      </c>
      <c r="G3515" s="1" t="s">
        <v>36</v>
      </c>
      <c r="H3515" s="1" t="s">
        <v>29</v>
      </c>
      <c r="I3515" s="1" t="str">
        <f ca="1">IFERROR(__xludf.DUMMYFUNCTION("GOOGLETRANSLATE(F3515, ""auto"", ""en"")
"),"We needed warm steam and automatic shutdown without water, as well as self-dimming of the display during night mode. Plus I wanted something beautiful for the interior. I really liked the device, I'm satisfied. Minus the high price, but it's worth it) Ale"&amp;"na")</f>
        <v>We needed warm steam and automatic shutdown without water, as well as self-dimming of the display during night mode. Plus I wanted something beautiful for the interior. I really liked the device, I'm satisfied. Minus the high price, but it's worth it) Alena</v>
      </c>
    </row>
    <row r="3516" spans="1:9" x14ac:dyDescent="0.3">
      <c r="A3516" s="1" t="s">
        <v>369</v>
      </c>
      <c r="B3516" s="1" t="s">
        <v>370</v>
      </c>
      <c r="C3516" s="1" t="s">
        <v>138</v>
      </c>
      <c r="D3516" s="1" t="s">
        <v>471</v>
      </c>
      <c r="E3516" s="1" t="s">
        <v>864</v>
      </c>
      <c r="F3516" s="1" t="s">
        <v>6331</v>
      </c>
      <c r="G3516" s="1" t="s">
        <v>36</v>
      </c>
      <c r="H3516" s="1" t="s">
        <v>29</v>
      </c>
      <c r="I3516" s="1" t="str">
        <f ca="1">IFERROR(__xludf.DUMMYFUNCTION("GOOGLETRANSLATE(F3516, ""auto"", ""en"")
"),"The stove is fully worth its money. I cook a lot. I bake. Cheap, but cheerful. We encountered warranty repairs. The guys responded quickly. I recommend it to everyone")</f>
        <v>The stove is fully worth its money. I cook a lot. I bake. Cheap, but cheerful. We encountered warranty repairs. The guys responded quickly. I recommend it to everyone</v>
      </c>
    </row>
    <row r="3517" spans="1:9" x14ac:dyDescent="0.3">
      <c r="A3517" s="1" t="s">
        <v>211</v>
      </c>
      <c r="B3517" s="1" t="s">
        <v>856</v>
      </c>
      <c r="C3517" s="1" t="s">
        <v>57</v>
      </c>
      <c r="D3517" s="1" t="s">
        <v>64</v>
      </c>
      <c r="E3517" s="1" t="s">
        <v>3835</v>
      </c>
      <c r="F3517" s="1" t="s">
        <v>6332</v>
      </c>
      <c r="G3517" s="1" t="s">
        <v>36</v>
      </c>
      <c r="H3517" s="1" t="s">
        <v>29</v>
      </c>
      <c r="I3517" s="1" t="str">
        <f ca="1">IFERROR(__xludf.DUMMYFUNCTION("GOOGLETRANSLATE(F3517, ""auto"", ""en"")
"),"I thought for a long time which set to choose. I settled on this in view of the combination of price and functionality. All attachments are necessary. I especially like the conical and spherical ones. Professionals use the spherical in salons. It's strang"&amp;"e that it is not present in all sets. There is one here. I was glad that there were files, they are easy to shape the nail, then I finish it with a file. Of course, you need to know how to use it for the set to be useful. I did a hardware manicure at the "&amp;"salon - so I had an idea of ​​how to use the attachments. The manicure turned out just like in a salon, the cuticle grows slower than with a trimmed manicure. I was especially pleased with the price. Now in the store it is not very expensive")</f>
        <v>I thought for a long time which set to choose. I settled on this in view of the combination of price and functionality. All attachments are necessary. I especially like the conical and spherical ones. Professionals use the spherical in salons. It's strange that it is not present in all sets. There is one here. I was glad that there were files, they are easy to shape the nail, then I finish it with a file. Of course, you need to know how to use it for the set to be useful. I did a hardware manicure at the salon - so I had an idea of ​​how to use the attachments. The manicure turned out just like in a salon, the cuticle grows slower than with a trimmed manicure. I was especially pleased with the price. Now in the store it is not very expensive</v>
      </c>
    </row>
    <row r="3518" spans="1:9" x14ac:dyDescent="0.3">
      <c r="A3518" s="1" t="s">
        <v>211</v>
      </c>
      <c r="B3518" s="1" t="s">
        <v>212</v>
      </c>
      <c r="C3518" s="1" t="s">
        <v>1591</v>
      </c>
      <c r="D3518" s="1" t="s">
        <v>12</v>
      </c>
      <c r="E3518" s="1" t="s">
        <v>2242</v>
      </c>
      <c r="F3518" s="1" t="s">
        <v>6333</v>
      </c>
      <c r="G3518" s="1" t="s">
        <v>36</v>
      </c>
      <c r="H3518" s="1" t="s">
        <v>29</v>
      </c>
      <c r="I3518" s="1" t="str">
        <f ca="1">IFERROR(__xludf.DUMMYFUNCTION("GOOGLETRANSLATE(F3518, ""auto"", ""en"")
"),"The product was purchased at the end of January 2015 on promotion.  The advantages of this device: 1) reliable attachment of the attachment, it will not fall off if it overheats or the strand is too thick, 2) it comes with a convenient bag for storing and"&amp;" transporting the hair dryer and all attachments, the styling is excellent, the hair does not split, even if you rarely straighten the ends (I did not cut my hair for 9 months, and my hair looked great, the ends did not tangle). Disadvantages or wishes fo"&amp;"r the new model: 1) there is not enough adjustment of the rotation speed - along with the temperature, the rotation speed also increases slightly), 2) I would like both nozzles to rotate, and not just the large one and on warm and hot air. Personally, my "&amp;"hair is thick, thick, below the shoulders, styling takes 15-20 minutes and lasts 2-3 days. First, I dry my hair with a hairdryer without an attachment, then I comb it, divide all the hair into strands, secure it with clips, and dry each strand separately,"&amp;" after combing it with a fine-toothed comb, starting with the lower layers. I dry from the roots, first in hot air with rotation, then in warm air with rotation. I rarely use cold air - it frizzes my hair.   Take it, you won't regret it! After such a devi"&amp;"ce, you will not want to return to a regular hair dryer and brushing.")</f>
        <v>The product was purchased at the end of January 2015 on promotion.  The advantages of this device: 1) reliable attachment of the attachment, it will not fall off if it overheats or the strand is too thick, 2) it comes with a convenient bag for storing and transporting the hair dryer and all attachments, the styling is excellent, the hair does not split, even if you rarely straighten the ends (I did not cut my hair for 9 months, and my hair looked great, the ends did not tangle). Disadvantages or wishes for the new model: 1) there is not enough adjustment of the rotation speed - along with the temperature, the rotation speed also increases slightly), 2) I would like both nozzles to rotate, and not just the large one and on warm and hot air. Personally, my hair is thick, thick, below the shoulders, styling takes 15-20 minutes and lasts 2-3 days. First, I dry my hair with a hairdryer without an attachment, then I comb it, divide all the hair into strands, secure it with clips, and dry each strand separately, after combing it with a fine-toothed comb, starting with the lower layers. I dry from the roots, first in hot air with rotation, then in warm air with rotation. I rarely use cold air - it frizzes my hair.   Take it, you won't regret it! After such a device, you will not want to return to a regular hair dryer and brushing.</v>
      </c>
    </row>
    <row r="3519" spans="1:9" x14ac:dyDescent="0.3">
      <c r="A3519" s="1" t="s">
        <v>624</v>
      </c>
      <c r="B3519" s="1" t="s">
        <v>625</v>
      </c>
      <c r="C3519" s="1" t="s">
        <v>479</v>
      </c>
      <c r="D3519" s="1" t="s">
        <v>305</v>
      </c>
      <c r="E3519" s="1" t="s">
        <v>717</v>
      </c>
      <c r="F3519" s="1" t="s">
        <v>6334</v>
      </c>
      <c r="G3519" s="1" t="s">
        <v>36</v>
      </c>
      <c r="H3519" s="1" t="s">
        <v>29</v>
      </c>
      <c r="I3519" s="1" t="str">
        <f ca="1">IFERROR(__xludf.DUMMYFUNCTION("GOOGLETRANSLATE(F3519, ""auto"", ""en"")
"),"The game is great! Fully addictive! Graphics, sound, simply BEST, the quality of Russian voice acting is at a high level! The plot of the game is very interesting!   I recommend it to everyone!")</f>
        <v>The game is great! Fully addictive! Graphics, sound, simply BEST, the quality of Russian voice acting is at a high level! The plot of the game is very interesting!   I recommend it to everyone!</v>
      </c>
    </row>
    <row r="3520" spans="1:9" x14ac:dyDescent="0.3">
      <c r="A3520" s="1" t="s">
        <v>37</v>
      </c>
      <c r="B3520" s="1" t="s">
        <v>38</v>
      </c>
      <c r="C3520" s="1" t="s">
        <v>151</v>
      </c>
      <c r="D3520" s="1" t="s">
        <v>6335</v>
      </c>
      <c r="E3520" s="1" t="s">
        <v>2215</v>
      </c>
      <c r="F3520" s="1" t="s">
        <v>6336</v>
      </c>
      <c r="G3520" s="1" t="s">
        <v>36</v>
      </c>
      <c r="H3520" s="1" t="s">
        <v>29</v>
      </c>
      <c r="I3520" s="1" t="str">
        <f ca="1">IFERROR(__xludf.DUMMYFUNCTION("GOOGLETRANSLATE(F3520, ""auto"", ""en"")
"),"Almost the same as Samsung GT-E1070.    Differences: The case is a little stronger and creaks less. A little wider and thinner.    Logo above the display.    The buttons are a little softer, pleasant to the touch :)) rubber. The backlight is now white.   "&amp;" For the charging-headset connector, there is a superb dust gate (!) made.    Audibility is OK: in my opinion, the quality of communication has improved (the interlocutor disappears less than Samsung suffers, in expensive models - I don’t know), high freq"&amp;"uencies have become a little less, but both me and I can be heard in any situation.    The display quality is the same, 3 design themes (the E1070 had more).    The menu has become more beautiful, the icons are larger.    Added Game A+Sudoku.  The Profile"&amp;"s icon was pushed into Settings, because... a Game icon has been added, i.e. Now all Settings are in one place.    Hotkeys (assignments to the navigation key) can now be reconfigured entirely, it’s a pity that you still can’t assign Contacts to it.    Lan"&amp;"guage: Russian English. Kazakh Alarm clocks (5 pcs.): For some reason, they removed the ability to assign a melody to alarm clocks, i.e. only one(!) signal. (I don’t care) The volume of the melody when the phone is turned on/off is adjusted in: Menu\Setti"&amp;"ngs\Profiles\Options\Change\Volume\Keyboard tone Wallpaper is the same 3 pcs., change, but not remove.    Security, Blacklist for calls and SMS, and everything else - unchanged.    In general, an excellent phone... I forgot, :) the battery is now 800mA, b"&amp;"ut I haven’t had time to test it yet, because... Yesterday I bought this device.    This is where I end the story, good luck to everyone!")</f>
        <v>Almost the same as Samsung GT-E1070.    Differences: The case is a little stronger and creaks less. A little wider and thinner.    Logo above the display.    The buttons are a little softer, pleasant to the touch :)) rubber. The backlight is now white.    For the charging-headset connector, there is a superb dust gate (!) made.    Audibility is OK: in my opinion, the quality of communication has improved (the interlocutor disappears less than Samsung suffers, in expensive models - I don’t know), high frequencies have become a little less, but both me and I can be heard in any situation.    The display quality is the same, 3 design themes (the E1070 had more).    The menu has become more beautiful, the icons are larger.    Added Game A+Sudoku.  The Profiles icon was pushed into Settings, because... a Game icon has been added, i.e. Now all Settings are in one place.    Hotkeys (assignments to the navigation key) can now be reconfigured entirely, it’s a pity that you still can’t assign Contacts to it.    Language: Russian English. Kazakh Alarm clocks (5 pcs.): For some reason, they removed the ability to assign a melody to alarm clocks, i.e. only one(!) signal. (I don’t care) The volume of the melody when the phone is turned on/off is adjusted in: Menu\Settings\Profiles\Options\Change\Volume\Keyboard tone Wallpaper is the same 3 pcs., change, but not remove.    Security, Blacklist for calls and SMS, and everything else - unchanged.    In general, an excellent phone... I forgot, :) the battery is now 800mA, but I haven’t had time to test it yet, because... Yesterday I bought this device.    This is where I end the story, good luck to everyone!</v>
      </c>
    </row>
    <row r="3521" spans="1:9" x14ac:dyDescent="0.3">
      <c r="A3521" s="1" t="s">
        <v>149</v>
      </c>
      <c r="B3521" s="1" t="s">
        <v>155</v>
      </c>
      <c r="C3521" s="1" t="s">
        <v>151</v>
      </c>
      <c r="D3521" s="1" t="s">
        <v>308</v>
      </c>
      <c r="E3521" s="1" t="s">
        <v>6337</v>
      </c>
      <c r="F3521" s="1" t="s">
        <v>6338</v>
      </c>
      <c r="G3521" s="1" t="s">
        <v>94</v>
      </c>
      <c r="H3521" s="1" t="s">
        <v>29</v>
      </c>
      <c r="I3521" s="1" t="str">
        <f ca="1">IFERROR(__xludf.DUMMYFUNCTION("GOOGLETRANSLATE(F3521, ""auto"", ""en"")
"),"Clean cleaning")</f>
        <v>Clean cleaning</v>
      </c>
    </row>
    <row r="3522" spans="1:9" x14ac:dyDescent="0.3">
      <c r="A3522" s="1" t="s">
        <v>61</v>
      </c>
      <c r="B3522" s="1" t="s">
        <v>145</v>
      </c>
      <c r="C3522" s="1" t="s">
        <v>57</v>
      </c>
      <c r="D3522" s="1" t="s">
        <v>46</v>
      </c>
      <c r="E3522" s="1" t="s">
        <v>2563</v>
      </c>
      <c r="F3522" s="1" t="s">
        <v>6339</v>
      </c>
      <c r="G3522" s="1" t="s">
        <v>36</v>
      </c>
      <c r="H3522" s="1" t="s">
        <v>29</v>
      </c>
      <c r="I3522" s="1" t="str">
        <f ca="1">IFERROR(__xludf.DUMMYFUNCTION("GOOGLETRANSLATE(F3522, ""auto"", ""en"")
"),"Cool thing, some advantages! Little oil, you get delicious potatoes, crispy dumplings, great chicken! Very good price, not worth overpaying! I recommend it to everyone!")</f>
        <v>Cool thing, some advantages! Little oil, you get delicious potatoes, crispy dumplings, great chicken! Very good price, not worth overpaying! I recommend it to everyone!</v>
      </c>
    </row>
    <row r="3523" spans="1:9" x14ac:dyDescent="0.3">
      <c r="A3523" s="1" t="s">
        <v>37</v>
      </c>
      <c r="B3523" s="1" t="s">
        <v>536</v>
      </c>
      <c r="C3523" s="1" t="s">
        <v>151</v>
      </c>
      <c r="D3523" s="1" t="s">
        <v>6340</v>
      </c>
      <c r="E3523" s="1" t="s">
        <v>920</v>
      </c>
      <c r="F3523" s="1" t="s">
        <v>6341</v>
      </c>
      <c r="G3523" s="1" t="s">
        <v>49</v>
      </c>
      <c r="H3523" s="1" t="s">
        <v>16</v>
      </c>
      <c r="I3523" s="1" t="str">
        <f ca="1">IFERROR(__xludf.DUMMYFUNCTION("GOOGLETRANSLATE(F3523, ""auto"", ""en"")
"),"Cool hardware and design!  A friend has one! But the Sumbian operating system is slow with its own certificates, on which it is problematic to install something wrong, or you have to pay unreasonably high prices!  In general, I’ve known each other since N"&amp;"okiy!  It is advisable to take this one, but only with Windows, not because I am a fan of Beal, but it will really be convenient for you to work! I have learned for myself, no matter how sophisticated the hardware is, to under no circumstances get involve"&amp;"d with this unfortunate Sumbian!")</f>
        <v>Cool hardware and design!  A friend has one! But the Sumbian operating system is slow with its own certificates, on which it is problematic to install something wrong, or you have to pay unreasonably high prices!  In general, I’ve known each other since Nokiy!  It is advisable to take this one, but only with Windows, not because I am a fan of Beal, but it will really be convenient for you to work! I have learned for myself, no matter how sophisticated the hardware is, to under no circumstances get involved with this unfortunate Sumbian!</v>
      </c>
    </row>
    <row r="3524" spans="1:9" x14ac:dyDescent="0.3">
      <c r="A3524" s="1" t="s">
        <v>373</v>
      </c>
      <c r="B3524" s="1" t="s">
        <v>374</v>
      </c>
      <c r="C3524" s="1" t="s">
        <v>19</v>
      </c>
      <c r="D3524" s="1" t="s">
        <v>474</v>
      </c>
      <c r="E3524" s="1" t="s">
        <v>6342</v>
      </c>
      <c r="F3524" s="1" t="s">
        <v>6343</v>
      </c>
      <c r="G3524" s="1" t="s">
        <v>36</v>
      </c>
      <c r="H3524" s="1" t="s">
        <v>29</v>
      </c>
      <c r="I3524" s="1" t="str">
        <f ca="1">IFERROR(__xludf.DUMMYFUNCTION("GOOGLETRANSLATE(F3524, ""auto"", ""en"")
"),"I never wanted a dishwasher before, but now I have a baby and I don’t have enough time! My husband gave it to me and I couldn’t be happier!!! This is just some kind of miracle!!! Uploaded, pressed the button and rejoice! And how it washes is simply superb"&amp;", even old saucepans! The dishes are dry, without plaque or streaks, the cutlery shines like polished!!! The main thing is to fill the detergent, salt and rinse aid correctly and load the dishes correctly!! I recommend it to everyone!!!!!")</f>
        <v>I never wanted a dishwasher before, but now I have a baby and I don’t have enough time! My husband gave it to me and I couldn’t be happier!!! This is just some kind of miracle!!! Uploaded, pressed the button and rejoice! And how it washes is simply superb, even old saucepans! The dishes are dry, without plaque or streaks, the cutlery shines like polished!!! The main thing is to fill the detergent, salt and rinse aid correctly and load the dishes correctly!! I recommend it to everyone!!!!!</v>
      </c>
    </row>
    <row r="3525" spans="1:9" x14ac:dyDescent="0.3">
      <c r="A3525" s="1" t="s">
        <v>105</v>
      </c>
      <c r="B3525" s="1" t="s">
        <v>106</v>
      </c>
      <c r="C3525" s="1" t="s">
        <v>107</v>
      </c>
      <c r="D3525" s="1" t="s">
        <v>142</v>
      </c>
      <c r="E3525" s="1" t="s">
        <v>1586</v>
      </c>
      <c r="F3525" s="1" t="s">
        <v>6344</v>
      </c>
      <c r="G3525" s="1" t="s">
        <v>15</v>
      </c>
      <c r="H3525" s="1" t="s">
        <v>16</v>
      </c>
      <c r="I3525" s="1" t="str">
        <f ca="1">IFERROR(__xludf.DUMMYFUNCTION("GOOGLETRANSLATE(F3525, ""auto"", ""en"")
"),"The player has been solid... I've had it for a year, everything is fine with the screen, except that it doesn't respond well to the touch of fingers, it's inconvenient to scroll, I attached a stylus... the function of switching music while shaking was ann"&amp;"oying until I found out that you can block it *at least one less thing to worry about*... but that's not the end of it, the headphone jack is constantly loosening... the headphones included are not ice, I bought my own *well, that's it ok*...the big scree"&amp;"n eats up the charge, doesn’t last long...maybe 4-5 hours...well, one of the advantages of the current is that the case is metal, yes, it’s convenient, it doesn’t get scratched and you...by the way, the memory card slot is also terrible, the microSD fell "&amp;"through there twice, I could barely pull it out...not happy.")</f>
        <v>The player has been solid... I've had it for a year, everything is fine with the screen, except that it doesn't respond well to the touch of fingers, it's inconvenient to scroll, I attached a stylus... the function of switching music while shaking was annoying until I found out that you can block it *at least one less thing to worry about*... but that's not the end of it, the headphone jack is constantly loosening... the headphones included are not ice, I bought my own *well, that's it ok*...the big screen eats up the charge, doesn’t last long...maybe 4-5 hours...well, one of the advantages of the current is that the case is metal, yes, it’s convenient, it doesn’t get scratched and you...by the way, the memory card slot is also terrible, the microSD fell through there twice, I could barely pull it out...not happy.</v>
      </c>
    </row>
    <row r="3526" spans="1:9" x14ac:dyDescent="0.3">
      <c r="A3526" s="1" t="s">
        <v>61</v>
      </c>
      <c r="B3526" s="1" t="s">
        <v>977</v>
      </c>
      <c r="C3526" s="1" t="s">
        <v>69</v>
      </c>
      <c r="D3526" s="1" t="s">
        <v>1055</v>
      </c>
      <c r="E3526" s="1" t="s">
        <v>6345</v>
      </c>
      <c r="F3526" s="1" t="s">
        <v>6346</v>
      </c>
      <c r="G3526" s="1" t="s">
        <v>36</v>
      </c>
      <c r="H3526" s="1" t="s">
        <v>29</v>
      </c>
      <c r="I3526" s="1" t="str">
        <f ca="1">IFERROR(__xludf.DUMMYFUNCTION("GOOGLETRANSLATE(F3526, ""auto"", ""en"")
"),"I’ve been using it for 3 years now, it’s a very convenient and necessary thing in the kitchen! you can make minced meat (instead of a meat grinder), baby food (it will turn any vegetable or fruit into puree), whip up a cocktail.... In general, take it - y"&amp;"ou won’t regret it!")</f>
        <v>I’ve been using it for 3 years now, it’s a very convenient and necessary thing in the kitchen! you can make minced meat (instead of a meat grinder), baby food (it will turn any vegetable or fruit into puree), whip up a cocktail.... In general, take it - you won’t regret it!</v>
      </c>
    </row>
    <row r="3527" spans="1:9" x14ac:dyDescent="0.3">
      <c r="A3527" s="1" t="s">
        <v>211</v>
      </c>
      <c r="B3527" s="1" t="s">
        <v>265</v>
      </c>
      <c r="C3527" s="1" t="s">
        <v>122</v>
      </c>
      <c r="D3527" s="1" t="s">
        <v>6347</v>
      </c>
      <c r="E3527" s="1" t="s">
        <v>4434</v>
      </c>
      <c r="F3527" s="1" t="s">
        <v>6348</v>
      </c>
      <c r="G3527" s="1" t="s">
        <v>36</v>
      </c>
      <c r="H3527" s="1" t="s">
        <v>29</v>
      </c>
      <c r="I3527" s="1" t="str">
        <f ca="1">IFERROR(__xludf.DUMMYFUNCTION("GOOGLETRANSLATE(F3527, ""auto"", ""en"")
"),"comfortable")</f>
        <v>comfortable</v>
      </c>
    </row>
    <row r="3528" spans="1:9" x14ac:dyDescent="0.3">
      <c r="A3528" s="1" t="s">
        <v>61</v>
      </c>
      <c r="B3528" s="1" t="s">
        <v>726</v>
      </c>
      <c r="C3528" s="1" t="s">
        <v>85</v>
      </c>
      <c r="D3528" s="1" t="s">
        <v>471</v>
      </c>
      <c r="E3528" s="1" t="s">
        <v>5369</v>
      </c>
      <c r="F3528" s="1" t="s">
        <v>6349</v>
      </c>
      <c r="G3528" s="1" t="s">
        <v>36</v>
      </c>
      <c r="H3528" s="1" t="s">
        <v>29</v>
      </c>
      <c r="I3528" s="1" t="str">
        <f ca="1">IFERROR(__xludf.DUMMYFUNCTION("GOOGLETRANSLATE(F3528, ""auto"", ""en"")
"),"Very tasty bread, easy to use")</f>
        <v>Very tasty bread, easy to use</v>
      </c>
    </row>
    <row r="3529" spans="1:9" x14ac:dyDescent="0.3">
      <c r="A3529" s="1" t="s">
        <v>9</v>
      </c>
      <c r="B3529" s="1" t="s">
        <v>133</v>
      </c>
      <c r="C3529" s="1" t="s">
        <v>159</v>
      </c>
      <c r="D3529" s="1" t="s">
        <v>385</v>
      </c>
      <c r="E3529" s="1" t="s">
        <v>1603</v>
      </c>
      <c r="F3529" s="1" t="s">
        <v>6350</v>
      </c>
      <c r="G3529" s="1" t="s">
        <v>36</v>
      </c>
      <c r="H3529" s="1" t="s">
        <v>29</v>
      </c>
      <c r="I3529" s="1" t="str">
        <f ca="1">IFERROR(__xludf.DUMMYFUNCTION("GOOGLETRANSLATE(F3529, ""auto"", ""en"")
"),"Great stove!!! Cooks well and quickly. I bought it a year and a half ago, no complaints. The first two times of use, I had to cook a little longer than usual, apparently due to the fact that it was new, it warmed up slowly, but then it was fine, I repeat,"&amp;" it cooks quickly. The only thing is that if you connect through an extension cord, buy a powerful one (extension cord), because the stove is powerful.")</f>
        <v>Great stove!!! Cooks well and quickly. I bought it a year and a half ago, no complaints. The first two times of use, I had to cook a little longer than usual, apparently due to the fact that it was new, it warmed up slowly, but then it was fine, I repeat, it cooks quickly. The only thing is that if you connect through an extension cord, buy a powerful one (extension cord), because the stove is powerful.</v>
      </c>
    </row>
    <row r="3530" spans="1:9" x14ac:dyDescent="0.3">
      <c r="A3530" s="1" t="s">
        <v>149</v>
      </c>
      <c r="B3530" s="1" t="s">
        <v>150</v>
      </c>
      <c r="C3530" s="1" t="s">
        <v>57</v>
      </c>
      <c r="D3530" s="1" t="s">
        <v>46</v>
      </c>
      <c r="E3530" s="1" t="s">
        <v>2298</v>
      </c>
      <c r="F3530" s="1" t="s">
        <v>6351</v>
      </c>
      <c r="G3530" s="1" t="s">
        <v>36</v>
      </c>
      <c r="H3530" s="1" t="s">
        <v>29</v>
      </c>
      <c r="I3530" s="1" t="str">
        <f ca="1">IFERROR(__xludf.DUMMYFUNCTION("GOOGLETRANSLATE(F3530, ""auto"", ""en"")
"),"Very pleased with the purchase, exceeded our expectations!!! Good quality at a good price. Easy to use. After the first test of the vacuum cleaner, the carpets became like new, and the water - “you can roll your felt boots” :)")</f>
        <v>Very pleased with the purchase, exceeded our expectations!!! Good quality at a good price. Easy to use. After the first test of the vacuum cleaner, the carpets became like new, and the water - “you can roll your felt boots” :)</v>
      </c>
    </row>
    <row r="3531" spans="1:9" x14ac:dyDescent="0.3">
      <c r="A3531" s="1" t="s">
        <v>61</v>
      </c>
      <c r="B3531" s="1" t="s">
        <v>318</v>
      </c>
      <c r="C3531" s="1" t="s">
        <v>69</v>
      </c>
      <c r="D3531" s="1" t="s">
        <v>64</v>
      </c>
      <c r="E3531" s="1" t="s">
        <v>6352</v>
      </c>
      <c r="F3531" s="1" t="s">
        <v>6353</v>
      </c>
      <c r="G3531" s="1" t="s">
        <v>36</v>
      </c>
      <c r="H3531" s="1" t="s">
        <v>29</v>
      </c>
      <c r="I3531" s="1" t="str">
        <f ca="1">IFERROR(__xludf.DUMMYFUNCTION("GOOGLETRANSLATE(F3531, ""auto"", ""en"")
"),"I am very pleased with the kettle. design, quality, technical performance.  nothing flows. 4 months in active use. I also bought it on sale. and if you come across a defect, no one is immune from this. otherwise everyone is so gentle. leaked from them. We"&amp;"ll, go and change it. Nobody took away your guarantee.")</f>
        <v>I am very pleased with the kettle. design, quality, technical performance.  nothing flows. 4 months in active use. I also bought it on sale. and if you come across a defect, no one is immune from this. otherwise everyone is so gentle. leaked from them. Well, go and change it. Nobody took away your guarantee.</v>
      </c>
    </row>
    <row r="3532" spans="1:9" x14ac:dyDescent="0.3">
      <c r="A3532" s="1" t="s">
        <v>9</v>
      </c>
      <c r="B3532" s="1" t="s">
        <v>10</v>
      </c>
      <c r="C3532" s="1" t="s">
        <v>407</v>
      </c>
      <c r="D3532" s="1" t="s">
        <v>152</v>
      </c>
      <c r="E3532" s="1" t="s">
        <v>92</v>
      </c>
      <c r="F3532" s="1" t="s">
        <v>6354</v>
      </c>
      <c r="G3532" s="1" t="s">
        <v>36</v>
      </c>
      <c r="H3532" s="1" t="s">
        <v>29</v>
      </c>
      <c r="I3532" s="1" t="str">
        <f ca="1">IFERROR(__xludf.DUMMYFUNCTION("GOOGLETRANSLATE(F3532, ""auto"", ""en"")
"),"Quiet, design, good lighting")</f>
        <v>Quiet, design, good lighting</v>
      </c>
    </row>
    <row r="3533" spans="1:9" x14ac:dyDescent="0.3">
      <c r="A3533" s="1" t="s">
        <v>206</v>
      </c>
      <c r="B3533" s="1" t="s">
        <v>2026</v>
      </c>
      <c r="C3533" s="1" t="s">
        <v>2425</v>
      </c>
      <c r="D3533" s="1" t="s">
        <v>6355</v>
      </c>
      <c r="E3533" s="1" t="s">
        <v>2043</v>
      </c>
      <c r="F3533" s="1" t="s">
        <v>6356</v>
      </c>
      <c r="G3533" s="1" t="s">
        <v>49</v>
      </c>
      <c r="H3533" s="1" t="s">
        <v>16</v>
      </c>
      <c r="I3533" s="1" t="str">
        <f ca="1">IFERROR(__xludf.DUMMYFUNCTION("GOOGLETRANSLATE(F3533, ""auto"", ""en"")
"),"It’s impossible to watch the broadcast, you can watch the DVD after adding color.")</f>
        <v>It’s impossible to watch the broadcast, you can watch the DVD after adding color.</v>
      </c>
    </row>
    <row r="3534" spans="1:9" x14ac:dyDescent="0.3">
      <c r="A3534" s="1" t="s">
        <v>17</v>
      </c>
      <c r="B3534" s="1" t="s">
        <v>18</v>
      </c>
      <c r="C3534" s="1" t="s">
        <v>243</v>
      </c>
      <c r="D3534" s="1" t="s">
        <v>280</v>
      </c>
      <c r="E3534" s="1" t="s">
        <v>6357</v>
      </c>
      <c r="F3534" s="1" t="s">
        <v>6358</v>
      </c>
      <c r="G3534" s="1" t="s">
        <v>28</v>
      </c>
      <c r="H3534" s="1" t="s">
        <v>29</v>
      </c>
      <c r="I3534" s="1" t="str">
        <f ca="1">IFERROR(__xludf.DUMMYFUNCTION("GOOGLETRANSLATE(F3534, ""auto"", ""en"")
"),"Narrow, inexpensive.")</f>
        <v>Narrow, inexpensive.</v>
      </c>
    </row>
    <row r="3535" spans="1:9" x14ac:dyDescent="0.3">
      <c r="A3535" s="1" t="s">
        <v>169</v>
      </c>
      <c r="B3535" s="1" t="s">
        <v>170</v>
      </c>
      <c r="C3535" s="1" t="s">
        <v>69</v>
      </c>
      <c r="D3535" s="1" t="s">
        <v>1241</v>
      </c>
      <c r="E3535" s="1" t="s">
        <v>1212</v>
      </c>
      <c r="F3535" s="1" t="s">
        <v>6359</v>
      </c>
      <c r="G3535" s="1" t="s">
        <v>28</v>
      </c>
      <c r="H3535" s="1" t="s">
        <v>29</v>
      </c>
      <c r="I3535" s="1" t="str">
        <f ca="1">IFERROR(__xludf.DUMMYFUNCTION("GOOGLETRANSLATE(F3535, ""auto"", ""en"")
"),"Cool headphones, happy with the purchase. It's just a pity that the bass doesn't sound very good. And so there are no complaints. They fit comfortably on the ears. I'm happy with the purchase, I recommend it to everyone. :)")</f>
        <v>Cool headphones, happy with the purchase. It's just a pity that the bass doesn't sound very good. And so there are no complaints. They fit comfortably on the ears. I'm happy with the purchase, I recommend it to everyone. :)</v>
      </c>
    </row>
    <row r="3536" spans="1:9" x14ac:dyDescent="0.3">
      <c r="A3536" s="1" t="s">
        <v>624</v>
      </c>
      <c r="B3536" s="1" t="s">
        <v>625</v>
      </c>
      <c r="C3536" s="1" t="s">
        <v>479</v>
      </c>
      <c r="D3536" s="1" t="s">
        <v>139</v>
      </c>
      <c r="E3536" s="1" t="s">
        <v>1115</v>
      </c>
      <c r="F3536" s="1" t="s">
        <v>6360</v>
      </c>
      <c r="G3536" s="1" t="s">
        <v>36</v>
      </c>
      <c r="H3536" s="1" t="s">
        <v>29</v>
      </c>
      <c r="I3536" s="1" t="str">
        <f ca="1">IFERROR(__xludf.DUMMYFUNCTION("GOOGLETRANSLATE(F3536, ""auto"", ""en"")
"),"The game is great! Steebook looks great... The only negative is the translation (terrible in places)")</f>
        <v>The game is great! Steebook looks great... The only negative is the translation (terrible in places)</v>
      </c>
    </row>
    <row r="3537" spans="1:9" x14ac:dyDescent="0.3">
      <c r="A3537" s="1" t="s">
        <v>149</v>
      </c>
      <c r="B3537" s="1" t="s">
        <v>155</v>
      </c>
      <c r="C3537" s="1" t="s">
        <v>151</v>
      </c>
      <c r="D3537" s="1" t="s">
        <v>3030</v>
      </c>
      <c r="E3537" s="1" t="s">
        <v>5011</v>
      </c>
      <c r="F3537" s="1" t="s">
        <v>6361</v>
      </c>
      <c r="G3537" s="1" t="s">
        <v>49</v>
      </c>
      <c r="H3537" s="1" t="s">
        <v>16</v>
      </c>
      <c r="I3537" s="1" t="str">
        <f ca="1">IFERROR(__xludf.DUMMYFUNCTION("GOOGLETRANSLATE(F3537, ""auto"", ""en"")
"),"Dear sirs, if you want to spend money and nerves, then go ahead and buy this red piece of hassle. We bought it in May 2007, the suction is excellent, but the filters become clogged instantly, the fillability of the container in relation to the filter clog"&amp;"ging is about 1:5. If dust manages to get inside (this happened to us more than once), where the board with electrical parts is located, then you need to disassemble the whole thing and blow the dust out of the guts, otherwise it will not turn off at all "&amp;"(the circuit will short-circuit). The hose, God forbid you step on it, can no longer be aligned. And most importantly, our little guy died after working (if you can call it work) for 3 years... Khan's engine. Now we need to choose a new vacuum cleaner, we"&amp;" won’t go to Samsung anymore!!!")</f>
        <v>Dear sirs, if you want to spend money and nerves, then go ahead and buy this red piece of hassle. We bought it in May 2007, the suction is excellent, but the filters become clogged instantly, the fillability of the container in relation to the filter clogging is about 1:5. If dust manages to get inside (this happened to us more than once), where the board with electrical parts is located, then you need to disassemble the whole thing and blow the dust out of the guts, otherwise it will not turn off at all (the circuit will short-circuit). The hose, God forbid you step on it, can no longer be aligned. And most importantly, our little guy died after working (if you can call it work) for 3 years... Khan's engine. Now we need to choose a new vacuum cleaner, we won’t go to Samsung anymore!!!</v>
      </c>
    </row>
    <row r="3538" spans="1:9" x14ac:dyDescent="0.3">
      <c r="A3538" s="1" t="s">
        <v>169</v>
      </c>
      <c r="B3538" s="1" t="s">
        <v>170</v>
      </c>
      <c r="C3538" s="1" t="s">
        <v>69</v>
      </c>
      <c r="D3538" s="1" t="s">
        <v>81</v>
      </c>
      <c r="E3538" s="1" t="s">
        <v>3861</v>
      </c>
      <c r="F3538" s="1" t="s">
        <v>6362</v>
      </c>
      <c r="G3538" s="1" t="s">
        <v>36</v>
      </c>
      <c r="H3538" s="1" t="s">
        <v>29</v>
      </c>
      <c r="I3538" s="1" t="str">
        <f ca="1">IFERROR(__xludf.DUMMYFUNCTION("GOOGLETRANSLATE(F3538, ""auto"", ""en"")
"),"Lightweight, comfortable headphones, great sound. I use it when traveling on public transport. The safety rubber band protects the wire during jerks that are inevitable in a crowd. The service life for me with daily use is a year and a half, then the wire"&amp;"s still break off - on the plug or on the headphones themselves. Then I buy the same model again, because... I haven’t found anything more convenient for myself yet.  The only drawback is that the reflective coating of the arc wears out. But this does not"&amp;" affect the acoustic characteristics))")</f>
        <v>Lightweight, comfortable headphones, great sound. I use it when traveling on public transport. The safety rubber band protects the wire during jerks that are inevitable in a crowd. The service life for me with daily use is a year and a half, then the wires still break off - on the plug or on the headphones themselves. Then I buy the same model again, because... I haven’t found anything more convenient for myself yet.  The only drawback is that the reflective coating of the arc wears out. But this does not affect the acoustic characteristics))</v>
      </c>
    </row>
    <row r="3539" spans="1:9" x14ac:dyDescent="0.3">
      <c r="A3539" s="1" t="s">
        <v>113</v>
      </c>
      <c r="B3539" s="1" t="s">
        <v>1251</v>
      </c>
      <c r="C3539" s="1" t="s">
        <v>122</v>
      </c>
      <c r="D3539" s="1" t="s">
        <v>86</v>
      </c>
      <c r="E3539" s="1" t="s">
        <v>6363</v>
      </c>
      <c r="F3539" s="1" t="s">
        <v>6364</v>
      </c>
      <c r="G3539" s="1" t="s">
        <v>36</v>
      </c>
      <c r="H3539" s="1" t="s">
        <v>29</v>
      </c>
      <c r="I3539" s="1" t="str">
        <f ca="1">IFERROR(__xludf.DUMMYFUNCTION("GOOGLETRANSLATE(F3539, ""auto"", ""en"")
"),"I’ve been using it for a year now, the camera has no problems or extra bells and whistles. The lens is especially impressive, the photos are not inferior to simple DSLRs. German optics are class! I don’t repent that I bought it, it’s simple, high quality "&amp;"and doesn’t put a strain on my pocket (I’m talking about the price).")</f>
        <v>I’ve been using it for a year now, the camera has no problems or extra bells and whistles. The lens is especially impressive, the photos are not inferior to simple DSLRs. German optics are class! I don’t repent that I bought it, it’s simple, high quality and doesn’t put a strain on my pocket (I’m talking about the price).</v>
      </c>
    </row>
    <row r="3540" spans="1:9" x14ac:dyDescent="0.3">
      <c r="A3540" s="1" t="s">
        <v>120</v>
      </c>
      <c r="B3540" s="1" t="s">
        <v>1205</v>
      </c>
      <c r="C3540" s="1" t="s">
        <v>1430</v>
      </c>
      <c r="D3540" s="1" t="s">
        <v>6365</v>
      </c>
      <c r="E3540" s="1" t="s">
        <v>6366</v>
      </c>
      <c r="F3540" s="1" t="s">
        <v>6367</v>
      </c>
      <c r="G3540" s="1" t="s">
        <v>28</v>
      </c>
      <c r="H3540" s="1" t="s">
        <v>29</v>
      </c>
      <c r="I3540" s="1" t="str">
        <f ca="1">IFERROR(__xludf.DUMMYFUNCTION("GOOGLETRANSLATE(F3540, ""auto"", ""en"")
"),"I have been using this kit for 1.5 years. There is no negative feedback either to the receiver or to the operator (NTV+). However, the prices for the channels are too high! I’m generally silent about HD channels! P.S. NTV+ has lost (and is losing) a lot o"&amp;"f customers because of its prices.")</f>
        <v>I have been using this kit for 1.5 years. There is no negative feedback either to the receiver or to the operator (NTV+). However, the prices for the channels are too high! I’m generally silent about HD channels! P.S. NTV+ has lost (and is losing) a lot of customers because of its prices.</v>
      </c>
    </row>
    <row r="3541" spans="1:9" x14ac:dyDescent="0.3">
      <c r="A3541" s="1" t="s">
        <v>477</v>
      </c>
      <c r="B3541" s="1" t="s">
        <v>478</v>
      </c>
      <c r="C3541" s="1" t="s">
        <v>479</v>
      </c>
      <c r="D3541" s="1" t="s">
        <v>203</v>
      </c>
      <c r="E3541" s="1" t="s">
        <v>2874</v>
      </c>
      <c r="F3541" s="1" t="s">
        <v>6368</v>
      </c>
      <c r="G3541" s="1" t="s">
        <v>36</v>
      </c>
      <c r="H3541" s="1" t="s">
        <v>29</v>
      </c>
      <c r="I3541" s="1" t="str">
        <f ca="1">IFERROR(__xludf.DUMMYFUNCTION("GOOGLETRANSLATE(F3541, ""auto"", ""en"")
"),"I've been waiting so long for it to appear, can I really play Master League online, thanks m.video!")</f>
        <v>I've been waiting so long for it to appear, can I really play Master League online, thanks m.video!</v>
      </c>
    </row>
    <row r="3542" spans="1:9" x14ac:dyDescent="0.3">
      <c r="A3542" s="1" t="s">
        <v>61</v>
      </c>
      <c r="B3542" s="1" t="s">
        <v>318</v>
      </c>
      <c r="C3542" s="1" t="s">
        <v>63</v>
      </c>
      <c r="D3542" s="1" t="s">
        <v>6369</v>
      </c>
      <c r="E3542" s="1" t="s">
        <v>3225</v>
      </c>
      <c r="F3542" s="1" t="s">
        <v>6370</v>
      </c>
      <c r="G3542" s="1" t="s">
        <v>15</v>
      </c>
      <c r="H3542" s="1" t="s">
        <v>16</v>
      </c>
      <c r="I3542" s="1" t="str">
        <f ca="1">IFERROR(__xludf.DUMMYFUNCTION("GOOGLETRANSLATE(F3542, ""auto"", ""en"")
"),"I advise you not to take it.  After 6-8 months it begins to leak. Life-threatening.  Do not take glued teapots.")</f>
        <v>I advise you not to take it.  After 6-8 months it begins to leak. Life-threatening.  Do not take glued teapots.</v>
      </c>
    </row>
    <row r="3543" spans="1:9" x14ac:dyDescent="0.3">
      <c r="A3543" s="1" t="s">
        <v>37</v>
      </c>
      <c r="B3543" s="1" t="s">
        <v>536</v>
      </c>
      <c r="C3543" s="1" t="s">
        <v>163</v>
      </c>
      <c r="D3543" s="1" t="s">
        <v>1581</v>
      </c>
      <c r="E3543" s="1" t="s">
        <v>2735</v>
      </c>
      <c r="F3543" s="1" t="s">
        <v>6371</v>
      </c>
      <c r="G3543" s="1" t="s">
        <v>36</v>
      </c>
      <c r="H3543" s="1" t="s">
        <v>29</v>
      </c>
      <c r="I3543" s="1" t="str">
        <f ca="1">IFERROR(__xludf.DUMMYFUNCTION("GOOGLETRANSLATE(F3543, ""auto"", ""en"")
"),"Cool to use")</f>
        <v>Cool to use</v>
      </c>
    </row>
    <row r="3544" spans="1:9" x14ac:dyDescent="0.3">
      <c r="A3544" s="1" t="s">
        <v>120</v>
      </c>
      <c r="B3544" s="1" t="s">
        <v>126</v>
      </c>
      <c r="C3544" s="1" t="s">
        <v>151</v>
      </c>
      <c r="D3544" s="1" t="s">
        <v>6372</v>
      </c>
      <c r="E3544" s="1" t="s">
        <v>500</v>
      </c>
      <c r="F3544" s="1" t="s">
        <v>6373</v>
      </c>
      <c r="G3544" s="1" t="s">
        <v>36</v>
      </c>
      <c r="H3544" s="1" t="s">
        <v>29</v>
      </c>
      <c r="I3544" s="1" t="str">
        <f ca="1">IFERROR(__xludf.DUMMYFUNCTION("GOOGLETRANSLATE(F3544, ""auto"", ""en"")
"),"TV for six months, I couldn’t be happier. PS3 gives a great picture both online and when watching movies. And I'm terribly picky.")</f>
        <v>TV for six months, I couldn’t be happier. PS3 gives a great picture both online and when watching movies. And I'm terribly picky.</v>
      </c>
    </row>
    <row r="3545" spans="1:9" x14ac:dyDescent="0.3">
      <c r="A3545" s="1" t="s">
        <v>43</v>
      </c>
      <c r="B3545" s="1" t="s">
        <v>1382</v>
      </c>
      <c r="C3545" s="1" t="s">
        <v>57</v>
      </c>
      <c r="D3545" s="1" t="s">
        <v>4773</v>
      </c>
      <c r="E3545" s="1" t="s">
        <v>5625</v>
      </c>
      <c r="F3545" s="1" t="s">
        <v>6374</v>
      </c>
      <c r="G3545" s="1" t="s">
        <v>49</v>
      </c>
      <c r="H3545" s="1" t="s">
        <v>16</v>
      </c>
      <c r="I3545" s="1" t="str">
        <f ca="1">IFERROR(__xludf.DUMMYFUNCTION("GOOGLETRANSLATE(F3545, ""auto"", ""en"")
"),"I bought a fan plane that summer.  Not only is it impossible to sleep under it, but the poor fellow is shaking all over while spinning. I would not recommend it for an apartment or a warehouse for work.  I bought myself a Bork for this summer, they recomm"&amp;"ended Mvideo in the store and I felt the difference.  I didn't really recommend it. Choose carefully.")</f>
        <v>I bought a fan plane that summer.  Not only is it impossible to sleep under it, but the poor fellow is shaking all over while spinning. I would not recommend it for an apartment or a warehouse for work.  I bought myself a Bork for this summer, they recommended Mvideo in the store and I felt the difference.  I didn't really recommend it. Choose carefully.</v>
      </c>
    </row>
    <row r="3546" spans="1:9" x14ac:dyDescent="0.3">
      <c r="A3546" s="1" t="s">
        <v>120</v>
      </c>
      <c r="B3546" s="1" t="s">
        <v>256</v>
      </c>
      <c r="C3546" s="1" t="s">
        <v>69</v>
      </c>
      <c r="D3546" s="1" t="s">
        <v>305</v>
      </c>
      <c r="E3546" s="1" t="s">
        <v>1457</v>
      </c>
      <c r="F3546" s="1" t="s">
        <v>6375</v>
      </c>
      <c r="G3546" s="1" t="s">
        <v>28</v>
      </c>
      <c r="H3546" s="1" t="s">
        <v>29</v>
      </c>
      <c r="I3546" s="1" t="str">
        <f ca="1">IFERROR(__xludf.DUMMYFUNCTION("GOOGLETRANSLATE(F3546, ""auto"", ""en"")
"),"I bought it for 14990, I noticed that the image is a little unclear compared to all neighboring TVs, maybe this is due to the DVB-T support function?? On low-frequency video inputs the image is normal. Overall satisfied")</f>
        <v>I bought it for 14990, I noticed that the image is a little unclear compared to all neighboring TVs, maybe this is due to the DVB-T support function?? On low-frequency video inputs the image is normal. Overall satisfied</v>
      </c>
    </row>
    <row r="3547" spans="1:9" x14ac:dyDescent="0.3">
      <c r="A3547" s="1" t="s">
        <v>211</v>
      </c>
      <c r="B3547" s="1" t="s">
        <v>899</v>
      </c>
      <c r="C3547" s="1" t="s">
        <v>213</v>
      </c>
      <c r="D3547" s="1" t="s">
        <v>1890</v>
      </c>
      <c r="E3547" s="1" t="s">
        <v>1553</v>
      </c>
      <c r="F3547" s="1" t="s">
        <v>6376</v>
      </c>
      <c r="G3547" s="1" t="s">
        <v>36</v>
      </c>
      <c r="H3547" s="1" t="s">
        <v>29</v>
      </c>
      <c r="I3547" s="1" t="str">
        <f ca="1">IFERROR(__xludf.DUMMYFUNCTION("GOOGLETRANSLATE(F3547, ""auto"", ""en"")
"),"I really like this toothbrush! Easy to use and even with a timer! Not loud and not harsh! Without charging it can work for quite a long time, more than a week!")</f>
        <v>I really like this toothbrush! Easy to use and even with a timer! Not loud and not harsh! Without charging it can work for quite a long time, more than a week!</v>
      </c>
    </row>
    <row r="3548" spans="1:9" x14ac:dyDescent="0.3">
      <c r="A3548" s="1" t="s">
        <v>17</v>
      </c>
      <c r="B3548" s="1" t="s">
        <v>18</v>
      </c>
      <c r="C3548" s="1" t="s">
        <v>243</v>
      </c>
      <c r="D3548" s="1" t="s">
        <v>308</v>
      </c>
      <c r="E3548" s="1" t="s">
        <v>517</v>
      </c>
      <c r="F3548" s="1" t="s">
        <v>6377</v>
      </c>
      <c r="G3548" s="1" t="s">
        <v>36</v>
      </c>
      <c r="H3548" s="1" t="s">
        <v>29</v>
      </c>
      <c r="I3548" s="1" t="str">
        <f ca="1">IFERROR(__xludf.DUMMYFUNCTION("GOOGLETRANSLATE(F3548, ""auto"", ""en"")
"),"takes up little space, all programs, especially short ones (this was important for me), are the same in time. The control panel is clear and easy to use. The price-quality ratio is good.")</f>
        <v>takes up little space, all programs, especially short ones (this was important for me), are the same in time. The control panel is clear and easy to use. The price-quality ratio is good.</v>
      </c>
    </row>
    <row r="3549" spans="1:9" x14ac:dyDescent="0.3">
      <c r="A3549" s="1" t="s">
        <v>211</v>
      </c>
      <c r="B3549" s="1" t="s">
        <v>212</v>
      </c>
      <c r="C3549" s="1" t="s">
        <v>63</v>
      </c>
      <c r="D3549" s="1" t="s">
        <v>592</v>
      </c>
      <c r="E3549" s="1" t="s">
        <v>6378</v>
      </c>
      <c r="F3549" s="1" t="s">
        <v>6379</v>
      </c>
      <c r="G3549" s="1" t="s">
        <v>49</v>
      </c>
      <c r="H3549" s="1" t="s">
        <v>16</v>
      </c>
      <c r="I3549" s="1" t="str">
        <f ca="1">IFERROR(__xludf.DUMMYFUNCTION("GOOGLETRANSLATE(F3549, ""auto"", ""en"")
"),"I do not recommend it to anyone!!!  I give it 1 because there is no rating 0 (zero).  It served for 11 months and began to smoke (the switch broke), they took it to the service center for exchange because... This one was beyond repair.  The new one lasted"&amp;" exactly a year and the same story, only the warranty had expired.  I won’t buy BOSCH again, once was an accident, but twice is already a system, and I see not only I have such problems, but in terms of functions it was a 3 minus, it straightened very poo"&amp;"rly, I had to set the temperature to maximum, I wish everyone a better choice")</f>
        <v>I do not recommend it to anyone!!!  I give it 1 because there is no rating 0 (zero).  It served for 11 months and began to smoke (the switch broke), they took it to the service center for exchange because... This one was beyond repair.  The new one lasted exactly a year and the same story, only the warranty had expired.  I won’t buy BOSCH again, once was an accident, but twice is already a system, and I see not only I have such problems, but in terms of functions it was a 3 minus, it straightened very poorly, I had to set the temperature to maximum, I wish everyone a better choice</v>
      </c>
    </row>
    <row r="3550" spans="1:9" x14ac:dyDescent="0.3">
      <c r="A3550" s="1" t="s">
        <v>120</v>
      </c>
      <c r="B3550" s="1" t="s">
        <v>126</v>
      </c>
      <c r="C3550" s="1" t="s">
        <v>122</v>
      </c>
      <c r="D3550" s="1" t="s">
        <v>52</v>
      </c>
      <c r="E3550" s="1" t="s">
        <v>1228</v>
      </c>
      <c r="F3550" s="1" t="s">
        <v>6380</v>
      </c>
      <c r="G3550" s="1" t="s">
        <v>36</v>
      </c>
      <c r="H3550" s="1" t="s">
        <v>29</v>
      </c>
      <c r="I3550" s="1" t="str">
        <f ca="1">IFERROR(__xludf.DUMMYFUNCTION("GOOGLETRANSLATE(F3550, ""auto"", ""en"")
"),"energy consumption is many times higher??????????  don’t make my ears laugh, maximum twice, and it’s dynamic, unlike LCD;   the image is blurry???, also nonsense, full HD shows it very clearly, if of course the picture is initially good, there is no need "&amp;"to confuse people.  Yes, LCD technologies are more promising, but they still have room to grow (grayness, colors, angles, etc.), and plasma is already a polished technology. the only disadvantage of plasma is energy consumption, but not much more.  Just p"&amp;"ut the LCD and plasma next to each other and watch a different picture (broadcast, dynamic cinema, static) and make a choice.")</f>
        <v>energy consumption is many times higher??????????  don’t make my ears laugh, maximum twice, and it’s dynamic, unlike LCD;   the image is blurry???, also nonsense, full HD shows it very clearly, if of course the picture is initially good, there is no need to confuse people.  Yes, LCD technologies are more promising, but they still have room to grow (grayness, colors, angles, etc.), and plasma is already a polished technology. the only disadvantage of plasma is energy consumption, but not much more.  Just put the LCD and plasma next to each other and watch a different picture (broadcast, dynamic cinema, static) and make a choice.</v>
      </c>
    </row>
    <row r="3551" spans="1:9" x14ac:dyDescent="0.3">
      <c r="A3551" s="1" t="s">
        <v>61</v>
      </c>
      <c r="B3551" s="1" t="s">
        <v>726</v>
      </c>
      <c r="C3551" s="1" t="s">
        <v>146</v>
      </c>
      <c r="D3551" s="1" t="s">
        <v>152</v>
      </c>
      <c r="E3551" s="1" t="s">
        <v>4552</v>
      </c>
      <c r="F3551" s="1" t="s">
        <v>6381</v>
      </c>
      <c r="G3551" s="1" t="s">
        <v>36</v>
      </c>
      <c r="H3551" s="1" t="s">
        <v>29</v>
      </c>
      <c r="I3551" s="1" t="str">
        <f ca="1">IFERROR(__xludf.DUMMYFUNCTION("GOOGLETRANSLATE(F3551, ""auto"", ""en"")
"),"It bakes bread wonderfully, the crust of the white bread has an appetizing crunch! The controls are quite easy (I was a little afraid when I bought it, so that it wouldn’t be hard for my mother to control it). There is a mode to bake bread faster. In gene"&amp;"ral, I really liked it. I recommend!!")</f>
        <v>It bakes bread wonderfully, the crust of the white bread has an appetizing crunch! The controls are quite easy (I was a little afraid when I bought it, so that it wouldn’t be hard for my mother to control it). There is a mode to bake bread faster. In general, I really liked it. I recommend!!</v>
      </c>
    </row>
    <row r="3552" spans="1:9" x14ac:dyDescent="0.3">
      <c r="A3552" s="1" t="s">
        <v>211</v>
      </c>
      <c r="B3552" s="1" t="s">
        <v>212</v>
      </c>
      <c r="C3552" s="1" t="s">
        <v>266</v>
      </c>
      <c r="D3552" s="1" t="s">
        <v>545</v>
      </c>
      <c r="E3552" s="1" t="s">
        <v>6382</v>
      </c>
      <c r="F3552" s="1" t="s">
        <v>6383</v>
      </c>
      <c r="G3552" s="1" t="s">
        <v>36</v>
      </c>
      <c r="H3552" s="1" t="s">
        <v>29</v>
      </c>
      <c r="I3552" s="1" t="str">
        <f ca="1">IFERROR(__xludf.DUMMYFUNCTION("GOOGLETRANSLATE(F3552, ""auto"", ""en"")
"),"I bought these curlers at a good discount. I liked it very much. Curls curled on them last for 2 days. They cannot be compared with ordinary hot rollers. They don’t leave creases in my hair. I use crabs when curling, but I couldn’t fix it with hairpins. T"&amp;"ake it, you won't regret it.")</f>
        <v>I bought these curlers at a good discount. I liked it very much. Curls curled on them last for 2 days. They cannot be compared with ordinary hot rollers. They don’t leave creases in my hair. I use crabs when curling, but I couldn’t fix it with hairpins. Take it, you won't regret it.</v>
      </c>
    </row>
    <row r="3553" spans="1:9" x14ac:dyDescent="0.3">
      <c r="A3553" s="1" t="s">
        <v>120</v>
      </c>
      <c r="B3553" s="1" t="s">
        <v>121</v>
      </c>
      <c r="C3553" s="1" t="s">
        <v>69</v>
      </c>
      <c r="D3553" s="1" t="s">
        <v>186</v>
      </c>
      <c r="E3553" s="1" t="s">
        <v>1063</v>
      </c>
      <c r="F3553" s="1" t="s">
        <v>6384</v>
      </c>
      <c r="G3553" s="1" t="s">
        <v>36</v>
      </c>
      <c r="H3553" s="1" t="s">
        <v>29</v>
      </c>
      <c r="I3553" s="1" t="str">
        <f ca="1">IFERROR(__xludf.DUMMYFUNCTION("GOOGLETRANSLATE(F3553, ""auto"", ""en"")
"),"For that kind of money, a normal TV reads everything from a flash drive! I didn’t notice that it was heating up, everything seems to be fine! The quality from the cable antenna is not very good, the movies from flash drives are excellent! Tomorrow I’ll co"&amp;"nnect the PS3, I think it will be great to show!")</f>
        <v>For that kind of money, a normal TV reads everything from a flash drive! I didn’t notice that it was heating up, everything seems to be fine! The quality from the cable antenna is not very good, the movies from flash drives are excellent! Tomorrow I’ll connect the PS3, I think it will be great to show!</v>
      </c>
    </row>
    <row r="3554" spans="1:9" x14ac:dyDescent="0.3">
      <c r="A3554" s="1" t="s">
        <v>105</v>
      </c>
      <c r="B3554" s="1" t="s">
        <v>106</v>
      </c>
      <c r="C3554" s="1" t="s">
        <v>1209</v>
      </c>
      <c r="D3554" s="1" t="s">
        <v>6081</v>
      </c>
      <c r="E3554" s="1" t="s">
        <v>2432</v>
      </c>
      <c r="F3554" s="1" t="s">
        <v>6385</v>
      </c>
      <c r="G3554" s="1" t="s">
        <v>49</v>
      </c>
      <c r="H3554" s="1" t="s">
        <v>16</v>
      </c>
      <c r="I3554" s="1" t="str">
        <f ca="1">IFERROR(__xludf.DUMMYFUNCTION("GOOGLETRANSLATE(F3554, ""auto"", ""en"")
"),"I bought this player. IMMEDIATELY after the purchase, I was very pleased with it (touch buttons that glow beautifully in red, beautiful compact packaging, good 2.8-inch screen, video, text, high-quality sound with playFX support, automatic picture rotatio"&amp;"n when changing the position of the player). After a week of work, the headphone jack began to act up (terrible distortion of sounds, 1 speaker not working), the design was already starting to get boring (and you can’t change the interface), the video nee"&amp;"ds to be converted, the touch buttons are glitchy, viewing the list of music in the player is terrible (well, it scrolls very slowly). In general, not worth taking. It’s better to buy a phone with the functions of a player, camera, viewing text, video, ph"&amp;"otos")</f>
        <v>I bought this player. IMMEDIATELY after the purchase, I was very pleased with it (touch buttons that glow beautifully in red, beautiful compact packaging, good 2.8-inch screen, video, text, high-quality sound with playFX support, automatic picture rotation when changing the position of the player). After a week of work, the headphone jack began to act up (terrible distortion of sounds, 1 speaker not working), the design was already starting to get boring (and you can’t change the interface), the video needs to be converted, the touch buttons are glitchy, viewing the list of music in the player is terrible (well, it scrolls very slowly). In general, not worth taking. It’s better to buy a phone with the functions of a player, camera, viewing text, video, photos</v>
      </c>
    </row>
    <row r="3555" spans="1:9" x14ac:dyDescent="0.3">
      <c r="A3555" s="1" t="s">
        <v>965</v>
      </c>
      <c r="B3555" s="1" t="s">
        <v>966</v>
      </c>
      <c r="C3555" s="1" t="s">
        <v>967</v>
      </c>
      <c r="D3555" s="1" t="s">
        <v>6386</v>
      </c>
      <c r="E3555" s="1" t="s">
        <v>1992</v>
      </c>
      <c r="F3555" s="1" t="s">
        <v>6387</v>
      </c>
      <c r="G3555" s="1" t="s">
        <v>36</v>
      </c>
      <c r="H3555" s="1" t="s">
        <v>29</v>
      </c>
      <c r="I3555" s="1" t="str">
        <f ca="1">IFERROR(__xludf.DUMMYFUNCTION("GOOGLETRANSLATE(F3555, ""auto"", ""en"")
"),"The speakers are very good, I recommend them to everyone!!!  price-quality!!!     Buy it, you won't regret it!!!")</f>
        <v>The speakers are very good, I recommend them to everyone!!!  price-quality!!!     Buy it, you won't regret it!!!</v>
      </c>
    </row>
    <row r="3556" spans="1:9" x14ac:dyDescent="0.3">
      <c r="A3556" s="1" t="s">
        <v>211</v>
      </c>
      <c r="B3556" s="1" t="s">
        <v>410</v>
      </c>
      <c r="C3556" s="1" t="s">
        <v>69</v>
      </c>
      <c r="D3556" s="1" t="s">
        <v>280</v>
      </c>
      <c r="E3556" s="1" t="s">
        <v>6388</v>
      </c>
      <c r="F3556" s="1" t="s">
        <v>6389</v>
      </c>
      <c r="G3556" s="1" t="s">
        <v>15</v>
      </c>
      <c r="H3556" s="1" t="s">
        <v>16</v>
      </c>
      <c r="I3556" s="1" t="str">
        <f ca="1">IFERROR(__xludf.DUMMYFUNCTION("GOOGLETRANSLATE(F3556, ""auto"", ""en"")
"),"Terrible shave. It doesn't even compare to easel shaving. He does not shave his neck or cheekbones at all.")</f>
        <v>Terrible shave. It doesn't even compare to easel shaving. He does not shave his neck or cheekbones at all.</v>
      </c>
    </row>
    <row r="3557" spans="1:9" x14ac:dyDescent="0.3">
      <c r="A3557" s="1" t="s">
        <v>211</v>
      </c>
      <c r="B3557" s="1" t="s">
        <v>265</v>
      </c>
      <c r="C3557" s="1" t="s">
        <v>69</v>
      </c>
      <c r="D3557" s="1" t="s">
        <v>52</v>
      </c>
      <c r="E3557" s="1" t="s">
        <v>1669</v>
      </c>
      <c r="F3557" s="1" t="s">
        <v>6390</v>
      </c>
      <c r="G3557" s="1" t="s">
        <v>36</v>
      </c>
      <c r="H3557" s="1" t="s">
        <v>29</v>
      </c>
      <c r="I3557" s="1" t="str">
        <f ca="1">IFERROR(__xludf.DUMMYFUNCTION("GOOGLETRANSLATE(F3557, ""auto"", ""en"")
"),"Comrades, tell me where to buy or order a comb attachment for the machine! The attachment broke, but the machine is great! I recommend it to everyone!!!")</f>
        <v>Comrades, tell me where to buy or order a comb attachment for the machine! The attachment broke, but the machine is great! I recommend it to everyone!!!</v>
      </c>
    </row>
    <row r="3558" spans="1:9" x14ac:dyDescent="0.3">
      <c r="A3558" s="1" t="s">
        <v>37</v>
      </c>
      <c r="B3558" s="1" t="s">
        <v>38</v>
      </c>
      <c r="C3558" s="1" t="s">
        <v>3332</v>
      </c>
      <c r="D3558" s="1" t="s">
        <v>280</v>
      </c>
      <c r="E3558" s="1" t="s">
        <v>2038</v>
      </c>
      <c r="F3558" s="1" t="s">
        <v>6391</v>
      </c>
      <c r="G3558" s="1" t="s">
        <v>49</v>
      </c>
      <c r="H3558" s="1" t="s">
        <v>16</v>
      </c>
      <c r="I3558" s="1" t="str">
        <f ca="1">IFERROR(__xludf.DUMMYFUNCTION("GOOGLETRANSLATE(F3558, ""auto"", ""en"")
"),"The phone is bad. It broke after a month. It turned off and won’t turn on.")</f>
        <v>The phone is bad. It broke after a month. It turned off and won’t turn on.</v>
      </c>
    </row>
    <row r="3559" spans="1:9" x14ac:dyDescent="0.3">
      <c r="A3559" s="1" t="s">
        <v>211</v>
      </c>
      <c r="B3559" s="1" t="s">
        <v>410</v>
      </c>
      <c r="C3559" s="1" t="s">
        <v>122</v>
      </c>
      <c r="D3559" s="1" t="s">
        <v>1152</v>
      </c>
      <c r="E3559" s="1" t="s">
        <v>2735</v>
      </c>
      <c r="F3559" s="1" t="s">
        <v>6392</v>
      </c>
      <c r="G3559" s="1" t="s">
        <v>36</v>
      </c>
      <c r="H3559" s="1" t="s">
        <v>29</v>
      </c>
      <c r="I3559" s="1" t="str">
        <f ca="1">IFERROR(__xludf.DUMMYFUNCTION("GOOGLETRANSLATE(F3559, ""auto"", ""en"")
"),"I've been using this type for over three years. Razors are expensive. But for hard stubble and sensitive skin, there is no other option. I tried everything. Either it doesn’t shave or it shave (Mach3), but the skin doesn’t hold. Wet shaving with Panasonic"&amp;" is the only method, at least for me, to be clean shaven without irritation.  But! I change the mesh and knives every 9-10 months. People who wear them do not shave. The bristles are hard.  For shaving, it is better to use foam rather than gel. The razor "&amp;"works worse with gel.")</f>
        <v>I've been using this type for over three years. Razors are expensive. But for hard stubble and sensitive skin, there is no other option. I tried everything. Either it doesn’t shave or it shave (Mach3), but the skin doesn’t hold. Wet shaving with Panasonic is the only method, at least for me, to be clean shaven without irritation.  But! I change the mesh and knives every 9-10 months. People who wear them do not shave. The bristles are hard.  For shaving, it is better to use foam rather than gel. The razor works worse with gel.</v>
      </c>
    </row>
    <row r="3560" spans="1:9" x14ac:dyDescent="0.3">
      <c r="A3560" s="1" t="s">
        <v>89</v>
      </c>
      <c r="B3560" s="1" t="s">
        <v>90</v>
      </c>
      <c r="C3560" s="1" t="s">
        <v>101</v>
      </c>
      <c r="D3560" s="1" t="s">
        <v>474</v>
      </c>
      <c r="E3560" s="1" t="s">
        <v>6393</v>
      </c>
      <c r="F3560" s="1" t="s">
        <v>6394</v>
      </c>
      <c r="G3560" s="1" t="s">
        <v>36</v>
      </c>
      <c r="H3560" s="1" t="s">
        <v>29</v>
      </c>
      <c r="I3560" s="1" t="str">
        <f ca="1">IFERROR(__xludf.DUMMYFUNCTION("GOOGLETRANSLATE(F3560, ""auto"", ""en"")
"),"I took it to grind cereal for my child. Everything is great! Very satisfied!!!")</f>
        <v>I took it to grind cereal for my child. Everything is great! Very satisfied!!!</v>
      </c>
    </row>
    <row r="3561" spans="1:9" x14ac:dyDescent="0.3">
      <c r="A3561" s="1" t="s">
        <v>61</v>
      </c>
      <c r="B3561" s="1" t="s">
        <v>318</v>
      </c>
      <c r="C3561" s="1" t="s">
        <v>122</v>
      </c>
      <c r="D3561" s="1" t="s">
        <v>565</v>
      </c>
      <c r="E3561" s="1" t="s">
        <v>3125</v>
      </c>
      <c r="F3561" s="1" t="s">
        <v>6395</v>
      </c>
      <c r="G3561" s="1" t="s">
        <v>36</v>
      </c>
      <c r="H3561" s="1" t="s">
        <v>29</v>
      </c>
      <c r="I3561" s="1" t="str">
        <f ca="1">IFERROR(__xludf.DUMMYFUNCTION("GOOGLETRANSLATE(F3561, ""auto"", ""en"")
"),"Very good thermopot. It maintains the water temperature perfectly, the timer is clear, and it saves electricity. The only tiny minus is that there is no on/off button; to fill and boil a new portion of water you need to: unplug the plug from the socket, a"&amp;"dd water and plug it back into the socket. Not very convenient, it would be better if it had an ON-OFF button.")</f>
        <v>Very good thermopot. It maintains the water temperature perfectly, the timer is clear, and it saves electricity. The only tiny minus is that there is no on/off button; to fill and boil a new portion of water you need to: unplug the plug from the socket, add water and plug it back into the socket. Not very convenient, it would be better if it had an ON-OFF button.</v>
      </c>
    </row>
    <row r="3562" spans="1:9" x14ac:dyDescent="0.3">
      <c r="A3562" s="1" t="s">
        <v>169</v>
      </c>
      <c r="B3562" s="1" t="s">
        <v>170</v>
      </c>
      <c r="C3562" s="1" t="s">
        <v>97</v>
      </c>
      <c r="D3562" s="1" t="s">
        <v>152</v>
      </c>
      <c r="E3562" s="1" t="s">
        <v>1432</v>
      </c>
      <c r="F3562" s="1" t="s">
        <v>6396</v>
      </c>
      <c r="G3562" s="1" t="s">
        <v>28</v>
      </c>
      <c r="H3562" s="1" t="s">
        <v>29</v>
      </c>
      <c r="I3562" s="1" t="str">
        <f ca="1">IFERROR(__xludf.DUMMYFUNCTION("GOOGLETRANSLATE(F3562, ""auto"", ""en"")
"),"bought it yesterday.  So far they are working well, but only from the line input, when connected to the headphone output there is strong noise!!!!  but otherwise everything is fine....")</f>
        <v>bought it yesterday.  So far they are working well, but only from the line input, when connected to the headphone output there is strong noise!!!!  but otherwise everything is fine....</v>
      </c>
    </row>
    <row r="3563" spans="1:9" x14ac:dyDescent="0.3">
      <c r="A3563" s="1" t="s">
        <v>211</v>
      </c>
      <c r="B3563" s="1" t="s">
        <v>789</v>
      </c>
      <c r="C3563" s="1" t="s">
        <v>69</v>
      </c>
      <c r="D3563" s="1" t="s">
        <v>152</v>
      </c>
      <c r="E3563" s="1" t="s">
        <v>2231</v>
      </c>
      <c r="F3563" s="1" t="s">
        <v>6397</v>
      </c>
      <c r="G3563" s="1" t="s">
        <v>49</v>
      </c>
      <c r="H3563" s="1" t="s">
        <v>16</v>
      </c>
      <c r="I3563" s="1" t="str">
        <f ca="1">IFERROR(__xludf.DUMMYFUNCTION("GOOGLETRANSLATE(F3563, ""auto"", ""en"")
"),"People, don’t buy this so-called “nanny”, the first copy bought from mvideo did not work initially, the second one worked for exactly a month. The connection is constantly lost, and the parent unit does not signal this in any way (although it should). As "&amp;"a result, the child is in tears, and the nanny is silent. The radiation level 50 cm from the transmitter is ~ 70 mW/cm2, which is 7 times more than the norm.")</f>
        <v>People, don’t buy this so-called “nanny”, the first copy bought from mvideo did not work initially, the second one worked for exactly a month. The connection is constantly lost, and the parent unit does not signal this in any way (although it should). As a result, the child is in tears, and the nanny is silent. The radiation level 50 cm from the transmitter is ~ 70 mW/cm2, which is 7 times more than the norm.</v>
      </c>
    </row>
    <row r="3564" spans="1:9" x14ac:dyDescent="0.3">
      <c r="A3564" s="1" t="s">
        <v>43</v>
      </c>
      <c r="B3564" s="1" t="s">
        <v>44</v>
      </c>
      <c r="C3564" s="1" t="s">
        <v>101</v>
      </c>
      <c r="D3564" s="1" t="s">
        <v>280</v>
      </c>
      <c r="E3564" s="1" t="s">
        <v>6398</v>
      </c>
      <c r="F3564" s="1" t="s">
        <v>6399</v>
      </c>
      <c r="G3564" s="1" t="s">
        <v>36</v>
      </c>
      <c r="H3564" s="1" t="s">
        <v>29</v>
      </c>
      <c r="I3564" s="1" t="str">
        <f ca="1">IFERROR(__xludf.DUMMYFUNCTION("GOOGLETRANSLATE(F3564, ""auto"", ""en"")
"),"Bought 06/11/2016, only in white. Easy to assemble. I use it at minimum speed, the noise is only from the air (the sound of the motor is not audible).  The air is rushing with a bang. On the first day I worked continuously for 20 hours; to my surprise, th"&amp;"e housing under the engine was absolutely cold. There is a slight vibration (almost unnoticeable). The fan design itself is stable no worse and no better than a similar fan of the same type.  Happy with the purchase! I hope it works for a long time!")</f>
        <v>Bought 06/11/2016, only in white. Easy to assemble. I use it at minimum speed, the noise is only from the air (the sound of the motor is not audible).  The air is rushing with a bang. On the first day I worked continuously for 20 hours; to my surprise, the housing under the engine was absolutely cold. There is a slight vibration (almost unnoticeable). The fan design itself is stable no worse and no better than a similar fan of the same type.  Happy with the purchase! I hope it works for a long time!</v>
      </c>
    </row>
    <row r="3565" spans="1:9" x14ac:dyDescent="0.3">
      <c r="A3565" s="1" t="s">
        <v>211</v>
      </c>
      <c r="B3565" s="1" t="s">
        <v>212</v>
      </c>
      <c r="C3565" s="1" t="s">
        <v>453</v>
      </c>
      <c r="D3565" s="1" t="s">
        <v>2633</v>
      </c>
      <c r="E3565" s="1" t="s">
        <v>6400</v>
      </c>
      <c r="F3565" s="1" t="s">
        <v>6401</v>
      </c>
      <c r="G3565" s="1" t="s">
        <v>28</v>
      </c>
      <c r="H3565" s="1" t="s">
        <v>29</v>
      </c>
      <c r="I3565" s="1" t="str">
        <f ca="1">IFERROR(__xludf.DUMMYFUNCTION("GOOGLETRANSLATE(F3565, ""auto"", ""en"")
"),"I bought it on 04/27/14, the quality is normal, it straightens well, I’m happy! In the end, everything is great!")</f>
        <v>I bought it on 04/27/14, the quality is normal, it straightens well, I’m happy! In the end, everything is great!</v>
      </c>
    </row>
    <row r="3566" spans="1:9" x14ac:dyDescent="0.3">
      <c r="A3566" s="1" t="s">
        <v>211</v>
      </c>
      <c r="B3566" s="1" t="s">
        <v>265</v>
      </c>
      <c r="C3566" s="1" t="s">
        <v>294</v>
      </c>
      <c r="D3566" s="1" t="s">
        <v>152</v>
      </c>
      <c r="E3566" s="1" t="s">
        <v>2584</v>
      </c>
      <c r="F3566" s="1" t="s">
        <v>6402</v>
      </c>
      <c r="G3566" s="1" t="s">
        <v>36</v>
      </c>
      <c r="H3566" s="1" t="s">
        <v>29</v>
      </c>
      <c r="I3566" s="1" t="str">
        <f ca="1">IFERROR(__xludf.DUMMYFUNCTION("GOOGLETRANSLATE(F3566, ""auto"", ""en"")
"),"Quality for the price, battery operation, quality haircut")</f>
        <v>Quality for the price, battery operation, quality haircut</v>
      </c>
    </row>
    <row r="3567" spans="1:9" x14ac:dyDescent="0.3">
      <c r="A3567" s="1" t="s">
        <v>61</v>
      </c>
      <c r="B3567" s="1" t="s">
        <v>977</v>
      </c>
      <c r="C3567" s="1" t="s">
        <v>85</v>
      </c>
      <c r="D3567" s="1" t="s">
        <v>152</v>
      </c>
      <c r="E3567" s="1" t="s">
        <v>4881</v>
      </c>
      <c r="F3567" s="1" t="s">
        <v>6403</v>
      </c>
      <c r="G3567" s="1" t="s">
        <v>36</v>
      </c>
      <c r="H3567" s="1" t="s">
        <v>29</v>
      </c>
      <c r="I3567" s="1" t="str">
        <f ca="1">IFERROR(__xludf.DUMMYFUNCTION("GOOGLETRANSLATE(F3567, ""auto"", ""en"")
"),"I bought it about a year ago, great item! Grinds everything! I make cocktails all the time, it copes with ice without any problems, my child can puree any product (including meat) with a bang, and it’s light and takes up little space. Easy to wash! Overal"&amp;"l happy with the purchase!")</f>
        <v>I bought it about a year ago, great item! Grinds everything! I make cocktails all the time, it copes with ice without any problems, my child can puree any product (including meat) with a bang, and it’s light and takes up little space. Easy to wash! Overall happy with the purchase!</v>
      </c>
    </row>
    <row r="3568" spans="1:9" x14ac:dyDescent="0.3">
      <c r="A3568" s="1" t="s">
        <v>149</v>
      </c>
      <c r="B3568" s="1" t="s">
        <v>423</v>
      </c>
      <c r="C3568" s="1" t="s">
        <v>424</v>
      </c>
      <c r="D3568" s="1" t="s">
        <v>335</v>
      </c>
      <c r="E3568" s="1" t="s">
        <v>6404</v>
      </c>
      <c r="F3568" s="1" t="s">
        <v>6405</v>
      </c>
      <c r="G3568" s="1" t="s">
        <v>15</v>
      </c>
      <c r="H3568" s="1" t="s">
        <v>16</v>
      </c>
      <c r="I3568" s="1" t="str">
        <f ca="1">IFERROR(__xludf.DUMMYFUNCTION("GOOGLETRANSLATE(F3568, ""auto"", ""en"")
"),"We bought this vacuum cleaner about three years ago, I began to hate cleaning, after six months of using this vacuum cleaner, as soon as the warranty expired, it stopped sucking water, it was repaired. I don’t comment on dry cleaning, like all conventiona"&amp;"l vacuum cleaners. And when wet cleaning, a lot of water actually remains on wooden floors; it can actually fall on its side, because... There is no maneuverability at all, each of the five wheels apparently pulls in its own direction, even its own wire c"&amp;"annot move, the nozzles were also leaking, like previous users, the nozzles are constantly flying off the pipe (and this is after 3 years, either the plastic on the nozzle has spread out in diameter, or the pipe itself has somehow worn down) you have to w"&amp;"rap a sheet of paper around the pipe and then insert the nozzle, so it is fixed more tightly; and the pipe itself always flies out of the hose (at the junction of the hose with the pipe, all the plastic has begun to crumble), if you pull a little harder, "&amp;"the hose flies out of its attachment to the body, and basically the whole thing falls apart. Washing it is also a dubious pleasure; I also wash the bathroom after this procedure. I was ready to put up with the ugly design in favor of technical qualities, "&amp;"but it did not live up to my expectations in any way. I vacuum frequently (almost every day) the apartment is huge, maybe this is all due to the frequency of use? Summary - you have a lot of free time and you have nerves of steel - take it.")</f>
        <v>We bought this vacuum cleaner about three years ago, I began to hate cleaning, after six months of using this vacuum cleaner, as soon as the warranty expired, it stopped sucking water, it was repaired. I don’t comment on dry cleaning, like all conventional vacuum cleaners. And when wet cleaning, a lot of water actually remains on wooden floors; it can actually fall on its side, because... There is no maneuverability at all, each of the five wheels apparently pulls in its own direction, even its own wire cannot move, the nozzles were also leaking, like previous users, the nozzles are constantly flying off the pipe (and this is after 3 years, either the plastic on the nozzle has spread out in diameter, or the pipe itself has somehow worn down) you have to wrap a sheet of paper around the pipe and then insert the nozzle, so it is fixed more tightly; and the pipe itself always flies out of the hose (at the junction of the hose with the pipe, all the plastic has begun to crumble), if you pull a little harder, the hose flies out of its attachment to the body, and basically the whole thing falls apart. Washing it is also a dubious pleasure; I also wash the bathroom after this procedure. I was ready to put up with the ugly design in favor of technical qualities, but it did not live up to my expectations in any way. I vacuum frequently (almost every day) the apartment is huge, maybe this is all due to the frequency of use? Summary - you have a lot of free time and you have nerves of steel - take it.</v>
      </c>
    </row>
    <row r="3569" spans="1:9" x14ac:dyDescent="0.3">
      <c r="A3569" s="1" t="s">
        <v>169</v>
      </c>
      <c r="B3569" s="1" t="s">
        <v>170</v>
      </c>
      <c r="C3569" s="1" t="s">
        <v>69</v>
      </c>
      <c r="D3569" s="1" t="s">
        <v>940</v>
      </c>
      <c r="E3569" s="1" t="s">
        <v>6406</v>
      </c>
      <c r="F3569" s="1" t="s">
        <v>6407</v>
      </c>
      <c r="G3569" s="1" t="s">
        <v>36</v>
      </c>
      <c r="H3569" s="1" t="s">
        <v>29</v>
      </c>
      <c r="I3569" s="1" t="str">
        <f ca="1">IFERROR(__xludf.DUMMYFUNCTION("GOOGLETRANSLATE(F3569, ""auto"", ""en"")
"),"Headphones SUPER!!! I’ve been using it for over a year now, almost every day for six hours and no complaints. I recommend it to everyone. Excellent ears for this price.")</f>
        <v>Headphones SUPER!!! I’ve been using it for over a year now, almost every day for six hours and no complaints. I recommend it to everyone. Excellent ears for this price.</v>
      </c>
    </row>
    <row r="3570" spans="1:9" x14ac:dyDescent="0.3">
      <c r="A3570" s="1" t="s">
        <v>624</v>
      </c>
      <c r="B3570" s="1" t="s">
        <v>625</v>
      </c>
      <c r="C3570" s="1" t="s">
        <v>479</v>
      </c>
      <c r="D3570" s="1" t="s">
        <v>6408</v>
      </c>
      <c r="E3570" s="1" t="s">
        <v>606</v>
      </c>
      <c r="F3570" s="1" t="s">
        <v>6409</v>
      </c>
      <c r="G3570" s="1" t="s">
        <v>36</v>
      </c>
      <c r="H3570" s="1" t="s">
        <v>29</v>
      </c>
      <c r="I3570" s="1" t="str">
        <f ca="1">IFERROR(__xludf.DUMMYFUNCTION("GOOGLETRANSLATE(F3570, ""auto"", ""en"")
"),"This is a game for which you will not wish for a single ruble or a minute spent =)))")</f>
        <v>This is a game for which you will not wish for a single ruble or a minute spent =)))</v>
      </c>
    </row>
    <row r="3571" spans="1:9" x14ac:dyDescent="0.3">
      <c r="A3571" s="1" t="s">
        <v>61</v>
      </c>
      <c r="B3571" s="1" t="s">
        <v>318</v>
      </c>
      <c r="C3571" s="1" t="s">
        <v>4871</v>
      </c>
      <c r="D3571" s="1" t="s">
        <v>6410</v>
      </c>
      <c r="E3571" s="1" t="s">
        <v>2514</v>
      </c>
      <c r="F3571" s="1" t="s">
        <v>6411</v>
      </c>
      <c r="G3571" s="1" t="s">
        <v>36</v>
      </c>
      <c r="H3571" s="1" t="s">
        <v>29</v>
      </c>
      <c r="I3571" s="1" t="str">
        <f ca="1">IFERROR(__xludf.DUMMYFUNCTION("GOOGLETRANSLATE(F3571, ""auto"", ""en"")
"),"My friends have the same thermopot. I envy and save money. I'll definitely buy it.")</f>
        <v>My friends have the same thermopot. I envy and save money. I'll definitely buy it.</v>
      </c>
    </row>
    <row r="3572" spans="1:9" x14ac:dyDescent="0.3">
      <c r="A3572" s="1" t="s">
        <v>55</v>
      </c>
      <c r="B3572" s="1" t="s">
        <v>6412</v>
      </c>
      <c r="C3572" s="1" t="s">
        <v>57</v>
      </c>
      <c r="D3572" s="1" t="s">
        <v>474</v>
      </c>
      <c r="E3572" s="1" t="s">
        <v>1454</v>
      </c>
      <c r="F3572" s="1" t="s">
        <v>6413</v>
      </c>
      <c r="G3572" s="1" t="s">
        <v>28</v>
      </c>
      <c r="H3572" s="1" t="s">
        <v>29</v>
      </c>
      <c r="I3572" s="1" t="str">
        <f ca="1">IFERROR(__xludf.DUMMYFUNCTION("GOOGLETRANSLATE(F3572, ""auto"", ""en"")
"),"The biggest disadvantage of the product is that it was delivered WITHOUT the required screws that secure the legs. Moreover, there is a bag of these spare parts! And “tyutyu” screws. Unfortunately, we paid attention to this only after the courier left and"&amp;" we got around to collecting the convector.    Check the package.    When I first turned it on it stank a lot, maybe there was dust or something like that. Now they seem to be getting better or sniffing around. :) My husband is dissatisfied with the purch"&amp;"ase, but I am not disappointed, because I did not expect anything supernatural.")</f>
        <v>The biggest disadvantage of the product is that it was delivered WITHOUT the required screws that secure the legs. Moreover, there is a bag of these spare parts! And “tyutyu” screws. Unfortunately, we paid attention to this only after the courier left and we got around to collecting the convector.    Check the package.    When I first turned it on it stank a lot, maybe there was dust or something like that. Now they seem to be getting better or sniffing around. :) My husband is dissatisfied with the purchase, but I am not disappointed, because I did not expect anything supernatural.</v>
      </c>
    </row>
    <row r="3573" spans="1:9" x14ac:dyDescent="0.3">
      <c r="A3573" s="1" t="s">
        <v>78</v>
      </c>
      <c r="B3573" s="1" t="s">
        <v>1163</v>
      </c>
      <c r="C3573" s="1" t="s">
        <v>122</v>
      </c>
      <c r="D3573" s="1" t="s">
        <v>39</v>
      </c>
      <c r="E3573" s="1" t="s">
        <v>1167</v>
      </c>
      <c r="F3573" s="1" t="s">
        <v>6414</v>
      </c>
      <c r="G3573" s="1" t="s">
        <v>28</v>
      </c>
      <c r="H3573" s="1" t="s">
        <v>29</v>
      </c>
      <c r="I3573" s="1" t="str">
        <f ca="1">IFERROR(__xludf.DUMMYFUNCTION("GOOGLETRANSLATE(F3573, ""auto"", ""en"")
"),"I just bought it today, and here are my first impressions: ADVANTAGES: 1) Actually, that’s why I bought it - it’s just a wonderful door handle. It opens, as they say on the Panasonic website, “with the little finger of your hand, holding the mug with your"&amp;" hand.” It is very soft and closes wonderfully and quietly. No matter how many times I re-opened other stoves, even up to 10 thousand rubles, I never found anything close to this - they open with force, close with a roar.  2) Design. In my opinion, it’s v"&amp;"ery nice (considering that this model is no longer the latest in the line) DISADVANTAGES: 1) Display. If I had come to terms with the lack of a watch in advance, the lack of even a backlight or luminous numbers really upset me. On all the photos on the ne"&amp;"t the numbers are lit, but mine doesn’t. Although this may be a defect of my copy (( 2) Lack of a quick start. On my former Samsung, it was enough to press the Start button, and the heating would automatically start for 30 seconds, press it 2 times - for "&amp;"a minute, etc. Here you have to first set the time, for example, by pressing the “10 sec” button 3 times, and then press the Start button. It’s unpleasant to be weaned from the convenience TOTAL: I’m happy with the purchase, although there are a couple of"&amp;" fly in the ointment")</f>
        <v>I just bought it today, and here are my first impressions: ADVANTAGES: 1) Actually, that’s why I bought it - it’s just a wonderful door handle. It opens, as they say on the Panasonic website, “with the little finger of your hand, holding the mug with your hand.” It is very soft and closes wonderfully and quietly. No matter how many times I re-opened other stoves, even up to 10 thousand rubles, I never found anything close to this - they open with force, close with a roar.  2) Design. In my opinion, it’s very nice (considering that this model is no longer the latest in the line) DISADVANTAGES: 1) Display. If I had come to terms with the lack of a watch in advance, the lack of even a backlight or luminous numbers really upset me. On all the photos on the net the numbers are lit, but mine doesn’t. Although this may be a defect of my copy (( 2) Lack of a quick start. On my former Samsung, it was enough to press the Start button, and the heating would automatically start for 30 seconds, press it 2 times - for a minute, etc. Here you have to first set the time, for example, by pressing the “10 sec” button 3 times, and then press the Start button. It’s unpleasant to be weaned from the convenience TOTAL: I’m happy with the purchase, although there are a couple of fly in the ointment</v>
      </c>
    </row>
    <row r="3574" spans="1:9" x14ac:dyDescent="0.3">
      <c r="A3574" s="1" t="s">
        <v>206</v>
      </c>
      <c r="B3574" s="1" t="s">
        <v>1349</v>
      </c>
      <c r="C3574" s="1" t="s">
        <v>4219</v>
      </c>
      <c r="D3574" s="1" t="s">
        <v>52</v>
      </c>
      <c r="E3574" s="1" t="s">
        <v>2684</v>
      </c>
      <c r="F3574" s="1" t="s">
        <v>6415</v>
      </c>
      <c r="G3574" s="1" t="s">
        <v>49</v>
      </c>
      <c r="H3574" s="1" t="s">
        <v>16</v>
      </c>
      <c r="I3574" s="1" t="str">
        <f ca="1">IFERROR(__xludf.DUMMYFUNCTION("GOOGLETRANSLATE(F3574, ""auto"", ""en"")
"),"I bought it in April, and changed it on October 1, 2010. If you change the angle of the panel and drive, you will hear a rumble, but not music. The disk freezes, the panel does not close itself, the flash drive also failed. Here's a tape recorder.")</f>
        <v>I bought it in April, and changed it on October 1, 2010. If you change the angle of the panel and drive, you will hear a rumble, but not music. The disk freezes, the panel does not close itself, the flash drive also failed. Here's a tape recorder.</v>
      </c>
    </row>
    <row r="3575" spans="1:9" x14ac:dyDescent="0.3">
      <c r="A3575" s="1" t="s">
        <v>211</v>
      </c>
      <c r="B3575" s="1" t="s">
        <v>212</v>
      </c>
      <c r="C3575" s="1" t="s">
        <v>381</v>
      </c>
      <c r="D3575" s="1" t="s">
        <v>521</v>
      </c>
      <c r="E3575" s="1" t="s">
        <v>3933</v>
      </c>
      <c r="F3575" s="1" t="s">
        <v>6416</v>
      </c>
      <c r="G3575" s="1" t="s">
        <v>36</v>
      </c>
      <c r="H3575" s="1" t="s">
        <v>29</v>
      </c>
      <c r="I3575" s="1" t="str">
        <f ca="1">IFERROR(__xludf.DUMMYFUNCTION("GOOGLETRANSLATE(F3575, ""auto"", ""en"")
"),"My old rectifier broke, so I had to urgently run to the store and buy a new one, because... he was needed. I needed only 2 functions: to straighten well and regulate the temperature. I bought this straightener on the recommendation of the seller. It turne"&amp;"d out to be even much cooler than my old one, which I bought at twice the price a few years ago. Hair is perfectly straight. There are no waves left, although they are terribly fluffy and frizzy for me. The only negative is that you can burn your hands on"&amp;" the iron, but it doesn’t heat up even at high temperatures. Therefore, I try not to touch it again and be careful. Overall very satisfied. Hair looks like it was professionally straightened.")</f>
        <v>My old rectifier broke, so I had to urgently run to the store and buy a new one, because... he was needed. I needed only 2 functions: to straighten well and regulate the temperature. I bought this straightener on the recommendation of the seller. It turned out to be even much cooler than my old one, which I bought at twice the price a few years ago. Hair is perfectly straight. There are no waves left, although they are terribly fluffy and frizzy for me. The only negative is that you can burn your hands on the iron, but it doesn’t heat up even at high temperatures. Therefore, I try not to touch it again and be careful. Overall very satisfied. Hair looks like it was professionally straightened.</v>
      </c>
    </row>
    <row r="3576" spans="1:9" x14ac:dyDescent="0.3">
      <c r="A3576" s="1" t="s">
        <v>206</v>
      </c>
      <c r="B3576" s="1" t="s">
        <v>207</v>
      </c>
      <c r="C3576" s="1" t="s">
        <v>152</v>
      </c>
      <c r="D3576" s="1" t="s">
        <v>6417</v>
      </c>
      <c r="E3576" s="1" t="s">
        <v>3059</v>
      </c>
      <c r="F3576" s="1" t="s">
        <v>6418</v>
      </c>
      <c r="G3576" s="1" t="s">
        <v>36</v>
      </c>
      <c r="H3576" s="1" t="s">
        <v>29</v>
      </c>
      <c r="I3576" s="1" t="str">
        <f ca="1">IFERROR(__xludf.DUMMYFUNCTION("GOOGLETRANSLATE(F3576, ""auto"", ""en"")
"),"There is a station wagon in the Prior. The head is a pioneer 7900, the amplification is Blaunkpunt 470. The bass pumps clearly, there is no buzz.  Doesn't take up much space.  He earns his money in full. I recommend it.")</f>
        <v>There is a station wagon in the Prior. The head is a pioneer 7900, the amplification is Blaunkpunt 470. The bass pumps clearly, there is no buzz.  Doesn't take up much space.  He earns his money in full. I recommend it.</v>
      </c>
    </row>
    <row r="3577" spans="1:9" x14ac:dyDescent="0.3">
      <c r="A3577" s="1" t="s">
        <v>477</v>
      </c>
      <c r="B3577" s="1" t="s">
        <v>478</v>
      </c>
      <c r="C3577" s="1" t="s">
        <v>479</v>
      </c>
      <c r="D3577" s="1" t="s">
        <v>6419</v>
      </c>
      <c r="E3577" s="1" t="s">
        <v>1660</v>
      </c>
      <c r="F3577" s="1" t="s">
        <v>6420</v>
      </c>
      <c r="G3577" s="1" t="s">
        <v>49</v>
      </c>
      <c r="H3577" s="1" t="s">
        <v>16</v>
      </c>
      <c r="I3577" s="1" t="str">
        <f ca="1">IFERROR(__xludf.DUMMYFUNCTION("GOOGLETRANSLATE(F3577, ""auto"", ""en"")
"),"To be honest, I wasn't interested. I played for 2 hours and couldn’t get enough of it, but a day passed and I realized that it would be worse than Dog 11 (that’s FIFA 11, that Dog 11 downloaded). Yes, FIFA has more clubs, leagues, be a pro mode, bad copy "&amp;"from Dog 9, become a legend. Graphics. I won’t say it’s better or at the same level as boxing, but it’s something. But if you bring the camera closer you can see that the rendering is lame, the faces are plasticine, the players are almost wooden or plasti"&amp;"c. Gameplay. The gameplay hasn't changed for a long time. Playing quickly gets boring. The career mode is more or less catchy, but after two seasons it gets boring. System requirements. If we compare the games Dog 11 and FIFA 11, the latter eats more, but"&amp;" the quality is worse than Dog 11. Yes, many will say a bad word about Dog 11, but this is an evolutionary game that experiments with gameplay, introduces new controls (precise pass to the legs has been removed), but this does not interfere with the game,"&amp;" but rather inspires or encourages the player to play beautiful, combinational football. As for FIFA, they are marking time. We updated the graphics (compared to 10) and that seems to be all. Many will buy the game for multiplayer, but there is nothing ne"&amp;"w there. Choose a team and play. In Dog 11, a team of friends/players against another team, master league online. To sum it up, FIFA 11 is in the right direction, but it's too small to be a footsim this year. FIFA 11 can be given 7.5 - 8.0 points. Dog 11 "&amp;"- 8.5 - 9.0 is the best this year.  I give a rating based on how I feel about the game. Dog 11 has clamped down and won’t let go for a week or two, and FIFA 11 is only two days away from waiting for a competitor.")</f>
        <v>To be honest, I wasn't interested. I played for 2 hours and couldn’t get enough of it, but a day passed and I realized that it would be worse than Dog 11 (that’s FIFA 11, that Dog 11 downloaded). Yes, FIFA has more clubs, leagues, be a pro mode, bad copy from Dog 9, become a legend. Graphics. I won’t say it’s better or at the same level as boxing, but it’s something. But if you bring the camera closer you can see that the rendering is lame, the faces are plasticine, the players are almost wooden or plastic. Gameplay. The gameplay hasn't changed for a long time. Playing quickly gets boring. The career mode is more or less catchy, but after two seasons it gets boring. System requirements. If we compare the games Dog 11 and FIFA 11, the latter eats more, but the quality is worse than Dog 11. Yes, many will say a bad word about Dog 11, but this is an evolutionary game that experiments with gameplay, introduces new controls (precise pass to the legs has been removed), but this does not interfere with the game, but rather inspires or encourages the player to play beautiful, combinational football. As for FIFA, they are marking time. We updated the graphics (compared to 10) and that seems to be all. Many will buy the game for multiplayer, but there is nothing new there. Choose a team and play. In Dog 11, a team of friends/players against another team, master league online. To sum it up, FIFA 11 is in the right direction, but it's too small to be a footsim this year. FIFA 11 can be given 7.5 - 8.0 points. Dog 11 - 8.5 - 9.0 is the best this year.  I give a rating based on how I feel about the game. Dog 11 has clamped down and won’t let go for a week or two, and FIFA 11 is only two days away from waiting for a competitor.</v>
      </c>
    </row>
    <row r="3578" spans="1:9" x14ac:dyDescent="0.3">
      <c r="A3578" s="1" t="s">
        <v>369</v>
      </c>
      <c r="B3578" s="1" t="s">
        <v>2480</v>
      </c>
      <c r="C3578" s="1" t="s">
        <v>453</v>
      </c>
      <c r="D3578" s="1" t="s">
        <v>152</v>
      </c>
      <c r="E3578" s="1" t="s">
        <v>6421</v>
      </c>
      <c r="F3578" s="1" t="s">
        <v>6422</v>
      </c>
      <c r="G3578" s="1" t="s">
        <v>49</v>
      </c>
      <c r="H3578" s="1" t="s">
        <v>16</v>
      </c>
      <c r="I3578" s="1" t="str">
        <f ca="1">IFERROR(__xludf.DUMMYFUNCTION("GOOGLETRANSLATE(F3578, ""auto"", ""en"")
"),"Most likely, what is written applies to all mini tiles of this type! It burned out, almost caught fire in the place where the cable enters the tile, apparently a short circuit occurred due to a crooked assembly. If I left the house while cooking on it, th"&amp;"e consequences would be very sad. It is extremely unsafe to use. Yes, it is praised as supposedly because it is not possible to get burned and all that, but no one warns that you can lose your apartment because of this miracle of Chinese thought. Cons: at"&amp;" low powers it works in jerky pulses, that is, it periodically turns on and off. If you cook soup, for example, then just as it won’t work on gas, the soup will periodically gurgle and subside. You can, of course, increase the power, but then the water wi"&amp;"ll boil quickly. This was very disappointing, because I took an induction stove instead of a regular disk one, hoping for smooth power adjustment (there is no gas in the apartment, a large stove is also not an option, the apartment is rented). - She makes"&amp;" noise. Yes, it makes noise and crackles. The noise level is probably comparable to the noise of a working microwave (or a system unit from 2000), and the crackling sound resembles the chirping of locusts.  - She squeaks. (like warns) for any reason. From"&amp;" pressing buttons, from temporarily lifting dishes. Loud and obnoxious. It will definitely get on the nerves of those around you, no doubt about it (especially in the mornings and evenings). - Touch buttons. It would be better if they weren't there. Pros "&amp;"(for me personally there were only a couple): + warms up very quickly. Yes, that's true. The water boils instantly. Compared to disc tiles. + instantly changes the power, because the stove itself does not heat up (and does not cool down for a long time), "&amp;"but only the bottom of the cookware heats up when the electromagnetic field of the stove is exposed to the cookware. In short, I highly recommend not taking it (for the sake of your own safety and nerves). The cons outweigh the pros.")</f>
        <v>Most likely, what is written applies to all mini tiles of this type! It burned out, almost caught fire in the place where the cable enters the tile, apparently a short circuit occurred due to a crooked assembly. If I left the house while cooking on it, the consequences would be very sad. It is extremely unsafe to use. Yes, it is praised as supposedly because it is not possible to get burned and all that, but no one warns that you can lose your apartment because of this miracle of Chinese thought. Cons: at low powers it works in jerky pulses, that is, it periodically turns on and off. If you cook soup, for example, then just as it won’t work on gas, the soup will periodically gurgle and subside. You can, of course, increase the power, but then the water will boil quickly. This was very disappointing, because I took an induction stove instead of a regular disk one, hoping for smooth power adjustment (there is no gas in the apartment, a large stove is also not an option, the apartment is rented). - She makes noise. Yes, it makes noise and crackles. The noise level is probably comparable to the noise of a working microwave (or a system unit from 2000), and the crackling sound resembles the chirping of locusts.  - She squeaks. (like warns) for any reason. From pressing buttons, from temporarily lifting dishes. Loud and obnoxious. It will definitely get on the nerves of those around you, no doubt about it (especially in the mornings and evenings). - Touch buttons. It would be better if they weren't there. Pros (for me personally there were only a couple): + warms up very quickly. Yes, that's true. The water boils instantly. Compared to disc tiles. + instantly changes the power, because the stove itself does not heat up (and does not cool down for a long time), but only the bottom of the cookware heats up when the electromagnetic field of the stove is exposed to the cookware. In short, I highly recommend not taking it (for the sake of your own safety and nerves). The cons outweigh the pros.</v>
      </c>
    </row>
    <row r="3579" spans="1:9" x14ac:dyDescent="0.3">
      <c r="A3579" s="1" t="s">
        <v>149</v>
      </c>
      <c r="B3579" s="1" t="s">
        <v>423</v>
      </c>
      <c r="C3579" s="1" t="s">
        <v>531</v>
      </c>
      <c r="D3579" s="1" t="s">
        <v>64</v>
      </c>
      <c r="E3579" s="1" t="s">
        <v>1099</v>
      </c>
      <c r="F3579" s="1" t="s">
        <v>6423</v>
      </c>
      <c r="G3579" s="1" t="s">
        <v>49</v>
      </c>
      <c r="H3579" s="1" t="s">
        <v>16</v>
      </c>
      <c r="I3579" s="1" t="str">
        <f ca="1">IFERROR(__xludf.DUMMYFUNCTION("GOOGLETRANSLATE(F3579, ""auto"", ""en"")
"),"A terrible vacuum cleaner, a waste of money, the power is actually weaker from time to time, the filters quickly become dirty and wear out, and buying new ones is not cheap. The vacuum cleaner itself has to be washed long and hard after cleaning. I really"&amp;" regret the purchase, I would not wish such a vacuum cleaner on anyone.")</f>
        <v>A terrible vacuum cleaner, a waste of money, the power is actually weaker from time to time, the filters quickly become dirty and wear out, and buying new ones is not cheap. The vacuum cleaner itself has to be washed long and hard after cleaning. I really regret the purchase, I would not wish such a vacuum cleaner on anyone.</v>
      </c>
    </row>
    <row r="3580" spans="1:9" x14ac:dyDescent="0.3">
      <c r="A3580" s="1" t="s">
        <v>61</v>
      </c>
      <c r="B3580" s="1" t="s">
        <v>224</v>
      </c>
      <c r="C3580" s="1" t="s">
        <v>85</v>
      </c>
      <c r="D3580" s="1" t="s">
        <v>102</v>
      </c>
      <c r="E3580" s="1" t="s">
        <v>6424</v>
      </c>
      <c r="F3580" s="1" t="s">
        <v>6425</v>
      </c>
      <c r="G3580" s="1" t="s">
        <v>36</v>
      </c>
      <c r="H3580" s="1" t="s">
        <v>29</v>
      </c>
      <c r="I3580" s="1" t="str">
        <f ca="1">IFERROR(__xludf.DUMMYFUNCTION("GOOGLETRANSLATE(F3580, ""auto"", ""en"")
"),"I purchased this model half a year ago. I am pleased with the excellent build quality, the design is also excellent! The juice turns out excellent, I especially like the apple-carrot juice, I recommend it to everyone! Many thanks to the guys from MVideo f"&amp;"or good advice and help in choosing!")</f>
        <v>I purchased this model half a year ago. I am pleased with the excellent build quality, the design is also excellent! The juice turns out excellent, I especially like the apple-carrot juice, I recommend it to everyone! Many thanks to the guys from MVideo for good advice and help in choosing!</v>
      </c>
    </row>
    <row r="3581" spans="1:9" x14ac:dyDescent="0.3">
      <c r="A3581" s="1" t="s">
        <v>43</v>
      </c>
      <c r="B3581" s="1" t="s">
        <v>219</v>
      </c>
      <c r="C3581" s="1" t="s">
        <v>220</v>
      </c>
      <c r="D3581" s="1" t="s">
        <v>12</v>
      </c>
      <c r="E3581" s="1" t="s">
        <v>6426</v>
      </c>
      <c r="F3581" s="1" t="s">
        <v>6427</v>
      </c>
      <c r="G3581" s="1" t="s">
        <v>28</v>
      </c>
      <c r="H3581" s="1" t="s">
        <v>29</v>
      </c>
      <c r="I3581" s="1" t="str">
        <f ca="1">IFERROR(__xludf.DUMMYFUNCTION("GOOGLETRANSLATE(F3581, ""auto"", ""en"")
"),"We’ve had it for three years now, we really like it, we don’t even set it to the hottest temperature and it’s enough.")</f>
        <v>We’ve had it for three years now, we really like it, we don’t even set it to the hottest temperature and it’s enough.</v>
      </c>
    </row>
    <row r="3582" spans="1:9" x14ac:dyDescent="0.3">
      <c r="A3582" s="1" t="s">
        <v>61</v>
      </c>
      <c r="B3582" s="1" t="s">
        <v>224</v>
      </c>
      <c r="C3582" s="1" t="s">
        <v>85</v>
      </c>
      <c r="D3582" s="1" t="s">
        <v>6428</v>
      </c>
      <c r="E3582" s="1" t="s">
        <v>1102</v>
      </c>
      <c r="F3582" s="1" t="s">
        <v>6429</v>
      </c>
      <c r="G3582" s="1" t="s">
        <v>36</v>
      </c>
      <c r="H3582" s="1" t="s">
        <v>29</v>
      </c>
      <c r="I3582" s="1" t="str">
        <f ca="1">IFERROR(__xludf.DUMMYFUNCTION("GOOGLETRANSLATE(F3582, ""auto"", ""en"")
"),"We bought a juicer a year ago and used it for our dacha. An excellent model squeezes everything out quickly. It handles apples in 5 minutes, the pulp is dry and the juice is light. Good power and easy to clean. She even squeezed grapes and she did it. Exc"&amp;"ellent model, I recommend it to everyone!")</f>
        <v>We bought a juicer a year ago and used it for our dacha. An excellent model squeezes everything out quickly. It handles apples in 5 minutes, the pulp is dry and the juice is light. Good power and easy to clean. She even squeezed grapes and she did it. Excellent model, I recommend it to everyone!</v>
      </c>
    </row>
    <row r="3583" spans="1:9" x14ac:dyDescent="0.3">
      <c r="A3583" s="1" t="s">
        <v>206</v>
      </c>
      <c r="B3583" s="1" t="s">
        <v>1349</v>
      </c>
      <c r="C3583" s="1" t="s">
        <v>262</v>
      </c>
      <c r="D3583" s="1" t="s">
        <v>4937</v>
      </c>
      <c r="E3583" s="1" t="s">
        <v>2896</v>
      </c>
      <c r="F3583" s="1" t="s">
        <v>6430</v>
      </c>
      <c r="G3583" s="1" t="s">
        <v>28</v>
      </c>
      <c r="H3583" s="1" t="s">
        <v>29</v>
      </c>
      <c r="I3583" s="1" t="str">
        <f ca="1">IFERROR(__xludf.DUMMYFUNCTION("GOOGLETRANSLATE(F3583, ""auto"", ""en"")
"),"I used the radio for half a year, the disk failed, today I took it for repair, and in principle I’m happy. Explain which flash drive is suitable for the navigator, the SD seems to be small, I don’t know which one is needed.")</f>
        <v>I used the radio for half a year, the disk failed, today I took it for repair, and in principle I’m happy. Explain which flash drive is suitable for the navigator, the SD seems to be small, I don’t know which one is needed.</v>
      </c>
    </row>
    <row r="3584" spans="1:9" x14ac:dyDescent="0.3">
      <c r="A3584" s="1" t="s">
        <v>211</v>
      </c>
      <c r="B3584" s="1" t="s">
        <v>2818</v>
      </c>
      <c r="C3584" s="1" t="s">
        <v>213</v>
      </c>
      <c r="D3584" s="1" t="s">
        <v>6431</v>
      </c>
      <c r="E3584" s="1" t="s">
        <v>4867</v>
      </c>
      <c r="F3584" s="1" t="s">
        <v>6432</v>
      </c>
      <c r="G3584" s="1" t="s">
        <v>36</v>
      </c>
      <c r="H3584" s="1" t="s">
        <v>29</v>
      </c>
      <c r="I3584" s="1" t="str">
        <f ca="1">IFERROR(__xludf.DUMMYFUNCTION("GOOGLETRANSLATE(F3584, ""auto"", ""en"")
"),"The original is the main advantage. I always prefer to overpay for it than to buy an analogue. It lasts a long time - judging by the kit that came with the razor. The quality is really very high, I don’t regret paying so much.")</f>
        <v>The original is the main advantage. I always prefer to overpay for it than to buy an analogue. It lasts a long time - judging by the kit that came with the razor. The quality is really very high, I don’t regret paying so much.</v>
      </c>
    </row>
    <row r="3585" spans="1:9" x14ac:dyDescent="0.3">
      <c r="A3585" s="1" t="s">
        <v>95</v>
      </c>
      <c r="B3585" s="1" t="s">
        <v>227</v>
      </c>
      <c r="C3585" s="1" t="s">
        <v>97</v>
      </c>
      <c r="D3585" s="1" t="s">
        <v>139</v>
      </c>
      <c r="E3585" s="1" t="s">
        <v>3547</v>
      </c>
      <c r="F3585" s="1" t="s">
        <v>6433</v>
      </c>
      <c r="G3585" s="1" t="s">
        <v>36</v>
      </c>
      <c r="H3585" s="1" t="s">
        <v>29</v>
      </c>
      <c r="I3585" s="1" t="str">
        <f ca="1">IFERROR(__xludf.DUMMYFUNCTION("GOOGLETRANSLATE(F3585, ""auto"", ""en"")
"),"I bought the console two years ago, since then I can’t get enough of it, the children also play with pleasure, now I bought some moves and took the MOV machine, in general the kids are happy, and the game is a sports holiday, too, the children play gladia"&amp;"tors, tennis and volleyball! I bought fitness for my wife, she also joined, everyone is happy. Thanks Sony for such a cool thing")</f>
        <v>I bought the console two years ago, since then I can’t get enough of it, the children also play with pleasure, now I bought some moves and took the MOV machine, in general the kids are happy, and the game is a sports holiday, too, the children play gladiators, tennis and volleyball! I bought fitness for my wife, she also joined, everyone is happy. Thanks Sony for such a cool thing</v>
      </c>
    </row>
    <row r="3586" spans="1:9" x14ac:dyDescent="0.3">
      <c r="A3586" s="1" t="s">
        <v>811</v>
      </c>
      <c r="B3586" s="1" t="s">
        <v>812</v>
      </c>
      <c r="C3586" s="1" t="s">
        <v>813</v>
      </c>
      <c r="D3586" s="1" t="s">
        <v>172</v>
      </c>
      <c r="E3586" s="1" t="s">
        <v>47</v>
      </c>
      <c r="F3586" s="1" t="s">
        <v>6434</v>
      </c>
      <c r="G3586" s="1" t="s">
        <v>36</v>
      </c>
      <c r="H3586" s="1" t="s">
        <v>29</v>
      </c>
      <c r="I3586" s="1" t="str">
        <f ca="1">IFERROR(__xludf.DUMMYFUNCTION("GOOGLETRANSLATE(F3586, ""auto"", ""en"")
"),"I bought it 2 months ago, it’s a very good tripod, I have no complaints. I shoot my own video clips. Very good. Does not slip, stands firmly and does not fall. Good height adjustment. I thought that he would not be tall, but he turned out to be very good "&amp;"and fit, despite the fact that I am 185 cm tall.")</f>
        <v>I bought it 2 months ago, it’s a very good tripod, I have no complaints. I shoot my own video clips. Very good. Does not slip, stands firmly and does not fall. Good height adjustment. I thought that he would not be tall, but he turned out to be very good and fit, despite the fact that I am 185 cm tall.</v>
      </c>
    </row>
    <row r="3587" spans="1:9" x14ac:dyDescent="0.3">
      <c r="A3587" s="1" t="s">
        <v>61</v>
      </c>
      <c r="B3587" s="1" t="s">
        <v>977</v>
      </c>
      <c r="C3587" s="1" t="s">
        <v>69</v>
      </c>
      <c r="D3587" s="1" t="s">
        <v>152</v>
      </c>
      <c r="E3587" s="1" t="s">
        <v>6435</v>
      </c>
      <c r="F3587" s="1" t="s">
        <v>6436</v>
      </c>
      <c r="G3587" s="1" t="s">
        <v>36</v>
      </c>
      <c r="H3587" s="1" t="s">
        <v>29</v>
      </c>
      <c r="I3587" s="1" t="str">
        <f ca="1">IFERROR(__xludf.DUMMYFUNCTION("GOOGLETRANSLATE(F3587, ""auto"", ""en"")
"),"I took it to my wife, she is not happy. The blender is simply classy, ​​powerful and practical, 5 speeds.")</f>
        <v>I took it to my wife, she is not happy. The blender is simply classy, ​​powerful and practical, 5 speeds.</v>
      </c>
    </row>
    <row r="3588" spans="1:9" x14ac:dyDescent="0.3">
      <c r="A3588" s="1" t="s">
        <v>17</v>
      </c>
      <c r="B3588" s="1" t="s">
        <v>18</v>
      </c>
      <c r="C3588" s="1" t="s">
        <v>159</v>
      </c>
      <c r="D3588" s="1" t="s">
        <v>39</v>
      </c>
      <c r="E3588" s="1" t="s">
        <v>6437</v>
      </c>
      <c r="F3588" s="1" t="s">
        <v>6438</v>
      </c>
      <c r="G3588" s="1" t="s">
        <v>36</v>
      </c>
      <c r="H3588" s="1" t="s">
        <v>29</v>
      </c>
      <c r="I3588" s="1" t="str">
        <f ca="1">IFERROR(__xludf.DUMMYFUNCTION("GOOGLETRANSLATE(F3588, ""auto"", ""en"")
"),"We bought it from M.VIDEO, after 2 washes the machine began to leak, and very badly, they called a repairman, he said that there was a problem with the drum, it’s good that we had an additional guarantee, they brought a new one, the same model, relatively"&amp;" quickly. Now we have an Electrolux EWTS10620W that has been washing perfectly for 1.5 years, and it has never broken down, it works like a charm, it’s silent, if you put it on the night mode, then in general I haven’t heard anything. As for the first mac"&amp;"hine, most likely there was a defect, almost isolated cases. In general, the Electrolux company is very good and reliable. I advise everyone, it will not let you down in difficult times with laundry.")</f>
        <v>We bought it from M.VIDEO, after 2 washes the machine began to leak, and very badly, they called a repairman, he said that there was a problem with the drum, it’s good that we had an additional guarantee, they brought a new one, the same model, relatively quickly. Now we have an Electrolux EWTS10620W that has been washing perfectly for 1.5 years, and it has never broken down, it works like a charm, it’s silent, if you put it on the night mode, then in general I haven’t heard anything. As for the first machine, most likely there was a defect, almost isolated cases. In general, the Electrolux company is very good and reliable. I advise everyone, it will not let you down in difficult times with laundry.</v>
      </c>
    </row>
    <row r="3589" spans="1:9" x14ac:dyDescent="0.3">
      <c r="A3589" s="1" t="s">
        <v>43</v>
      </c>
      <c r="B3589" s="1" t="s">
        <v>1382</v>
      </c>
      <c r="C3589" s="1" t="s">
        <v>57</v>
      </c>
      <c r="D3589" s="1" t="s">
        <v>896</v>
      </c>
      <c r="E3589" s="1" t="s">
        <v>1811</v>
      </c>
      <c r="F3589" s="1" t="s">
        <v>6439</v>
      </c>
      <c r="G3589" s="1" t="s">
        <v>36</v>
      </c>
      <c r="H3589" s="1" t="s">
        <v>29</v>
      </c>
      <c r="I3589" s="1" t="str">
        <f ca="1">IFERROR(__xludf.DUMMYFUNCTION("GOOGLETRANSLATE(F3589, ""auto"", ""en"")
"),"The price/quality ratio is ideal in my opinion.  miniature, the blowing power for such dimensions is simply amazing, it works quietly, the only downside is the lack of a remote control for the lazy) a wonderful economical option that takes up very, very l"&amp;"ittle space")</f>
        <v>The price/quality ratio is ideal in my opinion.  miniature, the blowing power for such dimensions is simply amazing, it works quietly, the only downside is the lack of a remote control for the lazy) a wonderful economical option that takes up very, very little space</v>
      </c>
    </row>
    <row r="3590" spans="1:9" x14ac:dyDescent="0.3">
      <c r="A3590" s="1" t="s">
        <v>37</v>
      </c>
      <c r="B3590" s="1" t="s">
        <v>38</v>
      </c>
      <c r="C3590" s="1" t="s">
        <v>39</v>
      </c>
      <c r="D3590" s="1" t="s">
        <v>114</v>
      </c>
      <c r="E3590" s="1" t="s">
        <v>1248</v>
      </c>
      <c r="F3590" s="1" t="s">
        <v>6440</v>
      </c>
      <c r="G3590" s="1" t="s">
        <v>36</v>
      </c>
      <c r="H3590" s="1" t="s">
        <v>29</v>
      </c>
      <c r="I3590" s="1" t="str">
        <f ca="1">IFERROR(__xludf.DUMMYFUNCTION("GOOGLETRANSLATE(F3590, ""auto"", ""en"")
"),"Hello to all Sony Ericsson fans! I really liked the appearance of the s312, I also held it in my hands in the store, it fits nicely in the palm of my hand. I’m thinking about buying it or getting a more expensive model. There are still doubts about the fu"&amp;"nctionality of the camera and player! Can someone describe their work in a little more detail!? Thanks in advance!")</f>
        <v>Hello to all Sony Ericsson fans! I really liked the appearance of the s312, I also held it in my hands in the store, it fits nicely in the palm of my hand. I’m thinking about buying it or getting a more expensive model. There are still doubts about the functionality of the camera and player! Can someone describe their work in a little more detail!? Thanks in advance!</v>
      </c>
    </row>
    <row r="3591" spans="1:9" x14ac:dyDescent="0.3">
      <c r="A3591" s="1" t="s">
        <v>9</v>
      </c>
      <c r="B3591" s="1" t="s">
        <v>10</v>
      </c>
      <c r="C3591" s="1" t="s">
        <v>466</v>
      </c>
      <c r="D3591" s="1" t="s">
        <v>247</v>
      </c>
      <c r="E3591" s="1" t="s">
        <v>1573</v>
      </c>
      <c r="F3591" s="1" t="s">
        <v>6441</v>
      </c>
      <c r="G3591" s="1" t="s">
        <v>49</v>
      </c>
      <c r="H3591" s="1" t="s">
        <v>16</v>
      </c>
      <c r="I3591" s="1" t="str">
        <f ca="1">IFERROR(__xludf.DUMMYFUNCTION("GOOGLETRANSLATE(F3591, ""auto"", ""en"")
"),"For the money, the device is not bad, but it makes a lot of noise and rattles.   After a year of use, the light bulb exploded due to overheating! The hood continues to work, but the light bulb base has melted and become stuck, so you can’t just change it."&amp;" So be careful, it's better to take a closer look at other models")</f>
        <v>For the money, the device is not bad, but it makes a lot of noise and rattles.   After a year of use, the light bulb exploded due to overheating! The hood continues to work, but the light bulb base has melted and become stuck, so you can’t just change it. So be careful, it's better to take a closer look at other models</v>
      </c>
    </row>
    <row r="3592" spans="1:9" x14ac:dyDescent="0.3">
      <c r="A3592" s="1" t="s">
        <v>61</v>
      </c>
      <c r="B3592" s="1" t="s">
        <v>62</v>
      </c>
      <c r="C3592" s="1" t="s">
        <v>63</v>
      </c>
      <c r="D3592" s="1" t="s">
        <v>295</v>
      </c>
      <c r="E3592" s="1" t="s">
        <v>6442</v>
      </c>
      <c r="F3592" s="1" t="s">
        <v>6443</v>
      </c>
      <c r="G3592" s="1" t="s">
        <v>36</v>
      </c>
      <c r="H3592" s="1" t="s">
        <v>29</v>
      </c>
      <c r="I3592" s="1" t="str">
        <f ca="1">IFERROR(__xludf.DUMMYFUNCTION("GOOGLETRANSLATE(F3592, ""auto"", ""en"")
"),"Super combine. I've been using it for five years now. Nothing is faulty, everything works. A great helper in the kitchen.")</f>
        <v>Super combine. I've been using it for five years now. Nothing is faulty, everything works. A great helper in the kitchen.</v>
      </c>
    </row>
    <row r="3593" spans="1:9" x14ac:dyDescent="0.3">
      <c r="A3593" s="1" t="s">
        <v>149</v>
      </c>
      <c r="B3593" s="1" t="s">
        <v>155</v>
      </c>
      <c r="C3593" s="1" t="s">
        <v>151</v>
      </c>
      <c r="D3593" s="1" t="s">
        <v>232</v>
      </c>
      <c r="E3593" s="1" t="s">
        <v>6444</v>
      </c>
      <c r="F3593" s="1" t="s">
        <v>6445</v>
      </c>
      <c r="G3593" s="1" t="s">
        <v>28</v>
      </c>
      <c r="H3593" s="1" t="s">
        <v>29</v>
      </c>
      <c r="I3593" s="1" t="str">
        <f ca="1">IFERROR(__xludf.DUMMYFUNCTION("GOOGLETRANSLATE(F3593, ""auto"", ""en"")
"),"We have been using this device for more than two years. In general, we are satisfied. Absorbs very well. Yes, the filters get clogged quite quickly and have to be cleaned. We have cats and the turbo brush really helps. Many people write that the hose is w"&amp;"eak if you step on it. Why step on the hose?!!! The fill indicator doesn't really work. But it is not needed, because... The dust container is transparent - and so everything is visible. The choice is yours, consumers. The vacuum cleaner is powerful, quie"&amp;"t, convenient, easy to clean, and compactly stored. Cool thing is the power regulator on the handle. Filters and spare parts can still be found in stores and service centers. Of course, there are some shortcomings. Personally, with four rooms, two cats, t"&amp;"wo children and three adults, this vacuum cleaner is enough for 4-5 cleanings. Probably, this little hard worker is not made for white hands. By the way, the air coming out is clean and dust does not rise.")</f>
        <v>We have been using this device for more than two years. In general, we are satisfied. Absorbs very well. Yes, the filters get clogged quite quickly and have to be cleaned. We have cats and the turbo brush really helps. Many people write that the hose is weak if you step on it. Why step on the hose?!!! The fill indicator doesn't really work. But it is not needed, because... The dust container is transparent - and so everything is visible. The choice is yours, consumers. The vacuum cleaner is powerful, quiet, convenient, easy to clean, and compactly stored. Cool thing is the power regulator on the handle. Filters and spare parts can still be found in stores and service centers. Of course, there are some shortcomings. Personally, with four rooms, two cats, two children and three adults, this vacuum cleaner is enough for 4-5 cleanings. Probably, this little hard worker is not made for white hands. By the way, the air coming out is clean and dust does not rise.</v>
      </c>
    </row>
    <row r="3594" spans="1:9" x14ac:dyDescent="0.3">
      <c r="A3594" s="1" t="s">
        <v>9</v>
      </c>
      <c r="B3594" s="1" t="s">
        <v>10</v>
      </c>
      <c r="C3594" s="1" t="s">
        <v>466</v>
      </c>
      <c r="D3594" s="1" t="s">
        <v>280</v>
      </c>
      <c r="E3594" s="1" t="s">
        <v>6446</v>
      </c>
      <c r="F3594" s="1" t="s">
        <v>6447</v>
      </c>
      <c r="G3594" s="1" t="s">
        <v>36</v>
      </c>
      <c r="H3594" s="1" t="s">
        <v>29</v>
      </c>
      <c r="I3594" s="1" t="str">
        <f ca="1">IFERROR(__xludf.DUMMYFUNCTION("GOOGLETRANSLATE(F3594, ""auto"", ""en"")
"),"Nice extract! I bought it and installed it and forgot it) I hope it will work for a long time) Very powerful and almost silent, holds a thick newspaper on the first one! speed!")</f>
        <v>Nice extract! I bought it and installed it and forgot it) I hope it will work for a long time) Very powerful and almost silent, holds a thick newspaper on the first one! speed!</v>
      </c>
    </row>
    <row r="3595" spans="1:9" x14ac:dyDescent="0.3">
      <c r="A3595" s="1" t="s">
        <v>211</v>
      </c>
      <c r="B3595" s="1" t="s">
        <v>1818</v>
      </c>
      <c r="C3595" s="1" t="s">
        <v>213</v>
      </c>
      <c r="D3595" s="1" t="s">
        <v>1681</v>
      </c>
      <c r="E3595" s="1" t="s">
        <v>2611</v>
      </c>
      <c r="F3595" s="1" t="s">
        <v>6448</v>
      </c>
      <c r="G3595" s="1" t="s">
        <v>36</v>
      </c>
      <c r="H3595" s="1" t="s">
        <v>29</v>
      </c>
      <c r="I3595" s="1" t="str">
        <f ca="1">IFERROR(__xludf.DUMMYFUNCTION("GOOGLETRANSLATE(F3595, ""auto"", ""en"")
"),"I also have fluffy hair, after combing my hair becomes smooth, soft, shiny. Cool comb, I’m very pleased!!!")</f>
        <v>I also have fluffy hair, after combing my hair becomes smooth, soft, shiny. Cool comb, I’m very pleased!!!</v>
      </c>
    </row>
    <row r="3596" spans="1:9" x14ac:dyDescent="0.3">
      <c r="A3596" s="1" t="s">
        <v>149</v>
      </c>
      <c r="B3596" s="1" t="s">
        <v>155</v>
      </c>
      <c r="C3596" s="1" t="s">
        <v>80</v>
      </c>
      <c r="D3596" s="1" t="s">
        <v>6449</v>
      </c>
      <c r="E3596" s="1" t="s">
        <v>2030</v>
      </c>
      <c r="F3596" s="1" t="s">
        <v>6450</v>
      </c>
      <c r="G3596" s="1" t="s">
        <v>36</v>
      </c>
      <c r="H3596" s="1" t="s">
        <v>29</v>
      </c>
      <c r="I3596" s="1" t="str">
        <f ca="1">IFERROR(__xludf.DUMMYFUNCTION("GOOGLETRANSLATE(F3596, ""auto"", ""en"")
"),"I bought an LG V-K 8730HTX with a steam nozzle today. I immediately tested it on the floor (tiles and linoleum). I vacuumed and washed with steam at the same time - the result was very good. happy. The floor is very clean, the plasticine has been washed o"&amp;"ff, in short, my babies can crawl safely! The vacuum cleaner is very light, simple and easy to use, with a slight movement of your foot you can remove the cover with a cloth for smooth surfaces and you can start cleaning and steaming furniture and textile"&amp;"s, but it didn’t remove old stains from the sofa upholstery!   Conclusion: very good. good for quick daily cleaning for families with small children - it saves energy and time, since you definitely won’t be able to get out a heavy and difficult-to-use was"&amp;"hing machine or steam vacuum cleaner every day!")</f>
        <v>I bought an LG V-K 8730HTX with a steam nozzle today. I immediately tested it on the floor (tiles and linoleum). I vacuumed and washed with steam at the same time - the result was very good. happy. The floor is very clean, the plasticine has been washed off, in short, my babies can crawl safely! The vacuum cleaner is very light, simple and easy to use, with a slight movement of your foot you can remove the cover with a cloth for smooth surfaces and you can start cleaning and steaming furniture and textiles, but it didn’t remove old stains from the sofa upholstery!   Conclusion: very good. good for quick daily cleaning for families with small children - it saves energy and time, since you definitely won’t be able to get out a heavy and difficult-to-use washing machine or steam vacuum cleaner every day!</v>
      </c>
    </row>
    <row r="3597" spans="1:9" x14ac:dyDescent="0.3">
      <c r="A3597" s="1" t="s">
        <v>120</v>
      </c>
      <c r="B3597" s="1" t="s">
        <v>196</v>
      </c>
      <c r="C3597" s="1" t="s">
        <v>151</v>
      </c>
      <c r="D3597" s="1" t="s">
        <v>6451</v>
      </c>
      <c r="E3597" s="1" t="s">
        <v>960</v>
      </c>
      <c r="F3597" s="1" t="s">
        <v>6452</v>
      </c>
      <c r="G3597" s="1" t="s">
        <v>28</v>
      </c>
      <c r="H3597" s="1" t="s">
        <v>29</v>
      </c>
      <c r="I3597" s="1" t="str">
        <f ca="1">IFERROR(__xludf.DUMMYFUNCTION("GOOGLETRANSLATE(F3597, ""auto"", ""en"")
"),"I took it to watch movies and play games on XBOX. Everything is fine, although of course 100 Hz is not enough. Does anyone know how to activate the ""Movie"" mode when watching a DVD. And in general - what is it?")</f>
        <v>I took it to watch movies and play games on XBOX. Everything is fine, although of course 100 Hz is not enough. Does anyone know how to activate the "Movie" mode when watching a DVD. And in general - what is it?</v>
      </c>
    </row>
    <row r="3598" spans="1:9" x14ac:dyDescent="0.3">
      <c r="A3598" s="1" t="s">
        <v>9</v>
      </c>
      <c r="B3598" s="1" t="s">
        <v>10</v>
      </c>
      <c r="C3598" s="1" t="s">
        <v>3438</v>
      </c>
      <c r="D3598" s="1" t="s">
        <v>565</v>
      </c>
      <c r="E3598" s="1" t="s">
        <v>2948</v>
      </c>
      <c r="F3598" s="1" t="s">
        <v>6453</v>
      </c>
      <c r="G3598" s="1" t="s">
        <v>36</v>
      </c>
      <c r="H3598" s="1" t="s">
        <v>29</v>
      </c>
      <c r="I3598" s="1" t="str">
        <f ca="1">IFERROR(__xludf.DUMMYFUNCTION("GOOGLETRANSLATE(F3598, ""auto"", ""en"")
"),"This model has been serving my mother for more than 5 years. Works great. We are not going to change it yet. We'll take the same one for ourselves.")</f>
        <v>This model has been serving my mother for more than 5 years. Works great. We are not going to change it yet. We'll take the same one for ourselves.</v>
      </c>
    </row>
    <row r="3599" spans="1:9" x14ac:dyDescent="0.3">
      <c r="A3599" s="1" t="s">
        <v>67</v>
      </c>
      <c r="B3599" s="1" t="s">
        <v>68</v>
      </c>
      <c r="C3599" s="1" t="s">
        <v>74</v>
      </c>
      <c r="D3599" s="1" t="s">
        <v>6454</v>
      </c>
      <c r="E3599" s="1" t="s">
        <v>1000</v>
      </c>
      <c r="F3599" s="1" t="s">
        <v>6455</v>
      </c>
      <c r="G3599" s="1" t="s">
        <v>36</v>
      </c>
      <c r="H3599" s="1" t="s">
        <v>29</v>
      </c>
      <c r="I3599" s="1" t="str">
        <f ca="1">IFERROR(__xludf.DUMMYFUNCTION("GOOGLETRANSLATE(F3599, ""auto"", ""en"")
"),"I bought the iron out of necessity, but I was satisfied. A standard set of functions and excellent quality make ironing so easy that you do it with pleasure. In addition, Moulinex is one of the brands you trust.")</f>
        <v>I bought the iron out of necessity, but I was satisfied. A standard set of functions and excellent quality make ironing so easy that you do it with pleasure. In addition, Moulinex is one of the brands you trust.</v>
      </c>
    </row>
    <row r="3600" spans="1:9" x14ac:dyDescent="0.3">
      <c r="A3600" s="1" t="s">
        <v>211</v>
      </c>
      <c r="B3600" s="1" t="s">
        <v>212</v>
      </c>
      <c r="C3600" s="1" t="s">
        <v>101</v>
      </c>
      <c r="D3600" s="1" t="s">
        <v>12</v>
      </c>
      <c r="E3600" s="1" t="s">
        <v>1866</v>
      </c>
      <c r="F3600" s="1" t="s">
        <v>6456</v>
      </c>
      <c r="G3600" s="1" t="s">
        <v>36</v>
      </c>
      <c r="H3600" s="1" t="s">
        <v>29</v>
      </c>
      <c r="I3600" s="1" t="str">
        <f ca="1">IFERROR(__xludf.DUMMYFUNCTION("GOOGLETRANSLATE(F3600, ""auto"", ""en"")
"),"Pros: - I’ve been using it for 3 years - it never lets me down - I can set the temperature myself - it doesn’t burn my hair (I straighten my hair 2 or 3 times) - the shape lasts quite a long time - the hair is very pleasant to the touch - low price Cons: "&amp;"- over time it began to get very hot - the button is inconvenient, but as you use it you get used to it Conclusions: an excellent straightener")</f>
        <v>Pros: - I’ve been using it for 3 years - it never lets me down - I can set the temperature myself - it doesn’t burn my hair (I straighten my hair 2 or 3 times) - the shape lasts quite a long time - the hair is very pleasant to the touch - low price Cons: - over time it began to get very hot - the button is inconvenient, but as you use it you get used to it Conclusions: an excellent straightener</v>
      </c>
    </row>
    <row r="3601" spans="1:9" x14ac:dyDescent="0.3">
      <c r="A3601" s="1" t="s">
        <v>61</v>
      </c>
      <c r="B3601" s="1" t="s">
        <v>318</v>
      </c>
      <c r="C3601" s="1" t="s">
        <v>74</v>
      </c>
      <c r="D3601" s="1" t="s">
        <v>39</v>
      </c>
      <c r="E3601" s="1" t="s">
        <v>1553</v>
      </c>
      <c r="F3601" s="1" t="s">
        <v>6457</v>
      </c>
      <c r="G3601" s="1" t="s">
        <v>15</v>
      </c>
      <c r="H3601" s="1" t="s">
        <v>16</v>
      </c>
      <c r="I3601" s="1" t="str">
        <f ca="1">IFERROR(__xludf.DUMMYFUNCTION("GOOGLETRANSLATE(F3601, ""auto"", ""en"")
"),"At first I really liked it, it served me for 2 years without any problems. It kept leaking, and every day it got worse and worse, and eventually the leak became unbearable. The kettle looked very good, but it was no longer possible to use it. I took it ap"&amp;"art and thought I could do something else, all the connection contacts and wires are in order. The sealing ring between the heating element and the housing is elastic and in perfect order. The leak comes from cracks formed in the housing in the places whe"&amp;"re the self-tapping screws for fastening the heating element are tightened. Apparently the plastic is of disgusting quality and when heated and cooled, uneven deformation occurs and cracks appear!!!! The thing is not expensive, it’s a shame it’s another w"&amp;"ell-known manufacturer and most of the equipment is of good quality, but here is such an ambush. The previous kettle was also Mulinex, having worked for 12 years of miserable use in a quarter without hot water.")</f>
        <v>At first I really liked it, it served me for 2 years without any problems. It kept leaking, and every day it got worse and worse, and eventually the leak became unbearable. The kettle looked very good, but it was no longer possible to use it. I took it apart and thought I could do something else, all the connection contacts and wires are in order. The sealing ring between the heating element and the housing is elastic and in perfect order. The leak comes from cracks formed in the housing in the places where the self-tapping screws for fastening the heating element are tightened. Apparently the plastic is of disgusting quality and when heated and cooled, uneven deformation occurs and cracks appear!!!! The thing is not expensive, it’s a shame it’s another well-known manufacturer and most of the equipment is of good quality, but here is such an ambush. The previous kettle was also Mulinex, having worked for 12 years of miserable use in a quarter without hot water.</v>
      </c>
    </row>
    <row r="3602" spans="1:9" x14ac:dyDescent="0.3">
      <c r="A3602" s="1" t="s">
        <v>67</v>
      </c>
      <c r="B3602" s="1" t="s">
        <v>68</v>
      </c>
      <c r="C3602" s="1" t="s">
        <v>69</v>
      </c>
      <c r="D3602" s="1" t="s">
        <v>896</v>
      </c>
      <c r="E3602" s="1" t="s">
        <v>1109</v>
      </c>
      <c r="F3602" s="1" t="s">
        <v>6458</v>
      </c>
      <c r="G3602" s="1" t="s">
        <v>36</v>
      </c>
      <c r="H3602" s="1" t="s">
        <v>29</v>
      </c>
      <c r="I3602" s="1" t="str">
        <f ca="1">IFERROR(__xludf.DUMMYFUNCTION("GOOGLETRANSLATE(F3602, ""auto"", ""en"")
"),"For the money it’s simply excellent, only the sole area is a little small, but this is not too big a minus, even in some cases it’s a plus")</f>
        <v>For the money it’s simply excellent, only the sole area is a little small, but this is not too big a minus, even in some cases it’s a plus</v>
      </c>
    </row>
    <row r="3603" spans="1:9" x14ac:dyDescent="0.3">
      <c r="A3603" s="1" t="s">
        <v>169</v>
      </c>
      <c r="B3603" s="1" t="s">
        <v>170</v>
      </c>
      <c r="C3603" s="1" t="s">
        <v>122</v>
      </c>
      <c r="D3603" s="1" t="s">
        <v>6459</v>
      </c>
      <c r="E3603" s="1" t="s">
        <v>3284</v>
      </c>
      <c r="F3603" s="1" t="s">
        <v>6460</v>
      </c>
      <c r="G3603" s="1" t="s">
        <v>36</v>
      </c>
      <c r="H3603" s="1" t="s">
        <v>29</v>
      </c>
      <c r="I3603" s="1" t="str">
        <f ca="1">IFERROR(__xludf.DUMMYFUNCTION("GOOGLETRANSLATE(F3603, ""auto"", ""en"")
"),"Very good powerful deep bass, but of course I don’t need 5 meters of cable, the headphones were filmed in the film The Matrix, the first film where Neo (Mr. Andersen) lived in his small apartment (kennel) and listened to music there while sleeping. You ca"&amp;"n see for yourself it’s true. The headphones are quite good at soundproofing, but not perfect, they sit comfortably and well on the head, the kit includes a 6.3mm adapter, this is very good since you can connect it to a synthesizer and to guitar, the head"&amp;"phones completely cover the ears, unlike the Sennheiser HD-202 headphones, I use headphones for a professional audio mixer and the sound is very correct and realistic for professional audio, the headphones are worth the money, I recommend them to those pe"&amp;"ople who want to hear a truly correct sound! I am very pleased with the purchase because with experience I realized that these are the best!!!")</f>
        <v>Very good powerful deep bass, but of course I don’t need 5 meters of cable, the headphones were filmed in the film The Matrix, the first film where Neo (Mr. Andersen) lived in his small apartment (kennel) and listened to music there while sleeping. You can see for yourself it’s true. The headphones are quite good at soundproofing, but not perfect, they sit comfortably and well on the head, the kit includes a 6.3mm adapter, this is very good since you can connect it to a synthesizer and to guitar, the headphones completely cover the ears, unlike the Sennheiser HD-202 headphones, I use headphones for a professional audio mixer and the sound is very correct and realistic for professional audio, the headphones are worth the money, I recommend them to those people who want to hear a truly correct sound! I am very pleased with the purchase because with experience I realized that these are the best!!!</v>
      </c>
    </row>
    <row r="3604" spans="1:9" x14ac:dyDescent="0.3">
      <c r="A3604" s="1" t="s">
        <v>624</v>
      </c>
      <c r="B3604" s="1" t="s">
        <v>6461</v>
      </c>
      <c r="C3604" s="1" t="s">
        <v>479</v>
      </c>
      <c r="D3604" s="1" t="s">
        <v>6462</v>
      </c>
      <c r="E3604" s="1" t="s">
        <v>1207</v>
      </c>
      <c r="F3604" s="1" t="s">
        <v>6463</v>
      </c>
      <c r="G3604" s="1" t="s">
        <v>36</v>
      </c>
      <c r="H3604" s="1" t="s">
        <v>29</v>
      </c>
      <c r="I3604" s="1" t="str">
        <f ca="1">IFERROR(__xludf.DUMMYFUNCTION("GOOGLETRANSLATE(F3604, ""auto"", ""en"")
"),"I love this game the most! Especially on PS2! =)")</f>
        <v>I love this game the most! Especially on PS2! =)</v>
      </c>
    </row>
    <row r="3605" spans="1:9" x14ac:dyDescent="0.3">
      <c r="A3605" s="1" t="s">
        <v>120</v>
      </c>
      <c r="B3605" s="1" t="s">
        <v>121</v>
      </c>
      <c r="C3605" s="1" t="s">
        <v>97</v>
      </c>
      <c r="D3605" s="1" t="s">
        <v>6464</v>
      </c>
      <c r="E3605" s="1" t="s">
        <v>3771</v>
      </c>
      <c r="F3605" s="1" t="s">
        <v>6465</v>
      </c>
      <c r="G3605" s="1" t="s">
        <v>36</v>
      </c>
      <c r="H3605" s="1" t="s">
        <v>29</v>
      </c>
      <c r="I3605" s="1" t="str">
        <f ca="1">IFERROR(__xludf.DUMMYFUNCTION("GOOGLETRANSLATE(F3605, ""auto"", ""en"")
"),"Tell me how to connect MDR-XD 100 headphones to this model. I bought the headphones based on the accessories section. I can’t connect and I don’t know what to do. Which input should I choose? Who knows?")</f>
        <v>Tell me how to connect MDR-XD 100 headphones to this model. I bought the headphones based on the accessories section. I can’t connect and I don’t know what to do. Which input should I choose? Who knows?</v>
      </c>
    </row>
    <row r="3606" spans="1:9" x14ac:dyDescent="0.3">
      <c r="A3606" s="1" t="s">
        <v>238</v>
      </c>
      <c r="B3606" s="1" t="s">
        <v>276</v>
      </c>
      <c r="C3606" s="1" t="s">
        <v>19</v>
      </c>
      <c r="D3606" s="1" t="s">
        <v>247</v>
      </c>
      <c r="E3606" s="1" t="s">
        <v>1586</v>
      </c>
      <c r="F3606" s="1" t="s">
        <v>6466</v>
      </c>
      <c r="G3606" s="1" t="s">
        <v>36</v>
      </c>
      <c r="H3606" s="1" t="s">
        <v>29</v>
      </c>
      <c r="I3606" s="1" t="str">
        <f ca="1">IFERROR(__xludf.DUMMYFUNCTION("GOOGLETRANSLATE(F3606, ""auto"", ""en"")
"),"We bought it three years ago. Very pleased. Works great! And most importantly, it’s quiet (it’s in the room)! It's completely worth the cost!")</f>
        <v>We bought it three years ago. Very pleased. Works great! And most importantly, it’s quiet (it’s in the room)! It's completely worth the cost!</v>
      </c>
    </row>
    <row r="3607" spans="1:9" x14ac:dyDescent="0.3">
      <c r="A3607" s="1" t="s">
        <v>211</v>
      </c>
      <c r="B3607" s="1" t="s">
        <v>212</v>
      </c>
      <c r="C3607" s="1" t="s">
        <v>381</v>
      </c>
      <c r="D3607" s="1" t="s">
        <v>3501</v>
      </c>
      <c r="E3607" s="1" t="s">
        <v>2815</v>
      </c>
      <c r="F3607" s="1" t="s">
        <v>6467</v>
      </c>
      <c r="G3607" s="1" t="s">
        <v>28</v>
      </c>
      <c r="H3607" s="1" t="s">
        <v>29</v>
      </c>
      <c r="I3607" s="1" t="str">
        <f ca="1">IFERROR(__xludf.DUMMYFUNCTION("GOOGLETRANSLATE(F3607, ""auto"", ""en"")
"),"I’ve been using this straightening iron for 3 years and will never get rid of it. I’ve been using this hair dryer for a month now. To be honest, I expected more, but the result is quite satisfactory. I advise you to use it together with a round brush, pre"&amp;"ssing it tightly against the hair dryer and then the hair is straightened + volume remains, unlike using a straightening iron. But I still straighten the front strands with a straightening iron. I like the effect!")</f>
        <v>I’ve been using this straightening iron for 3 years and will never get rid of it. I’ve been using this hair dryer for a month now. To be honest, I expected more, but the result is quite satisfactory. I advise you to use it together with a round brush, pressing it tightly against the hair dryer and then the hair is straightened + volume remains, unlike using a straightening iron. But I still straighten the front strands with a straightening iron. I like the effect!</v>
      </c>
    </row>
    <row r="3608" spans="1:9" x14ac:dyDescent="0.3">
      <c r="A3608" s="1" t="s">
        <v>111</v>
      </c>
      <c r="B3608" s="1" t="s">
        <v>636</v>
      </c>
      <c r="C3608" s="1" t="s">
        <v>637</v>
      </c>
      <c r="D3608" s="1" t="s">
        <v>308</v>
      </c>
      <c r="E3608" s="1" t="s">
        <v>5728</v>
      </c>
      <c r="F3608" s="1" t="s">
        <v>6468</v>
      </c>
      <c r="G3608" s="1" t="s">
        <v>28</v>
      </c>
      <c r="H3608" s="1" t="s">
        <v>29</v>
      </c>
      <c r="I3608" s="1" t="str">
        <f ca="1">IFERROR(__xludf.DUMMYFUNCTION("GOOGLETRANSLATE(F3608, ""auto"", ""en"")
"),"The thing seems to be excellent, but... The second one already has the same problem, after a while the projector breaks down, it doesn’t show the numbers completely... On the first one after a year, on the second almost after two. I was glad that I return"&amp;"ed both of them, the first under warranty, the second exchange for service without problems... They also returned the change for the used year of services, this surprised and crushed the pluses of the M Video store...")</f>
        <v>The thing seems to be excellent, but... The second one already has the same problem, after a while the projector breaks down, it doesn’t show the numbers completely... On the first one after a year, on the second almost after two. I was glad that I returned both of them, the first under warranty, the second exchange for service without problems... They also returned the change for the used year of services, this surprised and crushed the pluses of the M Video store...</v>
      </c>
    </row>
    <row r="3609" spans="1:9" x14ac:dyDescent="0.3">
      <c r="A3609" s="1" t="s">
        <v>211</v>
      </c>
      <c r="B3609" s="1" t="s">
        <v>899</v>
      </c>
      <c r="C3609" s="1" t="s">
        <v>213</v>
      </c>
      <c r="D3609" s="1" t="s">
        <v>896</v>
      </c>
      <c r="E3609" s="1" t="s">
        <v>6469</v>
      </c>
      <c r="F3609" s="1" t="s">
        <v>6470</v>
      </c>
      <c r="G3609" s="1" t="s">
        <v>36</v>
      </c>
      <c r="H3609" s="1" t="s">
        <v>29</v>
      </c>
      <c r="I3609" s="1" t="str">
        <f ca="1">IFERROR(__xludf.DUMMYFUNCTION("GOOGLETRANSLATE(F3609, ""auto"", ""en"")
"),"The toothbrush performs its functions perfectly, cleans the surface very thoroughly, my teeth have become noticeably whiter, I’ve been using it for six months, the result is excellent!!!!")</f>
        <v>The toothbrush performs its functions perfectly, cleans the surface very thoroughly, my teeth have become noticeably whiter, I’ve been using it for six months, the result is excellent!!!!</v>
      </c>
    </row>
    <row r="3610" spans="1:9" x14ac:dyDescent="0.3">
      <c r="A3610" s="1" t="s">
        <v>17</v>
      </c>
      <c r="B3610" s="1" t="s">
        <v>18</v>
      </c>
      <c r="C3610" s="1" t="s">
        <v>885</v>
      </c>
      <c r="D3610" s="1" t="s">
        <v>6471</v>
      </c>
      <c r="E3610" s="1" t="s">
        <v>1248</v>
      </c>
      <c r="F3610" s="1" t="s">
        <v>6472</v>
      </c>
      <c r="G3610" s="1" t="s">
        <v>36</v>
      </c>
      <c r="H3610" s="1" t="s">
        <v>29</v>
      </c>
      <c r="I3610" s="1" t="str">
        <f ca="1">IFERROR(__xludf.DUMMYFUNCTION("GOOGLETRANSLATE(F3610, ""auto"", ""en"")
"),"Great car I'm happy with this purchase")</f>
        <v>Great car I'm happy with this purchase</v>
      </c>
    </row>
    <row r="3611" spans="1:9" x14ac:dyDescent="0.3">
      <c r="A3611" s="1" t="s">
        <v>120</v>
      </c>
      <c r="B3611" s="1" t="s">
        <v>121</v>
      </c>
      <c r="C3611" s="1" t="s">
        <v>69</v>
      </c>
      <c r="D3611" s="1" t="s">
        <v>86</v>
      </c>
      <c r="E3611" s="1" t="s">
        <v>2231</v>
      </c>
      <c r="F3611" s="1" t="s">
        <v>6473</v>
      </c>
      <c r="G3611" s="1" t="s">
        <v>36</v>
      </c>
      <c r="H3611" s="1" t="s">
        <v>29</v>
      </c>
      <c r="I3611" s="1" t="str">
        <f ca="1">IFERROR(__xludf.DUMMYFUNCTION("GOOGLETRANSLATE(F3611, ""auto"", ""en"")
"),"Please describe in your reviews the changes after flashing this TV model. (For those who reflash)")</f>
        <v>Please describe in your reviews the changes after flashing this TV model. (For those who reflash)</v>
      </c>
    </row>
    <row r="3612" spans="1:9" x14ac:dyDescent="0.3">
      <c r="A3612" s="1" t="s">
        <v>37</v>
      </c>
      <c r="B3612" s="1" t="s">
        <v>38</v>
      </c>
      <c r="C3612" s="1" t="s">
        <v>163</v>
      </c>
      <c r="D3612" s="1" t="s">
        <v>152</v>
      </c>
      <c r="E3612" s="1" t="s">
        <v>3203</v>
      </c>
      <c r="F3612" s="1" t="s">
        <v>6474</v>
      </c>
      <c r="G3612" s="1" t="s">
        <v>36</v>
      </c>
      <c r="H3612" s="1" t="s">
        <v>29</v>
      </c>
      <c r="I3612" s="1" t="str">
        <f ca="1">IFERROR(__xludf.DUMMYFUNCTION("GOOGLETRANSLATE(F3612, ""auto"", ""en"")
"),"The device is ok, loud, stylish and inexpensive, one minus is Romanian production")</f>
        <v>The device is ok, loud, stylish and inexpensive, one minus is Romanian production</v>
      </c>
    </row>
    <row r="3613" spans="1:9" x14ac:dyDescent="0.3">
      <c r="A3613" s="1" t="s">
        <v>9</v>
      </c>
      <c r="B3613" s="1" t="s">
        <v>137</v>
      </c>
      <c r="C3613" s="1" t="s">
        <v>466</v>
      </c>
      <c r="D3613" s="1" t="s">
        <v>943</v>
      </c>
      <c r="E3613" s="1" t="s">
        <v>6475</v>
      </c>
      <c r="F3613" s="1" t="s">
        <v>6476</v>
      </c>
      <c r="G3613" s="1" t="s">
        <v>36</v>
      </c>
      <c r="H3613" s="1" t="s">
        <v>29</v>
      </c>
      <c r="I3613" s="1" t="str">
        <f ca="1">IFERROR(__xludf.DUMMYFUNCTION("GOOGLETRANSLATE(F3613, ""auto"", ""en"")
"),"It’s convenient to cook and wash, it takes up little space, and cooking on it is very convenient for an ordinary family. the design is made so that there are no protrusions at most, except for the front panel, where there are regulators. I specifically bo"&amp;"ught one with convex controls, because sensors are evil, especially if a cat walks around the house - it can be turned on by accidentally stepping on the sensor. Well, since this panel is a gift for my mother, the knobs are more convenient for her.")</f>
        <v>It’s convenient to cook and wash, it takes up little space, and cooking on it is very convenient for an ordinary family. the design is made so that there are no protrusions at most, except for the front panel, where there are regulators. I specifically bought one with convex controls, because sensors are evil, especially if a cat walks around the house - it can be turned on by accidentally stepping on the sensor. Well, since this panel is a gift for my mother, the knobs are more convenient for her.</v>
      </c>
    </row>
    <row r="3614" spans="1:9" x14ac:dyDescent="0.3">
      <c r="A3614" s="1" t="s">
        <v>211</v>
      </c>
      <c r="B3614" s="1" t="s">
        <v>2818</v>
      </c>
      <c r="C3614" s="1" t="s">
        <v>213</v>
      </c>
      <c r="D3614" s="1" t="s">
        <v>420</v>
      </c>
      <c r="E3614" s="1" t="s">
        <v>5161</v>
      </c>
      <c r="F3614" s="1" t="s">
        <v>6477</v>
      </c>
      <c r="G3614" s="1" t="s">
        <v>36</v>
      </c>
      <c r="H3614" s="1" t="s">
        <v>29</v>
      </c>
      <c r="I3614" s="1" t="str">
        <f ca="1">IFERROR(__xludf.DUMMYFUNCTION("GOOGLETRANSLATE(F3614, ""auto"", ""en"")
"),"I've been using this razor for 6 years now. No complaints. True, in the last two years the battery began to fail. Its operating time is getting shorter and shorter. And the speed of work without a network connection leaves much to be desired. Time takes i"&amp;"ts toll! Now I shave only from the network.  The cutting unit is too expensive. To be fair, I must say that it lasts me consistently for 2 years (I shave every other day). The metal mesh is rubbed to holes (yes, it rubs against the face!). Some kind of de"&amp;"licate (or thin) metal.")</f>
        <v>I've been using this razor for 6 years now. No complaints. True, in the last two years the battery began to fail. Its operating time is getting shorter and shorter. And the speed of work without a network connection leaves much to be desired. Time takes its toll! Now I shave only from the network.  The cutting unit is too expensive. To be fair, I must say that it lasts me consistently for 2 years (I shave every other day). The metal mesh is rubbed to holes (yes, it rubs against the face!). Some kind of delicate (or thin) metal.</v>
      </c>
    </row>
    <row r="3615" spans="1:9" x14ac:dyDescent="0.3">
      <c r="A3615" s="1" t="s">
        <v>105</v>
      </c>
      <c r="B3615" s="1" t="s">
        <v>106</v>
      </c>
      <c r="C3615" s="1" t="s">
        <v>1209</v>
      </c>
      <c r="D3615" s="1" t="s">
        <v>12</v>
      </c>
      <c r="E3615" s="1" t="s">
        <v>460</v>
      </c>
      <c r="F3615" s="1" t="s">
        <v>6478</v>
      </c>
      <c r="G3615" s="1" t="s">
        <v>49</v>
      </c>
      <c r="H3615" s="1" t="s">
        <v>16</v>
      </c>
      <c r="I3615" s="1" t="str">
        <f ca="1">IFERROR(__xludf.DUMMYFUNCTION("GOOGLETRANSLATE(F3615, ""auto"", ""en"")
"),"An excellent player that I was delighted with, but it only lasted a week and he died. He was not treated harshly, there were no falls or blows. Now I regret that I bought it at all.")</f>
        <v>An excellent player that I was delighted with, but it only lasted a week and he died. He was not treated harshly, there were no falls or blows. Now I regret that I bought it at all.</v>
      </c>
    </row>
    <row r="3616" spans="1:9" x14ac:dyDescent="0.3">
      <c r="A3616" s="1" t="s">
        <v>9</v>
      </c>
      <c r="B3616" s="1" t="s">
        <v>137</v>
      </c>
      <c r="C3616" s="1" t="s">
        <v>466</v>
      </c>
      <c r="D3616" s="1" t="s">
        <v>2145</v>
      </c>
      <c r="E3616" s="1" t="s">
        <v>5790</v>
      </c>
      <c r="F3616" s="1" t="s">
        <v>6479</v>
      </c>
      <c r="G3616" s="1" t="s">
        <v>28</v>
      </c>
      <c r="H3616" s="1" t="s">
        <v>29</v>
      </c>
      <c r="I3616" s="1" t="str">
        <f ca="1">IFERROR(__xludf.DUMMYFUNCTION("GOOGLETRANSLATE(F3616, ""auto"", ""en"")
"),"Nice panel. Electric ignition is a little difficult.")</f>
        <v>Nice panel. Electric ignition is a little difficult.</v>
      </c>
    </row>
    <row r="3617" spans="1:9" x14ac:dyDescent="0.3">
      <c r="A3617" s="1" t="s">
        <v>111</v>
      </c>
      <c r="B3617" s="1" t="s">
        <v>112</v>
      </c>
      <c r="C3617" s="1" t="s">
        <v>1230</v>
      </c>
      <c r="D3617" s="1" t="s">
        <v>127</v>
      </c>
      <c r="E3617" s="1" t="s">
        <v>4939</v>
      </c>
      <c r="F3617" s="1" t="s">
        <v>6480</v>
      </c>
      <c r="G3617" s="1" t="s">
        <v>36</v>
      </c>
      <c r="H3617" s="1" t="s">
        <v>29</v>
      </c>
      <c r="I3617" s="1" t="str">
        <f ca="1">IFERROR(__xludf.DUMMYFUNCTION("GOOGLETRANSLATE(F3617, ""auto"", ""en"")
"),"Mine is at least five years old, a decent period of service, and there are no complaints about the work.")</f>
        <v>Mine is at least five years old, a decent period of service, and there are no complaints about the work.</v>
      </c>
    </row>
    <row r="3618" spans="1:9" x14ac:dyDescent="0.3">
      <c r="A3618" s="1" t="s">
        <v>43</v>
      </c>
      <c r="B3618" s="1" t="s">
        <v>4743</v>
      </c>
      <c r="C3618" s="1" t="s">
        <v>80</v>
      </c>
      <c r="D3618" s="1" t="s">
        <v>64</v>
      </c>
      <c r="E3618" s="1" t="s">
        <v>128</v>
      </c>
      <c r="F3618" s="1" t="s">
        <v>6481</v>
      </c>
      <c r="G3618" s="1" t="s">
        <v>36</v>
      </c>
      <c r="H3618" s="1" t="s">
        <v>29</v>
      </c>
      <c r="I3618" s="1" t="str">
        <f ca="1">IFERROR(__xludf.DUMMYFUNCTION("GOOGLETRANSLATE(F3618, ""auto"", ""en"")
"),"Good air conditioning. It performs its function - cooling the apartment - perfectly. It is located in a large room, cools the corridor, the kitchen and another smaller room. I consider it a disadvantage that the display on the remote control is not backli"&amp;"t. We wanted to buy a more expensive model, but now I’m even glad that it wasn’t on sale at that time.")</f>
        <v>Good air conditioning. It performs its function - cooling the apartment - perfectly. It is located in a large room, cools the corridor, the kitchen and another smaller room. I consider it a disadvantage that the display on the remote control is not backlit. We wanted to buy a more expensive model, but now I’m even glad that it wasn’t on sale at that time.</v>
      </c>
    </row>
    <row r="3619" spans="1:9" x14ac:dyDescent="0.3">
      <c r="A3619" s="1" t="s">
        <v>811</v>
      </c>
      <c r="B3619" s="1" t="s">
        <v>1599</v>
      </c>
      <c r="C3619" s="1" t="s">
        <v>1600</v>
      </c>
      <c r="D3619" s="1" t="s">
        <v>1416</v>
      </c>
      <c r="E3619" s="1" t="s">
        <v>4363</v>
      </c>
      <c r="F3619" s="1" t="s">
        <v>6482</v>
      </c>
      <c r="G3619" s="1" t="s">
        <v>36</v>
      </c>
      <c r="H3619" s="1" t="s">
        <v>29</v>
      </c>
      <c r="I3619" s="1" t="str">
        <f ca="1">IFERROR(__xludf.DUMMYFUNCTION("GOOGLETRANSLATE(F3619, ""auto"", ""en"")
"),"I bought a camera for Nikon L110, it fits perfectly, as if it was made for it, the quality is cool, there is a strap to carry on the shoulder and a pocket where batteries and memory cards will fit, and that you can carry it comfortably in your hand")</f>
        <v>I bought a camera for Nikon L110, it fits perfectly, as if it was made for it, the quality is cool, there is a strap to carry on the shoulder and a pocket where batteries and memory cards will fit, and that you can carry it comfortably in your hand</v>
      </c>
    </row>
    <row r="3620" spans="1:9" x14ac:dyDescent="0.3">
      <c r="A3620" s="1" t="s">
        <v>149</v>
      </c>
      <c r="B3620" s="1" t="s">
        <v>576</v>
      </c>
      <c r="C3620" s="1" t="s">
        <v>151</v>
      </c>
      <c r="D3620" s="1" t="s">
        <v>2764</v>
      </c>
      <c r="E3620" s="1" t="s">
        <v>2006</v>
      </c>
      <c r="F3620" s="1" t="s">
        <v>6483</v>
      </c>
      <c r="G3620" s="1" t="s">
        <v>36</v>
      </c>
      <c r="H3620" s="1" t="s">
        <v>29</v>
      </c>
      <c r="I3620" s="1" t="str">
        <f ca="1">IFERROR(__xludf.DUMMYFUNCTION("GOOGLETRANSLATE(F3620, ""auto"", ""en"")
"),"The vacuum cleaner really lived up to its specifications, very powerful. I'm satisfied!")</f>
        <v>The vacuum cleaner really lived up to its specifications, very powerful. I'm satisfied!</v>
      </c>
    </row>
    <row r="3621" spans="1:9" x14ac:dyDescent="0.3">
      <c r="A3621" s="1" t="s">
        <v>519</v>
      </c>
      <c r="B3621" s="1" t="s">
        <v>520</v>
      </c>
      <c r="C3621" s="1" t="s">
        <v>3571</v>
      </c>
      <c r="D3621" s="1" t="s">
        <v>127</v>
      </c>
      <c r="E3621" s="1" t="s">
        <v>6484</v>
      </c>
      <c r="F3621" s="1" t="s">
        <v>6485</v>
      </c>
      <c r="G3621" s="1" t="s">
        <v>49</v>
      </c>
      <c r="H3621" s="1" t="s">
        <v>16</v>
      </c>
      <c r="I3621" s="1" t="str">
        <f ca="1">IFERROR(__xludf.DUMMYFUNCTION("GOOGLETRANSLATE(F3621, ""auto"", ""en"")
"),"Good design, good packaging that protects the product well from damage during transportation. There are a number of interesting and convenient solutions, such as: the presence of holes (large and small) in the lids of pots and ladles - replaces a colander"&amp;", spouts for draining on pots and ladles. A 25-year guarantee is declared (for stainless steel cookware), triple bottom.")</f>
        <v>Good design, good packaging that protects the product well from damage during transportation. There are a number of interesting and convenient solutions, such as: the presence of holes (large and small) in the lids of pots and ladles - replaces a colander, spouts for draining on pots and ladles. A 25-year guarantee is declared (for stainless steel cookware), triple bottom.</v>
      </c>
    </row>
    <row r="3622" spans="1:9" x14ac:dyDescent="0.3">
      <c r="A3622" s="1" t="s">
        <v>732</v>
      </c>
      <c r="B3622" s="1" t="s">
        <v>733</v>
      </c>
      <c r="C3622" s="1" t="s">
        <v>80</v>
      </c>
      <c r="D3622" s="1" t="s">
        <v>561</v>
      </c>
      <c r="E3622" s="1" t="s">
        <v>540</v>
      </c>
      <c r="F3622" s="1" t="s">
        <v>6486</v>
      </c>
      <c r="G3622" s="1" t="s">
        <v>36</v>
      </c>
      <c r="H3622" s="1" t="s">
        <v>29</v>
      </c>
      <c r="I3622" s="1" t="str">
        <f ca="1">IFERROR(__xludf.DUMMYFUNCTION("GOOGLETRANSLATE(F3622, ""auto"", ""en"")
"),"Monique great")</f>
        <v>Monique great</v>
      </c>
    </row>
    <row r="3623" spans="1:9" x14ac:dyDescent="0.3">
      <c r="A3623" s="1" t="s">
        <v>30</v>
      </c>
      <c r="B3623" s="1" t="s">
        <v>50</v>
      </c>
      <c r="C3623" s="1" t="s">
        <v>1003</v>
      </c>
      <c r="D3623" s="1" t="s">
        <v>64</v>
      </c>
      <c r="E3623" s="1" t="s">
        <v>1315</v>
      </c>
      <c r="F3623" s="1" t="s">
        <v>6487</v>
      </c>
      <c r="G3623" s="1" t="s">
        <v>28</v>
      </c>
      <c r="H3623" s="1" t="s">
        <v>29</v>
      </c>
      <c r="I3623" s="1" t="str">
        <f ca="1">IFERROR(__xludf.DUMMYFUNCTION("GOOGLETRANSLATE(F3623, ""auto"", ""en"")
"),"I really like the laptop, there are only two drawbacks: it gets hot and the battery does not last more than 2 hours, you have to sit at the outlet.")</f>
        <v>I really like the laptop, there are only two drawbacks: it gets hot and the battery does not last more than 2 hours, you have to sit at the outlet.</v>
      </c>
    </row>
    <row r="3624" spans="1:9" x14ac:dyDescent="0.3">
      <c r="A3624" s="1" t="s">
        <v>67</v>
      </c>
      <c r="B3624" s="1" t="s">
        <v>68</v>
      </c>
      <c r="C3624" s="1" t="s">
        <v>69</v>
      </c>
      <c r="D3624" s="1" t="s">
        <v>3820</v>
      </c>
      <c r="E3624" s="1" t="s">
        <v>1201</v>
      </c>
      <c r="F3624" s="1" t="s">
        <v>6488</v>
      </c>
      <c r="G3624" s="1" t="s">
        <v>28</v>
      </c>
      <c r="H3624" s="1" t="s">
        <v>29</v>
      </c>
      <c r="I3624" s="1" t="str">
        <f ca="1">IFERROR(__xludf.DUMMYFUNCTION("GOOGLETRANSLATE(F3624, ""auto"", ""en"")
"),"I've been using it for 2 years. The iron irons well. most often on max with steam. If it doesn’t smooth out, then I spray it with some water and everything is fine!")</f>
        <v>I've been using it for 2 years. The iron irons well. most often on max with steam. If it doesn’t smooth out, then I spray it with some water and everything is fine!</v>
      </c>
    </row>
    <row r="3625" spans="1:9" x14ac:dyDescent="0.3">
      <c r="A3625" s="1" t="s">
        <v>61</v>
      </c>
      <c r="B3625" s="1" t="s">
        <v>73</v>
      </c>
      <c r="C3625" s="1" t="s">
        <v>314</v>
      </c>
      <c r="D3625" s="1" t="s">
        <v>2045</v>
      </c>
      <c r="E3625" s="1" t="s">
        <v>5810</v>
      </c>
      <c r="F3625" s="1" t="s">
        <v>6489</v>
      </c>
      <c r="G3625" s="1" t="s">
        <v>15</v>
      </c>
      <c r="H3625" s="1" t="s">
        <v>16</v>
      </c>
      <c r="I3625" s="1" t="str">
        <f ca="1">IFERROR(__xludf.DUMMYFUNCTION("GOOGLETRANSLATE(F3625, ""auto"", ""en"")
"),"I ordered one, they delivered it. At the first try I was disappointed. It seems that her knives are completely dull; she doesn’t cut the meat, but crushes it into some kind of mush.")</f>
        <v>I ordered one, they delivered it. At the first try I was disappointed. It seems that her knives are completely dull; she doesn’t cut the meat, but crushes it into some kind of mush.</v>
      </c>
    </row>
    <row r="3626" spans="1:9" x14ac:dyDescent="0.3">
      <c r="A3626" s="1" t="s">
        <v>30</v>
      </c>
      <c r="B3626" s="1" t="s">
        <v>31</v>
      </c>
      <c r="C3626" s="1" t="s">
        <v>32</v>
      </c>
      <c r="D3626" s="1" t="s">
        <v>6490</v>
      </c>
      <c r="E3626" s="1" t="s">
        <v>1723</v>
      </c>
      <c r="F3626" s="1" t="s">
        <v>6491</v>
      </c>
      <c r="G3626" s="1" t="s">
        <v>36</v>
      </c>
      <c r="H3626" s="1" t="s">
        <v>29</v>
      </c>
      <c r="I3626" s="1" t="str">
        <f ca="1">IFERROR(__xludf.DUMMYFUNCTION("GOOGLETRANSLATE(F3626, ""auto"", ""en"")
"),"Adequate to the price of 16k. model, I'm happy, I've been using it for two weeks at the time of review. The dimensions are similar to the Xbox 360, while the latest games (Stalker, Code, Star Wars, Redaction, Avatar) are max. resolutions (HD monitor) are "&amp;"more than playable, naturally not at max. settings, but when the resolution is lowered everything runs very, very well.   I give the indices in 7: memory 5.5, disk 5.9, games 6.5 (!). Quiet, compared to big scary boxes - shield the laptop, but not so hot "&amp;"and hot. It may well become a media player.   From the comments: there is no VGA output, there is only 2 gigs of RAM, but so far there is no shortage of it, the video card itself pulls everything out of its gig, it’s unlikely to be able to put anything in"&amp;" the case, everything is back to back, however, I took it by the case.   Filling: 7 home. It can be taken down and installed as needed without any problems. Operations with the screw without problems.")</f>
        <v>Adequate to the price of 16k. model, I'm happy, I've been using it for two weeks at the time of review. The dimensions are similar to the Xbox 360, while the latest games (Stalker, Code, Star Wars, Redaction, Avatar) are max. resolutions (HD monitor) are more than playable, naturally not at max. settings, but when the resolution is lowered everything runs very, very well.   I give the indices in 7: memory 5.5, disk 5.9, games 6.5 (!). Quiet, compared to big scary boxes - shield the laptop, but not so hot and hot. It may well become a media player.   From the comments: there is no VGA output, there is only 2 gigs of RAM, but so far there is no shortage of it, the video card itself pulls everything out of its gig, it’s unlikely to be able to put anything in the case, everything is back to back, however, I took it by the case.   Filling: 7 home. It can be taken down and installed as needed without any problems. Operations with the screw without problems.</v>
      </c>
    </row>
    <row r="3627" spans="1:9" x14ac:dyDescent="0.3">
      <c r="A3627" s="1" t="s">
        <v>624</v>
      </c>
      <c r="B3627" s="1" t="s">
        <v>625</v>
      </c>
      <c r="C3627" s="1" t="s">
        <v>479</v>
      </c>
      <c r="D3627" s="1" t="s">
        <v>117</v>
      </c>
      <c r="E3627" s="1" t="s">
        <v>1586</v>
      </c>
      <c r="F3627" s="1" t="s">
        <v>6492</v>
      </c>
      <c r="G3627" s="1" t="s">
        <v>36</v>
      </c>
      <c r="H3627" s="1" t="s">
        <v>29</v>
      </c>
      <c r="I3627" s="1" t="str">
        <f ca="1">IFERROR(__xludf.DUMMYFUNCTION("GOOGLETRANSLATE(F3627, ""auto"", ""en"")
"),"The game is the best ever released on PS3; there haven’t been such good games since Wolfenstein and Half Live 2. It’s not even a game, it’s like an interactive movie in which you are the main character! 4 roles, 4 lives, 4 destinies, 4 days...")</f>
        <v>The game is the best ever released on PS3; there haven’t been such good games since Wolfenstein and Half Live 2. It’s not even a game, it’s like an interactive movie in which you are the main character! 4 roles, 4 lives, 4 destinies, 4 days...</v>
      </c>
    </row>
    <row r="3628" spans="1:9" x14ac:dyDescent="0.3">
      <c r="A3628" s="1" t="s">
        <v>17</v>
      </c>
      <c r="B3628" s="1" t="s">
        <v>18</v>
      </c>
      <c r="C3628" s="1" t="s">
        <v>80</v>
      </c>
      <c r="D3628" s="1" t="s">
        <v>127</v>
      </c>
      <c r="E3628" s="1" t="s">
        <v>1553</v>
      </c>
      <c r="F3628" s="1" t="s">
        <v>6493</v>
      </c>
      <c r="G3628" s="1" t="s">
        <v>36</v>
      </c>
      <c r="H3628" s="1" t="s">
        <v>29</v>
      </c>
      <c r="I3628" s="1" t="str">
        <f ca="1">IFERROR(__xludf.DUMMYFUNCTION("GOOGLETRANSLATE(F3628, ""auto"", ""en"")
"),"Nice car! At first they installed it incorrectly, it jumped around the bathtub. Then we leveled it, when spinning, you put a glass of water, the water does not splash out.    No more comments! Install correctly right away, otherwise it won’t last long!")</f>
        <v>Nice car! At first they installed it incorrectly, it jumped around the bathtub. Then we leveled it, when spinning, you put a glass of water, the water does not splash out.    No more comments! Install correctly right away, otherwise it won’t last long!</v>
      </c>
    </row>
    <row r="3629" spans="1:9" x14ac:dyDescent="0.3">
      <c r="A3629" s="1" t="s">
        <v>17</v>
      </c>
      <c r="B3629" s="1" t="s">
        <v>18</v>
      </c>
      <c r="C3629" s="1" t="s">
        <v>151</v>
      </c>
      <c r="D3629" s="1" t="s">
        <v>33</v>
      </c>
      <c r="E3629" s="1" t="s">
        <v>5800</v>
      </c>
      <c r="F3629" s="1" t="s">
        <v>6494</v>
      </c>
      <c r="G3629" s="1" t="s">
        <v>49</v>
      </c>
      <c r="H3629" s="1" t="s">
        <v>16</v>
      </c>
      <c r="I3629" s="1" t="str">
        <f ca="1">IFERROR(__xludf.DUMMYFUNCTION("GOOGLETRANSLATE(F3629, ""auto"", ""en"")
"),"I really do not recommend buying this car!!! In the third year of operation the machine broke down. Water has stopped draining from the tank. At first they decided to repair it, but they read it on the forums and realized that it was useless, the breakdow"&amp;"ns could appear again.   In addition, the machine jumps and rattles a lot when spinning, although it is installed correctly.  From time to time some errors occur and the machine freezes.")</f>
        <v>I really do not recommend buying this car!!! In the third year of operation the machine broke down. Water has stopped draining from the tank. At first they decided to repair it, but they read it on the forums and realized that it was useless, the breakdowns could appear again.   In addition, the machine jumps and rattles a lot when spinning, although it is installed correctly.  From time to time some errors occur and the machine freezes.</v>
      </c>
    </row>
    <row r="3630" spans="1:9" x14ac:dyDescent="0.3">
      <c r="A3630" s="1" t="s">
        <v>37</v>
      </c>
      <c r="B3630" s="1" t="s">
        <v>38</v>
      </c>
      <c r="C3630" s="1" t="s">
        <v>151</v>
      </c>
      <c r="D3630" s="1" t="s">
        <v>385</v>
      </c>
      <c r="E3630" s="1" t="s">
        <v>5241</v>
      </c>
      <c r="F3630" s="1" t="s">
        <v>6495</v>
      </c>
      <c r="G3630" s="1" t="s">
        <v>36</v>
      </c>
      <c r="H3630" s="1" t="s">
        <v>29</v>
      </c>
      <c r="I3630" s="1" t="str">
        <f ca="1">IFERROR(__xludf.DUMMYFUNCTION("GOOGLETRANSLATE(F3630, ""auto"", ""en"")
"),"- I’ve been using this phone for a year now, I bought it from M.video. No comments.  - I spent a long time choosing a beautiful, functional phone with a good camera. When I saw this model, I didn’t look at others anymore, and when I picked it up in the st"&amp;"ore, I fell in love once and for all!  - Advantages: very good camera (flash, autofocus, panorama), convenient menu, stylish design, and many more pleasant little things :) I haven’t noticed any disadvantages yet.  - I recommend it!")</f>
        <v>- I’ve been using this phone for a year now, I bought it from M.video. No comments.  - I spent a long time choosing a beautiful, functional phone with a good camera. When I saw this model, I didn’t look at others anymore, and when I picked it up in the store, I fell in love once and for all!  - Advantages: very good camera (flash, autofocus, panorama), convenient menu, stylish design, and many more pleasant little things :) I haven’t noticed any disadvantages yet.  - I recommend it!</v>
      </c>
    </row>
    <row r="3631" spans="1:9" x14ac:dyDescent="0.3">
      <c r="A3631" s="1" t="s">
        <v>43</v>
      </c>
      <c r="B3631" s="1" t="s">
        <v>219</v>
      </c>
      <c r="C3631" s="1" t="s">
        <v>665</v>
      </c>
      <c r="D3631" s="1" t="s">
        <v>208</v>
      </c>
      <c r="E3631" s="1" t="s">
        <v>6496</v>
      </c>
      <c r="F3631" s="1" t="s">
        <v>6497</v>
      </c>
      <c r="G3631" s="1" t="s">
        <v>36</v>
      </c>
      <c r="H3631" s="1" t="s">
        <v>29</v>
      </c>
      <c r="I3631" s="1" t="str">
        <f ca="1">IFERROR(__xludf.DUMMYFUNCTION("GOOGLETRANSLATE(F3631, ""auto"", ""en"")
"),"I bought it yesterday on sale, installed it right away, and fit it into the cabinet under the sink. In 10 minutes there is hot water from the kitchen tap!!!! HURRAY!!!! A dream come true!!!!! I'm incredibly pleased with the purchase))))))) Only positive e"&amp;"motions!!!!!")</f>
        <v>I bought it yesterday on sale, installed it right away, and fit it into the cabinet under the sink. In 10 minutes there is hot water from the kitchen tap!!!! HURRAY!!!! A dream come true!!!!! I'm incredibly pleased with the purchase))))))) Only positive emotions!!!!!</v>
      </c>
    </row>
    <row r="3632" spans="1:9" x14ac:dyDescent="0.3">
      <c r="A3632" s="1" t="s">
        <v>61</v>
      </c>
      <c r="B3632" s="1" t="s">
        <v>318</v>
      </c>
      <c r="C3632" s="1" t="s">
        <v>69</v>
      </c>
      <c r="D3632" s="1" t="s">
        <v>113</v>
      </c>
      <c r="E3632" s="1" t="s">
        <v>1553</v>
      </c>
      <c r="F3632" s="1" t="s">
        <v>6498</v>
      </c>
      <c r="G3632" s="1" t="s">
        <v>36</v>
      </c>
      <c r="H3632" s="1" t="s">
        <v>29</v>
      </c>
      <c r="I3632" s="1" t="str">
        <f ca="1">IFERROR(__xludf.DUMMYFUNCTION("GOOGLETRANSLATE(F3632, ""auto"", ""en"")
"),"I spent a very long time choosing a kettle, read a lot of comments... and decided to buy Philips HD 4659/04, I don’t regret it at all!! silent, powerful, doesn’t smell like plastic, easy to open the lid and through the glass you can see how quickly the wa"&amp;"ter boils. I was very pleased with everyone!!")</f>
        <v>I spent a very long time choosing a kettle, read a lot of comments... and decided to buy Philips HD 4659/04, I don’t regret it at all!! silent, powerful, doesn’t smell like plastic, easy to open the lid and through the glass you can see how quickly the water boils. I was very pleased with everyone!!</v>
      </c>
    </row>
    <row r="3633" spans="1:9" x14ac:dyDescent="0.3">
      <c r="A3633" s="1" t="s">
        <v>30</v>
      </c>
      <c r="B3633" s="1" t="s">
        <v>50</v>
      </c>
      <c r="C3633" s="1" t="s">
        <v>189</v>
      </c>
      <c r="D3633" s="1" t="s">
        <v>117</v>
      </c>
      <c r="E3633" s="1" t="s">
        <v>201</v>
      </c>
      <c r="F3633" s="1" t="s">
        <v>6499</v>
      </c>
      <c r="G3633" s="1" t="s">
        <v>28</v>
      </c>
      <c r="H3633" s="1" t="s">
        <v>29</v>
      </c>
      <c r="I3633" s="1" t="str">
        <f ca="1">IFERROR(__xludf.DUMMYFUNCTION("GOOGLETRANSLATE(F3633, ""auto"", ""en"")
"),"I bought this a week and a half ago. Less than a week after the purchase, immediately after turning it on and loading the game, I noticed brakes that were not there the day before. While I was leaving the game, it turned off spontaneously. Refused to rest"&amp;"art. It was VERY hot. It stood for a while, started up, worked for about 5 minutes and turned off again, and so on for half a day. I think there was a defect in the cooling system (I didn't hear the cooler).  On the same day I went to the store and exchan"&amp;"ged it for the same one. 3 days have passed, no complaints so far. I hope it was an isolated incident.")</f>
        <v>I bought this a week and a half ago. Less than a week after the purchase, immediately after turning it on and loading the game, I noticed brakes that were not there the day before. While I was leaving the game, it turned off spontaneously. Refused to restart. It was VERY hot. It stood for a while, started up, worked for about 5 minutes and turned off again, and so on for half a day. I think there was a defect in the cooling system (I didn't hear the cooler).  On the same day I went to the store and exchanged it for the same one. 3 days have passed, no complaints so far. I hope it was an isolated incident.</v>
      </c>
    </row>
    <row r="3634" spans="1:9" x14ac:dyDescent="0.3">
      <c r="A3634" s="1" t="s">
        <v>55</v>
      </c>
      <c r="B3634" s="1" t="s">
        <v>56</v>
      </c>
      <c r="C3634" s="1" t="s">
        <v>85</v>
      </c>
      <c r="D3634" s="1" t="s">
        <v>228</v>
      </c>
      <c r="E3634" s="1" t="s">
        <v>4330</v>
      </c>
      <c r="F3634" s="1" t="s">
        <v>6500</v>
      </c>
      <c r="G3634" s="1" t="s">
        <v>36</v>
      </c>
      <c r="H3634" s="1" t="s">
        <v>29</v>
      </c>
      <c r="I3634" s="1" t="str">
        <f ca="1">IFERROR(__xludf.DUMMYFUNCTION("GOOGLETRANSLATE(F3634, ""auto"", ""en"")
"),"We have been using the Bork H700 air humidifier for four years now, and I can say that for the money it is practically a must-have for anyone who wants to create a healthy climate in their apartment or home in winter. Everyone knows that usually when the "&amp;"heating is on, the humidity drops significantly, which is clearly not good for health, and this dryness is felt by both adults and children. But once we started using the humidifier, it even became somehow more pleasant to breathe at home. The device is e"&amp;"asy to use, you just need to remember to add water to it. On the other hand, without water it will not turn on itself, so safety is at its best. It consumes very little energy, and there is no noise at all, such is the design here.")</f>
        <v>We have been using the Bork H700 air humidifier for four years now, and I can say that for the money it is practically a must-have for anyone who wants to create a healthy climate in their apartment or home in winter. Everyone knows that usually when the heating is on, the humidity drops significantly, which is clearly not good for health, and this dryness is felt by both adults and children. But once we started using the humidifier, it even became somehow more pleasant to breathe at home. The device is easy to use, you just need to remember to add water to it. On the other hand, without water it will not turn on itself, so safety is at its best. It consumes very little energy, and there is no noise at all, such is the design here.</v>
      </c>
    </row>
    <row r="3635" spans="1:9" x14ac:dyDescent="0.3">
      <c r="A3635" s="1" t="s">
        <v>206</v>
      </c>
      <c r="B3635" s="1" t="s">
        <v>207</v>
      </c>
      <c r="C3635" s="1" t="s">
        <v>1143</v>
      </c>
      <c r="D3635" s="1" t="s">
        <v>114</v>
      </c>
      <c r="E3635" s="1" t="s">
        <v>3960</v>
      </c>
      <c r="F3635" s="1" t="s">
        <v>6501</v>
      </c>
      <c r="G3635" s="1" t="s">
        <v>36</v>
      </c>
      <c r="H3635" s="1" t="s">
        <v>29</v>
      </c>
      <c r="I3635" s="1" t="str">
        <f ca="1">IFERROR(__xludf.DUMMYFUNCTION("GOOGLETRANSLATE(F3635, ""auto"", ""en"")
"),"My question is which amplifier is suitable for this subwoofer?       ▶▶▶EXPERT ANSWER “M.VIDEO”◀◀◀ Ivan, a lot depends on the body type of your car. Take a closer look at these models: 1) car amplifier (1 channel) Kicx AR 1.350 2) car amplifier (1 channel"&amp;") Pioneer GM-D8601;   3) Car amplifier (2 channels) Kicx KAP-27, this model is not the most powerful, perfect for a hatchback (use a bridge connection).")</f>
        <v>My question is which amplifier is suitable for this subwoofer?       ▶▶▶EXPERT ANSWER “M.VIDEO”◀◀◀ Ivan, a lot depends on the body type of your car. Take a closer look at these models: 1) car amplifier (1 channel) Kicx AR 1.350 2) car amplifier (1 channel) Pioneer GM-D8601;   3) Car amplifier (2 channels) Kicx KAP-27, this model is not the most powerful, perfect for a hatchback (use a bridge connection).</v>
      </c>
    </row>
    <row r="3636" spans="1:9" x14ac:dyDescent="0.3">
      <c r="A3636" s="1" t="s">
        <v>373</v>
      </c>
      <c r="B3636" s="1" t="s">
        <v>374</v>
      </c>
      <c r="C3636" s="1" t="s">
        <v>63</v>
      </c>
      <c r="D3636" s="1" t="s">
        <v>1431</v>
      </c>
      <c r="E3636" s="1" t="s">
        <v>750</v>
      </c>
      <c r="F3636" s="1" t="s">
        <v>6502</v>
      </c>
      <c r="G3636" s="1" t="s">
        <v>36</v>
      </c>
      <c r="H3636" s="1" t="s">
        <v>29</v>
      </c>
      <c r="I3636" s="1" t="str">
        <f ca="1">IFERROR(__xludf.DUMMYFUNCTION("GOOGLETRANSLATE(F3636, ""auto"", ""en"")
"),"The wife is very pleased - she washes perfectly and without problems")</f>
        <v>The wife is very pleased - she washes perfectly and without problems</v>
      </c>
    </row>
    <row r="3637" spans="1:9" x14ac:dyDescent="0.3">
      <c r="A3637" s="1" t="s">
        <v>37</v>
      </c>
      <c r="B3637" s="1" t="s">
        <v>1829</v>
      </c>
      <c r="C3637" s="1" t="s">
        <v>151</v>
      </c>
      <c r="D3637" s="1" t="s">
        <v>75</v>
      </c>
      <c r="E3637" s="1" t="s">
        <v>796</v>
      </c>
      <c r="F3637" s="1" t="s">
        <v>6503</v>
      </c>
      <c r="G3637" s="1" t="s">
        <v>28</v>
      </c>
      <c r="H3637" s="1" t="s">
        <v>29</v>
      </c>
      <c r="I3637" s="1" t="str">
        <f ca="1">IFERROR(__xludf.DUMMYFUNCTION("GOOGLETRANSLATE(F3637, ""auto"", ""en"")
"),"I have been using the device for 1.5 months. Overall satisfied. I regretted that I updated Android Kitkat to Android Lollipop (too exclusive and poisonous colors, the first one is calmer). I didn’t like that when you adjust the volume swing, the thumb on "&amp;"the opposite side very often presses the On button and the screen goes blank. For me, it would be better if Reset was on top of the device.   Once I dropped glass onto the asphalt directly from my height - not a scratch!   Well, the cover would be better "&amp;"if it folded down rather than to the side.  And so - see for yourself) In terms of productivity and quality - everything is 100%. In my opinion, only the ergonomics are lame...")</f>
        <v>I have been using the device for 1.5 months. Overall satisfied. I regretted that I updated Android Kitkat to Android Lollipop (too exclusive and poisonous colors, the first one is calmer). I didn’t like that when you adjust the volume swing, the thumb on the opposite side very often presses the On button and the screen goes blank. For me, it would be better if Reset was on top of the device.   Once I dropped glass onto the asphalt directly from my height - not a scratch!   Well, the cover would be better if it folded down rather than to the side.  And so - see for yourself) In terms of productivity and quality - everything is 100%. In my opinion, only the ergonomics are lame...</v>
      </c>
    </row>
    <row r="3638" spans="1:9" x14ac:dyDescent="0.3">
      <c r="A3638" s="1" t="s">
        <v>211</v>
      </c>
      <c r="B3638" s="1" t="s">
        <v>384</v>
      </c>
      <c r="C3638" s="1" t="s">
        <v>246</v>
      </c>
      <c r="D3638" s="1" t="s">
        <v>1206</v>
      </c>
      <c r="E3638" s="1" t="s">
        <v>543</v>
      </c>
      <c r="F3638" s="1" t="s">
        <v>6504</v>
      </c>
      <c r="G3638" s="1" t="s">
        <v>49</v>
      </c>
      <c r="H3638" s="1" t="s">
        <v>16</v>
      </c>
      <c r="I3638" s="1" t="str">
        <f ca="1">IFERROR(__xludf.DUMMYFUNCTION("GOOGLETRANSLATE(F3638, ""auto"", ""en"")
"),"I bought it less than a week ago. I step on the scales 5 times in a row, 2-3 of them have the same readings. Moreover, I install it on a flat floor, on 1 level tile. In general, conditions have been created that are ideal for the scales, but they are lyin"&amp;"g.")</f>
        <v>I bought it less than a week ago. I step on the scales 5 times in a row, 2-3 of them have the same readings. Moreover, I install it on a flat floor, on 1 level tile. In general, conditions have been created that are ideal for the scales, but they are lying.</v>
      </c>
    </row>
    <row r="3639" spans="1:9" x14ac:dyDescent="0.3">
      <c r="A3639" s="1" t="s">
        <v>43</v>
      </c>
      <c r="B3639" s="1" t="s">
        <v>502</v>
      </c>
      <c r="C3639" s="1" t="s">
        <v>151</v>
      </c>
      <c r="D3639" s="1" t="s">
        <v>64</v>
      </c>
      <c r="E3639" s="1" t="s">
        <v>6505</v>
      </c>
      <c r="F3639" s="1" t="s">
        <v>6506</v>
      </c>
      <c r="G3639" s="1" t="s">
        <v>36</v>
      </c>
      <c r="H3639" s="1" t="s">
        <v>29</v>
      </c>
      <c r="I3639" s="1" t="str">
        <f ca="1">IFERROR(__xludf.DUMMYFUNCTION("GOOGLETRANSLATE(F3639, ""auto"", ""en"")
"),"Bought at a promotion (installation is free), installed after 2 weeks. It cools sooooo well, you can just freeze in a couple of minutes. It works quietly and is probably the only air conditioner that really does not make noise.")</f>
        <v>Bought at a promotion (installation is free), installed after 2 weeks. It cools sooooo well, you can just freeze in a couple of minutes. It works quietly and is probably the only air conditioner that really does not make noise.</v>
      </c>
    </row>
    <row r="3640" spans="1:9" x14ac:dyDescent="0.3">
      <c r="A3640" s="1" t="s">
        <v>78</v>
      </c>
      <c r="B3640" s="1" t="s">
        <v>493</v>
      </c>
      <c r="C3640" s="1" t="s">
        <v>80</v>
      </c>
      <c r="D3640" s="1" t="s">
        <v>247</v>
      </c>
      <c r="E3640" s="1" t="s">
        <v>6507</v>
      </c>
      <c r="F3640" s="1" t="s">
        <v>6508</v>
      </c>
      <c r="G3640" s="1" t="s">
        <v>36</v>
      </c>
      <c r="H3640" s="1" t="s">
        <v>29</v>
      </c>
      <c r="I3640" s="1" t="str">
        <f ca="1">IFERROR(__xludf.DUMMYFUNCTION("GOOGLETRANSLATE(F3640, ""auto"", ""en"")
"),"Good, reliable, easy to use microwave. I bought it for my mother, she is very happy, it heats up, she says it’s great, and she doesn’t need anything else, a year has already passed, no complaints, I think it will work for another 5 years.")</f>
        <v>Good, reliable, easy to use microwave. I bought it for my mother, she is very happy, it heats up, she says it’s great, and she doesn’t need anything else, a year has already passed, no complaints, I think it will work for another 5 years.</v>
      </c>
    </row>
    <row r="3641" spans="1:9" x14ac:dyDescent="0.3">
      <c r="A3641" s="1" t="s">
        <v>17</v>
      </c>
      <c r="B3641" s="1" t="s">
        <v>18</v>
      </c>
      <c r="C3641" s="1" t="s">
        <v>63</v>
      </c>
      <c r="D3641" s="1" t="s">
        <v>474</v>
      </c>
      <c r="E3641" s="1" t="s">
        <v>3999</v>
      </c>
      <c r="F3641" s="1" t="s">
        <v>6509</v>
      </c>
      <c r="G3641" s="1" t="s">
        <v>36</v>
      </c>
      <c r="H3641" s="1" t="s">
        <v>29</v>
      </c>
      <c r="I3641" s="1" t="str">
        <f ca="1">IFERROR(__xludf.DUMMYFUNCTION("GOOGLETRANSLATE(F3641, ""auto"", ""en"")
"),"I bought the machine 1.5 years ago, no complaints, everything is just super. Even with minimal pressure the water works.")</f>
        <v>I bought the machine 1.5 years ago, no complaints, everything is just super. Even with minimal pressure the water works.</v>
      </c>
    </row>
    <row r="3642" spans="1:9" x14ac:dyDescent="0.3">
      <c r="A3642" s="1" t="s">
        <v>211</v>
      </c>
      <c r="B3642" s="1" t="s">
        <v>212</v>
      </c>
      <c r="C3642" s="1" t="s">
        <v>381</v>
      </c>
      <c r="D3642" s="1" t="s">
        <v>1042</v>
      </c>
      <c r="E3642" s="1" t="s">
        <v>5819</v>
      </c>
      <c r="F3642" s="1" t="s">
        <v>6510</v>
      </c>
      <c r="G3642" s="1" t="s">
        <v>36</v>
      </c>
      <c r="H3642" s="1" t="s">
        <v>29</v>
      </c>
      <c r="I3642" s="1" t="str">
        <f ca="1">IFERROR(__xludf.DUMMYFUNCTION("GOOGLETRANSLATE(F3642, ""auto"", ""en"")
"),"I have been using this model for more than three years.   Does its job wonderfully. Easy and fast.  Convenient to regulate temperature.  I recommend to buy!")</f>
        <v>I have been using this model for more than three years.   Does its job wonderfully. Easy and fast.  Convenient to regulate temperature.  I recommend to buy!</v>
      </c>
    </row>
    <row r="3643" spans="1:9" x14ac:dyDescent="0.3">
      <c r="A3643" s="1" t="s">
        <v>211</v>
      </c>
      <c r="B3643" s="1" t="s">
        <v>899</v>
      </c>
      <c r="C3643" s="1" t="s">
        <v>213</v>
      </c>
      <c r="D3643" s="1" t="s">
        <v>6511</v>
      </c>
      <c r="E3643" s="1" t="s">
        <v>6512</v>
      </c>
      <c r="F3643" s="1" t="s">
        <v>6513</v>
      </c>
      <c r="G3643" s="1" t="s">
        <v>36</v>
      </c>
      <c r="H3643" s="1" t="s">
        <v>29</v>
      </c>
      <c r="I3643" s="1" t="str">
        <f ca="1">IFERROR(__xludf.DUMMYFUNCTION("GOOGLETRANSLATE(F3643, ""auto"", ""en"")
"),"fancy stuff! very satisfied..! buy without hesitation.. buy more attachments, and the whole family can use it, though, one at a time..:). p.s. I have a whitening attachment - it really whitens.. I’ve been using it for a week, and I’m already seeing the re"&amp;"sults..")</f>
        <v>fancy stuff! very satisfied..! buy without hesitation.. buy more attachments, and the whole family can use it, though, one at a time..:). p.s. I have a whitening attachment - it really whitens.. I’ve been using it for a week, and I’m already seeing the results..</v>
      </c>
    </row>
    <row r="3644" spans="1:9" x14ac:dyDescent="0.3">
      <c r="A3644" s="1" t="s">
        <v>61</v>
      </c>
      <c r="B3644" s="1" t="s">
        <v>180</v>
      </c>
      <c r="C3644" s="1" t="s">
        <v>69</v>
      </c>
      <c r="D3644" s="1" t="s">
        <v>280</v>
      </c>
      <c r="E3644" s="1" t="s">
        <v>6514</v>
      </c>
      <c r="F3644" s="1" t="s">
        <v>6515</v>
      </c>
      <c r="G3644" s="1" t="s">
        <v>49</v>
      </c>
      <c r="H3644" s="1" t="s">
        <v>16</v>
      </c>
      <c r="I3644" s="1" t="str">
        <f ca="1">IFERROR(__xludf.DUMMYFUNCTION("GOOGLETRANSLATE(F3644, ""auto"", ""en"")
"),"I bought it yesterday, chose it based on reviews. It doesn't work well - a piece burns on one edge, the other is white. On 1 it turns out like other models on 3-4, I didn’t like it at all. There is no way to make it just a little toasty; in modes 4-5 you "&amp;"generally get charcoal. I'm going to take it today")</f>
        <v>I bought it yesterday, chose it based on reviews. It doesn't work well - a piece burns on one edge, the other is white. On 1 it turns out like other models on 3-4, I didn’t like it at all. There is no way to make it just a little toasty; in modes 4-5 you generally get charcoal. I'm going to take it today</v>
      </c>
    </row>
    <row r="3645" spans="1:9" x14ac:dyDescent="0.3">
      <c r="A3645" s="1" t="s">
        <v>61</v>
      </c>
      <c r="B3645" s="1" t="s">
        <v>224</v>
      </c>
      <c r="C3645" s="1" t="s">
        <v>257</v>
      </c>
      <c r="D3645" s="1" t="s">
        <v>6516</v>
      </c>
      <c r="E3645" s="1" t="s">
        <v>2008</v>
      </c>
      <c r="F3645" s="1" t="s">
        <v>6517</v>
      </c>
      <c r="G3645" s="1" t="s">
        <v>36</v>
      </c>
      <c r="H3645" s="1" t="s">
        <v>29</v>
      </c>
      <c r="I3645" s="1" t="str">
        <f ca="1">IFERROR(__xludf.DUMMYFUNCTION("GOOGLETRANSLATE(F3645, ""auto"", ""en"")
"),"NOTHING SUCH A SQUEEZER!")</f>
        <v>NOTHING SUCH A SQUEEZER!</v>
      </c>
    </row>
    <row r="3646" spans="1:9" x14ac:dyDescent="0.3">
      <c r="A3646" s="1" t="s">
        <v>37</v>
      </c>
      <c r="B3646" s="1" t="s">
        <v>536</v>
      </c>
      <c r="C3646" s="1" t="s">
        <v>1419</v>
      </c>
      <c r="D3646" s="1" t="s">
        <v>39</v>
      </c>
      <c r="E3646" s="1" t="s">
        <v>3664</v>
      </c>
      <c r="F3646" s="1" t="s">
        <v>6518</v>
      </c>
      <c r="G3646" s="1" t="s">
        <v>28</v>
      </c>
      <c r="H3646" s="1" t="s">
        <v>29</v>
      </c>
      <c r="I3646" s="1" t="str">
        <f ca="1">IFERROR(__xludf.DUMMYFUNCTION("GOOGLETRANSLATE(F3646, ""auto"", ""en"")
"),"In many ways an excellent device, but the build quality is very poor, so if you decide to buy it, carefully inspect the device")</f>
        <v>In many ways an excellent device, but the build quality is very poor, so if you decide to buy it, carefully inspect the device</v>
      </c>
    </row>
    <row r="3647" spans="1:9" x14ac:dyDescent="0.3">
      <c r="A3647" s="1" t="s">
        <v>238</v>
      </c>
      <c r="B3647" s="1" t="s">
        <v>276</v>
      </c>
      <c r="C3647" s="1" t="s">
        <v>1677</v>
      </c>
      <c r="D3647" s="1" t="s">
        <v>12</v>
      </c>
      <c r="E3647" s="1" t="s">
        <v>1975</v>
      </c>
      <c r="F3647" s="1" t="s">
        <v>6519</v>
      </c>
      <c r="G3647" s="1" t="s">
        <v>28</v>
      </c>
      <c r="H3647" s="1" t="s">
        <v>29</v>
      </c>
      <c r="I3647" s="1" t="str">
        <f ca="1">IFERROR(__xludf.DUMMYFUNCTION("GOOGLETRANSLATE(F3647, ""auto"", ""en"")
"),"We bought a refrigerator a month ago. We chose one with a large volume, a No Frost system and an ionization and air purification system, but the decisive moment of the purchase was the beige color we needed. The refrigerator is made of high-quality materi"&amp;"als, compared to Whirlpool, for example. It freezes well. The only drawback in my opinion is that it is very noisy. To sleep normally, you have to close the door in the kitchen. This is of course very bad. But on the other hand, the refrigerator is quite "&amp;"large and powerful, and maybe that’s why it behaves so loudly) In general, the model is quite good, high quality and spacious. I recommend it to those who are not afraid of noise)")</f>
        <v>We bought a refrigerator a month ago. We chose one with a large volume, a No Frost system and an ionization and air purification system, but the decisive moment of the purchase was the beige color we needed. The refrigerator is made of high-quality materials, compared to Whirlpool, for example. It freezes well. The only drawback in my opinion is that it is very noisy. To sleep normally, you have to close the door in the kitchen. This is of course very bad. But on the other hand, the refrigerator is quite large and powerful, and maybe that’s why it behaves so loudly) In general, the model is quite good, high quality and spacious. I recommend it to those who are not afraid of noise)</v>
      </c>
    </row>
    <row r="3648" spans="1:9" x14ac:dyDescent="0.3">
      <c r="A3648" s="1" t="s">
        <v>120</v>
      </c>
      <c r="B3648" s="1" t="s">
        <v>196</v>
      </c>
      <c r="C3648" s="1" t="s">
        <v>80</v>
      </c>
      <c r="D3648" s="1" t="s">
        <v>39</v>
      </c>
      <c r="E3648" s="1" t="s">
        <v>4245</v>
      </c>
      <c r="F3648" s="1" t="s">
        <v>6520</v>
      </c>
      <c r="G3648" s="1" t="s">
        <v>36</v>
      </c>
      <c r="H3648" s="1" t="s">
        <v>29</v>
      </c>
      <c r="I3648" s="1" t="str">
        <f ca="1">IFERROR(__xludf.DUMMYFUNCTION("GOOGLETRANSLATE(F3648, ""auto"", ""en"")
"),"I connected the TV to the computer and got a huge monitor, I can play hard, I'll be stunned at racing, I still don't have enough steering wheel")</f>
        <v>I connected the TV to the computer and got a huge monitor, I can play hard, I'll be stunned at racing, I still don't have enough steering wheel</v>
      </c>
    </row>
    <row r="3649" spans="1:9" x14ac:dyDescent="0.3">
      <c r="A3649" s="1" t="s">
        <v>120</v>
      </c>
      <c r="B3649" s="1" t="s">
        <v>126</v>
      </c>
      <c r="C3649" s="1" t="s">
        <v>122</v>
      </c>
      <c r="D3649" s="1" t="s">
        <v>326</v>
      </c>
      <c r="E3649" s="1" t="s">
        <v>6521</v>
      </c>
      <c r="F3649" s="1" t="s">
        <v>6522</v>
      </c>
      <c r="G3649" s="1" t="s">
        <v>49</v>
      </c>
      <c r="H3649" s="1" t="s">
        <v>16</v>
      </c>
      <c r="I3649" s="1" t="str">
        <f ca="1">IFERROR(__xludf.DUMMYFUNCTION("GOOGLETRANSLATE(F3649, ""auto"", ""en"")
"),"I have been using this model for 1.5 years.  The card is excellent, the colors, etc.  but after using the 4:3 mode for three months in a row, a shadow remained on the screen along the borders of the format.  I also don’t like the fact that everything is r"&amp;"eflected on the screen; you sit and look at yourself and the interior.")</f>
        <v>I have been using this model for 1.5 years.  The card is excellent, the colors, etc.  but after using the 4:3 mode for three months in a row, a shadow remained on the screen along the borders of the format.  I also don’t like the fact that everything is reflected on the screen; you sit and look at yourself and the interior.</v>
      </c>
    </row>
    <row r="3650" spans="1:9" x14ac:dyDescent="0.3">
      <c r="A3650" s="1" t="s">
        <v>211</v>
      </c>
      <c r="B3650" s="1" t="s">
        <v>212</v>
      </c>
      <c r="C3650" s="1" t="s">
        <v>101</v>
      </c>
      <c r="D3650" s="1" t="s">
        <v>75</v>
      </c>
      <c r="E3650" s="1" t="s">
        <v>5963</v>
      </c>
      <c r="F3650" s="1" t="s">
        <v>6523</v>
      </c>
      <c r="G3650" s="1" t="s">
        <v>28</v>
      </c>
      <c r="H3650" s="1" t="s">
        <v>29</v>
      </c>
      <c r="I3650" s="1" t="str">
        <f ca="1">IFERROR(__xludf.DUMMYFUNCTION("GOOGLETRANSLATE(F3650, ""auto"", ""en"")
"),"I bought this iron a month ago. Pros: I didn’t notice that it spoiled my hair, at first it seemed that it was a little heavy and would not be convenient, but it turned out to be convenient to use, my hand doesn’t get tired, it does the ironing very quickl"&amp;"y, and it’s good that the plates are wide, and the only minus is that the plates themselves that change are wobbly (“walking”) I don’t know how long it will last me) but so far everything is fine, quite a good product! Be careful and unpack right at the c"&amp;"heckout when pay and check! Good luck)")</f>
        <v>I bought this iron a month ago. Pros: I didn’t notice that it spoiled my hair, at first it seemed that it was a little heavy and would not be convenient, but it turned out to be convenient to use, my hand doesn’t get tired, it does the ironing very quickly, and it’s good that the plates are wide, and the only minus is that the plates themselves that change are wobbly (“walking”) I don’t know how long it will last me) but so far everything is fine, quite a good product! Be careful and unpack right at the checkout when pay and check! Good luck)</v>
      </c>
    </row>
    <row r="3651" spans="1:9" x14ac:dyDescent="0.3">
      <c r="A3651" s="1" t="s">
        <v>111</v>
      </c>
      <c r="B3651" s="1" t="s">
        <v>636</v>
      </c>
      <c r="C3651" s="1" t="s">
        <v>2610</v>
      </c>
      <c r="D3651" s="1" t="s">
        <v>568</v>
      </c>
      <c r="E3651" s="1" t="s">
        <v>6444</v>
      </c>
      <c r="F3651" s="1" t="s">
        <v>6524</v>
      </c>
      <c r="G3651" s="1" t="s">
        <v>36</v>
      </c>
      <c r="H3651" s="1" t="s">
        <v>29</v>
      </c>
      <c r="I3651" s="1" t="str">
        <f ca="1">IFERROR(__xludf.DUMMYFUNCTION("GOOGLETRANSLATE(F3651, ""auto"", ""en"")
"),"Very good watch! So cool!!! Pleasing to the eye!")</f>
        <v>Very good watch! So cool!!! Pleasing to the eye!</v>
      </c>
    </row>
    <row r="3652" spans="1:9" x14ac:dyDescent="0.3">
      <c r="A3652" s="1" t="s">
        <v>55</v>
      </c>
      <c r="B3652" s="1" t="s">
        <v>56</v>
      </c>
      <c r="C3652" s="1" t="s">
        <v>57</v>
      </c>
      <c r="D3652" s="1" t="s">
        <v>6525</v>
      </c>
      <c r="E3652" s="1" t="s">
        <v>6526</v>
      </c>
      <c r="F3652" s="1" t="s">
        <v>6527</v>
      </c>
      <c r="G3652" s="1" t="s">
        <v>28</v>
      </c>
      <c r="H3652" s="1" t="s">
        <v>29</v>
      </c>
      <c r="I3652" s="1" t="str">
        <f ca="1">IFERROR(__xludf.DUMMYFUNCTION("GOOGLETRANSLATE(F3652, ""auto"", ""en"")
"),"I agree with previous reviews regarding water leakage, after which the humidifier stops moisturizing completely until you wipe everything dry (both the body and the tank). But this rarely happens.  There are no traces left on the furniture, but on the hum"&amp;"idifier itself, because... it is black in color, with a noticeable whitish coating that can be easily wiped off with a dry cloth.   But at maximum power and maximum level of humidification, the manufacturer promises almost 90% humidity, but alas. In an or"&amp;"dinary “Khrushchev” bedroom, which is very far from 40 m2, a free-standing hygrometer shows air humidity of no more than 50%, which before turning on the humidifier was about 36-40%.   But, according to Dr. Komarovsky, then 50% is quite suitable for a chi"&amp;"ld. Our 3-year-old son really no longer sniffles during sleep, but the humidifier did not help us in the fight against cough.  We didn’t feel ionization, although I’m not sure that it can be felt at all.")</f>
        <v>I agree with previous reviews regarding water leakage, after which the humidifier stops moisturizing completely until you wipe everything dry (both the body and the tank). But this rarely happens.  There are no traces left on the furniture, but on the humidifier itself, because... it is black in color, with a noticeable whitish coating that can be easily wiped off with a dry cloth.   But at maximum power and maximum level of humidification, the manufacturer promises almost 90% humidity, but alas. In an ordinary “Khrushchev” bedroom, which is very far from 40 m2, a free-standing hygrometer shows air humidity of no more than 50%, which before turning on the humidifier was about 36-40%.   But, according to Dr. Komarovsky, then 50% is quite suitable for a child. Our 3-year-old son really no longer sniffles during sleep, but the humidifier did not help us in the fight against cough.  We didn’t feel ionization, although I’m not sure that it can be felt at all.</v>
      </c>
    </row>
    <row r="3653" spans="1:9" x14ac:dyDescent="0.3">
      <c r="A3653" s="1" t="s">
        <v>67</v>
      </c>
      <c r="B3653" s="1" t="s">
        <v>340</v>
      </c>
      <c r="C3653" s="1" t="s">
        <v>1634</v>
      </c>
      <c r="D3653" s="1" t="s">
        <v>6528</v>
      </c>
      <c r="E3653" s="1" t="s">
        <v>2782</v>
      </c>
      <c r="F3653" s="1" t="s">
        <v>6529</v>
      </c>
      <c r="G3653" s="1" t="s">
        <v>36</v>
      </c>
      <c r="H3653" s="1" t="s">
        <v>29</v>
      </c>
      <c r="I3653" s="1" t="str">
        <f ca="1">IFERROR(__xludf.DUMMYFUNCTION("GOOGLETRANSLATE(F3653, ""auto"", ""en"")
"),"I am very pleased with the machine, no complaints. She can handle any fabric, no “brakes” in her work, 14 lines are more than enough. In general, the assessment is very positive, I recommend it for those who sew for themselves!")</f>
        <v>I am very pleased with the machine, no complaints. She can handle any fabric, no “brakes” in her work, 14 lines are more than enough. In general, the assessment is very positive, I recommend it for those who sew for themselves!</v>
      </c>
    </row>
    <row r="3654" spans="1:9" x14ac:dyDescent="0.3">
      <c r="A3654" s="1" t="s">
        <v>37</v>
      </c>
      <c r="B3654" s="1" t="s">
        <v>38</v>
      </c>
      <c r="C3654" s="1" t="s">
        <v>163</v>
      </c>
      <c r="D3654" s="1" t="s">
        <v>208</v>
      </c>
      <c r="E3654" s="1" t="s">
        <v>4187</v>
      </c>
      <c r="F3654" s="1" t="s">
        <v>6530</v>
      </c>
      <c r="G3654" s="1" t="s">
        <v>36</v>
      </c>
      <c r="H3654" s="1" t="s">
        <v>29</v>
      </c>
      <c r="I3654" s="1" t="str">
        <f ca="1">IFERROR(__xludf.DUMMYFUNCTION("GOOGLETRANSLATE(F3654, ""auto"", ""en"")
"),"The phone is excellent, very convenient, the photos are super, the sound of the player is super! I recommend it to everyone!")</f>
        <v>The phone is excellent, very convenient, the photos are super, the sound of the player is super! I recommend it to everyone!</v>
      </c>
    </row>
    <row r="3655" spans="1:9" x14ac:dyDescent="0.3">
      <c r="A3655" s="1" t="s">
        <v>55</v>
      </c>
      <c r="B3655" s="1" t="s">
        <v>56</v>
      </c>
      <c r="C3655" s="1" t="s">
        <v>85</v>
      </c>
      <c r="D3655" s="1" t="s">
        <v>75</v>
      </c>
      <c r="E3655" s="1" t="s">
        <v>6505</v>
      </c>
      <c r="F3655" s="1" t="s">
        <v>6531</v>
      </c>
      <c r="G3655" s="1" t="s">
        <v>49</v>
      </c>
      <c r="H3655" s="1" t="s">
        <v>16</v>
      </c>
      <c r="I3655" s="1" t="str">
        <f ca="1">IFERROR(__xludf.DUMMYFUNCTION("GOOGLETRANSLATE(F3655, ""auto"", ""en"")
"),"We bought the first one - it made a terrible noise, we replaced it, the second one broke after 2 weeks. By the way, the second one also hummed, although less than the first. We have 2 more humidifiers from other companies, none of them hum. Take something"&amp;" simpler and cheaper, if not Bork.")</f>
        <v>We bought the first one - it made a terrible noise, we replaced it, the second one broke after 2 weeks. By the way, the second one also hummed, although less than the first. We have 2 more humidifiers from other companies, none of them hum. Take something simpler and cheaper, if not Bork.</v>
      </c>
    </row>
    <row r="3656" spans="1:9" x14ac:dyDescent="0.3">
      <c r="A3656" s="1" t="s">
        <v>169</v>
      </c>
      <c r="B3656" s="1" t="s">
        <v>170</v>
      </c>
      <c r="C3656" s="1" t="s">
        <v>193</v>
      </c>
      <c r="D3656" s="1" t="s">
        <v>6532</v>
      </c>
      <c r="E3656" s="1" t="s">
        <v>2669</v>
      </c>
      <c r="F3656" s="1" t="s">
        <v>6533</v>
      </c>
      <c r="G3656" s="1" t="s">
        <v>36</v>
      </c>
      <c r="H3656" s="1" t="s">
        <v>29</v>
      </c>
      <c r="I3656" s="1" t="str">
        <f ca="1">IFERROR(__xludf.DUMMYFUNCTION("GOOGLETRANSLATE(F3656, ""auto"", ""en"")
"),"I bought them a week ago. At full volume they do not crackle, the sound is clear, the drums are perfectly audible. Before this there were Panasonic, so they can’t hold a candle to them. I recommend it to everyone. Wonderful product. Tested from my own exp"&amp;"erience.")</f>
        <v>I bought them a week ago. At full volume they do not crackle, the sound is clear, the drums are perfectly audible. Before this there were Panasonic, so they can’t hold a candle to them. I recommend it to everyone. Wonderful product. Tested from my own experience.</v>
      </c>
    </row>
    <row r="3657" spans="1:9" x14ac:dyDescent="0.3">
      <c r="A3657" s="1" t="s">
        <v>211</v>
      </c>
      <c r="B3657" s="1" t="s">
        <v>601</v>
      </c>
      <c r="C3657" s="1" t="s">
        <v>602</v>
      </c>
      <c r="D3657" s="1" t="s">
        <v>39</v>
      </c>
      <c r="E3657" s="1" t="s">
        <v>4443</v>
      </c>
      <c r="F3657" s="1" t="s">
        <v>6534</v>
      </c>
      <c r="G3657" s="1" t="s">
        <v>49</v>
      </c>
      <c r="H3657" s="1" t="s">
        <v>16</v>
      </c>
      <c r="I3657" s="1" t="str">
        <f ca="1">IFERROR(__xludf.DUMMYFUNCTION("GOOGLETRANSLATE(F3657, ""auto"", ""en"")
"),"I've always used regular attachments, so I decided to try this one and it was in vain! 1. cleaning is harsh, uncomfortable due to the thick MicroPulse boots 2. after cleaning my gums ache, maybe I need to get used to it, but I don’t see the point in it! A"&amp;"llegedly, these thick shields penetrate deep between the teeth - you definitely can’t get by without dental floss! I've used this attachment a couple of times and it doesn't bother me anymore.")</f>
        <v>I've always used regular attachments, so I decided to try this one and it was in vain! 1. cleaning is harsh, uncomfortable due to the thick MicroPulse boots 2. after cleaning my gums ache, maybe I need to get used to it, but I don’t see the point in it! Allegedly, these thick shields penetrate deep between the teeth - you definitely can’t get by without dental floss! I've used this attachment a couple of times and it doesn't bother me anymore.</v>
      </c>
    </row>
    <row r="3658" spans="1:9" x14ac:dyDescent="0.3">
      <c r="A3658" s="1" t="s">
        <v>149</v>
      </c>
      <c r="B3658" s="1" t="s">
        <v>155</v>
      </c>
      <c r="C3658" s="1" t="s">
        <v>63</v>
      </c>
      <c r="D3658" s="1" t="s">
        <v>327</v>
      </c>
      <c r="E3658" s="1" t="s">
        <v>6442</v>
      </c>
      <c r="F3658" s="1" t="s">
        <v>6535</v>
      </c>
      <c r="G3658" s="1" t="s">
        <v>36</v>
      </c>
      <c r="H3658" s="1" t="s">
        <v>29</v>
      </c>
      <c r="I3658" s="1" t="str">
        <f ca="1">IFERROR(__xludf.DUMMYFUNCTION("GOOGLETRANSLATE(F3658, ""auto"", ""en"")
"),"To be honest, I almost gave up the intention of buying this vacuum cleaner after reading the one-star ratings... But I couldn’t believe that Bosch could not value its trademark and reputation so much. Before this I used Hitachi (made in the Philippines) f"&amp;"or 19 years. But - the textile bag is outdated and shaking out is a dirty and thankless task, the smell of the vacuum cleaner and accidentally broke the place where the tubes were attached. He served faithfully for 19 years and will also work for friends "&amp;"at their dacha... In short, they are ready to buy a new one. The market is simply overflowing with offers and choosing what you really need is not easy. The decision came after reading positive reviews, a consultation in the store and repeated testing of "&amp;"this and other models. I couldn’t understand what problems people had with filters clogging and spending many hours dismantling the vacuum cleaner to clean its filters? I also saw in the store that all the filters are very accessible, everything can be di"&amp;"sassembled in a matter of seconds. Everything is done well, very convenient and technologically advanced. I was also attracted by the fact that all the filters are washable, meaning you don’t need to buy consumables. And then my friends have a Bosch vacuu"&amp;"m cleaner, which they have working, but they can’t find bags for it - they have discontinued it.... And, of course, we have experience in operating several units of equipment from this company. Nothing has failed so far. And so we bought this unit... Impr"&amp;"essions: very quiet for such power. He collects garbage like an animal. We have a long-haired cat with related problems. After using the previous vacuum cleaner, I always had to collect hair from the carpet with a brush for about 15 minutes. But here, the"&amp;" turbo brush collected all the hairs in a minute. Cleans the carpet just great. The entire apartment cleaning with a vacuum cleaner takes 10 minutes, taking into account the collection of dust from the top of the furniture. It collected dust and dirt an o"&amp;"rder of magnitude more and faster than the old one. The container is very easy to clean...and rinsed, by the way, also very easy. In general, I liked the unit. What I didn't like very much. You need to be careful when choosing a specific model. The black "&amp;"model (with a turbo brush included) does not come with a drilling attachment or an extended crevice tool (which we would like). An attachment with soft bristles for furniture would also be useful. And, of course, you need to take your old equipment with y"&amp;"ou to M-video for disposal right away - the purchase will cost 20% less. So far, the operating experience is not very extensive - only 4 cleanings. If there are problems, I will definitely write. Py.Sy.: I’m not a Bosch manager, but I believe that assessm"&amp;"ents in such places should be objective and help others make the right choice...")</f>
        <v>To be honest, I almost gave up the intention of buying this vacuum cleaner after reading the one-star ratings... But I couldn’t believe that Bosch could not value its trademark and reputation so much. Before this I used Hitachi (made in the Philippines) for 19 years. But - the textile bag is outdated and shaking out is a dirty and thankless task, the smell of the vacuum cleaner and accidentally broke the place where the tubes were attached. He served faithfully for 19 years and will also work for friends at their dacha... In short, they are ready to buy a new one. The market is simply overflowing with offers and choosing what you really need is not easy. The decision came after reading positive reviews, a consultation in the store and repeated testing of this and other models. I couldn’t understand what problems people had with filters clogging and spending many hours dismantling the vacuum cleaner to clean its filters? I also saw in the store that all the filters are very accessible, everything can be disassembled in a matter of seconds. Everything is done well, very convenient and technologically advanced. I was also attracted by the fact that all the filters are washable, meaning you don’t need to buy consumables. And then my friends have a Bosch vacuum cleaner, which they have working, but they can’t find bags for it - they have discontinued it.... And, of course, we have experience in operating several units of equipment from this company. Nothing has failed so far. And so we bought this unit... Impressions: very quiet for such power. He collects garbage like an animal. We have a long-haired cat with related problems. After using the previous vacuum cleaner, I always had to collect hair from the carpet with a brush for about 15 minutes. But here, the turbo brush collected all the hairs in a minute. Cleans the carpet just great. The entire apartment cleaning with a vacuum cleaner takes 10 minutes, taking into account the collection of dust from the top of the furniture. It collected dust and dirt an order of magnitude more and faster than the old one. The container is very easy to clean...and rinsed, by the way, also very easy. In general, I liked the unit. What I didn't like very much. You need to be careful when choosing a specific model. The black model (with a turbo brush included) does not come with a drilling attachment or an extended crevice tool (which we would like). An attachment with soft bristles for furniture would also be useful. And, of course, you need to take your old equipment with you to M-video for disposal right away - the purchase will cost 20% less. So far, the operating experience is not very extensive - only 4 cleanings. If there are problems, I will definitely write. Py.Sy.: I’m not a Bosch manager, but I believe that assessments in such places should be objective and help others make the right choice...</v>
      </c>
    </row>
    <row r="3659" spans="1:9" x14ac:dyDescent="0.3">
      <c r="A3659" s="1" t="s">
        <v>17</v>
      </c>
      <c r="B3659" s="1" t="s">
        <v>18</v>
      </c>
      <c r="C3659" s="1" t="s">
        <v>151</v>
      </c>
      <c r="D3659" s="1" t="s">
        <v>5789</v>
      </c>
      <c r="E3659" s="1" t="s">
        <v>775</v>
      </c>
      <c r="F3659" s="1" t="s">
        <v>6536</v>
      </c>
      <c r="G3659" s="1" t="s">
        <v>36</v>
      </c>
      <c r="H3659" s="1" t="s">
        <v>29</v>
      </c>
      <c r="I3659" s="1" t="str">
        <f ca="1">IFERROR(__xludf.DUMMYFUNCTION("GOOGLETRANSLATE(F3659, ""auto"", ""en"")
"),"I recently bought this washing machine. Everything suits the design, how it washes things, does not make noise or vibrate. It looks very nice in appearance and is simply super functional. I couldn't be happier. Very friendly service. Well done, keep it up"&amp;"!!!!")</f>
        <v>I recently bought this washing machine. Everything suits the design, how it washes things, does not make noise or vibrate. It looks very nice in appearance and is simply super functional. I couldn't be happier. Very friendly service. Well done, keep it up!!!!</v>
      </c>
    </row>
    <row r="3660" spans="1:9" x14ac:dyDescent="0.3">
      <c r="A3660" s="1" t="s">
        <v>211</v>
      </c>
      <c r="B3660" s="1" t="s">
        <v>601</v>
      </c>
      <c r="C3660" s="1" t="s">
        <v>69</v>
      </c>
      <c r="D3660" s="1" t="s">
        <v>6537</v>
      </c>
      <c r="E3660" s="1" t="s">
        <v>3960</v>
      </c>
      <c r="F3660" s="1" t="s">
        <v>6538</v>
      </c>
      <c r="G3660" s="1" t="s">
        <v>36</v>
      </c>
      <c r="H3660" s="1" t="s">
        <v>29</v>
      </c>
      <c r="I3660" s="1" t="str">
        <f ca="1">IFERROR(__xludf.DUMMYFUNCTION("GOOGLETRANSLATE(F3660, ""auto"", ""en"")
"),"This toothbrush was recommended to me by my friends! I decided to try it myself! Very easy to use, the straight brush on top allows you to remove all food debris on your teeth and gums!!")</f>
        <v>This toothbrush was recommended to me by my friends! I decided to try it myself! Very easy to use, the straight brush on top allows you to remove all food debris on your teeth and gums!!</v>
      </c>
    </row>
    <row r="3661" spans="1:9" x14ac:dyDescent="0.3">
      <c r="A3661" s="1" t="s">
        <v>61</v>
      </c>
      <c r="B3661" s="1" t="s">
        <v>318</v>
      </c>
      <c r="C3661" s="1" t="s">
        <v>122</v>
      </c>
      <c r="D3661" s="1" t="s">
        <v>152</v>
      </c>
      <c r="E3661" s="1" t="s">
        <v>3361</v>
      </c>
      <c r="F3661" s="1" t="s">
        <v>6539</v>
      </c>
      <c r="G3661" s="1" t="s">
        <v>49</v>
      </c>
      <c r="H3661" s="1" t="s">
        <v>16</v>
      </c>
      <c r="I3661" s="1" t="str">
        <f ca="1">IFERROR(__xludf.DUMMYFUNCTION("GOOGLETRANSLATE(F3661, ""auto"", ""en"")
"),"Now, after a year and 1 month, this miracle broke. But everything was fine. The problem is that water does not flow. It heats up, makes noise when pressed, but no water flows. I thought it was clogged with scale, I cleaned it, but it didn’t help. (((((")</f>
        <v>Now, after a year and 1 month, this miracle broke. But everything was fine. The problem is that water does not flow. It heats up, makes noise when pressed, but no water flows. I thought it was clogged with scale, I cleaned it, but it didn’t help. (((((</v>
      </c>
    </row>
    <row r="3662" spans="1:9" x14ac:dyDescent="0.3">
      <c r="A3662" s="1" t="s">
        <v>17</v>
      </c>
      <c r="B3662" s="1" t="s">
        <v>18</v>
      </c>
      <c r="C3662" s="1" t="s">
        <v>243</v>
      </c>
      <c r="D3662" s="1" t="s">
        <v>295</v>
      </c>
      <c r="E3662" s="1" t="s">
        <v>563</v>
      </c>
      <c r="F3662" s="1" t="s">
        <v>6540</v>
      </c>
      <c r="G3662" s="1" t="s">
        <v>28</v>
      </c>
      <c r="H3662" s="1" t="s">
        <v>29</v>
      </c>
      <c r="I3662" s="1" t="str">
        <f ca="1">IFERROR(__xludf.DUMMYFUNCTION("GOOGLETRANSLATE(F3662, ""auto"", ""en"")
"),"We bought the machine in October and are happily using it. We washed silk and cotton in it and bleached it, I can tell you about the knocking out of the machine, it only gets knocked out of place at maximum spin, it spins dry at 1000 rpm, but threads come"&amp;" out of terry towels... and at 400 spin rpm it’s just perfect! and the laundry is slightly damp and does not jump, and the threads are in place!")</f>
        <v>We bought the machine in October and are happily using it. We washed silk and cotton in it and bleached it, I can tell you about the knocking out of the machine, it only gets knocked out of place at maximum spin, it spins dry at 1000 rpm, but threads come out of terry towels... and at 400 spin rpm it’s just perfect! and the laundry is slightly damp and does not jump, and the threads are in place!</v>
      </c>
    </row>
    <row r="3663" spans="1:9" x14ac:dyDescent="0.3">
      <c r="A3663" s="1" t="s">
        <v>282</v>
      </c>
      <c r="B3663" s="1" t="s">
        <v>283</v>
      </c>
      <c r="C3663" s="1" t="s">
        <v>284</v>
      </c>
      <c r="D3663" s="1" t="s">
        <v>52</v>
      </c>
      <c r="E3663" s="1" t="s">
        <v>285</v>
      </c>
      <c r="F3663" s="1" t="s">
        <v>6541</v>
      </c>
      <c r="G3663" s="1" t="s">
        <v>28</v>
      </c>
      <c r="H3663" s="1" t="s">
        <v>29</v>
      </c>
      <c r="I3663" s="1" t="str">
        <f ca="1">IFERROR(__xludf.DUMMYFUNCTION("GOOGLETRANSLATE(F3663, ""auto"", ""en"")
"),"The sound could have been better")</f>
        <v>The sound could have been better</v>
      </c>
    </row>
    <row r="3664" spans="1:9" x14ac:dyDescent="0.3">
      <c r="A3664" s="1" t="s">
        <v>43</v>
      </c>
      <c r="B3664" s="1" t="s">
        <v>334</v>
      </c>
      <c r="C3664" s="1" t="s">
        <v>101</v>
      </c>
      <c r="D3664" s="1" t="s">
        <v>3326</v>
      </c>
      <c r="E3664" s="1" t="s">
        <v>128</v>
      </c>
      <c r="F3664" s="1" t="s">
        <v>6542</v>
      </c>
      <c r="G3664" s="1" t="s">
        <v>28</v>
      </c>
      <c r="H3664" s="1" t="s">
        <v>29</v>
      </c>
      <c r="I3664" s="1" t="str">
        <f ca="1">IFERROR(__xludf.DUMMYFUNCTION("GOOGLETRANSLATE(F3664, ""auto"", ""en"")
"),"unreliable fixation when adjusting the tilt")</f>
        <v>unreliable fixation when adjusting the tilt</v>
      </c>
    </row>
    <row r="3665" spans="1:9" x14ac:dyDescent="0.3">
      <c r="A3665" s="1" t="s">
        <v>30</v>
      </c>
      <c r="B3665" s="1" t="s">
        <v>50</v>
      </c>
      <c r="C3665" s="1" t="s">
        <v>1003</v>
      </c>
      <c r="D3665" s="1" t="s">
        <v>6543</v>
      </c>
      <c r="E3665" s="1" t="s">
        <v>1263</v>
      </c>
      <c r="F3665" s="1" t="s">
        <v>6544</v>
      </c>
      <c r="G3665" s="1" t="s">
        <v>28</v>
      </c>
      <c r="H3665" s="1" t="s">
        <v>29</v>
      </c>
      <c r="I3665" s="1" t="str">
        <f ca="1">IFERROR(__xludf.DUMMYFUNCTION("GOOGLETRANSLATE(F3665, ""auto"", ""en"")
"),"I've been using the HP 4515s for a little less than a month, and I'm quite happy with most things about it. Comfortable, full-fledged keyboard, the characteristics are quite satisfactory for the price.    But! I think it gets very hot. The temperature of "&amp;"the cores without load is 50-60, with load it reaches 80, the cooling system at this moment clearly begins to work with utmost diligence, in principle, the temperature never rises above 80-82. However, the case is quite hot and unpleasant to hold on your "&amp;"lap.  The cooling pads for it, I think, are practically useless; there is not a single hole in the bottom of the case.  Can anyone shed some light on this, is the temperature normal?")</f>
        <v>I've been using the HP 4515s for a little less than a month, and I'm quite happy with most things about it. Comfortable, full-fledged keyboard, the characteristics are quite satisfactory for the price.    But! I think it gets very hot. The temperature of the cores without load is 50-60, with load it reaches 80, the cooling system at this moment clearly begins to work with utmost diligence, in principle, the temperature never rises above 80-82. However, the case is quite hot and unpleasant to hold on your lap.  The cooling pads for it, I think, are practically useless; there is not a single hole in the bottom of the case.  Can anyone shed some light on this, is the temperature normal?</v>
      </c>
    </row>
    <row r="3666" spans="1:9" x14ac:dyDescent="0.3">
      <c r="A3666" s="1" t="s">
        <v>89</v>
      </c>
      <c r="B3666" s="1" t="s">
        <v>231</v>
      </c>
      <c r="C3666" s="1" t="s">
        <v>185</v>
      </c>
      <c r="D3666" s="1" t="s">
        <v>1476</v>
      </c>
      <c r="E3666" s="1" t="s">
        <v>6545</v>
      </c>
      <c r="F3666" s="1" t="s">
        <v>6546</v>
      </c>
      <c r="G3666" s="1" t="s">
        <v>36</v>
      </c>
      <c r="H3666" s="1" t="s">
        <v>29</v>
      </c>
      <c r="I3666" s="1" t="str">
        <f ca="1">IFERROR(__xludf.DUMMYFUNCTION("GOOGLETRANSLATE(F3666, ""auto"", ""en"")
"),"as simple as a samovar")</f>
        <v>as simple as a samovar</v>
      </c>
    </row>
    <row r="3667" spans="1:9" x14ac:dyDescent="0.3">
      <c r="A3667" s="1" t="s">
        <v>206</v>
      </c>
      <c r="B3667" s="1" t="s">
        <v>207</v>
      </c>
      <c r="C3667" s="1" t="s">
        <v>262</v>
      </c>
      <c r="D3667" s="1" t="s">
        <v>1092</v>
      </c>
      <c r="E3667" s="1" t="s">
        <v>3203</v>
      </c>
      <c r="F3667" s="1" t="s">
        <v>6547</v>
      </c>
      <c r="G3667" s="1" t="s">
        <v>36</v>
      </c>
      <c r="H3667" s="1" t="s">
        <v>29</v>
      </c>
      <c r="I3667" s="1" t="str">
        <f ca="1">IFERROR(__xludf.DUMMYFUNCTION("GOOGLETRANSLATE(F3667, ""auto"", ""en"")
"),"I wanted to add a little bass for little money :) I purchased this kit and was more than pleased with the sound and power!  To be honest, I expected less and looked askance at the more expensive ones. I consider my choice to be correct in terms of price a"&amp;"nd quality.")</f>
        <v>I wanted to add a little bass for little money :) I purchased this kit and was more than pleased with the sound and power!  To be honest, I expected less and looked askance at the more expensive ones. I consider my choice to be correct in terms of price and quality.</v>
      </c>
    </row>
    <row r="3668" spans="1:9" x14ac:dyDescent="0.3">
      <c r="A3668" s="1" t="s">
        <v>61</v>
      </c>
      <c r="B3668" s="1" t="s">
        <v>145</v>
      </c>
      <c r="C3668" s="1" t="s">
        <v>85</v>
      </c>
      <c r="D3668" s="1" t="s">
        <v>420</v>
      </c>
      <c r="E3668" s="1" t="s">
        <v>1736</v>
      </c>
      <c r="F3668" s="1" t="s">
        <v>6548</v>
      </c>
      <c r="G3668" s="1" t="s">
        <v>36</v>
      </c>
      <c r="H3668" s="1" t="s">
        <v>29</v>
      </c>
      <c r="I3668" s="1" t="str">
        <f ca="1">IFERROR(__xludf.DUMMYFUNCTION("GOOGLETRANSLATE(F3668, ""auto"", ""en"")
"),"8 months We bought this miracle device ago. When purchasing, we focused more on design (the entire kitchen is stainless steel). But while using it, we were pleasantly surprised by its capabilities: simple controls, food cooks quickly in it, the steamer is"&amp;" easy to clean, and you can simultaneously cook two dishes in one container (there is a separator). It is very convenient that after cooking, the steamer can reheat food for an hour. We are very pleased with the purchase. I recommend it to everyone!!!")</f>
        <v>8 months We bought this miracle device ago. When purchasing, we focused more on design (the entire kitchen is stainless steel). But while using it, we were pleasantly surprised by its capabilities: simple controls, food cooks quickly in it, the steamer is easy to clean, and you can simultaneously cook two dishes in one container (there is a separator). It is very convenient that after cooking, the steamer can reheat food for an hour. We are very pleased with the purchase. I recommend it to everyone!!!</v>
      </c>
    </row>
    <row r="3669" spans="1:9" x14ac:dyDescent="0.3">
      <c r="A3669" s="1" t="s">
        <v>89</v>
      </c>
      <c r="B3669" s="1" t="s">
        <v>90</v>
      </c>
      <c r="C3669" s="1" t="s">
        <v>185</v>
      </c>
      <c r="D3669" s="1" t="s">
        <v>305</v>
      </c>
      <c r="E3669" s="1" t="s">
        <v>4783</v>
      </c>
      <c r="F3669" s="1" t="s">
        <v>6549</v>
      </c>
      <c r="G3669" s="1" t="s">
        <v>36</v>
      </c>
      <c r="H3669" s="1" t="s">
        <v>29</v>
      </c>
      <c r="I3669" s="1" t="str">
        <f ca="1">IFERROR(__xludf.DUMMYFUNCTION("GOOGLETRANSLATE(F3669, ""auto"", ""en"")
"),"If I buy a coffee grinder, I'll take this one, because... It has a burr mechanism that, according to the instructions, provides ""grind uniformity ... to ensure uniform extraction of all ground coffee particles.""")</f>
        <v>If I buy a coffee grinder, I'll take this one, because... It has a burr mechanism that, according to the instructions, provides "grind uniformity ... to ensure uniform extraction of all ground coffee particles."</v>
      </c>
    </row>
    <row r="3670" spans="1:9" x14ac:dyDescent="0.3">
      <c r="A3670" s="1" t="s">
        <v>105</v>
      </c>
      <c r="B3670" s="1" t="s">
        <v>106</v>
      </c>
      <c r="C3670" s="1" t="s">
        <v>1921</v>
      </c>
      <c r="D3670" s="1" t="s">
        <v>6550</v>
      </c>
      <c r="E3670" s="1" t="s">
        <v>2677</v>
      </c>
      <c r="F3670" s="1" t="s">
        <v>6551</v>
      </c>
      <c r="G3670" s="1" t="s">
        <v>36</v>
      </c>
      <c r="H3670" s="1" t="s">
        <v>29</v>
      </c>
      <c r="I3670" s="1" t="str">
        <f ca="1">IFERROR(__xludf.DUMMYFUNCTION("GOOGLETRANSLATE(F3670, ""auto"", ""en"")
"),"The device is good, but it’s clearly not intended for games, sometimes it freezes while playing games, but it’s still very good...")</f>
        <v>The device is good, but it’s clearly not intended for games, sometimes it freezes while playing games, but it’s still very good...</v>
      </c>
    </row>
    <row r="3671" spans="1:9" x14ac:dyDescent="0.3">
      <c r="A3671" s="1" t="s">
        <v>37</v>
      </c>
      <c r="B3671" s="1" t="s">
        <v>38</v>
      </c>
      <c r="C3671" s="1" t="s">
        <v>39</v>
      </c>
      <c r="D3671" s="1" t="s">
        <v>5909</v>
      </c>
      <c r="E3671" s="1" t="s">
        <v>3954</v>
      </c>
      <c r="F3671" s="1" t="s">
        <v>6552</v>
      </c>
      <c r="G3671" s="1" t="s">
        <v>36</v>
      </c>
      <c r="H3671" s="1" t="s">
        <v>29</v>
      </c>
      <c r="I3671" s="1" t="str">
        <f ca="1">IFERROR(__xludf.DUMMYFUNCTION("GOOGLETRANSLATE(F3671, ""auto"", ""en"")
"),"I recently bought u100i, the phone is wonderful, everyone is happy with it, take it, you won’t regret it! and the price for such a phone is quite reasonable.")</f>
        <v>I recently bought u100i, the phone is wonderful, everyone is happy with it, take it, you won’t regret it! and the price for such a phone is quite reasonable.</v>
      </c>
    </row>
    <row r="3672" spans="1:9" x14ac:dyDescent="0.3">
      <c r="A3672" s="1" t="s">
        <v>30</v>
      </c>
      <c r="B3672" s="1" t="s">
        <v>50</v>
      </c>
      <c r="C3672" s="1" t="s">
        <v>694</v>
      </c>
      <c r="D3672" s="1" t="s">
        <v>442</v>
      </c>
      <c r="E3672" s="1" t="s">
        <v>1497</v>
      </c>
      <c r="F3672" s="1" t="s">
        <v>6553</v>
      </c>
      <c r="G3672" s="1" t="s">
        <v>28</v>
      </c>
      <c r="H3672" s="1" t="s">
        <v>29</v>
      </c>
      <c r="I3672" s="1" t="str">
        <f ca="1">IFERROR(__xludf.DUMMYFUNCTION("GOOGLETRANSLATE(F3672, ""auto"", ""en"")
"),"I took it to work with Word, Excel, etc. documents. It copes with the task perfectly, it’s convenient to carry parts of your diploma on Instagram, it’s lightweight, it has an excellent camera, good sound and the built-in microphone is also okay.  One of t"&amp;"he downsides is that Opera takes a very long time to load, so I switched to Mozilla, the insert and num lock buttons are combined into one key, but it’s very strange (to press nlock you need to hold down another key, which is very inconvenient because num"&amp;" lock is used more often than insert). And there are also constant problems with the scrollbar, the drivers are fine, the settings are correct, but it just stops working, and so on until the driver is reinstalled, then everything is done again, the reason"&amp;" is unclear to me, but it seems like I’m the only one with this problem")</f>
        <v>I took it to work with Word, Excel, etc. documents. It copes with the task perfectly, it’s convenient to carry parts of your diploma on Instagram, it’s lightweight, it has an excellent camera, good sound and the built-in microphone is also okay.  One of the downsides is that Opera takes a very long time to load, so I switched to Mozilla, the insert and num lock buttons are combined into one key, but it’s very strange (to press nlock you need to hold down another key, which is very inconvenient because num lock is used more often than insert). And there are also constant problems with the scrollbar, the drivers are fine, the settings are correct, but it just stops working, and so on until the driver is reinstalled, then everything is done again, the reason is unclear to me, but it seems like I’m the only one with this problem</v>
      </c>
    </row>
    <row r="3673" spans="1:9" x14ac:dyDescent="0.3">
      <c r="A3673" s="1" t="s">
        <v>9</v>
      </c>
      <c r="B3673" s="1" t="s">
        <v>133</v>
      </c>
      <c r="C3673" s="1" t="s">
        <v>24</v>
      </c>
      <c r="D3673" s="1" t="s">
        <v>64</v>
      </c>
      <c r="E3673" s="1" t="s">
        <v>6554</v>
      </c>
      <c r="F3673" s="1" t="s">
        <v>6555</v>
      </c>
      <c r="G3673" s="1" t="s">
        <v>36</v>
      </c>
      <c r="H3673" s="1" t="s">
        <v>29</v>
      </c>
      <c r="I3673" s="1" t="str">
        <f ca="1">IFERROR(__xludf.DUMMYFUNCTION("GOOGLETRANSLATE(F3673, ""auto"", ""en"")
"),"I've been using it since April 10. It cooks meat, fish, and chicken very well, especially quickly with convection. The cake also baked amazingly, but the pies turned out dry. After some time, the ignition failed, and now there is a problem when turning it"&amp;" on. If you just press ignition, it won’t turn on, but you turn on the light bulb in parallel and everything will work. Otherwise there are no problems.")</f>
        <v>I've been using it since April 10. It cooks meat, fish, and chicken very well, especially quickly with convection. The cake also baked amazingly, but the pies turned out dry. After some time, the ignition failed, and now there is a problem when turning it on. If you just press ignition, it won’t turn on, but you turn on the light bulb in parallel and everything will work. Otherwise there are no problems.</v>
      </c>
    </row>
    <row r="3674" spans="1:9" x14ac:dyDescent="0.3">
      <c r="A3674" s="1" t="s">
        <v>37</v>
      </c>
      <c r="B3674" s="1" t="s">
        <v>536</v>
      </c>
      <c r="C3674" s="1" t="s">
        <v>163</v>
      </c>
      <c r="D3674" s="1" t="s">
        <v>1476</v>
      </c>
      <c r="E3674" s="1" t="s">
        <v>1345</v>
      </c>
      <c r="F3674" s="1" t="s">
        <v>6556</v>
      </c>
      <c r="G3674" s="1" t="s">
        <v>28</v>
      </c>
      <c r="H3674" s="1" t="s">
        <v>29</v>
      </c>
      <c r="I3674" s="1" t="str">
        <f ca="1">IFERROR(__xludf.DUMMYFUNCTION("GOOGLETRANSLATE(F3674, ""auto"", ""en"")
"),"For that kind of money the phone could be faster.   There are many advantages. Large screen, good camera, good sound, convenient buttons.  Of the minuses. The back metal panel is worn out and looks a little strange, it's worn out. The battery lasts for no"&amp;" more than a week, I’m not saying much. The speaker quickly broke (it crackled terribly during a conversation), they replaced it in 4 days, but the residue remained (according to the saleswoman, this is not an isolated problem). It fell once and got a goo"&amp;"d chip; all previous phones didn’t even notice such falls.   And the worst thing was that the phone itself connected to the Internet via WAP. will come in/out, come in/out, and so on 20 times a day. In two days I ate about 4 hundred rubles.   I bought it "&amp;"for its appearance, and that’s why I love it, even though the phone has character.")</f>
        <v>For that kind of money the phone could be faster.   There are many advantages. Large screen, good camera, good sound, convenient buttons.  Of the minuses. The back metal panel is worn out and looks a little strange, it's worn out. The battery lasts for no more than a week, I’m not saying much. The speaker quickly broke (it crackled terribly during a conversation), they replaced it in 4 days, but the residue remained (according to the saleswoman, this is not an isolated problem). It fell once and got a good chip; all previous phones didn’t even notice such falls.   And the worst thing was that the phone itself connected to the Internet via WAP. will come in/out, come in/out, and so on 20 times a day. In two days I ate about 4 hundred rubles.   I bought it for its appearance, and that’s why I love it, even though the phone has character.</v>
      </c>
    </row>
    <row r="3675" spans="1:9" x14ac:dyDescent="0.3">
      <c r="A3675" s="1" t="s">
        <v>61</v>
      </c>
      <c r="B3675" s="1" t="s">
        <v>145</v>
      </c>
      <c r="C3675" s="1" t="s">
        <v>1981</v>
      </c>
      <c r="D3675" s="1" t="s">
        <v>3559</v>
      </c>
      <c r="E3675" s="1" t="s">
        <v>6557</v>
      </c>
      <c r="F3675" s="1" t="s">
        <v>6558</v>
      </c>
      <c r="G3675" s="1" t="s">
        <v>36</v>
      </c>
      <c r="H3675" s="1" t="s">
        <v>29</v>
      </c>
      <c r="I3675" s="1" t="str">
        <f ca="1">IFERROR(__xludf.DUMMYFUNCTION("GOOGLETRANSLATE(F3675, ""auto"", ""en"")
"),"When I bought it, I didn’t think it was a very convenient thing! There is no need to stand at the stove to time it to cook soft-boiled or hard-boiled. Pour in the required amount of water and breakfast is ready in a matter of minutes and the egg cooker it"&amp;"self will notify you when it’s ready! Overall, it saves valuable time!")</f>
        <v>When I bought it, I didn’t think it was a very convenient thing! There is no need to stand at the stove to time it to cook soft-boiled or hard-boiled. Pour in the required amount of water and breakfast is ready in a matter of minutes and the egg cooker itself will notify you when it’s ready! Overall, it saves valuable time!</v>
      </c>
    </row>
    <row r="3676" spans="1:9" x14ac:dyDescent="0.3">
      <c r="A3676" s="1" t="s">
        <v>37</v>
      </c>
      <c r="B3676" s="1" t="s">
        <v>536</v>
      </c>
      <c r="C3676" s="1" t="s">
        <v>163</v>
      </c>
      <c r="D3676" s="1" t="s">
        <v>20</v>
      </c>
      <c r="E3676" s="1" t="s">
        <v>391</v>
      </c>
      <c r="F3676" s="1" t="s">
        <v>6559</v>
      </c>
      <c r="G3676" s="1" t="s">
        <v>49</v>
      </c>
      <c r="H3676" s="1" t="s">
        <v>16</v>
      </c>
      <c r="I3676" s="1" t="str">
        <f ca="1">IFERROR(__xludf.DUMMYFUNCTION("GOOGLETRANSLATE(F3676, ""auto"", ""en"")
"),"I do not recommend it to everyone!!!!  After two weeks of use there are a lot of bugs.  The panel on the bottom front is loose, always when you press the buttons on the left side - the back cover clicks, I had to put a sheet of paper, it seems to have sto"&amp;"pped. Further more, it often freezes, sometimes it can work without failures for two or three days, but sometimes you just want to break it, you don’t have enough nerves.    The camera is disgusting, with the flash everything is in a fog, the video is ok,"&amp;" the photos are so-so, I used the 5700 before, compared to it it’s 100,000 times better in everything!  The speaker is quiet, if in the room (example in a room) it plays loudly, but the sound is so-so, and where the thread is on the street or at the place"&amp;" of study you can hear it!!!!, but in headphones the sound is excellent (not in standard ones!!!, but bought in rubles for 500-700 like mine.) The buttons on the panel are often confused.     From myself: I also read the same comments that I wrote just no"&amp;"w, and I thought that they just got a bad device, but now it’s my turn, because really for that kind of money they could have done much better.    And after 3-5 days of intensive use it starts to creak very much!!!    My advice is don't buy it, it's bette"&amp;"r to buy something better!")</f>
        <v>I do not recommend it to everyone!!!!  After two weeks of use there are a lot of bugs.  The panel on the bottom front is loose, always when you press the buttons on the left side - the back cover clicks, I had to put a sheet of paper, it seems to have stopped. Further more, it often freezes, sometimes it can work without failures for two or three days, but sometimes you just want to break it, you don’t have enough nerves.    The camera is disgusting, with the flash everything is in a fog, the video is ok, the photos are so-so, I used the 5700 before, compared to it it’s 100,000 times better in everything!  The speaker is quiet, if in the room (example in a room) it plays loudly, but the sound is so-so, and where the thread is on the street or at the place of study you can hear it!!!!, but in headphones the sound is excellent (not in standard ones!!!, but bought in rubles for 500-700 like mine.) The buttons on the panel are often confused.     From myself: I also read the same comments that I wrote just now, and I thought that they just got a bad device, but now it’s my turn, because really for that kind of money they could have done much better.    And after 3-5 days of intensive use it starts to creak very much!!!    My advice is don't buy it, it's better to buy something better!</v>
      </c>
    </row>
    <row r="3677" spans="1:9" x14ac:dyDescent="0.3">
      <c r="A3677" s="1" t="s">
        <v>852</v>
      </c>
      <c r="B3677" s="1" t="s">
        <v>853</v>
      </c>
      <c r="C3677" s="1" t="s">
        <v>356</v>
      </c>
      <c r="D3677" s="1" t="s">
        <v>6560</v>
      </c>
      <c r="E3677" s="1" t="s">
        <v>288</v>
      </c>
      <c r="F3677" s="1" t="s">
        <v>6561</v>
      </c>
      <c r="G3677" s="1" t="s">
        <v>49</v>
      </c>
      <c r="H3677" s="1" t="s">
        <v>16</v>
      </c>
      <c r="I3677" s="1" t="str">
        <f ca="1">IFERROR(__xludf.DUMMYFUNCTION("GOOGLETRANSLATE(F3677, ""auto"", ""en"")
"),"Everyone who takes Macs, in my opinion, are just people who don’t understand anything about laptops at all!!!    For this money you can get very cool laptops that are much more powerful!! with an i7 processor and a video card that supports 11 direct!!!  I"&amp;"’m also wondering which laptop is better to take! but I immediately rejected the Mac, yes they are pretentious, yes they are stylish, but the functionality is very poor for that kind of money! I don't think it's worth it!  Better pay extra 8 grand and get"&amp;" an Acer AS5942G-728G64Bi right there in Mvideo and they sell it!    but in general, decide what you need, replacing a home PC, and I mentioned above a laptop, or an ultra-mobile... Sony is very good as an ultra-mobile, and Packard Bell is also very good,"&amp;" especially Packard Bell LJ75-JO-101 (it used to cost 34) Sony in this case loses in the Screen... it has a lot of models with lamp backlighting... but in general, if you need a small and very powerful and stylish laptop, then take Packard Bell LJ75-JO-10"&amp;"1 is super!")</f>
        <v>Everyone who takes Macs, in my opinion, are just people who don’t understand anything about laptops at all!!!    For this money you can get very cool laptops that are much more powerful!! with an i7 processor and a video card that supports 11 direct!!!  I’m also wondering which laptop is better to take! but I immediately rejected the Mac, yes they are pretentious, yes they are stylish, but the functionality is very poor for that kind of money! I don't think it's worth it!  Better pay extra 8 grand and get an Acer AS5942G-728G64Bi right there in Mvideo and they sell it!    but in general, decide what you need, replacing a home PC, and I mentioned above a laptop, or an ultra-mobile... Sony is very good as an ultra-mobile, and Packard Bell is also very good, especially Packard Bell LJ75-JO-101 (it used to cost 34) Sony in this case loses in the Screen... it has a lot of models with lamp backlighting... but in general, if you need a small and very powerful and stylish laptop, then take Packard Bell LJ75-JO-101 is super!</v>
      </c>
    </row>
    <row r="3678" spans="1:9" x14ac:dyDescent="0.3">
      <c r="A3678" s="1" t="s">
        <v>61</v>
      </c>
      <c r="B3678" s="1" t="s">
        <v>145</v>
      </c>
      <c r="C3678" s="1" t="s">
        <v>246</v>
      </c>
      <c r="D3678" s="1" t="s">
        <v>335</v>
      </c>
      <c r="E3678" s="1" t="s">
        <v>6562</v>
      </c>
      <c r="F3678" s="1" t="s">
        <v>6563</v>
      </c>
      <c r="G3678" s="1" t="s">
        <v>36</v>
      </c>
      <c r="H3678" s="1" t="s">
        <v>29</v>
      </c>
      <c r="I3678" s="1" t="str">
        <f ca="1">IFERROR(__xludf.DUMMYFUNCTION("GOOGLETRANSLATE(F3678, ""auto"", ""en"")
"),"Indeed, it overheats somewhat, but I put thick cardboard on it - and everything is fine! I make \""My yogurt\"" with sourdough starter - the taste is delicate, not sour, and in terms of time it is even done faster than indicated in the instructions; I'm v"&amp;"ery pleased!")</f>
        <v>Indeed, it overheats somewhat, but I put thick cardboard on it - and everything is fine! I make \"My yogurt\" with sourdough starter - the taste is delicate, not sour, and in terms of time it is even done faster than indicated in the instructions; I'm very pleased!</v>
      </c>
    </row>
    <row r="3679" spans="1:9" x14ac:dyDescent="0.3">
      <c r="A3679" s="1" t="s">
        <v>61</v>
      </c>
      <c r="B3679" s="1" t="s">
        <v>318</v>
      </c>
      <c r="C3679" s="1" t="s">
        <v>246</v>
      </c>
      <c r="D3679" s="1" t="s">
        <v>6564</v>
      </c>
      <c r="E3679" s="1" t="s">
        <v>4171</v>
      </c>
      <c r="F3679" s="1" t="s">
        <v>6565</v>
      </c>
      <c r="G3679" s="1" t="s">
        <v>28</v>
      </c>
      <c r="H3679" s="1" t="s">
        <v>29</v>
      </c>
      <c r="I3679" s="1" t="str">
        <f ca="1">IFERROR(__xludf.DUMMYFUNCTION("GOOGLETRANSLATE(F3679, ""auto"", ""en"")
"),"quiet, no smell, set indication of inclusion")</f>
        <v>quiet, no smell, set indication of inclusion</v>
      </c>
    </row>
    <row r="3680" spans="1:9" x14ac:dyDescent="0.3">
      <c r="A3680" s="1" t="s">
        <v>17</v>
      </c>
      <c r="B3680" s="1" t="s">
        <v>18</v>
      </c>
      <c r="C3680" s="1" t="s">
        <v>19</v>
      </c>
      <c r="D3680" s="1" t="s">
        <v>545</v>
      </c>
      <c r="E3680" s="1" t="s">
        <v>594</v>
      </c>
      <c r="F3680" s="1" t="s">
        <v>6566</v>
      </c>
      <c r="G3680" s="1" t="s">
        <v>28</v>
      </c>
      <c r="H3680" s="1" t="s">
        <v>29</v>
      </c>
      <c r="I3680" s="1" t="str">
        <f ca="1">IFERROR(__xludf.DUMMYFUNCTION("GOOGLETRANSLATE(F3680, ""auto"", ""en"")
"),"We bought the car 3 weeks ago. It works like a charm, although during the spin cycle it is noisy, like a jet engine. There are no more complaints. It washes well.")</f>
        <v>We bought the car 3 weeks ago. It works like a charm, although during the spin cycle it is noisy, like a jet engine. There are no more complaints. It washes well.</v>
      </c>
    </row>
    <row r="3681" spans="1:9" x14ac:dyDescent="0.3">
      <c r="A3681" s="1" t="s">
        <v>30</v>
      </c>
      <c r="B3681" s="1" t="s">
        <v>50</v>
      </c>
      <c r="C3681" s="1" t="s">
        <v>51</v>
      </c>
      <c r="D3681" s="1" t="s">
        <v>39</v>
      </c>
      <c r="E3681" s="1" t="s">
        <v>1167</v>
      </c>
      <c r="F3681" s="1" t="s">
        <v>6567</v>
      </c>
      <c r="G3681" s="1" t="s">
        <v>36</v>
      </c>
      <c r="H3681" s="1" t="s">
        <v>29</v>
      </c>
      <c r="I3681" s="1" t="str">
        <f ca="1">IFERROR(__xludf.DUMMYFUNCTION("GOOGLETRANSLATE(F3681, ""auto"", ""en"")
"),"In terms of its technical characteristics, it is the best middle-class model. As for ergonomics and convenience, there is a small, not very pleasant “BUT”: the control key (left button and right mouse button) is solid and too long, which makes instant acc"&amp;"ess to them a little more difficult.   Overall the device is decent, it deserves its 5*")</f>
        <v>In terms of its technical characteristics, it is the best middle-class model. As for ergonomics and convenience, there is a small, not very pleasant “BUT”: the control key (left button and right mouse button) is solid and too long, which makes instant access to them a little more difficult.   Overall the device is decent, it deserves its 5*</v>
      </c>
    </row>
    <row r="3682" spans="1:9" x14ac:dyDescent="0.3">
      <c r="A3682" s="1" t="s">
        <v>89</v>
      </c>
      <c r="B3682" s="1" t="s">
        <v>90</v>
      </c>
      <c r="C3682" s="1" t="s">
        <v>745</v>
      </c>
      <c r="D3682" s="1" t="s">
        <v>6568</v>
      </c>
      <c r="E3682" s="1" t="s">
        <v>6569</v>
      </c>
      <c r="F3682" s="1" t="s">
        <v>6570</v>
      </c>
      <c r="G3682" s="1" t="s">
        <v>36</v>
      </c>
      <c r="H3682" s="1" t="s">
        <v>29</v>
      </c>
      <c r="I3682" s="1" t="str">
        <f ca="1">IFERROR(__xludf.DUMMYFUNCTION("GOOGLETRANSLATE(F3682, ""auto"", ""en"")
"),"high quality, beautiful, fast")</f>
        <v>high quality, beautiful, fast</v>
      </c>
    </row>
    <row r="3683" spans="1:9" x14ac:dyDescent="0.3">
      <c r="A3683" s="1" t="s">
        <v>61</v>
      </c>
      <c r="B3683" s="1" t="s">
        <v>318</v>
      </c>
      <c r="C3683" s="1" t="s">
        <v>2840</v>
      </c>
      <c r="D3683" s="1" t="s">
        <v>6571</v>
      </c>
      <c r="E3683" s="1" t="s">
        <v>6572</v>
      </c>
      <c r="F3683" s="1" t="s">
        <v>6573</v>
      </c>
      <c r="G3683" s="1" t="s">
        <v>15</v>
      </c>
      <c r="H3683" s="1" t="s">
        <v>16</v>
      </c>
      <c r="I3683" s="1" t="str">
        <f ca="1">IFERROR(__xludf.DUMMYFUNCTION("GOOGLETRANSLATE(F3683, ""auto"", ""en"")
"),"The kettle is leaking, there is always water on the stand, which constantly drips when the kettle is lifted. Secondly: the lid of the kettle constantly rattles when boiling and this really gets annoying over time. Yes, it’s ceramic and it comes with small"&amp;" cups, but you can’t drink tea from them, but they’re fine for jam...")</f>
        <v>The kettle is leaking, there is always water on the stand, which constantly drips when the kettle is lifted. Secondly: the lid of the kettle constantly rattles when boiling and this really gets annoying over time. Yes, it’s ceramic and it comes with small cups, but you can’t drink tea from them, but they’re fine for jam...</v>
      </c>
    </row>
    <row r="3684" spans="1:9" x14ac:dyDescent="0.3">
      <c r="A3684" s="1" t="s">
        <v>9</v>
      </c>
      <c r="B3684" s="1" t="s">
        <v>23</v>
      </c>
      <c r="C3684" s="1" t="s">
        <v>151</v>
      </c>
      <c r="D3684" s="1" t="s">
        <v>20</v>
      </c>
      <c r="E3684" s="1" t="s">
        <v>6574</v>
      </c>
      <c r="F3684" s="1" t="s">
        <v>6575</v>
      </c>
      <c r="G3684" s="1" t="s">
        <v>36</v>
      </c>
      <c r="H3684" s="1" t="s">
        <v>29</v>
      </c>
      <c r="I3684" s="1" t="str">
        <f ca="1">IFERROR(__xludf.DUMMYFUNCTION("GOOGLETRANSLATE(F3684, ""auto"", ""en"")
"),"I really liked the car. It cleans plates excellently, washes cups well, sometimes you have to wash cutlery by hand (no more than 10% of the total). It works quietly and does not interfere with sleep. Very economical - both in terms of water consumption (1"&amp;"0 liters cycle) and energy (1 kW/hour cycle) and in terms of consumables (a kilogram of salt for 60 washes, a liter of rinse aid for a year, probably a kilo of detergent for three months for sure). I use the cheapest products, there is no difference with "&amp;"expensive ones. The quality of the plastic of the door and buttons is a little disappointing, but this is the cheapest model, the main thing is that it cleans well, and you can forgive the plastic.")</f>
        <v>I really liked the car. It cleans plates excellently, washes cups well, sometimes you have to wash cutlery by hand (no more than 10% of the total). It works quietly and does not interfere with sleep. Very economical - both in terms of water consumption (10 liters cycle) and energy (1 kW/hour cycle) and in terms of consumables (a kilogram of salt for 60 washes, a liter of rinse aid for a year, probably a kilo of detergent for three months for sure). I use the cheapest products, there is no difference with expensive ones. The quality of the plastic of the door and buttons is a little disappointing, but this is the cheapest model, the main thing is that it cleans well, and you can forgive the plastic.</v>
      </c>
    </row>
    <row r="3685" spans="1:9" x14ac:dyDescent="0.3">
      <c r="A3685" s="1" t="s">
        <v>17</v>
      </c>
      <c r="B3685" s="1" t="s">
        <v>18</v>
      </c>
      <c r="C3685" s="1" t="s">
        <v>243</v>
      </c>
      <c r="D3685" s="1" t="s">
        <v>6576</v>
      </c>
      <c r="E3685" s="1" t="s">
        <v>460</v>
      </c>
      <c r="F3685" s="1" t="s">
        <v>6577</v>
      </c>
      <c r="G3685" s="1" t="s">
        <v>49</v>
      </c>
      <c r="H3685" s="1" t="s">
        <v>16</v>
      </c>
      <c r="I3685" s="1" t="str">
        <f ca="1">IFERROR(__xludf.DUMMYFUNCTION("GOOGLETRANSLATE(F3685, ""auto"", ""en"")
"),"THE MACHINE IS CRAZY. During the spin cycle, the vibration is such that it’s scary to leave it on when you leave.  Who said that washing is quiet. When the water is drained, the pump works so that the neighbors can hear it.  If it were up to me, I would r"&amp;"eturn it to the store again.")</f>
        <v>THE MACHINE IS CRAZY. During the spin cycle, the vibration is such that it’s scary to leave it on when you leave.  Who said that washing is quiet. When the water is drained, the pump works so that the neighbors can hear it.  If it were up to me, I would return it to the store again.</v>
      </c>
    </row>
    <row r="3686" spans="1:9" x14ac:dyDescent="0.3">
      <c r="A3686" s="1" t="s">
        <v>211</v>
      </c>
      <c r="B3686" s="1" t="s">
        <v>410</v>
      </c>
      <c r="C3686" s="1" t="s">
        <v>122</v>
      </c>
      <c r="D3686" s="1" t="s">
        <v>152</v>
      </c>
      <c r="E3686" s="1" t="s">
        <v>6578</v>
      </c>
      <c r="F3686" s="1" t="s">
        <v>6579</v>
      </c>
      <c r="G3686" s="1" t="s">
        <v>36</v>
      </c>
      <c r="H3686" s="1" t="s">
        <v>29</v>
      </c>
      <c r="I3686" s="1" t="str">
        <f ca="1">IFERROR(__xludf.DUMMYFUNCTION("GOOGLETRANSLATE(F3686, ""auto"", ""en"")
"),"Standard foil shaver. At the same time at a low price.  Best value for money Shaves just like most other foil razors. Those. only short stubble.  I didn't notice any shortcomings. Charging for 8 hours is not important if left overnight.  Negative reviews "&amp;"from those who do not know what a foil razor is. and doesn't know how to use it.  An ideal choice for those who shave every day.")</f>
        <v>Standard foil shaver. At the same time at a low price.  Best value for money Shaves just like most other foil razors. Those. only short stubble.  I didn't notice any shortcomings. Charging for 8 hours is not important if left overnight.  Negative reviews from those who do not know what a foil razor is. and doesn't know how to use it.  An ideal choice for those who shave every day.</v>
      </c>
    </row>
    <row r="3687" spans="1:9" x14ac:dyDescent="0.3">
      <c r="A3687" s="1" t="s">
        <v>9</v>
      </c>
      <c r="B3687" s="1" t="s">
        <v>23</v>
      </c>
      <c r="C3687" s="1" t="s">
        <v>466</v>
      </c>
      <c r="D3687" s="1" t="s">
        <v>172</v>
      </c>
      <c r="E3687" s="1" t="s">
        <v>269</v>
      </c>
      <c r="F3687" s="1" t="s">
        <v>6580</v>
      </c>
      <c r="G3687" s="1" t="s">
        <v>36</v>
      </c>
      <c r="H3687" s="1" t="s">
        <v>29</v>
      </c>
      <c r="I3687" s="1" t="str">
        <f ca="1">IFERROR(__xludf.DUMMYFUNCTION("GOOGLETRANSLATE(F3687, ""auto"", ""en"")
"),"This dishwasher worked for us for two years without any issues at all. I’ll tell you straight away that in order to wash well, you need to place the dishes in the machine correctly. We only used tablets, such as “all in one” or “almost everything”. Howeve"&amp;"r, they didn’t add salt at all. The result is that it broke. It writes E3 and stops.")</f>
        <v>This dishwasher worked for us for two years without any issues at all. I’ll tell you straight away that in order to wash well, you need to place the dishes in the machine correctly. We only used tablets, such as “all in one” or “almost everything”. However, they didn’t add salt at all. The result is that it broke. It writes E3 and stops.</v>
      </c>
    </row>
    <row r="3688" spans="1:9" x14ac:dyDescent="0.3">
      <c r="A3688" s="1" t="s">
        <v>624</v>
      </c>
      <c r="B3688" s="1" t="s">
        <v>625</v>
      </c>
      <c r="C3688" s="1" t="s">
        <v>479</v>
      </c>
      <c r="D3688" s="1" t="s">
        <v>228</v>
      </c>
      <c r="E3688" s="1" t="s">
        <v>4919</v>
      </c>
      <c r="F3688" s="1" t="s">
        <v>6581</v>
      </c>
      <c r="G3688" s="1" t="s">
        <v>36</v>
      </c>
      <c r="H3688" s="1" t="s">
        <v>29</v>
      </c>
      <c r="I3688" s="1" t="str">
        <f ca="1">IFERROR(__xludf.DUMMYFUNCTION("GOOGLETRANSLATE(F3688, ""auto"", ""en"")
"),"The game is awesome, I played it several times, I was very impressed, there are moments where it chilled me to the very bones. Overall, I'm glad I bought this game. I advise all fans of this series to buy this game. She deserves all the praise.")</f>
        <v>The game is awesome, I played it several times, I was very impressed, there are moments where it chilled me to the very bones. Overall, I'm glad I bought this game. I advise all fans of this series to buy this game. She deserves all the praise.</v>
      </c>
    </row>
    <row r="3689" spans="1:9" x14ac:dyDescent="0.3">
      <c r="A3689" s="1" t="s">
        <v>120</v>
      </c>
      <c r="B3689" s="1" t="s">
        <v>126</v>
      </c>
      <c r="C3689" s="1" t="s">
        <v>122</v>
      </c>
      <c r="D3689" s="1" t="s">
        <v>729</v>
      </c>
      <c r="E3689" s="1" t="s">
        <v>727</v>
      </c>
      <c r="F3689" s="1" t="s">
        <v>6582</v>
      </c>
      <c r="G3689" s="1" t="s">
        <v>15</v>
      </c>
      <c r="H3689" s="1" t="s">
        <v>16</v>
      </c>
      <c r="I3689" s="1" t="str">
        <f ca="1">IFERROR(__xludf.DUMMYFUNCTION("GOOGLETRANSLATE(F3689, ""auto"", ""en"")
"),"Not impressed.. Expected more. Ordinary cable TV shows poorly, perhaps it will be better with satellite TV.")</f>
        <v>Not impressed.. Expected more. Ordinary cable TV shows poorly, perhaps it will be better with satellite TV.</v>
      </c>
    </row>
    <row r="3690" spans="1:9" x14ac:dyDescent="0.3">
      <c r="A3690" s="1" t="s">
        <v>67</v>
      </c>
      <c r="B3690" s="1" t="s">
        <v>340</v>
      </c>
      <c r="C3690" s="1" t="s">
        <v>341</v>
      </c>
      <c r="D3690" s="1" t="s">
        <v>247</v>
      </c>
      <c r="E3690" s="1" t="s">
        <v>1814</v>
      </c>
      <c r="F3690" s="1" t="s">
        <v>6583</v>
      </c>
      <c r="G3690" s="1" t="s">
        <v>36</v>
      </c>
      <c r="H3690" s="1" t="s">
        <v>29</v>
      </c>
      <c r="I3690" s="1" t="str">
        <f ca="1">IFERROR(__xludf.DUMMYFUNCTION("GOOGLETRANSLATE(F3690, ""auto"", ""en"")
"),"I bought the machine 1.5 years ago. I won’t say that I sew a lot, but if I sew, it’s something large: a dress, a suit... I don’t have a single complaint about this model. Smooth adjustment of sewing speed, there is the entire minimum set of stitches requi"&amp;"red for work, plus a few decorative stitches, but I don’t really use them. It is not very noisy, the presser feet are easy to change, and there is an automatic needle threader. By the way, there was never a smell of burning... I recommend it)))")</f>
        <v>I bought the machine 1.5 years ago. I won’t say that I sew a lot, but if I sew, it’s something large: a dress, a suit... I don’t have a single complaint about this model. Smooth adjustment of sewing speed, there is the entire minimum set of stitches required for work, plus a few decorative stitches, but I don’t really use them. It is not very noisy, the presser feet are easy to change, and there is an automatic needle threader. By the way, there was never a smell of burning... I recommend it)))</v>
      </c>
    </row>
    <row r="3691" spans="1:9" x14ac:dyDescent="0.3">
      <c r="A3691" s="1" t="s">
        <v>67</v>
      </c>
      <c r="B3691" s="1" t="s">
        <v>68</v>
      </c>
      <c r="C3691" s="1" t="s">
        <v>69</v>
      </c>
      <c r="D3691" s="1" t="s">
        <v>589</v>
      </c>
      <c r="E3691" s="1" t="s">
        <v>4445</v>
      </c>
      <c r="F3691" s="1" t="s">
        <v>6584</v>
      </c>
      <c r="G3691" s="1" t="s">
        <v>36</v>
      </c>
      <c r="H3691" s="1" t="s">
        <v>29</v>
      </c>
      <c r="I3691" s="1" t="str">
        <f ca="1">IFERROR(__xludf.DUMMYFUNCTION("GOOGLETRANSLATE(F3691, ""auto"", ""en"")
"),"I bought the iron six months ago. And I still can’t get enough of it! Previously, I couldn’t bring myself to stroke it. Now, whenever I have a free minute, I take up the iron and iron with pleasure. With my previous iron I couldn’t smooth out more than on"&amp;"e wrinkle. Now, with one touch, any thing is perfectly smooth. Buy and don’t hesitate - you won’t regret it!")</f>
        <v>I bought the iron six months ago. And I still can’t get enough of it! Previously, I couldn’t bring myself to stroke it. Now, whenever I have a free minute, I take up the iron and iron with pleasure. With my previous iron I couldn’t smooth out more than one wrinkle. Now, with one touch, any thing is perfectly smooth. Buy and don’t hesitate - you won’t regret it!</v>
      </c>
    </row>
    <row r="3692" spans="1:9" x14ac:dyDescent="0.3">
      <c r="A3692" s="1" t="s">
        <v>37</v>
      </c>
      <c r="B3692" s="1" t="s">
        <v>355</v>
      </c>
      <c r="C3692" s="1" t="s">
        <v>356</v>
      </c>
      <c r="D3692" s="1" t="s">
        <v>33</v>
      </c>
      <c r="E3692" s="1" t="s">
        <v>634</v>
      </c>
      <c r="F3692" s="1" t="s">
        <v>6585</v>
      </c>
      <c r="G3692" s="1" t="s">
        <v>36</v>
      </c>
      <c r="H3692" s="1" t="s">
        <v>29</v>
      </c>
      <c r="I3692" s="1" t="str">
        <f ca="1">IFERROR(__xludf.DUMMYFUNCTION("GOOGLETRANSLATE(F3692, ""auto"", ""en"")
"),"I recently bought it, it does everything quickly, it doesn’t glitch, the sound is great, everything is intuitive, after the PDA it’s like in heaven. I just advise everyone to buy the charger separately, otherwise it is INCONVENIENT to constantly rearrange"&amp;" the USB cord. I recommend it to everyone.")</f>
        <v>I recently bought it, it does everything quickly, it doesn’t glitch, the sound is great, everything is intuitive, after the PDA it’s like in heaven. I just advise everyone to buy the charger separately, otherwise it is INCONVENIENT to constantly rearrange the USB cord. I recommend it to everyone.</v>
      </c>
    </row>
    <row r="3693" spans="1:9" x14ac:dyDescent="0.3">
      <c r="A3693" s="1" t="s">
        <v>61</v>
      </c>
      <c r="B3693" s="1" t="s">
        <v>318</v>
      </c>
      <c r="C3693" s="1" t="s">
        <v>246</v>
      </c>
      <c r="D3693" s="1" t="s">
        <v>280</v>
      </c>
      <c r="E3693" s="1" t="s">
        <v>201</v>
      </c>
      <c r="F3693" s="1" t="s">
        <v>6586</v>
      </c>
      <c r="G3693" s="1" t="s">
        <v>49</v>
      </c>
      <c r="H3693" s="1" t="s">
        <v>16</v>
      </c>
      <c r="I3693" s="1" t="str">
        <f ca="1">IFERROR(__xludf.DUMMYFUNCTION("GOOGLETRANSLATE(F3693, ""auto"", ""en"")
"),"The color of the kettle and the design are wonderful. 2 weeks after the purchase, the heating element became covered with rusty spots. It turns out that it was made of rust and not vice versa. I immediately returned it to the store.")</f>
        <v>The color of the kettle and the design are wonderful. 2 weeks after the purchase, the heating element became covered with rusty spots. It turns out that it was made of rust and not vice versa. I immediately returned it to the store.</v>
      </c>
    </row>
    <row r="3694" spans="1:9" x14ac:dyDescent="0.3">
      <c r="A3694" s="1" t="s">
        <v>43</v>
      </c>
      <c r="B3694" s="1" t="s">
        <v>303</v>
      </c>
      <c r="C3694" s="1" t="s">
        <v>1721</v>
      </c>
      <c r="D3694" s="1" t="s">
        <v>1506</v>
      </c>
      <c r="E3694" s="1" t="s">
        <v>2964</v>
      </c>
      <c r="F3694" s="1" t="s">
        <v>6587</v>
      </c>
      <c r="G3694" s="1" t="s">
        <v>15</v>
      </c>
      <c r="H3694" s="1" t="s">
        <v>16</v>
      </c>
      <c r="I3694" s="1" t="str">
        <f ca="1">IFERROR(__xludf.DUMMYFUNCTION("GOOGLETRANSLATE(F3694, ""auto"", ""en"")
"),"The next one worked, like the previous ones, for 2 years. The tank rusted and leaked. Cannot be restored.")</f>
        <v>The next one worked, like the previous ones, for 2 years. The tank rusted and leaked. Cannot be restored.</v>
      </c>
    </row>
    <row r="3695" spans="1:9" x14ac:dyDescent="0.3">
      <c r="A3695" s="1" t="s">
        <v>9</v>
      </c>
      <c r="B3695" s="1" t="s">
        <v>10</v>
      </c>
      <c r="C3695" s="1" t="s">
        <v>466</v>
      </c>
      <c r="D3695" s="1" t="s">
        <v>247</v>
      </c>
      <c r="E3695" s="1" t="s">
        <v>382</v>
      </c>
      <c r="F3695" s="1" t="s">
        <v>6588</v>
      </c>
      <c r="G3695" s="1" t="s">
        <v>28</v>
      </c>
      <c r="H3695" s="1" t="s">
        <v>29</v>
      </c>
      <c r="I3695" s="1" t="str">
        <f ca="1">IFERROR(__xludf.DUMMYFUNCTION("GOOGLETRANSLATE(F3695, ""auto"", ""en"")
"),"We bought it a month and a half ago from M video in our city. There are almost no complaints, the only thing is that it makes noise. But it works great. I like. It pulls just great!")</f>
        <v>We bought it a month and a half ago from M video in our city. There are almost no complaints, the only thing is that it makes noise. But it works great. I like. It pulls just great!</v>
      </c>
    </row>
    <row r="3696" spans="1:9" x14ac:dyDescent="0.3">
      <c r="A3696" s="1" t="s">
        <v>149</v>
      </c>
      <c r="B3696" s="1" t="s">
        <v>155</v>
      </c>
      <c r="C3696" s="1" t="s">
        <v>24</v>
      </c>
      <c r="D3696" s="1" t="s">
        <v>163</v>
      </c>
      <c r="E3696" s="1" t="s">
        <v>903</v>
      </c>
      <c r="F3696" s="1" t="s">
        <v>6589</v>
      </c>
      <c r="G3696" s="1" t="s">
        <v>36</v>
      </c>
      <c r="H3696" s="1" t="s">
        <v>29</v>
      </c>
      <c r="I3696" s="1" t="str">
        <f ca="1">IFERROR(__xludf.DUMMYFUNCTION("GOOGLETRANSLATE(F3696, ""auto"", ""en"")
"),"Hello! I liked the design, the price, and the characteristics...it picks up carpets, carpets and laminate well...dust, yes, sticks a little to the nozzle! Well, I think many people have this...I got it with a 20% discount) so far everything is good!")</f>
        <v>Hello! I liked the design, the price, and the characteristics...it picks up carpets, carpets and laminate well...dust, yes, sticks a little to the nozzle! Well, I think many people have this...I got it with a 20% discount) so far everything is good!</v>
      </c>
    </row>
    <row r="3697" spans="1:9" x14ac:dyDescent="0.3">
      <c r="A3697" s="1" t="s">
        <v>61</v>
      </c>
      <c r="B3697" s="1" t="s">
        <v>726</v>
      </c>
      <c r="C3697" s="1" t="s">
        <v>122</v>
      </c>
      <c r="D3697" s="1" t="s">
        <v>1055</v>
      </c>
      <c r="E3697" s="1" t="s">
        <v>4739</v>
      </c>
      <c r="F3697" s="1" t="s">
        <v>6590</v>
      </c>
      <c r="G3697" s="1" t="s">
        <v>36</v>
      </c>
      <c r="H3697" s="1" t="s">
        <v>29</v>
      </c>
      <c r="I3697" s="1" t="str">
        <f ca="1">IFERROR(__xludf.DUMMYFUNCTION("GOOGLETRANSLATE(F3697, ""auto"", ""en"")
"),"I bought it a month ago. The bread turned out right the first time. VERY pleased. I recommend it to everyone. My mom is going to buy exactly the same one :)")</f>
        <v>I bought it a month ago. The bread turned out right the first time. VERY pleased. I recommend it to everyone. My mom is going to buy exactly the same one :)</v>
      </c>
    </row>
    <row r="3698" spans="1:9" x14ac:dyDescent="0.3">
      <c r="A3698" s="1" t="s">
        <v>624</v>
      </c>
      <c r="B3698" s="1" t="s">
        <v>625</v>
      </c>
      <c r="C3698" s="1" t="s">
        <v>479</v>
      </c>
      <c r="D3698" s="1" t="s">
        <v>4546</v>
      </c>
      <c r="E3698" s="1" t="s">
        <v>1122</v>
      </c>
      <c r="F3698" s="1" t="s">
        <v>6591</v>
      </c>
      <c r="G3698" s="1" t="s">
        <v>28</v>
      </c>
      <c r="H3698" s="1" t="s">
        <v>29</v>
      </c>
      <c r="I3698" s="1" t="str">
        <f ca="1">IFERROR(__xludf.DUMMYFUNCTION("GOOGLETRANSLATE(F3698, ""auto"", ""en"")
"),"the game is just awesome. It’s just a pity that it’s not in Russian.")</f>
        <v>the game is just awesome. It’s just a pity that it’s not in Russian.</v>
      </c>
    </row>
    <row r="3699" spans="1:9" x14ac:dyDescent="0.3">
      <c r="A3699" s="1" t="s">
        <v>732</v>
      </c>
      <c r="B3699" s="1" t="s">
        <v>733</v>
      </c>
      <c r="C3699" s="1" t="s">
        <v>80</v>
      </c>
      <c r="D3699" s="1" t="s">
        <v>327</v>
      </c>
      <c r="E3699" s="1" t="s">
        <v>2011</v>
      </c>
      <c r="F3699" s="1" t="s">
        <v>6592</v>
      </c>
      <c r="G3699" s="1" t="s">
        <v>36</v>
      </c>
      <c r="H3699" s="1" t="s">
        <v>29</v>
      </c>
      <c r="I3699" s="1" t="str">
        <f ca="1">IFERROR(__xludf.DUMMYFUNCTION("GOOGLETRANSLATE(F3699, ""auto"", ""en"")
"),"Very pleased with the purchase and service in the store.")</f>
        <v>Very pleased with the purchase and service in the store.</v>
      </c>
    </row>
    <row r="3700" spans="1:9" x14ac:dyDescent="0.3">
      <c r="A3700" s="1" t="s">
        <v>17</v>
      </c>
      <c r="B3700" s="1" t="s">
        <v>18</v>
      </c>
      <c r="C3700" s="1" t="s">
        <v>243</v>
      </c>
      <c r="D3700" s="1" t="s">
        <v>12</v>
      </c>
      <c r="E3700" s="1" t="s">
        <v>6593</v>
      </c>
      <c r="F3700" s="1" t="s">
        <v>6594</v>
      </c>
      <c r="G3700" s="1" t="s">
        <v>36</v>
      </c>
      <c r="H3700" s="1" t="s">
        <v>29</v>
      </c>
      <c r="I3700" s="1" t="str">
        <f ca="1">IFERROR(__xludf.DUMMYFUNCTION("GOOGLETRANSLATE(F3700, ""auto"", ""en"")
"),"Cheap and cheerful!")</f>
        <v>Cheap and cheerful!</v>
      </c>
    </row>
    <row r="3701" spans="1:9" x14ac:dyDescent="0.3">
      <c r="A3701" s="1" t="s">
        <v>105</v>
      </c>
      <c r="B3701" s="1" t="s">
        <v>106</v>
      </c>
      <c r="C3701" s="1" t="s">
        <v>1209</v>
      </c>
      <c r="D3701" s="1" t="s">
        <v>6595</v>
      </c>
      <c r="E3701" s="1" t="s">
        <v>1723</v>
      </c>
      <c r="F3701" s="1" t="s">
        <v>6596</v>
      </c>
      <c r="G3701" s="1" t="s">
        <v>15</v>
      </c>
      <c r="H3701" s="1" t="s">
        <v>16</v>
      </c>
      <c r="I3701" s="1" t="str">
        <f ca="1">IFERROR(__xludf.DUMMYFUNCTION("GOOGLETRANSLATE(F3701, ""auto"", ""en"")
"),"The unit did not work for a year - the touch panel died. I regret buying this device - I could have bought a more durable one for the same money..")</f>
        <v>The unit did not work for a year - the touch panel died. I regret buying this device - I could have bought a more durable one for the same money..</v>
      </c>
    </row>
    <row r="3702" spans="1:9" x14ac:dyDescent="0.3">
      <c r="A3702" s="1" t="s">
        <v>149</v>
      </c>
      <c r="B3702" s="1" t="s">
        <v>576</v>
      </c>
      <c r="C3702" s="1" t="s">
        <v>85</v>
      </c>
      <c r="D3702" s="1" t="s">
        <v>172</v>
      </c>
      <c r="E3702" s="1" t="s">
        <v>481</v>
      </c>
      <c r="F3702" s="1" t="s">
        <v>6597</v>
      </c>
      <c r="G3702" s="1" t="s">
        <v>36</v>
      </c>
      <c r="H3702" s="1" t="s">
        <v>29</v>
      </c>
      <c r="I3702" s="1" t="str">
        <f ca="1">IFERROR(__xludf.DUMMYFUNCTION("GOOGLETRANSLATE(F3702, ""auto"", ""en"")
"),"I've been using this vacuum cleaner for a year now and I'm very pleased!!! A bag lasts for 2.5 - 3 months. Very good power, easy to use.")</f>
        <v>I've been using this vacuum cleaner for a year now and I'm very pleased!!! A bag lasts for 2.5 - 3 months. Very good power, easy to use.</v>
      </c>
    </row>
    <row r="3703" spans="1:9" x14ac:dyDescent="0.3">
      <c r="A3703" s="1" t="s">
        <v>169</v>
      </c>
      <c r="B3703" s="1" t="s">
        <v>170</v>
      </c>
      <c r="C3703" s="1" t="s">
        <v>193</v>
      </c>
      <c r="D3703" s="1" t="s">
        <v>6598</v>
      </c>
      <c r="E3703" s="1" t="s">
        <v>251</v>
      </c>
      <c r="F3703" s="1" t="s">
        <v>6599</v>
      </c>
      <c r="G3703" s="1" t="s">
        <v>36</v>
      </c>
      <c r="H3703" s="1" t="s">
        <v>29</v>
      </c>
      <c r="I3703" s="1" t="str">
        <f ca="1">IFERROR(__xludf.DUMMYFUNCTION("GOOGLETRANSLATE(F3703, ""auto"", ""en"")
"),"I bought these headphones 4 or 5 years ago, they still work perfectly, the speakers are not loose, BUT the ear pads are stretched and sometimes come out, they were almost always used at home, they were only in the case when being carried.   The sound is e"&amp;"xcellent for this price category, I can clearly hear the difference between mp3 192, mp3 320, flаck and a regular CD, even on the laptop’s built-in sound card.   Owners of an iPod nano (I can’t say about the classic), I myself am like that, don’t spend mo"&amp;"ney on them, it’s better to buy ears up to 1000 rubles, this is the maximum that it is capable of. (I listened to them on many players, sound, stationary, and the iPod turned out to be the worst, unfortunately) Regarding convenience: in principle, the hea"&amp;"dphones are comfortable, both to wear and to carry, but there is one point - with prolonged listening, the head (or ears) get tired, as they squeeze the head, they are tight. This is noticeable during long-term listening, starting from 1.5-2 hours, which "&amp;"cannot be said during the first operating experience; it turns out deceptively.")</f>
        <v>I bought these headphones 4 or 5 years ago, they still work perfectly, the speakers are not loose, BUT the ear pads are stretched and sometimes come out, they were almost always used at home, they were only in the case when being carried.   The sound is excellent for this price category, I can clearly hear the difference between mp3 192, mp3 320, flаck and a regular CD, even on the laptop’s built-in sound card.   Owners of an iPod nano (I can’t say about the classic), I myself am like that, don’t spend money on them, it’s better to buy ears up to 1000 rubles, this is the maximum that it is capable of. (I listened to them on many players, sound, stationary, and the iPod turned out to be the worst, unfortunately) Regarding convenience: in principle, the headphones are comfortable, both to wear and to carry, but there is one point - with prolonged listening, the head (or ears) get tired, as they squeeze the head, they are tight. This is noticeable during long-term listening, starting from 1.5-2 hours, which cannot be said during the first operating experience; it turns out deceptively.</v>
      </c>
    </row>
    <row r="3704" spans="1:9" x14ac:dyDescent="0.3">
      <c r="A3704" s="1" t="s">
        <v>61</v>
      </c>
      <c r="B3704" s="1" t="s">
        <v>318</v>
      </c>
      <c r="C3704" s="1" t="s">
        <v>101</v>
      </c>
      <c r="D3704" s="1" t="s">
        <v>295</v>
      </c>
      <c r="E3704" s="1" t="s">
        <v>6167</v>
      </c>
      <c r="F3704" s="1" t="s">
        <v>6600</v>
      </c>
      <c r="G3704" s="1" t="s">
        <v>28</v>
      </c>
      <c r="H3704" s="1" t="s">
        <v>29</v>
      </c>
      <c r="I3704" s="1" t="str">
        <f ca="1">IFERROR(__xludf.DUMMYFUNCTION("GOOGLETRANSLATE(F3704, ""auto"", ""en"")
"),"My husband bought this kettle for his work. After I was fired, I brought it home and are still using it. It is very roomy, enough for a large family or a family of tea maniacs. It boils very quickly, it is impossible to get burned on the body. One drawbac"&amp;"k - over time the spout began to leak a little, but we got used to holding it at a slightly angle and then all the water gets into the mug)")</f>
        <v>My husband bought this kettle for his work. After I was fired, I brought it home and are still using it. It is very roomy, enough for a large family or a family of tea maniacs. It boils very quickly, it is impossible to get burned on the body. One drawback - over time the spout began to leak a little, but we got used to holding it at a slightly angle and then all the water gets into the mug)</v>
      </c>
    </row>
    <row r="3705" spans="1:9" x14ac:dyDescent="0.3">
      <c r="A3705" s="1" t="s">
        <v>30</v>
      </c>
      <c r="B3705" s="1" t="s">
        <v>50</v>
      </c>
      <c r="C3705" s="1" t="s">
        <v>151</v>
      </c>
      <c r="D3705" s="1" t="s">
        <v>6601</v>
      </c>
      <c r="E3705" s="1" t="s">
        <v>3259</v>
      </c>
      <c r="F3705" s="1" t="s">
        <v>6602</v>
      </c>
      <c r="G3705" s="1" t="s">
        <v>28</v>
      </c>
      <c r="H3705" s="1" t="s">
        <v>29</v>
      </c>
      <c r="I3705" s="1" t="str">
        <f ca="1">IFERROR(__xludf.DUMMYFUNCTION("GOOGLETRANSLATE(F3705, ""auto"", ""en"")
"),"In principle, I’ve been using it for about a year, when working on a wired Internet I got a blue screen, I installed Wi-Fi, there are no problems, everything runs games, on maximum graphics, it slows down a little when working with a hard drive")</f>
        <v>In principle, I’ve been using it for about a year, when working on a wired Internet I got a blue screen, I installed Wi-Fi, there are no problems, everything runs games, on maximum graphics, it slows down a little when working with a hard drive</v>
      </c>
    </row>
    <row r="3706" spans="1:9" x14ac:dyDescent="0.3">
      <c r="A3706" s="1" t="s">
        <v>211</v>
      </c>
      <c r="B3706" s="1" t="s">
        <v>265</v>
      </c>
      <c r="C3706" s="1" t="s">
        <v>294</v>
      </c>
      <c r="D3706" s="1" t="s">
        <v>152</v>
      </c>
      <c r="E3706" s="1" t="s">
        <v>92</v>
      </c>
      <c r="F3706" s="1" t="s">
        <v>6603</v>
      </c>
      <c r="G3706" s="1" t="s">
        <v>36</v>
      </c>
      <c r="H3706" s="1" t="s">
        <v>29</v>
      </c>
      <c r="I3706" s="1" t="str">
        <f ca="1">IFERROR(__xludf.DUMMYFUNCTION("GOOGLETRANSLATE(F3706, ""auto"", ""en"")
"),"Comfortable, doesn't pull hair")</f>
        <v>Comfortable, doesn't pull hair</v>
      </c>
    </row>
    <row r="3707" spans="1:9" x14ac:dyDescent="0.3">
      <c r="A3707" s="1" t="s">
        <v>624</v>
      </c>
      <c r="B3707" s="1" t="s">
        <v>2107</v>
      </c>
      <c r="C3707" s="1" t="s">
        <v>479</v>
      </c>
      <c r="D3707" s="1" t="s">
        <v>39</v>
      </c>
      <c r="E3707" s="1" t="s">
        <v>1959</v>
      </c>
      <c r="F3707" s="1" t="s">
        <v>6604</v>
      </c>
      <c r="G3707" s="1" t="s">
        <v>36</v>
      </c>
      <c r="H3707" s="1" t="s">
        <v>29</v>
      </c>
      <c r="I3707" s="1" t="str">
        <f ca="1">IFERROR(__xludf.DUMMYFUNCTION("GOOGLETRANSLATE(F3707, ""auto"", ""en"")
"),"Nothing like that, if your TV supports HDMI, then everything will be perfectly visible (tested it myself). And it’s not at all necessary to buy an expensive Microsoft cable for 1500 rubles, you can buy it for 300 rubles - nothing will change (tested it my"&amp;"self)!")</f>
        <v>Nothing like that, if your TV supports HDMI, then everything will be perfectly visible (tested it myself). And it’s not at all necessary to buy an expensive Microsoft cable for 1500 rubles, you can buy it for 300 rubles - nothing will change (tested it myself)!</v>
      </c>
    </row>
    <row r="3708" spans="1:9" x14ac:dyDescent="0.3">
      <c r="A3708" s="1" t="s">
        <v>120</v>
      </c>
      <c r="B3708" s="1" t="s">
        <v>121</v>
      </c>
      <c r="C3708" s="1" t="s">
        <v>122</v>
      </c>
      <c r="D3708" s="1" t="s">
        <v>52</v>
      </c>
      <c r="E3708" s="1" t="s">
        <v>367</v>
      </c>
      <c r="F3708" s="1" t="s">
        <v>6605</v>
      </c>
      <c r="G3708" s="1" t="s">
        <v>36</v>
      </c>
      <c r="H3708" s="1" t="s">
        <v>29</v>
      </c>
      <c r="I3708" s="1" t="str">
        <f ca="1">IFERROR(__xludf.DUMMYFUNCTION("GOOGLETRANSLATE(F3708, ""auto"", ""en"")
"),"Everyone writes DVDs and watches them via HDMI ;) the resolution of a DVD movie is approximately 720x300 pixels, and this panel has a screen resolution of 1920x1080 pixels (FullHD). If you don’t have a Blu-ray player (one disc with a movie costs from 1000"&amp;" to 2000 rubles - :)) and you are not going to connect the panel to a computer, then for this money you can get a 37"" diagonal)))")</f>
        <v>Everyone writes DVDs and watches them via HDMI ;) the resolution of a DVD movie is approximately 720x300 pixels, and this panel has a screen resolution of 1920x1080 pixels (FullHD). If you don’t have a Blu-ray player (one disc with a movie costs from 1000 to 2000 rubles - :)) and you are not going to connect the panel to a computer, then for this money you can get a 37" diagonal)))</v>
      </c>
    </row>
    <row r="3709" spans="1:9" x14ac:dyDescent="0.3">
      <c r="A3709" s="1" t="s">
        <v>9</v>
      </c>
      <c r="B3709" s="1" t="s">
        <v>10</v>
      </c>
      <c r="C3709" s="1" t="s">
        <v>407</v>
      </c>
      <c r="D3709" s="1" t="s">
        <v>295</v>
      </c>
      <c r="E3709" s="1" t="s">
        <v>6606</v>
      </c>
      <c r="F3709" s="1" t="s">
        <v>6607</v>
      </c>
      <c r="G3709" s="1" t="s">
        <v>36</v>
      </c>
      <c r="H3709" s="1" t="s">
        <v>29</v>
      </c>
      <c r="I3709" s="1" t="str">
        <f ca="1">IFERROR(__xludf.DUMMYFUNCTION("GOOGLETRANSLATE(F3709, ""auto"", ""en"")
"),"Excellent hood for your money. Nothing extra. It copes with its main function wonderfully. Doesn't make noise and takes up little space. It's been hanging for a long time. No breakdowns. An excellent option for a small, economical kitchen.")</f>
        <v>Excellent hood for your money. Nothing extra. It copes with its main function wonderfully. Doesn't make noise and takes up little space. It's been hanging for a long time. No breakdowns. An excellent option for a small, economical kitchen.</v>
      </c>
    </row>
    <row r="3710" spans="1:9" x14ac:dyDescent="0.3">
      <c r="A3710" s="1" t="s">
        <v>61</v>
      </c>
      <c r="B3710" s="1" t="s">
        <v>977</v>
      </c>
      <c r="C3710" s="1" t="s">
        <v>85</v>
      </c>
      <c r="D3710" s="1" t="s">
        <v>280</v>
      </c>
      <c r="E3710" s="1" t="s">
        <v>6608</v>
      </c>
      <c r="F3710" s="1" t="s">
        <v>6609</v>
      </c>
      <c r="G3710" s="1" t="s">
        <v>36</v>
      </c>
      <c r="H3710" s="1" t="s">
        <v>29</v>
      </c>
      <c r="I3710" s="1" t="str">
        <f ca="1">IFERROR(__xludf.DUMMYFUNCTION("GOOGLETRANSLATE(F3710, ""auto"", ""en"")
"),"I purchased a blender from mvideo. A powerful and convenient blender, a light bowl, good knives, the ability to grind meat, crushes ice.")</f>
        <v>I purchased a blender from mvideo. A powerful and convenient blender, a light bowl, good knives, the ability to grind meat, crushes ice.</v>
      </c>
    </row>
    <row r="3711" spans="1:9" x14ac:dyDescent="0.3">
      <c r="A3711" s="1" t="s">
        <v>206</v>
      </c>
      <c r="B3711" s="1" t="s">
        <v>207</v>
      </c>
      <c r="C3711" s="1" t="s">
        <v>45</v>
      </c>
      <c r="D3711" s="1" t="s">
        <v>6610</v>
      </c>
      <c r="E3711" s="1" t="s">
        <v>285</v>
      </c>
      <c r="F3711" s="1" t="s">
        <v>6611</v>
      </c>
      <c r="G3711" s="1" t="s">
        <v>36</v>
      </c>
      <c r="H3711" s="1" t="s">
        <v>29</v>
      </c>
      <c r="I3711" s="1" t="str">
        <f ca="1">IFERROR(__xludf.DUMMYFUNCTION("GOOGLETRANSLATE(F3711, ""auto"", ""en"")
"),"For an ordinary person with average income, this is not a bad set.")</f>
        <v>For an ordinary person with average income, this is not a bad set.</v>
      </c>
    </row>
    <row r="3712" spans="1:9" x14ac:dyDescent="0.3">
      <c r="A3712" s="1" t="s">
        <v>55</v>
      </c>
      <c r="B3712" s="1" t="s">
        <v>56</v>
      </c>
      <c r="C3712" s="1" t="s">
        <v>3651</v>
      </c>
      <c r="D3712" s="1" t="s">
        <v>474</v>
      </c>
      <c r="E3712" s="1" t="s">
        <v>6612</v>
      </c>
      <c r="F3712" s="1" t="s">
        <v>6613</v>
      </c>
      <c r="G3712" s="1" t="s">
        <v>36</v>
      </c>
      <c r="H3712" s="1" t="s">
        <v>29</v>
      </c>
      <c r="I3712" s="1" t="str">
        <f ca="1">IFERROR(__xludf.DUMMYFUNCTION("GOOGLETRANSLATE(F3712, ""auto"", ""en"")
"),"With the onset of winter, the humidity in the room began to drop sharply, I keep an eye on this, since infants need humidity like no other, and they get sick less often. Before this we bought an Air Washer, the air in the room is better than in others, bu"&amp;"t it humidifies only up to 30-40%, and it blows cold air, it’s somehow uncomfortable in winter, I turn it on when we leave. This humidifier blows warm air, which is a big plus for us, since it’s not that hot in the apartment, it humidifies up to 50-60%, i"&amp;"t’s easy to breathe, there’s a timer for up to 8 hours, automatic shutdown in the absence of water, as well as a night mode. I think that the hydrometer there is illogical since it is under a stream of steam all the time, of course the humidity there will"&amp;" be 70-80%, but in the whole room it’s not like that))) but at the beginning of the work it shows adequate humidity, which is present in the whole room")</f>
        <v>With the onset of winter, the humidity in the room began to drop sharply, I keep an eye on this, since infants need humidity like no other, and they get sick less often. Before this we bought an Air Washer, the air in the room is better than in others, but it humidifies only up to 30-40%, and it blows cold air, it’s somehow uncomfortable in winter, I turn it on when we leave. This humidifier blows warm air, which is a big plus for us, since it’s not that hot in the apartment, it humidifies up to 50-60%, it’s easy to breathe, there’s a timer for up to 8 hours, automatic shutdown in the absence of water, as well as a night mode. I think that the hydrometer there is illogical since it is under a stream of steam all the time, of course the humidity there will be 70-80%, but in the whole room it’s not like that))) but at the beginning of the work it shows adequate humidity, which is present in the whole room</v>
      </c>
    </row>
    <row r="3713" spans="1:9" x14ac:dyDescent="0.3">
      <c r="A3713" s="1" t="s">
        <v>477</v>
      </c>
      <c r="B3713" s="1" t="s">
        <v>478</v>
      </c>
      <c r="C3713" s="1" t="s">
        <v>479</v>
      </c>
      <c r="D3713" s="1" t="s">
        <v>280</v>
      </c>
      <c r="E3713" s="1" t="s">
        <v>1738</v>
      </c>
      <c r="F3713" s="1" t="s">
        <v>6614</v>
      </c>
      <c r="G3713" s="1" t="s">
        <v>36</v>
      </c>
      <c r="H3713" s="1" t="s">
        <v>29</v>
      </c>
      <c r="I3713" s="1" t="str">
        <f ca="1">IFERROR(__xludf.DUMMYFUNCTION("GOOGLETRANSLATE(F3713, ""auto"", ""en"")
"),"The advantages of this game include: + You can play as two different characters and each has its own characteristics, one shoots with two hands, the second uses a whip and can blow up anything with dynamite.    + The game shines with its terrain, there ar"&amp;"e many places where you can hide, surround the enemy and come from the rear, + The weapons in the game are very different: Bow and Arrows, Colts, Winchester, Shooting from a Cannon, Shooting from a Machine Gun.     + Duels in the game occupy a special pla"&amp;"ce, the combat system is well thought out and each of the duels becomes a real test, especially if you play on a difficult level.    + Having mastered all the tricks of the game, you become a real pro and begin to receive indescribable pleasure from playi"&amp;"ng.     At the moment, I think there is no game of a similar genre better than this one.")</f>
        <v>The advantages of this game include: + You can play as two different characters and each has its own characteristics, one shoots with two hands, the second uses a whip and can blow up anything with dynamite.    + The game shines with its terrain, there are many places where you can hide, surround the enemy and come from the rear, + The weapons in the game are very different: Bow and Arrows, Colts, Winchester, Shooting from a Cannon, Shooting from a Machine Gun.     + Duels in the game occupy a special place, the combat system is well thought out and each of the duels becomes a real test, especially if you play on a difficult level.    + Having mastered all the tricks of the game, you become a real pro and begin to receive indescribable pleasure from playing.     At the moment, I think there is no game of a similar genre better than this one.</v>
      </c>
    </row>
    <row r="3714" spans="1:9" x14ac:dyDescent="0.3">
      <c r="A3714" s="1" t="s">
        <v>61</v>
      </c>
      <c r="B3714" s="1" t="s">
        <v>224</v>
      </c>
      <c r="C3714" s="1" t="s">
        <v>85</v>
      </c>
      <c r="D3714" s="1" t="s">
        <v>39</v>
      </c>
      <c r="E3714" s="1" t="s">
        <v>836</v>
      </c>
      <c r="F3714" s="1" t="s">
        <v>6615</v>
      </c>
      <c r="G3714" s="1" t="s">
        <v>36</v>
      </c>
      <c r="H3714" s="1" t="s">
        <v>29</v>
      </c>
      <c r="I3714" s="1" t="str">
        <f ca="1">IFERROR(__xludf.DUMMYFUNCTION("GOOGLETRANSLATE(F3714, ""auto"", ""en"")
"),"I bought it 3 days ago. I use it and am not overjoyed. It is easy to clean and assemble, the cake is dry, it presses very quickly. The metal body and + does not clatter on the table, unlike its competitors. If you think it’s a little expensive, then it’s "&amp;"better to buy this equipment for many years than to forever swear at Chinese junk.")</f>
        <v>I bought it 3 days ago. I use it and am not overjoyed. It is easy to clean and assemble, the cake is dry, it presses very quickly. The metal body and + does not clatter on the table, unlike its competitors. If you think it’s a little expensive, then it’s better to buy this equipment for many years than to forever swear at Chinese junk.</v>
      </c>
    </row>
    <row r="3715" spans="1:9" x14ac:dyDescent="0.3">
      <c r="A3715" s="1" t="s">
        <v>9</v>
      </c>
      <c r="B3715" s="1" t="s">
        <v>23</v>
      </c>
      <c r="C3715" s="1" t="s">
        <v>885</v>
      </c>
      <c r="D3715" s="1" t="s">
        <v>232</v>
      </c>
      <c r="E3715" s="1" t="s">
        <v>2236</v>
      </c>
      <c r="F3715" s="1" t="s">
        <v>6616</v>
      </c>
      <c r="G3715" s="1" t="s">
        <v>36</v>
      </c>
      <c r="H3715" s="1" t="s">
        <v>29</v>
      </c>
      <c r="I3715" s="1" t="str">
        <f ca="1">IFERROR(__xludf.DUMMYFUNCTION("GOOGLETRANSLATE(F3715, ""auto"", ""en"")
"),"I spent a long time choosing a dishwasher, at first I actually looked at freestanding ones (in terms of height, it would fit under the countertop without even removing the top cover), but in the end, due to the depth (most dishwashers are 60cm), only a bu"&amp;"ilt-in one was suitable, and I liked the way it looks better when installed hidden, everything under one, no one would even think that there is a dishwasher there. I chose an inexpensive model, the characteristics seemed to be something average, without u"&amp;"nnecessary bells and whistles, but also far from being completely simple. The Whirpools that I liked at first were almost the same in price, but according to reviews, as often happens, there is a contradiction. An experienced sales consultant explained al"&amp;"l the features, and in the end the choice fell on this dishwasher.    So, the advantages: - completely built-in (if there are small children at home, they won’t press the buttons), there are models (in particular Whirlpool, which they initially wanted) wi"&amp;"th an open control panel, but this is probably one new model, mostly all closed.  - energy consumption\washing\drying classes: A\A\A (many in this price category have drying class B) - the number of programs is 7, I think it’s just right (neither 5 nor 10"&amp;"), again comparing with other models.  - a convenient thing - folding guides for plates in the lower tray so that you can put a large pan (most don’t fold) - a “delicate” program for washing fragile dishes, an economical program for lightly soiled dishes,"&amp;" a pre-soaking mode - complete protection against leaks (a small thing, but nice) Cons: I just bought it, I can’t say anything, including the quality of the wash, as we will establish, I'll definitely write back in a while.     In general: for the money w"&amp;"ith a similar set of functions, I think it’s the best option, the main thing is that it works for a long time.")</f>
        <v>I spent a long time choosing a dishwasher, at first I actually looked at freestanding ones (in terms of height, it would fit under the countertop without even removing the top cover), but in the end, due to the depth (most dishwashers are 60cm), only a built-in one was suitable, and I liked the way it looks better when installed hidden, everything under one, no one would even think that there is a dishwasher there. I chose an inexpensive model, the characteristics seemed to be something average, without unnecessary bells and whistles, but also far from being completely simple. The Whirpools that I liked at first were almost the same in price, but according to reviews, as often happens, there is a contradiction. An experienced sales consultant explained all the features, and in the end the choice fell on this dishwasher.    So, the advantages: - completely built-in (if there are small children at home, they won’t press the buttons), there are models (in particular Whirlpool, which they initially wanted) with an open control panel, but this is probably one new model, mostly all closed.  - energy consumption\washing\drying classes: A\A\A (many in this price category have drying class B) - the number of programs is 7, I think it’s just right (neither 5 nor 10), again comparing with other models.  - a convenient thing - folding guides for plates in the lower tray so that you can put a large pan (most don’t fold) - a “delicate” program for washing fragile dishes, an economical program for lightly soiled dishes, a pre-soaking mode - complete protection against leaks (a small thing, but nice) Cons: I just bought it, I can’t say anything, including the quality of the wash, as we will establish, I'll definitely write back in a while.     In general: for the money with a similar set of functions, I think it’s the best option, the main thing is that it works for a long time.</v>
      </c>
    </row>
    <row r="3716" spans="1:9" x14ac:dyDescent="0.3">
      <c r="A3716" s="1" t="s">
        <v>105</v>
      </c>
      <c r="B3716" s="1" t="s">
        <v>106</v>
      </c>
      <c r="C3716" s="1" t="s">
        <v>1526</v>
      </c>
      <c r="D3716" s="1" t="s">
        <v>896</v>
      </c>
      <c r="E3716" s="1" t="s">
        <v>2043</v>
      </c>
      <c r="F3716" s="1" t="s">
        <v>6617</v>
      </c>
      <c r="G3716" s="1" t="s">
        <v>36</v>
      </c>
      <c r="H3716" s="1" t="s">
        <v>29</v>
      </c>
      <c r="I3716" s="1" t="str">
        <f ca="1">IFERROR(__xludf.DUMMYFUNCTION("GOOGLETRANSLATE(F3716, ""auto"", ""en"")
"),"Good player! And the clips are read (in avi), the music PLAYS normally! The only thing that’s not convenient with a microCD is that it’s not included in the general playlist. It's a good player, I recommend it!")</f>
        <v>Good player! And the clips are read (in avi), the music PLAYS normally! The only thing that’s not convenient with a microCD is that it’s not included in the general playlist. It's a good player, I recommend it!</v>
      </c>
    </row>
    <row r="3717" spans="1:9" x14ac:dyDescent="0.3">
      <c r="A3717" s="1" t="s">
        <v>61</v>
      </c>
      <c r="B3717" s="1" t="s">
        <v>224</v>
      </c>
      <c r="C3717" s="1" t="s">
        <v>85</v>
      </c>
      <c r="D3717" s="1" t="s">
        <v>568</v>
      </c>
      <c r="E3717" s="1" t="s">
        <v>6618</v>
      </c>
      <c r="F3717" s="1" t="s">
        <v>6619</v>
      </c>
      <c r="G3717" s="1" t="s">
        <v>36</v>
      </c>
      <c r="H3717" s="1" t="s">
        <v>29</v>
      </c>
      <c r="I3717" s="1" t="str">
        <f ca="1">IFERROR(__xludf.DUMMYFUNCTION("GOOGLETRANSLATE(F3717, ""auto"", ""en"")
"),"I was attracted by the design, but was confused by the price; after consultation, I bought it. Since then I couldn’t be happier: there’s a lot of juice, the juice is clean and very easy to use! I recommend it!!!")</f>
        <v>I was attracted by the design, but was confused by the price; after consultation, I bought it. Since then I couldn’t be happier: there’s a lot of juice, the juice is clean and very easy to use! I recommend it!!!</v>
      </c>
    </row>
    <row r="3718" spans="1:9" x14ac:dyDescent="0.3">
      <c r="A3718" s="1" t="s">
        <v>37</v>
      </c>
      <c r="B3718" s="1" t="s">
        <v>38</v>
      </c>
      <c r="C3718" s="1" t="s">
        <v>151</v>
      </c>
      <c r="D3718" s="1" t="s">
        <v>2560</v>
      </c>
      <c r="E3718" s="1" t="s">
        <v>2231</v>
      </c>
      <c r="F3718" s="1" t="s">
        <v>6620</v>
      </c>
      <c r="G3718" s="1" t="s">
        <v>36</v>
      </c>
      <c r="H3718" s="1" t="s">
        <v>29</v>
      </c>
      <c r="I3718" s="1" t="str">
        <f ca="1">IFERROR(__xludf.DUMMYFUNCTION("GOOGLETRANSLATE(F3718, ""auto"", ""en"")
"),"I bought this phone today.  Very convenient and multifunctional!  I wish everyone could buy one!")</f>
        <v>I bought this phone today.  Very convenient and multifunctional!  I wish everyone could buy one!</v>
      </c>
    </row>
    <row r="3719" spans="1:9" x14ac:dyDescent="0.3">
      <c r="A3719" s="1" t="s">
        <v>9</v>
      </c>
      <c r="B3719" s="1" t="s">
        <v>10</v>
      </c>
      <c r="C3719" s="1" t="s">
        <v>466</v>
      </c>
      <c r="D3719" s="1" t="s">
        <v>411</v>
      </c>
      <c r="E3719" s="1" t="s">
        <v>6621</v>
      </c>
      <c r="F3719" s="1" t="s">
        <v>6622</v>
      </c>
      <c r="G3719" s="1" t="s">
        <v>36</v>
      </c>
      <c r="H3719" s="1" t="s">
        <v>29</v>
      </c>
      <c r="I3719" s="1" t="str">
        <f ca="1">IFERROR(__xludf.DUMMYFUNCTION("GOOGLETRANSLATE(F3719, ""auto"", ""en"")
"),"I bought this model in 2008. It worked honestly for the period specified in the documents - 7 years, even more, the engine began to slow down only now in 2016. At speed 1 it is not very noisy, but at speeds 2-3 it is noisy. But I practically never used th"&amp;"em, the kitchen is about 10 sq.")</f>
        <v>I bought this model in 2008. It worked honestly for the period specified in the documents - 7 years, even more, the engine began to slow down only now in 2016. At speed 1 it is not very noisy, but at speeds 2-3 it is noisy. But I practically never used them, the kitchen is about 10 sq.</v>
      </c>
    </row>
    <row r="3720" spans="1:9" x14ac:dyDescent="0.3">
      <c r="A3720" s="1" t="s">
        <v>43</v>
      </c>
      <c r="B3720" s="1" t="s">
        <v>303</v>
      </c>
      <c r="C3720" s="1" t="s">
        <v>665</v>
      </c>
      <c r="D3720" s="1" t="s">
        <v>6623</v>
      </c>
      <c r="E3720" s="1" t="s">
        <v>6624</v>
      </c>
      <c r="F3720" s="1" t="s">
        <v>6625</v>
      </c>
      <c r="G3720" s="1" t="s">
        <v>28</v>
      </c>
      <c r="H3720" s="1" t="s">
        <v>29</v>
      </c>
      <c r="I3720" s="1" t="str">
        <f ca="1">IFERROR(__xludf.DUMMYFUNCTION("GOOGLETRANSLATE(F3720, ""auto"", ""en"")
"),"Operating experience 1 week. At first the relief valve on the return tap was leaking, but that was only the first day, I bought a new one just in case. It is possible for two people to take a shower, but use water sparingly. The design of this box is cert"&amp;"ainly not very good; it looks bulky. There are no complaints about the work. Maintains the temperature for a long time, even when turned off.")</f>
        <v>Operating experience 1 week. At first the relief valve on the return tap was leaking, but that was only the first day, I bought a new one just in case. It is possible for two people to take a shower, but use water sparingly. The design of this box is certainly not very good; it looks bulky. There are no complaints about the work. Maintains the temperature for a long time, even when turned off.</v>
      </c>
    </row>
    <row r="3721" spans="1:9" x14ac:dyDescent="0.3">
      <c r="A3721" s="1" t="s">
        <v>169</v>
      </c>
      <c r="B3721" s="1" t="s">
        <v>170</v>
      </c>
      <c r="C3721" s="1" t="s">
        <v>171</v>
      </c>
      <c r="D3721" s="1" t="s">
        <v>280</v>
      </c>
      <c r="E3721" s="1" t="s">
        <v>204</v>
      </c>
      <c r="F3721" s="1" t="s">
        <v>6626</v>
      </c>
      <c r="G3721" s="1" t="s">
        <v>36</v>
      </c>
      <c r="H3721" s="1" t="s">
        <v>29</v>
      </c>
      <c r="I3721" s="1" t="str">
        <f ca="1">IFERROR(__xludf.DUMMYFUNCTION("GOOGLETRANSLATE(F3721, ""auto"", ""en"")
"),"I can say with confidence that these are the best headphones I have ever owned!  If you choose the right ear pads for your ear, you will get 100% sound insulation. The sound is clear, the bass is high, this is exactly the kind of bass that even at high vo"&amp;"lumes does not turn into noise!  With these headphones, you will hear your songs differently, as they reveal the sound range, and sounds, shades and fragments that you did not notice before or were not heard at all become audible, especially noticeable if"&amp;" the file is of 320kbs quality.  The quality of the material was also pleasing, the headphones themselves are made of a material reminiscent of soft-touch, the wire is also high-quality, thick, the plug is reliable and gold-plated.  The kit was also surpr"&amp;"ising, it includes a denim case (for the player, phone or for the headphones themselves), a set of ear pads, even instructions made in an unusual style, printed on parchment!  I didn’t find any flaws, I recommend it to everyone!")</f>
        <v>I can say with confidence that these are the best headphones I have ever owned!  If you choose the right ear pads for your ear, you will get 100% sound insulation. The sound is clear, the bass is high, this is exactly the kind of bass that even at high volumes does not turn into noise!  With these headphones, you will hear your songs differently, as they reveal the sound range, and sounds, shades and fragments that you did not notice before or were not heard at all become audible, especially noticeable if the file is of 320kbs quality.  The quality of the material was also pleasing, the headphones themselves are made of a material reminiscent of soft-touch, the wire is also high-quality, thick, the plug is reliable and gold-plated.  The kit was also surprising, it includes a denim case (for the player, phone or for the headphones themselves), a set of ear pads, even instructions made in an unusual style, printed on parchment!  I didn’t find any flaws, I recommend it to everyone!</v>
      </c>
    </row>
    <row r="3722" spans="1:9" x14ac:dyDescent="0.3">
      <c r="A3722" s="1" t="s">
        <v>55</v>
      </c>
      <c r="B3722" s="1" t="s">
        <v>235</v>
      </c>
      <c r="C3722" s="1" t="s">
        <v>1341</v>
      </c>
      <c r="D3722" s="1" t="s">
        <v>327</v>
      </c>
      <c r="E3722" s="1" t="s">
        <v>841</v>
      </c>
      <c r="F3722" s="1" t="s">
        <v>6627</v>
      </c>
      <c r="G3722" s="1" t="s">
        <v>28</v>
      </c>
      <c r="H3722" s="1" t="s">
        <v>29</v>
      </c>
      <c r="I3722" s="1" t="str">
        <f ca="1">IFERROR(__xludf.DUMMYFUNCTION("GOOGLETRANSLATE(F3722, ""auto"", ""en"")
"),"Quite powerful and quiet for its size and price category. Unlike “vertical” ones, it heats up to operating temperature instantly. The flow power does not drop as a result of turning the heating on/off.  The only negative: the poorly adjusted gap on the fl"&amp;"ow control potentiometer. It doesn't affect the operation in any way, but the spark that jumps when turning it on/off looks pretty weird.    I recommend it for quickly warming up small rooms (up to 18-20 square meters).")</f>
        <v>Quite powerful and quiet for its size and price category. Unlike “vertical” ones, it heats up to operating temperature instantly. The flow power does not drop as a result of turning the heating on/off.  The only negative: the poorly adjusted gap on the flow control potentiometer. It doesn't affect the operation in any way, but the spark that jumps when turning it on/off looks pretty weird.    I recommend it for quickly warming up small rooms (up to 18-20 square meters).</v>
      </c>
    </row>
    <row r="3723" spans="1:9" x14ac:dyDescent="0.3">
      <c r="A3723" s="1" t="s">
        <v>61</v>
      </c>
      <c r="B3723" s="1" t="s">
        <v>726</v>
      </c>
      <c r="C3723" s="1" t="s">
        <v>74</v>
      </c>
      <c r="D3723" s="1" t="s">
        <v>592</v>
      </c>
      <c r="E3723" s="1" t="s">
        <v>491</v>
      </c>
      <c r="F3723" s="1" t="s">
        <v>6628</v>
      </c>
      <c r="G3723" s="1" t="s">
        <v>36</v>
      </c>
      <c r="H3723" s="1" t="s">
        <v>29</v>
      </c>
      <c r="I3723" s="1" t="str">
        <f ca="1">IFERROR(__xludf.DUMMYFUNCTION("GOOGLETRANSLATE(F3723, ""auto"", ""en"")
"),"The stove is in its third year. Not once during this time did we buy bread. We only eat our own. The stove copes with a bang with French and rye and pies. One minus - the stirrer has peeled off and is difficult to remove from the bread.")</f>
        <v>The stove is in its third year. Not once during this time did we buy bread. We only eat our own. The stove copes with a bang with French and rye and pies. One minus - the stirrer has peeled off and is difficult to remove from the bread.</v>
      </c>
    </row>
    <row r="3724" spans="1:9" x14ac:dyDescent="0.3">
      <c r="A3724" s="1" t="s">
        <v>30</v>
      </c>
      <c r="B3724" s="1" t="s">
        <v>50</v>
      </c>
      <c r="C3724" s="1" t="s">
        <v>1003</v>
      </c>
      <c r="D3724" s="1" t="s">
        <v>139</v>
      </c>
      <c r="E3724" s="1" t="s">
        <v>484</v>
      </c>
      <c r="F3724" s="1" t="s">
        <v>6629</v>
      </c>
      <c r="G3724" s="1" t="s">
        <v>36</v>
      </c>
      <c r="H3724" s="1" t="s">
        <v>29</v>
      </c>
      <c r="I3724" s="1" t="str">
        <f ca="1">IFERROR(__xludf.DUMMYFUNCTION("GOOGLETRANSLATE(F3724, ""auto"", ""en"")
"),"The laptop is normal, I also bought it on sale for 19,990. There is a problem, sometimes it just turns off, then the left mouse button helps block and unlock the laptop.")</f>
        <v>The laptop is normal, I also bought it on sale for 19,990. There is a problem, sometimes it just turns off, then the left mouse button helps block and unlock the laptop.</v>
      </c>
    </row>
    <row r="3725" spans="1:9" x14ac:dyDescent="0.3">
      <c r="A3725" s="1" t="s">
        <v>373</v>
      </c>
      <c r="B3725" s="1" t="s">
        <v>374</v>
      </c>
      <c r="C3725" s="1" t="s">
        <v>19</v>
      </c>
      <c r="D3725" s="1" t="s">
        <v>152</v>
      </c>
      <c r="E3725" s="1" t="s">
        <v>1664</v>
      </c>
      <c r="F3725" s="1" t="s">
        <v>6630</v>
      </c>
      <c r="G3725" s="1" t="s">
        <v>36</v>
      </c>
      <c r="H3725" s="1" t="s">
        <v>29</v>
      </c>
      <c r="I3725" s="1" t="str">
        <f ca="1">IFERROR(__xludf.DUMMYFUNCTION("GOOGLETRANSLATE(F3725, ""auto"", ""en"")
"),"Yes, many people write that it dries badly!!! Have you tried adding rinse aid? Doesn't wash well? Wash the filter before each wash and do not overload it! Don’t forget to add salt (special salt for dishwashers) And your negative reviews will immediately d"&amp;"isappear! Follow these simple rules and you will be happy!!")</f>
        <v>Yes, many people write that it dries badly!!! Have you tried adding rinse aid? Doesn't wash well? Wash the filter before each wash and do not overload it! Don’t forget to add salt (special salt for dishwashers) And your negative reviews will immediately disappear! Follow these simple rules and you will be happy!!</v>
      </c>
    </row>
    <row r="3726" spans="1:9" x14ac:dyDescent="0.3">
      <c r="A3726" s="1" t="s">
        <v>61</v>
      </c>
      <c r="B3726" s="1" t="s">
        <v>145</v>
      </c>
      <c r="C3726" s="1" t="s">
        <v>85</v>
      </c>
      <c r="D3726" s="1" t="s">
        <v>327</v>
      </c>
      <c r="E3726" s="1" t="s">
        <v>6631</v>
      </c>
      <c r="F3726" s="1" t="s">
        <v>6632</v>
      </c>
      <c r="G3726" s="1" t="s">
        <v>28</v>
      </c>
      <c r="H3726" s="1" t="s">
        <v>29</v>
      </c>
      <c r="I3726" s="1" t="str">
        <f ca="1">IFERROR(__xludf.DUMMYFUNCTION("GOOGLETRANSLATE(F3726, ""auto"", ""en"")
"),"Very convenient to use and layout. BUT! 1. The seller surprised us with functions that do not exist - Delay cooking and auto start after the light goes out. We didn’t study the book in the store after wandering around the shops. Well, it's your own fault."&amp;" 2.After a month of use, the covers began to crack. The containers are still intact. I sent it to the service center and am waiting for an answer. In Moscow, the police department said that the replacement would be no problem, but judging by the reaction "&amp;"of the locals, it could lead to a butt. Well, we’re used to this in the Soviet Union: (It will be obvious whether to leave this one or buy a cheap one and change it every year. Somehow it doesn’t come with a 5-year warranty. Apparently we don’t know how t"&amp;"o cook, we don’t have the same electricity and water:) 3. You can’t put steam under the furniture. The furniture is custom-made and they have already paid for the breakdown - it will swell. It's still on the windowsill. It would seem that the steam conden"&amp;"sate is being tricked by the manufacturer. Collective farm version - silicone tubes in the lid and in the glass. And put it wherever you want. 4. Well, I don’t know how it is with other steamers, I have little experience. But this one requires an enema ki"&amp;"t to pump out water from the trash cans. It's a hassle to sort it out every time. And some tongs - it’s painful to get these bowls out of the container.")</f>
        <v>Very convenient to use and layout. BUT! 1. The seller surprised us with functions that do not exist - Delay cooking and auto start after the light goes out. We didn’t study the book in the store after wandering around the shops. Well, it's your own fault. 2.After a month of use, the covers began to crack. The containers are still intact. I sent it to the service center and am waiting for an answer. In Moscow, the police department said that the replacement would be no problem, but judging by the reaction of the locals, it could lead to a butt. Well, we’re used to this in the Soviet Union: (It will be obvious whether to leave this one or buy a cheap one and change it every year. Somehow it doesn’t come with a 5-year warranty. Apparently we don’t know how to cook, we don’t have the same electricity and water:) 3. You can’t put steam under the furniture. The furniture is custom-made and they have already paid for the breakdown - it will swell. It's still on the windowsill. It would seem that the steam condensate is being tricked by the manufacturer. Collective farm version - silicone tubes in the lid and in the glass. And put it wherever you want. 4. Well, I don’t know how it is with other steamers, I have little experience. But this one requires an enema kit to pump out water from the trash cans. It's a hassle to sort it out every time. And some tongs - it’s painful to get these bowls out of the container.</v>
      </c>
    </row>
    <row r="3727" spans="1:9" x14ac:dyDescent="0.3">
      <c r="A3727" s="1" t="s">
        <v>67</v>
      </c>
      <c r="B3727" s="1" t="s">
        <v>68</v>
      </c>
      <c r="C3727" s="1" t="s">
        <v>69</v>
      </c>
      <c r="D3727" s="1" t="s">
        <v>64</v>
      </c>
      <c r="E3727" s="1" t="s">
        <v>128</v>
      </c>
      <c r="F3727" s="1" t="s">
        <v>6633</v>
      </c>
      <c r="G3727" s="1" t="s">
        <v>36</v>
      </c>
      <c r="H3727" s="1" t="s">
        <v>29</v>
      </c>
      <c r="I3727" s="1" t="str">
        <f ca="1">IFERROR(__xludf.DUMMYFUNCTION("GOOGLETRANSLATE(F3727, ""auto"", ""en"")
"),"I've been using it for about six months. Great iron! Irons and steams well, the long cord is convenient. Beautiful, rubberized handle, heavy. The sole is easy to clean, it’s convenient to pour water - not a drop goes by! I recommend!")</f>
        <v>I've been using it for about six months. Great iron! Irons and steams well, the long cord is convenient. Beautiful, rubberized handle, heavy. The sole is easy to clean, it’s convenient to pour water - not a drop goes by! I recommend!</v>
      </c>
    </row>
    <row r="3728" spans="1:9" x14ac:dyDescent="0.3">
      <c r="A3728" s="1" t="s">
        <v>61</v>
      </c>
      <c r="B3728" s="1" t="s">
        <v>180</v>
      </c>
      <c r="C3728" s="1" t="s">
        <v>246</v>
      </c>
      <c r="D3728" s="1" t="s">
        <v>545</v>
      </c>
      <c r="E3728" s="1" t="s">
        <v>2680</v>
      </c>
      <c r="F3728" s="1" t="s">
        <v>6634</v>
      </c>
      <c r="G3728" s="1" t="s">
        <v>15</v>
      </c>
      <c r="H3728" s="1" t="s">
        <v>16</v>
      </c>
      <c r="I3728" s="1" t="str">
        <f ca="1">IFERROR(__xludf.DUMMYFUNCTION("GOOGLETRANSLATE(F3728, ""auto"", ""en"")
"),"We bought a toaster from M-Video in Khimki, apparently Tefal - a reputable company, brought it home - and it burns one side of the bread, in almost any mode. And as a used one, it can no longer be exchanged (they said at the M-Video service center), so ju"&amp;"st to send it in for repairs is up to 45 days by law, and since the toaster was bought for a dacha, there will be no point in it by the fall. Disappointment.")</f>
        <v>We bought a toaster from M-Video in Khimki, apparently Tefal - a reputable company, brought it home - and it burns one side of the bread, in almost any mode. And as a used one, it can no longer be exchanged (they said at the M-Video service center), so just to send it in for repairs is up to 45 days by law, and since the toaster was bought for a dacha, there will be no point in it by the fall. Disappointment.</v>
      </c>
    </row>
    <row r="3729" spans="1:9" x14ac:dyDescent="0.3">
      <c r="A3729" s="1" t="s">
        <v>89</v>
      </c>
      <c r="B3729" s="1" t="s">
        <v>231</v>
      </c>
      <c r="C3729" s="1" t="s">
        <v>185</v>
      </c>
      <c r="D3729" s="1" t="s">
        <v>424</v>
      </c>
      <c r="E3729" s="1" t="s">
        <v>868</v>
      </c>
      <c r="F3729" s="1" t="s">
        <v>6635</v>
      </c>
      <c r="G3729" s="1" t="s">
        <v>49</v>
      </c>
      <c r="H3729" s="1" t="s">
        <v>16</v>
      </c>
      <c r="I3729" s="1" t="str">
        <f ca="1">IFERROR(__xludf.DUMMYFUNCTION("GOOGLETRANSLATE(F3729, ""auto"", ""en"")
"),"I took it to a small cafe, they made maybe 20 cups a day. After half a year, problems started - I stopped brewing, took coffee, begged for it and just threw it away. They took it to the service center, tampered with something, and it seemed to start worki"&amp;"ng again. Not even a month has passed and the same thing happened again. It needs to be washed constantly, it gets very clogged inside. You can’t even buy cleaning products yet. I regretted that I took a cheap one. And not to say that the coffee makes it "&amp;"delicious.")</f>
        <v>I took it to a small cafe, they made maybe 20 cups a day. After half a year, problems started - I stopped brewing, took coffee, begged for it and just threw it away. They took it to the service center, tampered with something, and it seemed to start working again. Not even a month has passed and the same thing happened again. It needs to be washed constantly, it gets very clogged inside. You can’t even buy cleaning products yet. I regretted that I took a cheap one. And not to say that the coffee makes it delicious.</v>
      </c>
    </row>
    <row r="3730" spans="1:9" x14ac:dyDescent="0.3">
      <c r="A3730" s="1" t="s">
        <v>9</v>
      </c>
      <c r="B3730" s="1" t="s">
        <v>133</v>
      </c>
      <c r="C3730" s="1" t="s">
        <v>870</v>
      </c>
      <c r="D3730" s="1" t="s">
        <v>4852</v>
      </c>
      <c r="E3730" s="1" t="s">
        <v>6636</v>
      </c>
      <c r="F3730" s="1" t="s">
        <v>6637</v>
      </c>
      <c r="G3730" s="1" t="s">
        <v>36</v>
      </c>
      <c r="H3730" s="1" t="s">
        <v>29</v>
      </c>
      <c r="I3730" s="1" t="str">
        <f ca="1">IFERROR(__xludf.DUMMYFUNCTION("GOOGLETRANSLATE(F3730, ""auto"", ""en"")
"),"Irina, in this model the façade is larger than the built-in part. The width of the built-in part is 54.5 cm.")</f>
        <v>Irina, in this model the façade is larger than the built-in part. The width of the built-in part is 54.5 cm.</v>
      </c>
    </row>
    <row r="3731" spans="1:9" x14ac:dyDescent="0.3">
      <c r="A3731" s="1" t="s">
        <v>206</v>
      </c>
      <c r="B3731" s="1" t="s">
        <v>261</v>
      </c>
      <c r="C3731" s="1" t="s">
        <v>152</v>
      </c>
      <c r="D3731" s="1" t="s">
        <v>81</v>
      </c>
      <c r="E3731" s="1" t="s">
        <v>6638</v>
      </c>
      <c r="F3731" s="1" t="s">
        <v>6639</v>
      </c>
      <c r="G3731" s="1" t="s">
        <v>36</v>
      </c>
      <c r="H3731" s="1" t="s">
        <v>29</v>
      </c>
      <c r="I3731" s="1" t="str">
        <f ca="1">IFERROR(__xludf.DUMMYFUNCTION("GOOGLETRANSLATE(F3731, ""auto"", ""en"")
"),"Excellent interconnect, well made. Good insulation and shielding. I bought it as a replacement, and the terrible squeaking noise completely disappeared.")</f>
        <v>Excellent interconnect, well made. Good insulation and shielding. I bought it as a replacement, and the terrible squeaking noise completely disappeared.</v>
      </c>
    </row>
    <row r="3732" spans="1:9" x14ac:dyDescent="0.3">
      <c r="A3732" s="1" t="s">
        <v>169</v>
      </c>
      <c r="B3732" s="1" t="s">
        <v>170</v>
      </c>
      <c r="C3732" s="1" t="s">
        <v>193</v>
      </c>
      <c r="D3732" s="1" t="s">
        <v>6640</v>
      </c>
      <c r="E3732" s="1" t="s">
        <v>6641</v>
      </c>
      <c r="F3732" s="1" t="s">
        <v>6642</v>
      </c>
      <c r="G3732" s="1" t="s">
        <v>28</v>
      </c>
      <c r="H3732" s="1" t="s">
        <v>29</v>
      </c>
      <c r="I3732" s="1" t="str">
        <f ca="1">IFERROR(__xludf.DUMMYFUNCTION("GOOGLETRANSLATE(F3732, ""auto"", ""en"")
"),"Indestructible, they work for probably 4 years, I don’t even remember when I bought them. Sound - a lot depends on the device used, for example, they play great on a Sony MP3 player, but for some reason the sound quality is worse on a computer.")</f>
        <v>Indestructible, they work for probably 4 years, I don’t even remember when I bought them. Sound - a lot depends on the device used, for example, they play great on a Sony MP3 player, but for some reason the sound quality is worse on a computer.</v>
      </c>
    </row>
    <row r="3733" spans="1:9" x14ac:dyDescent="0.3">
      <c r="A3733" s="1" t="s">
        <v>282</v>
      </c>
      <c r="B3733" s="1" t="s">
        <v>806</v>
      </c>
      <c r="C3733" s="1" t="s">
        <v>284</v>
      </c>
      <c r="D3733" s="1" t="s">
        <v>20</v>
      </c>
      <c r="E3733" s="1" t="s">
        <v>3600</v>
      </c>
      <c r="F3733" s="1" t="s">
        <v>6643</v>
      </c>
      <c r="G3733" s="1" t="s">
        <v>36</v>
      </c>
      <c r="H3733" s="1" t="s">
        <v>29</v>
      </c>
      <c r="I3733" s="1" t="str">
        <f ca="1">IFERROR(__xludf.DUMMYFUNCTION("GOOGLETRANSLATE(F3733, ""auto"", ""en"")
"),"A film that fascinates, captivates, and makes you think. A film not to be missed.")</f>
        <v>A film that fascinates, captivates, and makes you think. A film not to be missed.</v>
      </c>
    </row>
    <row r="3734" spans="1:9" x14ac:dyDescent="0.3">
      <c r="A3734" s="1" t="s">
        <v>120</v>
      </c>
      <c r="B3734" s="1" t="s">
        <v>126</v>
      </c>
      <c r="C3734" s="1" t="s">
        <v>151</v>
      </c>
      <c r="D3734" s="1" t="s">
        <v>4814</v>
      </c>
      <c r="E3734" s="1" t="s">
        <v>634</v>
      </c>
      <c r="F3734" s="1" t="s">
        <v>6644</v>
      </c>
      <c r="G3734" s="1" t="s">
        <v>36</v>
      </c>
      <c r="H3734" s="1" t="s">
        <v>29</v>
      </c>
      <c r="I3734" s="1" t="str">
        <f ca="1">IFERROR(__xludf.DUMMYFUNCTION("GOOGLETRANSLATE(F3734, ""auto"", ""en"")
"),"The sound comes via HDMI, and it goes to HDMI, not DVI. You just need to install drivers for HDMI audio. My MSI GX710 laptop has a Radeon HD 2600 - I had to install Windows XP HDMI Audio 10.4 and enable hardware acceleration in the video card properties. "&amp;"After installing the HDMI Audio driver, in the ""control panel - Sounds and audio devices - Audio - sound playback"" select Ati HD Audio rear output and click OK.  Or you can use BS Player (I have v2.54) and set the same HD Audio rear output in the audio "&amp;"output device settings. I use the second option.  Alexey for the answer on turning on the TV +1!!!")</f>
        <v>The sound comes via HDMI, and it goes to HDMI, not DVI. You just need to install drivers for HDMI audio. My MSI GX710 laptop has a Radeon HD 2600 - I had to install Windows XP HDMI Audio 10.4 and enable hardware acceleration in the video card properties. After installing the HDMI Audio driver, in the "control panel - Sounds and audio devices - Audio - sound playback" select Ati HD Audio rear output and click OK.  Or you can use BS Player (I have v2.54) and set the same HD Audio rear output in the audio output device settings. I use the second option.  Alexey for the answer on turning on the TV +1!!!</v>
      </c>
    </row>
    <row r="3735" spans="1:9" x14ac:dyDescent="0.3">
      <c r="A3735" s="1" t="s">
        <v>61</v>
      </c>
      <c r="B3735" s="1" t="s">
        <v>145</v>
      </c>
      <c r="C3735" s="1" t="s">
        <v>69</v>
      </c>
      <c r="D3735" s="1" t="s">
        <v>6645</v>
      </c>
      <c r="E3735" s="1" t="s">
        <v>1540</v>
      </c>
      <c r="F3735" s="1" t="s">
        <v>6646</v>
      </c>
      <c r="G3735" s="1" t="s">
        <v>36</v>
      </c>
      <c r="H3735" s="1" t="s">
        <v>29</v>
      </c>
      <c r="I3735" s="1" t="str">
        <f ca="1">IFERROR(__xludf.DUMMYFUNCTION("GOOGLETRANSLATE(F3735, ""auto"", ""en"")
"),"Excellent Steamer")</f>
        <v>Excellent Steamer</v>
      </c>
    </row>
    <row r="3736" spans="1:9" x14ac:dyDescent="0.3">
      <c r="A3736" s="1" t="s">
        <v>624</v>
      </c>
      <c r="B3736" s="1" t="s">
        <v>881</v>
      </c>
      <c r="C3736" s="1" t="s">
        <v>479</v>
      </c>
      <c r="D3736" s="1" t="s">
        <v>6081</v>
      </c>
      <c r="E3736" s="1" t="s">
        <v>956</v>
      </c>
      <c r="F3736" s="1" t="s">
        <v>6647</v>
      </c>
      <c r="G3736" s="1" t="s">
        <v>36</v>
      </c>
      <c r="H3736" s="1" t="s">
        <v>29</v>
      </c>
      <c r="I3736" s="1" t="str">
        <f ca="1">IFERROR(__xludf.DUMMYFUNCTION("GOOGLETRANSLATE(F3736, ""auto"", ""en"")
"),"The game is super. I recommend buying it")</f>
        <v>The game is super. I recommend buying it</v>
      </c>
    </row>
    <row r="3737" spans="1:9" x14ac:dyDescent="0.3">
      <c r="A3737" s="1" t="s">
        <v>105</v>
      </c>
      <c r="B3737" s="1" t="s">
        <v>106</v>
      </c>
      <c r="C3737" s="1" t="s">
        <v>1921</v>
      </c>
      <c r="D3737" s="1" t="s">
        <v>1188</v>
      </c>
      <c r="E3737" s="1" t="s">
        <v>1639</v>
      </c>
      <c r="F3737" s="1" t="s">
        <v>6648</v>
      </c>
      <c r="G3737" s="1" t="s">
        <v>15</v>
      </c>
      <c r="H3737" s="1" t="s">
        <v>16</v>
      </c>
      <c r="I3737" s="1" t="str">
        <f ca="1">IFERROR(__xludf.DUMMYFUNCTION("GOOGLETRANSLATE(F3737, ""auto"", ""en"")
"),"This player was given as a gift...after 2 months it stopped turning on. They replaced it for me, and another month it turned off again.  I'm going to change it to another one. I found only one plus in it: the battery lasts for weeks, otherwise it doesn't "&amp;"play some songs, the screen is ""neither to the village nor to the city"", i.e. the text is not convenient to read, you can't watch the movie, pictures too; the sound is quiet.  Score 2")</f>
        <v>This player was given as a gift...after 2 months it stopped turning on. They replaced it for me, and another month it turned off again.  I'm going to change it to another one. I found only one plus in it: the battery lasts for weeks, otherwise it doesn't play some songs, the screen is "neither to the village nor to the city", i.e. the text is not convenient to read, you can't watch the movie, pictures too; the sound is quiet.  Score 2</v>
      </c>
    </row>
    <row r="3738" spans="1:9" x14ac:dyDescent="0.3">
      <c r="A3738" s="1" t="s">
        <v>519</v>
      </c>
      <c r="B3738" s="1" t="s">
        <v>3088</v>
      </c>
      <c r="C3738" s="1" t="s">
        <v>246</v>
      </c>
      <c r="D3738" s="1" t="s">
        <v>3273</v>
      </c>
      <c r="E3738" s="1" t="s">
        <v>836</v>
      </c>
      <c r="F3738" s="1" t="s">
        <v>6649</v>
      </c>
      <c r="G3738" s="1" t="s">
        <v>36</v>
      </c>
      <c r="H3738" s="1" t="s">
        <v>29</v>
      </c>
      <c r="I3738" s="1" t="str">
        <f ca="1">IFERROR(__xludf.DUMMYFUNCTION("GOOGLETRANSLATE(F3738, ""auto"", ""en"")
"),"Great frying pan! I've been using it for 4 months - not a single scratch yet. Nothing burns or sticks, washes perfectly. P.s. If you follow all the rules for caring for Tefal cookware, it will last a very long time! The bottom will not bend unless there i"&amp;"s a sharp temperature change (for example, from fire to cold water).")</f>
        <v>Great frying pan! I've been using it for 4 months - not a single scratch yet. Nothing burns or sticks, washes perfectly. P.s. If you follow all the rules for caring for Tefal cookware, it will last a very long time! The bottom will not bend unless there is a sharp temperature change (for example, from fire to cold water).</v>
      </c>
    </row>
    <row r="3739" spans="1:9" x14ac:dyDescent="0.3">
      <c r="A3739" s="1" t="s">
        <v>361</v>
      </c>
      <c r="B3739" s="1" t="s">
        <v>362</v>
      </c>
      <c r="C3739" s="1" t="s">
        <v>246</v>
      </c>
      <c r="D3739" s="1" t="s">
        <v>186</v>
      </c>
      <c r="E3739" s="1" t="s">
        <v>4284</v>
      </c>
      <c r="F3739" s="1" t="s">
        <v>6650</v>
      </c>
      <c r="G3739" s="1" t="s">
        <v>36</v>
      </c>
      <c r="H3739" s="1" t="s">
        <v>29</v>
      </c>
      <c r="I3739" s="1" t="str">
        <f ca="1">IFERROR(__xludf.DUMMYFUNCTION("GOOGLETRANSLATE(F3739, ""auto"", ""en"")
"),"If your hands are crooked, then medicine will most likely be powerless. I've been using it for 7 years - I haven't seen anything better, during this time it hasn't become dull at all. Try to buy a potato peeler - there will be both sliding and a thick lay"&amp;"er.")</f>
        <v>If your hands are crooked, then medicine will most likely be powerless. I've been using it for 7 years - I haven't seen anything better, during this time it hasn't become dull at all. Try to buy a potato peeler - there will be both sliding and a thick layer.</v>
      </c>
    </row>
    <row r="3740" spans="1:9" x14ac:dyDescent="0.3">
      <c r="A3740" s="1" t="s">
        <v>9</v>
      </c>
      <c r="B3740" s="1" t="s">
        <v>23</v>
      </c>
      <c r="C3740" s="1" t="s">
        <v>466</v>
      </c>
      <c r="D3740" s="1" t="s">
        <v>33</v>
      </c>
      <c r="E3740" s="1" t="s">
        <v>1228</v>
      </c>
      <c r="F3740" s="1" t="s">
        <v>6651</v>
      </c>
      <c r="G3740" s="1" t="s">
        <v>49</v>
      </c>
      <c r="H3740" s="1" t="s">
        <v>16</v>
      </c>
      <c r="I3740" s="1" t="str">
        <f ca="1">IFERROR(__xludf.DUMMYFUNCTION("GOOGLETRANSLATE(F3740, ""auto"", ""en"")
"),"Very noisy and doesn't clean very well. But this is not so bad, after six months of operation, error E3 “long heating” began to appear constantly, the machine cannot heat the water, as I understand it, there is something wrong with the temperature sensor,"&amp;" and the machine cannot wash to the end!!! I read it on the Internet, it turns out this error is common for these machines!")</f>
        <v>Very noisy and doesn't clean very well. But this is not so bad, after six months of operation, error E3 “long heating” began to appear constantly, the machine cannot heat the water, as I understand it, there is something wrong with the temperature sensor, and the machine cannot wash to the end!!! I read it on the Internet, it turns out this error is common for these machines!</v>
      </c>
    </row>
    <row r="3741" spans="1:9" x14ac:dyDescent="0.3">
      <c r="A3741" s="1" t="s">
        <v>61</v>
      </c>
      <c r="B3741" s="1" t="s">
        <v>73</v>
      </c>
      <c r="C3741" s="1" t="s">
        <v>101</v>
      </c>
      <c r="D3741" s="1" t="s">
        <v>12</v>
      </c>
      <c r="E3741" s="1" t="s">
        <v>6652</v>
      </c>
      <c r="F3741" s="1" t="s">
        <v>6653</v>
      </c>
      <c r="G3741" s="1" t="s">
        <v>36</v>
      </c>
      <c r="H3741" s="1" t="s">
        <v>29</v>
      </c>
      <c r="I3741" s="1" t="str">
        <f ca="1">IFERROR(__xludf.DUMMYFUNCTION("GOOGLETRANSLATE(F3741, ""auto"", ""en"")
"),"The meat grinder turned out to work very well; it grinds meat very quickly, efficiently and without unnecessary problems. Well, for those who turn meat into plasticine, the meat grinder has nothing to do with it, you just need to buy real meat, not plasti"&amp;"cine...")</f>
        <v>The meat grinder turned out to work very well; it grinds meat very quickly, efficiently and without unnecessary problems. Well, for those who turn meat into plasticine, the meat grinder has nothing to do with it, you just need to buy real meat, not plasticine...</v>
      </c>
    </row>
    <row r="3742" spans="1:9" x14ac:dyDescent="0.3">
      <c r="A3742" s="1" t="s">
        <v>149</v>
      </c>
      <c r="B3742" s="1" t="s">
        <v>576</v>
      </c>
      <c r="C3742" s="1" t="s">
        <v>159</v>
      </c>
      <c r="D3742" s="1" t="s">
        <v>6654</v>
      </c>
      <c r="E3742" s="1" t="s">
        <v>3550</v>
      </c>
      <c r="F3742" s="1" t="s">
        <v>6655</v>
      </c>
      <c r="G3742" s="1" t="s">
        <v>15</v>
      </c>
      <c r="H3742" s="1" t="s">
        <v>16</v>
      </c>
      <c r="I3742" s="1" t="str">
        <f ca="1">IFERROR(__xludf.DUMMYFUNCTION("GOOGLETRANSLATE(F3742, ""auto"", ""en"")
"),"A vacuum cleaner is like a vacuum cleaner. Nothing special. My subjective opinion is that it catches dust a little better than other vacuum cleaners without these “cool” filters. I bought it from M-video two years ago, and the turbo brush was included, an"&amp;"d they gave me a simple vacuum cleaner (another vacuum cleaner!?) as a gift. Definitely not worth the money. Maybe models with an aqua filter hold dust better, rather than scattering it throughout the apartment?")</f>
        <v>A vacuum cleaner is like a vacuum cleaner. Nothing special. My subjective opinion is that it catches dust a little better than other vacuum cleaners without these “cool” filters. I bought it from M-video two years ago, and the turbo brush was included, and they gave me a simple vacuum cleaner (another vacuum cleaner!?) as a gift. Definitely not worth the money. Maybe models with an aqua filter hold dust better, rather than scattering it throughout the apartment?</v>
      </c>
    </row>
    <row r="3743" spans="1:9" x14ac:dyDescent="0.3">
      <c r="A3743" s="1" t="s">
        <v>120</v>
      </c>
      <c r="B3743" s="1" t="s">
        <v>256</v>
      </c>
      <c r="C3743" s="1" t="s">
        <v>32</v>
      </c>
      <c r="D3743" s="1" t="s">
        <v>139</v>
      </c>
      <c r="E3743" s="1" t="s">
        <v>4245</v>
      </c>
      <c r="F3743" s="1" t="s">
        <v>6656</v>
      </c>
      <c r="G3743" s="1" t="s">
        <v>36</v>
      </c>
      <c r="H3743" s="1" t="s">
        <v>29</v>
      </c>
      <c r="I3743" s="1" t="str">
        <f ca="1">IFERROR(__xludf.DUMMYFUNCTION("GOOGLETRANSLATE(F3743, ""auto"", ""en"")
"),"I bought it today, I liked it, I spent a long time choosing between it and ice TVs for the same price and I realized that I would have ice in my living room and I needed such an LCD in the kitchen, the image is cool, bright, the settings have everything I"&amp;" need. The sound is at 4, in the ice store the TVs had such a terrible sound. If it’s for the kitchen, I recommend it, you won’t regret it. And the 16:10 format is simply great. and it looks nice.")</f>
        <v>I bought it today, I liked it, I spent a long time choosing between it and ice TVs for the same price and I realized that I would have ice in my living room and I needed such an LCD in the kitchen, the image is cool, bright, the settings have everything I need. The sound is at 4, in the ice store the TVs had such a terrible sound. If it’s for the kitchen, I recommend it, you won’t regret it. And the 16:10 format is simply great. and it looks nice.</v>
      </c>
    </row>
    <row r="3744" spans="1:9" x14ac:dyDescent="0.3">
      <c r="A3744" s="1" t="s">
        <v>206</v>
      </c>
      <c r="B3744" s="1" t="s">
        <v>1349</v>
      </c>
      <c r="C3744" s="1" t="s">
        <v>262</v>
      </c>
      <c r="D3744" s="1" t="s">
        <v>2462</v>
      </c>
      <c r="E3744" s="1" t="s">
        <v>2990</v>
      </c>
      <c r="F3744" s="1" t="s">
        <v>6657</v>
      </c>
      <c r="G3744" s="1" t="s">
        <v>28</v>
      </c>
      <c r="H3744" s="1" t="s">
        <v>29</v>
      </c>
      <c r="I3744" s="1" t="str">
        <f ca="1">IFERROR(__xludf.DUMMYFUNCTION("GOOGLETRANSLATE(F3744, ""auto"", ""en"")
"),"The sound does not reach the maximum, the mafon is cut off.")</f>
        <v>The sound does not reach the maximum, the mafon is cut off.</v>
      </c>
    </row>
    <row r="3745" spans="1:9" x14ac:dyDescent="0.3">
      <c r="A3745" s="1" t="s">
        <v>211</v>
      </c>
      <c r="B3745" s="1" t="s">
        <v>212</v>
      </c>
      <c r="C3745" s="1" t="s">
        <v>69</v>
      </c>
      <c r="D3745" s="1" t="s">
        <v>75</v>
      </c>
      <c r="E3745" s="1" t="s">
        <v>4770</v>
      </c>
      <c r="F3745" s="1" t="s">
        <v>6658</v>
      </c>
      <c r="G3745" s="1" t="s">
        <v>49</v>
      </c>
      <c r="H3745" s="1" t="s">
        <v>16</v>
      </c>
      <c r="I3745" s="1" t="str">
        <f ca="1">IFERROR(__xludf.DUMMYFUNCTION("GOOGLETRANSLATE(F3745, ""auto"", ""en"")
"),"I don't recommend buying a hairdryer.  On the third day I switched off while working.  I took it to the store and they took it for a quality check.")</f>
        <v>I don't recommend buying a hairdryer.  On the third day I switched off while working.  I took it to the store and they took it for a quality check.</v>
      </c>
    </row>
    <row r="3746" spans="1:9" x14ac:dyDescent="0.3">
      <c r="A3746" s="1" t="s">
        <v>61</v>
      </c>
      <c r="B3746" s="1" t="s">
        <v>318</v>
      </c>
      <c r="C3746" s="1" t="s">
        <v>246</v>
      </c>
      <c r="D3746" s="1" t="s">
        <v>172</v>
      </c>
      <c r="E3746" s="1" t="s">
        <v>3367</v>
      </c>
      <c r="F3746" s="1" t="s">
        <v>6659</v>
      </c>
      <c r="G3746" s="1" t="s">
        <v>15</v>
      </c>
      <c r="H3746" s="1" t="s">
        <v>16</v>
      </c>
      <c r="I3746" s="1" t="str">
        <f ca="1">IFERROR(__xludf.DUMMYFUNCTION("GOOGLETRANSLATE(F3746, ""auto"", ""en"")
"),"The kettle is not bad, but for its price it does not meet the operating requirements at all.  There are 5 of us. We boil the kettle often.  We wrote about noise above.  After a year and a half, it suddenly started leaking. I decided that it was just that "&amp;"water got in during filling.  However, I recently noticed that the water level indicator is full of cracks and water is oozing from there.  In general, I wouldn’t recommend a kettle to anyone who needs to boil frequently.  Doesn't justify its price.")</f>
        <v>The kettle is not bad, but for its price it does not meet the operating requirements at all.  There are 5 of us. We boil the kettle often.  We wrote about noise above.  After a year and a half, it suddenly started leaking. I decided that it was just that water got in during filling.  However, I recently noticed that the water level indicator is full of cracks and water is oozing from there.  In general, I wouldn’t recommend a kettle to anyone who needs to boil frequently.  Doesn't justify its price.</v>
      </c>
    </row>
    <row r="3747" spans="1:9" x14ac:dyDescent="0.3">
      <c r="A3747" s="1" t="s">
        <v>55</v>
      </c>
      <c r="B3747" s="1" t="s">
        <v>84</v>
      </c>
      <c r="C3747" s="1" t="s">
        <v>85</v>
      </c>
      <c r="D3747" s="1" t="s">
        <v>295</v>
      </c>
      <c r="E3747" s="1" t="s">
        <v>1856</v>
      </c>
      <c r="F3747" s="1" t="s">
        <v>6660</v>
      </c>
      <c r="G3747" s="1" t="s">
        <v>36</v>
      </c>
      <c r="H3747" s="1" t="s">
        <v>29</v>
      </c>
      <c r="I3747" s="1" t="str">
        <f ca="1">IFERROR(__xludf.DUMMYFUNCTION("GOOGLETRANSLATE(F3747, ""auto"", ""en"")
"),"My husband and I suffer from dust allergies. We had a lot of air purifiers, since it was very difficult to find filters (stores sent us to service centers for filters, and they, in turn, sent us). We just bought new equipment. They came for another cleane"&amp;"r, and they recommended a cleanser-humidifier. At first I didn’t even want to listen, but my husband insisted on buying it. I am very, very pleased! There is really no dust in the house. And the best thing is that the cleaning takes place mainly through w"&amp;"ater! And the air is like after rain!!! :) I recommend it to everyone, especially during the heating season!")</f>
        <v>My husband and I suffer from dust allergies. We had a lot of air purifiers, since it was very difficult to find filters (stores sent us to service centers for filters, and they, in turn, sent us). We just bought new equipment. They came for another cleaner, and they recommended a cleanser-humidifier. At first I didn’t even want to listen, but my husband insisted on buying it. I am very, very pleased! There is really no dust in the house. And the best thing is that the cleaning takes place mainly through water! And the air is like after rain!!! :) I recommend it to everyone, especially during the heating season!</v>
      </c>
    </row>
    <row r="3748" spans="1:9" x14ac:dyDescent="0.3">
      <c r="A3748" s="1" t="s">
        <v>95</v>
      </c>
      <c r="B3748" s="1" t="s">
        <v>648</v>
      </c>
      <c r="C3748" s="1" t="s">
        <v>97</v>
      </c>
      <c r="D3748" s="1" t="s">
        <v>1459</v>
      </c>
      <c r="E3748" s="1" t="s">
        <v>6661</v>
      </c>
      <c r="F3748" s="1" t="s">
        <v>6662</v>
      </c>
      <c r="G3748" s="1" t="s">
        <v>36</v>
      </c>
      <c r="H3748" s="1" t="s">
        <v>29</v>
      </c>
      <c r="I3748" s="1" t="str">
        <f ca="1">IFERROR(__xludf.DUMMYFUNCTION("GOOGLETRANSLATE(F3748, ""auto"", ""en"")
"),"psp is just super I recommend firmware 6.05 to everyone")</f>
        <v>psp is just super I recommend firmware 6.05 to everyone</v>
      </c>
    </row>
    <row r="3749" spans="1:9" x14ac:dyDescent="0.3">
      <c r="A3749" s="1" t="s">
        <v>206</v>
      </c>
      <c r="B3749" s="1" t="s">
        <v>207</v>
      </c>
      <c r="C3749" s="1" t="s">
        <v>152</v>
      </c>
      <c r="D3749" s="1" t="s">
        <v>208</v>
      </c>
      <c r="E3749" s="1" t="s">
        <v>1792</v>
      </c>
      <c r="F3749" s="1" t="s">
        <v>6663</v>
      </c>
      <c r="G3749" s="1" t="s">
        <v>28</v>
      </c>
      <c r="H3749" s="1" t="s">
        <v>29</v>
      </c>
      <c r="I3749" s="1" t="str">
        <f ca="1">IFERROR(__xludf.DUMMYFUNCTION("GOOGLETRANSLATE(F3749, ""auto"", ""en"")
"),"Not poorly thought out, but unfortunately there is no crossover, and the second minus in -25 frost, it seems that it was simply stolen, the low frequencies simply disappear, but in general, who understands the sound, the speaker is not bad")</f>
        <v>Not poorly thought out, but unfortunately there is no crossover, and the second minus in -25 frost, it seems that it was simply stolen, the low frequencies simply disappear, but in general, who understands the sound, the speaker is not bad</v>
      </c>
    </row>
    <row r="3750" spans="1:9" x14ac:dyDescent="0.3">
      <c r="A3750" s="1" t="s">
        <v>61</v>
      </c>
      <c r="B3750" s="1" t="s">
        <v>318</v>
      </c>
      <c r="C3750" s="1" t="s">
        <v>1461</v>
      </c>
      <c r="D3750" s="1" t="s">
        <v>52</v>
      </c>
      <c r="E3750" s="1" t="s">
        <v>2994</v>
      </c>
      <c r="F3750" s="1" t="s">
        <v>6664</v>
      </c>
      <c r="G3750" s="1" t="s">
        <v>15</v>
      </c>
      <c r="H3750" s="1" t="s">
        <v>16</v>
      </c>
      <c r="I3750" s="1" t="str">
        <f ca="1">IFERROR(__xludf.DUMMYFUNCTION("GOOGLETRANSLATE(F3750, ""auto"", ""en"")
"),"There was almost no smell of plastic. It burned out after half a year. I took my money. I don’t recommend it. Again I use fifteen-year-old MOULINEX. That was the quality.")</f>
        <v>There was almost no smell of plastic. It burned out after half a year. I took my money. I don’t recommend it. Again I use fifteen-year-old MOULINEX. That was the quality.</v>
      </c>
    </row>
    <row r="3751" spans="1:9" x14ac:dyDescent="0.3">
      <c r="A3751" s="1" t="s">
        <v>67</v>
      </c>
      <c r="B3751" s="1" t="s">
        <v>340</v>
      </c>
      <c r="C3751" s="1" t="s">
        <v>341</v>
      </c>
      <c r="D3751" s="1" t="s">
        <v>308</v>
      </c>
      <c r="E3751" s="1" t="s">
        <v>612</v>
      </c>
      <c r="F3751" s="1" t="s">
        <v>6665</v>
      </c>
      <c r="G3751" s="1" t="s">
        <v>28</v>
      </c>
      <c r="H3751" s="1" t="s">
        <v>29</v>
      </c>
      <c r="I3751" s="1" t="str">
        <f ca="1">IFERROR(__xludf.DUMMYFUNCTION("GOOGLETRANSLATE(F3751, ""auto"", ""en"")
"),"I really like the sewing machine.  It's a pity there are not enough paws in the set.")</f>
        <v>I really like the sewing machine.  It's a pity there are not enough paws in the set.</v>
      </c>
    </row>
    <row r="3752" spans="1:9" x14ac:dyDescent="0.3">
      <c r="A3752" s="1" t="s">
        <v>17</v>
      </c>
      <c r="B3752" s="1" t="s">
        <v>18</v>
      </c>
      <c r="C3752" s="1" t="s">
        <v>24</v>
      </c>
      <c r="D3752" s="1" t="s">
        <v>1008</v>
      </c>
      <c r="E3752" s="1" t="s">
        <v>65</v>
      </c>
      <c r="F3752" s="1" t="s">
        <v>6666</v>
      </c>
      <c r="G3752" s="1" t="s">
        <v>36</v>
      </c>
      <c r="H3752" s="1" t="s">
        <v>29</v>
      </c>
      <c r="I3752" s="1" t="str">
        <f ca="1">IFERROR(__xludf.DUMMYFUNCTION("GOOGLETRANSLATE(F3752, ""auto"", ""en"")
"),"We have been using this machine for 2 weeks now and have washed everything we can. Works like a clock. There are no extraneous noises or shaking. Installed it myself. The car is very good, it has all the necessary functions. Zanussi is part of the Electro"&amp;"lux corporation. A very good combination of price and quality. When choosing, we consulted at the service center. The most broken ones are Bosch, Gorenje, Samsung, LG. I hope I can help you choose.")</f>
        <v>We have been using this machine for 2 weeks now and have washed everything we can. Works like a clock. There are no extraneous noises or shaking. Installed it myself. The car is very good, it has all the necessary functions. Zanussi is part of the Electrolux corporation. A very good combination of price and quality. When choosing, we consulted at the service center. The most broken ones are Bosch, Gorenje, Samsung, LG. I hope I can help you choose.</v>
      </c>
    </row>
    <row r="3753" spans="1:9" x14ac:dyDescent="0.3">
      <c r="A3753" s="1" t="s">
        <v>61</v>
      </c>
      <c r="B3753" s="1" t="s">
        <v>145</v>
      </c>
      <c r="C3753" s="1" t="s">
        <v>45</v>
      </c>
      <c r="D3753" s="1" t="s">
        <v>6667</v>
      </c>
      <c r="E3753" s="1" t="s">
        <v>1467</v>
      </c>
      <c r="F3753" s="1" t="s">
        <v>6668</v>
      </c>
      <c r="G3753" s="1" t="s">
        <v>36</v>
      </c>
      <c r="H3753" s="1" t="s">
        <v>29</v>
      </c>
      <c r="I3753" s="1" t="str">
        <f ca="1">IFERROR(__xludf.DUMMYFUNCTION("GOOGLETRANSLATE(F3753, ""auto"", ""en"")
"),"We bought an air fryer quite recently, but we already tried to bake potatoes and chicken!!! The food turned out just to lick your fingers.... The chicken is juicy and with a golden crust!!! Potatoes are just a fairy tale, not like in the oven... Well, how"&amp;" much fat is glass... It’s scary to imagine that we used to absorb all this fat.... Now we will try a variety of recipes!!!")</f>
        <v>We bought an air fryer quite recently, but we already tried to bake potatoes and chicken!!! The food turned out just to lick your fingers.... The chicken is juicy and with a golden crust!!! Potatoes are just a fairy tale, not like in the oven... Well, how much fat is glass... It’s scary to imagine that we used to absorb all this fat.... Now we will try a variety of recipes!!!</v>
      </c>
    </row>
    <row r="3754" spans="1:9" x14ac:dyDescent="0.3">
      <c r="A3754" s="1" t="s">
        <v>211</v>
      </c>
      <c r="B3754" s="1" t="s">
        <v>212</v>
      </c>
      <c r="C3754" s="1" t="s">
        <v>63</v>
      </c>
      <c r="D3754" s="1" t="s">
        <v>845</v>
      </c>
      <c r="E3754" s="1" t="s">
        <v>2796</v>
      </c>
      <c r="F3754" s="1" t="s">
        <v>6669</v>
      </c>
      <c r="G3754" s="1" t="s">
        <v>49</v>
      </c>
      <c r="H3754" s="1" t="s">
        <v>16</v>
      </c>
      <c r="I3754" s="1" t="str">
        <f ca="1">IFERROR(__xludf.DUMMYFUNCTION("GOOGLETRANSLATE(F3754, ""auto"", ""en"")
"),"I have been using the multistyler for about two years. The hair dryer and straightener attachments are excellent, I haven’t used the rest. For curling, they always get tangled in the hair and the effect is not great. It overheats very much and caught fire"&amp;" while drying my hair.")</f>
        <v>I have been using the multistyler for about two years. The hair dryer and straightener attachments are excellent, I haven’t used the rest. For curling, they always get tangled in the hair and the effect is not great. It overheats very much and caught fire while drying my hair.</v>
      </c>
    </row>
    <row r="3755" spans="1:9" x14ac:dyDescent="0.3">
      <c r="A3755" s="1" t="s">
        <v>206</v>
      </c>
      <c r="B3755" s="1" t="s">
        <v>207</v>
      </c>
      <c r="C3755" s="1" t="s">
        <v>351</v>
      </c>
      <c r="D3755" s="1" t="s">
        <v>86</v>
      </c>
      <c r="E3755" s="1" t="s">
        <v>1305</v>
      </c>
      <c r="F3755" s="1" t="s">
        <v>6670</v>
      </c>
      <c r="G3755" s="1" t="s">
        <v>36</v>
      </c>
      <c r="H3755" s="1" t="s">
        <v>29</v>
      </c>
      <c r="I3755" s="1" t="str">
        <f ca="1">IFERROR(__xludf.DUMMYFUNCTION("GOOGLETRANSLATE(F3755, ""auto"", ""en"")
"),"Hello everyone, I bought a VAZ 2107 car, but I didn’t have enough money for music =(, but I decided to take the kit, I took it and didn’t regret it, I’m happy with the purchase, 5+ I recommend it to all beginners, but there are not enough wires!!! But now"&amp;" I bought it and installed it on the device, but at first I just pumped air, but when they set it up for me, I just gasped, it’s in the trunk, the radio sucks, I’ll say, but when they pumped it up to 40 vols, the car was shaking + all the mirrors were sha"&amp;"king so much, and the sound was barely audible from the outside but not like 1 kilowatt =)), when the sound engineers themselves were awesome, when they set it up, they said yes, we have never seen anything like this!!! In short, I advise everyone, the ma"&amp;"in thing is to set it up correctly, and the better the radio, the more powerful and clearer it will play for you!!! Take it for the money, it’s very good, but there you may not read that it breaks, burns, blows air, you just need to install and configure "&amp;"it correctly right away, your girls answer guys!!!")</f>
        <v>Hello everyone, I bought a VAZ 2107 car, but I didn’t have enough money for music =(, but I decided to take the kit, I took it and didn’t regret it, I’m happy with the purchase, 5+ I recommend it to all beginners, but there are not enough wires!!! But now I bought it and installed it on the device, but at first I just pumped air, but when they set it up for me, I just gasped, it’s in the trunk, the radio sucks, I’ll say, but when they pumped it up to 40 vols, the car was shaking + all the mirrors were shaking so much, and the sound was barely audible from the outside but not like 1 kilowatt =)), when the sound engineers themselves were awesome, when they set it up, they said yes, we have never seen anything like this!!! In short, I advise everyone, the main thing is to set it up correctly, and the better the radio, the more powerful and clearer it will play for you!!! Take it for the money, it’s very good, but there you may not read that it breaks, burns, blows air, you just need to install and configure it correctly right away, your girls answer guys!!!</v>
      </c>
    </row>
    <row r="3756" spans="1:9" x14ac:dyDescent="0.3">
      <c r="A3756" s="1" t="s">
        <v>61</v>
      </c>
      <c r="B3756" s="1" t="s">
        <v>224</v>
      </c>
      <c r="C3756" s="1" t="s">
        <v>85</v>
      </c>
      <c r="D3756" s="1" t="s">
        <v>305</v>
      </c>
      <c r="E3756" s="1" t="s">
        <v>251</v>
      </c>
      <c r="F3756" s="1" t="s">
        <v>6671</v>
      </c>
      <c r="G3756" s="1" t="s">
        <v>28</v>
      </c>
      <c r="H3756" s="1" t="s">
        <v>29</v>
      </c>
      <c r="I3756" s="1" t="str">
        <f ca="1">IFERROR(__xludf.DUMMYFUNCTION("GOOGLETRANSLATE(F3756, ""auto"", ""en"")
"),"We bought this one a year and a half ago.   We use it all the time, it works well. Absolutely everything in her was crushing. The only thing I couldn't handle was grenades. But as I understand it, there is little that can cope with them.   Among the short"&amp;"comings, I agree with the previous review - the price is never low.")</f>
        <v>We bought this one a year and a half ago.   We use it all the time, it works well. Absolutely everything in her was crushing. The only thing I couldn't handle was grenades. But as I understand it, there is little that can cope with them.   Among the shortcomings, I agree with the previous review - the price is never low.</v>
      </c>
    </row>
    <row r="3757" spans="1:9" x14ac:dyDescent="0.3">
      <c r="A3757" s="1" t="s">
        <v>67</v>
      </c>
      <c r="B3757" s="1" t="s">
        <v>68</v>
      </c>
      <c r="C3757" s="1" t="s">
        <v>246</v>
      </c>
      <c r="D3757" s="1" t="s">
        <v>75</v>
      </c>
      <c r="E3757" s="1" t="s">
        <v>1467</v>
      </c>
      <c r="F3757" s="1" t="s">
        <v>6672</v>
      </c>
      <c r="G3757" s="1" t="s">
        <v>36</v>
      </c>
      <c r="H3757" s="1" t="s">
        <v>29</v>
      </c>
      <c r="I3757" s="1" t="str">
        <f ca="1">IFERROR(__xludf.DUMMYFUNCTION("GOOGLETRANSLATE(F3757, ""auto"", ""en"")
"),"My sister and my mother have had this iron for 3 years now. I bought the same one for myself. I don’t regret it. I got used to it. Glides on fabric super. Steam boost - class. It irons out so well!!! I use it with water. Someone here wrote that it is nois"&amp;"y. Don't know. Everything suits me. I recommend this model to everyone.")</f>
        <v>My sister and my mother have had this iron for 3 years now. I bought the same one for myself. I don’t regret it. I got used to it. Glides on fabric super. Steam boost - class. It irons out so well!!! I use it with water. Someone here wrote that it is noisy. Don't know. Everything suits me. I recommend this model to everyone.</v>
      </c>
    </row>
    <row r="3758" spans="1:9" x14ac:dyDescent="0.3">
      <c r="A3758" s="1" t="s">
        <v>78</v>
      </c>
      <c r="B3758" s="1" t="s">
        <v>1163</v>
      </c>
      <c r="C3758" s="1" t="s">
        <v>351</v>
      </c>
      <c r="D3758" s="1" t="s">
        <v>86</v>
      </c>
      <c r="E3758" s="1" t="s">
        <v>6673</v>
      </c>
      <c r="F3758" s="1" t="s">
        <v>6674</v>
      </c>
      <c r="G3758" s="1" t="s">
        <v>36</v>
      </c>
      <c r="H3758" s="1" t="s">
        <v>29</v>
      </c>
      <c r="I3758" s="1" t="str">
        <f ca="1">IFERROR(__xludf.DUMMYFUNCTION("GOOGLETRANSLATE(F3758, ""auto"", ""en"")
"),"I bought it exclusively for heating food. Inexpensive, high quality, I’ve been using it for almost half a year every day. I didn’t find any shortcomings, it works perfectly. Heats food evenly.")</f>
        <v>I bought it exclusively for heating food. Inexpensive, high quality, I’ve been using it for almost half a year every day. I didn’t find any shortcomings, it works perfectly. Heats food evenly.</v>
      </c>
    </row>
    <row r="3759" spans="1:9" x14ac:dyDescent="0.3">
      <c r="A3759" s="1" t="s">
        <v>30</v>
      </c>
      <c r="B3759" s="1" t="s">
        <v>50</v>
      </c>
      <c r="C3759" s="1" t="s">
        <v>51</v>
      </c>
      <c r="D3759" s="1" t="s">
        <v>2682</v>
      </c>
      <c r="E3759" s="1" t="s">
        <v>4984</v>
      </c>
      <c r="F3759" s="1" t="s">
        <v>6675</v>
      </c>
      <c r="G3759" s="1" t="s">
        <v>36</v>
      </c>
      <c r="H3759" s="1" t="s">
        <v>29</v>
      </c>
      <c r="I3759" s="1" t="str">
        <f ca="1">IFERROR(__xludf.DUMMYFUNCTION("GOOGLETRANSLATE(F3759, ""auto"", ""en"")
"),"The laptop is just super, it flies and works without any brakes. The keyboard is comfortable.")</f>
        <v>The laptop is just super, it flies and works without any brakes. The keyboard is comfortable.</v>
      </c>
    </row>
    <row r="3760" spans="1:9" x14ac:dyDescent="0.3">
      <c r="A3760" s="1" t="s">
        <v>9</v>
      </c>
      <c r="B3760" s="1" t="s">
        <v>137</v>
      </c>
      <c r="C3760" s="1" t="s">
        <v>870</v>
      </c>
      <c r="D3760" s="1" t="s">
        <v>345</v>
      </c>
      <c r="E3760" s="1" t="s">
        <v>5116</v>
      </c>
      <c r="F3760" s="1" t="s">
        <v>6676</v>
      </c>
      <c r="G3760" s="1" t="s">
        <v>36</v>
      </c>
      <c r="H3760" s="1" t="s">
        <v>29</v>
      </c>
      <c r="I3760" s="1" t="str">
        <f ca="1">IFERROR(__xludf.DUMMYFUNCTION("GOOGLETRANSLATE(F3760, ""auto"", ""en"")
"),"I’ve been using it for 4 years now, ignition works without problems, gas control works")</f>
        <v>I’ve been using it for 4 years now, ignition works without problems, gas control works</v>
      </c>
    </row>
    <row r="3761" spans="1:9" x14ac:dyDescent="0.3">
      <c r="A3761" s="1" t="s">
        <v>43</v>
      </c>
      <c r="B3761" s="1" t="s">
        <v>502</v>
      </c>
      <c r="C3761" s="1" t="s">
        <v>151</v>
      </c>
      <c r="D3761" s="1" t="s">
        <v>52</v>
      </c>
      <c r="E3761" s="1" t="s">
        <v>5222</v>
      </c>
      <c r="F3761" s="1" t="s">
        <v>6677</v>
      </c>
      <c r="G3761" s="1" t="s">
        <v>36</v>
      </c>
      <c r="H3761" s="1" t="s">
        <v>29</v>
      </c>
      <c r="I3761" s="1" t="str">
        <f ca="1">IFERROR(__xludf.DUMMYFUNCTION("GOOGLETRANSLATE(F3761, ""auto"", ""en"")
"),"According to the promotion - the best option. At this price, climate control units will deliver an air conditioner that is an order of magnitude lower in terms of characteristics such as noise and energy consumption. Normal candy, the external unit is loc"&amp;"ated right next to the window. Night, turbo mode, absolutely no vibration, the TV is at the same volume as without it. Room 18 sq.m. with an opening into a corridor without a door, outside the window there is sun and + 26, 15 minutes and without a shirt i"&amp;"n the room it becomes uncomfortable, then 20 on the remote control, medium speed and you notice its operation only before going to bed, when you turn off the TV. What is important, for me at least, is no brightly glowing display on the indoor unit, remind"&amp;"ing you in the middle of the night that climate control is working in your room without disturbing you without the Christmas tree function. Last and most important is installation; approach this very simple technical procedure no less responsibly than cho"&amp;"osing the unit itself.")</f>
        <v>According to the promotion - the best option. At this price, climate control units will deliver an air conditioner that is an order of magnitude lower in terms of characteristics such as noise and energy consumption. Normal candy, the external unit is located right next to the window. Night, turbo mode, absolutely no vibration, the TV is at the same volume as without it. Room 18 sq.m. with an opening into a corridor without a door, outside the window there is sun and + 26, 15 minutes and without a shirt in the room it becomes uncomfortable, then 20 on the remote control, medium speed and you notice its operation only before going to bed, when you turn off the TV. What is important, for me at least, is no brightly glowing display on the indoor unit, reminding you in the middle of the night that climate control is working in your room without disturbing you without the Christmas tree function. Last and most important is installation; approach this very simple technical procedure no less responsibly than choosing the unit itself.</v>
      </c>
    </row>
    <row r="3762" spans="1:9" x14ac:dyDescent="0.3">
      <c r="A3762" s="1" t="s">
        <v>211</v>
      </c>
      <c r="B3762" s="1" t="s">
        <v>212</v>
      </c>
      <c r="C3762" s="1" t="s">
        <v>69</v>
      </c>
      <c r="D3762" s="1" t="s">
        <v>335</v>
      </c>
      <c r="E3762" s="1" t="s">
        <v>3726</v>
      </c>
      <c r="F3762" s="1" t="s">
        <v>6678</v>
      </c>
      <c r="G3762" s="1" t="s">
        <v>15</v>
      </c>
      <c r="H3762" s="1" t="s">
        <v>16</v>
      </c>
      <c r="I3762" s="1" t="str">
        <f ca="1">IFERROR(__xludf.DUMMYFUNCTION("GOOGLETRANSLATE(F3762, ""auto"", ""en"")
"),"The hairdryer is probably worth its price. But if suddenly you come for a more expensive model, and the store consultant says that this hair dryer is equal in functionality and everything else and is not inferior, then don’t believe it))). Although the ha"&amp;"irdryer is lightweight, it is ergonomically uncomfortable - your hand becomes numb after prolonged use. The 2 power modes are no different from each other, that is, de facto there is one power mode. Not everything is going smoothly with the temperature re"&amp;"gime either. The one that should be less hot does produce a less hot air flow, but only for the first 2-3 minutes. Then the air becomes hot. That is, there is only one temperature regime. It’s probably not for nothing that it costs much less than all othe"&amp;"r hair dryers)) I’ll go buy another one")</f>
        <v>The hairdryer is probably worth its price. But if suddenly you come for a more expensive model, and the store consultant says that this hair dryer is equal in functionality and everything else and is not inferior, then don’t believe it))). Although the hairdryer is lightweight, it is ergonomically uncomfortable - your hand becomes numb after prolonged use. The 2 power modes are no different from each other, that is, de facto there is one power mode. Not everything is going smoothly with the temperature regime either. The one that should be less hot does produce a less hot air flow, but only for the first 2-3 minutes. Then the air becomes hot. That is, there is only one temperature regime. It’s probably not for nothing that it costs much less than all other hair dryers)) I’ll go buy another one</v>
      </c>
    </row>
    <row r="3763" spans="1:9" x14ac:dyDescent="0.3">
      <c r="A3763" s="1" t="s">
        <v>61</v>
      </c>
      <c r="B3763" s="1" t="s">
        <v>224</v>
      </c>
      <c r="C3763" s="1" t="s">
        <v>85</v>
      </c>
      <c r="D3763" s="1" t="s">
        <v>152</v>
      </c>
      <c r="E3763" s="1" t="s">
        <v>3347</v>
      </c>
      <c r="F3763" s="1" t="s">
        <v>6679</v>
      </c>
      <c r="G3763" s="1" t="s">
        <v>49</v>
      </c>
      <c r="H3763" s="1" t="s">
        <v>16</v>
      </c>
      <c r="I3763" s="1" t="str">
        <f ca="1">IFERROR(__xludf.DUMMYFUNCTION("GOOGLETRANSLATE(F3763, ""auto"", ""en"")
"),"I bought a Bork S800 juicer. The cake is raw, my old Soviet “Zhuravushka” squeezes better!")</f>
        <v>I bought a Bork S800 juicer. The cake is raw, my old Soviet “Zhuravushka” squeezes better!</v>
      </c>
    </row>
    <row r="3764" spans="1:9" x14ac:dyDescent="0.3">
      <c r="A3764" s="1" t="s">
        <v>211</v>
      </c>
      <c r="B3764" s="1" t="s">
        <v>212</v>
      </c>
      <c r="C3764" s="1" t="s">
        <v>69</v>
      </c>
      <c r="D3764" s="1" t="s">
        <v>64</v>
      </c>
      <c r="E3764" s="1" t="s">
        <v>233</v>
      </c>
      <c r="F3764" s="1" t="s">
        <v>6680</v>
      </c>
      <c r="G3764" s="1" t="s">
        <v>28</v>
      </c>
      <c r="H3764" s="1" t="s">
        <v>29</v>
      </c>
      <c r="I3764" s="1" t="str">
        <f ca="1">IFERROR(__xludf.DUMMYFUNCTION("GOOGLETRANSLATE(F3764, ""auto"", ""en"")
"),"I use the hairdryer every day - it met all expectations. I would consider the choice of attachments and optimal power for drying and styling to be a plus. Convenient feature to prevent the cord from twisting during use. The model is made very carefully.  "&amp;"For me, there is only one minus - the handle is uncomfortable, thick, and uncomfortable to hold during use.  I give it 4 for functionality and quality!")</f>
        <v>I use the hairdryer every day - it met all expectations. I would consider the choice of attachments and optimal power for drying and styling to be a plus. Convenient feature to prevent the cord from twisting during use. The model is made very carefully.  For me, there is only one minus - the handle is uncomfortable, thick, and uncomfortable to hold during use.  I give it 4 for functionality and quality!</v>
      </c>
    </row>
    <row r="3765" spans="1:9" x14ac:dyDescent="0.3">
      <c r="A3765" s="1" t="s">
        <v>811</v>
      </c>
      <c r="B3765" s="1" t="s">
        <v>812</v>
      </c>
      <c r="C3765" s="1" t="s">
        <v>813</v>
      </c>
      <c r="D3765" s="1" t="s">
        <v>152</v>
      </c>
      <c r="E3765" s="1" t="s">
        <v>6681</v>
      </c>
      <c r="F3765" s="1" t="s">
        <v>6682</v>
      </c>
      <c r="G3765" s="1" t="s">
        <v>36</v>
      </c>
      <c r="H3765" s="1" t="s">
        <v>29</v>
      </c>
      <c r="I3765" s="1" t="str">
        <f ca="1">IFERROR(__xludf.DUMMYFUNCTION("GOOGLETRANSLATE(F3765, ""auto"", ""en"")
"),"I liked the tripod, it’s stable, all the mechanisms work smoothly and softly, I recommend it and the price is inexpensive")</f>
        <v>I liked the tripod, it’s stable, all the mechanisms work smoothly and softly, I recommend it and the price is inexpensive</v>
      </c>
    </row>
    <row r="3766" spans="1:9" x14ac:dyDescent="0.3">
      <c r="A3766" s="1" t="s">
        <v>61</v>
      </c>
      <c r="B3766" s="1" t="s">
        <v>977</v>
      </c>
      <c r="C3766" s="1" t="s">
        <v>85</v>
      </c>
      <c r="D3766" s="1" t="s">
        <v>12</v>
      </c>
      <c r="E3766" s="1" t="s">
        <v>5678</v>
      </c>
      <c r="F3766" s="1" t="s">
        <v>6683</v>
      </c>
      <c r="G3766" s="1" t="s">
        <v>36</v>
      </c>
      <c r="H3766" s="1" t="s">
        <v>29</v>
      </c>
      <c r="I3766" s="1" t="str">
        <f ca="1">IFERROR(__xludf.DUMMYFUNCTION("GOOGLETRANSLATE(F3766, ""auto"", ""en"")
"),"A reliable, powerful assistant in the kitchen. I’ve been using it for 2 years now, almost every day, and I’m very pleased. I make different cocktails, mayonnaise, pancake dough and much more. In general, I advise everyone to buy it!")</f>
        <v>A reliable, powerful assistant in the kitchen. I’ve been using it for 2 years now, almost every day, and I’m very pleased. I make different cocktails, mayonnaise, pancake dough and much more. In general, I advise everyone to buy it!</v>
      </c>
    </row>
    <row r="3767" spans="1:9" x14ac:dyDescent="0.3">
      <c r="A3767" s="1" t="s">
        <v>149</v>
      </c>
      <c r="B3767" s="1" t="s">
        <v>155</v>
      </c>
      <c r="C3767" s="1" t="s">
        <v>63</v>
      </c>
      <c r="D3767" s="1" t="s">
        <v>6684</v>
      </c>
      <c r="E3767" s="1" t="s">
        <v>6685</v>
      </c>
      <c r="F3767" s="1" t="s">
        <v>6686</v>
      </c>
      <c r="G3767" s="1" t="s">
        <v>49</v>
      </c>
      <c r="H3767" s="1" t="s">
        <v>16</v>
      </c>
      <c r="I3767" s="1" t="str">
        <f ca="1">IFERROR(__xludf.DUMMYFUNCTION("GOOGLETRANSLATE(F3767, ""auto"", ""en"")
"),"The engine burned out after 4 months of operation; I have no desire to go to Kaluga to have it repaired.")</f>
        <v>The engine burned out after 4 months of operation; I have no desire to go to Kaluga to have it repaired.</v>
      </c>
    </row>
    <row r="3768" spans="1:9" x14ac:dyDescent="0.3">
      <c r="A3768" s="1" t="s">
        <v>43</v>
      </c>
      <c r="B3768" s="1" t="s">
        <v>502</v>
      </c>
      <c r="C3768" s="1" t="s">
        <v>1627</v>
      </c>
      <c r="D3768" s="1" t="s">
        <v>4546</v>
      </c>
      <c r="E3768" s="1" t="s">
        <v>494</v>
      </c>
      <c r="F3768" s="1" t="s">
        <v>6687</v>
      </c>
      <c r="G3768" s="1" t="s">
        <v>36</v>
      </c>
      <c r="H3768" s="1" t="s">
        <v>29</v>
      </c>
      <c r="I3768" s="1" t="str">
        <f ca="1">IFERROR(__xludf.DUMMYFUNCTION("GOOGLETRANSLATE(F3768, ""auto"", ""en"")
"),"Cool, I bought it on the advice of an installer I know, he installed it for me, the external one is inaudible at all, the internal one in quiet mode does not bother me, I recommend it to everyone.")</f>
        <v>Cool, I bought it on the advice of an installer I know, he installed it for me, the external one is inaudible at all, the internal one in quiet mode does not bother me, I recommend it to everyone.</v>
      </c>
    </row>
    <row r="3769" spans="1:9" x14ac:dyDescent="0.3">
      <c r="A3769" s="1" t="s">
        <v>61</v>
      </c>
      <c r="B3769" s="1" t="s">
        <v>318</v>
      </c>
      <c r="C3769" s="1" t="s">
        <v>101</v>
      </c>
      <c r="D3769" s="1" t="s">
        <v>64</v>
      </c>
      <c r="E3769" s="1" t="s">
        <v>2646</v>
      </c>
      <c r="F3769" s="1" t="s">
        <v>6688</v>
      </c>
      <c r="G3769" s="1" t="s">
        <v>36</v>
      </c>
      <c r="H3769" s="1" t="s">
        <v>29</v>
      </c>
      <c r="I3769" s="1" t="str">
        <f ca="1">IFERROR(__xludf.DUMMYFUNCTION("GOOGLETRANSLATE(F3769, ""auto"", ""en"")
"),"We've been living with this kettle for 6 years now, I didn't know that they were still sold :) There was never a plastic smell, an excellent option - I recommend it to everyone.")</f>
        <v>We've been living with this kettle for 6 years now, I didn't know that they were still sold :) There was never a plastic smell, an excellent option - I recommend it to everyone.</v>
      </c>
    </row>
    <row r="3770" spans="1:9" x14ac:dyDescent="0.3">
      <c r="A3770" s="1" t="s">
        <v>89</v>
      </c>
      <c r="B3770" s="1" t="s">
        <v>1106</v>
      </c>
      <c r="C3770" s="1" t="s">
        <v>63</v>
      </c>
      <c r="D3770" s="1" t="s">
        <v>6689</v>
      </c>
      <c r="E3770" s="1" t="s">
        <v>2582</v>
      </c>
      <c r="F3770" s="1" t="s">
        <v>6690</v>
      </c>
      <c r="G3770" s="1" t="s">
        <v>36</v>
      </c>
      <c r="H3770" s="1" t="s">
        <v>29</v>
      </c>
      <c r="I3770" s="1" t="str">
        <f ca="1">IFERROR(__xludf.DUMMYFUNCTION("GOOGLETRANSLATE(F3770, ""auto"", ""en"")
"),"Gifted on March 8th. The coffee maker is excellent. I use it every day. Very easy to use. The coffee turns out tasty and rich. I like.")</f>
        <v>Gifted on March 8th. The coffee maker is excellent. I use it every day. Very easy to use. The coffee turns out tasty and rich. I like.</v>
      </c>
    </row>
    <row r="3771" spans="1:9" x14ac:dyDescent="0.3">
      <c r="A3771" s="1" t="s">
        <v>30</v>
      </c>
      <c r="B3771" s="1" t="s">
        <v>31</v>
      </c>
      <c r="C3771" s="1" t="s">
        <v>32</v>
      </c>
      <c r="D3771" s="1" t="s">
        <v>6691</v>
      </c>
      <c r="E3771" s="1" t="s">
        <v>5011</v>
      </c>
      <c r="F3771" s="1" t="s">
        <v>6692</v>
      </c>
      <c r="G3771" s="1" t="s">
        <v>28</v>
      </c>
      <c r="H3771" s="1" t="s">
        <v>29</v>
      </c>
      <c r="I3771" s="1" t="str">
        <f ca="1">IFERROR(__xludf.DUMMYFUNCTION("GOOGLETRANSLATE(F3771, ""auto"", ""en"")
"),"I agree with the latest reviews. The computer is good, BUT the video card gets very hot. Somehow I managed to insert an 80mm fan into the system unit, but unfortunately this did not solve the overheating problem. Let's dig further. And the problem with th"&amp;"e video driver crashing was solved by changing the OS to Win XP. And even then I had to suffer to install it... If you don’t need such problems, then forget about mini-system units. IMHO")</f>
        <v>I agree with the latest reviews. The computer is good, BUT the video card gets very hot. Somehow I managed to insert an 80mm fan into the system unit, but unfortunately this did not solve the overheating problem. Let's dig further. And the problem with the video driver crashing was solved by changing the OS to Win XP. And even then I had to suffer to install it... If you don’t need such problems, then forget about mini-system units. IMHO</v>
      </c>
    </row>
    <row r="3772" spans="1:9" x14ac:dyDescent="0.3">
      <c r="A3772" s="1" t="s">
        <v>61</v>
      </c>
      <c r="B3772" s="1" t="s">
        <v>224</v>
      </c>
      <c r="C3772" s="1" t="s">
        <v>85</v>
      </c>
      <c r="D3772" s="1" t="s">
        <v>52</v>
      </c>
      <c r="E3772" s="1" t="s">
        <v>2156</v>
      </c>
      <c r="F3772" s="1" t="s">
        <v>6693</v>
      </c>
      <c r="G3772" s="1" t="s">
        <v>36</v>
      </c>
      <c r="H3772" s="1" t="s">
        <v>29</v>
      </c>
      <c r="I3772" s="1" t="str">
        <f ca="1">IFERROR(__xludf.DUMMYFUNCTION("GOOGLETRANSLATE(F3772, ""auto"", ""en"")
"),"I bought a juicer at the beginning of summer, under the influence of my wife. At first I thought I’d use it for a couple of days, or maybe weeks, but no, for three months now we’ve been using everything tirelessly and, most importantly, I really like it a"&amp;"nd don’t get tired of it! In the morning, an apple with carrots energizes you for the whole day, and your wife and children are very happy. In general, everything is cool, you have to take it!")</f>
        <v>I bought a juicer at the beginning of summer, under the influence of my wife. At first I thought I’d use it for a couple of days, or maybe weeks, but no, for three months now we’ve been using everything tirelessly and, most importantly, I really like it and don’t get tired of it! In the morning, an apple with carrots energizes you for the whole day, and your wife and children are very happy. In general, everything is cool, you have to take it!</v>
      </c>
    </row>
    <row r="3773" spans="1:9" x14ac:dyDescent="0.3">
      <c r="A3773" s="1" t="s">
        <v>9</v>
      </c>
      <c r="B3773" s="1" t="s">
        <v>10</v>
      </c>
      <c r="C3773" s="1" t="s">
        <v>4314</v>
      </c>
      <c r="D3773" s="1" t="s">
        <v>4360</v>
      </c>
      <c r="E3773" s="1" t="s">
        <v>6426</v>
      </c>
      <c r="F3773" s="1" t="s">
        <v>6694</v>
      </c>
      <c r="G3773" s="1" t="s">
        <v>36</v>
      </c>
      <c r="H3773" s="1" t="s">
        <v>29</v>
      </c>
      <c r="I3773" s="1" t="str">
        <f ca="1">IFERROR(__xludf.DUMMYFUNCTION("GOOGLETRANSLATE(F3773, ""auto"", ""en"")
"),"Good hood, moderate noise. It doesn't bother me at all while cooking. Happy with the purchase)")</f>
        <v>Good hood, moderate noise. It doesn't bother me at all while cooking. Happy with the purchase)</v>
      </c>
    </row>
    <row r="3774" spans="1:9" x14ac:dyDescent="0.3">
      <c r="A3774" s="1" t="s">
        <v>9</v>
      </c>
      <c r="B3774" s="1" t="s">
        <v>133</v>
      </c>
      <c r="C3774" s="1" t="s">
        <v>151</v>
      </c>
      <c r="D3774" s="1" t="s">
        <v>6695</v>
      </c>
      <c r="E3774" s="1" t="s">
        <v>1497</v>
      </c>
      <c r="F3774" s="1" t="s">
        <v>6696</v>
      </c>
      <c r="G3774" s="1" t="s">
        <v>36</v>
      </c>
      <c r="H3774" s="1" t="s">
        <v>29</v>
      </c>
      <c r="I3774" s="1" t="str">
        <f ca="1">IFERROR(__xludf.DUMMYFUNCTION("GOOGLETRANSLATE(F3774, ""auto"", ""en"")
"),"The oven is just lovely, although it did give us a bit of anxiety at the very beginning. We bought it on May 16, 2010, they helped us make a choice on the spot, although we had been looking for a stove for a long time, we had read the entire internet, and"&amp;" the choice immediately fell on it, especially since there was a promotion (discount), so we decided, I went to the website, read about it, and was even more delighted at what a miracle we had purchased. THANK YOU, SANSUNG, for giving us women such helper"&amp;"s.")</f>
        <v>The oven is just lovely, although it did give us a bit of anxiety at the very beginning. We bought it on May 16, 2010, they helped us make a choice on the spot, although we had been looking for a stove for a long time, we had read the entire internet, and the choice immediately fell on it, especially since there was a promotion (discount), so we decided, I went to the website, read about it, and was even more delighted at what a miracle we had purchased. THANK YOU, SANSUNG, for giving us women such helpers.</v>
      </c>
    </row>
    <row r="3775" spans="1:9" x14ac:dyDescent="0.3">
      <c r="A3775" s="1" t="s">
        <v>105</v>
      </c>
      <c r="B3775" s="1" t="s">
        <v>106</v>
      </c>
      <c r="C3775" s="1" t="s">
        <v>151</v>
      </c>
      <c r="D3775" s="1" t="s">
        <v>280</v>
      </c>
      <c r="E3775" s="1" t="s">
        <v>956</v>
      </c>
      <c r="F3775" s="1" t="s">
        <v>6697</v>
      </c>
      <c r="G3775" s="1" t="s">
        <v>28</v>
      </c>
      <c r="H3775" s="1" t="s">
        <v>29</v>
      </c>
      <c r="I3775" s="1" t="str">
        <f ca="1">IFERROR(__xludf.DUMMYFUNCTION("GOOGLETRANSLATE(F3775, ""auto"", ""en"")
"),"I can agree with all of the above, the player is really high quality, the sound and everything else is excellent, but....the only drawback is the Battery. I myself have been the owner of such a player for almost a year now and I can authoritatively say th"&amp;"at the battery lasts at most 8-10 hours, or even less! And if you watch the video, it’s only 2-3 hours! Draw your own conclusions. As for everything else, there are absolutely no complaints! Solid 4")</f>
        <v>I can agree with all of the above, the player is really high quality, the sound and everything else is excellent, but....the only drawback is the Battery. I myself have been the owner of such a player for almost a year now and I can authoritatively say that the battery lasts at most 8-10 hours, or even less! And if you watch the video, it’s only 2-3 hours! Draw your own conclusions. As for everything else, there are absolutely no complaints! Solid 4</v>
      </c>
    </row>
    <row r="3776" spans="1:9" x14ac:dyDescent="0.3">
      <c r="A3776" s="1" t="s">
        <v>105</v>
      </c>
      <c r="B3776" s="1" t="s">
        <v>106</v>
      </c>
      <c r="C3776" s="1" t="s">
        <v>97</v>
      </c>
      <c r="D3776" s="1" t="s">
        <v>1659</v>
      </c>
      <c r="E3776" s="1" t="s">
        <v>1310</v>
      </c>
      <c r="F3776" s="1" t="s">
        <v>6698</v>
      </c>
      <c r="G3776" s="1" t="s">
        <v>36</v>
      </c>
      <c r="H3776" s="1" t="s">
        <v>29</v>
      </c>
      <c r="I3776" s="1" t="str">
        <f ca="1">IFERROR(__xludf.DUMMYFUNCTION("GOOGLETRANSLATE(F3776, ""auto"", ""en"")
"),"I recently bought this player and am completely satisfied with it. The music is just super!")</f>
        <v>I recently bought this player and am completely satisfied with it. The music is just super!</v>
      </c>
    </row>
    <row r="3777" spans="1:9" x14ac:dyDescent="0.3">
      <c r="A3777" s="1" t="s">
        <v>9</v>
      </c>
      <c r="B3777" s="1" t="s">
        <v>137</v>
      </c>
      <c r="C3777" s="1" t="s">
        <v>63</v>
      </c>
      <c r="D3777" s="1" t="s">
        <v>6699</v>
      </c>
      <c r="E3777" s="1" t="s">
        <v>4608</v>
      </c>
      <c r="F3777" s="1" t="s">
        <v>6700</v>
      </c>
      <c r="G3777" s="1" t="s">
        <v>36</v>
      </c>
      <c r="H3777" s="1" t="s">
        <v>29</v>
      </c>
      <c r="I3777" s="1" t="str">
        <f ca="1">IFERROR(__xludf.DUMMYFUNCTION("GOOGLETRANSLATE(F3777, ""auto"", ""en"")
"),"It is noteworthy that it fits into a standard niche for most built-in panels; initially they expected to take a width of 58 cm for four nozzles. This one will be wider due to the central powerful WOK burner with three flame circuits, an excellent addition"&amp;", practical and the one I use most often. I like to cook everything in a WOK frying pan, it turns out quickly and with the least waste of nutrients, stewing over low heat also turns out faster and more evenly, you don’t need to constantly stir, not to men"&amp;"tion cooking in a large saucepan, it boils in a matter of minutes. Indestructible quality, cast iron grates, steel surface, wear resistance of the plate at the highest level. Easy to clean. Absolutely safe operation, auto-ignition works accurately and the"&amp;" gas supply is blocked when the flame floods or the draft surges. The controls are placed forward, the handles do not heat up from the nearby burners. The surface is spacious and smooth.")</f>
        <v>It is noteworthy that it fits into a standard niche for most built-in panels; initially they expected to take a width of 58 cm for four nozzles. This one will be wider due to the central powerful WOK burner with three flame circuits, an excellent addition, practical and the one I use most often. I like to cook everything in a WOK frying pan, it turns out quickly and with the least waste of nutrients, stewing over low heat also turns out faster and more evenly, you don’t need to constantly stir, not to mention cooking in a large saucepan, it boils in a matter of minutes. Indestructible quality, cast iron grates, steel surface, wear resistance of the plate at the highest level. Easy to clean. Absolutely safe operation, auto-ignition works accurately and the gas supply is blocked when the flame floods or the draft surges. The controls are placed forward, the handles do not heat up from the nearby burners. The surface is spacious and smooth.</v>
      </c>
    </row>
    <row r="3778" spans="1:9" x14ac:dyDescent="0.3">
      <c r="A3778" s="1" t="s">
        <v>61</v>
      </c>
      <c r="B3778" s="1" t="s">
        <v>73</v>
      </c>
      <c r="C3778" s="1" t="s">
        <v>146</v>
      </c>
      <c r="D3778" s="1" t="s">
        <v>280</v>
      </c>
      <c r="E3778" s="1" t="s">
        <v>6701</v>
      </c>
      <c r="F3778" s="1" t="s">
        <v>6702</v>
      </c>
      <c r="G3778" s="1" t="s">
        <v>36</v>
      </c>
      <c r="H3778" s="1" t="s">
        <v>29</v>
      </c>
      <c r="I3778" s="1" t="str">
        <f ca="1">IFERROR(__xludf.DUMMYFUNCTION("GOOGLETRANSLATE(F3778, ""auto"", ""en"")
"),"This is an excellent and most compact meat grinder that can easily cope with any meat.  I recently played a moose in it, and it worked flawlessly! I have never seen anything better for the money.")</f>
        <v>This is an excellent and most compact meat grinder that can easily cope with any meat.  I recently played a moose in it, and it worked flawlessly! I have never seen anything better for the money.</v>
      </c>
    </row>
    <row r="3779" spans="1:9" x14ac:dyDescent="0.3">
      <c r="A3779" s="1" t="s">
        <v>61</v>
      </c>
      <c r="B3779" s="1" t="s">
        <v>318</v>
      </c>
      <c r="C3779" s="1" t="s">
        <v>213</v>
      </c>
      <c r="D3779" s="1" t="s">
        <v>208</v>
      </c>
      <c r="E3779" s="1" t="s">
        <v>6703</v>
      </c>
      <c r="F3779" s="1" t="s">
        <v>6704</v>
      </c>
      <c r="G3779" s="1" t="s">
        <v>28</v>
      </c>
      <c r="H3779" s="1" t="s">
        <v>29</v>
      </c>
      <c r="I3779" s="1" t="str">
        <f ca="1">IFERROR(__xludf.DUMMYFUNCTION("GOOGLETRANSLATE(F3779, ""auto"", ""en"")
"),"I have 3 of these teapots at home, at work and with my parents. The kettle is very good, high quality.  The only thing is that one of them broke a little. The common problem with such kettles is that the power button is at the top, and the electrics are a"&amp;"t the bottom, and between the button on top and the bottom of the kettle there is a long plastic plate, which often breaks in different kettles, not only Braun ones. To avoid this, it is better to take a kettle with a “switch” at the bottom (such models a"&amp;"re also on the market). I also had this problem; one of the teapots also had this plate broken, I took it apart, connected it with wire, and it started working almost fine. There are also these kettles of different power, there is a standard one and there"&amp;" is a higher one - it boils faster, so we “tried” to take home a high power one; of course, it boils faster, but it is terribly noisy. You won’t check this in the store, you’ll only find out at home after purchase. I don’t recommend taking high power (und"&amp;"er 3 kW) - it muffles the TV in the kitchen when it gets warm and the household wakes up in the next room in the morning; otherwise, the kettle is very good and really works for years, which cannot be said about other models.")</f>
        <v>I have 3 of these teapots at home, at work and with my parents. The kettle is very good, high quality.  The only thing is that one of them broke a little. The common problem with such kettles is that the power button is at the top, and the electrics are at the bottom, and between the button on top and the bottom of the kettle there is a long plastic plate, which often breaks in different kettles, not only Braun ones. To avoid this, it is better to take a kettle with a “switch” at the bottom (such models are also on the market). I also had this problem; one of the teapots also had this plate broken, I took it apart, connected it with wire, and it started working almost fine. There are also these kettles of different power, there is a standard one and there is a higher one - it boils faster, so we “tried” to take home a high power one; of course, it boils faster, but it is terribly noisy. You won’t check this in the store, you’ll only find out at home after purchase. I don’t recommend taking high power (under 3 kW) - it muffles the TV in the kitchen when it gets warm and the household wakes up in the next room in the morning; otherwise, the kettle is very good and really works for years, which cannot be said about other models.</v>
      </c>
    </row>
    <row r="3780" spans="1:9" x14ac:dyDescent="0.3">
      <c r="A3780" s="1" t="s">
        <v>61</v>
      </c>
      <c r="B3780" s="1" t="s">
        <v>977</v>
      </c>
      <c r="C3780" s="1" t="s">
        <v>85</v>
      </c>
      <c r="D3780" s="1" t="s">
        <v>308</v>
      </c>
      <c r="E3780" s="1" t="s">
        <v>2680</v>
      </c>
      <c r="F3780" s="1" t="s">
        <v>6705</v>
      </c>
      <c r="G3780" s="1" t="s">
        <v>49</v>
      </c>
      <c r="H3780" s="1" t="s">
        <v>16</v>
      </c>
      <c r="I3780" s="1" t="str">
        <f ca="1">IFERROR(__xludf.DUMMYFUNCTION("GOOGLETRANSLATE(F3780, ""auto"", ""en"")
"),"Gifted for a wedding. Experience of use - exactly 2 years.  During the first year of operation (it was still under warranty), I was pleased with the gift, then when working for more than one minute, smoke began to seep out of the engine, I had to stop and"&amp;" wait until everything passed. After another year of use, something happened to the motor and electronics. I'm going to buy a new one. I'll take Bosch.")</f>
        <v>Gifted for a wedding. Experience of use - exactly 2 years.  During the first year of operation (it was still under warranty), I was pleased with the gift, then when working for more than one minute, smoke began to seep out of the engine, I had to stop and wait until everything passed. After another year of use, something happened to the motor and electronics. I'm going to buy a new one. I'll take Bosch.</v>
      </c>
    </row>
    <row r="3781" spans="1:9" x14ac:dyDescent="0.3">
      <c r="A3781" s="1" t="s">
        <v>206</v>
      </c>
      <c r="B3781" s="1" t="s">
        <v>261</v>
      </c>
      <c r="C3781" s="1" t="s">
        <v>262</v>
      </c>
      <c r="D3781" s="1" t="s">
        <v>139</v>
      </c>
      <c r="E3781" s="1" t="s">
        <v>6706</v>
      </c>
      <c r="F3781" s="1" t="s">
        <v>6707</v>
      </c>
      <c r="G3781" s="1" t="s">
        <v>36</v>
      </c>
      <c r="H3781" s="1" t="s">
        <v>29</v>
      </c>
      <c r="I3781" s="1" t="str">
        <f ca="1">IFERROR(__xludf.DUMMYFUNCTION("GOOGLETRANSLATE(F3781, ""auto"", ""en"")
"),"The entire set weighs less than 400 grams! The wires are thin, judging by the weight they are aluminum. There is no information about the metal on the packaging, but it is clearly not copper. The interconnect is in a silicone braid, everything is some kin"&amp;"d of toy, I don’t recommend it to anyone - it’s a waste of money.")</f>
        <v>The entire set weighs less than 400 grams! The wires are thin, judging by the weight they are aluminum. There is no information about the metal on the packaging, but it is clearly not copper. The interconnect is in a silicone braid, everything is some kind of toy, I don’t recommend it to anyone - it’s a waste of money.</v>
      </c>
    </row>
    <row r="3782" spans="1:9" x14ac:dyDescent="0.3">
      <c r="A3782" s="1" t="s">
        <v>17</v>
      </c>
      <c r="B3782" s="1" t="s">
        <v>18</v>
      </c>
      <c r="C3782" s="1" t="s">
        <v>243</v>
      </c>
      <c r="D3782" s="1" t="s">
        <v>75</v>
      </c>
      <c r="E3782" s="1" t="s">
        <v>6557</v>
      </c>
      <c r="F3782" s="1" t="s">
        <v>6708</v>
      </c>
      <c r="G3782" s="1" t="s">
        <v>36</v>
      </c>
      <c r="H3782" s="1" t="s">
        <v>29</v>
      </c>
      <c r="I3782" s="1" t="str">
        <f ca="1">IFERROR(__xludf.DUMMYFUNCTION("GOOGLETRANSLATE(F3782, ""auto"", ""en"")
"),"I have had the machine for 3 years, no complaints or questions!!! He washes, spins, well done! I bought it once (it had to be very quickly, any brand, inexpensive) I didn’t regret it! Now the question has arisen: my mother wants a new washing machine, she"&amp;" took my advice, ordered it, and it will be delivered soon. I recommend it to everyone!")</f>
        <v>I have had the machine for 3 years, no complaints or questions!!! He washes, spins, well done! I bought it once (it had to be very quickly, any brand, inexpensive) I didn’t regret it! Now the question has arisen: my mother wants a new washing machine, she took my advice, ordered it, and it will be delivered soon. I recommend it to everyone!</v>
      </c>
    </row>
    <row r="3783" spans="1:9" x14ac:dyDescent="0.3">
      <c r="A3783" s="1" t="s">
        <v>30</v>
      </c>
      <c r="B3783" s="1" t="s">
        <v>50</v>
      </c>
      <c r="C3783" s="1" t="s">
        <v>151</v>
      </c>
      <c r="D3783" s="1" t="s">
        <v>172</v>
      </c>
      <c r="E3783" s="1" t="s">
        <v>3542</v>
      </c>
      <c r="F3783" s="1" t="s">
        <v>6709</v>
      </c>
      <c r="G3783" s="1" t="s">
        <v>36</v>
      </c>
      <c r="H3783" s="1" t="s">
        <v>29</v>
      </c>
      <c r="I3783" s="1" t="str">
        <f ca="1">IFERROR(__xludf.DUMMYFUNCTION("GOOGLETRANSLATE(F3783, ""auto"", ""en"")
"),"I bought the laptop two days ago. In principle, I'm happy with everything. The only fly in the ointment is that a green dot appeared on the display screen - I didn’t notice it right away. Most likely I was just unlucky with the copy, but I still recommend"&amp;" carefully checking the display when purchasing. Otherwise, it's an excellent device.")</f>
        <v>I bought the laptop two days ago. In principle, I'm happy with everything. The only fly in the ointment is that a green dot appeared on the display screen - I didn’t notice it right away. Most likely I was just unlucky with the copy, but I still recommend carefully checking the display when purchasing. Otherwise, it's an excellent device.</v>
      </c>
    </row>
    <row r="3784" spans="1:9" x14ac:dyDescent="0.3">
      <c r="A3784" s="1" t="s">
        <v>361</v>
      </c>
      <c r="B3784" s="1" t="s">
        <v>462</v>
      </c>
      <c r="C3784" s="1" t="s">
        <v>463</v>
      </c>
      <c r="D3784" s="1" t="s">
        <v>940</v>
      </c>
      <c r="E3784" s="1" t="s">
        <v>1112</v>
      </c>
      <c r="F3784" s="1" t="s">
        <v>6710</v>
      </c>
      <c r="G3784" s="1" t="s">
        <v>36</v>
      </c>
      <c r="H3784" s="1" t="s">
        <v>29</v>
      </c>
      <c r="I3784" s="1" t="str">
        <f ca="1">IFERROR(__xludf.DUMMYFUNCTION("GOOGLETRANSLATE(F3784, ""auto"", ""en"")
"),"Really works")</f>
        <v>Really works</v>
      </c>
    </row>
    <row r="3785" spans="1:9" x14ac:dyDescent="0.3">
      <c r="A3785" s="1" t="s">
        <v>37</v>
      </c>
      <c r="B3785" s="1" t="s">
        <v>536</v>
      </c>
      <c r="C3785" s="1" t="s">
        <v>163</v>
      </c>
      <c r="D3785" s="1" t="s">
        <v>6711</v>
      </c>
      <c r="E3785" s="1" t="s">
        <v>4984</v>
      </c>
      <c r="F3785" s="1" t="s">
        <v>6712</v>
      </c>
      <c r="G3785" s="1" t="s">
        <v>36</v>
      </c>
      <c r="H3785" s="1" t="s">
        <v>29</v>
      </c>
      <c r="I3785" s="1" t="str">
        <f ca="1">IFERROR(__xludf.DUMMYFUNCTION("GOOGLETRANSLATE(F3785, ""auto"", ""en"")
"),"I bought this phone in July, the phone is cool, the camera is cool, the double flash. simbian s60 platform. The speakers are good, the sound does not distort, in general the phone is good")</f>
        <v>I bought this phone in July, the phone is cool, the camera is cool, the double flash. simbian s60 platform. The speakers are good, the sound does not distort, in general the phone is good</v>
      </c>
    </row>
    <row r="3786" spans="1:9" x14ac:dyDescent="0.3">
      <c r="A3786" s="1" t="s">
        <v>43</v>
      </c>
      <c r="B3786" s="1" t="s">
        <v>502</v>
      </c>
      <c r="C3786" s="1" t="s">
        <v>151</v>
      </c>
      <c r="D3786" s="1" t="s">
        <v>1677</v>
      </c>
      <c r="E3786" s="1" t="s">
        <v>513</v>
      </c>
      <c r="F3786" s="1" t="s">
        <v>6713</v>
      </c>
      <c r="G3786" s="1" t="s">
        <v>28</v>
      </c>
      <c r="H3786" s="1" t="s">
        <v>29</v>
      </c>
      <c r="I3786" s="1" t="str">
        <f ca="1">IFERROR(__xludf.DUMMYFUNCTION("GOOGLETRANSLATE(F3786, ""auto"", ""en"")
"),"I purchased the Conder in July 2011. It works. The design is cute. Cools quickly enough (18 m room), but is loud.  Convenient power saving function. It's a pity that there is no clock on the remote control. The street block is made of plastic, so I was co"&amp;"nfused about installing the visor. Very small cord for the outlet. The curtains cannot be given a specific position; they simply move on their own.")</f>
        <v>I purchased the Conder in July 2011. It works. The design is cute. Cools quickly enough (18 m room), but is loud.  Convenient power saving function. It's a pity that there is no clock on the remote control. The street block is made of plastic, so I was confused about installing the visor. Very small cord for the outlet. The curtains cannot be given a specific position; they simply move on their own.</v>
      </c>
    </row>
    <row r="3787" spans="1:9" x14ac:dyDescent="0.3">
      <c r="A3787" s="1" t="s">
        <v>55</v>
      </c>
      <c r="B3787" s="1" t="s">
        <v>56</v>
      </c>
      <c r="C3787" s="1" t="s">
        <v>85</v>
      </c>
      <c r="D3787" s="1" t="s">
        <v>6714</v>
      </c>
      <c r="E3787" s="1" t="s">
        <v>6715</v>
      </c>
      <c r="F3787" s="1" t="s">
        <v>6716</v>
      </c>
      <c r="G3787" s="1" t="s">
        <v>36</v>
      </c>
      <c r="H3787" s="1" t="s">
        <v>29</v>
      </c>
      <c r="I3787" s="1" t="str">
        <f ca="1">IFERROR(__xludf.DUMMYFUNCTION("GOOGLETRANSLATE(F3787, ""auto"", ""en"")
"),"The humidifier is simply cosmic, anyone who writes that it hums means it is defective, I bought it for the first time, it hummed like a tractor, I exchanged it, it doesn’t hum, only the water gurgles occasionally, and even then quietly")</f>
        <v>The humidifier is simply cosmic, anyone who writes that it hums means it is defective, I bought it for the first time, it hummed like a tractor, I exchanged it, it doesn’t hum, only the water gurgles occasionally, and even then quietly</v>
      </c>
    </row>
    <row r="3788" spans="1:9" x14ac:dyDescent="0.3">
      <c r="A3788" s="1" t="s">
        <v>624</v>
      </c>
      <c r="B3788" s="1" t="s">
        <v>6461</v>
      </c>
      <c r="C3788" s="1" t="s">
        <v>479</v>
      </c>
      <c r="D3788" s="1" t="s">
        <v>139</v>
      </c>
      <c r="E3788" s="1" t="s">
        <v>1063</v>
      </c>
      <c r="F3788" s="1" t="s">
        <v>6717</v>
      </c>
      <c r="G3788" s="1" t="s">
        <v>36</v>
      </c>
      <c r="H3788" s="1" t="s">
        <v>29</v>
      </c>
      <c r="I3788" s="1" t="str">
        <f ca="1">IFERROR(__xludf.DUMMYFUNCTION("GOOGLETRANSLATE(F3788, ""auto"", ""en"")
"),"The game is simply amazing, I recommend it to all Naruto fans.  After the game there were only positive emotions left =)")</f>
        <v>The game is simply amazing, I recommend it to all Naruto fans.  After the game there were only positive emotions left =)</v>
      </c>
    </row>
    <row r="3789" spans="1:9" x14ac:dyDescent="0.3">
      <c r="A3789" s="1" t="s">
        <v>61</v>
      </c>
      <c r="B3789" s="1" t="s">
        <v>726</v>
      </c>
      <c r="C3789" s="1" t="s">
        <v>146</v>
      </c>
      <c r="D3789" s="1" t="s">
        <v>521</v>
      </c>
      <c r="E3789" s="1" t="s">
        <v>1864</v>
      </c>
      <c r="F3789" s="1" t="s">
        <v>6718</v>
      </c>
      <c r="G3789" s="1" t="s">
        <v>36</v>
      </c>
      <c r="H3789" s="1" t="s">
        <v>29</v>
      </c>
      <c r="I3789" s="1" t="str">
        <f ca="1">IFERROR(__xludf.DUMMYFUNCTION("GOOGLETRANSLATE(F3789, ""auto"", ""en"")
"),"Bought it on June 14th and so far I’m very pleased! This is my first bread maker, of course there is nothing to compare it with, but I’m happy with everything about it! I bake it every day, I’ve already tried almost all the recipes from the collection, it"&amp;" turns out very tasty, you can’t compare with store-bought ones, the crust is golden brown, even in the “light crust color” mode, it works quietly! The only downside is that there is a little flour left on the edges of the finished bread, and the collecti"&amp;"on of recipes is so-so, but I solved this problem simply - I look at the recipes on the forums!")</f>
        <v>Bought it on June 14th and so far I’m very pleased! This is my first bread maker, of course there is nothing to compare it with, but I’m happy with everything about it! I bake it every day, I’ve already tried almost all the recipes from the collection, it turns out very tasty, you can’t compare with store-bought ones, the crust is golden brown, even in the “light crust color” mode, it works quietly! The only downside is that there is a little flour left on the edges of the finished bread, and the collection of recipes is so-so, but I solved this problem simply - I look at the recipes on the forums!</v>
      </c>
    </row>
    <row r="3790" spans="1:9" x14ac:dyDescent="0.3">
      <c r="A3790" s="1" t="s">
        <v>55</v>
      </c>
      <c r="B3790" s="1" t="s">
        <v>56</v>
      </c>
      <c r="C3790" s="1" t="s">
        <v>1373</v>
      </c>
      <c r="D3790" s="1" t="s">
        <v>2412</v>
      </c>
      <c r="E3790" s="1" t="s">
        <v>5998</v>
      </c>
      <c r="F3790" s="1" t="s">
        <v>6719</v>
      </c>
      <c r="G3790" s="1" t="s">
        <v>36</v>
      </c>
      <c r="H3790" s="1" t="s">
        <v>29</v>
      </c>
      <c r="I3790" s="1" t="str">
        <f ca="1">IFERROR(__xludf.DUMMYFUNCTION("GOOGLETRANSLATE(F3790, ""auto"", ""en"")
"),"It works quietly, you can't hear anything at all!!! Sometimes it gurgles a couple of times a night and that’s it... The water was filled with clean water, not from the tap, although the manufacturers (Korea) claim that silver particles protect the device "&amp;"from rust, we decided not to risk it. It worked all night and turned itself off when the water in the tank ran out. The humidity in the room increased to 57% in a couple of hours. Room 20 m2. I recommend the device copes with its task with a bang!!!")</f>
        <v>It works quietly, you can't hear anything at all!!! Sometimes it gurgles a couple of times a night and that’s it... The water was filled with clean water, not from the tap, although the manufacturers (Korea) claim that silver particles protect the device from rust, we decided not to risk it. It worked all night and turned itself off when the water in the tank ran out. The humidity in the room increased to 57% in a couple of hours. Room 20 m2. I recommend the device copes with its task with a bang!!!</v>
      </c>
    </row>
    <row r="3791" spans="1:9" x14ac:dyDescent="0.3">
      <c r="A3791" s="1" t="s">
        <v>105</v>
      </c>
      <c r="B3791" s="1" t="s">
        <v>106</v>
      </c>
      <c r="C3791" s="1" t="s">
        <v>69</v>
      </c>
      <c r="D3791" s="1" t="s">
        <v>6720</v>
      </c>
      <c r="E3791" s="1" t="s">
        <v>1765</v>
      </c>
      <c r="F3791" s="1" t="s">
        <v>6721</v>
      </c>
      <c r="G3791" s="1" t="s">
        <v>28</v>
      </c>
      <c r="H3791" s="1" t="s">
        <v>29</v>
      </c>
      <c r="I3791" s="1" t="str">
        <f ca="1">IFERROR(__xludf.DUMMYFUNCTION("GOOGLETRANSLATE(F3791, ""auto"", ""en"")
"),"By design: I liked the compactness and the clothespin (!!) - the only alternative to the shuffle apple (old generation).    In terms of the sound of mp3: very mediocre... this is when compared with the IRiver T10 (which has SRS WOW, but the price was 3900"&amp;" for 1GB), and even Senheiser headphones for 2000 rubles do not correct the situation. I didn’t even put the standard ones in my ears.    radio: I caught a couple of radio stations, I still don’t understand how to make them stay in my memory and switch be"&amp;"tween them.")</f>
        <v>By design: I liked the compactness and the clothespin (!!) - the only alternative to the shuffle apple (old generation).    In terms of the sound of mp3: very mediocre... this is when compared with the IRiver T10 (which has SRS WOW, but the price was 3900 for 1GB), and even Senheiser headphones for 2000 rubles do not correct the situation. I didn’t even put the standard ones in my ears.    radio: I caught a couple of radio stations, I still don’t understand how to make them stay in my memory and switch between them.</v>
      </c>
    </row>
    <row r="3792" spans="1:9" x14ac:dyDescent="0.3">
      <c r="A3792" s="1" t="s">
        <v>95</v>
      </c>
      <c r="B3792" s="1" t="s">
        <v>486</v>
      </c>
      <c r="C3792" s="1" t="s">
        <v>487</v>
      </c>
      <c r="D3792" s="1" t="s">
        <v>6722</v>
      </c>
      <c r="E3792" s="1" t="s">
        <v>594</v>
      </c>
      <c r="F3792" s="1" t="s">
        <v>6723</v>
      </c>
      <c r="G3792" s="1" t="s">
        <v>36</v>
      </c>
      <c r="H3792" s="1" t="s">
        <v>29</v>
      </c>
      <c r="I3792" s="1" t="str">
        <f ca="1">IFERROR(__xludf.DUMMYFUNCTION("GOOGLETRANSLATE(F3792, ""auto"", ""en"")
"),"people, but this arcade does it have a Jasper or Falcon motherboard????")</f>
        <v>people, but this arcade does it have a Jasper or Falcon motherboard????</v>
      </c>
    </row>
    <row r="3793" spans="1:9" x14ac:dyDescent="0.3">
      <c r="A3793" s="1" t="s">
        <v>30</v>
      </c>
      <c r="B3793" s="1" t="s">
        <v>50</v>
      </c>
      <c r="C3793" s="1" t="s">
        <v>32</v>
      </c>
      <c r="D3793" s="1" t="s">
        <v>420</v>
      </c>
      <c r="E3793" s="1" t="s">
        <v>346</v>
      </c>
      <c r="F3793" s="1" t="s">
        <v>6724</v>
      </c>
      <c r="G3793" s="1" t="s">
        <v>28</v>
      </c>
      <c r="H3793" s="1" t="s">
        <v>29</v>
      </c>
      <c r="I3793" s="1" t="str">
        <f ca="1">IFERROR(__xludf.DUMMYFUNCTION("GOOGLETRANSLATE(F3793, ""auto"", ""en"")
"),"the beech is excellent. The battery lasts for 5 hours. everything is covered in chocolate. I installed XP without any problems. The keyboard is excellent (which is very strange for such laptops), the only drawback is the unreasonably strong video card, it"&amp;" heats up like a kettle. You won’t be able to stay on your bare belly for long")</f>
        <v>the beech is excellent. The battery lasts for 5 hours. everything is covered in chocolate. I installed XP without any problems. The keyboard is excellent (which is very strange for such laptops), the only drawback is the unreasonably strong video card, it heats up like a kettle. You won’t be able to stay on your bare belly for long</v>
      </c>
    </row>
    <row r="3794" spans="1:9" x14ac:dyDescent="0.3">
      <c r="A3794" s="1" t="s">
        <v>1823</v>
      </c>
      <c r="B3794" s="1" t="s">
        <v>1824</v>
      </c>
      <c r="C3794" s="1" t="s">
        <v>69</v>
      </c>
      <c r="D3794" s="1" t="s">
        <v>1952</v>
      </c>
      <c r="E3794" s="1" t="s">
        <v>6725</v>
      </c>
      <c r="F3794" s="1" t="s">
        <v>6726</v>
      </c>
      <c r="G3794" s="1" t="s">
        <v>36</v>
      </c>
      <c r="H3794" s="1" t="s">
        <v>29</v>
      </c>
      <c r="I3794" s="1" t="str">
        <f ca="1">IFERROR(__xludf.DUMMYFUNCTION("GOOGLETRANSLATE(F3794, ""auto"", ""en"")
"),"Great board. Wide, comfortable (I bought it as a kit for an iron with a steam generator Philips GC 8635/02). It’s great to iron everything on it, especially bed linen and towels - a minimum of movements and everything is ironed). Easy to use. Folds/unfold"&amp;"s like any other. Gadgets like folding hangers - convenient for men's shirts - are too wide for women's. But it’s convenient) When ironing, nothing bends anywhere.")</f>
        <v>Great board. Wide, comfortable (I bought it as a kit for an iron with a steam generator Philips GC 8635/02). It’s great to iron everything on it, especially bed linen and towels - a minimum of movements and everything is ironed). Easy to use. Folds/unfolds like any other. Gadgets like folding hangers - convenient for men's shirts - are too wide for women's. But it’s convenient) When ironing, nothing bends anywhere.</v>
      </c>
    </row>
    <row r="3795" spans="1:9" x14ac:dyDescent="0.3">
      <c r="A3795" s="1" t="s">
        <v>120</v>
      </c>
      <c r="B3795" s="1" t="s">
        <v>126</v>
      </c>
      <c r="C3795" s="1" t="s">
        <v>151</v>
      </c>
      <c r="D3795" s="1" t="s">
        <v>171</v>
      </c>
      <c r="E3795" s="1" t="s">
        <v>750</v>
      </c>
      <c r="F3795" s="1" t="s">
        <v>6727</v>
      </c>
      <c r="G3795" s="1" t="s">
        <v>28</v>
      </c>
      <c r="H3795" s="1" t="s">
        <v>29</v>
      </c>
      <c r="I3795" s="1" t="str">
        <f ca="1">IFERROR(__xludf.DUMMYFUNCTION("GOOGLETRANSLATE(F3795, ""auto"", ""en"")
"),"I bought this model in January in Nizhny Novgorod on vedenyapin. I brought the TV home, everything seemed to be in order, but a defect was discovered - the touch buttons on the TV do not work. The next day I took it to change, no questions were exchanged,"&amp;" but I had to pick it up from the Sormovo turn, I arrived there, and there were people there at the delivery of the goods, I waited for an hour and a half, I received it, I checked everything immediately on the spot, and everything was ok. I've been using"&amp;" it for 2 weeks and have no complaints. Gentlemen, check the equipment immediately so as not to waste half a day on the exchange.")</f>
        <v>I bought this model in January in Nizhny Novgorod on vedenyapin. I brought the TV home, everything seemed to be in order, but a defect was discovered - the touch buttons on the TV do not work. The next day I took it to change, no questions were exchanged, but I had to pick it up from the Sormovo turn, I arrived there, and there were people there at the delivery of the goods, I waited for an hour and a half, I received it, I checked everything immediately on the spot, and everything was ok. I've been using it for 2 weeks and have no complaints. Gentlemen, check the equipment immediately so as not to waste half a day on the exchange.</v>
      </c>
    </row>
    <row r="3796" spans="1:9" x14ac:dyDescent="0.3">
      <c r="A3796" s="1" t="s">
        <v>169</v>
      </c>
      <c r="B3796" s="1" t="s">
        <v>170</v>
      </c>
      <c r="C3796" s="1" t="s">
        <v>171</v>
      </c>
      <c r="D3796" s="1" t="s">
        <v>1776</v>
      </c>
      <c r="E3796" s="1" t="s">
        <v>2348</v>
      </c>
      <c r="F3796" s="1" t="s">
        <v>6728</v>
      </c>
      <c r="G3796" s="1" t="s">
        <v>28</v>
      </c>
      <c r="H3796" s="1" t="s">
        <v>29</v>
      </c>
      <c r="I3796" s="1" t="str">
        <f ca="1">IFERROR(__xludf.DUMMYFUNCTION("GOOGLETRANSLATE(F3796, ""auto"", ""en"")
"),"If you press the headphones quite hard into the ear canal, the bass becomes irritatingly boomy, which means you have to insert them while music is playing. Otherwise, for the price they are excellent headphones. Yes, the lows lack elaboration, and the hig"&amp;"hs lack transparency, but they fully earn their price.")</f>
        <v>If you press the headphones quite hard into the ear canal, the bass becomes irritatingly boomy, which means you have to insert them while music is playing. Otherwise, for the price they are excellent headphones. Yes, the lows lack elaboration, and the highs lack transparency, but they fully earn their price.</v>
      </c>
    </row>
    <row r="3797" spans="1:9" x14ac:dyDescent="0.3">
      <c r="A3797" s="1" t="s">
        <v>30</v>
      </c>
      <c r="B3797" s="1" t="s">
        <v>50</v>
      </c>
      <c r="C3797" s="1" t="s">
        <v>32</v>
      </c>
      <c r="D3797" s="1" t="s">
        <v>43</v>
      </c>
      <c r="E3797" s="1" t="s">
        <v>178</v>
      </c>
      <c r="F3797" s="1" t="s">
        <v>6729</v>
      </c>
      <c r="G3797" s="1" t="s">
        <v>36</v>
      </c>
      <c r="H3797" s="1" t="s">
        <v>29</v>
      </c>
      <c r="I3797" s="1" t="str">
        <f ca="1">IFERROR(__xludf.DUMMYFUNCTION("GOOGLETRANSLATE(F3797, ""auto"", ""en"")
"),"There are no buttons to turn on Bluetooth and Wi-Fi")</f>
        <v>There are no buttons to turn on Bluetooth and Wi-Fi</v>
      </c>
    </row>
    <row r="3798" spans="1:9" x14ac:dyDescent="0.3">
      <c r="A3798" s="1" t="s">
        <v>37</v>
      </c>
      <c r="B3798" s="1" t="s">
        <v>38</v>
      </c>
      <c r="C3798" s="1" t="s">
        <v>151</v>
      </c>
      <c r="D3798" s="1" t="s">
        <v>1329</v>
      </c>
      <c r="E3798" s="1" t="s">
        <v>469</v>
      </c>
      <c r="F3798" s="1" t="s">
        <v>6730</v>
      </c>
      <c r="G3798" s="1" t="s">
        <v>28</v>
      </c>
      <c r="H3798" s="1" t="s">
        <v>29</v>
      </c>
      <c r="I3798" s="1" t="str">
        <f ca="1">IFERROR(__xludf.DUMMYFUNCTION("GOOGLETRANSLATE(F3798, ""auto"", ""en"")
"),"An excellent device for modest money. What else can I say?")</f>
        <v>An excellent device for modest money. What else can I say?</v>
      </c>
    </row>
    <row r="3799" spans="1:9" x14ac:dyDescent="0.3">
      <c r="A3799" s="1" t="s">
        <v>61</v>
      </c>
      <c r="B3799" s="1" t="s">
        <v>726</v>
      </c>
      <c r="C3799" s="1" t="s">
        <v>74</v>
      </c>
      <c r="D3799" s="1" t="s">
        <v>474</v>
      </c>
      <c r="E3799" s="1" t="s">
        <v>905</v>
      </c>
      <c r="F3799" s="1" t="s">
        <v>6731</v>
      </c>
      <c r="G3799" s="1" t="s">
        <v>36</v>
      </c>
      <c r="H3799" s="1" t="s">
        <v>29</v>
      </c>
      <c r="I3799" s="1" t="str">
        <f ca="1">IFERROR(__xludf.DUMMYFUNCTION("GOOGLETRANSLATE(F3799, ""auto"", ""en"")
"),"Very happy with the bread maker!!! From the suggested baking recipes, the bread turns out simply excellent!!! MVideo has the lowest price for this stove!!! There is a program for kneading yeast-free dough. Cooking time is 14 minutes; many bread makers fro"&amp;"m this company do not have this function!")</f>
        <v>Very happy with the bread maker!!! From the suggested baking recipes, the bread turns out simply excellent!!! MVideo has the lowest price for this stove!!! There is a program for kneading yeast-free dough. Cooking time is 14 minutes; many bread makers from this company do not have this function!</v>
      </c>
    </row>
    <row r="3800" spans="1:9" x14ac:dyDescent="0.3">
      <c r="A3800" s="1" t="s">
        <v>149</v>
      </c>
      <c r="B3800" s="1" t="s">
        <v>150</v>
      </c>
      <c r="C3800" s="1" t="s">
        <v>6732</v>
      </c>
      <c r="D3800" s="1" t="s">
        <v>682</v>
      </c>
      <c r="E3800" s="1" t="s">
        <v>1799</v>
      </c>
      <c r="F3800" s="1" t="s">
        <v>6733</v>
      </c>
      <c r="G3800" s="1" t="s">
        <v>36</v>
      </c>
      <c r="H3800" s="1" t="s">
        <v>29</v>
      </c>
      <c r="I3800" s="1" t="str">
        <f ca="1">IFERROR(__xludf.DUMMYFUNCTION("GOOGLETRANSLATE(F3800, ""auto"", ""en"")
"),"I purchased this vacuum cleaner about a year ago. In general, I can say that it is easy to maintain and clean, it cleans well, and, most importantly, my daughter, an allergy sufferer, has felt better (she is allergic to house dust).")</f>
        <v>I purchased this vacuum cleaner about a year ago. In general, I can say that it is easy to maintain and clean, it cleans well, and, most importantly, my daughter, an allergy sufferer, has felt better (she is allergic to house dust).</v>
      </c>
    </row>
    <row r="3801" spans="1:9" x14ac:dyDescent="0.3">
      <c r="A3801" s="1" t="s">
        <v>211</v>
      </c>
      <c r="B3801" s="1" t="s">
        <v>410</v>
      </c>
      <c r="C3801" s="1" t="s">
        <v>69</v>
      </c>
      <c r="D3801" s="1" t="s">
        <v>81</v>
      </c>
      <c r="E3801" s="1" t="s">
        <v>1417</v>
      </c>
      <c r="F3801" s="1" t="s">
        <v>6734</v>
      </c>
      <c r="G3801" s="1" t="s">
        <v>36</v>
      </c>
      <c r="H3801" s="1" t="s">
        <v>29</v>
      </c>
      <c r="I3801" s="1" t="str">
        <f ca="1">IFERROR(__xludf.DUMMYFUNCTION("GOOGLETRANSLATE(F3801, ""auto"", ""en"")
"),"I, as an owner of scruffy stubble, have tried razors from perhaps all well-known manufacturers, and I can confidently say the following: if you take a razor as a tool specifically for shaving, and nature has rewarded you with a brutal mat under your lips,"&amp;" there is simply no better razor than Philips. Everything I tried either worked like an epilator, trying not to cut off, but to tear out a hair or two from me. Or I left behind stubble, the size of which did not give even a hint that I had shaved at all t"&amp;"oday. Or it simply broke down from such a load. I bought this razor and am overall pleased. Now I use a Philips razor and the next one will definitely be a Philips, with Dutch consumables that I don’t have to buy monthly. 10 mustache out of 10! I'm happy!")</f>
        <v>I, as an owner of scruffy stubble, have tried razors from perhaps all well-known manufacturers, and I can confidently say the following: if you take a razor as a tool specifically for shaving, and nature has rewarded you with a brutal mat under your lips, there is simply no better razor than Philips. Everything I tried either worked like an epilator, trying not to cut off, but to tear out a hair or two from me. Or I left behind stubble, the size of which did not give even a hint that I had shaved at all today. Or it simply broke down from such a load. I bought this razor and am overall pleased. Now I use a Philips razor and the next one will definitely be a Philips, with Dutch consumables that I don’t have to buy monthly. 10 mustache out of 10! I'm happy!</v>
      </c>
    </row>
    <row r="3802" spans="1:9" x14ac:dyDescent="0.3">
      <c r="A3802" s="1" t="s">
        <v>169</v>
      </c>
      <c r="B3802" s="1" t="s">
        <v>170</v>
      </c>
      <c r="C3802" s="1" t="s">
        <v>69</v>
      </c>
      <c r="D3802" s="1" t="s">
        <v>1659</v>
      </c>
      <c r="E3802" s="1" t="s">
        <v>978</v>
      </c>
      <c r="F3802" s="1" t="s">
        <v>6735</v>
      </c>
      <c r="G3802" s="1" t="s">
        <v>36</v>
      </c>
      <c r="H3802" s="1" t="s">
        <v>29</v>
      </c>
      <c r="I3802" s="1" t="str">
        <f ca="1">IFERROR(__xludf.DUMMYFUNCTION("GOOGLETRANSLATE(F3802, ""auto"", ""en"")
"),"They work great. I bought it half a year ago. So far they are working fine without any problems or complaints.  The transmitter is under the monitor, slightly raised so that the signal goes into your face. The signal easily reaches even the window (about "&amp;"4 meters away). No light or anything else distorts the signal. Yes, perhaps the sound is not 100% like it comes from the speakers, but that’s why these are wireless headphones. Personally, I'm pleased. Buy it, you won't regret it.")</f>
        <v>They work great. I bought it half a year ago. So far they are working fine without any problems or complaints.  The transmitter is under the monitor, slightly raised so that the signal goes into your face. The signal easily reaches even the window (about 4 meters away). No light or anything else distorts the signal. Yes, perhaps the sound is not 100% like it comes from the speakers, but that’s why these are wireless headphones. Personally, I'm pleased. Buy it, you won't regret it.</v>
      </c>
    </row>
    <row r="3803" spans="1:9" x14ac:dyDescent="0.3">
      <c r="A3803" s="1" t="s">
        <v>55</v>
      </c>
      <c r="B3803" s="1" t="s">
        <v>752</v>
      </c>
      <c r="C3803" s="1" t="s">
        <v>185</v>
      </c>
      <c r="D3803" s="1" t="s">
        <v>6736</v>
      </c>
      <c r="E3803" s="1" t="s">
        <v>4892</v>
      </c>
      <c r="F3803" s="1" t="s">
        <v>6737</v>
      </c>
      <c r="G3803" s="1" t="s">
        <v>28</v>
      </c>
      <c r="H3803" s="1" t="s">
        <v>29</v>
      </c>
      <c r="I3803" s="1" t="str">
        <f ca="1">IFERROR(__xludf.DUMMYFUNCTION("GOOGLETRANSLATE(F3803, ""auto"", ""en"")
"),"Whatever one may say, the air dries out! And the smell lasted for a week.")</f>
        <v>Whatever one may say, the air dries out! And the smell lasted for a week.</v>
      </c>
    </row>
    <row r="3804" spans="1:9" x14ac:dyDescent="0.3">
      <c r="A3804" s="1" t="s">
        <v>211</v>
      </c>
      <c r="B3804" s="1" t="s">
        <v>856</v>
      </c>
      <c r="C3804" s="1" t="s">
        <v>57</v>
      </c>
      <c r="D3804" s="1" t="s">
        <v>243</v>
      </c>
      <c r="E3804" s="1" t="s">
        <v>4080</v>
      </c>
      <c r="F3804" s="1" t="s">
        <v>6738</v>
      </c>
      <c r="G3804" s="1" t="s">
        <v>36</v>
      </c>
      <c r="H3804" s="1" t="s">
        <v>29</v>
      </c>
      <c r="I3804" s="1" t="str">
        <f ca="1">IFERROR(__xludf.DUMMYFUNCTION("GOOGLETRANSLATE(F3804, ""auto"", ""en"")
"),"I bought it yesterday for my mother as a gift, now I’m thinking, maybe I should give her something else? ))) I’m happy with the purchase, I didn’t really understand the buttons on the remote control, but I think my mother will figure it out on her own. I'"&amp;"ll buy one for myself too!!")</f>
        <v>I bought it yesterday for my mother as a gift, now I’m thinking, maybe I should give her something else? ))) I’m happy with the purchase, I didn’t really understand the buttons on the remote control, but I think my mother will figure it out on her own. I'll buy one for myself too!!</v>
      </c>
    </row>
    <row r="3805" spans="1:9" x14ac:dyDescent="0.3">
      <c r="A3805" s="1" t="s">
        <v>211</v>
      </c>
      <c r="B3805" s="1" t="s">
        <v>212</v>
      </c>
      <c r="C3805" s="1" t="s">
        <v>69</v>
      </c>
      <c r="D3805" s="1" t="s">
        <v>1506</v>
      </c>
      <c r="E3805" s="1" t="s">
        <v>543</v>
      </c>
      <c r="F3805" s="1" t="s">
        <v>6739</v>
      </c>
      <c r="G3805" s="1" t="s">
        <v>49</v>
      </c>
      <c r="H3805" s="1" t="s">
        <v>16</v>
      </c>
      <c r="I3805" s="1" t="str">
        <f ca="1">IFERROR(__xludf.DUMMYFUNCTION("GOOGLETRANSLATE(F3805, ""auto"", ""en"")
"),"Low-power, doesn't dry well, and doesn't style at all.")</f>
        <v>Low-power, doesn't dry well, and doesn't style at all.</v>
      </c>
    </row>
    <row r="3806" spans="1:9" x14ac:dyDescent="0.3">
      <c r="A3806" s="1" t="s">
        <v>9</v>
      </c>
      <c r="B3806" s="1" t="s">
        <v>4430</v>
      </c>
      <c r="C3806" s="1" t="s">
        <v>63</v>
      </c>
      <c r="D3806" s="1" t="s">
        <v>1055</v>
      </c>
      <c r="E3806" s="1" t="s">
        <v>3424</v>
      </c>
      <c r="F3806" s="1" t="s">
        <v>6740</v>
      </c>
      <c r="G3806" s="1" t="s">
        <v>36</v>
      </c>
      <c r="H3806" s="1" t="s">
        <v>29</v>
      </c>
      <c r="I3806" s="1" t="str">
        <f ca="1">IFERROR(__xludf.DUMMYFUNCTION("GOOGLETRANSLATE(F3806, ""auto"", ""en"")
"),"It is possible to re-hang the furniture door, complete protection against leaks, and easy-to-understand controls. Foam control is not just an empty word - it rinses well. Bought a month ago to replace an old one. It washes well and is not noisy. Due to th"&amp;"e large load, I can now wash much more laundry at once. Great model!")</f>
        <v>It is possible to re-hang the furniture door, complete protection against leaks, and easy-to-understand controls. Foam control is not just an empty word - it rinses well. Bought a month ago to replace an old one. It washes well and is not noisy. Due to the large load, I can now wash much more laundry at once. Great model!</v>
      </c>
    </row>
    <row r="3807" spans="1:9" x14ac:dyDescent="0.3">
      <c r="A3807" s="1" t="s">
        <v>89</v>
      </c>
      <c r="B3807" s="1" t="s">
        <v>231</v>
      </c>
      <c r="C3807" s="1" t="s">
        <v>1072</v>
      </c>
      <c r="D3807" s="1" t="s">
        <v>1681</v>
      </c>
      <c r="E3807" s="1" t="s">
        <v>6741</v>
      </c>
      <c r="F3807" s="1" t="s">
        <v>6742</v>
      </c>
      <c r="G3807" s="1" t="s">
        <v>36</v>
      </c>
      <c r="H3807" s="1" t="s">
        <v>29</v>
      </c>
      <c r="I3807" s="1" t="str">
        <f ca="1">IFERROR(__xludf.DUMMYFUNCTION("GOOGLETRANSLATE(F3807, ""auto"", ""en"")
"),"The coffee machine is very good! Everyone is happy, the coffee is delicious! There are no problems with service. When I was researching this coffee machine on the Internet, I was very confused by the fact that the machine needs to be lubricated! But a com"&amp;"petent consultant in the store explained to me why this was being done, and I realized that everything was needed for the machine to work as correctly as possible and for as long as possible! In general, a top class machine!")</f>
        <v>The coffee machine is very good! Everyone is happy, the coffee is delicious! There are no problems with service. When I was researching this coffee machine on the Internet, I was very confused by the fact that the machine needs to be lubricated! But a competent consultant in the store explained to me why this was being done, and I realized that everything was needed for the machine to work as correctly as possible and for as long as possible! In general, a top class machine!</v>
      </c>
    </row>
    <row r="3808" spans="1:9" x14ac:dyDescent="0.3">
      <c r="A3808" s="1" t="s">
        <v>624</v>
      </c>
      <c r="B3808" s="1" t="s">
        <v>2107</v>
      </c>
      <c r="C3808" s="1" t="s">
        <v>479</v>
      </c>
      <c r="D3808" s="1" t="s">
        <v>6743</v>
      </c>
      <c r="E3808" s="1" t="s">
        <v>2565</v>
      </c>
      <c r="F3808" s="1" t="s">
        <v>6744</v>
      </c>
      <c r="G3808" s="1" t="s">
        <v>36</v>
      </c>
      <c r="H3808" s="1" t="s">
        <v>29</v>
      </c>
      <c r="I3808" s="1" t="str">
        <f ca="1">IFERROR(__xludf.DUMMYFUNCTION("GOOGLETRANSLATE(F3808, ""auto"", ""en"")
"),"Guys, I advise everyone to play this game on a steering wheel with a rotation angle of 900 degrees. do the firmware for xbox 360 and rejoice the disks are very expensive")</f>
        <v>Guys, I advise everyone to play this game on a steering wheel with a rotation angle of 900 degrees. do the firmware for xbox 360 and rejoice the disks are very expensive</v>
      </c>
    </row>
    <row r="3809" spans="1:9" x14ac:dyDescent="0.3">
      <c r="A3809" s="1" t="s">
        <v>61</v>
      </c>
      <c r="B3809" s="1" t="s">
        <v>145</v>
      </c>
      <c r="C3809" s="1" t="s">
        <v>74</v>
      </c>
      <c r="D3809" s="1" t="s">
        <v>247</v>
      </c>
      <c r="E3809" s="1" t="s">
        <v>3259</v>
      </c>
      <c r="F3809" s="1" t="s">
        <v>6745</v>
      </c>
      <c r="G3809" s="1" t="s">
        <v>36</v>
      </c>
      <c r="H3809" s="1" t="s">
        <v>29</v>
      </c>
      <c r="I3809" s="1" t="str">
        <f ca="1">IFERROR(__xludf.DUMMYFUNCTION("GOOGLETRANSLATE(F3809, ""auto"", ""en"")
"),"Very pleased with the purchase. We chose a small and simple one - we didn’t make a mistake)) Now we are discovering new dishes!!  I recommend it to everyone!!")</f>
        <v>Very pleased with the purchase. We chose a small and simple one - we didn’t make a mistake)) Now we are discovering new dishes!!  I recommend it to everyone!!</v>
      </c>
    </row>
    <row r="3810" spans="1:9" x14ac:dyDescent="0.3">
      <c r="A3810" s="1" t="s">
        <v>211</v>
      </c>
      <c r="B3810" s="1" t="s">
        <v>384</v>
      </c>
      <c r="C3810" s="1" t="s">
        <v>246</v>
      </c>
      <c r="D3810" s="1" t="s">
        <v>33</v>
      </c>
      <c r="E3810" s="1" t="s">
        <v>1937</v>
      </c>
      <c r="F3810" s="1" t="s">
        <v>6746</v>
      </c>
      <c r="G3810" s="1" t="s">
        <v>36</v>
      </c>
      <c r="H3810" s="1" t="s">
        <v>29</v>
      </c>
      <c r="I3810" s="1" t="str">
        <f ca="1">IFERROR(__xludf.DUMMYFUNCTION("GOOGLETRANSLATE(F3810, ""auto"", ""en"")
"),"I completely agree with Nikolai’s review from Ulyanovsk. The scales are very good. I recommend it to everyone!")</f>
        <v>I completely agree with Nikolai’s review from Ulyanovsk. The scales are very good. I recommend it to everyone!</v>
      </c>
    </row>
    <row r="3811" spans="1:9" x14ac:dyDescent="0.3">
      <c r="A3811" s="1" t="s">
        <v>211</v>
      </c>
      <c r="B3811" s="1" t="s">
        <v>856</v>
      </c>
      <c r="C3811" s="1" t="s">
        <v>101</v>
      </c>
      <c r="D3811" s="1" t="s">
        <v>2679</v>
      </c>
      <c r="E3811" s="1" t="s">
        <v>4702</v>
      </c>
      <c r="F3811" s="1" t="s">
        <v>6747</v>
      </c>
      <c r="G3811" s="1" t="s">
        <v>36</v>
      </c>
      <c r="H3811" s="1" t="s">
        <v>29</v>
      </c>
      <c r="I3811" s="1" t="str">
        <f ca="1">IFERROR(__xludf.DUMMYFUNCTION("GOOGLETRANSLATE(F3811, ""auto"", ""en"")
"),"The best gift from a loved one in our entire relationship!!! I love beautiful nails, and before, even before a manicure in a salon, I did a manicure at home, and the girls who do manicures laughed at me, saying that no matter how much you do it at home, y"&amp;"ou still have to go to the salon)) What kind of faces did they have when I came for a manicure after using this set)) They clearly wanted to fix something, but everything was beautiful, so I left them without paying a penny)) Take it, girls, forget about "&amp;"salons forever))")</f>
        <v>The best gift from a loved one in our entire relationship!!! I love beautiful nails, and before, even before a manicure in a salon, I did a manicure at home, and the girls who do manicures laughed at me, saying that no matter how much you do it at home, you still have to go to the salon)) What kind of faces did they have when I came for a manicure after using this set)) They clearly wanted to fix something, but everything was beautiful, so I left them without paying a penny)) Take it, girls, forget about salons forever))</v>
      </c>
    </row>
    <row r="3812" spans="1:9" x14ac:dyDescent="0.3">
      <c r="A3812" s="1" t="s">
        <v>149</v>
      </c>
      <c r="B3812" s="1" t="s">
        <v>423</v>
      </c>
      <c r="C3812" s="1" t="s">
        <v>531</v>
      </c>
      <c r="D3812" s="1" t="s">
        <v>6748</v>
      </c>
      <c r="E3812" s="1" t="s">
        <v>5119</v>
      </c>
      <c r="F3812" s="1" t="s">
        <v>6749</v>
      </c>
      <c r="G3812" s="1" t="s">
        <v>28</v>
      </c>
      <c r="H3812" s="1" t="s">
        <v>29</v>
      </c>
      <c r="I3812" s="1" t="str">
        <f ca="1">IFERROR(__xludf.DUMMYFUNCTION("GOOGLETRANSLATE(F3812, ""auto"", ""en"")
"),"Our family received this device as a gift. And then the adventures began. Firstly, after carefully studying the instructions, the vacuum cleaner was ready in 45 minutes! But to be fair, it should be said that this was only the first time. Then this proced"&amp;"ure took 1.5 minutes maximum. And so in order that in almost 4 years we managed to find out about him.  Advantages: 1) it actually cleans cleaner than a regular vacuum cleaner, but when used correctly.   2) quite reliable and well-thought-out mechanisms f"&amp;"or the front wheels, telescopic pipe, brushes (hats off for the layout and delivery package), and parking methods.  Disadvantages: 1) clumsy - you can only move forward with it. Moving backwards during wet cleaning is reminiscent of moving a truck with a "&amp;"trailer in reverse.  2) it’s not suitable for quick cleaning in principle: you need to wash the vacuum cleaner itself for at least half an hour, and even longer after it’s wet.  3) removing the aquafilter nozzles is dangerous, but is necessary when cleani"&amp;"ng the vacuum cleaner itself.  4) a sophisticated filter system is difficult to find on sale.  5) special thanks to the intermediaries, customs and the Germans for the high price.  6) after 6 cleanings it starts to “smell”, although the instructions clear"&amp;"ly say “wash the vacuum cleaner thoroughly” and you also need to dry it, and I’ll add foam or foam plugs to all the pipes.    Summary: the gift is good, but the purchase is not rational.    Technical observation: if you do not change the neuro filter (per"&amp;"forms the function of a regular dry filter at the last stage of air purification, which, in my opinion, is strange for a vacuum cleaner with an aquafilter), it becomes clogged, as a result of which the suction power is lost, which leads to the incorrect o"&amp;"peration of the aquafilter (the same notorious nozzles do not wet the dust in the aquafilter) and voila, the vacuum cleaner works according to the principle of the old natural “typhoons” and “cyclones” - everything that is sucked in is thrown into the air"&amp;", but in a crushed state, as they say - hello allergies, plus powerful noise.")</f>
        <v>Our family received this device as a gift. And then the adventures began. Firstly, after carefully studying the instructions, the vacuum cleaner was ready in 45 minutes! But to be fair, it should be said that this was only the first time. Then this procedure took 1.5 minutes maximum. And so in order that in almost 4 years we managed to find out about him.  Advantages: 1) it actually cleans cleaner than a regular vacuum cleaner, but when used correctly.   2) quite reliable and well-thought-out mechanisms for the front wheels, telescopic pipe, brushes (hats off for the layout and delivery package), and parking methods.  Disadvantages: 1) clumsy - you can only move forward with it. Moving backwards during wet cleaning is reminiscent of moving a truck with a trailer in reverse.  2) it’s not suitable for quick cleaning in principle: you need to wash the vacuum cleaner itself for at least half an hour, and even longer after it’s wet.  3) removing the aquafilter nozzles is dangerous, but is necessary when cleaning the vacuum cleaner itself.  4) a sophisticated filter system is difficult to find on sale.  5) special thanks to the intermediaries, customs and the Germans for the high price.  6) after 6 cleanings it starts to “smell”, although the instructions clearly say “wash the vacuum cleaner thoroughly” and you also need to dry it, and I’ll add foam or foam plugs to all the pipes.    Summary: the gift is good, but the purchase is not rational.    Technical observation: if you do not change the neuro filter (performs the function of a regular dry filter at the last stage of air purification, which, in my opinion, is strange for a vacuum cleaner with an aquafilter), it becomes clogged, as a result of which the suction power is lost, which leads to the incorrect operation of the aquafilter (the same notorious nozzles do not wet the dust in the aquafilter) and voila, the vacuum cleaner works according to the principle of the old natural “typhoons” and “cyclones” - everything that is sucked in is thrown into the air, but in a crushed state, as they say - hello allergies, plus powerful noise.</v>
      </c>
    </row>
    <row r="3813" spans="1:9" x14ac:dyDescent="0.3">
      <c r="A3813" s="1" t="s">
        <v>149</v>
      </c>
      <c r="B3813" s="1" t="s">
        <v>155</v>
      </c>
      <c r="C3813" s="1" t="s">
        <v>63</v>
      </c>
      <c r="D3813" s="1" t="s">
        <v>52</v>
      </c>
      <c r="E3813" s="1" t="s">
        <v>944</v>
      </c>
      <c r="F3813" s="1" t="s">
        <v>6750</v>
      </c>
      <c r="G3813" s="1" t="s">
        <v>36</v>
      </c>
      <c r="H3813" s="1" t="s">
        <v>29</v>
      </c>
      <c r="I3813" s="1" t="str">
        <f ca="1">IFERROR(__xludf.DUMMYFUNCTION("GOOGLETRANSLATE(F3813, ""auto"", ""en"")
"),"quality of cleaning")</f>
        <v>quality of cleaning</v>
      </c>
    </row>
    <row r="3814" spans="1:9" x14ac:dyDescent="0.3">
      <c r="A3814" s="1" t="s">
        <v>9</v>
      </c>
      <c r="B3814" s="1" t="s">
        <v>137</v>
      </c>
      <c r="C3814" s="1" t="s">
        <v>63</v>
      </c>
      <c r="D3814" s="1" t="s">
        <v>166</v>
      </c>
      <c r="E3814" s="1" t="s">
        <v>5215</v>
      </c>
      <c r="F3814" s="1" t="s">
        <v>6751</v>
      </c>
      <c r="G3814" s="1" t="s">
        <v>36</v>
      </c>
      <c r="H3814" s="1" t="s">
        <v>29</v>
      </c>
      <c r="I3814" s="1" t="str">
        <f ca="1">IFERROR(__xludf.DUMMYFUNCTION("GOOGLETRANSLATE(F3814, ""auto"", ""en"")
"),"Nice panel! Comfortable, there are only a couple of comments (I’ve been using it for more than 6 months): 1. Plastic handles ((I would like metal ones, but maybe it’s better for safety reasons. 2. You have to accept that stainless steel is unlikely to rem"&amp;"ain unchanged (even with delicate cleaning). Personally, I still have indelible stains even from ordinary spilled boiled water. However, they are not so noticeable. Conclusion: a thing! Ratio price-quality is ideal.")</f>
        <v>Nice panel! Comfortable, there are only a couple of comments (I’ve been using it for more than 6 months): 1. Plastic handles ((I would like metal ones, but maybe it’s better for safety reasons. 2. You have to accept that stainless steel is unlikely to remain unchanged (even with delicate cleaning). Personally, I still have indelible stains even from ordinary spilled boiled water. However, they are not so noticeable. Conclusion: a thing! Ratio price-quality is ideal.</v>
      </c>
    </row>
    <row r="3815" spans="1:9" x14ac:dyDescent="0.3">
      <c r="A3815" s="1" t="s">
        <v>61</v>
      </c>
      <c r="B3815" s="1" t="s">
        <v>318</v>
      </c>
      <c r="C3815" s="1" t="s">
        <v>69</v>
      </c>
      <c r="D3815" s="1" t="s">
        <v>186</v>
      </c>
      <c r="E3815" s="1" t="s">
        <v>6752</v>
      </c>
      <c r="F3815" s="1" t="s">
        <v>6753</v>
      </c>
      <c r="G3815" s="1" t="s">
        <v>15</v>
      </c>
      <c r="H3815" s="1" t="s">
        <v>16</v>
      </c>
      <c r="I3815" s="1" t="str">
        <f ca="1">IFERROR(__xludf.DUMMYFUNCTION("GOOGLETRANSLATE(F3815, ""auto"", ""en"")
"),"We bought a Polish-made Philips kettle about a year ago. During operation, the bottom of the kettle became covered with rust, and all the plastic inside became yellowish. We lost the receipt, otherwise we would have returned it back to the manufacturer. O"&amp;"ur water is normal; there was no such problem with kettles from other manufacturers. I won't buy Philips again.")</f>
        <v>We bought a Polish-made Philips kettle about a year ago. During operation, the bottom of the kettle became covered with rust, and all the plastic inside became yellowish. We lost the receipt, otherwise we would have returned it back to the manufacturer. Our water is normal; there was no such problem with kettles from other manufacturers. I won't buy Philips again.</v>
      </c>
    </row>
    <row r="3816" spans="1:9" x14ac:dyDescent="0.3">
      <c r="A3816" s="1" t="s">
        <v>477</v>
      </c>
      <c r="B3816" s="1" t="s">
        <v>478</v>
      </c>
      <c r="C3816" s="1" t="s">
        <v>479</v>
      </c>
      <c r="D3816" s="1" t="s">
        <v>940</v>
      </c>
      <c r="E3816" s="1" t="s">
        <v>6754</v>
      </c>
      <c r="F3816" s="1" t="s">
        <v>6755</v>
      </c>
      <c r="G3816" s="1" t="s">
        <v>36</v>
      </c>
      <c r="H3816" s="1" t="s">
        <v>29</v>
      </c>
      <c r="I3816" s="1" t="str">
        <f ca="1">IFERROR(__xludf.DUMMYFUNCTION("GOOGLETRANSLATE(F3816, ""auto"", ""en"")
"),"Since the single mission does not interest me, I am writing my opinion about the multiplayer. I want to immediately warn you that if you want to play in online battles more calmly, you must have powerful hardware: a processor of at least a quad-core and a"&amp;" powerful card, otherwise constant brakes will torture you, it is also advisable to have a good connection of at least 50 MB/sec, and better yet, higher - check the speed using the speedtest program. I want to warn you right away that there are very few c"&amp;"onnections to Russian servers, I mainly played on German servers, the ping is high from 61 to 96, so with such pings you need to have a high-speed connection better than 100 Mb/sec, otherwise the living dead will kill anyone and do not break the keyboard "&amp;"and mouse - it’s not about them. Now about the game: of all the multiplayer games, this is the most interesting and exciting, you can feel that the creators have invested a lot of effort and money in it, you can feel the reality of the battle, good graphi"&amp;"cs and sound, an excellent selection of weapons with the ability to enhance them, excellent perks, a good selection of rewards for a series of kills from a radio-controlled car to killer dogs, a well-thought-out prestige system, when for each new level yo"&amp;"u receive extras - it’s very exciting. Of all the multiplayer maps, Nuketown is the most interesting and is the most played, and among the modes I liked team wrestling and capture the flag the most. And at the end, a short summary: the multiplayer is exce"&amp;"llent, I don’t know, I haven’t played the single player; if you have powerful hardware and a speed of at least 50 mb/sec, feel free to buy it, you won’t regret the best multiplayer I’ve ever seen.")</f>
        <v>Since the single mission does not interest me, I am writing my opinion about the multiplayer. I want to immediately warn you that if you want to play in online battles more calmly, you must have powerful hardware: a processor of at least a quad-core and a powerful card, otherwise constant brakes will torture you, it is also advisable to have a good connection of at least 50 MB/sec, and better yet, higher - check the speed using the speedtest program. I want to warn you right away that there are very few connections to Russian servers, I mainly played on German servers, the ping is high from 61 to 96, so with such pings you need to have a high-speed connection better than 100 Mb/sec, otherwise the living dead will kill anyone and do not break the keyboard and mouse - it’s not about them. Now about the game: of all the multiplayer games, this is the most interesting and exciting, you can feel that the creators have invested a lot of effort and money in it, you can feel the reality of the battle, good graphics and sound, an excellent selection of weapons with the ability to enhance them, excellent perks, a good selection of rewards for a series of kills from a radio-controlled car to killer dogs, a well-thought-out prestige system, when for each new level you receive extras - it’s very exciting. Of all the multiplayer maps, Nuketown is the most interesting and is the most played, and among the modes I liked team wrestling and capture the flag the most. And at the end, a short summary: the multiplayer is excellent, I don’t know, I haven’t played the single player; if you have powerful hardware and a speed of at least 50 mb/sec, feel free to buy it, you won’t regret the best multiplayer I’ve ever seen.</v>
      </c>
    </row>
    <row r="3817" spans="1:9" x14ac:dyDescent="0.3">
      <c r="A3817" s="1" t="s">
        <v>9</v>
      </c>
      <c r="B3817" s="1" t="s">
        <v>10</v>
      </c>
      <c r="C3817" s="1" t="s">
        <v>407</v>
      </c>
      <c r="D3817" s="1" t="s">
        <v>6756</v>
      </c>
      <c r="E3817" s="1" t="s">
        <v>3084</v>
      </c>
      <c r="F3817" s="1" t="s">
        <v>6757</v>
      </c>
      <c r="G3817" s="1" t="s">
        <v>36</v>
      </c>
      <c r="H3817" s="1" t="s">
        <v>29</v>
      </c>
      <c r="I3817" s="1" t="str">
        <f ca="1">IFERROR(__xludf.DUMMYFUNCTION("GOOGLETRANSLATE(F3817, ""auto"", ""en"")
"),"We’ve been using it for half a year now and are very pleased! It removes the smell from the room well, good lighting, easy to clean! excellent hood, I recommend it!")</f>
        <v>We’ve been using it for half a year now and are very pleased! It removes the smell from the room well, good lighting, easy to clean! excellent hood, I recommend it!</v>
      </c>
    </row>
    <row r="3818" spans="1:9" x14ac:dyDescent="0.3">
      <c r="A3818" s="1" t="s">
        <v>61</v>
      </c>
      <c r="B3818" s="1" t="s">
        <v>726</v>
      </c>
      <c r="C3818" s="1" t="s">
        <v>122</v>
      </c>
      <c r="D3818" s="1" t="s">
        <v>308</v>
      </c>
      <c r="E3818" s="1" t="s">
        <v>1228</v>
      </c>
      <c r="F3818" s="1" t="s">
        <v>6758</v>
      </c>
      <c r="G3818" s="1" t="s">
        <v>36</v>
      </c>
      <c r="H3818" s="1" t="s">
        <v>29</v>
      </c>
      <c r="I3818" s="1" t="str">
        <f ca="1">IFERROR(__xludf.DUMMYFUNCTION("GOOGLETRANSLATE(F3818, ""auto"", ""en"")
"),"We've been thinking about buying a bread machine for a long time; it's not a cheap purchase! We purchased this particular model and haven’t regretted it for a minute! The bread (we bake French) is just a fairy tale, my great-grandmother baked it in a Russ"&amp;"ian oven, I just felt the taste of BREAD again! Again, there is an economic benefit: one loaf costs 5-6 rubles. If you have the opportunity, buy it, I'm sure you will be very pleased!  Yes, I have a question: is it possible to bake rye bread in the Panaso"&amp;"nic SD-254 model? If you have experience, please share.")</f>
        <v>We've been thinking about buying a bread machine for a long time; it's not a cheap purchase! We purchased this particular model and haven’t regretted it for a minute! The bread (we bake French) is just a fairy tale, my great-grandmother baked it in a Russian oven, I just felt the taste of BREAD again! Again, there is an economic benefit: one loaf costs 5-6 rubles. If you have the opportunity, buy it, I'm sure you will be very pleased!  Yes, I have a question: is it possible to bake rye bread in the Panasonic SD-254 model? If you have experience, please share.</v>
      </c>
    </row>
    <row r="3819" spans="1:9" x14ac:dyDescent="0.3">
      <c r="A3819" s="1" t="s">
        <v>120</v>
      </c>
      <c r="B3819" s="1" t="s">
        <v>196</v>
      </c>
      <c r="C3819" s="1" t="s">
        <v>658</v>
      </c>
      <c r="D3819" s="1" t="s">
        <v>308</v>
      </c>
      <c r="E3819" s="1" t="s">
        <v>680</v>
      </c>
      <c r="F3819" s="1" t="s">
        <v>6759</v>
      </c>
      <c r="G3819" s="1" t="s">
        <v>36</v>
      </c>
      <c r="H3819" s="1" t="s">
        <v>29</v>
      </c>
      <c r="I3819" s="1" t="str">
        <f ca="1">IFERROR(__xludf.DUMMYFUNCTION("GOOGLETRANSLATE(F3819, ""auto"", ""en"")
"),"For now I only watch TV shows (tricolor antenna) - the image, sound and color rendition are excellent.")</f>
        <v>For now I only watch TV shows (tricolor antenna) - the image, sound and color rendition are excellent.</v>
      </c>
    </row>
    <row r="3820" spans="1:9" x14ac:dyDescent="0.3">
      <c r="A3820" s="1" t="s">
        <v>211</v>
      </c>
      <c r="B3820" s="1" t="s">
        <v>265</v>
      </c>
      <c r="C3820" s="1" t="s">
        <v>1591</v>
      </c>
      <c r="D3820" s="1" t="s">
        <v>4281</v>
      </c>
      <c r="E3820" s="1" t="s">
        <v>1179</v>
      </c>
      <c r="F3820" s="1" t="s">
        <v>6760</v>
      </c>
      <c r="G3820" s="1" t="s">
        <v>36</v>
      </c>
      <c r="H3820" s="1" t="s">
        <v>29</v>
      </c>
      <c r="I3820" s="1" t="str">
        <f ca="1">IFERROR(__xludf.DUMMYFUNCTION("GOOGLETRANSLATE(F3820, ""auto"", ""en"")
"),"We have been using the machine since August last year. I cut my husband's and father's hair, the model is professional and very good. I’m not a hairdresser, but I learned how to operate the machine quickly because it’s very easy to use. Cleaning is very e"&amp;"asy, just rinse the blades under the tap. I really liked that the machine comes with a three-year warranty, it inspires confidence)")</f>
        <v>We have been using the machine since August last year. I cut my husband's and father's hair, the model is professional and very good. I’m not a hairdresser, but I learned how to operate the machine quickly because it’s very easy to use. Cleaning is very easy, just rinse the blades under the tap. I really liked that the machine comes with a three-year warranty, it inspires confidence)</v>
      </c>
    </row>
    <row r="3821" spans="1:9" x14ac:dyDescent="0.3">
      <c r="A3821" s="1" t="s">
        <v>43</v>
      </c>
      <c r="B3821" s="1" t="s">
        <v>1616</v>
      </c>
      <c r="C3821" s="1" t="s">
        <v>1138</v>
      </c>
      <c r="D3821" s="1" t="s">
        <v>52</v>
      </c>
      <c r="E3821" s="1" t="s">
        <v>6761</v>
      </c>
      <c r="F3821" s="1" t="s">
        <v>6762</v>
      </c>
      <c r="G3821" s="1" t="s">
        <v>49</v>
      </c>
      <c r="H3821" s="1" t="s">
        <v>16</v>
      </c>
      <c r="I3821" s="1" t="str">
        <f ca="1">IFERROR(__xludf.DUMMYFUNCTION("GOOGLETRANSLATE(F3821, ""auto"", ""en"")
"),"For that kind of money you can buy a winter-summer split, under no circumstances take this miracle of technology. It is placed only on a prepared area: an exhaust pocket must be prepared (otherwise the hot air will not escape anywhere), drainage is needed"&amp;" for drainage (otherwise there will be nowhere to drain the condensate, and it must be drained, otherwise it will only last for a couple or three hours, and the rest of the time the air will circulate in a circle and will not cool). Only then will he be o"&amp;"f any use. A thirty-kilogram unit cannot be called mobile. Either roll it on tiny slipping wheels, or drag it on its hump.")</f>
        <v>For that kind of money you can buy a winter-summer split, under no circumstances take this miracle of technology. It is placed only on a prepared area: an exhaust pocket must be prepared (otherwise the hot air will not escape anywhere), drainage is needed for drainage (otherwise there will be nowhere to drain the condensate, and it must be drained, otherwise it will only last for a couple or three hours, and the rest of the time the air will circulate in a circle and will not cool). Only then will he be of any use. A thirty-kilogram unit cannot be called mobile. Either roll it on tiny slipping wheels, or drag it on its hump.</v>
      </c>
    </row>
    <row r="3822" spans="1:9" x14ac:dyDescent="0.3">
      <c r="A3822" s="1" t="s">
        <v>17</v>
      </c>
      <c r="B3822" s="1" t="s">
        <v>18</v>
      </c>
      <c r="C3822" s="1" t="s">
        <v>870</v>
      </c>
      <c r="D3822" s="1" t="s">
        <v>1055</v>
      </c>
      <c r="E3822" s="1" t="s">
        <v>6763</v>
      </c>
      <c r="F3822" s="1" t="s">
        <v>6764</v>
      </c>
      <c r="G3822" s="1" t="s">
        <v>36</v>
      </c>
      <c r="H3822" s="1" t="s">
        <v>29</v>
      </c>
      <c r="I3822" s="1" t="str">
        <f ca="1">IFERROR(__xludf.DUMMYFUNCTION("GOOGLETRANSLATE(F3822, ""auto"", ""en"")
"),"We've had the car for about 3 years now. It washes perfectly, no matter how much laundry you put in it))). It practically does not vibrate, it has never jumped out of place. I threw my things and forgot))")</f>
        <v>We've had the car for about 3 years now. It washes perfectly, no matter how much laundry you put in it))). It practically does not vibrate, it has never jumped out of place. I threw my things and forgot))</v>
      </c>
    </row>
    <row r="3823" spans="1:9" x14ac:dyDescent="0.3">
      <c r="A3823" s="1" t="s">
        <v>17</v>
      </c>
      <c r="B3823" s="1" t="s">
        <v>18</v>
      </c>
      <c r="C3823" s="1" t="s">
        <v>885</v>
      </c>
      <c r="D3823" s="1" t="s">
        <v>152</v>
      </c>
      <c r="E3823" s="1" t="s">
        <v>1248</v>
      </c>
      <c r="F3823" s="1" t="s">
        <v>6765</v>
      </c>
      <c r="G3823" s="1" t="s">
        <v>49</v>
      </c>
      <c r="H3823" s="1" t="s">
        <v>16</v>
      </c>
      <c r="I3823" s="1" t="str">
        <f ca="1">IFERROR(__xludf.DUMMYFUNCTION("GOOGLETRANSLATE(F3823, ""auto"", ""en"")
"),"We encountered a problematic machine: first the program selection remote control malfunctioned, then the drum started leaking. All the same, Russian assembly... Thank you very much m.video for replacing the machine")</f>
        <v>We encountered a problematic machine: first the program selection remote control malfunctioned, then the drum started leaking. All the same, Russian assembly... Thank you very much m.video for replacing the machine</v>
      </c>
    </row>
    <row r="3824" spans="1:9" x14ac:dyDescent="0.3">
      <c r="A3824" s="1" t="s">
        <v>477</v>
      </c>
      <c r="B3824" s="1" t="s">
        <v>478</v>
      </c>
      <c r="C3824" s="1" t="s">
        <v>479</v>
      </c>
      <c r="D3824" s="1" t="s">
        <v>695</v>
      </c>
      <c r="E3824" s="1" t="s">
        <v>2323</v>
      </c>
      <c r="F3824" s="1" t="s">
        <v>6766</v>
      </c>
      <c r="G3824" s="1" t="s">
        <v>36</v>
      </c>
      <c r="H3824" s="1" t="s">
        <v>29</v>
      </c>
      <c r="I3824" s="1" t="str">
        <f ca="1">IFERROR(__xludf.DUMMYFUNCTION("GOOGLETRANSLATE(F3824, ""auto"", ""en"")
"),"Great game! I recommend it to everyone! The cost of the disc is 100% justified!  The developers did a great job, this can be seen when you first launch Assassin's Creed 2. The protection system was a little disappointing; at the slightest break with the I"&amp;"nternet, the game crashes, this is especially depressing if you have Internet from ADSL-Avangard in Vologda.")</f>
        <v>Great game! I recommend it to everyone! The cost of the disc is 100% justified!  The developers did a great job, this can be seen when you first launch Assassin's Creed 2. The protection system was a little disappointing; at the slightest break with the Internet, the game crashes, this is especially depressing if you have Internet from ADSL-Avangard in Vologda.</v>
      </c>
    </row>
    <row r="3825" spans="1:9" x14ac:dyDescent="0.3">
      <c r="A3825" s="1" t="s">
        <v>55</v>
      </c>
      <c r="B3825" s="1" t="s">
        <v>752</v>
      </c>
      <c r="C3825" s="1" t="s">
        <v>185</v>
      </c>
      <c r="D3825" s="1" t="s">
        <v>52</v>
      </c>
      <c r="E3825" s="1" t="s">
        <v>1359</v>
      </c>
      <c r="F3825" s="1" t="s">
        <v>6767</v>
      </c>
      <c r="G3825" s="1" t="s">
        <v>36</v>
      </c>
      <c r="H3825" s="1" t="s">
        <v>29</v>
      </c>
      <c r="I3825" s="1" t="str">
        <f ca="1">IFERROR(__xludf.DUMMYFUNCTION("GOOGLETRANSLATE(F3825, ""auto"", ""en"")
"),"I have been using this radiator since September 2007 to heat a room of 18 m2 - it does a great job!  I'm planning to buy the same one as a gift for my parents.")</f>
        <v>I have been using this radiator since September 2007 to heat a room of 18 m2 - it does a great job!  I'm planning to buy the same one as a gift for my parents.</v>
      </c>
    </row>
    <row r="3826" spans="1:9" x14ac:dyDescent="0.3">
      <c r="A3826" s="1" t="s">
        <v>37</v>
      </c>
      <c r="B3826" s="1" t="s">
        <v>38</v>
      </c>
      <c r="C3826" s="1" t="s">
        <v>163</v>
      </c>
      <c r="D3826" s="1" t="s">
        <v>6768</v>
      </c>
      <c r="E3826" s="1" t="s">
        <v>937</v>
      </c>
      <c r="F3826" s="1" t="s">
        <v>6769</v>
      </c>
      <c r="G3826" s="1" t="s">
        <v>36</v>
      </c>
      <c r="H3826" s="1" t="s">
        <v>29</v>
      </c>
      <c r="I3826" s="1" t="str">
        <f ca="1">IFERROR(__xludf.DUMMYFUNCTION("GOOGLETRANSLATE(F3826, ""auto"", ""en"")
"),"Bought on March 31, 2010, very functional, beautiful, easy to use. DON'T THINK ABOUT BUYING!!!")</f>
        <v>Bought on March 31, 2010, very functional, beautiful, easy to use. DON'T THINK ABOUT BUYING!!!</v>
      </c>
    </row>
    <row r="3827" spans="1:9" x14ac:dyDescent="0.3">
      <c r="A3827" s="1" t="s">
        <v>61</v>
      </c>
      <c r="B3827" s="1" t="s">
        <v>977</v>
      </c>
      <c r="C3827" s="1" t="s">
        <v>85</v>
      </c>
      <c r="D3827" s="1" t="s">
        <v>247</v>
      </c>
      <c r="E3827" s="1" t="s">
        <v>1467</v>
      </c>
      <c r="F3827" s="1" t="s">
        <v>6770</v>
      </c>
      <c r="G3827" s="1" t="s">
        <v>36</v>
      </c>
      <c r="H3827" s="1" t="s">
        <v>29</v>
      </c>
      <c r="I3827" s="1" t="str">
        <f ca="1">IFERROR(__xludf.DUMMYFUNCTION("GOOGLETRANSLATE(F3827, ""auto"", ""en"")
"),"For those who love homemade baked goods, you can't imagine anything better! It may be a little pricey, but it's worth it! 12 operating modes, it itself determines the viscosity of the mixture and sets the optimal speed.   With high power (1000W), almost s"&amp;"ilent, nozzles are simply super (4 types), silicone spatula included. There is a timer, the cord can be hidden inside the case. And the design! There are no words! In a word, I recommend it.")</f>
        <v>For those who love homemade baked goods, you can't imagine anything better! It may be a little pricey, but it's worth it! 12 operating modes, it itself determines the viscosity of the mixture and sets the optimal speed.   With high power (1000W), almost silent, nozzles are simply super (4 types), silicone spatula included. There is a timer, the cord can be hidden inside the case. And the design! There are no words! In a word, I recommend it.</v>
      </c>
    </row>
    <row r="3828" spans="1:9" x14ac:dyDescent="0.3">
      <c r="A3828" s="1" t="s">
        <v>37</v>
      </c>
      <c r="B3828" s="1" t="s">
        <v>38</v>
      </c>
      <c r="C3828" s="1" t="s">
        <v>151</v>
      </c>
      <c r="D3828" s="1" t="s">
        <v>6771</v>
      </c>
      <c r="E3828" s="1" t="s">
        <v>1649</v>
      </c>
      <c r="F3828" s="1" t="s">
        <v>6772</v>
      </c>
      <c r="G3828" s="1" t="s">
        <v>36</v>
      </c>
      <c r="H3828" s="1" t="s">
        <v>29</v>
      </c>
      <c r="I3828" s="1" t="str">
        <f ca="1">IFERROR(__xludf.DUMMYFUNCTION("GOOGLETRANSLATE(F3828, ""auto"", ""en"")
"),"The phone is simply gorgeous! I recently bought it and am very, very pleased. This is my first time using a touchscreen phone, but I got used to it quickly. Easy to operate, the sound is excellent, I really like the vibration feedback on clicks. The speak"&amp;"er sound is quite loud.   It's a pity that the camera doesn't have autofocus or flash, but the photos are quite high quality. Especially after my Nokia with 2mp. Even printed text can be distinguished. Students will understand me))) It fits perfectly in t"&amp;"he hand, the diamond button presses pleasantly.   The only disadvantages I can include are the non-metallic edging around the screen (I’m afraid it might peel off soon), the lack of autofocus and flash, the way it plays video (I couldn’t display the video"&amp;"s on full screen. You can only do it halfway.) And the battery charge lasts for a very long time. I think even with intensive use the device will work for at least 3 days.   I was always afraid to take Samsung after Nokia, I thought the phone would disapp"&amp;"oint, but in the end I took the risk and didn’t regret it at all. He turned out to be such a sweetheart. and not only externally. After the smartphone, I still finally realized that for me the main thing in a phone is its main function, appearance and a d"&amp;"ecent camera, for the rest there is a player and other gadgets. So I give it a huge 5.")</f>
        <v>The phone is simply gorgeous! I recently bought it and am very, very pleased. This is my first time using a touchscreen phone, but I got used to it quickly. Easy to operate, the sound is excellent, I really like the vibration feedback on clicks. The speaker sound is quite loud.   It's a pity that the camera doesn't have autofocus or flash, but the photos are quite high quality. Especially after my Nokia with 2mp. Even printed text can be distinguished. Students will understand me))) It fits perfectly in the hand, the diamond button presses pleasantly.   The only disadvantages I can include are the non-metallic edging around the screen (I’m afraid it might peel off soon), the lack of autofocus and flash, the way it plays video (I couldn’t display the videos on full screen. You can only do it halfway.) And the battery charge lasts for a very long time. I think even with intensive use the device will work for at least 3 days.   I was always afraid to take Samsung after Nokia, I thought the phone would disappoint, but in the end I took the risk and didn’t regret it at all. He turned out to be such a sweetheart. and not only externally. After the smartphone, I still finally realized that for me the main thing in a phone is its main function, appearance and a decent camera, for the rest there is a player and other gadgets. So I give it a huge 5.</v>
      </c>
    </row>
    <row r="3829" spans="1:9" x14ac:dyDescent="0.3">
      <c r="A3829" s="1" t="s">
        <v>37</v>
      </c>
      <c r="B3829" s="1" t="s">
        <v>38</v>
      </c>
      <c r="C3829" s="1" t="s">
        <v>163</v>
      </c>
      <c r="D3829" s="1" t="s">
        <v>6773</v>
      </c>
      <c r="E3829" s="1" t="s">
        <v>118</v>
      </c>
      <c r="F3829" s="1" t="s">
        <v>6774</v>
      </c>
      <c r="G3829" s="1" t="s">
        <v>28</v>
      </c>
      <c r="H3829" s="1" t="s">
        <v>29</v>
      </c>
      <c r="I3829" s="1" t="str">
        <f ca="1">IFERROR(__xludf.DUMMYFUNCTION("GOOGLETRANSLATE(F3829, ""auto"", ""en"")
"),"Overall the phone is good and convenient.  There are disadvantages: the inability to switch music tracks using a headset.   After six months, my phone's power distributor broke down, which prevented the phone from being able to recharge.  The repair cost "&amp;"1900. As for the camera, there could be more pixels. Due to the inconvenience of constantly carrying a digital device.  So is the keyboard. Very convenient. But if you had another phone before the Nokia 6500c, with larger keys, this one may initially seem"&amp;" inconvenient for typing.  Pros: comfortable headset, multi-functionality of the model, LCD screen (image, brighter image).   Everything else is just as great.")</f>
        <v>Overall the phone is good and convenient.  There are disadvantages: the inability to switch music tracks using a headset.   After six months, my phone's power distributor broke down, which prevented the phone from being able to recharge.  The repair cost 1900. As for the camera, there could be more pixels. Due to the inconvenience of constantly carrying a digital device.  So is the keyboard. Very convenient. But if you had another phone before the Nokia 6500c, with larger keys, this one may initially seem inconvenient for typing.  Pros: comfortable headset, multi-functionality of the model, LCD screen (image, brighter image).   Everything else is just as great.</v>
      </c>
    </row>
    <row r="3830" spans="1:9" x14ac:dyDescent="0.3">
      <c r="A3830" s="1" t="s">
        <v>120</v>
      </c>
      <c r="B3830" s="1" t="s">
        <v>121</v>
      </c>
      <c r="C3830" s="1" t="s">
        <v>69</v>
      </c>
      <c r="D3830" s="1" t="s">
        <v>52</v>
      </c>
      <c r="E3830" s="1" t="s">
        <v>2634</v>
      </c>
      <c r="F3830" s="1" t="s">
        <v>6775</v>
      </c>
      <c r="G3830" s="1" t="s">
        <v>36</v>
      </c>
      <c r="H3830" s="1" t="s">
        <v>29</v>
      </c>
      <c r="I3830" s="1" t="str">
        <f ca="1">IFERROR(__xludf.DUMMYFUNCTION("GOOGLETRANSLATE(F3830, ""auto"", ""en"")
"),"Product of the highest quality. Amazing picture, stunning colors, superb sound (via external amplifier). The only remark is the inconvenient connection of headphones through the menu.")</f>
        <v>Product of the highest quality. Amazing picture, stunning colors, superb sound (via external amplifier). The only remark is the inconvenient connection of headphones through the menu.</v>
      </c>
    </row>
    <row r="3831" spans="1:9" x14ac:dyDescent="0.3">
      <c r="A3831" s="1" t="s">
        <v>89</v>
      </c>
      <c r="B3831" s="1" t="s">
        <v>231</v>
      </c>
      <c r="C3831" s="1" t="s">
        <v>1072</v>
      </c>
      <c r="D3831" s="1" t="s">
        <v>247</v>
      </c>
      <c r="E3831" s="1" t="s">
        <v>4231</v>
      </c>
      <c r="F3831" s="1" t="s">
        <v>6776</v>
      </c>
      <c r="G3831" s="1" t="s">
        <v>36</v>
      </c>
      <c r="H3831" s="1" t="s">
        <v>29</v>
      </c>
      <c r="I3831" s="1" t="str">
        <f ca="1">IFERROR(__xludf.DUMMYFUNCTION("GOOGLETRANSLATE(F3831, ""auto"", ""en"")
"),"We bought this car in the video a year ago. It turned out to be a super thing, the coffee is amazing and it’s very convenient for children to prepare with milk - there is a frother. It works quite quietly (there is another machine in the office - it’s ver"&amp;"y loud) and it’s easy to take care of it, it tells you everything itself. The display doesn’t really have words but pictures, but everything is very clear and understandable, even the children can handle it. All family members fell in love with it. Now we"&amp;" can’t live without a coffee machine) I recommend it to everyone")</f>
        <v>We bought this car in the video a year ago. It turned out to be a super thing, the coffee is amazing and it’s very convenient for children to prepare with milk - there is a frother. It works quite quietly (there is another machine in the office - it’s very loud) and it’s easy to take care of it, it tells you everything itself. The display doesn’t really have words but pictures, but everything is very clear and understandable, even the children can handle it. All family members fell in love with it. Now we can’t live without a coffee machine) I recommend it to everyone</v>
      </c>
    </row>
    <row r="3832" spans="1:9" x14ac:dyDescent="0.3">
      <c r="A3832" s="1" t="s">
        <v>17</v>
      </c>
      <c r="B3832" s="1" t="s">
        <v>18</v>
      </c>
      <c r="C3832" s="1" t="s">
        <v>134</v>
      </c>
      <c r="D3832" s="1" t="s">
        <v>4879</v>
      </c>
      <c r="E3832" s="1" t="s">
        <v>5270</v>
      </c>
      <c r="F3832" s="1" t="s">
        <v>6777</v>
      </c>
      <c r="G3832" s="1" t="s">
        <v>15</v>
      </c>
      <c r="H3832" s="1" t="s">
        <v>16</v>
      </c>
      <c r="I3832" s="1" t="str">
        <f ca="1">IFERROR(__xludf.DUMMYFUNCTION("GOOGLETRANSLATE(F3832, ""auto"", ""en"")
"),"Everything was fine until it broke, it turned out that the warranty was the same, but not the same... after three breakdowns I decided to change it, but that was not the case. Then I found out that at that time in 2010 in Russia there was no certificate f"&amp;"or the repair of premium class cars; parts, namely the bearing assembly for the drum, were not supplied. In general, I went around cursing, fed me breakfast, and waited for the free repair guarantee to end. After all the ordeals, it seems to work, but lat"&amp;"ely the programs have not switched. The machine is 5 years old, I think it’s time to throw it away, before that there was a Chaika-3 for 15 years without repair, I just changed the drum gaskets until it was all rotten and worked like a clock. And this one"&amp;" eats powder, be healthy and provide conditioner, otherwise it’s impossible to iron the linen. Siemens is in the fire.")</f>
        <v>Everything was fine until it broke, it turned out that the warranty was the same, but not the same... after three breakdowns I decided to change it, but that was not the case. Then I found out that at that time in 2010 in Russia there was no certificate for the repair of premium class cars; parts, namely the bearing assembly for the drum, were not supplied. In general, I went around cursing, fed me breakfast, and waited for the free repair guarantee to end. After all the ordeals, it seems to work, but lately the programs have not switched. The machine is 5 years old, I think it’s time to throw it away, before that there was a Chaika-3 for 15 years without repair, I just changed the drum gaskets until it was all rotten and worked like a clock. And this one eats powder, be healthy and provide conditioner, otherwise it’s impossible to iron the linen. Siemens is in the fire.</v>
      </c>
    </row>
    <row r="3833" spans="1:9" x14ac:dyDescent="0.3">
      <c r="A3833" s="1" t="s">
        <v>206</v>
      </c>
      <c r="B3833" s="1" t="s">
        <v>207</v>
      </c>
      <c r="C3833" s="1" t="s">
        <v>97</v>
      </c>
      <c r="D3833" s="1" t="s">
        <v>345</v>
      </c>
      <c r="E3833" s="1" t="s">
        <v>323</v>
      </c>
      <c r="F3833" s="1" t="s">
        <v>2268</v>
      </c>
      <c r="G3833" s="1" t="s">
        <v>49</v>
      </c>
      <c r="H3833" s="1" t="s">
        <v>16</v>
      </c>
      <c r="I3833" s="1" t="str">
        <f ca="1">IFERROR(__xludf.DUMMYFUNCTION("GOOGLETRANSLATE(F3833, ""auto"", ""en"")
"),"No")</f>
        <v>No</v>
      </c>
    </row>
    <row r="3834" spans="1:9" x14ac:dyDescent="0.3">
      <c r="A3834" s="1" t="s">
        <v>149</v>
      </c>
      <c r="B3834" s="1" t="s">
        <v>576</v>
      </c>
      <c r="C3834" s="1" t="s">
        <v>85</v>
      </c>
      <c r="D3834" s="1" t="s">
        <v>1506</v>
      </c>
      <c r="E3834" s="1" t="s">
        <v>251</v>
      </c>
      <c r="F3834" s="1" t="s">
        <v>6778</v>
      </c>
      <c r="G3834" s="1" t="s">
        <v>36</v>
      </c>
      <c r="H3834" s="1" t="s">
        <v>29</v>
      </c>
      <c r="I3834" s="1" t="str">
        <f ca="1">IFERROR(__xludf.DUMMYFUNCTION("GOOGLETRANSLATE(F3834, ""auto"", ""en"")
"),"The vacuum cleaner is good, it cleans perfectly, but it’s very difficult to use (so strain your husband), the large brush guides you on its own, quite quickly, and you have to constantly pull it towards you (and it’s not light), but I’m very happy with th"&amp;"e purchase, it cleans well, there’s little sound, it doesn’t spoil the air. so rating 5")</f>
        <v>The vacuum cleaner is good, it cleans perfectly, but it’s very difficult to use (so strain your husband), the large brush guides you on its own, quite quickly, and you have to constantly pull it towards you (and it’s not light), but I’m very happy with the purchase, it cleans well, there’s little sound, it doesn’t spoil the air. so rating 5</v>
      </c>
    </row>
    <row r="3835" spans="1:9" x14ac:dyDescent="0.3">
      <c r="A3835" s="1" t="s">
        <v>211</v>
      </c>
      <c r="B3835" s="1" t="s">
        <v>212</v>
      </c>
      <c r="C3835" s="1" t="s">
        <v>57</v>
      </c>
      <c r="D3835" s="1" t="s">
        <v>592</v>
      </c>
      <c r="E3835" s="1" t="s">
        <v>6779</v>
      </c>
      <c r="F3835" s="1" t="s">
        <v>6780</v>
      </c>
      <c r="G3835" s="1" t="s">
        <v>36</v>
      </c>
      <c r="H3835" s="1" t="s">
        <v>29</v>
      </c>
      <c r="I3835" s="1" t="str">
        <f ca="1">IFERROR(__xludf.DUMMYFUNCTION("GOOGLETRANSLATE(F3835, ""auto"", ""en"")
"),"They don't look good, they remind me of the old ones, but I really like them. Comfortable handle, quick heating, long lasting curls. Doesn't dry out hair. Everything you need. Super.")</f>
        <v>They don't look good, they remind me of the old ones, but I really like them. Comfortable handle, quick heating, long lasting curls. Doesn't dry out hair. Everything you need. Super.</v>
      </c>
    </row>
    <row r="3836" spans="1:9" x14ac:dyDescent="0.3">
      <c r="A3836" s="1" t="s">
        <v>149</v>
      </c>
      <c r="B3836" s="1" t="s">
        <v>423</v>
      </c>
      <c r="C3836" s="1" t="s">
        <v>531</v>
      </c>
      <c r="D3836" s="1" t="s">
        <v>6781</v>
      </c>
      <c r="E3836" s="1" t="s">
        <v>750</v>
      </c>
      <c r="F3836" s="1" t="s">
        <v>6782</v>
      </c>
      <c r="G3836" s="1" t="s">
        <v>36</v>
      </c>
      <c r="H3836" s="1" t="s">
        <v>29</v>
      </c>
      <c r="I3836" s="1" t="str">
        <f ca="1">IFERROR(__xludf.DUMMYFUNCTION("GOOGLETRANSLATE(F3836, ""auto"", ""en"")
"),"Vacuum cleaner Thomas 788540 Twin T2 Aq is simply super!!! Multifunctional, compact, convenient to use, easy to handle, in general, the best option for the home!!! I advise everyone who wants and will buy!!!")</f>
        <v>Vacuum cleaner Thomas 788540 Twin T2 Aq is simply super!!! Multifunctional, compact, convenient to use, easy to handle, in general, the best option for the home!!! I advise everyone who wants and will buy!!!</v>
      </c>
    </row>
    <row r="3837" spans="1:9" x14ac:dyDescent="0.3">
      <c r="A3837" s="1" t="s">
        <v>61</v>
      </c>
      <c r="B3837" s="1" t="s">
        <v>145</v>
      </c>
      <c r="C3837" s="1" t="s">
        <v>45</v>
      </c>
      <c r="D3837" s="1" t="s">
        <v>6783</v>
      </c>
      <c r="E3837" s="1" t="s">
        <v>1494</v>
      </c>
      <c r="F3837" s="1" t="s">
        <v>6784</v>
      </c>
      <c r="G3837" s="1" t="s">
        <v>36</v>
      </c>
      <c r="H3837" s="1" t="s">
        <v>29</v>
      </c>
      <c r="I3837" s="1" t="str">
        <f ca="1">IFERROR(__xludf.DUMMYFUNCTION("GOOGLETRANSLATE(F3837, ""auto"", ""en"")
"),"I bought it 2 months ago, my mother asked. Now we cook only in it. The food turns out very juicy and tasty. Cleans easily, without much effort. I'm very glad that I have her, I'm extremely happy. Thank you M-video for the efficiency and delivery straight "&amp;"to your home!  I recommend it to everyone, it’s an irreplaceable item in the kitchen and doesn’t take up much space.")</f>
        <v>I bought it 2 months ago, my mother asked. Now we cook only in it. The food turns out very juicy and tasty. Cleans easily, without much effort. I'm very glad that I have her, I'm extremely happy. Thank you M-video for the efficiency and delivery straight to your home!  I recommend it to everyone, it’s an irreplaceable item in the kitchen and doesn’t take up much space.</v>
      </c>
    </row>
    <row r="3838" spans="1:9" x14ac:dyDescent="0.3">
      <c r="A3838" s="1" t="s">
        <v>61</v>
      </c>
      <c r="B3838" s="1" t="s">
        <v>224</v>
      </c>
      <c r="C3838" s="1" t="s">
        <v>57</v>
      </c>
      <c r="D3838" s="1" t="s">
        <v>52</v>
      </c>
      <c r="E3838" s="1" t="s">
        <v>1371</v>
      </c>
      <c r="F3838" s="1" t="s">
        <v>6785</v>
      </c>
      <c r="G3838" s="1" t="s">
        <v>36</v>
      </c>
      <c r="H3838" s="1" t="s">
        <v>29</v>
      </c>
      <c r="I3838" s="1" t="str">
        <f ca="1">IFERROR(__xludf.DUMMYFUNCTION("GOOGLETRANSLATE(F3838, ""auto"", ""en"")
"),"A good, inexpensive, necessary thing in the household :-)")</f>
        <v>A good, inexpensive, necessary thing in the household :-)</v>
      </c>
    </row>
    <row r="3839" spans="1:9" x14ac:dyDescent="0.3">
      <c r="A3839" s="1" t="s">
        <v>238</v>
      </c>
      <c r="B3839" s="1" t="s">
        <v>276</v>
      </c>
      <c r="C3839" s="1" t="s">
        <v>1677</v>
      </c>
      <c r="D3839" s="1" t="s">
        <v>280</v>
      </c>
      <c r="E3839" s="1" t="s">
        <v>1975</v>
      </c>
      <c r="F3839" s="1" t="s">
        <v>6786</v>
      </c>
      <c r="G3839" s="1" t="s">
        <v>36</v>
      </c>
      <c r="H3839" s="1" t="s">
        <v>29</v>
      </c>
      <c r="I3839" s="1" t="str">
        <f ca="1">IFERROR(__xludf.DUMMYFUNCTION("GOOGLETRANSLATE(F3839, ""auto"", ""en"")
"),"Cool big")</f>
        <v>Cool big</v>
      </c>
    </row>
    <row r="3840" spans="1:9" x14ac:dyDescent="0.3">
      <c r="A3840" s="1" t="s">
        <v>105</v>
      </c>
      <c r="B3840" s="1" t="s">
        <v>106</v>
      </c>
      <c r="C3840" s="1" t="s">
        <v>1209</v>
      </c>
      <c r="D3840" s="1" t="s">
        <v>186</v>
      </c>
      <c r="E3840" s="1" t="s">
        <v>1207</v>
      </c>
      <c r="F3840" s="1" t="s">
        <v>6787</v>
      </c>
      <c r="G3840" s="1" t="s">
        <v>28</v>
      </c>
      <c r="H3840" s="1" t="s">
        <v>29</v>
      </c>
      <c r="I3840" s="1" t="str">
        <f ca="1">IFERROR(__xludf.DUMMYFUNCTION("GOOGLETRANSLATE(F3840, ""auto"", ""en"")
"),"hold is available if you hold the arrow (in the upper left corner) for a couple of seconds.  I personally am satisfied with the sound quality, everything is loud and good, even there is a user-configurable equalizer. There are not big problems with playin"&amp;"g the *.ape format: 1 file can play, the other cannot. I was surprised by the support for the *.txt format, but the question immediately arises: why?   Of the minuses, the headphone jack was not implemented very well; it could have been on top, and the sp"&amp;"ace allows it.  The player is made for 4+ (connector). If you don’t expect anything fantastic from a player for that amount of money, then I confidently recommend purchasing it.   P.S All manufacturers have defective goods.")</f>
        <v>hold is available if you hold the arrow (in the upper left corner) for a couple of seconds.  I personally am satisfied with the sound quality, everything is loud and good, even there is a user-configurable equalizer. There are not big problems with playing the *.ape format: 1 file can play, the other cannot. I was surprised by the support for the *.txt format, but the question immediately arises: why?   Of the minuses, the headphone jack was not implemented very well; it could have been on top, and the space allows it.  The player is made for 4+ (connector). If you don’t expect anything fantastic from a player for that amount of money, then I confidently recommend purchasing it.   P.S All manufacturers have defective goods.</v>
      </c>
    </row>
    <row r="3841" spans="1:9" x14ac:dyDescent="0.3">
      <c r="A3841" s="1" t="s">
        <v>965</v>
      </c>
      <c r="B3841" s="1" t="s">
        <v>966</v>
      </c>
      <c r="C3841" s="1" t="s">
        <v>967</v>
      </c>
      <c r="D3841" s="1" t="s">
        <v>6788</v>
      </c>
      <c r="E3841" s="1" t="s">
        <v>1228</v>
      </c>
      <c r="F3841" s="1" t="s">
        <v>6789</v>
      </c>
      <c r="G3841" s="1" t="s">
        <v>15</v>
      </c>
      <c r="H3841" s="1" t="s">
        <v>16</v>
      </c>
      <c r="I3841" s="1" t="str">
        <f ca="1">IFERROR(__xludf.DUMMYFUNCTION("GOOGLETRANSLATE(F3841, ""auto"", ""en"")
"),"If I choose between this acoustics and the Edifier C2, I will prefer the latter option. Although the Edifier is a little weaker (in terms of power), it also has a remote control and a separate amplifier.")</f>
        <v>If I choose between this acoustics and the Edifier C2, I will prefer the latter option. Although the Edifier is a little weaker (in terms of power), it also has a remote control and a separate amplifier.</v>
      </c>
    </row>
    <row r="3842" spans="1:9" x14ac:dyDescent="0.3">
      <c r="A3842" s="1" t="s">
        <v>43</v>
      </c>
      <c r="B3842" s="1" t="s">
        <v>334</v>
      </c>
      <c r="C3842" s="1" t="s">
        <v>101</v>
      </c>
      <c r="D3842" s="1" t="s">
        <v>305</v>
      </c>
      <c r="E3842" s="1" t="s">
        <v>1441</v>
      </c>
      <c r="F3842" s="1" t="s">
        <v>6790</v>
      </c>
      <c r="G3842" s="1" t="s">
        <v>15</v>
      </c>
      <c r="H3842" s="1" t="s">
        <v>16</v>
      </c>
      <c r="I3842" s="1" t="str">
        <f ca="1">IFERROR(__xludf.DUMMYFUNCTION("GOOGLETRANSLATE(F3842, ""auto"", ""en"")
"),"noisy. air flow is weak. I don't recommend buying. It's better to take a floor one.")</f>
        <v>noisy. air flow is weak. I don't recommend buying. It's better to take a floor one.</v>
      </c>
    </row>
    <row r="3843" spans="1:9" x14ac:dyDescent="0.3">
      <c r="A3843" s="1" t="s">
        <v>55</v>
      </c>
      <c r="B3843" s="1" t="s">
        <v>752</v>
      </c>
      <c r="C3843" s="1" t="s">
        <v>185</v>
      </c>
      <c r="D3843" s="1" t="s">
        <v>247</v>
      </c>
      <c r="E3843" s="1" t="s">
        <v>6791</v>
      </c>
      <c r="F3843" s="1" t="s">
        <v>6792</v>
      </c>
      <c r="G3843" s="1" t="s">
        <v>36</v>
      </c>
      <c r="H3843" s="1" t="s">
        <v>29</v>
      </c>
      <c r="I3843" s="1" t="str">
        <f ca="1">IFERROR(__xludf.DUMMYFUNCTION("GOOGLETRANSLATE(F3843, ""auto"", ""en"")
"),"It works efficiently and heats up quickly compared to other radiators. Four wheels are very convenient; you don’t have to lift the end of the radiator to move it. And most importantly, you can’t get burned on it.")</f>
        <v>It works efficiently and heats up quickly compared to other radiators. Four wheels are very convenient; you don’t have to lift the end of the radiator to move it. And most importantly, you can’t get burned on it.</v>
      </c>
    </row>
    <row r="3844" spans="1:9" x14ac:dyDescent="0.3">
      <c r="A3844" s="1" t="s">
        <v>55</v>
      </c>
      <c r="B3844" s="1" t="s">
        <v>184</v>
      </c>
      <c r="C3844" s="1" t="s">
        <v>85</v>
      </c>
      <c r="D3844" s="1" t="s">
        <v>345</v>
      </c>
      <c r="E3844" s="1" t="s">
        <v>3755</v>
      </c>
      <c r="F3844" s="1" t="s">
        <v>6793</v>
      </c>
      <c r="G3844" s="1" t="s">
        <v>15</v>
      </c>
      <c r="H3844" s="1" t="s">
        <v>16</v>
      </c>
      <c r="I3844" s="1" t="str">
        <f ca="1">IFERROR(__xludf.DUMMYFUNCTION("GOOGLETRANSLATE(F3844, ""auto"", ""en"")
"),"This heater is suitable for those who want to increase the humidity in the room, heat it up a little, ionize the air and who would not notice the wild noise of the fan.  I really wanted a normal heater - the salespeople in the store really convinced me th"&amp;"at this was exactly what I was looking for and it was worth the money! Actually a ""4 in 1 plastic toy"". If you just need to warm the room, you DO NOT need this device! After that I bought the EWT Clima 1500 heater - a great product and a 2-year warranty"&amp;"!")</f>
        <v>This heater is suitable for those who want to increase the humidity in the room, heat it up a little, ionize the air and who would not notice the wild noise of the fan.  I really wanted a normal heater - the salespeople in the store really convinced me that this was exactly what I was looking for and it was worth the money! Actually a "4 in 1 plastic toy". If you just need to warm the room, you DO NOT need this device! After that I bought the EWT Clima 1500 heater - a great product and a 2-year warranty!</v>
      </c>
    </row>
    <row r="3845" spans="1:9" x14ac:dyDescent="0.3">
      <c r="A3845" s="1" t="s">
        <v>519</v>
      </c>
      <c r="B3845" s="1" t="s">
        <v>520</v>
      </c>
      <c r="C3845" s="1" t="s">
        <v>3571</v>
      </c>
      <c r="D3845" s="1" t="s">
        <v>139</v>
      </c>
      <c r="E3845" s="1" t="s">
        <v>6794</v>
      </c>
      <c r="F3845" s="1" t="s">
        <v>6795</v>
      </c>
      <c r="G3845" s="1" t="s">
        <v>36</v>
      </c>
      <c r="H3845" s="1" t="s">
        <v>29</v>
      </c>
      <c r="I3845" s="1" t="str">
        <f ca="1">IFERROR(__xludf.DUMMYFUNCTION("GOOGLETRANSLATE(F3845, ""auto"", ""en"")
"),"one big plus")</f>
        <v>one big plus</v>
      </c>
    </row>
    <row r="3846" spans="1:9" x14ac:dyDescent="0.3">
      <c r="A3846" s="1" t="s">
        <v>557</v>
      </c>
      <c r="B3846" s="1" t="s">
        <v>558</v>
      </c>
      <c r="C3846" s="1" t="s">
        <v>816</v>
      </c>
      <c r="D3846" s="1" t="s">
        <v>919</v>
      </c>
      <c r="E3846" s="1" t="s">
        <v>3241</v>
      </c>
      <c r="F3846" s="1" t="s">
        <v>6796</v>
      </c>
      <c r="G3846" s="1" t="s">
        <v>49</v>
      </c>
      <c r="H3846" s="1" t="s">
        <v>16</v>
      </c>
      <c r="I3846" s="1" t="str">
        <f ca="1">IFERROR(__xludf.DUMMYFUNCTION("GOOGLETRANSLATE(F3846, ""auto"", ""en"")
"),"Hello.  I do not recommend buying this device. Here are my arguments: 1. The battery doesn’t last long without recharging (but that’s another thing).  2. After two months of operation, the numbers on the display began to appear incompletely.  3. The quali"&amp;"ty of communication leaves much to be desired, the handset is noisy (I installed another device, everything was fine, this is about the quality of the connection if anything).  4. My wife and I left for the dacha for 3 weeks, I arrived, took the phone in "&amp;"my hand, and it began to drip. Moreover, it was not the battery that leaked, but the tube itself. This is actually the first time I've encountered something like this.     So I highly recommend not buying this device.")</f>
        <v>Hello.  I do not recommend buying this device. Here are my arguments: 1. The battery doesn’t last long without recharging (but that’s another thing).  2. After two months of operation, the numbers on the display began to appear incompletely.  3. The quality of communication leaves much to be desired, the handset is noisy (I installed another device, everything was fine, this is about the quality of the connection if anything).  4. My wife and I left for the dacha for 3 weeks, I arrived, took the phone in my hand, and it began to drip. Moreover, it was not the battery that leaked, but the tube itself. This is actually the first time I've encountered something like this.     So I highly recommend not buying this device.</v>
      </c>
    </row>
    <row r="3847" spans="1:9" x14ac:dyDescent="0.3">
      <c r="A3847" s="1" t="s">
        <v>89</v>
      </c>
      <c r="B3847" s="1" t="s">
        <v>231</v>
      </c>
      <c r="C3847" s="1" t="s">
        <v>185</v>
      </c>
      <c r="D3847" s="1" t="s">
        <v>305</v>
      </c>
      <c r="E3847" s="1" t="s">
        <v>1490</v>
      </c>
      <c r="F3847" s="1" t="s">
        <v>6797</v>
      </c>
      <c r="G3847" s="1" t="s">
        <v>36</v>
      </c>
      <c r="H3847" s="1" t="s">
        <v>29</v>
      </c>
      <c r="I3847" s="1" t="str">
        <f ca="1">IFERROR(__xludf.DUMMYFUNCTION("GOOGLETRANSLATE(F3847, ""auto"", ""en"")
"),"Good coffee machine. The coffee brews perfectly. Look carefully at the previous reviews, they are clearly written by competitors, they were all written on 04/07/2017. Thanks to the consultant at M.Video, he honestly told me about all the coffee machines. "&amp;"Now I understand why another consultant forced Philips on me like that, he gets paid a lot of money for it! Be careful!")</f>
        <v>Good coffee machine. The coffee brews perfectly. Look carefully at the previous reviews, they are clearly written by competitors, they were all written on 04/07/2017. Thanks to the consultant at M.Video, he honestly told me about all the coffee machines. Now I understand why another consultant forced Philips on me like that, he gets paid a lot of money for it! Be careful!</v>
      </c>
    </row>
    <row r="3848" spans="1:9" x14ac:dyDescent="0.3">
      <c r="A3848" s="1" t="s">
        <v>61</v>
      </c>
      <c r="B3848" s="1" t="s">
        <v>180</v>
      </c>
      <c r="C3848" s="1" t="s">
        <v>101</v>
      </c>
      <c r="D3848" s="1" t="s">
        <v>968</v>
      </c>
      <c r="E3848" s="1" t="s">
        <v>1490</v>
      </c>
      <c r="F3848" s="1" t="s">
        <v>6798</v>
      </c>
      <c r="G3848" s="1" t="s">
        <v>94</v>
      </c>
      <c r="H3848" s="1" t="s">
        <v>29</v>
      </c>
      <c r="I3848" s="1" t="str">
        <f ca="1">IFERROR(__xludf.DUMMYFUNCTION("GOOGLETRANSLATE(F3848, ""auto"", ""en"")
"),"excellent combination of price and quality")</f>
        <v>excellent combination of price and quality</v>
      </c>
    </row>
    <row r="3849" spans="1:9" x14ac:dyDescent="0.3">
      <c r="A3849" s="1" t="s">
        <v>37</v>
      </c>
      <c r="B3849" s="1" t="s">
        <v>536</v>
      </c>
      <c r="C3849" s="1" t="s">
        <v>163</v>
      </c>
      <c r="D3849" s="1" t="s">
        <v>6799</v>
      </c>
      <c r="E3849" s="1" t="s">
        <v>3796</v>
      </c>
      <c r="F3849" s="1" t="s">
        <v>6800</v>
      </c>
      <c r="G3849" s="1" t="s">
        <v>36</v>
      </c>
      <c r="H3849" s="1" t="s">
        <v>29</v>
      </c>
      <c r="I3849" s="1" t="str">
        <f ca="1">IFERROR(__xludf.DUMMYFUNCTION("GOOGLETRANSLATE(F3849, ""auto"", ""en"")
"),"The build quality is excellent, no backlash or squeaks.  The camera takes clear pictures.  There are no glitches in the software. I’ve been using it for a month now; I haven’t found a single flaw. The connection is excellent; it connects to the Internet w"&amp;"ithout any problems. A very fast smartphone. Works for a long time without recharging for 3 days of active use P.S. If you have problems with this model, then nothing will help you;)")</f>
        <v>The build quality is excellent, no backlash or squeaks.  The camera takes clear pictures.  There are no glitches in the software. I’ve been using it for a month now; I haven’t found a single flaw. The connection is excellent; it connects to the Internet without any problems. A very fast smartphone. Works for a long time without recharging for 3 days of active use P.S. If you have problems with this model, then nothing will help you;)</v>
      </c>
    </row>
    <row r="3850" spans="1:9" x14ac:dyDescent="0.3">
      <c r="A3850" s="1" t="s">
        <v>211</v>
      </c>
      <c r="B3850" s="1" t="s">
        <v>212</v>
      </c>
      <c r="C3850" s="1" t="s">
        <v>294</v>
      </c>
      <c r="D3850" s="1" t="s">
        <v>1890</v>
      </c>
      <c r="E3850" s="1" t="s">
        <v>594</v>
      </c>
      <c r="F3850" s="1" t="s">
        <v>6801</v>
      </c>
      <c r="G3850" s="1" t="s">
        <v>15</v>
      </c>
      <c r="H3850" s="1" t="s">
        <v>16</v>
      </c>
      <c r="I3850" s="1" t="str">
        <f ca="1">IFERROR(__xludf.DUMMYFUNCTION("GOOGLETRANSLATE(F3850, ""auto"", ""en"")
"),"I would like to know if it has a tourmaline coating and is there a thermostat? And also why do they never write how much power it consumes?")</f>
        <v>I would like to know if it has a tourmaline coating and is there a thermostat? And also why do they never write how much power it consumes?</v>
      </c>
    </row>
    <row r="3851" spans="1:9" x14ac:dyDescent="0.3">
      <c r="A3851" s="1" t="s">
        <v>55</v>
      </c>
      <c r="B3851" s="1" t="s">
        <v>56</v>
      </c>
      <c r="C3851" s="1" t="s">
        <v>85</v>
      </c>
      <c r="D3851" s="1" t="s">
        <v>308</v>
      </c>
      <c r="E3851" s="1" t="s">
        <v>1112</v>
      </c>
      <c r="F3851" s="1" t="s">
        <v>6802</v>
      </c>
      <c r="G3851" s="1" t="s">
        <v>36</v>
      </c>
      <c r="H3851" s="1" t="s">
        <v>29</v>
      </c>
      <c r="I3851" s="1" t="str">
        <f ca="1">IFERROR(__xludf.DUMMYFUNCTION("GOOGLETRANSLATE(F3851, ""auto"", ""en"")
"),"I think many people have experienced that the air quality in the house leaves much to be desired during the heating season. With the arrival of a child in the family, this issue became fundamental, which is why they decided to buy a Bork H700 air humidifi"&amp;"er. It works for us regularly and has been for a little more than three years. Despite the fact that we use it often and can even leave it on at night, because there is practically no noise from it. During this time the device became indispensable. You ca"&amp;"n feel the difference in the air, but, as they say, you get used to the good things quickly. The air purifier has 4 modes, each of which is convenient in its own way; we, of course, most often use the children's mode - the device gradually increases the h"&amp;"umidity level, bringing it to 55% and then maintains it at this level. It also has a filter that purifies and softens the water that evaporates. The device is functional and easy to use, has a built-in hygrometer, on/off timers, indicators of water level,"&amp;" filter contamination, and the need for cleaning. In my opinion, such a device would be useful in any home.")</f>
        <v>I think many people have experienced that the air quality in the house leaves much to be desired during the heating season. With the arrival of a child in the family, this issue became fundamental, which is why they decided to buy a Bork H700 air humidifier. It works for us regularly and has been for a little more than three years. Despite the fact that we use it often and can even leave it on at night, because there is practically no noise from it. During this time the device became indispensable. You can feel the difference in the air, but, as they say, you get used to the good things quickly. The air purifier has 4 modes, each of which is convenient in its own way; we, of course, most often use the children's mode - the device gradually increases the humidity level, bringing it to 55% and then maintains it at this level. It also has a filter that purifies and softens the water that evaporates. The device is functional and easy to use, has a built-in hygrometer, on/off timers, indicators of water level, filter contamination, and the need for cleaning. In my opinion, such a device would be useful in any home.</v>
      </c>
    </row>
    <row r="3852" spans="1:9" x14ac:dyDescent="0.3">
      <c r="A3852" s="1" t="s">
        <v>1443</v>
      </c>
      <c r="B3852" s="1" t="s">
        <v>1444</v>
      </c>
      <c r="C3852" s="1" t="s">
        <v>1489</v>
      </c>
      <c r="D3852" s="1" t="s">
        <v>139</v>
      </c>
      <c r="E3852" s="1" t="s">
        <v>2702</v>
      </c>
      <c r="F3852" s="1" t="s">
        <v>6803</v>
      </c>
      <c r="G3852" s="1" t="s">
        <v>28</v>
      </c>
      <c r="H3852" s="1" t="s">
        <v>29</v>
      </c>
      <c r="I3852" s="1" t="str">
        <f ca="1">IFERROR(__xludf.DUMMYFUNCTION("GOOGLETRANSLATE(F3852, ""auto"", ""en"")
"),"A very slow flash drive, the design is completely Chinese, the main advantage is the price, for this money you can easily put up with the shortcomings")</f>
        <v>A very slow flash drive, the design is completely Chinese, the main advantage is the price, for this money you can easily put up with the shortcomings</v>
      </c>
    </row>
    <row r="3853" spans="1:9" x14ac:dyDescent="0.3">
      <c r="A3853" s="1" t="s">
        <v>78</v>
      </c>
      <c r="B3853" s="1" t="s">
        <v>79</v>
      </c>
      <c r="C3853" s="1" t="s">
        <v>1224</v>
      </c>
      <c r="D3853" s="1" t="s">
        <v>295</v>
      </c>
      <c r="E3853" s="1" t="s">
        <v>1871</v>
      </c>
      <c r="F3853" s="1" t="s">
        <v>6804</v>
      </c>
      <c r="G3853" s="1" t="s">
        <v>28</v>
      </c>
      <c r="H3853" s="1" t="s">
        <v>29</v>
      </c>
      <c r="I3853" s="1" t="str">
        <f ca="1">IFERROR(__xludf.DUMMYFUNCTION("GOOGLETRANSLATE(F3853, ""auto"", ""en"")
"),"I recently bought this particular microwave... only because it was the largest of those presented in the store... 23 liters!!! The declared power does not quite correspond to reality.   But still: * it took a little less than an hour to cook the meat and "&amp;"potatoes in the sauce * grilled chicken - 40 minutes.  * sandwich with cheese from 30 sec. up to 1.5 min. depending on the cheese * warm up a bowl of soup for 2 minutes.  * defrosting 1 kg of something meat - 20-30 minutes. ...long (( * the automenu is co"&amp;"mpletely unrealistic. You have to launch it 3 times. It’s easier to set all the parameters manually. There’s nothing to compare it with, so the impressions are rather positive. Let’s see how long it lasts")</f>
        <v>I recently bought this particular microwave... only because it was the largest of those presented in the store... 23 liters!!! The declared power does not quite correspond to reality.   But still: * it took a little less than an hour to cook the meat and potatoes in the sauce * grilled chicken - 40 minutes.  * sandwich with cheese from 30 sec. up to 1.5 min. depending on the cheese * warm up a bowl of soup for 2 minutes.  * defrosting 1 kg of something meat - 20-30 minutes. ...long (( * the automenu is completely unrealistic. You have to launch it 3 times. It’s easier to set all the parameters manually. There’s nothing to compare it with, so the impressions are rather positive. Let’s see how long it lasts</v>
      </c>
    </row>
    <row r="3854" spans="1:9" x14ac:dyDescent="0.3">
      <c r="A3854" s="1" t="s">
        <v>17</v>
      </c>
      <c r="B3854" s="1" t="s">
        <v>18</v>
      </c>
      <c r="C3854" s="1" t="s">
        <v>19</v>
      </c>
      <c r="D3854" s="1" t="s">
        <v>335</v>
      </c>
      <c r="E3854" s="1" t="s">
        <v>4330</v>
      </c>
      <c r="F3854" s="1" t="s">
        <v>6805</v>
      </c>
      <c r="G3854" s="1" t="s">
        <v>94</v>
      </c>
      <c r="H3854" s="1" t="s">
        <v>29</v>
      </c>
      <c r="I3854" s="1" t="str">
        <f ca="1">IFERROR(__xludf.DUMMYFUNCTION("GOOGLETRANSLATE(F3854, ""auto"", ""en"")
"),"I bought this machine 9.5 years ago (!!!). During all this time, not a single repair! Washes quietly, doesn’t jump anywhere, wrings out well")</f>
        <v>I bought this machine 9.5 years ago (!!!). During all this time, not a single repair! Washes quietly, doesn’t jump anywhere, wrings out well</v>
      </c>
    </row>
    <row r="3855" spans="1:9" x14ac:dyDescent="0.3">
      <c r="A3855" s="1" t="s">
        <v>149</v>
      </c>
      <c r="B3855" s="1" t="s">
        <v>150</v>
      </c>
      <c r="C3855" s="1" t="s">
        <v>6732</v>
      </c>
      <c r="D3855" s="1" t="s">
        <v>545</v>
      </c>
      <c r="E3855" s="1" t="s">
        <v>217</v>
      </c>
      <c r="F3855" s="1" t="s">
        <v>6806</v>
      </c>
      <c r="G3855" s="1" t="s">
        <v>36</v>
      </c>
      <c r="H3855" s="1" t="s">
        <v>29</v>
      </c>
      <c r="I3855" s="1" t="str">
        <f ca="1">IFERROR(__xludf.DUMMYFUNCTION("GOOGLETRANSLATE(F3855, ""auto"", ""en"")
"),"The vacuum cleaner is completely worth the money spent. It is very easy to use, has good suction power and is easy to clean, and it is no louder than other vacuum cleaners. I recommend it to all lovers of quick cleaning).")</f>
        <v>The vacuum cleaner is completely worth the money spent. It is very easy to use, has good suction power and is easy to clean, and it is no louder than other vacuum cleaners. I recommend it to all lovers of quick cleaning).</v>
      </c>
    </row>
    <row r="3856" spans="1:9" x14ac:dyDescent="0.3">
      <c r="A3856" s="1" t="s">
        <v>89</v>
      </c>
      <c r="B3856" s="1" t="s">
        <v>231</v>
      </c>
      <c r="C3856" s="1" t="s">
        <v>185</v>
      </c>
      <c r="D3856" s="1" t="s">
        <v>345</v>
      </c>
      <c r="E3856" s="1" t="s">
        <v>4803</v>
      </c>
      <c r="F3856" s="1" t="s">
        <v>6807</v>
      </c>
      <c r="G3856" s="1" t="s">
        <v>36</v>
      </c>
      <c r="H3856" s="1" t="s">
        <v>29</v>
      </c>
      <c r="I3856" s="1" t="str">
        <f ca="1">IFERROR(__xludf.DUMMYFUNCTION("GOOGLETRANSLATE(F3856, ""auto"", ""en"")
"),"Hello everyone!!! We have been using this machine for 3 weeks now! The coffee turns out very tasty!!! The coffee grinder operates moderately in volume, brews quickly, without any problems. I bought it in Krasnodar on sale. In short, we are very pleased. F"&amp;"or that kind of money this is a gift)))))). Good luck and good luck to everyone!!!)")</f>
        <v>Hello everyone!!! We have been using this machine for 3 weeks now! The coffee turns out very tasty!!! The coffee grinder operates moderately in volume, brews quickly, without any problems. I bought it in Krasnodar on sale. In short, we are very pleased. For that kind of money this is a gift)))))). Good luck and good luck to everyone!!!)</v>
      </c>
    </row>
    <row r="3857" spans="1:9" x14ac:dyDescent="0.3">
      <c r="A3857" s="1" t="s">
        <v>95</v>
      </c>
      <c r="B3857" s="1" t="s">
        <v>96</v>
      </c>
      <c r="C3857" s="1" t="s">
        <v>97</v>
      </c>
      <c r="D3857" s="1" t="s">
        <v>1575</v>
      </c>
      <c r="E3857" s="1" t="s">
        <v>1273</v>
      </c>
      <c r="F3857" s="1" t="s">
        <v>6808</v>
      </c>
      <c r="G3857" s="1" t="s">
        <v>28</v>
      </c>
      <c r="H3857" s="1" t="s">
        <v>29</v>
      </c>
      <c r="I3857" s="1" t="str">
        <f ca="1">IFERROR(__xludf.DUMMYFUNCTION("GOOGLETRANSLATE(F3857, ""auto"", ""en"")
"),"For 2010, PsP 3008 was an excellent gift! I am 16 years old and I was happy with this purchase.   There’s not even anything to talk about the functions, everything is GUD...you can read about them on other resources.   And here I’ll probably tell you abou"&amp;"t the console body itself: - no matter how you treat your precious console, scratches/scuffs/abrasions will still appear on it (since its body is made of very delicate varnished plastic) - another problem is the screen of the system itself, or rather the "&amp;"panel above the LCD display: immediately buy the FILM, HARD CASE and CASE. Then you can keep the console in its original form!                Good luck with this miracle from SONY!   Best regards DEN")</f>
        <v>For 2010, PsP 3008 was an excellent gift! I am 16 years old and I was happy with this purchase.   There’s not even anything to talk about the functions, everything is GUD...you can read about them on other resources.   And here I’ll probably tell you about the console body itself: - no matter how you treat your precious console, scratches/scuffs/abrasions will still appear on it (since its body is made of very delicate varnished plastic) - another problem is the screen of the system itself, or rather the panel above the LCD display: immediately buy the FILM, HARD CASE and CASE. Then you can keep the console in its original form!                Good luck with this miracle from SONY!   Best regards DEN</v>
      </c>
    </row>
    <row r="3858" spans="1:9" x14ac:dyDescent="0.3">
      <c r="A3858" s="1" t="s">
        <v>67</v>
      </c>
      <c r="B3858" s="1" t="s">
        <v>68</v>
      </c>
      <c r="C3858" s="1" t="s">
        <v>246</v>
      </c>
      <c r="D3858" s="1" t="s">
        <v>166</v>
      </c>
      <c r="E3858" s="1" t="s">
        <v>4110</v>
      </c>
      <c r="F3858" s="1" t="s">
        <v>6809</v>
      </c>
      <c r="G3858" s="1" t="s">
        <v>36</v>
      </c>
      <c r="H3858" s="1" t="s">
        <v>29</v>
      </c>
      <c r="I3858" s="1" t="str">
        <f ca="1">IFERROR(__xludf.DUMMYFUNCTION("GOOGLETRANSLATE(F3858, ""auto"", ""en"")
"),"If this iron stinks, then it is most likely a fake, because the smell can only appear after some time from scale (in this case, there is a self-cleaning function). I've been using this iron for about a year now. Excellent iron!!!!")</f>
        <v>If this iron stinks, then it is most likely a fake, because the smell can only appear after some time from scale (in this case, there is a self-cleaning function). I've been using this iron for about a year now. Excellent iron!!!!</v>
      </c>
    </row>
    <row r="3859" spans="1:9" x14ac:dyDescent="0.3">
      <c r="A3859" s="1" t="s">
        <v>17</v>
      </c>
      <c r="B3859" s="1" t="s">
        <v>18</v>
      </c>
      <c r="C3859" s="1" t="s">
        <v>19</v>
      </c>
      <c r="D3859" s="1" t="s">
        <v>6810</v>
      </c>
      <c r="E3859" s="1" t="s">
        <v>4012</v>
      </c>
      <c r="F3859" s="1" t="s">
        <v>6811</v>
      </c>
      <c r="G3859" s="1" t="s">
        <v>28</v>
      </c>
      <c r="H3859" s="1" t="s">
        <v>29</v>
      </c>
      <c r="I3859" s="1" t="str">
        <f ca="1">IFERROR(__xludf.DUMMYFUNCTION("GOOGLETRANSLATE(F3859, ""auto"", ""en"")
"),"In response to Christina’s message (Moscow) dated December 10, 2009, I would like to add that this machine does not have a program for washing children’s clothes!!  Overall I’m happy with the machine, although I’ve been using it for about 3 months. It rea"&amp;"lly washes quietly and does not jump during the spin cycle. But I noticed one very significant drawback: when the machine is idle, turned off, without laundry, and even with the hatch closed, a very unpleasant musty smell appears in the drum((So now it is"&amp;" constantly necessary to “ventilate” it and keep the hatch door open((. I used to use Indesit, almost always kept the hatch closed, this never happened, the drum always smelled fresh - air conditioning. No one has had such a problem encountered??")</f>
        <v>In response to Christina’s message (Moscow) dated December 10, 2009, I would like to add that this machine does not have a program for washing children’s clothes!!  Overall I’m happy with the machine, although I’ve been using it for about 3 months. It really washes quietly and does not jump during the spin cycle. But I noticed one very significant drawback: when the machine is idle, turned off, without laundry, and even with the hatch closed, a very unpleasant musty smell appears in the drum((So now it is constantly necessary to “ventilate” it and keep the hatch door open((. I used to use Indesit, almost always kept the hatch closed, this never happened, the drum always smelled fresh - air conditioning. No one has had such a problem encountered??</v>
      </c>
    </row>
    <row r="3860" spans="1:9" x14ac:dyDescent="0.3">
      <c r="A3860" s="1" t="s">
        <v>37</v>
      </c>
      <c r="B3860" s="1" t="s">
        <v>536</v>
      </c>
      <c r="C3860" s="1" t="s">
        <v>32</v>
      </c>
      <c r="D3860" s="1" t="s">
        <v>172</v>
      </c>
      <c r="E3860" s="1" t="s">
        <v>1732</v>
      </c>
      <c r="F3860" s="1" t="s">
        <v>6812</v>
      </c>
      <c r="G3860" s="1" t="s">
        <v>36</v>
      </c>
      <c r="H3860" s="1" t="s">
        <v>29</v>
      </c>
      <c r="I3860" s="1" t="str">
        <f ca="1">IFERROR(__xludf.DUMMYFUNCTION("GOOGLETRANSLATE(F3860, ""auto"", ""en"")
"),"It seems like they released an update to Android 2.1, look for the firmware.  and for now I’m waiting for the Samsung Galaxy S to appear in mvideo")</f>
        <v>It seems like they released an update to Android 2.1, look for the firmware.  and for now I’m waiting for the Samsung Galaxy S to appear in mvideo</v>
      </c>
    </row>
    <row r="3861" spans="1:9" x14ac:dyDescent="0.3">
      <c r="A3861" s="1" t="s">
        <v>89</v>
      </c>
      <c r="B3861" s="1" t="s">
        <v>90</v>
      </c>
      <c r="C3861" s="1" t="s">
        <v>745</v>
      </c>
      <c r="D3861" s="1" t="s">
        <v>335</v>
      </c>
      <c r="E3861" s="1" t="s">
        <v>6813</v>
      </c>
      <c r="F3861" s="1" t="s">
        <v>1693</v>
      </c>
      <c r="G3861" s="1" t="s">
        <v>1580</v>
      </c>
      <c r="H3861" s="1" t="s">
        <v>29</v>
      </c>
      <c r="I3861" s="1" t="str">
        <f ca="1">IFERROR(__xludf.DUMMYFUNCTION("GOOGLETRANSLATE(F3861, ""auto"", ""en"")
"),"Price")</f>
        <v>Price</v>
      </c>
    </row>
    <row r="3862" spans="1:9" x14ac:dyDescent="0.3">
      <c r="A3862" s="1" t="s">
        <v>37</v>
      </c>
      <c r="B3862" s="1" t="s">
        <v>38</v>
      </c>
      <c r="C3862" s="1" t="s">
        <v>39</v>
      </c>
      <c r="D3862" s="1" t="s">
        <v>6814</v>
      </c>
      <c r="E3862" s="1" t="s">
        <v>5947</v>
      </c>
      <c r="F3862" s="1" t="s">
        <v>6815</v>
      </c>
      <c r="G3862" s="1" t="s">
        <v>36</v>
      </c>
      <c r="H3862" s="1" t="s">
        <v>29</v>
      </c>
      <c r="I3862" s="1" t="str">
        <f ca="1">IFERROR(__xludf.DUMMYFUNCTION("GOOGLETRANSLATE(F3862, ""auto"", ""en"")
"),"The phone looked small, I thought it was bad, but when I looked inside I immediately understood everything!!! when you close the phone cover, a clock appears on the cover, that is, when you want to see the time, you don’t have to tear off the cover. And w"&amp;"hen you are in multimedia or on the Internet, then if you turn it to the left, that is, on its side, if you turn the phone over, then everything on the screen is also on its side. I recommend the phone super!!!")</f>
        <v>The phone looked small, I thought it was bad, but when I looked inside I immediately understood everything!!! when you close the phone cover, a clock appears on the cover, that is, when you want to see the time, you don’t have to tear off the cover. And when you are in multimedia or on the Internet, then if you turn it to the left, that is, on its side, if you turn the phone over, then everything on the screen is also on its side. I recommend the phone super!!!</v>
      </c>
    </row>
    <row r="3863" spans="1:9" x14ac:dyDescent="0.3">
      <c r="A3863" s="1" t="s">
        <v>169</v>
      </c>
      <c r="B3863" s="1" t="s">
        <v>170</v>
      </c>
      <c r="C3863" s="1" t="s">
        <v>171</v>
      </c>
      <c r="D3863" s="1" t="s">
        <v>6816</v>
      </c>
      <c r="E3863" s="1" t="s">
        <v>5736</v>
      </c>
      <c r="F3863" s="1" t="s">
        <v>6817</v>
      </c>
      <c r="G3863" s="1" t="s">
        <v>36</v>
      </c>
      <c r="H3863" s="1" t="s">
        <v>29</v>
      </c>
      <c r="I3863" s="1" t="str">
        <f ca="1">IFERROR(__xludf.DUMMYFUNCTION("GOOGLETRANSLATE(F3863, ""auto"", ""en"")
"),"Even with my audiophile needs, these ears satisfy 100% of my craving for quality sound. If the sound card produces good bass, these headphones will display them with dignity. I want to especially mention detailed highs and mids: I have never heard such qu"&amp;"ality in headphones of this class.")</f>
        <v>Even with my audiophile needs, these ears satisfy 100% of my craving for quality sound. If the sound card produces good bass, these headphones will display them with dignity. I want to especially mention detailed highs and mids: I have never heard such quality in headphones of this class.</v>
      </c>
    </row>
    <row r="3864" spans="1:9" x14ac:dyDescent="0.3">
      <c r="A3864" s="1" t="s">
        <v>120</v>
      </c>
      <c r="B3864" s="1" t="s">
        <v>126</v>
      </c>
      <c r="C3864" s="1" t="s">
        <v>122</v>
      </c>
      <c r="D3864" s="1" t="s">
        <v>305</v>
      </c>
      <c r="E3864" s="1" t="s">
        <v>1065</v>
      </c>
      <c r="F3864" s="1" t="s">
        <v>6818</v>
      </c>
      <c r="G3864" s="1" t="s">
        <v>28</v>
      </c>
      <c r="H3864" s="1" t="s">
        <v>29</v>
      </c>
      <c r="I3864" s="1" t="str">
        <f ca="1">IFERROR(__xludf.DUMMYFUNCTION("GOOGLETRANSLATE(F3864, ""auto"", ""en"")
"),"I've been using it for about a week.  I'm happy with the picture.  Sometimes the reflection (glare) spoils the mood.  But for the money it's good.  S-ka for ~9t.r. more expensive... For those whose budget allows it, definitely S-ka.")</f>
        <v>I've been using it for about a week.  I'm happy with the picture.  Sometimes the reflection (glare) spoils the mood.  But for the money it's good.  S-ka for ~9t.r. more expensive... For those whose budget allows it, definitely S-ka.</v>
      </c>
    </row>
    <row r="3865" spans="1:9" x14ac:dyDescent="0.3">
      <c r="A3865" s="1" t="s">
        <v>61</v>
      </c>
      <c r="B3865" s="1" t="s">
        <v>977</v>
      </c>
      <c r="C3865" s="1" t="s">
        <v>246</v>
      </c>
      <c r="D3865" s="1" t="s">
        <v>12</v>
      </c>
      <c r="E3865" s="1" t="s">
        <v>6258</v>
      </c>
      <c r="F3865" s="1" t="s">
        <v>6819</v>
      </c>
      <c r="G3865" s="1" t="s">
        <v>49</v>
      </c>
      <c r="H3865" s="1" t="s">
        <v>16</v>
      </c>
      <c r="I3865" s="1" t="str">
        <f ca="1">IFERROR(__xludf.DUMMYFUNCTION("GOOGLETRANSLATE(F3865, ""auto"", ""en"")
"),"I bought it in September, in March I was done. The plastic thread of the main part is worn out. It crushed very poorly. Noisy. I don't recommend anyone to buy it.")</f>
        <v>I bought it in September, in March I was done. The plastic thread of the main part is worn out. It crushed very poorly. Noisy. I don't recommend anyone to buy it.</v>
      </c>
    </row>
    <row r="3866" spans="1:9" x14ac:dyDescent="0.3">
      <c r="A3866" s="1" t="s">
        <v>43</v>
      </c>
      <c r="B3866" s="1" t="s">
        <v>44</v>
      </c>
      <c r="C3866" s="1" t="s">
        <v>185</v>
      </c>
      <c r="D3866" s="1" t="s">
        <v>1092</v>
      </c>
      <c r="E3866" s="1" t="s">
        <v>3537</v>
      </c>
      <c r="F3866" s="1" t="s">
        <v>6820</v>
      </c>
      <c r="G3866" s="1" t="s">
        <v>36</v>
      </c>
      <c r="H3866" s="1" t="s">
        <v>29</v>
      </c>
      <c r="I3866" s="1" t="str">
        <f ca="1">IFERROR(__xludf.DUMMYFUNCTION("GOOGLETRANSLATE(F3866, ""auto"", ""en"")
"),"It’s a good fan, I haven’t used it very often, but it looks durable, an interesting tip for using it, I put it on an open window to draw in air from the street, it’s quite fresh.")</f>
        <v>It’s a good fan, I haven’t used it very often, but it looks durable, an interesting tip for using it, I put it on an open window to draw in air from the street, it’s quite fresh.</v>
      </c>
    </row>
    <row r="3867" spans="1:9" x14ac:dyDescent="0.3">
      <c r="A3867" s="1" t="s">
        <v>477</v>
      </c>
      <c r="B3867" s="1" t="s">
        <v>478</v>
      </c>
      <c r="C3867" s="1" t="s">
        <v>479</v>
      </c>
      <c r="D3867" s="1" t="s">
        <v>139</v>
      </c>
      <c r="E3867" s="1" t="s">
        <v>1129</v>
      </c>
      <c r="F3867" s="1" t="s">
        <v>6821</v>
      </c>
      <c r="G3867" s="1" t="s">
        <v>15</v>
      </c>
      <c r="H3867" s="1" t="s">
        <v>16</v>
      </c>
      <c r="I3867" s="1" t="str">
        <f ca="1">IFERROR(__xludf.DUMMYFUNCTION("GOOGLETRANSLATE(F3867, ""auto"", ""en"")
"),"Don't even count on a single player - stupid plot, forget about the graphics - everything is clumsy, only multiplayer and that is, things are more interesting.")</f>
        <v>Don't even count on a single player - stupid plot, forget about the graphics - everything is clumsy, only multiplayer and that is, things are more interesting.</v>
      </c>
    </row>
    <row r="3868" spans="1:9" x14ac:dyDescent="0.3">
      <c r="A3868" s="1" t="s">
        <v>211</v>
      </c>
      <c r="B3868" s="1" t="s">
        <v>212</v>
      </c>
      <c r="C3868" s="1" t="s">
        <v>294</v>
      </c>
      <c r="D3868" s="1" t="s">
        <v>12</v>
      </c>
      <c r="E3868" s="1" t="s">
        <v>1270</v>
      </c>
      <c r="F3868" s="1" t="s">
        <v>6822</v>
      </c>
      <c r="G3868" s="1" t="s">
        <v>36</v>
      </c>
      <c r="H3868" s="1" t="s">
        <v>29</v>
      </c>
      <c r="I3868" s="1" t="str">
        <f ca="1">IFERROR(__xludf.DUMMYFUNCTION("GOOGLETRANSLATE(F3868, ""auto"", ""en"")
"),"I borrowed it from a friend to use) It’s an ideal iron) I’ll buy the same one for myself in the coming days. I haven't ruined my hair in a month. I hope this is not the limit.  The reviews are amazing too.   Thank you.")</f>
        <v>I borrowed it from a friend to use) It’s an ideal iron) I’ll buy the same one for myself in the coming days. I haven't ruined my hair in a month. I hope this is not the limit.  The reviews are amazing too.   Thank you.</v>
      </c>
    </row>
    <row r="3869" spans="1:9" x14ac:dyDescent="0.3">
      <c r="A3869" s="1" t="s">
        <v>6277</v>
      </c>
      <c r="B3869" s="1" t="s">
        <v>6823</v>
      </c>
      <c r="C3869" s="1" t="s">
        <v>85</v>
      </c>
      <c r="D3869" s="1" t="s">
        <v>64</v>
      </c>
      <c r="E3869" s="1" t="s">
        <v>6824</v>
      </c>
      <c r="F3869" s="1" t="s">
        <v>6825</v>
      </c>
      <c r="G3869" s="1" t="s">
        <v>36</v>
      </c>
      <c r="H3869" s="1" t="s">
        <v>29</v>
      </c>
      <c r="I3869" s="1" t="str">
        <f ca="1">IFERROR(__xludf.DUMMYFUNCTION("GOOGLETRANSLATE(F3869, ""auto"", ""en"")
"),"We have had an air purifier in our living room for a long time, model Bork a800 - we can’t live without it, my husband is allergic and my son is allergic. Recently, we realized that his work had somehow become worse, and his son’s allergies reappeared. Th"&amp;"ey consulted and said that the filter needed to be changed. We came to you immediately because... and we bought an air purifier from you. The price didn’t put me off - the main thing is that the filter is branded and fits our model. They changed it withou"&amp;"t difficulty. The model has been working with the new filter for a week now, the difference is really noticeable.")</f>
        <v>We have had an air purifier in our living room for a long time, model Bork a800 - we can’t live without it, my husband is allergic and my son is allergic. Recently, we realized that his work had somehow become worse, and his son’s allergies reappeared. They consulted and said that the filter needed to be changed. We came to you immediately because... and we bought an air purifier from you. The price didn’t put me off - the main thing is that the filter is branded and fits our model. They changed it without difficulty. The model has been working with the new filter for a week now, the difference is really noticeable.</v>
      </c>
    </row>
    <row r="3870" spans="1:9" x14ac:dyDescent="0.3">
      <c r="A3870" s="1" t="s">
        <v>120</v>
      </c>
      <c r="B3870" s="1" t="s">
        <v>256</v>
      </c>
      <c r="C3870" s="1" t="s">
        <v>151</v>
      </c>
      <c r="D3870" s="1" t="s">
        <v>152</v>
      </c>
      <c r="E3870" s="1" t="s">
        <v>1139</v>
      </c>
      <c r="F3870" s="1" t="s">
        <v>6826</v>
      </c>
      <c r="G3870" s="1" t="s">
        <v>28</v>
      </c>
      <c r="H3870" s="1" t="s">
        <v>29</v>
      </c>
      <c r="I3870" s="1" t="str">
        <f ca="1">IFERROR(__xludf.DUMMYFUNCTION("GOOGLETRANSLATE(F3870, ""auto"", ""en"")
"),"Zinaida (Samara) stereo sound on the TV works, only on stereo TV channels. If the TV channel supports stereo, the TV should not display the mono caption.  (this TV itself is not available, so I’m relying only on experience)")</f>
        <v>Zinaida (Samara) stereo sound on the TV works, only on stereo TV channels. If the TV channel supports stereo, the TV should not display the mono caption.  (this TV itself is not available, so I’m relying only on experience)</v>
      </c>
    </row>
    <row r="3871" spans="1:9" x14ac:dyDescent="0.3">
      <c r="A3871" s="1" t="s">
        <v>89</v>
      </c>
      <c r="B3871" s="1" t="s">
        <v>90</v>
      </c>
      <c r="C3871" s="1" t="s">
        <v>57</v>
      </c>
      <c r="D3871" s="1" t="s">
        <v>2633</v>
      </c>
      <c r="E3871" s="1" t="s">
        <v>6621</v>
      </c>
      <c r="F3871" s="1" t="s">
        <v>6827</v>
      </c>
      <c r="G3871" s="1" t="s">
        <v>36</v>
      </c>
      <c r="H3871" s="1" t="s">
        <v>29</v>
      </c>
      <c r="I3871" s="1" t="str">
        <f ca="1">IFERROR(__xludf.DUMMYFUNCTION("GOOGLETRANSLATE(F3871, ""auto"", ""en"")
"),"I got the coffee grinder at a discount, almost half the price!  By chance they brought me coffee, not the kind that has been in stores for months, but “fresh.” The coffee grinder did the job in 5 seconds. Cool! Not noisy.  A small minus is the short cord,"&amp;" but this is a small thing compared to how it works. The knives are sharp. Easy to clean.  I'm happy with the purchase!  I recommend it to everyone!")</f>
        <v>I got the coffee grinder at a discount, almost half the price!  By chance they brought me coffee, not the kind that has been in stores for months, but “fresh.” The coffee grinder did the job in 5 seconds. Cool! Not noisy.  A small minus is the short cord, but this is a small thing compared to how it works. The knives are sharp. Easy to clean.  I'm happy with the purchase!  I recommend it to everyone!</v>
      </c>
    </row>
    <row r="3872" spans="1:9" x14ac:dyDescent="0.3">
      <c r="A3872" s="1" t="s">
        <v>105</v>
      </c>
      <c r="B3872" s="1" t="s">
        <v>106</v>
      </c>
      <c r="C3872" s="1" t="s">
        <v>1921</v>
      </c>
      <c r="D3872" s="1" t="s">
        <v>52</v>
      </c>
      <c r="E3872" s="1" t="s">
        <v>3829</v>
      </c>
      <c r="F3872" s="1" t="s">
        <v>6828</v>
      </c>
      <c r="G3872" s="1" t="s">
        <v>36</v>
      </c>
      <c r="H3872" s="1" t="s">
        <v>29</v>
      </c>
      <c r="I3872" s="1" t="str">
        <f ca="1">IFERROR(__xludf.DUMMYFUNCTION("GOOGLETRANSLATE(F3872, ""auto"", ""en"")
"),"Normal player)")</f>
        <v>Normal player)</v>
      </c>
    </row>
    <row r="3873" spans="1:9" x14ac:dyDescent="0.3">
      <c r="A3873" s="1" t="s">
        <v>43</v>
      </c>
      <c r="B3873" s="1" t="s">
        <v>1382</v>
      </c>
      <c r="C3873" s="1" t="s">
        <v>57</v>
      </c>
      <c r="D3873" s="1" t="s">
        <v>6829</v>
      </c>
      <c r="E3873" s="1" t="s">
        <v>1589</v>
      </c>
      <c r="F3873" s="1" t="s">
        <v>6830</v>
      </c>
      <c r="G3873" s="1" t="s">
        <v>28</v>
      </c>
      <c r="H3873" s="1" t="s">
        <v>29</v>
      </c>
      <c r="I3873" s="1" t="str">
        <f ca="1">IFERROR(__xludf.DUMMYFUNCTION("GOOGLETRANSLATE(F3873, ""auto"", ""en"")
"),"I purchased it on 05/10/12 and I’m happy with the equipment and service, everything is up to par. It doesn’t creak when rotating.  The only downside is that it is noisy at high speed.")</f>
        <v>I purchased it on 05/10/12 and I’m happy with the equipment and service, everything is up to par. It doesn’t creak when rotating.  The only downside is that it is noisy at high speed.</v>
      </c>
    </row>
    <row r="3874" spans="1:9" x14ac:dyDescent="0.3">
      <c r="A3874" s="1" t="s">
        <v>211</v>
      </c>
      <c r="B3874" s="1" t="s">
        <v>212</v>
      </c>
      <c r="C3874" s="1" t="s">
        <v>294</v>
      </c>
      <c r="D3874" s="1" t="s">
        <v>565</v>
      </c>
      <c r="E3874" s="1" t="s">
        <v>2131</v>
      </c>
      <c r="F3874" s="1" t="s">
        <v>6831</v>
      </c>
      <c r="G3874" s="1" t="s">
        <v>36</v>
      </c>
      <c r="H3874" s="1" t="s">
        <v>29</v>
      </c>
      <c r="I3874" s="1" t="str">
        <f ca="1">IFERROR(__xludf.DUMMYFUNCTION("GOOGLETRANSLATE(F3874, ""auto"", ""en"")
"),"The straightener is great! I had my doubts about buying it because of the price... But! He's worth it. Very easy to use, lightweight. I have naturally very curly and frizzy hair. This straightener easily handled both of these tasks in 10 minutes at 180C. "&amp;"Great stuff! I recommend it to everyone")</f>
        <v>The straightener is great! I had my doubts about buying it because of the price... But! He's worth it. Very easy to use, lightweight. I have naturally very curly and frizzy hair. This straightener easily handled both of these tasks in 10 minutes at 180C. Great stuff! I recommend it to everyone</v>
      </c>
    </row>
    <row r="3875" spans="1:9" x14ac:dyDescent="0.3">
      <c r="A3875" s="1" t="s">
        <v>61</v>
      </c>
      <c r="B3875" s="1" t="s">
        <v>73</v>
      </c>
      <c r="C3875" s="1" t="s">
        <v>314</v>
      </c>
      <c r="D3875" s="1" t="s">
        <v>922</v>
      </c>
      <c r="E3875" s="1" t="s">
        <v>6832</v>
      </c>
      <c r="F3875" s="1" t="s">
        <v>6833</v>
      </c>
      <c r="G3875" s="1" t="s">
        <v>36</v>
      </c>
      <c r="H3875" s="1" t="s">
        <v>29</v>
      </c>
      <c r="I3875" s="1" t="str">
        <f ca="1">IFERROR(__xludf.DUMMYFUNCTION("GOOGLETRANSLATE(F3875, ""auto"", ""en"")
"),"My husband chose this one, I’m very happy with the purchase, it doesn’t make much noise, everything is great!")</f>
        <v>My husband chose this one, I’m very happy with the purchase, it doesn’t make much noise, everything is great!</v>
      </c>
    </row>
    <row r="3876" spans="1:9" x14ac:dyDescent="0.3">
      <c r="A3876" s="1" t="s">
        <v>61</v>
      </c>
      <c r="B3876" s="1" t="s">
        <v>62</v>
      </c>
      <c r="C3876" s="1" t="s">
        <v>146</v>
      </c>
      <c r="D3876" s="1" t="s">
        <v>305</v>
      </c>
      <c r="E3876" s="1" t="s">
        <v>5046</v>
      </c>
      <c r="F3876" s="1" t="s">
        <v>6834</v>
      </c>
      <c r="G3876" s="1" t="s">
        <v>28</v>
      </c>
      <c r="H3876" s="1" t="s">
        <v>29</v>
      </c>
      <c r="I3876" s="1" t="str">
        <f ca="1">IFERROR(__xludf.DUMMYFUNCTION("GOOGLETRANSLATE(F3876, ""auto"", ""en"")
"),"I bought it as a gift, upon inspection it turned out that the blade was missing. It works fine.  I would like to note that the delivery of goods on Pushkarevsky Ring is higher than in the store on Goncharova.")</f>
        <v>I bought it as a gift, upon inspection it turned out that the blade was missing. It works fine.  I would like to note that the delivery of goods on Pushkarevsky Ring is higher than in the store on Goncharova.</v>
      </c>
    </row>
    <row r="3877" spans="1:9" x14ac:dyDescent="0.3">
      <c r="A3877" s="1" t="s">
        <v>361</v>
      </c>
      <c r="B3877" s="1" t="s">
        <v>2555</v>
      </c>
      <c r="C3877" s="1" t="s">
        <v>4871</v>
      </c>
      <c r="D3877" s="1" t="s">
        <v>3133</v>
      </c>
      <c r="E3877" s="1" t="s">
        <v>2374</v>
      </c>
      <c r="F3877" s="1" t="s">
        <v>6835</v>
      </c>
      <c r="G3877" s="1" t="s">
        <v>15</v>
      </c>
      <c r="H3877" s="1" t="s">
        <v>16</v>
      </c>
      <c r="I3877" s="1" t="str">
        <f ca="1">IFERROR(__xludf.DUMMYFUNCTION("GOOGLETRANSLATE(F3877, ""auto"", ""en"")
"),"The drain valve lid of a filled thermos does not close tightly, so evaporation occurs under the lid and, as a result, an intense change in the temperature of the liquid.  According to advertising, the warranty is 100 years, but in fact it is 1 year and th"&amp;"is fault cannot be exchanged. I bought it in October 2016 and it’s already disgusting.")</f>
        <v>The drain valve lid of a filled thermos does not close tightly, so evaporation occurs under the lid and, as a result, an intense change in the temperature of the liquid.  According to advertising, the warranty is 100 years, but in fact it is 1 year and this fault cannot be exchanged. I bought it in October 2016 and it’s already disgusting.</v>
      </c>
    </row>
    <row r="3878" spans="1:9" x14ac:dyDescent="0.3">
      <c r="A3878" s="1" t="s">
        <v>211</v>
      </c>
      <c r="B3878" s="1" t="s">
        <v>212</v>
      </c>
      <c r="C3878" s="1" t="s">
        <v>294</v>
      </c>
      <c r="D3878" s="1" t="s">
        <v>589</v>
      </c>
      <c r="E3878" s="1" t="s">
        <v>2557</v>
      </c>
      <c r="F3878" s="1" t="s">
        <v>6836</v>
      </c>
      <c r="G3878" s="1" t="s">
        <v>36</v>
      </c>
      <c r="H3878" s="1" t="s">
        <v>29</v>
      </c>
      <c r="I3878" s="1" t="str">
        <f ca="1">IFERROR(__xludf.DUMMYFUNCTION("GOOGLETRANSLATE(F3878, ""auto"", ""en"")
"),"I bought these tongs based on reviews. I really liked it! You really get curls in 10 seconds, as stated in the specifications. It took only 5 minutes to curl the entire head (hair 50 cm).")</f>
        <v>I bought these tongs based on reviews. I really liked it! You really get curls in 10 seconds, as stated in the specifications. It took only 5 minutes to curl the entire head (hair 50 cm).</v>
      </c>
    </row>
    <row r="3879" spans="1:9" x14ac:dyDescent="0.3">
      <c r="A3879" s="1" t="s">
        <v>37</v>
      </c>
      <c r="B3879" s="1" t="s">
        <v>38</v>
      </c>
      <c r="C3879" s="1" t="s">
        <v>151</v>
      </c>
      <c r="D3879" s="1" t="s">
        <v>247</v>
      </c>
      <c r="E3879" s="1" t="s">
        <v>1886</v>
      </c>
      <c r="F3879" s="1" t="s">
        <v>6837</v>
      </c>
      <c r="G3879" s="1" t="s">
        <v>36</v>
      </c>
      <c r="H3879" s="1" t="s">
        <v>29</v>
      </c>
      <c r="I3879" s="1" t="str">
        <f ca="1">IFERROR(__xludf.DUMMYFUNCTION("GOOGLETRANSLATE(F3879, ""auto"", ""en"")
"),"Today I bought this phone!!! First of all, I liked its glamorous design!!! This phone is really very easy to use, it’s light, so pleasant, multifunctional, the sound quality is good! It’s the first time I’ve had a touchscreen phone, at first I wanted to b"&amp;"uy a phone from Nokia, but I still couldn’t resist this little white glamorous Samsung, created especially for fashionistas, and I wasn’t mistaken... this is what I need! I’m in love with it now!!)))")</f>
        <v>Today I bought this phone!!! First of all, I liked its glamorous design!!! This phone is really very easy to use, it’s light, so pleasant, multifunctional, the sound quality is good! It’s the first time I’ve had a touchscreen phone, at first I wanted to buy a phone from Nokia, but I still couldn’t resist this little white glamorous Samsung, created especially for fashionistas, and I wasn’t mistaken... this is what I need! I’m in love with it now!!)))</v>
      </c>
    </row>
    <row r="3880" spans="1:9" x14ac:dyDescent="0.3">
      <c r="A3880" s="1" t="s">
        <v>37</v>
      </c>
      <c r="B3880" s="1" t="s">
        <v>38</v>
      </c>
      <c r="C3880" s="1" t="s">
        <v>151</v>
      </c>
      <c r="D3880" s="1" t="s">
        <v>305</v>
      </c>
      <c r="E3880" s="1" t="s">
        <v>415</v>
      </c>
      <c r="F3880" s="1" t="s">
        <v>6838</v>
      </c>
      <c r="G3880" s="1" t="s">
        <v>28</v>
      </c>
      <c r="H3880" s="1" t="s">
        <v>29</v>
      </c>
      <c r="I3880" s="1" t="str">
        <f ca="1">IFERROR(__xludf.DUMMYFUNCTION("GOOGLETRANSLATE(F3880, ""auto"", ""en"")
"),"-when switching from one SIM card to another, rebooting the phone is simply annoying (although the characteristics say the opposite) Valentina (Biysk) You need to read the instructions carefully or use the Samsung hotline if you have problems with your he"&amp;"ad and hands: This phone has two radio modules and they work simultaneously - you don’t need to reboot anything! On the right, on the case, there is a button to switch between SIM cards, but you need to press it after you have pressed the call button (wit"&amp;"h the green handset). Indication of operation and switching between SIM cards on the left, at the top of the phone screen (the desired SIM card is highlighted in a white rectangle) “no cord and no software package” is bad, but worse than that - there is n"&amp;"o USB port.    “When you remove a bluetooth headset from a phone zone, it does not always connect it back when you enter the zone” Yes, the operation of this function is not thought out.    I’ll add on my own behalf: There is no hot-swappable memory card,"&amp;" the screen is good, but it “blinds” in the sun, you could not install a camera at all, rather than have one. The battery holds a charge for a week. Compact. The call quality and call volume are excellent.")</f>
        <v>-when switching from one SIM card to another, rebooting the phone is simply annoying (although the characteristics say the opposite) Valentina (Biysk) You need to read the instructions carefully or use the Samsung hotline if you have problems with your head and hands: This phone has two radio modules and they work simultaneously - you don’t need to reboot anything! On the right, on the case, there is a button to switch between SIM cards, but you need to press it after you have pressed the call button (with the green handset). Indication of operation and switching between SIM cards on the left, at the top of the phone screen (the desired SIM card is highlighted in a white rectangle) “no cord and no software package” is bad, but worse than that - there is no USB port.    “When you remove a bluetooth headset from a phone zone, it does not always connect it back when you enter the zone” Yes, the operation of this function is not thought out.    I’ll add on my own behalf: There is no hot-swappable memory card, the screen is good, but it “blinds” in the sun, you could not install a camera at all, rather than have one. The battery holds a charge for a week. Compact. The call quality and call volume are excellent.</v>
      </c>
    </row>
    <row r="3881" spans="1:9" x14ac:dyDescent="0.3">
      <c r="A3881" s="1" t="s">
        <v>17</v>
      </c>
      <c r="B3881" s="1" t="s">
        <v>18</v>
      </c>
      <c r="C3881" s="1" t="s">
        <v>885</v>
      </c>
      <c r="D3881" s="1" t="s">
        <v>378</v>
      </c>
      <c r="E3881" s="1" t="s">
        <v>1742</v>
      </c>
      <c r="F3881" s="1" t="s">
        <v>6839</v>
      </c>
      <c r="G3881" s="1" t="s">
        <v>28</v>
      </c>
      <c r="H3881" s="1" t="s">
        <v>29</v>
      </c>
      <c r="I3881" s="1" t="str">
        <f ca="1">IFERROR(__xludf.DUMMYFUNCTION("GOOGLETRANSLATE(F3881, ""auto"", ""en"")
"),"The car was purchased on 03/31/09. Overall I’m happy, but I regretted that I didn’t take the traffic rules because of the savings. The reason is that the programmer freezes on 2 main cotton washing programs. It is necessary to set the program several time"&amp;"s until the correct value is obtained on the display. I use the machine alone, I strictly follow the instructions - we are not talking about the fact that someone in the family broke it.  And so - I like it. If I had to choose, I would most likely choose "&amp;"this model. The main advantages are large load, shallow depth, mix&amp;wash program.")</f>
        <v>The car was purchased on 03/31/09. Overall I’m happy, but I regretted that I didn’t take the traffic rules because of the savings. The reason is that the programmer freezes on 2 main cotton washing programs. It is necessary to set the program several times until the correct value is obtained on the display. I use the machine alone, I strictly follow the instructions - we are not talking about the fact that someone in the family broke it.  And so - I like it. If I had to choose, I would most likely choose this model. The main advantages are large load, shallow depth, mix&amp;wash program.</v>
      </c>
    </row>
    <row r="3882" spans="1:9" x14ac:dyDescent="0.3">
      <c r="A3882" s="1" t="s">
        <v>17</v>
      </c>
      <c r="B3882" s="1" t="s">
        <v>325</v>
      </c>
      <c r="C3882" s="1" t="s">
        <v>326</v>
      </c>
      <c r="D3882" s="1" t="s">
        <v>6840</v>
      </c>
      <c r="E3882" s="1" t="s">
        <v>5202</v>
      </c>
      <c r="F3882" s="1" t="s">
        <v>6841</v>
      </c>
      <c r="G3882" s="1" t="s">
        <v>36</v>
      </c>
      <c r="H3882" s="1" t="s">
        <v>29</v>
      </c>
      <c r="I3882" s="1" t="str">
        <f ca="1">IFERROR(__xludf.DUMMYFUNCTION("GOOGLETRANSLATE(F3882, ""auto"", ""en"")
"),"We purchased this machine a year and a half ago. It still works great and washes very well. I've been washing it for more than an hour, and nothing, everything works fine. The only negative is that two small holes appeared on the hose for draining water ("&amp;"but this happened quite recently). We covered these holes with white electrical tape and the machine was like new again! I recommend it for both cottages and rented apartments. Lightweight, can be moved without problems.")</f>
        <v>We purchased this machine a year and a half ago. It still works great and washes very well. I've been washing it for more than an hour, and nothing, everything works fine. The only negative is that two small holes appeared on the hose for draining water (but this happened quite recently). We covered these holes with white electrical tape and the machine was like new again! I recommend it for both cottages and rented apartments. Lightweight, can be moved without problems.</v>
      </c>
    </row>
    <row r="3883" spans="1:9" x14ac:dyDescent="0.3">
      <c r="A3883" s="1" t="s">
        <v>89</v>
      </c>
      <c r="B3883" s="1" t="s">
        <v>231</v>
      </c>
      <c r="C3883" s="1" t="s">
        <v>1072</v>
      </c>
      <c r="D3883" s="1" t="s">
        <v>305</v>
      </c>
      <c r="E3883" s="1" t="s">
        <v>4101</v>
      </c>
      <c r="F3883" s="1" t="s">
        <v>6842</v>
      </c>
      <c r="G3883" s="1" t="s">
        <v>36</v>
      </c>
      <c r="H3883" s="1" t="s">
        <v>29</v>
      </c>
      <c r="I3883" s="1" t="str">
        <f ca="1">IFERROR(__xludf.DUMMYFUNCTION("GOOGLETRANSLATE(F3883, ""auto"", ""en"")
"),"Now it's been 3 months since I've been using it. Among the shortcomings, I can say that the color didn’t fit into my kitchen at all, but otherwise I’m very pleased! Tasty and fast black coffee, you can make a cappuccino (take thicker milk, then the foam i"&amp;"s excellent), I really liked it. It was not difficult to understand what and where))) The only thing is that a lot of water goes into the waste tray. Otherwise great!) Good combination of price and quality) I recommend!)))")</f>
        <v>Now it's been 3 months since I've been using it. Among the shortcomings, I can say that the color didn’t fit into my kitchen at all, but otherwise I’m very pleased! Tasty and fast black coffee, you can make a cappuccino (take thicker milk, then the foam is excellent), I really liked it. It was not difficult to understand what and where))) The only thing is that a lot of water goes into the waste tray. Otherwise great!) Good combination of price and quality) I recommend!)))</v>
      </c>
    </row>
    <row r="3884" spans="1:9" x14ac:dyDescent="0.3">
      <c r="A3884" s="1" t="s">
        <v>30</v>
      </c>
      <c r="B3884" s="1" t="s">
        <v>31</v>
      </c>
      <c r="C3884" s="1" t="s">
        <v>32</v>
      </c>
      <c r="D3884" s="1" t="s">
        <v>52</v>
      </c>
      <c r="E3884" s="1" t="s">
        <v>1517</v>
      </c>
      <c r="F3884" s="1" t="s">
        <v>6843</v>
      </c>
      <c r="G3884" s="1" t="s">
        <v>36</v>
      </c>
      <c r="H3884" s="1" t="s">
        <v>29</v>
      </c>
      <c r="I3884" s="1" t="str">
        <f ca="1">IFERROR(__xludf.DUMMYFUNCTION("GOOGLETRANSLATE(F3884, ""auto"", ""en"")
"),"Personally, nothing hangs for me, maybe in real life you bought a defect, but this does not mean that all computers of this model are defective.")</f>
        <v>Personally, nothing hangs for me, maybe in real life you bought a defect, but this does not mean that all computers of this model are defective.</v>
      </c>
    </row>
    <row r="3885" spans="1:9" x14ac:dyDescent="0.3">
      <c r="A3885" s="1" t="s">
        <v>120</v>
      </c>
      <c r="B3885" s="1" t="s">
        <v>256</v>
      </c>
      <c r="C3885" s="1" t="s">
        <v>151</v>
      </c>
      <c r="D3885" s="1" t="s">
        <v>345</v>
      </c>
      <c r="E3885" s="1" t="s">
        <v>1376</v>
      </c>
      <c r="F3885" s="1" t="s">
        <v>6844</v>
      </c>
      <c r="G3885" s="1" t="s">
        <v>28</v>
      </c>
      <c r="H3885" s="1" t="s">
        <v>29</v>
      </c>
      <c r="I3885" s="1" t="str">
        <f ca="1">IFERROR(__xludf.DUMMYFUNCTION("GOOGLETRANSLATE(F3885, ""auto"", ""en"")
"),"TV purchased on December 23, 2010. Purchased for viewing in the kitchen. Overall, not a bad device. I was very pleased with the menu, after 15 minutes)))) I found almost everything. The main drawback is that the 16:9 image format is not pleasing, faces ar"&amp;"e stretched out, the picture is blurry, I installed extended - the ticker and channel number are not visible. Otherwise I'm happy.")</f>
        <v>TV purchased on December 23, 2010. Purchased for viewing in the kitchen. Overall, not a bad device. I was very pleased with the menu, after 15 minutes)))) I found almost everything. The main drawback is that the 16:9 image format is not pleasing, faces are stretched out, the picture is blurry, I installed extended - the ticker and channel number are not visible. Otherwise I'm happy.</v>
      </c>
    </row>
    <row r="3886" spans="1:9" x14ac:dyDescent="0.3">
      <c r="A3886" s="1" t="s">
        <v>95</v>
      </c>
      <c r="B3886" s="1" t="s">
        <v>486</v>
      </c>
      <c r="C3886" s="1" t="s">
        <v>487</v>
      </c>
      <c r="D3886" s="1" t="s">
        <v>3996</v>
      </c>
      <c r="E3886" s="1" t="s">
        <v>386</v>
      </c>
      <c r="F3886" s="1" t="s">
        <v>6845</v>
      </c>
      <c r="G3886" s="1" t="s">
        <v>36</v>
      </c>
      <c r="H3886" s="1" t="s">
        <v>29</v>
      </c>
      <c r="I3886" s="1" t="str">
        <f ca="1">IFERROR(__xludf.DUMMYFUNCTION("GOOGLETRANSLATE(F3886, ""auto"", ""en"")
"),"It’s a cool thing and you can connect it to plasma and to a TV set, the graphics are amazing, the quality is also just a super cool console!!!!!!  buy you won't regret it!!!!!!")</f>
        <v>It’s a cool thing and you can connect it to plasma and to a TV set, the graphics are amazing, the quality is also just a super cool console!!!!!!  buy you won't regret it!!!!!!</v>
      </c>
    </row>
    <row r="3887" spans="1:9" x14ac:dyDescent="0.3">
      <c r="A3887" s="1" t="s">
        <v>61</v>
      </c>
      <c r="B3887" s="1" t="s">
        <v>318</v>
      </c>
      <c r="C3887" s="1" t="s">
        <v>57</v>
      </c>
      <c r="D3887" s="1" t="s">
        <v>1143</v>
      </c>
      <c r="E3887" s="1" t="s">
        <v>1849</v>
      </c>
      <c r="F3887" s="1" t="s">
        <v>6846</v>
      </c>
      <c r="G3887" s="1" t="s">
        <v>36</v>
      </c>
      <c r="H3887" s="1" t="s">
        <v>29</v>
      </c>
      <c r="I3887" s="1" t="str">
        <f ca="1">IFERROR(__xludf.DUMMYFUNCTION("GOOGLETRANSLATE(F3887, ""auto"", ""en"")
"),"good! I got it as a gift in 2012 and it just broke ((I’ll get the same one again!")</f>
        <v>good! I got it as a gift in 2012 and it just broke ((I’ll get the same one again!</v>
      </c>
    </row>
    <row r="3888" spans="1:9" x14ac:dyDescent="0.3">
      <c r="A3888" s="1" t="s">
        <v>89</v>
      </c>
      <c r="B3888" s="1" t="s">
        <v>231</v>
      </c>
      <c r="C3888" s="1" t="s">
        <v>185</v>
      </c>
      <c r="D3888" s="1" t="s">
        <v>385</v>
      </c>
      <c r="E3888" s="1" t="s">
        <v>2624</v>
      </c>
      <c r="F3888" s="1" t="s">
        <v>6847</v>
      </c>
      <c r="G3888" s="1" t="s">
        <v>36</v>
      </c>
      <c r="H3888" s="1" t="s">
        <v>29</v>
      </c>
      <c r="I3888" s="1" t="str">
        <f ca="1">IFERROR(__xludf.DUMMYFUNCTION("GOOGLETRANSLATE(F3888, ""auto"", ""en"")
"),"An extremely comfortable, practical, compact coffee machine. For a year now, I have been pleased with the exceptional taste of the coffee prepared in it. Over the past year, the coffee machine has not lost its appearance. The paint has not peeled off and "&amp;"the body has not rusted. Used daily two to three times a day. For a year there were no comments on the operation of the machine. It does not take up much space in small spaces, its width is only 15 cm. It operates quietly, which is important for those who"&amp;" are awake at night.")</f>
        <v>An extremely comfortable, practical, compact coffee machine. For a year now, I have been pleased with the exceptional taste of the coffee prepared in it. Over the past year, the coffee machine has not lost its appearance. The paint has not peeled off and the body has not rusted. Used daily two to three times a day. For a year there were no comments on the operation of the machine. It does not take up much space in small spaces, its width is only 15 cm. It operates quietly, which is important for those who are awake at night.</v>
      </c>
    </row>
    <row r="3889" spans="1:9" x14ac:dyDescent="0.3">
      <c r="A3889" s="1" t="s">
        <v>169</v>
      </c>
      <c r="B3889" s="1" t="s">
        <v>170</v>
      </c>
      <c r="C3889" s="1" t="s">
        <v>69</v>
      </c>
      <c r="D3889" s="1" t="s">
        <v>6848</v>
      </c>
      <c r="E3889" s="1" t="s">
        <v>1868</v>
      </c>
      <c r="F3889" s="1" t="s">
        <v>6849</v>
      </c>
      <c r="G3889" s="1" t="s">
        <v>36</v>
      </c>
      <c r="H3889" s="1" t="s">
        <v>29</v>
      </c>
      <c r="I3889" s="1" t="str">
        <f ca="1">IFERROR(__xludf.DUMMYFUNCTION("GOOGLETRANSLATE(F3889, ""auto"", ""en"")
"),"Good headphones, sound insulation at a high altitude, you can hardly hear anything except music, the bass is surprisingly strong and deep.")</f>
        <v>Good headphones, sound insulation at a high altitude, you can hardly hear anything except music, the bass is surprisingly strong and deep.</v>
      </c>
    </row>
    <row r="3890" spans="1:9" x14ac:dyDescent="0.3">
      <c r="A3890" s="1" t="s">
        <v>9</v>
      </c>
      <c r="B3890" s="1" t="s">
        <v>10</v>
      </c>
      <c r="C3890" s="1" t="s">
        <v>407</v>
      </c>
      <c r="D3890" s="1" t="s">
        <v>456</v>
      </c>
      <c r="E3890" s="1" t="s">
        <v>3718</v>
      </c>
      <c r="F3890" s="1" t="s">
        <v>6850</v>
      </c>
      <c r="G3890" s="1" t="s">
        <v>49</v>
      </c>
      <c r="H3890" s="1" t="s">
        <v>16</v>
      </c>
      <c r="I3890" s="1" t="str">
        <f ca="1">IFERROR(__xludf.DUMMYFUNCTION("GOOGLETRANSLATE(F3890, ""auto"", ""en"")
"),"I really liked the hood, I used it for two days :) In the evening of the second day, the glass broke, fragments scattered all over the kitchen, it was just fortunate that it was late and there was no one in the kitchen, especially a child, because... the "&amp;"glass flew like bullets and you could easily be left without eyes.")</f>
        <v>I really liked the hood, I used it for two days :) In the evening of the second day, the glass broke, fragments scattered all over the kitchen, it was just fortunate that it was late and there was no one in the kitchen, especially a child, because... the glass flew like bullets and you could easily be left without eyes.</v>
      </c>
    </row>
    <row r="3891" spans="1:9" x14ac:dyDescent="0.3">
      <c r="A3891" s="1" t="s">
        <v>211</v>
      </c>
      <c r="B3891" s="1" t="s">
        <v>212</v>
      </c>
      <c r="C3891" s="1" t="s">
        <v>381</v>
      </c>
      <c r="D3891" s="1" t="s">
        <v>545</v>
      </c>
      <c r="E3891" s="1" t="s">
        <v>6851</v>
      </c>
      <c r="F3891" s="1" t="s">
        <v>6852</v>
      </c>
      <c r="G3891" s="1" t="s">
        <v>36</v>
      </c>
      <c r="H3891" s="1" t="s">
        <v>29</v>
      </c>
      <c r="I3891" s="1" t="str">
        <f ca="1">IFERROR(__xludf.DUMMYFUNCTION("GOOGLETRANSLATE(F3891, ""auto"", ""en"")
"),"I have the same hair dryer. It was given to me 3-4 years ago. The best hair dryer I've ever had.")</f>
        <v>I have the same hair dryer. It was given to me 3-4 years ago. The best hair dryer I've ever had.</v>
      </c>
    </row>
    <row r="3892" spans="1:9" x14ac:dyDescent="0.3">
      <c r="A3892" s="1" t="s">
        <v>37</v>
      </c>
      <c r="B3892" s="1" t="s">
        <v>38</v>
      </c>
      <c r="C3892" s="1" t="s">
        <v>163</v>
      </c>
      <c r="D3892" s="1" t="s">
        <v>3565</v>
      </c>
      <c r="E3892" s="1" t="s">
        <v>2853</v>
      </c>
      <c r="F3892" s="1" t="s">
        <v>6853</v>
      </c>
      <c r="G3892" s="1" t="s">
        <v>36</v>
      </c>
      <c r="H3892" s="1" t="s">
        <v>29</v>
      </c>
      <c r="I3892" s="1" t="str">
        <f ca="1">IFERROR(__xludf.DUMMYFUNCTION("GOOGLETRANSLATE(F3892, ""auto"", ""en"")
"),"Analogue of Nokia N76??? I used this phone for a long time.. now I can’t find anything similar in functionality and appearance (((")</f>
        <v>Analogue of Nokia N76??? I used this phone for a long time.. now I can’t find anything similar in functionality and appearance (((</v>
      </c>
    </row>
    <row r="3893" spans="1:9" x14ac:dyDescent="0.3">
      <c r="A3893" s="1" t="s">
        <v>149</v>
      </c>
      <c r="B3893" s="1" t="s">
        <v>150</v>
      </c>
      <c r="C3893" s="1" t="s">
        <v>2016</v>
      </c>
      <c r="D3893" s="1" t="s">
        <v>52</v>
      </c>
      <c r="E3893" s="1" t="s">
        <v>6854</v>
      </c>
      <c r="F3893" s="1" t="s">
        <v>6855</v>
      </c>
      <c r="G3893" s="1" t="s">
        <v>28</v>
      </c>
      <c r="H3893" s="1" t="s">
        <v>29</v>
      </c>
      <c r="I3893" s="1" t="str">
        <f ca="1">IFERROR(__xludf.DUMMYFUNCTION("GOOGLETRANSLATE(F3893, ""auto"", ""en"")
"),"I bought this device today, of course I tried it right away, it vacuums well, it’s convenient that you don’t have to hold it in your hand, before that I used an old household vacuum cleaner, b@d is not inferior, the price is certainly too high, but I thin"&amp;"k it’s justified, I recommend it.")</f>
        <v>I bought this device today, of course I tried it right away, it vacuums well, it’s convenient that you don’t have to hold it in your hand, before that I used an old household vacuum cleaner, b@d is not inferior, the price is certainly too high, but I think it’s justified, I recommend it.</v>
      </c>
    </row>
    <row r="3894" spans="1:9" x14ac:dyDescent="0.3">
      <c r="A3894" s="1" t="s">
        <v>169</v>
      </c>
      <c r="B3894" s="1" t="s">
        <v>170</v>
      </c>
      <c r="C3894" s="1" t="s">
        <v>97</v>
      </c>
      <c r="D3894" s="1" t="s">
        <v>20</v>
      </c>
      <c r="E3894" s="1" t="s">
        <v>1765</v>
      </c>
      <c r="F3894" s="1" t="s">
        <v>6856</v>
      </c>
      <c r="G3894" s="1" t="s">
        <v>28</v>
      </c>
      <c r="H3894" s="1" t="s">
        <v>29</v>
      </c>
      <c r="I3894" s="1" t="str">
        <f ca="1">IFERROR(__xludf.DUMMYFUNCTION("GOOGLETRANSLATE(F3894, ""auto"", ""en"")
"),"I use it with an iPod nano 3G. Before them there were Fischer inserts, which naturally fell apart after 2 months. So these Sonya headphones sound comparable to standard iPod ears, much better in bass, a little better in the middle, slightly losing in the "&amp;"highs.  They fit very comfortably in the ears, and are well assembled - nothing falls off or rattles.  The angled plug is of course superfluous now - a straight one is more convenient.")</f>
        <v>I use it with an iPod nano 3G. Before them there were Fischer inserts, which naturally fell apart after 2 months. So these Sonya headphones sound comparable to standard iPod ears, much better in bass, a little better in the middle, slightly losing in the highs.  They fit very comfortably in the ears, and are well assembled - nothing falls off or rattles.  The angled plug is of course superfluous now - a straight one is more convenient.</v>
      </c>
    </row>
    <row r="3895" spans="1:9" x14ac:dyDescent="0.3">
      <c r="A3895" s="1" t="s">
        <v>169</v>
      </c>
      <c r="B3895" s="1" t="s">
        <v>170</v>
      </c>
      <c r="C3895" s="1" t="s">
        <v>171</v>
      </c>
      <c r="D3895" s="1" t="s">
        <v>6857</v>
      </c>
      <c r="E3895" s="1" t="s">
        <v>2829</v>
      </c>
      <c r="F3895" s="1" t="s">
        <v>6858</v>
      </c>
      <c r="G3895" s="1" t="s">
        <v>28</v>
      </c>
      <c r="H3895" s="1" t="s">
        <v>29</v>
      </c>
      <c r="I3895" s="1" t="str">
        <f ca="1">IFERROR(__xludf.DUMMYFUNCTION("GOOGLETRANSLATE(F3895, ""auto"", ""en"")
"),"I really liked the headphones and have no complaints about them! But for that kind of money it was possible not only to make headphones, but with some kind of volume control and song switching! But they are normal!")</f>
        <v>I really liked the headphones and have no complaints about them! But for that kind of money it was possible not only to make headphones, but with some kind of volume control and song switching! But they are normal!</v>
      </c>
    </row>
    <row r="3896" spans="1:9" x14ac:dyDescent="0.3">
      <c r="A3896" s="1" t="s">
        <v>120</v>
      </c>
      <c r="B3896" s="1" t="s">
        <v>121</v>
      </c>
      <c r="C3896" s="1" t="s">
        <v>69</v>
      </c>
      <c r="D3896" s="1" t="s">
        <v>6859</v>
      </c>
      <c r="E3896" s="1" t="s">
        <v>1738</v>
      </c>
      <c r="F3896" s="1" t="s">
        <v>6860</v>
      </c>
      <c r="G3896" s="1" t="s">
        <v>36</v>
      </c>
      <c r="H3896" s="1" t="s">
        <v>29</v>
      </c>
      <c r="I3896" s="1" t="str">
        <f ca="1">IFERROR(__xludf.DUMMYFUNCTION("GOOGLETRANSLATE(F3896, ""auto"", ""en"")
"),"Good TV at a good price.")</f>
        <v>Good TV at a good price.</v>
      </c>
    </row>
    <row r="3897" spans="1:9" x14ac:dyDescent="0.3">
      <c r="A3897" s="1" t="s">
        <v>61</v>
      </c>
      <c r="B3897" s="1" t="s">
        <v>224</v>
      </c>
      <c r="C3897" s="1" t="s">
        <v>85</v>
      </c>
      <c r="D3897" s="1" t="s">
        <v>295</v>
      </c>
      <c r="E3897" s="1" t="s">
        <v>2028</v>
      </c>
      <c r="F3897" s="1" t="s">
        <v>6861</v>
      </c>
      <c r="G3897" s="1" t="s">
        <v>36</v>
      </c>
      <c r="H3897" s="1" t="s">
        <v>29</v>
      </c>
      <c r="I3897" s="1" t="str">
        <f ca="1">IFERROR(__xludf.DUMMYFUNCTION("GOOGLETRANSLATE(F3897, ""auto"", ""en"")
"),"I bought a juicer today. I really liked it, it’s easy to use, the juice from apples and pears turned out very tasty, there were no difficulties with washing either. I didn’t notice much transparency in the juice, but it wasn’t needed, there was no pulp in"&amp;" the juice either. Happy with the purchase!")</f>
        <v>I bought a juicer today. I really liked it, it’s easy to use, the juice from apples and pears turned out very tasty, there were no difficulties with washing either. I didn’t notice much transparency in the juice, but it wasn’t needed, there was no pulp in the juice either. Happy with the purchase!</v>
      </c>
    </row>
    <row r="3898" spans="1:9" x14ac:dyDescent="0.3">
      <c r="A3898" s="1" t="s">
        <v>61</v>
      </c>
      <c r="B3898" s="1" t="s">
        <v>318</v>
      </c>
      <c r="C3898" s="1" t="s">
        <v>85</v>
      </c>
      <c r="D3898" s="1" t="s">
        <v>5918</v>
      </c>
      <c r="E3898" s="1" t="s">
        <v>6862</v>
      </c>
      <c r="F3898" s="1" t="s">
        <v>6863</v>
      </c>
      <c r="G3898" s="1" t="s">
        <v>36</v>
      </c>
      <c r="H3898" s="1" t="s">
        <v>29</v>
      </c>
      <c r="I3898" s="1" t="str">
        <f ca="1">IFERROR(__xludf.DUMMYFUNCTION("GOOGLETRANSLATE(F3898, ""auto"", ""en"")
"),"Durable")</f>
        <v>Durable</v>
      </c>
    </row>
    <row r="3899" spans="1:9" x14ac:dyDescent="0.3">
      <c r="A3899" s="1" t="s">
        <v>120</v>
      </c>
      <c r="B3899" s="1" t="s">
        <v>256</v>
      </c>
      <c r="C3899" s="1" t="s">
        <v>97</v>
      </c>
      <c r="D3899" s="1" t="s">
        <v>152</v>
      </c>
      <c r="E3899" s="1" t="s">
        <v>1172</v>
      </c>
      <c r="F3899" s="1" t="s">
        <v>6864</v>
      </c>
      <c r="G3899" s="1" t="s">
        <v>49</v>
      </c>
      <c r="H3899" s="1" t="s">
        <v>16</v>
      </c>
      <c r="I3899" s="1" t="str">
        <f ca="1">IFERROR(__xludf.DUMMYFUNCTION("GOOGLETRANSLATE(F3899, ""auto"", ""en"")
"),"Let's start in order. My family and I are regular clients of M.Video.  In principle, I have always been satisfied with purchases in this chain of stores.  But not this time.  This weekend I bought a network filter for 20,000 (monster power) for my future "&amp;"large TV and this TV model for my parents.   In this model, only the convenience of the remote control and menu remains from SONY.  I didn’t expect such a terrible model from Sonya. He thinks for a very long time when switching channels. The quality of TV"&amp;" over-the-air channels is absolutely LACK. Everything is blurry.  I'm so upset about this purchase that I just pip. Well, I didn’t expect this from SONY. I read the reviews on the Internet too late, I would not have bought it.  Don't buy this TV.   For th"&amp;"ose who doubt it, this is the third LCD TV and the second one I bought from M.Video.   Samsung 27"" - Air quality - 4, numbers - 5. Philips 20"" (19) - air quality - 4, numbers - 5. This Sonya 26"" - air quality - 1, numbers - 3 (4) I took it only a few d"&amp;"ays ago, I will try to change it, but they may refuse because it is a “complex technical product”. It is their right to refuse. If they don’t change it, I will refuse all planned purchases in this network. Maybe this is not even a review of a product, but"&amp;" something more, because I always believed that neither M.video nor SONY would deceive me, but it turned out like this :((")</f>
        <v>Let's start in order. My family and I are regular clients of M.Video.  In principle, I have always been satisfied with purchases in this chain of stores.  But not this time.  This weekend I bought a network filter for 20,000 (monster power) for my future large TV and this TV model for my parents.   In this model, only the convenience of the remote control and menu remains from SONY.  I didn’t expect such a terrible model from Sonya. He thinks for a very long time when switching channels. The quality of TV over-the-air channels is absolutely LACK. Everything is blurry.  I'm so upset about this purchase that I just pip. Well, I didn’t expect this from SONY. I read the reviews on the Internet too late, I would not have bought it.  Don't buy this TV.   For those who doubt it, this is the third LCD TV and the second one I bought from M.Video.   Samsung 27" - Air quality - 4, numbers - 5. Philips 20" (19) - air quality - 4, numbers - 5. This Sonya 26" - air quality - 1, numbers - 3 (4) I took it only a few days ago, I will try to change it, but they may refuse because it is a “complex technical product”. It is their right to refuse. If they don’t change it, I will refuse all planned purchases in this network. Maybe this is not even a review of a product, but something more, because I always believed that neither M.video nor SONY would deceive me, but it turned out like this :((</v>
      </c>
    </row>
    <row r="3900" spans="1:9" x14ac:dyDescent="0.3">
      <c r="A3900" s="1" t="s">
        <v>211</v>
      </c>
      <c r="B3900" s="1" t="s">
        <v>212</v>
      </c>
      <c r="C3900" s="1" t="s">
        <v>213</v>
      </c>
      <c r="D3900" s="1" t="s">
        <v>6865</v>
      </c>
      <c r="E3900" s="1" t="s">
        <v>1221</v>
      </c>
      <c r="F3900" s="1" t="s">
        <v>6866</v>
      </c>
      <c r="G3900" s="1" t="s">
        <v>36</v>
      </c>
      <c r="H3900" s="1" t="s">
        <v>29</v>
      </c>
      <c r="I3900" s="1" t="str">
        <f ca="1">IFERROR(__xludf.DUMMYFUNCTION("GOOGLETRANSLATE(F3900, ""auto"", ""en"")
"),"good curling iron, heats up quickly, straightens perfectly and hair shines and shimmers after styling")</f>
        <v>good curling iron, heats up quickly, straightens perfectly and hair shines and shimmers after styling</v>
      </c>
    </row>
    <row r="3901" spans="1:9" x14ac:dyDescent="0.3">
      <c r="A3901" s="1" t="s">
        <v>37</v>
      </c>
      <c r="B3901" s="1" t="s">
        <v>38</v>
      </c>
      <c r="C3901" s="1" t="s">
        <v>39</v>
      </c>
      <c r="D3901" s="1" t="s">
        <v>86</v>
      </c>
      <c r="E3901" s="1" t="s">
        <v>500</v>
      </c>
      <c r="F3901" s="1" t="s">
        <v>6867</v>
      </c>
      <c r="G3901" s="1" t="s">
        <v>49</v>
      </c>
      <c r="H3901" s="1" t="s">
        <v>16</v>
      </c>
      <c r="I3901" s="1" t="str">
        <f ca="1">IFERROR(__xludf.DUMMYFUNCTION("GOOGLETRANSLATE(F3901, ""auto"", ""en"")
"),"No MP3.")</f>
        <v>No MP3.</v>
      </c>
    </row>
    <row r="3902" spans="1:9" x14ac:dyDescent="0.3">
      <c r="A3902" s="1" t="s">
        <v>9</v>
      </c>
      <c r="B3902" s="1" t="s">
        <v>133</v>
      </c>
      <c r="C3902" s="1" t="s">
        <v>290</v>
      </c>
      <c r="D3902" s="1" t="s">
        <v>295</v>
      </c>
      <c r="E3902" s="1" t="s">
        <v>4552</v>
      </c>
      <c r="F3902" s="1" t="s">
        <v>6868</v>
      </c>
      <c r="G3902" s="1" t="s">
        <v>36</v>
      </c>
      <c r="H3902" s="1" t="s">
        <v>29</v>
      </c>
      <c r="I3902" s="1" t="str">
        <f ca="1">IFERROR(__xludf.DUMMYFUNCTION("GOOGLETRANSLATE(F3902, ""auto"", ""en"")
"),"Great oven! High quality, stylish. The baked goods turn out airy! Easy to clean and does not leave fingerprints on the glass. During the year of use there were no problems. I recommend it to everyone!")</f>
        <v>Great oven! High quality, stylish. The baked goods turn out airy! Easy to clean and does not leave fingerprints on the glass. During the year of use there were no problems. I recommend it to everyone!</v>
      </c>
    </row>
    <row r="3903" spans="1:9" x14ac:dyDescent="0.3">
      <c r="A3903" s="1" t="s">
        <v>120</v>
      </c>
      <c r="B3903" s="1" t="s">
        <v>121</v>
      </c>
      <c r="C3903" s="1" t="s">
        <v>122</v>
      </c>
      <c r="D3903" s="1" t="s">
        <v>232</v>
      </c>
      <c r="E3903" s="1" t="s">
        <v>3469</v>
      </c>
      <c r="F3903" s="1" t="s">
        <v>6869</v>
      </c>
      <c r="G3903" s="1" t="s">
        <v>28</v>
      </c>
      <c r="H3903" s="1" t="s">
        <v>29</v>
      </c>
      <c r="I3903" s="1" t="str">
        <f ca="1">IFERROR(__xludf.DUMMYFUNCTION("GOOGLETRANSLATE(F3903, ""auto"", ""en"")
"),"The model is a solid B, it shows well, there are some minor drawbacks in the image, but just minor things, plus the suspicion that I have a problem with the broadcast reception, since the video from the DVD has no complaints. I'm happy with the purchase, "&amp;"but let everyone decide for themselves.")</f>
        <v>The model is a solid B, it shows well, there are some minor drawbacks in the image, but just minor things, plus the suspicion that I have a problem with the broadcast reception, since the video from the DVD has no complaints. I'm happy with the purchase, but let everyone decide for themselves.</v>
      </c>
    </row>
    <row r="3904" spans="1:9" x14ac:dyDescent="0.3">
      <c r="A3904" s="1" t="s">
        <v>89</v>
      </c>
      <c r="B3904" s="1" t="s">
        <v>90</v>
      </c>
      <c r="C3904" s="1" t="s">
        <v>185</v>
      </c>
      <c r="D3904" s="1" t="s">
        <v>81</v>
      </c>
      <c r="E3904" s="1" t="s">
        <v>2038</v>
      </c>
      <c r="F3904" s="1" t="s">
        <v>6870</v>
      </c>
      <c r="G3904" s="1" t="s">
        <v>28</v>
      </c>
      <c r="H3904" s="1" t="s">
        <v>29</v>
      </c>
      <c r="I3904" s="1" t="str">
        <f ca="1">IFERROR(__xludf.DUMMYFUNCTION("GOOGLETRANSLATE(F3904, ""auto"", ""en"")
"),"I bought it today. I tried it right away.   The expresso grind is great and it grinds very quickly.   The only drawback is that it takes two cups.")</f>
        <v>I bought it today. I tried it right away.   The expresso grind is great and it grinds very quickly.   The only drawback is that it takes two cups.</v>
      </c>
    </row>
    <row r="3905" spans="1:9" x14ac:dyDescent="0.3">
      <c r="A3905" s="1" t="s">
        <v>120</v>
      </c>
      <c r="B3905" s="1" t="s">
        <v>121</v>
      </c>
      <c r="C3905" s="1" t="s">
        <v>97</v>
      </c>
      <c r="D3905" s="1" t="s">
        <v>200</v>
      </c>
      <c r="E3905" s="1" t="s">
        <v>529</v>
      </c>
      <c r="F3905" s="1" t="s">
        <v>6871</v>
      </c>
      <c r="G3905" s="1" t="s">
        <v>28</v>
      </c>
      <c r="H3905" s="1" t="s">
        <v>29</v>
      </c>
      <c r="I3905" s="1" t="str">
        <f ca="1">IFERROR(__xludf.DUMMYFUNCTION("GOOGLETRANSLATE(F3905, ""auto"", ""en"")
"),"-When switching channels, a wide black bar appears at the top of the screen with information about the channel, etc., which “hangs” on the screen for about 5-7 seconds - which is quite a long time.  -When switching channels, it “thinks” for a long time - "&amp;"a black screen for a couple of seconds.  -Lack of clock and timer to turn on.   -The shutdown timer is “buried” deep in the submenu, but there is a “set subtitles” button, which I (I think and many) do not use at all, but is located in a very convenient p"&amp;"lace on the remote control!")</f>
        <v>-When switching channels, a wide black bar appears at the top of the screen with information about the channel, etc., which “hangs” on the screen for about 5-7 seconds - which is quite a long time.  -When switching channels, it “thinks” for a long time - a black screen for a couple of seconds.  -Lack of clock and timer to turn on.   -The shutdown timer is “buried” deep in the submenu, but there is a “set subtitles” button, which I (I think and many) do not use at all, but is located in a very convenient place on the remote control!</v>
      </c>
    </row>
    <row r="3906" spans="1:9" x14ac:dyDescent="0.3">
      <c r="A3906" s="1" t="s">
        <v>111</v>
      </c>
      <c r="B3906" s="1" t="s">
        <v>112</v>
      </c>
      <c r="C3906" s="1" t="s">
        <v>113</v>
      </c>
      <c r="D3906" s="1" t="s">
        <v>6872</v>
      </c>
      <c r="E3906" s="1" t="s">
        <v>285</v>
      </c>
      <c r="F3906" s="1" t="s">
        <v>6873</v>
      </c>
      <c r="G3906" s="1" t="s">
        <v>28</v>
      </c>
      <c r="H3906" s="1" t="s">
        <v>29</v>
      </c>
      <c r="I3906" s="1" t="str">
        <f ca="1">IFERROR(__xludf.DUMMYFUNCTION("GOOGLETRANSLATE(F3906, ""auto"", ""en"")
"),"A little expensive, few sockets, the protection is quite good, but there are cheaper analogues that have more sockets and a more ergonomic design.")</f>
        <v>A little expensive, few sockets, the protection is quite good, but there are cheaper analogues that have more sockets and a more ergonomic design.</v>
      </c>
    </row>
    <row r="3907" spans="1:9" x14ac:dyDescent="0.3">
      <c r="A3907" s="1" t="s">
        <v>67</v>
      </c>
      <c r="B3907" s="1" t="s">
        <v>68</v>
      </c>
      <c r="C3907" s="1" t="s">
        <v>69</v>
      </c>
      <c r="D3907" s="1" t="s">
        <v>6874</v>
      </c>
      <c r="E3907" s="1" t="s">
        <v>6875</v>
      </c>
      <c r="F3907" s="1" t="s">
        <v>6876</v>
      </c>
      <c r="G3907" s="1" t="s">
        <v>36</v>
      </c>
      <c r="H3907" s="1" t="s">
        <v>29</v>
      </c>
      <c r="I3907" s="1" t="str">
        <f ca="1">IFERROR(__xludf.DUMMYFUNCTION("GOOGLETRANSLATE(F3907, ""auto"", ""en"")
"),"I bought this iron a few months ago, I’m happy with it, good weight, auto-cleaning and auto-shutdown functions. It has everything you need.")</f>
        <v>I bought this iron a few months ago, I’m happy with it, good weight, auto-cleaning and auto-shutdown functions. It has everything you need.</v>
      </c>
    </row>
    <row r="3908" spans="1:9" x14ac:dyDescent="0.3">
      <c r="A3908" s="1" t="s">
        <v>37</v>
      </c>
      <c r="B3908" s="1" t="s">
        <v>38</v>
      </c>
      <c r="C3908" s="1" t="s">
        <v>39</v>
      </c>
      <c r="D3908" s="1" t="s">
        <v>6877</v>
      </c>
      <c r="E3908" s="1" t="s">
        <v>538</v>
      </c>
      <c r="F3908" s="1" t="s">
        <v>6878</v>
      </c>
      <c r="G3908" s="1" t="s">
        <v>36</v>
      </c>
      <c r="H3908" s="1" t="s">
        <v>29</v>
      </c>
      <c r="I3908" s="1" t="str">
        <f ca="1">IFERROR(__xludf.DUMMYFUNCTION("GOOGLETRANSLATE(F3908, ""auto"", ""en"")
"),"The phone is very cool, the sound pleased me, the camera is also chic! In general, there are practically no downsides to the phone!")</f>
        <v>The phone is very cool, the sound pleased me, the camera is also chic! In general, there are practically no downsides to the phone!</v>
      </c>
    </row>
    <row r="3909" spans="1:9" x14ac:dyDescent="0.3">
      <c r="A3909" s="1" t="s">
        <v>211</v>
      </c>
      <c r="B3909" s="1" t="s">
        <v>212</v>
      </c>
      <c r="C3909" s="1" t="s">
        <v>381</v>
      </c>
      <c r="D3909" s="1" t="s">
        <v>247</v>
      </c>
      <c r="E3909" s="1" t="s">
        <v>1705</v>
      </c>
      <c r="F3909" s="1" t="s">
        <v>6879</v>
      </c>
      <c r="G3909" s="1" t="s">
        <v>36</v>
      </c>
      <c r="H3909" s="1" t="s">
        <v>29</v>
      </c>
      <c r="I3909" s="1" t="str">
        <f ca="1">IFERROR(__xludf.DUMMYFUNCTION("GOOGLETRANSLATE(F3909, ""auto"", ""en"")
"),"This hairdryer has been my life partner for a year now. It suits both my mother and sister for waist-length hair, and for me with shorter hair. The brush holds perfectly, nothing gets tangled when your hands grow out of the right place)). I recommend this"&amp;" miracle to everyone! And everyone I know who bought it is in love with this hair dryer! And advice for those who are just going to buy it, check that it doesn’t swing right away in the store; when styling, take small strands like in a hairdresser (from t"&amp;"he bottom row to the top) and adjust the speed from below on the lever)). Good luck)).")</f>
        <v>This hairdryer has been my life partner for a year now. It suits both my mother and sister for waist-length hair, and for me with shorter hair. The brush holds perfectly, nothing gets tangled when your hands grow out of the right place)). I recommend this miracle to everyone! And everyone I know who bought it is in love with this hair dryer! And advice for those who are just going to buy it, check that it doesn’t swing right away in the store; when styling, take small strands like in a hairdresser (from the bottom row to the top) and adjust the speed from below on the lever)). Good luck)).</v>
      </c>
    </row>
    <row r="3910" spans="1:9" x14ac:dyDescent="0.3">
      <c r="A3910" s="1" t="s">
        <v>211</v>
      </c>
      <c r="B3910" s="1" t="s">
        <v>212</v>
      </c>
      <c r="C3910" s="1" t="s">
        <v>69</v>
      </c>
      <c r="D3910" s="1" t="s">
        <v>474</v>
      </c>
      <c r="E3910" s="1" t="s">
        <v>5949</v>
      </c>
      <c r="F3910" s="1" t="s">
        <v>6880</v>
      </c>
      <c r="G3910" s="1" t="s">
        <v>36</v>
      </c>
      <c r="H3910" s="1" t="s">
        <v>29</v>
      </c>
      <c r="I3910" s="1" t="str">
        <f ca="1">IFERROR(__xludf.DUMMYFUNCTION("GOOGLETRANSLATE(F3910, ""auto"", ""en"")
"),"A very good hairdryer. I liked the separate air ionization button, and it’s nicely backlit. The long cord is also a plus. Convenient location of the buttons, everything can be switched without difficulty! Good quality!")</f>
        <v>A very good hairdryer. I liked the separate air ionization button, and it’s nicely backlit. The long cord is also a plus. Convenient location of the buttons, everything can be switched without difficulty! Good quality!</v>
      </c>
    </row>
    <row r="3911" spans="1:9" x14ac:dyDescent="0.3">
      <c r="A3911" s="1" t="s">
        <v>120</v>
      </c>
      <c r="B3911" s="1" t="s">
        <v>196</v>
      </c>
      <c r="C3911" s="1" t="s">
        <v>69</v>
      </c>
      <c r="D3911" s="1" t="s">
        <v>81</v>
      </c>
      <c r="E3911" s="1" t="s">
        <v>4174</v>
      </c>
      <c r="F3911" s="1" t="s">
        <v>6881</v>
      </c>
      <c r="G3911" s="1" t="s">
        <v>28</v>
      </c>
      <c r="H3911" s="1" t="s">
        <v>29</v>
      </c>
      <c r="I3911" s="1" t="str">
        <f ca="1">IFERROR(__xludf.DUMMYFUNCTION("GOOGLETRANSLATE(F3911, ""auto"", ""en"")
"),"The TV is excellent, but there are several points that I consider necessary to reflect in order to avoid misunderstandings during and after the purchase.  1. Do not look for the sleep timer hot button on the remote control - to set it you need to dive int"&amp;"o the menu each time.  2. There is a limitation in the formats supported for playing via USB - neither AVI nor MKV nor some other popular formats can be played.  3. With regard to the Russian assembly, there is also a cosmetic defect - if you look at the "&amp;"TV from behind, then in the upper right part of it from the corner to the middle there is a neat gap about 5 centimeters long, outwardly similar to a crack, but in fact it is a diagonal joint between the two rear plates of the case, which is either poorly"&amp;" melted or poorly polished. (I initially refused one of the TVs, thinking that it was a crack, especially since we The seller did not find a symmetrical gap on the opposite side of the TV. But then I looked at several other similar TVs and was convinced t"&amp;"hat this was not a consequence of a fall. The origin of the gap became finally clear after examining it from an angle, from which it is clearly visible that the continuation of the gap is a barely noticeable groove from the joint of the plastic panels).  "&amp;"Summary - I still bought the TV. And frankly pleased.")</f>
        <v>The TV is excellent, but there are several points that I consider necessary to reflect in order to avoid misunderstandings during and after the purchase.  1. Do not look for the sleep timer hot button on the remote control - to set it you need to dive into the menu each time.  2. There is a limitation in the formats supported for playing via USB - neither AVI nor MKV nor some other popular formats can be played.  3. With regard to the Russian assembly, there is also a cosmetic defect - if you look at the TV from behind, then in the upper right part of it from the corner to the middle there is a neat gap about 5 centimeters long, outwardly similar to a crack, but in fact it is a diagonal joint between the two rear plates of the case, which is either poorly melted or poorly polished. (I initially refused one of the TVs, thinking that it was a crack, especially since we The seller did not find a symmetrical gap on the opposite side of the TV. But then I looked at several other similar TVs and was convinced that this was not a consequence of a fall. The origin of the gap became finally clear after examining it from an angle, from which it is clearly visible that the continuation of the gap is a barely noticeable groove from the joint of the plastic panels).  Summary - I still bought the TV. And frankly pleased.</v>
      </c>
    </row>
    <row r="3912" spans="1:9" x14ac:dyDescent="0.3">
      <c r="A3912" s="1" t="s">
        <v>55</v>
      </c>
      <c r="B3912" s="1" t="s">
        <v>3549</v>
      </c>
      <c r="C3912" s="1" t="s">
        <v>57</v>
      </c>
      <c r="D3912" s="1" t="s">
        <v>52</v>
      </c>
      <c r="E3912" s="1" t="s">
        <v>1401</v>
      </c>
      <c r="F3912" s="1" t="s">
        <v>6882</v>
      </c>
      <c r="G3912" s="1" t="s">
        <v>28</v>
      </c>
      <c r="H3912" s="1" t="s">
        <v>29</v>
      </c>
      <c r="I3912" s="1" t="str">
        <f ca="1">IFERROR(__xludf.DUMMYFUNCTION("GOOGLETRANSLATE(F3912, ""auto"", ""en"")
"),"I bought it today. It looks big, but the size justifies it. Large filters inspire confidence. It's noisy at low speed, to say the least. Got it, manufactured in December 2007. One year old in general. A little disappointing. And it’s not bad, the lamps wo"&amp;"rk, to check, you need to press the protection when inserting the filter, and one protection is on when installing the cover, otherwise it won’t work. The ionizer is a wire installed in a housing. I don't know how effective it is. The instructions would n"&amp;"ot say that they are extensive. Overall 4. For the money it’s not bad at all.")</f>
        <v>I bought it today. It looks big, but the size justifies it. Large filters inspire confidence. It's noisy at low speed, to say the least. Got it, manufactured in December 2007. One year old in general. A little disappointing. And it’s not bad, the lamps work, to check, you need to press the protection when inserting the filter, and one protection is on when installing the cover, otherwise it won’t work. The ionizer is a wire installed in a housing. I don't know how effective it is. The instructions would not say that they are extensive. Overall 4. For the money it’s not bad at all.</v>
      </c>
    </row>
    <row r="3913" spans="1:9" x14ac:dyDescent="0.3">
      <c r="A3913" s="1" t="s">
        <v>17</v>
      </c>
      <c r="B3913" s="1" t="s">
        <v>18</v>
      </c>
      <c r="C3913" s="1" t="s">
        <v>243</v>
      </c>
      <c r="D3913" s="1" t="s">
        <v>152</v>
      </c>
      <c r="E3913" s="1" t="s">
        <v>1533</v>
      </c>
      <c r="F3913" s="1" t="s">
        <v>6883</v>
      </c>
      <c r="G3913" s="1" t="s">
        <v>36</v>
      </c>
      <c r="H3913" s="1" t="s">
        <v>29</v>
      </c>
      <c r="I3913" s="1" t="str">
        <f ca="1">IFERROR(__xludf.DUMMYFUNCTION("GOOGLETRANSLATE(F3913, ""auto"", ""en"")
"),"Nice little car. It successfully fell into place. We really like it.")</f>
        <v>Nice little car. It successfully fell into place. We really like it.</v>
      </c>
    </row>
    <row r="3914" spans="1:9" x14ac:dyDescent="0.3">
      <c r="A3914" s="1" t="s">
        <v>169</v>
      </c>
      <c r="B3914" s="1" t="s">
        <v>170</v>
      </c>
      <c r="C3914" s="1" t="s">
        <v>69</v>
      </c>
      <c r="D3914" s="1" t="s">
        <v>6884</v>
      </c>
      <c r="E3914" s="1" t="s">
        <v>594</v>
      </c>
      <c r="F3914" s="1" t="s">
        <v>6885</v>
      </c>
      <c r="G3914" s="1" t="s">
        <v>28</v>
      </c>
      <c r="H3914" s="1" t="s">
        <v>29</v>
      </c>
      <c r="I3914" s="1" t="str">
        <f ca="1">IFERROR(__xludf.DUMMYFUNCTION("GOOGLETRANSLATE(F3914, ""auto"", ""en"")
"),"The headphones are good, but the light interferes and sudden movements are complete nonsense, the sound is not distorted at all. The sound is good and clear, although the bass is very weak. overall 4 out of 5, good but expected more.")</f>
        <v>The headphones are good, but the light interferes and sudden movements are complete nonsense, the sound is not distorted at all. The sound is good and clear, although the bass is very weak. overall 4 out of 5, good but expected more.</v>
      </c>
    </row>
    <row r="3915" spans="1:9" x14ac:dyDescent="0.3">
      <c r="A3915" s="1" t="s">
        <v>55</v>
      </c>
      <c r="B3915" s="1" t="s">
        <v>752</v>
      </c>
      <c r="C3915" s="1" t="s">
        <v>185</v>
      </c>
      <c r="D3915" s="1" t="s">
        <v>232</v>
      </c>
      <c r="E3915" s="1" t="s">
        <v>753</v>
      </c>
      <c r="F3915" s="1" t="s">
        <v>6886</v>
      </c>
      <c r="G3915" s="1" t="s">
        <v>36</v>
      </c>
      <c r="H3915" s="1" t="s">
        <v>29</v>
      </c>
      <c r="I3915" s="1" t="str">
        <f ca="1">IFERROR(__xludf.DUMMYFUNCTION("GOOGLETRANSLATE(F3915, ""auto"", ""en"")
"),"The best model of oil radiator. Maintains the desired temperature in the room using a thermostat. There are three operating power modes. Does not dry out the air and does not consume oxygen, environmentally friendly, works quietly, a reliable assistant in"&amp;" the fall). The fireplace effect is a fairy tale - it heats up quickly and warms up the room well!!")</f>
        <v>The best model of oil radiator. Maintains the desired temperature in the room using a thermostat. There are three operating power modes. Does not dry out the air and does not consume oxygen, environmentally friendly, works quietly, a reliable assistant in the fall). The fireplace effect is a fairy tale - it heats up quickly and warms up the room well!!</v>
      </c>
    </row>
    <row r="3916" spans="1:9" x14ac:dyDescent="0.3">
      <c r="A3916" s="1" t="s">
        <v>61</v>
      </c>
      <c r="B3916" s="1" t="s">
        <v>62</v>
      </c>
      <c r="C3916" s="1" t="s">
        <v>63</v>
      </c>
      <c r="D3916" s="1" t="s">
        <v>247</v>
      </c>
      <c r="E3916" s="1" t="s">
        <v>2275</v>
      </c>
      <c r="F3916" s="1" t="s">
        <v>6887</v>
      </c>
      <c r="G3916" s="1" t="s">
        <v>36</v>
      </c>
      <c r="H3916" s="1" t="s">
        <v>29</v>
      </c>
      <c r="I3916" s="1" t="str">
        <f ca="1">IFERROR(__xludf.DUMMYFUNCTION("GOOGLETRANSLATE(F3916, ""auto"", ""en"")
"),"I am very pleased with the combine, I have been using it for more than 3 years. I use a blender to whip up cocktails and pancake batter :). I only cut boiled vegetables into cubes, I didn’t try them raw, it’s a shame to spoil it. An excellent knife that t"&amp;"urns chicken or fish into minced meat for cutlets (I cook soft, tender ones for a child). I rarely use graters (it’s easier to grate a small volume by hand and less to wash afterwards + some of the vegetables got stuffed under the lid and remained ungrate"&amp;"d, I don’t know if it’s a defect or if it’s like that for everyone). Citrus juice is also 5.")</f>
        <v>I am very pleased with the combine, I have been using it for more than 3 years. I use a blender to whip up cocktails and pancake batter :). I only cut boiled vegetables into cubes, I didn’t try them raw, it’s a shame to spoil it. An excellent knife that turns chicken or fish into minced meat for cutlets (I cook soft, tender ones for a child). I rarely use graters (it’s easier to grate a small volume by hand and less to wash afterwards + some of the vegetables got stuffed under the lid and remained ungrated, I don’t know if it’s a defect or if it’s like that for everyone). Citrus juice is also 5.</v>
      </c>
    </row>
    <row r="3917" spans="1:9" x14ac:dyDescent="0.3">
      <c r="A3917" s="1" t="s">
        <v>67</v>
      </c>
      <c r="B3917" s="1" t="s">
        <v>68</v>
      </c>
      <c r="C3917" s="1" t="s">
        <v>69</v>
      </c>
      <c r="D3917" s="1" t="s">
        <v>81</v>
      </c>
      <c r="E3917" s="1" t="s">
        <v>5307</v>
      </c>
      <c r="F3917" s="1" t="s">
        <v>6888</v>
      </c>
      <c r="G3917" s="1" t="s">
        <v>36</v>
      </c>
      <c r="H3917" s="1" t="s">
        <v>29</v>
      </c>
      <c r="I3917" s="1" t="str">
        <f ca="1">IFERROR(__xludf.DUMMYFUNCTION("GOOGLETRANSLATE(F3917, ""auto"", ""en"")
"),"I bought this iron on February 15, 2007, to this day it works flawlessly, and I’ve dropped it into the water on the floor no matter how many times, it doesn’t matter to me.. I want to get the same one for my parents, but they’re not on sale, it’s a pity.."&amp;".")</f>
        <v>I bought this iron on February 15, 2007, to this day it works flawlessly, and I’ve dropped it into the water on the floor no matter how many times, it doesn’t matter to me.. I want to get the same one for my parents, but they’re not on sale, it’s a pity...</v>
      </c>
    </row>
    <row r="3918" spans="1:9" x14ac:dyDescent="0.3">
      <c r="A3918" s="1" t="s">
        <v>120</v>
      </c>
      <c r="B3918" s="1" t="s">
        <v>256</v>
      </c>
      <c r="C3918" s="1" t="s">
        <v>97</v>
      </c>
      <c r="D3918" s="1" t="s">
        <v>114</v>
      </c>
      <c r="E3918" s="1" t="s">
        <v>3637</v>
      </c>
      <c r="F3918" s="1" t="s">
        <v>6889</v>
      </c>
      <c r="G3918" s="1" t="s">
        <v>36</v>
      </c>
      <c r="H3918" s="1" t="s">
        <v>29</v>
      </c>
      <c r="I3918" s="1" t="str">
        <f ca="1">IFERROR(__xludf.DUMMYFUNCTION("GOOGLETRANSLATE(F3918, ""auto"", ""en"")
"),"Thing! I took it 6 months ago - no problems! More than justifies the price, especially now!")</f>
        <v>Thing! I took it 6 months ago - no problems! More than justifies the price, especially now!</v>
      </c>
    </row>
    <row r="3919" spans="1:9" x14ac:dyDescent="0.3">
      <c r="A3919" s="1" t="s">
        <v>61</v>
      </c>
      <c r="B3919" s="1" t="s">
        <v>977</v>
      </c>
      <c r="C3919" s="1" t="s">
        <v>213</v>
      </c>
      <c r="D3919" s="1" t="s">
        <v>658</v>
      </c>
      <c r="E3919" s="1" t="s">
        <v>201</v>
      </c>
      <c r="F3919" s="1" t="s">
        <v>6890</v>
      </c>
      <c r="G3919" s="1" t="s">
        <v>36</v>
      </c>
      <c r="H3919" s="1" t="s">
        <v>29</v>
      </c>
      <c r="I3919" s="1" t="str">
        <f ca="1">IFERROR(__xludf.DUMMYFUNCTION("GOOGLETRANSLATE(F3919, ""auto"", ""en"")
"),"They gave it to me as a birthday present. I like it, everything suits me. I've had my blender for over a year now. I use it and enjoy it! I even once made minced fish using it. The only BUT, for complete happiness, the kit does not have a whisk for whippi"&amp;"ng, and that’s all you need!")</f>
        <v>They gave it to me as a birthday present. I like it, everything suits me. I've had my blender for over a year now. I use it and enjoy it! I even once made minced fish using it. The only BUT, for complete happiness, the kit does not have a whisk for whipping, and that’s all you need!</v>
      </c>
    </row>
    <row r="3920" spans="1:9" x14ac:dyDescent="0.3">
      <c r="A3920" s="1" t="s">
        <v>9</v>
      </c>
      <c r="B3920" s="1" t="s">
        <v>10</v>
      </c>
      <c r="C3920" s="1" t="s">
        <v>407</v>
      </c>
      <c r="D3920" s="1" t="s">
        <v>589</v>
      </c>
      <c r="E3920" s="1" t="s">
        <v>6891</v>
      </c>
      <c r="F3920" s="1" t="s">
        <v>6892</v>
      </c>
      <c r="G3920" s="1" t="s">
        <v>36</v>
      </c>
      <c r="H3920" s="1" t="s">
        <v>29</v>
      </c>
      <c r="I3920" s="1" t="str">
        <f ca="1">IFERROR(__xludf.DUMMYFUNCTION("GOOGLETRANSLATE(F3920, ""auto"", ""en"")
"),"I liked it, it was not noisy, it blew well, the only thing was that the paint was peeling off in the corners.")</f>
        <v>I liked it, it was not noisy, it blew well, the only thing was that the paint was peeling off in the corners.</v>
      </c>
    </row>
    <row r="3921" spans="1:9" x14ac:dyDescent="0.3">
      <c r="A3921" s="1" t="s">
        <v>67</v>
      </c>
      <c r="B3921" s="1" t="s">
        <v>68</v>
      </c>
      <c r="C3921" s="1" t="s">
        <v>101</v>
      </c>
      <c r="D3921" s="1" t="s">
        <v>896</v>
      </c>
      <c r="E3921" s="1" t="s">
        <v>5923</v>
      </c>
      <c r="F3921" s="1" t="s">
        <v>6893</v>
      </c>
      <c r="G3921" s="1" t="s">
        <v>36</v>
      </c>
      <c r="H3921" s="1" t="s">
        <v>29</v>
      </c>
      <c r="I3921" s="1" t="str">
        <f ca="1">IFERROR(__xludf.DUMMYFUNCTION("GOOGLETRANSLATE(F3921, ""auto"", ""en"")
"),"Travel iron with steam? I couldn’t even imagine this, especially at such an affordable price, so I took it without hesitation. This is truly an indispensable item for those who travel a lot. I also use it at home to iron hard-to-reach folds.")</f>
        <v>Travel iron with steam? I couldn’t even imagine this, especially at such an affordable price, so I took it without hesitation. This is truly an indispensable item for those who travel a lot. I also use it at home to iron hard-to-reach folds.</v>
      </c>
    </row>
    <row r="3922" spans="1:9" x14ac:dyDescent="0.3">
      <c r="A3922" s="1" t="s">
        <v>211</v>
      </c>
      <c r="B3922" s="1" t="s">
        <v>212</v>
      </c>
      <c r="C3922" s="1" t="s">
        <v>381</v>
      </c>
      <c r="D3922" s="1" t="s">
        <v>64</v>
      </c>
      <c r="E3922" s="1" t="s">
        <v>3184</v>
      </c>
      <c r="F3922" s="1" t="s">
        <v>6894</v>
      </c>
      <c r="G3922" s="1" t="s">
        <v>15</v>
      </c>
      <c r="H3922" s="1" t="s">
        <v>16</v>
      </c>
      <c r="I3922" s="1" t="str">
        <f ca="1">IFERROR(__xludf.DUMMYFUNCTION("GOOGLETRANSLATE(F3922, ""auto"", ""en"")
"),"I didn't like the hairdryer! Very bulky and therefore inconvenient! When styling, the round brush constantly falls out of the handle, because... fastenings are very weak. A month later, because of this, I no longer use a small brush, and a large one does "&amp;"not allow me to achieve the desired curl of my curls.  It's a pity for the money I spent, now I'm looking for a simple hairdryer for styling!")</f>
        <v>I didn't like the hairdryer! Very bulky and therefore inconvenient! When styling, the round brush constantly falls out of the handle, because... fastenings are very weak. A month later, because of this, I no longer use a small brush, and a large one does not allow me to achieve the desired curl of my curls.  It's a pity for the money I spent, now I'm looking for a simple hairdryer for styling!</v>
      </c>
    </row>
    <row r="3923" spans="1:9" x14ac:dyDescent="0.3">
      <c r="A3923" s="1" t="s">
        <v>37</v>
      </c>
      <c r="B3923" s="1" t="s">
        <v>38</v>
      </c>
      <c r="C3923" s="1" t="s">
        <v>163</v>
      </c>
      <c r="D3923" s="1" t="s">
        <v>232</v>
      </c>
      <c r="E3923" s="1" t="s">
        <v>822</v>
      </c>
      <c r="F3923" s="1" t="s">
        <v>6895</v>
      </c>
      <c r="G3923" s="1" t="s">
        <v>49</v>
      </c>
      <c r="H3923" s="1" t="s">
        <v>16</v>
      </c>
      <c r="I3923" s="1" t="str">
        <f ca="1">IFERROR(__xludf.DUMMYFUNCTION("GOOGLETRANSLATE(F3923, ""auto"", ""en"")
"),"The phone worked for my son for a little over a year, and in the end it malfunctioned so badly that the service center refused to fix it.  I don't recommend anyone to take it")</f>
        <v>The phone worked for my son for a little over a year, and in the end it malfunctioned so badly that the service center refused to fix it.  I don't recommend anyone to take it</v>
      </c>
    </row>
    <row r="3924" spans="1:9" x14ac:dyDescent="0.3">
      <c r="A3924" s="1" t="s">
        <v>37</v>
      </c>
      <c r="B3924" s="1" t="s">
        <v>38</v>
      </c>
      <c r="C3924" s="1" t="s">
        <v>39</v>
      </c>
      <c r="D3924" s="1" t="s">
        <v>4776</v>
      </c>
      <c r="E3924" s="1" t="s">
        <v>1362</v>
      </c>
      <c r="F3924" s="1" t="s">
        <v>6896</v>
      </c>
      <c r="G3924" s="1" t="s">
        <v>36</v>
      </c>
      <c r="H3924" s="1" t="s">
        <v>29</v>
      </c>
      <c r="I3924" s="1" t="str">
        <f ca="1">IFERROR(__xludf.DUMMYFUNCTION("GOOGLETRANSLATE(F3924, ""auto"", ""en"")
"),"Excellent phone! The sound is amazing (after the E398, of course). In general, there are no complaints about it after 2 months of use.")</f>
        <v>Excellent phone! The sound is amazing (after the E398, of course). In general, there are no complaints about it after 2 months of use.</v>
      </c>
    </row>
    <row r="3925" spans="1:9" x14ac:dyDescent="0.3">
      <c r="A3925" s="1" t="s">
        <v>37</v>
      </c>
      <c r="B3925" s="1" t="s">
        <v>38</v>
      </c>
      <c r="C3925" s="1" t="s">
        <v>163</v>
      </c>
      <c r="D3925" s="1" t="s">
        <v>200</v>
      </c>
      <c r="E3925" s="1" t="s">
        <v>1723</v>
      </c>
      <c r="F3925" s="1" t="s">
        <v>6897</v>
      </c>
      <c r="G3925" s="1" t="s">
        <v>36</v>
      </c>
      <c r="H3925" s="1" t="s">
        <v>29</v>
      </c>
      <c r="I3925" s="1" t="str">
        <f ca="1">IFERROR(__xludf.DUMMYFUNCTION("GOOGLETRANSLATE(F3925, ""auto"", ""en"")
"),"the phone is good... I advise you to buy it for those who do not have a player :)")</f>
        <v>the phone is good... I advise you to buy it for those who do not have a player :)</v>
      </c>
    </row>
    <row r="3926" spans="1:9" x14ac:dyDescent="0.3">
      <c r="A3926" s="1" t="s">
        <v>37</v>
      </c>
      <c r="B3926" s="1" t="s">
        <v>536</v>
      </c>
      <c r="C3926" s="1" t="s">
        <v>189</v>
      </c>
      <c r="D3926" s="1" t="s">
        <v>896</v>
      </c>
      <c r="E3926" s="1" t="s">
        <v>41</v>
      </c>
      <c r="F3926" s="1" t="s">
        <v>6898</v>
      </c>
      <c r="G3926" s="1" t="s">
        <v>36</v>
      </c>
      <c r="H3926" s="1" t="s">
        <v>29</v>
      </c>
      <c r="I3926" s="1" t="str">
        <f ca="1">IFERROR(__xludf.DUMMYFUNCTION("GOOGLETRANSLATE(F3926, ""auto"", ""en"")
"),"I've been using the communicator for a year and a half. After six months of operation, please note, the Hold button (switch of three positions) flew, because of this the asus constantly turned off. The warranty repair of course fixed everything and overal"&amp;"l I am satisfied with the performance of the device.")</f>
        <v>I've been using the communicator for a year and a half. After six months of operation, please note, the Hold button (switch of three positions) flew, because of this the asus constantly turned off. The warranty repair of course fixed everything and overall I am satisfied with the performance of the device.</v>
      </c>
    </row>
    <row r="3927" spans="1:9" x14ac:dyDescent="0.3">
      <c r="A3927" s="1" t="s">
        <v>67</v>
      </c>
      <c r="B3927" s="1" t="s">
        <v>340</v>
      </c>
      <c r="C3927" s="1" t="s">
        <v>1634</v>
      </c>
      <c r="D3927" s="1" t="s">
        <v>589</v>
      </c>
      <c r="E3927" s="1" t="s">
        <v>6569</v>
      </c>
      <c r="F3927" s="1" t="s">
        <v>6899</v>
      </c>
      <c r="G3927" s="1" t="s">
        <v>36</v>
      </c>
      <c r="H3927" s="1" t="s">
        <v>29</v>
      </c>
      <c r="I3927" s="1" t="str">
        <f ca="1">IFERROR(__xludf.DUMMYFUNCTION("GOOGLETRANSLATE(F3927, ""auto"", ""en"")
"),"Works with any fabric")</f>
        <v>Works with any fabric</v>
      </c>
    </row>
    <row r="3928" spans="1:9" x14ac:dyDescent="0.3">
      <c r="A3928" s="1" t="s">
        <v>373</v>
      </c>
      <c r="B3928" s="1" t="s">
        <v>374</v>
      </c>
      <c r="C3928" s="1" t="s">
        <v>19</v>
      </c>
      <c r="D3928" s="1" t="s">
        <v>589</v>
      </c>
      <c r="E3928" s="1" t="s">
        <v>543</v>
      </c>
      <c r="F3928" s="1" t="s">
        <v>6900</v>
      </c>
      <c r="G3928" s="1" t="s">
        <v>36</v>
      </c>
      <c r="H3928" s="1" t="s">
        <v>29</v>
      </c>
      <c r="I3928" s="1" t="str">
        <f ca="1">IFERROR(__xludf.DUMMYFUNCTION("GOOGLETRANSLATE(F3928, ""auto"", ""en"")
"),"Great machine! It even washes dishes after baking in the oven on program 2, not to mention plates and pots. Works quietly. There are no more problems with dishes, I recommend it.")</f>
        <v>Great machine! It even washes dishes after baking in the oven on program 2, not to mention plates and pots. Works quietly. There are no more problems with dishes, I recommend it.</v>
      </c>
    </row>
    <row r="3929" spans="1:9" x14ac:dyDescent="0.3">
      <c r="A3929" s="1" t="s">
        <v>43</v>
      </c>
      <c r="B3929" s="1" t="s">
        <v>1382</v>
      </c>
      <c r="C3929" s="1" t="s">
        <v>57</v>
      </c>
      <c r="D3929" s="1" t="s">
        <v>1171</v>
      </c>
      <c r="E3929" s="1" t="s">
        <v>3712</v>
      </c>
      <c r="F3929" s="1" t="s">
        <v>6901</v>
      </c>
      <c r="G3929" s="1" t="s">
        <v>28</v>
      </c>
      <c r="H3929" s="1" t="s">
        <v>29</v>
      </c>
      <c r="I3929" s="1" t="str">
        <f ca="1">IFERROR(__xludf.DUMMYFUNCTION("GOOGLETRANSLATE(F3929, ""auto"", ""en"")
"),"This fan has airflow holes only halfway from the front part, i.e. the bottom part has no holes, just for beauty. In the “sleep” mode it works quietly, blows lightly, and is comfortable at night. In the other 3 modes it is quite noisy, but the airflow is v"&amp;"ery powerful. It will do the job in a small room, but I don’t think so in a large room.  The advantages include small size and a control panel.")</f>
        <v>This fan has airflow holes only halfway from the front part, i.e. the bottom part has no holes, just for beauty. In the “sleep” mode it works quietly, blows lightly, and is comfortable at night. In the other 3 modes it is quite noisy, but the airflow is very powerful. It will do the job in a small room, but I don’t think so in a large room.  The advantages include small size and a control panel.</v>
      </c>
    </row>
    <row r="3930" spans="1:9" x14ac:dyDescent="0.3">
      <c r="A3930" s="1" t="s">
        <v>61</v>
      </c>
      <c r="B3930" s="1" t="s">
        <v>726</v>
      </c>
      <c r="C3930" s="1" t="s">
        <v>85</v>
      </c>
      <c r="D3930" s="1" t="s">
        <v>6902</v>
      </c>
      <c r="E3930" s="1" t="s">
        <v>6903</v>
      </c>
      <c r="F3930" s="1" t="s">
        <v>6904</v>
      </c>
      <c r="G3930" s="1" t="s">
        <v>28</v>
      </c>
      <c r="H3930" s="1" t="s">
        <v>29</v>
      </c>
      <c r="I3930" s="1" t="str">
        <f ca="1">IFERROR(__xludf.DUMMYFUNCTION("GOOGLETRANSLATE(F3930, ""auto"", ""en"")
"),"This is not an angry review, but rather a question. We bought an oven and immediately decided to bake simple bread, we’ve already tried it for the fifth time, but nothing works - the bread is not baked inside, even though the crust is delicious. We do eve"&amp;"rything according to recipes from the Internet, and we can’t figure out whether it’s the flour or the recipes")</f>
        <v>This is not an angry review, but rather a question. We bought an oven and immediately decided to bake simple bread, we’ve already tried it for the fifth time, but nothing works - the bread is not baked inside, even though the crust is delicious. We do everything according to recipes from the Internet, and we can’t figure out whether it’s the flour or the recipes</v>
      </c>
    </row>
    <row r="3931" spans="1:9" x14ac:dyDescent="0.3">
      <c r="A3931" s="1" t="s">
        <v>61</v>
      </c>
      <c r="B3931" s="1" t="s">
        <v>1727</v>
      </c>
      <c r="C3931" s="1" t="s">
        <v>122</v>
      </c>
      <c r="D3931" s="1" t="s">
        <v>305</v>
      </c>
      <c r="E3931" s="1" t="s">
        <v>4176</v>
      </c>
      <c r="F3931" s="1" t="s">
        <v>6905</v>
      </c>
      <c r="G3931" s="1" t="s">
        <v>36</v>
      </c>
      <c r="H3931" s="1" t="s">
        <v>29</v>
      </c>
      <c r="I3931" s="1" t="str">
        <f ca="1">IFERROR(__xludf.DUMMYFUNCTION("GOOGLETRANSLATE(F3931, ""auto"", ""en"")
"),"I've been using it for six months, almost every week.    Write down my pilaf (it is the best), before making it, read the sequence: Vegetable oil - 3 tbsp (half - first, the rest - on top of everything) Beef - 400 g (put on the bottom in pieces) Carrots -"&amp;" 2 pieces (in cubes, for meat) Onions - two (in cubes, above) Steamed short grain rice - 2 cups (pour on top) Water - 4 cups (pour on top) Garlic - 6 cloves (cut lengthwise into 2-3 pieces, stick into the rice, which is already in the water) Spices - 1 le"&amp;"vel teaspoon (buy from Caucasians, for pilaf), pour half of it on the meat, half of it on top of everything.    This makes a maximum load and takes approximately 1 hour 15 minutes to prepare. I tried it in different ways, this option is the best.    I did"&amp;"n’t like it with seafood, it had a specific flavor with lamb, I didn’t try it with chicken, I was too lazy to go and buy a normal country one, don’t even think about using broilers.")</f>
        <v>I've been using it for six months, almost every week.    Write down my pilaf (it is the best), before making it, read the sequence: Vegetable oil - 3 tbsp (half - first, the rest - on top of everything) Beef - 400 g (put on the bottom in pieces) Carrots - 2 pieces (in cubes, for meat) Onions - two (in cubes, above) Steamed short grain rice - 2 cups (pour on top) Water - 4 cups (pour on top) Garlic - 6 cloves (cut lengthwise into 2-3 pieces, stick into the rice, which is already in the water) Spices - 1 level teaspoon (buy from Caucasians, for pilaf), pour half of it on the meat, half of it on top of everything.    This makes a maximum load and takes approximately 1 hour 15 minutes to prepare. I tried it in different ways, this option is the best.    I didn’t like it with seafood, it had a specific flavor with lamb, I didn’t try it with chicken, I was too lazy to go and buy a normal country one, don’t even think about using broilers.</v>
      </c>
    </row>
    <row r="3932" spans="1:9" x14ac:dyDescent="0.3">
      <c r="A3932" s="1" t="s">
        <v>43</v>
      </c>
      <c r="B3932" s="1" t="s">
        <v>303</v>
      </c>
      <c r="C3932" s="1" t="s">
        <v>304</v>
      </c>
      <c r="D3932" s="1" t="s">
        <v>6906</v>
      </c>
      <c r="E3932" s="1" t="s">
        <v>6907</v>
      </c>
      <c r="F3932" s="1" t="s">
        <v>6908</v>
      </c>
      <c r="G3932" s="1" t="s">
        <v>36</v>
      </c>
      <c r="H3932" s="1" t="s">
        <v>29</v>
      </c>
      <c r="I3932" s="1" t="str">
        <f ca="1">IFERROR(__xludf.DUMMYFUNCTION("GOOGLETRANSLATE(F3932, ""auto"", ""en"")
"),"Gentlemen! I'll probably write an objective review. I needed it for my dacha - to take a hot shower in the bathhouse. Accordingly, the cheaper the better.  Before buying, I studied all the resources and reviews. I was alarmed that they wrote about streams"&amp;" and the like here. I decided not to look at it and bought it - the price was too good.   I bought Etalon from Mvideo. And I don't regret it.  I installed it myself, did everything conscientiously (taps, seals, etc.).  Result: three of us wash in a hot sh"&amp;"ower at the dacha in one heating session. Nothing is leaking anywhere. We'll see how long it lasts. But for that kind of money, you can buy another one.  Regarding streams from the valve - this valve prevents the heater tank from bursting due to high pres"&amp;"sure! If you have a leak from it, this means there is very high pressure AT THE INPUT - the valve naturally releases the excess! My pump gives 3 atm. And everything is great! Not a single drip, not even the valve leaking along the hose. In the city, yes, "&amp;"with old pipes the pressure may be higher - in order to blow out the entire riser. The instructions for it describe all this in detail!")</f>
        <v>Gentlemen! I'll probably write an objective review. I needed it for my dacha - to take a hot shower in the bathhouse. Accordingly, the cheaper the better.  Before buying, I studied all the resources and reviews. I was alarmed that they wrote about streams and the like here. I decided not to look at it and bought it - the price was too good.   I bought Etalon from Mvideo. And I don't regret it.  I installed it myself, did everything conscientiously (taps, seals, etc.).  Result: three of us wash in a hot shower at the dacha in one heating session. Nothing is leaking anywhere. We'll see how long it lasts. But for that kind of money, you can buy another one.  Regarding streams from the valve - this valve prevents the heater tank from bursting due to high pressure! If you have a leak from it, this means there is very high pressure AT THE INPUT - the valve naturally releases the excess! My pump gives 3 atm. And everything is great! Not a single drip, not even the valve leaking along the hose. In the city, yes, with old pipes the pressure may be higher - in order to blow out the entire riser. The instructions for it describe all this in detail!</v>
      </c>
    </row>
    <row r="3933" spans="1:9" x14ac:dyDescent="0.3">
      <c r="A3933" s="1" t="s">
        <v>120</v>
      </c>
      <c r="B3933" s="1" t="s">
        <v>256</v>
      </c>
      <c r="C3933" s="1" t="s">
        <v>665</v>
      </c>
      <c r="D3933" s="1" t="s">
        <v>545</v>
      </c>
      <c r="E3933" s="1" t="s">
        <v>1115</v>
      </c>
      <c r="F3933" s="1" t="s">
        <v>6909</v>
      </c>
      <c r="G3933" s="1" t="s">
        <v>36</v>
      </c>
      <c r="H3933" s="1" t="s">
        <v>29</v>
      </c>
      <c r="I3933" s="1" t="str">
        <f ca="1">IFERROR(__xludf.DUMMYFUNCTION("GOOGLETRANSLATE(F3933, ""auto"", ""en"")
"),"We chose it based on the price, it picks up digital channels, but they are almost all encrypted (that is, paid), each analog channel needs to be set up manually (it took about 10 minutes), I caught 21 channels (and this is with a connected antenna, not a "&amp;"stationary one), it shows very well, you don’t mind the money, in order for the TV to show everything that it can catch, you need to carefully read the instructions and set it up correctly.. I did it...")</f>
        <v>We chose it based on the price, it picks up digital channels, but they are almost all encrypted (that is, paid), each analog channel needs to be set up manually (it took about 10 minutes), I caught 21 channels (and this is with a connected antenna, not a stationary one), it shows very well, you don’t mind the money, in order for the TV to show everything that it can catch, you need to carefully read the instructions and set it up correctly.. I did it...</v>
      </c>
    </row>
    <row r="3934" spans="1:9" x14ac:dyDescent="0.3">
      <c r="A3934" s="1" t="s">
        <v>67</v>
      </c>
      <c r="B3934" s="1" t="s">
        <v>68</v>
      </c>
      <c r="C3934" s="1" t="s">
        <v>69</v>
      </c>
      <c r="D3934" s="1" t="s">
        <v>6910</v>
      </c>
      <c r="E3934" s="1" t="s">
        <v>3890</v>
      </c>
      <c r="F3934" s="1" t="s">
        <v>6911</v>
      </c>
      <c r="G3934" s="1" t="s">
        <v>36</v>
      </c>
      <c r="H3934" s="1" t="s">
        <v>29</v>
      </c>
      <c r="I3934" s="1" t="str">
        <f ca="1">IFERROR(__xludf.DUMMYFUNCTION("GOOGLETRANSLATE(F3934, ""auto"", ""en"")
"),"Excellent iron...bought it on sale at Mvideo...we've been using it for 2 years...no problems)) wife is happy")</f>
        <v>Excellent iron...bought it on sale at Mvideo...we've been using it for 2 years...no problems)) wife is happy</v>
      </c>
    </row>
    <row r="3935" spans="1:9" x14ac:dyDescent="0.3">
      <c r="A3935" s="1" t="s">
        <v>61</v>
      </c>
      <c r="B3935" s="1" t="s">
        <v>224</v>
      </c>
      <c r="C3935" s="1" t="s">
        <v>101</v>
      </c>
      <c r="D3935" s="1" t="s">
        <v>633</v>
      </c>
      <c r="E3935" s="1" t="s">
        <v>6912</v>
      </c>
      <c r="F3935" s="1" t="s">
        <v>6913</v>
      </c>
      <c r="G3935" s="1" t="s">
        <v>36</v>
      </c>
      <c r="H3935" s="1" t="s">
        <v>29</v>
      </c>
      <c r="I3935" s="1" t="str">
        <f ca="1">IFERROR(__xludf.DUMMYFUNCTION("GOOGLETRANSLATE(F3935, ""auto"", ""en"")
"),"I have been using this juicer for a year and all this time it has perfectly squeezed apples, oranges and beets. I don’t see any difference from expensive brands, except for the material. The throat is quite wide (a kiwi and a medium apple go away entirely"&amp;"), it’s light, everything can be easily removed, washed and put back. I’m happy)")</f>
        <v>I have been using this juicer for a year and all this time it has perfectly squeezed apples, oranges and beets. I don’t see any difference from expensive brands, except for the material. The throat is quite wide (a kiwi and a medium apple go away entirely), it’s light, everything can be easily removed, washed and put back. I’m happy)</v>
      </c>
    </row>
    <row r="3936" spans="1:9" x14ac:dyDescent="0.3">
      <c r="A3936" s="1" t="s">
        <v>61</v>
      </c>
      <c r="B3936" s="1" t="s">
        <v>224</v>
      </c>
      <c r="C3936" s="1" t="s">
        <v>101</v>
      </c>
      <c r="D3936" s="1" t="s">
        <v>86</v>
      </c>
      <c r="E3936" s="1" t="s">
        <v>822</v>
      </c>
      <c r="F3936" s="1" t="s">
        <v>6914</v>
      </c>
      <c r="G3936" s="1" t="s">
        <v>15</v>
      </c>
      <c r="H3936" s="1" t="s">
        <v>16</v>
      </c>
      <c r="I3936" s="1" t="str">
        <f ca="1">IFERROR(__xludf.DUMMYFUNCTION("GOOGLETRANSLATE(F3936, ""auto"", ""en"")
"),"I bought this juicer and was very upset: it works VERY LOUD. Using some incomprehensible algorithm, it calculates which direction to turn - sometimes it can’t decide for a long time and stalls in place :(")</f>
        <v>I bought this juicer and was very upset: it works VERY LOUD. Using some incomprehensible algorithm, it calculates which direction to turn - sometimes it can’t decide for a long time and stalls in place :(</v>
      </c>
    </row>
    <row r="3937" spans="1:9" x14ac:dyDescent="0.3">
      <c r="A3937" s="1" t="s">
        <v>206</v>
      </c>
      <c r="B3937" s="1" t="s">
        <v>1349</v>
      </c>
      <c r="C3937" s="1" t="s">
        <v>45</v>
      </c>
      <c r="D3937" s="1" t="s">
        <v>203</v>
      </c>
      <c r="E3937" s="1" t="s">
        <v>109</v>
      </c>
      <c r="F3937" s="1" t="s">
        <v>6915</v>
      </c>
      <c r="G3937" s="1" t="s">
        <v>36</v>
      </c>
      <c r="H3937" s="1" t="s">
        <v>29</v>
      </c>
      <c r="I3937" s="1" t="str">
        <f ca="1">IFERROR(__xludf.DUMMYFUNCTION("GOOGLETRANSLATE(F3937, ""auto"", ""en"")
"),"Mystery MMD-6205 BS - I bought it a month ago, sometimes the distance is buggy, i.e. Doesn't respond to any button, but everything else is fine. Reads EVERYTHING (except HD) and from EVERYTHING. Radio and TV - everything works - in short, it’s not boring "&amp;"with it.")</f>
        <v>Mystery MMD-6205 BS - I bought it a month ago, sometimes the distance is buggy, i.e. Doesn't respond to any button, but everything else is fine. Reads EVERYTHING (except HD) and from EVERYTHING. Radio and TV - everything works - in short, it’s not boring with it.</v>
      </c>
    </row>
    <row r="3938" spans="1:9" x14ac:dyDescent="0.3">
      <c r="A3938" s="1" t="s">
        <v>61</v>
      </c>
      <c r="B3938" s="1" t="s">
        <v>145</v>
      </c>
      <c r="C3938" s="1" t="s">
        <v>1981</v>
      </c>
      <c r="D3938" s="1" t="s">
        <v>52</v>
      </c>
      <c r="E3938" s="1" t="s">
        <v>6916</v>
      </c>
      <c r="F3938" s="1" t="s">
        <v>6917</v>
      </c>
      <c r="G3938" s="1" t="s">
        <v>36</v>
      </c>
      <c r="H3938" s="1" t="s">
        <v>29</v>
      </c>
      <c r="I3938" s="1" t="str">
        <f ca="1">IFERROR(__xludf.DUMMYFUNCTION("GOOGLETRANSLATE(F3938, ""auto"", ""en"")
"),"A few weeks ago, I wanted to boil eggs - several cracked, some were undercooked, I spent a lot of nerves, despite the fact that I was in a hurry, and I had to spin around next to the stove. As a result, when breakfast didn’t work out, I freaked out, searc"&amp;"hed for an Egg Boiler, I didn’t even know they existed! And it showed up for me!!! I went and bought it! Now I'm afraid that I will have an allergy from eggs) The eggs cook perfectly, the shells are peeled once or twice, you don't need to add any salt to "&amp;"prevent them from cracking, I set it up, went about my business, heard a signal, breakfast is on the table. All! Everyone still makes fun of me, but they are interested and I am happy to tell them about my epic victories in the kitchen! ) Just now I came "&amp;"in to see what’s in stock, I want to buy it as a gift!")</f>
        <v>A few weeks ago, I wanted to boil eggs - several cracked, some were undercooked, I spent a lot of nerves, despite the fact that I was in a hurry, and I had to spin around next to the stove. As a result, when breakfast didn’t work out, I freaked out, searched for an Egg Boiler, I didn’t even know they existed! And it showed up for me!!! I went and bought it! Now I'm afraid that I will have an allergy from eggs) The eggs cook perfectly, the shells are peeled once or twice, you don't need to add any salt to prevent them from cracking, I set it up, went about my business, heard a signal, breakfast is on the table. All! Everyone still makes fun of me, but they are interested and I am happy to tell them about my epic victories in the kitchen! ) Just now I came in to see what’s in stock, I want to buy it as a gift!</v>
      </c>
    </row>
    <row r="3939" spans="1:9" x14ac:dyDescent="0.3">
      <c r="A3939" s="1" t="s">
        <v>30</v>
      </c>
      <c r="B3939" s="1" t="s">
        <v>50</v>
      </c>
      <c r="C3939" s="1" t="s">
        <v>32</v>
      </c>
      <c r="D3939" s="1" t="s">
        <v>102</v>
      </c>
      <c r="E3939" s="1" t="s">
        <v>363</v>
      </c>
      <c r="F3939" s="1" t="s">
        <v>6918</v>
      </c>
      <c r="G3939" s="1" t="s">
        <v>36</v>
      </c>
      <c r="H3939" s="1" t="s">
        <v>29</v>
      </c>
      <c r="I3939" s="1" t="str">
        <f ca="1">IFERROR(__xludf.DUMMYFUNCTION("GOOGLETRANSLATE(F3939, ""auto"", ""en"")
"),"We've been friends for 2 months. Design - respect to the manufacturers. The webcam hasn't broken yet). The plug, by the way, comes off the screws. The presence of an additional numeric keypad is definitely pleasing. STALKER runs on maximum settings. A ver"&amp;"y good price for such an impressive filling.")</f>
        <v>We've been friends for 2 months. Design - respect to the manufacturers. The webcam hasn't broken yet). The plug, by the way, comes off the screws. The presence of an additional numeric keypad is definitely pleasing. STALKER runs on maximum settings. A very good price for such an impressive filling.</v>
      </c>
    </row>
    <row r="3940" spans="1:9" x14ac:dyDescent="0.3">
      <c r="A3940" s="1" t="s">
        <v>211</v>
      </c>
      <c r="B3940" s="1" t="s">
        <v>410</v>
      </c>
      <c r="C3940" s="1" t="s">
        <v>69</v>
      </c>
      <c r="D3940" s="1" t="s">
        <v>1055</v>
      </c>
      <c r="E3940" s="1" t="s">
        <v>3138</v>
      </c>
      <c r="F3940" s="1" t="s">
        <v>6919</v>
      </c>
      <c r="G3940" s="1" t="s">
        <v>36</v>
      </c>
      <c r="H3940" s="1" t="s">
        <v>29</v>
      </c>
      <c r="I3940" s="1" t="str">
        <f ca="1">IFERROR(__xludf.DUMMYFUNCTION("GOOGLETRANSLATE(F3940, ""auto"", ""en"")
"),"Great razor! with very sensitive skin, no irritation (after the machine there was always). I bought it when it first appeared. It still works! The battery lasts a very long time! Overall a 5+ purchase!")</f>
        <v>Great razor! with very sensitive skin, no irritation (after the machine there was always). I bought it when it first appeared. It still works! The battery lasts a very long time! Overall a 5+ purchase!</v>
      </c>
    </row>
    <row r="3941" spans="1:9" x14ac:dyDescent="0.3">
      <c r="A3941" s="1" t="s">
        <v>811</v>
      </c>
      <c r="B3941" s="1" t="s">
        <v>1294</v>
      </c>
      <c r="C3941" s="1" t="s">
        <v>1295</v>
      </c>
      <c r="D3941" s="1" t="s">
        <v>39</v>
      </c>
      <c r="E3941" s="1" t="s">
        <v>3114</v>
      </c>
      <c r="F3941" s="1" t="s">
        <v>6920</v>
      </c>
      <c r="G3941" s="1" t="s">
        <v>49</v>
      </c>
      <c r="H3941" s="1" t="s">
        <v>16</v>
      </c>
      <c r="I3941" s="1" t="str">
        <f ca="1">IFERROR(__xludf.DUMMYFUNCTION("GOOGLETRANSLATE(F3941, ""auto"", ""en"")
"),"It’s bad, it carries dust from place to place, here and there. It doesn't remove anything! Not worth your money!")</f>
        <v>It’s bad, it carries dust from place to place, here and there. It doesn't remove anything! Not worth your money!</v>
      </c>
    </row>
    <row r="3942" spans="1:9" x14ac:dyDescent="0.3">
      <c r="A3942" s="1" t="s">
        <v>6277</v>
      </c>
      <c r="B3942" s="1" t="s">
        <v>6823</v>
      </c>
      <c r="C3942" s="1" t="s">
        <v>85</v>
      </c>
      <c r="D3942" s="1" t="s">
        <v>6921</v>
      </c>
      <c r="E3942" s="1" t="s">
        <v>6824</v>
      </c>
      <c r="F3942" s="1" t="s">
        <v>6922</v>
      </c>
      <c r="G3942" s="1" t="s">
        <v>36</v>
      </c>
      <c r="H3942" s="1" t="s">
        <v>29</v>
      </c>
      <c r="I3942" s="1" t="str">
        <f ca="1">IFERROR(__xludf.DUMMYFUNCTION("GOOGLETRANSLATE(F3942, ""auto"", ""en"")
"),"I am very worried about the health of all my relatives with whom I live, especially due to the fact that there is always a risk of cancer (I read on the Internet about all the ways how this can all be minimized. It was also written about such special filt"&amp;"ers. I looked on your website, found a suitable model, bought it directly on the Internet. It fit my air purifier model without any problems, replaced it, now my soul is really somehow easier. And in general, the air is cleaned well, as before, but it see"&amp;"ms to me that it’s even better.")</f>
        <v>I am very worried about the health of all my relatives with whom I live, especially due to the fact that there is always a risk of cancer (I read on the Internet about all the ways how this can all be minimized. It was also written about such special filters. I looked on your website, found a suitable model, bought it directly on the Internet. It fit my air purifier model without any problems, replaced it, now my soul is really somehow easier. And in general, the air is cleaned well, as before, but it seems to me that it’s even better.</v>
      </c>
    </row>
    <row r="3943" spans="1:9" x14ac:dyDescent="0.3">
      <c r="A3943" s="1" t="s">
        <v>1443</v>
      </c>
      <c r="B3943" s="1" t="s">
        <v>1444</v>
      </c>
      <c r="C3943" s="1" t="s">
        <v>1489</v>
      </c>
      <c r="D3943" s="1" t="s">
        <v>6923</v>
      </c>
      <c r="E3943" s="1" t="s">
        <v>427</v>
      </c>
      <c r="F3943" s="1" t="s">
        <v>6924</v>
      </c>
      <c r="G3943" s="1" t="s">
        <v>36</v>
      </c>
      <c r="H3943" s="1" t="s">
        <v>29</v>
      </c>
      <c r="I3943" s="1" t="str">
        <f ca="1">IFERROR(__xludf.DUMMYFUNCTION("GOOGLETRANSLATE(F3943, ""auto"", ""en"")
"),"The flash drive has a classic shape, without much originality in design, as always with Kingston. And, as always, excellent quality, both writing and reading speeds are decent, it’s been working for almost a year without glitches, despite not very gentle "&amp;"operating conditions)) I’m pleased with the retractable connector, I can’t stand flash drives with covers... In general, I’m satisfied. Perhaps I would have chosen a different color, but these are minor things.")</f>
        <v>The flash drive has a classic shape, without much originality in design, as always with Kingston. And, as always, excellent quality, both writing and reading speeds are decent, it’s been working for almost a year without glitches, despite not very gentle operating conditions)) I’m pleased with the retractable connector, I can’t stand flash drives with covers... In general, I’m satisfied. Perhaps I would have chosen a different color, but these are minor things.</v>
      </c>
    </row>
    <row r="3944" spans="1:9" x14ac:dyDescent="0.3">
      <c r="A3944" s="1" t="s">
        <v>211</v>
      </c>
      <c r="B3944" s="1" t="s">
        <v>856</v>
      </c>
      <c r="C3944" s="1" t="s">
        <v>57</v>
      </c>
      <c r="D3944" s="1" t="s">
        <v>6736</v>
      </c>
      <c r="E3944" s="1" t="s">
        <v>1287</v>
      </c>
      <c r="F3944" s="1" t="s">
        <v>6925</v>
      </c>
      <c r="G3944" s="1" t="s">
        <v>36</v>
      </c>
      <c r="H3944" s="1" t="s">
        <v>29</v>
      </c>
      <c r="I3944" s="1" t="str">
        <f ca="1">IFERROR(__xludf.DUMMYFUNCTION("GOOGLETRANSLATE(F3944, ""auto"", ""en"")
"),"I bought it as a massager, it turned out to be an excellent remedy for insomnia!  :) The choice fell on this model: 1. Bought during the discount period (for 1490 rubles) 2. manufacturer-Vitek (in our house the longest-living heater is from this manufactu"&amp;"rer)")</f>
        <v>I bought it as a massager, it turned out to be an excellent remedy for insomnia!  :) The choice fell on this model: 1. Bought during the discount period (for 1490 rubles) 2. manufacturer-Vitek (in our house the longest-living heater is from this manufacturer)</v>
      </c>
    </row>
    <row r="3945" spans="1:9" x14ac:dyDescent="0.3">
      <c r="A3945" s="1" t="s">
        <v>206</v>
      </c>
      <c r="B3945" s="1" t="s">
        <v>207</v>
      </c>
      <c r="C3945" s="1" t="s">
        <v>351</v>
      </c>
      <c r="D3945" s="1" t="s">
        <v>39</v>
      </c>
      <c r="E3945" s="1" t="s">
        <v>594</v>
      </c>
      <c r="F3945" s="1" t="s">
        <v>6926</v>
      </c>
      <c r="G3945" s="1" t="s">
        <v>15</v>
      </c>
      <c r="H3945" s="1" t="s">
        <v>16</v>
      </c>
      <c r="I3945" s="1" t="str">
        <f ca="1">IFERROR(__xludf.DUMMYFUNCTION("GOOGLETRANSLATE(F3945, ""auto"", ""en"")
"),"I installed this amplifier for front and rear speakers and, to be honest, I was disappointed; the difference in sound before and after its installation was minimal. In general, I am once again convinced that it is better not to rush into a purchase, but t"&amp;"o save up and take something that is really worthwhile.")</f>
        <v>I installed this amplifier for front and rear speakers and, to be honest, I was disappointed; the difference in sound before and after its installation was minimal. In general, I am once again convinced that it is better not to rush into a purchase, but to save up and take something that is really worthwhile.</v>
      </c>
    </row>
    <row r="3946" spans="1:9" x14ac:dyDescent="0.3">
      <c r="A3946" s="1" t="s">
        <v>120</v>
      </c>
      <c r="B3946" s="1" t="s">
        <v>121</v>
      </c>
      <c r="C3946" s="1" t="s">
        <v>122</v>
      </c>
      <c r="D3946" s="1" t="s">
        <v>6927</v>
      </c>
      <c r="E3946" s="1" t="s">
        <v>504</v>
      </c>
      <c r="F3946" s="1" t="s">
        <v>6928</v>
      </c>
      <c r="G3946" s="1" t="s">
        <v>28</v>
      </c>
      <c r="H3946" s="1" t="s">
        <v>29</v>
      </c>
      <c r="I3946" s="1" t="str">
        <f ca="1">IFERROR(__xludf.DUMMYFUNCTION("GOOGLETRANSLATE(F3946, ""auto"", ""en"")
"),"What can I say about the shortcomings? The device cannot intelligently process a “non-smooth” signal from a regular cable. There is shaking of individual segments of the picture; however, it is normal, but simply not modern, because new technological mode"&amp;"ls are good at compensating for the trembling of silhouettes, lines, and contrasting figures. This model shows everything normally, but it does not have enough built-in programs to compensate for deficiencies in the external signal. The device for receivi"&amp;"ng broadcast broadcasts is not very convenient.")</f>
        <v>What can I say about the shortcomings? The device cannot intelligently process a “non-smooth” signal from a regular cable. There is shaking of individual segments of the picture; however, it is normal, but simply not modern, because new technological models are good at compensating for the trembling of silhouettes, lines, and contrasting figures. This model shows everything normally, but it does not have enough built-in programs to compensate for deficiencies in the external signal. The device for receiving broadcast broadcasts is not very convenient.</v>
      </c>
    </row>
    <row r="3947" spans="1:9" x14ac:dyDescent="0.3">
      <c r="A3947" s="1" t="s">
        <v>30</v>
      </c>
      <c r="B3947" s="1" t="s">
        <v>31</v>
      </c>
      <c r="C3947" s="1" t="s">
        <v>5122</v>
      </c>
      <c r="D3947" s="1" t="s">
        <v>6929</v>
      </c>
      <c r="E3947" s="1" t="s">
        <v>750</v>
      </c>
      <c r="F3947" s="1" t="s">
        <v>6930</v>
      </c>
      <c r="G3947" s="1" t="s">
        <v>36</v>
      </c>
      <c r="H3947" s="1" t="s">
        <v>29</v>
      </c>
      <c r="I3947" s="1" t="str">
        <f ca="1">IFERROR(__xludf.DUMMYFUNCTION("GOOGLETRANSLATE(F3947, ""auto"", ""en"")
"),"The computer is generally cool, the games run well without lags, there’s a lot of memory, there’s quite a lot of RAM, windows 7 hb is okay, but the fact that it’s 64-bit is not very good for me, but you can reinstall the system. That’s why it’s noisy, it "&amp;"did nothing, the sound of the speakers was louder and you can’t hear anything")</f>
        <v>The computer is generally cool, the games run well without lags, there’s a lot of memory, there’s quite a lot of RAM, windows 7 hb is okay, but the fact that it’s 64-bit is not very good for me, but you can reinstall the system. That’s why it’s noisy, it did nothing, the sound of the speakers was louder and you can’t hear anything</v>
      </c>
    </row>
    <row r="3948" spans="1:9" x14ac:dyDescent="0.3">
      <c r="A3948" s="1" t="s">
        <v>169</v>
      </c>
      <c r="B3948" s="1" t="s">
        <v>170</v>
      </c>
      <c r="C3948" s="1" t="s">
        <v>122</v>
      </c>
      <c r="D3948" s="1" t="s">
        <v>6931</v>
      </c>
      <c r="E3948" s="1" t="s">
        <v>5156</v>
      </c>
      <c r="F3948" s="1" t="s">
        <v>6932</v>
      </c>
      <c r="G3948" s="1" t="s">
        <v>28</v>
      </c>
      <c r="H3948" s="1" t="s">
        <v>29</v>
      </c>
      <c r="I3948" s="1" t="str">
        <f ca="1">IFERROR(__xludf.DUMMYFUNCTION("GOOGLETRANSLATE(F3948, ""auto"", ""en"")
"),"Well, the headphones are cool, good. Minus: my ears are uncomfortable, they are not that huge, they kept falling out, my ears hurt.  They broke after a year, it’s a shame of course, but what can you do?  In general, everything is cool)")</f>
        <v>Well, the headphones are cool, good. Minus: my ears are uncomfortable, they are not that huge, they kept falling out, my ears hurt.  They broke after a year, it’s a shame of course, but what can you do?  In general, everything is cool)</v>
      </c>
    </row>
    <row r="3949" spans="1:9" x14ac:dyDescent="0.3">
      <c r="A3949" s="1" t="s">
        <v>61</v>
      </c>
      <c r="B3949" s="1" t="s">
        <v>977</v>
      </c>
      <c r="C3949" s="1" t="s">
        <v>63</v>
      </c>
      <c r="D3949" s="1" t="s">
        <v>3049</v>
      </c>
      <c r="E3949" s="1" t="s">
        <v>194</v>
      </c>
      <c r="F3949" s="1" t="s">
        <v>6933</v>
      </c>
      <c r="G3949" s="1" t="s">
        <v>36</v>
      </c>
      <c r="H3949" s="1" t="s">
        <v>29</v>
      </c>
      <c r="I3949" s="1" t="str">
        <f ca="1">IFERROR(__xludf.DUMMYFUNCTION("GOOGLETRANSLATE(F3949, ""auto"", ""en"")
"),"I bought a similar one, but Bosch MSM 75PRO, with a professional whipping attachment. Blender is just great. Takes up minimal space, quickly mixes, chops and beats. No worse than the zepter I've been using for 5 years. If we compare them minus only in org"&amp;"anomics, the receptor is lighter and shorter.")</f>
        <v>I bought a similar one, but Bosch MSM 75PRO, with a professional whipping attachment. Blender is just great. Takes up minimal space, quickly mixes, chops and beats. No worse than the zepter I've been using for 5 years. If we compare them minus only in organomics, the receptor is lighter and shorter.</v>
      </c>
    </row>
    <row r="3950" spans="1:9" x14ac:dyDescent="0.3">
      <c r="A3950" s="1" t="s">
        <v>732</v>
      </c>
      <c r="B3950" s="1" t="s">
        <v>733</v>
      </c>
      <c r="C3950" s="1" t="s">
        <v>1680</v>
      </c>
      <c r="D3950" s="1" t="s">
        <v>679</v>
      </c>
      <c r="E3950" s="1" t="s">
        <v>1852</v>
      </c>
      <c r="F3950" s="1" t="s">
        <v>6934</v>
      </c>
      <c r="G3950" s="1" t="s">
        <v>28</v>
      </c>
      <c r="H3950" s="1" t="s">
        <v>29</v>
      </c>
      <c r="I3950" s="1" t="str">
        <f ca="1">IFERROR(__xludf.DUMMYFUNCTION("GOOGLETRANSLATE(F3950, ""auto"", ""en"")
"),"I bought this monitor and the next day I found a dead pixel in it (((")</f>
        <v>I bought this monitor and the next day I found a dead pixel in it (((</v>
      </c>
    </row>
    <row r="3951" spans="1:9" x14ac:dyDescent="0.3">
      <c r="A3951" s="1" t="s">
        <v>149</v>
      </c>
      <c r="B3951" s="1" t="s">
        <v>576</v>
      </c>
      <c r="C3951" s="1" t="s">
        <v>1835</v>
      </c>
      <c r="D3951" s="1" t="s">
        <v>172</v>
      </c>
      <c r="E3951" s="1" t="s">
        <v>6935</v>
      </c>
      <c r="F3951" s="1" t="s">
        <v>6936</v>
      </c>
      <c r="G3951" s="1" t="s">
        <v>36</v>
      </c>
      <c r="H3951" s="1" t="s">
        <v>29</v>
      </c>
      <c r="I3951" s="1" t="str">
        <f ca="1">IFERROR(__xludf.DUMMYFUNCTION("GOOGLETRANSLATE(F3951, ""auto"", ""en"")
"),"About the mile - it met expectations, 100 percent, convenient, powerful and most importantly reliable. By the way, this company really makes very reliable vacuum cleaners; they have a long mean time between failures.")</f>
        <v>About the mile - it met expectations, 100 percent, convenient, powerful and most importantly reliable. By the way, this company really makes very reliable vacuum cleaners; they have a long mean time between failures.</v>
      </c>
    </row>
    <row r="3952" spans="1:9" x14ac:dyDescent="0.3">
      <c r="A3952" s="1" t="s">
        <v>149</v>
      </c>
      <c r="B3952" s="1" t="s">
        <v>576</v>
      </c>
      <c r="C3952" s="1" t="s">
        <v>85</v>
      </c>
      <c r="D3952" s="1" t="s">
        <v>326</v>
      </c>
      <c r="E3952" s="1" t="s">
        <v>6937</v>
      </c>
      <c r="F3952" s="1" t="s">
        <v>6938</v>
      </c>
      <c r="G3952" s="1" t="s">
        <v>28</v>
      </c>
      <c r="H3952" s="1" t="s">
        <v>29</v>
      </c>
      <c r="I3952" s="1" t="str">
        <f ca="1">IFERROR(__xludf.DUMMYFUNCTION("GOOGLETRANSLATE(F3952, ""auto"", ""en"")
"),"We have been using model 5818 for a year. It vacuums very well, the power is sufficient, and with the turbo brush it is perfectly clean. Disadvantages: heats up quickly and makes a lot of noise.")</f>
        <v>We have been using model 5818 for a year. It vacuums very well, the power is sufficient, and with the turbo brush it is perfectly clean. Disadvantages: heats up quickly and makes a lot of noise.</v>
      </c>
    </row>
    <row r="3953" spans="1:9" x14ac:dyDescent="0.3">
      <c r="A3953" s="1" t="s">
        <v>43</v>
      </c>
      <c r="B3953" s="1" t="s">
        <v>303</v>
      </c>
      <c r="C3953" s="1" t="s">
        <v>304</v>
      </c>
      <c r="D3953" s="1" t="s">
        <v>621</v>
      </c>
      <c r="E3953" s="1" t="s">
        <v>6939</v>
      </c>
      <c r="F3953" s="1" t="s">
        <v>6940</v>
      </c>
      <c r="G3953" s="1" t="s">
        <v>36</v>
      </c>
      <c r="H3953" s="1" t="s">
        <v>29</v>
      </c>
      <c r="I3953" s="1" t="str">
        <f ca="1">IFERROR(__xludf.DUMMYFUNCTION("GOOGLETRANSLATE(F3953, ""auto"", ""en"")
"),"Good water heater. For a family of three, it’s enough to take a bath and wash the dishes. When heating, we set it to 3, but the water is very hot, we have to dilute it. Constant power surges do not affect it in any way. We have been using it since spring,"&amp;" i.e. six months. No problems yet.")</f>
        <v>Good water heater. For a family of three, it’s enough to take a bath and wash the dishes. When heating, we set it to 3, but the water is very hot, we have to dilute it. Constant power surges do not affect it in any way. We have been using it since spring, i.e. six months. No problems yet.</v>
      </c>
    </row>
    <row r="3954" spans="1:9" x14ac:dyDescent="0.3">
      <c r="A3954" s="1" t="s">
        <v>43</v>
      </c>
      <c r="B3954" s="1" t="s">
        <v>303</v>
      </c>
      <c r="C3954" s="1" t="s">
        <v>665</v>
      </c>
      <c r="D3954" s="1" t="s">
        <v>52</v>
      </c>
      <c r="E3954" s="1" t="s">
        <v>6941</v>
      </c>
      <c r="F3954" s="1" t="s">
        <v>6942</v>
      </c>
      <c r="G3954" s="1" t="s">
        <v>28</v>
      </c>
      <c r="H3954" s="1" t="s">
        <v>29</v>
      </c>
      <c r="I3954" s="1" t="str">
        <f ca="1">IFERROR(__xludf.DUMMYFUNCTION("GOOGLETRANSLATE(F3954, ""auto"", ""en"")
"),"I worked for two years and something went wrong. But I used it for heating.")</f>
        <v>I worked for two years and something went wrong. But I used it for heating.</v>
      </c>
    </row>
    <row r="3955" spans="1:9" x14ac:dyDescent="0.3">
      <c r="A3955" s="1" t="s">
        <v>206</v>
      </c>
      <c r="B3955" s="1" t="s">
        <v>1349</v>
      </c>
      <c r="C3955" s="1" t="s">
        <v>351</v>
      </c>
      <c r="D3955" s="1" t="s">
        <v>305</v>
      </c>
      <c r="E3955" s="1" t="s">
        <v>4864</v>
      </c>
      <c r="F3955" s="1" t="s">
        <v>6943</v>
      </c>
      <c r="G3955" s="1" t="s">
        <v>36</v>
      </c>
      <c r="H3955" s="1" t="s">
        <v>29</v>
      </c>
      <c r="I3955" s="1" t="str">
        <f ca="1">IFERROR(__xludf.DUMMYFUNCTION("GOOGLETRANSLATE(F3955, ""auto"", ""en"")
"),"I am very pleased with this radio. But I can't figure out the memory card. The radio does not read Micro SD 8GB, but 1GB is normal. Maybe I'm doing it wrong myself.")</f>
        <v>I am very pleased with this radio. But I can't figure out the memory card. The radio does not read Micro SD 8GB, but 1GB is normal. Maybe I'm doing it wrong myself.</v>
      </c>
    </row>
    <row r="3956" spans="1:9" x14ac:dyDescent="0.3">
      <c r="A3956" s="1" t="s">
        <v>149</v>
      </c>
      <c r="B3956" s="1" t="s">
        <v>576</v>
      </c>
      <c r="C3956" s="1" t="s">
        <v>85</v>
      </c>
      <c r="D3956" s="1" t="s">
        <v>1329</v>
      </c>
      <c r="E3956" s="1" t="s">
        <v>3769</v>
      </c>
      <c r="F3956" s="1" t="s">
        <v>6944</v>
      </c>
      <c r="G3956" s="1" t="s">
        <v>36</v>
      </c>
      <c r="H3956" s="1" t="s">
        <v>29</v>
      </c>
      <c r="I3956" s="1" t="str">
        <f ca="1">IFERROR(__xludf.DUMMYFUNCTION("GOOGLETRANSLATE(F3956, ""auto"", ""en"")
"),"Hello. My wife and I bought a vacuum cleaner. I cleaned it twice. This is really a VACUUM CLEANER!!! You don’t need any turbo brushes, it vacuums everything. It’s really a beast, and it works very quietly. Very practical, convenient and very pleasant to u"&amp;"se. Of course, it heats up well and quickly, but on street 37 there are more houses. Warranty from the manufacturer is 36 months. As long as the consumables are not lost with store shelves and the end of the world has not come!!!")</f>
        <v>Hello. My wife and I bought a vacuum cleaner. I cleaned it twice. This is really a VACUUM CLEANER!!! You don’t need any turbo brushes, it vacuums everything. It’s really a beast, and it works very quietly. Very practical, convenient and very pleasant to use. Of course, it heats up well and quickly, but on street 37 there are more houses. Warranty from the manufacturer is 36 months. As long as the consumables are not lost with store shelves and the end of the world has not come!!!</v>
      </c>
    </row>
    <row r="3957" spans="1:9" x14ac:dyDescent="0.3">
      <c r="A3957" s="1" t="s">
        <v>477</v>
      </c>
      <c r="B3957" s="1" t="s">
        <v>478</v>
      </c>
      <c r="C3957" s="1" t="s">
        <v>479</v>
      </c>
      <c r="D3957" s="1" t="s">
        <v>117</v>
      </c>
      <c r="E3957" s="1" t="s">
        <v>209</v>
      </c>
      <c r="F3957" s="1" t="s">
        <v>6945</v>
      </c>
      <c r="G3957" s="1" t="s">
        <v>36</v>
      </c>
      <c r="H3957" s="1" t="s">
        <v>29</v>
      </c>
      <c r="I3957" s="1" t="str">
        <f ca="1">IFERROR(__xludf.DUMMYFUNCTION("GOOGLETRANSLATE(F3957, ""auto"", ""en"")
"),"I really liked the game! Especially the multiplayer with different modes. Excellent quality graphics, thoughtful and interesting missions + many types of weapons.")</f>
        <v>I really liked the game! Especially the multiplayer with different modes. Excellent quality graphics, thoughtful and interesting missions + many types of weapons.</v>
      </c>
    </row>
    <row r="3958" spans="1:9" x14ac:dyDescent="0.3">
      <c r="A3958" s="1" t="s">
        <v>169</v>
      </c>
      <c r="B3958" s="1" t="s">
        <v>170</v>
      </c>
      <c r="C3958" s="1" t="s">
        <v>97</v>
      </c>
      <c r="D3958" s="1" t="s">
        <v>940</v>
      </c>
      <c r="E3958" s="1" t="s">
        <v>1345</v>
      </c>
      <c r="F3958" s="1" t="s">
        <v>6946</v>
      </c>
      <c r="G3958" s="1" t="s">
        <v>49</v>
      </c>
      <c r="H3958" s="1" t="s">
        <v>16</v>
      </c>
      <c r="I3958" s="1" t="str">
        <f ca="1">IFERROR(__xludf.DUMMYFUNCTION("GOOGLETRANSLATE(F3958, ""auto"", ""en"")
"),"We handed it back, it was cracking terribly.")</f>
        <v>We handed it back, it was cracking terribly.</v>
      </c>
    </row>
    <row r="3959" spans="1:9" x14ac:dyDescent="0.3">
      <c r="A3959" s="1" t="s">
        <v>120</v>
      </c>
      <c r="B3959" s="1" t="s">
        <v>196</v>
      </c>
      <c r="C3959" s="1" t="s">
        <v>69</v>
      </c>
      <c r="D3959" s="1" t="s">
        <v>152</v>
      </c>
      <c r="E3959" s="1" t="s">
        <v>5126</v>
      </c>
      <c r="F3959" s="1" t="s">
        <v>6947</v>
      </c>
      <c r="G3959" s="1" t="s">
        <v>49</v>
      </c>
      <c r="H3959" s="1" t="s">
        <v>16</v>
      </c>
      <c r="I3959" s="1" t="str">
        <f ca="1">IFERROR(__xludf.DUMMYFUNCTION("GOOGLETRANSLATE(F3959, ""auto"", ""en"")
"),"After upgrading the firmware, the TV died, although everything was done correctly, according to the instructions from the off. site where the firmware was located. You can see that it’s somehow raw, it’s better not to take it, but if you did take it, then"&amp;" DO NOT over-mix it, there will be a lot of crap later.")</f>
        <v>After upgrading the firmware, the TV died, although everything was done correctly, according to the instructions from the off. site where the firmware was located. You can see that it’s somehow raw, it’s better not to take it, but if you did take it, then DO NOT over-mix it, there will be a lot of crap later.</v>
      </c>
    </row>
    <row r="3960" spans="1:9" x14ac:dyDescent="0.3">
      <c r="A3960" s="1" t="s">
        <v>61</v>
      </c>
      <c r="B3960" s="1" t="s">
        <v>726</v>
      </c>
      <c r="C3960" s="1" t="s">
        <v>74</v>
      </c>
      <c r="D3960" s="1" t="s">
        <v>64</v>
      </c>
      <c r="E3960" s="1" t="s">
        <v>824</v>
      </c>
      <c r="F3960" s="1" t="s">
        <v>6948</v>
      </c>
      <c r="G3960" s="1" t="s">
        <v>28</v>
      </c>
      <c r="H3960" s="1" t="s">
        <v>29</v>
      </c>
      <c r="I3960" s="1" t="str">
        <f ca="1">IFERROR(__xludf.DUMMYFUNCTION("GOOGLETRANSLATE(F3960, ""auto"", ""en"")
"),"I bought this bread maker a month ago and couldn’t be more pleased! There is no need to run to the store in the cold, I know exactly what ingredients I eat bread from... Due to carelessness, sometimes the quality does not turn out (I open the lid while ba"&amp;"king, sprinkle flour or sugar by eye, mix up the spoons: teaspoon and tablespoon...), but even with this approach it turns out more than edible!  The Internet is full of interesting recipes with cheese, herbs and garlic, honey... The oven is wonderful! By"&amp;" the way, about the crust, if you leave the bread for an hour after baking in the oven, the crust will darken to a decent state, try it... I gave it a four only because this is the first bread maker in my life, what if there are better ovens?")</f>
        <v>I bought this bread maker a month ago and couldn’t be more pleased! There is no need to run to the store in the cold, I know exactly what ingredients I eat bread from... Due to carelessness, sometimes the quality does not turn out (I open the lid while baking, sprinkle flour or sugar by eye, mix up the spoons: teaspoon and tablespoon...), but even with this approach it turns out more than edible!  The Internet is full of interesting recipes with cheese, herbs and garlic, honey... The oven is wonderful! By the way, about the crust, if you leave the bread for an hour after baking in the oven, the crust will darken to a decent state, try it... I gave it a four only because this is the first bread maker in my life, what if there are better ovens?</v>
      </c>
    </row>
    <row r="3961" spans="1:9" x14ac:dyDescent="0.3">
      <c r="A3961" s="1" t="s">
        <v>43</v>
      </c>
      <c r="B3961" s="1" t="s">
        <v>1616</v>
      </c>
      <c r="C3961" s="1" t="s">
        <v>1138</v>
      </c>
      <c r="D3961" s="1" t="s">
        <v>12</v>
      </c>
      <c r="E3961" s="1" t="s">
        <v>157</v>
      </c>
      <c r="F3961" s="1" t="s">
        <v>6949</v>
      </c>
      <c r="G3961" s="1" t="s">
        <v>36</v>
      </c>
      <c r="H3961" s="1" t="s">
        <v>29</v>
      </c>
      <c r="I3961" s="1" t="str">
        <f ca="1">IFERROR(__xludf.DUMMYFUNCTION("GOOGLETRANSLATE(F3961, ""auto"", ""en"")
"),"Excellent device. It is less noisy than many other models. This is the second air conditioner in the apartment, there is something to compare with. There are 3 speeds, not one, as Alexey wrote. Room 20 sq.m. It cools quickly, sometimes you even have to op"&amp;"en the door from the room. Water is discharged through the evaporator. After a week of work, I still didn’t have to drain the condensate.")</f>
        <v>Excellent device. It is less noisy than many other models. This is the second air conditioner in the apartment, there is something to compare with. There are 3 speeds, not one, as Alexey wrote. Room 20 sq.m. It cools quickly, sometimes you even have to open the door from the room. Water is discharged through the evaporator. After a week of work, I still didn’t have to drain the condensate.</v>
      </c>
    </row>
    <row r="3962" spans="1:9" x14ac:dyDescent="0.3">
      <c r="A3962" s="1" t="s">
        <v>61</v>
      </c>
      <c r="B3962" s="1" t="s">
        <v>180</v>
      </c>
      <c r="C3962" s="1" t="s">
        <v>74</v>
      </c>
      <c r="D3962" s="1" t="s">
        <v>589</v>
      </c>
      <c r="E3962" s="1" t="s">
        <v>6098</v>
      </c>
      <c r="F3962" s="1" t="s">
        <v>6950</v>
      </c>
      <c r="G3962" s="1" t="s">
        <v>36</v>
      </c>
      <c r="H3962" s="1" t="s">
        <v>29</v>
      </c>
      <c r="I3962" s="1" t="str">
        <f ca="1">IFERROR(__xludf.DUMMYFUNCTION("GOOGLETRANSLATE(F3962, ""auto"", ""en"")
"),"Very good thing. Heats up instantly, sandwiches cook quickly, nothing burns or sticks. you can make very tasty sandwiches with sausage, cheese, tomatoes, etc., everything fits, the handles are fixed - this is very convenient if you are making a large sand"&amp;"wich. I recommend it to everyone.")</f>
        <v>Very good thing. Heats up instantly, sandwiches cook quickly, nothing burns or sticks. you can make very tasty sandwiches with sausage, cheese, tomatoes, etc., everything fits, the handles are fixed - this is very convenient if you are making a large sandwich. I recommend it to everyone.</v>
      </c>
    </row>
    <row r="3963" spans="1:9" x14ac:dyDescent="0.3">
      <c r="A3963" s="1" t="s">
        <v>369</v>
      </c>
      <c r="B3963" s="1" t="s">
        <v>370</v>
      </c>
      <c r="C3963" s="1" t="s">
        <v>588</v>
      </c>
      <c r="D3963" s="1" t="s">
        <v>6951</v>
      </c>
      <c r="E3963" s="1" t="s">
        <v>6264</v>
      </c>
      <c r="F3963" s="1" t="s">
        <v>6952</v>
      </c>
      <c r="G3963" s="1" t="s">
        <v>36</v>
      </c>
      <c r="H3963" s="1" t="s">
        <v>29</v>
      </c>
      <c r="I3963" s="1" t="str">
        <f ca="1">IFERROR(__xludf.DUMMYFUNCTION("GOOGLETRANSLATE(F3963, ""auto"", ""en"")
"),"Hello. I have a Hansa stove of this model. I really like it, I’ve been using it for more than six months now - no problems. Heats up quickly, does not burn, the surface is easy to clean, just wipe with a damp cloth. Stylish modern design. I often cook in "&amp;"the oven, I can’t say anything negative, there are several cooking modes, I really like the grill function, the chicken turns out delicious, with a golden crust. There is a convenient drawer at the bottom for dishes, very roomy. I love cooking and with th"&amp;"is stove it’s a pleasure. I advise you to buy it - you won’t regret it!")</f>
        <v>Hello. I have a Hansa stove of this model. I really like it, I’ve been using it for more than six months now - no problems. Heats up quickly, does not burn, the surface is easy to clean, just wipe with a damp cloth. Stylish modern design. I often cook in the oven, I can’t say anything negative, there are several cooking modes, I really like the grill function, the chicken turns out delicious, with a golden crust. There is a convenient drawer at the bottom for dishes, very roomy. I love cooking and with this stove it’s a pleasure. I advise you to buy it - you won’t regret it!</v>
      </c>
    </row>
    <row r="3964" spans="1:9" x14ac:dyDescent="0.3">
      <c r="A3964" s="1" t="s">
        <v>211</v>
      </c>
      <c r="B3964" s="1" t="s">
        <v>899</v>
      </c>
      <c r="C3964" s="1" t="s">
        <v>213</v>
      </c>
      <c r="D3964" s="1" t="s">
        <v>139</v>
      </c>
      <c r="E3964" s="1" t="s">
        <v>4071</v>
      </c>
      <c r="F3964" s="1" t="s">
        <v>6953</v>
      </c>
      <c r="G3964" s="1" t="s">
        <v>36</v>
      </c>
      <c r="H3964" s="1" t="s">
        <v>29</v>
      </c>
      <c r="I3964" s="1" t="str">
        <f ca="1">IFERROR(__xludf.DUMMYFUNCTION("GOOGLETRANSLATE(F3964, ""auto"", ""en"")
"),"The brush is excellent, I’ve been using it for two years now, everything is fine, it cleans, the display shows how much time is left, the battery lasts for a week on average.&amp;nbsp;")</f>
        <v>The brush is excellent, I’ve been using it for two years now, everything is fine, it cleans, the display shows how much time is left, the battery lasts for a week on average.&amp;nbsp;</v>
      </c>
    </row>
    <row r="3965" spans="1:9" x14ac:dyDescent="0.3">
      <c r="A3965" s="1" t="s">
        <v>169</v>
      </c>
      <c r="B3965" s="1" t="s">
        <v>170</v>
      </c>
      <c r="C3965" s="1" t="s">
        <v>193</v>
      </c>
      <c r="D3965" s="1" t="s">
        <v>6954</v>
      </c>
      <c r="E3965" s="1" t="s">
        <v>1765</v>
      </c>
      <c r="F3965" s="1" t="s">
        <v>6955</v>
      </c>
      <c r="G3965" s="1" t="s">
        <v>28</v>
      </c>
      <c r="H3965" s="1" t="s">
        <v>29</v>
      </c>
      <c r="I3965" s="1" t="str">
        <f ca="1">IFERROR(__xludf.DUMMYFUNCTION("GOOGLETRANSLATE(F3965, ""auto"", ""en"")
"),"The headphones are really suitable as written above for “progressive rock, classical and trance”, I like how the details are heard. Sound insulation is not like in a tank, but decent. The bass is not clear here. It seems that they are there, but not in th"&amp;"e usual “hum”.     The only anomaly was with the headphones, the hissing/wheezing of music when listening to tracks from the folder with NFS Underground tracks. But here I think it’s not a matter of headphones.")</f>
        <v>The headphones are really suitable as written above for “progressive rock, classical and trance”, I like how the details are heard. Sound insulation is not like in a tank, but decent. The bass is not clear here. It seems that they are there, but not in the usual “hum”.     The only anomaly was with the headphones, the hissing/wheezing of music when listening to tracks from the folder with NFS Underground tracks. But here I think it’s not a matter of headphones.</v>
      </c>
    </row>
    <row r="3966" spans="1:9" x14ac:dyDescent="0.3">
      <c r="A3966" s="1" t="s">
        <v>149</v>
      </c>
      <c r="B3966" s="1" t="s">
        <v>423</v>
      </c>
      <c r="C3966" s="1" t="s">
        <v>314</v>
      </c>
      <c r="D3966" s="1" t="s">
        <v>411</v>
      </c>
      <c r="E3966" s="1" t="s">
        <v>4990</v>
      </c>
      <c r="F3966" s="1" t="s">
        <v>6956</v>
      </c>
      <c r="G3966" s="1" t="s">
        <v>36</v>
      </c>
      <c r="H3966" s="1" t="s">
        <v>29</v>
      </c>
      <c r="I3966" s="1" t="str">
        <f ca="1">IFERROR(__xludf.DUMMYFUNCTION("GOOGLETRANSLATE(F3966, ""auto"", ""en"")
"),"Many attachments, adjustable power.")</f>
        <v>Many attachments, adjustable power.</v>
      </c>
    </row>
    <row r="3967" spans="1:9" x14ac:dyDescent="0.3">
      <c r="A3967" s="1" t="s">
        <v>211</v>
      </c>
      <c r="B3967" s="1" t="s">
        <v>410</v>
      </c>
      <c r="C3967" s="1" t="s">
        <v>213</v>
      </c>
      <c r="D3967" s="1" t="s">
        <v>232</v>
      </c>
      <c r="E3967" s="1" t="s">
        <v>6779</v>
      </c>
      <c r="F3967" s="1" t="s">
        <v>6957</v>
      </c>
      <c r="G3967" s="1" t="s">
        <v>36</v>
      </c>
      <c r="H3967" s="1" t="s">
        <v>29</v>
      </c>
      <c r="I3967" s="1" t="str">
        <f ca="1">IFERROR(__xludf.DUMMYFUNCTION("GOOGLETRANSLATE(F3967, ""auto"", ""en"")
"),"I thought that foil electric shavers were worse than rotary shavers when dealing with sculpted areas of the face - I was wrong.  Several shaving modes (which can switch automatically, depending on the degree of unshavenness), a floating head (which can be"&amp;" fixed if necessary), the ability to quickly recharge the razor in 5 minutes in the morning when you are in a hurry - and this is enough to shave! and if you fully charge the razor, the battery lasts for an indecently infinite number of minutes (about an "&amp;"hour of continuous operation). The presence of a trimmer makes the razor a complete perfection: it is convenient to trim your haircut, sideburns, and pick up hairs in hard-to-reach places like the neck. The design and materials of the razor are so pleasan"&amp;"t to the touch and presentable that you don’t want to let go of the razor: Braun knows that men are just like boys, they just prefer more sophisticated gadgets as toys :) Seriously, I didn’t think that shaving would turn from a boring morning chore into s"&amp;"uch a pleasure!")</f>
        <v>I thought that foil electric shavers were worse than rotary shavers when dealing with sculpted areas of the face - I was wrong.  Several shaving modes (which can switch automatically, depending on the degree of unshavenness), a floating head (which can be fixed if necessary), the ability to quickly recharge the razor in 5 minutes in the morning when you are in a hurry - and this is enough to shave! and if you fully charge the razor, the battery lasts for an indecently infinite number of minutes (about an hour of continuous operation). The presence of a trimmer makes the razor a complete perfection: it is convenient to trim your haircut, sideburns, and pick up hairs in hard-to-reach places like the neck. The design and materials of the razor are so pleasant to the touch and presentable that you don’t want to let go of the razor: Braun knows that men are just like boys, they just prefer more sophisticated gadgets as toys :) Seriously, I didn’t think that shaving would turn from a boring morning chore into such a pleasure!</v>
      </c>
    </row>
    <row r="3968" spans="1:9" x14ac:dyDescent="0.3">
      <c r="A3968" s="1" t="s">
        <v>120</v>
      </c>
      <c r="B3968" s="1" t="s">
        <v>121</v>
      </c>
      <c r="C3968" s="1" t="s">
        <v>80</v>
      </c>
      <c r="D3968" s="1" t="s">
        <v>6958</v>
      </c>
      <c r="E3968" s="1" t="s">
        <v>1654</v>
      </c>
      <c r="F3968" s="1" t="s">
        <v>6959</v>
      </c>
      <c r="G3968" s="1" t="s">
        <v>36</v>
      </c>
      <c r="H3968" s="1" t="s">
        <v>29</v>
      </c>
      <c r="I3968" s="1" t="str">
        <f ca="1">IFERROR(__xludf.DUMMYFUNCTION("GOOGLETRANSLATE(F3968, ""auto"", ""en"")
"),"I bought it 4 months ago. I reflashed it in 10 minutes. Everything is great. I connected the Xbox 360 and PS3, the picture is great. The sound is great. I recommend it to everyone.")</f>
        <v>I bought it 4 months ago. I reflashed it in 10 minutes. Everything is great. I connected the Xbox 360 and PS3, the picture is great. The sound is great. I recommend it to everyone.</v>
      </c>
    </row>
    <row r="3969" spans="1:9" x14ac:dyDescent="0.3">
      <c r="A3969" s="1" t="s">
        <v>30</v>
      </c>
      <c r="B3969" s="1" t="s">
        <v>50</v>
      </c>
      <c r="C3969" s="1" t="s">
        <v>189</v>
      </c>
      <c r="D3969" s="1" t="s">
        <v>52</v>
      </c>
      <c r="E3969" s="1" t="s">
        <v>2298</v>
      </c>
      <c r="F3969" s="1" t="s">
        <v>6960</v>
      </c>
      <c r="G3969" s="1" t="s">
        <v>36</v>
      </c>
      <c r="H3969" s="1" t="s">
        <v>29</v>
      </c>
      <c r="I3969" s="1" t="str">
        <f ca="1">IFERROR(__xludf.DUMMYFUNCTION("GOOGLETRANSLATE(F3969, ""auto"", ""en"")
"),"You know, I like everything about the computer. The only thing that can be considered an inconvenience, to some extent, is its size. You don’t want to take it with you on vacation or anywhere else!  P.S. And finally, a philosophical point: all hardware qu"&amp;"ickly becomes obsolete. And what to do with this when it comes to a laptop? Upgrade excluded!!!")</f>
        <v>You know, I like everything about the computer. The only thing that can be considered an inconvenience, to some extent, is its size. You don’t want to take it with you on vacation or anywhere else!  P.S. And finally, a philosophical point: all hardware quickly becomes obsolete. And what to do with this when it comes to a laptop? Upgrade excluded!!!</v>
      </c>
    </row>
    <row r="3970" spans="1:9" x14ac:dyDescent="0.3">
      <c r="A3970" s="1" t="s">
        <v>211</v>
      </c>
      <c r="B3970" s="1" t="s">
        <v>856</v>
      </c>
      <c r="C3970" s="1" t="s">
        <v>101</v>
      </c>
      <c r="D3970" s="1" t="s">
        <v>142</v>
      </c>
      <c r="E3970" s="1" t="s">
        <v>3778</v>
      </c>
      <c r="F3970" s="1" t="s">
        <v>6961</v>
      </c>
      <c r="G3970" s="1" t="s">
        <v>28</v>
      </c>
      <c r="H3970" s="1" t="s">
        <v>29</v>
      </c>
      <c r="I3970" s="1" t="str">
        <f ca="1">IFERROR(__xludf.DUMMYFUNCTION("GOOGLETRANSLATE(F3970, ""auto"", ""en"")
"),"I bought this device the other day). He evened out all my nails, of course you can’t do without a nail file, because it’s impossible to get to some places, or in some places it just doesn’t work (you press harder, it stops spinning, it’s very upsetting), "&amp;"as for the disk with a rough surface, it’s generally not clear what it does (you drive it weakly, it just glides smoothly without removing anything, but if you press harder, it stops (but for its price and quality of work) work, it corresponds)")</f>
        <v>I bought this device the other day). He evened out all my nails, of course you can’t do without a nail file, because it’s impossible to get to some places, or in some places it just doesn’t work (you press harder, it stops spinning, it’s very upsetting), as for the disk with a rough surface, it’s generally not clear what it does (you drive it weakly, it just glides smoothly without removing anything, but if you press harder, it stops (but for its price and quality of work) work, it corresponds)</v>
      </c>
    </row>
    <row r="3971" spans="1:9" x14ac:dyDescent="0.3">
      <c r="A3971" s="1" t="s">
        <v>17</v>
      </c>
      <c r="B3971" s="1" t="s">
        <v>18</v>
      </c>
      <c r="C3971" s="1" t="s">
        <v>243</v>
      </c>
      <c r="D3971" s="1" t="s">
        <v>39</v>
      </c>
      <c r="E3971" s="1" t="s">
        <v>985</v>
      </c>
      <c r="F3971" s="1" t="s">
        <v>6962</v>
      </c>
      <c r="G3971" s="1" t="s">
        <v>36</v>
      </c>
      <c r="H3971" s="1" t="s">
        <v>29</v>
      </c>
      <c r="I3971" s="1" t="str">
        <f ca="1">IFERROR(__xludf.DUMMYFUNCTION("GOOGLETRANSLATE(F3971, ""auto"", ""en"")
"),"I bought it on sale to replace the same one from 2007, the old one one day (04/15/2014) refused to drain the water. After installing the new one (everything worked right away, I left all the old hoses, everything fit) I decided to disassemble the old mach"&amp;"ine. I took out a handful of coins, a zipper catch, and two former wet wipes from the water pump that pumps water out of the drum. The napkins had to be removed in pieces using tweezers. After cleaning, the pump and the machine itself started working. Now"&amp;" I have 2 washing machines. P.S.: from 2007 to 2014, the filter (it turns out there is one) of the water pump was never cleaned (but it should have been!), otherwise everything works. And even a water heater.")</f>
        <v>I bought it on sale to replace the same one from 2007, the old one one day (04/15/2014) refused to drain the water. After installing the new one (everything worked right away, I left all the old hoses, everything fit) I decided to disassemble the old machine. I took out a handful of coins, a zipper catch, and two former wet wipes from the water pump that pumps water out of the drum. The napkins had to be removed in pieces using tweezers. After cleaning, the pump and the machine itself started working. Now I have 2 washing machines. P.S.: from 2007 to 2014, the filter (it turns out there is one) of the water pump was never cleaned (but it should have been!), otherwise everything works. And even a water heater.</v>
      </c>
    </row>
    <row r="3972" spans="1:9" x14ac:dyDescent="0.3">
      <c r="A3972" s="1" t="s">
        <v>211</v>
      </c>
      <c r="B3972" s="1" t="s">
        <v>212</v>
      </c>
      <c r="C3972" s="1" t="s">
        <v>63</v>
      </c>
      <c r="D3972" s="1" t="s">
        <v>4281</v>
      </c>
      <c r="E3972" s="1" t="s">
        <v>3402</v>
      </c>
      <c r="F3972" s="1" t="s">
        <v>6963</v>
      </c>
      <c r="G3972" s="1" t="s">
        <v>36</v>
      </c>
      <c r="H3972" s="1" t="s">
        <v>29</v>
      </c>
      <c r="I3972" s="1" t="str">
        <f ca="1">IFERROR(__xludf.DUMMYFUNCTION("GOOGLETRANSLATE(F3972, ""auto"", ""en"")
"),"There are many attachments and a special convenient bag. At the highest mode it makes a loud noise, but by and large I like everything. I’ve been using it for less than a week, but even in such a short period of time I’ve appreciated the convenience. Perf"&amp;"ectly straightens ponytail).")</f>
        <v>There are many attachments and a special convenient bag. At the highest mode it makes a loud noise, but by and large I like everything. I’ve been using it for less than a week, but even in such a short period of time I’ve appreciated the convenience. Perfectly straightens ponytail).</v>
      </c>
    </row>
    <row r="3973" spans="1:9" x14ac:dyDescent="0.3">
      <c r="A3973" s="1" t="s">
        <v>30</v>
      </c>
      <c r="B3973" s="1" t="s">
        <v>50</v>
      </c>
      <c r="C3973" s="1" t="s">
        <v>1386</v>
      </c>
      <c r="D3973" s="1" t="s">
        <v>152</v>
      </c>
      <c r="E3973" s="1" t="s">
        <v>3359</v>
      </c>
      <c r="F3973" s="1" t="s">
        <v>6964</v>
      </c>
      <c r="G3973" s="1" t="s">
        <v>36</v>
      </c>
      <c r="H3973" s="1" t="s">
        <v>29</v>
      </c>
      <c r="I3973" s="1" t="str">
        <f ca="1">IFERROR(__xludf.DUMMYFUNCTION("GOOGLETRANSLATE(F3973, ""auto"", ""en"")
"),"Honestly, I didn’t buy it, I just want to write a refutation of 7ka (I myself don’t like it, it’s an incomprehensible cross between Vista and Mac), according to a specialist I know, many beeches are loaded with optimized 7ka, which works much more efficie"&amp;"ntly than tearing it down and replacing it with HP, but again I’m not sure of anything, but I trust my friend, I hope so, I hope the beech won’t disappoint)")</f>
        <v>Honestly, I didn’t buy it, I just want to write a refutation of 7ka (I myself don’t like it, it’s an incomprehensible cross between Vista and Mac), according to a specialist I know, many beeches are loaded with optimized 7ka, which works much more efficiently than tearing it down and replacing it with HP, but again I’m not sure of anything, but I trust my friend, I hope so, I hope the beech won’t disappoint)</v>
      </c>
    </row>
    <row r="3974" spans="1:9" x14ac:dyDescent="0.3">
      <c r="A3974" s="1" t="s">
        <v>369</v>
      </c>
      <c r="B3974" s="1" t="s">
        <v>587</v>
      </c>
      <c r="C3974" s="1" t="s">
        <v>588</v>
      </c>
      <c r="D3974" s="1" t="s">
        <v>247</v>
      </c>
      <c r="E3974" s="1" t="s">
        <v>1161</v>
      </c>
      <c r="F3974" s="1" t="s">
        <v>6965</v>
      </c>
      <c r="G3974" s="1" t="s">
        <v>36</v>
      </c>
      <c r="H3974" s="1" t="s">
        <v>29</v>
      </c>
      <c r="I3974" s="1" t="str">
        <f ca="1">IFERROR(__xludf.DUMMYFUNCTION("GOOGLETRANSLATE(F3974, ""auto"", ""en"")
"),"The stove is wonderful, the burners are not noisy at all, the oven is lovely, the only thing that creates inconvenience is the short cord, I had to buy an extension cord.")</f>
        <v>The stove is wonderful, the burners are not noisy at all, the oven is lovely, the only thing that creates inconvenience is the short cord, I had to buy an extension cord.</v>
      </c>
    </row>
    <row r="3975" spans="1:9" x14ac:dyDescent="0.3">
      <c r="A3975" s="1" t="s">
        <v>67</v>
      </c>
      <c r="B3975" s="1" t="s">
        <v>68</v>
      </c>
      <c r="C3975" s="1" t="s">
        <v>69</v>
      </c>
      <c r="D3975" s="1" t="s">
        <v>2923</v>
      </c>
      <c r="E3975" s="1" t="s">
        <v>4187</v>
      </c>
      <c r="F3975" s="1" t="s">
        <v>6966</v>
      </c>
      <c r="G3975" s="1" t="s">
        <v>36</v>
      </c>
      <c r="H3975" s="1" t="s">
        <v>29</v>
      </c>
      <c r="I3975" s="1" t="str">
        <f ca="1">IFERROR(__xludf.DUMMYFUNCTION("GOOGLETRANSLATE(F3975, ""auto"", ""en"")
"),"This is the best iron. Believe me, there were quite a few of them in life. Just what you need. The steam is very powerful, ironing shirts is very convenient and efficient - a minute of time and everything is ironed. The wife is delighted.")</f>
        <v>This is the best iron. Believe me, there were quite a few of them in life. Just what you need. The steam is very powerful, ironing shirts is very convenient and efficient - a minute of time and everything is ironed. The wife is delighted.</v>
      </c>
    </row>
    <row r="3976" spans="1:9" x14ac:dyDescent="0.3">
      <c r="A3976" s="1" t="s">
        <v>211</v>
      </c>
      <c r="B3976" s="1" t="s">
        <v>212</v>
      </c>
      <c r="C3976" s="1" t="s">
        <v>381</v>
      </c>
      <c r="D3976" s="1" t="s">
        <v>142</v>
      </c>
      <c r="E3976" s="1" t="s">
        <v>2206</v>
      </c>
      <c r="F3976" s="1" t="s">
        <v>6967</v>
      </c>
      <c r="G3976" s="1" t="s">
        <v>28</v>
      </c>
      <c r="H3976" s="1" t="s">
        <v>29</v>
      </c>
      <c r="I3976" s="1" t="str">
        <f ca="1">IFERROR(__xludf.DUMMYFUNCTION("GOOGLETRANSLATE(F3976, ""auto"", ""en"")
"),"I used the Rowenta CF-8022DO hair dryer for 3 years until it burned out :-( although I only used it 2 times a week. I chose it based on the following criteria: - power (for drying); - number of attachments (for styling); - ""cold air"" function (to consol"&amp;"idate the desired result). According to all the criteria, it fit perfectly and pleased me with a good result, but suddenly it burned out... (probably it is not possible to insure against this). If you need a hair dryer every day, then you should probably "&amp;"think again...")</f>
        <v>I used the Rowenta CF-8022DO hair dryer for 3 years until it burned out :-( although I only used it 2 times a week. I chose it based on the following criteria: - power (for drying); - number of attachments (for styling); - "cold air" function (to consolidate the desired result). According to all the criteria, it fit perfectly and pleased me with a good result, but suddenly it burned out... (probably it is not possible to insure against this). If you need a hair dryer every day, then you should probably think again...</v>
      </c>
    </row>
    <row r="3977" spans="1:9" x14ac:dyDescent="0.3">
      <c r="A3977" s="1" t="s">
        <v>149</v>
      </c>
      <c r="B3977" s="1" t="s">
        <v>155</v>
      </c>
      <c r="C3977" s="1" t="s">
        <v>1187</v>
      </c>
      <c r="D3977" s="1" t="s">
        <v>6968</v>
      </c>
      <c r="E3977" s="1" t="s">
        <v>2669</v>
      </c>
      <c r="F3977" s="1" t="s">
        <v>6969</v>
      </c>
      <c r="G3977" s="1" t="s">
        <v>36</v>
      </c>
      <c r="H3977" s="1" t="s">
        <v>29</v>
      </c>
      <c r="I3977" s="1" t="str">
        <f ca="1">IFERROR(__xludf.DUMMYFUNCTION("GOOGLETRANSLATE(F3977, ""auto"", ""en"")
"),"Super vacuum cleaner! I bought it yesterday, I had a Miele before - it can’t be compared to Dyson at all! Vacuum cleaners with a bang, vacuuming is a pleasure! I recommend it to everyone")</f>
        <v>Super vacuum cleaner! I bought it yesterday, I had a Miele before - it can’t be compared to Dyson at all! Vacuum cleaners with a bang, vacuuming is a pleasure! I recommend it to everyone</v>
      </c>
    </row>
    <row r="3978" spans="1:9" x14ac:dyDescent="0.3">
      <c r="A3978" s="1" t="s">
        <v>373</v>
      </c>
      <c r="B3978" s="1" t="s">
        <v>374</v>
      </c>
      <c r="C3978" s="1" t="s">
        <v>243</v>
      </c>
      <c r="D3978" s="1" t="s">
        <v>4546</v>
      </c>
      <c r="E3978" s="1" t="s">
        <v>131</v>
      </c>
      <c r="F3978" s="1" t="s">
        <v>6970</v>
      </c>
      <c r="G3978" s="1" t="s">
        <v>36</v>
      </c>
      <c r="H3978" s="1" t="s">
        <v>29</v>
      </c>
      <c r="I3978" s="1" t="str">
        <f ca="1">IFERROR(__xludf.DUMMYFUNCTION("GOOGLETRANSLATE(F3978, ""auto"", ""en"")
"),"We bought this machine. The thing is very good and inexpensive, it washes like everyone else, whether it costs 12 thousand rubles or 30 thousand, there is no difference. I recommend it to everyone. We were happy at home!!!")</f>
        <v>We bought this machine. The thing is very good and inexpensive, it washes like everyone else, whether it costs 12 thousand rubles or 30 thousand, there is no difference. I recommend it to everyone. We were happy at home!!!</v>
      </c>
    </row>
    <row r="3979" spans="1:9" x14ac:dyDescent="0.3">
      <c r="A3979" s="1" t="s">
        <v>67</v>
      </c>
      <c r="B3979" s="1" t="s">
        <v>68</v>
      </c>
      <c r="C3979" s="1" t="s">
        <v>246</v>
      </c>
      <c r="D3979" s="1" t="s">
        <v>2771</v>
      </c>
      <c r="E3979" s="1" t="s">
        <v>6971</v>
      </c>
      <c r="F3979" s="1" t="s">
        <v>6972</v>
      </c>
      <c r="G3979" s="1" t="s">
        <v>36</v>
      </c>
      <c r="H3979" s="1" t="s">
        <v>29</v>
      </c>
      <c r="I3979" s="1" t="str">
        <f ca="1">IFERROR(__xludf.DUMMYFUNCTION("GOOGLETRANSLATE(F3979, ""auto"", ""en"")
"),"I have been using this steam generator for 6 years.  How did I manage without him before?  Irons quickly, a lot, effortlessly!  I fill the water from the filter so that there is less scale.  But it still gets clogged. This is a minus.  My adult son began "&amp;"to live separately from us.  And suddenly a request: give me a steam generator for my birthday!  I say: you have an iron!  Son: After the steam generator, ironing with an iron is simply torture!")</f>
        <v>I have been using this steam generator for 6 years.  How did I manage without him before?  Irons quickly, a lot, effortlessly!  I fill the water from the filter so that there is less scale.  But it still gets clogged. This is a minus.  My adult son began to live separately from us.  And suddenly a request: give me a steam generator for my birthday!  I say: you have an iron!  Son: After the steam generator, ironing with an iron is simply torture!</v>
      </c>
    </row>
    <row r="3980" spans="1:9" x14ac:dyDescent="0.3">
      <c r="A3980" s="1" t="s">
        <v>37</v>
      </c>
      <c r="B3980" s="1" t="s">
        <v>38</v>
      </c>
      <c r="C3980" s="1" t="s">
        <v>151</v>
      </c>
      <c r="D3980" s="1" t="s">
        <v>64</v>
      </c>
      <c r="E3980" s="1" t="s">
        <v>2502</v>
      </c>
      <c r="F3980" s="1" t="s">
        <v>6973</v>
      </c>
      <c r="G3980" s="1" t="s">
        <v>36</v>
      </c>
      <c r="H3980" s="1" t="s">
        <v>29</v>
      </c>
      <c r="I3980" s="1" t="str">
        <f ca="1">IFERROR(__xludf.DUMMYFUNCTION("GOOGLETRANSLATE(F3980, ""auto"", ""en"")
"),"I also bought this phone for myself)) back in May)) in general it’s great... especially the camera)) but it doesn’t recognize my smile... maybe I’m using it wrong? how to do this??    and one more thing...how does autofocus work???")</f>
        <v>I also bought this phone for myself)) back in May)) in general it’s great... especially the camera)) but it doesn’t recognize my smile... maybe I’m using it wrong? how to do this??    and one more thing...how does autofocus work???</v>
      </c>
    </row>
    <row r="3981" spans="1:9" x14ac:dyDescent="0.3">
      <c r="A3981" s="1" t="s">
        <v>211</v>
      </c>
      <c r="B3981" s="1" t="s">
        <v>212</v>
      </c>
      <c r="C3981" s="1" t="s">
        <v>101</v>
      </c>
      <c r="D3981" s="1" t="s">
        <v>280</v>
      </c>
      <c r="E3981" s="1" t="s">
        <v>1452</v>
      </c>
      <c r="F3981" s="1" t="s">
        <v>6974</v>
      </c>
      <c r="G3981" s="1" t="s">
        <v>28</v>
      </c>
      <c r="H3981" s="1" t="s">
        <v>29</v>
      </c>
      <c r="I3981" s="1" t="str">
        <f ca="1">IFERROR(__xludf.DUMMYFUNCTION("GOOGLETRANSLATE(F3981, ""auto"", ""en"")
"),"Overall, not bad, but as already mentioned, the temperature adjustment button is not in the most convenient place and is often pressed during the process of straightening hair...")</f>
        <v>Overall, not bad, but as already mentioned, the temperature adjustment button is not in the most convenient place and is often pressed during the process of straightening hair...</v>
      </c>
    </row>
    <row r="3982" spans="1:9" x14ac:dyDescent="0.3">
      <c r="A3982" s="1" t="s">
        <v>9</v>
      </c>
      <c r="B3982" s="1" t="s">
        <v>10</v>
      </c>
      <c r="C3982" s="1" t="s">
        <v>407</v>
      </c>
      <c r="D3982" s="1" t="s">
        <v>1659</v>
      </c>
      <c r="E3982" s="1" t="s">
        <v>517</v>
      </c>
      <c r="F3982" s="1" t="s">
        <v>6975</v>
      </c>
      <c r="G3982" s="1" t="s">
        <v>28</v>
      </c>
      <c r="H3982" s="1" t="s">
        <v>29</v>
      </c>
      <c r="I3982" s="1" t="str">
        <f ca="1">IFERROR(__xludf.DUMMYFUNCTION("GOOGLETRANSLATE(F3982, ""auto"", ""en"")
"),"Carbon filter included")</f>
        <v>Carbon filter included</v>
      </c>
    </row>
    <row r="3983" spans="1:9" x14ac:dyDescent="0.3">
      <c r="A3983" s="1" t="s">
        <v>211</v>
      </c>
      <c r="B3983" s="1" t="s">
        <v>856</v>
      </c>
      <c r="C3983" s="1" t="s">
        <v>57</v>
      </c>
      <c r="D3983" s="1" t="s">
        <v>565</v>
      </c>
      <c r="E3983" s="1" t="s">
        <v>1548</v>
      </c>
      <c r="F3983" s="1" t="s">
        <v>6976</v>
      </c>
      <c r="G3983" s="1" t="s">
        <v>28</v>
      </c>
      <c r="H3983" s="1" t="s">
        <v>29</v>
      </c>
      <c r="I3983" s="1" t="str">
        <f ca="1">IFERROR(__xludf.DUMMYFUNCTION("GOOGLETRANSLATE(F3983, ""auto"", ""en"")
"),"The massager is good, gives an excellent massage, very relaxing, many modes, the only negative is that it buzzes very loudly.")</f>
        <v>The massager is good, gives an excellent massage, very relaxing, many modes, the only negative is that it buzzes very loudly.</v>
      </c>
    </row>
    <row r="3984" spans="1:9" x14ac:dyDescent="0.3">
      <c r="A3984" s="1" t="s">
        <v>17</v>
      </c>
      <c r="B3984" s="1" t="s">
        <v>18</v>
      </c>
      <c r="C3984" s="1" t="s">
        <v>80</v>
      </c>
      <c r="D3984" s="1" t="s">
        <v>280</v>
      </c>
      <c r="E3984" s="1" t="s">
        <v>4862</v>
      </c>
      <c r="F3984" s="1" t="s">
        <v>6977</v>
      </c>
      <c r="G3984" s="1" t="s">
        <v>28</v>
      </c>
      <c r="H3984" s="1" t="s">
        <v>29</v>
      </c>
      <c r="I3984" s="1" t="str">
        <f ca="1">IFERROR(__xludf.DUMMYFUNCTION("GOOGLETRANSLATE(F3984, ""auto"", ""en"")
"),"Who bought this machine, please tell me if there is a slight rattling on the side wall of the housing when the drum rotates? This moment is a little annoying...")</f>
        <v>Who bought this machine, please tell me if there is a slight rattling on the side wall of the housing when the drum rotates? This moment is a little annoying...</v>
      </c>
    </row>
    <row r="3985" spans="1:9" x14ac:dyDescent="0.3">
      <c r="A3985" s="1" t="s">
        <v>30</v>
      </c>
      <c r="B3985" s="1" t="s">
        <v>50</v>
      </c>
      <c r="C3985" s="1" t="s">
        <v>32</v>
      </c>
      <c r="D3985" s="1" t="s">
        <v>305</v>
      </c>
      <c r="E3985" s="1" t="s">
        <v>26</v>
      </c>
      <c r="F3985" s="1" t="s">
        <v>6978</v>
      </c>
      <c r="G3985" s="1" t="s">
        <v>28</v>
      </c>
      <c r="H3985" s="1" t="s">
        <v>29</v>
      </c>
      <c r="I3985" s="1" t="str">
        <f ca="1">IFERROR(__xludf.DUMMYFUNCTION("GOOGLETRANSLATE(F3985, ""auto"", ""en"")
"),"I bought a laptop on 03/26/10, it has been working for 2 months. Overall satisfied, but the battery capacity is very small, and the battery lasts for a negligible amount of time. The laptop is not for games, but it can still run games from 09-10 on medium"&amp;" settings. I didn’t like the fact that there is no disk with Windows Seven, which is installed by default. If something happens, the system will not be reinstalled. The lack of bluetooth is not critical, but it’s still not nice that such a small detail is"&amp;" not included.")</f>
        <v>I bought a laptop on 03/26/10, it has been working for 2 months. Overall satisfied, but the battery capacity is very small, and the battery lasts for a negligible amount of time. The laptop is not for games, but it can still run games from 09-10 on medium settings. I didn’t like the fact that there is no disk with Windows Seven, which is installed by default. If something happens, the system will not be reinstalled. The lack of bluetooth is not critical, but it’s still not nice that such a small detail is not included.</v>
      </c>
    </row>
    <row r="3986" spans="1:9" x14ac:dyDescent="0.3">
      <c r="A3986" s="1" t="s">
        <v>30</v>
      </c>
      <c r="B3986" s="1" t="s">
        <v>50</v>
      </c>
      <c r="C3986" s="1" t="s">
        <v>694</v>
      </c>
      <c r="D3986" s="1" t="s">
        <v>203</v>
      </c>
      <c r="E3986" s="1" t="s">
        <v>194</v>
      </c>
      <c r="F3986" s="1" t="s">
        <v>6979</v>
      </c>
      <c r="G3986" s="1" t="s">
        <v>36</v>
      </c>
      <c r="H3986" s="1" t="s">
        <v>29</v>
      </c>
      <c r="I3986" s="1" t="str">
        <f ca="1">IFERROR(__xludf.DUMMYFUNCTION("GOOGLETRANSLATE(F3986, ""auto"", ""en"")
"),"I bought this machine in January. I was happy beyond the roof. The beech worked briskly. Even GTA4 ran fine. It was true that there was a glitch - the system crashed after QIP 2005 was closed. But it was rather a mistake of the system and after the update"&amp;" everything began to work like clockwork. Until August. It so happened that a lamp fell from a height of about 40 cm onto a beech tree. At first nothing happened, but then in games it just began to get incredibly hot and freeze. I thought that the lamp ha"&amp;"d damaged something. Moreover, many complained about weak plastic. It turned out it was all a matter of dust. I went over the gratings with a vacuum cleaner and the beech was born again! So the car is great, the main thing is to look after it and take car"&amp;"e of it!")</f>
        <v>I bought this machine in January. I was happy beyond the roof. The beech worked briskly. Even GTA4 ran fine. It was true that there was a glitch - the system crashed after QIP 2005 was closed. But it was rather a mistake of the system and after the update everything began to work like clockwork. Until August. It so happened that a lamp fell from a height of about 40 cm onto a beech tree. At first nothing happened, but then in games it just began to get incredibly hot and freeze. I thought that the lamp had damaged something. Moreover, many complained about weak plastic. It turned out it was all a matter of dust. I went over the gratings with a vacuum cleaner and the beech was born again! So the car is great, the main thing is to look after it and take care of it!</v>
      </c>
    </row>
    <row r="3987" spans="1:9" x14ac:dyDescent="0.3">
      <c r="A3987" s="1" t="s">
        <v>120</v>
      </c>
      <c r="B3987" s="1" t="s">
        <v>121</v>
      </c>
      <c r="C3987" s="1" t="s">
        <v>122</v>
      </c>
      <c r="D3987" s="1" t="s">
        <v>6980</v>
      </c>
      <c r="E3987" s="1" t="s">
        <v>3829</v>
      </c>
      <c r="F3987" s="1" t="s">
        <v>6981</v>
      </c>
      <c r="G3987" s="1" t="s">
        <v>36</v>
      </c>
      <c r="H3987" s="1" t="s">
        <v>29</v>
      </c>
      <c r="I3987" s="1" t="str">
        <f ca="1">IFERROR(__xludf.DUMMYFUNCTION("GOOGLETRANSLATE(F3987, ""auto"", ""en"")
"),"I give this LCD a fat five because it is a really high-quality model. I have a Malaysian assembly - very good and neat. I liked the picture most of all, it will be worse on Samsung and Goldstar, although the characteristics are quite similar to Panasonic."&amp;" I watch movies via DVD, so I immediately connected it via HDMI - the picture became an order of magnitude better, my advice is to do this right away! Just don't skimp on cords, don't make my mistake. As it shows, I didn’t like the broadcast, but through "&amp;"the plate everything is fine, so in combination with this TV, immediately buy a plate)))")</f>
        <v>I give this LCD a fat five because it is a really high-quality model. I have a Malaysian assembly - very good and neat. I liked the picture most of all, it will be worse on Samsung and Goldstar, although the characteristics are quite similar to Panasonic. I watch movies via DVD, so I immediately connected it via HDMI - the picture became an order of magnitude better, my advice is to do this right away! Just don't skimp on cords, don't make my mistake. As it shows, I didn’t like the broadcast, but through the plate everything is fine, so in combination with this TV, immediately buy a plate)))</v>
      </c>
    </row>
    <row r="3988" spans="1:9" x14ac:dyDescent="0.3">
      <c r="A3988" s="1" t="s">
        <v>61</v>
      </c>
      <c r="B3988" s="1" t="s">
        <v>318</v>
      </c>
      <c r="C3988" s="1" t="s">
        <v>69</v>
      </c>
      <c r="D3988" s="1" t="s">
        <v>200</v>
      </c>
      <c r="E3988" s="1" t="s">
        <v>343</v>
      </c>
      <c r="F3988" s="1" t="s">
        <v>6982</v>
      </c>
      <c r="G3988" s="1" t="s">
        <v>36</v>
      </c>
      <c r="H3988" s="1" t="s">
        <v>29</v>
      </c>
      <c r="I3988" s="1" t="str">
        <f ca="1">IFERROR(__xludf.DUMMYFUNCTION("GOOGLETRANSLATE(F3988, ""auto"", ""en"")
"),"only advantages")</f>
        <v>only advantages</v>
      </c>
    </row>
    <row r="3989" spans="1:9" x14ac:dyDescent="0.3">
      <c r="A3989" s="1" t="s">
        <v>206</v>
      </c>
      <c r="B3989" s="1" t="s">
        <v>1253</v>
      </c>
      <c r="C3989" s="1" t="s">
        <v>1254</v>
      </c>
      <c r="D3989" s="1" t="s">
        <v>102</v>
      </c>
      <c r="E3989" s="1" t="s">
        <v>332</v>
      </c>
      <c r="F3989" s="1" t="s">
        <v>6983</v>
      </c>
      <c r="G3989" s="1" t="s">
        <v>36</v>
      </c>
      <c r="H3989" s="1" t="s">
        <v>29</v>
      </c>
      <c r="I3989" s="1" t="str">
        <f ca="1">IFERROR(__xludf.DUMMYFUNCTION("GOOGLETRANSLATE(F3989, ""auto"", ""en"")
"),"The quality is excellent! Everything you need is included! It’s especially convenient that there are two separate sets for charging! For some reason, in previous reviews they write that the communication radius in the city is 500 meters, today I checked i"&amp;"t personally, I left one at home and the other went to the park, the distance to the park is 3 km - a normal flight can be heard well, when moving to a longer distance the connection disappears! I haven’t checked outside the city, but I think the distance"&amp;" will be much greater! I don’t regret the purchase!")</f>
        <v>The quality is excellent! Everything you need is included! It’s especially convenient that there are two separate sets for charging! For some reason, in previous reviews they write that the communication radius in the city is 500 meters, today I checked it personally, I left one at home and the other went to the park, the distance to the park is 3 km - a normal flight can be heard well, when moving to a longer distance the connection disappears! I haven’t checked outside the city, but I think the distance will be much greater! I don’t regret the purchase!</v>
      </c>
    </row>
    <row r="3990" spans="1:9" x14ac:dyDescent="0.3">
      <c r="A3990" s="1" t="s">
        <v>120</v>
      </c>
      <c r="B3990" s="1" t="s">
        <v>121</v>
      </c>
      <c r="C3990" s="1" t="s">
        <v>151</v>
      </c>
      <c r="D3990" s="1" t="s">
        <v>940</v>
      </c>
      <c r="E3990" s="1" t="s">
        <v>3664</v>
      </c>
      <c r="F3990" s="1" t="s">
        <v>6984</v>
      </c>
      <c r="G3990" s="1" t="s">
        <v>36</v>
      </c>
      <c r="H3990" s="1" t="s">
        <v>29</v>
      </c>
      <c r="I3990" s="1" t="str">
        <f ca="1">IFERROR(__xludf.DUMMYFUNCTION("GOOGLETRANSLATE(F3990, ""auto"", ""en"")
"),"I bought the TV a week ago, having previously studied the features, advantages and disadvantages of LCD panels. I was pleasantly surprised by the quality (and primarily of analog TV) of the image. DVD and AVI (movies with a capacity of ~1.4-2 GB) files ar"&amp;"e played (and via AV IN!) quite decently. The sound is great. I haven’t connected it via HDMI yet, because... It is recommended to be more careful when choosing a cable. I'm looking. Summarizing the above, I believe that the device fully repays the money "&amp;"paid for it.")</f>
        <v>I bought the TV a week ago, having previously studied the features, advantages and disadvantages of LCD panels. I was pleasantly surprised by the quality (and primarily of analog TV) of the image. DVD and AVI (movies with a capacity of ~1.4-2 GB) files are played (and via AV IN!) quite decently. The sound is great. I haven’t connected it via HDMI yet, because... It is recommended to be more careful when choosing a cable. I'm looking. Summarizing the above, I believe that the device fully repays the money paid for it.</v>
      </c>
    </row>
    <row r="3991" spans="1:9" x14ac:dyDescent="0.3">
      <c r="A3991" s="1" t="s">
        <v>30</v>
      </c>
      <c r="B3991" s="1" t="s">
        <v>50</v>
      </c>
      <c r="C3991" s="1" t="s">
        <v>1003</v>
      </c>
      <c r="D3991" s="1" t="s">
        <v>327</v>
      </c>
      <c r="E3991" s="1" t="s">
        <v>1886</v>
      </c>
      <c r="F3991" s="1" t="s">
        <v>6985</v>
      </c>
      <c r="G3991" s="1" t="s">
        <v>36</v>
      </c>
      <c r="H3991" s="1" t="s">
        <v>29</v>
      </c>
      <c r="I3991" s="1" t="str">
        <f ca="1">IFERROR(__xludf.DUMMYFUNCTION("GOOGLETRANSLATE(F3991, ""auto"", ""en"")
"),"good beech. I'm happy, I bought it around December 2009. games work comfortably, makes me happy, watching movies is also comfortable without any problems) but as for clicking, yes, there is such a thing, and today I got a blank with a movie, something is "&amp;"not reading O_o and other CDs will also look into it now")</f>
        <v>good beech. I'm happy, I bought it around December 2009. games work comfortably, makes me happy, watching movies is also comfortable without any problems) but as for clicking, yes, there is such a thing, and today I got a blank with a movie, something is not reading O_o and other CDs will also look into it now</v>
      </c>
    </row>
    <row r="3992" spans="1:9" x14ac:dyDescent="0.3">
      <c r="A3992" s="1" t="s">
        <v>1031</v>
      </c>
      <c r="B3992" s="1" t="s">
        <v>3488</v>
      </c>
      <c r="C3992" s="1" t="s">
        <v>710</v>
      </c>
      <c r="D3992" s="1" t="s">
        <v>52</v>
      </c>
      <c r="E3992" s="1" t="s">
        <v>6986</v>
      </c>
      <c r="F3992" s="1" t="s">
        <v>6987</v>
      </c>
      <c r="G3992" s="1" t="s">
        <v>36</v>
      </c>
      <c r="H3992" s="1" t="s">
        <v>29</v>
      </c>
      <c r="I3992" s="1" t="str">
        <f ca="1">IFERROR(__xludf.DUMMYFUNCTION("GOOGLETRANSLATE(F3992, ""auto"", ""en"")
"),"It copes with odors as well as two packs of activated carbon from the pharmacy for 10 rubles :)")</f>
        <v>It copes with odors as well as two packs of activated carbon from the pharmacy for 10 rubles :)</v>
      </c>
    </row>
    <row r="3993" spans="1:9" x14ac:dyDescent="0.3">
      <c r="A3993" s="1" t="s">
        <v>30</v>
      </c>
      <c r="B3993" s="1" t="s">
        <v>31</v>
      </c>
      <c r="C3993" s="1" t="s">
        <v>32</v>
      </c>
      <c r="D3993" s="1" t="s">
        <v>52</v>
      </c>
      <c r="E3993" s="1" t="s">
        <v>109</v>
      </c>
      <c r="F3993" s="1" t="s">
        <v>6988</v>
      </c>
      <c r="G3993" s="1" t="s">
        <v>36</v>
      </c>
      <c r="H3993" s="1" t="s">
        <v>29</v>
      </c>
      <c r="I3993" s="1" t="str">
        <f ca="1">IFERROR(__xludf.DUMMYFUNCTION("GOOGLETRANSLATE(F3993, ""auto"", ""en"")
"),"The computer is simply super, the price/quality ratio is ideal!  Ready, balanced, powerful.  I’ll say right away - I’m not an Acer fan, not an advertising agent... like you, I thought for a long time, compared, went to the store several times, tinkered wi"&amp;"th the settings... in the end I bought it. Satisfied!!!  As for the lack of fans, low power supply - well, you name it! This is a balanced computer, a ready-made, tested assembly. NOT FOR OVERCALLING OR UPGRADE!  If there is 1 fan and a 300W power supply,"&amp;" then the designers have calculated and checked it a hundred times - that means it should be so. There is no excess power here, I repeat, everything is balanced. And for playful hands there are prefabricated computers, assemble, experiment, enjoy your 600"&amp;"W power bank... This product is not for experimentation.  Yes, this is not a Core i7, not a GeForce GTX295, not a 2Tb raid... but have you even paid attention to the price?  The operating system should be installed at 64 bit, is this a problem for anyone?"&amp;"  For me personally, everything works fine, all games launch, fly, all Adobe programs (Photoshop CS4, AfterEffects..) work very quickly. And most importantly, the computer never froze... In my opinion, the most suitable choice in this price range!  I hope"&amp;" this will help someone in their choice.")</f>
        <v>The computer is simply super, the price/quality ratio is ideal!  Ready, balanced, powerful.  I’ll say right away - I’m not an Acer fan, not an advertising agent... like you, I thought for a long time, compared, went to the store several times, tinkered with the settings... in the end I bought it. Satisfied!!!  As for the lack of fans, low power supply - well, you name it! This is a balanced computer, a ready-made, tested assembly. NOT FOR OVERCALLING OR UPGRADE!  If there is 1 fan and a 300W power supply, then the designers have calculated and checked it a hundred times - that means it should be so. There is no excess power here, I repeat, everything is balanced. And for playful hands there are prefabricated computers, assemble, experiment, enjoy your 600W power bank... This product is not for experimentation.  Yes, this is not a Core i7, not a GeForce GTX295, not a 2Tb raid... but have you even paid attention to the price?  The operating system should be installed at 64 bit, is this a problem for anyone?  For me personally, everything works fine, all games launch, fly, all Adobe programs (Photoshop CS4, AfterEffects..) work very quickly. And most importantly, the computer never froze... In my opinion, the most suitable choice in this price range!  I hope this will help someone in their choice.</v>
      </c>
    </row>
    <row r="3994" spans="1:9" x14ac:dyDescent="0.3">
      <c r="A3994" s="1" t="s">
        <v>67</v>
      </c>
      <c r="B3994" s="1" t="s">
        <v>340</v>
      </c>
      <c r="C3994" s="1" t="s">
        <v>341</v>
      </c>
      <c r="D3994" s="1" t="s">
        <v>64</v>
      </c>
      <c r="E3994" s="1" t="s">
        <v>6989</v>
      </c>
      <c r="F3994" s="1" t="s">
        <v>6990</v>
      </c>
      <c r="G3994" s="1" t="s">
        <v>28</v>
      </c>
      <c r="H3994" s="1" t="s">
        <v>29</v>
      </c>
      <c r="I3994" s="1" t="str">
        <f ca="1">IFERROR(__xludf.DUMMYFUNCTION("GOOGLETRANSLATE(F3994, ""auto"", ""en"")
"),"I bought the machine on sale in exchange for an old seagull, it sews quietly and takes thick fabrics, I feel that the power is not enough, but for me... I sew occasionally when necessary... it will do!")</f>
        <v>I bought the machine on sale in exchange for an old seagull, it sews quietly and takes thick fabrics, I feel that the power is not enough, but for me... I sew occasionally when necessary... it will do!</v>
      </c>
    </row>
    <row r="3995" spans="1:9" x14ac:dyDescent="0.3">
      <c r="A3995" s="1" t="s">
        <v>120</v>
      </c>
      <c r="B3995" s="1" t="s">
        <v>121</v>
      </c>
      <c r="C3995" s="1" t="s">
        <v>80</v>
      </c>
      <c r="D3995" s="1" t="s">
        <v>943</v>
      </c>
      <c r="E3995" s="1" t="s">
        <v>571</v>
      </c>
      <c r="F3995" s="1" t="s">
        <v>6991</v>
      </c>
      <c r="G3995" s="1" t="s">
        <v>28</v>
      </c>
      <c r="H3995" s="1" t="s">
        <v>29</v>
      </c>
      <c r="I3995" s="1" t="str">
        <f ca="1">IFERROR(__xludf.DUMMYFUNCTION("GOOGLETRANSLATE(F3995, ""auto"", ""en"")
"),"Like many, I first made inquiries by reading reviews about this product. I bought it! The TV fits very well into the interior, fits like a glove. In principle, I like it. Russified menu, convenient remote control. But not all channels are shown well (cabl"&amp;"e), compared to CRT TVs, the picture quality is not very good. A close-up is fine, but a long shot is all blurry. I need to try digital. The quality of images from licensed discs is excellent! Tell me how to reflash and activate the service USB???")</f>
        <v>Like many, I first made inquiries by reading reviews about this product. I bought it! The TV fits very well into the interior, fits like a glove. In principle, I like it. Russified menu, convenient remote control. But not all channels are shown well (cable), compared to CRT TVs, the picture quality is not very good. A close-up is fine, but a long shot is all blurry. I need to try digital. The quality of images from licensed discs is excellent! Tell me how to reflash and activate the service USB???</v>
      </c>
    </row>
    <row r="3996" spans="1:9" x14ac:dyDescent="0.3">
      <c r="A3996" s="1" t="s">
        <v>37</v>
      </c>
      <c r="B3996" s="1" t="s">
        <v>38</v>
      </c>
      <c r="C3996" s="1" t="s">
        <v>163</v>
      </c>
      <c r="D3996" s="1" t="s">
        <v>117</v>
      </c>
      <c r="E3996" s="1" t="s">
        <v>2793</v>
      </c>
      <c r="F3996" s="1" t="s">
        <v>6992</v>
      </c>
      <c r="G3996" s="1" t="s">
        <v>36</v>
      </c>
      <c r="H3996" s="1" t="s">
        <v>29</v>
      </c>
      <c r="I3996" s="1" t="str">
        <f ca="1">IFERROR(__xludf.DUMMYFUNCTION("GOOGLETRANSLATE(F3996, ""auto"", ""en"")
"),"The price differs from retail prices by 300 rubles less, is it due to the lack of a 1GB memory card, which is included with other sellers?")</f>
        <v>The price differs from retail prices by 300 rubles less, is it due to the lack of a 1GB memory card, which is included with other sellers?</v>
      </c>
    </row>
    <row r="3997" spans="1:9" x14ac:dyDescent="0.3">
      <c r="A3997" s="1" t="s">
        <v>211</v>
      </c>
      <c r="B3997" s="1" t="s">
        <v>212</v>
      </c>
      <c r="C3997" s="1" t="s">
        <v>294</v>
      </c>
      <c r="D3997" s="1" t="s">
        <v>565</v>
      </c>
      <c r="E3997" s="1" t="s">
        <v>1548</v>
      </c>
      <c r="F3997" s="1" t="s">
        <v>6993</v>
      </c>
      <c r="G3997" s="1" t="s">
        <v>36</v>
      </c>
      <c r="H3997" s="1" t="s">
        <v>29</v>
      </c>
      <c r="I3997" s="1" t="str">
        <f ca="1">IFERROR(__xludf.DUMMYFUNCTION("GOOGLETRANSLATE(F3997, ""auto"", ""en"")
"),"I am very pleased that I bought this particular iron, the hair does not catch, it straightens quickly, the temperature is regulated, and due to the Teflon coating on the plate, the hair does not become electrified and is shiny.  At first I wanted to buy a"&amp;" multistyler, but in the end I changed my mind. It is better to buy a straightening iron and curling iron separately, but of excellent quality, than to buy everything in one, but of worse quality.")</f>
        <v>I am very pleased that I bought this particular iron, the hair does not catch, it straightens quickly, the temperature is regulated, and due to the Teflon coating on the plate, the hair does not become electrified and is shiny.  At first I wanted to buy a multistyler, but in the end I changed my mind. It is better to buy a straightening iron and curling iron separately, but of excellent quality, than to buy everything in one, but of worse quality.</v>
      </c>
    </row>
    <row r="3998" spans="1:9" x14ac:dyDescent="0.3">
      <c r="A3998" s="1" t="s">
        <v>211</v>
      </c>
      <c r="B3998" s="1" t="s">
        <v>1818</v>
      </c>
      <c r="C3998" s="1" t="s">
        <v>213</v>
      </c>
      <c r="D3998" s="1" t="s">
        <v>896</v>
      </c>
      <c r="E3998" s="1" t="s">
        <v>6994</v>
      </c>
      <c r="F3998" s="1" t="s">
        <v>6995</v>
      </c>
      <c r="G3998" s="1" t="s">
        <v>36</v>
      </c>
      <c r="H3998" s="1" t="s">
        <v>29</v>
      </c>
      <c r="I3998" s="1" t="str">
        <f ca="1">IFERROR(__xludf.DUMMYFUNCTION("GOOGLETRANSLATE(F3998, ""auto"", ""en"")
"),"I bought this comb two days ago. I dreamed about her and kept waiting for her to appear in Mvideo. In Maryino, Mvideo works around the clock - which is very convenient! Well, I bought it and washed my hair. I have curly hair, it gets very frizzy if it dri"&amp;"es naturally without hair cream. On dry hair, as written in the instructions, the effect is better. I started combing my hair only with her. The first thing that caught my eye was the shine from the comb! The fluff did not disappear immediately. Well, I t"&amp;"hink it’s nonsense... But by the end of the day the hair was shining and not frizzy at all - it became smooth and smooth! I like everything about this comb so far :) so I recommend it!")</f>
        <v>I bought this comb two days ago. I dreamed about her and kept waiting for her to appear in Mvideo. In Maryino, Mvideo works around the clock - which is very convenient! Well, I bought it and washed my hair. I have curly hair, it gets very frizzy if it dries naturally without hair cream. On dry hair, as written in the instructions, the effect is better. I started combing my hair only with her. The first thing that caught my eye was the shine from the comb! The fluff did not disappear immediately. Well, I think it’s nonsense... But by the end of the day the hair was shining and not frizzy at all - it became smooth and smooth! I like everything about this comb so far :) so I recommend it!</v>
      </c>
    </row>
    <row r="3999" spans="1:9" x14ac:dyDescent="0.3">
      <c r="A3999" s="1" t="s">
        <v>30</v>
      </c>
      <c r="B3999" s="1" t="s">
        <v>50</v>
      </c>
      <c r="C3999" s="1" t="s">
        <v>32</v>
      </c>
      <c r="D3999" s="1" t="s">
        <v>1431</v>
      </c>
      <c r="E3999" s="1" t="s">
        <v>3652</v>
      </c>
      <c r="F3999" s="1" t="s">
        <v>6996</v>
      </c>
      <c r="G3999" s="1" t="s">
        <v>36</v>
      </c>
      <c r="H3999" s="1" t="s">
        <v>29</v>
      </c>
      <c r="I3999" s="1" t="str">
        <f ca="1">IFERROR(__xludf.DUMMYFUNCTION("GOOGLETRANSLATE(F3999, ""auto"", ""en"")
"),"I spent a long time choosing the laptop and am very happy with the purchase.  I needed a light, small laptop for work. I was leaning towards netbooks, but the screen was too small.    The only disadvantages of this laptop are the not-so-low fan noise leve"&amp;"l (although it is at an acceptable level and is not annoying, but it blurs the overall ideal picture a little) and a small touchpad (in 90% of cases I work with a mouse, so this point is also not critical). The rest is done at 5+.  The assembly is excelle"&amp;"nt. No backlash. All details are carefully fitted. Nothing is loose anywhere.  Excellent balance of characteristics. The processor could be more powerful, but this would affect the operating time. I use the laptop mainly for work and watching movies. Noth"&amp;"ing slows down (I haven’t tried watching FullHD yet, but given the good video card on board, I think it can handle it).  The screen is bright. Very nice to watch. Optimal resolution for this size. The picture is very clear. At first it was unusually small"&amp;", but then it became even convenient.  With Wi-Fi turned on in low power mode when surfing the Internet, the battery lasted about 7 hours. Without Wi-Fi it should work even longer. But this time is quite enough.  I bought it at a discount, so for that pri"&amp;"ce it was an ideal price/quality ratio. Very pleased.")</f>
        <v>I spent a long time choosing the laptop and am very happy with the purchase.  I needed a light, small laptop for work. I was leaning towards netbooks, but the screen was too small.    The only disadvantages of this laptop are the not-so-low fan noise level (although it is at an acceptable level and is not annoying, but it blurs the overall ideal picture a little) and a small touchpad (in 90% of cases I work with a mouse, so this point is also not critical). The rest is done at 5+.  The assembly is excellent. No backlash. All details are carefully fitted. Nothing is loose anywhere.  Excellent balance of characteristics. The processor could be more powerful, but this would affect the operating time. I use the laptop mainly for work and watching movies. Nothing slows down (I haven’t tried watching FullHD yet, but given the good video card on board, I think it can handle it).  The screen is bright. Very nice to watch. Optimal resolution for this size. The picture is very clear. At first it was unusually small, but then it became even convenient.  With Wi-Fi turned on in low power mode when surfing the Internet, the battery lasted about 7 hours. Without Wi-Fi it should work even longer. But this time is quite enough.  I bought it at a discount, so for that price it was an ideal price/quality ratio. Very pleased.</v>
      </c>
    </row>
    <row r="4000" spans="1:9" x14ac:dyDescent="0.3">
      <c r="A4000" s="1" t="s">
        <v>17</v>
      </c>
      <c r="B4000" s="1" t="s">
        <v>18</v>
      </c>
      <c r="C4000" s="1" t="s">
        <v>151</v>
      </c>
      <c r="D4000" s="1" t="s">
        <v>3685</v>
      </c>
      <c r="E4000" s="1" t="s">
        <v>201</v>
      </c>
      <c r="F4000" s="1" t="s">
        <v>6997</v>
      </c>
      <c r="G4000" s="1" t="s">
        <v>36</v>
      </c>
      <c r="H4000" s="1" t="s">
        <v>29</v>
      </c>
      <c r="I4000" s="1" t="str">
        <f ca="1">IFERROR(__xludf.DUMMYFUNCTION("GOOGLETRANSLATE(F4000, ""auto"", ""en"")
"),"If you are still thinking about whether to buy it or not....then the answer is obvious, of course YES!!!! I recommend this machine to everyone, I’m very happy with the purchase!! The machine is just super... If you don’t like to think, this is your option"&amp;"... the machine itself sets the program, your only job is to set the type of fabric!! BUY THIS MODEL YOU WILL BE VERY SATISFIED!!!!!!!!!!!!!!!")</f>
        <v>If you are still thinking about whether to buy it or not....then the answer is obvious, of course YES!!!! I recommend this machine to everyone, I’m very happy with the purchase!! The machine is just super... If you don’t like to think, this is your option... the machine itself sets the program, your only job is to set the type of fabric!! BUY THIS MODEL YOU WILL BE VERY SATISFIED!!!!!!!!!!!!!!!</v>
      </c>
    </row>
    <row r="4001" spans="1:9" x14ac:dyDescent="0.3">
      <c r="A4001" s="1" t="s">
        <v>105</v>
      </c>
      <c r="B4001" s="1" t="s">
        <v>106</v>
      </c>
      <c r="C4001" s="1" t="s">
        <v>151</v>
      </c>
      <c r="D4001" s="1" t="s">
        <v>1055</v>
      </c>
      <c r="E4001" s="1" t="s">
        <v>1148</v>
      </c>
      <c r="F4001" s="1" t="s">
        <v>6998</v>
      </c>
      <c r="G4001" s="1" t="s">
        <v>36</v>
      </c>
      <c r="H4001" s="1" t="s">
        <v>29</v>
      </c>
      <c r="I4001" s="1" t="str">
        <f ca="1">IFERROR(__xludf.DUMMYFUNCTION("GOOGLETRANSLATE(F4001, ""auto"", ""en"")
"),"the player is wonderful! If you just want to listen to music, then this is what you need. The battery lasts a long time, the sound is good, and there are a lot of interesting features.  The only thing is that it freezes occasionally, but the ""Reset"" but"&amp;"ton sorts everything out")</f>
        <v>the player is wonderful! If you just want to listen to music, then this is what you need. The battery lasts a long time, the sound is good, and there are a lot of interesting features.  The only thing is that it freezes occasionally, but the "Reset" button sorts everything out</v>
      </c>
    </row>
    <row r="4002" spans="1:9" x14ac:dyDescent="0.3">
      <c r="A4002" s="1" t="s">
        <v>477</v>
      </c>
      <c r="B4002" s="1" t="s">
        <v>478</v>
      </c>
      <c r="C4002" s="1" t="s">
        <v>479</v>
      </c>
      <c r="D4002" s="1" t="s">
        <v>327</v>
      </c>
      <c r="E4002" s="1" t="s">
        <v>841</v>
      </c>
      <c r="F4002" s="1" t="s">
        <v>6999</v>
      </c>
      <c r="G4002" s="1" t="s">
        <v>36</v>
      </c>
      <c r="H4002" s="1" t="s">
        <v>29</v>
      </c>
      <c r="I4002" s="1" t="str">
        <f ca="1">IFERROR(__xludf.DUMMYFUNCTION("GOOGLETRANSLATE(F4002, ""auto"", ""en"")
"),"Actually, I picked up this game right away. And it's super cool, but not as cool as the first part. The game is easy to complete and there are very few missions. And the world is limited by possibilities. But the count is super!")</f>
        <v>Actually, I picked up this game right away. And it's super cool, but not as cool as the first part. The game is easy to complete and there are very few missions. And the world is limited by possibilities. But the count is super!</v>
      </c>
    </row>
    <row r="4003" spans="1:9" x14ac:dyDescent="0.3">
      <c r="A4003" s="1" t="s">
        <v>95</v>
      </c>
      <c r="B4003" s="1" t="s">
        <v>486</v>
      </c>
      <c r="C4003" s="1" t="s">
        <v>487</v>
      </c>
      <c r="D4003" s="1" t="s">
        <v>52</v>
      </c>
      <c r="E4003" s="1" t="s">
        <v>7000</v>
      </c>
      <c r="F4003" s="1" t="s">
        <v>7001</v>
      </c>
      <c r="G4003" s="1" t="s">
        <v>36</v>
      </c>
      <c r="H4003" s="1" t="s">
        <v>29</v>
      </c>
      <c r="I4003" s="1" t="str">
        <f ca="1">IFERROR(__xludf.DUMMYFUNCTION("GOOGLETRANSLATE(F4003, ""auto"", ""en"")
"),"That's it, I figured it out! It turns out everything is so great that the box can be connected not only to a TV, but also to a monitor with separate speakers: described on the website xbox-club.ru/communities/xfaq/posts/faq-vse-sposoby-podklyucheniya-xbox"&amp;"-360-k-televizoru-monitoru/")</f>
        <v>That's it, I figured it out! It turns out everything is so great that the box can be connected not only to a TV, but also to a monitor with separate speakers: described on the website xbox-club.ru/communities/xfaq/posts/faq-vse-sposoby-podklyucheniya-xbox-360-k-televizoru-monitoru/</v>
      </c>
    </row>
    <row r="4004" spans="1:9" x14ac:dyDescent="0.3">
      <c r="A4004" s="1" t="s">
        <v>149</v>
      </c>
      <c r="B4004" s="1" t="s">
        <v>150</v>
      </c>
      <c r="C4004" s="1" t="s">
        <v>2016</v>
      </c>
      <c r="D4004" s="1" t="s">
        <v>2145</v>
      </c>
      <c r="E4004" s="1" t="s">
        <v>1971</v>
      </c>
      <c r="F4004" s="1" t="s">
        <v>7002</v>
      </c>
      <c r="G4004" s="1" t="s">
        <v>36</v>
      </c>
      <c r="H4004" s="1" t="s">
        <v>29</v>
      </c>
      <c r="I4004" s="1" t="str">
        <f ca="1">IFERROR(__xludf.DUMMYFUNCTION("GOOGLETRANSLATE(F4004, ""auto"", ""en"")
"),"I bought it through an online store. I received it quickly. The characteristics suit me - it’s inexpensive. The equipment is good, it’s convenient to use the flexible hose. I’m happy with the purchase. There are, of course, more powerful ones, but they’re"&amp;" more expensive. And I’m happy with this one, I don’t regret it.")</f>
        <v>I bought it through an online store. I received it quickly. The characteristics suit me - it’s inexpensive. The equipment is good, it’s convenient to use the flexible hose. I’m happy with the purchase. There are, of course, more powerful ones, but they’re more expensive. And I’m happy with this one, I don’t regret it.</v>
      </c>
    </row>
    <row r="4005" spans="1:9" x14ac:dyDescent="0.3">
      <c r="A4005" s="1" t="s">
        <v>37</v>
      </c>
      <c r="B4005" s="1" t="s">
        <v>536</v>
      </c>
      <c r="C4005" s="1" t="s">
        <v>537</v>
      </c>
      <c r="D4005" s="1" t="s">
        <v>934</v>
      </c>
      <c r="E4005" s="1" t="s">
        <v>397</v>
      </c>
      <c r="F4005" s="1" t="s">
        <v>7003</v>
      </c>
      <c r="G4005" s="1" t="s">
        <v>36</v>
      </c>
      <c r="H4005" s="1" t="s">
        <v>29</v>
      </c>
      <c r="I4005" s="1" t="str">
        <f ca="1">IFERROR(__xludf.DUMMYFUNCTION("GOOGLETRANSLATE(F4005, ""auto"", ""en"")
"),"Cool communicator, the best of its kind. It has everything: 3G, wi-fi, a large screen with good resolution, easy controls, beautiful design, a new interface, the android market allows you to download thousands of useful programs for free, in general, a hi"&amp;"gh-quality PDA.")</f>
        <v>Cool communicator, the best of its kind. It has everything: 3G, wi-fi, a large screen with good resolution, easy controls, beautiful design, a new interface, the android market allows you to download thousands of useful programs for free, in general, a high-quality PDA.</v>
      </c>
    </row>
    <row r="4006" spans="1:9" x14ac:dyDescent="0.3">
      <c r="A4006" s="1" t="s">
        <v>55</v>
      </c>
      <c r="B4006" s="1" t="s">
        <v>752</v>
      </c>
      <c r="C4006" s="1" t="s">
        <v>185</v>
      </c>
      <c r="D4006" s="1" t="s">
        <v>305</v>
      </c>
      <c r="E4006" s="1" t="s">
        <v>217</v>
      </c>
      <c r="F4006" s="1" t="s">
        <v>7004</v>
      </c>
      <c r="G4006" s="1" t="s">
        <v>36</v>
      </c>
      <c r="H4006" s="1" t="s">
        <v>29</v>
      </c>
      <c r="I4006" s="1" t="str">
        <f ca="1">IFERROR(__xludf.DUMMYFUNCTION("GOOGLETRANSLATE(F4006, ""auto"", ""en"")
"),"It was very cold at home and the child was freezing, the consultant recommended this model because... He gives her the most warmth. I didn’t deceive you, the house just got hot, great radiator!!")</f>
        <v>It was very cold at home and the child was freezing, the consultant recommended this model because... He gives her the most warmth. I didn’t deceive you, the house just got hot, great radiator!!</v>
      </c>
    </row>
    <row r="4007" spans="1:9" x14ac:dyDescent="0.3">
      <c r="A4007" s="1" t="s">
        <v>373</v>
      </c>
      <c r="B4007" s="1" t="s">
        <v>374</v>
      </c>
      <c r="C4007" s="1" t="s">
        <v>24</v>
      </c>
      <c r="D4007" s="1" t="s">
        <v>335</v>
      </c>
      <c r="E4007" s="1" t="s">
        <v>1553</v>
      </c>
      <c r="F4007" s="1" t="s">
        <v>7005</v>
      </c>
      <c r="G4007" s="1" t="s">
        <v>36</v>
      </c>
      <c r="H4007" s="1" t="s">
        <v>29</v>
      </c>
      <c r="I4007" s="1" t="str">
        <f ca="1">IFERROR(__xludf.DUMMYFUNCTION("GOOGLETRANSLATE(F4007, ""auto"", ""en"")
"),"We have been using the machine for 1.5 years, we are very satisfied! Cheap and cheerful. It washes dishes well, even washes things that cannot be washed by hand! The main thing is to arrange the dishes correctly and choose detergents. The only downside is"&amp;" that it is too noisy. Very pleased!")</f>
        <v>We have been using the machine for 1.5 years, we are very satisfied! Cheap and cheerful. It washes dishes well, even washes things that cannot be washed by hand! The main thing is to arrange the dishes correctly and choose detergents. The only downside is that it is too noisy. Very pleased!</v>
      </c>
    </row>
    <row r="4008" spans="1:9" x14ac:dyDescent="0.3">
      <c r="A4008" s="1" t="s">
        <v>17</v>
      </c>
      <c r="B4008" s="1" t="s">
        <v>18</v>
      </c>
      <c r="C4008" s="1" t="s">
        <v>80</v>
      </c>
      <c r="D4008" s="1" t="s">
        <v>139</v>
      </c>
      <c r="E4008" s="1" t="s">
        <v>1432</v>
      </c>
      <c r="F4008" s="1" t="s">
        <v>7006</v>
      </c>
      <c r="G4008" s="1" t="s">
        <v>36</v>
      </c>
      <c r="H4008" s="1" t="s">
        <v>29</v>
      </c>
      <c r="I4008" s="1" t="str">
        <f ca="1">IFERROR(__xludf.DUMMYFUNCTION("GOOGLETRANSLATE(F4008, ""auto"", ""en"")
"),"We recently bought this washing machine. First impressions of washing - it's just a great washer. Quiet. It draws water a little loudly and drains it. But it's not annoying at all. And it doesn’t jump or jump around the room, as most buyers write about it"&amp;". It stands rooted to the spot on its original legs in the kitchen on linoleum. In general, my wife and I really liked it!")</f>
        <v>We recently bought this washing machine. First impressions of washing - it's just a great washer. Quiet. It draws water a little loudly and drains it. But it's not annoying at all. And it doesn’t jump or jump around the room, as most buyers write about it. It stands rooted to the spot on its original legs in the kitchen on linoleum. In general, my wife and I really liked it!</v>
      </c>
    </row>
    <row r="4009" spans="1:9" x14ac:dyDescent="0.3">
      <c r="A4009" s="1" t="s">
        <v>120</v>
      </c>
      <c r="B4009" s="1" t="s">
        <v>256</v>
      </c>
      <c r="C4009" s="1" t="s">
        <v>80</v>
      </c>
      <c r="D4009" s="1" t="s">
        <v>326</v>
      </c>
      <c r="E4009" s="1" t="s">
        <v>824</v>
      </c>
      <c r="F4009" s="1" t="s">
        <v>7007</v>
      </c>
      <c r="G4009" s="1" t="s">
        <v>36</v>
      </c>
      <c r="H4009" s="1" t="s">
        <v>29</v>
      </c>
      <c r="I4009" s="1" t="str">
        <f ca="1">IFERROR(__xludf.DUMMYFUNCTION("GOOGLETRANSLATE(F4009, ""auto"", ""en"")
"),"I bought it the other day. A very cool TV, and most importantly, USB reads all files (photos, videos, music). I tested it on several, everything is just fine, I can’t be happier, they hung it in the kitchen, no built-in DVD is needed!))))")</f>
        <v>I bought it the other day. A very cool TV, and most importantly, USB reads all files (photos, videos, music). I tested it on several, everything is just fine, I can’t be happier, they hung it in the kitchen, no built-in DVD is needed!))))</v>
      </c>
    </row>
    <row r="4010" spans="1:9" x14ac:dyDescent="0.3">
      <c r="A4010" s="1" t="s">
        <v>965</v>
      </c>
      <c r="B4010" s="1" t="s">
        <v>966</v>
      </c>
      <c r="C4010" s="1" t="s">
        <v>967</v>
      </c>
      <c r="D4010" s="1" t="s">
        <v>7008</v>
      </c>
      <c r="E4010" s="1" t="s">
        <v>7009</v>
      </c>
      <c r="F4010" s="1" t="s">
        <v>7010</v>
      </c>
      <c r="G4010" s="1" t="s">
        <v>36</v>
      </c>
      <c r="H4010" s="1" t="s">
        <v>29</v>
      </c>
      <c r="I4010" s="1" t="str">
        <f ca="1">IFERROR(__xludf.DUMMYFUNCTION("GOOGLETRANSLATE(F4010, ""auto"", ""en"")
"),"ADVANTAGES IN EVERYTHING ")</f>
        <v xml:space="preserve">ADVANTAGES IN EVERYTHING </v>
      </c>
    </row>
    <row r="4011" spans="1:9" x14ac:dyDescent="0.3">
      <c r="A4011" s="1" t="s">
        <v>37</v>
      </c>
      <c r="B4011" s="1" t="s">
        <v>38</v>
      </c>
      <c r="C4011" s="1" t="s">
        <v>151</v>
      </c>
      <c r="D4011" s="1" t="s">
        <v>445</v>
      </c>
      <c r="E4011" s="1" t="s">
        <v>956</v>
      </c>
      <c r="F4011" s="1" t="s">
        <v>7011</v>
      </c>
      <c r="G4011" s="1" t="s">
        <v>36</v>
      </c>
      <c r="H4011" s="1" t="s">
        <v>29</v>
      </c>
      <c r="I4011" s="1" t="str">
        <f ca="1">IFERROR(__xludf.DUMMYFUNCTION("GOOGLETRANSLATE(F4011, ""auto"", ""en"")
"),"Super phone, no flaws!")</f>
        <v>Super phone, no flaws!</v>
      </c>
    </row>
    <row r="4012" spans="1:9" x14ac:dyDescent="0.3">
      <c r="A4012" s="1" t="s">
        <v>169</v>
      </c>
      <c r="B4012" s="1" t="s">
        <v>170</v>
      </c>
      <c r="C4012" s="1" t="s">
        <v>171</v>
      </c>
      <c r="D4012" s="1" t="s">
        <v>20</v>
      </c>
      <c r="E4012" s="1" t="s">
        <v>1494</v>
      </c>
      <c r="F4012" s="1" t="s">
        <v>7012</v>
      </c>
      <c r="G4012" s="1" t="s">
        <v>36</v>
      </c>
      <c r="H4012" s="1" t="s">
        <v>29</v>
      </c>
      <c r="I4012" s="1" t="str">
        <f ca="1">IFERROR(__xludf.DUMMYFUNCTION("GOOGLETRANSLATE(F4012, ""auto"", ""en"")
"),"The headphones are very good, powerful clear bass, excellent mids, although the highs are at 4, but overall the sound picture is very good, soft warm sound, every instrument can be heard even in the busiest moments of rock music, excellent sound insulatio"&amp;"n! I did house renovations in these ears, I also worked with a drill and a sander (an extremely loud thing), so the ears almost completely damp out external noise, and at the same time I was listening to an audiobook (Sony s638 player) at medium volume! T"&amp;"his is with the standard double silicone pads. I didn’t like the sound with conventional single pads; the sound changes dramatically. The wire is quite thick, does not cause any concerns in terms of fragility and at the same time is very soft and elastic,"&amp;" the insulation feels velvety to the touch, as if it were silicone or rubber, and does not harden in the cold.  When I turned on these ears for the first time, I really didn’t like them, the sound was disgusting, there was zero bass, but it turns out they"&amp;" just need to be warmed up for a while, and then they will go into normal mode, so don’t rush to exchange them! Plus, great futuristic design! There is a small problem with the noise when the wire rubs against clothes, but this is only noticed during a pa"&amp;"use; if you turn on the music even at the lowest volume, these rustling noises disappear completely. Extremely pleased with the headphones, rating 5!")</f>
        <v>The headphones are very good, powerful clear bass, excellent mids, although the highs are at 4, but overall the sound picture is very good, soft warm sound, every instrument can be heard even in the busiest moments of rock music, excellent sound insulation! I did house renovations in these ears, I also worked with a drill and a sander (an extremely loud thing), so the ears almost completely damp out external noise, and at the same time I was listening to an audiobook (Sony s638 player) at medium volume! This is with the standard double silicone pads. I didn’t like the sound with conventional single pads; the sound changes dramatically. The wire is quite thick, does not cause any concerns in terms of fragility and at the same time is very soft and elastic, the insulation feels velvety to the touch, as if it were silicone or rubber, and does not harden in the cold.  When I turned on these ears for the first time, I really didn’t like them, the sound was disgusting, there was zero bass, but it turns out they just need to be warmed up for a while, and then they will go into normal mode, so don’t rush to exchange them! Plus, great futuristic design! There is a small problem with the noise when the wire rubs against clothes, but this is only noticed during a pause; if you turn on the music even at the lowest volume, these rustling noises disappear completely. Extremely pleased with the headphones, rating 5!</v>
      </c>
    </row>
    <row r="4013" spans="1:9" x14ac:dyDescent="0.3">
      <c r="A4013" s="1" t="s">
        <v>43</v>
      </c>
      <c r="B4013" s="1" t="s">
        <v>1382</v>
      </c>
      <c r="C4013" s="1" t="s">
        <v>57</v>
      </c>
      <c r="D4013" s="1" t="s">
        <v>327</v>
      </c>
      <c r="E4013" s="1" t="s">
        <v>1169</v>
      </c>
      <c r="F4013" s="1" t="s">
        <v>7013</v>
      </c>
      <c r="G4013" s="1" t="s">
        <v>36</v>
      </c>
      <c r="H4013" s="1" t="s">
        <v>29</v>
      </c>
      <c r="I4013" s="1" t="str">
        <f ca="1">IFERROR(__xludf.DUMMYFUNCTION("GOOGLETRANSLATE(F4013, ""auto"", ""en"")
"),"It works without jambs and surprises! The noise is practically inaudible, but it blows perfectly. Thing!")</f>
        <v>It works without jambs and surprises! The noise is practically inaudible, but it blows perfectly. Thing!</v>
      </c>
    </row>
    <row r="4014" spans="1:9" x14ac:dyDescent="0.3">
      <c r="A4014" s="1" t="s">
        <v>206</v>
      </c>
      <c r="B4014" s="1" t="s">
        <v>261</v>
      </c>
      <c r="C4014" s="1" t="s">
        <v>262</v>
      </c>
      <c r="D4014" s="1" t="s">
        <v>7014</v>
      </c>
      <c r="E4014" s="1" t="s">
        <v>1767</v>
      </c>
      <c r="F4014" s="1" t="s">
        <v>7015</v>
      </c>
      <c r="G4014" s="1" t="s">
        <v>28</v>
      </c>
      <c r="H4014" s="1" t="s">
        <v>29</v>
      </c>
      <c r="I4014" s="1" t="str">
        <f ca="1">IFERROR(__xludf.DUMMYFUNCTION("GOOGLETRANSLATE(F4014, ""auto"", ""en"")
"),"The antenna is normal in principle, it receives with varying success, in the city the stability is shaky, but when I go to the dacha, the situation improves, 4-5 channels in good quality you can get everything. The advantages of it are also obvious: it is"&amp;" assembled with high quality, looks neat, is not bulky, is easy to attach and costs little money.")</f>
        <v>The antenna is normal in principle, it receives with varying success, in the city the stability is shaky, but when I go to the dacha, the situation improves, 4-5 channels in good quality you can get everything. The advantages of it are also obvious: it is assembled with high quality, looks neat, is not bulky, is easy to attach and costs little money.</v>
      </c>
    </row>
    <row r="4015" spans="1:9" x14ac:dyDescent="0.3">
      <c r="A4015" s="1" t="s">
        <v>211</v>
      </c>
      <c r="B4015" s="1" t="s">
        <v>856</v>
      </c>
      <c r="C4015" s="1" t="s">
        <v>57</v>
      </c>
      <c r="D4015" s="1" t="s">
        <v>1021</v>
      </c>
      <c r="E4015" s="1" t="s">
        <v>692</v>
      </c>
      <c r="F4015" s="1" t="s">
        <v>7016</v>
      </c>
      <c r="G4015" s="1" t="s">
        <v>36</v>
      </c>
      <c r="H4015" s="1" t="s">
        <v>29</v>
      </c>
      <c r="I4015" s="1" t="str">
        <f ca="1">IFERROR(__xludf.DUMMYFUNCTION("GOOGLETRANSLATE(F4015, ""auto"", ""en"")
"),"good foot bath) everyone is delighted")</f>
        <v>good foot bath) everyone is delighted</v>
      </c>
    </row>
    <row r="4016" spans="1:9" x14ac:dyDescent="0.3">
      <c r="A4016" s="1" t="s">
        <v>149</v>
      </c>
      <c r="B4016" s="1" t="s">
        <v>150</v>
      </c>
      <c r="C4016" s="1" t="s">
        <v>6732</v>
      </c>
      <c r="D4016" s="1" t="s">
        <v>7017</v>
      </c>
      <c r="E4016" s="1" t="s">
        <v>772</v>
      </c>
      <c r="F4016" s="1" t="s">
        <v>7018</v>
      </c>
      <c r="G4016" s="1" t="s">
        <v>36</v>
      </c>
      <c r="H4016" s="1" t="s">
        <v>29</v>
      </c>
      <c r="I4016" s="1" t="str">
        <f ca="1">IFERROR(__xludf.DUMMYFUNCTION("GOOGLETRANSLATE(F4016, ""auto"", ""en"")
"),"A month ago we bought a vacuum cleaner on sale and are very pleased, I was especially surprised by the aqua filter and the good level of filtration, I recommend it to everyone.")</f>
        <v>A month ago we bought a vacuum cleaner on sale and are very pleased, I was especially surprised by the aqua filter and the good level of filtration, I recommend it to everyone.</v>
      </c>
    </row>
    <row r="4017" spans="1:9" x14ac:dyDescent="0.3">
      <c r="A4017" s="1" t="s">
        <v>149</v>
      </c>
      <c r="B4017" s="1" t="s">
        <v>576</v>
      </c>
      <c r="C4017" s="1" t="s">
        <v>80</v>
      </c>
      <c r="D4017" s="1" t="s">
        <v>2217</v>
      </c>
      <c r="E4017" s="1" t="s">
        <v>2565</v>
      </c>
      <c r="F4017" s="1" t="s">
        <v>7019</v>
      </c>
      <c r="G4017" s="1" t="s">
        <v>28</v>
      </c>
      <c r="H4017" s="1" t="s">
        <v>29</v>
      </c>
      <c r="I4017" s="1" t="str">
        <f ca="1">IFERROR(__xludf.DUMMYFUNCTION("GOOGLETRANSLATE(F4017, ""auto"", ""en"")
"),"Normal vacuum cleaner. I was choosing between bagless Samsungs, but after reading the reviews, I changed my mind. The “rich” equipment (spare Nera filter and turbo brush) won me over, but I only noticed the lack of a crevice nozzle at home. Moreover, the "&amp;"control on the handle is also very convenient. True, the absence of a duplicate power button on the case is rather a minus. The turbo brush works fine, the cord also winds well. Good reinforced hose. Convenient carrying handle. Quite powerful, although it"&amp;" heats up very quickly during operation. Overall I'm happy with the purchase.")</f>
        <v>Normal vacuum cleaner. I was choosing between bagless Samsungs, but after reading the reviews, I changed my mind. The “rich” equipment (spare Nera filter and turbo brush) won me over, but I only noticed the lack of a crevice nozzle at home. Moreover, the control on the handle is also very convenient. True, the absence of a duplicate power button on the case is rather a minus. The turbo brush works fine, the cord also winds well. Good reinforced hose. Convenient carrying handle. Quite powerful, although it heats up very quickly during operation. Overall I'm happy with the purchase.</v>
      </c>
    </row>
    <row r="4018" spans="1:9" x14ac:dyDescent="0.3">
      <c r="A4018" s="1" t="s">
        <v>9</v>
      </c>
      <c r="B4018" s="1" t="s">
        <v>874</v>
      </c>
      <c r="C4018" s="1" t="s">
        <v>588</v>
      </c>
      <c r="D4018" s="1" t="s">
        <v>46</v>
      </c>
      <c r="E4018" s="1" t="s">
        <v>4925</v>
      </c>
      <c r="F4018" s="1" t="s">
        <v>7020</v>
      </c>
      <c r="G4018" s="1" t="s">
        <v>36</v>
      </c>
      <c r="H4018" s="1" t="s">
        <v>29</v>
      </c>
      <c r="I4018" s="1" t="str">
        <f ca="1">IFERROR(__xludf.DUMMYFUNCTION("GOOGLETRANSLATE(F4018, ""auto"", ""en"")
"),"Does this model have telescopic guides? ▶▶▶EXPERT ANSWER “M.VIDEO”◀◀◀Victoria, the guides in the oven are wire.")</f>
        <v>Does this model have telescopic guides? ▶▶▶EXPERT ANSWER “M.VIDEO”◀◀◀Victoria, the guides in the oven are wire.</v>
      </c>
    </row>
    <row r="4019" spans="1:9" x14ac:dyDescent="0.3">
      <c r="A4019" s="1" t="s">
        <v>61</v>
      </c>
      <c r="B4019" s="1" t="s">
        <v>62</v>
      </c>
      <c r="C4019" s="1" t="s">
        <v>63</v>
      </c>
      <c r="D4019" s="1" t="s">
        <v>934</v>
      </c>
      <c r="E4019" s="1" t="s">
        <v>920</v>
      </c>
      <c r="F4019" s="1" t="s">
        <v>7021</v>
      </c>
      <c r="G4019" s="1" t="s">
        <v>36</v>
      </c>
      <c r="H4019" s="1" t="s">
        <v>29</v>
      </c>
      <c r="I4019" s="1" t="str">
        <f ca="1">IFERROR(__xludf.DUMMYFUNCTION("GOOGLETRANSLATE(F4019, ""auto"", ""en"")
"),"The combine is EXCELLENT. It took me about 1.5 minutes to make a bowl of Olivier. Along with eggs. There were no problems with them, they crumbled into cubes like they were cute. Another feature: there is practically no waste, scraps or unfinished product"&amp;"s left. This applies not only to the cube attachment, but also to other graters. The only thing that is a little difficult for me personally is assembling the entire structure. The bowl snaps into place with some effort. But I think it will work out in th"&amp;"e process.")</f>
        <v>The combine is EXCELLENT. It took me about 1.5 minutes to make a bowl of Olivier. Along with eggs. There were no problems with them, they crumbled into cubes like they were cute. Another feature: there is practically no waste, scraps or unfinished products left. This applies not only to the cube attachment, but also to other graters. The only thing that is a little difficult for me personally is assembling the entire structure. The bowl snaps into place with some effort. But I think it will work out in the process.</v>
      </c>
    </row>
    <row r="4020" spans="1:9" x14ac:dyDescent="0.3">
      <c r="A4020" s="1" t="s">
        <v>9</v>
      </c>
      <c r="B4020" s="1" t="s">
        <v>23</v>
      </c>
      <c r="C4020" s="1" t="s">
        <v>63</v>
      </c>
      <c r="D4020" s="1" t="s">
        <v>4329</v>
      </c>
      <c r="E4020" s="1" t="s">
        <v>1950</v>
      </c>
      <c r="F4020" s="1" t="s">
        <v>7022</v>
      </c>
      <c r="G4020" s="1" t="s">
        <v>36</v>
      </c>
      <c r="H4020" s="1" t="s">
        <v>29</v>
      </c>
      <c r="I4020" s="1" t="str">
        <f ca="1">IFERROR(__xludf.DUMMYFUNCTION("GOOGLETRANSLATE(F4020, ""auto"", ""en"")
"),"It washes everything completely, washes, cleans, dries simply excellent. In terms of functions, even too much, quiet. I use it and am happy and recommend it to you!")</f>
        <v>It washes everything completely, washes, cleans, dries simply excellent. In terms of functions, even too much, quiet. I use it and am happy and recommend it to you!</v>
      </c>
    </row>
    <row r="4021" spans="1:9" x14ac:dyDescent="0.3">
      <c r="A4021" s="1" t="s">
        <v>67</v>
      </c>
      <c r="B4021" s="1" t="s">
        <v>68</v>
      </c>
      <c r="C4021" s="1" t="s">
        <v>69</v>
      </c>
      <c r="D4021" s="1" t="s">
        <v>2233</v>
      </c>
      <c r="E4021" s="1" t="s">
        <v>1044</v>
      </c>
      <c r="F4021" s="1" t="s">
        <v>7023</v>
      </c>
      <c r="G4021" s="1" t="s">
        <v>36</v>
      </c>
      <c r="H4021" s="1" t="s">
        <v>29</v>
      </c>
      <c r="I4021" s="1" t="str">
        <f ca="1">IFERROR(__xludf.DUMMYFUNCTION("GOOGLETRANSLATE(F4021, ""auto"", ""en"")
"),"They notice the iron, it’s felt - now I’ll love ironing. Irons very well, the steam is powerful, irons out all the wrinkles. The cord is of excellent length, this was exactly what was missing in the previous iron. In terms of weight, yes, it’s not light, "&amp;"but during ironing for some reason this weight is not felt at all.")</f>
        <v>They notice the iron, it’s felt - now I’ll love ironing. Irons very well, the steam is powerful, irons out all the wrinkles. The cord is of excellent length, this was exactly what was missing in the previous iron. In terms of weight, yes, it’s not light, but during ironing for some reason this weight is not felt at all.</v>
      </c>
    </row>
    <row r="4022" spans="1:9" x14ac:dyDescent="0.3">
      <c r="A4022" s="1" t="s">
        <v>37</v>
      </c>
      <c r="B4022" s="1" t="s">
        <v>355</v>
      </c>
      <c r="C4022" s="1" t="s">
        <v>356</v>
      </c>
      <c r="D4022" s="1" t="s">
        <v>33</v>
      </c>
      <c r="E4022" s="1" t="s">
        <v>3147</v>
      </c>
      <c r="F4022" s="1" t="s">
        <v>7024</v>
      </c>
      <c r="G4022" s="1" t="s">
        <v>28</v>
      </c>
      <c r="H4022" s="1" t="s">
        <v>29</v>
      </c>
      <c r="I4022" s="1" t="str">
        <f ca="1">IFERROR(__xludf.DUMMYFUNCTION("GOOGLETRANSLATE(F4022, ""auto"", ""en"")
"),"I’m very, very pleased, and since then I’ve always been keeping an eye on new products. It is very easy to use, navigation has helped us out more than once, the manufacturer has proven that nanotechnology is good, since we live in the 21st century! I am v"&amp;"ery glad that I have been using it for more than one year!!!!  It hasn’t broken yet, I just changed the firmware!!!!!=) I’m waiting to evaluate 4G")</f>
        <v>I’m very, very pleased, and since then I’ve always been keeping an eye on new products. It is very easy to use, navigation has helped us out more than once, the manufacturer has proven that nanotechnology is good, since we live in the 21st century! I am very glad that I have been using it for more than one year!!!!  It hasn’t broken yet, I just changed the firmware!!!!!=) I’m waiting to evaluate 4G</v>
      </c>
    </row>
    <row r="4023" spans="1:9" x14ac:dyDescent="0.3">
      <c r="A4023" s="1" t="s">
        <v>61</v>
      </c>
      <c r="B4023" s="1" t="s">
        <v>224</v>
      </c>
      <c r="C4023" s="1" t="s">
        <v>101</v>
      </c>
      <c r="D4023" s="1" t="s">
        <v>565</v>
      </c>
      <c r="E4023" s="1" t="s">
        <v>1669</v>
      </c>
      <c r="F4023" s="1" t="s">
        <v>7025</v>
      </c>
      <c r="G4023" s="1" t="s">
        <v>36</v>
      </c>
      <c r="H4023" s="1" t="s">
        <v>29</v>
      </c>
      <c r="I4023" s="1" t="str">
        <f ca="1">IFERROR(__xludf.DUMMYFUNCTION("GOOGLETRANSLATE(F4023, ""auto"", ""en"")
"),"Today we bought this miracle of the gods! As a gift for my grandmother, we brought it and unpacked it, learned how to use it, and the first batch was an orange and an apple. We ate the cake, drank the juice. Washed it. In general, we want one for ourselve"&amp;"s! We recommend it to everyone!")</f>
        <v>Today we bought this miracle of the gods! As a gift for my grandmother, we brought it and unpacked it, learned how to use it, and the first batch was an orange and an apple. We ate the cake, drank the juice. Washed it. In general, we want one for ourselves! We recommend it to everyone!</v>
      </c>
    </row>
    <row r="4024" spans="1:9" x14ac:dyDescent="0.3">
      <c r="A4024" s="1" t="s">
        <v>30</v>
      </c>
      <c r="B4024" s="1" t="s">
        <v>50</v>
      </c>
      <c r="C4024" s="1" t="s">
        <v>32</v>
      </c>
      <c r="D4024" s="1" t="s">
        <v>102</v>
      </c>
      <c r="E4024" s="1" t="s">
        <v>1742</v>
      </c>
      <c r="F4024" s="1" t="s">
        <v>7026</v>
      </c>
      <c r="G4024" s="1" t="s">
        <v>36</v>
      </c>
      <c r="H4024" s="1" t="s">
        <v>29</v>
      </c>
      <c r="I4024" s="1" t="str">
        <f ca="1">IFERROR(__xludf.DUMMYFUNCTION("GOOGLETRANSLATE(F4024, ""auto"", ""en"")
"),"I picked up the beech the other day and was pleased. Everything is great. Functionality is excellent.")</f>
        <v>I picked up the beech the other day and was pleased. Everything is great. Functionality is excellent.</v>
      </c>
    </row>
    <row r="4025" spans="1:9" x14ac:dyDescent="0.3">
      <c r="A4025" s="1" t="s">
        <v>557</v>
      </c>
      <c r="B4025" s="1" t="s">
        <v>558</v>
      </c>
      <c r="C4025" s="1" t="s">
        <v>122</v>
      </c>
      <c r="D4025" s="1" t="s">
        <v>247</v>
      </c>
      <c r="E4025" s="1" t="s">
        <v>1843</v>
      </c>
      <c r="F4025" s="1" t="s">
        <v>7027</v>
      </c>
      <c r="G4025" s="1" t="s">
        <v>28</v>
      </c>
      <c r="H4025" s="1" t="s">
        <v>29</v>
      </c>
      <c r="I4025" s="1" t="str">
        <f ca="1">IFERROR(__xludf.DUMMYFUNCTION("GOOGLETRANSLATE(F4025, ""auto"", ""en"")
"),"I'm happy with the choice, the sound is good, the selection of ringtones is not great, but you can choose something. The tube is comfortable in the hand")</f>
        <v>I'm happy with the choice, the sound is good, the selection of ringtones is not great, but you can choose something. The tube is comfortable in the hand</v>
      </c>
    </row>
    <row r="4026" spans="1:9" x14ac:dyDescent="0.3">
      <c r="A4026" s="1" t="s">
        <v>149</v>
      </c>
      <c r="B4026" s="1" t="s">
        <v>423</v>
      </c>
      <c r="C4026" s="1" t="s">
        <v>424</v>
      </c>
      <c r="D4026" s="1" t="s">
        <v>1499</v>
      </c>
      <c r="E4026" s="1" t="s">
        <v>131</v>
      </c>
      <c r="F4026" s="1" t="s">
        <v>7028</v>
      </c>
      <c r="G4026" s="1" t="s">
        <v>15</v>
      </c>
      <c r="H4026" s="1" t="s">
        <v>16</v>
      </c>
      <c r="I4026" s="1" t="str">
        <f ca="1">IFERROR(__xludf.DUMMYFUNCTION("GOOGLETRANSLATE(F4026, ""auto"", ""en"")
"),"Inconvenient!!! Gifted as a birthday present!! Unmaneuverable, heavy, all the hoses fall out, very inconvenient nozzle for the washing function - now I want to sell it... but who will take it))) Don’t repeat my mistakes!!")</f>
        <v>Inconvenient!!! Gifted as a birthday present!! Unmaneuverable, heavy, all the hoses fall out, very inconvenient nozzle for the washing function - now I want to sell it... but who will take it))) Don’t repeat my mistakes!!</v>
      </c>
    </row>
    <row r="4027" spans="1:9" x14ac:dyDescent="0.3">
      <c r="A4027" s="1" t="s">
        <v>30</v>
      </c>
      <c r="B4027" s="1" t="s">
        <v>50</v>
      </c>
      <c r="C4027" s="1" t="s">
        <v>694</v>
      </c>
      <c r="D4027" s="1" t="s">
        <v>1121</v>
      </c>
      <c r="E4027" s="1" t="s">
        <v>3829</v>
      </c>
      <c r="F4027" s="1" t="s">
        <v>7029</v>
      </c>
      <c r="G4027" s="1" t="s">
        <v>36</v>
      </c>
      <c r="H4027" s="1" t="s">
        <v>29</v>
      </c>
      <c r="I4027" s="1" t="str">
        <f ca="1">IFERROR(__xludf.DUMMYFUNCTION("GOOGLETRANSLATE(F4027, ""auto"", ""en"")
"),"I flashed the BIOS, but for some reason the right speaker wheezes...")</f>
        <v>I flashed the BIOS, but for some reason the right speaker wheezes...</v>
      </c>
    </row>
    <row r="4028" spans="1:9" x14ac:dyDescent="0.3">
      <c r="A4028" s="1" t="s">
        <v>120</v>
      </c>
      <c r="B4028" s="1" t="s">
        <v>126</v>
      </c>
      <c r="C4028" s="1" t="s">
        <v>151</v>
      </c>
      <c r="D4028" s="1" t="s">
        <v>280</v>
      </c>
      <c r="E4028" s="1" t="s">
        <v>661</v>
      </c>
      <c r="F4028" s="1" t="s">
        <v>7030</v>
      </c>
      <c r="G4028" s="1" t="s">
        <v>28</v>
      </c>
      <c r="H4028" s="1" t="s">
        <v>29</v>
      </c>
      <c r="I4028" s="1" t="str">
        <f ca="1">IFERROR(__xludf.DUMMYFUNCTION("GOOGLETRANSLATE(F4028, ""auto"", ""en"")
"),"Spontaneous switching on/off means the TV is looking for a software update, which can be disabled somewhere in the settings.")</f>
        <v>Spontaneous switching on/off means the TV is looking for a software update, which can be disabled somewhere in the settings.</v>
      </c>
    </row>
    <row r="4029" spans="1:9" x14ac:dyDescent="0.3">
      <c r="A4029" s="1" t="s">
        <v>61</v>
      </c>
      <c r="B4029" s="1" t="s">
        <v>180</v>
      </c>
      <c r="C4029" s="1" t="s">
        <v>85</v>
      </c>
      <c r="D4029" s="1" t="s">
        <v>471</v>
      </c>
      <c r="E4029" s="1" t="s">
        <v>4530</v>
      </c>
      <c r="F4029" s="1" t="s">
        <v>7031</v>
      </c>
      <c r="G4029" s="1" t="s">
        <v>36</v>
      </c>
      <c r="H4029" s="1" t="s">
        <v>29</v>
      </c>
      <c r="I4029" s="1" t="str">
        <f ca="1">IFERROR(__xludf.DUMMYFUNCTION("GOOGLETRANSLATE(F4029, ""auto"", ""en"")
"),"We bought it almost a year ago, never had any problems))) excellent toaster and excellent model) Bork, well done as always)")</f>
        <v>We bought it almost a year ago, never had any problems))) excellent toaster and excellent model) Bork, well done as always)</v>
      </c>
    </row>
    <row r="4030" spans="1:9" x14ac:dyDescent="0.3">
      <c r="A4030" s="1" t="s">
        <v>105</v>
      </c>
      <c r="B4030" s="1" t="s">
        <v>106</v>
      </c>
      <c r="C4030" s="1" t="s">
        <v>1209</v>
      </c>
      <c r="D4030" s="1" t="s">
        <v>2944</v>
      </c>
      <c r="E4030" s="1" t="s">
        <v>883</v>
      </c>
      <c r="F4030" s="1" t="s">
        <v>7032</v>
      </c>
      <c r="G4030" s="1" t="s">
        <v>28</v>
      </c>
      <c r="H4030" s="1" t="s">
        <v>29</v>
      </c>
      <c r="I4030" s="1" t="str">
        <f ca="1">IFERROR(__xludf.DUMMYFUNCTION("GOOGLETRANSLATE(F4030, ""auto"", ""en"")
"),"The screen got scratched within just a few weeks, and the power button also wore off quickly. I’ve been using it for a little over a year and it should be noted that the sensor has lost quite a lot of sensitivity. The original headphones lasted a year, bu"&amp;"t one ear stopped working. The sound is not bad, but sometimes the volume is not enough. Lightweight and compact, but I think such a tiny thing will be too small for men to hold in their hands. I wasn’t happy that it can only be charged from USB, but you "&amp;"can throw in something new every time.")</f>
        <v>The screen got scratched within just a few weeks, and the power button also wore off quickly. I’ve been using it for a little over a year and it should be noted that the sensor has lost quite a lot of sensitivity. The original headphones lasted a year, but one ear stopped working. The sound is not bad, but sometimes the volume is not enough. Lightweight and compact, but I think such a tiny thing will be too small for men to hold in their hands. I wasn’t happy that it can only be charged from USB, but you can throw in something new every time.</v>
      </c>
    </row>
    <row r="4031" spans="1:9" x14ac:dyDescent="0.3">
      <c r="A4031" s="1" t="s">
        <v>361</v>
      </c>
      <c r="B4031" s="1" t="s">
        <v>3058</v>
      </c>
      <c r="C4031" s="1" t="s">
        <v>2143</v>
      </c>
      <c r="D4031" s="1" t="s">
        <v>2679</v>
      </c>
      <c r="E4031" s="1" t="s">
        <v>7033</v>
      </c>
      <c r="F4031" s="1" t="s">
        <v>7034</v>
      </c>
      <c r="G4031" s="1" t="s">
        <v>36</v>
      </c>
      <c r="H4031" s="1" t="s">
        <v>29</v>
      </c>
      <c r="I4031" s="1" t="str">
        <f ca="1">IFERROR(__xludf.DUMMYFUNCTION("GOOGLETRANSLATE(F4031, ""auto"", ""en"")
"),"This is just a super helper! Even the ancient, grandmother’s knives began to smile! I recommend it to everyone!!!")</f>
        <v>This is just a super helper! Even the ancient, grandmother’s knives began to smile! I recommend it to everyone!!!</v>
      </c>
    </row>
    <row r="4032" spans="1:9" x14ac:dyDescent="0.3">
      <c r="A4032" s="1" t="s">
        <v>477</v>
      </c>
      <c r="B4032" s="1" t="s">
        <v>478</v>
      </c>
      <c r="C4032" s="1" t="s">
        <v>479</v>
      </c>
      <c r="D4032" s="1" t="s">
        <v>7035</v>
      </c>
      <c r="E4032" s="1" t="s">
        <v>2176</v>
      </c>
      <c r="F4032" s="1" t="s">
        <v>7036</v>
      </c>
      <c r="G4032" s="1" t="s">
        <v>36</v>
      </c>
      <c r="H4032" s="1" t="s">
        <v>29</v>
      </c>
      <c r="I4032" s="1" t="str">
        <f ca="1">IFERROR(__xludf.DUMMYFUNCTION("GOOGLETRANSLATE(F4032, ""auto"", ""en"")
"),"Super game)))) Everyone buy the Mafia face :D")</f>
        <v>Super game)))) Everyone buy the Mafia face :D</v>
      </c>
    </row>
    <row r="4033" spans="1:9" x14ac:dyDescent="0.3">
      <c r="A4033" s="1" t="s">
        <v>120</v>
      </c>
      <c r="B4033" s="1" t="s">
        <v>126</v>
      </c>
      <c r="C4033" s="1" t="s">
        <v>151</v>
      </c>
      <c r="D4033" s="1" t="s">
        <v>186</v>
      </c>
      <c r="E4033" s="1" t="s">
        <v>950</v>
      </c>
      <c r="F4033" s="1" t="s">
        <v>7037</v>
      </c>
      <c r="G4033" s="1" t="s">
        <v>36</v>
      </c>
      <c r="H4033" s="1" t="s">
        <v>29</v>
      </c>
      <c r="I4033" s="1" t="str">
        <f ca="1">IFERROR(__xludf.DUMMYFUNCTION("GOOGLETRANSLATE(F4033, ""auto"", ""en"")
"),"It took me a long time to choose and I’m glad I chose this model: 1-high resolution 2-excellent display of over-the-air channels (analog broadcasting) 3-no spontaneous on/off 4-with PS3 it’s generally cool (I mainly bought it for it) I didn’t notice any d"&amp;"isadvantages, only at first it seemed very big, but nothing, I quickly got used to it, after the 32-inch LCD, it’s just a fairy tale.")</f>
        <v>It took me a long time to choose and I’m glad I chose this model: 1-high resolution 2-excellent display of over-the-air channels (analog broadcasting) 3-no spontaneous on/off 4-with PS3 it’s generally cool (I mainly bought it for it) I didn’t notice any disadvantages, only at first it seemed very big, but nothing, I quickly got used to it, after the 32-inch LCD, it’s just a fairy tale.</v>
      </c>
    </row>
    <row r="4034" spans="1:9" x14ac:dyDescent="0.3">
      <c r="A4034" s="1" t="s">
        <v>95</v>
      </c>
      <c r="B4034" s="1" t="s">
        <v>648</v>
      </c>
      <c r="C4034" s="1" t="s">
        <v>97</v>
      </c>
      <c r="D4034" s="1" t="s">
        <v>7038</v>
      </c>
      <c r="E4034" s="1" t="s">
        <v>1992</v>
      </c>
      <c r="F4034" s="1" t="s">
        <v>7039</v>
      </c>
      <c r="G4034" s="1" t="s">
        <v>36</v>
      </c>
      <c r="H4034" s="1" t="s">
        <v>29</v>
      </c>
      <c r="I4034" s="1" t="str">
        <f ca="1">IFERROR(__xludf.DUMMYFUNCTION("GOOGLETRANSLATE(F4034, ""auto"", ""en"")
"),"Hurray!!!!!! I became the owner of This Great Device!!! in your hands like a glove, the case is comfortable and the game is great! Plus I also bought a GTA and a memory card. Now I play PSP, just like in my dreams!   YAAAAAAAAAAAAAAA!!!!!!!!!!!!")</f>
        <v>Hurray!!!!!! I became the owner of This Great Device!!! in your hands like a glove, the case is comfortable and the game is great! Plus I also bought a GTA and a memory card. Now I play PSP, just like in my dreams!   YAAAAAAAAAAAAAAA!!!!!!!!!!!!</v>
      </c>
    </row>
    <row r="4035" spans="1:9" x14ac:dyDescent="0.3">
      <c r="A4035" s="1" t="s">
        <v>37</v>
      </c>
      <c r="B4035" s="1" t="s">
        <v>536</v>
      </c>
      <c r="C4035" s="1" t="s">
        <v>151</v>
      </c>
      <c r="D4035" s="1" t="s">
        <v>172</v>
      </c>
      <c r="E4035" s="1" t="s">
        <v>1245</v>
      </c>
      <c r="F4035" s="1" t="s">
        <v>7040</v>
      </c>
      <c r="G4035" s="1" t="s">
        <v>28</v>
      </c>
      <c r="H4035" s="1" t="s">
        <v>29</v>
      </c>
      <c r="I4035" s="1" t="str">
        <f ca="1">IFERROR(__xludf.DUMMYFUNCTION("GOOGLETRANSLATE(F4035, ""auto"", ""en"")
"),"I've been using the phone for almost 4 months, at first I wanted LG chocolate, but my memory is too small, I decided to take this Samsung. So that everything at once in one device is only the i8910, in others there is always something missing, either memo"&amp;"ry, or the screen is not the same, or something else, but this one is, in general, a worthwhile device.  But at first it took a long time to get used to the large size and weight, so those who carry the phone in their pocket may regret it a little, but I "&amp;"got used to it, although it still sticks out of the pocket, unlike the old standard-sized Philips, so keep that in mind.   You can also add about the photo quality - unlike advertising and some reviews, it’s not so great, that is, it will not replace a re"&amp;"gular camera, well, unless you process them in Photoshop.  I really haven’t tried it, there is noise and the sharpness is not the same, although of course it’s better than in other, cheaper phones.  But the video is okay, although the same noises, if they"&amp;" are wrong, spoil everything, but otherwise the unit is normal, and the battery lasts for a week and a half, or even two, unless of course you use it to the fullest, that is, watch movies, toys and so on, then of course it will run out in a day.  It’s str"&amp;"ange that it was made in China, although the phone itself is Korean and the headphones from China are, accordingly, not of the same quality.  I’ll also add that you can’t install a double GIS, since in principle it can’t be installed on Simba, that’s what"&amp;" it says on the GIS website - it’s a shame, however, if anyone knows how to get around this dirty trick, let him share, but without reflashing it, since the warranty will be void.")</f>
        <v>I've been using the phone for almost 4 months, at first I wanted LG chocolate, but my memory is too small, I decided to take this Samsung. So that everything at once in one device is only the i8910, in others there is always something missing, either memory, or the screen is not the same, or something else, but this one is, in general, a worthwhile device.  But at first it took a long time to get used to the large size and weight, so those who carry the phone in their pocket may regret it a little, but I got used to it, although it still sticks out of the pocket, unlike the old standard-sized Philips, so keep that in mind.   You can also add about the photo quality - unlike advertising and some reviews, it’s not so great, that is, it will not replace a regular camera, well, unless you process them in Photoshop.  I really haven’t tried it, there is noise and the sharpness is not the same, although of course it’s better than in other, cheaper phones.  But the video is okay, although the same noises, if they are wrong, spoil everything, but otherwise the unit is normal, and the battery lasts for a week and a half, or even two, unless of course you use it to the fullest, that is, watch movies, toys and so on, then of course it will run out in a day.  It’s strange that it was made in China, although the phone itself is Korean and the headphones from China are, accordingly, not of the same quality.  I’ll also add that you can’t install a double GIS, since in principle it can’t be installed on Simba, that’s what it says on the GIS website - it’s a shame, however, if anyone knows how to get around this dirty trick, let him share, but without reflashing it, since the warranty will be void.</v>
      </c>
    </row>
    <row r="4036" spans="1:9" x14ac:dyDescent="0.3">
      <c r="A4036" s="1" t="s">
        <v>9</v>
      </c>
      <c r="B4036" s="1" t="s">
        <v>137</v>
      </c>
      <c r="C4036" s="1" t="s">
        <v>63</v>
      </c>
      <c r="D4036" s="1" t="s">
        <v>295</v>
      </c>
      <c r="E4036" s="1" t="s">
        <v>320</v>
      </c>
      <c r="F4036" s="1" t="s">
        <v>7041</v>
      </c>
      <c r="G4036" s="1" t="s">
        <v>36</v>
      </c>
      <c r="H4036" s="1" t="s">
        <v>29</v>
      </c>
      <c r="I4036" s="1" t="str">
        <f ca="1">IFERROR(__xludf.DUMMYFUNCTION("GOOGLETRANSLATE(F4036, ""auto"", ""en"")
"),"We bought it a month ago, I’m very pleased with the panel, the matte stainless steel is easy to clean and doesn’t get very dirty, the switch handles are comfortable.")</f>
        <v>We bought it a month ago, I’m very pleased with the panel, the matte stainless steel is easy to clean and doesn’t get very dirty, the switch handles are comfortable.</v>
      </c>
    </row>
    <row r="4037" spans="1:9" x14ac:dyDescent="0.3">
      <c r="A4037" s="1" t="s">
        <v>61</v>
      </c>
      <c r="B4037" s="1" t="s">
        <v>224</v>
      </c>
      <c r="C4037" s="1" t="s">
        <v>314</v>
      </c>
      <c r="D4037" s="1" t="s">
        <v>247</v>
      </c>
      <c r="E4037" s="1" t="s">
        <v>3542</v>
      </c>
      <c r="F4037" s="1" t="s">
        <v>7042</v>
      </c>
      <c r="G4037" s="1" t="s">
        <v>49</v>
      </c>
      <c r="H4037" s="1" t="s">
        <v>16</v>
      </c>
      <c r="I4037" s="1" t="str">
        <f ca="1">IFERROR(__xludf.DUMMYFUNCTION("GOOGLETRANSLATE(F4037, ""auto"", ""en"")
"),"Compared to the Moulinex BKA388, this juicer is simply terrible! I DO NOT ADVISE ANYONE TO TAKE IT! The cake is not just wet, but wet! We have to process the cake a second and even a third time! After a glass of carrot juice, you have to remove the pulp! "&amp;"One plus: it’s quick and easy to clean!")</f>
        <v>Compared to the Moulinex BKA388, this juicer is simply terrible! I DO NOT ADVISE ANYONE TO TAKE IT! The cake is not just wet, but wet! We have to process the cake a second and even a third time! After a glass of carrot juice, you have to remove the pulp! One plus: it’s quick and easy to clean!</v>
      </c>
    </row>
    <row r="4038" spans="1:9" x14ac:dyDescent="0.3">
      <c r="A4038" s="1" t="s">
        <v>211</v>
      </c>
      <c r="B4038" s="1" t="s">
        <v>2818</v>
      </c>
      <c r="C4038" s="1" t="s">
        <v>122</v>
      </c>
      <c r="D4038" s="1" t="s">
        <v>232</v>
      </c>
      <c r="E4038" s="1" t="s">
        <v>7043</v>
      </c>
      <c r="F4038" s="1" t="s">
        <v>7044</v>
      </c>
      <c r="G4038" s="1" t="s">
        <v>36</v>
      </c>
      <c r="H4038" s="1" t="s">
        <v>29</v>
      </c>
      <c r="I4038" s="1" t="str">
        <f ca="1">IFERROR(__xludf.DUMMYFUNCTION("GOOGLETRANSLATE(F4038, ""auto"", ""en"")
"),"Excellent quality")</f>
        <v>Excellent quality</v>
      </c>
    </row>
    <row r="4039" spans="1:9" x14ac:dyDescent="0.3">
      <c r="A4039" s="1" t="s">
        <v>206</v>
      </c>
      <c r="B4039" s="1" t="s">
        <v>207</v>
      </c>
      <c r="C4039" s="1" t="s">
        <v>351</v>
      </c>
      <c r="D4039" s="1" t="s">
        <v>39</v>
      </c>
      <c r="E4039" s="1" t="s">
        <v>7045</v>
      </c>
      <c r="F4039" s="1" t="s">
        <v>7046</v>
      </c>
      <c r="G4039" s="1" t="s">
        <v>36</v>
      </c>
      <c r="H4039" s="1" t="s">
        <v>29</v>
      </c>
      <c r="I4039" s="1" t="str">
        <f ca="1">IFERROR(__xludf.DUMMYFUNCTION("GOOGLETRANSLATE(F4039, ""auto"", ""en"")
"),"I bought it, I thought it wouldn’t shake anything, since the price is very low. It turned out that he even rocked it very well, for that kind of money it’s really good. The subwoofer is generally good for itself, but not for car audio or similar competiti"&amp;"ons.")</f>
        <v>I bought it, I thought it wouldn’t shake anything, since the price is very low. It turned out that he even rocked it very well, for that kind of money it’s really good. The subwoofer is generally good for itself, but not for car audio or similar competitions.</v>
      </c>
    </row>
    <row r="4040" spans="1:9" x14ac:dyDescent="0.3">
      <c r="A4040" s="1" t="s">
        <v>43</v>
      </c>
      <c r="B4040" s="1" t="s">
        <v>303</v>
      </c>
      <c r="C4040" s="1" t="s">
        <v>220</v>
      </c>
      <c r="D4040" s="1" t="s">
        <v>295</v>
      </c>
      <c r="E4040" s="1" t="s">
        <v>6243</v>
      </c>
      <c r="F4040" s="1" t="s">
        <v>7047</v>
      </c>
      <c r="G4040" s="1" t="s">
        <v>28</v>
      </c>
      <c r="H4040" s="1" t="s">
        <v>29</v>
      </c>
      <c r="I4040" s="1" t="str">
        <f ca="1">IFERROR(__xludf.DUMMYFUNCTION("GOOGLETRANSLATE(F4040, ""auto"", ""en"")
"),"The price/quality ratio is quite satisfactory, my friends advised me, there have been no problems for 5 years. Beautiful design, 80 liters is enough for a family of 4 people. They took me first to the apartment, then to the dacha. They arrived quickly and"&amp;" took me up to the 13th floor apartment without an elevator. I liked the delivery service. Convenient payment method.")</f>
        <v>The price/quality ratio is quite satisfactory, my friends advised me, there have been no problems for 5 years. Beautiful design, 80 liters is enough for a family of 4 people. They took me first to the apartment, then to the dacha. They arrived quickly and took me up to the 13th floor apartment without an elevator. I liked the delivery service. Convenient payment method.</v>
      </c>
    </row>
    <row r="4041" spans="1:9" x14ac:dyDescent="0.3">
      <c r="A4041" s="1" t="s">
        <v>61</v>
      </c>
      <c r="B4041" s="1" t="s">
        <v>224</v>
      </c>
      <c r="C4041" s="1" t="s">
        <v>74</v>
      </c>
      <c r="D4041" s="1" t="s">
        <v>1659</v>
      </c>
      <c r="E4041" s="1" t="s">
        <v>1122</v>
      </c>
      <c r="F4041" s="1" t="s">
        <v>7048</v>
      </c>
      <c r="G4041" s="1" t="s">
        <v>36</v>
      </c>
      <c r="H4041" s="1" t="s">
        <v>29</v>
      </c>
      <c r="I4041" s="1" t="str">
        <f ca="1">IFERROR(__xludf.DUMMYFUNCTION("GOOGLETRANSLATE(F4041, ""auto"", ""en"")
"),"Yesterday I bought it and yesterday evening I distilled it into about a bag of apples (small drops) - I got 6.5 liters of juice. The juice is relatively clear (no pulp, although a bit cloudy). In my opinion, the cake is a little moist, but not a puree - g"&amp;"enerally within normal limits.  I chopped whole apples, including the seeds. The apples are small - I threw in 3-5 pieces. He chops and squeezes brutally - only the bones fly apart with a crash.  After 5 minutes of continuous operation (a saucepan of appl"&amp;"es or about a liter of juice), it begins to become clogged with pulp (noticable by the decrease in speed). In order not to burn it, we turn it off and clean it (about 2 minutes - the longest time to wash the strainer) and go back to battle... My father wa"&amp;"shed the apples and cut out the rot and couldn’t keep up with me.  My opinion - A normal machine for small homemade preparations and for every day. For 4000 rubles - super.  Everything is done well - not noisy, does not rattle, does not jump.  I'm happy w"&amp;"ith the purchase.")</f>
        <v>Yesterday I bought it and yesterday evening I distilled it into about a bag of apples (small drops) - I got 6.5 liters of juice. The juice is relatively clear (no pulp, although a bit cloudy). In my opinion, the cake is a little moist, but not a puree - generally within normal limits.  I chopped whole apples, including the seeds. The apples are small - I threw in 3-5 pieces. He chops and squeezes brutally - only the bones fly apart with a crash.  After 5 minutes of continuous operation (a saucepan of apples or about a liter of juice), it begins to become clogged with pulp (noticable by the decrease in speed). In order not to burn it, we turn it off and clean it (about 2 minutes - the longest time to wash the strainer) and go back to battle... My father washed the apples and cut out the rot and couldn’t keep up with me.  My opinion - A normal machine for small homemade preparations and for every day. For 4000 rubles - super.  Everything is done well - not noisy, does not rattle, does not jump.  I'm happy with the purchase.</v>
      </c>
    </row>
    <row r="4042" spans="1:9" x14ac:dyDescent="0.3">
      <c r="A4042" s="1" t="s">
        <v>9</v>
      </c>
      <c r="B4042" s="1" t="s">
        <v>137</v>
      </c>
      <c r="C4042" s="1" t="s">
        <v>63</v>
      </c>
      <c r="D4042" s="1" t="s">
        <v>305</v>
      </c>
      <c r="E4042" s="1" t="s">
        <v>2906</v>
      </c>
      <c r="F4042" s="1" t="s">
        <v>7049</v>
      </c>
      <c r="G4042" s="1" t="s">
        <v>28</v>
      </c>
      <c r="H4042" s="1" t="s">
        <v>29</v>
      </c>
      <c r="I4042" s="1" t="str">
        <f ca="1">IFERROR(__xludf.DUMMYFUNCTION("GOOGLETRANSLATE(F4042, ""auto"", ""en"")
"),"Fast cooking. Mechanical control. Reliability. Not made in China.")</f>
        <v>Fast cooking. Mechanical control. Reliability. Not made in China.</v>
      </c>
    </row>
    <row r="4043" spans="1:9" x14ac:dyDescent="0.3">
      <c r="A4043" s="1" t="s">
        <v>9</v>
      </c>
      <c r="B4043" s="1" t="s">
        <v>133</v>
      </c>
      <c r="C4043" s="1" t="s">
        <v>588</v>
      </c>
      <c r="D4043" s="1" t="s">
        <v>64</v>
      </c>
      <c r="E4043" s="1" t="s">
        <v>7050</v>
      </c>
      <c r="F4043" s="1" t="s">
        <v>7051</v>
      </c>
      <c r="G4043" s="1" t="s">
        <v>36</v>
      </c>
      <c r="H4043" s="1" t="s">
        <v>29</v>
      </c>
      <c r="I4043" s="1" t="str">
        <f ca="1">IFERROR(__xludf.DUMMYFUNCTION("GOOGLETRANSLATE(F4043, ""auto"", ""en"")
"),"I really liked the oven, it bakes perfectly, the smell disappeared after two weeks, overall I’m happy.")</f>
        <v>I really liked the oven, it bakes perfectly, the smell disappeared after two weeks, overall I’m happy.</v>
      </c>
    </row>
    <row r="4044" spans="1:9" x14ac:dyDescent="0.3">
      <c r="A4044" s="1" t="s">
        <v>211</v>
      </c>
      <c r="B4044" s="1" t="s">
        <v>856</v>
      </c>
      <c r="C4044" s="1" t="s">
        <v>57</v>
      </c>
      <c r="D4044" s="1" t="s">
        <v>568</v>
      </c>
      <c r="E4044" s="1" t="s">
        <v>1905</v>
      </c>
      <c r="F4044" s="1" t="s">
        <v>7052</v>
      </c>
      <c r="G4044" s="1" t="s">
        <v>36</v>
      </c>
      <c r="H4044" s="1" t="s">
        <v>29</v>
      </c>
      <c r="I4044" s="1" t="str">
        <f ca="1">IFERROR(__xludf.DUMMYFUNCTION("GOOGLETRANSLATE(F4044, ""auto"", ""en"")
"),"Bought it yesterday as a gift for my mother-in-law. Before donating, we decided to test this miracle unit for ourselves. The feeling is amazing!!!! As a result, my wife, child and I spent the entire evening undergoing a pleasant procedure.  The set of fun"&amp;"ctions is optimal, the price is reasonable! Buy it, you won't regret it!!!!!")</f>
        <v>Bought it yesterday as a gift for my mother-in-law. Before donating, we decided to test this miracle unit for ourselves. The feeling is amazing!!!! As a result, my wife, child and I spent the entire evening undergoing a pleasant procedure.  The set of functions is optimal, the price is reasonable! Buy it, you won't regret it!!!!!</v>
      </c>
    </row>
    <row r="4045" spans="1:9" x14ac:dyDescent="0.3">
      <c r="A4045" s="1" t="s">
        <v>111</v>
      </c>
      <c r="B4045" s="1" t="s">
        <v>112</v>
      </c>
      <c r="C4045" s="1" t="s">
        <v>113</v>
      </c>
      <c r="D4045" s="1" t="s">
        <v>74</v>
      </c>
      <c r="E4045" s="1" t="s">
        <v>6337</v>
      </c>
      <c r="F4045" s="1" t="s">
        <v>7053</v>
      </c>
      <c r="G4045" s="1" t="s">
        <v>49</v>
      </c>
      <c r="H4045" s="1" t="s">
        <v>16</v>
      </c>
      <c r="I4045" s="1" t="str">
        <f ca="1">IFERROR(__xludf.DUMMYFUNCTION("GOOGLETRANSLATE(F4045, ""auto"", ""en"")
"),"Small")</f>
        <v>Small</v>
      </c>
    </row>
    <row r="4046" spans="1:9" x14ac:dyDescent="0.3">
      <c r="A4046" s="1" t="s">
        <v>43</v>
      </c>
      <c r="B4046" s="1" t="s">
        <v>44</v>
      </c>
      <c r="C4046" s="1" t="s">
        <v>101</v>
      </c>
      <c r="D4046" s="1" t="s">
        <v>39</v>
      </c>
      <c r="E4046" s="1" t="s">
        <v>7054</v>
      </c>
      <c r="F4046" s="1" t="s">
        <v>7055</v>
      </c>
      <c r="G4046" s="1" t="s">
        <v>28</v>
      </c>
      <c r="H4046" s="1" t="s">
        <v>29</v>
      </c>
      <c r="I4046" s="1" t="str">
        <f ca="1">IFERROR(__xludf.DUMMYFUNCTION("GOOGLETRANSLATE(F4046, ""auto"", ""en"")
"),"I recently bought it and liked the price. The metal of the crosspiece is thin... it looks flimsy. Otherwise, there are only advantages for now! It works quietly, blows powerfully, even at first speed. We'll see next...")</f>
        <v>I recently bought it and liked the price. The metal of the crosspiece is thin... it looks flimsy. Otherwise, there are only advantages for now! It works quietly, blows powerfully, even at first speed. We'll see next...</v>
      </c>
    </row>
    <row r="4047" spans="1:9" x14ac:dyDescent="0.3">
      <c r="A4047" s="1" t="s">
        <v>149</v>
      </c>
      <c r="B4047" s="1" t="s">
        <v>155</v>
      </c>
      <c r="C4047" s="1" t="s">
        <v>151</v>
      </c>
      <c r="D4047" s="1" t="s">
        <v>7056</v>
      </c>
      <c r="E4047" s="1" t="s">
        <v>3128</v>
      </c>
      <c r="F4047" s="1" t="s">
        <v>7057</v>
      </c>
      <c r="G4047" s="1" t="s">
        <v>36</v>
      </c>
      <c r="H4047" s="1" t="s">
        <v>29</v>
      </c>
      <c r="I4047" s="1" t="str">
        <f ca="1">IFERROR(__xludf.DUMMYFUNCTION("GOOGLETRANSLATE(F4047, ""auto"", ""en"")
"),"I read a lot about vacuum cleaners and settled on this one. Low noise, I clean the filters, cyclonic, no complaints, the brush sweeps away everything it comes across, as for the noise - a very quiet vacuum cleaner. Very pleased, I recommend!")</f>
        <v>I read a lot about vacuum cleaners and settled on this one. Low noise, I clean the filters, cyclonic, no complaints, the brush sweeps away everything it comes across, as for the noise - a very quiet vacuum cleaner. Very pleased, I recommend!</v>
      </c>
    </row>
    <row r="4048" spans="1:9" x14ac:dyDescent="0.3">
      <c r="A4048" s="1" t="s">
        <v>149</v>
      </c>
      <c r="B4048" s="1" t="s">
        <v>155</v>
      </c>
      <c r="C4048" s="1" t="s">
        <v>151</v>
      </c>
      <c r="D4048" s="1" t="s">
        <v>695</v>
      </c>
      <c r="E4048" s="1" t="s">
        <v>7058</v>
      </c>
      <c r="F4048" s="1" t="s">
        <v>7059</v>
      </c>
      <c r="G4048" s="1" t="s">
        <v>36</v>
      </c>
      <c r="H4048" s="1" t="s">
        <v>29</v>
      </c>
      <c r="I4048" s="1" t="str">
        <f ca="1">IFERROR(__xludf.DUMMYFUNCTION("GOOGLETRANSLATE(F4048, ""auto"", ""en"")
"),"The vacuum cleaner is compact, powerful, and light even for a woman’s hand. The container is very easy to clean.")</f>
        <v>The vacuum cleaner is compact, powerful, and light even for a woman’s hand. The container is very easy to clean.</v>
      </c>
    </row>
    <row r="4049" spans="1:9" x14ac:dyDescent="0.3">
      <c r="A4049" s="1" t="s">
        <v>89</v>
      </c>
      <c r="B4049" s="1" t="s">
        <v>1106</v>
      </c>
      <c r="C4049" s="1" t="s">
        <v>69</v>
      </c>
      <c r="D4049" s="1" t="s">
        <v>46</v>
      </c>
      <c r="E4049" s="1" t="s">
        <v>1490</v>
      </c>
      <c r="F4049" s="1" t="s">
        <v>7060</v>
      </c>
      <c r="G4049" s="1" t="s">
        <v>1580</v>
      </c>
      <c r="H4049" s="1" t="s">
        <v>29</v>
      </c>
      <c r="I4049" s="1" t="str">
        <f ca="1">IFERROR(__xludf.DUMMYFUNCTION("GOOGLETRANSLATE(F4049, ""auto"", ""en"")
"),"Delicious coffee")</f>
        <v>Delicious coffee</v>
      </c>
    </row>
    <row r="4050" spans="1:9" x14ac:dyDescent="0.3">
      <c r="A4050" s="1" t="s">
        <v>61</v>
      </c>
      <c r="B4050" s="1" t="s">
        <v>224</v>
      </c>
      <c r="C4050" s="1" t="s">
        <v>85</v>
      </c>
      <c r="D4050" s="1" t="s">
        <v>4148</v>
      </c>
      <c r="E4050" s="1" t="s">
        <v>2022</v>
      </c>
      <c r="F4050" s="1" t="s">
        <v>7061</v>
      </c>
      <c r="G4050" s="1" t="s">
        <v>36</v>
      </c>
      <c r="H4050" s="1" t="s">
        <v>29</v>
      </c>
      <c r="I4050" s="1" t="str">
        <f ca="1">IFERROR(__xludf.DUMMYFUNCTION("GOOGLETRANSLATE(F4050, ""auto"", ""en"")
"),"All the advantages, and the juice is normal and does not freeze like the others and it is more convenient to wash.  I’ve been using it for 2 weeks, during which time I processed juice from 4 apple trees.   The downside is the price. Price tag for wealthy "&amp;"people)")</f>
        <v>All the advantages, and the juice is normal and does not freeze like the others and it is more convenient to wash.  I’ve been using it for 2 weeks, during which time I processed juice from 4 apple trees.   The downside is the price. Price tag for wealthy people)</v>
      </c>
    </row>
    <row r="4051" spans="1:9" x14ac:dyDescent="0.3">
      <c r="A4051" s="1" t="s">
        <v>17</v>
      </c>
      <c r="B4051" s="1" t="s">
        <v>18</v>
      </c>
      <c r="C4051" s="1" t="s">
        <v>290</v>
      </c>
      <c r="D4051" s="1" t="s">
        <v>4244</v>
      </c>
      <c r="E4051" s="1" t="s">
        <v>1273</v>
      </c>
      <c r="F4051" s="1" t="s">
        <v>7062</v>
      </c>
      <c r="G4051" s="1" t="s">
        <v>36</v>
      </c>
      <c r="H4051" s="1" t="s">
        <v>29</v>
      </c>
      <c r="I4051" s="1" t="str">
        <f ca="1">IFERROR(__xludf.DUMMYFUNCTION("GOOGLETRANSLATE(F4051, ""auto"", ""en"")
"),"When choosing a machine, we were guided by the following requirements: a load of 4.5 kg, the presence of basic washing programs (including wool, delicate wash, additional rinse, etc.), the presence of a display and a spin speed of 1200 (in my opinion, thi"&amp;"s is optimal - you get almost dry laundry).  I read reviews on this site - I was alarmed by the reviews that the machine vibrates and jumps =). But we still bought it (at a promotion in January). Objectively, our machine vibrates a little (for comparison,"&amp;" we used to have an AEG, for 23 thousand, in my opinion, it vibrates no less), it doesn’t jump AT ALL. We have tiles + rubber feet on the floor. In general, if you put a glass of water on it, it won’t spill =).  I really like the “Reduced Programs” functi"&amp;"on, for example, delicate laundry can be washed in just 30 minutes.  One of the minor drawbacks (if you find fault) is that when the machine changes the direction of “movement” of the drum - clockwise or counterclockwise - the relay constantly clicks, and"&amp;" the pump is quite noisy when pumping out water. Pre-wash is only possible for the Cotton 60 programme.    Otherwise, I like everything, it washes and spins well, and for such a price (with a promotional discount) the model is generally wonderful. I chose"&amp;" it for quite a long time according to the criteria that I described above, and in terms of their ratio to the price - this machine is one of the best.")</f>
        <v>When choosing a machine, we were guided by the following requirements: a load of 4.5 kg, the presence of basic washing programs (including wool, delicate wash, additional rinse, etc.), the presence of a display and a spin speed of 1200 (in my opinion, this is optimal - you get almost dry laundry).  I read reviews on this site - I was alarmed by the reviews that the machine vibrates and jumps =). But we still bought it (at a promotion in January). Objectively, our machine vibrates a little (for comparison, we used to have an AEG, for 23 thousand, in my opinion, it vibrates no less), it doesn’t jump AT ALL. We have tiles + rubber feet on the floor. In general, if you put a glass of water on it, it won’t spill =).  I really like the “Reduced Programs” function, for example, delicate laundry can be washed in just 30 minutes.  One of the minor drawbacks (if you find fault) is that when the machine changes the direction of “movement” of the drum - clockwise or counterclockwise - the relay constantly clicks, and the pump is quite noisy when pumping out water. Pre-wash is only possible for the Cotton 60 programme.    Otherwise, I like everything, it washes and spins well, and for such a price (with a promotional discount) the model is generally wonderful. I chose it for quite a long time according to the criteria that I described above, and in terms of their ratio to the price - this machine is one of the best.</v>
      </c>
    </row>
    <row r="4052" spans="1:9" x14ac:dyDescent="0.3">
      <c r="A4052" s="1" t="s">
        <v>111</v>
      </c>
      <c r="B4052" s="1" t="s">
        <v>1090</v>
      </c>
      <c r="C4052" s="1" t="s">
        <v>1091</v>
      </c>
      <c r="D4052" s="1" t="s">
        <v>420</v>
      </c>
      <c r="E4052" s="1" t="s">
        <v>4873</v>
      </c>
      <c r="F4052" s="1" t="s">
        <v>7063</v>
      </c>
      <c r="G4052" s="1" t="s">
        <v>36</v>
      </c>
      <c r="H4052" s="1" t="s">
        <v>29</v>
      </c>
      <c r="I4052" s="1" t="str">
        <f ca="1">IFERROR(__xludf.DUMMYFUNCTION("GOOGLETRANSLATE(F4052, ""auto"", ""en"")
"),"Nice lamp. I like the warm light. So far all lamps from this model are working.")</f>
        <v>Nice lamp. I like the warm light. So far all lamps from this model are working.</v>
      </c>
    </row>
    <row r="4053" spans="1:9" x14ac:dyDescent="0.3">
      <c r="A4053" s="1" t="s">
        <v>120</v>
      </c>
      <c r="B4053" s="1" t="s">
        <v>196</v>
      </c>
      <c r="C4053" s="1" t="s">
        <v>151</v>
      </c>
      <c r="D4053" s="1" t="s">
        <v>81</v>
      </c>
      <c r="E4053" s="1" t="s">
        <v>1319</v>
      </c>
      <c r="F4053" s="1" t="s">
        <v>7064</v>
      </c>
      <c r="G4053" s="1" t="s">
        <v>28</v>
      </c>
      <c r="H4053" s="1" t="s">
        <v>29</v>
      </c>
      <c r="I4053" s="1" t="str">
        <f ca="1">IFERROR(__xludf.DUMMYFUNCTION("GOOGLETRANSLATE(F4053, ""auto"", ""en"")
"),"I liked the TV, I’ve been watching it for seven months. I chose only FullHD for a multimedia player and satellite. There was a little dance with a tambourine settings using test frames, but the game was worth the candle. Factory settings are subjectively "&amp;"too high. I noticed one non-critical drawback - uneven illumination is noticeable with a very dark signal. And I don’t think one hundred hertz is needed after all, not a kinescope.")</f>
        <v>I liked the TV, I’ve been watching it for seven months. I chose only FullHD for a multimedia player and satellite. There was a little dance with a tambourine settings using test frames, but the game was worth the candle. Factory settings are subjectively too high. I noticed one non-critical drawback - uneven illumination is noticeable with a very dark signal. And I don’t think one hundred hertz is needed after all, not a kinescope.</v>
      </c>
    </row>
    <row r="4054" spans="1:9" x14ac:dyDescent="0.3">
      <c r="A4054" s="1" t="s">
        <v>238</v>
      </c>
      <c r="B4054" s="1" t="s">
        <v>239</v>
      </c>
      <c r="C4054" s="1" t="s">
        <v>240</v>
      </c>
      <c r="D4054" s="1" t="s">
        <v>247</v>
      </c>
      <c r="E4054" s="1" t="s">
        <v>4122</v>
      </c>
      <c r="F4054" s="1" t="s">
        <v>7065</v>
      </c>
      <c r="G4054" s="1" t="s">
        <v>36</v>
      </c>
      <c r="H4054" s="1" t="s">
        <v>29</v>
      </c>
      <c r="I4054" s="1" t="str">
        <f ca="1">IFERROR(__xludf.DUMMYFUNCTION("GOOGLETRANSLATE(F4054, ""auto"", ""en"")
"),"ALL!")</f>
        <v>ALL!</v>
      </c>
    </row>
    <row r="4055" spans="1:9" x14ac:dyDescent="0.3">
      <c r="A4055" s="1" t="s">
        <v>61</v>
      </c>
      <c r="B4055" s="1" t="s">
        <v>977</v>
      </c>
      <c r="C4055" s="1" t="s">
        <v>69</v>
      </c>
      <c r="D4055" s="1" t="s">
        <v>295</v>
      </c>
      <c r="E4055" s="1" t="s">
        <v>1084</v>
      </c>
      <c r="F4055" s="1" t="s">
        <v>7066</v>
      </c>
      <c r="G4055" s="1" t="s">
        <v>36</v>
      </c>
      <c r="H4055" s="1" t="s">
        <v>29</v>
      </c>
      <c r="I4055" s="1" t="str">
        <f ca="1">IFERROR(__xludf.DUMMYFUNCTION("GOOGLETRANSLATE(F4055, ""auto"", ""en"")
"),"I recently bought a blender and am very pleased!!!  The cocktails turn out delicious, and most importantly, quickly!  I haven’t regretted the purchase yet, I don’t think I will regret it in the future!  takes up little space, beautiful design and style!  "&amp;"And most importantly, there is a whisk for beating dough, etc. !!")</f>
        <v>I recently bought a blender and am very pleased!!!  The cocktails turn out delicious, and most importantly, quickly!  I haven’t regretted the purchase yet, I don’t think I will regret it in the future!  takes up little space, beautiful design and style!  And most importantly, there is a whisk for beating dough, etc. !!</v>
      </c>
    </row>
    <row r="4056" spans="1:9" x14ac:dyDescent="0.3">
      <c r="A4056" s="1" t="s">
        <v>61</v>
      </c>
      <c r="B4056" s="1" t="s">
        <v>145</v>
      </c>
      <c r="C4056" s="1" t="s">
        <v>85</v>
      </c>
      <c r="D4056" s="1" t="s">
        <v>7067</v>
      </c>
      <c r="E4056" s="1" t="s">
        <v>4710</v>
      </c>
      <c r="F4056" s="1" t="s">
        <v>7068</v>
      </c>
      <c r="G4056" s="1" t="s">
        <v>28</v>
      </c>
      <c r="H4056" s="1" t="s">
        <v>29</v>
      </c>
      <c r="I4056" s="1" t="str">
        <f ca="1">IFERROR(__xludf.DUMMYFUNCTION("GOOGLETRANSLATE(F4056, ""auto"", ""en"")
"),"Much has been written about the advantages of this model, and without exaggeration! It is truly a very necessary thing in the house, and, most importantly, it is of high quality! I will write about the shortcomings. The most significant drawback is the li"&amp;"mited juice storage capacity. The juice flows into the water container, hence the carbon deposits on the heating elements. Non-collapsible food bowls are difficult to clean, and there are also many corners, especially on the back of the bowl, that are ver"&amp;"y difficult to clean without a dishwasher. Another disadvantage would be the scant information on operation. And for such a price, manufacturers could include a book with recipes in the kit. But even with all the shortcomings, I’m happy with the steamer. "&amp;"Special thanks to M.Video consultants. I advise everyone to buy equipment from this store. Their staff training is top notch!")</f>
        <v>Much has been written about the advantages of this model, and without exaggeration! It is truly a very necessary thing in the house, and, most importantly, it is of high quality! I will write about the shortcomings. The most significant drawback is the limited juice storage capacity. The juice flows into the water container, hence the carbon deposits on the heating elements. Non-collapsible food bowls are difficult to clean, and there are also many corners, especially on the back of the bowl, that are very difficult to clean without a dishwasher. Another disadvantage would be the scant information on operation. And for such a price, manufacturers could include a book with recipes in the kit. But even with all the shortcomings, I’m happy with the steamer. Special thanks to M.Video consultants. I advise everyone to buy equipment from this store. Their staff training is top notch!</v>
      </c>
    </row>
    <row r="4057" spans="1:9" x14ac:dyDescent="0.3">
      <c r="A4057" s="1" t="s">
        <v>211</v>
      </c>
      <c r="B4057" s="1" t="s">
        <v>899</v>
      </c>
      <c r="C4057" s="1" t="s">
        <v>213</v>
      </c>
      <c r="D4057" s="1" t="s">
        <v>545</v>
      </c>
      <c r="E4057" s="1" t="s">
        <v>4259</v>
      </c>
      <c r="F4057" s="1" t="s">
        <v>7069</v>
      </c>
      <c r="G4057" s="1" t="s">
        <v>36</v>
      </c>
      <c r="H4057" s="1" t="s">
        <v>29</v>
      </c>
      <c r="I4057" s="1" t="str">
        <f ca="1">IFERROR(__xludf.DUMMYFUNCTION("GOOGLETRANSLATE(F4057, ""auto"", ""en"")
"),"high-quality cleaning, healthy gums, ease of use, replaceable heads, low consumption of toothpaste.")</f>
        <v>high-quality cleaning, healthy gums, ease of use, replaceable heads, low consumption of toothpaste.</v>
      </c>
    </row>
    <row r="4058" spans="1:9" x14ac:dyDescent="0.3">
      <c r="A4058" s="1" t="s">
        <v>169</v>
      </c>
      <c r="B4058" s="1" t="s">
        <v>170</v>
      </c>
      <c r="C4058" s="1" t="s">
        <v>69</v>
      </c>
      <c r="D4058" s="1" t="s">
        <v>420</v>
      </c>
      <c r="E4058" s="1" t="s">
        <v>7070</v>
      </c>
      <c r="F4058" s="1" t="s">
        <v>7071</v>
      </c>
      <c r="G4058" s="1" t="s">
        <v>1580</v>
      </c>
      <c r="H4058" s="1" t="s">
        <v>29</v>
      </c>
      <c r="I4058" s="1" t="str">
        <f ca="1">IFERROR(__xludf.DUMMYFUNCTION("GOOGLETRANSLATE(F4058, ""auto"", ""en"")
"),"Good and inexpensive!")</f>
        <v>Good and inexpensive!</v>
      </c>
    </row>
    <row r="4059" spans="1:9" x14ac:dyDescent="0.3">
      <c r="A4059" s="1" t="s">
        <v>95</v>
      </c>
      <c r="B4059" s="1" t="s">
        <v>648</v>
      </c>
      <c r="C4059" s="1" t="s">
        <v>97</v>
      </c>
      <c r="D4059" s="1" t="s">
        <v>117</v>
      </c>
      <c r="E4059" s="1" t="s">
        <v>3089</v>
      </c>
      <c r="F4059" s="1" t="s">
        <v>7072</v>
      </c>
      <c r="G4059" s="1" t="s">
        <v>36</v>
      </c>
      <c r="H4059" s="1" t="s">
        <v>29</v>
      </c>
      <c r="I4059" s="1" t="str">
        <f ca="1">IFERROR(__xludf.DUMMYFUNCTION("GOOGLETRANSLATE(F4059, ""auto"", ""en"")
"),"If you don't like this console, it's because it's not like the others, but note that this is the most portable PSP of all the PSPs!")</f>
        <v>If you don't like this console, it's because it's not like the others, but note that this is the most portable PSP of all the PSPs!</v>
      </c>
    </row>
    <row r="4060" spans="1:9" x14ac:dyDescent="0.3">
      <c r="A4060" s="1" t="s">
        <v>149</v>
      </c>
      <c r="B4060" s="1" t="s">
        <v>155</v>
      </c>
      <c r="C4060" s="1" t="s">
        <v>151</v>
      </c>
      <c r="D4060" s="1" t="s">
        <v>75</v>
      </c>
      <c r="E4060" s="1" t="s">
        <v>1565</v>
      </c>
      <c r="F4060" s="1" t="s">
        <v>7073</v>
      </c>
      <c r="G4060" s="1" t="s">
        <v>36</v>
      </c>
      <c r="H4060" s="1" t="s">
        <v>29</v>
      </c>
      <c r="I4060" s="1" t="str">
        <f ca="1">IFERROR(__xludf.DUMMYFUNCTION("GOOGLETRANSLATE(F4060, ""auto"", ""en"")
"),"I’ve been using the vacuum cleaner for over a year now, I’m very happy, I recommend it to everyone!  The vacuum cleaner is lightweight, which is important for a woman, and powerful, which significantly reduces the effort required for cleaning. The attachm"&amp;"ents are comfortable. The fact that everything can be washed in a vacuum cleaner is a huge plus, because... There is no dust in the vacuum cleaner and no smell. The container is easy and simple to clean.  For lovers of cleanliness - a very good option for"&amp;" the money!")</f>
        <v>I’ve been using the vacuum cleaner for over a year now, I’m very happy, I recommend it to everyone!  The vacuum cleaner is lightweight, which is important for a woman, and powerful, which significantly reduces the effort required for cleaning. The attachments are comfortable. The fact that everything can be washed in a vacuum cleaner is a huge plus, because... There is no dust in the vacuum cleaner and no smell. The container is easy and simple to clean.  For lovers of cleanliness - a very good option for the money!</v>
      </c>
    </row>
    <row r="4061" spans="1:9" x14ac:dyDescent="0.3">
      <c r="A4061" s="1" t="s">
        <v>206</v>
      </c>
      <c r="B4061" s="1" t="s">
        <v>1253</v>
      </c>
      <c r="C4061" s="1" t="s">
        <v>4464</v>
      </c>
      <c r="D4061" s="1" t="s">
        <v>4546</v>
      </c>
      <c r="E4061" s="1" t="s">
        <v>2236</v>
      </c>
      <c r="F4061" s="1" t="s">
        <v>7074</v>
      </c>
      <c r="G4061" s="1" t="s">
        <v>15</v>
      </c>
      <c r="H4061" s="1" t="s">
        <v>16</v>
      </c>
      <c r="I4061" s="1" t="str">
        <f ca="1">IFERROR(__xludf.DUMMYFUNCTION("GOOGLETRANSLATE(F4061, ""auto"", ""en"")
"),"wheezes nothing is clear you turn down the sound you can’t hear straight range 700m in the city 300-350 not any 10km and there’s no smell I went back to the store and took another Model T-8 earth and sky although it won’t reach 10km but at least the sound"&amp;" is clear")</f>
        <v>wheezes nothing is clear you turn down the sound you can’t hear straight range 700m in the city 300-350 not any 10km and there’s no smell I went back to the store and took another Model T-8 earth and sky although it won’t reach 10km but at least the sound is clear</v>
      </c>
    </row>
    <row r="4062" spans="1:9" x14ac:dyDescent="0.3">
      <c r="A4062" s="1" t="s">
        <v>61</v>
      </c>
      <c r="B4062" s="1" t="s">
        <v>977</v>
      </c>
      <c r="C4062" s="1" t="s">
        <v>85</v>
      </c>
      <c r="D4062" s="1" t="s">
        <v>305</v>
      </c>
      <c r="E4062" s="1" t="s">
        <v>7075</v>
      </c>
      <c r="F4062" s="1" t="s">
        <v>7076</v>
      </c>
      <c r="G4062" s="1" t="s">
        <v>28</v>
      </c>
      <c r="H4062" s="1" t="s">
        <v>29</v>
      </c>
      <c r="I4062" s="1" t="str">
        <f ca="1">IFERROR(__xludf.DUMMYFUNCTION("GOOGLETRANSLATE(F4062, ""auto"", ""en"")
"),"It whips everything up very well and it doesn’t matter what you throw at it. My family likes it when there are no nifils (small pieces), it makes puree at speed five, but you have to turn it on a couple of times for two minutes. I worked full-time for a y"&amp;"ear for a family of 4. then the knife started leaking. I think that for that kind of money, a year of work is not enough.")</f>
        <v>It whips everything up very well and it doesn’t matter what you throw at it. My family likes it when there are no nifils (small pieces), it makes puree at speed five, but you have to turn it on a couple of times for two minutes. I worked full-time for a year for a family of 4. then the knife started leaking. I think that for that kind of money, a year of work is not enough.</v>
      </c>
    </row>
    <row r="4063" spans="1:9" x14ac:dyDescent="0.3">
      <c r="A4063" s="1" t="s">
        <v>9</v>
      </c>
      <c r="B4063" s="1" t="s">
        <v>137</v>
      </c>
      <c r="C4063" s="1" t="s">
        <v>151</v>
      </c>
      <c r="D4063" s="1" t="s">
        <v>152</v>
      </c>
      <c r="E4063" s="1" t="s">
        <v>692</v>
      </c>
      <c r="F4063" s="1" t="s">
        <v>7077</v>
      </c>
      <c r="G4063" s="1" t="s">
        <v>36</v>
      </c>
      <c r="H4063" s="1" t="s">
        <v>29</v>
      </c>
      <c r="I4063" s="1" t="str">
        <f ca="1">IFERROR(__xludf.DUMMYFUNCTION("GOOGLETRANSLATE(F4063, ""auto"", ""en"")
"),"We were looking for a high-quality hob from a well-known brand in stores, and when purchasing, our choice was Samsung-c61r2ccn, because it is immediately clear that this panel looks like a strict, but at the same time stylish, beautiful design and the pri"&amp;"ce turned out to be very suitable for us.  We have been using this hob for more than two years now – during this time it has never broken down. During use, both pros and cons of this panel appeared.  1) Pros - beautiful, simple design, the glass surface l"&amp;"ooks great, the hob also has a digital touch display - here you can adjust the temperature of the burners, and when you cook, the sensor does not heat up.  The child lock feature, which is useful for us, adds a big plus to the control panel! There is also"&amp;" a “Countdown Timer” function - also convenient, set the timer and do your business - the panel will turn off itself at the specified time. Cleaning the surface is very easy - the surface is glass-ceramic and there are no protrusions, you can wipe it with"&amp;" a damp cloth and the panel is like new again! If, for example, you are cooking on all burners and suddenly something spills on the hob, an error will appear on the display and the burners will turn off. After cooking food, the panel cools down quickly.  "&amp;"2) Disadvantages - fingerprints remain on the touch control, but can be easily wiped off with a napkin.  Handle dishes carefully when cooking; we accidentally dropped the lid from a pan directly onto the panel and left a small scratch, but the glass-ceram"&amp;"ic surface did not crack. Naturally, using such a hob is pleasant, the main thing is to use it carefully and carefully.")</f>
        <v>We were looking for a high-quality hob from a well-known brand in stores, and when purchasing, our choice was Samsung-c61r2ccn, because it is immediately clear that this panel looks like a strict, but at the same time stylish, beautiful design and the price turned out to be very suitable for us.  We have been using this hob for more than two years now – during this time it has never broken down. During use, both pros and cons of this panel appeared.  1) Pros - beautiful, simple design, the glass surface looks great, the hob also has a digital touch display - here you can adjust the temperature of the burners, and when you cook, the sensor does not heat up.  The child lock feature, which is useful for us, adds a big plus to the control panel! There is also a “Countdown Timer” function - also convenient, set the timer and do your business - the panel will turn off itself at the specified time. Cleaning the surface is very easy - the surface is glass-ceramic and there are no protrusions, you can wipe it with a damp cloth and the panel is like new again! If, for example, you are cooking on all burners and suddenly something spills on the hob, an error will appear on the display and the burners will turn off. After cooking food, the panel cools down quickly.  2) Disadvantages - fingerprints remain on the touch control, but can be easily wiped off with a napkin.  Handle dishes carefully when cooking; we accidentally dropped the lid from a pan directly onto the panel and left a small scratch, but the glass-ceramic surface did not crack. Naturally, using such a hob is pleasant, the main thing is to use it carefully and carefully.</v>
      </c>
    </row>
    <row r="4064" spans="1:9" x14ac:dyDescent="0.3">
      <c r="A4064" s="1" t="s">
        <v>211</v>
      </c>
      <c r="B4064" s="1" t="s">
        <v>212</v>
      </c>
      <c r="C4064" s="1" t="s">
        <v>381</v>
      </c>
      <c r="D4064" s="1" t="s">
        <v>565</v>
      </c>
      <c r="E4064" s="1" t="s">
        <v>1481</v>
      </c>
      <c r="F4064" s="1" t="s">
        <v>7078</v>
      </c>
      <c r="G4064" s="1" t="s">
        <v>36</v>
      </c>
      <c r="H4064" s="1" t="s">
        <v>29</v>
      </c>
      <c r="I4064" s="1" t="str">
        <f ca="1">IFERROR(__xludf.DUMMYFUNCTION("GOOGLETRANSLATE(F4064, ""auto"", ""en"")
"),"We bought this hair dryer 2 years ago. I like the hairdryer, it dries well and has enough power to dry a bunch of my thick hair. I recommend it to everyone!")</f>
        <v>We bought this hair dryer 2 years ago. I like the hairdryer, it dries well and has enough power to dry a bunch of my thick hair. I recommend it to everyone!</v>
      </c>
    </row>
    <row r="4065" spans="1:9" x14ac:dyDescent="0.3">
      <c r="A4065" s="1" t="s">
        <v>61</v>
      </c>
      <c r="B4065" s="1" t="s">
        <v>726</v>
      </c>
      <c r="C4065" s="1" t="s">
        <v>146</v>
      </c>
      <c r="D4065" s="1" t="s">
        <v>117</v>
      </c>
      <c r="E4065" s="1" t="s">
        <v>4925</v>
      </c>
      <c r="F4065" s="1" t="s">
        <v>7079</v>
      </c>
      <c r="G4065" s="1" t="s">
        <v>36</v>
      </c>
      <c r="H4065" s="1" t="s">
        <v>29</v>
      </c>
      <c r="I4065" s="1" t="str">
        <f ca="1">IFERROR(__xludf.DUMMYFUNCTION("GOOGLETRANSLATE(F4065, ""auto"", ""en"")
"),"Looks cool, build quality")</f>
        <v>Looks cool, build quality</v>
      </c>
    </row>
    <row r="4066" spans="1:9" x14ac:dyDescent="0.3">
      <c r="A4066" s="1" t="s">
        <v>211</v>
      </c>
      <c r="B4066" s="1" t="s">
        <v>212</v>
      </c>
      <c r="C4066" s="1" t="s">
        <v>213</v>
      </c>
      <c r="D4066" s="1" t="s">
        <v>385</v>
      </c>
      <c r="E4066" s="1" t="s">
        <v>3038</v>
      </c>
      <c r="F4066" s="1" t="s">
        <v>7080</v>
      </c>
      <c r="G4066" s="1" t="s">
        <v>36</v>
      </c>
      <c r="H4066" s="1" t="s">
        <v>29</v>
      </c>
      <c r="I4066" s="1" t="str">
        <f ca="1">IFERROR(__xludf.DUMMYFUNCTION("GOOGLETRANSLATE(F4066, ""auto"", ""en"")
"),"I purchased these tongs quite recently and am very pleased with them. My hair doesn’t lend itself to home curling/styling at all - it’s very stiff. However, the straightener copes! I use it in conjunction with all sorts of restoration masks and straighten"&amp;"ing mousses and everything is great!")</f>
        <v>I purchased these tongs quite recently and am very pleased with them. My hair doesn’t lend itself to home curling/styling at all - it’s very stiff. However, the straightener copes! I use it in conjunction with all sorts of restoration masks and straightening mousses and everything is great!</v>
      </c>
    </row>
    <row r="4067" spans="1:9" x14ac:dyDescent="0.3">
      <c r="A4067" s="1" t="s">
        <v>624</v>
      </c>
      <c r="B4067" s="1" t="s">
        <v>6461</v>
      </c>
      <c r="C4067" s="1" t="s">
        <v>479</v>
      </c>
      <c r="D4067" s="1" t="s">
        <v>327</v>
      </c>
      <c r="E4067" s="1" t="s">
        <v>7081</v>
      </c>
      <c r="F4067" s="1" t="s">
        <v>7082</v>
      </c>
      <c r="G4067" s="1" t="s">
        <v>36</v>
      </c>
      <c r="H4067" s="1" t="s">
        <v>29</v>
      </c>
      <c r="I4067" s="1" t="str">
        <f ca="1">IFERROR(__xludf.DUMMYFUNCTION("GOOGLETRANSLATE(F4067, ""auto"", ""en"")
"),"My favorite part! I love her!")</f>
        <v>My favorite part! I love her!</v>
      </c>
    </row>
    <row r="4068" spans="1:9" x14ac:dyDescent="0.3">
      <c r="A4068" s="1" t="s">
        <v>67</v>
      </c>
      <c r="B4068" s="1" t="s">
        <v>68</v>
      </c>
      <c r="C4068" s="1" t="s">
        <v>213</v>
      </c>
      <c r="D4068" s="1" t="s">
        <v>247</v>
      </c>
      <c r="E4068" s="1" t="s">
        <v>201</v>
      </c>
      <c r="F4068" s="1" t="s">
        <v>7083</v>
      </c>
      <c r="G4068" s="1" t="s">
        <v>36</v>
      </c>
      <c r="H4068" s="1" t="s">
        <v>29</v>
      </c>
      <c r="I4068" s="1" t="str">
        <f ca="1">IFERROR(__xludf.DUMMYFUNCTION("GOOGLETRANSLATE(F4068, ""auto"", ""en"")
"),"I've been using it for four years now. Every time I get great pleasure from the process of ironing any item. Before that there was Tefal. The power is less, the sole is burnt. And Brown has risen in price by 1500 during this time.  It's nice that you boug"&amp;"ht something that doesn't fall in price. We would like to buy it as a gift for the children.")</f>
        <v>I've been using it for four years now. Every time I get great pleasure from the process of ironing any item. Before that there was Tefal. The power is less, the sole is burnt. And Brown has risen in price by 1500 during this time.  It's nice that you bought something that doesn't fall in price. We would like to buy it as a gift for the children.</v>
      </c>
    </row>
    <row r="4069" spans="1:9" x14ac:dyDescent="0.3">
      <c r="A4069" s="1" t="s">
        <v>43</v>
      </c>
      <c r="B4069" s="1" t="s">
        <v>502</v>
      </c>
      <c r="C4069" s="1" t="s">
        <v>1627</v>
      </c>
      <c r="D4069" s="1" t="s">
        <v>7084</v>
      </c>
      <c r="E4069" s="1" t="s">
        <v>3690</v>
      </c>
      <c r="F4069" s="1" t="s">
        <v>7085</v>
      </c>
      <c r="G4069" s="1" t="s">
        <v>36</v>
      </c>
      <c r="H4069" s="1" t="s">
        <v>29</v>
      </c>
      <c r="I4069" s="1" t="str">
        <f ca="1">IFERROR(__xludf.DUMMYFUNCTION("GOOGLETRANSLATE(F4069, ""auto"", ""en"")
"),"There are many different useful functions, the cold quickly caught up at home in the summer! I think the company speaks for itself that it is reliable and will last for many years. The price is cheaper compared to summer, it cost more than 30 thousand")</f>
        <v>There are many different useful functions, the cold quickly caught up at home in the summer! I think the company speaks for itself that it is reliable and will last for many years. The price is cheaper compared to summer, it cost more than 30 thousand</v>
      </c>
    </row>
    <row r="4070" spans="1:9" x14ac:dyDescent="0.3">
      <c r="A4070" s="1" t="s">
        <v>37</v>
      </c>
      <c r="B4070" s="1" t="s">
        <v>38</v>
      </c>
      <c r="C4070" s="1" t="s">
        <v>39</v>
      </c>
      <c r="D4070" s="1" t="s">
        <v>922</v>
      </c>
      <c r="E4070" s="1" t="s">
        <v>2222</v>
      </c>
      <c r="F4070" s="1" t="s">
        <v>7086</v>
      </c>
      <c r="G4070" s="1" t="s">
        <v>36</v>
      </c>
      <c r="H4070" s="1" t="s">
        <v>29</v>
      </c>
      <c r="I4070" s="1" t="str">
        <f ca="1">IFERROR(__xludf.DUMMYFUNCTION("GOOGLETRANSLATE(F4070, ""auto"", ""en"")
"),"Of the middle-class Ericssons, the W595 is the leader!! The fact that there is no MP3 is complete nonsense, you just need to be careful, Nikolay (Penza!!). functions, sound (i.e. its quality, clarity and volume), Internet capabilities, energy consumption "&amp;"- at the highest level! I have been using the w595 bronze model (although it was oh so difficult to get it) for 2 years now and have never had any problems, the battery, as in the first month of operation, lasts up to a week, taking into account active us"&amp;"e. The buttons are rubberized and do not wear out - for active chatters this is what you need, writing SMS is a pleasure. buy and don't listen to anyone. Naturally, from trusted sellers, and not in transitions, and there will be no indignation about prema"&amp;"ture failure!!")</f>
        <v>Of the middle-class Ericssons, the W595 is the leader!! The fact that there is no MP3 is complete nonsense, you just need to be careful, Nikolay (Penza!!). functions, sound (i.e. its quality, clarity and volume), Internet capabilities, energy consumption - at the highest level! I have been using the w595 bronze model (although it was oh so difficult to get it) for 2 years now and have never had any problems, the battery, as in the first month of operation, lasts up to a week, taking into account active use. The buttons are rubberized and do not wear out - for active chatters this is what you need, writing SMS is a pleasure. buy and don't listen to anyone. Naturally, from trusted sellers, and not in transitions, and there will be no indignation about premature failure!!</v>
      </c>
    </row>
    <row r="4071" spans="1:9" x14ac:dyDescent="0.3">
      <c r="A4071" s="1" t="s">
        <v>120</v>
      </c>
      <c r="B4071" s="1" t="s">
        <v>126</v>
      </c>
      <c r="C4071" s="1" t="s">
        <v>80</v>
      </c>
      <c r="D4071" s="1" t="s">
        <v>20</v>
      </c>
      <c r="E4071" s="1" t="s">
        <v>2265</v>
      </c>
      <c r="F4071" s="1" t="s">
        <v>7087</v>
      </c>
      <c r="G4071" s="1" t="s">
        <v>36</v>
      </c>
      <c r="H4071" s="1" t="s">
        <v>29</v>
      </c>
      <c r="I4071" s="1" t="str">
        <f ca="1">IFERROR(__xludf.DUMMYFUNCTION("GOOGLETRANSLATE(F4071, ""auto"", ""en"")
"),"In terms of price-quality ratio, in its niche, a 32"" TV is IDEAL. At a more than affordable price, it produces a picture (especially from DVD) that is rated GOOD! I highly recommend it! Cartoons look especially good. Hence, I also recommend it as a TV fo"&amp;"r children.")</f>
        <v>In terms of price-quality ratio, in its niche, a 32" TV is IDEAL. At a more than affordable price, it produces a picture (especially from DVD) that is rated GOOD! I highly recommend it! Cartoons look especially good. Hence, I also recommend it as a TV for children.</v>
      </c>
    </row>
    <row r="4072" spans="1:9" x14ac:dyDescent="0.3">
      <c r="A4072" s="1" t="s">
        <v>61</v>
      </c>
      <c r="B4072" s="1" t="s">
        <v>180</v>
      </c>
      <c r="C4072" s="1" t="s">
        <v>57</v>
      </c>
      <c r="D4072" s="1" t="s">
        <v>471</v>
      </c>
      <c r="E4072" s="1" t="s">
        <v>5202</v>
      </c>
      <c r="F4072" s="1" t="s">
        <v>7088</v>
      </c>
      <c r="G4072" s="1" t="s">
        <v>15</v>
      </c>
      <c r="H4072" s="1" t="s">
        <v>16</v>
      </c>
      <c r="I4072" s="1" t="str">
        <f ca="1">IFERROR(__xludf.DUMMYFUNCTION("GOOGLETRANSLATE(F4072, ""auto"", ""en"")
"),"We bought a toaster about 1.5 years ago. Rarely used. It's hot. And the clamp button does not clamp at all.")</f>
        <v>We bought a toaster about 1.5 years ago. Rarely used. It's hot. And the clamp button does not clamp at all.</v>
      </c>
    </row>
    <row r="4073" spans="1:9" x14ac:dyDescent="0.3">
      <c r="A4073" s="1" t="s">
        <v>169</v>
      </c>
      <c r="B4073" s="1" t="s">
        <v>170</v>
      </c>
      <c r="C4073" s="1" t="s">
        <v>122</v>
      </c>
      <c r="D4073" s="1" t="s">
        <v>172</v>
      </c>
      <c r="E4073" s="1" t="s">
        <v>2432</v>
      </c>
      <c r="F4073" s="1" t="s">
        <v>7089</v>
      </c>
      <c r="G4073" s="1" t="s">
        <v>36</v>
      </c>
      <c r="H4073" s="1" t="s">
        <v>29</v>
      </c>
      <c r="I4073" s="1" t="str">
        <f ca="1">IFERROR(__xludf.DUMMYFUNCTION("GOOGLETRANSLATE(F4073, ""auto"", ""en"")
"),"Good sound, reasonable price, but broke within 10 months((Plug frayed")</f>
        <v>Good sound, reasonable price, but broke within 10 months((Plug frayed</v>
      </c>
    </row>
    <row r="4074" spans="1:9" x14ac:dyDescent="0.3">
      <c r="A4074" s="1" t="s">
        <v>30</v>
      </c>
      <c r="B4074" s="1" t="s">
        <v>50</v>
      </c>
      <c r="C4074" s="1" t="s">
        <v>51</v>
      </c>
      <c r="D4074" s="1" t="s">
        <v>1416</v>
      </c>
      <c r="E4074" s="1" t="s">
        <v>594</v>
      </c>
      <c r="F4074" s="1" t="s">
        <v>7090</v>
      </c>
      <c r="G4074" s="1" t="s">
        <v>36</v>
      </c>
      <c r="H4074" s="1" t="s">
        <v>29</v>
      </c>
      <c r="I4074" s="1" t="str">
        <f ca="1">IFERROR(__xludf.DUMMYFUNCTION("GOOGLETRANSLATE(F4074, ""auto"", ""en"")
"),"pqservice NTFS partition type.  Alexxxan the difference between this beech and Packard Bell LJ75-JO-101 in the webcam. If it’s not difficult for you to carry 3.3 kg and 17 inches, then take that one.")</f>
        <v>pqservice NTFS partition type.  Alexxxan the difference between this beech and Packard Bell LJ75-JO-101 in the webcam. If it’s not difficult for you to carry 3.3 kg and 17 inches, then take that one.</v>
      </c>
    </row>
    <row r="4075" spans="1:9" x14ac:dyDescent="0.3">
      <c r="A4075" s="1" t="s">
        <v>37</v>
      </c>
      <c r="B4075" s="1" t="s">
        <v>38</v>
      </c>
      <c r="C4075" s="1" t="s">
        <v>39</v>
      </c>
      <c r="D4075" s="1" t="s">
        <v>471</v>
      </c>
      <c r="E4075" s="1" t="s">
        <v>6851</v>
      </c>
      <c r="F4075" s="1" t="s">
        <v>7091</v>
      </c>
      <c r="G4075" s="1" t="s">
        <v>15</v>
      </c>
      <c r="H4075" s="1" t="s">
        <v>16</v>
      </c>
      <c r="I4075" s="1" t="str">
        <f ca="1">IFERROR(__xludf.DUMMYFUNCTION("GOOGLETRANSLATE(F4075, ""auto"", ""en"")
"),"From the enthusiastic first impression, the only positive thing left was the appearance. Inconvenient to use. The battery lasts for three days with two hours of talk time in these THREE days!!! Multimedia files are independently distributed in an incompre"&amp;"hensible order and it turns out that the same thing is crammed into several folders, very inconvenient. The call time is shown only in the first minute after it ends, then you can’t look at it. There are a lot of minor inconveniences: there is a gray scre"&amp;"en on multimedia, you can’t put your own music on startup and shutdown... you can’t remember everything at once... I’m very disappointed... I don’t recommend it to anyone...")</f>
        <v>From the enthusiastic first impression, the only positive thing left was the appearance. Inconvenient to use. The battery lasts for three days with two hours of talk time in these THREE days!!! Multimedia files are independently distributed in an incomprehensible order and it turns out that the same thing is crammed into several folders, very inconvenient. The call time is shown only in the first minute after it ends, then you can’t look at it. There are a lot of minor inconveniences: there is a gray screen on multimedia, you can’t put your own music on startup and shutdown... you can’t remember everything at once... I’m very disappointed... I don’t recommend it to anyone...</v>
      </c>
    </row>
    <row r="4076" spans="1:9" x14ac:dyDescent="0.3">
      <c r="A4076" s="1" t="s">
        <v>61</v>
      </c>
      <c r="B4076" s="1" t="s">
        <v>726</v>
      </c>
      <c r="C4076" s="1" t="s">
        <v>85</v>
      </c>
      <c r="D4076" s="1" t="s">
        <v>474</v>
      </c>
      <c r="E4076" s="1" t="s">
        <v>4706</v>
      </c>
      <c r="F4076" s="1" t="s">
        <v>7092</v>
      </c>
      <c r="G4076" s="1" t="s">
        <v>49</v>
      </c>
      <c r="H4076" s="1" t="s">
        <v>16</v>
      </c>
      <c r="I4076" s="1" t="str">
        <f ca="1">IFERROR(__xludf.DUMMYFUNCTION("GOOGLETRANSLATE(F4076, ""auto"", ""en"")
"),"I do not recommend purchasing this bread maker, because the bread does not always turn out tasty, although I always cook from the same products in the same way. But this is not the worst thing. In this bread maker, the manufacturer has not worked out the "&amp;"mechanism for rotating the kneading blade. Near the bowl itself, the pins that are inserted into the rotation mechanism are made of thin metal, as a result, after a year of operation, the bread maker began to creak due to the pins touching the mechanism, "&amp;"a smell of heated plastic appeared, and traces of deformation (cuts) were clearly visible on the pins. Very high price for a product with such low quality. It's a pity.")</f>
        <v>I do not recommend purchasing this bread maker, because the bread does not always turn out tasty, although I always cook from the same products in the same way. But this is not the worst thing. In this bread maker, the manufacturer has not worked out the mechanism for rotating the kneading blade. Near the bowl itself, the pins that are inserted into the rotation mechanism are made of thin metal, as a result, after a year of operation, the bread maker began to creak due to the pins touching the mechanism, a smell of heated plastic appeared, and traces of deformation (cuts) were clearly visible on the pins. Very high price for a product with such low quality. It's a pity.</v>
      </c>
    </row>
    <row r="4077" spans="1:9" x14ac:dyDescent="0.3">
      <c r="A4077" s="1" t="s">
        <v>67</v>
      </c>
      <c r="B4077" s="1" t="s">
        <v>68</v>
      </c>
      <c r="C4077" s="1" t="s">
        <v>69</v>
      </c>
      <c r="D4077" s="1" t="s">
        <v>295</v>
      </c>
      <c r="E4077" s="1" t="s">
        <v>2360</v>
      </c>
      <c r="F4077" s="1" t="s">
        <v>7093</v>
      </c>
      <c r="G4077" s="1" t="s">
        <v>28</v>
      </c>
      <c r="H4077" s="1" t="s">
        <v>29</v>
      </c>
      <c r="I4077" s="1" t="str">
        <f ca="1">IFERROR(__xludf.DUMMYFUNCTION("GOOGLETRANSLATE(F4077, ""auto"", ""en"")
"),"It took us SOOO long to choose an iron and settled on it. Optimal ratio of functions, price and quality.  A 350 ml tank is very good, but in order not to run around refilling every 20 minutes, iron at a medium steam level. I expected more from the vertica"&amp;"l steam, it would inject something there without even wincing... no effect was detected from this blow. Therefore, iron the curtains in vert. mode is not suitable))) Constant pairing is more effective. But still, in my opinion, he usually irons it normall"&amp;"y, but it’s not so bad. No, cotton shirts are smoothed outwardly at first, but then you look and the creases appear again. Even after some water it doesn’t always smooth out. Slide on the C grade.   The advantages include quiet ironing, fairly good consta"&amp;"nt steam, and a long velcro cord.  The downsides are that it hisses when installed vertically, weak vertical steam only comes from the spout, and well, it takes a VERY long time to cool down (((")</f>
        <v>It took us SOOO long to choose an iron and settled on it. Optimal ratio of functions, price and quality.  A 350 ml tank is very good, but in order not to run around refilling every 20 minutes, iron at a medium steam level. I expected more from the vertical steam, it would inject something there without even wincing... no effect was detected from this blow. Therefore, iron the curtains in vert. mode is not suitable))) Constant pairing is more effective. But still, in my opinion, he usually irons it normally, but it’s not so bad. No, cotton shirts are smoothed outwardly at first, but then you look and the creases appear again. Even after some water it doesn’t always smooth out. Slide on the C grade.   The advantages include quiet ironing, fairly good constant steam, and a long velcro cord.  The downsides are that it hisses when installed vertically, weak vertical steam only comes from the spout, and well, it takes a VERY long time to cool down (((</v>
      </c>
    </row>
    <row r="4078" spans="1:9" x14ac:dyDescent="0.3">
      <c r="A4078" s="1" t="s">
        <v>67</v>
      </c>
      <c r="B4078" s="1" t="s">
        <v>68</v>
      </c>
      <c r="C4078" s="1" t="s">
        <v>69</v>
      </c>
      <c r="D4078" s="1" t="s">
        <v>7094</v>
      </c>
      <c r="E4078" s="1" t="s">
        <v>7095</v>
      </c>
      <c r="F4078" s="1" t="s">
        <v>7096</v>
      </c>
      <c r="G4078" s="1" t="s">
        <v>28</v>
      </c>
      <c r="H4078" s="1" t="s">
        <v>29</v>
      </c>
      <c r="I4078" s="1" t="str">
        <f ca="1">IFERROR(__xludf.DUMMYFUNCTION("GOOGLETRANSLATE(F4078, ""auto"", ""en"")
"),"I bought the iron on the advice of the sellers - everything is fine, it irons well. But sometimes the iron began to make strange sounds - it squeaked, I thought it was a defect. I was lucky to return the iron, but the returns department explained that thi"&amp;"s is how it should be - I touched the steam ionization button. The instructions describe all this, but who reads the instructions? :-) In general, everything was resolved, it’s just that the button is located, in my opinion, not very well, I touch this bu"&amp;"tton all the time. So we pet and squeak periodically!")</f>
        <v>I bought the iron on the advice of the sellers - everything is fine, it irons well. But sometimes the iron began to make strange sounds - it squeaked, I thought it was a defect. I was lucky to return the iron, but the returns department explained that this is how it should be - I touched the steam ionization button. The instructions describe all this, but who reads the instructions? :-) In general, everything was resolved, it’s just that the button is located, in my opinion, not very well, I touch this button all the time. So we pet and squeak periodically!</v>
      </c>
    </row>
    <row r="4079" spans="1:9" x14ac:dyDescent="0.3">
      <c r="A4079" s="1" t="s">
        <v>61</v>
      </c>
      <c r="B4079" s="1" t="s">
        <v>726</v>
      </c>
      <c r="C4079" s="1" t="s">
        <v>74</v>
      </c>
      <c r="D4079" s="1" t="s">
        <v>75</v>
      </c>
      <c r="E4079" s="1" t="s">
        <v>3769</v>
      </c>
      <c r="F4079" s="1" t="s">
        <v>7097</v>
      </c>
      <c r="G4079" s="1" t="s">
        <v>36</v>
      </c>
      <c r="H4079" s="1" t="s">
        <v>29</v>
      </c>
      <c r="I4079" s="1" t="str">
        <f ca="1">IFERROR(__xludf.DUMMYFUNCTION("GOOGLETRANSLATE(F4079, ""auto"", ""en"")
"),"Today is the second day, so far I like everything, yesterday we baked white bread, today we baked a cupcake, it turned out great.  Let's try to make friends with the stove. So far I like everything.")</f>
        <v>Today is the second day, so far I like everything, yesterday we baked white bread, today we baked a cupcake, it turned out great.  Let's try to make friends with the stove. So far I like everything.</v>
      </c>
    </row>
    <row r="4080" spans="1:9" x14ac:dyDescent="0.3">
      <c r="A4080" s="1" t="s">
        <v>211</v>
      </c>
      <c r="B4080" s="1" t="s">
        <v>410</v>
      </c>
      <c r="C4080" s="1" t="s">
        <v>122</v>
      </c>
      <c r="D4080" s="1" t="s">
        <v>4797</v>
      </c>
      <c r="E4080" s="1" t="s">
        <v>1005</v>
      </c>
      <c r="F4080" s="1" t="s">
        <v>7098</v>
      </c>
      <c r="G4080" s="1" t="s">
        <v>36</v>
      </c>
      <c r="H4080" s="1" t="s">
        <v>29</v>
      </c>
      <c r="I4080" s="1" t="str">
        <f ca="1">IFERROR(__xludf.DUMMYFUNCTION("GOOGLETRANSLATE(F4080, ""auto"", ""en"")
"),"I haven't been using this razor for long, but I like it. shaves well. One of the downsides is that there is no battery charging indicator, there is only a network indicator")</f>
        <v>I haven't been using this razor for long, but I like it. shaves well. One of the downsides is that there is no battery charging indicator, there is only a network indicator</v>
      </c>
    </row>
    <row r="4081" spans="1:9" x14ac:dyDescent="0.3">
      <c r="A4081" s="1" t="s">
        <v>211</v>
      </c>
      <c r="B4081" s="1" t="s">
        <v>265</v>
      </c>
      <c r="C4081" s="1" t="s">
        <v>122</v>
      </c>
      <c r="D4081" s="1" t="s">
        <v>568</v>
      </c>
      <c r="E4081" s="1" t="s">
        <v>2063</v>
      </c>
      <c r="F4081" s="1" t="s">
        <v>7099</v>
      </c>
      <c r="G4081" s="1" t="s">
        <v>49</v>
      </c>
      <c r="H4081" s="1" t="s">
        <v>16</v>
      </c>
      <c r="I4081" s="1" t="str">
        <f ca="1">IFERROR(__xludf.DUMMYFUNCTION("GOOGLETRANSLATE(F4081, ""auto"", ""en"")
"),"Very disappointed. Due to the design of the blade of the ER 407 model, the trimmer does not shave small hairs at all! Advice: don’t waste your money, buy a trimmer of a different model!")</f>
        <v>Very disappointed. Due to the design of the blade of the ER 407 model, the trimmer does not shave small hairs at all! Advice: don’t waste your money, buy a trimmer of a different model!</v>
      </c>
    </row>
    <row r="4082" spans="1:9" x14ac:dyDescent="0.3">
      <c r="A4082" s="1" t="s">
        <v>61</v>
      </c>
      <c r="B4082" s="1" t="s">
        <v>977</v>
      </c>
      <c r="C4082" s="1" t="s">
        <v>69</v>
      </c>
      <c r="D4082" s="1" t="s">
        <v>385</v>
      </c>
      <c r="E4082" s="1" t="s">
        <v>386</v>
      </c>
      <c r="F4082" s="1" t="s">
        <v>7100</v>
      </c>
      <c r="G4082" s="1" t="s">
        <v>36</v>
      </c>
      <c r="H4082" s="1" t="s">
        <v>29</v>
      </c>
      <c r="I4082" s="1" t="str">
        <f ca="1">IFERROR(__xludf.DUMMYFUNCTION("GOOGLETRANSLATE(F4082, ""auto"", ""en"")
"),"Great blender! It has been working for me for almost 2 years, I use it every day and more than once, because... two small children... I stupidly broke the grinding glass and the whisk is missing, now I’m looking for a new blender, but only Philips!")</f>
        <v>Great blender! It has been working for me for almost 2 years, I use it every day and more than once, because... two small children... I stupidly broke the grinding glass and the whisk is missing, now I’m looking for a new blender, but only Philips!</v>
      </c>
    </row>
    <row r="4083" spans="1:9" x14ac:dyDescent="0.3">
      <c r="A4083" s="1" t="s">
        <v>373</v>
      </c>
      <c r="B4083" s="1" t="s">
        <v>374</v>
      </c>
      <c r="C4083" s="1" t="s">
        <v>159</v>
      </c>
      <c r="D4083" s="1" t="s">
        <v>152</v>
      </c>
      <c r="E4083" s="1" t="s">
        <v>1277</v>
      </c>
      <c r="F4083" s="1" t="s">
        <v>7101</v>
      </c>
      <c r="G4083" s="1" t="s">
        <v>28</v>
      </c>
      <c r="H4083" s="1" t="s">
        <v>29</v>
      </c>
      <c r="I4083" s="1" t="str">
        <f ca="1">IFERROR(__xludf.DUMMYFUNCTION("GOOGLETRANSLATE(F4083, ""auto"", ""en"")
"),"I worked for almost five years on 5, but the other day it broke down, the machine is excellent, it washes well, the manual says a service life of 10 years.")</f>
        <v>I worked for almost five years on 5, but the other day it broke down, the machine is excellent, it washes well, the manual says a service life of 10 years.</v>
      </c>
    </row>
    <row r="4084" spans="1:9" x14ac:dyDescent="0.3">
      <c r="A4084" s="1" t="s">
        <v>43</v>
      </c>
      <c r="B4084" s="1" t="s">
        <v>1616</v>
      </c>
      <c r="C4084" s="1" t="s">
        <v>85</v>
      </c>
      <c r="D4084" s="1" t="s">
        <v>295</v>
      </c>
      <c r="E4084" s="1" t="s">
        <v>6862</v>
      </c>
      <c r="F4084" s="1" t="s">
        <v>7102</v>
      </c>
      <c r="G4084" s="1" t="s">
        <v>36</v>
      </c>
      <c r="H4084" s="1" t="s">
        <v>29</v>
      </c>
      <c r="I4084" s="1" t="str">
        <f ca="1">IFERROR(__xludf.DUMMYFUNCTION("GOOGLETRANSLATE(F4084, ""auto"", ""en"")
"),"The thing is actually universal, it works for heating, cooling, and dehumidification - three in one")</f>
        <v>The thing is actually universal, it works for heating, cooling, and dehumidification - three in one</v>
      </c>
    </row>
    <row r="4085" spans="1:9" x14ac:dyDescent="0.3">
      <c r="A4085" s="1" t="s">
        <v>17</v>
      </c>
      <c r="B4085" s="1" t="s">
        <v>18</v>
      </c>
      <c r="C4085" s="1" t="s">
        <v>243</v>
      </c>
      <c r="D4085" s="1" t="s">
        <v>2045</v>
      </c>
      <c r="E4085" s="1" t="s">
        <v>4284</v>
      </c>
      <c r="F4085" s="1" t="s">
        <v>7103</v>
      </c>
      <c r="G4085" s="1" t="s">
        <v>15</v>
      </c>
      <c r="H4085" s="1" t="s">
        <v>16</v>
      </c>
      <c r="I4085" s="1" t="str">
        <f ca="1">IFERROR(__xludf.DUMMYFUNCTION("GOOGLETRANSLATE(F4085, ""auto"", ""en"")
"),"It vibrates when spinning, so you have to hold it like that, otherwise it tends to gouge the entire kitchen wall.  There were cases when the powder remained untouched, no matter how it was washed, who knows.  It’s a pity I didn’t understand washing machin"&amp;"es when they took me, but now I’ll torture the consultants until they lose their pulse.  I didn’t think that I had come across a washing machine that needed to be looked after!")</f>
        <v>It vibrates when spinning, so you have to hold it like that, otherwise it tends to gouge the entire kitchen wall.  There were cases when the powder remained untouched, no matter how it was washed, who knows.  It’s a pity I didn’t understand washing machines when they took me, but now I’ll torture the consultants until they lose their pulse.  I didn’t think that I had come across a washing machine that needed to be looked after!</v>
      </c>
    </row>
    <row r="4086" spans="1:9" x14ac:dyDescent="0.3">
      <c r="A4086" s="1" t="s">
        <v>30</v>
      </c>
      <c r="B4086" s="1" t="s">
        <v>50</v>
      </c>
      <c r="C4086" s="1" t="s">
        <v>1003</v>
      </c>
      <c r="D4086" s="1" t="s">
        <v>742</v>
      </c>
      <c r="E4086" s="1" t="s">
        <v>3872</v>
      </c>
      <c r="F4086" s="1" t="s">
        <v>7104</v>
      </c>
      <c r="G4086" s="1" t="s">
        <v>28</v>
      </c>
      <c r="H4086" s="1" t="s">
        <v>29</v>
      </c>
      <c r="I4086" s="1" t="str">
        <f ca="1">IFERROR(__xludf.DUMMYFUNCTION("GOOGLETRANSLATE(F4086, ""auto"", ""en"")
"),"I have the same problem, there are occasional blinking... And from what, idk....")</f>
        <v>I have the same problem, there are occasional blinking... And from what, idk....</v>
      </c>
    </row>
    <row r="4087" spans="1:9" x14ac:dyDescent="0.3">
      <c r="A4087" s="1" t="s">
        <v>361</v>
      </c>
      <c r="B4087" s="1" t="s">
        <v>1077</v>
      </c>
      <c r="C4087" s="1" t="s">
        <v>2143</v>
      </c>
      <c r="D4087" s="1" t="s">
        <v>64</v>
      </c>
      <c r="E4087" s="1" t="s">
        <v>7105</v>
      </c>
      <c r="F4087" s="1" t="s">
        <v>7106</v>
      </c>
      <c r="G4087" s="1" t="s">
        <v>49</v>
      </c>
      <c r="H4087" s="1" t="s">
        <v>16</v>
      </c>
      <c r="I4087" s="1" t="str">
        <f ca="1">IFERROR(__xludf.DUMMYFUNCTION("GOOGLETRANSLATE(F4087, ""auto"", ""en"")
"),"I bought it exactly a year ago, from the very beginning there were stains on the bottom - they couldn’t be washed off. The capacity is small. You have to wash the surface often, otherwise small droplets of water remain on it, which does not look very nice"&amp;".")</f>
        <v>I bought it exactly a year ago, from the very beginning there were stains on the bottom - they couldn’t be washed off. The capacity is small. You have to wash the surface often, otherwise small droplets of water remain on it, which does not look very nice.</v>
      </c>
    </row>
    <row r="4088" spans="1:9" x14ac:dyDescent="0.3">
      <c r="A4088" s="1" t="s">
        <v>9</v>
      </c>
      <c r="B4088" s="1" t="s">
        <v>137</v>
      </c>
      <c r="C4088" s="1" t="s">
        <v>63</v>
      </c>
      <c r="D4088" s="1" t="s">
        <v>7107</v>
      </c>
      <c r="E4088" s="1" t="s">
        <v>1093</v>
      </c>
      <c r="F4088" s="1" t="s">
        <v>7108</v>
      </c>
      <c r="G4088" s="1" t="s">
        <v>36</v>
      </c>
      <c r="H4088" s="1" t="s">
        <v>29</v>
      </c>
      <c r="I4088" s="1" t="str">
        <f ca="1">IFERROR(__xludf.DUMMYFUNCTION("GOOGLETRANSLATE(F4088, ""auto"", ""en"")
"),"In terms of design, this stove is the most practical of all Boshev’s works! For me, an indicator of quality is always the grate - it is very strong, with a well-thought-out design - the corners have stops for greater stability, so there will certainly be "&amp;"no problems with heavy pots, I immediately noticed this point, since the grate on my previous stove was pretty bent in two months. The burner handles are quite tight, but they turn very easily and without play - another advantage)) The double-circuit burn"&amp;"er is now my favorite, it brings water to a boil very quickly, helps out when cooking and heats up various foods quickly, my husband only uses it to save time when he comes home for a lunch break)) And the stainless steel from which the surface is made is"&amp;" of excellent quality - I’ve been washing it for the second month now using all sorts of means and not a single one scratches! In a word - a cool stove in its price niche))")</f>
        <v>In terms of design, this stove is the most practical of all Boshev’s works! For me, an indicator of quality is always the grate - it is very strong, with a well-thought-out design - the corners have stops for greater stability, so there will certainly be no problems with heavy pots, I immediately noticed this point, since the grate on my previous stove was pretty bent in two months. The burner handles are quite tight, but they turn very easily and without play - another advantage)) The double-circuit burner is now my favorite, it brings water to a boil very quickly, helps out when cooking and heats up various foods quickly, my husband only uses it to save time when he comes home for a lunch break)) And the stainless steel from which the surface is made is of excellent quality - I’ve been washing it for the second month now using all sorts of means and not a single one scratches! In a word - a cool stove in its price niche))</v>
      </c>
    </row>
    <row r="4089" spans="1:9" x14ac:dyDescent="0.3">
      <c r="A4089" s="1" t="s">
        <v>149</v>
      </c>
      <c r="B4089" s="1" t="s">
        <v>576</v>
      </c>
      <c r="C4089" s="1" t="s">
        <v>159</v>
      </c>
      <c r="D4089" s="1" t="s">
        <v>280</v>
      </c>
      <c r="E4089" s="1" t="s">
        <v>2298</v>
      </c>
      <c r="F4089" s="1" t="s">
        <v>7109</v>
      </c>
      <c r="G4089" s="1" t="s">
        <v>36</v>
      </c>
      <c r="H4089" s="1" t="s">
        <v>29</v>
      </c>
      <c r="I4089" s="1" t="str">
        <f ca="1">IFERROR(__xludf.DUMMYFUNCTION("GOOGLETRANSLATE(F4089, ""auto"", ""en"")
"),"I’ve been using the z3358 model (one less nozzle) for about 5 years now. It sucks powerfully and quietly, ALL the dust remains in the bag, even the insides of the vacuum cleaner are absolutely clean. The output filter is just in case. (I use “Swirl” bags,"&amp;" I haven’t tried others.) The vacuum cleaner is indestructible, and I periodically suck out concrete dust, as well as small volumes of liquid (for example, beer from a keyboard). The only drawback is that the decorative trim is slightly warped and touches"&amp;" the lid when opening.   And all aqua and cyclonic vacuum cleaners are for those who like to dig deeper into the dirt.")</f>
        <v>I’ve been using the z3358 model (one less nozzle) for about 5 years now. It sucks powerfully and quietly, ALL the dust remains in the bag, even the insides of the vacuum cleaner are absolutely clean. The output filter is just in case. (I use “Swirl” bags, I haven’t tried others.) The vacuum cleaner is indestructible, and I periodically suck out concrete dust, as well as small volumes of liquid (for example, beer from a keyboard). The only drawback is that the decorative trim is slightly warped and touches the lid when opening.   And all aqua and cyclonic vacuum cleaners are for those who like to dig deeper into the dirt.</v>
      </c>
    </row>
    <row r="4090" spans="1:9" x14ac:dyDescent="0.3">
      <c r="A4090" s="1" t="s">
        <v>120</v>
      </c>
      <c r="B4090" s="1" t="s">
        <v>196</v>
      </c>
      <c r="C4090" s="1" t="s">
        <v>69</v>
      </c>
      <c r="D4090" s="1" t="s">
        <v>1917</v>
      </c>
      <c r="E4090" s="1" t="s">
        <v>191</v>
      </c>
      <c r="F4090" s="1" t="s">
        <v>7110</v>
      </c>
      <c r="G4090" s="1" t="s">
        <v>36</v>
      </c>
      <c r="H4090" s="1" t="s">
        <v>29</v>
      </c>
      <c r="I4090" s="1" t="str">
        <f ca="1">IFERROR(__xludf.DUMMYFUNCTION("GOOGLETRANSLATE(F4090, ""auto"", ""en"")
"),"Very pleased with Philip! The quality is Super! :) Watching movies is just a pleasure :) It feels like you are in the movie itself :))) But I was in a hurry with the purchase and bought it for 31,990 rubles. :) But I almost regret it. :) I recommend it!;)"&amp;" Philips have the most reliable processor.   Rating +5!")</f>
        <v>Very pleased with Philip! The quality is Super! :) Watching movies is just a pleasure :) It feels like you are in the movie itself :))) But I was in a hurry with the purchase and bought it for 31,990 rubles. :) But I almost regret it. :) I recommend it!;) Philips have the most reliable processor.   Rating +5!</v>
      </c>
    </row>
    <row r="4091" spans="1:9" x14ac:dyDescent="0.3">
      <c r="A4091" s="1" t="s">
        <v>30</v>
      </c>
      <c r="B4091" s="1" t="s">
        <v>31</v>
      </c>
      <c r="C4091" s="1" t="s">
        <v>32</v>
      </c>
      <c r="D4091" s="1" t="s">
        <v>7111</v>
      </c>
      <c r="E4091" s="1" t="s">
        <v>269</v>
      </c>
      <c r="F4091" s="1" t="s">
        <v>7112</v>
      </c>
      <c r="G4091" s="1" t="s">
        <v>36</v>
      </c>
      <c r="H4091" s="1" t="s">
        <v>29</v>
      </c>
      <c r="I4091" s="1" t="str">
        <f ca="1">IFERROR(__xludf.DUMMYFUNCTION("GOOGLETRANSLATE(F4091, ""auto"", ""en"")
"),"GREAT STATION!!!!  I play MICROSOFT FLIGHT SIMULATOR X (it requires a lot of resources), in general it runs well.. Minus: the video card gets very hot (and it is designed so that it is very difficult to install a cooler).  but an additional cooler is need"&amp;"ed.. Yes... I also immediately demolished the seven and installed Windows zver 2010, everything works fine, no complaints 5+++!!")</f>
        <v>GREAT STATION!!!!  I play MICROSOFT FLIGHT SIMULATOR X (it requires a lot of resources), in general it runs well.. Minus: the video card gets very hot (and it is designed so that it is very difficult to install a cooler).  but an additional cooler is needed.. Yes... I also immediately demolished the seven and installed Windows zver 2010, everything works fine, no complaints 5+++!!</v>
      </c>
    </row>
    <row r="4092" spans="1:9" x14ac:dyDescent="0.3">
      <c r="A4092" s="1" t="s">
        <v>211</v>
      </c>
      <c r="B4092" s="1" t="s">
        <v>410</v>
      </c>
      <c r="C4092" s="1" t="s">
        <v>57</v>
      </c>
      <c r="D4092" s="1" t="s">
        <v>52</v>
      </c>
      <c r="E4092" s="1" t="s">
        <v>511</v>
      </c>
      <c r="F4092" s="1" t="s">
        <v>7113</v>
      </c>
      <c r="G4092" s="1" t="s">
        <v>28</v>
      </c>
      <c r="H4092" s="1" t="s">
        <v>29</v>
      </c>
      <c r="I4092" s="1" t="str">
        <f ca="1">IFERROR(__xludf.DUMMYFUNCTION("GOOGLETRANSLATE(F4092, ""auto"", ""en"")
"),"The battery is rather weak and does not last long, maximum 4-5 times. It has been in use for over a year now. For the money this is quite an excellent razor. Those with hard bristles need to go through it several times, even if the blades are new. Doesn't"&amp;" take it. Quite satisfied. The cap immediately flew off from birth.")</f>
        <v>The battery is rather weak and does not last long, maximum 4-5 times. It has been in use for over a year now. For the money this is quite an excellent razor. Those with hard bristles need to go through it several times, even if the blades are new. Doesn't take it. Quite satisfied. The cap immediately flew off from birth.</v>
      </c>
    </row>
    <row r="4093" spans="1:9" x14ac:dyDescent="0.3">
      <c r="A4093" s="1" t="s">
        <v>451</v>
      </c>
      <c r="B4093" s="1" t="s">
        <v>452</v>
      </c>
      <c r="C4093" s="1" t="s">
        <v>453</v>
      </c>
      <c r="D4093" s="1" t="s">
        <v>4360</v>
      </c>
      <c r="E4093" s="1" t="s">
        <v>5985</v>
      </c>
      <c r="F4093" s="1" t="s">
        <v>7114</v>
      </c>
      <c r="G4093" s="1" t="s">
        <v>36</v>
      </c>
      <c r="H4093" s="1" t="s">
        <v>29</v>
      </c>
      <c r="I4093" s="1" t="str">
        <f ca="1">IFERROR(__xludf.DUMMYFUNCTION("GOOGLETRANSLATE(F4093, ""auto"", ""en"")
"),"The car is great. It copes with its task perfectly.  It fits comfortably in the hand. I recommend it.")</f>
        <v>The car is great. It copes with its task perfectly.  It fits comfortably in the hand. I recommend it.</v>
      </c>
    </row>
    <row r="4094" spans="1:9" x14ac:dyDescent="0.3">
      <c r="A4094" s="1" t="s">
        <v>89</v>
      </c>
      <c r="B4094" s="1" t="s">
        <v>90</v>
      </c>
      <c r="C4094" s="1" t="s">
        <v>101</v>
      </c>
      <c r="D4094" s="1" t="s">
        <v>2096</v>
      </c>
      <c r="E4094" s="1" t="s">
        <v>7115</v>
      </c>
      <c r="F4094" s="1" t="s">
        <v>7116</v>
      </c>
      <c r="G4094" s="1" t="s">
        <v>28</v>
      </c>
      <c r="H4094" s="1" t="s">
        <v>29</v>
      </c>
      <c r="I4094" s="1" t="str">
        <f ca="1">IFERROR(__xludf.DUMMYFUNCTION("GOOGLETRANSLATE(F4094, ""auto"", ""en"")
"),"The coffee grinder is excellent - it grinds coffee almost into dust. Easy to clean with a brush after use. A small drawback - the round shape of the lid, you can’t unscrew it with wet hands ((")</f>
        <v>The coffee grinder is excellent - it grinds coffee almost into dust. Easy to clean with a brush after use. A small drawback - the round shape of the lid, you can’t unscrew it with wet hands ((</v>
      </c>
    </row>
    <row r="4095" spans="1:9" x14ac:dyDescent="0.3">
      <c r="A4095" s="1" t="s">
        <v>169</v>
      </c>
      <c r="B4095" s="1" t="s">
        <v>170</v>
      </c>
      <c r="C4095" s="1" t="s">
        <v>193</v>
      </c>
      <c r="D4095" s="1" t="s">
        <v>139</v>
      </c>
      <c r="E4095" s="1" t="s">
        <v>4434</v>
      </c>
      <c r="F4095" s="1" t="s">
        <v>7117</v>
      </c>
      <c r="G4095" s="1" t="s">
        <v>94</v>
      </c>
      <c r="H4095" s="1" t="s">
        <v>29</v>
      </c>
      <c r="I4095" s="1" t="str">
        <f ca="1">IFERROR(__xludf.DUMMYFUNCTION("GOOGLETRANSLATE(F4095, ""auto"", ""en"")
"),"great sound, good price")</f>
        <v>great sound, good price</v>
      </c>
    </row>
    <row r="4096" spans="1:9" x14ac:dyDescent="0.3">
      <c r="A4096" s="1" t="s">
        <v>30</v>
      </c>
      <c r="B4096" s="1" t="s">
        <v>31</v>
      </c>
      <c r="C4096" s="1" t="s">
        <v>377</v>
      </c>
      <c r="D4096" s="1" t="s">
        <v>7118</v>
      </c>
      <c r="E4096" s="1" t="s">
        <v>2094</v>
      </c>
      <c r="F4096" s="1" t="s">
        <v>7119</v>
      </c>
      <c r="G4096" s="1" t="s">
        <v>28</v>
      </c>
      <c r="H4096" s="1" t="s">
        <v>29</v>
      </c>
      <c r="I4096" s="1" t="str">
        <f ca="1">IFERROR(__xludf.DUMMYFUNCTION("GOOGLETRANSLATE(F4096, ""auto"", ""en"")
"),"no, the price is just good, but the video card is not the best and in general it’s strange that the low-power computers sold here have the latest video cards, but the powerful ones don’t")</f>
        <v>no, the price is just good, but the video card is not the best and in general it’s strange that the low-power computers sold here have the latest video cards, but the powerful ones don’t</v>
      </c>
    </row>
    <row r="4097" spans="1:9" x14ac:dyDescent="0.3">
      <c r="A4097" s="1" t="s">
        <v>211</v>
      </c>
      <c r="B4097" s="1" t="s">
        <v>856</v>
      </c>
      <c r="C4097" s="1" t="s">
        <v>57</v>
      </c>
      <c r="D4097" s="1" t="s">
        <v>589</v>
      </c>
      <c r="E4097" s="1" t="s">
        <v>7120</v>
      </c>
      <c r="F4097" s="1" t="s">
        <v>7121</v>
      </c>
      <c r="G4097" s="1" t="s">
        <v>49</v>
      </c>
      <c r="H4097" s="1" t="s">
        <v>16</v>
      </c>
      <c r="I4097" s="1" t="str">
        <f ca="1">IFERROR(__xludf.DUMMYFUNCTION("GOOGLETRANSLATE(F4097, ""auto"", ""en"")
"),"I bought it in September before the price increase, after four times of use the “bubbles” function stopped working ((The water temperature is not maintained. Two massage attachments are also useless. One plus is that it’s compact!")</f>
        <v>I bought it in September before the price increase, after four times of use the “bubbles” function stopped working ((The water temperature is not maintained. Two massage attachments are also useless. One plus is that it’s compact!</v>
      </c>
    </row>
    <row r="4098" spans="1:9" x14ac:dyDescent="0.3">
      <c r="A4098" s="1" t="s">
        <v>211</v>
      </c>
      <c r="B4098" s="1" t="s">
        <v>515</v>
      </c>
      <c r="C4098" s="1" t="s">
        <v>213</v>
      </c>
      <c r="D4098" s="1" t="s">
        <v>247</v>
      </c>
      <c r="E4098" s="1" t="s">
        <v>7122</v>
      </c>
      <c r="F4098" s="1" t="s">
        <v>7123</v>
      </c>
      <c r="G4098" s="1" t="s">
        <v>36</v>
      </c>
      <c r="H4098" s="1" t="s">
        <v>29</v>
      </c>
      <c r="I4098" s="1" t="str">
        <f ca="1">IFERROR(__xludf.DUMMYFUNCTION("GOOGLETRANSLATE(F4098, ""auto"", ""en"")
"),"Quality, effect.")</f>
        <v>Quality, effect.</v>
      </c>
    </row>
    <row r="4099" spans="1:9" x14ac:dyDescent="0.3">
      <c r="A4099" s="1" t="s">
        <v>120</v>
      </c>
      <c r="B4099" s="1" t="s">
        <v>121</v>
      </c>
      <c r="C4099" s="1" t="s">
        <v>151</v>
      </c>
      <c r="D4099" s="1" t="s">
        <v>114</v>
      </c>
      <c r="E4099" s="1" t="s">
        <v>7124</v>
      </c>
      <c r="F4099" s="1" t="s">
        <v>7125</v>
      </c>
      <c r="G4099" s="1" t="s">
        <v>28</v>
      </c>
      <c r="H4099" s="1" t="s">
        <v>29</v>
      </c>
      <c r="I4099" s="1" t="str">
        <f ca="1">IFERROR(__xludf.DUMMYFUNCTION("GOOGLETRANSLATE(F4099, ""auto"", ""en"")
"),"two days since I became its owner! When I used it, I went into the service menu and screwed up something there (((Now the TV won’t turn on(((The LED will blink several times and make a sound like it’s on and that’s it!!(( How to revive it!? Help!")</f>
        <v>two days since I became its owner! When I used it, I went into the service menu and screwed up something there (((Now the TV won’t turn on(((The LED will blink several times and make a sound like it’s on and that’s it!!(( How to revive it!? Help!</v>
      </c>
    </row>
    <row r="4100" spans="1:9" x14ac:dyDescent="0.3">
      <c r="A4100" s="1" t="s">
        <v>120</v>
      </c>
      <c r="B4100" s="1" t="s">
        <v>121</v>
      </c>
      <c r="C4100" s="1" t="s">
        <v>97</v>
      </c>
      <c r="D4100" s="1" t="s">
        <v>39</v>
      </c>
      <c r="E4100" s="1" t="s">
        <v>386</v>
      </c>
      <c r="F4100" s="1" t="s">
        <v>7126</v>
      </c>
      <c r="G4100" s="1" t="s">
        <v>36</v>
      </c>
      <c r="H4100" s="1" t="s">
        <v>29</v>
      </c>
      <c r="I4100" s="1" t="str">
        <f ca="1">IFERROR(__xludf.DUMMYFUNCTION("GOOGLETRANSLATE(F4100, ""auto"", ""en"")
"),"Great TV for the money. The colors are super, everything works as it should on a Sony TV. Flexible settings, vibrant colors. I advise you to buy everything, now it has a very good price. Thanks MVideo!")</f>
        <v>Great TV for the money. The colors are super, everything works as it should on a Sony TV. Flexible settings, vibrant colors. I advise you to buy everything, now it has a very good price. Thanks MVideo!</v>
      </c>
    </row>
    <row r="4101" spans="1:9" x14ac:dyDescent="0.3">
      <c r="A4101" s="1" t="s">
        <v>149</v>
      </c>
      <c r="B4101" s="1" t="s">
        <v>150</v>
      </c>
      <c r="C4101" s="1" t="s">
        <v>314</v>
      </c>
      <c r="D4101" s="1" t="s">
        <v>385</v>
      </c>
      <c r="E4101" s="1" t="s">
        <v>2627</v>
      </c>
      <c r="F4101" s="1" t="s">
        <v>7127</v>
      </c>
      <c r="G4101" s="1" t="s">
        <v>49</v>
      </c>
      <c r="H4101" s="1" t="s">
        <v>16</v>
      </c>
      <c r="I4101" s="1" t="str">
        <f ca="1">IFERROR(__xludf.DUMMYFUNCTION("GOOGLETRANSLATE(F4101, ""auto"", ""en"")
"),"I purchased a vacuum cleaner with a water filter Zelmer 819.0 SK in December 2009.   I completely agree with Arina - the vacuum cleaner sucks very weakly both with a bag and with water, it is absolutely not suitable for cleaning carpets, it picks up anima"&amp;"l hair poorly, it also picks up small debris every other time - the declared power does not correspond to the actual one. The quality of workmanship also leaves much to be desired - after a year of use, the front drive wheel fell off. But it cannot be rep"&amp;"laced, since the leg is monolithic plastic.   The shape of the vacuum cleaner is inconvenient for older people - when cleaning and sudden movements it upholsters the corners of the furniture.    I don't recommend it to anyone.")</f>
        <v>I purchased a vacuum cleaner with a water filter Zelmer 819.0 SK in December 2009.   I completely agree with Arina - the vacuum cleaner sucks very weakly both with a bag and with water, it is absolutely not suitable for cleaning carpets, it picks up animal hair poorly, it also picks up small debris every other time - the declared power does not correspond to the actual one. The quality of workmanship also leaves much to be desired - after a year of use, the front drive wheel fell off. But it cannot be replaced, since the leg is monolithic plastic.   The shape of the vacuum cleaner is inconvenient for older people - when cleaning and sudden movements it upholsters the corners of the furniture.    I don't recommend it to anyone.</v>
      </c>
    </row>
    <row r="4102" spans="1:9" x14ac:dyDescent="0.3">
      <c r="A4102" s="1" t="s">
        <v>30</v>
      </c>
      <c r="B4102" s="1" t="s">
        <v>50</v>
      </c>
      <c r="C4102" s="1" t="s">
        <v>51</v>
      </c>
      <c r="D4102" s="1" t="s">
        <v>7128</v>
      </c>
      <c r="E4102" s="1" t="s">
        <v>597</v>
      </c>
      <c r="F4102" s="1" t="s">
        <v>7129</v>
      </c>
      <c r="G4102" s="1" t="s">
        <v>28</v>
      </c>
      <c r="H4102" s="1" t="s">
        <v>29</v>
      </c>
      <c r="I4102" s="1" t="str">
        <f ca="1">IFERROR(__xludf.DUMMYFUNCTION("GOOGLETRANSLATE(F4102, ""auto"", ""en"")
"),"I bought this model 2 weeks ago, I chose the laptop for a long time and meticulously.    For the money, with compactness, good performance and beautiful design, this is the best option!!!    There is still a lack of trust in the Packard company, after all"&amp;", it was recently on the Russian market... I don’t regret the purchase, I really like the laptop.    Among the shortcomings: the cable from the charger is too bulky, the screen is not very bright, in my opinion, the reliability of the keys is in doubt, on"&amp;"e button is already dangling...")</f>
        <v>I bought this model 2 weeks ago, I chose the laptop for a long time and meticulously.    For the money, with compactness, good performance and beautiful design, this is the best option!!!    There is still a lack of trust in the Packard company, after all, it was recently on the Russian market... I don’t regret the purchase, I really like the laptop.    Among the shortcomings: the cable from the charger is too bulky, the screen is not very bright, in my opinion, the reliability of the keys is in doubt, one button is already dangling...</v>
      </c>
    </row>
    <row r="4103" spans="1:9" x14ac:dyDescent="0.3">
      <c r="A4103" s="1" t="s">
        <v>61</v>
      </c>
      <c r="B4103" s="1" t="s">
        <v>73</v>
      </c>
      <c r="C4103" s="1" t="s">
        <v>146</v>
      </c>
      <c r="D4103" s="1" t="s">
        <v>742</v>
      </c>
      <c r="E4103" s="1" t="s">
        <v>2804</v>
      </c>
      <c r="F4103" s="1" t="s">
        <v>7130</v>
      </c>
      <c r="G4103" s="1" t="s">
        <v>36</v>
      </c>
      <c r="H4103" s="1" t="s">
        <v>29</v>
      </c>
      <c r="I4103" s="1" t="str">
        <f ca="1">IFERROR(__xludf.DUMMYFUNCTION("GOOGLETRANSLATE(F4103, ""auto"", ""en"")
"),"I bought a meat grinder for a small cafe, we’ve been using it for 2 months now, it chops meat perfectly and quickly, we use it almost every day, at low speed it’s not even very noisy, we like it")</f>
        <v>I bought a meat grinder for a small cafe, we’ve been using it for 2 months now, it chops meat perfectly and quickly, we use it almost every day, at low speed it’s not even very noisy, we like it</v>
      </c>
    </row>
    <row r="4104" spans="1:9" x14ac:dyDescent="0.3">
      <c r="A4104" s="1" t="s">
        <v>9</v>
      </c>
      <c r="B4104" s="1" t="s">
        <v>10</v>
      </c>
      <c r="C4104" s="1" t="s">
        <v>407</v>
      </c>
      <c r="D4104" s="1" t="s">
        <v>52</v>
      </c>
      <c r="E4104" s="1" t="s">
        <v>6398</v>
      </c>
      <c r="F4104" s="1" t="s">
        <v>7131</v>
      </c>
      <c r="G4104" s="1" t="s">
        <v>28</v>
      </c>
      <c r="H4104" s="1" t="s">
        <v>29</v>
      </c>
      <c r="I4104" s="1" t="str">
        <f ca="1">IFERROR(__xludf.DUMMYFUNCTION("GOOGLETRANSLATE(F4104, ""auto"", ""en"")
"),"First time using online ordering.  Very convenient. They picked it up by pick-up from the store. We are not happy with the work of the store... We waited a very long time for the girl who would knock out our order (we were the first in line), we paid real"&amp;"ly quickly. But then again 30 minutes were lost at the checkout, because there was no employee to hand out the goods... and where it was for 0 minutes is not clear (especially since there was no one at all at the checkout).   As for the hood itself. Bough"&amp;"t 2 weeks ago. 3 days since installed. So far it works great. It draws air perfectly and illuminates the entire surface of the hob. A little noisy, but that’s not a problem, because the last one was even noisier.  Result: 5 for the hood, 3 for service in "&amp;"the store, average score 4.")</f>
        <v>First time using online ordering.  Very convenient. They picked it up by pick-up from the store. We are not happy with the work of the store... We waited a very long time for the girl who would knock out our order (we were the first in line), we paid really quickly. But then again 30 minutes were lost at the checkout, because there was no employee to hand out the goods... and where it was for 0 minutes is not clear (especially since there was no one at all at the checkout).   As for the hood itself. Bought 2 weeks ago. 3 days since installed. So far it works great. It draws air perfectly and illuminates the entire surface of the hob. A little noisy, but that’s not a problem, because the last one was even noisier.  Result: 5 for the hood, 3 for service in the store, average score 4.</v>
      </c>
    </row>
    <row r="4105" spans="1:9" x14ac:dyDescent="0.3">
      <c r="A4105" s="1" t="s">
        <v>17</v>
      </c>
      <c r="B4105" s="1" t="s">
        <v>18</v>
      </c>
      <c r="C4105" s="1" t="s">
        <v>80</v>
      </c>
      <c r="D4105" s="1" t="s">
        <v>565</v>
      </c>
      <c r="E4105" s="1" t="s">
        <v>3084</v>
      </c>
      <c r="F4105" s="1" t="s">
        <v>7132</v>
      </c>
      <c r="G4105" s="1" t="s">
        <v>28</v>
      </c>
      <c r="H4105" s="1" t="s">
        <v>29</v>
      </c>
      <c r="I4105" s="1" t="str">
        <f ca="1">IFERROR(__xludf.DUMMYFUNCTION("GOOGLETRANSLATE(F4105, ""auto"", ""en"")
"),"We bought the car on December 19th. I really liked the design and the fact that the machine is equipped with direct drive. At home, after reading reviews on the Internet, I was upset, most people are unhappy with the washing machine: it makes noise, jumps"&amp;" around the apartment, the hatch leaks and much more... But, having started using it, I realized that it’s not so bad: it washes clothes well, when it fills with water it makes a little noise, but not in such a way that it interferes. When he wrings out l"&amp;"aundry he doesn’t jump around the apartment. There are, of course, small disadvantages: high water consumption of 55 liters and spin modes of 400,800,1200, for example, 1000 revolutions can no longer be set. And so, overall not bad.")</f>
        <v>We bought the car on December 19th. I really liked the design and the fact that the machine is equipped with direct drive. At home, after reading reviews on the Internet, I was upset, most people are unhappy with the washing machine: it makes noise, jumps around the apartment, the hatch leaks and much more... But, having started using it, I realized that it’s not so bad: it washes clothes well, when it fills with water it makes a little noise, but not in such a way that it interferes. When he wrings out laundry he doesn’t jump around the apartment. There are, of course, small disadvantages: high water consumption of 55 liters and spin modes of 400,800,1200, for example, 1000 revolutions can no longer be set. And so, overall not bad.</v>
      </c>
    </row>
    <row r="4106" spans="1:9" x14ac:dyDescent="0.3">
      <c r="A4106" s="1" t="s">
        <v>105</v>
      </c>
      <c r="B4106" s="1" t="s">
        <v>106</v>
      </c>
      <c r="C4106" s="1" t="s">
        <v>69</v>
      </c>
      <c r="D4106" s="1" t="s">
        <v>7133</v>
      </c>
      <c r="E4106" s="1" t="s">
        <v>1649</v>
      </c>
      <c r="F4106" s="1" t="s">
        <v>7134</v>
      </c>
      <c r="G4106" s="1" t="s">
        <v>36</v>
      </c>
      <c r="H4106" s="1" t="s">
        <v>29</v>
      </c>
      <c r="I4106" s="1" t="str">
        <f ca="1">IFERROR(__xludf.DUMMYFUNCTION("GOOGLETRANSLATE(F4106, ""auto"", ""en"")
"),"The player is simply SUPERB! I took 3 of these, I'm going to take more as a gift! It’s not in vain that people say this, I ABSOLUTELY agree with this! For this price, you won’t find this quality anywhere else! There are no downsides, and the headphones an"&amp;"d charging device cost pennies! SO HURRY WHILE IT'S ON SALE!!!")</f>
        <v>The player is simply SUPERB! I took 3 of these, I'm going to take more as a gift! It’s not in vain that people say this, I ABSOLUTELY agree with this! For this price, you won’t find this quality anywhere else! There are no downsides, and the headphones and charging device cost pennies! SO HURRY WHILE IT'S ON SALE!!!</v>
      </c>
    </row>
    <row r="4107" spans="1:9" x14ac:dyDescent="0.3">
      <c r="A4107" s="1" t="s">
        <v>30</v>
      </c>
      <c r="B4107" s="1" t="s">
        <v>50</v>
      </c>
      <c r="C4107" s="1" t="s">
        <v>151</v>
      </c>
      <c r="D4107" s="1" t="s">
        <v>33</v>
      </c>
      <c r="E4107" s="1" t="s">
        <v>6122</v>
      </c>
      <c r="F4107" s="1" t="s">
        <v>7135</v>
      </c>
      <c r="G4107" s="1" t="s">
        <v>36</v>
      </c>
      <c r="H4107" s="1" t="s">
        <v>29</v>
      </c>
      <c r="I4107" s="1" t="str">
        <f ca="1">IFERROR(__xludf.DUMMYFUNCTION("GOOGLETRANSLATE(F4107, ""auto"", ""en"")
"),"I bought a laptop a month ago. I initially wanted a Samsung, because I used to have an R40 and had no complaints about it. What I want to say is an excellent laptop, no problems, very quiet, almost does not heat up, everything works quickly, the games are"&amp;" decent enough. I advise everyone, but check the monitor carefully, since on a Samsung, like 5 dead pixels are not a defect, and they will ruin your mood from the purchase. I had one without, but I checked diligently)))) The speakers are good, light. I al"&amp;"so bought it on sale for 1000 cheaper, in general for the money it’s perfect))). If only Vista hadn’t been installed, it would have been just great))))")</f>
        <v>I bought a laptop a month ago. I initially wanted a Samsung, because I used to have an R40 and had no complaints about it. What I want to say is an excellent laptop, no problems, very quiet, almost does not heat up, everything works quickly, the games are decent enough. I advise everyone, but check the monitor carefully, since on a Samsung, like 5 dead pixels are not a defect, and they will ruin your mood from the purchase. I had one without, but I checked diligently)))) The speakers are good, light. I also bought it on sale for 1000 cheaper, in general for the money it’s perfect))). If only Vista hadn’t been installed, it would have been just great))))</v>
      </c>
    </row>
    <row r="4108" spans="1:9" x14ac:dyDescent="0.3">
      <c r="A4108" s="1" t="s">
        <v>89</v>
      </c>
      <c r="B4108" s="1" t="s">
        <v>90</v>
      </c>
      <c r="C4108" s="1" t="s">
        <v>57</v>
      </c>
      <c r="D4108" s="1" t="s">
        <v>139</v>
      </c>
      <c r="E4108" s="1" t="s">
        <v>6243</v>
      </c>
      <c r="F4108" s="1" t="s">
        <v>7136</v>
      </c>
      <c r="G4108" s="1" t="s">
        <v>36</v>
      </c>
      <c r="H4108" s="1" t="s">
        <v>29</v>
      </c>
      <c r="I4108" s="1" t="str">
        <f ca="1">IFERROR(__xludf.DUMMYFUNCTION("GOOGLETRANSLATE(F4108, ""auto"", ""en"")
"),"It grinds well, we used it to grind cereals for making baby porridge, it does an excellent job.")</f>
        <v>It grinds well, we used it to grind cereals for making baby porridge, it does an excellent job.</v>
      </c>
    </row>
    <row r="4109" spans="1:9" x14ac:dyDescent="0.3">
      <c r="A4109" s="1" t="s">
        <v>95</v>
      </c>
      <c r="B4109" s="1" t="s">
        <v>573</v>
      </c>
      <c r="C4109" s="1" t="s">
        <v>97</v>
      </c>
      <c r="D4109" s="1" t="s">
        <v>7137</v>
      </c>
      <c r="E4109" s="1" t="s">
        <v>285</v>
      </c>
      <c r="F4109" s="1" t="s">
        <v>7138</v>
      </c>
      <c r="G4109" s="1" t="s">
        <v>36</v>
      </c>
      <c r="H4109" s="1" t="s">
        <v>29</v>
      </c>
      <c r="I4109" s="1" t="str">
        <f ca="1">IFERROR(__xludf.DUMMYFUNCTION("GOOGLETRANSLATE(F4109, ""auto"", ""en"")
"),"It's a great thing ever made! Everyone who are invited into videogames, should acquire this console!")</f>
        <v>It's a great thing ever made! Everyone who are invited into videogames, should acquire this console!</v>
      </c>
    </row>
    <row r="4110" spans="1:9" x14ac:dyDescent="0.3">
      <c r="A4110" s="1" t="s">
        <v>557</v>
      </c>
      <c r="B4110" s="1" t="s">
        <v>558</v>
      </c>
      <c r="C4110" s="1" t="s">
        <v>816</v>
      </c>
      <c r="D4110" s="1" t="s">
        <v>7139</v>
      </c>
      <c r="E4110" s="1" t="s">
        <v>1312</v>
      </c>
      <c r="F4110" s="1" t="s">
        <v>7140</v>
      </c>
      <c r="G4110" s="1" t="s">
        <v>36</v>
      </c>
      <c r="H4110" s="1" t="s">
        <v>29</v>
      </c>
      <c r="I4110" s="1" t="str">
        <f ca="1">IFERROR(__xludf.DUMMYFUNCTION("GOOGLETRANSLATE(F4110, ""auto"", ""en"")
"),"Bought it a week ago. I doubted for a long time which one to buy, I bought Motorlolla and am very pleased. Excellent phone, very convenient, clear menu, good sound. Everything is very convenient and functional. I recommend!")</f>
        <v>Bought it a week ago. I doubted for a long time which one to buy, I bought Motorlolla and am very pleased. Excellent phone, very convenient, clear menu, good sound. Everything is very convenient and functional. I recommend!</v>
      </c>
    </row>
    <row r="4111" spans="1:9" x14ac:dyDescent="0.3">
      <c r="A4111" s="1" t="s">
        <v>67</v>
      </c>
      <c r="B4111" s="1" t="s">
        <v>340</v>
      </c>
      <c r="C4111" s="1" t="s">
        <v>341</v>
      </c>
      <c r="D4111" s="1" t="s">
        <v>280</v>
      </c>
      <c r="E4111" s="1" t="s">
        <v>7141</v>
      </c>
      <c r="F4111" s="1" t="s">
        <v>7142</v>
      </c>
      <c r="G4111" s="1" t="s">
        <v>28</v>
      </c>
      <c r="H4111" s="1" t="s">
        <v>29</v>
      </c>
      <c r="I4111" s="1" t="str">
        <f ca="1">IFERROR(__xludf.DUMMYFUNCTION("GOOGLETRANSLATE(F4111, ""auto"", ""en"")
"),"I bought it for my Mom as a gift. I was surprised by the rather nice build quality.")</f>
        <v>I bought it for my Mom as a gift. I was surprised by the rather nice build quality.</v>
      </c>
    </row>
    <row r="4112" spans="1:9" x14ac:dyDescent="0.3">
      <c r="A4112" s="1" t="s">
        <v>169</v>
      </c>
      <c r="B4112" s="1" t="s">
        <v>170</v>
      </c>
      <c r="C4112" s="1" t="s">
        <v>193</v>
      </c>
      <c r="D4112" s="1" t="s">
        <v>102</v>
      </c>
      <c r="E4112" s="1" t="s">
        <v>7009</v>
      </c>
      <c r="F4112" s="1" t="s">
        <v>7143</v>
      </c>
      <c r="G4112" s="1" t="s">
        <v>36</v>
      </c>
      <c r="H4112" s="1" t="s">
        <v>29</v>
      </c>
      <c r="I4112" s="1" t="str">
        <f ca="1">IFERROR(__xludf.DUMMYFUNCTION("GOOGLETRANSLATE(F4112, ""auto"", ""en"")
"),"Good sound. They fit comfortably and firmly in the ears. Cool design.")</f>
        <v>Good sound. They fit comfortably and firmly in the ears. Cool design.</v>
      </c>
    </row>
    <row r="4113" spans="1:9" x14ac:dyDescent="0.3">
      <c r="A4113" s="1" t="s">
        <v>120</v>
      </c>
      <c r="B4113" s="1" t="s">
        <v>196</v>
      </c>
      <c r="C4113" s="1" t="s">
        <v>80</v>
      </c>
      <c r="D4113" s="1" t="s">
        <v>305</v>
      </c>
      <c r="E4113" s="1" t="s">
        <v>1765</v>
      </c>
      <c r="F4113" s="1" t="s">
        <v>7144</v>
      </c>
      <c r="G4113" s="1" t="s">
        <v>28</v>
      </c>
      <c r="H4113" s="1" t="s">
        <v>29</v>
      </c>
      <c r="I4113" s="1" t="str">
        <f ca="1">IFERROR(__xludf.DUMMYFUNCTION("GOOGLETRANSLATE(F4113, ""auto"", ""en"")
"),"I recently bought this TV and am pleased with it. In terms of price/quality ratio, it is a very worthy option. +USB Activated USB using the serial port of the TV, info is on ixbt")</f>
        <v>I recently bought this TV and am pleased with it. In terms of price/quality ratio, it is a very worthy option. +USB Activated USB using the serial port of the TV, info is on ixbt</v>
      </c>
    </row>
    <row r="4114" spans="1:9" x14ac:dyDescent="0.3">
      <c r="A4114" s="1" t="s">
        <v>30</v>
      </c>
      <c r="B4114" s="1" t="s">
        <v>50</v>
      </c>
      <c r="C4114" s="1" t="s">
        <v>51</v>
      </c>
      <c r="D4114" s="1" t="s">
        <v>102</v>
      </c>
      <c r="E4114" s="1" t="s">
        <v>391</v>
      </c>
      <c r="F4114" s="1" t="s">
        <v>7145</v>
      </c>
      <c r="G4114" s="1" t="s">
        <v>36</v>
      </c>
      <c r="H4114" s="1" t="s">
        <v>29</v>
      </c>
      <c r="I4114" s="1" t="str">
        <f ca="1">IFERROR(__xludf.DUMMYFUNCTION("GOOGLETRANSLATE(F4114, ""auto"", ""en"")
"),"For a long time I was looking for a laptop with a normal ratio of a powerful processor and a powerful video card, and I chose the Packard Bell MT85. It has been working for 2 years and has not caused any complaints; it is one of the most powerful laptops "&amp;"in its price category!!!   Cons: Impractical, easily soiled body; short battery life (about 2 hours); the connector for the power plug is not very convenient (there were cases when the wire got caught on something, flew out and the laptop turned off); inc"&amp;"onvenient location of the left Ctrl and fn buttons... Wonderful device!!")</f>
        <v>For a long time I was looking for a laptop with a normal ratio of a powerful processor and a powerful video card, and I chose the Packard Bell MT85. It has been working for 2 years and has not caused any complaints; it is one of the most powerful laptops in its price category!!!   Cons: Impractical, easily soiled body; short battery life (about 2 hours); the connector for the power plug is not very convenient (there were cases when the wire got caught on something, flew out and the laptop turned off); inconvenient location of the left Ctrl and fn buttons... Wonderful device!!</v>
      </c>
    </row>
    <row r="4115" spans="1:9" x14ac:dyDescent="0.3">
      <c r="A4115" s="1" t="s">
        <v>369</v>
      </c>
      <c r="B4115" s="1" t="s">
        <v>370</v>
      </c>
      <c r="C4115" s="1" t="s">
        <v>63</v>
      </c>
      <c r="D4115" s="1" t="s">
        <v>474</v>
      </c>
      <c r="E4115" s="1" t="s">
        <v>1212</v>
      </c>
      <c r="F4115" s="1" t="s">
        <v>7146</v>
      </c>
      <c r="G4115" s="1" t="s">
        <v>36</v>
      </c>
      <c r="H4115" s="1" t="s">
        <v>29</v>
      </c>
      <c r="I4115" s="1" t="str">
        <f ca="1">IFERROR(__xludf.DUMMYFUNCTION("GOOGLETRANSLATE(F4115, ""auto"", ""en"")
"),"The stove is just lovely. Heats up quickly and retains heat for a long time. And what delicious pies they turned out to be. In a word, not a stove, sweetie.")</f>
        <v>The stove is just lovely. Heats up quickly and retains heat for a long time. And what delicious pies they turned out to be. In a word, not a stove, sweetie.</v>
      </c>
    </row>
    <row r="4116" spans="1:9" x14ac:dyDescent="0.3">
      <c r="A4116" s="1" t="s">
        <v>9</v>
      </c>
      <c r="B4116" s="1" t="s">
        <v>23</v>
      </c>
      <c r="C4116" s="1" t="s">
        <v>151</v>
      </c>
      <c r="D4116" s="1" t="s">
        <v>896</v>
      </c>
      <c r="E4116" s="1" t="s">
        <v>5859</v>
      </c>
      <c r="F4116" s="1" t="s">
        <v>7147</v>
      </c>
      <c r="G4116" s="1" t="s">
        <v>36</v>
      </c>
      <c r="H4116" s="1" t="s">
        <v>29</v>
      </c>
      <c r="I4116" s="1" t="str">
        <f ca="1">IFERROR(__xludf.DUMMYFUNCTION("GOOGLETRANSLATE(F4116, ""auto"", ""en"")
"),"I've been using it for a year. There have been no problems (including with the door) so far, and I hope there won’t be any. Now I'm looking for a car for my parents. Most likely I'll stick with this same model. Checked. I recommend!")</f>
        <v>I've been using it for a year. There have been no problems (including with the door) so far, and I hope there won’t be any. Now I'm looking for a car for my parents. Most likely I'll stick with this same model. Checked. I recommend!</v>
      </c>
    </row>
    <row r="4117" spans="1:9" x14ac:dyDescent="0.3">
      <c r="A4117" s="1" t="s">
        <v>61</v>
      </c>
      <c r="B4117" s="1" t="s">
        <v>224</v>
      </c>
      <c r="C4117" s="1" t="s">
        <v>85</v>
      </c>
      <c r="D4117" s="1" t="s">
        <v>3883</v>
      </c>
      <c r="E4117" s="1" t="s">
        <v>2265</v>
      </c>
      <c r="F4117" s="1" t="s">
        <v>7148</v>
      </c>
      <c r="G4117" s="1" t="s">
        <v>36</v>
      </c>
      <c r="H4117" s="1" t="s">
        <v>29</v>
      </c>
      <c r="I4117" s="1" t="str">
        <f ca="1">IFERROR(__xludf.DUMMYFUNCTION("GOOGLETRANSLATE(F4117, ""auto"", ""en"")
"),"I became the owner of this unit before the new year and have not yet been disappointed. The performance is amazing. In a word, the BORK technique is super! I'm very pleased!")</f>
        <v>I became the owner of this unit before the new year and have not yet been disappointed. The performance is amazing. In a word, the BORK technique is super! I'm very pleased!</v>
      </c>
    </row>
    <row r="4118" spans="1:9" x14ac:dyDescent="0.3">
      <c r="A4118" s="1" t="s">
        <v>61</v>
      </c>
      <c r="B4118" s="1" t="s">
        <v>977</v>
      </c>
      <c r="C4118" s="1" t="s">
        <v>101</v>
      </c>
      <c r="D4118" s="1" t="s">
        <v>12</v>
      </c>
      <c r="E4118" s="1" t="s">
        <v>5011</v>
      </c>
      <c r="F4118" s="1" t="s">
        <v>7149</v>
      </c>
      <c r="G4118" s="1" t="s">
        <v>36</v>
      </c>
      <c r="H4118" s="1" t="s">
        <v>29</v>
      </c>
      <c r="I4118" s="1" t="str">
        <f ca="1">IFERROR(__xludf.DUMMYFUNCTION("GOOGLETRANSLATE(F4118, ""auto"", ""en"")
"),"A good blender at a reasonable price. It has two speeds, which is very convenient.")</f>
        <v>A good blender at a reasonable price. It has two speeds, which is very convenient.</v>
      </c>
    </row>
    <row r="4119" spans="1:9" x14ac:dyDescent="0.3">
      <c r="A4119" s="1" t="s">
        <v>120</v>
      </c>
      <c r="B4119" s="1" t="s">
        <v>256</v>
      </c>
      <c r="C4119" s="1" t="s">
        <v>658</v>
      </c>
      <c r="D4119" s="1" t="s">
        <v>589</v>
      </c>
      <c r="E4119" s="1" t="s">
        <v>4592</v>
      </c>
      <c r="F4119" s="1" t="s">
        <v>7150</v>
      </c>
      <c r="G4119" s="1" t="s">
        <v>36</v>
      </c>
      <c r="H4119" s="1" t="s">
        <v>29</v>
      </c>
      <c r="I4119" s="1" t="str">
        <f ca="1">IFERROR(__xludf.DUMMYFUNCTION("GOOGLETRANSLATE(F4119, ""auto"", ""en"")
"),"Excellent image quality (they replaced the old one - the image quality with the same antenna is many times better). The included power cord was L-shaped, so there were no problems with connection.  The USB input on the side is convenient; you can view med"&amp;"ia files, but don’t watch video from a flash drive (this was a little disappointing). You can make the sound whatever you want (meaning “surround sound”, “personal”, etc.). The remote control is the simplest - you can figure it out without difficulty.")</f>
        <v>Excellent image quality (they replaced the old one - the image quality with the same antenna is many times better). The included power cord was L-shaped, so there were no problems with connection.  The USB input on the side is convenient; you can view media files, but don’t watch video from a flash drive (this was a little disappointing). You can make the sound whatever you want (meaning “surround sound”, “personal”, etc.). The remote control is the simplest - you can figure it out without difficulty.</v>
      </c>
    </row>
    <row r="4120" spans="1:9" x14ac:dyDescent="0.3">
      <c r="A4120" s="1" t="s">
        <v>55</v>
      </c>
      <c r="B4120" s="1" t="s">
        <v>84</v>
      </c>
      <c r="C4120" s="1" t="s">
        <v>85</v>
      </c>
      <c r="D4120" s="1" t="s">
        <v>305</v>
      </c>
      <c r="E4120" s="1" t="s">
        <v>92</v>
      </c>
      <c r="F4120" s="1" t="s">
        <v>7151</v>
      </c>
      <c r="G4120" s="1" t="s">
        <v>28</v>
      </c>
      <c r="H4120" s="1" t="s">
        <v>29</v>
      </c>
      <c r="I4120" s="1" t="str">
        <f ca="1">IFERROR(__xludf.DUMMYFUNCTION("GOOGLETRANSLATE(F4120, ""auto"", ""en"")
"),"Elegant, quiet ")</f>
        <v xml:space="preserve">Elegant, quiet </v>
      </c>
    </row>
    <row r="4121" spans="1:9" x14ac:dyDescent="0.3">
      <c r="A4121" s="1" t="s">
        <v>61</v>
      </c>
      <c r="B4121" s="1" t="s">
        <v>318</v>
      </c>
      <c r="C4121" s="1" t="s">
        <v>101</v>
      </c>
      <c r="D4121" s="1" t="s">
        <v>12</v>
      </c>
      <c r="E4121" s="1" t="s">
        <v>3004</v>
      </c>
      <c r="F4121" s="1" t="s">
        <v>7152</v>
      </c>
      <c r="G4121" s="1" t="s">
        <v>28</v>
      </c>
      <c r="H4121" s="1" t="s">
        <v>29</v>
      </c>
      <c r="I4121" s="1" t="str">
        <f ca="1">IFERROR(__xludf.DUMMYFUNCTION("GOOGLETRANSLATE(F4121, ""auto"", ""en"")
"),"The smell of plastic is present at first; the kettle should be cleaned immediately with soda or lemon. Apart from this, the model is good. It boils quite quickly. The appearance is very original - there is a super-visual indicator of the water level for h"&amp;"alf a kettle, and stylish lighting.")</f>
        <v>The smell of plastic is present at first; the kettle should be cleaned immediately with soda or lemon. Apart from this, the model is good. It boils quite quickly. The appearance is very original - there is a super-visual indicator of the water level for half a kettle, and stylish lighting.</v>
      </c>
    </row>
    <row r="4122" spans="1:9" x14ac:dyDescent="0.3">
      <c r="A4122" s="1" t="s">
        <v>169</v>
      </c>
      <c r="B4122" s="1" t="s">
        <v>170</v>
      </c>
      <c r="C4122" s="1" t="s">
        <v>122</v>
      </c>
      <c r="D4122" s="1" t="s">
        <v>420</v>
      </c>
      <c r="E4122" s="1" t="s">
        <v>4888</v>
      </c>
      <c r="F4122" s="1" t="s">
        <v>7153</v>
      </c>
      <c r="G4122" s="1" t="s">
        <v>28</v>
      </c>
      <c r="H4122" s="1" t="s">
        <v>29</v>
      </c>
      <c r="I4122" s="1" t="str">
        <f ca="1">IFERROR(__xludf.DUMMYFUNCTION("GOOGLETRANSLATE(F4122, ""auto"", ""en"")
"),"Excellent sound quality, but not quite comfortable in the ears")</f>
        <v>Excellent sound quality, but not quite comfortable in the ears</v>
      </c>
    </row>
    <row r="4123" spans="1:9" x14ac:dyDescent="0.3">
      <c r="A4123" s="1" t="s">
        <v>17</v>
      </c>
      <c r="B4123" s="1" t="s">
        <v>18</v>
      </c>
      <c r="C4123" s="1" t="s">
        <v>159</v>
      </c>
      <c r="D4123" s="1" t="s">
        <v>7154</v>
      </c>
      <c r="E4123" s="1" t="s">
        <v>3166</v>
      </c>
      <c r="F4123" s="1" t="s">
        <v>7155</v>
      </c>
      <c r="G4123" s="1" t="s">
        <v>36</v>
      </c>
      <c r="H4123" s="1" t="s">
        <v>29</v>
      </c>
      <c r="I4123" s="1" t="str">
        <f ca="1">IFERROR(__xludf.DUMMYFUNCTION("GOOGLETRANSLATE(F4123, ""auto"", ""en"")
"),"We bought it from M.VIDEO, after 2 washes the machine began to leak, and very badly, they called a technician, he said that there was a problem with the drum, it’s good that we had an additional guarantee, they brought a new one, the same model, relativel"&amp;"y quickly. Now we have an Electrolux EWTS10620W that has been washing perfectly for 1.5 years, and it has never broken down, it works like a charm, it’s silent, if you put it on the night mode, then in general I haven’t heard anything. As for the first ma"&amp;"chine, most likely there was a defect, almost isolated cases. In general, the Electrolux company is very good and reliable. I advise everyone, it will not let you down in difficult times with laundry.    There is only one minus, sometimes the air conditio"&amp;"ner does not turn on all the way, but this is not a problem.")</f>
        <v>We bought it from M.VIDEO, after 2 washes the machine began to leak, and very badly, they called a technician, he said that there was a problem with the drum, it’s good that we had an additional guarantee, they brought a new one, the same model, relatively quickly. Now we have an Electrolux EWTS10620W that has been washing perfectly for 1.5 years, and it has never broken down, it works like a charm, it’s silent, if you put it on the night mode, then in general I haven’t heard anything. As for the first machine, most likely there was a defect, almost isolated cases. In general, the Electrolux company is very good and reliable. I advise everyone, it will not let you down in difficult times with laundry.    There is only one minus, sometimes the air conditioner does not turn on all the way, but this is not a problem.</v>
      </c>
    </row>
    <row r="4124" spans="1:9" x14ac:dyDescent="0.3">
      <c r="A4124" s="1" t="s">
        <v>811</v>
      </c>
      <c r="B4124" s="1" t="s">
        <v>812</v>
      </c>
      <c r="C4124" s="1" t="s">
        <v>813</v>
      </c>
      <c r="D4124" s="1" t="s">
        <v>280</v>
      </c>
      <c r="E4124" s="1" t="s">
        <v>1895</v>
      </c>
      <c r="F4124" s="1" t="s">
        <v>7156</v>
      </c>
      <c r="G4124" s="1" t="s">
        <v>28</v>
      </c>
      <c r="H4124" s="1" t="s">
        <v>29</v>
      </c>
      <c r="I4124" s="1" t="str">
        <f ca="1">IFERROR(__xludf.DUMMYFUNCTION("GOOGLETRANSLATE(F4124, ""auto"", ""en"")
"),"A normal tripod if handled with care. The only negative is that the ball cannot be fixed the first and second time so that the camera is level. I took it for a video camera to film scenes from the floor. The price is justified. The main thing when purchas"&amp;"ing is to make sure that the rubber feet do not fall out of their seats.")</f>
        <v>A normal tripod if handled with care. The only negative is that the ball cannot be fixed the first and second time so that the camera is level. I took it for a video camera to film scenes from the floor. The price is justified. The main thing when purchasing is to make sure that the rubber feet do not fall out of their seats.</v>
      </c>
    </row>
    <row r="4125" spans="1:9" x14ac:dyDescent="0.3">
      <c r="A4125" s="1" t="s">
        <v>211</v>
      </c>
      <c r="B4125" s="1" t="s">
        <v>410</v>
      </c>
      <c r="C4125" s="1" t="s">
        <v>213</v>
      </c>
      <c r="D4125" s="1" t="s">
        <v>52</v>
      </c>
      <c r="E4125" s="1" t="s">
        <v>1280</v>
      </c>
      <c r="F4125" s="1" t="s">
        <v>7157</v>
      </c>
      <c r="G4125" s="1" t="s">
        <v>28</v>
      </c>
      <c r="H4125" s="1" t="s">
        <v>29</v>
      </c>
      <c r="I4125" s="1" t="str">
        <f ca="1">IFERROR(__xludf.DUMMYFUNCTION("GOOGLETRANSLATE(F4125, ""auto"", ""en"")
"),"How to say the sensations are twofold: comfortable, well made, shaves really well, but not everywhere, as they wrote before me - on the neck the hair growing in parallel does not shave off efficiently, so that I gave it a 4 with a big stretch.")</f>
        <v>How to say the sensations are twofold: comfortable, well made, shaves really well, but not everywhere, as they wrote before me - on the neck the hair growing in parallel does not shave off efficiently, so that I gave it a 4 with a big stretch.</v>
      </c>
    </row>
    <row r="4126" spans="1:9" x14ac:dyDescent="0.3">
      <c r="A4126" s="1" t="s">
        <v>105</v>
      </c>
      <c r="B4126" s="1" t="s">
        <v>106</v>
      </c>
      <c r="C4126" s="1" t="s">
        <v>151</v>
      </c>
      <c r="D4126" s="1" t="s">
        <v>1681</v>
      </c>
      <c r="E4126" s="1" t="s">
        <v>1494</v>
      </c>
      <c r="F4126" s="1" t="s">
        <v>7158</v>
      </c>
      <c r="G4126" s="1" t="s">
        <v>36</v>
      </c>
      <c r="H4126" s="1" t="s">
        <v>29</v>
      </c>
      <c r="I4126" s="1" t="str">
        <f ca="1">IFERROR(__xludf.DUMMYFUNCTION("GOOGLETRANSLATE(F4126, ""auto"", ""en"")
"),"I bought this player today and you know, I didn’t find any cons in it. Everything about it is a solid 5. I recommend it to everyone.")</f>
        <v>I bought this player today and you know, I didn’t find any cons in it. Everything about it is a solid 5. I recommend it to everyone.</v>
      </c>
    </row>
    <row r="4127" spans="1:9" x14ac:dyDescent="0.3">
      <c r="A4127" s="1" t="s">
        <v>61</v>
      </c>
      <c r="B4127" s="1" t="s">
        <v>180</v>
      </c>
      <c r="C4127" s="1" t="s">
        <v>85</v>
      </c>
      <c r="D4127" s="1" t="s">
        <v>295</v>
      </c>
      <c r="E4127" s="1" t="s">
        <v>6891</v>
      </c>
      <c r="F4127" s="1" t="s">
        <v>7159</v>
      </c>
      <c r="G4127" s="1" t="s">
        <v>49</v>
      </c>
      <c r="H4127" s="1" t="s">
        <v>16</v>
      </c>
      <c r="I4127" s="1" t="str">
        <f ca="1">IFERROR(__xludf.DUMMYFUNCTION("GOOGLETRANSLATE(F4127, ""auto"", ""en"")
"),"The price does not correspond to the quality, the electronics immediately went to waste, after a year they were thrown into the trash")</f>
        <v>The price does not correspond to the quality, the electronics immediately went to waste, after a year they were thrown into the trash</v>
      </c>
    </row>
    <row r="4128" spans="1:9" x14ac:dyDescent="0.3">
      <c r="A4128" s="1" t="s">
        <v>211</v>
      </c>
      <c r="B4128" s="1" t="s">
        <v>856</v>
      </c>
      <c r="C4128" s="1" t="s">
        <v>57</v>
      </c>
      <c r="D4128" s="1" t="s">
        <v>4281</v>
      </c>
      <c r="E4128" s="1" t="s">
        <v>7160</v>
      </c>
      <c r="F4128" s="1" t="s">
        <v>7161</v>
      </c>
      <c r="G4128" s="1" t="s">
        <v>28</v>
      </c>
      <c r="H4128" s="1" t="s">
        <v>29</v>
      </c>
      <c r="I4128" s="1" t="str">
        <f ca="1">IFERROR(__xludf.DUMMYFUNCTION("GOOGLETRANSLATE(F4128, ""auto"", ""en"")
"),"The massager is really not bad. It seems to be working poorly, but my lower back has stopped hurting. In my opinion, the remote control is inconvenient and the heating is not very good (although I have not used heated massagers before).")</f>
        <v>The massager is really not bad. It seems to be working poorly, but my lower back has stopped hurting. In my opinion, the remote control is inconvenient and the heating is not very good (although I have not used heated massagers before).</v>
      </c>
    </row>
    <row r="4129" spans="1:9" x14ac:dyDescent="0.3">
      <c r="A4129" s="1" t="s">
        <v>17</v>
      </c>
      <c r="B4129" s="1" t="s">
        <v>18</v>
      </c>
      <c r="C4129" s="1" t="s">
        <v>277</v>
      </c>
      <c r="D4129" s="1" t="s">
        <v>7162</v>
      </c>
      <c r="E4129" s="1" t="s">
        <v>1273</v>
      </c>
      <c r="F4129" s="1" t="s">
        <v>7163</v>
      </c>
      <c r="G4129" s="1" t="s">
        <v>49</v>
      </c>
      <c r="H4129" s="1" t="s">
        <v>16</v>
      </c>
      <c r="I4129" s="1" t="str">
        <f ca="1">IFERROR(__xludf.DUMMYFUNCTION("GOOGLETRANSLATE(F4129, ""auto"", ""en"")
"),"broke after 4 washes. I didn’t buy any additional maintenance, now I’m having a headache and hassle.")</f>
        <v>broke after 4 washes. I didn’t buy any additional maintenance, now I’m having a headache and hassle.</v>
      </c>
    </row>
    <row r="4130" spans="1:9" x14ac:dyDescent="0.3">
      <c r="A4130" s="1" t="s">
        <v>30</v>
      </c>
      <c r="B4130" s="1" t="s">
        <v>50</v>
      </c>
      <c r="C4130" s="1" t="s">
        <v>1003</v>
      </c>
      <c r="D4130" s="1" t="s">
        <v>4546</v>
      </c>
      <c r="E4130" s="1" t="s">
        <v>2401</v>
      </c>
      <c r="F4130" s="1" t="s">
        <v>7164</v>
      </c>
      <c r="G4130" s="1" t="s">
        <v>49</v>
      </c>
      <c r="H4130" s="1" t="s">
        <v>16</v>
      </c>
      <c r="I4130" s="1" t="str">
        <f ca="1">IFERROR(__xludf.DUMMYFUNCTION("GOOGLETRANSLATE(F4130, ""auto"", ""en"")
"),"I don’t know what happened, but the laptop of this series worked for a year after which the north bridge successfully burned out in three service centers admitted that this series (with bubbles on the lid) is often handed over (bridges burn) repairs cost "&amp;"9-10 thousand and in general the series is unsuccessful, in short, think about it, gentlemen, I’m disappointed in HP and won’t buy it again")</f>
        <v>I don’t know what happened, but the laptop of this series worked for a year after which the north bridge successfully burned out in three service centers admitted that this series (with bubbles on the lid) is often handed over (bridges burn) repairs cost 9-10 thousand and in general the series is unsuccessful, in short, think about it, gentlemen, I’m disappointed in HP and won’t buy it again</v>
      </c>
    </row>
    <row r="4131" spans="1:9" x14ac:dyDescent="0.3">
      <c r="A4131" s="1" t="s">
        <v>211</v>
      </c>
      <c r="B4131" s="1" t="s">
        <v>212</v>
      </c>
      <c r="C4131" s="1" t="s">
        <v>294</v>
      </c>
      <c r="D4131" s="1" t="s">
        <v>7165</v>
      </c>
      <c r="E4131" s="1" t="s">
        <v>1929</v>
      </c>
      <c r="F4131" s="1" t="s">
        <v>7166</v>
      </c>
      <c r="G4131" s="1" t="s">
        <v>36</v>
      </c>
      <c r="H4131" s="1" t="s">
        <v>29</v>
      </c>
      <c r="I4131" s="1" t="str">
        <f ca="1">IFERROR(__xludf.DUMMYFUNCTION("GOOGLETRANSLATE(F4131, ""auto"", ""en"")
"),"I’ve been using it every day for 2 years, it hasn’t broken (ugh ugh). It heats up in seconds, it’s great, because I wash my hair every day in the morning before work and I need to quickly style my hair, a minimum of time, it straightens super!!! I heat it"&amp;" at medium temperature, because my hair burns at a higher temperature, and that’s enough. I RECOMMEND!!!")</f>
        <v>I’ve been using it every day for 2 years, it hasn’t broken (ugh ugh). It heats up in seconds, it’s great, because I wash my hair every day in the morning before work and I need to quickly style my hair, a minimum of time, it straightens super!!! I heat it at medium temperature, because my hair burns at a higher temperature, and that’s enough. I RECOMMEND!!!</v>
      </c>
    </row>
    <row r="4132" spans="1:9" x14ac:dyDescent="0.3">
      <c r="A4132" s="1" t="s">
        <v>211</v>
      </c>
      <c r="B4132" s="1" t="s">
        <v>856</v>
      </c>
      <c r="C4132" s="1" t="s">
        <v>57</v>
      </c>
      <c r="D4132" s="1" t="s">
        <v>64</v>
      </c>
      <c r="E4132" s="1" t="s">
        <v>5687</v>
      </c>
      <c r="F4132" s="1" t="s">
        <v>7167</v>
      </c>
      <c r="G4132" s="1" t="s">
        <v>36</v>
      </c>
      <c r="H4132" s="1" t="s">
        <v>29</v>
      </c>
      <c r="I4132" s="1" t="str">
        <f ca="1">IFERROR(__xludf.DUMMYFUNCTION("GOOGLETRANSLATE(F4132, ""auto"", ""en"")
"),"I bought a set 4 months ago. I'm satisfied with the quality. Works great. The only drawback is the polishing attachment (does not cope well with the polishing function). Otherwise, everything handles perfectly and holds a charge for a long time. I advise")</f>
        <v>I bought a set 4 months ago. I'm satisfied with the quality. Works great. The only drawback is the polishing attachment (does not cope well with the polishing function). Otherwise, everything handles perfectly and holds a charge for a long time. I advise</v>
      </c>
    </row>
    <row r="4133" spans="1:9" x14ac:dyDescent="0.3">
      <c r="A4133" s="1" t="s">
        <v>43</v>
      </c>
      <c r="B4133" s="1" t="s">
        <v>502</v>
      </c>
      <c r="C4133" s="1" t="s">
        <v>151</v>
      </c>
      <c r="D4133" s="1" t="s">
        <v>968</v>
      </c>
      <c r="E4133" s="1" t="s">
        <v>7168</v>
      </c>
      <c r="F4133" s="1" t="s">
        <v>7169</v>
      </c>
      <c r="G4133" s="1" t="s">
        <v>36</v>
      </c>
      <c r="H4133" s="1" t="s">
        <v>29</v>
      </c>
      <c r="I4133" s="1" t="str">
        <f ca="1">IFERROR(__xludf.DUMMYFUNCTION("GOOGLETRANSLATE(F4133, ""auto"", ""en"")
"),"We bought it at M.Video on Sadovoy and have never regretted it. It works quietly even at maximum mode. Within 10 minutes it becomes very cold in a room of 22 square meters). I recommend!")</f>
        <v>We bought it at M.Video on Sadovoy and have never regretted it. It works quietly even at maximum mode. Within 10 minutes it becomes very cold in a room of 22 square meters). I recommend!</v>
      </c>
    </row>
    <row r="4134" spans="1:9" x14ac:dyDescent="0.3">
      <c r="A4134" s="1" t="s">
        <v>105</v>
      </c>
      <c r="B4134" s="1" t="s">
        <v>106</v>
      </c>
      <c r="C4134" s="1" t="s">
        <v>107</v>
      </c>
      <c r="D4134" s="1" t="s">
        <v>139</v>
      </c>
      <c r="E4134" s="1" t="s">
        <v>1275</v>
      </c>
      <c r="F4134" s="1" t="s">
        <v>7170</v>
      </c>
      <c r="G4134" s="1" t="s">
        <v>36</v>
      </c>
      <c r="H4134" s="1" t="s">
        <v>29</v>
      </c>
      <c r="I4134" s="1" t="str">
        <f ca="1">IFERROR(__xludf.DUMMYFUNCTION("GOOGLETRANSLATE(F4134, ""auto"", ""en"")
"),"I purchased this device in MVideo December. For such a price it’s absolutely excellent. Plays audio and video without problems. The only thing is that the AVI converter comes on the disk, but we download “teXet AVI Converter” and convert through it with m"&amp;"aximum quality settings and the problem of sound lag is solved. Of course, not without its flaws, but for that kind of money you can’t even buy a normal flash drive. and then there’s the slot. I got 8+4. In general, if you look into it, then the thing is "&amp;"excellent for such a price!")</f>
        <v>I purchased this device in MVideo December. For such a price it’s absolutely excellent. Plays audio and video without problems. The only thing is that the AVI converter comes on the disk, but we download “teXet AVI Converter” and convert through it with maximum quality settings and the problem of sound lag is solved. Of course, not without its flaws, but for that kind of money you can’t even buy a normal flash drive. and then there’s the slot. I got 8+4. In general, if you look into it, then the thing is excellent for such a price!</v>
      </c>
    </row>
    <row r="4135" spans="1:9" x14ac:dyDescent="0.3">
      <c r="A4135" s="1" t="s">
        <v>55</v>
      </c>
      <c r="B4135" s="1" t="s">
        <v>6412</v>
      </c>
      <c r="C4135" s="1" t="s">
        <v>57</v>
      </c>
      <c r="D4135" s="1" t="s">
        <v>308</v>
      </c>
      <c r="E4135" s="1" t="s">
        <v>1786</v>
      </c>
      <c r="F4135" s="1" t="s">
        <v>7171</v>
      </c>
      <c r="G4135" s="1" t="s">
        <v>36</v>
      </c>
      <c r="H4135" s="1" t="s">
        <v>29</v>
      </c>
      <c r="I4135" s="1" t="str">
        <f ca="1">IFERROR(__xludf.DUMMYFUNCTION("GOOGLETRANSLATE(F4135, ""auto"", ""en"")
"),"It works perfectly (for a month now), quickly heats the room, and quickly heats the second one too, very satisfied))))")</f>
        <v>It works perfectly (for a month now), quickly heats the room, and quickly heats the second one too, very satisfied))))</v>
      </c>
    </row>
    <row r="4136" spans="1:9" x14ac:dyDescent="0.3">
      <c r="A4136" s="1" t="s">
        <v>624</v>
      </c>
      <c r="B4136" s="1" t="s">
        <v>625</v>
      </c>
      <c r="C4136" s="1" t="s">
        <v>479</v>
      </c>
      <c r="D4136" s="1" t="s">
        <v>488</v>
      </c>
      <c r="E4136" s="1" t="s">
        <v>2634</v>
      </c>
      <c r="F4136" s="1" t="s">
        <v>7172</v>
      </c>
      <c r="G4136" s="1" t="s">
        <v>28</v>
      </c>
      <c r="H4136" s="1" t="s">
        <v>29</v>
      </c>
      <c r="I4136" s="1" t="str">
        <f ca="1">IFERROR(__xludf.DUMMYFUNCTION("GOOGLETRANSLATE(F4136, ""auto"", ""en"")
"),"I want to share my impressions about this game. Overall, this is a very decent game, although there are some shortcomings. It seems to me that the developers rushed to release this game, because the shortcomings are visible, although not at first glance. "&amp;"Take volleyball for example. This is the game I played 80% of the time I spent in this game. I completed all three cups. To be honest, it was a little difficult, especially the last 2 games when I lost 20 times before winning. So, I think that it was nece"&amp;"ssary to make sure that the boundaries of the ball were visible, otherwise sometimes it was not clear whether the ball hit or not. True, “jams”, blocks and so-called digs (this is when you save the ball in a fall if the pass was not very convenient) were "&amp;"implemented very well. I also didn’t really like the “candles”: they are only effective when the enemy puts a double block. I didn’t like the fact that your opponents serve very effectively, each in their own way, but you serve for everyone in a banal and"&amp;" identical manner. It was disappointing that online play was not implemented, although instead it offers play with a friend. I think the game would be better if there were alternative companies producing these types of games. I wasn’t pleased with table t"&amp;"ennis, because I myself am involved in this type of sport professionally, but I think that the game is created for amateurs to make it interesting. Overall, I think the other sports aren't as exciting as volleyball, although it's also worth noting the exc"&amp;"ellent controls in archery and the lack of blood in gladiatorial combat. My opinion is that this game is worth buying for everyone who has a movie, firstly: because this game is very interesting, and secondly: 6 games for a price of 1500 rubles are very c"&amp;"heap, especially when compared with other games, for example with Battlefield 3, which costs about 2500 thousand. Thank you for your attention, I hope that those who are thinking about buying this game will find it useful to read my opinion.  P.S. I gave "&amp;"it a 4, but in reality the game is a 4 plus or a 5 minus, as you like. If the maximum score was 10, then this game would be worth 9 points. Please forgive me if you find any spelling errors.")</f>
        <v>I want to share my impressions about this game. Overall, this is a very decent game, although there are some shortcomings. It seems to me that the developers rushed to release this game, because the shortcomings are visible, although not at first glance. Take volleyball for example. This is the game I played 80% of the time I spent in this game. I completed all three cups. To be honest, it was a little difficult, especially the last 2 games when I lost 20 times before winning. So, I think that it was necessary to make sure that the boundaries of the ball were visible, otherwise sometimes it was not clear whether the ball hit or not. True, “jams”, blocks and so-called digs (this is when you save the ball in a fall if the pass was not very convenient) were implemented very well. I also didn’t really like the “candles”: they are only effective when the enemy puts a double block. I didn’t like the fact that your opponents serve very effectively, each in their own way, but you serve for everyone in a banal and identical manner. It was disappointing that online play was not implemented, although instead it offers play with a friend. I think the game would be better if there were alternative companies producing these types of games. I wasn’t pleased with table tennis, because I myself am involved in this type of sport professionally, but I think that the game is created for amateurs to make it interesting. Overall, I think the other sports aren't as exciting as volleyball, although it's also worth noting the excellent controls in archery and the lack of blood in gladiatorial combat. My opinion is that this game is worth buying for everyone who has a movie, firstly: because this game is very interesting, and secondly: 6 games for a price of 1500 rubles are very cheap, especially when compared with other games, for example with Battlefield 3, which costs about 2500 thousand. Thank you for your attention, I hope that those who are thinking about buying this game will find it useful to read my opinion.  P.S. I gave it a 4, but in reality the game is a 4 plus or a 5 minus, as you like. If the maximum score was 10, then this game would be worth 9 points. Please forgive me if you find any spelling errors.</v>
      </c>
    </row>
    <row r="4137" spans="1:9" x14ac:dyDescent="0.3">
      <c r="A4137" s="1" t="s">
        <v>105</v>
      </c>
      <c r="B4137" s="1" t="s">
        <v>106</v>
      </c>
      <c r="C4137" s="1" t="s">
        <v>1209</v>
      </c>
      <c r="D4137" s="1" t="s">
        <v>1600</v>
      </c>
      <c r="E4137" s="1" t="s">
        <v>832</v>
      </c>
      <c r="F4137" s="1" t="s">
        <v>7173</v>
      </c>
      <c r="G4137" s="1" t="s">
        <v>36</v>
      </c>
      <c r="H4137" s="1" t="s">
        <v>29</v>
      </c>
      <c r="I4137" s="1" t="str">
        <f ca="1">IFERROR(__xludf.DUMMYFUNCTION("GOOGLETRANSLATE(F4137, ""auto"", ""en"")
"),"Quite a good player. The TV can be heard even in such a hole as ours. I have been using the product for 1 month. The matter was stuck. but Nothing. then I continued to work. Reading books is very convenient, although in the dark without backlit keys it wa"&amp;"s a little difficult at first, but then I got used to it and there is such a function as auto-scrolling pages. The video is very good quality, I've already watched 10 movies on it. The USB cable that was included did not work, fortunately it came from Nok"&amp;"ia. Very simple file upload. large amount of memory. Generally a noteworthy player. Rating 5")</f>
        <v>Quite a good player. The TV can be heard even in such a hole as ours. I have been using the product for 1 month. The matter was stuck. but Nothing. then I continued to work. Reading books is very convenient, although in the dark without backlit keys it was a little difficult at first, but then I got used to it and there is such a function as auto-scrolling pages. The video is very good quality, I've already watched 10 movies on it. The USB cable that was included did not work, fortunately it came from Nokia. Very simple file upload. large amount of memory. Generally a noteworthy player. Rating 5</v>
      </c>
    </row>
    <row r="4138" spans="1:9" x14ac:dyDescent="0.3">
      <c r="A4138" s="1" t="s">
        <v>37</v>
      </c>
      <c r="B4138" s="1" t="s">
        <v>536</v>
      </c>
      <c r="C4138" s="1" t="s">
        <v>1419</v>
      </c>
      <c r="D4138" s="1" t="s">
        <v>453</v>
      </c>
      <c r="E4138" s="1" t="s">
        <v>2571</v>
      </c>
      <c r="F4138" s="1" t="s">
        <v>7174</v>
      </c>
      <c r="G4138" s="1" t="s">
        <v>36</v>
      </c>
      <c r="H4138" s="1" t="s">
        <v>29</v>
      </c>
      <c r="I4138" s="1" t="str">
        <f ca="1">IFERROR(__xludf.DUMMYFUNCTION("GOOGLETRANSLATE(F4138, ""auto"", ""en"")
"),"Very good PDA! I've been using it for a week and it hasn't let me down! Sensor good design excellent. The functions are amazing! I'm going to upgrade to Windows 6.5")</f>
        <v>Very good PDA! I've been using it for a week and it hasn't let me down! Sensor good design excellent. The functions are amazing! I'm going to upgrade to Windows 6.5</v>
      </c>
    </row>
    <row r="4139" spans="1:9" x14ac:dyDescent="0.3">
      <c r="A4139" s="1" t="s">
        <v>61</v>
      </c>
      <c r="B4139" s="1" t="s">
        <v>318</v>
      </c>
      <c r="C4139" s="1" t="s">
        <v>246</v>
      </c>
      <c r="D4139" s="1" t="s">
        <v>940</v>
      </c>
      <c r="E4139" s="1" t="s">
        <v>3918</v>
      </c>
      <c r="F4139" s="1" t="s">
        <v>7175</v>
      </c>
      <c r="G4139" s="1" t="s">
        <v>15</v>
      </c>
      <c r="H4139" s="1" t="s">
        <v>16</v>
      </c>
      <c r="I4139" s="1" t="str">
        <f ca="1">IFERROR(__xludf.DUMMYFUNCTION("GOOGLETRANSLATE(F4139, ""auto"", ""en"")
"),"After 2 months Sometimes it stops turning off automatically and boils until you turn it off manually. After 5 months it drips, floods the table, flows onto the floor. But it’s not cheap and the brand is well-known. I don't recommend it.")</f>
        <v>After 2 months Sometimes it stops turning off automatically and boils until you turn it off manually. After 5 months it drips, floods the table, flows onto the floor. But it’s not cheap and the brand is well-known. I don't recommend it.</v>
      </c>
    </row>
    <row r="4140" spans="1:9" x14ac:dyDescent="0.3">
      <c r="A4140" s="1" t="s">
        <v>61</v>
      </c>
      <c r="B4140" s="1" t="s">
        <v>318</v>
      </c>
      <c r="C4140" s="1" t="s">
        <v>63</v>
      </c>
      <c r="D4140" s="1" t="s">
        <v>75</v>
      </c>
      <c r="E4140" s="1" t="s">
        <v>2323</v>
      </c>
      <c r="F4140" s="1" t="s">
        <v>7176</v>
      </c>
      <c r="G4140" s="1" t="s">
        <v>15</v>
      </c>
      <c r="H4140" s="1" t="s">
        <v>16</v>
      </c>
      <c r="I4140" s="1" t="str">
        <f ca="1">IFERROR(__xludf.DUMMYFUNCTION("GOOGLETRANSLATE(F4140, ""auto"", ""en"")
"),"I don’t agree with Natalya’s review, the handle is quite ergonomic, but there are a few “buts”. After six months, the kettle began to leak at the bottom of the base under the water scale, plus limescale appeared around the entire perimeter of the scale af"&amp;"ter about 4 months. After reading a lot of reviews, I realized that this is the weakest point of all teapots. And the fact that it is noisy is understandable - 2400W!!")</f>
        <v>I don’t agree with Natalya’s review, the handle is quite ergonomic, but there are a few “buts”. After six months, the kettle began to leak at the bottom of the base under the water scale, plus limescale appeared around the entire perimeter of the scale after about 4 months. After reading a lot of reviews, I realized that this is the weakest point of all teapots. And the fact that it is noisy is understandable - 2400W!!</v>
      </c>
    </row>
    <row r="4141" spans="1:9" x14ac:dyDescent="0.3">
      <c r="A4141" s="1" t="s">
        <v>17</v>
      </c>
      <c r="B4141" s="1" t="s">
        <v>18</v>
      </c>
      <c r="C4141" s="1" t="s">
        <v>19</v>
      </c>
      <c r="D4141" s="1" t="s">
        <v>152</v>
      </c>
      <c r="E4141" s="1" t="s">
        <v>7177</v>
      </c>
      <c r="F4141" s="1" t="s">
        <v>7178</v>
      </c>
      <c r="G4141" s="1" t="s">
        <v>49</v>
      </c>
      <c r="H4141" s="1" t="s">
        <v>16</v>
      </c>
      <c r="I4141" s="1" t="str">
        <f ca="1">IFERROR(__xludf.DUMMYFUNCTION("GOOGLETRANSLATE(F4141, ""auto"", ""en"")
"),"At first I was pleased with the Ariston machine, but after 5 years the bearings fell off, the drum is not dismountable, replacing the drum cost 10 thousand rubles (despite the fact that such a new machine cost 16 thousand rubles). Now, 1.5 years later, th"&amp;"e breakdown has occurred again, and the drum is being thrown out again. We won’t repair it, there’s no point.  Because of the non-dismountable drum, I give one star and will not buy a machine from this company again.")</f>
        <v>At first I was pleased with the Ariston machine, but after 5 years the bearings fell off, the drum is not dismountable, replacing the drum cost 10 thousand rubles (despite the fact that such a new machine cost 16 thousand rubles). Now, 1.5 years later, the breakdown has occurred again, and the drum is being thrown out again. We won’t repair it, there’s no point.  Because of the non-dismountable drum, I give one star and will not buy a machine from this company again.</v>
      </c>
    </row>
    <row r="4142" spans="1:9" x14ac:dyDescent="0.3">
      <c r="A4142" s="1" t="s">
        <v>30</v>
      </c>
      <c r="B4142" s="1" t="s">
        <v>50</v>
      </c>
      <c r="C4142" s="1" t="s">
        <v>694</v>
      </c>
      <c r="D4142" s="1" t="s">
        <v>127</v>
      </c>
      <c r="E4142" s="1" t="s">
        <v>597</v>
      </c>
      <c r="F4142" s="1" t="s">
        <v>7179</v>
      </c>
      <c r="G4142" s="1" t="s">
        <v>28</v>
      </c>
      <c r="H4142" s="1" t="s">
        <v>29</v>
      </c>
      <c r="I4142" s="1" t="str">
        <f ca="1">IFERROR(__xludf.DUMMYFUNCTION("GOOGLETRANSLATE(F4142, ""auto"", ""en"")
"),"At http://consumersupport.lenovo.com/en/configuration/configuration.html if you enter the serial number of the laptop is available Model configuration Parts information Intel T3000 1.80G 1M R-0 PGA CPU AD-AM Optiarc LS15+H03VV-F+LP-34 card Sony Ayers 11.1"&amp;"V 3S2P 4400mAhN Bbattery Hard Drive ( 160G ) [1] Liteon PA-1650-52LC NB adapter(EPS2.0) Memory (1G) x1202M Memory (1S) x102M Memory 101KEY ORG KBD WinDVD Disk V1.1(t) CPL G550 15BB W/Q-GL T Cbt BCM4312 M 802.11G MOW NB WLAN")</f>
        <v>At http://consumersupport.lenovo.com/en/configuration/configuration.html if you enter the serial number of the laptop is available Model configuration Parts information Intel T3000 1.80G 1M R-0 PGA CPU AD-AM Optiarc LS15+H03VV-F+LP-34 card Sony Ayers 11.1V 3S2P 4400mAhN Bbattery Hard Drive ( 160G ) [1] Liteon PA-1650-52LC NB adapter(EPS2.0) Memory (1G) x1202M Memory (1S) x102M Memory 101KEY ORG KBD WinDVD Disk V1.1(t) CPL G550 15BB W/Q-GL T Cbt BCM4312 M 802.11G MOW NB WLAN</v>
      </c>
    </row>
    <row r="4143" spans="1:9" x14ac:dyDescent="0.3">
      <c r="A4143" s="1" t="s">
        <v>211</v>
      </c>
      <c r="B4143" s="1" t="s">
        <v>212</v>
      </c>
      <c r="C4143" s="1" t="s">
        <v>101</v>
      </c>
      <c r="D4143" s="1" t="s">
        <v>474</v>
      </c>
      <c r="E4143" s="1" t="s">
        <v>3444</v>
      </c>
      <c r="F4143" s="1" t="s">
        <v>7180</v>
      </c>
      <c r="G4143" s="1" t="s">
        <v>36</v>
      </c>
      <c r="H4143" s="1" t="s">
        <v>29</v>
      </c>
      <c r="I4143" s="1" t="str">
        <f ca="1">IFERROR(__xludf.DUMMYFUNCTION("GOOGLETRANSLATE(F4143, ""auto"", ""en"")
"),"My previous straightener recently broke down, or rather almost burned out. I had to buy this one, I saw it in the store - I really liked the shape and its characteristics are not bad. I arrived home, after washing and drying my hair, I began to straighten"&amp;" my hair. I have very curly, thin, unruly hair, and this is a problem for me. I really like straight hair. At a temperature of 140, it straightens like my last iron at 200. I used it very quickly, it fits easily in my hand, I’m already used to the button."&amp;" I straighten my unruly hair in about 20 minutes (with that straightener I straightened it in at least 50 minutes. In general, I really like it!")</f>
        <v>My previous straightener recently broke down, or rather almost burned out. I had to buy this one, I saw it in the store - I really liked the shape and its characteristics are not bad. I arrived home, after washing and drying my hair, I began to straighten my hair. I have very curly, thin, unruly hair, and this is a problem for me. I really like straight hair. At a temperature of 140, it straightens like my last iron at 200. I used it very quickly, it fits easily in my hand, I’m already used to the button. I straighten my unruly hair in about 20 minutes (with that straightener I straightened it in at least 50 minutes. In general, I really like it!</v>
      </c>
    </row>
    <row r="4144" spans="1:9" x14ac:dyDescent="0.3">
      <c r="A4144" s="1" t="s">
        <v>9</v>
      </c>
      <c r="B4144" s="1" t="s">
        <v>133</v>
      </c>
      <c r="C4144" s="1" t="s">
        <v>290</v>
      </c>
      <c r="D4144" s="1" t="s">
        <v>7181</v>
      </c>
      <c r="E4144" s="1" t="s">
        <v>5790</v>
      </c>
      <c r="F4144" s="1" t="s">
        <v>7182</v>
      </c>
      <c r="G4144" s="1" t="s">
        <v>36</v>
      </c>
      <c r="H4144" s="1" t="s">
        <v>29</v>
      </c>
      <c r="I4144" s="1" t="str">
        <f ca="1">IFERROR(__xludf.DUMMYFUNCTION("GOOGLETRANSLATE(F4144, ""auto"", ""en"")
"),"Excellent oven, we are very pleased with the choice!!! This Gorenje model has many functions, although we have never used half of them) The recessed switches are easy to use and it is easier to clean the panel. Does not get dirty, there are no fingerprint"&amp;"s left on the black background. I also really like the telescopic guides, I appreciate the new product)) Take it, you won’t regret it!!!")</f>
        <v>Excellent oven, we are very pleased with the choice!!! This Gorenje model has many functions, although we have never used half of them) The recessed switches are easy to use and it is easier to clean the panel. Does not get dirty, there are no fingerprints left on the black background. I also really like the telescopic guides, I appreciate the new product)) Take it, you won’t regret it!!!</v>
      </c>
    </row>
    <row r="4145" spans="1:9" x14ac:dyDescent="0.3">
      <c r="A4145" s="1" t="s">
        <v>120</v>
      </c>
      <c r="B4145" s="1" t="s">
        <v>196</v>
      </c>
      <c r="C4145" s="1" t="s">
        <v>97</v>
      </c>
      <c r="D4145" s="1" t="s">
        <v>7183</v>
      </c>
      <c r="E4145" s="1" t="s">
        <v>5126</v>
      </c>
      <c r="F4145" s="1" t="s">
        <v>7184</v>
      </c>
      <c r="G4145" s="1" t="s">
        <v>28</v>
      </c>
      <c r="H4145" s="1" t="s">
        <v>29</v>
      </c>
      <c r="I4145" s="1" t="str">
        <f ca="1">IFERROR(__xludf.DUMMYFUNCTION("GOOGLETRANSLATE(F4145, ""auto"", ""en"")
"),"I bought it two days ago in Perm.   The first blow - he refused to read 8 and 32 gig flash drives formatted in NTFS, he simply does not see them. I reformatted the 8 GB flash drive to FAT32 - I saw it right away. The 40S5600 has seen and read flash drives"&amp;" under NTFS, but on this TV the restrictions imposed on the file size by the FAT32 system of 4 gigabytes mean you can’t write large movies. Plus, compared to the 40S5600, it correctly displays the names of Russian files and folders in Russian, the previou"&amp;"s one wrote “krokozyabliki” instead of Russian letters. And this one only draws tags from MP3 files with crocois, and writes file names, despite the fact that the instructions say “only file names in English are supported,” in Russian. Also, purely subjec"&amp;"tively, it is twice as slow as the S5600 in loading full-size (1920 by 1080) JPG files from a flash drive. Not a fundamental drawback, but still.  I refused to play MPEG4 video from a flash drive, even after renaming avi to mpg (I couldn’t see avi files a"&amp;"t all). The instructions say that it can play MPEG1, but I haven’t tried it, all my movies are in MKV or TS (M2TS). Although the reviews say that it can play M2TS, which is strange, the point is not in the file extension, but in the codec with which it is"&amp;" encoded. It turns out that it plays AVC?! I’ll check, I’ll write about the Internet - it’s more of a toy than a useful feature, the message “New widgets are appearing for this TV” especially made me smile, and this despite the fact that in reality there "&amp;"are only 3 of them working (besides those already “hardwired” into the TV) - world time, a calculator and reading news (about nothing, topics about Sony). At least they would launch a weather widget, but there are only advertisements about it &amp;#61514;.  I"&amp;" haven't checked the network yet. I'll check and write.  The reception quality of analogue channels with a weak signal is WORSE than that of the 40S5600, there is more noise and grain, and apparently it has lower sensitivity. Analogue channels with a good"&amp;" signal are shown no worse than the S5600, maybe even better somewhere, but not fundamentally. I can’t check digital channels due to their absence.  Good quality when connecting a computer via the PC input, noticeably better than that of the previous TV v"&amp;"ia a similar input. This made him happy.  But the quality is BAD, I would even say very poor, when connecting a computer via the HDMI input (any of the 4) in a maximum resolution of 1920 by 1080. For watching video, the quality is, of course, just right, "&amp;"but for use as a monitor in text mode, the quality when connected via the PC input is noticeably better. For me, this is the main drawback; I replaced the 40S5600 mainly because it was not able to connect to a computer via HDMI point-to-point at a maximum"&amp;" resolution of 1920 by 1080 without scaling in the Radeon CCC or NVidia control panel. This one can, since it has these settings, but the quality is far from digital. I am very upset by this circumstance (I have something to compare with, I have a 27” mon"&amp;"itor 1920 by 1200 with an HDMI input, so when connecting to any computer the quality is amazing and much better than with D-Sub and even DVI).. But this only applies to the maximum resolution, well, the “point to point” quality is not visible there, and w"&amp;"ith a resolution of 1280 by 1024 without scaling, the quality via HDMI is also wonderful.   I didn’t notice any difference in sound quality compared to the 40S5600, and I don’t have an ear for music. In addition, I use an external optical receiver from a "&amp;"computer for 6 speakers. This question is not so important for me.  In principle, I am satisfied with the PiP and PaP modes, although they only work with one tuner. The TV cannot show two channels at the same time. PaP mode works the same way when connect"&amp;"ing a computer via HDMI (via PC input - only PiP).  Overall rating - 4 with a minus, critical shortcomings: - poor quality when connecting a computer via HDMI in full resolution 1920 by 1080 - does not see flash drives under NTFS - worse quality of recept"&amp;"ion of analog channels with a weak signal (compared to 40S5600)")</f>
        <v>I bought it two days ago in Perm.   The first blow - he refused to read 8 and 32 gig flash drives formatted in NTFS, he simply does not see them. I reformatted the 8 GB flash drive to FAT32 - I saw it right away. The 40S5600 has seen and read flash drives under NTFS, but on this TV the restrictions imposed on the file size by the FAT32 system of 4 gigabytes mean you can’t write large movies. Plus, compared to the 40S5600, it correctly displays the names of Russian files and folders in Russian, the previous one wrote “krokozyabliki” instead of Russian letters. And this one only draws tags from MP3 files with crocois, and writes file names, despite the fact that the instructions say “only file names in English are supported,” in Russian. Also, purely subjectively, it is twice as slow as the S5600 in loading full-size (1920 by 1080) JPG files from a flash drive. Not a fundamental drawback, but still.  I refused to play MPEG4 video from a flash drive, even after renaming avi to mpg (I couldn’t see avi files at all). The instructions say that it can play MPEG1, but I haven’t tried it, all my movies are in MKV or TS (M2TS). Although the reviews say that it can play M2TS, which is strange, the point is not in the file extension, but in the codec with which it is encoded. It turns out that it plays AVC?! I’ll check, I’ll write about the Internet - it’s more of a toy than a useful feature, the message “New widgets are appearing for this TV” especially made me smile, and this despite the fact that in reality there are only 3 of them working (besides those already “hardwired” into the TV) - world time, a calculator and reading news (about nothing, topics about Sony). At least they would launch a weather widget, but there are only advertisements about it &amp;#61514;.  I haven't checked the network yet. I'll check and write.  The reception quality of analogue channels with a weak signal is WORSE than that of the 40S5600, there is more noise and grain, and apparently it has lower sensitivity. Analogue channels with a good signal are shown no worse than the S5600, maybe even better somewhere, but not fundamentally. I can’t check digital channels due to their absence.  Good quality when connecting a computer via the PC input, noticeably better than that of the previous TV via a similar input. This made him happy.  But the quality is BAD, I would even say very poor, when connecting a computer via the HDMI input (any of the 4) in a maximum resolution of 1920 by 1080. For watching video, the quality is, of course, just right, but for use as a monitor in text mode, the quality when connected via the PC input is noticeably better. For me, this is the main drawback; I replaced the 40S5600 mainly because it was not able to connect to a computer via HDMI point-to-point at a maximum resolution of 1920 by 1080 without scaling in the Radeon CCC or NVidia control panel. This one can, since it has these settings, but the quality is far from digital. I am very upset by this circumstance (I have something to compare with, I have a 27” monitor 1920 by 1200 with an HDMI input, so when connecting to any computer the quality is amazing and much better than with D-Sub and even DVI).. But this only applies to the maximum resolution, well, the “point to point” quality is not visible there, and with a resolution of 1280 by 1024 without scaling, the quality via HDMI is also wonderful.   I didn’t notice any difference in sound quality compared to the 40S5600, and I don’t have an ear for music. In addition, I use an external optical receiver from a computer for 6 speakers. This question is not so important for me.  In principle, I am satisfied with the PiP and PaP modes, although they only work with one tuner. The TV cannot show two channels at the same time. PaP mode works the same way when connecting a computer via HDMI (via PC input - only PiP).  Overall rating - 4 with a minus, critical shortcomings: - poor quality when connecting a computer via HDMI in full resolution 1920 by 1080 - does not see flash drives under NTFS - worse quality of reception of analog channels with a weak signal (compared to 40S5600)</v>
      </c>
    </row>
    <row r="4146" spans="1:9" x14ac:dyDescent="0.3">
      <c r="A4146" s="1" t="s">
        <v>211</v>
      </c>
      <c r="B4146" s="1" t="s">
        <v>212</v>
      </c>
      <c r="C4146" s="1" t="s">
        <v>69</v>
      </c>
      <c r="D4146" s="1" t="s">
        <v>545</v>
      </c>
      <c r="E4146" s="1" t="s">
        <v>894</v>
      </c>
      <c r="F4146" s="1" t="s">
        <v>7185</v>
      </c>
      <c r="G4146" s="1" t="s">
        <v>36</v>
      </c>
      <c r="H4146" s="1" t="s">
        <v>29</v>
      </c>
      <c r="I4146" s="1" t="str">
        <f ca="1">IFERROR(__xludf.DUMMYFUNCTION("GOOGLETRANSLATE(F4146, ""auto"", ""en"")
"),"It works quietly, dries well (high power is for professionals, but for ordinary consumers this power is the most suitable).  We'll see how long it lasts. So far I'm happy.")</f>
        <v>It works quietly, dries well (high power is for professionals, but for ordinary consumers this power is the most suitable).  We'll see how long it lasts. So far I'm happy.</v>
      </c>
    </row>
    <row r="4147" spans="1:9" x14ac:dyDescent="0.3">
      <c r="A4147" s="1" t="s">
        <v>811</v>
      </c>
      <c r="B4147" s="1" t="s">
        <v>1599</v>
      </c>
      <c r="C4147" s="1" t="s">
        <v>1600</v>
      </c>
      <c r="D4147" s="1" t="s">
        <v>305</v>
      </c>
      <c r="E4147" s="1" t="s">
        <v>1155</v>
      </c>
      <c r="F4147" s="1" t="s">
        <v>7186</v>
      </c>
      <c r="G4147" s="1" t="s">
        <v>36</v>
      </c>
      <c r="H4147" s="1" t="s">
        <v>29</v>
      </c>
      <c r="I4147" s="1" t="str">
        <f ca="1">IFERROR(__xludf.DUMMYFUNCTION("GOOGLETRANSLATE(F4147, ""auto"", ""en"")
"),"A very strong, strong and rigid bag, the Nikon L340 camera was put away without problems, there are 2 pockets for various small things, the only negative is that the handle is attached to the zippers, but in general it’s not bad. There is a strap for carr"&amp;"ying on the shoulder")</f>
        <v>A very strong, strong and rigid bag, the Nikon L340 camera was put away without problems, there are 2 pockets for various small things, the only negative is that the handle is attached to the zippers, but in general it’s not bad. There is a strap for carrying on the shoulder</v>
      </c>
    </row>
    <row r="4148" spans="1:9" x14ac:dyDescent="0.3">
      <c r="A4148" s="1" t="s">
        <v>120</v>
      </c>
      <c r="B4148" s="1" t="s">
        <v>121</v>
      </c>
      <c r="C4148" s="1" t="s">
        <v>69</v>
      </c>
      <c r="D4148" s="1" t="s">
        <v>305</v>
      </c>
      <c r="E4148" s="1" t="s">
        <v>7187</v>
      </c>
      <c r="F4148" s="1" t="s">
        <v>7188</v>
      </c>
      <c r="G4148" s="1" t="s">
        <v>36</v>
      </c>
      <c r="H4148" s="1" t="s">
        <v>29</v>
      </c>
      <c r="I4148" s="1" t="str">
        <f ca="1">IFERROR(__xludf.DUMMYFUNCTION("GOOGLETRANSLATE(F4148, ""auto"", ""en"")
"),"Everyone, good day! I have been using the TV for more than 2 years. The image is super, you can fully appreciate it from HD channels, or when viewing from USB. At the same time, it reads the hard drive - I have a 250 GB one, I haven’t tried connecting it "&amp;"again, theoretically it can read with a larger capacity. MKV does not read, does not read files heavier than 2 GB, otherwise it is super. I recently connected digital channels (UfaNET provider) - I found more than 400 channels, 94 of them are visible, the"&amp;" rest are blocked, for an additional fee - it shows. + 4 channels in HD quality - the picture is amazing. + On top of that, I caught about 10 radio channels. There is an inconvenience with headphones: the volume is adjusted through the menu, but I practic"&amp;"ally never use them. I couldn’t find the time settings - as Moscow time goes, so it goes :(, you can see the time through the info button, the program guide with a description of a specific film or program is also displayed there. I haven’t used Teletext,"&amp;" but it is there. Ambilight works without any complaints - the eyes in the dark do not get tired pleasantly :) I haven’t tried 3D, maybe it even shows - I really want to know, if anyone has tried - write. I haven’t tried to go online, but they say it work"&amp;"s fine. Excellent model, I recommend it to everyone.")</f>
        <v>Everyone, good day! I have been using the TV for more than 2 years. The image is super, you can fully appreciate it from HD channels, or when viewing from USB. At the same time, it reads the hard drive - I have a 250 GB one, I haven’t tried connecting it again, theoretically it can read with a larger capacity. MKV does not read, does not read files heavier than 2 GB, otherwise it is super. I recently connected digital channels (UfaNET provider) - I found more than 400 channels, 94 of them are visible, the rest are blocked, for an additional fee - it shows. + 4 channels in HD quality - the picture is amazing. + On top of that, I caught about 10 radio channels. There is an inconvenience with headphones: the volume is adjusted through the menu, but I practically never use them. I couldn’t find the time settings - as Moscow time goes, so it goes :(, you can see the time through the info button, the program guide with a description of a specific film or program is also displayed there. I haven’t used Teletext, but it is there. Ambilight works without any complaints - the eyes in the dark do not get tired pleasantly :) I haven’t tried 3D, maybe it even shows - I really want to know, if anyone has tried - write. I haven’t tried to go online, but they say it works fine. Excellent model, I recommend it to everyone.</v>
      </c>
    </row>
    <row r="4149" spans="1:9" x14ac:dyDescent="0.3">
      <c r="A4149" s="1" t="s">
        <v>30</v>
      </c>
      <c r="B4149" s="1" t="s">
        <v>50</v>
      </c>
      <c r="C4149" s="1" t="s">
        <v>32</v>
      </c>
      <c r="D4149" s="1" t="s">
        <v>2068</v>
      </c>
      <c r="E4149" s="1" t="s">
        <v>2120</v>
      </c>
      <c r="F4149" s="1" t="s">
        <v>7189</v>
      </c>
      <c r="G4149" s="1" t="s">
        <v>36</v>
      </c>
      <c r="H4149" s="1" t="s">
        <v>29</v>
      </c>
      <c r="I4149" s="1" t="str">
        <f ca="1">IFERROR(__xludf.DUMMYFUNCTION("GOOGLETRANSLATE(F4149, ""auto"", ""en"")
"),"I recently purchased this laptop... I really liked it, everything works great... Everything is convenient, the Bluetooth and Wi-Fi buttons are touch sensitive and you can’t press them purely by accident, you need to hold them :) And yours is just fine :) "&amp;"The only thing is a little heavy, but it’s worth it :)")</f>
        <v>I recently purchased this laptop... I really liked it, everything works great... Everything is convenient, the Bluetooth and Wi-Fi buttons are touch sensitive and you can’t press them purely by accident, you need to hold them :) And yours is just fine :) The only thing is a little heavy, but it’s worth it :)</v>
      </c>
    </row>
    <row r="4150" spans="1:9" x14ac:dyDescent="0.3">
      <c r="A4150" s="1" t="s">
        <v>211</v>
      </c>
      <c r="B4150" s="1" t="s">
        <v>265</v>
      </c>
      <c r="C4150" s="1" t="s">
        <v>122</v>
      </c>
      <c r="D4150" s="1" t="s">
        <v>474</v>
      </c>
      <c r="E4150" s="1" t="s">
        <v>7190</v>
      </c>
      <c r="F4150" s="1" t="s">
        <v>7191</v>
      </c>
      <c r="G4150" s="1" t="s">
        <v>36</v>
      </c>
      <c r="H4150" s="1" t="s">
        <v>29</v>
      </c>
      <c r="I4150" s="1" t="str">
        <f ca="1">IFERROR(__xludf.DUMMYFUNCTION("GOOGLETRANSLATE(F4150, ""auto"", ""en"")
"),"I bought it for my husband, he likes it and doesn’t pull his hair. He says it's an excellent trimmer. We found no cons.")</f>
        <v>I bought it for my husband, he likes it and doesn’t pull his hair. He says it's an excellent trimmer. We found no cons.</v>
      </c>
    </row>
    <row r="4151" spans="1:9" x14ac:dyDescent="0.3">
      <c r="A4151" s="1" t="s">
        <v>37</v>
      </c>
      <c r="B4151" s="1" t="s">
        <v>355</v>
      </c>
      <c r="C4151" s="1" t="s">
        <v>356</v>
      </c>
      <c r="D4151" s="1" t="s">
        <v>7192</v>
      </c>
      <c r="E4151" s="1" t="s">
        <v>3166</v>
      </c>
      <c r="F4151" s="1" t="s">
        <v>7193</v>
      </c>
      <c r="G4151" s="1" t="s">
        <v>36</v>
      </c>
      <c r="H4151" s="1" t="s">
        <v>29</v>
      </c>
      <c r="I4151" s="1" t="str">
        <f ca="1">IFERROR(__xludf.DUMMYFUNCTION("GOOGLETRANSLATE(F4151, ""auto"", ""en"")
"),"I tried a bunch of phones and eventually formed the ideal phone for myself in my opinion, and then suddenly the iPhone appears, completely and even more embodying my ideas. To our great disappointment, it did not officially appear on sale here, and on the"&amp;" “black” it cost a lot of greenery. Then I found out that a more advanced 3G model had already been released, and how surprised and happy I was to see it for free sale (without stupid contracts and tariffs) on the Mvideo network, and even at such a super "&amp;"price (about 2-3 thousand cheaper than cellular operators or other networks). I spent almost my entire monthly salary, doubted it while I was going home, but when I started using it and studying it (to be surprised), all doubts disappeared. Despite the co"&amp;"nnection to iTunes and support for some of its own ringtone and video resolutions, the inability to transfer music via Bluetooth, etc. There are so many advantages and innovations here that I decided that if I ever change my phone, it will only be to a mo"&amp;"re advanced phone from APPLE.")</f>
        <v>I tried a bunch of phones and eventually formed the ideal phone for myself in my opinion, and then suddenly the iPhone appears, completely and even more embodying my ideas. To our great disappointment, it did not officially appear on sale here, and on the “black” it cost a lot of greenery. Then I found out that a more advanced 3G model had already been released, and how surprised and happy I was to see it for free sale (without stupid contracts and tariffs) on the Mvideo network, and even at such a super price (about 2-3 thousand cheaper than cellular operators or other networks). I spent almost my entire monthly salary, doubted it while I was going home, but when I started using it and studying it (to be surprised), all doubts disappeared. Despite the connection to iTunes and support for some of its own ringtone and video resolutions, the inability to transfer music via Bluetooth, etc. There are so many advantages and innovations here that I decided that if I ever change my phone, it will only be to a more advanced phone from APPLE.</v>
      </c>
    </row>
    <row r="4152" spans="1:9" x14ac:dyDescent="0.3">
      <c r="A4152" s="1" t="s">
        <v>61</v>
      </c>
      <c r="B4152" s="1" t="s">
        <v>977</v>
      </c>
      <c r="C4152" s="1" t="s">
        <v>69</v>
      </c>
      <c r="D4152" s="1" t="s">
        <v>7194</v>
      </c>
      <c r="E4152" s="1" t="s">
        <v>7195</v>
      </c>
      <c r="F4152" s="1" t="s">
        <v>7196</v>
      </c>
      <c r="G4152" s="1" t="s">
        <v>36</v>
      </c>
      <c r="H4152" s="1" t="s">
        <v>29</v>
      </c>
      <c r="I4152" s="1" t="str">
        <f ca="1">IFERROR(__xludf.DUMMYFUNCTION("GOOGLETRANSLATE(F4152, ""auto"", ""en"")
"),"I've been using it for 3 years now and I'm very happy with my purchase. I recommend it to everyone. I bought it more expensive. Now I will buy it as a gift for the birth of a child. It is very compact, everything is at hand, there are no problems in washi"&amp;"ng it, and the noise during operation is not annoying. It prays, beats, with different modes. Thing with a bang!")</f>
        <v>I've been using it for 3 years now and I'm very happy with my purchase. I recommend it to everyone. I bought it more expensive. Now I will buy it as a gift for the birth of a child. It is very compact, everything is at hand, there are no problems in washing it, and the noise during operation is not annoying. It prays, beats, with different modes. Thing with a bang!</v>
      </c>
    </row>
    <row r="4153" spans="1:9" x14ac:dyDescent="0.3">
      <c r="A4153" s="1" t="s">
        <v>61</v>
      </c>
      <c r="B4153" s="1" t="s">
        <v>977</v>
      </c>
      <c r="C4153" s="1" t="s">
        <v>69</v>
      </c>
      <c r="D4153" s="1" t="s">
        <v>247</v>
      </c>
      <c r="E4153" s="1" t="s">
        <v>2486</v>
      </c>
      <c r="F4153" s="1" t="s">
        <v>7197</v>
      </c>
      <c r="G4153" s="1" t="s">
        <v>36</v>
      </c>
      <c r="H4153" s="1" t="s">
        <v>29</v>
      </c>
      <c r="I4153" s="1" t="str">
        <f ca="1">IFERROR(__xludf.DUMMYFUNCTION("GOOGLETRANSLATE(F4153, ""auto"", ""en"")
"),"I've been using this thing several times a day for over a year now. A very convenient blender and has never caused any complaints. Takes up little space and is always at hand thanks to the hanging storage system. Simple and pleasant to use. I recommend it"&amp;".")</f>
        <v>I've been using this thing several times a day for over a year now. A very convenient blender and has never caused any complaints. Takes up little space and is always at hand thanks to the hanging storage system. Simple and pleasant to use. I recommend it.</v>
      </c>
    </row>
    <row r="4154" spans="1:9" x14ac:dyDescent="0.3">
      <c r="A4154" s="1" t="s">
        <v>9</v>
      </c>
      <c r="B4154" s="1" t="s">
        <v>133</v>
      </c>
      <c r="C4154" s="1" t="s">
        <v>885</v>
      </c>
      <c r="D4154" s="1" t="s">
        <v>7198</v>
      </c>
      <c r="E4154" s="1" t="s">
        <v>5222</v>
      </c>
      <c r="F4154" s="1" t="s">
        <v>7199</v>
      </c>
      <c r="G4154" s="1" t="s">
        <v>28</v>
      </c>
      <c r="H4154" s="1" t="s">
        <v>29</v>
      </c>
      <c r="I4154" s="1" t="str">
        <f ca="1">IFERROR(__xludf.DUMMYFUNCTION("GOOGLETRANSLATE(F4154, ""auto"", ""en"")
"),"I bought it 1 year ago, I don’t use it often, so I don’t have any major complaints. The only thing is that the door gets very hot, and the first 3 times it smelled very burnt (it turned out that it was necessary, the heating elements were scorched..), so,"&amp;" in my opinion, it’s a good oven for the money.")</f>
        <v>I bought it 1 year ago, I don’t use it often, so I don’t have any major complaints. The only thing is that the door gets very hot, and the first 3 times it smelled very burnt (it turned out that it was necessary, the heating elements were scorched..), so, in my opinion, it’s a good oven for the money.</v>
      </c>
    </row>
    <row r="4155" spans="1:9" x14ac:dyDescent="0.3">
      <c r="A4155" s="1" t="s">
        <v>89</v>
      </c>
      <c r="B4155" s="1" t="s">
        <v>1106</v>
      </c>
      <c r="C4155" s="1" t="s">
        <v>63</v>
      </c>
      <c r="D4155" s="1" t="s">
        <v>896</v>
      </c>
      <c r="E4155" s="1" t="s">
        <v>3123</v>
      </c>
      <c r="F4155" s="1" t="s">
        <v>7200</v>
      </c>
      <c r="G4155" s="1" t="s">
        <v>36</v>
      </c>
      <c r="H4155" s="1" t="s">
        <v>29</v>
      </c>
      <c r="I4155" s="1" t="str">
        <f ca="1">IFERROR(__xludf.DUMMYFUNCTION("GOOGLETRANSLATE(F4155, ""auto"", ""en"")
"),"An excellent coffee maker, simple, no bells and whistles, but it does its job perfectly! We've been using it for about a year now, I like it, the volume is large.  The only thing is that when ordering it was indicated that the kit included a metal filter,"&amp;" but it wasn’t there, and we didn’t check it right away. But in general it’s not scary, still five points!")</f>
        <v>An excellent coffee maker, simple, no bells and whistles, but it does its job perfectly! We've been using it for about a year now, I like it, the volume is large.  The only thing is that when ordering it was indicated that the kit included a metal filter, but it wasn’t there, and we didn’t check it right away. But in general it’s not scary, still five points!</v>
      </c>
    </row>
    <row r="4156" spans="1:9" x14ac:dyDescent="0.3">
      <c r="A4156" s="1" t="s">
        <v>30</v>
      </c>
      <c r="B4156" s="1" t="s">
        <v>50</v>
      </c>
      <c r="C4156" s="1" t="s">
        <v>1386</v>
      </c>
      <c r="D4156" s="1" t="s">
        <v>39</v>
      </c>
      <c r="E4156" s="1" t="s">
        <v>1649</v>
      </c>
      <c r="F4156" s="1" t="s">
        <v>7201</v>
      </c>
      <c r="G4156" s="1" t="s">
        <v>28</v>
      </c>
      <c r="H4156" s="1" t="s">
        <v>29</v>
      </c>
      <c r="I4156" s="1" t="str">
        <f ca="1">IFERROR(__xludf.DUMMYFUNCTION("GOOGLETRANSLATE(F4156, ""auto"", ""en"")
"),"A good laptop, the downside is that there is no video camera. In all other respects I am satisfied.")</f>
        <v>A good laptop, the downside is that there is no video camera. In all other respects I am satisfied.</v>
      </c>
    </row>
    <row r="4157" spans="1:9" x14ac:dyDescent="0.3">
      <c r="A4157" s="1" t="s">
        <v>149</v>
      </c>
      <c r="B4157" s="1" t="s">
        <v>576</v>
      </c>
      <c r="C4157" s="1" t="s">
        <v>80</v>
      </c>
      <c r="D4157" s="1" t="s">
        <v>203</v>
      </c>
      <c r="E4157" s="1" t="s">
        <v>708</v>
      </c>
      <c r="F4157" s="1" t="s">
        <v>7202</v>
      </c>
      <c r="G4157" s="1" t="s">
        <v>49</v>
      </c>
      <c r="H4157" s="1" t="s">
        <v>16</v>
      </c>
      <c r="I4157" s="1" t="str">
        <f ca="1">IFERROR(__xludf.DUMMYFUNCTION("GOOGLETRANSLATE(F4157, ""auto"", ""en"")
"),"At first it worked fine. Then it started to get seriously hot, until it turned off. It was discovered that the paper bag that came with it was about half full. The bag was replaced with a standard fabric one. The situation is approximately the same.  At t"&amp;"he exit from the engine compartment there is hot air, practically no dust is sucked in - very weak draft. The bag is practically empty. The filter that sits between the bag compartment and the engine compartment has been washed and is not clogged.   Befor"&amp;"e this I used LG - there were no problems for almost 10 years - the principle of operation is exactly the same.")</f>
        <v>At first it worked fine. Then it started to get seriously hot, until it turned off. It was discovered that the paper bag that came with it was about half full. The bag was replaced with a standard fabric one. The situation is approximately the same.  At the exit from the engine compartment there is hot air, practically no dust is sucked in - very weak draft. The bag is practically empty. The filter that sits between the bag compartment and the engine compartment has been washed and is not clogged.   Before this I used LG - there were no problems for almost 10 years - the principle of operation is exactly the same.</v>
      </c>
    </row>
    <row r="4158" spans="1:9" x14ac:dyDescent="0.3">
      <c r="A4158" s="1" t="s">
        <v>211</v>
      </c>
      <c r="B4158" s="1" t="s">
        <v>265</v>
      </c>
      <c r="C4158" s="1" t="s">
        <v>1591</v>
      </c>
      <c r="D4158" s="1" t="s">
        <v>186</v>
      </c>
      <c r="E4158" s="1" t="s">
        <v>5501</v>
      </c>
      <c r="F4158" s="1" t="s">
        <v>7203</v>
      </c>
      <c r="G4158" s="1" t="s">
        <v>36</v>
      </c>
      <c r="H4158" s="1" t="s">
        <v>29</v>
      </c>
      <c r="I4158" s="1" t="str">
        <f ca="1">IFERROR(__xludf.DUMMYFUNCTION("GOOGLETRANSLATE(F4158, ""auto"", ""en"")
"),"I spent a long time choosing a model, but decided to settle on this trimmer, because... I thought that I would get a wide range of functionality for a reasonable price. A really good thing, fits comfortably in the hand, a large number of attachments. I ca"&amp;"n cut my hair and shave - it's multifunctional, which is what I wanted. For the money this is an excellent model.")</f>
        <v>I spent a long time choosing a model, but decided to settle on this trimmer, because... I thought that I would get a wide range of functionality for a reasonable price. A really good thing, fits comfortably in the hand, a large number of attachments. I can cut my hair and shave - it's multifunctional, which is what I wanted. For the money this is an excellent model.</v>
      </c>
    </row>
    <row r="4159" spans="1:9" x14ac:dyDescent="0.3">
      <c r="A4159" s="1" t="s">
        <v>61</v>
      </c>
      <c r="B4159" s="1" t="s">
        <v>318</v>
      </c>
      <c r="C4159" s="1" t="s">
        <v>101</v>
      </c>
      <c r="D4159" s="1" t="s">
        <v>33</v>
      </c>
      <c r="E4159" s="1" t="s">
        <v>379</v>
      </c>
      <c r="F4159" s="1" t="s">
        <v>7204</v>
      </c>
      <c r="G4159" s="1" t="s">
        <v>36</v>
      </c>
      <c r="H4159" s="1" t="s">
        <v>29</v>
      </c>
      <c r="I4159" s="1" t="str">
        <f ca="1">IFERROR(__xludf.DUMMYFUNCTION("GOOGLETRANSLATE(F4159, ""auto"", ""en"")
"),"What I like about M-Video is its honesty. It is written on the website that the kettle costs 1190 instead of 1990 and in fact it is so. I came and bought it.    As for the kettle itself, it is good. It works quite quietly (when compared with Tefal vitesse"&amp;" diamond, which began to flow through the glass in the 6th year of operation). It boils quickly, the lighting at the bottom is more blue than blue (not quite like on the website).    Let's see how long it lasts. We have a Scarlett coffee maker, it’s about"&amp;" 4 years old (maybe a little more) - everything is fine - we use it every day. I think the kettle will work for a long time.")</f>
        <v>What I like about M-Video is its honesty. It is written on the website that the kettle costs 1190 instead of 1990 and in fact it is so. I came and bought it.    As for the kettle itself, it is good. It works quite quietly (when compared with Tefal vitesse diamond, which began to flow through the glass in the 6th year of operation). It boils quickly, the lighting at the bottom is more blue than blue (not quite like on the website).    Let's see how long it lasts. We have a Scarlett coffee maker, it’s about 4 years old (maybe a little more) - everything is fine - we use it every day. I think the kettle will work for a long time.</v>
      </c>
    </row>
    <row r="4160" spans="1:9" x14ac:dyDescent="0.3">
      <c r="A4160" s="1" t="s">
        <v>965</v>
      </c>
      <c r="B4160" s="1" t="s">
        <v>966</v>
      </c>
      <c r="C4160" s="1" t="s">
        <v>2149</v>
      </c>
      <c r="D4160" s="1" t="s">
        <v>305</v>
      </c>
      <c r="E4160" s="1" t="s">
        <v>736</v>
      </c>
      <c r="F4160" s="1" t="s">
        <v>7205</v>
      </c>
      <c r="G4160" s="1" t="s">
        <v>28</v>
      </c>
      <c r="H4160" s="1" t="s">
        <v>29</v>
      </c>
      <c r="I4160" s="1" t="str">
        <f ca="1">IFERROR(__xludf.DUMMYFUNCTION("GOOGLETRANSLATE(F4160, ""auto"", ""en"")
"),"PROS: 1. The satellites are very beautiful. The front metal panel of the satellites without a fabric grille looks excellent.  2. High quality workmanship.  3. Satellites are compact and take up very little space on the table.  4. Convenient remote control"&amp;". When you turn on the headphones, the speakers will automatically turn off.  5. Excellent signal/noise performance of the amplifier (92 dB according to the passport). The amplifier does not emit noise and does not make noise.  6. The lower limit of the s"&amp;"ubwoofer operation is low - 35 Hz. Very impressive for a subwoofer of this size.  7. Power reserve is provided. I listen at a maximum of 60% volume. Usually 20-40%.  CONS: 1. Set of roads.  2. When the volume is more than 50%, the satellites begin to sque"&amp;"al. The mid frequencies will turn out to be a mess. The subwoofer begins to drone.  3. Some people may find the wires short. It's quite enough for a regular table. The wires have non-standard connectors.  LISTENING: The discerning music lover will not lik"&amp;"e the sound of the system. Music at a volume of more than 50% does not sound very good: a mess at mid-frequencies, it may simply hurt someone’s ears. Satellites have a narrow focus. If the listener's head moves away from the listening area, the high frequ"&amp;"encies are instantly reduced. The bass is aggressive and hard, rather than soft and enveloping. At the same time, EXACTLY BASS (lower limit 35 Hz)! I don’t think that competitors at this price will provide at least such bass.  In a word, the sound of musi"&amp;"c up to 50% power (this is quite enough) is quite comfortable. Then it suits whoever. Be very careful about setting the subwoofer level (I have the control set at 11 o'clock for music).  The set is excellent for games and movies.  CONCLUSIONS: For music, "&amp;"a 2.0 kit like Sven Royal 2 is desirable. It will give a more properly balanced sound. If you are not a music lover, then the sound of music on the Z3 will suit you just fine. The set is good for games and movies.")</f>
        <v>PROS: 1. The satellites are very beautiful. The front metal panel of the satellites without a fabric grille looks excellent.  2. High quality workmanship.  3. Satellites are compact and take up very little space on the table.  4. Convenient remote control. When you turn on the headphones, the speakers will automatically turn off.  5. Excellent signal/noise performance of the amplifier (92 dB according to the passport). The amplifier does not emit noise and does not make noise.  6. The lower limit of the subwoofer operation is low - 35 Hz. Very impressive for a subwoofer of this size.  7. Power reserve is provided. I listen at a maximum of 60% volume. Usually 20-40%.  CONS: 1. Set of roads.  2. When the volume is more than 50%, the satellites begin to squeal. The mid frequencies will turn out to be a mess. The subwoofer begins to drone.  3. Some people may find the wires short. It's quite enough for a regular table. The wires have non-standard connectors.  LISTENING: The discerning music lover will not like the sound of the system. Music at a volume of more than 50% does not sound very good: a mess at mid-frequencies, it may simply hurt someone’s ears. Satellites have a narrow focus. If the listener's head moves away from the listening area, the high frequencies are instantly reduced. The bass is aggressive and hard, rather than soft and enveloping. At the same time, EXACTLY BASS (lower limit 35 Hz)! I don’t think that competitors at this price will provide at least such bass.  In a word, the sound of music up to 50% power (this is quite enough) is quite comfortable. Then it suits whoever. Be very careful about setting the subwoofer level (I have the control set at 11 o'clock for music).  The set is excellent for games and movies.  CONCLUSIONS: For music, a 2.0 kit like Sven Royal 2 is desirable. It will give a more properly balanced sound. If you are not a music lover, then the sound of music on the Z3 will suit you just fine. The set is good for games and movies.</v>
      </c>
    </row>
    <row r="4161" spans="1:9" x14ac:dyDescent="0.3">
      <c r="A4161" s="1" t="s">
        <v>17</v>
      </c>
      <c r="B4161" s="1" t="s">
        <v>18</v>
      </c>
      <c r="C4161" s="1" t="s">
        <v>885</v>
      </c>
      <c r="D4161" s="1" t="s">
        <v>208</v>
      </c>
      <c r="E4161" s="1" t="s">
        <v>5461</v>
      </c>
      <c r="F4161" s="1" t="s">
        <v>7206</v>
      </c>
      <c r="G4161" s="1" t="s">
        <v>49</v>
      </c>
      <c r="H4161" s="1" t="s">
        <v>16</v>
      </c>
      <c r="I4161" s="1" t="str">
        <f ca="1">IFERROR(__xludf.DUMMYFUNCTION("GOOGLETRANSLATE(F4161, ""auto"", ""en"")
"),"We bought this miracle in the summer of 2011. At first everything was fine, the machine washes well, if you do not take into account the strong vibrations during the spin cycle, and the fact that the machine moves on the floor, despite the fact that the l"&amp;"evel is set and special stands for the legs were purchased. After 7 months the machine began to act up. You set the express wash for 44 minutes and 40 degrees, and the machine washes for more than 90 minutes, at an insane temperature, you can’t touch the "&amp;"boiling water inside the machine, the things inside are like they came from a steam room in the cold - steam comes out, you can’t pick them up, the colors have flowed - they go straight to the trash. A lot of things were damaged, costing more than the pri"&amp;"ce of the car. And one more drawback, sometimes the collection of water can go on for about 20 minutes without stopping until you turn it off (this is after starting the machine, not during the process). Normally, the initial set of water took 1 minute. I"&amp;" do not advise anyone to buy - the quality is very low.")</f>
        <v>We bought this miracle in the summer of 2011. At first everything was fine, the machine washes well, if you do not take into account the strong vibrations during the spin cycle, and the fact that the machine moves on the floor, despite the fact that the level is set and special stands for the legs were purchased. After 7 months the machine began to act up. You set the express wash for 44 minutes and 40 degrees, and the machine washes for more than 90 minutes, at an insane temperature, you can’t touch the boiling water inside the machine, the things inside are like they came from a steam room in the cold - steam comes out, you can’t pick them up, the colors have flowed - they go straight to the trash. A lot of things were damaged, costing more than the price of the car. And one more drawback, sometimes the collection of water can go on for about 20 minutes without stopping until you turn it off (this is after starting the machine, not during the process). Normally, the initial set of water took 1 minute. I do not advise anyone to buy - the quality is very low.</v>
      </c>
    </row>
    <row r="4162" spans="1:9" x14ac:dyDescent="0.3">
      <c r="A4162" s="1" t="s">
        <v>61</v>
      </c>
      <c r="B4162" s="1" t="s">
        <v>318</v>
      </c>
      <c r="C4162" s="1" t="s">
        <v>101</v>
      </c>
      <c r="D4162" s="1" t="s">
        <v>58</v>
      </c>
      <c r="E4162" s="1" t="s">
        <v>316</v>
      </c>
      <c r="F4162" s="1" t="s">
        <v>7207</v>
      </c>
      <c r="G4162" s="1" t="s">
        <v>49</v>
      </c>
      <c r="H4162" s="1" t="s">
        <v>16</v>
      </c>
      <c r="I4162" s="1" t="str">
        <f ca="1">IFERROR(__xludf.DUMMYFUNCTION("GOOGLETRANSLATE(F4162, ""auto"", ""en"")
"),"The design of the spout itself is not very good - it does not pour directly into the cup, but this is a problem with many teapots, and I have had a lot of them. Another thing is that on this particular one, the seam between the spout and the kettle itself"&amp;" quickly became leaky and a third of the water flows down the body, such hot water, boiling water.")</f>
        <v>The design of the spout itself is not very good - it does not pour directly into the cup, but this is a problem with many teapots, and I have had a lot of them. Another thing is that on this particular one, the seam between the spout and the kettle itself quickly became leaky and a third of the water flows down the body, such hot water, boiling water.</v>
      </c>
    </row>
    <row r="4163" spans="1:9" x14ac:dyDescent="0.3">
      <c r="A4163" s="1" t="s">
        <v>37</v>
      </c>
      <c r="B4163" s="1" t="s">
        <v>536</v>
      </c>
      <c r="C4163" s="1" t="s">
        <v>163</v>
      </c>
      <c r="D4163" s="1" t="s">
        <v>280</v>
      </c>
      <c r="E4163" s="1" t="s">
        <v>225</v>
      </c>
      <c r="F4163" s="1" t="s">
        <v>7208</v>
      </c>
      <c r="G4163" s="1" t="s">
        <v>36</v>
      </c>
      <c r="H4163" s="1" t="s">
        <v>29</v>
      </c>
      <c r="I4163" s="1" t="str">
        <f ca="1">IFERROR(__xludf.DUMMYFUNCTION("GOOGLETRANSLATE(F4163, ""auto"", ""en"")
"),"best buy for the money. The only negative is the play of the back cover. and everything is fine.")</f>
        <v>best buy for the money. The only negative is the play of the back cover. and everything is fine.</v>
      </c>
    </row>
    <row r="4164" spans="1:9" x14ac:dyDescent="0.3">
      <c r="A4164" s="1" t="s">
        <v>61</v>
      </c>
      <c r="B4164" s="1" t="s">
        <v>180</v>
      </c>
      <c r="C4164" s="1" t="s">
        <v>69</v>
      </c>
      <c r="D4164" s="1" t="s">
        <v>247</v>
      </c>
      <c r="E4164" s="1" t="s">
        <v>5790</v>
      </c>
      <c r="F4164" s="1" t="s">
        <v>7209</v>
      </c>
      <c r="G4164" s="1" t="s">
        <v>36</v>
      </c>
      <c r="H4164" s="1" t="s">
        <v>29</v>
      </c>
      <c r="I4164" s="1" t="str">
        <f ca="1">IFERROR(__xludf.DUMMYFUNCTION("GOOGLETRANSLATE(F4164, ""auto"", ""en"")
"),"We have been using this model for 2 years, regularly and often. Very pleased. We are going to buy another one just like it, and we will take the old one to the dacha. I recommend everything, simple and practical.")</f>
        <v>We have been using this model for 2 years, regularly and often. Very pleased. We are going to buy another one just like it, and we will take the old one to the dacha. I recommend everything, simple and practical.</v>
      </c>
    </row>
    <row r="4165" spans="1:9" x14ac:dyDescent="0.3">
      <c r="A4165" s="1" t="s">
        <v>61</v>
      </c>
      <c r="B4165" s="1" t="s">
        <v>318</v>
      </c>
      <c r="C4165" s="1" t="s">
        <v>45</v>
      </c>
      <c r="D4165" s="1" t="s">
        <v>7210</v>
      </c>
      <c r="E4165" s="1" t="s">
        <v>259</v>
      </c>
      <c r="F4165" s="1" t="s">
        <v>7211</v>
      </c>
      <c r="G4165" s="1" t="s">
        <v>49</v>
      </c>
      <c r="H4165" s="1" t="s">
        <v>16</v>
      </c>
      <c r="I4165" s="1" t="str">
        <f ca="1">IFERROR(__xludf.DUMMYFUNCTION("GOOGLETRANSLATE(F4165, ""auto"", ""en"")
"),"I bought it yesterday, it’s not sealed (((a puddle formed overnight, I’ll go change it")</f>
        <v>I bought it yesterday, it’s not sealed (((a puddle formed overnight, I’ll go change it</v>
      </c>
    </row>
    <row r="4166" spans="1:9" x14ac:dyDescent="0.3">
      <c r="A4166" s="1" t="s">
        <v>149</v>
      </c>
      <c r="B4166" s="1" t="s">
        <v>155</v>
      </c>
      <c r="C4166" s="1" t="s">
        <v>24</v>
      </c>
      <c r="D4166" s="1" t="s">
        <v>7212</v>
      </c>
      <c r="E4166" s="1" t="s">
        <v>3842</v>
      </c>
      <c r="F4166" s="1" t="s">
        <v>7213</v>
      </c>
      <c r="G4166" s="1" t="s">
        <v>36</v>
      </c>
      <c r="H4166" s="1" t="s">
        <v>29</v>
      </c>
      <c r="I4166" s="1" t="str">
        <f ca="1">IFERROR(__xludf.DUMMYFUNCTION("GOOGLETRANSLATE(F4166, ""auto"", ""en"")
"),"I took this vacuum cleaner for myself and my parents, it’s very good for cleaning and easy to care for! Excellent model, nice appearance, thanks M-Video!!!")</f>
        <v>I took this vacuum cleaner for myself and my parents, it’s very good for cleaning and easy to care for! Excellent model, nice appearance, thanks M-Video!!!</v>
      </c>
    </row>
    <row r="4167" spans="1:9" x14ac:dyDescent="0.3">
      <c r="A4167" s="1" t="s">
        <v>624</v>
      </c>
      <c r="B4167" s="1" t="s">
        <v>625</v>
      </c>
      <c r="C4167" s="1" t="s">
        <v>479</v>
      </c>
      <c r="D4167" s="1" t="s">
        <v>1605</v>
      </c>
      <c r="E4167" s="1" t="s">
        <v>2120</v>
      </c>
      <c r="F4167" s="1" t="s">
        <v>7214</v>
      </c>
      <c r="G4167" s="1" t="s">
        <v>36</v>
      </c>
      <c r="H4167" s="1" t="s">
        <v>29</v>
      </c>
      <c r="I4167" s="1" t="str">
        <f ca="1">IFERROR(__xludf.DUMMYFUNCTION("GOOGLETRANSLATE(F4167, ""auto"", ""en"")
"),"I recently bought and am simply delighted with this super game! Undoubtedly a candidate for the best game of the year! Great graphics, excellent plot, very captivating. The game is really adult, it asks different questions and you will have to choose an a"&amp;"nswer. Everything in the game is completely up to you! In general, I advise you to take it, it will 100% meet your expectations. I was shocked when I found out who the Origami Master is, I think that you will be shocked too:)")</f>
        <v>I recently bought and am simply delighted with this super game! Undoubtedly a candidate for the best game of the year! Great graphics, excellent plot, very captivating. The game is really adult, it asks different questions and you will have to choose an answer. Everything in the game is completely up to you! In general, I advise you to take it, it will 100% meet your expectations. I was shocked when I found out who the Origami Master is, I think that you will be shocked too:)</v>
      </c>
    </row>
    <row r="4168" spans="1:9" x14ac:dyDescent="0.3">
      <c r="A4168" s="1" t="s">
        <v>17</v>
      </c>
      <c r="B4168" s="1" t="s">
        <v>18</v>
      </c>
      <c r="C4168" s="1" t="s">
        <v>19</v>
      </c>
      <c r="D4168" s="1" t="s">
        <v>565</v>
      </c>
      <c r="E4168" s="1" t="s">
        <v>2328</v>
      </c>
      <c r="F4168" s="1" t="s">
        <v>7215</v>
      </c>
      <c r="G4168" s="1" t="s">
        <v>36</v>
      </c>
      <c r="H4168" s="1" t="s">
        <v>29</v>
      </c>
      <c r="I4168" s="1" t="str">
        <f ca="1">IFERROR(__xludf.DUMMYFUNCTION("GOOGLETRANSLATE(F4168, ""auto"", ""en"")
"),"I have been using this machine since 2011. During this time, she never let me down. It washes things perfectly, it doesn’t skip around for me (it was moved a couple of times, but not much, and only when it was heavily loaded). I bought it because of the a"&amp;"bility to manually regulate the temperature and spin. I’m happy with the 15-minute wash, when the clothes seem to be clean, but you won’t be able to wear them a second time.  I'm very pleased.")</f>
        <v>I have been using this machine since 2011. During this time, she never let me down. It washes things perfectly, it doesn’t skip around for me (it was moved a couple of times, but not much, and only when it was heavily loaded). I bought it because of the ability to manually regulate the temperature and spin. I’m happy with the 15-minute wash, when the clothes seem to be clean, but you won’t be able to wear them a second time.  I'm very pleased.</v>
      </c>
    </row>
    <row r="4169" spans="1:9" x14ac:dyDescent="0.3">
      <c r="A4169" s="1" t="s">
        <v>30</v>
      </c>
      <c r="B4169" s="1" t="s">
        <v>50</v>
      </c>
      <c r="C4169" s="1" t="s">
        <v>1003</v>
      </c>
      <c r="D4169" s="1" t="s">
        <v>658</v>
      </c>
      <c r="E4169" s="1" t="s">
        <v>1888</v>
      </c>
      <c r="F4169" s="1" t="s">
        <v>7216</v>
      </c>
      <c r="G4169" s="1" t="s">
        <v>36</v>
      </c>
      <c r="H4169" s="1" t="s">
        <v>29</v>
      </c>
      <c r="I4169" s="1" t="str">
        <f ca="1">IFERROR(__xludf.DUMMYFUNCTION("GOOGLETRANSLATE(F4169, ""auto"", ""en"")
"),"Excellent laptop :) I really like it. The games are still on. Doesn't slow down, the keyboard is good. Everything is convenient. The price amazed me.. simply super.) I recommend it.")</f>
        <v>Excellent laptop :) I really like it. The games are still on. Doesn't slow down, the keyboard is good. Everything is convenient. The price amazed me.. simply super.) I recommend it.</v>
      </c>
    </row>
    <row r="4170" spans="1:9" x14ac:dyDescent="0.3">
      <c r="A4170" s="1" t="s">
        <v>61</v>
      </c>
      <c r="B4170" s="1" t="s">
        <v>145</v>
      </c>
      <c r="C4170" s="1" t="s">
        <v>85</v>
      </c>
      <c r="D4170" s="1" t="s">
        <v>75</v>
      </c>
      <c r="E4170" s="1" t="s">
        <v>2468</v>
      </c>
      <c r="F4170" s="1" t="s">
        <v>7217</v>
      </c>
      <c r="G4170" s="1" t="s">
        <v>36</v>
      </c>
      <c r="H4170" s="1" t="s">
        <v>29</v>
      </c>
      <c r="I4170" s="1" t="str">
        <f ca="1">IFERROR(__xludf.DUMMYFUNCTION("GOOGLETRANSLATE(F4170, ""auto"", ""en"")
"),"I bought a Bork F500 steamer 2 months ago. VERY satisfied. Easy to use, convenient, easy to clean. The food in it is not only tasty, but also very healthy!")</f>
        <v>I bought a Bork F500 steamer 2 months ago. VERY satisfied. Easy to use, convenient, easy to clean. The food in it is not only tasty, but also very healthy!</v>
      </c>
    </row>
    <row r="4171" spans="1:9" x14ac:dyDescent="0.3">
      <c r="A4171" s="1" t="s">
        <v>30</v>
      </c>
      <c r="B4171" s="1" t="s">
        <v>50</v>
      </c>
      <c r="C4171" s="1" t="s">
        <v>32</v>
      </c>
      <c r="D4171" s="1" t="s">
        <v>81</v>
      </c>
      <c r="E4171" s="1" t="s">
        <v>21</v>
      </c>
      <c r="F4171" s="1" t="s">
        <v>7218</v>
      </c>
      <c r="G4171" s="1" t="s">
        <v>36</v>
      </c>
      <c r="H4171" s="1" t="s">
        <v>29</v>
      </c>
      <c r="I4171" s="1" t="str">
        <f ca="1">IFERROR(__xludf.DUMMYFUNCTION("GOOGLETRANSLATE(F4171, ""auto"", ""en"")
"),"Hi all.  I’ve been eyeing this model for a long time: with the best price among all manufacturers for such a configuration, it’s still not small. The 10% discount with which the model is now sold in M-Video (and no one sells it except M-Video) prompted me"&amp;" to buy it. I DON'T REGRET!  Disadvantages: not the best display (on a black screen, light is visible from below and above; when moving horizontally relative to the screen, the colors change; if you are close to the screen, the shades of the upper and low"&amp;"er parts of the image are different); glossy surface; Not the fastest hard drives (according to Windows).  Advantages: configuration (the only thing missing is a BlueRay burner drive); backlit keyboard (white letters on black keys glow in the dark); prese"&amp;"nce of mute, touchpad, BT and Wi-Fi buttons; very convenient volume control wheel; 5 speakers really create surround sound.  I made the choice consciously: high performance, large capacity hard drives, two HDDs, a large display for working with photos and"&amp;" videos, no permanent workspace.")</f>
        <v>Hi all.  I’ve been eyeing this model for a long time: with the best price among all manufacturers for such a configuration, it’s still not small. The 10% discount with which the model is now sold in M-Video (and no one sells it except M-Video) prompted me to buy it. I DON'T REGRET!  Disadvantages: not the best display (on a black screen, light is visible from below and above; when moving horizontally relative to the screen, the colors change; if you are close to the screen, the shades of the upper and lower parts of the image are different); glossy surface; Not the fastest hard drives (according to Windows).  Advantages: configuration (the only thing missing is a BlueRay burner drive); backlit keyboard (white letters on black keys glow in the dark); presence of mute, touchpad, BT and Wi-Fi buttons; very convenient volume control wheel; 5 speakers really create surround sound.  I made the choice consciously: high performance, large capacity hard drives, two HDDs, a large display for working with photos and videos, no permanent workspace.</v>
      </c>
    </row>
    <row r="4172" spans="1:9" x14ac:dyDescent="0.3">
      <c r="A4172" s="1" t="s">
        <v>120</v>
      </c>
      <c r="B4172" s="1" t="s">
        <v>126</v>
      </c>
      <c r="C4172" s="1" t="s">
        <v>151</v>
      </c>
      <c r="D4172" s="1" t="s">
        <v>232</v>
      </c>
      <c r="E4172" s="1" t="s">
        <v>7219</v>
      </c>
      <c r="F4172" s="1" t="s">
        <v>7220</v>
      </c>
      <c r="G4172" s="1" t="s">
        <v>49</v>
      </c>
      <c r="H4172" s="1" t="s">
        <v>16</v>
      </c>
      <c r="I4172" s="1" t="str">
        <f ca="1">IFERROR(__xludf.DUMMYFUNCTION("GOOGLETRANSLATE(F4172, ""auto"", ""en"")
"),"I bought my parents a TV set, a 50"" Plasma TV Samsung PS-50 B430P2W. I thought it was normal. They watch it for 4 hours after work....that is, in a very gentle mode. A week later, the sound from the video to the TV disappeared. They said I had to send it"&amp;" in for repair. They sent it in for repair. And now I’ve been waiting for a week for my “new” TV to be repaired. I’M VERY NOT SATISFIED!!!!")</f>
        <v>I bought my parents a TV set, a 50" Plasma TV Samsung PS-50 B430P2W. I thought it was normal. They watch it for 4 hours after work....that is, in a very gentle mode. A week later, the sound from the video to the TV disappeared. They said I had to send it in for repair. They sent it in for repair. And now I’ve been waiting for a week for my “new” TV to be repaired. I’M VERY NOT SATISFIED!!!!</v>
      </c>
    </row>
    <row r="4173" spans="1:9" x14ac:dyDescent="0.3">
      <c r="A4173" s="1" t="s">
        <v>30</v>
      </c>
      <c r="B4173" s="1" t="s">
        <v>50</v>
      </c>
      <c r="C4173" s="1" t="s">
        <v>32</v>
      </c>
      <c r="D4173" s="1" t="s">
        <v>471</v>
      </c>
      <c r="E4173" s="1" t="s">
        <v>7054</v>
      </c>
      <c r="F4173" s="1" t="s">
        <v>7221</v>
      </c>
      <c r="G4173" s="1" t="s">
        <v>28</v>
      </c>
      <c r="H4173" s="1" t="s">
        <v>29</v>
      </c>
      <c r="I4173" s="1" t="str">
        <f ca="1">IFERROR(__xludf.DUMMYFUNCTION("GOOGLETRANSLATE(F4173, ""auto"", ""en"")
"),"I bought a laptop in 2009. On Windows 7. I am very pleased with the laptop. Worked for 4.5 years without problems. And only now the first problems appeared - the battery (original) ran out. Six months ago the charge lasted a little over an hour with an in"&amp;"itial charge of 3 hours. It's a shame that Mvideo doesn't sell batteries! Such an excellent laptop is worthy of continuing to work as a mobile computer. I haven’t experienced any particular frustration from the lack of a camera and non-working Bluetooth i"&amp;"n 4.5 years. The laptop was more of a workhorse. There is only one minus - the weight is more than 3 kilograms.")</f>
        <v>I bought a laptop in 2009. On Windows 7. I am very pleased with the laptop. Worked for 4.5 years without problems. And only now the first problems appeared - the battery (original) ran out. Six months ago the charge lasted a little over an hour with an initial charge of 3 hours. It's a shame that Mvideo doesn't sell batteries! Such an excellent laptop is worthy of continuing to work as a mobile computer. I haven’t experienced any particular frustration from the lack of a camera and non-working Bluetooth in 4.5 years. The laptop was more of a workhorse. There is only one minus - the weight is more than 3 kilograms.</v>
      </c>
    </row>
    <row r="4174" spans="1:9" x14ac:dyDescent="0.3">
      <c r="A4174" s="1" t="s">
        <v>37</v>
      </c>
      <c r="B4174" s="1" t="s">
        <v>536</v>
      </c>
      <c r="C4174" s="1" t="s">
        <v>189</v>
      </c>
      <c r="D4174" s="1" t="s">
        <v>7222</v>
      </c>
      <c r="E4174" s="1" t="s">
        <v>1406</v>
      </c>
      <c r="F4174" s="1" t="s">
        <v>7223</v>
      </c>
      <c r="G4174" s="1" t="s">
        <v>36</v>
      </c>
      <c r="H4174" s="1" t="s">
        <v>29</v>
      </c>
      <c r="I4174" s="1" t="str">
        <f ca="1">IFERROR(__xludf.DUMMYFUNCTION("GOOGLETRANSLATE(F4174, ""auto"", ""en"")
"),"PDA is great! durable and reliable!")</f>
        <v>PDA is great! durable and reliable!</v>
      </c>
    </row>
    <row r="4175" spans="1:9" x14ac:dyDescent="0.3">
      <c r="A4175" s="1" t="s">
        <v>9</v>
      </c>
      <c r="B4175" s="1" t="s">
        <v>137</v>
      </c>
      <c r="C4175" s="1" t="s">
        <v>134</v>
      </c>
      <c r="D4175" s="1" t="s">
        <v>456</v>
      </c>
      <c r="E4175" s="1" t="s">
        <v>3125</v>
      </c>
      <c r="F4175" s="1" t="s">
        <v>7224</v>
      </c>
      <c r="G4175" s="1" t="s">
        <v>36</v>
      </c>
      <c r="H4175" s="1" t="s">
        <v>29</v>
      </c>
      <c r="I4175" s="1" t="str">
        <f ca="1">IFERROR(__xludf.DUMMYFUNCTION("GOOGLETRANSLATE(F4175, ""auto"", ""en"")
"),"This baby has been standing in our kitchen for quite a long time! I cook on it every day for the whole family)) Every day several dishes several times and I’m still very pleased!! Everything on this stove is very convenient, there is automatic ignition of"&amp;" the burners, which makes working with gas easier, there is also a safety system, reliability is of course the most important thing, I am sure that there will never be any gas leaks from this stove!  The burner itself is beautiful, made of stainless steel"&amp;", the cast iron grates are durable, and dishes are placed on them easily. There are as many as five burners, four regular and one three-circuit - this burner has a triple!!! Everything cooks much faster with fire. Yes, it is also located in the middle, wh"&amp;"ich allows you to place larger pots on it)) The build quality is excellent, German!  Everything is made very firmly!!! I’m glad that my kitchen is decorated with this particular stove from Siemens, it is high-quality, practical, safe, and reliable!! For s"&amp;"uch a technique there are only five stars, you can’t put it any lower, you won’t be able to turn your hand)))")</f>
        <v>This baby has been standing in our kitchen for quite a long time! I cook on it every day for the whole family)) Every day several dishes several times and I’m still very pleased!! Everything on this stove is very convenient, there is automatic ignition of the burners, which makes working with gas easier, there is also a safety system, reliability is of course the most important thing, I am sure that there will never be any gas leaks from this stove!  The burner itself is beautiful, made of stainless steel, the cast iron grates are durable, and dishes are placed on them easily. There are as many as five burners, four regular and one three-circuit - this burner has a triple!!! Everything cooks much faster with fire. Yes, it is also located in the middle, which allows you to place larger pots on it)) The build quality is excellent, German!  Everything is made very firmly!!! I’m glad that my kitchen is decorated with this particular stove from Siemens, it is high-quality, practical, safe, and reliable!! For such a technique there are only five stars, you can’t put it any lower, you won’t be able to turn your hand)))</v>
      </c>
    </row>
    <row r="4176" spans="1:9" x14ac:dyDescent="0.3">
      <c r="A4176" s="1" t="s">
        <v>2087</v>
      </c>
      <c r="B4176" s="1" t="s">
        <v>2088</v>
      </c>
      <c r="C4176" s="1" t="s">
        <v>69</v>
      </c>
      <c r="D4176" s="1" t="s">
        <v>52</v>
      </c>
      <c r="E4176" s="1" t="s">
        <v>2778</v>
      </c>
      <c r="F4176" s="1" t="s">
        <v>7225</v>
      </c>
      <c r="G4176" s="1" t="s">
        <v>36</v>
      </c>
      <c r="H4176" s="1" t="s">
        <v>29</v>
      </c>
      <c r="I4176" s="1" t="str">
        <f ca="1">IFERROR(__xludf.DUMMYFUNCTION("GOOGLETRANSLATE(F4176, ""auto"", ""en"")
"),"The player is very good. A little slow and noisy, but overall a very good player. Yes, and an HDMI cable is included.")</f>
        <v>The player is very good. A little slow and noisy, but overall a very good player. Yes, and an HDMI cable is included.</v>
      </c>
    </row>
    <row r="4177" spans="1:9" x14ac:dyDescent="0.3">
      <c r="A4177" s="1" t="s">
        <v>211</v>
      </c>
      <c r="B4177" s="1" t="s">
        <v>515</v>
      </c>
      <c r="C4177" s="1" t="s">
        <v>381</v>
      </c>
      <c r="D4177" s="1" t="s">
        <v>32</v>
      </c>
      <c r="E4177" s="1" t="s">
        <v>5914</v>
      </c>
      <c r="F4177" s="1" t="s">
        <v>7226</v>
      </c>
      <c r="G4177" s="1" t="s">
        <v>36</v>
      </c>
      <c r="H4177" s="1" t="s">
        <v>29</v>
      </c>
      <c r="I4177" s="1" t="str">
        <f ca="1">IFERROR(__xludf.DUMMYFUNCTION("GOOGLETRANSLATE(F4177, ""auto"", ""en"")
"),"I agree with all the previous statements!!!  Excellent equipment: exfoliating attachments (very comfortable), protective attachments for hair removal in sensitive areas, and a convenient silver bag.  If I were the manufacturer, I wouldn’t write about the "&amp;"silence of its operation, although I can’t compare it, because... This is my first epilator, but apparently others roar like lawn mowers... But don’t be alarmed, everything is very moderate.  Cool item, very comfortable!  Take it and don’t doubt it: the p"&amp;"rice is justified, and more expensive means it comes with extra bells and whistles like backlighting (for working in the dark) and other things that are not particularly needed.")</f>
        <v>I agree with all the previous statements!!!  Excellent equipment: exfoliating attachments (very comfortable), protective attachments for hair removal in sensitive areas, and a convenient silver bag.  If I were the manufacturer, I wouldn’t write about the silence of its operation, although I can’t compare it, because... This is my first epilator, but apparently others roar like lawn mowers... But don’t be alarmed, everything is very moderate.  Cool item, very comfortable!  Take it and don’t doubt it: the price is justified, and more expensive means it comes with extra bells and whistles like backlighting (for working in the dark) and other things that are not particularly needed.</v>
      </c>
    </row>
    <row r="4178" spans="1:9" x14ac:dyDescent="0.3">
      <c r="A4178" s="1" t="s">
        <v>211</v>
      </c>
      <c r="B4178" s="1" t="s">
        <v>410</v>
      </c>
      <c r="C4178" s="1" t="s">
        <v>69</v>
      </c>
      <c r="D4178" s="1" t="s">
        <v>228</v>
      </c>
      <c r="E4178" s="1" t="s">
        <v>41</v>
      </c>
      <c r="F4178" s="1" t="s">
        <v>7227</v>
      </c>
      <c r="G4178" s="1" t="s">
        <v>36</v>
      </c>
      <c r="H4178" s="1" t="s">
        <v>29</v>
      </c>
      <c r="I4178" s="1" t="str">
        <f ca="1">IFERROR(__xludf.DUMMYFUNCTION("GOOGLETRANSLATE(F4178, ""auto"", ""en"")
"),"I must say the Dutch made a cool “toy” for men.  Easy, simple, elegant!!! It works - I can't hear it.  I recommend...")</f>
        <v>I must say the Dutch made a cool “toy” for men.  Easy, simple, elegant!!! It works - I can't hear it.  I recommend...</v>
      </c>
    </row>
    <row r="4179" spans="1:9" x14ac:dyDescent="0.3">
      <c r="A4179" s="1" t="s">
        <v>169</v>
      </c>
      <c r="B4179" s="1" t="s">
        <v>170</v>
      </c>
      <c r="C4179" s="1" t="s">
        <v>193</v>
      </c>
      <c r="D4179" s="1" t="s">
        <v>280</v>
      </c>
      <c r="E4179" s="1" t="s">
        <v>3600</v>
      </c>
      <c r="F4179" s="1" t="s">
        <v>7228</v>
      </c>
      <c r="G4179" s="1" t="s">
        <v>36</v>
      </c>
      <c r="H4179" s="1" t="s">
        <v>29</v>
      </c>
      <c r="I4179" s="1" t="str">
        <f ca="1">IFERROR(__xludf.DUMMYFUNCTION("GOOGLETRANSLATE(F4179, ""auto"", ""en"")
"),"I tried a lot of headphones (with open earbuds) for the Sony nwz e453 player.  This is the best option. The bass level is similar to the standard ones, but has a relatively clear and loud sound.")</f>
        <v>I tried a lot of headphones (with open earbuds) for the Sony nwz e453 player.  This is the best option. The bass level is similar to the standard ones, but has a relatively clear and loud sound.</v>
      </c>
    </row>
    <row r="4180" spans="1:9" x14ac:dyDescent="0.3">
      <c r="A4180" s="1" t="s">
        <v>519</v>
      </c>
      <c r="B4180" s="1" t="s">
        <v>520</v>
      </c>
      <c r="C4180" s="1" t="s">
        <v>3571</v>
      </c>
      <c r="D4180" s="1" t="s">
        <v>335</v>
      </c>
      <c r="E4180" s="1" t="s">
        <v>7229</v>
      </c>
      <c r="F4180" s="1" t="s">
        <v>7230</v>
      </c>
      <c r="G4180" s="1" t="s">
        <v>36</v>
      </c>
      <c r="H4180" s="1" t="s">
        <v>29</v>
      </c>
      <c r="I4180" s="1" t="str">
        <f ca="1">IFERROR(__xludf.DUMMYFUNCTION("GOOGLETRANSLATE(F4180, ""auto"", ""en"")
"),"I gave it to my mom, she really liked it, and my dad just appreciated the thick bottom.    I myself have a ladle and a frying pan from this series, so I appreciated the quality before giving it away - it’s a pleasure to cook and easy to clean.")</f>
        <v>I gave it to my mom, she really liked it, and my dad just appreciated the thick bottom.    I myself have a ladle and a frying pan from this series, so I appreciated the quality before giving it away - it’s a pleasure to cook and easy to clean.</v>
      </c>
    </row>
    <row r="4181" spans="1:9" x14ac:dyDescent="0.3">
      <c r="A4181" s="1" t="s">
        <v>67</v>
      </c>
      <c r="B4181" s="1" t="s">
        <v>68</v>
      </c>
      <c r="C4181" s="1" t="s">
        <v>246</v>
      </c>
      <c r="D4181" s="1" t="s">
        <v>545</v>
      </c>
      <c r="E4181" s="1" t="s">
        <v>7231</v>
      </c>
      <c r="F4181" s="1" t="s">
        <v>7232</v>
      </c>
      <c r="G4181" s="1" t="s">
        <v>36</v>
      </c>
      <c r="H4181" s="1" t="s">
        <v>29</v>
      </c>
      <c r="I4181" s="1" t="str">
        <f ca="1">IFERROR(__xludf.DUMMYFUNCTION("GOOGLETRANSLATE(F4181, ""auto"", ""en"")
"),"I recently purchased such a device, mainly because of bed linen (I have to iron it a lot), so far everything is good - ironing time has been reduced by a lot, and the quality has only gotten better! I advise everyone - save your time - you definitely can’"&amp;"t buy it!!!!!")</f>
        <v>I recently purchased such a device, mainly because of bed linen (I have to iron it a lot), so far everything is good - ironing time has been reduced by a lot, and the quality has only gotten better! I advise everyone - save your time - you definitely can’t buy it!!!!!</v>
      </c>
    </row>
    <row r="4182" spans="1:9" x14ac:dyDescent="0.3">
      <c r="A4182" s="1" t="s">
        <v>105</v>
      </c>
      <c r="B4182" s="1" t="s">
        <v>106</v>
      </c>
      <c r="C4182" s="1" t="s">
        <v>1209</v>
      </c>
      <c r="D4182" s="1" t="s">
        <v>7233</v>
      </c>
      <c r="E4182" s="1" t="s">
        <v>917</v>
      </c>
      <c r="F4182" s="1" t="s">
        <v>7234</v>
      </c>
      <c r="G4182" s="1" t="s">
        <v>49</v>
      </c>
      <c r="H4182" s="1" t="s">
        <v>16</v>
      </c>
      <c r="I4182" s="1" t="str">
        <f ca="1">IFERROR(__xludf.DUMMYFUNCTION("GOOGLETRANSLATE(F4182, ""auto"", ""en"")
"),"Today I'll take it in for repairs for the third time in a month. tear off the hands of the one who soldered this player")</f>
        <v>Today I'll take it in for repairs for the third time in a month. tear off the hands of the one who soldered this player</v>
      </c>
    </row>
    <row r="4183" spans="1:9" x14ac:dyDescent="0.3">
      <c r="A4183" s="1" t="s">
        <v>149</v>
      </c>
      <c r="B4183" s="1" t="s">
        <v>150</v>
      </c>
      <c r="C4183" s="1" t="s">
        <v>6732</v>
      </c>
      <c r="D4183" s="1" t="s">
        <v>39</v>
      </c>
      <c r="E4183" s="1" t="s">
        <v>2110</v>
      </c>
      <c r="F4183" s="1" t="s">
        <v>7235</v>
      </c>
      <c r="G4183" s="1" t="s">
        <v>36</v>
      </c>
      <c r="H4183" s="1" t="s">
        <v>29</v>
      </c>
      <c r="I4183" s="1" t="str">
        <f ca="1">IFERROR(__xludf.DUMMYFUNCTION("GOOGLETRANSLATE(F4183, ""auto"", ""en"")
"),"I bought a vacuum cleaner about a year ago and I really like its suction power + perfect air filtration. I recommend to everyone an excellent quality model at a good price..")</f>
        <v>I bought a vacuum cleaner about a year ago and I really like its suction power + perfect air filtration. I recommend to everyone an excellent quality model at a good price..</v>
      </c>
    </row>
    <row r="4184" spans="1:9" x14ac:dyDescent="0.3">
      <c r="A4184" s="1" t="s">
        <v>43</v>
      </c>
      <c r="B4184" s="1" t="s">
        <v>219</v>
      </c>
      <c r="C4184" s="1" t="s">
        <v>220</v>
      </c>
      <c r="D4184" s="1" t="s">
        <v>232</v>
      </c>
      <c r="E4184" s="1" t="s">
        <v>5116</v>
      </c>
      <c r="F4184" s="1" t="s">
        <v>7236</v>
      </c>
      <c r="G4184" s="1" t="s">
        <v>36</v>
      </c>
      <c r="H4184" s="1" t="s">
        <v>29</v>
      </c>
      <c r="I4184" s="1" t="str">
        <f ca="1">IFERROR(__xludf.DUMMYFUNCTION("GOOGLETRANSLATE(F4184, ""auto"", ""en"")
"),"I bought it last year for a village hut. Previously, there was a tank with a heating element - cold separately, hot separately.  Now the problem of hot water has been solved perfectly. Works complete with a pumping station for a kitchen herringbone. My wi"&amp;"fe is delighted - it has become very convenient.  I recommend it to everyone. The water supply is enough to wash the dishes even after the party.")</f>
        <v>I bought it last year for a village hut. Previously, there was a tank with a heating element - cold separately, hot separately.  Now the problem of hot water has been solved perfectly. Works complete with a pumping station for a kitchen herringbone. My wife is delighted - it has become very convenient.  I recommend it to everyone. The water supply is enough to wash the dishes even after the party.</v>
      </c>
    </row>
    <row r="4185" spans="1:9" x14ac:dyDescent="0.3">
      <c r="A4185" s="1" t="s">
        <v>61</v>
      </c>
      <c r="B4185" s="1" t="s">
        <v>180</v>
      </c>
      <c r="C4185" s="1" t="s">
        <v>85</v>
      </c>
      <c r="D4185" s="1" t="s">
        <v>280</v>
      </c>
      <c r="E4185" s="1" t="s">
        <v>2634</v>
      </c>
      <c r="F4185" s="1" t="s">
        <v>7237</v>
      </c>
      <c r="G4185" s="1" t="s">
        <v>36</v>
      </c>
      <c r="H4185" s="1" t="s">
        <v>29</v>
      </c>
      <c r="I4185" s="1" t="str">
        <f ca="1">IFERROR(__xludf.DUMMYFUNCTION("GOOGLETRANSLATE(F4185, ""auto"", ""en"")
"),"A very interesting model. Recently purchased and were very pleased. Fits organically into the design. Easy to operate and 9 degrees of frying! I especially liked the one-sided toasting function. We recommend!")</f>
        <v>A very interesting model. Recently purchased and were very pleased. Fits organically into the design. Easy to operate and 9 degrees of frying! I especially liked the one-sided toasting function. We recommend!</v>
      </c>
    </row>
    <row r="4186" spans="1:9" x14ac:dyDescent="0.3">
      <c r="A4186" s="1" t="s">
        <v>37</v>
      </c>
      <c r="B4186" s="1" t="s">
        <v>536</v>
      </c>
      <c r="C4186" s="1" t="s">
        <v>163</v>
      </c>
      <c r="D4186" s="1" t="s">
        <v>305</v>
      </c>
      <c r="E4186" s="1" t="s">
        <v>1005</v>
      </c>
      <c r="F4186" s="1" t="s">
        <v>7238</v>
      </c>
      <c r="G4186" s="1" t="s">
        <v>15</v>
      </c>
      <c r="H4186" s="1" t="s">
        <v>16</v>
      </c>
      <c r="I4186" s="1" t="str">
        <f ca="1">IFERROR(__xludf.DUMMYFUNCTION("GOOGLETRANSLATE(F4186, ""auto"", ""en"")
"),"The phone sucks! Bought in April; after updating the firmware, it started to get stupid; The speakers are loud, but the sound sucks; The battery lasts 1 day, you have to carry a USB cord; the display is bright, but hard to see in the sun; GPS reception is"&amp;" poor in cloudy weather; Not a pleasant high-frequency squeak from the phone.")</f>
        <v>The phone sucks! Bought in April; after updating the firmware, it started to get stupid; The speakers are loud, but the sound sucks; The battery lasts 1 day, you have to carry a USB cord; the display is bright, but hard to see in the sun; GPS reception is poor in cloudy weather; Not a pleasant high-frequency squeak from the phone.</v>
      </c>
    </row>
    <row r="4187" spans="1:9" x14ac:dyDescent="0.3">
      <c r="A4187" s="1" t="s">
        <v>95</v>
      </c>
      <c r="B4187" s="1" t="s">
        <v>227</v>
      </c>
      <c r="C4187" s="1" t="s">
        <v>97</v>
      </c>
      <c r="D4187" s="1" t="s">
        <v>152</v>
      </c>
      <c r="E4187" s="1" t="s">
        <v>3151</v>
      </c>
      <c r="F4187" s="1" t="s">
        <v>7239</v>
      </c>
      <c r="G4187" s="1" t="s">
        <v>36</v>
      </c>
      <c r="H4187" s="1" t="s">
        <v>29</v>
      </c>
      <c r="I4187" s="1" t="str">
        <f ca="1">IFERROR(__xludf.DUMMYFUNCTION("GOOGLETRANSLATE(F4187, ""auto"", ""en"")
"),"I took THIS kit, which I recommend to everyone. I doubted the need to purchase a movie and a camera. After installing Sports Festival 2, the issue disappeared immediately. The whole family plays; my brother enjoyed playing sports for the first time in 5 y"&amp;"ears. M-Video respect!")</f>
        <v>I took THIS kit, which I recommend to everyone. I doubted the need to purchase a movie and a camera. After installing Sports Festival 2, the issue disappeared immediately. The whole family plays; my brother enjoyed playing sports for the first time in 5 years. M-Video respect!</v>
      </c>
    </row>
    <row r="4188" spans="1:9" x14ac:dyDescent="0.3">
      <c r="A4188" s="1" t="s">
        <v>1443</v>
      </c>
      <c r="B4188" s="1" t="s">
        <v>4684</v>
      </c>
      <c r="C4188" s="1" t="s">
        <v>4685</v>
      </c>
      <c r="D4188" s="1" t="s">
        <v>152</v>
      </c>
      <c r="E4188" s="1" t="s">
        <v>2396</v>
      </c>
      <c r="F4188" s="1" t="s">
        <v>2268</v>
      </c>
      <c r="G4188" s="1" t="s">
        <v>49</v>
      </c>
      <c r="H4188" s="1" t="s">
        <v>16</v>
      </c>
      <c r="I4188" s="1" t="str">
        <f ca="1">IFERROR(__xludf.DUMMYFUNCTION("GOOGLETRANSLATE(F4188, ""auto"", ""en"")
"),"No")</f>
        <v>No</v>
      </c>
    </row>
    <row r="4189" spans="1:9" x14ac:dyDescent="0.3">
      <c r="A4189" s="1" t="s">
        <v>61</v>
      </c>
      <c r="B4189" s="1" t="s">
        <v>318</v>
      </c>
      <c r="C4189" s="1" t="s">
        <v>85</v>
      </c>
      <c r="D4189" s="1" t="s">
        <v>896</v>
      </c>
      <c r="E4189" s="1" t="s">
        <v>7240</v>
      </c>
      <c r="F4189" s="1" t="s">
        <v>7241</v>
      </c>
      <c r="G4189" s="1" t="s">
        <v>36</v>
      </c>
      <c r="H4189" s="1" t="s">
        <v>29</v>
      </c>
      <c r="I4189" s="1" t="str">
        <f ca="1">IFERROR(__xludf.DUMMYFUNCTION("GOOGLETRANSLATE(F4189, ""auto"", ""en"")
"),"good kettle")</f>
        <v>good kettle</v>
      </c>
    </row>
    <row r="4190" spans="1:9" x14ac:dyDescent="0.3">
      <c r="A4190" s="1" t="s">
        <v>55</v>
      </c>
      <c r="B4190" s="1" t="s">
        <v>56</v>
      </c>
      <c r="C4190" s="1" t="s">
        <v>85</v>
      </c>
      <c r="D4190" s="1" t="s">
        <v>172</v>
      </c>
      <c r="E4190" s="1" t="s">
        <v>7242</v>
      </c>
      <c r="F4190" s="1" t="s">
        <v>7243</v>
      </c>
      <c r="G4190" s="1" t="s">
        <v>36</v>
      </c>
      <c r="H4190" s="1" t="s">
        <v>29</v>
      </c>
      <c r="I4190" s="1" t="str">
        <f ca="1">IFERROR(__xludf.DUMMYFUNCTION("GOOGLETRANSLATE(F4190, ""auto"", ""en"")
"),"We bought this humidifier 5 months ago because we have a small child. The seller recommended this model to us.  We were very pleased with it. It moisturizes well, it’s convenient that you set the humidity to 55% and it maintains it automatically. By the w"&amp;"ay, there were only filters for it in the store and the seller said that they are always on sale. My wife really liked his appearance. There is a quiet night mode. The water in it does not bloom.  Overall I'm happy with the purchase, I recommend it to eve"&amp;"ryone.")</f>
        <v>We bought this humidifier 5 months ago because we have a small child. The seller recommended this model to us.  We were very pleased with it. It moisturizes well, it’s convenient that you set the humidity to 55% and it maintains it automatically. By the way, there were only filters for it in the store and the seller said that they are always on sale. My wife really liked his appearance. There is a quiet night mode. The water in it does not bloom.  Overall I'm happy with the purchase, I recommend it to everyone.</v>
      </c>
    </row>
    <row r="4191" spans="1:9" x14ac:dyDescent="0.3">
      <c r="A4191" s="1" t="s">
        <v>30</v>
      </c>
      <c r="B4191" s="1" t="s">
        <v>50</v>
      </c>
      <c r="C4191" s="1" t="s">
        <v>32</v>
      </c>
      <c r="D4191" s="1" t="s">
        <v>417</v>
      </c>
      <c r="E4191" s="1" t="s">
        <v>3550</v>
      </c>
      <c r="F4191" s="1" t="s">
        <v>7244</v>
      </c>
      <c r="G4191" s="1" t="s">
        <v>36</v>
      </c>
      <c r="H4191" s="1" t="s">
        <v>29</v>
      </c>
      <c r="I4191" s="1" t="str">
        <f ca="1">IFERROR(__xludf.DUMMYFUNCTION("GOOGLETRANSLATE(F4191, ""auto"", ""en"")
"),"I would like to know more about how this laptop works with games (well, for example, Call of Duty mw2, or Metro 2033)???")</f>
        <v>I would like to know more about how this laptop works with games (well, for example, Call of Duty mw2, or Metro 2033)???</v>
      </c>
    </row>
    <row r="4192" spans="1:9" x14ac:dyDescent="0.3">
      <c r="A4192" s="1" t="s">
        <v>120</v>
      </c>
      <c r="B4192" s="1" t="s">
        <v>121</v>
      </c>
      <c r="C4192" s="1" t="s">
        <v>69</v>
      </c>
      <c r="D4192" s="1" t="s">
        <v>7245</v>
      </c>
      <c r="E4192" s="1" t="s">
        <v>4603</v>
      </c>
      <c r="F4192" s="1" t="s">
        <v>7246</v>
      </c>
      <c r="G4192" s="1" t="s">
        <v>36</v>
      </c>
      <c r="H4192" s="1" t="s">
        <v>29</v>
      </c>
      <c r="I4192" s="1" t="str">
        <f ca="1">IFERROR(__xludf.DUMMYFUNCTION("GOOGLETRANSLATE(F4192, ""auto"", ""en"")
"),"I bought it in 1.5 weeks. When I bought it I wanted a Hungarian assembly (index 12), they said that there was only a Russian one. He flatly refused to take the Russian one and magically one Hungarian TV was found in the warehouse))).  The H index in the m"&amp;"odel means a hybrid TV tuner; the consultant said that only the Hungarian one has it. assemblies. I reflashed it on the first day, I really liked the interface, image quality, number of connections and most importantly PRICE. It was warm and stinky only f"&amp;"or the first day, then everything returned to normal. In the near future I will try to check all possible connections and functions, so far everything is satisfactory!")</f>
        <v>I bought it in 1.5 weeks. When I bought it I wanted a Hungarian assembly (index 12), they said that there was only a Russian one. He flatly refused to take the Russian one and magically one Hungarian TV was found in the warehouse))).  The H index in the model means a hybrid TV tuner; the consultant said that only the Hungarian one has it. assemblies. I reflashed it on the first day, I really liked the interface, image quality, number of connections and most importantly PRICE. It was warm and stinky only for the first day, then everything returned to normal. In the near future I will try to check all possible connections and functions, so far everything is satisfactory!</v>
      </c>
    </row>
    <row r="4193" spans="1:9" x14ac:dyDescent="0.3">
      <c r="A4193" s="1" t="s">
        <v>61</v>
      </c>
      <c r="B4193" s="1" t="s">
        <v>145</v>
      </c>
      <c r="C4193" s="1" t="s">
        <v>246</v>
      </c>
      <c r="D4193" s="1" t="s">
        <v>1021</v>
      </c>
      <c r="E4193" s="1" t="s">
        <v>449</v>
      </c>
      <c r="F4193" s="1" t="s">
        <v>7247</v>
      </c>
      <c r="G4193" s="1" t="s">
        <v>28</v>
      </c>
      <c r="H4193" s="1" t="s">
        <v>29</v>
      </c>
      <c r="I4193" s="1" t="str">
        <f ca="1">IFERROR(__xludf.DUMMYFUNCTION("GOOGLETRANSLATE(F4193, ""auto"", ""en"")
"),"I liked everything, if you peel the potatoes correctly (1cm) then everything comes out in a bunch (like McDonald’s - “country-style potatoes”), really economical, the price was a little off, but everything is normal!")</f>
        <v>I liked everything, if you peel the potatoes correctly (1cm) then everything comes out in a bunch (like McDonald’s - “country-style potatoes”), really economical, the price was a little off, but everything is normal!</v>
      </c>
    </row>
    <row r="4194" spans="1:9" x14ac:dyDescent="0.3">
      <c r="A4194" s="1" t="s">
        <v>89</v>
      </c>
      <c r="B4194" s="1" t="s">
        <v>90</v>
      </c>
      <c r="C4194" s="1" t="s">
        <v>745</v>
      </c>
      <c r="D4194" s="1" t="s">
        <v>1681</v>
      </c>
      <c r="E4194" s="1" t="s">
        <v>7248</v>
      </c>
      <c r="F4194" s="1" t="s">
        <v>7249</v>
      </c>
      <c r="G4194" s="1" t="s">
        <v>36</v>
      </c>
      <c r="H4194" s="1" t="s">
        <v>29</v>
      </c>
      <c r="I4194" s="1" t="str">
        <f ca="1">IFERROR(__xludf.DUMMYFUNCTION("GOOGLETRANSLATE(F4194, ""auto"", ""en"")
"),"Now we’re wondering how we ever managed without it. We had never drank coffee beans before, so we didn’t need a coffee grinder. But with it and the ground leather, it’s just some kind of gift. It's much easier and tastier. It is plastic and quite light in"&amp;" weight, but it is made thoroughly. The power is decent and it doesn't consume much electricity. And they gave us a guarantee for it.")</f>
        <v>Now we’re wondering how we ever managed without it. We had never drank coffee beans before, so we didn’t need a coffee grinder. But with it and the ground leather, it’s just some kind of gift. It's much easier and tastier. It is plastic and quite light in weight, but it is made thoroughly. The power is decent and it doesn't consume much electricity. And they gave us a guarantee for it.</v>
      </c>
    </row>
    <row r="4195" spans="1:9" x14ac:dyDescent="0.3">
      <c r="A4195" s="1" t="s">
        <v>211</v>
      </c>
      <c r="B4195" s="1" t="s">
        <v>515</v>
      </c>
      <c r="C4195" s="1" t="s">
        <v>213</v>
      </c>
      <c r="D4195" s="1" t="s">
        <v>64</v>
      </c>
      <c r="E4195" s="1" t="s">
        <v>4259</v>
      </c>
      <c r="F4195" s="1" t="s">
        <v>7250</v>
      </c>
      <c r="G4195" s="1" t="s">
        <v>1580</v>
      </c>
      <c r="H4195" s="1" t="s">
        <v>29</v>
      </c>
      <c r="I4195" s="1" t="str">
        <f ca="1">IFERROR(__xludf.DUMMYFUNCTION("GOOGLETRANSLATE(F4195, ""auto"", ""en"")
"),"pulls out even short hairs")</f>
        <v>pulls out even short hairs</v>
      </c>
    </row>
    <row r="4196" spans="1:9" x14ac:dyDescent="0.3">
      <c r="A4196" s="1" t="s">
        <v>169</v>
      </c>
      <c r="B4196" s="1" t="s">
        <v>170</v>
      </c>
      <c r="C4196" s="1" t="s">
        <v>171</v>
      </c>
      <c r="D4196" s="1" t="s">
        <v>1036</v>
      </c>
      <c r="E4196" s="1" t="s">
        <v>225</v>
      </c>
      <c r="F4196" s="1" t="s">
        <v>7251</v>
      </c>
      <c r="G4196" s="1" t="s">
        <v>28</v>
      </c>
      <c r="H4196" s="1" t="s">
        <v>29</v>
      </c>
      <c r="I4196" s="1" t="str">
        <f ca="1">IFERROR(__xludf.DUMMYFUNCTION("GOOGLETRANSLATE(F4196, ""auto"", ""en"")
"),"Not bad headphones, powerful and rich bass, moderate highs, and the quality also depends on the player, I listen to them on an Apple brand player, and overall I’m satisfied")</f>
        <v>Not bad headphones, powerful and rich bass, moderate highs, and the quality also depends on the player, I listen to them on an Apple brand player, and overall I’m satisfied</v>
      </c>
    </row>
    <row r="4197" spans="1:9" x14ac:dyDescent="0.3">
      <c r="A4197" s="1" t="s">
        <v>43</v>
      </c>
      <c r="B4197" s="1" t="s">
        <v>303</v>
      </c>
      <c r="C4197" s="1" t="s">
        <v>2292</v>
      </c>
      <c r="D4197" s="1" t="s">
        <v>7252</v>
      </c>
      <c r="E4197" s="1" t="s">
        <v>1197</v>
      </c>
      <c r="F4197" s="1" t="s">
        <v>7253</v>
      </c>
      <c r="G4197" s="1" t="s">
        <v>28</v>
      </c>
      <c r="H4197" s="1" t="s">
        <v>29</v>
      </c>
      <c r="I4197" s="1" t="str">
        <f ca="1">IFERROR(__xludf.DUMMYFUNCTION("GOOGLETRANSLATE(F4197, ""auto"", ""en"")
"),"We recently bought an Edison 80 liter water heater. It heats up in 4.5 hours, not 2.5 as per the instructions, there were no problems with fastening, it’s convenient and fast. The hinges are large, there was no need to redo the holes from the previous tit"&amp;"anium.")</f>
        <v>We recently bought an Edison 80 liter water heater. It heats up in 4.5 hours, not 2.5 as per the instructions, there were no problems with fastening, it’s convenient and fast. The hinges are large, there was no need to redo the holes from the previous titanium.</v>
      </c>
    </row>
    <row r="4198" spans="1:9" x14ac:dyDescent="0.3">
      <c r="A4198" s="1" t="s">
        <v>37</v>
      </c>
      <c r="B4198" s="1" t="s">
        <v>38</v>
      </c>
      <c r="C4198" s="1" t="s">
        <v>163</v>
      </c>
      <c r="D4198" s="1" t="s">
        <v>2045</v>
      </c>
      <c r="E4198" s="1" t="s">
        <v>585</v>
      </c>
      <c r="F4198" s="1" t="s">
        <v>7254</v>
      </c>
      <c r="G4198" s="1" t="s">
        <v>36</v>
      </c>
      <c r="H4198" s="1" t="s">
        <v>29</v>
      </c>
      <c r="I4198" s="1" t="str">
        <f ca="1">IFERROR(__xludf.DUMMYFUNCTION("GOOGLETRANSLATE(F4198, ""auto"", ""en"")
"),"I bought this phone in August 2009. Excellent phone, very good speakers and sound.  Moderately stylish and inexpensive) in general, I didn’t regret buying it")</f>
        <v>I bought this phone in August 2009. Excellent phone, very good speakers and sound.  Moderately stylish and inexpensive) in general, I didn’t regret buying it</v>
      </c>
    </row>
    <row r="4199" spans="1:9" x14ac:dyDescent="0.3">
      <c r="A4199" s="1" t="s">
        <v>61</v>
      </c>
      <c r="B4199" s="1" t="s">
        <v>1727</v>
      </c>
      <c r="C4199" s="1" t="s">
        <v>122</v>
      </c>
      <c r="D4199" s="1" t="s">
        <v>7255</v>
      </c>
      <c r="E4199" s="1" t="s">
        <v>2853</v>
      </c>
      <c r="F4199" s="1" t="s">
        <v>7256</v>
      </c>
      <c r="G4199" s="1" t="s">
        <v>36</v>
      </c>
      <c r="H4199" s="1" t="s">
        <v>29</v>
      </c>
      <c r="I4199" s="1" t="str">
        <f ca="1">IFERROR(__xludf.DUMMYFUNCTION("GOOGLETRANSLATE(F4199, ""auto"", ""en"")
"),"I've been enjoying the multicooker for six months now! When you are busy, when there is little time for cooking, it is an irreplaceable thing. And the taste of the dishes is excellent.")</f>
        <v>I've been enjoying the multicooker for six months now! When you are busy, when there is little time for cooking, it is an irreplaceable thing. And the taste of the dishes is excellent.</v>
      </c>
    </row>
    <row r="4200" spans="1:9" x14ac:dyDescent="0.3">
      <c r="A4200" s="1" t="s">
        <v>30</v>
      </c>
      <c r="B4200" s="1" t="s">
        <v>50</v>
      </c>
      <c r="C4200" s="1" t="s">
        <v>658</v>
      </c>
      <c r="D4200" s="1" t="s">
        <v>7257</v>
      </c>
      <c r="E4200" s="1" t="s">
        <v>4864</v>
      </c>
      <c r="F4200" s="1" t="s">
        <v>7258</v>
      </c>
      <c r="G4200" s="1" t="s">
        <v>36</v>
      </c>
      <c r="H4200" s="1" t="s">
        <v>29</v>
      </c>
      <c r="I4200" s="1" t="str">
        <f ca="1">IFERROR(__xludf.DUMMYFUNCTION("GOOGLETRANSLATE(F4200, ""auto"", ""en"")
"),"the best combination of price and quality for the money, the battery is really weak.")</f>
        <v>the best combination of price and quality for the money, the battery is really weak.</v>
      </c>
    </row>
    <row r="4201" spans="1:9" x14ac:dyDescent="0.3">
      <c r="A4201" s="1" t="s">
        <v>120</v>
      </c>
      <c r="B4201" s="1" t="s">
        <v>196</v>
      </c>
      <c r="C4201" s="1" t="s">
        <v>69</v>
      </c>
      <c r="D4201" s="1" t="s">
        <v>7259</v>
      </c>
      <c r="E4201" s="1" t="s">
        <v>1450</v>
      </c>
      <c r="F4201" s="1" t="s">
        <v>7260</v>
      </c>
      <c r="G4201" s="1" t="s">
        <v>36</v>
      </c>
      <c r="H4201" s="1" t="s">
        <v>29</v>
      </c>
      <c r="I4201" s="1" t="str">
        <f ca="1">IFERROR(__xludf.DUMMYFUNCTION("GOOGLETRANSLATE(F4201, ""auto"", ""en"")
"),"We bought it almost a year ago, then we wanted not to overpay too much for the manufacturer; for a long time we stood in front of other brands like Panasonic, but in the price range of 30 thousand, few people were happy with the picture. We were already u"&amp;"pset that we wouldn’t take anything, when this TV caught our eye. We took it without hesitation, since it was a position better in terms of picture quality. And we have USB in our DVD player, so we’re not complaining =)")</f>
        <v>We bought it almost a year ago, then we wanted not to overpay too much for the manufacturer; for a long time we stood in front of other brands like Panasonic, but in the price range of 30 thousand, few people were happy with the picture. We were already upset that we wouldn’t take anything, when this TV caught our eye. We took it without hesitation, since it was a position better in terms of picture quality. And we have USB in our DVD player, so we’re not complaining =)</v>
      </c>
    </row>
    <row r="4202" spans="1:9" x14ac:dyDescent="0.3">
      <c r="A4202" s="1" t="s">
        <v>169</v>
      </c>
      <c r="B4202" s="1" t="s">
        <v>170</v>
      </c>
      <c r="C4202" s="1" t="s">
        <v>69</v>
      </c>
      <c r="D4202" s="1" t="s">
        <v>7261</v>
      </c>
      <c r="E4202" s="1" t="s">
        <v>21</v>
      </c>
      <c r="F4202" s="1" t="s">
        <v>7262</v>
      </c>
      <c r="G4202" s="1" t="s">
        <v>28</v>
      </c>
      <c r="H4202" s="1" t="s">
        <v>29</v>
      </c>
      <c r="I4202" s="1" t="str">
        <f ca="1">IFERROR(__xludf.DUMMYFUNCTION("GOOGLETRANSLATE(F4202, ""auto"", ""en"")
"),"They were given to me, and this fact alone made me happy. Until this year, four were (and still are) Technics RP-F550. And what’s interesting is that the sound is completely different! With Philips I can hardly hear the frequencies of the upper range, but"&amp;" the bass is excellent. The sound insulation is excellent, external sounds are almost inaudible at all.  Considering the price, we can say that the choice is quite worthy. The only pity is that the wire is short and there is no volume control.  My rating "&amp;"is 4+.")</f>
        <v>They were given to me, and this fact alone made me happy. Until this year, four were (and still are) Technics RP-F550. And what’s interesting is that the sound is completely different! With Philips I can hardly hear the frequencies of the upper range, but the bass is excellent. The sound insulation is excellent, external sounds are almost inaudible at all.  Considering the price, we can say that the choice is quite worthy. The only pity is that the wire is short and there is no volume control.  My rating is 4+.</v>
      </c>
    </row>
    <row r="4203" spans="1:9" x14ac:dyDescent="0.3">
      <c r="A4203" s="1" t="s">
        <v>211</v>
      </c>
      <c r="B4203" s="1" t="s">
        <v>856</v>
      </c>
      <c r="C4203" s="1" t="s">
        <v>57</v>
      </c>
      <c r="D4203" s="1" t="s">
        <v>1042</v>
      </c>
      <c r="E4203" s="1" t="s">
        <v>4029</v>
      </c>
      <c r="F4203" s="1" t="s">
        <v>7263</v>
      </c>
      <c r="G4203" s="1" t="s">
        <v>36</v>
      </c>
      <c r="H4203" s="1" t="s">
        <v>29</v>
      </c>
      <c r="I4203" s="1" t="str">
        <f ca="1">IFERROR(__xludf.DUMMYFUNCTION("GOOGLETRANSLATE(F4203, ""auto"", ""en"")
"),"Simply a gorgeous set for manicure and pedicure. Excellent quality of the tips (sapphire coated, very durable). Despite the fact that there are many attachments, there are no extra ones. I use them all, incl. a polishing attachment and a spatula for lifti"&amp;"ng the cuticles, I just use some more often, others less often. I really like pedicure discs, especially the large discs. After 3-4 pedicures, the heels became like those of a baby)) Comfortable handle, there is a charging indicator. Despite the fact that"&amp;" the set contains many items, it fits in the case quite compactly. The price is also quite reasonable, inexpensive in my opinion.")</f>
        <v>Simply a gorgeous set for manicure and pedicure. Excellent quality of the tips (sapphire coated, very durable). Despite the fact that there are many attachments, there are no extra ones. I use them all, incl. a polishing attachment and a spatula for lifting the cuticles, I just use some more often, others less often. I really like pedicure discs, especially the large discs. After 3-4 pedicures, the heels became like those of a baby)) Comfortable handle, there is a charging indicator. Despite the fact that the set contains many items, it fits in the case quite compactly. The price is also quite reasonable, inexpensive in my opinion.</v>
      </c>
    </row>
    <row r="4204" spans="1:9" x14ac:dyDescent="0.3">
      <c r="A4204" s="1" t="s">
        <v>61</v>
      </c>
      <c r="B4204" s="1" t="s">
        <v>318</v>
      </c>
      <c r="C4204" s="1" t="s">
        <v>213</v>
      </c>
      <c r="D4204" s="1" t="s">
        <v>228</v>
      </c>
      <c r="E4204" s="1" t="s">
        <v>1122</v>
      </c>
      <c r="F4204" s="1" t="s">
        <v>7264</v>
      </c>
      <c r="G4204" s="1" t="s">
        <v>36</v>
      </c>
      <c r="H4204" s="1" t="s">
        <v>29</v>
      </c>
      <c r="I4204" s="1" t="str">
        <f ca="1">IFERROR(__xludf.DUMMYFUNCTION("GOOGLETRANSLATE(F4204, ""auto"", ""en"")
"),"The kettle is simply super, it works like clockwork for 3 years. I looked into the description to help others choose and buy one for work.")</f>
        <v>The kettle is simply super, it works like clockwork for 3 years. I looked into the description to help others choose and buy one for work.</v>
      </c>
    </row>
    <row r="4205" spans="1:9" x14ac:dyDescent="0.3">
      <c r="A4205" s="1" t="s">
        <v>1443</v>
      </c>
      <c r="B4205" s="1" t="s">
        <v>4684</v>
      </c>
      <c r="C4205" s="1" t="s">
        <v>97</v>
      </c>
      <c r="D4205" s="1" t="s">
        <v>7265</v>
      </c>
      <c r="E4205" s="1" t="s">
        <v>6357</v>
      </c>
      <c r="F4205" s="1" t="s">
        <v>6322</v>
      </c>
      <c r="G4205" s="1" t="s">
        <v>49</v>
      </c>
      <c r="H4205" s="1" t="s">
        <v>16</v>
      </c>
      <c r="I4205" s="1" t="str">
        <f ca="1">IFERROR(__xludf.DUMMYFUNCTION("GOOGLETRANSLATE(F4205, ""auto"", ""en"")
"),"There are no advantages!")</f>
        <v>There are no advantages!</v>
      </c>
    </row>
    <row r="4206" spans="1:9" x14ac:dyDescent="0.3">
      <c r="A4206" s="1" t="s">
        <v>120</v>
      </c>
      <c r="B4206" s="1" t="s">
        <v>256</v>
      </c>
      <c r="C4206" s="1" t="s">
        <v>32</v>
      </c>
      <c r="D4206" s="1" t="s">
        <v>139</v>
      </c>
      <c r="E4206" s="1" t="s">
        <v>1177</v>
      </c>
      <c r="F4206" s="1" t="s">
        <v>7266</v>
      </c>
      <c r="G4206" s="1" t="s">
        <v>36</v>
      </c>
      <c r="H4206" s="1" t="s">
        <v>29</v>
      </c>
      <c r="I4206" s="1" t="str">
        <f ca="1">IFERROR(__xludf.DUMMYFUNCTION("GOOGLETRANSLATE(F4206, ""auto"", ""en"")
"),"Excellent TV. I took it as a gift for my parents, and my wife and I will watch it in the kitchen! I was pleased with the picture quality. The functionality is generally excellent. It can also be used as a monitor!")</f>
        <v>Excellent TV. I took it as a gift for my parents, and my wife and I will watch it in the kitchen! I was pleased with the picture quality. The functionality is generally excellent. It can also be used as a monitor!</v>
      </c>
    </row>
    <row r="4207" spans="1:9" x14ac:dyDescent="0.3">
      <c r="A4207" s="1" t="s">
        <v>55</v>
      </c>
      <c r="B4207" s="1" t="s">
        <v>184</v>
      </c>
      <c r="C4207" s="1" t="s">
        <v>101</v>
      </c>
      <c r="D4207" s="1" t="s">
        <v>39</v>
      </c>
      <c r="E4207" s="1" t="s">
        <v>1639</v>
      </c>
      <c r="F4207" s="1" t="s">
        <v>7267</v>
      </c>
      <c r="G4207" s="1" t="s">
        <v>36</v>
      </c>
      <c r="H4207" s="1" t="s">
        <v>29</v>
      </c>
      <c r="I4207" s="1" t="str">
        <f ca="1">IFERROR(__xludf.DUMMYFUNCTION("GOOGLETRANSLATE(F4207, ""auto"", ""en"")
"),"I don’t understand why charge more if this one works perfectly! does not burn oxygen and does not dry out the air. heats up quickly, doesn’t make much noise (you can sleep), and even with a thermostat! I haven’t unplugged it at all for a month now. During"&amp;" the day I set it to one temperature and it holds it. On a warm day it doesn’t turn on at all, but at night it happens 3 times. The window is always slightly open because... Without micro-ventilation, the air will become heavy. warms up the room by 2 degr"&amp;"ees and turns off. Excellent fan heater. My parents liked it - I’ll go for the second one now)))")</f>
        <v>I don’t understand why charge more if this one works perfectly! does not burn oxygen and does not dry out the air. heats up quickly, doesn’t make much noise (you can sleep), and even with a thermostat! I haven’t unplugged it at all for a month now. During the day I set it to one temperature and it holds it. On a warm day it doesn’t turn on at all, but at night it happens 3 times. The window is always slightly open because... Without micro-ventilation, the air will become heavy. warms up the room by 2 degrees and turns off. Excellent fan heater. My parents liked it - I’ll go for the second one now)))</v>
      </c>
    </row>
    <row r="4208" spans="1:9" x14ac:dyDescent="0.3">
      <c r="A4208" s="1" t="s">
        <v>624</v>
      </c>
      <c r="B4208" s="1" t="s">
        <v>2107</v>
      </c>
      <c r="C4208" s="1" t="s">
        <v>479</v>
      </c>
      <c r="D4208" s="1" t="s">
        <v>305</v>
      </c>
      <c r="E4208" s="1" t="s">
        <v>1432</v>
      </c>
      <c r="F4208" s="1" t="s">
        <v>7268</v>
      </c>
      <c r="G4208" s="1" t="s">
        <v>36</v>
      </c>
      <c r="H4208" s="1" t="s">
        <v>29</v>
      </c>
      <c r="I4208" s="1" t="str">
        <f ca="1">IFERROR(__xludf.DUMMYFUNCTION("GOOGLETRANSLATE(F4208, ""auto"", ""en"")
"),"I completed the game once... it's a cool din) the plot is cool, it's more hardcore, unlike the old one... How is this edition different from the simple one?) and soon this game will be brought to Chekhov's homeland?)")</f>
        <v>I completed the game once... it's a cool din) the plot is cool, it's more hardcore, unlike the old one... How is this edition different from the simple one?) and soon this game will be brought to Chekhov's homeland?)</v>
      </c>
    </row>
    <row r="4209" spans="1:9" x14ac:dyDescent="0.3">
      <c r="A4209" s="1" t="s">
        <v>211</v>
      </c>
      <c r="B4209" s="1" t="s">
        <v>212</v>
      </c>
      <c r="C4209" s="1" t="s">
        <v>69</v>
      </c>
      <c r="D4209" s="1" t="s">
        <v>592</v>
      </c>
      <c r="E4209" s="1" t="s">
        <v>4670</v>
      </c>
      <c r="F4209" s="1" t="s">
        <v>7269</v>
      </c>
      <c r="G4209" s="1" t="s">
        <v>36</v>
      </c>
      <c r="H4209" s="1" t="s">
        <v>29</v>
      </c>
      <c r="I4209" s="1" t="str">
        <f ca="1">IFERROR(__xludf.DUMMYFUNCTION("GOOGLETRANSLATE(F4209, ""auto"", ""en"")
"),"Great hairdryer! You just need to get used to it: I have an elongated bob, I got used to it on the third styling. I use both brushes; I threw away the concentrator as no longer needed. Doesn't burn my hair, very happy with the purchase")</f>
        <v>Great hairdryer! You just need to get used to it: I have an elongated bob, I got used to it on the third styling. I use both brushes; I threw away the concentrator as no longer needed. Doesn't burn my hair, very happy with the purchase</v>
      </c>
    </row>
    <row r="4210" spans="1:9" x14ac:dyDescent="0.3">
      <c r="A4210" s="1" t="s">
        <v>206</v>
      </c>
      <c r="B4210" s="1" t="s">
        <v>1349</v>
      </c>
      <c r="C4210" s="1" t="s">
        <v>351</v>
      </c>
      <c r="D4210" s="1" t="s">
        <v>39</v>
      </c>
      <c r="E4210" s="1" t="s">
        <v>7270</v>
      </c>
      <c r="F4210" s="1" t="s">
        <v>7271</v>
      </c>
      <c r="G4210" s="1" t="s">
        <v>36</v>
      </c>
      <c r="H4210" s="1" t="s">
        <v>29</v>
      </c>
      <c r="I4210" s="1" t="str">
        <f ca="1">IFERROR(__xludf.DUMMYFUNCTION("GOOGLETRANSLATE(F4210, ""auto"", ""en"")
"),"Optimal combination of price and quality.  Andrey (Kazan), you are doing everything right, it’s just that this radio does not read more than 4 or even 2 GB SD.   Who knows where to get the socket for this radio? I recently crushed my display :(")</f>
        <v>Optimal combination of price and quality.  Andrey (Kazan), you are doing everything right, it’s just that this radio does not read more than 4 or even 2 GB SD.   Who knows where to get the socket for this radio? I recently crushed my display :(</v>
      </c>
    </row>
    <row r="4211" spans="1:9" x14ac:dyDescent="0.3">
      <c r="A4211" s="1" t="s">
        <v>37</v>
      </c>
      <c r="B4211" s="1" t="s">
        <v>38</v>
      </c>
      <c r="C4211" s="1" t="s">
        <v>39</v>
      </c>
      <c r="D4211" s="1" t="s">
        <v>305</v>
      </c>
      <c r="E4211" s="1" t="s">
        <v>1321</v>
      </c>
      <c r="F4211" s="1" t="s">
        <v>7272</v>
      </c>
      <c r="G4211" s="1" t="s">
        <v>36</v>
      </c>
      <c r="H4211" s="1" t="s">
        <v>29</v>
      </c>
      <c r="I4211" s="1" t="str">
        <f ca="1">IFERROR(__xludf.DUMMYFUNCTION("GOOGLETRANSLATE(F4211, ""auto"", ""en"")
"),"excellent device. When buying you need to look at what and how. The camera is great and the sound is excellent and stylish. a worthy answer to competitors.")</f>
        <v>excellent device. When buying you need to look at what and how. The camera is great and the sound is excellent and stylish. a worthy answer to competitors.</v>
      </c>
    </row>
    <row r="4212" spans="1:9" x14ac:dyDescent="0.3">
      <c r="A4212" s="1" t="s">
        <v>206</v>
      </c>
      <c r="B4212" s="1" t="s">
        <v>261</v>
      </c>
      <c r="C4212" s="1" t="s">
        <v>262</v>
      </c>
      <c r="D4212" s="1" t="s">
        <v>7273</v>
      </c>
      <c r="E4212" s="1" t="s">
        <v>7274</v>
      </c>
      <c r="F4212" s="1" t="s">
        <v>7275</v>
      </c>
      <c r="G4212" s="1" t="s">
        <v>49</v>
      </c>
      <c r="H4212" s="1" t="s">
        <v>16</v>
      </c>
      <c r="I4212" s="1" t="str">
        <f ca="1">IFERROR(__xludf.DUMMYFUNCTION("GOOGLETRANSLATE(F4212, ""auto"", ""en"")
"),"This is not copper! Good copper ones will cost from 3k per set for a 4-channel amplifier. I advise you to buy power, signal, etc. separately.")</f>
        <v>This is not copper! Good copper ones will cost from 3k per set for a 4-channel amplifier. I advise you to buy power, signal, etc. separately.</v>
      </c>
    </row>
    <row r="4213" spans="1:9" x14ac:dyDescent="0.3">
      <c r="A4213" s="1" t="s">
        <v>811</v>
      </c>
      <c r="B4213" s="1" t="s">
        <v>1599</v>
      </c>
      <c r="C4213" s="1" t="s">
        <v>3051</v>
      </c>
      <c r="D4213" s="1" t="s">
        <v>152</v>
      </c>
      <c r="E4213" s="1" t="s">
        <v>5979</v>
      </c>
      <c r="F4213" s="1" t="s">
        <v>7276</v>
      </c>
      <c r="G4213" s="1" t="s">
        <v>36</v>
      </c>
      <c r="H4213" s="1" t="s">
        <v>29</v>
      </c>
      <c r="I4213" s="1" t="str">
        <f ca="1">IFERROR(__xludf.DUMMYFUNCTION("GOOGLETRANSLATE(F4213, ""auto"", ""en"")
"),"An incredibly durable and comfortable backpack, both for photos and for simple trips (if you take out the insides), a compartment for documents and a laptop, I easily stuffed an HP-17 inch in there, I’ve been using it for two years, no complaints.")</f>
        <v>An incredibly durable and comfortable backpack, both for photos and for simple trips (if you take out the insides), a compartment for documents and a laptop, I easily stuffed an HP-17 inch in there, I’ve been using it for two years, no complaints.</v>
      </c>
    </row>
    <row r="4214" spans="1:9" x14ac:dyDescent="0.3">
      <c r="A4214" s="1" t="s">
        <v>43</v>
      </c>
      <c r="B4214" s="1" t="s">
        <v>303</v>
      </c>
      <c r="C4214" s="1" t="s">
        <v>1721</v>
      </c>
      <c r="D4214" s="1" t="s">
        <v>943</v>
      </c>
      <c r="E4214" s="1" t="s">
        <v>4361</v>
      </c>
      <c r="F4214" s="1" t="s">
        <v>7277</v>
      </c>
      <c r="G4214" s="1" t="s">
        <v>49</v>
      </c>
      <c r="H4214" s="1" t="s">
        <v>16</v>
      </c>
      <c r="I4214" s="1" t="str">
        <f ca="1">IFERROR(__xludf.DUMMYFUNCTION("GOOGLETRANSLATE(F4214, ""auto"", ""en"")
"),"We bought an Ariston ABS PRO ECO 80V water heater; it worked for 1 year and 3 months; the casing leaked. It's a shame that you wasted money on low quality products. I will never buy anything from the Ariston brand again and will advise my friends against "&amp;"it.")</f>
        <v>We bought an Ariston ABS PRO ECO 80V water heater; it worked for 1 year and 3 months; the casing leaked. It's a shame that you wasted money on low quality products. I will never buy anything from the Ariston brand again and will advise my friends against it.</v>
      </c>
    </row>
    <row r="4215" spans="1:9" x14ac:dyDescent="0.3">
      <c r="A4215" s="1" t="s">
        <v>211</v>
      </c>
      <c r="B4215" s="1" t="s">
        <v>212</v>
      </c>
      <c r="C4215" s="1" t="s">
        <v>294</v>
      </c>
      <c r="D4215" s="1" t="s">
        <v>474</v>
      </c>
      <c r="E4215" s="1" t="s">
        <v>2543</v>
      </c>
      <c r="F4215" s="1" t="s">
        <v>7278</v>
      </c>
      <c r="G4215" s="1" t="s">
        <v>28</v>
      </c>
      <c r="H4215" s="1" t="s">
        <v>29</v>
      </c>
      <c r="I4215" s="1" t="str">
        <f ca="1">IFERROR(__xludf.DUMMYFUNCTION("GOOGLETRANSLATE(F4215, ""auto"", ""en"")
"),"Ionization is really not felt. I’ve been using it for over a year now and the plates have started to wear off. But in general, it’s really nothing.")</f>
        <v>Ionization is really not felt. I’ve been using it for over a year now and the plates have started to wear off. But in general, it’s really nothing.</v>
      </c>
    </row>
    <row r="4216" spans="1:9" x14ac:dyDescent="0.3">
      <c r="A4216" s="1" t="s">
        <v>37</v>
      </c>
      <c r="B4216" s="1" t="s">
        <v>355</v>
      </c>
      <c r="C4216" s="1" t="s">
        <v>356</v>
      </c>
      <c r="D4216" s="1" t="s">
        <v>7279</v>
      </c>
      <c r="E4216" s="1" t="s">
        <v>7124</v>
      </c>
      <c r="F4216" s="1" t="s">
        <v>7280</v>
      </c>
      <c r="G4216" s="1" t="s">
        <v>36</v>
      </c>
      <c r="H4216" s="1" t="s">
        <v>29</v>
      </c>
      <c r="I4216" s="1" t="str">
        <f ca="1">IFERROR(__xludf.DUMMYFUNCTION("GOOGLETRANSLATE(F4216, ""auto"", ""en"")
"),"This apple phone is worth the money spent. For comparison, I checked the performance on my iPhone 2G. The difference in speed is noticeable. The only thing that surprised me was the packaging... it was reported that the box would contain a cloth for wipin"&amp;"g the screen and a “clip” for opening the SIM tray. Unfortunately, I didn't see them...")</f>
        <v>This apple phone is worth the money spent. For comparison, I checked the performance on my iPhone 2G. The difference in speed is noticeable. The only thing that surprised me was the packaging... it was reported that the box would contain a cloth for wiping the screen and a “clip” for opening the SIM tray. Unfortunately, I didn't see them...</v>
      </c>
    </row>
    <row r="4217" spans="1:9" x14ac:dyDescent="0.3">
      <c r="A4217" s="1" t="s">
        <v>30</v>
      </c>
      <c r="B4217" s="1" t="s">
        <v>31</v>
      </c>
      <c r="C4217" s="1" t="s">
        <v>32</v>
      </c>
      <c r="D4217" s="1" t="s">
        <v>186</v>
      </c>
      <c r="E4217" s="1" t="s">
        <v>1852</v>
      </c>
      <c r="F4217" s="1" t="s">
        <v>7281</v>
      </c>
      <c r="G4217" s="1" t="s">
        <v>36</v>
      </c>
      <c r="H4217" s="1" t="s">
        <v>29</v>
      </c>
      <c r="I4217" s="1" t="str">
        <f ca="1">IFERROR(__xludf.DUMMYFUNCTION("GOOGLETRANSLATE(F4217, ""auto"", ""en"")
"),"The computer is just great!! Only here it says that windiws 7 Home Basic, but I have Home Advanced.  In general, it makes almost no noise and this is the main plus. I ADVISE EVERYONE TO BUY IT")</f>
        <v>The computer is just great!! Only here it says that windiws 7 Home Basic, but I have Home Advanced.  In general, it makes almost no noise and this is the main plus. I ADVISE EVERYONE TO BUY IT</v>
      </c>
    </row>
    <row r="4218" spans="1:9" x14ac:dyDescent="0.3">
      <c r="A4218" s="1" t="s">
        <v>61</v>
      </c>
      <c r="B4218" s="1" t="s">
        <v>62</v>
      </c>
      <c r="C4218" s="1" t="s">
        <v>246</v>
      </c>
      <c r="D4218" s="1" t="s">
        <v>592</v>
      </c>
      <c r="E4218" s="1" t="s">
        <v>2512</v>
      </c>
      <c r="F4218" s="1" t="s">
        <v>7282</v>
      </c>
      <c r="G4218" s="1" t="s">
        <v>36</v>
      </c>
      <c r="H4218" s="1" t="s">
        <v>29</v>
      </c>
      <c r="I4218" s="1" t="str">
        <f ca="1">IFERROR(__xludf.DUMMYFUNCTION("GOOGLETRANSLATE(F4218, ""auto"", ""en"")
"),"A good combine compared to other brands such as Bosh and some others, the attachments are very convenient to find (at the bottom of the combine), there is no need to hold them, the attachments do not break or bend, in general I really liked it.")</f>
        <v>A good combine compared to other brands such as Bosh and some others, the attachments are very convenient to find (at the bottom of the combine), there is no need to hold them, the attachments do not break or bend, in general I really liked it.</v>
      </c>
    </row>
    <row r="4219" spans="1:9" x14ac:dyDescent="0.3">
      <c r="A4219" s="1" t="s">
        <v>477</v>
      </c>
      <c r="B4219" s="1" t="s">
        <v>478</v>
      </c>
      <c r="C4219" s="1" t="s">
        <v>479</v>
      </c>
      <c r="D4219" s="1" t="s">
        <v>7283</v>
      </c>
      <c r="E4219" s="1" t="s">
        <v>285</v>
      </c>
      <c r="F4219" s="1" t="s">
        <v>7284</v>
      </c>
      <c r="G4219" s="1" t="s">
        <v>36</v>
      </c>
      <c r="H4219" s="1" t="s">
        <v>29</v>
      </c>
      <c r="I4219" s="1" t="str">
        <f ca="1">IFERROR(__xludf.DUMMYFUNCTION("GOOGLETRANSLATE(F4219, ""auto"", ""en"")
"),"Here it is! Or rather, she is the Real Strategy of Real Time! Join the ranks of the Terran Confederates, Protoss Templars, or join the Zerg army! Endless scope for creativity, a huge number of tactics for each side, a complex scenario editor, free play on"&amp;" battle.net - this is a small list of the advantages of the game StarCraft: Brood War!!! I recommend it to everyone!  :))")</f>
        <v>Here it is! Or rather, she is the Real Strategy of Real Time! Join the ranks of the Terran Confederates, Protoss Templars, or join the Zerg army! Endless scope for creativity, a huge number of tactics for each side, a complex scenario editor, free play on battle.net - this is a small list of the advantages of the game StarCraft: Brood War!!! I recommend it to everyone!  :))</v>
      </c>
    </row>
    <row r="4220" spans="1:9" x14ac:dyDescent="0.3">
      <c r="A4220" s="1" t="s">
        <v>9</v>
      </c>
      <c r="B4220" s="1" t="s">
        <v>10</v>
      </c>
      <c r="C4220" s="1" t="s">
        <v>466</v>
      </c>
      <c r="D4220" s="1" t="s">
        <v>1188</v>
      </c>
      <c r="E4220" s="1" t="s">
        <v>3145</v>
      </c>
      <c r="F4220" s="1" t="s">
        <v>7285</v>
      </c>
      <c r="G4220" s="1" t="s">
        <v>49</v>
      </c>
      <c r="H4220" s="1" t="s">
        <v>16</v>
      </c>
      <c r="I4220" s="1" t="str">
        <f ca="1">IFERROR(__xludf.DUMMYFUNCTION("GOOGLETRANSLATE(F4220, ""auto"", ""en"")
"),"I don't see")</f>
        <v>I don't see</v>
      </c>
    </row>
    <row r="4221" spans="1:9" x14ac:dyDescent="0.3">
      <c r="A4221" s="1" t="s">
        <v>17</v>
      </c>
      <c r="B4221" s="1" t="s">
        <v>18</v>
      </c>
      <c r="C4221" s="1" t="s">
        <v>243</v>
      </c>
      <c r="D4221" s="1" t="s">
        <v>20</v>
      </c>
      <c r="E4221" s="1" t="s">
        <v>7286</v>
      </c>
      <c r="F4221" s="1" t="s">
        <v>7287</v>
      </c>
      <c r="G4221" s="1" t="s">
        <v>49</v>
      </c>
      <c r="H4221" s="1" t="s">
        <v>16</v>
      </c>
      <c r="I4221" s="1" t="str">
        <f ca="1">IFERROR(__xludf.DUMMYFUNCTION("GOOGLETRANSLATE(F4221, ""auto"", ""en"")
"),"It washes well, the noise is moderate, it didn’t even jump on the wooden floor in the country house.  I worked for 2 summer seasons, but during the 3rd I was brain dead. In total, the service was sentenced to replace the electronic control unit. The maste"&amp;"r advised me to throw it in the trash and forget it like a bad dream. I absolutely do not recommend it!")</f>
        <v>It washes well, the noise is moderate, it didn’t even jump on the wooden floor in the country house.  I worked for 2 summer seasons, but during the 3rd I was brain dead. In total, the service was sentenced to replace the electronic control unit. The master advised me to throw it in the trash and forget it like a bad dream. I absolutely do not recommend it!</v>
      </c>
    </row>
    <row r="4222" spans="1:9" x14ac:dyDescent="0.3">
      <c r="A4222" s="1" t="s">
        <v>149</v>
      </c>
      <c r="B4222" s="1" t="s">
        <v>423</v>
      </c>
      <c r="C4222" s="1" t="s">
        <v>531</v>
      </c>
      <c r="D4222" s="1" t="s">
        <v>1055</v>
      </c>
      <c r="E4222" s="1" t="s">
        <v>1984</v>
      </c>
      <c r="F4222" s="1" t="s">
        <v>7288</v>
      </c>
      <c r="G4222" s="1" t="s">
        <v>36</v>
      </c>
      <c r="H4222" s="1" t="s">
        <v>29</v>
      </c>
      <c r="I4222" s="1" t="str">
        <f ca="1">IFERROR(__xludf.DUMMYFUNCTION("GOOGLETRANSLATE(F4222, ""auto"", ""en"")
"),"I’ve been using the vacuum cleaner for about three years, during which time I’ve changed the HEPA filter a couple of times, only now I’m going to replace the sponge filters. Who said that a set of filters costs as much as half a vacuum cleaner - nonsense!"&amp;" 290 rubles for a set of filters in a nearby store. As for the breakdown of the telescopic tube, I had the same problem six months ago. I solved the problem by removing the external button, and underneath it there is a system of two springs and two button"&amp;"s. I just press the desired button and the telescopic system works. There is no need to buy a new handset. Someone else wrote that there is no nozzle for cleaning windows - this is not true, all this is included in the basic package. Washing a vacuum clea"&amp;"ner at first can indeed take a lot of time, but soon you will get the hang of it and will spend 7-10 minutes on it. But the result is worth it - clean floors, carpets, windows, upholstered furniture, fresh air after cleaning. A big plus is that in the eve"&amp;"nt of an accident in the form of spilled water on the floor, you can easily collect the water with a vacuum cleaner and will not have to worry about rags and buckets. Advice for those who will often use the washing mode - after cleaning, change the water "&amp;"in the vacuum cleaner and run a couple of liters of clean water through it (exactly as much as fits in the clean water container) to rinse the hoses, and let it run dry for a couple of minutes to dry the hoses. Then you will not be bothered by the musty s"&amp;"mell that may appear after dirt stagnates in the hose. Overall, I am very pleased with the vacuum cleaner and have no plans to change it, it has worked for 3 years without any complaints, the power has not decreased, unlike simple vacuum cleaners, which a"&amp;"fter a while begin to suck poorly)")</f>
        <v>I’ve been using the vacuum cleaner for about three years, during which time I’ve changed the HEPA filter a couple of times, only now I’m going to replace the sponge filters. Who said that a set of filters costs as much as half a vacuum cleaner - nonsense! 290 rubles for a set of filters in a nearby store. As for the breakdown of the telescopic tube, I had the same problem six months ago. I solved the problem by removing the external button, and underneath it there is a system of two springs and two buttons. I just press the desired button and the telescopic system works. There is no need to buy a new handset. Someone else wrote that there is no nozzle for cleaning windows - this is not true, all this is included in the basic package. Washing a vacuum cleaner at first can indeed take a lot of time, but soon you will get the hang of it and will spend 7-10 minutes on it. But the result is worth it - clean floors, carpets, windows, upholstered furniture, fresh air after cleaning. A big plus is that in the event of an accident in the form of spilled water on the floor, you can easily collect the water with a vacuum cleaner and will not have to worry about rags and buckets. Advice for those who will often use the washing mode - after cleaning, change the water in the vacuum cleaner and run a couple of liters of clean water through it (exactly as much as fits in the clean water container) to rinse the hoses, and let it run dry for a couple of minutes to dry the hoses. Then you will not be bothered by the musty smell that may appear after dirt stagnates in the hose. Overall, I am very pleased with the vacuum cleaner and have no plans to change it, it has worked for 3 years without any complaints, the power has not decreased, unlike simple vacuum cleaners, which after a while begin to suck poorly)</v>
      </c>
    </row>
    <row r="4223" spans="1:9" x14ac:dyDescent="0.3">
      <c r="A4223" s="1" t="s">
        <v>811</v>
      </c>
      <c r="B4223" s="1" t="s">
        <v>1294</v>
      </c>
      <c r="C4223" s="1" t="s">
        <v>1295</v>
      </c>
      <c r="D4223" s="1" t="s">
        <v>1461</v>
      </c>
      <c r="E4223" s="1" t="s">
        <v>4770</v>
      </c>
      <c r="F4223" s="1" t="s">
        <v>7289</v>
      </c>
      <c r="G4223" s="1" t="s">
        <v>28</v>
      </c>
      <c r="H4223" s="1" t="s">
        <v>29</v>
      </c>
      <c r="I4223" s="1" t="str">
        <f ca="1">IFERROR(__xludf.DUMMYFUNCTION("GOOGLETRANSLATE(F4223, ""auto"", ""en"")
"),"I bought it for cleaning the iPad display when replacing the touchscreen. The rating is five.  The only drawback (minus one point) is that the brush loses lint, but this is not critical.  Don't forget to read and follow the instructions)")</f>
        <v>I bought it for cleaning the iPad display when replacing the touchscreen. The rating is five.  The only drawback (minus one point) is that the brush loses lint, but this is not critical.  Don't forget to read and follow the instructions)</v>
      </c>
    </row>
    <row r="4224" spans="1:9" x14ac:dyDescent="0.3">
      <c r="A4224" s="1" t="s">
        <v>17</v>
      </c>
      <c r="B4224" s="1" t="s">
        <v>18</v>
      </c>
      <c r="C4224" s="1" t="s">
        <v>243</v>
      </c>
      <c r="D4224" s="1" t="s">
        <v>474</v>
      </c>
      <c r="E4224" s="1" t="s">
        <v>2484</v>
      </c>
      <c r="F4224" s="1" t="s">
        <v>7290</v>
      </c>
      <c r="G4224" s="1" t="s">
        <v>36</v>
      </c>
      <c r="H4224" s="1" t="s">
        <v>29</v>
      </c>
      <c r="I4224" s="1" t="str">
        <f ca="1">IFERROR(__xludf.DUMMYFUNCTION("GOOGLETRANSLATE(F4224, ""auto"", ""en"")
"),"Vibration for those who did not install it correctly (remove the shipping bolts). I like everything so far. True, I haven’t used it much yet. There’s practically no vibration at all. It’s generally quiet. There’s not much to say about the quality of the w"&amp;"ash. It washes just like everyone else.")</f>
        <v>Vibration for those who did not install it correctly (remove the shipping bolts). I like everything so far. True, I haven’t used it much yet. There’s practically no vibration at all. It’s generally quiet. There’s not much to say about the quality of the wash. It washes just like everyone else.</v>
      </c>
    </row>
    <row r="4225" spans="1:9" x14ac:dyDescent="0.3">
      <c r="A4225" s="1" t="s">
        <v>95</v>
      </c>
      <c r="B4225" s="1" t="s">
        <v>227</v>
      </c>
      <c r="C4225" s="1" t="s">
        <v>97</v>
      </c>
      <c r="D4225" s="1" t="s">
        <v>7291</v>
      </c>
      <c r="E4225" s="1" t="s">
        <v>3637</v>
      </c>
      <c r="F4225" s="1" t="s">
        <v>7292</v>
      </c>
      <c r="G4225" s="1" t="s">
        <v>36</v>
      </c>
      <c r="H4225" s="1" t="s">
        <v>29</v>
      </c>
      <c r="I4225" s="1" t="str">
        <f ca="1">IFERROR(__xludf.DUMMYFUNCTION("GOOGLETRANSLATE(F4225, ""auto"", ""en"")
"),"super console")</f>
        <v>super console</v>
      </c>
    </row>
    <row r="4226" spans="1:9" x14ac:dyDescent="0.3">
      <c r="A4226" s="1" t="s">
        <v>95</v>
      </c>
      <c r="B4226" s="1" t="s">
        <v>573</v>
      </c>
      <c r="C4226" s="1" t="s">
        <v>97</v>
      </c>
      <c r="D4226" s="1" t="s">
        <v>37</v>
      </c>
      <c r="E4226" s="1" t="s">
        <v>285</v>
      </c>
      <c r="F4226" s="1" t="s">
        <v>7293</v>
      </c>
      <c r="G4226" s="1" t="s">
        <v>36</v>
      </c>
      <c r="H4226" s="1" t="s">
        <v>29</v>
      </c>
      <c r="I4226" s="1" t="str">
        <f ca="1">IFERROR(__xludf.DUMMYFUNCTION("GOOGLETRANSLATE(F4226, ""auto"", ""en"")
"),"Today, PlayStation 2 is the best console in the whole WORLD.")</f>
        <v>Today, PlayStation 2 is the best console in the whole WORLD.</v>
      </c>
    </row>
    <row r="4227" spans="1:9" x14ac:dyDescent="0.3">
      <c r="A4227" s="1" t="s">
        <v>17</v>
      </c>
      <c r="B4227" s="1" t="s">
        <v>325</v>
      </c>
      <c r="C4227" s="1" t="s">
        <v>326</v>
      </c>
      <c r="D4227" s="1" t="s">
        <v>621</v>
      </c>
      <c r="E4227" s="1" t="s">
        <v>7294</v>
      </c>
      <c r="F4227" s="1" t="s">
        <v>7295</v>
      </c>
      <c r="G4227" s="1" t="s">
        <v>49</v>
      </c>
      <c r="H4227" s="1" t="s">
        <v>16</v>
      </c>
      <c r="I4227" s="1" t="str">
        <f ca="1">IFERROR(__xludf.DUMMYFUNCTION("GOOGLETRANSLATE(F4227, ""auto"", ""en"")
"),"After five washes, the water drain switch fell off. The water drain switch, which was very hard and made of thin plastic, became loose. The car had to be returned. The money was returned.")</f>
        <v>After five washes, the water drain switch fell off. The water drain switch, which was very hard and made of thin plastic, became loose. The car had to be returned. The money was returned.</v>
      </c>
    </row>
    <row r="4228" spans="1:9" x14ac:dyDescent="0.3">
      <c r="A4228" s="1" t="s">
        <v>206</v>
      </c>
      <c r="B4228" s="1" t="s">
        <v>2026</v>
      </c>
      <c r="C4228" s="1" t="s">
        <v>351</v>
      </c>
      <c r="D4228" s="1" t="s">
        <v>305</v>
      </c>
      <c r="E4228" s="1" t="s">
        <v>2514</v>
      </c>
      <c r="F4228" s="1" t="s">
        <v>7296</v>
      </c>
      <c r="G4228" s="1" t="s">
        <v>49</v>
      </c>
      <c r="H4228" s="1" t="s">
        <v>16</v>
      </c>
      <c r="I4228" s="1" t="str">
        <f ca="1">IFERROR(__xludf.DUMMYFUNCTION("GOOGLETRANSLATE(F4228, ""auto"", ""en"")
"),"bought. opened it - the case had elements of corrosion. changed it to another one. During 3 hours of operation, the sound periodically disappears, it turns on from any button. you won't get bored with her!!! went to return (((")</f>
        <v>bought. opened it - the case had elements of corrosion. changed it to another one. During 3 hours of operation, the sound periodically disappears, it turns on from any button. you won't get bored with her!!! went to return (((</v>
      </c>
    </row>
    <row r="4229" spans="1:9" x14ac:dyDescent="0.3">
      <c r="A4229" s="1" t="s">
        <v>37</v>
      </c>
      <c r="B4229" s="1" t="s">
        <v>38</v>
      </c>
      <c r="C4229" s="1" t="s">
        <v>69</v>
      </c>
      <c r="D4229" s="1" t="s">
        <v>1894</v>
      </c>
      <c r="E4229" s="1" t="s">
        <v>1682</v>
      </c>
      <c r="F4229" s="1" t="s">
        <v>7297</v>
      </c>
      <c r="G4229" s="1" t="s">
        <v>28</v>
      </c>
      <c r="H4229" s="1" t="s">
        <v>29</v>
      </c>
      <c r="I4229" s="1" t="str">
        <f ca="1">IFERROR(__xludf.DUMMYFUNCTION("GOOGLETRANSLATE(F4229, ""auto"", ""en"")
"),"A very good phone for the money.")</f>
        <v>A very good phone for the money.</v>
      </c>
    </row>
    <row r="4230" spans="1:9" x14ac:dyDescent="0.3">
      <c r="A4230" s="1" t="s">
        <v>37</v>
      </c>
      <c r="B4230" s="1" t="s">
        <v>38</v>
      </c>
      <c r="C4230" s="1" t="s">
        <v>69</v>
      </c>
      <c r="D4230" s="1" t="s">
        <v>568</v>
      </c>
      <c r="E4230" s="1" t="s">
        <v>1765</v>
      </c>
      <c r="F4230" s="1" t="s">
        <v>7298</v>
      </c>
      <c r="G4230" s="1" t="s">
        <v>28</v>
      </c>
      <c r="H4230" s="1" t="s">
        <v>29</v>
      </c>
      <c r="I4230" s="1" t="str">
        <f ca="1">IFERROR(__xludf.DUMMYFUNCTION("GOOGLETRANSLATE(F4230, ""auto"", ""en"")
"),"excellent phone, holds a charge perfectly, and extra. the power supply saves you from the consequences of forgetfulness, I just bought an AAA battery anywhere and that’s it... I’m happy, it doesn’t read all video files... not even any 3gp... but this is, "&amp;"first of all, a phone...")</f>
        <v>excellent phone, holds a charge perfectly, and extra. the power supply saves you from the consequences of forgetfulness, I just bought an AAA battery anywhere and that’s it... I’m happy, it doesn’t read all video files... not even any 3gp... but this is, first of all, a phone...</v>
      </c>
    </row>
    <row r="4231" spans="1:9" x14ac:dyDescent="0.3">
      <c r="A4231" s="1" t="s">
        <v>111</v>
      </c>
      <c r="B4231" s="1" t="s">
        <v>112</v>
      </c>
      <c r="C4231" s="1" t="s">
        <v>113</v>
      </c>
      <c r="D4231" s="1" t="s">
        <v>102</v>
      </c>
      <c r="E4231" s="1" t="s">
        <v>5633</v>
      </c>
      <c r="F4231" s="1" t="s">
        <v>7299</v>
      </c>
      <c r="G4231" s="1" t="s">
        <v>49</v>
      </c>
      <c r="H4231" s="1" t="s">
        <v>16</v>
      </c>
      <c r="I4231" s="1" t="str">
        <f ca="1">IFERROR(__xludf.DUMMYFUNCTION("GOOGLETRANSLATE(F4231, ""auto"", ""en"")
"),"I chose this filter based on the forum and reviews as the best one. It burned out after working for 1 month. Out of the blue. At the same time, the machine gun in the dashboard was switched off. I really don't recommend it!")</f>
        <v>I chose this filter based on the forum and reviews as the best one. It burned out after working for 1 month. Out of the blue. At the same time, the machine gun in the dashboard was switched off. I really don't recommend it!</v>
      </c>
    </row>
    <row r="4232" spans="1:9" x14ac:dyDescent="0.3">
      <c r="A4232" s="1" t="s">
        <v>9</v>
      </c>
      <c r="B4232" s="1" t="s">
        <v>137</v>
      </c>
      <c r="C4232" s="1" t="s">
        <v>63</v>
      </c>
      <c r="D4232" s="1" t="s">
        <v>139</v>
      </c>
      <c r="E4232" s="1" t="s">
        <v>7300</v>
      </c>
      <c r="F4232" s="1" t="s">
        <v>7301</v>
      </c>
      <c r="G4232" s="1" t="s">
        <v>36</v>
      </c>
      <c r="H4232" s="1" t="s">
        <v>29</v>
      </c>
      <c r="I4232" s="1" t="str">
        <f ca="1">IFERROR(__xludf.DUMMYFUNCTION("GOOGLETRANSLATE(F4232, ""auto"", ""en"")
"),"Excellent gas panel for your money. There is everything that should be in a gas panel. Automatic ignition, gas control, the kit includes nozzles for natural and liquefied gas.  The entire panel is made of stainless steel, which makes it more resistant to "&amp;"external influences of water and detergents. The handles do not heat up and are easily removed, so the cleaning process under the handles will not take much time. The kit includes all the necessary gaskets and a seal that is placed between the panel and t"&amp;"he countertop.  In general, take it, the panel has been checked. I recommend it.")</f>
        <v>Excellent gas panel for your money. There is everything that should be in a gas panel. Automatic ignition, gas control, the kit includes nozzles for natural and liquefied gas.  The entire panel is made of stainless steel, which makes it more resistant to external influences of water and detergents. The handles do not heat up and are easily removed, so the cleaning process under the handles will not take much time. The kit includes all the necessary gaskets and a seal that is placed between the panel and the countertop.  In general, take it, the panel has been checked. I recommend it.</v>
      </c>
    </row>
    <row r="4233" spans="1:9" x14ac:dyDescent="0.3">
      <c r="A4233" s="1" t="s">
        <v>30</v>
      </c>
      <c r="B4233" s="1" t="s">
        <v>50</v>
      </c>
      <c r="C4233" s="1" t="s">
        <v>1386</v>
      </c>
      <c r="D4233" s="1" t="s">
        <v>1329</v>
      </c>
      <c r="E4233" s="1" t="s">
        <v>917</v>
      </c>
      <c r="F4233" s="1" t="s">
        <v>7302</v>
      </c>
      <c r="G4233" s="1" t="s">
        <v>28</v>
      </c>
      <c r="H4233" s="1" t="s">
        <v>29</v>
      </c>
      <c r="I4233" s="1" t="str">
        <f ca="1">IFERROR(__xludf.DUMMYFUNCTION("GOOGLETRANSLATE(F4233, ""auto"", ""en"")
"),"I bought this model on 5/09/09. If it weren't for Visto, it takes a long time to think, and a faster drive, it would be fine.")</f>
        <v>I bought this model on 5/09/09. If it weren't for Visto, it takes a long time to think, and a faster drive, it would be fine.</v>
      </c>
    </row>
    <row r="4234" spans="1:9" x14ac:dyDescent="0.3">
      <c r="A4234" s="1" t="s">
        <v>732</v>
      </c>
      <c r="B4234" s="1" t="s">
        <v>733</v>
      </c>
      <c r="C4234" s="1" t="s">
        <v>69</v>
      </c>
      <c r="D4234" s="1" t="s">
        <v>7303</v>
      </c>
      <c r="E4234" s="1" t="s">
        <v>386</v>
      </c>
      <c r="F4234" s="1" t="s">
        <v>7304</v>
      </c>
      <c r="G4234" s="1" t="s">
        <v>36</v>
      </c>
      <c r="H4234" s="1" t="s">
        <v>29</v>
      </c>
      <c r="I4234" s="1" t="str">
        <f ca="1">IFERROR(__xludf.DUMMYFUNCTION("GOOGLETRANSLATE(F4234, ""auto"", ""en"")
"),"good image, clear...great brightness...everything is super!")</f>
        <v>good image, clear...great brightness...everything is super!</v>
      </c>
    </row>
    <row r="4235" spans="1:9" x14ac:dyDescent="0.3">
      <c r="A4235" s="1" t="s">
        <v>61</v>
      </c>
      <c r="B4235" s="1" t="s">
        <v>434</v>
      </c>
      <c r="C4235" s="1" t="s">
        <v>101</v>
      </c>
      <c r="D4235" s="1" t="s">
        <v>896</v>
      </c>
      <c r="E4235" s="1" t="s">
        <v>6971</v>
      </c>
      <c r="F4235" s="1" t="s">
        <v>7305</v>
      </c>
      <c r="G4235" s="1" t="s">
        <v>36</v>
      </c>
      <c r="H4235" s="1" t="s">
        <v>29</v>
      </c>
      <c r="I4235" s="1" t="str">
        <f ca="1">IFERROR(__xludf.DUMMYFUNCTION("GOOGLETRANSLATE(F4235, ""auto"", ""en"")
"),"Everything works for me, the timer, and it bakes perfectly. I am very pleased with the purchase, and it is much easier to care for than a regular oven! Well, I’m generally silent about the microwave, it’s a completely different matter!")</f>
        <v>Everything works for me, the timer, and it bakes perfectly. I am very pleased with the purchase, and it is much easier to care for than a regular oven! Well, I’m generally silent about the microwave, it’s a completely different matter!</v>
      </c>
    </row>
    <row r="4236" spans="1:9" x14ac:dyDescent="0.3">
      <c r="A4236" s="1" t="s">
        <v>17</v>
      </c>
      <c r="B4236" s="1" t="s">
        <v>18</v>
      </c>
      <c r="C4236" s="1" t="s">
        <v>151</v>
      </c>
      <c r="D4236" s="1" t="s">
        <v>280</v>
      </c>
      <c r="E4236" s="1" t="s">
        <v>2298</v>
      </c>
      <c r="F4236" s="1" t="s">
        <v>7306</v>
      </c>
      <c r="G4236" s="1" t="s">
        <v>15</v>
      </c>
      <c r="H4236" s="1" t="s">
        <v>16</v>
      </c>
      <c r="I4236" s="1" t="str">
        <f ca="1">IFERROR(__xludf.DUMMYFUNCTION("GOOGLETRANSLATE(F4236, ""auto"", ""en"")
"),"Not a very good machine: 1) When you first fill it with water, it washes off not only the powder, but also the conditioner for the last rinse (always and on all programs).    2) Before the last spin, spins the laundry in the drum until a lump forms, and o"&amp;"nly after that it refuses to spin and gives an error.    I will never buy a Samung washing machine again.")</f>
        <v>Not a very good machine: 1) When you first fill it with water, it washes off not only the powder, but also the conditioner for the last rinse (always and on all programs).    2) Before the last spin, spins the laundry in the drum until a lump forms, and only after that it refuses to spin and gives an error.    I will never buy a Samung washing machine again.</v>
      </c>
    </row>
    <row r="4237" spans="1:9" x14ac:dyDescent="0.3">
      <c r="A4237" s="1" t="s">
        <v>61</v>
      </c>
      <c r="B4237" s="1" t="s">
        <v>318</v>
      </c>
      <c r="C4237" s="1" t="s">
        <v>745</v>
      </c>
      <c r="D4237" s="1" t="s">
        <v>2595</v>
      </c>
      <c r="E4237" s="1" t="s">
        <v>7307</v>
      </c>
      <c r="F4237" s="1" t="s">
        <v>7308</v>
      </c>
      <c r="G4237" s="1" t="s">
        <v>36</v>
      </c>
      <c r="H4237" s="1" t="s">
        <v>29</v>
      </c>
      <c r="I4237" s="1" t="str">
        <f ca="1">IFERROR(__xludf.DUMMYFUNCTION("GOOGLETRANSLATE(F4237, ""auto"", ""en"")
"),"Stylish, comfortable, lasts a long time")</f>
        <v>Stylish, comfortable, lasts a long time</v>
      </c>
    </row>
    <row r="4238" spans="1:9" x14ac:dyDescent="0.3">
      <c r="A4238" s="1" t="s">
        <v>149</v>
      </c>
      <c r="B4238" s="1" t="s">
        <v>155</v>
      </c>
      <c r="C4238" s="1" t="s">
        <v>1187</v>
      </c>
      <c r="D4238" s="1" t="s">
        <v>7309</v>
      </c>
      <c r="E4238" s="1" t="s">
        <v>7310</v>
      </c>
      <c r="F4238" s="1" t="s">
        <v>7311</v>
      </c>
      <c r="G4238" s="1" t="s">
        <v>36</v>
      </c>
      <c r="H4238" s="1" t="s">
        <v>29</v>
      </c>
      <c r="I4238" s="1" t="str">
        <f ca="1">IFERROR(__xludf.DUMMYFUNCTION("GOOGLETRANSLATE(F4238, ""auto"", ""en"")
"),"I tested the benefits of Dyson for allergy sufferers from my own experience; after the appearance of Dyson, I stopped sneezing at home at all (before that I was allergic to dust), and it stopped being on furniture altogether! It is also conveniently made "&amp;"- it quickly moves around the room and the brush fits under the bed and chairs. Convenient adjustment of the handle - if you want it longer, or if you want it shorter!")</f>
        <v>I tested the benefits of Dyson for allergy sufferers from my own experience; after the appearance of Dyson, I stopped sneezing at home at all (before that I was allergic to dust), and it stopped being on furniture altogether! It is also conveniently made - it quickly moves around the room and the brush fits under the bed and chairs. Convenient adjustment of the handle - if you want it longer, or if you want it shorter!</v>
      </c>
    </row>
    <row r="4239" spans="1:9" x14ac:dyDescent="0.3">
      <c r="A4239" s="1" t="s">
        <v>120</v>
      </c>
      <c r="B4239" s="1" t="s">
        <v>121</v>
      </c>
      <c r="C4239" s="1" t="s">
        <v>151</v>
      </c>
      <c r="D4239" s="1" t="s">
        <v>2868</v>
      </c>
      <c r="E4239" s="1" t="s">
        <v>3872</v>
      </c>
      <c r="F4239" s="1" t="s">
        <v>7312</v>
      </c>
      <c r="G4239" s="1" t="s">
        <v>36</v>
      </c>
      <c r="H4239" s="1" t="s">
        <v>29</v>
      </c>
      <c r="I4239" s="1" t="str">
        <f ca="1">IFERROR(__xludf.DUMMYFUNCTION("GOOGLETRANSLATE(F4239, ""auto"", ""en"")
"),"Tell me where to get the firmware, well, in general, everything is in more detail!! Thanks in advance")</f>
        <v>Tell me where to get the firmware, well, in general, everything is in more detail!! Thanks in advance</v>
      </c>
    </row>
    <row r="4240" spans="1:9" x14ac:dyDescent="0.3">
      <c r="A4240" s="1" t="s">
        <v>211</v>
      </c>
      <c r="B4240" s="1" t="s">
        <v>410</v>
      </c>
      <c r="C4240" s="1" t="s">
        <v>213</v>
      </c>
      <c r="D4240" s="1" t="s">
        <v>114</v>
      </c>
      <c r="E4240" s="1" t="s">
        <v>3979</v>
      </c>
      <c r="F4240" s="1" t="s">
        <v>7313</v>
      </c>
      <c r="G4240" s="1" t="s">
        <v>36</v>
      </c>
      <c r="H4240" s="1" t="s">
        <v>29</v>
      </c>
      <c r="I4240" s="1" t="str">
        <f ca="1">IFERROR(__xludf.DUMMYFUNCTION("GOOGLETRANSLATE(F4240, ""auto"", ""en"")
"),"It's been 3 weeks and all the irritation has gone away! I am very pleased with the razor! I just jumped with happiness! I recommend it to everyone! Brown is the real thing!!!")</f>
        <v>It's been 3 weeks and all the irritation has gone away! I am very pleased with the razor! I just jumped with happiness! I recommend it to everyone! Brown is the real thing!!!</v>
      </c>
    </row>
    <row r="4241" spans="1:9" x14ac:dyDescent="0.3">
      <c r="A4241" s="1" t="s">
        <v>43</v>
      </c>
      <c r="B4241" s="1" t="s">
        <v>219</v>
      </c>
      <c r="C4241" s="1" t="s">
        <v>220</v>
      </c>
      <c r="D4241" s="1" t="s">
        <v>2145</v>
      </c>
      <c r="E4241" s="1" t="s">
        <v>4069</v>
      </c>
      <c r="F4241" s="1" t="s">
        <v>7314</v>
      </c>
      <c r="G4241" s="1" t="s">
        <v>28</v>
      </c>
      <c r="H4241" s="1" t="s">
        <v>29</v>
      </c>
      <c r="I4241" s="1" t="str">
        <f ca="1">IFERROR(__xludf.DUMMYFUNCTION("GOOGLETRANSLATE(F4241, ""auto"", ""en"")
"),"Practical shape, heating speed is good.")</f>
        <v>Practical shape, heating speed is good.</v>
      </c>
    </row>
    <row r="4242" spans="1:9" x14ac:dyDescent="0.3">
      <c r="A4242" s="1" t="s">
        <v>37</v>
      </c>
      <c r="B4242" s="1" t="s">
        <v>536</v>
      </c>
      <c r="C4242" s="1" t="s">
        <v>163</v>
      </c>
      <c r="D4242" s="1" t="s">
        <v>7315</v>
      </c>
      <c r="E4242" s="1" t="s">
        <v>498</v>
      </c>
      <c r="F4242" s="1" t="s">
        <v>7316</v>
      </c>
      <c r="G4242" s="1" t="s">
        <v>28</v>
      </c>
      <c r="H4242" s="1" t="s">
        <v>29</v>
      </c>
      <c r="I4242" s="1" t="str">
        <f ca="1">IFERROR(__xludf.DUMMYFUNCTION("GOOGLETRANSLATE(F4242, ""auto"", ""en"")
"),"The phone is excellent, no complaints. In service since January 11, 2010. There is one inconvenience - the keyboard backlight does not work properly. That is, digital buttons go out earlier than other buttons. In standby mode they flicker. The flickering "&amp;"function is disabled. Apparently the controller burned out.")</f>
        <v>The phone is excellent, no complaints. In service since January 11, 2010. There is one inconvenience - the keyboard backlight does not work properly. That is, digital buttons go out earlier than other buttons. In standby mode they flicker. The flickering function is disabled. Apparently the controller burned out.</v>
      </c>
    </row>
    <row r="4243" spans="1:9" x14ac:dyDescent="0.3">
      <c r="A4243" s="1" t="s">
        <v>624</v>
      </c>
      <c r="B4243" s="1" t="s">
        <v>625</v>
      </c>
      <c r="C4243" s="1" t="s">
        <v>479</v>
      </c>
      <c r="D4243" s="1" t="s">
        <v>39</v>
      </c>
      <c r="E4243" s="1" t="s">
        <v>3330</v>
      </c>
      <c r="F4243" s="1" t="s">
        <v>7317</v>
      </c>
      <c r="G4243" s="1" t="s">
        <v>36</v>
      </c>
      <c r="H4243" s="1" t="s">
        <v>29</v>
      </c>
      <c r="I4243" s="1" t="str">
        <f ca="1">IFERROR(__xludf.DUMMYFUNCTION("GOOGLETRANSLATE(F4243, ""auto"", ""en"")
"),"The Complete Edition is a very cool collection containing the original game and two official add-on episodes. And of course, it’s very, very nice to have such a box in your collection, with such excellent contents.  I won’t forget to mention that the publ"&amp;"ication also contains a complete map of the city (on the other side is a poster), a user manual, and a fully patched game. So after installation, players will not have to wait half an hour to download updates.  Gorgeous, I recommend it to everyone!")</f>
        <v>The Complete Edition is a very cool collection containing the original game and two official add-on episodes. And of course, it’s very, very nice to have such a box in your collection, with such excellent contents.  I won’t forget to mention that the publication also contains a complete map of the city (on the other side is a poster), a user manual, and a fully patched game. So after installation, players will not have to wait half an hour to download updates.  Gorgeous, I recommend it to everyone!</v>
      </c>
    </row>
    <row r="4244" spans="1:9" x14ac:dyDescent="0.3">
      <c r="A4244" s="1" t="s">
        <v>89</v>
      </c>
      <c r="B4244" s="1" t="s">
        <v>90</v>
      </c>
      <c r="C4244" s="1" t="s">
        <v>185</v>
      </c>
      <c r="D4244" s="1" t="s">
        <v>545</v>
      </c>
      <c r="E4244" s="1" t="s">
        <v>217</v>
      </c>
      <c r="F4244" s="1" t="s">
        <v>7318</v>
      </c>
      <c r="G4244" s="1" t="s">
        <v>36</v>
      </c>
      <c r="H4244" s="1" t="s">
        <v>29</v>
      </c>
      <c r="I4244" s="1" t="str">
        <f ca="1">IFERROR(__xludf.DUMMYFUNCTION("GOOGLETRANSLATE(F4244, ""auto"", ""en"")
"),"I’ve been using this model of coffee grinder for about six months, I’m very pleased, it fits a lot of coffee and the grinding is very uniform! I recommend it!")</f>
        <v>I’ve been using this model of coffee grinder for about six months, I’m very pleased, it fits a lot of coffee and the grinding is very uniform! I recommend it!</v>
      </c>
    </row>
    <row r="4245" spans="1:9" x14ac:dyDescent="0.3">
      <c r="A4245" s="1" t="s">
        <v>67</v>
      </c>
      <c r="B4245" s="1" t="s">
        <v>68</v>
      </c>
      <c r="C4245" s="1" t="s">
        <v>69</v>
      </c>
      <c r="D4245" s="1" t="s">
        <v>987</v>
      </c>
      <c r="E4245" s="1" t="s">
        <v>4867</v>
      </c>
      <c r="F4245" s="1" t="s">
        <v>7319</v>
      </c>
      <c r="G4245" s="1" t="s">
        <v>36</v>
      </c>
      <c r="H4245" s="1" t="s">
        <v>29</v>
      </c>
      <c r="I4245" s="1" t="str">
        <f ca="1">IFERROR(__xludf.DUMMYFUNCTION("GOOGLETRANSLATE(F4245, ""auto"", ""en"")
"),"Iron since 2013. The color is different. We are all delighted, I don’t understand why he has a 3.5 rating.   It glides across laundry like cheese in butter. Steams everything with a bang.   Overall a great item.")</f>
        <v>Iron since 2013. The color is different. We are all delighted, I don’t understand why he has a 3.5 rating.   It glides across laundry like cheese in butter. Steams everything with a bang.   Overall a great item.</v>
      </c>
    </row>
    <row r="4246" spans="1:9" x14ac:dyDescent="0.3">
      <c r="A4246" s="1" t="s">
        <v>78</v>
      </c>
      <c r="B4246" s="1" t="s">
        <v>79</v>
      </c>
      <c r="C4246" s="1" t="s">
        <v>1677</v>
      </c>
      <c r="D4246" s="1" t="s">
        <v>916</v>
      </c>
      <c r="E4246" s="1" t="s">
        <v>5585</v>
      </c>
      <c r="F4246" s="1" t="s">
        <v>7320</v>
      </c>
      <c r="G4246" s="1" t="s">
        <v>36</v>
      </c>
      <c r="H4246" s="1" t="s">
        <v>29</v>
      </c>
      <c r="I4246" s="1" t="str">
        <f ca="1">IFERROR(__xludf.DUMMYFUNCTION("GOOGLETRANSLATE(F4246, ""auto"", ""en"")
"),"I'm surprised by the two reviews with bewilderment about the lack of watches. This may surprise some, but this is a microwave oven, not a cell phone or an alarm clock. There shouldn't be a clock here!  The microwave itself is excellent. One of the few wit"&amp;"h a stainless steel coating on the inside, and the only one available!  Sharp is one of the few companies that has experience and, most importantly, knows how to make high-quality microwave ovens.")</f>
        <v>I'm surprised by the two reviews with bewilderment about the lack of watches. This may surprise some, but this is a microwave oven, not a cell phone or an alarm clock. There shouldn't be a clock here!  The microwave itself is excellent. One of the few with a stainless steel coating on the inside, and the only one available!  Sharp is one of the few companies that has experience and, most importantly, knows how to make high-quality microwave ovens.</v>
      </c>
    </row>
    <row r="4247" spans="1:9" x14ac:dyDescent="0.3">
      <c r="A4247" s="1" t="s">
        <v>43</v>
      </c>
      <c r="B4247" s="1" t="s">
        <v>502</v>
      </c>
      <c r="C4247" s="1" t="s">
        <v>122</v>
      </c>
      <c r="D4247" s="1" t="s">
        <v>64</v>
      </c>
      <c r="E4247" s="1" t="s">
        <v>87</v>
      </c>
      <c r="F4247" s="1" t="s">
        <v>7321</v>
      </c>
      <c r="G4247" s="1" t="s">
        <v>28</v>
      </c>
      <c r="H4247" s="1" t="s">
        <v>29</v>
      </c>
      <c r="I4247" s="1" t="str">
        <f ca="1">IFERROR(__xludf.DUMMYFUNCTION("GOOGLETRANSLATE(F4247, ""auto"", ""en"")
"),"Good air conditioning, really quiet! It has one minus (significant for me) - the air conditioner curtains do not open from top to bottom, but rather from bottom to top!!!!  Why the manufacturers did this remains a mystery to me. But the air flow in this a"&amp;"ir conditioner cannot be completely driven to the top ((")</f>
        <v>Good air conditioning, really quiet! It has one minus (significant for me) - the air conditioner curtains do not open from top to bottom, but rather from bottom to top!!!!  Why the manufacturers did this remains a mystery to me. But the air flow in this air conditioner cannot be completely driven to the top ((</v>
      </c>
    </row>
    <row r="4248" spans="1:9" x14ac:dyDescent="0.3">
      <c r="A4248" s="1" t="s">
        <v>2087</v>
      </c>
      <c r="B4248" s="1" t="s">
        <v>2088</v>
      </c>
      <c r="C4248" s="1" t="s">
        <v>151</v>
      </c>
      <c r="D4248" s="1" t="s">
        <v>152</v>
      </c>
      <c r="E4248" s="1" t="s">
        <v>3594</v>
      </c>
      <c r="F4248" s="1" t="s">
        <v>7322</v>
      </c>
      <c r="G4248" s="1" t="s">
        <v>28</v>
      </c>
      <c r="H4248" s="1" t="s">
        <v>29</v>
      </c>
      <c r="I4248" s="1" t="str">
        <f ca="1">IFERROR(__xludf.DUMMYFUNCTION("GOOGLETRANSLATE(F4248, ""auto"", ""en"")
"),"The Samsung BD-P1600A BLU-RAY DVD player is a device with quite a lot of capabilities, the HD image on a Full HD LCD TV looks great, it supports a lot of formats, although it doesn’t read from external HDDs via USB at all.  But the main drawback of this p"&amp;"layer is the lack of built-in WI-FI and very “slippery” explanations in the manual about setting up the network - not a word at all about connecting to a PC or PC to the player for multimedia playback.  Best regards AA.")</f>
        <v>The Samsung BD-P1600A BLU-RAY DVD player is a device with quite a lot of capabilities, the HD image on a Full HD LCD TV looks great, it supports a lot of formats, although it doesn’t read from external HDDs via USB at all.  But the main drawback of this player is the lack of built-in WI-FI and very “slippery” explanations in the manual about setting up the network - not a word at all about connecting to a PC or PC to the player for multimedia playback.  Best regards AA.</v>
      </c>
    </row>
    <row r="4249" spans="1:9" x14ac:dyDescent="0.3">
      <c r="A4249" s="1" t="s">
        <v>30</v>
      </c>
      <c r="B4249" s="1" t="s">
        <v>50</v>
      </c>
      <c r="C4249" s="1" t="s">
        <v>1003</v>
      </c>
      <c r="D4249" s="1" t="s">
        <v>52</v>
      </c>
      <c r="E4249" s="1" t="s">
        <v>3542</v>
      </c>
      <c r="F4249" s="1" t="s">
        <v>7323</v>
      </c>
      <c r="G4249" s="1" t="s">
        <v>36</v>
      </c>
      <c r="H4249" s="1" t="s">
        <v>29</v>
      </c>
      <c r="I4249" s="1" t="str">
        <f ca="1">IFERROR(__xludf.DUMMYFUNCTION("GOOGLETRANSLATE(F4249, ""auto"", ""en"")
"),"Cool laptop, super simple...upon purchase, immediately remove Vista, install Windows 7...and enjoy")</f>
        <v>Cool laptop, super simple...upon purchase, immediately remove Vista, install Windows 7...and enjoy</v>
      </c>
    </row>
    <row r="4250" spans="1:9" x14ac:dyDescent="0.3">
      <c r="A4250" s="1" t="s">
        <v>557</v>
      </c>
      <c r="B4250" s="1" t="s">
        <v>558</v>
      </c>
      <c r="C4250" s="1" t="s">
        <v>122</v>
      </c>
      <c r="D4250" s="1" t="s">
        <v>417</v>
      </c>
      <c r="E4250" s="1" t="s">
        <v>7324</v>
      </c>
      <c r="F4250" s="1" t="s">
        <v>7325</v>
      </c>
      <c r="G4250" s="1" t="s">
        <v>15</v>
      </c>
      <c r="H4250" s="1" t="s">
        <v>16</v>
      </c>
      <c r="I4250" s="1" t="str">
        <f ca="1">IFERROR(__xludf.DUMMYFUNCTION("GOOGLETRANSLATE(F4250, ""auto"", ""en"")
"),"I worked for 6 months, now I'm looking for a new one")</f>
        <v>I worked for 6 months, now I'm looking for a new one</v>
      </c>
    </row>
    <row r="4251" spans="1:9" x14ac:dyDescent="0.3">
      <c r="A4251" s="1" t="s">
        <v>67</v>
      </c>
      <c r="B4251" s="1" t="s">
        <v>340</v>
      </c>
      <c r="C4251" s="1" t="s">
        <v>1634</v>
      </c>
      <c r="D4251" s="1" t="s">
        <v>7326</v>
      </c>
      <c r="E4251" s="1" t="s">
        <v>3444</v>
      </c>
      <c r="F4251" s="1" t="s">
        <v>7327</v>
      </c>
      <c r="G4251" s="1" t="s">
        <v>36</v>
      </c>
      <c r="H4251" s="1" t="s">
        <v>29</v>
      </c>
      <c r="I4251" s="1" t="str">
        <f ca="1">IFERROR(__xludf.DUMMYFUNCTION("GOOGLETRANSLATE(F4251, ""auto"", ""en"")
"),"I am satisfied with this brand of sewing machine, everything is written in the instructions and shown with arrows on the machine itself. You need to open the eyes.")</f>
        <v>I am satisfied with this brand of sewing machine, everything is written in the instructions and shown with arrows on the machine itself. You need to open the eyes.</v>
      </c>
    </row>
    <row r="4252" spans="1:9" x14ac:dyDescent="0.3">
      <c r="A4252" s="1" t="s">
        <v>206</v>
      </c>
      <c r="B4252" s="1" t="s">
        <v>1253</v>
      </c>
      <c r="C4252" s="1" t="s">
        <v>4464</v>
      </c>
      <c r="D4252" s="1" t="s">
        <v>280</v>
      </c>
      <c r="E4252" s="1" t="s">
        <v>1452</v>
      </c>
      <c r="F4252" s="1" t="s">
        <v>7328</v>
      </c>
      <c r="G4252" s="1" t="s">
        <v>28</v>
      </c>
      <c r="H4252" s="1" t="s">
        <v>29</v>
      </c>
      <c r="I4252" s="1" t="str">
        <f ca="1">IFERROR(__xludf.DUMMYFUNCTION("GOOGLETRANSLATE(F4252, ""auto"", ""en"")
"),"For 1,490 rubles it’s a pretty good walkie-talkie.    Pros: - end of transmission signal.  - connecting a headset.  - regular ""AAA"" batteries.  - Small size.    Cons: - unclear operation of voice activation (continues to transmit when you are already si"&amp;"lent).  - The Mikrik voice transmission button under the rubber band feels like it will break quickly. In addition, it is combined with a backlight button, a controversial decision.    By the way: If one radio works worse than another, then just change th"&amp;"e communication channel, everything should work out.  I haven't checked the communication range.")</f>
        <v>For 1,490 rubles it’s a pretty good walkie-talkie.    Pros: - end of transmission signal.  - connecting a headset.  - regular "AAA" batteries.  - Small size.    Cons: - unclear operation of voice activation (continues to transmit when you are already silent).  - The Mikrik voice transmission button under the rubber band feels like it will break quickly. In addition, it is combined with a backlight button, a controversial decision.    By the way: If one radio works worse than another, then just change the communication channel, everything should work out.  I haven't checked the communication range.</v>
      </c>
    </row>
    <row r="4253" spans="1:9" x14ac:dyDescent="0.3">
      <c r="A4253" s="1" t="s">
        <v>67</v>
      </c>
      <c r="B4253" s="1" t="s">
        <v>68</v>
      </c>
      <c r="C4253" s="1" t="s">
        <v>246</v>
      </c>
      <c r="D4253" s="1" t="s">
        <v>64</v>
      </c>
      <c r="E4253" s="1" t="s">
        <v>779</v>
      </c>
      <c r="F4253" s="1" t="s">
        <v>7329</v>
      </c>
      <c r="G4253" s="1" t="s">
        <v>36</v>
      </c>
      <c r="H4253" s="1" t="s">
        <v>29</v>
      </c>
      <c r="I4253" s="1" t="str">
        <f ca="1">IFERROR(__xludf.DUMMYFUNCTION("GOOGLETRANSLATE(F4253, ""auto"", ""en"")
"),"My husband and I bought a Tefal FV 5116 iron. We chose from Philips and Tefal models costing from 2 to 3 thousand rubles. We settled on this model.  Advantages - everything in this iron is thought out, convenient and functional, it’s a pleasure to use!  I"&amp;" will definitely recommend this iron to my mother.")</f>
        <v>My husband and I bought a Tefal FV 5116 iron. We chose from Philips and Tefal models costing from 2 to 3 thousand rubles. We settled on this model.  Advantages - everything in this iron is thought out, convenient and functional, it’s a pleasure to use!  I will definitely recommend this iron to my mother.</v>
      </c>
    </row>
    <row r="4254" spans="1:9" x14ac:dyDescent="0.3">
      <c r="A4254" s="1" t="s">
        <v>61</v>
      </c>
      <c r="B4254" s="1" t="s">
        <v>73</v>
      </c>
      <c r="C4254" s="1" t="s">
        <v>74</v>
      </c>
      <c r="D4254" s="1" t="s">
        <v>565</v>
      </c>
      <c r="E4254" s="1" t="s">
        <v>5736</v>
      </c>
      <c r="F4254" s="1" t="s">
        <v>7330</v>
      </c>
      <c r="G4254" s="1" t="s">
        <v>36</v>
      </c>
      <c r="H4254" s="1" t="s">
        <v>29</v>
      </c>
      <c r="I4254" s="1" t="str">
        <f ca="1">IFERROR(__xludf.DUMMYFUNCTION("GOOGLETRANSLATE(F4254, ""auto"", ""en"")
"),"I've been using it for 5 years now. Most often for making salads (including cabbage - grated on a coarse grater, it turns out like chopped) and orange juice, but it also works great with meat and fish.")</f>
        <v>I've been using it for 5 years now. Most often for making salads (including cabbage - grated on a coarse grater, it turns out like chopped) and orange juice, but it also works great with meat and fish.</v>
      </c>
    </row>
    <row r="4255" spans="1:9" x14ac:dyDescent="0.3">
      <c r="A4255" s="1" t="s">
        <v>43</v>
      </c>
      <c r="B4255" s="1" t="s">
        <v>334</v>
      </c>
      <c r="C4255" s="1" t="s">
        <v>101</v>
      </c>
      <c r="D4255" s="1" t="s">
        <v>81</v>
      </c>
      <c r="E4255" s="1" t="s">
        <v>2726</v>
      </c>
      <c r="F4255" s="1" t="s">
        <v>7331</v>
      </c>
      <c r="G4255" s="1" t="s">
        <v>49</v>
      </c>
      <c r="H4255" s="1" t="s">
        <v>16</v>
      </c>
      <c r="I4255" s="1" t="str">
        <f ca="1">IFERROR(__xludf.DUMMYFUNCTION("GOOGLETRANSLATE(F4255, ""auto"", ""en"")
"),"This miracle of technology was apparently assembled by drunken disabled Chinese at night without light and with their hands tied (may the disabled Chinese forgive me for such a comparison). Everything is loose, the parts do not fit properly during assembl"&amp;"y, the frame is dented, and it was dented not during transportation, but initially at the factory, and the damaged area was painted over with factory paint. The plastic is thin, fragile and stinks, apparently everything is made from melted down cheap Chin"&amp;"ese toys or worse. Thank you that at least it is spinning, though with strange sounds and vibrations throughout the whole body, but the air is still moving, that’s why I wasn’t lucky enough to return it. But there is a premonition that it will not work fo"&amp;"r very long.")</f>
        <v>This miracle of technology was apparently assembled by drunken disabled Chinese at night without light and with their hands tied (may the disabled Chinese forgive me for such a comparison). Everything is loose, the parts do not fit properly during assembly, the frame is dented, and it was dented not during transportation, but initially at the factory, and the damaged area was painted over with factory paint. The plastic is thin, fragile and stinks, apparently everything is made from melted down cheap Chinese toys or worse. Thank you that at least it is spinning, though with strange sounds and vibrations throughout the whole body, but the air is still moving, that’s why I wasn’t lucky enough to return it. But there is a premonition that it will not work for very long.</v>
      </c>
    </row>
    <row r="4256" spans="1:9" x14ac:dyDescent="0.3">
      <c r="A4256" s="1" t="s">
        <v>67</v>
      </c>
      <c r="B4256" s="1" t="s">
        <v>340</v>
      </c>
      <c r="C4256" s="1" t="s">
        <v>341</v>
      </c>
      <c r="D4256" s="1" t="s">
        <v>326</v>
      </c>
      <c r="E4256" s="1" t="s">
        <v>204</v>
      </c>
      <c r="F4256" s="1" t="s">
        <v>7332</v>
      </c>
      <c r="G4256" s="1" t="s">
        <v>36</v>
      </c>
      <c r="H4256" s="1" t="s">
        <v>29</v>
      </c>
      <c r="I4256" s="1" t="str">
        <f ca="1">IFERROR(__xludf.DUMMYFUNCTION("GOOGLETRANSLATE(F4256, ""auto"", ""en"")
"),"I've been using the machine for over a year now. Sews great. I sewed curtains for myself on it. You get good stitches, the main thing is to adjust them to the fabric. I’m happy with the machine. I recommend it to everyone for home use!")</f>
        <v>I've been using the machine for over a year now. Sews great. I sewed curtains for myself on it. You get good stitches, the main thing is to adjust them to the fabric. I’m happy with the machine. I recommend it to everyone for home use!</v>
      </c>
    </row>
    <row r="4257" spans="1:9" x14ac:dyDescent="0.3">
      <c r="A4257" s="1" t="s">
        <v>61</v>
      </c>
      <c r="B4257" s="1" t="s">
        <v>145</v>
      </c>
      <c r="C4257" s="1" t="s">
        <v>57</v>
      </c>
      <c r="D4257" s="1" t="s">
        <v>4329</v>
      </c>
      <c r="E4257" s="1" t="s">
        <v>717</v>
      </c>
      <c r="F4257" s="1" t="s">
        <v>7333</v>
      </c>
      <c r="G4257" s="1" t="s">
        <v>36</v>
      </c>
      <c r="H4257" s="1" t="s">
        <v>29</v>
      </c>
      <c r="I4257" s="1" t="str">
        <f ca="1">IFERROR(__xludf.DUMMYFUNCTION("GOOGLETRANSLATE(F4257, ""auto"", ""en"")
"),"Deep fryer Vitek VT-1535 - just super!!!! Takes up little space, there is room to put it!!! Great for two.  If guests come, you can make French fries, country potatoes, chicken, fish, and also fondue!!! everything is simple and fast.  and the price is GOR"&amp;"GEOUS))))")</f>
        <v>Deep fryer Vitek VT-1535 - just super!!!! Takes up little space, there is room to put it!!! Great for two.  If guests come, you can make French fries, country potatoes, chicken, fish, and also fondue!!! everything is simple and fast.  and the price is GORGEOUS))))</v>
      </c>
    </row>
    <row r="4258" spans="1:9" x14ac:dyDescent="0.3">
      <c r="A4258" s="1" t="s">
        <v>17</v>
      </c>
      <c r="B4258" s="1" t="s">
        <v>18</v>
      </c>
      <c r="C4258" s="1" t="s">
        <v>885</v>
      </c>
      <c r="D4258" s="1" t="s">
        <v>2886</v>
      </c>
      <c r="E4258" s="1" t="s">
        <v>4284</v>
      </c>
      <c r="F4258" s="1" t="s">
        <v>7334</v>
      </c>
      <c r="G4258" s="1" t="s">
        <v>36</v>
      </c>
      <c r="H4258" s="1" t="s">
        <v>29</v>
      </c>
      <c r="I4258" s="1" t="str">
        <f ca="1">IFERROR(__xludf.DUMMYFUNCTION("GOOGLETRANSLATE(F4258, ""auto"", ""en"")
"),"The machine is simply super for the money... It works quietly and washes perfectly. I advise...")</f>
        <v>The machine is simply super for the money... It works quietly and washes perfectly. I advise...</v>
      </c>
    </row>
    <row r="4259" spans="1:9" x14ac:dyDescent="0.3">
      <c r="A4259" s="1" t="s">
        <v>111</v>
      </c>
      <c r="B4259" s="1" t="s">
        <v>298</v>
      </c>
      <c r="C4259" s="1" t="s">
        <v>299</v>
      </c>
      <c r="D4259" s="1" t="s">
        <v>335</v>
      </c>
      <c r="E4259" s="1" t="s">
        <v>4490</v>
      </c>
      <c r="F4259" s="1" t="s">
        <v>7335</v>
      </c>
      <c r="G4259" s="1" t="s">
        <v>36</v>
      </c>
      <c r="H4259" s="1" t="s">
        <v>29</v>
      </c>
      <c r="I4259" s="1" t="str">
        <f ca="1">IFERROR(__xludf.DUMMYFUNCTION("GOOGLETRANSLATE(F4259, ""auto"", ""en"")
"),"A good dryer for a reasonable price. Dries. I bought it cheaper thanks to the program “Found it cheaper? We’ll reduce the price!”")</f>
        <v>A good dryer for a reasonable price. Dries. I bought it cheaper thanks to the program “Found it cheaper? We’ll reduce the price!”</v>
      </c>
    </row>
    <row r="4260" spans="1:9" x14ac:dyDescent="0.3">
      <c r="A4260" s="1" t="s">
        <v>61</v>
      </c>
      <c r="B4260" s="1" t="s">
        <v>318</v>
      </c>
      <c r="C4260" s="1" t="s">
        <v>57</v>
      </c>
      <c r="D4260" s="1" t="s">
        <v>12</v>
      </c>
      <c r="E4260" s="1" t="s">
        <v>769</v>
      </c>
      <c r="F4260" s="1" t="s">
        <v>7336</v>
      </c>
      <c r="G4260" s="1" t="s">
        <v>36</v>
      </c>
      <c r="H4260" s="1" t="s">
        <v>29</v>
      </c>
      <c r="I4260" s="1" t="str">
        <f ca="1">IFERROR(__xludf.DUMMYFUNCTION("GOOGLETRANSLATE(F4260, ""auto"", ""en"")
"),"We really liked this teapot. Heats water quickly. If the water is hard and sediment appears, you can use a special remedy or just 1 bag of lemon juice - and the kettle will be as good as new. We bought it as a gift. We recommend it to everyone!!!")</f>
        <v>We really liked this teapot. Heats water quickly. If the water is hard and sediment appears, you can use a special remedy or just 1 bag of lemon juice - and the kettle will be as good as new. We bought it as a gift. We recommend it to everyone!!!</v>
      </c>
    </row>
    <row r="4261" spans="1:9" x14ac:dyDescent="0.3">
      <c r="A4261" s="1" t="s">
        <v>61</v>
      </c>
      <c r="B4261" s="1" t="s">
        <v>318</v>
      </c>
      <c r="C4261" s="1" t="s">
        <v>57</v>
      </c>
      <c r="D4261" s="1" t="s">
        <v>2096</v>
      </c>
      <c r="E4261" s="1" t="s">
        <v>7337</v>
      </c>
      <c r="F4261" s="1" t="s">
        <v>7338</v>
      </c>
      <c r="G4261" s="1" t="s">
        <v>36</v>
      </c>
      <c r="H4261" s="1" t="s">
        <v>29</v>
      </c>
      <c r="I4261" s="1" t="str">
        <f ca="1">IFERROR(__xludf.DUMMYFUNCTION("GOOGLETRANSLATE(F4261, ""auto"", ""en"")
"),"Stylish, stainless steel, high quality. Not expensive, no smells and easy to clean. I was pleased with the length of the cord.")</f>
        <v>Stylish, stainless steel, high quality. Not expensive, no smells and easy to clean. I was pleased with the length of the cord.</v>
      </c>
    </row>
    <row r="4262" spans="1:9" x14ac:dyDescent="0.3">
      <c r="A4262" s="1" t="s">
        <v>206</v>
      </c>
      <c r="B4262" s="1" t="s">
        <v>1349</v>
      </c>
      <c r="C4262" s="1" t="s">
        <v>2425</v>
      </c>
      <c r="D4262" s="1" t="s">
        <v>280</v>
      </c>
      <c r="E4262" s="1" t="s">
        <v>7339</v>
      </c>
      <c r="F4262" s="1" t="s">
        <v>7340</v>
      </c>
      <c r="G4262" s="1" t="s">
        <v>28</v>
      </c>
      <c r="H4262" s="1" t="s">
        <v>29</v>
      </c>
      <c r="I4262" s="1" t="str">
        <f ca="1">IFERROR(__xludf.DUMMYFUNCTION("GOOGLETRANSLATE(F4262, ""auto"", ""en"")
"),"Evgeniy, I had a similar problem on Pioneer. Just when you open the panel, there are contacts there, clean them, lubricate them with graphite (you can rub them with a simple pencil), and perhaps your trouble will go away! ))")</f>
        <v>Evgeniy, I had a similar problem on Pioneer. Just when you open the panel, there are contacts there, clean them, lubricate them with graphite (you can rub them with a simple pencil), and perhaps your trouble will go away! ))</v>
      </c>
    </row>
    <row r="4263" spans="1:9" x14ac:dyDescent="0.3">
      <c r="A4263" s="1" t="s">
        <v>169</v>
      </c>
      <c r="B4263" s="1" t="s">
        <v>170</v>
      </c>
      <c r="C4263" s="1" t="s">
        <v>69</v>
      </c>
      <c r="D4263" s="1" t="s">
        <v>568</v>
      </c>
      <c r="E4263" s="1" t="s">
        <v>2565</v>
      </c>
      <c r="F4263" s="1" t="s">
        <v>7341</v>
      </c>
      <c r="G4263" s="1" t="s">
        <v>28</v>
      </c>
      <c r="H4263" s="1" t="s">
        <v>29</v>
      </c>
      <c r="I4263" s="1" t="str">
        <f ca="1">IFERROR(__xludf.DUMMYFUNCTION("GOOGLETRANSLATE(F4263, ""auto"", ""en"")
"),"The headphones are very good, but after a few months the left earphone somehow stopped working for no reason, just like that...")</f>
        <v>The headphones are very good, but after a few months the left earphone somehow stopped working for no reason, just like that...</v>
      </c>
    </row>
    <row r="4264" spans="1:9" x14ac:dyDescent="0.3">
      <c r="A4264" s="1" t="s">
        <v>61</v>
      </c>
      <c r="B4264" s="1" t="s">
        <v>73</v>
      </c>
      <c r="C4264" s="1" t="s">
        <v>314</v>
      </c>
      <c r="D4264" s="1" t="s">
        <v>33</v>
      </c>
      <c r="E4264" s="1" t="s">
        <v>7342</v>
      </c>
      <c r="F4264" s="1" t="s">
        <v>7343</v>
      </c>
      <c r="G4264" s="1" t="s">
        <v>15</v>
      </c>
      <c r="H4264" s="1" t="s">
        <v>16</v>
      </c>
      <c r="I4264" s="1" t="str">
        <f ca="1">IFERROR(__xludf.DUMMYFUNCTION("GOOGLETRANSLATE(F4264, ""auto"", ""en"")
"),"We bought it in August. After the first use, the knife and grill became rusty!!! The store returned the money")</f>
        <v>We bought it in August. After the first use, the knife and grill became rusty!!! The store returned the money</v>
      </c>
    </row>
    <row r="4265" spans="1:9" x14ac:dyDescent="0.3">
      <c r="A4265" s="1" t="s">
        <v>9</v>
      </c>
      <c r="B4265" s="1" t="s">
        <v>10</v>
      </c>
      <c r="C4265" s="1" t="s">
        <v>407</v>
      </c>
      <c r="D4265" s="1" t="s">
        <v>305</v>
      </c>
      <c r="E4265" s="1" t="s">
        <v>4010</v>
      </c>
      <c r="F4265" s="1" t="s">
        <v>7344</v>
      </c>
      <c r="G4265" s="1" t="s">
        <v>36</v>
      </c>
      <c r="H4265" s="1" t="s">
        <v>29</v>
      </c>
      <c r="I4265" s="1" t="str">
        <f ca="1">IFERROR(__xludf.DUMMYFUNCTION("GOOGLETRANSLATE(F4265, ""auto"", ""en"")
"),"We purchased this model in March. For half a year of work, it has never let me down. At first glance, when we were choosing, we were afraid that it would be massive (before that there was a small retractable hood). In fact, it’s the other way around due t"&amp;"o the glass, apparently, and in general the appearance is well thought out. Made well, happy with the quality.")</f>
        <v>We purchased this model in March. For half a year of work, it has never let me down. At first glance, when we were choosing, we were afraid that it would be massive (before that there was a small retractable hood). In fact, it’s the other way around due to the glass, apparently, and in general the appearance is well thought out. Made well, happy with the quality.</v>
      </c>
    </row>
    <row r="4266" spans="1:9" x14ac:dyDescent="0.3">
      <c r="A4266" s="1" t="s">
        <v>95</v>
      </c>
      <c r="B4266" s="1" t="s">
        <v>648</v>
      </c>
      <c r="C4266" s="1" t="s">
        <v>97</v>
      </c>
      <c r="D4266" s="1" t="s">
        <v>7345</v>
      </c>
      <c r="E4266" s="1" t="s">
        <v>6122</v>
      </c>
      <c r="F4266" s="1" t="s">
        <v>7346</v>
      </c>
      <c r="G4266" s="1" t="s">
        <v>15</v>
      </c>
      <c r="H4266" s="1" t="s">
        <v>16</v>
      </c>
      <c r="I4266" s="1" t="str">
        <f ca="1">IFERROR(__xludf.DUMMYFUNCTION("GOOGLETRANSLATE(F4266, ""auto"", ""en"")
"),"I think this PSP is the worst. Since games for it can only be purchased through PSN. And owners of old PSPs will not be able to transfer their old games there. The only good thing is the size and bluetooth.    I didn't like it as a console. And I think it"&amp;"’s not just me. Not everyone has Wi-Fi, so not everyone will be able to purchase games on it.    But it was a success as a media player. 16 GB of memory and a large screen! You can buy it instead of some kind of iPod, etc.    So I think that it needs to b"&amp;"e retrained from a console into a player on which you can download games from PSP!")</f>
        <v>I think this PSP is the worst. Since games for it can only be purchased through PSN. And owners of old PSPs will not be able to transfer their old games there. The only good thing is the size and bluetooth.    I didn't like it as a console. And I think it’s not just me. Not everyone has Wi-Fi, so not everyone will be able to purchase games on it.    But it was a success as a media player. 16 GB of memory and a large screen! You can buy it instead of some kind of iPod, etc.    So I think that it needs to be retrained from a console into a player on which you can download games from PSP!</v>
      </c>
    </row>
    <row r="4267" spans="1:9" x14ac:dyDescent="0.3">
      <c r="A4267" s="1" t="s">
        <v>17</v>
      </c>
      <c r="B4267" s="1" t="s">
        <v>18</v>
      </c>
      <c r="C4267" s="1" t="s">
        <v>243</v>
      </c>
      <c r="D4267" s="1" t="s">
        <v>7347</v>
      </c>
      <c r="E4267" s="1" t="s">
        <v>4434</v>
      </c>
      <c r="F4267" s="1" t="s">
        <v>7348</v>
      </c>
      <c r="G4267" s="1" t="s">
        <v>36</v>
      </c>
      <c r="H4267" s="1" t="s">
        <v>29</v>
      </c>
      <c r="I4267" s="1" t="str">
        <f ca="1">IFERROR(__xludf.DUMMYFUNCTION("GOOGLETRANSLATE(F4267, ""auto"", ""en"")
"),"Compact, silent")</f>
        <v>Compact, silent</v>
      </c>
    </row>
    <row r="4268" spans="1:9" x14ac:dyDescent="0.3">
      <c r="A4268" s="1" t="s">
        <v>9</v>
      </c>
      <c r="B4268" s="1" t="s">
        <v>133</v>
      </c>
      <c r="C4268" s="1" t="s">
        <v>159</v>
      </c>
      <c r="D4268" s="1" t="s">
        <v>39</v>
      </c>
      <c r="E4268" s="1" t="s">
        <v>2059</v>
      </c>
      <c r="F4268" s="1" t="s">
        <v>7349</v>
      </c>
      <c r="G4268" s="1" t="s">
        <v>36</v>
      </c>
      <c r="H4268" s="1" t="s">
        <v>29</v>
      </c>
      <c r="I4268" s="1" t="str">
        <f ca="1">IFERROR(__xludf.DUMMYFUNCTION("GOOGLETRANSLATE(F4268, ""auto"", ""en"")
"),"We are happy, it bakes perfectly, it took us a long time to choose, the girl consultant suggested this model. Thanks to her.")</f>
        <v>We are happy, it bakes perfectly, it took us a long time to choose, the girl consultant suggested this model. Thanks to her.</v>
      </c>
    </row>
    <row r="4269" spans="1:9" x14ac:dyDescent="0.3">
      <c r="A4269" s="1" t="s">
        <v>9</v>
      </c>
      <c r="B4269" s="1" t="s">
        <v>137</v>
      </c>
      <c r="C4269" s="1" t="s">
        <v>466</v>
      </c>
      <c r="D4269" s="1" t="s">
        <v>64</v>
      </c>
      <c r="E4269" s="1" t="s">
        <v>7350</v>
      </c>
      <c r="F4269" s="1" t="s">
        <v>7351</v>
      </c>
      <c r="G4269" s="1" t="s">
        <v>28</v>
      </c>
      <c r="H4269" s="1" t="s">
        <v>29</v>
      </c>
      <c r="I4269" s="1" t="str">
        <f ca="1">IFERROR(__xludf.DUMMYFUNCTION("GOOGLETRANSLATE(F4269, ""auto"", ""en"")
"),"We bought the panel 3 years ago. Now I can tell all the + and - of this panel. On the plus side, it doesn’t have a bad design, the location of the burners is convenient (as one lady already wrote below). On the downside, it’s hard to clean, stains remain "&amp;"after washing, you have to polish it))), cast iron grates become stained with grease over time and, unfortunately, cannot be washed off. There were no breakdowns, with el. Everything is fine with ignition, gas control works properly, tested by my son once"&amp;". In general, the model is not bad.")</f>
        <v>We bought the panel 3 years ago. Now I can tell all the + and - of this panel. On the plus side, it doesn’t have a bad design, the location of the burners is convenient (as one lady already wrote below). On the downside, it’s hard to clean, stains remain after washing, you have to polish it))), cast iron grates become stained with grease over time and, unfortunately, cannot be washed off. There were no breakdowns, with el. Everything is fine with ignition, gas control works properly, tested by my son once. In general, the model is not bad.</v>
      </c>
    </row>
    <row r="4270" spans="1:9" x14ac:dyDescent="0.3">
      <c r="A4270" s="1" t="s">
        <v>211</v>
      </c>
      <c r="B4270" s="1" t="s">
        <v>410</v>
      </c>
      <c r="C4270" s="1" t="s">
        <v>213</v>
      </c>
      <c r="D4270" s="1" t="s">
        <v>20</v>
      </c>
      <c r="E4270" s="1" t="s">
        <v>2529</v>
      </c>
      <c r="F4270" s="1" t="s">
        <v>7352</v>
      </c>
      <c r="G4270" s="1" t="s">
        <v>36</v>
      </c>
      <c r="H4270" s="1" t="s">
        <v>29</v>
      </c>
      <c r="I4270" s="1" t="str">
        <f ca="1">IFERROR(__xludf.DUMMYFUNCTION("GOOGLETRANSLATE(F4270, ""auto"", ""en"")
"),"The razor is super...the only negative is that the cord may be a little tight to stretch, so sometimes it is not enough. I'm pleased with the quality of the shave (Braun keeps its brand), the trimmer on the razor will outperform many clippers in hairdress"&amp;"ing salons... it shaves everything evenly and effortlessly.. In general, I recommend it")</f>
        <v>The razor is super...the only negative is that the cord may be a little tight to stretch, so sometimes it is not enough. I'm pleased with the quality of the shave (Braun keeps its brand), the trimmer on the razor will outperform many clippers in hairdressing salons... it shaves everything evenly and effortlessly.. In general, I recommend it</v>
      </c>
    </row>
    <row r="4271" spans="1:9" x14ac:dyDescent="0.3">
      <c r="A4271" s="1" t="s">
        <v>1443</v>
      </c>
      <c r="B4271" s="1" t="s">
        <v>1444</v>
      </c>
      <c r="C4271" s="1" t="s">
        <v>1489</v>
      </c>
      <c r="D4271" s="1" t="s">
        <v>1917</v>
      </c>
      <c r="E4271" s="1" t="s">
        <v>3300</v>
      </c>
      <c r="F4271" s="1" t="s">
        <v>7353</v>
      </c>
      <c r="G4271" s="1" t="s">
        <v>49</v>
      </c>
      <c r="H4271" s="1" t="s">
        <v>16</v>
      </c>
      <c r="I4271" s="1" t="str">
        <f ca="1">IFERROR(__xludf.DUMMYFUNCTION("GOOGLETRANSLATE(F4271, ""auto"", ""en"")
"),"Very slow card")</f>
        <v>Very slow card</v>
      </c>
    </row>
    <row r="4272" spans="1:9" x14ac:dyDescent="0.3">
      <c r="A4272" s="1" t="s">
        <v>120</v>
      </c>
      <c r="B4272" s="1" t="s">
        <v>121</v>
      </c>
      <c r="C4272" s="1" t="s">
        <v>69</v>
      </c>
      <c r="D4272" s="1" t="s">
        <v>1124</v>
      </c>
      <c r="E4272" s="1" t="s">
        <v>3652</v>
      </c>
      <c r="F4272" s="1" t="s">
        <v>7354</v>
      </c>
      <c r="G4272" s="1" t="s">
        <v>28</v>
      </c>
      <c r="H4272" s="1" t="s">
        <v>29</v>
      </c>
      <c r="I4272" s="1" t="str">
        <f ca="1">IFERROR(__xludf.DUMMYFUNCTION("GOOGLETRANSLATE(F4272, ""auto"", ""en"")
"),"The price range is about 25,000 rubles, the resolution is 1920x1080 dynamism, the contrast is higher because the more, the better it pulls out black colors, a 32"" diagonal was no longer required because I live in an apartment, the viewing distance is equ"&amp;"al to: the screen size is multiplied by 3, with USB support, so what would eat less. The choice was between Toshiba 32 RV633 DR and Philips 32 PFL 5404/60. Arriving at the store, having previously recorded a 4GB flash drive on the flash drive, Toshiba see"&amp;"s the flash drive does not play MP3 only jpg, Philips does not play everything except video in any format, although it is written about mpeg. I came home and connected it to a regular antenna - the result is the same picture as on the handset only of a la"&amp;"rger size. lower resolution and for less money, if there is no dish, i.e. digital video signal. About the TV - the design is not for everyone, the rounded shapes at the edges, the high stand, like an alien in the store, stood at waist level, did not pay a"&amp;"ttention. The turn-on time is really 10 SECONDS. The built-in amplifier is weak, only for a dish, the response to the remote control is higher than average on the Samsung, I think it will be higher and the amplifier will be stronger. THANK YOU for your at"&amp;"tention!!!")</f>
        <v>The price range is about 25,000 rubles, the resolution is 1920x1080 dynamism, the contrast is higher because the more, the better it pulls out black colors, a 32" diagonal was no longer required because I live in an apartment, the viewing distance is equal to: the screen size is multiplied by 3, with USB support, so what would eat less. The choice was between Toshiba 32 RV633 DR and Philips 32 PFL 5404/60. Arriving at the store, having previously recorded a 4GB flash drive on the flash drive, Toshiba sees the flash drive does not play MP3 only jpg, Philips does not play everything except video in any format, although it is written about mpeg. I came home and connected it to a regular antenna - the result is the same picture as on the handset only of a larger size. lower resolution and for less money, if there is no dish, i.e. digital video signal. About the TV - the design is not for everyone, the rounded shapes at the edges, the high stand, like an alien in the store, stood at waist level, did not pay attention. The turn-on time is really 10 SECONDS. The built-in amplifier is weak, only for a dish, the response to the remote control is higher than average on the Samsung, I think it will be higher and the amplifier will be stronger. THANK YOU for your attention!!!</v>
      </c>
    </row>
    <row r="4273" spans="1:9" x14ac:dyDescent="0.3">
      <c r="A4273" s="1" t="s">
        <v>30</v>
      </c>
      <c r="B4273" s="1" t="s">
        <v>50</v>
      </c>
      <c r="C4273" s="1" t="s">
        <v>51</v>
      </c>
      <c r="D4273" s="1" t="s">
        <v>327</v>
      </c>
      <c r="E4273" s="1" t="s">
        <v>1310</v>
      </c>
      <c r="F4273" s="1" t="s">
        <v>7355</v>
      </c>
      <c r="G4273" s="1" t="s">
        <v>28</v>
      </c>
      <c r="H4273" s="1" t="s">
        <v>29</v>
      </c>
      <c r="I4273" s="1" t="str">
        <f ca="1">IFERROR(__xludf.DUMMYFUNCTION("GOOGLETRANSLATE(F4273, ""auto"", ""en"")
"),"I have been using this gadget for more than a week, in principle, the device is not bad in terms of performance and speed. The only thing is that the build quality leaves much to be desired. The subbuffer is made very poorly, so its use becomes simply unb"&amp;"earable. The memory is Samsung PC-8500 with timings of 7-7-7-20, which is quite good for a laptop. Seagate 5400 hard drive with 8 megabyte buffer. The P8700 processor with the Penryn core shows quite impressive performance. In general, if it were not for "&amp;"the relatively poor quality of assembly and taking into account that the price is very low for this type of equipment, then it would be possible to give the highest rating.")</f>
        <v>I have been using this gadget for more than a week, in principle, the device is not bad in terms of performance and speed. The only thing is that the build quality leaves much to be desired. The subbuffer is made very poorly, so its use becomes simply unbearable. The memory is Samsung PC-8500 with timings of 7-7-7-20, which is quite good for a laptop. Seagate 5400 hard drive with 8 megabyte buffer. The P8700 processor with the Penryn core shows quite impressive performance. In general, if it were not for the relatively poor quality of assembly and taking into account that the price is very low for this type of equipment, then it would be possible to give the highest rating.</v>
      </c>
    </row>
    <row r="4274" spans="1:9" x14ac:dyDescent="0.3">
      <c r="A4274" s="1" t="s">
        <v>105</v>
      </c>
      <c r="B4274" s="1" t="s">
        <v>106</v>
      </c>
      <c r="C4274" s="1" t="s">
        <v>151</v>
      </c>
      <c r="D4274" s="1" t="s">
        <v>545</v>
      </c>
      <c r="E4274" s="1" t="s">
        <v>2535</v>
      </c>
      <c r="F4274" s="1" t="s">
        <v>7356</v>
      </c>
      <c r="G4274" s="1" t="s">
        <v>36</v>
      </c>
      <c r="H4274" s="1" t="s">
        <v>29</v>
      </c>
      <c r="I4274" s="1" t="str">
        <f ca="1">IFERROR(__xludf.DUMMYFUNCTION("GOOGLETRANSLATE(F4274, ""auto"", ""en"")
"),"The player is very good! I immediately fell in love with it. Lots of features, nice interface. The sound quality is excellent. Overall very satisfied!")</f>
        <v>The player is very good! I immediately fell in love with it. Lots of features, nice interface. The sound quality is excellent. Overall very satisfied!</v>
      </c>
    </row>
    <row r="4275" spans="1:9" x14ac:dyDescent="0.3">
      <c r="A4275" s="1" t="s">
        <v>30</v>
      </c>
      <c r="B4275" s="1" t="s">
        <v>50</v>
      </c>
      <c r="C4275" s="1" t="s">
        <v>1003</v>
      </c>
      <c r="D4275" s="1" t="s">
        <v>6428</v>
      </c>
      <c r="E4275" s="1" t="s">
        <v>3954</v>
      </c>
      <c r="F4275" s="1" t="s">
        <v>7357</v>
      </c>
      <c r="G4275" s="1" t="s">
        <v>36</v>
      </c>
      <c r="H4275" s="1" t="s">
        <v>29</v>
      </c>
      <c r="I4275" s="1" t="str">
        <f ca="1">IFERROR(__xludf.DUMMYFUNCTION("GOOGLETRANSLATE(F4275, ""auto"", ""en"")
"),"The laptop is excellent, so far there have been no problems with it)))))")</f>
        <v>The laptop is excellent, so far there have been no problems with it)))))</v>
      </c>
    </row>
    <row r="4276" spans="1:9" x14ac:dyDescent="0.3">
      <c r="A4276" s="1" t="s">
        <v>149</v>
      </c>
      <c r="B4276" s="1" t="s">
        <v>155</v>
      </c>
      <c r="C4276" s="1" t="s">
        <v>1187</v>
      </c>
      <c r="D4276" s="1" t="s">
        <v>565</v>
      </c>
      <c r="E4276" s="1" t="s">
        <v>1310</v>
      </c>
      <c r="F4276" s="1" t="s">
        <v>7358</v>
      </c>
      <c r="G4276" s="1" t="s">
        <v>36</v>
      </c>
      <c r="H4276" s="1" t="s">
        <v>29</v>
      </c>
      <c r="I4276" s="1" t="str">
        <f ca="1">IFERROR(__xludf.DUMMYFUNCTION("GOOGLETRANSLATE(F4276, ""auto"", ""en"")
"),"The vacuum cleaner is simply super!!! Cleaning with such a vacuum cleaner is a pleasure!")</f>
        <v>The vacuum cleaner is simply super!!! Cleaning with such a vacuum cleaner is a pleasure!</v>
      </c>
    </row>
    <row r="4277" spans="1:9" x14ac:dyDescent="0.3">
      <c r="A4277" s="1" t="s">
        <v>67</v>
      </c>
      <c r="B4277" s="1" t="s">
        <v>68</v>
      </c>
      <c r="C4277" s="1" t="s">
        <v>185</v>
      </c>
      <c r="D4277" s="1" t="s">
        <v>1431</v>
      </c>
      <c r="E4277" s="1" t="s">
        <v>391</v>
      </c>
      <c r="F4277" s="1" t="s">
        <v>7359</v>
      </c>
      <c r="G4277" s="1" t="s">
        <v>36</v>
      </c>
      <c r="H4277" s="1" t="s">
        <v>29</v>
      </c>
      <c r="I4277" s="1" t="str">
        <f ca="1">IFERROR(__xludf.DUMMYFUNCTION("GOOGLETRANSLATE(F4277, ""auto"", ""en"")
"),"This is my first iron with a steam generator (I took it to try). That’s why I gave it a 5. I was satisfied with everything, except for the convenient filler neck and twist. Let me imagine how irons work with 4.5-5 bar and an outlet pressure of 110!")</f>
        <v>This is my first iron with a steam generator (I took it to try). That’s why I gave it a 5. I was satisfied with everything, except for the convenient filler neck and twist. Let me imagine how irons work with 4.5-5 bar and an outlet pressure of 110!</v>
      </c>
    </row>
    <row r="4278" spans="1:9" x14ac:dyDescent="0.3">
      <c r="A4278" s="1" t="s">
        <v>30</v>
      </c>
      <c r="B4278" s="1" t="s">
        <v>50</v>
      </c>
      <c r="C4278" s="1" t="s">
        <v>694</v>
      </c>
      <c r="D4278" s="1" t="s">
        <v>568</v>
      </c>
      <c r="E4278" s="1" t="s">
        <v>903</v>
      </c>
      <c r="F4278" s="1" t="s">
        <v>7360</v>
      </c>
      <c r="G4278" s="1" t="s">
        <v>28</v>
      </c>
      <c r="H4278" s="1" t="s">
        <v>29</v>
      </c>
      <c r="I4278" s="1" t="str">
        <f ca="1">IFERROR(__xludf.DUMMYFUNCTION("GOOGLETRANSLATE(F4278, ""auto"", ""en"")
"),"I bought this thing in January '10. I used it for a month...I was very pleased. And you can play and work with videos, in general, regarding price and quality + performance, a good choice. BUT there is a BUT.. I used it for a month - the VINT died.. I too"&amp;"k it to the M-Video service center... That’s all the questions for them... In 30 days they couldn’t change the hard drive... either they don’t have it, or they don’t have Windows. The service in this regard is terrible.. is it really such a problem to fin"&amp;"d this same hard drive in 30 days.. tomorrow I’m going to get a certificate of what they didn’t do.. (I can’t take the money I will, I’ll take the same laptop) I hope you’ll be lucky..) (I bought an additional warranty)")</f>
        <v>I bought this thing in January '10. I used it for a month...I was very pleased. And you can play and work with videos, in general, regarding price and quality + performance, a good choice. BUT there is a BUT.. I used it for a month - the VINT died.. I took it to the M-Video service center... That’s all the questions for them... In 30 days they couldn’t change the hard drive... either they don’t have it, or they don’t have Windows. The service in this regard is terrible.. is it really such a problem to find this same hard drive in 30 days.. tomorrow I’m going to get a certificate of what they didn’t do.. (I can’t take the money I will, I’ll take the same laptop) I hope you’ll be lucky..) (I bought an additional warranty)</v>
      </c>
    </row>
    <row r="4279" spans="1:9" x14ac:dyDescent="0.3">
      <c r="A4279" s="1" t="s">
        <v>111</v>
      </c>
      <c r="B4279" s="1" t="s">
        <v>112</v>
      </c>
      <c r="C4279" s="1" t="s">
        <v>113</v>
      </c>
      <c r="D4279" s="1" t="s">
        <v>203</v>
      </c>
      <c r="E4279" s="1" t="s">
        <v>4789</v>
      </c>
      <c r="F4279" s="1" t="s">
        <v>7361</v>
      </c>
      <c r="G4279" s="1" t="s">
        <v>49</v>
      </c>
      <c r="H4279" s="1" t="s">
        <v>16</v>
      </c>
      <c r="I4279" s="1" t="str">
        <f ca="1">IFERROR(__xludf.DUMMYFUNCTION("GOOGLETRANSLATE(F4279, ""auto"", ""en"")
"),"Beautiful design. 6 sockets ")</f>
        <v xml:space="preserve">Beautiful design. 6 sockets </v>
      </c>
    </row>
    <row r="4280" spans="1:9" x14ac:dyDescent="0.3">
      <c r="A4280" s="1" t="s">
        <v>89</v>
      </c>
      <c r="B4280" s="1" t="s">
        <v>231</v>
      </c>
      <c r="C4280" s="1" t="s">
        <v>1072</v>
      </c>
      <c r="D4280" s="1" t="s">
        <v>114</v>
      </c>
      <c r="E4280" s="1" t="s">
        <v>7362</v>
      </c>
      <c r="F4280" s="1" t="s">
        <v>7363</v>
      </c>
      <c r="G4280" s="1" t="s">
        <v>36</v>
      </c>
      <c r="H4280" s="1" t="s">
        <v>29</v>
      </c>
      <c r="I4280" s="1" t="str">
        <f ca="1">IFERROR(__xludf.DUMMYFUNCTION("GOOGLETRANSLATE(F4280, ""auto"", ""en"")
"),"I spent quite some time choosing a coffee machine. I chose Saeko on the recommendation of the seller, plus there was also a good promotion in Mvideo at that time. I have nothing to compare it with (this is my first coffee machine), but I’m happy with the "&amp;"purchase. One of the advantages I can immediately note is that it is quickly ready for use; the brewing group is simply removed and is easy to clean and rinse. The coffee turns out delicious, but most importantly, I advise you not to skimp on the quality "&amp;"of the coffee beans.")</f>
        <v>I spent quite some time choosing a coffee machine. I chose Saeko on the recommendation of the seller, plus there was also a good promotion in Mvideo at that time. I have nothing to compare it with (this is my first coffee machine), but I’m happy with the purchase. One of the advantages I can immediately note is that it is quickly ready for use; the brewing group is simply removed and is easy to clean and rinse. The coffee turns out delicious, but most importantly, I advise you not to skimp on the quality of the coffee beans.</v>
      </c>
    </row>
    <row r="4281" spans="1:9" x14ac:dyDescent="0.3">
      <c r="A4281" s="1" t="s">
        <v>30</v>
      </c>
      <c r="B4281" s="1" t="s">
        <v>31</v>
      </c>
      <c r="C4281" s="1" t="s">
        <v>32</v>
      </c>
      <c r="D4281" s="1" t="s">
        <v>7364</v>
      </c>
      <c r="E4281" s="1" t="s">
        <v>3664</v>
      </c>
      <c r="F4281" s="1" t="s">
        <v>7365</v>
      </c>
      <c r="G4281" s="1" t="s">
        <v>28</v>
      </c>
      <c r="H4281" s="1" t="s">
        <v>29</v>
      </c>
      <c r="I4281" s="1" t="str">
        <f ca="1">IFERROR(__xludf.DUMMYFUNCTION("GOOGLETRANSLATE(F4281, ""auto"", ""en"")
"),"The computer sees only 3 gigs (in the task manager, see) you need to install a 64-bit system (Eysers install a 32-bit one and put in 6 gigs). Vidyakh 1.5 gig, digital output (great thing) and all that, but why is it 128 bit and what’s the use of one and a"&amp;" half gigs!?   and if you collect it piece by piece, it would be more expensive to get one mother of DDR3, how much does it cost. 26k in my opinion is an acceptable price, although the recommended price on the website is 24k). the disk is divided into 2 p"&amp;"arts 290 - 290, I would also correct it 100 - 480 yes, yes, it’s not 640. The processor is basically not the latest.   Software - The antivirus is excellent, (McAfee) Windows media infuriates, if you change all the extensions for yourself, they will autom"&amp;"atically return them back, I want to remove them (roll back. I like the case when you turn it on, the power button and the drive open buttons light up (blue). There is a cover right above the drive, behind it there is a little empty space (a hiding place "&amp;"or something, disks in an envelope or similar will fit in and the rest of the junk :)).")</f>
        <v>The computer sees only 3 gigs (in the task manager, see) you need to install a 64-bit system (Eysers install a 32-bit one and put in 6 gigs). Vidyakh 1.5 gig, digital output (great thing) and all that, but why is it 128 bit and what’s the use of one and a half gigs!?   and if you collect it piece by piece, it would be more expensive to get one mother of DDR3, how much does it cost. 26k in my opinion is an acceptable price, although the recommended price on the website is 24k). the disk is divided into 2 parts 290 - 290, I would also correct it 100 - 480 yes, yes, it’s not 640. The processor is basically not the latest.   Software - The antivirus is excellent, (McAfee) Windows media infuriates, if you change all the extensions for yourself, they will automatically return them back, I want to remove them (roll back. I like the case when you turn it on, the power button and the drive open buttons light up (blue). There is a cover right above the drive, behind it there is a little empty space (a hiding place or something, disks in an envelope or similar will fit in and the rest of the junk :)).</v>
      </c>
    </row>
    <row r="4282" spans="1:9" x14ac:dyDescent="0.3">
      <c r="A4282" s="1" t="s">
        <v>369</v>
      </c>
      <c r="B4282" s="1" t="s">
        <v>370</v>
      </c>
      <c r="C4282" s="1" t="s">
        <v>290</v>
      </c>
      <c r="D4282" s="1" t="s">
        <v>438</v>
      </c>
      <c r="E4282" s="1" t="s">
        <v>3244</v>
      </c>
      <c r="F4282" s="1" t="s">
        <v>7366</v>
      </c>
      <c r="G4282" s="1" t="s">
        <v>36</v>
      </c>
      <c r="H4282" s="1" t="s">
        <v>29</v>
      </c>
      <c r="I4282" s="1" t="str">
        <f ca="1">IFERROR(__xludf.DUMMYFUNCTION("GOOGLETRANSLATE(F4282, ""auto"", ""en"")
"),"I liked everything very much. Surfaces heat up in seconds. The oven works just great. Don't even doubt it, the stove is Super!")</f>
        <v>I liked everything very much. Surfaces heat up in seconds. The oven works just great. Don't even doubt it, the stove is Super!</v>
      </c>
    </row>
    <row r="4283" spans="1:9" x14ac:dyDescent="0.3">
      <c r="A4283" s="1" t="s">
        <v>149</v>
      </c>
      <c r="B4283" s="1" t="s">
        <v>423</v>
      </c>
      <c r="C4283" s="1" t="s">
        <v>314</v>
      </c>
      <c r="D4283" s="1" t="s">
        <v>280</v>
      </c>
      <c r="E4283" s="1" t="s">
        <v>7367</v>
      </c>
      <c r="F4283" s="1" t="s">
        <v>7368</v>
      </c>
      <c r="G4283" s="1" t="s">
        <v>36</v>
      </c>
      <c r="H4283" s="1" t="s">
        <v>29</v>
      </c>
      <c r="I4283" s="1" t="str">
        <f ca="1">IFERROR(__xludf.DUMMYFUNCTION("GOOGLETRANSLATE(F4283, ""auto"", ""en"")
"),"Powerful, a lot of attachments, colors and finishes to suit every taste), a long hose (no need to drag a vacuum cleaner along with you), all the dust settles in the container and not on the vacuum cleaner (like other manufacturers), very easy to clean.")</f>
        <v>Powerful, a lot of attachments, colors and finishes to suit every taste), a long hose (no need to drag a vacuum cleaner along with you), all the dust settles in the container and not on the vacuum cleaner (like other manufacturers), very easy to clean.</v>
      </c>
    </row>
    <row r="4284" spans="1:9" x14ac:dyDescent="0.3">
      <c r="A4284" s="1" t="s">
        <v>120</v>
      </c>
      <c r="B4284" s="1" t="s">
        <v>126</v>
      </c>
      <c r="C4284" s="1" t="s">
        <v>80</v>
      </c>
      <c r="D4284" s="1" t="s">
        <v>7369</v>
      </c>
      <c r="E4284" s="1" t="s">
        <v>1037</v>
      </c>
      <c r="F4284" s="1" t="s">
        <v>7370</v>
      </c>
      <c r="G4284" s="1" t="s">
        <v>36</v>
      </c>
      <c r="H4284" s="1" t="s">
        <v>29</v>
      </c>
      <c r="I4284" s="1" t="str">
        <f ca="1">IFERROR(__xludf.DUMMYFUNCTION("GOOGLETRANSLATE(F4284, ""auto"", ""en"")
"),"Yesterday I bought and installed it. TV is great! For that kind of money I would give it an 8 rating! For a regular city antenna, there are no questions. The colors are saturated, bright, I looked at it from 4.5 meters - the picture quality is a solid fiv"&amp;"e! Sound great! Yesterday I didn’t have time to connect the home theater, so I won’t say anything about the DVD yet. The menu is very simple, accessible and understandable. There is a channel return button. In general, there are no complaints, and there a"&amp;"re no shortcomings either. Yes, I’m not sick of themes like FullHD and Blue Ray and other “super quality”. So I would take another one, but I ran out of room to put it in :)")</f>
        <v>Yesterday I bought and installed it. TV is great! For that kind of money I would give it an 8 rating! For a regular city antenna, there are no questions. The colors are saturated, bright, I looked at it from 4.5 meters - the picture quality is a solid five! Sound great! Yesterday I didn’t have time to connect the home theater, so I won’t say anything about the DVD yet. The menu is very simple, accessible and understandable. There is a channel return button. In general, there are no complaints, and there are no shortcomings either. Yes, I’m not sick of themes like FullHD and Blue Ray and other “super quality”. So I would take another one, but I ran out of room to put it in :)</v>
      </c>
    </row>
    <row r="4285" spans="1:9" x14ac:dyDescent="0.3">
      <c r="A4285" s="1" t="s">
        <v>30</v>
      </c>
      <c r="B4285" s="1" t="s">
        <v>31</v>
      </c>
      <c r="C4285" s="1" t="s">
        <v>32</v>
      </c>
      <c r="D4285" s="1" t="s">
        <v>52</v>
      </c>
      <c r="E4285" s="1" t="s">
        <v>3954</v>
      </c>
      <c r="F4285" s="1" t="s">
        <v>7371</v>
      </c>
      <c r="G4285" s="1" t="s">
        <v>15</v>
      </c>
      <c r="H4285" s="1" t="s">
        <v>16</v>
      </c>
      <c r="I4285" s="1" t="str">
        <f ca="1">IFERROR(__xludf.DUMMYFUNCTION("GOOGLETRANSLATE(F4285, ""auto"", ""en"")
"),"A normal system unit, but overheating ruins everything, I wouldn’t have bought it.")</f>
        <v>A normal system unit, but overheating ruins everything, I wouldn’t have bought it.</v>
      </c>
    </row>
    <row r="4286" spans="1:9" x14ac:dyDescent="0.3">
      <c r="A4286" s="1" t="s">
        <v>477</v>
      </c>
      <c r="B4286" s="1" t="s">
        <v>478</v>
      </c>
      <c r="C4286" s="1" t="s">
        <v>479</v>
      </c>
      <c r="D4286" s="1" t="s">
        <v>1329</v>
      </c>
      <c r="E4286" s="1" t="s">
        <v>7372</v>
      </c>
      <c r="F4286" s="1" t="s">
        <v>7373</v>
      </c>
      <c r="G4286" s="1" t="s">
        <v>36</v>
      </c>
      <c r="H4286" s="1" t="s">
        <v>29</v>
      </c>
      <c r="I4286" s="1" t="str">
        <f ca="1">IFERROR(__xludf.DUMMYFUNCTION("GOOGLETRANSLATE(F4286, ""auto"", ""en"")
"),"A lot can be said about this game, but in general terms we can say the following: This is a domestic FPS/RPG without leveling up the player, the actions of which take place in the near future and are based on real events. The originality and atmosphere of"&amp;" the game fascinates at first glance, the graphics so clearly convey the situation that, firstly, it will attract fans of realistic games, and secondly, it will simply draw them into the storyline, which the player can choose independently after passing. "&amp;" In general, I recommend it to everyone who has played the HALF LIFE, DOOM 3 series of games and of course the FALL OUT series of games")</f>
        <v>A lot can be said about this game, but in general terms we can say the following: This is a domestic FPS/RPG without leveling up the player, the actions of which take place in the near future and are based on real events. The originality and atmosphere of the game fascinates at first glance, the graphics so clearly convey the situation that, firstly, it will attract fans of realistic games, and secondly, it will simply draw them into the storyline, which the player can choose independently after passing.  In general, I recommend it to everyone who has played the HALF LIFE, DOOM 3 series of games and of course the FALL OUT series of games</v>
      </c>
    </row>
    <row r="4287" spans="1:9" x14ac:dyDescent="0.3">
      <c r="A4287" s="1" t="s">
        <v>37</v>
      </c>
      <c r="B4287" s="1" t="s">
        <v>38</v>
      </c>
      <c r="C4287" s="1" t="s">
        <v>151</v>
      </c>
      <c r="D4287" s="1" t="s">
        <v>1329</v>
      </c>
      <c r="E4287" s="1" t="s">
        <v>5055</v>
      </c>
      <c r="F4287" s="1" t="s">
        <v>7374</v>
      </c>
      <c r="G4287" s="1" t="s">
        <v>28</v>
      </c>
      <c r="H4287" s="1" t="s">
        <v>29</v>
      </c>
      <c r="I4287" s="1" t="str">
        <f ca="1">IFERROR(__xludf.DUMMYFUNCTION("GOOGLETRANSLATE(F4287, ""auto"", ""en"")
"),"Pros: 1.Good appearance and durable body.  2.Two SIMs are easy and convenient to switch.  3.For half a year the case has not worn out (plastic quality) 4.Good sound.  5. The battery lasts for 3-4 days in active mode.  6.Each sim has its own wallpaper, so "&amp;"as not to get confused.  7. Photo identification for the caller.  Cons: 1. Applications do not minimize.  2.Weak camera, not good enough for 2 and no flash.  3. There is no backlight for the joystick and main buttons (a big minus), it’s inconvenient in th"&amp;"e dark.  4.JPeG photos do not open.  5.All games are demos.  6.Opening the back cover requires a lot of effort.  Bottom line, I recommend it to anyone who needs a reliable and convenient phone for 2 SIM, I’m happy with the phone.")</f>
        <v>Pros: 1.Good appearance and durable body.  2.Two SIMs are easy and convenient to switch.  3.For half a year the case has not worn out (plastic quality) 4.Good sound.  5. The battery lasts for 3-4 days in active mode.  6.Each sim has its own wallpaper, so as not to get confused.  7. Photo identification for the caller.  Cons: 1. Applications do not minimize.  2.Weak camera, not good enough for 2 and no flash.  3. There is no backlight for the joystick and main buttons (a big minus), it’s inconvenient in the dark.  4.JPeG photos do not open.  5.All games are demos.  6.Opening the back cover requires a lot of effort.  Bottom line, I recommend it to anyone who needs a reliable and convenient phone for 2 SIM, I’m happy with the phone.</v>
      </c>
    </row>
    <row r="4288" spans="1:9" x14ac:dyDescent="0.3">
      <c r="A4288" s="1" t="s">
        <v>30</v>
      </c>
      <c r="B4288" s="1" t="s">
        <v>50</v>
      </c>
      <c r="C4288" s="1" t="s">
        <v>1386</v>
      </c>
      <c r="D4288" s="1" t="s">
        <v>208</v>
      </c>
      <c r="E4288" s="1" t="s">
        <v>3794</v>
      </c>
      <c r="F4288" s="1" t="s">
        <v>7375</v>
      </c>
      <c r="G4288" s="1" t="s">
        <v>28</v>
      </c>
      <c r="H4288" s="1" t="s">
        <v>29</v>
      </c>
      <c r="I4288" s="1" t="str">
        <f ca="1">IFERROR(__xludf.DUMMYFUNCTION("GOOGLETRANSLATE(F4288, ""auto"", ""en"")
"),"A week later the cooler began to rattle, but as the service center told me, this was the first time such a problem was encountered in these models, most likely the wire got caught under the valve during assembly, it’s difficult to play games on it, but th"&amp;"at’s not its main task)) there were also difficulties when installing the software, the drivers that came with the kit were not suitable, the person spent 2 hours to install XP sp3.  In principle, for this price it’s a very decent machine, I’m happy with "&amp;"the work.")</f>
        <v>A week later the cooler began to rattle, but as the service center told me, this was the first time such a problem was encountered in these models, most likely the wire got caught under the valve during assembly, it’s difficult to play games on it, but that’s not its main task)) there were also difficulties when installing the software, the drivers that came with the kit were not suitable, the person spent 2 hours to install XP sp3.  In principle, for this price it’s a very decent machine, I’m happy with the work.</v>
      </c>
    </row>
    <row r="4289" spans="1:9" x14ac:dyDescent="0.3">
      <c r="A4289" s="1" t="s">
        <v>624</v>
      </c>
      <c r="B4289" s="1" t="s">
        <v>625</v>
      </c>
      <c r="C4289" s="1" t="s">
        <v>479</v>
      </c>
      <c r="D4289" s="1" t="s">
        <v>25</v>
      </c>
      <c r="E4289" s="1" t="s">
        <v>1350</v>
      </c>
      <c r="F4289" s="1" t="s">
        <v>7376</v>
      </c>
      <c r="G4289" s="1" t="s">
        <v>36</v>
      </c>
      <c r="H4289" s="1" t="s">
        <v>29</v>
      </c>
      <c r="I4289" s="1" t="str">
        <f ca="1">IFERROR(__xludf.DUMMYFUNCTION("GOOGLETRANSLATE(F4289, ""auto"", ""en"")
"),"SUPER game! Buy all 5+!")</f>
        <v>SUPER game! Buy all 5+!</v>
      </c>
    </row>
    <row r="4290" spans="1:9" x14ac:dyDescent="0.3">
      <c r="A4290" s="1" t="s">
        <v>149</v>
      </c>
      <c r="B4290" s="1" t="s">
        <v>155</v>
      </c>
      <c r="C4290" s="1" t="s">
        <v>80</v>
      </c>
      <c r="D4290" s="1" t="s">
        <v>968</v>
      </c>
      <c r="E4290" s="1" t="s">
        <v>1048</v>
      </c>
      <c r="F4290" s="1" t="s">
        <v>7377</v>
      </c>
      <c r="G4290" s="1" t="s">
        <v>36</v>
      </c>
      <c r="H4290" s="1" t="s">
        <v>29</v>
      </c>
      <c r="I4290" s="1" t="str">
        <f ca="1">IFERROR(__xludf.DUMMYFUNCTION("GOOGLETRANSLATE(F4290, ""auto"", ""en"")
"),"Easy to use, powerful, not bulky, a lot of attachments, there is also a nozzle for cleaning hair. Cleaning the container is also convenient and easy. The only disadvantage I can say is that the filters are not sold in stores. Otherwise, it's a good vacuum"&amp;" cleaner.")</f>
        <v>Easy to use, powerful, not bulky, a lot of attachments, there is also a nozzle for cleaning hair. Cleaning the container is also convenient and easy. The only disadvantage I can say is that the filters are not sold in stores. Otherwise, it's a good vacuum cleaner.</v>
      </c>
    </row>
    <row r="4291" spans="1:9" x14ac:dyDescent="0.3">
      <c r="A4291" s="1" t="s">
        <v>211</v>
      </c>
      <c r="B4291" s="1" t="s">
        <v>899</v>
      </c>
      <c r="C4291" s="1" t="s">
        <v>69</v>
      </c>
      <c r="D4291" s="1" t="s">
        <v>64</v>
      </c>
      <c r="E4291" s="1" t="s">
        <v>2634</v>
      </c>
      <c r="F4291" s="1" t="s">
        <v>7378</v>
      </c>
      <c r="G4291" s="1" t="s">
        <v>28</v>
      </c>
      <c r="H4291" s="1" t="s">
        <v>29</v>
      </c>
      <c r="I4291" s="1" t="str">
        <f ca="1">IFERROR(__xludf.DUMMYFUNCTION("GOOGLETRANSLATE(F4291, ""auto"", ""en"")
"),"I bought it recently. I chose a toothbrush with a battery, but not a very expensive one. I'm very pleased. From the first use, the result is immediately visible: smooth, shiny teeth + gum massage. Clears away all the soft plaque that I had left after usin"&amp;"g a simple toothbrush. When brushing your teeth, you need a minimum of toothpaste. Very easy to care after use.")</f>
        <v>I bought it recently. I chose a toothbrush with a battery, but not a very expensive one. I'm very pleased. From the first use, the result is immediately visible: smooth, shiny teeth + gum massage. Clears away all the soft plaque that I had left after using a simple toothbrush. When brushing your teeth, you need a minimum of toothpaste. Very easy to care after use.</v>
      </c>
    </row>
    <row r="4292" spans="1:9" x14ac:dyDescent="0.3">
      <c r="A4292" s="1" t="s">
        <v>149</v>
      </c>
      <c r="B4292" s="1" t="s">
        <v>150</v>
      </c>
      <c r="C4292" s="1" t="s">
        <v>2016</v>
      </c>
      <c r="D4292" s="1" t="s">
        <v>1605</v>
      </c>
      <c r="E4292" s="1" t="s">
        <v>494</v>
      </c>
      <c r="F4292" s="1" t="s">
        <v>7379</v>
      </c>
      <c r="G4292" s="1" t="s">
        <v>28</v>
      </c>
      <c r="H4292" s="1" t="s">
        <v>29</v>
      </c>
      <c r="I4292" s="1" t="str">
        <f ca="1">IFERROR(__xludf.DUMMYFUNCTION("GOOGLETRANSLATE(F4292, ""auto"", ""en"")
"),"Today I bought it and tried it right away, a normal vacuum cleaner sucks better when the car is running, the minus is the winding of the cord would be very good if they made it automatic, otherwise it’s not possible to wind it clearly so that the power ad"&amp;"apter is snapped in place and the cord doesn’t stick out and lies tightly, but overall I’m happy with the vacuum cleaner, I think it’s the best choice among those offered here.")</f>
        <v>Today I bought it and tried it right away, a normal vacuum cleaner sucks better when the car is running, the minus is the winding of the cord would be very good if they made it automatic, otherwise it’s not possible to wind it clearly so that the power adapter is snapped in place and the cord doesn’t stick out and lies tightly, but overall I’m happy with the vacuum cleaner, I think it’s the best choice among those offered here.</v>
      </c>
    </row>
    <row r="4293" spans="1:9" x14ac:dyDescent="0.3">
      <c r="A4293" s="1" t="s">
        <v>61</v>
      </c>
      <c r="B4293" s="1" t="s">
        <v>726</v>
      </c>
      <c r="C4293" s="1" t="s">
        <v>146</v>
      </c>
      <c r="D4293" s="1" t="s">
        <v>2668</v>
      </c>
      <c r="E4293" s="1" t="s">
        <v>4245</v>
      </c>
      <c r="F4293" s="1" t="s">
        <v>7380</v>
      </c>
      <c r="G4293" s="1" t="s">
        <v>28</v>
      </c>
      <c r="H4293" s="1" t="s">
        <v>29</v>
      </c>
      <c r="I4293" s="1" t="str">
        <f ca="1">IFERROR(__xludf.DUMMYFUNCTION("GOOGLETRANSLATE(F4293, ""auto"", ""en"")
"),"I left a review almost two months ago and gave the bread maker 5 stars, now, having gotten to know it better, I’m lowering the rating, and now I’ll explain why.  I actively use the stove; after the appearance of the stove, I stopped buying bread in the st"&amp;"ore; I bake bread for my family and my mother. Those. The stove is used actively and copes well with the load, but there are some comments.  1. The recipes for rye-wheat and pure rye bread in the recipe book included with the roofing felt stove do not cor"&amp;"respond to the specified programs; the roofing felts were generally written “by eye” and no one tested them on this bread machine. Those. rye and rye-wheat bread cannot be made using them. I read the forum on bread machine.ru - not only did it not work ou"&amp;"t for me, in my opinion, no one did it at all.  2. The second point follows from the first: among the 15 standard programs there is no acceptable program for rye bread.  3. It is also impossible to program such a program, because it is not possible to mak"&amp;"e a program with a long rise of the dough without kneading, the maximum rising time before the first kneading of the dough is only 1 hour and you cannot do more - this is not enough for dark bread. You have to use two programs, because... After an hour, y"&amp;"ou either need to start baking or knead, but it’s not needed at all for dark bread, i.e. Baking rye bread without intervention after 80-90 minutes is impossible; you have to wait for the moment to switch to another program, thereby prolonging the rise of "&amp;"the dough. It's just white bread, put it on for the night with a delay, in the morning - fresh bread for waking up.  4. In programs that you can program yourself, the weight of the loaf (only maximum) and the color of the crust (only medium) do not change"&amp;" - this is inconvenient.  I think that manufacturers who have invested so much in design should work on standard programs and add a couple of real (!!!) recipes for dark bread to them, make programming more flexible, solve the issue with the backlash of t"&amp;"he bucket, add 1000-2000 rubles for all this, but make the stove perfect, I would buy it for that kind of money, and would use it with great pleasure.  These were the disadvantages, now the advantages: 1. Of course the design.  2. Easy to bake white bread"&amp;".  3. Availability of a dispenser.  4. Touch buttons - wipe the top panel and it shines, you don’t have to pick flour out of the buttons))) 5. Inspection window and backlight at any time.")</f>
        <v>I left a review almost two months ago and gave the bread maker 5 stars, now, having gotten to know it better, I’m lowering the rating, and now I’ll explain why.  I actively use the stove; after the appearance of the stove, I stopped buying bread in the store; I bake bread for my family and my mother. Those. The stove is used actively and copes well with the load, but there are some comments.  1. The recipes for rye-wheat and pure rye bread in the recipe book included with the roofing felt stove do not correspond to the specified programs; the roofing felts were generally written “by eye” and no one tested them on this bread machine. Those. rye and rye-wheat bread cannot be made using them. I read the forum on bread machine.ru - not only did it not work out for me, in my opinion, no one did it at all.  2. The second point follows from the first: among the 15 standard programs there is no acceptable program for rye bread.  3. It is also impossible to program such a program, because it is not possible to make a program with a long rise of the dough without kneading, the maximum rising time before the first kneading of the dough is only 1 hour and you cannot do more - this is not enough for dark bread. You have to use two programs, because... After an hour, you either need to start baking or knead, but it’s not needed at all for dark bread, i.e. Baking rye bread without intervention after 80-90 minutes is impossible; you have to wait for the moment to switch to another program, thereby prolonging the rise of the dough. It's just white bread, put it on for the night with a delay, in the morning - fresh bread for waking up.  4. In programs that you can program yourself, the weight of the loaf (only maximum) and the color of the crust (only medium) do not change - this is inconvenient.  I think that manufacturers who have invested so much in design should work on standard programs and add a couple of real (!!!) recipes for dark bread to them, make programming more flexible, solve the issue with the backlash of the bucket, add 1000-2000 rubles for all this, but make the stove perfect, I would buy it for that kind of money, and would use it with great pleasure.  These were the disadvantages, now the advantages: 1. Of course the design.  2. Easy to bake white bread.  3. Availability of a dispenser.  4. Touch buttons - wipe the top panel and it shines, you don’t have to pick flour out of the buttons))) 5. Inspection window and backlight at any time.</v>
      </c>
    </row>
    <row r="4294" spans="1:9" x14ac:dyDescent="0.3">
      <c r="A4294" s="1" t="s">
        <v>61</v>
      </c>
      <c r="B4294" s="1" t="s">
        <v>977</v>
      </c>
      <c r="C4294" s="1" t="s">
        <v>85</v>
      </c>
      <c r="D4294" s="1" t="s">
        <v>7381</v>
      </c>
      <c r="E4294" s="1" t="s">
        <v>3444</v>
      </c>
      <c r="F4294" s="1" t="s">
        <v>7382</v>
      </c>
      <c r="G4294" s="1" t="s">
        <v>36</v>
      </c>
      <c r="H4294" s="1" t="s">
        <v>29</v>
      </c>
      <c r="I4294" s="1" t="str">
        <f ca="1">IFERROR(__xludf.DUMMYFUNCTION("GOOGLETRANSLATE(F4294, ""auto"", ""en"")
"),"An excellent blender, perfectly prepares cocktails, smoothies, ice and even minced meat! Next trip to the store - BORK bread machine")</f>
        <v>An excellent blender, perfectly prepares cocktails, smoothies, ice and even minced meat! Next trip to the store - BORK bread machine</v>
      </c>
    </row>
    <row r="4295" spans="1:9" x14ac:dyDescent="0.3">
      <c r="A4295" s="1" t="s">
        <v>43</v>
      </c>
      <c r="B4295" s="1" t="s">
        <v>1382</v>
      </c>
      <c r="C4295" s="1" t="s">
        <v>57</v>
      </c>
      <c r="D4295" s="1" t="s">
        <v>39</v>
      </c>
      <c r="E4295" s="1" t="s">
        <v>3718</v>
      </c>
      <c r="F4295" s="1" t="s">
        <v>7383</v>
      </c>
      <c r="G4295" s="1" t="s">
        <v>36</v>
      </c>
      <c r="H4295" s="1" t="s">
        <v>29</v>
      </c>
      <c r="I4295" s="1" t="str">
        <f ca="1">IFERROR(__xludf.DUMMYFUNCTION("GOOGLETRANSLATE(F4295, ""auto"", ""en"")
"),"I bought it 2 years ago, first for home, because... There are no open blades that could hurt children. After 3 days I bought a second one for the dacha...after another three days I bought a third one for work. There was no squeaking when turning. Maybe th"&amp;"ey are not placed exactly. My wife calls it a mini air conditioner. I recommend it to everyone. The air moves powerfully, but without tension.")</f>
        <v>I bought it 2 years ago, first for home, because... There are no open blades that could hurt children. After 3 days I bought a second one for the dacha...after another three days I bought a third one for work. There was no squeaking when turning. Maybe they are not placed exactly. My wife calls it a mini air conditioner. I recommend it to everyone. The air moves powerfully, but without tension.</v>
      </c>
    </row>
    <row r="4296" spans="1:9" x14ac:dyDescent="0.3">
      <c r="A4296" s="1" t="s">
        <v>105</v>
      </c>
      <c r="B4296" s="1" t="s">
        <v>106</v>
      </c>
      <c r="C4296" s="1" t="s">
        <v>107</v>
      </c>
      <c r="D4296" s="1" t="s">
        <v>7384</v>
      </c>
      <c r="E4296" s="1" t="s">
        <v>4739</v>
      </c>
      <c r="F4296" s="1" t="s">
        <v>7385</v>
      </c>
      <c r="G4296" s="1" t="s">
        <v>15</v>
      </c>
      <c r="H4296" s="1" t="s">
        <v>16</v>
      </c>
      <c r="I4296" s="1" t="str">
        <f ca="1">IFERROR(__xludf.DUMMYFUNCTION("GOOGLETRANSLATE(F4296, ""auto"", ""en"")
"),"If you listen to pure music, then it’s fine. Indeed, the player's controls are sluggish and the sound quality is average. You constantly have to press the buttons several times (sometimes they don’t work the first time). The sound is ahead of the video by"&amp;" a lot, almost 2 times. True, if you set the lowest quality during conversion, then everything is fine, but not always. The player is quite fragile and apparently intended mainly for girls. When you press the buttons hard, the screen becomes slightly dist"&amp;"orted (as if you were pressing on the screen itself). The battery life is weak, it has already been written about. Perhaps I just got a defect (I took it for 1690). If you are planning to buy this model, be sure to check how the player works before purcha"&amp;"sing. I exchanged it for MP3 Flash Player 8 GB teXet T-860 (8Gb) - an excellent model.")</f>
        <v>If you listen to pure music, then it’s fine. Indeed, the player's controls are sluggish and the sound quality is average. You constantly have to press the buttons several times (sometimes they don’t work the first time). The sound is ahead of the video by a lot, almost 2 times. True, if you set the lowest quality during conversion, then everything is fine, but not always. The player is quite fragile and apparently intended mainly for girls. When you press the buttons hard, the screen becomes slightly distorted (as if you were pressing on the screen itself). The battery life is weak, it has already been written about. Perhaps I just got a defect (I took it for 1690). If you are planning to buy this model, be sure to check how the player works before purchasing. I exchanged it for MP3 Flash Player 8 GB teXet T-860 (8Gb) - an excellent model.</v>
      </c>
    </row>
    <row r="4297" spans="1:9" x14ac:dyDescent="0.3">
      <c r="A4297" s="1" t="s">
        <v>120</v>
      </c>
      <c r="B4297" s="1" t="s">
        <v>256</v>
      </c>
      <c r="C4297" s="1" t="s">
        <v>80</v>
      </c>
      <c r="D4297" s="1" t="s">
        <v>39</v>
      </c>
      <c r="E4297" s="1" t="s">
        <v>6851</v>
      </c>
      <c r="F4297" s="1" t="s">
        <v>7386</v>
      </c>
      <c r="G4297" s="1" t="s">
        <v>28</v>
      </c>
      <c r="H4297" s="1" t="s">
        <v>29</v>
      </c>
      <c r="I4297" s="1" t="str">
        <f ca="1">IFERROR(__xludf.DUMMYFUNCTION("GOOGLETRANSLATE(F4297, ""auto"", ""en"")
"),"I bought it 3 days ago. Overall I am pleased with both the sound and the image.  I was disappointed by the operation of the remote control - very thoughtful. To enter the menu you have to press and hold the button or press it twice... It’s not the batteri"&amp;"es (I changed them to new ones of decent quality) and not the specific remote control - today I went to the nearest M-video, looked at another copy - the effect is the same.  I'm disappointed by the channel sorting function - it's very inconveniently orga"&amp;"nized.  I recommend it as a TV option for the kitchen, for that kind of money.")</f>
        <v>I bought it 3 days ago. Overall I am pleased with both the sound and the image.  I was disappointed by the operation of the remote control - very thoughtful. To enter the menu you have to press and hold the button or press it twice... It’s not the batteries (I changed them to new ones of decent quality) and not the specific remote control - today I went to the nearest M-video, looked at another copy - the effect is the same.  I'm disappointed by the channel sorting function - it's very inconveniently organized.  I recommend it as a TV option for the kitchen, for that kind of money.</v>
      </c>
    </row>
    <row r="4298" spans="1:9" x14ac:dyDescent="0.3">
      <c r="A4298" s="1" t="s">
        <v>557</v>
      </c>
      <c r="B4298" s="1" t="s">
        <v>558</v>
      </c>
      <c r="C4298" s="1" t="s">
        <v>816</v>
      </c>
      <c r="D4298" s="1" t="s">
        <v>127</v>
      </c>
      <c r="E4298" s="1" t="s">
        <v>76</v>
      </c>
      <c r="F4298" s="1" t="s">
        <v>7387</v>
      </c>
      <c r="G4298" s="1" t="s">
        <v>15</v>
      </c>
      <c r="H4298" s="1" t="s">
        <v>16</v>
      </c>
      <c r="I4298" s="1" t="str">
        <f ca="1">IFERROR(__xludf.DUMMYFUNCTION("GOOGLETRANSLATE(F4298, ""auto"", ""en"")
"),"Very loud noise and background in the handset: both during a conversation and in its absence (when there is simply a response from the station). I consider this an unacceptable drawback, even despite the low price: you can reduce the functionality of the "&amp;"phone as much as you like, but the sound quality must be good. I'll give it up.")</f>
        <v>Very loud noise and background in the handset: both during a conversation and in its absence (when there is simply a response from the station). I consider this an unacceptable drawback, even despite the low price: you can reduce the functionality of the phone as much as you like, but the sound quality must be good. I'll give it up.</v>
      </c>
    </row>
    <row r="4299" spans="1:9" x14ac:dyDescent="0.3">
      <c r="A4299" s="1" t="s">
        <v>211</v>
      </c>
      <c r="B4299" s="1" t="s">
        <v>410</v>
      </c>
      <c r="C4299" s="1" t="s">
        <v>69</v>
      </c>
      <c r="D4299" s="1" t="s">
        <v>232</v>
      </c>
      <c r="E4299" s="1" t="s">
        <v>241</v>
      </c>
      <c r="F4299" s="1" t="s">
        <v>7388</v>
      </c>
      <c r="G4299" s="1" t="s">
        <v>36</v>
      </c>
      <c r="H4299" s="1" t="s">
        <v>29</v>
      </c>
      <c r="I4299" s="1" t="str">
        <f ca="1">IFERROR(__xludf.DUMMYFUNCTION("GOOGLETRANSLATE(F4299, ""auto"", ""en"")
"),"I don’t regret that I bought it, it shaves great!!!")</f>
        <v>I don’t regret that I bought it, it shaves great!!!</v>
      </c>
    </row>
    <row r="4300" spans="1:9" x14ac:dyDescent="0.3">
      <c r="A4300" s="1" t="s">
        <v>61</v>
      </c>
      <c r="B4300" s="1" t="s">
        <v>180</v>
      </c>
      <c r="C4300" s="1" t="s">
        <v>74</v>
      </c>
      <c r="D4300" s="1" t="s">
        <v>20</v>
      </c>
      <c r="E4300" s="1" t="s">
        <v>2022</v>
      </c>
      <c r="F4300" s="1" t="s">
        <v>7389</v>
      </c>
      <c r="G4300" s="1" t="s">
        <v>36</v>
      </c>
      <c r="H4300" s="1" t="s">
        <v>29</v>
      </c>
      <c r="I4300" s="1" t="str">
        <f ca="1">IFERROR(__xludf.DUMMYFUNCTION("GOOGLETRANSLATE(F4300, ""auto"", ""en"")
"),"Good stuff. Very good. I like making sandwiches; they turn out crispy and the cheese melts perfectly; I’ve only made waffles a couple of times, but they also come out well. Heats up evenly.")</f>
        <v>Good stuff. Very good. I like making sandwiches; they turn out crispy and the cheese melts perfectly; I’ve only made waffles a couple of times, but they also come out well. Heats up evenly.</v>
      </c>
    </row>
    <row r="4301" spans="1:9" x14ac:dyDescent="0.3">
      <c r="A4301" s="1" t="s">
        <v>1443</v>
      </c>
      <c r="B4301" s="1" t="s">
        <v>1444</v>
      </c>
      <c r="C4301" s="1" t="s">
        <v>1489</v>
      </c>
      <c r="D4301" s="1" t="s">
        <v>7390</v>
      </c>
      <c r="E4301" s="1" t="s">
        <v>4486</v>
      </c>
      <c r="F4301" s="1" t="s">
        <v>7391</v>
      </c>
      <c r="G4301" s="1" t="s">
        <v>36</v>
      </c>
      <c r="H4301" s="1" t="s">
        <v>29</v>
      </c>
      <c r="I4301" s="1" t="str">
        <f ca="1">IFERROR(__xludf.DUMMYFUNCTION("GOOGLETRANSLATE(F4301, ""auto"", ""en"")
"),"Normal flash drive. I've been using it for over a month. Advantages: speed, nice design, small size. No shortcomings have been noticed yet.")</f>
        <v>Normal flash drive. I've been using it for over a month. Advantages: speed, nice design, small size. No shortcomings have been noticed yet.</v>
      </c>
    </row>
    <row r="4302" spans="1:9" x14ac:dyDescent="0.3">
      <c r="A4302" s="1" t="s">
        <v>30</v>
      </c>
      <c r="B4302" s="1" t="s">
        <v>50</v>
      </c>
      <c r="C4302" s="1" t="s">
        <v>694</v>
      </c>
      <c r="D4302" s="1" t="s">
        <v>39</v>
      </c>
      <c r="E4302" s="1" t="s">
        <v>540</v>
      </c>
      <c r="F4302" s="1" t="s">
        <v>7392</v>
      </c>
      <c r="G4302" s="1" t="s">
        <v>36</v>
      </c>
      <c r="H4302" s="1" t="s">
        <v>29</v>
      </c>
      <c r="I4302" s="1" t="str">
        <f ca="1">IFERROR(__xludf.DUMMYFUNCTION("GOOGLETRANSLATE(F4302, ""auto"", ""en"")
"),"I bought this notebook for myself as a gift! I was attracted by the price and characteristics. At the moment, I haven't seen a better offer yet. It costs more in any online store. In addition, Mvideo also gave a card for 5 rubles. Anyone who wants to inve"&amp;"st money and be sure that the laptop will not become cheaper in 3 months - I advise you to take a closer look at this model. Windows 7 just flies. The laptop has a high-quality matrix and an image above all praise! I watched RV 1080 movies - everything wo"&amp;"rks smoothly. The keyboard is comfortable. The sound is very good.  You won't find a better price for this amount (27990). I recommend it to everyone. D.")</f>
        <v>I bought this notebook for myself as a gift! I was attracted by the price and characteristics. At the moment, I haven't seen a better offer yet. It costs more in any online store. In addition, Mvideo also gave a card for 5 rubles. Anyone who wants to invest money and be sure that the laptop will not become cheaper in 3 months - I advise you to take a closer look at this model. Windows 7 just flies. The laptop has a high-quality matrix and an image above all praise! I watched RV 1080 movies - everything works smoothly. The keyboard is comfortable. The sound is very good.  You won't find a better price for this amount (27990). I recommend it to everyone. D.</v>
      </c>
    </row>
    <row r="4303" spans="1:9" x14ac:dyDescent="0.3">
      <c r="A4303" s="1" t="s">
        <v>113</v>
      </c>
      <c r="B4303" s="1" t="s">
        <v>1251</v>
      </c>
      <c r="C4303" s="1" t="s">
        <v>2115</v>
      </c>
      <c r="D4303" s="1" t="s">
        <v>327</v>
      </c>
      <c r="E4303" s="1" t="s">
        <v>552</v>
      </c>
      <c r="F4303" s="1" t="s">
        <v>7393</v>
      </c>
      <c r="G4303" s="1" t="s">
        <v>36</v>
      </c>
      <c r="H4303" s="1" t="s">
        <v>29</v>
      </c>
      <c r="I4303" s="1" t="str">
        <f ca="1">IFERROR(__xludf.DUMMYFUNCTION("GOOGLETRANSLATE(F4303, ""auto"", ""en"")
"),"I bought it today, everything works great, and most importantly, quickly, without delays!!! I advise everyone, buy it, you won’t regret it for a second!!!")</f>
        <v>I bought it today, everything works great, and most importantly, quickly, without delays!!! I advise everyone, buy it, you won’t regret it for a second!!!</v>
      </c>
    </row>
    <row r="4304" spans="1:9" x14ac:dyDescent="0.3">
      <c r="A4304" s="1" t="s">
        <v>211</v>
      </c>
      <c r="B4304" s="1" t="s">
        <v>2818</v>
      </c>
      <c r="C4304" s="1" t="s">
        <v>213</v>
      </c>
      <c r="D4304" s="1" t="s">
        <v>33</v>
      </c>
      <c r="E4304" s="1" t="s">
        <v>7394</v>
      </c>
      <c r="F4304" s="1" t="s">
        <v>7395</v>
      </c>
      <c r="G4304" s="1" t="s">
        <v>15</v>
      </c>
      <c r="H4304" s="1" t="s">
        <v>16</v>
      </c>
      <c r="I4304" s="1" t="str">
        <f ca="1">IFERROR(__xludf.DUMMYFUNCTION("GOOGLETRANSLATE(F4304, ""auto"", ""en"")
"),"Original, non-standard product")</f>
        <v>Original, non-standard product</v>
      </c>
    </row>
    <row r="4305" spans="1:9" x14ac:dyDescent="0.3">
      <c r="A4305" s="1" t="s">
        <v>61</v>
      </c>
      <c r="B4305" s="1" t="s">
        <v>726</v>
      </c>
      <c r="C4305" s="1" t="s">
        <v>146</v>
      </c>
      <c r="D4305" s="1" t="s">
        <v>280</v>
      </c>
      <c r="E4305" s="1" t="s">
        <v>7396</v>
      </c>
      <c r="F4305" s="1" t="s">
        <v>7397</v>
      </c>
      <c r="G4305" s="1" t="s">
        <v>36</v>
      </c>
      <c r="H4305" s="1" t="s">
        <v>29</v>
      </c>
      <c r="I4305" s="1" t="str">
        <f ca="1">IFERROR(__xludf.DUMMYFUNCTION("GOOGLETRANSLATE(F4305, ""auto"", ""en"")
"),"If something works as it should, that’s a plus, then it works as it should.")</f>
        <v>If something works as it should, that’s a plus, then it works as it should.</v>
      </c>
    </row>
    <row r="4306" spans="1:9" x14ac:dyDescent="0.3">
      <c r="A4306" s="1" t="s">
        <v>105</v>
      </c>
      <c r="B4306" s="1" t="s">
        <v>106</v>
      </c>
      <c r="C4306" s="1" t="s">
        <v>1209</v>
      </c>
      <c r="D4306" s="1" t="s">
        <v>7398</v>
      </c>
      <c r="E4306" s="1" t="s">
        <v>3652</v>
      </c>
      <c r="F4306" s="1" t="s">
        <v>7399</v>
      </c>
      <c r="G4306" s="1" t="s">
        <v>28</v>
      </c>
      <c r="H4306" s="1" t="s">
        <v>29</v>
      </c>
      <c r="I4306" s="1" t="str">
        <f ca="1">IFERROR(__xludf.DUMMYFUNCTION("GOOGLETRANSLATE(F4306, ""auto"", ""en"")
"),"A full-fledged USB is better than a mini, you don’t always have a mini with you, but USB is everywhere")</f>
        <v>A full-fledged USB is better than a mini, you don’t always have a mini with you, but USB is everywhere</v>
      </c>
    </row>
    <row r="4307" spans="1:9" x14ac:dyDescent="0.3">
      <c r="A4307" s="1" t="s">
        <v>211</v>
      </c>
      <c r="B4307" s="1" t="s">
        <v>410</v>
      </c>
      <c r="C4307" s="1" t="s">
        <v>122</v>
      </c>
      <c r="D4307" s="1" t="s">
        <v>81</v>
      </c>
      <c r="E4307" s="1" t="s">
        <v>5147</v>
      </c>
      <c r="F4307" s="1" t="s">
        <v>7400</v>
      </c>
      <c r="G4307" s="1" t="s">
        <v>49</v>
      </c>
      <c r="H4307" s="1" t="s">
        <v>16</v>
      </c>
      <c r="I4307" s="1" t="str">
        <f ca="1">IFERROR(__xludf.DUMMYFUNCTION("GOOGLETRANSLATE(F4307, ""auto"", ""en"")
"),"This is just a pathetic piece of soap, I spent 10 minutes, tried both dry and wet shaving - you can run it over the same place 30 times, and there is zero result. The hat is shorter, I'll take it back tomorrow.")</f>
        <v>This is just a pathetic piece of soap, I spent 10 minutes, tried both dry and wet shaving - you can run it over the same place 30 times, and there is zero result. The hat is shorter, I'll take it back tomorrow.</v>
      </c>
    </row>
    <row r="4308" spans="1:9" x14ac:dyDescent="0.3">
      <c r="A4308" s="1" t="s">
        <v>37</v>
      </c>
      <c r="B4308" s="1" t="s">
        <v>38</v>
      </c>
      <c r="C4308" s="1" t="s">
        <v>151</v>
      </c>
      <c r="D4308" s="1" t="s">
        <v>52</v>
      </c>
      <c r="E4308" s="1" t="s">
        <v>1315</v>
      </c>
      <c r="F4308" s="1" t="s">
        <v>7401</v>
      </c>
      <c r="G4308" s="1" t="s">
        <v>15</v>
      </c>
      <c r="H4308" s="1" t="s">
        <v>16</v>
      </c>
      <c r="I4308" s="1" t="str">
        <f ca="1">IFERROR(__xludf.DUMMYFUNCTION("GOOGLETRANSLATE(F4308, ""auto"", ""en"")
"),"It turned out to be very inconvenient. Disappointed.")</f>
        <v>It turned out to be very inconvenient. Disappointed.</v>
      </c>
    </row>
    <row r="4309" spans="1:9" x14ac:dyDescent="0.3">
      <c r="A4309" s="1" t="s">
        <v>149</v>
      </c>
      <c r="B4309" s="1" t="s">
        <v>150</v>
      </c>
      <c r="C4309" s="1" t="s">
        <v>2016</v>
      </c>
      <c r="D4309" s="1" t="s">
        <v>7402</v>
      </c>
      <c r="E4309" s="1" t="s">
        <v>1675</v>
      </c>
      <c r="F4309" s="1" t="s">
        <v>7403</v>
      </c>
      <c r="G4309" s="1" t="s">
        <v>28</v>
      </c>
      <c r="H4309" s="1" t="s">
        <v>29</v>
      </c>
      <c r="I4309" s="1" t="str">
        <f ca="1">IFERROR(__xludf.DUMMYFUNCTION("GOOGLETRANSLATE(F4309, ""auto"", ""en"")
"),"Car vacuum cleaner from the famous manufacturer of power tools Black and Decker. At first glance, it has an original and successful design, high-quality plastic to the touch, extras. The attachments are easy to put on and take off, with a small brush atta"&amp;"chment hidden in the housing under the opening nozzle of the vacuum cleaner. The cord is of sufficient length for free movement around the car interior when cleaning; the plug in the cigarette lighter socket does not fly out unless you pull the cord, of c"&amp;"ourse. The suction power is acceptable for cleaning dust and minor contamination of sand and other small debris in the cabin. The filter is fairly easy to remove and clean. The price of this device is higher than its less famous competitors from the Middl"&amp;"e Kingdom, most likely due to the Black and Decker brand. I consider this car vacuum cleaner a good purchase, but time will tell!")</f>
        <v>Car vacuum cleaner from the famous manufacturer of power tools Black and Decker. At first glance, it has an original and successful design, high-quality plastic to the touch, extras. The attachments are easy to put on and take off, with a small brush attachment hidden in the housing under the opening nozzle of the vacuum cleaner. The cord is of sufficient length for free movement around the car interior when cleaning; the plug in the cigarette lighter socket does not fly out unless you pull the cord, of course. The suction power is acceptable for cleaning dust and minor contamination of sand and other small debris in the cabin. The filter is fairly easy to remove and clean. The price of this device is higher than its less famous competitors from the Middle Kingdom, most likely due to the Black and Decker brand. I consider this car vacuum cleaner a good purchase, but time will tell!</v>
      </c>
    </row>
    <row r="4310" spans="1:9" x14ac:dyDescent="0.3">
      <c r="A4310" s="1" t="s">
        <v>149</v>
      </c>
      <c r="B4310" s="1" t="s">
        <v>576</v>
      </c>
      <c r="C4310" s="1" t="s">
        <v>85</v>
      </c>
      <c r="D4310" s="1" t="s">
        <v>52</v>
      </c>
      <c r="E4310" s="1" t="s">
        <v>500</v>
      </c>
      <c r="F4310" s="1" t="s">
        <v>7404</v>
      </c>
      <c r="G4310" s="1" t="s">
        <v>28</v>
      </c>
      <c r="H4310" s="1" t="s">
        <v>29</v>
      </c>
      <c r="I4310" s="1" t="str">
        <f ca="1">IFERROR(__xludf.DUMMYFUNCTION("GOOGLETRANSLATE(F4310, ""auto"", ""en"")
"),"There are no filters for Bork 5920 anywhere, even throughout Moscow, and during the sale they said that there was no problem buying a filter. Now the unit sits in the corner collecting dust.....")</f>
        <v>There are no filters for Bork 5920 anywhere, even throughout Moscow, and during the sale they said that there was no problem buying a filter. Now the unit sits in the corner collecting dust.....</v>
      </c>
    </row>
    <row r="4311" spans="1:9" x14ac:dyDescent="0.3">
      <c r="A4311" s="1" t="s">
        <v>120</v>
      </c>
      <c r="B4311" s="1" t="s">
        <v>256</v>
      </c>
      <c r="C4311" s="1" t="s">
        <v>151</v>
      </c>
      <c r="D4311" s="1" t="s">
        <v>7405</v>
      </c>
      <c r="E4311" s="1" t="s">
        <v>1510</v>
      </c>
      <c r="F4311" s="1" t="s">
        <v>7406</v>
      </c>
      <c r="G4311" s="1" t="s">
        <v>36</v>
      </c>
      <c r="H4311" s="1" t="s">
        <v>29</v>
      </c>
      <c r="I4311" s="1" t="str">
        <f ca="1">IFERROR(__xludf.DUMMYFUNCTION("GOOGLETRANSLATE(F4311, ""auto"", ""en"")
"),"Guys, I bought it and I’m very happy!!! I'm happy with myself and happy at home!! I quickly figured out the menu, it’s easily accessible!   QUESTION: how to set up stereo sound? when switching channels it shows mono..why?? Help!!")</f>
        <v>Guys, I bought it and I’m very happy!!! I'm happy with myself and happy at home!! I quickly figured out the menu, it’s easily accessible!   QUESTION: how to set up stereo sound? when switching channels it shows mono..why?? Help!!</v>
      </c>
    </row>
    <row r="4312" spans="1:9" x14ac:dyDescent="0.3">
      <c r="A4312" s="1" t="s">
        <v>43</v>
      </c>
      <c r="B4312" s="1" t="s">
        <v>4743</v>
      </c>
      <c r="C4312" s="1" t="s">
        <v>80</v>
      </c>
      <c r="D4312" s="1" t="s">
        <v>232</v>
      </c>
      <c r="E4312" s="1" t="s">
        <v>924</v>
      </c>
      <c r="F4312" s="1" t="s">
        <v>7407</v>
      </c>
      <c r="G4312" s="1" t="s">
        <v>36</v>
      </c>
      <c r="H4312" s="1" t="s">
        <v>29</v>
      </c>
      <c r="I4312" s="1" t="str">
        <f ca="1">IFERROR(__xludf.DUMMYFUNCTION("GOOGLETRANSLATE(F4312, ""auto"", ""en"")
"),"1) It looks gray in the photo. This is an illusion; in fact, the indoor unit is perfectly white. External - light gray.  2) The inside is well assembled. The assembly is Turkish, the compressor and electronics are Korean, manufactured by LG.  3) It works "&amp;"quietly. Cools/heats like a charm. Excellent price/quality ratio.")</f>
        <v>1) It looks gray in the photo. This is an illusion; in fact, the indoor unit is perfectly white. External - light gray.  2) The inside is well assembled. The assembly is Turkish, the compressor and electronics are Korean, manufactured by LG.  3) It works quietly. Cools/heats like a charm. Excellent price/quality ratio.</v>
      </c>
    </row>
    <row r="4313" spans="1:9" x14ac:dyDescent="0.3">
      <c r="A4313" s="1" t="s">
        <v>211</v>
      </c>
      <c r="B4313" s="1" t="s">
        <v>410</v>
      </c>
      <c r="C4313" s="1" t="s">
        <v>57</v>
      </c>
      <c r="D4313" s="1" t="s">
        <v>7408</v>
      </c>
      <c r="E4313" s="1" t="s">
        <v>2688</v>
      </c>
      <c r="F4313" s="1" t="s">
        <v>7409</v>
      </c>
      <c r="G4313" s="1" t="s">
        <v>36</v>
      </c>
      <c r="H4313" s="1" t="s">
        <v>29</v>
      </c>
      <c r="I4313" s="1" t="str">
        <f ca="1">IFERROR(__xludf.DUMMYFUNCTION("GOOGLETRANSLATE(F4313, ""auto"", ""en"")
"),"Cool razor, my wife gave it to me for my birthday. It does not irritate the skin and at the same time is very powerful. I was probably lucky with the battery, it hasn’t let me down yet. Thanks to my wife!")</f>
        <v>Cool razor, my wife gave it to me for my birthday. It does not irritate the skin and at the same time is very powerful. I was probably lucky with the battery, it hasn’t let me down yet. Thanks to my wife!</v>
      </c>
    </row>
    <row r="4314" spans="1:9" x14ac:dyDescent="0.3">
      <c r="A4314" s="1" t="s">
        <v>732</v>
      </c>
      <c r="B4314" s="1" t="s">
        <v>733</v>
      </c>
      <c r="C4314" s="1" t="s">
        <v>80</v>
      </c>
      <c r="D4314" s="1" t="s">
        <v>7410</v>
      </c>
      <c r="E4314" s="1" t="s">
        <v>889</v>
      </c>
      <c r="F4314" s="1" t="s">
        <v>7411</v>
      </c>
      <c r="G4314" s="1" t="s">
        <v>28</v>
      </c>
      <c r="H4314" s="1" t="s">
        <v>29</v>
      </c>
      <c r="I4314" s="1" t="str">
        <f ca="1">IFERROR(__xludf.DUMMYFUNCTION("GOOGLETRANSLATE(F4314, ""auto"", ""en"")
"),"I bought this monitor yesterday, set everything up, the image is good. For this price I recommend this product.")</f>
        <v>I bought this monitor yesterday, set everything up, the image is good. For this price I recommend this product.</v>
      </c>
    </row>
    <row r="4315" spans="1:9" x14ac:dyDescent="0.3">
      <c r="A4315" s="1" t="s">
        <v>95</v>
      </c>
      <c r="B4315" s="1" t="s">
        <v>486</v>
      </c>
      <c r="C4315" s="1" t="s">
        <v>487</v>
      </c>
      <c r="D4315" s="1" t="s">
        <v>305</v>
      </c>
      <c r="E4315" s="1" t="s">
        <v>1871</v>
      </c>
      <c r="F4315" s="1" t="s">
        <v>7412</v>
      </c>
      <c r="G4315" s="1" t="s">
        <v>36</v>
      </c>
      <c r="H4315" s="1" t="s">
        <v>29</v>
      </c>
      <c r="I4315" s="1" t="str">
        <f ca="1">IFERROR(__xludf.DUMMYFUNCTION("GOOGLETRANSLATE(F4315, ""auto"", ""en"")
"),"I bought this guys a week ago and played Litsuhi Forza 3 and now 3 red lights are on, what should I do?  Did they slip you some hanon or marshmallows?? :) ok to the point, take it to the store under warranty, they should either replace it or give you the "&amp;"money if it’s not you who screwed up (they’ll carry out an examination), which is now sold in Mvideo, it’s much better quality than the Slim version (watch the video where the guy took it apart) and the Slim version is not flashable.  firstly it is flashe"&amp;"d, secondly you need to take Jasper because the Microsoft warranty is 3 years, and Slimka has 1 year :)")</f>
        <v>I bought this guys a week ago and played Litsuhi Forza 3 and now 3 red lights are on, what should I do?  Did they slip you some hanon or marshmallows?? :) ok to the point, take it to the store under warranty, they should either replace it or give you the money if it’s not you who screwed up (they’ll carry out an examination), which is now sold in Mvideo, it’s much better quality than the Slim version (watch the video where the guy took it apart) and the Slim version is not flashable.  firstly it is flashed, secondly you need to take Jasper because the Microsoft warranty is 3 years, and Slimka has 1 year :)</v>
      </c>
    </row>
    <row r="4316" spans="1:9" x14ac:dyDescent="0.3">
      <c r="A4316" s="1" t="s">
        <v>61</v>
      </c>
      <c r="B4316" s="1" t="s">
        <v>318</v>
      </c>
      <c r="C4316" s="1" t="s">
        <v>213</v>
      </c>
      <c r="D4316" s="1" t="s">
        <v>12</v>
      </c>
      <c r="E4316" s="1" t="s">
        <v>980</v>
      </c>
      <c r="F4316" s="1" t="s">
        <v>7413</v>
      </c>
      <c r="G4316" s="1" t="s">
        <v>36</v>
      </c>
      <c r="H4316" s="1" t="s">
        <v>29</v>
      </c>
      <c r="I4316" s="1" t="str">
        <f ca="1">IFERROR(__xludf.DUMMYFUNCTION("GOOGLETRANSLATE(F4316, ""auto"", ""en"")
"),"I would like to say good things about this kettle. We were given it in 2005, my grandmother and aunt have the same one (only in different colors). Very easy to use, automatically turns off when boiling and when opening the lid. I really like it. And the m"&amp;"ost important thing is that these kettles are not getting cheaper. I don’t know what they are like now, but we found some great ones.")</f>
        <v>I would like to say good things about this kettle. We were given it in 2005, my grandmother and aunt have the same one (only in different colors). Very easy to use, automatically turns off when boiling and when opening the lid. I really like it. And the most important thing is that these kettles are not getting cheaper. I don’t know what they are like now, but we found some great ones.</v>
      </c>
    </row>
    <row r="4317" spans="1:9" x14ac:dyDescent="0.3">
      <c r="A4317" s="1" t="s">
        <v>61</v>
      </c>
      <c r="B4317" s="1" t="s">
        <v>318</v>
      </c>
      <c r="C4317" s="1" t="s">
        <v>85</v>
      </c>
      <c r="D4317" s="1" t="s">
        <v>474</v>
      </c>
      <c r="E4317" s="1" t="s">
        <v>7367</v>
      </c>
      <c r="F4317" s="1" t="s">
        <v>7414</v>
      </c>
      <c r="G4317" s="1" t="s">
        <v>36</v>
      </c>
      <c r="H4317" s="1" t="s">
        <v>29</v>
      </c>
      <c r="I4317" s="1" t="str">
        <f ca="1">IFERROR(__xludf.DUMMYFUNCTION("GOOGLETRANSLATE(F4317, ""auto"", ""en"")
"),"A beautiful, high-quality assembled device, a magnetic brewing basket, quiet, has a display, many modes, delayed start, holds the temperature after cooking.")</f>
        <v>A beautiful, high-quality assembled device, a magnetic brewing basket, quiet, has a display, many modes, delayed start, holds the temperature after cooking.</v>
      </c>
    </row>
    <row r="4318" spans="1:9" x14ac:dyDescent="0.3">
      <c r="A4318" s="1" t="s">
        <v>105</v>
      </c>
      <c r="B4318" s="1" t="s">
        <v>106</v>
      </c>
      <c r="C4318" s="1" t="s">
        <v>1209</v>
      </c>
      <c r="D4318" s="1" t="s">
        <v>3996</v>
      </c>
      <c r="E4318" s="1" t="s">
        <v>743</v>
      </c>
      <c r="F4318" s="1" t="s">
        <v>7415</v>
      </c>
      <c r="G4318" s="1" t="s">
        <v>28</v>
      </c>
      <c r="H4318" s="1" t="s">
        <v>29</v>
      </c>
      <c r="I4318" s="1" t="str">
        <f ca="1">IFERROR(__xludf.DUMMYFUNCTION("GOOGLETRANSLATE(F4318, ""auto"", ""en"")
"),"In principle, the player is normal, I bought it recently, there were no special problems with it, the only thing that irritates me is that it somehow refuses to read some pictures, as well as movies (although the types and formats are supported)... and th"&amp;"e most annoying thing (in the dark) is that the touch buttons blink and do not work all the time.")</f>
        <v>In principle, the player is normal, I bought it recently, there were no special problems with it, the only thing that irritates me is that it somehow refuses to read some pictures, as well as movies (although the types and formats are supported)... and the most annoying thing (in the dark) is that the touch buttons blink and do not work all the time.</v>
      </c>
    </row>
    <row r="4319" spans="1:9" x14ac:dyDescent="0.3">
      <c r="A4319" s="1" t="s">
        <v>89</v>
      </c>
      <c r="B4319" s="1" t="s">
        <v>90</v>
      </c>
      <c r="C4319" s="1" t="s">
        <v>185</v>
      </c>
      <c r="D4319" s="1" t="s">
        <v>247</v>
      </c>
      <c r="E4319" s="1" t="s">
        <v>932</v>
      </c>
      <c r="F4319" s="1" t="s">
        <v>7416</v>
      </c>
      <c r="G4319" s="1" t="s">
        <v>36</v>
      </c>
      <c r="H4319" s="1" t="s">
        <v>29</v>
      </c>
      <c r="I4319" s="1" t="str">
        <f ca="1">IFERROR(__xludf.DUMMYFUNCTION("GOOGLETRANSLATE(F4319, ""auto"", ""en"")
"),"I've been using this coffee grinder for over a year. Convenient removable bowl, large brush. The coffee grinds quickly and the grind is even.")</f>
        <v>I've been using this coffee grinder for over a year. Convenient removable bowl, large brush. The coffee grinds quickly and the grind is even.</v>
      </c>
    </row>
    <row r="4320" spans="1:9" x14ac:dyDescent="0.3">
      <c r="A4320" s="1" t="s">
        <v>61</v>
      </c>
      <c r="B4320" s="1" t="s">
        <v>977</v>
      </c>
      <c r="C4320" s="1" t="s">
        <v>101</v>
      </c>
      <c r="D4320" s="1" t="s">
        <v>305</v>
      </c>
      <c r="E4320" s="1" t="s">
        <v>225</v>
      </c>
      <c r="F4320" s="1" t="s">
        <v>7417</v>
      </c>
      <c r="G4320" s="1" t="s">
        <v>49</v>
      </c>
      <c r="H4320" s="1" t="s">
        <v>16</v>
      </c>
      <c r="I4320" s="1" t="str">
        <f ca="1">IFERROR(__xludf.DUMMYFUNCTION("GOOGLETRANSLATE(F4320, ""auto"", ""en"")
"),"It burned out the second time it was plugged in. I started whisking eggs with milk and smoke began to appear. just terrible. I don't recommend it to anyone.")</f>
        <v>It burned out the second time it was plugged in. I started whisking eggs with milk and smoke began to appear. just terrible. I don't recommend it to anyone.</v>
      </c>
    </row>
    <row r="4321" spans="1:9" x14ac:dyDescent="0.3">
      <c r="A4321" s="1" t="s">
        <v>211</v>
      </c>
      <c r="B4321" s="1" t="s">
        <v>515</v>
      </c>
      <c r="C4321" s="1" t="s">
        <v>381</v>
      </c>
      <c r="D4321" s="1" t="s">
        <v>46</v>
      </c>
      <c r="E4321" s="1" t="s">
        <v>7418</v>
      </c>
      <c r="F4321" s="1" t="s">
        <v>7419</v>
      </c>
      <c r="G4321" s="1" t="s">
        <v>36</v>
      </c>
      <c r="H4321" s="1" t="s">
        <v>29</v>
      </c>
      <c r="I4321" s="1" t="str">
        <f ca="1">IFERROR(__xludf.DUMMYFUNCTION("GOOGLETRANSLATE(F4321, ""auto"", ""en"")
"),"Great epilator! Epilation with it does not hurt at all due to the balls and cold airflow. There is a backlight, which helps a lot. All attachments can be washed. I'm the one who often uses bikini attachments, so having them is important to me. Overall it "&amp;"works 5+")</f>
        <v>Great epilator! Epilation with it does not hurt at all due to the balls and cold airflow. There is a backlight, which helps a lot. All attachments can be washed. I'm the one who often uses bikini attachments, so having them is important to me. Overall it works 5+</v>
      </c>
    </row>
    <row r="4322" spans="1:9" x14ac:dyDescent="0.3">
      <c r="A4322" s="1" t="s">
        <v>61</v>
      </c>
      <c r="B4322" s="1" t="s">
        <v>318</v>
      </c>
      <c r="C4322" s="1" t="s">
        <v>246</v>
      </c>
      <c r="D4322" s="1" t="s">
        <v>186</v>
      </c>
      <c r="E4322" s="1" t="s">
        <v>543</v>
      </c>
      <c r="F4322" s="1" t="s">
        <v>7420</v>
      </c>
      <c r="G4322" s="1" t="s">
        <v>36</v>
      </c>
      <c r="H4322" s="1" t="s">
        <v>29</v>
      </c>
      <c r="I4322" s="1" t="str">
        <f ca="1">IFERROR(__xludf.DUMMYFUNCTION("GOOGLETRANSLATE(F4322, ""auto"", ""en"")
"),"A wonderful kettle for the money :) I’ve been using it for over a year. The disadvantage is that there is no indicator light.")</f>
        <v>A wonderful kettle for the money :) I’ve been using it for over a year. The disadvantage is that there is no indicator light.</v>
      </c>
    </row>
    <row r="4323" spans="1:9" x14ac:dyDescent="0.3">
      <c r="A4323" s="1" t="s">
        <v>120</v>
      </c>
      <c r="B4323" s="1" t="s">
        <v>126</v>
      </c>
      <c r="C4323" s="1" t="s">
        <v>122</v>
      </c>
      <c r="D4323" s="1" t="s">
        <v>377</v>
      </c>
      <c r="E4323" s="1" t="s">
        <v>491</v>
      </c>
      <c r="F4323" s="1" t="s">
        <v>7421</v>
      </c>
      <c r="G4323" s="1" t="s">
        <v>36</v>
      </c>
      <c r="H4323" s="1" t="s">
        <v>29</v>
      </c>
      <c r="I4323" s="1" t="str">
        <f ca="1">IFERROR(__xludf.DUMMYFUNCTION("GOOGLETRANSLATE(F4323, ""auto"", ""en"")
"),"Yesterday I bought a TV set C10 Just super!   Image SEA!  Sound Perfect!   I strongly recommend it to everyone Only C10 Assembled in the CZECH REPUBLIC!!!!!!!!!!")</f>
        <v>Yesterday I bought a TV set C10 Just super!   Image SEA!  Sound Perfect!   I strongly recommend it to everyone Only C10 Assembled in the CZECH REPUBLIC!!!!!!!!!!</v>
      </c>
    </row>
    <row r="4324" spans="1:9" x14ac:dyDescent="0.3">
      <c r="A4324" s="1" t="s">
        <v>30</v>
      </c>
      <c r="B4324" s="1" t="s">
        <v>50</v>
      </c>
      <c r="C4324" s="1" t="s">
        <v>189</v>
      </c>
      <c r="D4324" s="1" t="s">
        <v>940</v>
      </c>
      <c r="E4324" s="1" t="s">
        <v>2780</v>
      </c>
      <c r="F4324" s="1" t="s">
        <v>7422</v>
      </c>
      <c r="G4324" s="1" t="s">
        <v>28</v>
      </c>
      <c r="H4324" s="1" t="s">
        <v>29</v>
      </c>
      <c r="I4324" s="1" t="str">
        <f ca="1">IFERROR(__xludf.DUMMYFUNCTION("GOOGLETRANSLATE(F4324, ""auto"", ""en"")
"),"I've been using it for three months now. My son helps to exploit it - runs NFS Shift. At maximum graphics settings, everything is smooth. Overall I'm happy with the machine.. True, it was a bit difficult to struggle with the hard drive until I connected t"&amp;"he hidden partition, I don't understand why they break it up like that.. And the system began to work better after reinstalling Windows, there were minor glitches...")</f>
        <v>I've been using it for three months now. My son helps to exploit it - runs NFS Shift. At maximum graphics settings, everything is smooth. Overall I'm happy with the machine.. True, it was a bit difficult to struggle with the hard drive until I connected the hidden partition, I don't understand why they break it up like that.. And the system began to work better after reinstalling Windows, there were minor glitches...</v>
      </c>
    </row>
    <row r="4325" spans="1:9" x14ac:dyDescent="0.3">
      <c r="A4325" s="1" t="s">
        <v>211</v>
      </c>
      <c r="B4325" s="1" t="s">
        <v>384</v>
      </c>
      <c r="C4325" s="1" t="s">
        <v>63</v>
      </c>
      <c r="D4325" s="1" t="s">
        <v>39</v>
      </c>
      <c r="E4325" s="1" t="s">
        <v>1129</v>
      </c>
      <c r="F4325" s="1" t="s">
        <v>7423</v>
      </c>
      <c r="G4325" s="1" t="s">
        <v>28</v>
      </c>
      <c r="H4325" s="1" t="s">
        <v>29</v>
      </c>
      <c r="I4325" s="1" t="str">
        <f ca="1">IFERROR(__xludf.DUMMYFUNCTION("GOOGLETRANSLATE(F4325, ""auto"", ""en"")
"),"Scales are great, you just need to use them correctly!  They need a base plate, such as one ceramic tile from the floor. And the surface must be strictly horizontal. Then the weight is displayed accurately. Although I would now buy, for example, tefal wit"&amp;"h a base plate, which is more convenient.")</f>
        <v>Scales are great, you just need to use them correctly!  They need a base plate, such as one ceramic tile from the floor. And the surface must be strictly horizontal. Then the weight is displayed accurately. Although I would now buy, for example, tefal with a base plate, which is more convenient.</v>
      </c>
    </row>
    <row r="4326" spans="1:9" x14ac:dyDescent="0.3">
      <c r="A4326" s="1" t="s">
        <v>557</v>
      </c>
      <c r="B4326" s="1" t="s">
        <v>558</v>
      </c>
      <c r="C4326" s="1" t="s">
        <v>122</v>
      </c>
      <c r="D4326" s="1" t="s">
        <v>7424</v>
      </c>
      <c r="E4326" s="1" t="s">
        <v>978</v>
      </c>
      <c r="F4326" s="1" t="s">
        <v>7425</v>
      </c>
      <c r="G4326" s="1" t="s">
        <v>28</v>
      </c>
      <c r="H4326" s="1" t="s">
        <v>29</v>
      </c>
      <c r="I4326" s="1" t="str">
        <f ca="1">IFERROR(__xludf.DUMMYFUNCTION("GOOGLETRANSLATE(F4326, ""auto"", ""en"")
"),"I bought the phone a week ago, everything seems to be fine. We can’t set up caller ID from the first call, it detects the caller’s number after the 3rd call, you have to wait to see the caller, this is very inconvenient, especially if you are near the rec"&amp;"eiver.")</f>
        <v>I bought the phone a week ago, everything seems to be fine. We can’t set up caller ID from the first call, it detects the caller’s number after the 3rd call, you have to wait to see the caller, this is very inconvenient, especially if you are near the receiver.</v>
      </c>
    </row>
    <row r="4327" spans="1:9" x14ac:dyDescent="0.3">
      <c r="A4327" s="1" t="s">
        <v>30</v>
      </c>
      <c r="B4327" s="1" t="s">
        <v>50</v>
      </c>
      <c r="C4327" s="1" t="s">
        <v>1386</v>
      </c>
      <c r="D4327" s="1" t="s">
        <v>86</v>
      </c>
      <c r="E4327" s="1" t="s">
        <v>2030</v>
      </c>
      <c r="F4327" s="1" t="s">
        <v>7426</v>
      </c>
      <c r="G4327" s="1" t="s">
        <v>36</v>
      </c>
      <c r="H4327" s="1" t="s">
        <v>29</v>
      </c>
      <c r="I4327" s="1" t="str">
        <f ca="1">IFERROR(__xludf.DUMMYFUNCTION("GOOGLETRANSLATE(F4327, ""auto"", ""en"")
"),"I bought it for 9990, on a promotion in February. The only negative is the battery is rather weak. Otherwise, no complaints. Works perfectly, boots faster than a home computer. I didn’t install games, because that’s not what it’s intended for. Internet vi"&amp;"a WI-FI without any brakes. Comfortable keyboard. The screen is bright, clear. The fan is quiet, almost inaudible. In general, only positive emotions. For the money, an ideal choice.  P.S. Denis (Chelyabinsk) The Atom N270 is still single-core, as already"&amp;" written here, but it works very quickly.")</f>
        <v>I bought it for 9990, on a promotion in February. The only negative is the battery is rather weak. Otherwise, no complaints. Works perfectly, boots faster than a home computer. I didn’t install games, because that’s not what it’s intended for. Internet via WI-FI without any brakes. Comfortable keyboard. The screen is bright, clear. The fan is quiet, almost inaudible. In general, only positive emotions. For the money, an ideal choice.  P.S. Denis (Chelyabinsk) The Atom N270 is still single-core, as already written here, but it works very quickly.</v>
      </c>
    </row>
    <row r="4328" spans="1:9" x14ac:dyDescent="0.3">
      <c r="A4328" s="1" t="s">
        <v>732</v>
      </c>
      <c r="B4328" s="1" t="s">
        <v>733</v>
      </c>
      <c r="C4328" s="1" t="s">
        <v>32</v>
      </c>
      <c r="D4328" s="1" t="s">
        <v>568</v>
      </c>
      <c r="E4328" s="1" t="s">
        <v>1510</v>
      </c>
      <c r="F4328" s="1" t="s">
        <v>7427</v>
      </c>
      <c r="G4328" s="1" t="s">
        <v>36</v>
      </c>
      <c r="H4328" s="1" t="s">
        <v>29</v>
      </c>
      <c r="I4328" s="1" t="str">
        <f ca="1">IFERROR(__xludf.DUMMYFUNCTION("GOOGLETRANSLATE(F4328, ""auto"", ""en"")
"),"Monitor at 5+")</f>
        <v>Monitor at 5+</v>
      </c>
    </row>
    <row r="4329" spans="1:9" x14ac:dyDescent="0.3">
      <c r="A4329" s="1" t="s">
        <v>211</v>
      </c>
      <c r="B4329" s="1" t="s">
        <v>2818</v>
      </c>
      <c r="C4329" s="1" t="s">
        <v>213</v>
      </c>
      <c r="D4329" s="1" t="s">
        <v>7428</v>
      </c>
      <c r="E4329" s="1" t="s">
        <v>3552</v>
      </c>
      <c r="F4329" s="1" t="s">
        <v>7429</v>
      </c>
      <c r="G4329" s="1" t="s">
        <v>28</v>
      </c>
      <c r="H4329" s="1" t="s">
        <v>29</v>
      </c>
      <c r="I4329" s="1" t="str">
        <f ca="1">IFERROR(__xludf.DUMMYFUNCTION("GOOGLETRANSLATE(F4329, ""auto"", ""en"")
"),"A good mesh, it worked on the razor for about 10 years, then it wore out and broke.  In general, there are no complaints about quality.")</f>
        <v>A good mesh, it worked on the razor for about 10 years, then it wore out and broke.  In general, there are no complaints about quality.</v>
      </c>
    </row>
    <row r="4330" spans="1:9" x14ac:dyDescent="0.3">
      <c r="A4330" s="1" t="s">
        <v>61</v>
      </c>
      <c r="B4330" s="1" t="s">
        <v>318</v>
      </c>
      <c r="C4330" s="1" t="s">
        <v>101</v>
      </c>
      <c r="D4330" s="1" t="s">
        <v>589</v>
      </c>
      <c r="E4330" s="1" t="s">
        <v>6621</v>
      </c>
      <c r="F4330" s="1" t="s">
        <v>7430</v>
      </c>
      <c r="G4330" s="1" t="s">
        <v>28</v>
      </c>
      <c r="H4330" s="1" t="s">
        <v>29</v>
      </c>
      <c r="I4330" s="1" t="str">
        <f ca="1">IFERROR(__xludf.DUMMYFUNCTION("GOOGLETRANSLATE(F4330, ""auto"", ""en"")
"),"+ Large volume 2.2 liters, sometimes we pour more and it still boils + The handle does not heat up + The blue indicator, especially in the dark looks cool + The water level is clearly visible, on the floor of the kettle + For a large kettle, it is not ver"&amp;"y noisy and boils quickly - Sometimes it smells like plastic - The metal lid heats up, when you need to fill it again after heating, you can get burned - In daylight, the water level is hard to see through the matte surface of the water level")</f>
        <v>+ Large volume 2.2 liters, sometimes we pour more and it still boils + The handle does not heat up + The blue indicator, especially in the dark looks cool + The water level is clearly visible, on the floor of the kettle + For a large kettle, it is not very noisy and boils quickly - Sometimes it smells like plastic - The metal lid heats up, when you need to fill it again after heating, you can get burned - In daylight, the water level is hard to see through the matte surface of the water level</v>
      </c>
    </row>
    <row r="4331" spans="1:9" x14ac:dyDescent="0.3">
      <c r="A4331" s="1" t="s">
        <v>61</v>
      </c>
      <c r="B4331" s="1" t="s">
        <v>318</v>
      </c>
      <c r="C4331" s="1" t="s">
        <v>69</v>
      </c>
      <c r="D4331" s="1" t="s">
        <v>52</v>
      </c>
      <c r="E4331" s="1" t="s">
        <v>1450</v>
      </c>
      <c r="F4331" s="1" t="s">
        <v>7431</v>
      </c>
      <c r="G4331" s="1" t="s">
        <v>36</v>
      </c>
      <c r="H4331" s="1" t="s">
        <v>29</v>
      </c>
      <c r="I4331" s="1" t="str">
        <f ca="1">IFERROR(__xludf.DUMMYFUNCTION("GOOGLETRANSLATE(F4331, ""auto"", ""en"")
"),"It took me a long time to choose a kettle. And settled on this model. I liked the kettle. There is zero chemical smell from the kettle. Which made me very happy after the smelly Brown returned to the store. It works very quietly. The body is made to last."&amp;" Everything fits well and without burrs. I was also pleased with the price. In general, I'm happy with the kettle.")</f>
        <v>It took me a long time to choose a kettle. And settled on this model. I liked the kettle. There is zero chemical smell from the kettle. Which made me very happy after the smelly Brown returned to the store. It works very quietly. The body is made to last. Everything fits well and without burrs. I was also pleased with the price. In general, I'm happy with the kettle.</v>
      </c>
    </row>
    <row r="4332" spans="1:9" x14ac:dyDescent="0.3">
      <c r="A4332" s="1" t="s">
        <v>17</v>
      </c>
      <c r="B4332" s="1" t="s">
        <v>18</v>
      </c>
      <c r="C4332" s="1" t="s">
        <v>63</v>
      </c>
      <c r="D4332" s="1" t="s">
        <v>474</v>
      </c>
      <c r="E4332" s="1" t="s">
        <v>4049</v>
      </c>
      <c r="F4332" s="1" t="s">
        <v>7432</v>
      </c>
      <c r="G4332" s="1" t="s">
        <v>36</v>
      </c>
      <c r="H4332" s="1" t="s">
        <v>29</v>
      </c>
      <c r="I4332" s="1" t="str">
        <f ca="1">IFERROR(__xludf.DUMMYFUNCTION("GOOGLETRANSLATE(F4332, ""auto"", ""en"")
"),"We bought such a machine 2 years ago (I don’t remember the exact name of the model, but it was also a “Turkish Bosch” with the same parameters). We bought it at the M-Video store on Savushkina.  I like Bosch products, and the price suits me.  Our machine "&amp;"has never broken down (thank God), it washes well, all the necessary functions are present. It is practically silent. We have not noticed any deterioration in the quality of work over 2 years. One drawback has been noticed - it does not always rinse well,"&amp;" you have to turn on an additional rinse. However, I didn’t notice this, it’s my mother who criticizes.  I recommend this product to anyone who just needs a reliable washing machine, without any bells and whistles or unnecessary difficulties to use.")</f>
        <v>We bought such a machine 2 years ago (I don’t remember the exact name of the model, but it was also a “Turkish Bosch” with the same parameters). We bought it at the M-Video store on Savushkina.  I like Bosch products, and the price suits me.  Our machine has never broken down (thank God), it washes well, all the necessary functions are present. It is practically silent. We have not noticed any deterioration in the quality of work over 2 years. One drawback has been noticed - it does not always rinse well, you have to turn on an additional rinse. However, I didn’t notice this, it’s my mother who criticizes.  I recommend this product to anyone who just needs a reliable washing machine, without any bells and whistles or unnecessary difficulties to use.</v>
      </c>
    </row>
    <row r="4333" spans="1:9" x14ac:dyDescent="0.3">
      <c r="A4333" s="1" t="s">
        <v>55</v>
      </c>
      <c r="B4333" s="1" t="s">
        <v>84</v>
      </c>
      <c r="C4333" s="1" t="s">
        <v>85</v>
      </c>
      <c r="D4333" s="1" t="s">
        <v>39</v>
      </c>
      <c r="E4333" s="1" t="s">
        <v>182</v>
      </c>
      <c r="F4333" s="1" t="s">
        <v>7433</v>
      </c>
      <c r="G4333" s="1" t="s">
        <v>36</v>
      </c>
      <c r="H4333" s="1" t="s">
        <v>29</v>
      </c>
      <c r="I4333" s="1" t="str">
        <f ca="1">IFERROR(__xludf.DUMMYFUNCTION("GOOGLETRANSLATE(F4333, ""auto"", ""en"")
"),"I bought it a couple of months ago, since the house is located next to the road and there was always some kind of soot and dust in the house, it was unbearable to breathe. There is a lot of mine in the store, but this is what attracted me, the unusual des"&amp;"ign immediately attracted me, the seller described all the functions to me in great detail and I settled on this particular model. After 2 weeks of use, there is much less dust in the house, the most pleasant thing is the night mode, now I fall asleep qui"&amp;"ckly, the air in the house is really polluted, when you drain the water it is black.. The washing has completely justified itself. Very pleased!")</f>
        <v>I bought it a couple of months ago, since the house is located next to the road and there was always some kind of soot and dust in the house, it was unbearable to breathe. There is a lot of mine in the store, but this is what attracted me, the unusual design immediately attracted me, the seller described all the functions to me in great detail and I settled on this particular model. After 2 weeks of use, there is much less dust in the house, the most pleasant thing is the night mode, now I fall asleep quickly, the air in the house is really polluted, when you drain the water it is black.. The washing has completely justified itself. Very pleased!</v>
      </c>
    </row>
    <row r="4334" spans="1:9" x14ac:dyDescent="0.3">
      <c r="A4334" s="1" t="s">
        <v>282</v>
      </c>
      <c r="B4334" s="1" t="s">
        <v>283</v>
      </c>
      <c r="C4334" s="1" t="s">
        <v>284</v>
      </c>
      <c r="D4334" s="1" t="s">
        <v>7434</v>
      </c>
      <c r="E4334" s="1" t="s">
        <v>3095</v>
      </c>
      <c r="F4334" s="1" t="s">
        <v>7435</v>
      </c>
      <c r="G4334" s="1" t="s">
        <v>36</v>
      </c>
      <c r="H4334" s="1" t="s">
        <v>29</v>
      </c>
      <c r="I4334" s="1" t="str">
        <f ca="1">IFERROR(__xludf.DUMMYFUNCTION("GOOGLETRANSLATE(F4334, ""auto"", ""en"")
"),"Very good quality disc, very interesting disc! MJ-forever!*")</f>
        <v>Very good quality disc, very interesting disc! MJ-forever!*</v>
      </c>
    </row>
    <row r="4335" spans="1:9" x14ac:dyDescent="0.3">
      <c r="A4335" s="1" t="s">
        <v>211</v>
      </c>
      <c r="B4335" s="1" t="s">
        <v>899</v>
      </c>
      <c r="C4335" s="1" t="s">
        <v>213</v>
      </c>
      <c r="D4335" s="1" t="s">
        <v>81</v>
      </c>
      <c r="E4335" s="1" t="s">
        <v>7436</v>
      </c>
      <c r="F4335" s="1" t="s">
        <v>7437</v>
      </c>
      <c r="G4335" s="1" t="s">
        <v>36</v>
      </c>
      <c r="H4335" s="1" t="s">
        <v>29</v>
      </c>
      <c r="I4335" s="1" t="str">
        <f ca="1">IFERROR(__xludf.DUMMYFUNCTION("GOOGLETRANSLATE(F4335, ""auto"", ""en"")
"),"Quality product!!!")</f>
        <v>Quality product!!!</v>
      </c>
    </row>
    <row r="4336" spans="1:9" x14ac:dyDescent="0.3">
      <c r="A4336" s="1" t="s">
        <v>43</v>
      </c>
      <c r="B4336" s="1" t="s">
        <v>1382</v>
      </c>
      <c r="C4336" s="1" t="s">
        <v>45</v>
      </c>
      <c r="D4336" s="1" t="s">
        <v>335</v>
      </c>
      <c r="E4336" s="1" t="s">
        <v>5350</v>
      </c>
      <c r="F4336" s="1" t="s">
        <v>7438</v>
      </c>
      <c r="G4336" s="1" t="s">
        <v>28</v>
      </c>
      <c r="H4336" s="1" t="s">
        <v>29</v>
      </c>
      <c r="I4336" s="1" t="str">
        <f ca="1">IFERROR(__xludf.DUMMYFUNCTION("GOOGLETRANSLATE(F4336, ""auto"", ""en"")
"),"I was pleasantly surprised (even very surprised) by the fact that it blows out air that is cooler than the air taken in. It blows well and coolly within a radius of 1.5 m. Cons: not very pleasant sounds when it works in rotation mode, clicks in one place;"&amp;" It wobbles a little when rotating - but this is not a serious problem.")</f>
        <v>I was pleasantly surprised (even very surprised) by the fact that it blows out air that is cooler than the air taken in. It blows well and coolly within a radius of 1.5 m. Cons: not very pleasant sounds when it works in rotation mode, clicks in one place; It wobbles a little when rotating - but this is not a serious problem.</v>
      </c>
    </row>
    <row r="4337" spans="1:9" x14ac:dyDescent="0.3">
      <c r="A4337" s="1" t="s">
        <v>211</v>
      </c>
      <c r="B4337" s="1" t="s">
        <v>789</v>
      </c>
      <c r="C4337" s="1" t="s">
        <v>3628</v>
      </c>
      <c r="D4337" s="1" t="s">
        <v>247</v>
      </c>
      <c r="E4337" s="1" t="s">
        <v>1467</v>
      </c>
      <c r="F4337" s="1" t="s">
        <v>7439</v>
      </c>
      <c r="G4337" s="1" t="s">
        <v>36</v>
      </c>
      <c r="H4337" s="1" t="s">
        <v>29</v>
      </c>
      <c r="I4337" s="1" t="str">
        <f ca="1">IFERROR(__xludf.DUMMYFUNCTION("GOOGLETRANSLATE(F4337, ""auto"", ""en"")
"),"We bought this thermometer three years ago. We use it while bathing the child and place it in the nursery. We play and even chew on it while bathing. Safe, convenient and aesthetically pleasing!")</f>
        <v>We bought this thermometer three years ago. We use it while bathing the child and place it in the nursery. We play and even chew on it while bathing. Safe, convenient and aesthetically pleasing!</v>
      </c>
    </row>
    <row r="4338" spans="1:9" x14ac:dyDescent="0.3">
      <c r="A4338" s="1" t="s">
        <v>30</v>
      </c>
      <c r="B4338" s="1" t="s">
        <v>31</v>
      </c>
      <c r="C4338" s="1" t="s">
        <v>365</v>
      </c>
      <c r="D4338" s="1" t="s">
        <v>1659</v>
      </c>
      <c r="E4338" s="1" t="s">
        <v>4540</v>
      </c>
      <c r="F4338" s="1" t="s">
        <v>7440</v>
      </c>
      <c r="G4338" s="1" t="s">
        <v>49</v>
      </c>
      <c r="H4338" s="1" t="s">
        <v>16</v>
      </c>
      <c r="I4338" s="1" t="str">
        <f ca="1">IFERROR(__xludf.DUMMYFUNCTION("GOOGLETRANSLATE(F4338, ""auto"", ""en"")
"),"The computer is weak. Half of the toys are unsuitable")</f>
        <v>The computer is weak. Half of the toys are unsuitable</v>
      </c>
    </row>
    <row r="4339" spans="1:9" x14ac:dyDescent="0.3">
      <c r="A4339" s="1" t="s">
        <v>1119</v>
      </c>
      <c r="B4339" s="1" t="s">
        <v>1120</v>
      </c>
      <c r="C4339" s="1" t="s">
        <v>97</v>
      </c>
      <c r="D4339" s="1" t="s">
        <v>565</v>
      </c>
      <c r="E4339" s="1" t="s">
        <v>1988</v>
      </c>
      <c r="F4339" s="1" t="s">
        <v>7441</v>
      </c>
      <c r="G4339" s="1" t="s">
        <v>28</v>
      </c>
      <c r="H4339" s="1" t="s">
        <v>29</v>
      </c>
      <c r="I4339" s="1" t="str">
        <f ca="1">IFERROR(__xludf.DUMMYFUNCTION("GOOGLETRANSLATE(F4339, ""auto"", ""en"")
"),"First we purchased it and then read the reviews. We were upset that we bought a pig in a poke. The whole problem is that sellers impose the goods that are profitable for them to sell. Never trust them. I'm happy with the camera, but not what they promised"&amp;". They are completely incompetent. When they don't know what to say, they just lie. To be honest, we have a not very expensive digital camera (7-8 thousand rubles) and the video recording in it is better than in a camera, the only difference is in the sou"&amp;"nd. Of course we won’t return it, but if we had to choose now, we definitely wouldn’t take it.")</f>
        <v>First we purchased it and then read the reviews. We were upset that we bought a pig in a poke. The whole problem is that sellers impose the goods that are profitable for them to sell. Never trust them. I'm happy with the camera, but not what they promised. They are completely incompetent. When they don't know what to say, they just lie. To be honest, we have a not very expensive digital camera (7-8 thousand rubles) and the video recording in it is better than in a camera, the only difference is in the sound. Of course we won’t return it, but if we had to choose now, we definitely wouldn’t take it.</v>
      </c>
    </row>
    <row r="4340" spans="1:9" x14ac:dyDescent="0.3">
      <c r="A4340" s="1" t="s">
        <v>17</v>
      </c>
      <c r="B4340" s="1" t="s">
        <v>18</v>
      </c>
      <c r="C4340" s="1" t="s">
        <v>80</v>
      </c>
      <c r="D4340" s="1" t="s">
        <v>3407</v>
      </c>
      <c r="E4340" s="1" t="s">
        <v>2874</v>
      </c>
      <c r="F4340" s="1" t="s">
        <v>7442</v>
      </c>
      <c r="G4340" s="1" t="s">
        <v>36</v>
      </c>
      <c r="H4340" s="1" t="s">
        <v>29</v>
      </c>
      <c r="I4340" s="1" t="str">
        <f ca="1">IFERROR(__xludf.DUMMYFUNCTION("GOOGLETRANSLATE(F4340, ""auto"", ""en"")
"),"great car!!!! unfortunately they didn’t give it to us on credit")</f>
        <v>great car!!!! unfortunately they didn’t give it to us on credit</v>
      </c>
    </row>
    <row r="4341" spans="1:9" x14ac:dyDescent="0.3">
      <c r="A4341" s="1" t="s">
        <v>120</v>
      </c>
      <c r="B4341" s="1" t="s">
        <v>121</v>
      </c>
      <c r="C4341" s="1" t="s">
        <v>151</v>
      </c>
      <c r="D4341" s="1" t="s">
        <v>305</v>
      </c>
      <c r="E4341" s="1" t="s">
        <v>4540</v>
      </c>
      <c r="F4341" s="1" t="s">
        <v>7443</v>
      </c>
      <c r="G4341" s="1" t="s">
        <v>36</v>
      </c>
      <c r="H4341" s="1" t="s">
        <v>29</v>
      </c>
      <c r="I4341" s="1" t="str">
        <f ca="1">IFERROR(__xludf.DUMMYFUNCTION("GOOGLETRANSLATE(F4341, ""auto"", ""en"")
"),"When you switch to a channel that doesn’t exist (well, there’s just a problem with cable), the picture of the previous channel remains frozen. Has anyone else noticed something similar or is it just me. Thanks in advance.")</f>
        <v>When you switch to a channel that doesn’t exist (well, there’s just a problem with cable), the picture of the previous channel remains frozen. Has anyone else noticed something similar or is it just me. Thanks in advance.</v>
      </c>
    </row>
    <row r="4342" spans="1:9" x14ac:dyDescent="0.3">
      <c r="A4342" s="1" t="s">
        <v>30</v>
      </c>
      <c r="B4342" s="1" t="s">
        <v>50</v>
      </c>
      <c r="C4342" s="1" t="s">
        <v>694</v>
      </c>
      <c r="D4342" s="1" t="s">
        <v>232</v>
      </c>
      <c r="E4342" s="1" t="s">
        <v>3999</v>
      </c>
      <c r="F4342" s="1" t="s">
        <v>7444</v>
      </c>
      <c r="G4342" s="1" t="s">
        <v>36</v>
      </c>
      <c r="H4342" s="1" t="s">
        <v>29</v>
      </c>
      <c r="I4342" s="1" t="str">
        <f ca="1">IFERROR(__xludf.DUMMYFUNCTION("GOOGLETRANSLATE(F4342, ""auto"", ""en"")
"),"Cons - it gets a little warm and is not that silent, the battery is not firmly attached. Otherwise, I didn’t find any shortcomings. I've been using it for 4 months. lightweight, the body is made of pleasant material, not as easily soiled as expected and q"&amp;"uite durable. The screen is pleasing in size. I was also pleased with the keyboard. without charging - typing + wifi internet works on average 4-4.5 hours. under heavy load about 2 hours.  excellent price-quality ratio!")</f>
        <v>Cons - it gets a little warm and is not that silent, the battery is not firmly attached. Otherwise, I didn’t find any shortcomings. I've been using it for 4 months. lightweight, the body is made of pleasant material, not as easily soiled as expected and quite durable. The screen is pleasing in size. I was also pleased with the keyboard. without charging - typing + wifi internet works on average 4-4.5 hours. under heavy load about 2 hours.  excellent price-quality ratio!</v>
      </c>
    </row>
    <row r="4343" spans="1:9" x14ac:dyDescent="0.3">
      <c r="A4343" s="1" t="s">
        <v>1031</v>
      </c>
      <c r="B4343" s="1" t="s">
        <v>1032</v>
      </c>
      <c r="C4343" s="1" t="s">
        <v>6206</v>
      </c>
      <c r="D4343" s="1" t="s">
        <v>305</v>
      </c>
      <c r="E4343" s="1" t="s">
        <v>872</v>
      </c>
      <c r="F4343" s="1" t="s">
        <v>7445</v>
      </c>
      <c r="G4343" s="1" t="s">
        <v>36</v>
      </c>
      <c r="H4343" s="1" t="s">
        <v>29</v>
      </c>
      <c r="I4343" s="1" t="str">
        <f ca="1">IFERROR(__xludf.DUMMYFUNCTION("GOOGLETRANSLATE(F4343, ""auto"", ""en"")
"),"Works in the garage, I turn on the car every day to warm up. When I arrive, it warms up just to the right temperature and starts with half a turn. At an ambient temperature of -25, the timer works normally - tested, even the LCD display. I'm happy with th"&amp;"e purchase.     On weekends, the warm-up time is different - convenient. In total, you can put 8 different on/off pairs. I have enough, although I wouldn't mind more.")</f>
        <v>Works in the garage, I turn on the car every day to warm up. When I arrive, it warms up just to the right temperature and starts with half a turn. At an ambient temperature of -25, the timer works normally - tested, even the LCD display. I'm happy with the purchase.     On weekends, the warm-up time is different - convenient. In total, you can put 8 different on/off pairs. I have enough, although I wouldn't mind more.</v>
      </c>
    </row>
    <row r="4344" spans="1:9" x14ac:dyDescent="0.3">
      <c r="A4344" s="1" t="s">
        <v>55</v>
      </c>
      <c r="B4344" s="1" t="s">
        <v>56</v>
      </c>
      <c r="C4344" s="1" t="s">
        <v>85</v>
      </c>
      <c r="D4344" s="1" t="s">
        <v>7446</v>
      </c>
      <c r="E4344" s="1" t="s">
        <v>2186</v>
      </c>
      <c r="F4344" s="1" t="s">
        <v>7447</v>
      </c>
      <c r="G4344" s="1" t="s">
        <v>36</v>
      </c>
      <c r="H4344" s="1" t="s">
        <v>29</v>
      </c>
      <c r="I4344" s="1" t="str">
        <f ca="1">IFERROR(__xludf.DUMMYFUNCTION("GOOGLETRANSLATE(F4344, ""auto"", ""en"")
"),"Very good moisturizer. I've been using it for about 6 months. During this time, the device showed itself only on the good side. True, at first I worked constantly (but this is understandable, because the house has parquet and a lot of furniture that loves"&amp;" moisture very much! I mainly use the ""auto"" mode")</f>
        <v>Very good moisturizer. I've been using it for about 6 months. During this time, the device showed itself only on the good side. True, at first I worked constantly (but this is understandable, because the house has parquet and a lot of furniture that loves moisture very much! I mainly use the "auto" mode</v>
      </c>
    </row>
    <row r="4345" spans="1:9" x14ac:dyDescent="0.3">
      <c r="A4345" s="1" t="s">
        <v>113</v>
      </c>
      <c r="B4345" s="1" t="s">
        <v>1251</v>
      </c>
      <c r="C4345" s="1" t="s">
        <v>151</v>
      </c>
      <c r="D4345" s="1" t="s">
        <v>7448</v>
      </c>
      <c r="E4345" s="1" t="s">
        <v>998</v>
      </c>
      <c r="F4345" s="1" t="s">
        <v>7449</v>
      </c>
      <c r="G4345" s="1" t="s">
        <v>28</v>
      </c>
      <c r="H4345" s="1" t="s">
        <v>29</v>
      </c>
      <c r="I4345" s="1" t="str">
        <f ca="1">IFERROR(__xludf.DUMMYFUNCTION("GOOGLETRANSLATE(F4345, ""auto"", ""en"")
"),"Yes, the camera is good, especially for beginners in this matter. It's a pity there is no charger. And so you can adjust it to suit yourself and live happily....")</f>
        <v>Yes, the camera is good, especially for beginners in this matter. It's a pity there is no charger. And so you can adjust it to suit yourself and live happily....</v>
      </c>
    </row>
    <row r="4346" spans="1:9" x14ac:dyDescent="0.3">
      <c r="A4346" s="1" t="s">
        <v>30</v>
      </c>
      <c r="B4346" s="1" t="s">
        <v>50</v>
      </c>
      <c r="C4346" s="1" t="s">
        <v>1003</v>
      </c>
      <c r="D4346" s="1" t="s">
        <v>7450</v>
      </c>
      <c r="E4346" s="1" t="s">
        <v>511</v>
      </c>
      <c r="F4346" s="1" t="s">
        <v>7451</v>
      </c>
      <c r="G4346" s="1" t="s">
        <v>36</v>
      </c>
      <c r="H4346" s="1" t="s">
        <v>29</v>
      </c>
      <c r="I4346" s="1" t="str">
        <f ca="1">IFERROR(__xludf.DUMMYFUNCTION("GOOGLETRANSLATE(F4346, ""auto"", ""en"")
"),"Doesn't make noise, doesn't get hot, doesn't slow down, doesn't glow at night like a Christmas tree! I'm glad, three cores, video 512Mb+1G, the drive doesn't slow down. The price is great. Just euphoria.")</f>
        <v>Doesn't make noise, doesn't get hot, doesn't slow down, doesn't glow at night like a Christmas tree! I'm glad, three cores, video 512Mb+1G, the drive doesn't slow down. The price is great. Just euphoria.</v>
      </c>
    </row>
    <row r="4347" spans="1:9" x14ac:dyDescent="0.3">
      <c r="A4347" s="1" t="s">
        <v>732</v>
      </c>
      <c r="B4347" s="1" t="s">
        <v>733</v>
      </c>
      <c r="C4347" s="1" t="s">
        <v>80</v>
      </c>
      <c r="D4347" s="1" t="s">
        <v>1996</v>
      </c>
      <c r="E4347" s="1" t="s">
        <v>717</v>
      </c>
      <c r="F4347" s="1" t="s">
        <v>7452</v>
      </c>
      <c r="G4347" s="1" t="s">
        <v>36</v>
      </c>
      <c r="H4347" s="1" t="s">
        <v>29</v>
      </c>
      <c r="I4347" s="1" t="str">
        <f ca="1">IFERROR(__xludf.DUMMYFUNCTION("GOOGLETRANSLATE(F4347, ""auto"", ""en"")
"),"I bought a monitor, I’m quite pleased, for such a price with such characteristics you won’t find a better one!  there's just a problem: in some settings the monitor requires the ForteManager program installed on the computer...... but I don't know where t"&amp;"o get it...... the monitor is super worth buying.....")</f>
        <v>I bought a monitor, I’m quite pleased, for such a price with such characteristics you won’t find a better one!  there's just a problem: in some settings the monitor requires the ForteManager program installed on the computer...... but I don't know where to get it...... the monitor is super worth buying.....</v>
      </c>
    </row>
    <row r="4348" spans="1:9" x14ac:dyDescent="0.3">
      <c r="A4348" s="1" t="s">
        <v>211</v>
      </c>
      <c r="B4348" s="1" t="s">
        <v>856</v>
      </c>
      <c r="C4348" s="1" t="s">
        <v>101</v>
      </c>
      <c r="D4348" s="1" t="s">
        <v>4883</v>
      </c>
      <c r="E4348" s="1" t="s">
        <v>7453</v>
      </c>
      <c r="F4348" s="1" t="s">
        <v>7454</v>
      </c>
      <c r="G4348" s="1" t="s">
        <v>36</v>
      </c>
      <c r="H4348" s="1" t="s">
        <v>29</v>
      </c>
      <c r="I4348" s="1" t="str">
        <f ca="1">IFERROR(__xludf.DUMMYFUNCTION("GOOGLETRANSLATE(F4348, ""auto"", ""en"")
"),"My daughter is a schoolgirl, and of course her hyperactive lifestyle leads to her nails being in terrible condition. I tried to take her to a manicurist I knew, but you couldn’t drag her somewhere. I decided to buy a normal set to tidy up her nails at hom"&amp;"e. At first it broke, but now I'm used to it. And now I gave it to her and she is interested in the beauty of her nails herself) I like that the attachments do not hurt the delicate skin on the fingers, and there are a lot of attachments themselves. Now a"&amp;"t least open a salon at home!!")</f>
        <v>My daughter is a schoolgirl, and of course her hyperactive lifestyle leads to her nails being in terrible condition. I tried to take her to a manicurist I knew, but you couldn’t drag her somewhere. I decided to buy a normal set to tidy up her nails at home. At first it broke, but now I'm used to it. And now I gave it to her and she is interested in the beauty of her nails herself) I like that the attachments do not hurt the delicate skin on the fingers, and there are a lot of attachments themselves. Now at least open a salon at home!!</v>
      </c>
    </row>
    <row r="4349" spans="1:9" x14ac:dyDescent="0.3">
      <c r="A4349" s="1" t="s">
        <v>61</v>
      </c>
      <c r="B4349" s="1" t="s">
        <v>318</v>
      </c>
      <c r="C4349" s="1" t="s">
        <v>246</v>
      </c>
      <c r="D4349" s="1" t="s">
        <v>64</v>
      </c>
      <c r="E4349" s="1" t="s">
        <v>4080</v>
      </c>
      <c r="F4349" s="1" t="s">
        <v>7455</v>
      </c>
      <c r="G4349" s="1" t="s">
        <v>15</v>
      </c>
      <c r="H4349" s="1" t="s">
        <v>16</v>
      </c>
      <c r="I4349" s="1" t="str">
        <f ca="1">IFERROR(__xludf.DUMMYFUNCTION("GOOGLETRANSLATE(F4349, ""auto"", ""en"")
"),"VERY loud - strong noise when heating from the very first seconds after switching on! It worked just fine, but the heating element was already covered with plaque and some stains! Although we pour water from the filter. For me personally, another disadvan"&amp;"tage is that the minimum boiling volume is 700 ml, because... there is no desire to boil almost a liter every time if you only want a cup of hot tea. Doesn't live up to its price range! The only advantages are the design and a proven brand.")</f>
        <v>VERY loud - strong noise when heating from the very first seconds after switching on! It worked just fine, but the heating element was already covered with plaque and some stains! Although we pour water from the filter. For me personally, another disadvantage is that the minimum boiling volume is 700 ml, because... there is no desire to boil almost a liter every time if you only want a cup of hot tea. Doesn't live up to its price range! The only advantages are the design and a proven brand.</v>
      </c>
    </row>
    <row r="4350" spans="1:9" x14ac:dyDescent="0.3">
      <c r="A4350" s="1" t="s">
        <v>477</v>
      </c>
      <c r="B4350" s="1" t="s">
        <v>478</v>
      </c>
      <c r="C4350" s="1" t="s">
        <v>479</v>
      </c>
      <c r="D4350" s="1" t="s">
        <v>729</v>
      </c>
      <c r="E4350" s="1" t="s">
        <v>2410</v>
      </c>
      <c r="F4350" s="1" t="s">
        <v>7456</v>
      </c>
      <c r="G4350" s="1" t="s">
        <v>36</v>
      </c>
      <c r="H4350" s="1" t="s">
        <v>29</v>
      </c>
      <c r="I4350" s="1" t="str">
        <f ca="1">IFERROR(__xludf.DUMMYFUNCTION("GOOGLETRANSLATE(F4350, ""auto"", ""en"")
"),"Dear IVAN, maybe your system requirements are not suitable?")</f>
        <v>Dear IVAN, maybe your system requirements are not suitable?</v>
      </c>
    </row>
    <row r="4351" spans="1:9" x14ac:dyDescent="0.3">
      <c r="A4351" s="1" t="s">
        <v>477</v>
      </c>
      <c r="B4351" s="1" t="s">
        <v>478</v>
      </c>
      <c r="C4351" s="1" t="s">
        <v>479</v>
      </c>
      <c r="D4351" s="1" t="s">
        <v>7457</v>
      </c>
      <c r="E4351" s="1" t="s">
        <v>4664</v>
      </c>
      <c r="F4351" s="1" t="s">
        <v>7458</v>
      </c>
      <c r="G4351" s="1" t="s">
        <v>28</v>
      </c>
      <c r="H4351" s="1" t="s">
        <v>29</v>
      </c>
      <c r="I4351" s="1" t="str">
        <f ca="1">IFERROR(__xludf.DUMMYFUNCTION("GOOGLETRANSLATE(F4351, ""auto"", ""en"")
"),"Rating 4 towards 5ki. The downside is that it’s stupid - North Korea has captured the states (that’s such nonsense). Visually it looks good, the choice of weapons is average-good, I haven’t played the cartoon - I can’t evaluate it. In some places it’s too"&amp;" arcadey, and, yes, I’m already tired of games where you’re not alone, but all the time some dudes with artificial intelligence are with you helping - they don’t interfere with the game.")</f>
        <v>Rating 4 towards 5ki. The downside is that it’s stupid - North Korea has captured the states (that’s such nonsense). Visually it looks good, the choice of weapons is average-good, I haven’t played the cartoon - I can’t evaluate it. In some places it’s too arcadey, and, yes, I’m already tired of games where you’re not alone, but all the time some dudes with artificial intelligence are with you helping - they don’t interfere with the game.</v>
      </c>
    </row>
    <row r="4352" spans="1:9" x14ac:dyDescent="0.3">
      <c r="A4352" s="1" t="s">
        <v>149</v>
      </c>
      <c r="B4352" s="1" t="s">
        <v>150</v>
      </c>
      <c r="C4352" s="1" t="s">
        <v>314</v>
      </c>
      <c r="D4352" s="1" t="s">
        <v>247</v>
      </c>
      <c r="E4352" s="1" t="s">
        <v>5119</v>
      </c>
      <c r="F4352" s="1" t="s">
        <v>7459</v>
      </c>
      <c r="G4352" s="1" t="s">
        <v>36</v>
      </c>
      <c r="H4352" s="1" t="s">
        <v>29</v>
      </c>
      <c r="I4352" s="1" t="str">
        <f ca="1">IFERROR(__xludf.DUMMYFUNCTION("GOOGLETRANSLATE(F4352, ""auto"", ""en"")
"),"We bought a vacuum cleaner a week ago. I didn't expect there to be so much dust at home. When cleaning for the first time, I washed the soap container after each room. Now one set of water is enough for the entire apartment, and there is much less dirt. T"&amp;"he apartment becomes noticeably cleaner. It is very convenient that all the attachments are hidden in the body itself and are easy to take out, remove and change. In addition to the vacuum cleaner, on the advice of the seller, I bought a turbo brush (not "&amp;"included) - they work very well when paired (a vacuum cleaner with a turbo brush) for cleaning! Putting things in order has become a pleasure.")</f>
        <v>We bought a vacuum cleaner a week ago. I didn't expect there to be so much dust at home. When cleaning for the first time, I washed the soap container after each room. Now one set of water is enough for the entire apartment, and there is much less dirt. The apartment becomes noticeably cleaner. It is very convenient that all the attachments are hidden in the body itself and are easy to take out, remove and change. In addition to the vacuum cleaner, on the advice of the seller, I bought a turbo brush (not included) - they work very well when paired (a vacuum cleaner with a turbo brush) for cleaning! Putting things in order has become a pleasure.</v>
      </c>
    </row>
    <row r="4353" spans="1:9" x14ac:dyDescent="0.3">
      <c r="A4353" s="1" t="s">
        <v>89</v>
      </c>
      <c r="B4353" s="1" t="s">
        <v>90</v>
      </c>
      <c r="C4353" s="1" t="s">
        <v>57</v>
      </c>
      <c r="D4353" s="1" t="s">
        <v>75</v>
      </c>
      <c r="E4353" s="1" t="s">
        <v>7460</v>
      </c>
      <c r="F4353" s="1" t="s">
        <v>7461</v>
      </c>
      <c r="G4353" s="1" t="s">
        <v>94</v>
      </c>
      <c r="H4353" s="1" t="s">
        <v>29</v>
      </c>
      <c r="I4353" s="1" t="str">
        <f ca="1">IFERROR(__xludf.DUMMYFUNCTION("GOOGLETRANSLATE(F4353, ""auto"", ""en"")
"),"Price. Large grinding glass. Metal body. The wire from the network is long.")</f>
        <v>Price. Large grinding glass. Metal body. The wire from the network is long.</v>
      </c>
    </row>
    <row r="4354" spans="1:9" x14ac:dyDescent="0.3">
      <c r="A4354" s="1" t="s">
        <v>149</v>
      </c>
      <c r="B4354" s="1" t="s">
        <v>150</v>
      </c>
      <c r="C4354" s="1" t="s">
        <v>2016</v>
      </c>
      <c r="D4354" s="1" t="s">
        <v>7462</v>
      </c>
      <c r="E4354" s="1" t="s">
        <v>7463</v>
      </c>
      <c r="F4354" s="1" t="s">
        <v>7464</v>
      </c>
      <c r="G4354" s="1" t="s">
        <v>36</v>
      </c>
      <c r="H4354" s="1" t="s">
        <v>29</v>
      </c>
      <c r="I4354" s="1" t="str">
        <f ca="1">IFERROR(__xludf.DUMMYFUNCTION("GOOGLETRANSLATE(F4354, ""auto"", ""en"")
"),"Interesting design, convenient vacuum cleaner due to the presence of different attachments, the plug does not fall out, the cord is long - you can reach the trunk without problems, sucks decently, turns off after 30 minutes of operation, stylish and roomy"&amp;" case =))")</f>
        <v>Interesting design, convenient vacuum cleaner due to the presence of different attachments, the plug does not fall out, the cord is long - you can reach the trunk without problems, sucks decently, turns off after 30 minutes of operation, stylish and roomy case =))</v>
      </c>
    </row>
    <row r="4355" spans="1:9" x14ac:dyDescent="0.3">
      <c r="A4355" s="1" t="s">
        <v>9</v>
      </c>
      <c r="B4355" s="1" t="s">
        <v>137</v>
      </c>
      <c r="C4355" s="1" t="s">
        <v>63</v>
      </c>
      <c r="D4355" s="1" t="s">
        <v>4244</v>
      </c>
      <c r="E4355" s="1" t="s">
        <v>1093</v>
      </c>
      <c r="F4355" s="1" t="s">
        <v>7465</v>
      </c>
      <c r="G4355" s="1" t="s">
        <v>36</v>
      </c>
      <c r="H4355" s="1" t="s">
        <v>29</v>
      </c>
      <c r="I4355" s="1" t="str">
        <f ca="1">IFERROR(__xludf.DUMMYFUNCTION("GOOGLETRANSLATE(F4355, ""auto"", ""en"")
"),"Before purchasing, I went around to many stores and looked at and tested a dozen stoves, but in the end I settled on Bosch, European quality is still quite good) The stove is quite comfortable, the taps of the burners are located in the front, not on the "&amp;"side - it’s easier to regulate the temperature, everything is at hand, and with the sides you can reach it - the soup will run away) It’s not picky about cookware, which is also a very important plus - you can even use old cast iron casserole dishes and Y"&amp;"ou can install Soviet-made frying pans, the grate does not suffer from them and there is plenty of space between the burners to fit the whole thing properly) The grate, by the way, is very easy to remove and fits back into place well. The burners always l"&amp;"ight up quickly, there have never been any delays, 1-2 seconds - and it’s done) I’m incredibly glad that I chose it in black, it’s very easy to care for, you can’t even compare it to a white stove either in terms of cleaning time or the effort expended)")</f>
        <v>Before purchasing, I went around to many stores and looked at and tested a dozen stoves, but in the end I settled on Bosch, European quality is still quite good) The stove is quite comfortable, the taps of the burners are located in the front, not on the side - it’s easier to regulate the temperature, everything is at hand, and with the sides you can reach it - the soup will run away) It’s not picky about cookware, which is also a very important plus - you can even use old cast iron casserole dishes and You can install Soviet-made frying pans, the grate does not suffer from them and there is plenty of space between the burners to fit the whole thing properly) The grate, by the way, is very easy to remove and fits back into place well. The burners always light up quickly, there have never been any delays, 1-2 seconds - and it’s done) I’m incredibly glad that I chose it in black, it’s very easy to care for, you can’t even compare it to a white stove either in terms of cleaning time or the effort expended)</v>
      </c>
    </row>
    <row r="4356" spans="1:9" x14ac:dyDescent="0.3">
      <c r="A4356" s="1" t="s">
        <v>95</v>
      </c>
      <c r="B4356" s="1" t="s">
        <v>227</v>
      </c>
      <c r="C4356" s="1" t="s">
        <v>97</v>
      </c>
      <c r="D4356" s="1" t="s">
        <v>280</v>
      </c>
      <c r="E4356" s="1" t="s">
        <v>903</v>
      </c>
      <c r="F4356" s="1" t="s">
        <v>7466</v>
      </c>
      <c r="G4356" s="1" t="s">
        <v>36</v>
      </c>
      <c r="H4356" s="1" t="s">
        <v>29</v>
      </c>
      <c r="I4356" s="1" t="str">
        <f ca="1">IFERROR(__xludf.DUMMYFUNCTION("GOOGLETRANSLATE(F4356, ""auto"", ""en"")
"),"This is a really super thing The game, one might say, is an interactive movie, the plot is different every time The console is also a very cool thing for games I’ll take it next week")</f>
        <v>This is a really super thing The game, one might say, is an interactive movie, the plot is different every time The console is also a very cool thing for games I’ll take it next week</v>
      </c>
    </row>
    <row r="4357" spans="1:9" x14ac:dyDescent="0.3">
      <c r="A4357" s="1" t="s">
        <v>61</v>
      </c>
      <c r="B4357" s="1" t="s">
        <v>145</v>
      </c>
      <c r="C4357" s="1" t="s">
        <v>246</v>
      </c>
      <c r="D4357" s="1" t="s">
        <v>1747</v>
      </c>
      <c r="E4357" s="1" t="s">
        <v>2596</v>
      </c>
      <c r="F4357" s="1" t="s">
        <v>7467</v>
      </c>
      <c r="G4357" s="1" t="s">
        <v>36</v>
      </c>
      <c r="H4357" s="1" t="s">
        <v>29</v>
      </c>
      <c r="I4357" s="1" t="str">
        <f ca="1">IFERROR(__xludf.DUMMYFUNCTION("GOOGLETRANSLATE(F4357, ""auto"", ""en"")
"),"The result exceeded all expectations! The children are delighted! I have never seen people eat pancakes with such pleasure! Ate with jam, sour cream, butter, honey; The pancakes turn out thin, it’s better to eat them hot right away. There are no problems "&amp;"with washing, the baking sheets are removable, easy to clean, but there’s nothing special to wash if you pour the dough carefully. In general, an excellent thing, I recommend it especially to families with children.")</f>
        <v>The result exceeded all expectations! The children are delighted! I have never seen people eat pancakes with such pleasure! Ate with jam, sour cream, butter, honey; The pancakes turn out thin, it’s better to eat them hot right away. There are no problems with washing, the baking sheets are removable, easy to clean, but there’s nothing special to wash if you pour the dough carefully. In general, an excellent thing, I recommend it especially to families with children.</v>
      </c>
    </row>
    <row r="4358" spans="1:9" x14ac:dyDescent="0.3">
      <c r="A4358" s="1" t="s">
        <v>95</v>
      </c>
      <c r="B4358" s="1" t="s">
        <v>7468</v>
      </c>
      <c r="C4358" s="1" t="s">
        <v>166</v>
      </c>
      <c r="D4358" s="1" t="s">
        <v>7469</v>
      </c>
      <c r="E4358" s="1" t="s">
        <v>7470</v>
      </c>
      <c r="F4358" s="1" t="s">
        <v>7471</v>
      </c>
      <c r="G4358" s="1" t="s">
        <v>36</v>
      </c>
      <c r="H4358" s="1" t="s">
        <v>29</v>
      </c>
      <c r="I4358" s="1" t="str">
        <f ca="1">IFERROR(__xludf.DUMMYFUNCTION("GOOGLETRANSLATE(F4358, ""auto"", ""en"")
"),"Finally, I can safely play my PSP anywhere, not just at home. And then when in transport there was a constant din of these sounds, everyone shied away and looked askance. Now I just connect these ears and that’s it, I’m completely immersed in the game. He"&amp;"re, in general, such a frequency range I was shocked, the slightest noise in the game is felt, and everything is unrealistically dynamic. By the way, these headphones won’t fall out of your ears in the middle of a game; they even specially give you two se"&amp;"ts of these soft tips so that you can choose a pair to suit your ears. It’s also cool that I can even listen to music in them by connecting them to my iPhone 5. In general, everything is cool!")</f>
        <v>Finally, I can safely play my PSP anywhere, not just at home. And then when in transport there was a constant din of these sounds, everyone shied away and looked askance. Now I just connect these ears and that’s it, I’m completely immersed in the game. Here, in general, such a frequency range I was shocked, the slightest noise in the game is felt, and everything is unrealistically dynamic. By the way, these headphones won’t fall out of your ears in the middle of a game; they even specially give you two sets of these soft tips so that you can choose a pair to suit your ears. It’s also cool that I can even listen to music in them by connecting them to my iPhone 5. In general, everything is cool!</v>
      </c>
    </row>
    <row r="4359" spans="1:9" x14ac:dyDescent="0.3">
      <c r="A4359" s="1" t="s">
        <v>67</v>
      </c>
      <c r="B4359" s="1" t="s">
        <v>68</v>
      </c>
      <c r="C4359" s="1" t="s">
        <v>381</v>
      </c>
      <c r="D4359" s="1" t="s">
        <v>545</v>
      </c>
      <c r="E4359" s="1" t="s">
        <v>6569</v>
      </c>
      <c r="F4359" s="1" t="s">
        <v>7053</v>
      </c>
      <c r="G4359" s="1" t="s">
        <v>36</v>
      </c>
      <c r="H4359" s="1" t="s">
        <v>29</v>
      </c>
      <c r="I4359" s="1" t="str">
        <f ca="1">IFERROR(__xludf.DUMMYFUNCTION("GOOGLETRANSLATE(F4359, ""auto"", ""en"")
"),"Small")</f>
        <v>Small</v>
      </c>
    </row>
    <row r="4360" spans="1:9" x14ac:dyDescent="0.3">
      <c r="A4360" s="1" t="s">
        <v>17</v>
      </c>
      <c r="B4360" s="1" t="s">
        <v>18</v>
      </c>
      <c r="C4360" s="1" t="s">
        <v>19</v>
      </c>
      <c r="D4360" s="1" t="s">
        <v>1659</v>
      </c>
      <c r="E4360" s="1" t="s">
        <v>3426</v>
      </c>
      <c r="F4360" s="1" t="s">
        <v>7472</v>
      </c>
      <c r="G4360" s="1" t="s">
        <v>36</v>
      </c>
      <c r="H4360" s="1" t="s">
        <v>29</v>
      </c>
      <c r="I4360" s="1" t="str">
        <f ca="1">IFERROR(__xludf.DUMMYFUNCTION("GOOGLETRANSLATE(F4360, ""auto"", ""en"")
"),"The first wash has already passed! I am very pleased with the quality and design! no noise! I recommend it to everyone and you won’t regret it!")</f>
        <v>The first wash has already passed! I am very pleased with the quality and design! no noise! I recommend it to everyone and you won’t regret it!</v>
      </c>
    </row>
    <row r="4361" spans="1:9" x14ac:dyDescent="0.3">
      <c r="A4361" s="1" t="s">
        <v>61</v>
      </c>
      <c r="B4361" s="1" t="s">
        <v>318</v>
      </c>
      <c r="C4361" s="1" t="s">
        <v>57</v>
      </c>
      <c r="D4361" s="1" t="s">
        <v>2771</v>
      </c>
      <c r="E4361" s="1" t="s">
        <v>5193</v>
      </c>
      <c r="F4361" s="1" t="s">
        <v>7473</v>
      </c>
      <c r="G4361" s="1" t="s">
        <v>36</v>
      </c>
      <c r="H4361" s="1" t="s">
        <v>29</v>
      </c>
      <c r="I4361" s="1" t="str">
        <f ca="1">IFERROR(__xludf.DUMMYFUNCTION("GOOGLETRANSLATE(F4361, ""auto"", ""en"")
"),"A good stainless steel kettle is lightweight and convenient. There is no plastic smell as there is no plastic in contact with water. I liked it.")</f>
        <v>A good stainless steel kettle is lightweight and convenient. There is no plastic smell as there is no plastic in contact with water. I liked it.</v>
      </c>
    </row>
    <row r="4362" spans="1:9" x14ac:dyDescent="0.3">
      <c r="A4362" s="1" t="s">
        <v>43</v>
      </c>
      <c r="B4362" s="1" t="s">
        <v>1382</v>
      </c>
      <c r="C4362" s="1" t="s">
        <v>57</v>
      </c>
      <c r="D4362" s="1" t="s">
        <v>2462</v>
      </c>
      <c r="E4362" s="1" t="s">
        <v>2680</v>
      </c>
      <c r="F4362" s="1" t="s">
        <v>7474</v>
      </c>
      <c r="G4362" s="1" t="s">
        <v>36</v>
      </c>
      <c r="H4362" s="1" t="s">
        <v>29</v>
      </c>
      <c r="I4362" s="1" t="str">
        <f ca="1">IFERROR(__xludf.DUMMYFUNCTION("GOOGLETRANSLATE(F4362, ""auto"", ""en"")
"),"happy! takes up little space, works great. I was especially pleased with the air ionizer and timer.")</f>
        <v>happy! takes up little space, works great. I was especially pleased with the air ionizer and timer.</v>
      </c>
    </row>
    <row r="4363" spans="1:9" x14ac:dyDescent="0.3">
      <c r="A4363" s="1" t="s">
        <v>211</v>
      </c>
      <c r="B4363" s="1" t="s">
        <v>515</v>
      </c>
      <c r="C4363" s="1" t="s">
        <v>213</v>
      </c>
      <c r="D4363" s="1" t="s">
        <v>64</v>
      </c>
      <c r="E4363" s="1" t="s">
        <v>517</v>
      </c>
      <c r="F4363" s="1" t="s">
        <v>7475</v>
      </c>
      <c r="G4363" s="1" t="s">
        <v>36</v>
      </c>
      <c r="H4363" s="1" t="s">
        <v>29</v>
      </c>
      <c r="I4363" s="1" t="str">
        <f ca="1">IFERROR(__xludf.DUMMYFUNCTION("GOOGLETRANSLATE(F4363, ""auto"", ""en"")
"),"Inexpensive, easy to use, effective, long cord.")</f>
        <v>Inexpensive, easy to use, effective, long cord.</v>
      </c>
    </row>
    <row r="4364" spans="1:9" x14ac:dyDescent="0.3">
      <c r="A4364" s="1" t="s">
        <v>17</v>
      </c>
      <c r="B4364" s="1" t="s">
        <v>18</v>
      </c>
      <c r="C4364" s="1" t="s">
        <v>277</v>
      </c>
      <c r="D4364" s="1" t="s">
        <v>335</v>
      </c>
      <c r="E4364" s="1" t="s">
        <v>4146</v>
      </c>
      <c r="F4364" s="1" t="s">
        <v>7476</v>
      </c>
      <c r="G4364" s="1" t="s">
        <v>28</v>
      </c>
      <c r="H4364" s="1" t="s">
        <v>29</v>
      </c>
      <c r="I4364" s="1" t="str">
        <f ca="1">IFERROR(__xludf.DUMMYFUNCTION("GOOGLETRANSLATE(F4364, ""auto"", ""en"")
"),"I can’t say that it’s very loud, but for those who work loudly, just twist the legs so that it stands level. The controls are simple and standard. Generally washes without any complaints.")</f>
        <v>I can’t say that it’s very loud, but for those who work loudly, just twist the legs so that it stands level. The controls are simple and standard. Generally washes without any complaints.</v>
      </c>
    </row>
    <row r="4365" spans="1:9" x14ac:dyDescent="0.3">
      <c r="A4365" s="1" t="s">
        <v>169</v>
      </c>
      <c r="B4365" s="1" t="s">
        <v>170</v>
      </c>
      <c r="C4365" s="1" t="s">
        <v>171</v>
      </c>
      <c r="D4365" s="1" t="s">
        <v>166</v>
      </c>
      <c r="E4365" s="1" t="s">
        <v>128</v>
      </c>
      <c r="F4365" s="1" t="s">
        <v>7477</v>
      </c>
      <c r="G4365" s="1" t="s">
        <v>15</v>
      </c>
      <c r="H4365" s="1" t="s">
        <v>16</v>
      </c>
      <c r="I4365" s="1" t="str">
        <f ca="1">IFERROR(__xludf.DUMMYFUNCTION("GOOGLETRANSLATE(F4365, ""auto"", ""en"")
"),"artificial bass boost, no sound, my ears hurt...the only plus is the price, but you don’t need to skimp on your ears!")</f>
        <v>artificial bass boost, no sound, my ears hurt...the only plus is the price, but you don’t need to skimp on your ears!</v>
      </c>
    </row>
    <row r="4366" spans="1:9" x14ac:dyDescent="0.3">
      <c r="A4366" s="1" t="s">
        <v>30</v>
      </c>
      <c r="B4366" s="1" t="s">
        <v>50</v>
      </c>
      <c r="C4366" s="1" t="s">
        <v>32</v>
      </c>
      <c r="D4366" s="1" t="s">
        <v>7478</v>
      </c>
      <c r="E4366" s="1" t="s">
        <v>3829</v>
      </c>
      <c r="F4366" s="1" t="s">
        <v>7479</v>
      </c>
      <c r="G4366" s="1" t="s">
        <v>36</v>
      </c>
      <c r="H4366" s="1" t="s">
        <v>29</v>
      </c>
      <c r="I4366" s="1" t="str">
        <f ca="1">IFERROR(__xludf.DUMMYFUNCTION("GOOGLETRANSLATE(F4366, ""auto"", ""en"")
"),"About 2 months ago, I really like it, but I was a little upset that there is a button for bluetooth, but there isn’t one.  And it's a perfect car))")</f>
        <v>About 2 months ago, I really like it, but I was a little upset that there is a button for bluetooth, but there isn’t one.  And it's a perfect car))</v>
      </c>
    </row>
    <row r="4367" spans="1:9" x14ac:dyDescent="0.3">
      <c r="A4367" s="1" t="s">
        <v>17</v>
      </c>
      <c r="B4367" s="1" t="s">
        <v>18</v>
      </c>
      <c r="C4367" s="1" t="s">
        <v>665</v>
      </c>
      <c r="D4367" s="1" t="s">
        <v>545</v>
      </c>
      <c r="E4367" s="1" t="s">
        <v>7480</v>
      </c>
      <c r="F4367" s="1" t="s">
        <v>7481</v>
      </c>
      <c r="G4367" s="1" t="s">
        <v>49</v>
      </c>
      <c r="H4367" s="1" t="s">
        <v>16</v>
      </c>
      <c r="I4367" s="1" t="str">
        <f ca="1">IFERROR(__xludf.DUMMYFUNCTION("GOOGLETRANSLATE(F4367, ""auto"", ""en"")
"),"Very bad, after 2 years I was tired of repairing.... heating element. bearings. noise.....")</f>
        <v>Very bad, after 2 years I was tired of repairing.... heating element. bearings. noise.....</v>
      </c>
    </row>
    <row r="4368" spans="1:9" x14ac:dyDescent="0.3">
      <c r="A4368" s="1" t="s">
        <v>61</v>
      </c>
      <c r="B4368" s="1" t="s">
        <v>318</v>
      </c>
      <c r="C4368" s="1" t="s">
        <v>63</v>
      </c>
      <c r="D4368" s="1" t="s">
        <v>5031</v>
      </c>
      <c r="E4368" s="1" t="s">
        <v>1245</v>
      </c>
      <c r="F4368" s="1" t="s">
        <v>7482</v>
      </c>
      <c r="G4368" s="1" t="s">
        <v>49</v>
      </c>
      <c r="H4368" s="1" t="s">
        <v>16</v>
      </c>
      <c r="I4368" s="1" t="str">
        <f ca="1">IFERROR(__xludf.DUMMYFUNCTION("GOOGLETRANSLATE(F4368, ""auto"", ""en"")
"),"I have never seen a worse kettle. How did such a reputable company produce such a product?  Everything pours out of the spout past the cup, the water cools down instantly, since the lid is made of very thin plastic, which is also deformed. And if you heat"&amp;" the kettle with a small amount of water, it does not turn off for a very long time. In fact, it does not heat the water, but cooks it. Instead of suffering, we bought a kettle from another company, now we regret that we did not do this earlier.")</f>
        <v>I have never seen a worse kettle. How did such a reputable company produce such a product?  Everything pours out of the spout past the cup, the water cools down instantly, since the lid is made of very thin plastic, which is also deformed. And if you heat the kettle with a small amount of water, it does not turn off for a very long time. In fact, it does not heat the water, but cooks it. Instead of suffering, we bought a kettle from another company, now we regret that we did not do this earlier.</v>
      </c>
    </row>
    <row r="4369" spans="1:9" x14ac:dyDescent="0.3">
      <c r="A4369" s="1" t="s">
        <v>61</v>
      </c>
      <c r="B4369" s="1" t="s">
        <v>145</v>
      </c>
      <c r="C4369" s="1" t="s">
        <v>57</v>
      </c>
      <c r="D4369" s="1" t="s">
        <v>7483</v>
      </c>
      <c r="E4369" s="1" t="s">
        <v>3337</v>
      </c>
      <c r="F4369" s="1" t="s">
        <v>7484</v>
      </c>
      <c r="G4369" s="1" t="s">
        <v>49</v>
      </c>
      <c r="H4369" s="1" t="s">
        <v>16</v>
      </c>
      <c r="I4369" s="1" t="str">
        <f ca="1">IFERROR(__xludf.DUMMYFUNCTION("GOOGLETRANSLATE(F4369, ""auto"", ""en"")
"),"I bought this horror, it’s impossible to cook, the thermostat goes off without having time to cook the food, you cook a handful of potatoes for about forty minutes, since it turns off all the time, you end up with ordinary potatoes, you can’t get cheese b"&amp;"alls at all, it’s not a deep fryer, it’s torture, it’s not worth the money, it’s better to overpay not so much to get something better.")</f>
        <v>I bought this horror, it’s impossible to cook, the thermostat goes off without having time to cook the food, you cook a handful of potatoes for about forty minutes, since it turns off all the time, you end up with ordinary potatoes, you can’t get cheese balls at all, it’s not a deep fryer, it’s torture, it’s not worth the money, it’s better to overpay not so much to get something better.</v>
      </c>
    </row>
    <row r="4370" spans="1:9" x14ac:dyDescent="0.3">
      <c r="A4370" s="1" t="s">
        <v>89</v>
      </c>
      <c r="B4370" s="1" t="s">
        <v>90</v>
      </c>
      <c r="C4370" s="1" t="s">
        <v>63</v>
      </c>
      <c r="D4370" s="1" t="s">
        <v>545</v>
      </c>
      <c r="E4370" s="1" t="s">
        <v>254</v>
      </c>
      <c r="F4370" s="1" t="s">
        <v>7485</v>
      </c>
      <c r="G4370" s="1" t="s">
        <v>36</v>
      </c>
      <c r="H4370" s="1" t="s">
        <v>29</v>
      </c>
      <c r="I4370" s="1" t="str">
        <f ca="1">IFERROR(__xludf.DUMMYFUNCTION("GOOGLETRANSLATE(F4370, ""auto"", ""en"")
"),"An excellent coffee grinder in all respects: quality, design. Convenient to use. I bought it along with a Bosch coffee maker. I'm very pleased.")</f>
        <v>An excellent coffee grinder in all respects: quality, design. Convenient to use. I bought it along with a Bosch coffee maker. I'm very pleased.</v>
      </c>
    </row>
    <row r="4371" spans="1:9" x14ac:dyDescent="0.3">
      <c r="A4371" s="1" t="s">
        <v>211</v>
      </c>
      <c r="B4371" s="1" t="s">
        <v>410</v>
      </c>
      <c r="C4371" s="1" t="s">
        <v>122</v>
      </c>
      <c r="D4371" s="1" t="s">
        <v>599</v>
      </c>
      <c r="E4371" s="1" t="s">
        <v>6400</v>
      </c>
      <c r="F4371" s="1" t="s">
        <v>7486</v>
      </c>
      <c r="G4371" s="1" t="s">
        <v>49</v>
      </c>
      <c r="H4371" s="1" t="s">
        <v>16</v>
      </c>
      <c r="I4371" s="1" t="str">
        <f ca="1">IFERROR(__xludf.DUMMYFUNCTION("GOOGLETRANSLATE(F4371, ""auto"", ""en"")
"),"Really some kind of horror. Okay, at least I got it as a gift, I didn’t spend any money.")</f>
        <v>Really some kind of horror. Okay, at least I got it as a gift, I didn’t spend any money.</v>
      </c>
    </row>
    <row r="4372" spans="1:9" x14ac:dyDescent="0.3">
      <c r="A4372" s="1" t="s">
        <v>211</v>
      </c>
      <c r="B4372" s="1" t="s">
        <v>212</v>
      </c>
      <c r="C4372" s="1" t="s">
        <v>69</v>
      </c>
      <c r="D4372" s="1" t="s">
        <v>2764</v>
      </c>
      <c r="E4372" s="1" t="s">
        <v>517</v>
      </c>
      <c r="F4372" s="1" t="s">
        <v>7487</v>
      </c>
      <c r="G4372" s="1" t="s">
        <v>36</v>
      </c>
      <c r="H4372" s="1" t="s">
        <v>29</v>
      </c>
      <c r="I4372" s="1" t="str">
        <f ca="1">IFERROR(__xludf.DUMMYFUNCTION("GOOGLETRANSLATE(F4372, ""auto"", ""en"")
"),"I'm happy with the purchase! Dries well. The hair dryer is very light and comfortable to hold in your hand.")</f>
        <v>I'm happy with the purchase! Dries well. The hair dryer is very light and comfortable to hold in your hand.</v>
      </c>
    </row>
    <row r="4373" spans="1:9" x14ac:dyDescent="0.3">
      <c r="A4373" s="1" t="s">
        <v>965</v>
      </c>
      <c r="B4373" s="1" t="s">
        <v>966</v>
      </c>
      <c r="C4373" s="1" t="s">
        <v>2149</v>
      </c>
      <c r="D4373" s="1" t="s">
        <v>139</v>
      </c>
      <c r="E4373" s="1" t="s">
        <v>2634</v>
      </c>
      <c r="F4373" s="1" t="s">
        <v>7488</v>
      </c>
      <c r="G4373" s="1" t="s">
        <v>36</v>
      </c>
      <c r="H4373" s="1" t="s">
        <v>29</v>
      </c>
      <c r="I4373" s="1" t="str">
        <f ca="1">IFERROR(__xludf.DUMMYFUNCTION("GOOGLETRANSLATE(F4373, ""auto"", ""en"")
"),"The speakers are suitable for home use to listen to music normally. But I had a problem with them 5-6 months after the purchase, the right speaker began to play ~50% quieter. Now I will change it under warranty. There is no official service center in the "&amp;"Russian Federation, so MVideo was told that they would change it if the defect was indeed confirmed.")</f>
        <v>The speakers are suitable for home use to listen to music normally. But I had a problem with them 5-6 months after the purchase, the right speaker began to play ~50% quieter. Now I will change it under warranty. There is no official service center in the Russian Federation, so MVideo was told that they would change it if the defect was indeed confirmed.</v>
      </c>
    </row>
    <row r="4374" spans="1:9" x14ac:dyDescent="0.3">
      <c r="A4374" s="1" t="s">
        <v>149</v>
      </c>
      <c r="B4374" s="1" t="s">
        <v>150</v>
      </c>
      <c r="C4374" s="1" t="s">
        <v>6732</v>
      </c>
      <c r="D4374" s="1" t="s">
        <v>64</v>
      </c>
      <c r="E4374" s="1" t="s">
        <v>2202</v>
      </c>
      <c r="F4374" s="1" t="s">
        <v>7489</v>
      </c>
      <c r="G4374" s="1" t="s">
        <v>28</v>
      </c>
      <c r="H4374" s="1" t="s">
        <v>29</v>
      </c>
      <c r="I4374" s="1" t="str">
        <f ca="1">IFERROR(__xludf.DUMMYFUNCTION("GOOGLETRANSLATE(F4374, ""auto"", ""en"")
"),"Great vacuum cleaner! At first I didn’t like it: noisy, large in size. But everything changed after cleaning: I collected all the hair and fur in the house, there is no dust after cleaning! The container can be washed without problems (compared to other v"&amp;"acuum cleaners).")</f>
        <v>Great vacuum cleaner! At first I didn’t like it: noisy, large in size. But everything changed after cleaning: I collected all the hair and fur in the house, there is no dust after cleaning! The container can be washed without problems (compared to other vacuum cleaners).</v>
      </c>
    </row>
    <row r="4375" spans="1:9" x14ac:dyDescent="0.3">
      <c r="A4375" s="1" t="s">
        <v>105</v>
      </c>
      <c r="B4375" s="1" t="s">
        <v>106</v>
      </c>
      <c r="C4375" s="1" t="s">
        <v>1209</v>
      </c>
      <c r="D4375" s="1" t="s">
        <v>3100</v>
      </c>
      <c r="E4375" s="1" t="s">
        <v>1654</v>
      </c>
      <c r="F4375" s="1" t="s">
        <v>7490</v>
      </c>
      <c r="G4375" s="1" t="s">
        <v>36</v>
      </c>
      <c r="H4375" s="1" t="s">
        <v>29</v>
      </c>
      <c r="I4375" s="1" t="str">
        <f ca="1">IFERROR(__xludf.DUMMYFUNCTION("GOOGLETRANSLATE(F4375, ""auto"", ""en"")
"),"Manufacturers clearly underestimate themselves!!! The instructions say - play music on a single battery charge for up to 22 hours, video - up to 5. In fact, on the first charge (the one with which I bought it in the store), I worked for two days (!!!) alm"&amp;"ost without stopping (I wanted to quickly discharge the battery in order to carry out a normal charge). And video, and radio, and TV, and music - burned the screen mercilessly - the battery did not run out and that’s it!  The touch buttons are a little in"&amp;"convenient, on which long and short presses on the same button have different functions, and even without backlighting, but the hand quickly gets used to it - it literally took an hour to get used to it.  catches more and better channels without problems "&amp;"(in Moscow in an apartment) than a TV with an indoor antenna!!!  Many people criticize the included headphones, but I think that they are quite good. Of course, there are no limits to perfection; for some, the sinhizer may not seem good enough. And the on"&amp;"es included in the kit fit me perfectly, I don’t feel disadvantaged.  The price-quality ratio is above all praise!!! TV, radio, VCR, audio player, e-book, USB drive, clock, calculator, digital mini photo frame)))) and a bunch of other things - and all thi"&amp;"s for less than 3,000 rubles - this is a fairy tale!!! I don’t know if this pleasure can become even cheaper, but I’ve been following the dynamics of prices for this beauty for a long time and finally decided that I should buy it now.")</f>
        <v>Manufacturers clearly underestimate themselves!!! The instructions say - play music on a single battery charge for up to 22 hours, video - up to 5. In fact, on the first charge (the one with which I bought it in the store), I worked for two days (!!!) almost without stopping (I wanted to quickly discharge the battery in order to carry out a normal charge). And video, and radio, and TV, and music - burned the screen mercilessly - the battery did not run out and that’s it!  The touch buttons are a little inconvenient, on which long and short presses on the same button have different functions, and even without backlighting, but the hand quickly gets used to it - it literally took an hour to get used to it.  catches more and better channels without problems (in Moscow in an apartment) than a TV with an indoor antenna!!!  Many people criticize the included headphones, but I think that they are quite good. Of course, there are no limits to perfection; for some, the sinhizer may not seem good enough. And the ones included in the kit fit me perfectly, I don’t feel disadvantaged.  The price-quality ratio is above all praise!!! TV, radio, VCR, audio player, e-book, USB drive, clock, calculator, digital mini photo frame)))) and a bunch of other things - and all this for less than 3,000 rubles - this is a fairy tale!!! I don’t know if this pleasure can become even cheaper, but I’ve been following the dynamics of prices for this beauty for a long time and finally decided that I should buy it now.</v>
      </c>
    </row>
    <row r="4376" spans="1:9" x14ac:dyDescent="0.3">
      <c r="A4376" s="1" t="s">
        <v>211</v>
      </c>
      <c r="B4376" s="1" t="s">
        <v>212</v>
      </c>
      <c r="C4376" s="1" t="s">
        <v>63</v>
      </c>
      <c r="D4376" s="1" t="s">
        <v>326</v>
      </c>
      <c r="E4376" s="1" t="s">
        <v>3739</v>
      </c>
      <c r="F4376" s="1" t="s">
        <v>7491</v>
      </c>
      <c r="G4376" s="1" t="s">
        <v>36</v>
      </c>
      <c r="H4376" s="1" t="s">
        <v>29</v>
      </c>
      <c r="I4376" s="1" t="str">
        <f ca="1">IFERROR(__xludf.DUMMYFUNCTION("GOOGLETRANSLATE(F4376, ""auto"", ""en"")
"),"The hairdryer is excellent, I have been using it for 4 years. In constant use. Pros: coated brush, does not dry out, fell and did not break. I only use the large volume attachment - it lasts all day without nail polish or anything else. It's nice to hold "&amp;"in your hands. There is only one minus: timely remove hair in the back of the hair dryer (gaps for air to escape). I broke off one strip in the crevices and got to it with long tweezers. And sometimes I remove dust particles where the air is heated. These"&amp;" disadvantages can occur with every hairdryer.")</f>
        <v>The hairdryer is excellent, I have been using it for 4 years. In constant use. Pros: coated brush, does not dry out, fell and did not break. I only use the large volume attachment - it lasts all day without nail polish or anything else. It's nice to hold in your hands. There is only one minus: timely remove hair in the back of the hair dryer (gaps for air to escape). I broke off one strip in the crevices and got to it with long tweezers. And sometimes I remove dust particles where the air is heated. These disadvantages can occur with every hairdryer.</v>
      </c>
    </row>
    <row r="4377" spans="1:9" x14ac:dyDescent="0.3">
      <c r="A4377" s="1" t="s">
        <v>120</v>
      </c>
      <c r="B4377" s="1" t="s">
        <v>196</v>
      </c>
      <c r="C4377" s="1" t="s">
        <v>80</v>
      </c>
      <c r="D4377" s="1" t="s">
        <v>7492</v>
      </c>
      <c r="E4377" s="1" t="s">
        <v>2348</v>
      </c>
      <c r="F4377" s="1" t="s">
        <v>7493</v>
      </c>
      <c r="G4377" s="1" t="s">
        <v>28</v>
      </c>
      <c r="H4377" s="1" t="s">
        <v>29</v>
      </c>
      <c r="I4377" s="1" t="str">
        <f ca="1">IFERROR(__xludf.DUMMYFUNCTION("GOOGLETRANSLATE(F4377, ""auto"", ""en"")
"),"a good TV for ridiculous money was choosing between Philips and Panasonic. Sony and LG (Samsung is generally not an option; they ask too much for the brand, although they are no better than their TVs) (the price of selecting TVs is around 25,000 - 35,000 "&amp;"rubles) Philips turned out to be worse: no USB, no 1920 by 1080 (some say that it supports, but this is a trick, the instructions say 1360x768 when connected to a PC or HDMI), weak tuner , they are more expensive, the connection connectors are poor, the p"&amp;"icture is worse on them, Panasonic also didn’t choose: no USB, plasmas consume approximately 2 times more electricity, maximum 400-500 watt/hour, also not all models support 1920 by 1080 (only those that are more expensive than 32,000 rubles), also not ve"&amp;"ry rich connection interfaces, picture quality may be a little better than LG, but in a bright light it’s hard to see the Sony image, you can say the same thing as the Philips:: no USB, no 1920 by 1080 (some say that it holds, but this is a trick, the ins"&amp;"tructions say 1360x768 when connected to a PC or HDMI), weak tuner, cost more, poor connection connectors, worse picture on them, dead pixels found on them in different stores, design not very LG - not a bad TV. acceptable contrast, text is hard to read, "&amp;"eyes get tired, for games (60 fps 1920 x 1080) and movies, color rendition is normal, but contrast is not the best, free photo video audio player when USB is unlocked, not a bad set of connectors, good video codecs can read almost everything, passable pic"&amp;"ture of terrestrial TV (no worse than other TVs), good cable TV, good viewing angles, dust sticks, glossy surface (hand marks remain), the back wall is weak and bends if you hang it on the wall, almost all the connectors are on the back and a couple on th"&amp;"e side, easy to activate USB - we get a free media player")</f>
        <v>a good TV for ridiculous money was choosing between Philips and Panasonic. Sony and LG (Samsung is generally not an option; they ask too much for the brand, although they are no better than their TVs) (the price of selecting TVs is around 25,000 - 35,000 rubles) Philips turned out to be worse: no USB, no 1920 by 1080 (some say that it supports, but this is a trick, the instructions say 1360x768 when connected to a PC or HDMI), weak tuner , they are more expensive, the connection connectors are poor, the picture is worse on them, Panasonic also didn’t choose: no USB, plasmas consume approximately 2 times more electricity, maximum 400-500 watt/hour, also not all models support 1920 by 1080 (only those that are more expensive than 32,000 rubles), also not very rich connection interfaces, picture quality may be a little better than LG, but in a bright light it’s hard to see the Sony image, you can say the same thing as the Philips:: no USB, no 1920 by 1080 (some say that it holds, but this is a trick, the instructions say 1360x768 when connected to a PC or HDMI), weak tuner, cost more, poor connection connectors, worse picture on them, dead pixels found on them in different stores, design not very LG - not a bad TV. acceptable contrast, text is hard to read, eyes get tired, for games (60 fps 1920 x 1080) and movies, color rendition is normal, but contrast is not the best, free photo video audio player when USB is unlocked, not a bad set of connectors, good video codecs can read almost everything, passable picture of terrestrial TV (no worse than other TVs), good cable TV, good viewing angles, dust sticks, glossy surface (hand marks remain), the back wall is weak and bends if you hang it on the wall, almost all the connectors are on the back and a couple on the side, easy to activate USB - we get a free media player</v>
      </c>
    </row>
    <row r="4378" spans="1:9" x14ac:dyDescent="0.3">
      <c r="A4378" s="1" t="s">
        <v>477</v>
      </c>
      <c r="B4378" s="1" t="s">
        <v>478</v>
      </c>
      <c r="C4378" s="1" t="s">
        <v>479</v>
      </c>
      <c r="D4378" s="1" t="s">
        <v>7494</v>
      </c>
      <c r="E4378" s="1" t="s">
        <v>543</v>
      </c>
      <c r="F4378" s="1" t="s">
        <v>7495</v>
      </c>
      <c r="G4378" s="1" t="s">
        <v>36</v>
      </c>
      <c r="H4378" s="1" t="s">
        <v>29</v>
      </c>
      <c r="I4378" s="1" t="str">
        <f ca="1">IFERROR(__xludf.DUMMYFUNCTION("GOOGLETRANSLATE(F4378, ""auto"", ""en"")
"),"I didn't like the multiplayer at all! but the company is great, for those who don’t spend a lot of time on multiplayer and prefer to play with company, it will be ideal. I’ve never seen many games that I spent time on with pleasure, but while playing this"&amp;" game I couldn’t tear myself away from the screen!!!!!")</f>
        <v>I didn't like the multiplayer at all! but the company is great, for those who don’t spend a lot of time on multiplayer and prefer to play with company, it will be ideal. I’ve never seen many games that I spent time on with pleasure, but while playing this game I couldn’t tear myself away from the screen!!!!!</v>
      </c>
    </row>
    <row r="4379" spans="1:9" x14ac:dyDescent="0.3">
      <c r="A4379" s="1" t="s">
        <v>89</v>
      </c>
      <c r="B4379" s="1" t="s">
        <v>90</v>
      </c>
      <c r="C4379" s="1" t="s">
        <v>745</v>
      </c>
      <c r="D4379" s="1" t="s">
        <v>247</v>
      </c>
      <c r="E4379" s="1" t="s">
        <v>5882</v>
      </c>
      <c r="F4379" s="1" t="s">
        <v>7496</v>
      </c>
      <c r="G4379" s="1" t="s">
        <v>36</v>
      </c>
      <c r="H4379" s="1" t="s">
        <v>29</v>
      </c>
      <c r="I4379" s="1" t="str">
        <f ca="1">IFERROR(__xludf.DUMMYFUNCTION("GOOGLETRANSLATE(F4379, ""auto"", ""en"")
"),"Works like a charm. I even ground sunflower seeds, sesame seeds and cocoa beans. Nothing broke. For such a low price, I bought a good coffee grinder.")</f>
        <v>Works like a charm. I even ground sunflower seeds, sesame seeds and cocoa beans. Nothing broke. For such a low price, I bought a good coffee grinder.</v>
      </c>
    </row>
    <row r="4380" spans="1:9" x14ac:dyDescent="0.3">
      <c r="A4380" s="1" t="s">
        <v>43</v>
      </c>
      <c r="B4380" s="1" t="s">
        <v>303</v>
      </c>
      <c r="C4380" s="1" t="s">
        <v>665</v>
      </c>
      <c r="D4380" s="1" t="s">
        <v>232</v>
      </c>
      <c r="E4380" s="1" t="s">
        <v>7497</v>
      </c>
      <c r="F4380" s="1" t="s">
        <v>7498</v>
      </c>
      <c r="G4380" s="1" t="s">
        <v>36</v>
      </c>
      <c r="H4380" s="1" t="s">
        <v>29</v>
      </c>
      <c r="I4380" s="1" t="str">
        <f ca="1">IFERROR(__xludf.DUMMYFUNCTION("GOOGLETRANSLATE(F4380, ""auto"", ""en"")
"),"Worked for 8.5 years. Without the slightest problem.")</f>
        <v>Worked for 8.5 years. Without the slightest problem.</v>
      </c>
    </row>
    <row r="4381" spans="1:9" x14ac:dyDescent="0.3">
      <c r="A4381" s="1" t="s">
        <v>30</v>
      </c>
      <c r="B4381" s="1" t="s">
        <v>50</v>
      </c>
      <c r="C4381" s="1" t="s">
        <v>32</v>
      </c>
      <c r="D4381" s="1" t="s">
        <v>7499</v>
      </c>
      <c r="E4381" s="1" t="s">
        <v>1852</v>
      </c>
      <c r="F4381" s="1" t="s">
        <v>7500</v>
      </c>
      <c r="G4381" s="1" t="s">
        <v>36</v>
      </c>
      <c r="H4381" s="1" t="s">
        <v>29</v>
      </c>
      <c r="I4381" s="1" t="str">
        <f ca="1">IFERROR(__xludf.DUMMYFUNCTION("GOOGLETRANSLATE(F4381, ""auto"", ""en"")
"),"Hi all. I purchased this work of art a couple of days ago. Let me say right away that the machine is stunning.  This laptop is a decent indicator of price-quality ratio.     P.S. Please ignore the criticism below. Beech is the best.")</f>
        <v>Hi all. I purchased this work of art a couple of days ago. Let me say right away that the machine is stunning.  This laptop is a decent indicator of price-quality ratio.     P.S. Please ignore the criticism below. Beech is the best.</v>
      </c>
    </row>
    <row r="4382" spans="1:9" x14ac:dyDescent="0.3">
      <c r="A4382" s="1" t="s">
        <v>369</v>
      </c>
      <c r="B4382" s="1" t="s">
        <v>2480</v>
      </c>
      <c r="C4382" s="1" t="s">
        <v>453</v>
      </c>
      <c r="D4382" s="1" t="s">
        <v>7501</v>
      </c>
      <c r="E4382" s="1" t="s">
        <v>985</v>
      </c>
      <c r="F4382" s="1" t="s">
        <v>7502</v>
      </c>
      <c r="G4382" s="1" t="s">
        <v>36</v>
      </c>
      <c r="H4382" s="1" t="s">
        <v>29</v>
      </c>
      <c r="I4382" s="1" t="str">
        <f ca="1">IFERROR(__xludf.DUMMYFUNCTION("GOOGLETRANSLATE(F4382, ""auto"", ""en"")
"),"Great tile! Only 34*44*9 cm are the packaging dimensions.")</f>
        <v>Great tile! Only 34*44*9 cm are the packaging dimensions.</v>
      </c>
    </row>
    <row r="4383" spans="1:9" x14ac:dyDescent="0.3">
      <c r="A4383" s="1" t="s">
        <v>17</v>
      </c>
      <c r="B4383" s="1" t="s">
        <v>18</v>
      </c>
      <c r="C4383" s="1" t="s">
        <v>151</v>
      </c>
      <c r="D4383" s="1" t="s">
        <v>247</v>
      </c>
      <c r="E4383" s="1" t="s">
        <v>2557</v>
      </c>
      <c r="F4383" s="1" t="s">
        <v>7503</v>
      </c>
      <c r="G4383" s="1" t="s">
        <v>36</v>
      </c>
      <c r="H4383" s="1" t="s">
        <v>29</v>
      </c>
      <c r="I4383" s="1" t="str">
        <f ca="1">IFERROR(__xludf.DUMMYFUNCTION("GOOGLETRANSLATE(F4383, ""auto"", ""en"")
"),"They brought the car. Installs easily if the previous connection was normal. Before that I was a Zanusi and worked for 7 years. I hope this one breaks the record. Now I have put it on the first wash, I don’t see any non-delivery in appearance and beginnin"&amp;"g.   1. The cell drum is really quite interesting, which is the Diamond function.  2. 2H is 2 hours or more than 2 hours. So the timer is fine.  I don’t know about the spin cycle, or maybe my previous one was loud, but in my opinion it spins quite normall"&amp;"y.   When I turned it on, I was first scared when it started to spin the drum empty without water, only then I realized that it was she who was distributing the laundry evenly.   Satisfied so far. If there is anything wrong, I will definitely write.")</f>
        <v>They brought the car. Installs easily if the previous connection was normal. Before that I was a Zanusi and worked for 7 years. I hope this one breaks the record. Now I have put it on the first wash, I don’t see any non-delivery in appearance and beginning.   1. The cell drum is really quite interesting, which is the Diamond function.  2. 2H is 2 hours or more than 2 hours. So the timer is fine.  I don’t know about the spin cycle, or maybe my previous one was loud, but in my opinion it spins quite normally.   When I turned it on, I was first scared when it started to spin the drum empty without water, only then I realized that it was she who was distributing the laundry evenly.   Satisfied so far. If there is anything wrong, I will definitely write.</v>
      </c>
    </row>
    <row r="4384" spans="1:9" x14ac:dyDescent="0.3">
      <c r="A4384" s="1" t="s">
        <v>111</v>
      </c>
      <c r="B4384" s="1" t="s">
        <v>112</v>
      </c>
      <c r="C4384" s="1" t="s">
        <v>1176</v>
      </c>
      <c r="D4384" s="1" t="s">
        <v>203</v>
      </c>
      <c r="E4384" s="1" t="s">
        <v>1909</v>
      </c>
      <c r="F4384" s="1" t="s">
        <v>7504</v>
      </c>
      <c r="G4384" s="1" t="s">
        <v>15</v>
      </c>
      <c r="H4384" s="1" t="s">
        <v>16</v>
      </c>
      <c r="I4384" s="1" t="str">
        <f ca="1">IFERROR(__xludf.DUMMYFUNCTION("GOOGLETRANSLATE(F4384, ""auto"", ""en"")
"),"Broke after about a year of use. I still don't understand how to disassemble the filter. There are no mounting screws.")</f>
        <v>Broke after about a year of use. I still don't understand how to disassemble the filter. There are no mounting screws.</v>
      </c>
    </row>
    <row r="4385" spans="1:9" x14ac:dyDescent="0.3">
      <c r="A4385" s="1" t="s">
        <v>369</v>
      </c>
      <c r="B4385" s="1" t="s">
        <v>370</v>
      </c>
      <c r="C4385" s="1" t="s">
        <v>290</v>
      </c>
      <c r="D4385" s="1" t="s">
        <v>7505</v>
      </c>
      <c r="E4385" s="1" t="s">
        <v>3231</v>
      </c>
      <c r="F4385" s="1" t="s">
        <v>7506</v>
      </c>
      <c r="G4385" s="1" t="s">
        <v>15</v>
      </c>
      <c r="H4385" s="1" t="s">
        <v>16</v>
      </c>
      <c r="I4385" s="1" t="str">
        <f ca="1">IFERROR(__xludf.DUMMYFUNCTION("GOOGLETRANSLATE(F4385, ""auto"", ""en"")
"),"Bought as a gift for my mother in August. Mom was delighted, but last week the surface of the slab cracked in three places and a piece of ceramic fell down. And now we sit and wait for an answer from the service center.")</f>
        <v>Bought as a gift for my mother in August. Mom was delighted, but last week the surface of the slab cracked in three places and a piece of ceramic fell down. And now we sit and wait for an answer from the service center.</v>
      </c>
    </row>
    <row r="4386" spans="1:9" x14ac:dyDescent="0.3">
      <c r="A4386" s="1" t="s">
        <v>169</v>
      </c>
      <c r="B4386" s="1" t="s">
        <v>170</v>
      </c>
      <c r="C4386" s="1" t="s">
        <v>97</v>
      </c>
      <c r="D4386" s="1" t="s">
        <v>568</v>
      </c>
      <c r="E4386" s="1" t="s">
        <v>1102</v>
      </c>
      <c r="F4386" s="1" t="s">
        <v>7507</v>
      </c>
      <c r="G4386" s="1" t="s">
        <v>36</v>
      </c>
      <c r="H4386" s="1" t="s">
        <v>29</v>
      </c>
      <c r="I4386" s="1" t="str">
        <f ca="1">IFERROR(__xludf.DUMMYFUNCTION("GOOGLETRANSLATE(F4386, ""auto"", ""en"")
"),"I had these, very good sound! But there is one drawback - without foam ear pads, they no longer sound so rich and do not stay in the ears well (I changed several ear pads during use). They lasted two years, but they broke due to my fault (I accidentally p"&amp;"ulled the wire too hard). The price is more than right, and they sound much more expensive.")</f>
        <v>I had these, very good sound! But there is one drawback - without foam ear pads, they no longer sound so rich and do not stay in the ears well (I changed several ear pads during use). They lasted two years, but they broke due to my fault (I accidentally pulled the wire too hard). The price is more than right, and they sound much more expensive.</v>
      </c>
    </row>
    <row r="4387" spans="1:9" x14ac:dyDescent="0.3">
      <c r="A4387" s="1" t="s">
        <v>105</v>
      </c>
      <c r="B4387" s="1" t="s">
        <v>106</v>
      </c>
      <c r="C4387" s="1" t="s">
        <v>1209</v>
      </c>
      <c r="D4387" s="1" t="s">
        <v>7508</v>
      </c>
      <c r="E4387" s="1" t="s">
        <v>7372</v>
      </c>
      <c r="F4387" s="1" t="s">
        <v>7509</v>
      </c>
      <c r="G4387" s="1" t="s">
        <v>36</v>
      </c>
      <c r="H4387" s="1" t="s">
        <v>29</v>
      </c>
      <c r="I4387" s="1" t="str">
        <f ca="1">IFERROR(__xludf.DUMMYFUNCTION("GOOGLETRANSLATE(F4387, ""auto"", ""en"")
"),"Explay T7 is simply an amazing player! I have never regretted purchasing it!")</f>
        <v>Explay T7 is simply an amazing player! I have never regretted purchasing it!</v>
      </c>
    </row>
    <row r="4388" spans="1:9" x14ac:dyDescent="0.3">
      <c r="A4388" s="1" t="s">
        <v>61</v>
      </c>
      <c r="B4388" s="1" t="s">
        <v>224</v>
      </c>
      <c r="C4388" s="1" t="s">
        <v>246</v>
      </c>
      <c r="D4388" s="1" t="s">
        <v>75</v>
      </c>
      <c r="E4388" s="1" t="s">
        <v>559</v>
      </c>
      <c r="F4388" s="1" t="s">
        <v>7510</v>
      </c>
      <c r="G4388" s="1" t="s">
        <v>36</v>
      </c>
      <c r="H4388" s="1" t="s">
        <v>29</v>
      </c>
      <c r="I4388" s="1" t="str">
        <f ca="1">IFERROR(__xludf.DUMMYFUNCTION("GOOGLETRANSLATE(F4388, ""auto"", ""en"")
"),"We have been using this juicer for 3 years now. I am satisfied, the only thing is that the fastening has fallen off, but I have adjusted without it. It is compact and easy to clean. Plus, you can squeeze citrus fruits.")</f>
        <v>We have been using this juicer for 3 years now. I am satisfied, the only thing is that the fastening has fallen off, but I have adjusted without it. It is compact and easy to clean. Plus, you can squeeze citrus fruits.</v>
      </c>
    </row>
    <row r="4389" spans="1:9" x14ac:dyDescent="0.3">
      <c r="A4389" s="1" t="s">
        <v>111</v>
      </c>
      <c r="B4389" s="1" t="s">
        <v>636</v>
      </c>
      <c r="C4389" s="1" t="s">
        <v>637</v>
      </c>
      <c r="D4389" s="1" t="s">
        <v>52</v>
      </c>
      <c r="E4389" s="1" t="s">
        <v>563</v>
      </c>
      <c r="F4389" s="1" t="s">
        <v>7511</v>
      </c>
      <c r="G4389" s="1" t="s">
        <v>15</v>
      </c>
      <c r="H4389" s="1" t="s">
        <v>16</v>
      </c>
      <c r="I4389" s="1" t="str">
        <f ca="1">IFERROR(__xludf.DUMMYFUNCTION("GOOGLETRANSLATE(F4389, ""auto"", ""en"")
"),"The station is not bad if it works properly. Large numbers, stable time synchronization. Fairly accurate weather forecast and temperature readings. But the same problem as Katerina. After four months of operation, the station began to show room humidity o"&amp;"f 2%, and these are serious complaints about the quality of the device.")</f>
        <v>The station is not bad if it works properly. Large numbers, stable time synchronization. Fairly accurate weather forecast and temperature readings. But the same problem as Katerina. After four months of operation, the station began to show room humidity of 2%, and these are serious complaints about the quality of the device.</v>
      </c>
    </row>
    <row r="4390" spans="1:9" x14ac:dyDescent="0.3">
      <c r="A4390" s="1" t="s">
        <v>477</v>
      </c>
      <c r="B4390" s="1" t="s">
        <v>478</v>
      </c>
      <c r="C4390" s="1" t="s">
        <v>479</v>
      </c>
      <c r="D4390" s="1" t="s">
        <v>280</v>
      </c>
      <c r="E4390" s="1" t="s">
        <v>1738</v>
      </c>
      <c r="F4390" s="1" t="s">
        <v>7512</v>
      </c>
      <c r="G4390" s="1" t="s">
        <v>36</v>
      </c>
      <c r="H4390" s="1" t="s">
        <v>29</v>
      </c>
      <c r="I4390" s="1" t="str">
        <f ca="1">IFERROR(__xludf.DUMMYFUNCTION("GOOGLETRANSLATE(F4390, ""auto"", ""en"")
"),"The first time I launched this disc, I could not expect such a miracle from this game!     It literally pulled me in with its dynamics, well drawn, excellent controls to choose from, old like on SEGA, two pass/kick buttons, and multi-level, where many but"&amp;"tons are involved.     The game is even more interesting when you play with friends, you can organize entire tournaments.       An excellent choice for all ages.")</f>
        <v>The first time I launched this disc, I could not expect such a miracle from this game!     It literally pulled me in with its dynamics, well drawn, excellent controls to choose from, old like on SEGA, two pass/kick buttons, and multi-level, where many buttons are involved.     The game is even more interesting when you play with friends, you can organize entire tournaments.       An excellent choice for all ages.</v>
      </c>
    </row>
    <row r="4391" spans="1:9" x14ac:dyDescent="0.3">
      <c r="A4391" s="1" t="s">
        <v>120</v>
      </c>
      <c r="B4391" s="1" t="s">
        <v>121</v>
      </c>
      <c r="C4391" s="1" t="s">
        <v>97</v>
      </c>
      <c r="D4391" s="1" t="s">
        <v>75</v>
      </c>
      <c r="E4391" s="1" t="s">
        <v>529</v>
      </c>
      <c r="F4391" s="1" t="s">
        <v>7513</v>
      </c>
      <c r="G4391" s="1" t="s">
        <v>36</v>
      </c>
      <c r="H4391" s="1" t="s">
        <v>29</v>
      </c>
      <c r="I4391" s="1" t="str">
        <f ca="1">IFERROR(__xludf.DUMMYFUNCTION("GOOGLETRANSLATE(F4391, ""auto"", ""en"")
"),"The TV is simply super, the image quality is great, the sound is clear, it plays movies perfectly from a flash drive, I really like it, I don’t regret purchasing it.")</f>
        <v>The TV is simply super, the image quality is great, the sound is clear, it plays movies perfectly from a flash drive, I really like it, I don’t regret purchasing it.</v>
      </c>
    </row>
    <row r="4392" spans="1:9" x14ac:dyDescent="0.3">
      <c r="A4392" s="1" t="s">
        <v>61</v>
      </c>
      <c r="B4392" s="1" t="s">
        <v>180</v>
      </c>
      <c r="C4392" s="1" t="s">
        <v>101</v>
      </c>
      <c r="D4392" s="1" t="s">
        <v>7514</v>
      </c>
      <c r="E4392" s="1" t="s">
        <v>1034</v>
      </c>
      <c r="F4392" s="1" t="s">
        <v>7515</v>
      </c>
      <c r="G4392" s="1" t="s">
        <v>28</v>
      </c>
      <c r="H4392" s="1" t="s">
        <v>29</v>
      </c>
      <c r="I4392" s="1" t="str">
        <f ca="1">IFERROR(__xludf.DUMMYFUNCTION("GOOGLETRANSLATE(F4392, ""auto"", ""en"")
"),"I “gifted” myself a sandwich maker for my birthday and have never regretted it) now my favorite sandwiches turn out much tastier and more interesting. It bakes everything perfectly, the cheese does not leak out, but remains melted inside the sandwich... D"&amp;"elicious. Even with the first uses, I didn’t feel any strange tastes. I’ve been using it for a long time and often - there were no problems, and the price is quite reasonable.")</f>
        <v>I “gifted” myself a sandwich maker for my birthday and have never regretted it) now my favorite sandwiches turn out much tastier and more interesting. It bakes everything perfectly, the cheese does not leak out, but remains melted inside the sandwich... Delicious. Even with the first uses, I didn’t feel any strange tastes. I’ve been using it for a long time and often - there were no problems, and the price is quite reasonable.</v>
      </c>
    </row>
    <row r="4393" spans="1:9" x14ac:dyDescent="0.3">
      <c r="A4393" s="1" t="s">
        <v>61</v>
      </c>
      <c r="B4393" s="1" t="s">
        <v>977</v>
      </c>
      <c r="C4393" s="1" t="s">
        <v>246</v>
      </c>
      <c r="D4393" s="1" t="s">
        <v>2412</v>
      </c>
      <c r="E4393" s="1" t="s">
        <v>5013</v>
      </c>
      <c r="F4393" s="1" t="s">
        <v>7516</v>
      </c>
      <c r="G4393" s="1" t="s">
        <v>15</v>
      </c>
      <c r="H4393" s="1" t="s">
        <v>16</v>
      </c>
      <c r="I4393" s="1" t="str">
        <f ca="1">IFERROR(__xludf.DUMMYFUNCTION("GOOGLETRANSLATE(F4393, ""auto"", ""en"")
"),"Not very happy with this blender. We bought it at the beginning of August of that year, and already in January the thread was demolished, the power is also not enough. I really love Tefal equipment, but I don’t advise anyone to buy this model.")</f>
        <v>Not very happy with this blender. We bought it at the beginning of August of that year, and already in January the thread was demolished, the power is also not enough. I really love Tefal equipment, but I don’t advise anyone to buy this model.</v>
      </c>
    </row>
    <row r="4394" spans="1:9" x14ac:dyDescent="0.3">
      <c r="A4394" s="1" t="s">
        <v>95</v>
      </c>
      <c r="B4394" s="1" t="s">
        <v>227</v>
      </c>
      <c r="C4394" s="1" t="s">
        <v>97</v>
      </c>
      <c r="D4394" s="1" t="s">
        <v>7517</v>
      </c>
      <c r="E4394" s="1" t="s">
        <v>5241</v>
      </c>
      <c r="F4394" s="1" t="s">
        <v>7518</v>
      </c>
      <c r="G4394" s="1" t="s">
        <v>36</v>
      </c>
      <c r="H4394" s="1" t="s">
        <v>29</v>
      </c>
      <c r="I4394" s="1" t="str">
        <f ca="1">IFERROR(__xludf.DUMMYFUNCTION("GOOGLETRANSLATE(F4394, ""auto"", ""en"")
"),"PS3 is a very cool console!!! In my opinion, even the best! I especially like the PS Move motion controller for PS3!!!")</f>
        <v>PS3 is a very cool console!!! In my opinion, even the best! I especially like the PS Move motion controller for PS3!!!</v>
      </c>
    </row>
    <row r="4395" spans="1:9" x14ac:dyDescent="0.3">
      <c r="A4395" s="1" t="s">
        <v>61</v>
      </c>
      <c r="B4395" s="1" t="s">
        <v>977</v>
      </c>
      <c r="C4395" s="1" t="s">
        <v>85</v>
      </c>
      <c r="D4395" s="1" t="s">
        <v>64</v>
      </c>
      <c r="E4395" s="1" t="s">
        <v>2000</v>
      </c>
      <c r="F4395" s="1" t="s">
        <v>7519</v>
      </c>
      <c r="G4395" s="1" t="s">
        <v>36</v>
      </c>
      <c r="H4395" s="1" t="s">
        <v>29</v>
      </c>
      <c r="I4395" s="1" t="str">
        <f ca="1">IFERROR(__xludf.DUMMYFUNCTION("GOOGLETRANSLATE(F4395, ""auto"", ""en"")
"),"To be honest, I didn’t want to write a review, I was afraid to jinx my new favorite. But since I myself had to be guided by only two previous reviews when choosing Bork (by the way, thank you very much to them, I believed them and did not regret it), I de"&amp;"cided to still make my contribution and try to help those who have not yet decided on the choice of such a unit. I put this mixer on a par with the best inventions of mankind to help housewives, such as: washing machines and dishwashers, electric meat gri"&amp;"nders and robot vacuum cleaners. Why? Simply because they do all the dirty and hard work for you! So, let's look at BORK! To begin with, according to all documents, the guarantee is not for 3 years, but for 5! Does this mean anything to you? It means a lo"&amp;"t to me. Further: it works really quietly. A real find for a nocturnal spy like me. Sometimes I have this urge to cook at night, and now I know for sure that I won’t wake anyone up, even with the door to the kitchen open. In fact, I like to tinker with do"&amp;"ugh, any dough. But the most unpleasant work for me is the initial stage of kneading, when the liquid and flour turn into a viscous, sticky mass, which is applied to everything, both hands and bowl. You mix the dough on the table, so that he, the table, a"&amp;"lso gets a piece of the “beast”. Washing and picking this whole thing out from under your nails, as everyone knows, is just as unpleasant as kneading fatty minced meat by hand. By the way, about minced meat: it is perfectly kneaded with a mixer using the "&amp;"“Culinary” attachment at low speed. Then put the attachment and bowl in the dishwasher and goodbye. Handles are clean. The hook kneads dough of any hardness, even for ravioli and noodles, which is prepared using eggs alone and has the consistency of stone"&amp;" before proofing. At the same time, it somehow manages to leave the bowl almost clean. After kneading, I do not remove the yeast dough from the bowl, but, having only lightly crushed it, cover the bowl with a plate and put it in the oven at 35 degrees to "&amp;"rise. Very convenient, no need to dirty extra dishes. But my favorite attachment is “Confectioner”. It is designed in such a way that it fits closely to the walls of the bowl and, as it were, scrapes off the entire mixture from them, leaving no chance for"&amp;" it to be poorly mixed. Perfect for soft dough: biscuit, cake, and of course shortbread with sour cream. By the way, we don’t touch the latter either with our hands, we just dump it onto cellophane with a spatula, wrap it in the refrigerator. Well, the ap"&amp;"otheosis of my experimental activity was meringue. I would like to immediately reassure those who have not yet decided to buy such a machine, having read unflattering reviews from owners of mixer-combines of other brands about the too large volume of the "&amp;"bowl, because of which I quote: “Beating less than 4 eggs is not realistic!” So, my Borchik perfectly whipped meringue from two egg whites! I thought the whisk wouldn’t reach them. Nothing like that, where would he go? It turned out to be 10 fairly large "&amp;"bezes.  In general, I didn’t knead and beat everything. Happy as a monkey on a pile of bananas. We don’t buy bread anymore; sweet or not sweet baked goods are practically unheard of in the house. Shortbread chicken pie or with potatoes and mushrooms, for "&amp;"breakfast or just for a snack, is much tastier than a sandwich with unknown sausage made from something. Really, right? I would recommend this mixer to my mother, and I won’t give her anything bad. Only the best!   But to whom I would NOT advise buying th"&amp;"is mixer are those who do not really like fiddling with dough, but find pleasure in other things. Don’t waste your time and money on it in the hope that you will suddenly become passionate about homemade pastries, dumplings, etc. Play for a week and it wi"&amp;"ll sit gathering dust. Or you could spend this considerable amount on something more useful and necessary for you. This mixer should not stand. It should work. After all, he is a real hard worker! And we have complete love and mutual understanding. He mak"&amp;"es my life easier, and I adore him for it!")</f>
        <v>To be honest, I didn’t want to write a review, I was afraid to jinx my new favorite. But since I myself had to be guided by only two previous reviews when choosing Bork (by the way, thank you very much to them, I believed them and did not regret it), I decided to still make my contribution and try to help those who have not yet decided on the choice of such a unit. I put this mixer on a par with the best inventions of mankind to help housewives, such as: washing machines and dishwashers, electric meat grinders and robot vacuum cleaners. Why? Simply because they do all the dirty and hard work for you! So, let's look at BORK! To begin with, according to all documents, the guarantee is not for 3 years, but for 5! Does this mean anything to you? It means a lot to me. Further: it works really quietly. A real find for a nocturnal spy like me. Sometimes I have this urge to cook at night, and now I know for sure that I won’t wake anyone up, even with the door to the kitchen open. In fact, I like to tinker with dough, any dough. But the most unpleasant work for me is the initial stage of kneading, when the liquid and flour turn into a viscous, sticky mass, which is applied to everything, both hands and bowl. You mix the dough on the table, so that he, the table, also gets a piece of the “beast”. Washing and picking this whole thing out from under your nails, as everyone knows, is just as unpleasant as kneading fatty minced meat by hand. By the way, about minced meat: it is perfectly kneaded with a mixer using the “Culinary” attachment at low speed. Then put the attachment and bowl in the dishwasher and goodbye. Handles are clean. The hook kneads dough of any hardness, even for ravioli and noodles, which is prepared using eggs alone and has the consistency of stone before proofing. At the same time, it somehow manages to leave the bowl almost clean. After kneading, I do not remove the yeast dough from the bowl, but, having only lightly crushed it, cover the bowl with a plate and put it in the oven at 35 degrees to rise. Very convenient, no need to dirty extra dishes. But my favorite attachment is “Confectioner”. It is designed in such a way that it fits closely to the walls of the bowl and, as it were, scrapes off the entire mixture from them, leaving no chance for it to be poorly mixed. Perfect for soft dough: biscuit, cake, and of course shortbread with sour cream. By the way, we don’t touch the latter either with our hands, we just dump it onto cellophane with a spatula, wrap it in the refrigerator. Well, the apotheosis of my experimental activity was meringue. I would like to immediately reassure those who have not yet decided to buy such a machine, having read unflattering reviews from owners of mixer-combines of other brands about the too large volume of the bowl, because of which I quote: “Beating less than 4 eggs is not realistic!” So, my Borchik perfectly whipped meringue from two egg whites! I thought the whisk wouldn’t reach them. Nothing like that, where would he go? It turned out to be 10 fairly large bezes.  In general, I didn’t knead and beat everything. Happy as a monkey on a pile of bananas. We don’t buy bread anymore; sweet or not sweet baked goods are practically unheard of in the house. Shortbread chicken pie or with potatoes and mushrooms, for breakfast or just for a snack, is much tastier than a sandwich with unknown sausage made from something. Really, right? I would recommend this mixer to my mother, and I won’t give her anything bad. Only the best!   But to whom I would NOT advise buying this mixer are those who do not really like fiddling with dough, but find pleasure in other things. Don’t waste your time and money on it in the hope that you will suddenly become passionate about homemade pastries, dumplings, etc. Play for a week and it will sit gathering dust. Or you could spend this considerable amount on something more useful and necessary for you. This mixer should not stand. It should work. After all, he is a real hard worker! And we have complete love and mutual understanding. He makes my life easier, and I adore him for it!</v>
      </c>
    </row>
    <row r="4396" spans="1:9" x14ac:dyDescent="0.3">
      <c r="A4396" s="1" t="s">
        <v>149</v>
      </c>
      <c r="B4396" s="1" t="s">
        <v>155</v>
      </c>
      <c r="C4396" s="1" t="s">
        <v>80</v>
      </c>
      <c r="D4396" s="1" t="s">
        <v>247</v>
      </c>
      <c r="E4396" s="1" t="s">
        <v>3469</v>
      </c>
      <c r="F4396" s="1" t="s">
        <v>7520</v>
      </c>
      <c r="G4396" s="1" t="s">
        <v>36</v>
      </c>
      <c r="H4396" s="1" t="s">
        <v>29</v>
      </c>
      <c r="I4396" s="1" t="str">
        <f ca="1">IFERROR(__xludf.DUMMYFUNCTION("GOOGLETRANSLATE(F4396, ""auto"", ""en"")
"),"We spent a long time choosing a vacuum cleaner without a dust bag and settled on this one. Bought. Pros: the turbo brush for cleaning the carpet was impressive, the nozzle for knocking dust out of blankets and mattresses also does its job perfectly, the m"&amp;"aneuverability of the vacuum cleaner is good, the power regulator on the handle is very convenient, the power of the vacuum cleaner is excellent. Despite the fact that the apartment had been thoroughly cleaned the day before, this vacuum cleaner managed t"&amp;"o collect enough dust, especially from the carpet and from 2 blankets! It is very easy to throw out garbage and all that remains is to rinse the container to remove the finest dust. There is no smell when cleaning, as when working with a conventional vacu"&amp;"um cleaner. The design of the vacuum cleaner is pleasant, the dimensions are normal. Cons: heavier than a regular bagged vacuum cleaner, somewhat overpriced. No other disadvantages have been identified yet. So far we're happy.")</f>
        <v>We spent a long time choosing a vacuum cleaner without a dust bag and settled on this one. Bought. Pros: the turbo brush for cleaning the carpet was impressive, the nozzle for knocking dust out of blankets and mattresses also does its job perfectly, the maneuverability of the vacuum cleaner is good, the power regulator on the handle is very convenient, the power of the vacuum cleaner is excellent. Despite the fact that the apartment had been thoroughly cleaned the day before, this vacuum cleaner managed to collect enough dust, especially from the carpet and from 2 blankets! It is very easy to throw out garbage and all that remains is to rinse the container to remove the finest dust. There is no smell when cleaning, as when working with a conventional vacuum cleaner. The design of the vacuum cleaner is pleasant, the dimensions are normal. Cons: heavier than a regular bagged vacuum cleaner, somewhat overpriced. No other disadvantages have been identified yet. So far we're happy.</v>
      </c>
    </row>
    <row r="4397" spans="1:9" x14ac:dyDescent="0.3">
      <c r="A4397" s="1" t="s">
        <v>105</v>
      </c>
      <c r="B4397" s="1" t="s">
        <v>106</v>
      </c>
      <c r="C4397" s="1" t="s">
        <v>1209</v>
      </c>
      <c r="D4397" s="1" t="s">
        <v>305</v>
      </c>
      <c r="E4397" s="1" t="s">
        <v>634</v>
      </c>
      <c r="F4397" s="1" t="s">
        <v>7521</v>
      </c>
      <c r="G4397" s="1" t="s">
        <v>36</v>
      </c>
      <c r="H4397" s="1" t="s">
        <v>29</v>
      </c>
      <c r="I4397" s="1" t="str">
        <f ca="1">IFERROR(__xludf.DUMMYFUNCTION("GOOGLETRANSLATE(F4397, ""auto"", ""en"")
"),"I bought it, I walk around the city and am happy! I don’t know about anyone, but my radio is a solid four (even closer to a five). I’m pleased with the large number of hours of operation without charging (up to 20 hours)! There is one small minus - some s"&amp;"ongs cannot be played (it says to me that the song format is not supported), but it is small, because... Most songs play perfectly. In general, I like this player and I recommend it to those people who just want to walk or drive and enjoy music!")</f>
        <v>I bought it, I walk around the city and am happy! I don’t know about anyone, but my radio is a solid four (even closer to a five). I’m pleased with the large number of hours of operation without charging (up to 20 hours)! There is one small minus - some songs cannot be played (it says to me that the song format is not supported), but it is small, because... Most songs play perfectly. In general, I like this player and I recommend it to those people who just want to walk or drive and enjoy music!</v>
      </c>
    </row>
    <row r="4398" spans="1:9" x14ac:dyDescent="0.3">
      <c r="A4398" s="1" t="s">
        <v>120</v>
      </c>
      <c r="B4398" s="1" t="s">
        <v>196</v>
      </c>
      <c r="C4398" s="1" t="s">
        <v>69</v>
      </c>
      <c r="D4398" s="1" t="s">
        <v>1681</v>
      </c>
      <c r="E4398" s="1" t="s">
        <v>2815</v>
      </c>
      <c r="F4398" s="1" t="s">
        <v>7522</v>
      </c>
      <c r="G4398" s="1" t="s">
        <v>36</v>
      </c>
      <c r="H4398" s="1" t="s">
        <v>29</v>
      </c>
      <c r="I4398" s="1" t="str">
        <f ca="1">IFERROR(__xludf.DUMMYFUNCTION("GOOGLETRANSLATE(F4398, ""auto"", ""en"")
"),"I can say about TV - I’m very pleased, the quality is really impressive")</f>
        <v>I can say about TV - I’m very pleased, the quality is really impressive</v>
      </c>
    </row>
    <row r="4399" spans="1:9" x14ac:dyDescent="0.3">
      <c r="A4399" s="1" t="s">
        <v>61</v>
      </c>
      <c r="B4399" s="1" t="s">
        <v>180</v>
      </c>
      <c r="C4399" s="1" t="s">
        <v>63</v>
      </c>
      <c r="D4399" s="1" t="s">
        <v>1825</v>
      </c>
      <c r="E4399" s="1" t="s">
        <v>494</v>
      </c>
      <c r="F4399" s="1" t="s">
        <v>7523</v>
      </c>
      <c r="G4399" s="1" t="s">
        <v>36</v>
      </c>
      <c r="H4399" s="1" t="s">
        <v>29</v>
      </c>
      <c r="I4399" s="1" t="str">
        <f ca="1">IFERROR(__xludf.DUMMYFUNCTION("GOOGLETRANSLATE(F4399, ""auto"", ""en"")
"),"I purchased this toaster in June and did not regret it. It completely met my hopes)))) My husband is absolutely delighted; now he doesn’t want to eat untoasted bread. We regret that we didn’t buy it earlier, because... This is our first toaster. The slice"&amp;"s turn out crispy, soft inside, mode 4 is quite enough, the only drawback that you need to get used to is the loud bang when the bread is ready. I highly recommend it!!!!")</f>
        <v>I purchased this toaster in June and did not regret it. It completely met my hopes)))) My husband is absolutely delighted; now he doesn’t want to eat untoasted bread. We regret that we didn’t buy it earlier, because... This is our first toaster. The slices turn out crispy, soft inside, mode 4 is quite enough, the only drawback that you need to get used to is the loud bang when the bread is ready. I highly recommend it!!!!</v>
      </c>
    </row>
    <row r="4400" spans="1:9" x14ac:dyDescent="0.3">
      <c r="A4400" s="1" t="s">
        <v>30</v>
      </c>
      <c r="B4400" s="1" t="s">
        <v>50</v>
      </c>
      <c r="C4400" s="1" t="s">
        <v>694</v>
      </c>
      <c r="D4400" s="1" t="s">
        <v>102</v>
      </c>
      <c r="E4400" s="1" t="s">
        <v>2780</v>
      </c>
      <c r="F4400" s="1" t="s">
        <v>7524</v>
      </c>
      <c r="G4400" s="1" t="s">
        <v>28</v>
      </c>
      <c r="H4400" s="1" t="s">
        <v>29</v>
      </c>
      <c r="I4400" s="1" t="str">
        <f ca="1">IFERROR(__xludf.DUMMYFUNCTION("GOOGLETRANSLATE(F4400, ""auto"", ""en"")
"),"The laptop is excellent, productive and cheap. It's a pity that all the drivers are only available for Windows 7, so I had to stick with it. And I replaced Windows 7 Starter, because... it does not support many functions, including changing the desktop ba"&amp;"ckground, but I replaced it with Win 7 maximum and everything is fine ;) Quite satisfied with the purchase.")</f>
        <v>The laptop is excellent, productive and cheap. It's a pity that all the drivers are only available for Windows 7, so I had to stick with it. And I replaced Windows 7 Starter, because... it does not support many functions, including changing the desktop background, but I replaced it with Win 7 maximum and everything is fine ;) Quite satisfied with the purchase.</v>
      </c>
    </row>
    <row r="4401" spans="1:9" x14ac:dyDescent="0.3">
      <c r="A4401" s="1" t="s">
        <v>61</v>
      </c>
      <c r="B4401" s="1" t="s">
        <v>318</v>
      </c>
      <c r="C4401" s="1" t="s">
        <v>57</v>
      </c>
      <c r="D4401" s="1" t="s">
        <v>152</v>
      </c>
      <c r="E4401" s="1" t="s">
        <v>1428</v>
      </c>
      <c r="F4401" s="1" t="s">
        <v>7525</v>
      </c>
      <c r="G4401" s="1" t="s">
        <v>36</v>
      </c>
      <c r="H4401" s="1" t="s">
        <v>29</v>
      </c>
      <c r="I4401" s="1" t="str">
        <f ca="1">IFERROR(__xludf.DUMMYFUNCTION("GOOGLETRANSLATE(F4401, ""auto"", ""en"")
"),"The thermopot has a nice shape, high-quality plastic, a well-functioning pump (the button looks and feels quite durable and solid, I think it will last a long time). Easy to control. Overall no complaints. Maintains water temperature for a long time and d"&amp;"oes not leak. It looks good on its own. The only complaint is that it is temporary. At first, like many people, there was a slight smell of plastic in the water. Quite unnoticeable, but still felt. I had to use 2 or 3 heats, then the smell disappeared. Th"&amp;"ey didn’t do anything extra for this - like people clean with soda or lemon. It went away on its own, we just boiled the water a couple of times and threw it away.")</f>
        <v>The thermopot has a nice shape, high-quality plastic, a well-functioning pump (the button looks and feels quite durable and solid, I think it will last a long time). Easy to control. Overall no complaints. Maintains water temperature for a long time and does not leak. It looks good on its own. The only complaint is that it is temporary. At first, like many people, there was a slight smell of plastic in the water. Quite unnoticeable, but still felt. I had to use 2 or 3 heats, then the smell disappeared. They didn’t do anything extra for this - like people clean with soda or lemon. It went away on its own, we just boiled the water a couple of times and threw it away.</v>
      </c>
    </row>
    <row r="4402" spans="1:9" x14ac:dyDescent="0.3">
      <c r="A4402" s="1" t="s">
        <v>17</v>
      </c>
      <c r="B4402" s="1" t="s">
        <v>18</v>
      </c>
      <c r="C4402" s="1" t="s">
        <v>138</v>
      </c>
      <c r="D4402" s="1" t="s">
        <v>295</v>
      </c>
      <c r="E4402" s="1" t="s">
        <v>3600</v>
      </c>
      <c r="F4402" s="1" t="s">
        <v>7526</v>
      </c>
      <c r="G4402" s="1" t="s">
        <v>36</v>
      </c>
      <c r="H4402" s="1" t="s">
        <v>29</v>
      </c>
      <c r="I4402" s="1" t="str">
        <f ca="1">IFERROR(__xludf.DUMMYFUNCTION("GOOGLETRANSLATE(F4402, ""auto"", ""en"")
"),"...in my opinion, it’s not a matter of price or the manufacturer’s company, any machine can break on the second day or... after many years! It’s like playing roulette - you’ll be lucky or unlucky)) I’m happy with this machine so far, I wash it almost ever"&amp;"y other day. It washes well, but during the spin cycle it makes a little noise, but what machine can spin silently?! And most importantly, the price is reasonable.")</f>
        <v>...in my opinion, it’s not a matter of price or the manufacturer’s company, any machine can break on the second day or... after many years! It’s like playing roulette - you’ll be lucky or unlucky)) I’m happy with this machine so far, I wash it almost every other day. It washes well, but during the spin cycle it makes a little noise, but what machine can spin silently?! And most importantly, the price is reasonable.</v>
      </c>
    </row>
    <row r="4403" spans="1:9" x14ac:dyDescent="0.3">
      <c r="A4403" s="1" t="s">
        <v>17</v>
      </c>
      <c r="B4403" s="1" t="s">
        <v>18</v>
      </c>
      <c r="C4403" s="1" t="s">
        <v>19</v>
      </c>
      <c r="D4403" s="1" t="s">
        <v>308</v>
      </c>
      <c r="E4403" s="1" t="s">
        <v>708</v>
      </c>
      <c r="F4403" s="1" t="s">
        <v>7527</v>
      </c>
      <c r="G4403" s="1" t="s">
        <v>36</v>
      </c>
      <c r="H4403" s="1" t="s">
        <v>29</v>
      </c>
      <c r="I4403" s="1" t="str">
        <f ca="1">IFERROR(__xludf.DUMMYFUNCTION("GOOGLETRANSLATE(F4403, ""auto"", ""en"")
"),"We've been using the machine for almost a month and have no complaints. It works quite quietly, is a little noisy during the spin cycle, and is practically inaudible when the door is closed. Lots of programs, washes well and also rinses. Childproofing hel"&amp;"ps a lot. We are very pleased.")</f>
        <v>We've been using the machine for almost a month and have no complaints. It works quite quietly, is a little noisy during the spin cycle, and is practically inaudible when the door is closed. Lots of programs, washes well and also rinses. Childproofing helps a lot. We are very pleased.</v>
      </c>
    </row>
    <row r="4404" spans="1:9" x14ac:dyDescent="0.3">
      <c r="A4404" s="1" t="s">
        <v>30</v>
      </c>
      <c r="B4404" s="1" t="s">
        <v>31</v>
      </c>
      <c r="C4404" s="1" t="s">
        <v>365</v>
      </c>
      <c r="D4404" s="1" t="s">
        <v>305</v>
      </c>
      <c r="E4404" s="1" t="s">
        <v>1457</v>
      </c>
      <c r="F4404" s="1" t="s">
        <v>7528</v>
      </c>
      <c r="G4404" s="1" t="s">
        <v>49</v>
      </c>
      <c r="H4404" s="1" t="s">
        <v>16</v>
      </c>
      <c r="I4404" s="1" t="str">
        <f ca="1">IFERROR(__xludf.DUMMYFUNCTION("GOOGLETRANSLATE(F4404, ""auto"", ""en"")
"),"Miracles will begin immediately, at first WIN7, installed there by default, will freeze, then, when you install Win XP, you will not find drivers for compatibility with this miracle of technology, or rather, they will not fit. They will offer you to take "&amp;"your brand new computer to the service center at your own expense, of course, and they will also tell you that there was no point in changing Win7 to WinXP and that it is your own fault. In general, if you want to diversify your life, buy a domestic compu"&amp;"ter!!!!")</f>
        <v>Miracles will begin immediately, at first WIN7, installed there by default, will freeze, then, when you install Win XP, you will not find drivers for compatibility with this miracle of technology, or rather, they will not fit. They will offer you to take your brand new computer to the service center at your own expense, of course, and they will also tell you that there was no point in changing Win7 to WinXP and that it is your own fault. In general, if you want to diversify your life, buy a domestic computer!!!!</v>
      </c>
    </row>
    <row r="4405" spans="1:9" x14ac:dyDescent="0.3">
      <c r="A4405" s="1" t="s">
        <v>149</v>
      </c>
      <c r="B4405" s="1" t="s">
        <v>155</v>
      </c>
      <c r="C4405" s="1" t="s">
        <v>63</v>
      </c>
      <c r="D4405" s="1" t="s">
        <v>589</v>
      </c>
      <c r="E4405" s="1" t="s">
        <v>5561</v>
      </c>
      <c r="F4405" s="1" t="s">
        <v>7529</v>
      </c>
      <c r="G4405" s="1" t="s">
        <v>36</v>
      </c>
      <c r="H4405" s="1" t="s">
        <v>29</v>
      </c>
      <c r="I4405" s="1" t="str">
        <f ca="1">IFERROR(__xludf.DUMMYFUNCTION("GOOGLETRANSLATE(F4405, ""auto"", ""en"")
"),"My husband and I were recommended this vacuum cleaner by a consultant. And I am very grateful to him. During the first cleaning, all the carpeting and upholstered furniture in the house raised the pile and began to look like new. Thanks to the set of atta"&amp;"chments, there is no need for any additional detergents or unnecessary moving of furniture, since the telescopic tube together with the crevice nozzle can reach everywhere. At the same time, it is a very spacious container, which is enough to rinse, rathe"&amp;"r than changing dirty dust bags. And, most importantly, the air in the house remains fresh and clean, thanks to the HEPA filter, which is also washable.")</f>
        <v>My husband and I were recommended this vacuum cleaner by a consultant. And I am very grateful to him. During the first cleaning, all the carpeting and upholstered furniture in the house raised the pile and began to look like new. Thanks to the set of attachments, there is no need for any additional detergents or unnecessary moving of furniture, since the telescopic tube together with the crevice nozzle can reach everywhere. At the same time, it is a very spacious container, which is enough to rinse, rather than changing dirty dust bags. And, most importantly, the air in the house remains fresh and clean, thanks to the HEPA filter, which is also washable.</v>
      </c>
    </row>
    <row r="4406" spans="1:9" x14ac:dyDescent="0.3">
      <c r="A4406" s="1" t="s">
        <v>61</v>
      </c>
      <c r="B4406" s="1" t="s">
        <v>318</v>
      </c>
      <c r="C4406" s="1" t="s">
        <v>57</v>
      </c>
      <c r="D4406" s="1" t="s">
        <v>1241</v>
      </c>
      <c r="E4406" s="1" t="s">
        <v>7530</v>
      </c>
      <c r="F4406" s="1" t="s">
        <v>7531</v>
      </c>
      <c r="G4406" s="1" t="s">
        <v>36</v>
      </c>
      <c r="H4406" s="1" t="s">
        <v>29</v>
      </c>
      <c r="I4406" s="1" t="str">
        <f ca="1">IFERROR(__xludf.DUMMYFUNCTION("GOOGLETRANSLATE(F4406, ""auto"", ""en"")
"),"Cool, comfortable, stylish. The price corresponds to the quality. Fast heating, excellent displacement")</f>
        <v>Cool, comfortable, stylish. The price corresponds to the quality. Fast heating, excellent displacement</v>
      </c>
    </row>
    <row r="4407" spans="1:9" x14ac:dyDescent="0.3">
      <c r="A4407" s="1" t="s">
        <v>149</v>
      </c>
      <c r="B4407" s="1" t="s">
        <v>155</v>
      </c>
      <c r="C4407" s="1" t="s">
        <v>159</v>
      </c>
      <c r="D4407" s="1" t="s">
        <v>589</v>
      </c>
      <c r="E4407" s="1" t="s">
        <v>176</v>
      </c>
      <c r="F4407" s="1" t="s">
        <v>7532</v>
      </c>
      <c r="G4407" s="1" t="s">
        <v>36</v>
      </c>
      <c r="H4407" s="1" t="s">
        <v>29</v>
      </c>
      <c r="I4407" s="1" t="str">
        <f ca="1">IFERROR(__xludf.DUMMYFUNCTION("GOOGLETRANSLATE(F4407, ""auto"", ""en"")
"),"Have you seen a vacuum cleaner that will effectively suck when the filters are clogged?    Vacuum cleaners with a container are designed for floors. if you use it to vacuum carpets, rugs, etc. It won't vacuum for you. The filter will become clogged; the v"&amp;"acuum cleaner is excellent. There are no complaints or complaints about him.")</f>
        <v>Have you seen a vacuum cleaner that will effectively suck when the filters are clogged?    Vacuum cleaners with a container are designed for floors. if you use it to vacuum carpets, rugs, etc. It won't vacuum for you. The filter will become clogged; the vacuum cleaner is excellent. There are no complaints or complaints about him.</v>
      </c>
    </row>
    <row r="4408" spans="1:9" x14ac:dyDescent="0.3">
      <c r="A4408" s="1" t="s">
        <v>105</v>
      </c>
      <c r="B4408" s="1" t="s">
        <v>106</v>
      </c>
      <c r="C4408" s="1" t="s">
        <v>1921</v>
      </c>
      <c r="D4408" s="1" t="s">
        <v>471</v>
      </c>
      <c r="E4408" s="1" t="s">
        <v>4603</v>
      </c>
      <c r="F4408" s="1" t="s">
        <v>7533</v>
      </c>
      <c r="G4408" s="1" t="s">
        <v>15</v>
      </c>
      <c r="H4408" s="1" t="s">
        <v>16</v>
      </c>
      <c r="I4408" s="1" t="str">
        <f ca="1">IFERROR(__xludf.DUMMYFUNCTION("GOOGLETRANSLATE(F4408, ""auto"", ""en"")
"),"To say that the battery does not hold up well is to say almost nothing. It charges for about 4 hours and lasts about the same. If you watch the video, 1-2 is a max. I don’t understand why such a model was created; it would be better without a screen, but "&amp;"with a normal battery. When purchasing, they assured that it lasts 7-8 hours.")</f>
        <v>To say that the battery does not hold up well is to say almost nothing. It charges for about 4 hours and lasts about the same. If you watch the video, 1-2 is a max. I don’t understand why such a model was created; it would be better without a screen, but with a normal battery. When purchasing, they assured that it lasts 7-8 hours.</v>
      </c>
    </row>
    <row r="4409" spans="1:9" x14ac:dyDescent="0.3">
      <c r="A4409" s="1" t="s">
        <v>149</v>
      </c>
      <c r="B4409" s="1" t="s">
        <v>423</v>
      </c>
      <c r="C4409" s="1" t="s">
        <v>531</v>
      </c>
      <c r="D4409" s="1" t="s">
        <v>2499</v>
      </c>
      <c r="E4409" s="1" t="s">
        <v>746</v>
      </c>
      <c r="F4409" s="1" t="s">
        <v>7534</v>
      </c>
      <c r="G4409" s="1" t="s">
        <v>36</v>
      </c>
      <c r="H4409" s="1" t="s">
        <v>29</v>
      </c>
      <c r="I4409" s="1" t="str">
        <f ca="1">IFERROR(__xludf.DUMMYFUNCTION("GOOGLETRANSLATE(F4409, ""auto"", ""en"")
"),"An excellent option for a washing vacuum cleaner! If you need real cleanliness and comfort in your home, then this vacuum cleaner can really help you achieve your goal! So it was with me! After purchasing a vacuum cleaner, our apartment was transformed be"&amp;"fore our eyes!")</f>
        <v>An excellent option for a washing vacuum cleaner! If you need real cleanliness and comfort in your home, then this vacuum cleaner can really help you achieve your goal! So it was with me! After purchasing a vacuum cleaner, our apartment was transformed before our eyes!</v>
      </c>
    </row>
    <row r="4410" spans="1:9" x14ac:dyDescent="0.3">
      <c r="A4410" s="1" t="s">
        <v>30</v>
      </c>
      <c r="B4410" s="1" t="s">
        <v>50</v>
      </c>
      <c r="C4410" s="1" t="s">
        <v>32</v>
      </c>
      <c r="D4410" s="1" t="s">
        <v>548</v>
      </c>
      <c r="E4410" s="1" t="s">
        <v>201</v>
      </c>
      <c r="F4410" s="1" t="s">
        <v>7535</v>
      </c>
      <c r="G4410" s="1" t="s">
        <v>15</v>
      </c>
      <c r="H4410" s="1" t="s">
        <v>16</v>
      </c>
      <c r="I4410" s="1" t="str">
        <f ca="1">IFERROR(__xludf.DUMMYFUNCTION("GOOGLETRANSLATE(F4410, ""auto"", ""en"")
"),"Whoever is going to take it for games or to run game servers on it, etc., I’ll tell you right away that it WILL NOT SUIT! This laptop is specifically for work!")</f>
        <v>Whoever is going to take it for games or to run game servers on it, etc., I’ll tell you right away that it WILL NOT SUIT! This laptop is specifically for work!</v>
      </c>
    </row>
    <row r="4411" spans="1:9" x14ac:dyDescent="0.3">
      <c r="A4411" s="1" t="s">
        <v>30</v>
      </c>
      <c r="B4411" s="1" t="s">
        <v>50</v>
      </c>
      <c r="C4411" s="1" t="s">
        <v>1003</v>
      </c>
      <c r="D4411" s="1" t="s">
        <v>33</v>
      </c>
      <c r="E4411" s="1" t="s">
        <v>824</v>
      </c>
      <c r="F4411" s="1" t="s">
        <v>7536</v>
      </c>
      <c r="G4411" s="1" t="s">
        <v>36</v>
      </c>
      <c r="H4411" s="1" t="s">
        <v>29</v>
      </c>
      <c r="I4411" s="1" t="str">
        <f ca="1">IFERROR(__xludf.DUMMYFUNCTION("GOOGLETRANSLATE(F4411, ""auto"", ""en"")
"),"I bought it on 12/18/09 on the Moscow highway, 2 days - normal flight. Strengths - good hardware - the processor is only slightly behind the C2B 6600, the video is better than the G240M, a lot of RAM, good overall workmanship and design, HDMI, etc.   What"&amp;" I didn’t like was the slightly unusual and “strumbling” keyboard, no bluetooth. With an average load of the processor and maximum backlight, the battery lasts about 2 hours - not much, but tolerable. In general, for this money I am satisfied.")</f>
        <v>I bought it on 12/18/09 on the Moscow highway, 2 days - normal flight. Strengths - good hardware - the processor is only slightly behind the C2B 6600, the video is better than the G240M, a lot of RAM, good overall workmanship and design, HDMI, etc.   What I didn’t like was the slightly unusual and “strumbling” keyboard, no bluetooth. With an average load of the processor and maximum backlight, the battery lasts about 2 hours - not much, but tolerable. In general, for this money I am satisfied.</v>
      </c>
    </row>
    <row r="4412" spans="1:9" x14ac:dyDescent="0.3">
      <c r="A4412" s="1" t="s">
        <v>17</v>
      </c>
      <c r="B4412" s="1" t="s">
        <v>325</v>
      </c>
      <c r="C4412" s="1" t="s">
        <v>326</v>
      </c>
      <c r="D4412" s="1" t="s">
        <v>295</v>
      </c>
      <c r="E4412" s="1" t="s">
        <v>7537</v>
      </c>
      <c r="F4412" s="1" t="s">
        <v>7538</v>
      </c>
      <c r="G4412" s="1" t="s">
        <v>94</v>
      </c>
      <c r="H4412" s="1" t="s">
        <v>29</v>
      </c>
      <c r="I4412" s="1" t="str">
        <f ca="1">IFERROR(__xludf.DUMMYFUNCTION("GOOGLETRANSLATE(F4412, ""auto"", ""en"")
"),"Takes up little space and is easy to transport.")</f>
        <v>Takes up little space and is easy to transport.</v>
      </c>
    </row>
    <row r="4413" spans="1:9" x14ac:dyDescent="0.3">
      <c r="A4413" s="1" t="s">
        <v>37</v>
      </c>
      <c r="B4413" s="1" t="s">
        <v>38</v>
      </c>
      <c r="C4413" s="1" t="s">
        <v>39</v>
      </c>
      <c r="D4413" s="1" t="s">
        <v>1166</v>
      </c>
      <c r="E4413" s="1" t="s">
        <v>397</v>
      </c>
      <c r="F4413" s="1" t="s">
        <v>7539</v>
      </c>
      <c r="G4413" s="1" t="s">
        <v>36</v>
      </c>
      <c r="H4413" s="1" t="s">
        <v>29</v>
      </c>
      <c r="I4413" s="1" t="str">
        <f ca="1">IFERROR(__xludf.DUMMYFUNCTION("GOOGLETRANSLATE(F4413, ""auto"", ""en"")
"),"The phone was just SSSSSSSUUUUUUUUUUUUUUUUUUUUUUUUUUUUUUUUUUUUUUUUUUUUUUUUUUUUUUUUUUUUUUUUUUUUUUUUUUUUUUUUUUUUUUUUUUUUUUUUUUUUUUUUUUUUUUUUUUUUUUUUUUUUUUUUUUUUUUUUUUUUUUUUUUUUUUUUUUUUUUUUUUUUUUUUUUUUUUUUUUUUUUUUUUUUUUUUUUUUUUUUUUUUUUUUUUUUUUUUPER installed"&amp;" everything (par. int. etc.) in about 10 minutes without any problems.   I was very pleased with Opera Mini 4.1, a very cheap browser. (10 min = 2 rubles) the phone itself is in a very stylish case, I was pleased with the camera, although I haven’t figure"&amp;"d out how to minimize applications yet (tell me who can).  However, it is very unpleasant that the kit does not include headphones and USB!!!!! but there is a flash card (m2) for 1 GB.   Well, in general, the phone made me very happy. I advise everyone to"&amp;" take it!")</f>
        <v>The phone was just SSSSSSSUUUUUUUUUUUUUUUUUUUUUUUUUUUUUUUUUUUUUUUUUUUUUUUUUUUUUUUUUUUUUUUUUUUUUUUUUUUUUUUUUUUUUUUUUUUUUUUUUUUUUUUUUUUUUUUUUUUUUUUUUUUUUUUUUUUUUUUUUUUUUUUUUUUUUUUUUUUUUUUUUUUUUUUUUUUUUUUUUUUUUUUUUUUUUUUUUUUUUUUUUUUUUUUUUUUUUUUUPER installed everything (par. int. etc.) in about 10 minutes without any problems.   I was very pleased with Opera Mini 4.1, a very cheap browser. (10 min = 2 rubles) the phone itself is in a very stylish case, I was pleased with the camera, although I haven’t figured out how to minimize applications yet (tell me who can).  However, it is very unpleasant that the kit does not include headphones and USB!!!!! but there is a flash card (m2) for 1 GB.   Well, in general, the phone made me very happy. I advise everyone to take it!</v>
      </c>
    </row>
    <row r="4414" spans="1:9" x14ac:dyDescent="0.3">
      <c r="A4414" s="1" t="s">
        <v>43</v>
      </c>
      <c r="B4414" s="1" t="s">
        <v>303</v>
      </c>
      <c r="C4414" s="1" t="s">
        <v>220</v>
      </c>
      <c r="D4414" s="1" t="s">
        <v>86</v>
      </c>
      <c r="E4414" s="1" t="s">
        <v>1504</v>
      </c>
      <c r="F4414" s="1" t="s">
        <v>7540</v>
      </c>
      <c r="G4414" s="1" t="s">
        <v>36</v>
      </c>
      <c r="H4414" s="1" t="s">
        <v>29</v>
      </c>
      <c r="I4414" s="1" t="str">
        <f ca="1">IFERROR(__xludf.DUMMYFUNCTION("GOOGLETRANSLATE(F4414, ""auto"", ""en"")
"),"We bought it two years ago for the period of summer water outages, and as time has shown, we use it constantly. The flat shape is very convenient, as it doesn’t take up much space - you can hang it in the kitchen or toilet. As you have already noticed, th"&amp;"ere is a timed activation setting. Although I use it a little differently - I turn it off completely, the water remains hot for a long time, thus saving on electricity. I am completely satisfied with the boiler.")</f>
        <v>We bought it two years ago for the period of summer water outages, and as time has shown, we use it constantly. The flat shape is very convenient, as it doesn’t take up much space - you can hang it in the kitchen or toilet. As you have already noticed, there is a timed activation setting. Although I use it a little differently - I turn it off completely, the water remains hot for a long time, thus saving on electricity. I am completely satisfied with the boiler.</v>
      </c>
    </row>
    <row r="4415" spans="1:9" x14ac:dyDescent="0.3">
      <c r="A4415" s="1" t="s">
        <v>55</v>
      </c>
      <c r="B4415" s="1" t="s">
        <v>56</v>
      </c>
      <c r="C4415" s="1" t="s">
        <v>85</v>
      </c>
      <c r="D4415" s="1" t="s">
        <v>385</v>
      </c>
      <c r="E4415" s="1" t="s">
        <v>7541</v>
      </c>
      <c r="F4415" s="1" t="s">
        <v>7542</v>
      </c>
      <c r="G4415" s="1" t="s">
        <v>36</v>
      </c>
      <c r="H4415" s="1" t="s">
        <v>29</v>
      </c>
      <c r="I4415" s="1" t="str">
        <f ca="1">IFERROR(__xludf.DUMMYFUNCTION("GOOGLETRANSLATE(F4415, ""auto"", ""en"")
"),"I bought a humidifier and am very pleased with it. Many reviews complain about deposits, so the water should be filtered and free of deposits. I humidify the air before going to bed, set the timer, and it turns off by itself. It’s easier to breathe, no ha"&amp;"rmful germs, less dust!!! Operate the device for an hour before bedtime and healthy sleep is guaranteed! I highly recommend it to everyone!!!")</f>
        <v>I bought a humidifier and am very pleased with it. Many reviews complain about deposits, so the water should be filtered and free of deposits. I humidify the air before going to bed, set the timer, and it turns off by itself. It’s easier to breathe, no harmful germs, less dust!!! Operate the device for an hour before bedtime and healthy sleep is guaranteed! I highly recommend it to everyone!!!</v>
      </c>
    </row>
    <row r="4416" spans="1:9" x14ac:dyDescent="0.3">
      <c r="A4416" s="1" t="s">
        <v>17</v>
      </c>
      <c r="B4416" s="1" t="s">
        <v>18</v>
      </c>
      <c r="C4416" s="1" t="s">
        <v>19</v>
      </c>
      <c r="D4416" s="1" t="s">
        <v>1659</v>
      </c>
      <c r="E4416" s="1" t="s">
        <v>2721</v>
      </c>
      <c r="F4416" s="1" t="s">
        <v>7543</v>
      </c>
      <c r="G4416" s="1" t="s">
        <v>36</v>
      </c>
      <c r="H4416" s="1" t="s">
        <v>29</v>
      </c>
      <c r="I4416" s="1" t="str">
        <f ca="1">IFERROR(__xludf.DUMMYFUNCTION("GOOGLETRANSLATE(F4416, ""auto"", ""en"")
"),"Excellent unit, I’m going to buy a second one, I’m waiting for discounts and promotions")</f>
        <v>Excellent unit, I’m going to buy a second one, I’m waiting for discounts and promotions</v>
      </c>
    </row>
    <row r="4417" spans="1:9" x14ac:dyDescent="0.3">
      <c r="A4417" s="1" t="s">
        <v>55</v>
      </c>
      <c r="B4417" s="1" t="s">
        <v>752</v>
      </c>
      <c r="C4417" s="1" t="s">
        <v>185</v>
      </c>
      <c r="D4417" s="1" t="s">
        <v>152</v>
      </c>
      <c r="E4417" s="1" t="s">
        <v>7544</v>
      </c>
      <c r="F4417" s="1" t="s">
        <v>7545</v>
      </c>
      <c r="G4417" s="1" t="s">
        <v>36</v>
      </c>
      <c r="H4417" s="1" t="s">
        <v>29</v>
      </c>
      <c r="I4417" s="1" t="str">
        <f ca="1">IFERROR(__xludf.DUMMYFUNCTION("GOOGLETRANSLATE(F4417, ""auto"", ""en"")
"),"It's a good thing! I bought it 3 years ago and it works fine. Last year the heating was turned off (there was an accident), this device completely coped with heating a room of 18 square meters. The temperature in the room was 23* and outside -28.")</f>
        <v>It's a good thing! I bought it 3 years ago and it works fine. Last year the heating was turned off (there was an accident), this device completely coped with heating a room of 18 square meters. The temperature in the room was 23* and outside -28.</v>
      </c>
    </row>
    <row r="4418" spans="1:9" x14ac:dyDescent="0.3">
      <c r="A4418" s="1" t="s">
        <v>120</v>
      </c>
      <c r="B4418" s="1" t="s">
        <v>196</v>
      </c>
      <c r="C4418" s="1" t="s">
        <v>80</v>
      </c>
      <c r="D4418" s="1" t="s">
        <v>203</v>
      </c>
      <c r="E4418" s="1" t="s">
        <v>1181</v>
      </c>
      <c r="F4418" s="1" t="s">
        <v>7546</v>
      </c>
      <c r="G4418" s="1" t="s">
        <v>36</v>
      </c>
      <c r="H4418" s="1" t="s">
        <v>29</v>
      </c>
      <c r="I4418" s="1" t="str">
        <f ca="1">IFERROR(__xludf.DUMMYFUNCTION("GOOGLETRANSLATE(F4418, ""auto"", ""en"")
"),"An excellent TV for the money you won’t find anything better, a great option!!!")</f>
        <v>An excellent TV for the money you won’t find anything better, a great option!!!</v>
      </c>
    </row>
    <row r="4419" spans="1:9" x14ac:dyDescent="0.3">
      <c r="A4419" s="1" t="s">
        <v>95</v>
      </c>
      <c r="B4419" s="1" t="s">
        <v>7468</v>
      </c>
      <c r="C4419" s="1" t="s">
        <v>166</v>
      </c>
      <c r="D4419" s="1" t="s">
        <v>33</v>
      </c>
      <c r="E4419" s="1" t="s">
        <v>7547</v>
      </c>
      <c r="F4419" s="1" t="s">
        <v>7548</v>
      </c>
      <c r="G4419" s="1" t="s">
        <v>36</v>
      </c>
      <c r="H4419" s="1" t="s">
        <v>29</v>
      </c>
      <c r="I4419" s="1" t="str">
        <f ca="1">IFERROR(__xludf.DUMMYFUNCTION("GOOGLETRANSLATE(F4419, ""auto"", ""en"")
"),"The straight plug is not shaped like the letter G (I can’t stomach those). Good contact. The base of the danamiks is strong and does not stick out much from the ears. The earbuds are not slippery and fit tightly in place. The sound is clear, smooth, with "&amp;"a decent volume reserve. There is a control panel and microphone. ")</f>
        <v xml:space="preserve">The straight plug is not shaped like the letter G (I can’t stomach those). Good contact. The base of the danamiks is strong and does not stick out much from the ears. The earbuds are not slippery and fit tightly in place. The sound is clear, smooth, with a decent volume reserve. There is a control panel and microphone. </v>
      </c>
    </row>
    <row r="4420" spans="1:9" x14ac:dyDescent="0.3">
      <c r="A4420" s="1" t="s">
        <v>1823</v>
      </c>
      <c r="B4420" s="1" t="s">
        <v>7549</v>
      </c>
      <c r="C4420" s="1" t="s">
        <v>1825</v>
      </c>
      <c r="D4420" s="1" t="s">
        <v>335</v>
      </c>
      <c r="E4420" s="1" t="s">
        <v>5554</v>
      </c>
      <c r="F4420" s="1" t="s">
        <v>7550</v>
      </c>
      <c r="G4420" s="1" t="s">
        <v>28</v>
      </c>
      <c r="H4420" s="1" t="s">
        <v>29</v>
      </c>
      <c r="I4420" s="1" t="str">
        <f ca="1">IFERROR(__xludf.DUMMYFUNCTION("GOOGLETRANSLATE(F4420, ""auto"", ""en"")
"),"This clothes dryer is quite convenient and stable. If you need to roll it to another place, there are wheels on one side, but it’s still easy to roll. The only negative is that it is a little difficult to move the legs of this dryer from folded to working"&amp;".")</f>
        <v>This clothes dryer is quite convenient and stable. If you need to roll it to another place, there are wheels on one side, but it’s still easy to roll. The only negative is that it is a little difficult to move the legs of this dryer from folded to working.</v>
      </c>
    </row>
    <row r="4421" spans="1:9" x14ac:dyDescent="0.3">
      <c r="A4421" s="1" t="s">
        <v>477</v>
      </c>
      <c r="B4421" s="1" t="s">
        <v>478</v>
      </c>
      <c r="C4421" s="1" t="s">
        <v>479</v>
      </c>
      <c r="D4421" s="1" t="s">
        <v>86</v>
      </c>
      <c r="E4421" s="1" t="s">
        <v>6505</v>
      </c>
      <c r="F4421" s="1" t="s">
        <v>7551</v>
      </c>
      <c r="G4421" s="1" t="s">
        <v>36</v>
      </c>
      <c r="H4421" s="1" t="s">
        <v>29</v>
      </c>
      <c r="I4421" s="1" t="str">
        <f ca="1">IFERROR(__xludf.DUMMYFUNCTION("GOOGLETRANSLATE(F4421, ""auto"", ""en"")
"),"Super game. I don’t regret one bit that I took it")</f>
        <v>Super game. I don’t regret one bit that I took it</v>
      </c>
    </row>
    <row r="4422" spans="1:9" x14ac:dyDescent="0.3">
      <c r="A4422" s="1" t="s">
        <v>37</v>
      </c>
      <c r="B4422" s="1" t="s">
        <v>38</v>
      </c>
      <c r="C4422" s="1" t="s">
        <v>39</v>
      </c>
      <c r="D4422" s="1" t="s">
        <v>548</v>
      </c>
      <c r="E4422" s="1" t="s">
        <v>3472</v>
      </c>
      <c r="F4422" s="1" t="s">
        <v>7552</v>
      </c>
      <c r="G4422" s="1" t="s">
        <v>15</v>
      </c>
      <c r="H4422" s="1" t="s">
        <v>16</v>
      </c>
      <c r="I4422" s="1" t="str">
        <f ca="1">IFERROR(__xludf.DUMMYFUNCTION("GOOGLETRANSLATE(F4422, ""auto"", ""en"")
"),"Firstly, I have been using the Sony Ericsson brand for 5 years now, before buying the C510 everything was fine.  I bought the phone 10 months ago, at the moment the phone is being repaired - it slows down a lot, which is an understatement: 1) when dialing"&amp;" a new number, the dialing continues until the connection is complete, i.e. if you made a mistake when dialing the number and need to reset IT IS IMPOSSIBLE!  Option 2, when dialing a new one, I made a mistake, missed one digit, the dialing continues unti"&amp;"l the connection is complete (i.e., you can’t reset the call!) plus everything else on the other end they answer that the number does not exist and that would be fine, but it lasts about 3 minutes, it’s very annoying!  2) The loudspeaker stopped working. "&amp;" I won’t write about little things, and they write so much.  Good luck everyone.")</f>
        <v>Firstly, I have been using the Sony Ericsson brand for 5 years now, before buying the C510 everything was fine.  I bought the phone 10 months ago, at the moment the phone is being repaired - it slows down a lot, which is an understatement: 1) when dialing a new number, the dialing continues until the connection is complete, i.e. if you made a mistake when dialing the number and need to reset IT IS IMPOSSIBLE!  Option 2, when dialing a new one, I made a mistake, missed one digit, the dialing continues until the connection is complete (i.e., you can’t reset the call!) plus everything else on the other end they answer that the number does not exist and that would be fine, but it lasts about 3 minutes, it’s very annoying!  2) The loudspeaker stopped working.  I won’t write about little things, and they write so much.  Good luck everyone.</v>
      </c>
    </row>
    <row r="4423" spans="1:9" x14ac:dyDescent="0.3">
      <c r="A4423" s="1" t="s">
        <v>30</v>
      </c>
      <c r="B4423" s="1" t="s">
        <v>31</v>
      </c>
      <c r="C4423" s="1" t="s">
        <v>365</v>
      </c>
      <c r="D4423" s="1" t="s">
        <v>7553</v>
      </c>
      <c r="E4423" s="1" t="s">
        <v>3999</v>
      </c>
      <c r="F4423" s="1" t="s">
        <v>7554</v>
      </c>
      <c r="G4423" s="1" t="s">
        <v>28</v>
      </c>
      <c r="H4423" s="1" t="s">
        <v>29</v>
      </c>
      <c r="I4423" s="1" t="str">
        <f ca="1">IFERROR(__xludf.DUMMYFUNCTION("GOOGLETRANSLATE(F4423, ""auto"", ""en"")
"),"The computer is wonderful - I like everything.  But it was disappointing that the Ethernet controller was not detected by the system. Because of this ""little thing"" there is no Internet.  Who knows - tell me what driver I need to download for it?")</f>
        <v>The computer is wonderful - I like everything.  But it was disappointing that the Ethernet controller was not detected by the system. Because of this "little thing" there is no Internet.  Who knows - tell me what driver I need to download for it?</v>
      </c>
    </row>
    <row r="4424" spans="1:9" x14ac:dyDescent="0.3">
      <c r="A4424" s="1" t="s">
        <v>120</v>
      </c>
      <c r="B4424" s="1" t="s">
        <v>121</v>
      </c>
      <c r="C4424" s="1" t="s">
        <v>80</v>
      </c>
      <c r="D4424" s="1" t="s">
        <v>127</v>
      </c>
      <c r="E4424" s="1" t="s">
        <v>2126</v>
      </c>
      <c r="F4424" s="1" t="s">
        <v>7555</v>
      </c>
      <c r="G4424" s="1" t="s">
        <v>36</v>
      </c>
      <c r="H4424" s="1" t="s">
        <v>29</v>
      </c>
      <c r="I4424" s="1" t="str">
        <f ca="1">IFERROR(__xludf.DUMMYFUNCTION("GOOGLETRANSLATE(F4424, ""auto"", ""en"")
"),"Dear forum users! Please, whoever unlocked it using a phone or LEDs like me, once again enter the INSTART menu and look at the checksum for tool option 3. I accidentally made changes (I remember the numbers are something like 14400). There have been no ch"&amp;"anges, but it’s still better not to go where you don’t know. Thanks in advance for your help.")</f>
        <v>Dear forum users! Please, whoever unlocked it using a phone or LEDs like me, once again enter the INSTART menu and look at the checksum for tool option 3. I accidentally made changes (I remember the numbers are something like 14400). There have been no changes, but it’s still better not to go where you don’t know. Thanks in advance for your help.</v>
      </c>
    </row>
    <row r="4425" spans="1:9" x14ac:dyDescent="0.3">
      <c r="A4425" s="1" t="s">
        <v>89</v>
      </c>
      <c r="B4425" s="1" t="s">
        <v>90</v>
      </c>
      <c r="C4425" s="1" t="s">
        <v>745</v>
      </c>
      <c r="D4425" s="1" t="s">
        <v>5208</v>
      </c>
      <c r="E4425" s="1" t="s">
        <v>1914</v>
      </c>
      <c r="F4425" s="1" t="s">
        <v>7556</v>
      </c>
      <c r="G4425" s="1" t="s">
        <v>36</v>
      </c>
      <c r="H4425" s="1" t="s">
        <v>29</v>
      </c>
      <c r="I4425" s="1" t="str">
        <f ca="1">IFERROR(__xludf.DUMMYFUNCTION("GOOGLETRANSLATE(F4425, ""auto"", ""en"")
"),"I bought the cheapest one, they said it was normal, it turned out to be actually quite good, we grind grains with it all day in our cafe until it fails, just like the industrial one works for us.")</f>
        <v>I bought the cheapest one, they said it was normal, it turned out to be actually quite good, we grind grains with it all day in our cafe until it fails, just like the industrial one works for us.</v>
      </c>
    </row>
    <row r="4426" spans="1:9" x14ac:dyDescent="0.3">
      <c r="A4426" s="1" t="s">
        <v>37</v>
      </c>
      <c r="B4426" s="1" t="s">
        <v>38</v>
      </c>
      <c r="C4426" s="1" t="s">
        <v>39</v>
      </c>
      <c r="D4426" s="1" t="s">
        <v>171</v>
      </c>
      <c r="E4426" s="1" t="s">
        <v>288</v>
      </c>
      <c r="F4426" s="1" t="s">
        <v>7557</v>
      </c>
      <c r="G4426" s="1" t="s">
        <v>36</v>
      </c>
      <c r="H4426" s="1" t="s">
        <v>29</v>
      </c>
      <c r="I4426" s="1" t="str">
        <f ca="1">IFERROR(__xludf.DUMMYFUNCTION("GOOGLETRANSLATE(F4426, ""auto"", ""en"")
"),"Hello!  I have a question, does this phone have GPS, in the usual sense: a map, location determination, maybe a navigator?")</f>
        <v>Hello!  I have a question, does this phone have GPS, in the usual sense: a map, location determination, maybe a navigator?</v>
      </c>
    </row>
    <row r="4427" spans="1:9" x14ac:dyDescent="0.3">
      <c r="A4427" s="1" t="s">
        <v>9</v>
      </c>
      <c r="B4427" s="1" t="s">
        <v>133</v>
      </c>
      <c r="C4427" s="1" t="s">
        <v>290</v>
      </c>
      <c r="D4427" s="1" t="s">
        <v>64</v>
      </c>
      <c r="E4427" s="1" t="s">
        <v>7558</v>
      </c>
      <c r="F4427" s="1" t="s">
        <v>7559</v>
      </c>
      <c r="G4427" s="1" t="s">
        <v>36</v>
      </c>
      <c r="H4427" s="1" t="s">
        <v>29</v>
      </c>
      <c r="I4427" s="1" t="str">
        <f ca="1">IFERROR(__xludf.DUMMYFUNCTION("GOOGLETRANSLATE(F4427, ""auto"", ""en"")
"),"We bought it six months ago. Very satisfied: it works quietly; easy to clean, which is facilitated by recessed handles; easy to operate; It bakes and bakes simply amazingly, everything is juicy and nothing gets dry. Good cooling - the furniture does not h"&amp;"eat up, although the fan, of course, blows into the room, but does not heat up so much that it is annoying; The glass is also hot, but you won’t get burned, how could you do otherwise if the temperature inside is so high!? The only negative in my opinion "&amp;"is that the fan does not turn off when the door is opened, but otherwise everything is great!!!")</f>
        <v>We bought it six months ago. Very satisfied: it works quietly; easy to clean, which is facilitated by recessed handles; easy to operate; It bakes and bakes simply amazingly, everything is juicy and nothing gets dry. Good cooling - the furniture does not heat up, although the fan, of course, blows into the room, but does not heat up so much that it is annoying; The glass is also hot, but you won’t get burned, how could you do otherwise if the temperature inside is so high!? The only negative in my opinion is that the fan does not turn off when the door is opened, but otherwise everything is great!!!</v>
      </c>
    </row>
    <row r="4428" spans="1:9" x14ac:dyDescent="0.3">
      <c r="A4428" s="1" t="s">
        <v>55</v>
      </c>
      <c r="B4428" s="1" t="s">
        <v>56</v>
      </c>
      <c r="C4428" s="1" t="s">
        <v>57</v>
      </c>
      <c r="D4428" s="1" t="s">
        <v>39</v>
      </c>
      <c r="E4428" s="1" t="s">
        <v>7560</v>
      </c>
      <c r="F4428" s="1" t="s">
        <v>7561</v>
      </c>
      <c r="G4428" s="1" t="s">
        <v>49</v>
      </c>
      <c r="H4428" s="1" t="s">
        <v>16</v>
      </c>
      <c r="I4428" s="1" t="str">
        <f ca="1">IFERROR(__xludf.DUMMYFUNCTION("GOOGLETRANSLATE(F4428, ""auto"", ""en"")
"),"We didn’t have to rejoice at the purchase for a long time; it burned out after a month of use. The money was returned")</f>
        <v>We didn’t have to rejoice at the purchase for a long time; it burned out after a month of use. The money was returned</v>
      </c>
    </row>
    <row r="4429" spans="1:9" x14ac:dyDescent="0.3">
      <c r="A4429" s="1" t="s">
        <v>120</v>
      </c>
      <c r="B4429" s="1" t="s">
        <v>121</v>
      </c>
      <c r="C4429" s="1" t="s">
        <v>97</v>
      </c>
      <c r="D4429" s="1" t="s">
        <v>7562</v>
      </c>
      <c r="E4429" s="1" t="s">
        <v>3390</v>
      </c>
      <c r="F4429" s="1" t="s">
        <v>7563</v>
      </c>
      <c r="G4429" s="1" t="s">
        <v>28</v>
      </c>
      <c r="H4429" s="1" t="s">
        <v>29</v>
      </c>
      <c r="I4429" s="1" t="str">
        <f ca="1">IFERROR(__xludf.DUMMYFUNCTION("GOOGLETRANSLATE(F4429, ""auto"", ""en"")
"),"Nice TV! No words! We've been dreaming for a long time! But the problem is with the USB port. On the first day, we inserted a flash drive and the TV played it, we were able to watch video files from the flash drive! And then something happened - the TV do"&amp;"esn’t see the flash drive and that’s it! I formatted the flash drive, I thought it might be a virus, I tried to write photos to it in various formats! And he doesn’t see the video, and he doesn’t see the photo...")</f>
        <v>Nice TV! No words! We've been dreaming for a long time! But the problem is with the USB port. On the first day, we inserted a flash drive and the TV played it, we were able to watch video files from the flash drive! And then something happened - the TV doesn’t see the flash drive and that’s it! I formatted the flash drive, I thought it might be a virus, I tried to write photos to it in various formats! And he doesn’t see the video, and he doesn’t see the photo...</v>
      </c>
    </row>
    <row r="4430" spans="1:9" x14ac:dyDescent="0.3">
      <c r="A4430" s="1" t="s">
        <v>67</v>
      </c>
      <c r="B4430" s="1" t="s">
        <v>68</v>
      </c>
      <c r="C4430" s="1" t="s">
        <v>246</v>
      </c>
      <c r="D4430" s="1" t="s">
        <v>7564</v>
      </c>
      <c r="E4430" s="1" t="s">
        <v>3095</v>
      </c>
      <c r="F4430" s="1" t="s">
        <v>7565</v>
      </c>
      <c r="G4430" s="1" t="s">
        <v>36</v>
      </c>
      <c r="H4430" s="1" t="s">
        <v>29</v>
      </c>
      <c r="I4430" s="1" t="str">
        <f ca="1">IFERROR(__xludf.DUMMYFUNCTION("GOOGLETRANSLATE(F4430, ""auto"", ""en"")
"),"Its a very good iron,i m happy")</f>
        <v>Its a very good iron,i m happy</v>
      </c>
    </row>
    <row r="4431" spans="1:9" x14ac:dyDescent="0.3">
      <c r="A4431" s="1" t="s">
        <v>111</v>
      </c>
      <c r="B4431" s="1" t="s">
        <v>112</v>
      </c>
      <c r="C4431" s="1" t="s">
        <v>113</v>
      </c>
      <c r="D4431" s="1" t="s">
        <v>52</v>
      </c>
      <c r="E4431" s="1" t="s">
        <v>7566</v>
      </c>
      <c r="F4431" s="1" t="s">
        <v>7567</v>
      </c>
      <c r="G4431" s="1" t="s">
        <v>36</v>
      </c>
      <c r="H4431" s="1" t="s">
        <v>29</v>
      </c>
      <c r="I4431" s="1" t="str">
        <f ca="1">IFERROR(__xludf.DUMMYFUNCTION("GOOGLETRANSLATE(F4431, ""auto"", ""en"")
"),"This device worked for 3 years, protecting the washing machine. It worked a couple of times. I had to unplug it from the socket. In the end, the condensers and resistors burned out. I decided not to repair it.  I don’t know if he was of any real use, but "&amp;"it’s calmer with him. I'm thinking of buying the same one to replace the burnt one. There are no complaints about it, no complaints, it’s just that its time has come, after all, it worked 24/7. Therefore 5.")</f>
        <v>This device worked for 3 years, protecting the washing machine. It worked a couple of times. I had to unplug it from the socket. In the end, the condensers and resistors burned out. I decided not to repair it.  I don’t know if he was of any real use, but it’s calmer with him. I'm thinking of buying the same one to replace the burnt one. There are no complaints about it, no complaints, it’s just that its time has come, after all, it worked 24/7. Therefore 5.</v>
      </c>
    </row>
    <row r="4432" spans="1:9" x14ac:dyDescent="0.3">
      <c r="A4432" s="1" t="s">
        <v>30</v>
      </c>
      <c r="B4432" s="1" t="s">
        <v>31</v>
      </c>
      <c r="C4432" s="1" t="s">
        <v>365</v>
      </c>
      <c r="D4432" s="1" t="s">
        <v>203</v>
      </c>
      <c r="E4432" s="1" t="s">
        <v>750</v>
      </c>
      <c r="F4432" s="1" t="s">
        <v>7568</v>
      </c>
      <c r="G4432" s="1" t="s">
        <v>36</v>
      </c>
      <c r="H4432" s="1" t="s">
        <v>29</v>
      </c>
      <c r="I4432" s="1" t="str">
        <f ca="1">IFERROR(__xludf.DUMMYFUNCTION("GOOGLETRANSLATE(F4432, ""auto"", ""en"")
"),"I bought myself such a system unit, it works for two months without any complaints. Let's see what happens next.")</f>
        <v>I bought myself such a system unit, it works for two months without any complaints. Let's see what happens next.</v>
      </c>
    </row>
    <row r="4433" spans="1:9" x14ac:dyDescent="0.3">
      <c r="A4433" s="1" t="s">
        <v>61</v>
      </c>
      <c r="B4433" s="1" t="s">
        <v>726</v>
      </c>
      <c r="C4433" s="1" t="s">
        <v>122</v>
      </c>
      <c r="D4433" s="1" t="s">
        <v>1431</v>
      </c>
      <c r="E4433" s="1" t="s">
        <v>4445</v>
      </c>
      <c r="F4433" s="1" t="s">
        <v>7569</v>
      </c>
      <c r="G4433" s="1" t="s">
        <v>36</v>
      </c>
      <c r="H4433" s="1" t="s">
        <v>29</v>
      </c>
      <c r="I4433" s="1" t="str">
        <f ca="1">IFERROR(__xludf.DUMMYFUNCTION("GOOGLETRANSLATE(F4433, ""auto"", ""en"")
"),"I really like the bread maker. I rarely bake white bread (I don’t really like it); I usually make pie dough or rye bread with kvass. It turns out well. Since this model is not designed for rye, I use the “French” mode.   One of these days I'm going to buy"&amp;" one for my parents.")</f>
        <v>I really like the bread maker. I rarely bake white bread (I don’t really like it); I usually make pie dough or rye bread with kvass. It turns out well. Since this model is not designed for rye, I use the “French” mode.   One of these days I'm going to buy one for my parents.</v>
      </c>
    </row>
    <row r="4434" spans="1:9" x14ac:dyDescent="0.3">
      <c r="A4434" s="1" t="s">
        <v>9</v>
      </c>
      <c r="B4434" s="1" t="s">
        <v>133</v>
      </c>
      <c r="C4434" s="1" t="s">
        <v>63</v>
      </c>
      <c r="D4434" s="1" t="s">
        <v>7570</v>
      </c>
      <c r="E4434" s="1" t="s">
        <v>7571</v>
      </c>
      <c r="F4434" s="1" t="s">
        <v>7572</v>
      </c>
      <c r="G4434" s="1" t="s">
        <v>36</v>
      </c>
      <c r="H4434" s="1" t="s">
        <v>29</v>
      </c>
      <c r="I4434" s="1" t="str">
        <f ca="1">IFERROR(__xludf.DUMMYFUNCTION("GOOGLETRANSLATE(F4434, ""auto"", ""en"")
"),"This oven immediately struck me with its appearance. It is from a special collection and fits perfectly into my kitchen, which was also made in a retro style. Just look at these beautiful regulators and the temperature sensor, made in a gold frame. As for"&amp;" the oven itself, it works well, no problems have arisen, although I also use it quite rarely, only during special celebrations, but I’m still very pleased with the result, and in general with this purchase!!")</f>
        <v>This oven immediately struck me with its appearance. It is from a special collection and fits perfectly into my kitchen, which was also made in a retro style. Just look at these beautiful regulators and the temperature sensor, made in a gold frame. As for the oven itself, it works well, no problems have arisen, although I also use it quite rarely, only during special celebrations, but I’m still very pleased with the result, and in general with this purchase!!</v>
      </c>
    </row>
    <row r="4435" spans="1:9" x14ac:dyDescent="0.3">
      <c r="A4435" s="1" t="s">
        <v>37</v>
      </c>
      <c r="B4435" s="1" t="s">
        <v>38</v>
      </c>
      <c r="C4435" s="1" t="s">
        <v>151</v>
      </c>
      <c r="D4435" s="1" t="s">
        <v>1431</v>
      </c>
      <c r="E4435" s="1" t="s">
        <v>2680</v>
      </c>
      <c r="F4435" s="1" t="s">
        <v>7573</v>
      </c>
      <c r="G4435" s="1" t="s">
        <v>28</v>
      </c>
      <c r="H4435" s="1" t="s">
        <v>29</v>
      </c>
      <c r="I4435" s="1" t="str">
        <f ca="1">IFERROR(__xludf.DUMMYFUNCTION("GOOGLETRANSLATE(F4435, ""auto"", ""en"")
"),"The phone was great until it glitched! One fine day, I stopped dialing the connection! Failure, and that’s it, even kill yourself! wow!")</f>
        <v>The phone was great until it glitched! One fine day, I stopped dialing the connection! Failure, and that’s it, even kill yourself! wow!</v>
      </c>
    </row>
    <row r="4436" spans="1:9" x14ac:dyDescent="0.3">
      <c r="A4436" s="1" t="s">
        <v>120</v>
      </c>
      <c r="B4436" s="1" t="s">
        <v>121</v>
      </c>
      <c r="C4436" s="1" t="s">
        <v>80</v>
      </c>
      <c r="D4436" s="1" t="s">
        <v>81</v>
      </c>
      <c r="E4436" s="1" t="s">
        <v>3241</v>
      </c>
      <c r="F4436" s="1" t="s">
        <v>7574</v>
      </c>
      <c r="G4436" s="1" t="s">
        <v>36</v>
      </c>
      <c r="H4436" s="1" t="s">
        <v>29</v>
      </c>
      <c r="I4436" s="1" t="str">
        <f ca="1">IFERROR(__xludf.DUMMYFUNCTION("GOOGLETRANSLATE(F4436, ""auto"", ""en"")
"),"Everything is fine, it’s a good TV and the price is acceptable. The seller really deceived me, he said that it supports a flash drive up to 4 gigs and shows video from USB. Video from USB is locked! Only pictures and music work. I unlocked it using an IR "&amp;"LED and a signal from the PC speaker, the reviews say how to do it, I won’t multi-post. Now the video also works, the seller is wrong about 4 gigs maximum when he said that the USB hard drive doesn’t count. It reads 160 gigs easily, doesn’t slow down, eve"&amp;"rything is just great. I connected it to the PC via RGB, tried to play a game, it was amazing. I recommend this TV to everyone.")</f>
        <v>Everything is fine, it’s a good TV and the price is acceptable. The seller really deceived me, he said that it supports a flash drive up to 4 gigs and shows video from USB. Video from USB is locked! Only pictures and music work. I unlocked it using an IR LED and a signal from the PC speaker, the reviews say how to do it, I won’t multi-post. Now the video also works, the seller is wrong about 4 gigs maximum when he said that the USB hard drive doesn’t count. It reads 160 gigs easily, doesn’t slow down, everything is just great. I connected it to the PC via RGB, tried to play a game, it was amazing. I recommend this TV to everyone.</v>
      </c>
    </row>
    <row r="4437" spans="1:9" x14ac:dyDescent="0.3">
      <c r="A4437" s="1" t="s">
        <v>30</v>
      </c>
      <c r="B4437" s="1" t="s">
        <v>50</v>
      </c>
      <c r="C4437" s="1" t="s">
        <v>694</v>
      </c>
      <c r="D4437" s="1" t="s">
        <v>6081</v>
      </c>
      <c r="E4437" s="1" t="s">
        <v>164</v>
      </c>
      <c r="F4437" s="1" t="s">
        <v>7575</v>
      </c>
      <c r="G4437" s="1" t="s">
        <v>28</v>
      </c>
      <c r="H4437" s="1" t="s">
        <v>29</v>
      </c>
      <c r="I4437" s="1" t="str">
        <f ca="1">IFERROR(__xludf.DUMMYFUNCTION("GOOGLETRANSLATE(F4437, ""auto"", ""en"")
"),"I am currently a user of this wonderful laptop. Everything is good, excellent value for money. On the net you can find firewood for xp (for those interested).    purchased Aug 16")</f>
        <v>I am currently a user of this wonderful laptop. Everything is good, excellent value for money. On the net you can find firewood for xp (for those interested).    purchased Aug 16</v>
      </c>
    </row>
    <row r="4438" spans="1:9" x14ac:dyDescent="0.3">
      <c r="A4438" s="1" t="s">
        <v>9</v>
      </c>
      <c r="B4438" s="1" t="s">
        <v>137</v>
      </c>
      <c r="C4438" s="1" t="s">
        <v>151</v>
      </c>
      <c r="D4438" s="1" t="s">
        <v>4281</v>
      </c>
      <c r="E4438" s="1" t="s">
        <v>1312</v>
      </c>
      <c r="F4438" s="1" t="s">
        <v>7576</v>
      </c>
      <c r="G4438" s="1" t="s">
        <v>15</v>
      </c>
      <c r="H4438" s="1" t="s">
        <v>16</v>
      </c>
      <c r="I4438" s="1" t="str">
        <f ca="1">IFERROR(__xludf.DUMMYFUNCTION("GOOGLETRANSLATE(F4438, ""auto"", ""en"")
"),"The only plus is that she is beautiful. A huge minus is that everything takes a very long time to prepare, and if it’s on two burners at once, then it’s completely unrealistic. My water could not boil under the lid in 2 hours. It's just terrible. If I had"&amp;" known, I would never have bought it.")</f>
        <v>The only plus is that she is beautiful. A huge minus is that everything takes a very long time to prepare, and if it’s on two burners at once, then it’s completely unrealistic. My water could not boil under the lid in 2 hours. It's just terrible. If I had known, I would never have bought it.</v>
      </c>
    </row>
    <row r="4439" spans="1:9" x14ac:dyDescent="0.3">
      <c r="A4439" s="1" t="s">
        <v>211</v>
      </c>
      <c r="B4439" s="1" t="s">
        <v>212</v>
      </c>
      <c r="C4439" s="1" t="s">
        <v>69</v>
      </c>
      <c r="D4439" s="1" t="s">
        <v>385</v>
      </c>
      <c r="E4439" s="1" t="s">
        <v>4012</v>
      </c>
      <c r="F4439" s="1" t="s">
        <v>7577</v>
      </c>
      <c r="G4439" s="1" t="s">
        <v>36</v>
      </c>
      <c r="H4439" s="1" t="s">
        <v>29</v>
      </c>
      <c r="I4439" s="1" t="str">
        <f ca="1">IFERROR(__xludf.DUMMYFUNCTION("GOOGLETRANSLATE(F4439, ""auto"", ""en"")
"),"Great set! just perfect... met all my expectations, and the price is pleasing to the eye)))) take it, you won’t regret it")</f>
        <v>Great set! just perfect... met all my expectations, and the price is pleasing to the eye)))) take it, you won’t regret it</v>
      </c>
    </row>
    <row r="4440" spans="1:9" x14ac:dyDescent="0.3">
      <c r="A4440" s="1" t="s">
        <v>37</v>
      </c>
      <c r="B4440" s="1" t="s">
        <v>38</v>
      </c>
      <c r="C4440" s="1" t="s">
        <v>151</v>
      </c>
      <c r="D4440" s="1" t="s">
        <v>545</v>
      </c>
      <c r="E4440" s="1" t="s">
        <v>1332</v>
      </c>
      <c r="F4440" s="1" t="s">
        <v>7578</v>
      </c>
      <c r="G4440" s="1" t="s">
        <v>36</v>
      </c>
      <c r="H4440" s="1" t="s">
        <v>29</v>
      </c>
      <c r="I4440" s="1" t="str">
        <f ca="1">IFERROR(__xludf.DUMMYFUNCTION("GOOGLETRANSLATE(F4440, ""auto"", ""en"")
"),"Bought it for my son. I can clearly say that for the money it is a very good device. Convenient menu and keyboard, loud sound. The battery lasts 3-4 days. The appearance is simply excellent. The only thing that’s a little inconvenient is that in order to "&amp;"set a ringtone for someone individually, you need to save the music in the phone’s memory, and there’s not that much space there...")</f>
        <v>Bought it for my son. I can clearly say that for the money it is a very good device. Convenient menu and keyboard, loud sound. The battery lasts 3-4 days. The appearance is simply excellent. The only thing that’s a little inconvenient is that in order to set a ringtone for someone individually, you need to save the music in the phone’s memory, and there’s not that much space there...</v>
      </c>
    </row>
    <row r="4441" spans="1:9" x14ac:dyDescent="0.3">
      <c r="A4441" s="1" t="s">
        <v>965</v>
      </c>
      <c r="B4441" s="1" t="s">
        <v>966</v>
      </c>
      <c r="C4441" s="1" t="s">
        <v>967</v>
      </c>
      <c r="D4441" s="1" t="s">
        <v>1659</v>
      </c>
      <c r="E4441" s="1" t="s">
        <v>4182</v>
      </c>
      <c r="F4441" s="1" t="s">
        <v>7579</v>
      </c>
      <c r="G4441" s="1" t="s">
        <v>15</v>
      </c>
      <c r="H4441" s="1" t="s">
        <v>16</v>
      </c>
      <c r="I4441" s="1" t="str">
        <f ca="1">IFERROR(__xludf.DUMMYFUNCTION("GOOGLETRANSLATE(F4441, ""auto"", ""en"")
"),"In general, we bought it about two years ago, after a while we noticed the sound from the subwoofer “beating” the rhythm even with the music turned off, etc. Now it’s a pity to send it in for repairs")</f>
        <v>In general, we bought it about two years ago, after a while we noticed the sound from the subwoofer “beating” the rhythm even with the music turned off, etc. Now it’s a pity to send it in for repairs</v>
      </c>
    </row>
    <row r="4442" spans="1:9" x14ac:dyDescent="0.3">
      <c r="A4442" s="1" t="s">
        <v>111</v>
      </c>
      <c r="B4442" s="1" t="s">
        <v>636</v>
      </c>
      <c r="C4442" s="1" t="s">
        <v>57</v>
      </c>
      <c r="D4442" s="1" t="s">
        <v>7580</v>
      </c>
      <c r="E4442" s="1" t="s">
        <v>956</v>
      </c>
      <c r="F4442" s="1" t="s">
        <v>7581</v>
      </c>
      <c r="G4442" s="1" t="s">
        <v>28</v>
      </c>
      <c r="H4442" s="1" t="s">
        <v>29</v>
      </c>
      <c r="I4442" s="1" t="str">
        <f ca="1">IFERROR(__xludf.DUMMYFUNCTION("GOOGLETRANSLATE(F4442, ""auto"", ""en"")
"),"The device is good, I’ve been using it for 2 years, it works fine, the external sensor is rather weak, and there’s no need to put it outside, I put it in the children’s room, and the temperature outside is already shown on TV")</f>
        <v>The device is good, I’ve been using it for 2 years, it works fine, the external sensor is rather weak, and there’s no need to put it outside, I put it in the children’s room, and the temperature outside is already shown on TV</v>
      </c>
    </row>
    <row r="4443" spans="1:9" x14ac:dyDescent="0.3">
      <c r="A4443" s="1" t="s">
        <v>43</v>
      </c>
      <c r="B4443" s="1" t="s">
        <v>334</v>
      </c>
      <c r="C4443" s="1" t="s">
        <v>101</v>
      </c>
      <c r="D4443" s="1" t="s">
        <v>152</v>
      </c>
      <c r="E4443" s="1" t="s">
        <v>668</v>
      </c>
      <c r="F4443" s="1" t="s">
        <v>7582</v>
      </c>
      <c r="G4443" s="1" t="s">
        <v>36</v>
      </c>
      <c r="H4443" s="1" t="s">
        <v>29</v>
      </c>
      <c r="I4443" s="1" t="str">
        <f ca="1">IFERROR(__xludf.DUMMYFUNCTION("GOOGLETRANSLATE(F4443, ""auto"", ""en"")
"),"Compact, very quiet, very neat in appearance! The propeller is well balanced and does not shake or rattle. The air movement is perfectly felt even at speed 1.")</f>
        <v>Compact, very quiet, very neat in appearance! The propeller is well balanced and does not shake or rattle. The air movement is perfectly felt even at speed 1.</v>
      </c>
    </row>
    <row r="4444" spans="1:9" x14ac:dyDescent="0.3">
      <c r="A4444" s="1" t="s">
        <v>149</v>
      </c>
      <c r="B4444" s="1" t="s">
        <v>155</v>
      </c>
      <c r="C4444" s="1" t="s">
        <v>63</v>
      </c>
      <c r="D4444" s="1" t="s">
        <v>171</v>
      </c>
      <c r="E4444" s="1" t="s">
        <v>3444</v>
      </c>
      <c r="F4444" s="1" t="s">
        <v>7583</v>
      </c>
      <c r="G4444" s="1" t="s">
        <v>15</v>
      </c>
      <c r="H4444" s="1" t="s">
        <v>16</v>
      </c>
      <c r="I4444" s="1" t="str">
        <f ca="1">IFERROR(__xludf.DUMMYFUNCTION("GOOGLETRANSLATE(F4444, ""auto"", ""en"")
"),"I bought it three years ago. At first we were pleased - clean cleaning, easy maintenance. Then problems began - dust passes past the container, often requires washing the filters. The result is that something somewhere is clogged with dust, there is not e"&amp;"nough ventilation, it overheats after cleaning just one room and turns off. For a vacuum cleaner with the Red Dot premium - for a non-premium brand - this is bad. I'm looking for another one.")</f>
        <v>I bought it three years ago. At first we were pleased - clean cleaning, easy maintenance. Then problems began - dust passes past the container, often requires washing the filters. The result is that something somewhere is clogged with dust, there is not enough ventilation, it overheats after cleaning just one room and turns off. For a vacuum cleaner with the Red Dot premium - for a non-premium brand - this is bad. I'm looking for another one.</v>
      </c>
    </row>
    <row r="4445" spans="1:9" x14ac:dyDescent="0.3">
      <c r="A4445" s="1" t="s">
        <v>1443</v>
      </c>
      <c r="B4445" s="1" t="s">
        <v>1444</v>
      </c>
      <c r="C4445" s="1" t="s">
        <v>1445</v>
      </c>
      <c r="D4445" s="1" t="s">
        <v>545</v>
      </c>
      <c r="E4445" s="1" t="s">
        <v>7584</v>
      </c>
      <c r="F4445" s="1" t="s">
        <v>7585</v>
      </c>
      <c r="G4445" s="1" t="s">
        <v>28</v>
      </c>
      <c r="H4445" s="1" t="s">
        <v>29</v>
      </c>
      <c r="I4445" s="1" t="str">
        <f ca="1">IFERROR(__xludf.DUMMYFUNCTION("GOOGLETRANSLATE(F4445, ""auto"", ""en"")
"),"The flash drive is good, the case is shockproof, the speed is sufficient. The only negative is that over time the cap (which covers the connector) becomes loose, does not fit securely, and can easily be lost.")</f>
        <v>The flash drive is good, the case is shockproof, the speed is sufficient. The only negative is that over time the cap (which covers the connector) becomes loose, does not fit securely, and can easily be lost.</v>
      </c>
    </row>
    <row r="4446" spans="1:9" x14ac:dyDescent="0.3">
      <c r="A4446" s="1" t="s">
        <v>211</v>
      </c>
      <c r="B4446" s="1" t="s">
        <v>212</v>
      </c>
      <c r="C4446" s="1" t="s">
        <v>294</v>
      </c>
      <c r="D4446" s="1" t="s">
        <v>2250</v>
      </c>
      <c r="E4446" s="1" t="s">
        <v>3755</v>
      </c>
      <c r="F4446" s="1" t="s">
        <v>7586</v>
      </c>
      <c r="G4446" s="1" t="s">
        <v>36</v>
      </c>
      <c r="H4446" s="1" t="s">
        <v>29</v>
      </c>
      <c r="I4446" s="1" t="str">
        <f ca="1">IFERROR(__xludf.DUMMYFUNCTION("GOOGLETRANSLATE(F4446, ""auto"", ""en"")
"),"Excellent straightener, heats up quickly, straightens hair well. Many people write that the on/off button is located inconveniently. PLEASE READ THE INSTRUCTIONS!!! There is a function called keyboard locking. How does it work? By holding the ""-"" key fo"&amp;"r 3 seconds, you lock/unlock absolutely all buttons.")</f>
        <v>Excellent straightener, heats up quickly, straightens hair well. Many people write that the on/off button is located inconveniently. PLEASE READ THE INSTRUCTIONS!!! There is a function called keyboard locking. How does it work? By holding the "-" key for 3 seconds, you lock/unlock absolutely all buttons.</v>
      </c>
    </row>
    <row r="4447" spans="1:9" x14ac:dyDescent="0.3">
      <c r="A4447" s="1" t="s">
        <v>61</v>
      </c>
      <c r="B4447" s="1" t="s">
        <v>977</v>
      </c>
      <c r="C4447" s="1" t="s">
        <v>63</v>
      </c>
      <c r="D4447" s="1" t="s">
        <v>565</v>
      </c>
      <c r="E4447" s="1" t="s">
        <v>7587</v>
      </c>
      <c r="F4447" s="1" t="s">
        <v>7588</v>
      </c>
      <c r="G4447" s="1" t="s">
        <v>36</v>
      </c>
      <c r="H4447" s="1" t="s">
        <v>29</v>
      </c>
      <c r="I4447" s="1" t="str">
        <f ca="1">IFERROR(__xludf.DUMMYFUNCTION("GOOGLETRANSLATE(F4447, ""auto"", ""en"")
"),"The mixer is just super!!! We bought it in October. The mixer is great! You have no idea what kind of biscuits he whips for me. Every week I bake a sponge cake with either apples or plums, which I froze in the summer. The sponge cake is magnificent!!! Yum"&amp;"my!!! And here he is, my assistant, whipping up the biscuit dough for 20-25 minutes and not even heating up. While it is whipping, I sift the flour, cut the apples, in general, my hands are free, the bowl spins itself, everything whips itself. I am very p"&amp;"leased with the purchase and recommend this model to those who have not yet decided on their choice. Buy it, you won't regret it.")</f>
        <v>The mixer is just super!!! We bought it in October. The mixer is great! You have no idea what kind of biscuits he whips for me. Every week I bake a sponge cake with either apples or plums, which I froze in the summer. The sponge cake is magnificent!!! Yummy!!! And here he is, my assistant, whipping up the biscuit dough for 20-25 minutes and not even heating up. While it is whipping, I sift the flour, cut the apples, in general, my hands are free, the bowl spins itself, everything whips itself. I am very pleased with the purchase and recommend this model to those who have not yet decided on their choice. Buy it, you won't regret it.</v>
      </c>
    </row>
    <row r="4448" spans="1:9" x14ac:dyDescent="0.3">
      <c r="A4448" s="1" t="s">
        <v>37</v>
      </c>
      <c r="B4448" s="1" t="s">
        <v>38</v>
      </c>
      <c r="C4448" s="1" t="s">
        <v>69</v>
      </c>
      <c r="D4448" s="1" t="s">
        <v>7589</v>
      </c>
      <c r="E4448" s="1" t="s">
        <v>631</v>
      </c>
      <c r="F4448" s="1" t="s">
        <v>7590</v>
      </c>
      <c r="G4448" s="1" t="s">
        <v>36</v>
      </c>
      <c r="H4448" s="1" t="s">
        <v>29</v>
      </c>
      <c r="I4448" s="1" t="str">
        <f ca="1">IFERROR(__xludf.DUMMYFUNCTION("GOOGLETRANSLATE(F4448, ""auto"", ""en"")
"),"As already mentioned in the alarm clock, the days are mixed up, but this is not so important because... You can get used to it. Otherwise the phone is excellent. I advise everyone to take it!")</f>
        <v>As already mentioned in the alarm clock, the days are mixed up, but this is not so important because... You can get used to it. Otherwise the phone is excellent. I advise everyone to take it!</v>
      </c>
    </row>
    <row r="4449" spans="1:9" x14ac:dyDescent="0.3">
      <c r="A4449" s="1" t="s">
        <v>30</v>
      </c>
      <c r="B4449" s="1" t="s">
        <v>50</v>
      </c>
      <c r="C4449" s="1" t="s">
        <v>51</v>
      </c>
      <c r="D4449" s="1" t="s">
        <v>305</v>
      </c>
      <c r="E4449" s="1" t="s">
        <v>3512</v>
      </c>
      <c r="F4449" s="1" t="s">
        <v>7591</v>
      </c>
      <c r="G4449" s="1" t="s">
        <v>36</v>
      </c>
      <c r="H4449" s="1" t="s">
        <v>29</v>
      </c>
      <c r="I4449" s="1" t="str">
        <f ca="1">IFERROR(__xludf.DUMMYFUNCTION("GOOGLETRANSLATE(F4449, ""auto"", ""en"")
"),"Beech is the best in everything: quality, design, power, volume, everything you need before buying this beech. I spent a long time and meticulously choosing a laptop, surfing the entire Internet, looking, reading.   I read for about a month, maybe more, t"&amp;"hen I went shopping and looked and felt laptops from different manufacturers and more expensive ones, since the budget was 50 tr and then somehow by chance I passed by and met him - it was a miracle, I found him.  It’s beautiful (especially the keyboard a"&amp;"nd touchpad) and the touchpad is even cooler. High-quality and strong plastic, like in an expensive foreign car (on some laptops the keyboard flexes, especially ASUS, similar, and some HP, and I looked at them from high).  then it is very comfortable and "&amp;"light. It gets hot in games, it’s normal, that’s how it should be, the main thing is that it maintains the temperature, even if you play all day. The test was carried out personally using a special program, the quality of the screen is not bad from other "&amp;"manufacturers, but the Sony sellers convinced me that their matrix is ​​the brightest and there are no pixels visible in it, well, these are all tricks of the sellers.   There is only one minus of the current - when I took it, I didn’t check the DVD/RW, s"&amp;"o when I brought it home, I inserted the dr.weba disk and it began to spin and make noise, but I didn’t pay attention to it. Now sometimes you insert a disk, and it starts like a fighter on the runway, the problem is that it somehow doesn’t fit tightly, t"&amp;"he play is small, so to speak, so it makes noise, if you press it with your finger, then everything is OK.'   I advise that when you pick it up, check absolutely all the sound ports, insert a disc, listen, touch.   And even in the picture it’s not very go"&amp;"od, but when you see it in real life, compared to others, it’s simply handsome, this ESYnote model was designed for entertainment, that is, beautiful, comfortable, powerful. Laptop 5 points, if it were 6 I would give it b.   oh yeah, I forgot I’ve been us"&amp;"ing the laptop for 1 month, I bought it for 29,900 + a 2-year warranty of 2000 and they gave me a card in m.Video in 21 days it will be 2000 rubles, so this is a doubly cool laptop. JUDGE FOR YOURSELF, this was my personal opinion.")</f>
        <v>Beech is the best in everything: quality, design, power, volume, everything you need before buying this beech. I spent a long time and meticulously choosing a laptop, surfing the entire Internet, looking, reading.   I read for about a month, maybe more, then I went shopping and looked and felt laptops from different manufacturers and more expensive ones, since the budget was 50 tr and then somehow by chance I passed by and met him - it was a miracle, I found him.  It’s beautiful (especially the keyboard and touchpad) and the touchpad is even cooler. High-quality and strong plastic, like in an expensive foreign car (on some laptops the keyboard flexes, especially ASUS, similar, and some HP, and I looked at them from high).  then it is very comfortable and light. It gets hot in games, it’s normal, that’s how it should be, the main thing is that it maintains the temperature, even if you play all day. The test was carried out personally using a special program, the quality of the screen is not bad from other manufacturers, but the Sony sellers convinced me that their matrix is ​​the brightest and there are no pixels visible in it, well, these are all tricks of the sellers.   There is only one minus of the current - when I took it, I didn’t check the DVD/RW, so when I brought it home, I inserted the dr.weba disk and it began to spin and make noise, but I didn’t pay attention to it. Now sometimes you insert a disk, and it starts like a fighter on the runway, the problem is that it somehow doesn’t fit tightly, the play is small, so to speak, so it makes noise, if you press it with your finger, then everything is OK.'   I advise that when you pick it up, check absolutely all the sound ports, insert a disc, listen, touch.   And even in the picture it’s not very good, but when you see it in real life, compared to others, it’s simply handsome, this ESYnote model was designed for entertainment, that is, beautiful, comfortable, powerful. Laptop 5 points, if it were 6 I would give it b.   oh yeah, I forgot I’ve been using the laptop for 1 month, I bought it for 29,900 + a 2-year warranty of 2000 and they gave me a card in m.Video in 21 days it will be 2000 rubles, so this is a doubly cool laptop. JUDGE FOR YOURSELF, this was my personal opinion.</v>
      </c>
    </row>
    <row r="4450" spans="1:9" x14ac:dyDescent="0.3">
      <c r="A4450" s="1" t="s">
        <v>17</v>
      </c>
      <c r="B4450" s="1" t="s">
        <v>18</v>
      </c>
      <c r="C4450" s="1" t="s">
        <v>243</v>
      </c>
      <c r="D4450" s="1" t="s">
        <v>247</v>
      </c>
      <c r="E4450" s="1" t="s">
        <v>5819</v>
      </c>
      <c r="F4450" s="1" t="s">
        <v>7592</v>
      </c>
      <c r="G4450" s="1" t="s">
        <v>36</v>
      </c>
      <c r="H4450" s="1" t="s">
        <v>29</v>
      </c>
      <c r="I4450" s="1" t="str">
        <f ca="1">IFERROR(__xludf.DUMMYFUNCTION("GOOGLETRANSLATE(F4450, ""auto"", ""en"")
"),"We bought it three years ago on sale. It was one of the cheapest. So far everything is working great. We wash it often.")</f>
        <v>We bought it three years ago on sale. It was one of the cheapest. So far everything is working great. We wash it often.</v>
      </c>
    </row>
    <row r="4451" spans="1:9" x14ac:dyDescent="0.3">
      <c r="A4451" s="1" t="s">
        <v>61</v>
      </c>
      <c r="B4451" s="1" t="s">
        <v>318</v>
      </c>
      <c r="C4451" s="1" t="s">
        <v>101</v>
      </c>
      <c r="D4451" s="1" t="s">
        <v>521</v>
      </c>
      <c r="E4451" s="1" t="s">
        <v>7593</v>
      </c>
      <c r="F4451" s="1" t="s">
        <v>7594</v>
      </c>
      <c r="G4451" s="1" t="s">
        <v>49</v>
      </c>
      <c r="H4451" s="1" t="s">
        <v>16</v>
      </c>
      <c r="I4451" s="1" t="str">
        <f ca="1">IFERROR(__xludf.DUMMYFUNCTION("GOOGLETRANSLATE(F4451, ""auto"", ""en"")
"),"I only liked the design. But there is a persistent smell and taste of plastic even after a week of use. Returned it to the store.")</f>
        <v>I only liked the design. But there is a persistent smell and taste of plastic even after a week of use. Returned it to the store.</v>
      </c>
    </row>
    <row r="4452" spans="1:9" x14ac:dyDescent="0.3">
      <c r="A4452" s="1" t="s">
        <v>61</v>
      </c>
      <c r="B4452" s="1" t="s">
        <v>318</v>
      </c>
      <c r="C4452" s="1" t="s">
        <v>122</v>
      </c>
      <c r="D4452" s="1" t="s">
        <v>280</v>
      </c>
      <c r="E4452" s="1" t="s">
        <v>5944</v>
      </c>
      <c r="F4452" s="1" t="s">
        <v>7595</v>
      </c>
      <c r="G4452" s="1" t="s">
        <v>36</v>
      </c>
      <c r="H4452" s="1" t="s">
        <v>29</v>
      </c>
      <c r="I4452" s="1" t="str">
        <f ca="1">IFERROR(__xludf.DUMMYFUNCTION("GOOGLETRANSLATE(F4452, ""auto"", ""en"")
"),"I’ve been using it for 2 years, no complaints, I’m glad I bought this particular thermopot.")</f>
        <v>I’ve been using it for 2 years, no complaints, I’m glad I bought this particular thermopot.</v>
      </c>
    </row>
    <row r="4453" spans="1:9" x14ac:dyDescent="0.3">
      <c r="A4453" s="1" t="s">
        <v>9</v>
      </c>
      <c r="B4453" s="1" t="s">
        <v>10</v>
      </c>
      <c r="C4453" s="1" t="s">
        <v>466</v>
      </c>
      <c r="D4453" s="1" t="s">
        <v>589</v>
      </c>
      <c r="E4453" s="1" t="s">
        <v>7596</v>
      </c>
      <c r="F4453" s="1" t="s">
        <v>7597</v>
      </c>
      <c r="G4453" s="1" t="s">
        <v>36</v>
      </c>
      <c r="H4453" s="1" t="s">
        <v>29</v>
      </c>
      <c r="I4453" s="1" t="str">
        <f ca="1">IFERROR(__xludf.DUMMYFUNCTION("GOOGLETRANSLATE(F4453, ""auto"", ""en"")
"),"We bought this model to replace the old one. Before this we had an inclined glass hood. If we compare in terms of work efficiency, then this is heaven and earth. The dome is very good at drawing out even the most pungent burning odors, while the steam fro"&amp;"m the food immediately goes into the hood and does not get on the doors of the kitchen unit.  The hood has been working properly for 3 years. There is no buzzing or crackling noise during operation. In general, the hood is made quite well. All seams look "&amp;"neat, no traces of soldering, bevels, or irregularities. Regarding the noise, I’ll say this: for me, if the hood is too quiet, then it means it’s not working well. This model, of course, makes noise during operation, but not critical, and it pulls very po"&amp;"werfully.")</f>
        <v>We bought this model to replace the old one. Before this we had an inclined glass hood. If we compare in terms of work efficiency, then this is heaven and earth. The dome is very good at drawing out even the most pungent burning odors, while the steam from the food immediately goes into the hood and does not get on the doors of the kitchen unit.  The hood has been working properly for 3 years. There is no buzzing or crackling noise during operation. In general, the hood is made quite well. All seams look neat, no traces of soldering, bevels, or irregularities. Regarding the noise, I’ll say this: for me, if the hood is too quiet, then it means it’s not working well. This model, of course, makes noise during operation, but not critical, and it pulls very powerfully.</v>
      </c>
    </row>
    <row r="4454" spans="1:9" x14ac:dyDescent="0.3">
      <c r="A4454" s="1" t="s">
        <v>17</v>
      </c>
      <c r="B4454" s="1" t="s">
        <v>18</v>
      </c>
      <c r="C4454" s="1" t="s">
        <v>138</v>
      </c>
      <c r="D4454" s="1" t="s">
        <v>152</v>
      </c>
      <c r="E4454" s="1" t="s">
        <v>3084</v>
      </c>
      <c r="F4454" s="1" t="s">
        <v>7598</v>
      </c>
      <c r="G4454" s="1" t="s">
        <v>28</v>
      </c>
      <c r="H4454" s="1" t="s">
        <v>29</v>
      </c>
      <c r="I4454" s="1" t="str">
        <f ca="1">IFERROR(__xludf.DUMMYFUNCTION("GOOGLETRANSLATE(F4454, ""auto"", ""en"")
"),"The choice settled on this car. There were no problems with delivery, it was delivered on time and delivered.  As for the machine itself, the functionality is excellent, everything you need is there, there is no countdown timer, but this is forgivable. Th"&amp;"e only thing that is a little annoying is that the car is quite noisy, and “jumps” at 1000 rpm, at maximum load, the legs are set correctly, I believe the problem is in the car itself, I give 4 only for this. There are no complaints about everything else.")</f>
        <v>The choice settled on this car. There were no problems with delivery, it was delivered on time and delivered.  As for the machine itself, the functionality is excellent, everything you need is there, there is no countdown timer, but this is forgivable. The only thing that is a little annoying is that the car is quite noisy, and “jumps” at 1000 rpm, at maximum load, the legs are set correctly, I believe the problem is in the car itself, I give 4 only for this. There are no complaints about everything else.</v>
      </c>
    </row>
    <row r="4455" spans="1:9" x14ac:dyDescent="0.3">
      <c r="A4455" s="1" t="s">
        <v>17</v>
      </c>
      <c r="B4455" s="1" t="s">
        <v>18</v>
      </c>
      <c r="C4455" s="1" t="s">
        <v>243</v>
      </c>
      <c r="D4455" s="1" t="s">
        <v>474</v>
      </c>
      <c r="E4455" s="1" t="s">
        <v>2162</v>
      </c>
      <c r="F4455" s="1" t="s">
        <v>7599</v>
      </c>
      <c r="G4455" s="1" t="s">
        <v>36</v>
      </c>
      <c r="H4455" s="1" t="s">
        <v>29</v>
      </c>
      <c r="I4455" s="1" t="str">
        <f ca="1">IFERROR(__xludf.DUMMYFUNCTION("GOOGLETRANSLATE(F4455, ""auto"", ""en"")
"),"in use for 1 month.  Well done M.video - delivered, unpacked, checked. Quickly!  Advantages - small, good loading (although at first glance the drum is small, but roomy), I thought because of its size it would jump around the bathroom, nothing like that! "&amp;"For me it’s quiet (there’s something to compare it to), it squeezes out just like everyone else. Erases within the selected program. You can set Eco mode (lower consumption). Very convenient 15 min. washing.  +Price. Lightweight, stable. We do laundry eve"&amp;"ry day. No complaints.  Disadvantages - there is no display, but it doesn’t bother me at all, since there are wash stage indicators, hoses for the inlet on the top right, and the outlet on the bottom left.  He doesn’t sing songs, doesn’t cook food, just d"&amp;"oes his job.")</f>
        <v>in use for 1 month.  Well done M.video - delivered, unpacked, checked. Quickly!  Advantages - small, good loading (although at first glance the drum is small, but roomy), I thought because of its size it would jump around the bathroom, nothing like that! For me it’s quiet (there’s something to compare it to), it squeezes out just like everyone else. Erases within the selected program. You can set Eco mode (lower consumption). Very convenient 15 min. washing.  +Price. Lightweight, stable. We do laundry every day. No complaints.  Disadvantages - there is no display, but it doesn’t bother me at all, since there are wash stage indicators, hoses for the inlet on the top right, and the outlet on the bottom left.  He doesn’t sing songs, doesn’t cook food, just does his job.</v>
      </c>
    </row>
    <row r="4456" spans="1:9" x14ac:dyDescent="0.3">
      <c r="A4456" s="1" t="s">
        <v>61</v>
      </c>
      <c r="B4456" s="1" t="s">
        <v>180</v>
      </c>
      <c r="C4456" s="1" t="s">
        <v>101</v>
      </c>
      <c r="D4456" s="1" t="s">
        <v>2233</v>
      </c>
      <c r="E4456" s="1" t="s">
        <v>5530</v>
      </c>
      <c r="F4456" s="1" t="s">
        <v>7600</v>
      </c>
      <c r="G4456" s="1" t="s">
        <v>36</v>
      </c>
      <c r="H4456" s="1" t="s">
        <v>29</v>
      </c>
      <c r="I4456" s="1" t="str">
        <f ca="1">IFERROR(__xludf.DUMMYFUNCTION("GOOGLETRANSLATE(F4456, ""auto"", ""en"")
"),"My second and definitely best sandwich maker. A friend uses some other company, and even she thinks that mine turns out easier and tastier. The temperature is set correctly, the indicators also do not fail. And there’s definitely no plastic smell and noth"&amp;"ing melts for me")</f>
        <v>My second and definitely best sandwich maker. A friend uses some other company, and even she thinks that mine turns out easier and tastier. The temperature is set correctly, the indicators also do not fail. And there’s definitely no plastic smell and nothing melts for me</v>
      </c>
    </row>
    <row r="4457" spans="1:9" x14ac:dyDescent="0.3">
      <c r="A4457" s="1" t="s">
        <v>206</v>
      </c>
      <c r="B4457" s="1" t="s">
        <v>1349</v>
      </c>
      <c r="C4457" s="1" t="s">
        <v>262</v>
      </c>
      <c r="D4457" s="1" t="s">
        <v>7601</v>
      </c>
      <c r="E4457" s="1" t="s">
        <v>2525</v>
      </c>
      <c r="F4457" s="1" t="s">
        <v>7602</v>
      </c>
      <c r="G4457" s="1" t="s">
        <v>36</v>
      </c>
      <c r="H4457" s="1" t="s">
        <v>29</v>
      </c>
      <c r="I4457" s="1" t="str">
        <f ca="1">IFERROR(__xludf.DUMMYFUNCTION("GOOGLETRANSLATE(F4457, ""auto"", ""en"")
"),"Excellent device. Opens movies from flash drives quickly. The only bad thing is that it takes flash drives up to 8g. No complaints.")</f>
        <v>Excellent device. Opens movies from flash drives quickly. The only bad thing is that it takes flash drives up to 8g. No complaints.</v>
      </c>
    </row>
    <row r="4458" spans="1:9" x14ac:dyDescent="0.3">
      <c r="A4458" s="1" t="s">
        <v>30</v>
      </c>
      <c r="B4458" s="1" t="s">
        <v>50</v>
      </c>
      <c r="C4458" s="1" t="s">
        <v>32</v>
      </c>
      <c r="D4458" s="1" t="s">
        <v>280</v>
      </c>
      <c r="E4458" s="1" t="s">
        <v>628</v>
      </c>
      <c r="F4458" s="1" t="s">
        <v>7603</v>
      </c>
      <c r="G4458" s="1" t="s">
        <v>28</v>
      </c>
      <c r="H4458" s="1" t="s">
        <v>29</v>
      </c>
      <c r="I4458" s="1" t="str">
        <f ca="1">IFERROR(__xludf.DUMMYFUNCTION("GOOGLETRANSLATE(F4458, ""auto"", ""en"")
"),"In general, the laptop is not bad! The OS, that is, Vista, is definitely too crooked and a lot of unnecessary things to demolish. The monitor and hardware work quite nicely, games are great, it’s convenient to work with. For the money I think it's the bes"&amp;"t choice.  I found a flaw in the operating system - why are the strips different not in volume (which is not so important), but also in throughput? Has anyone noticed, or maybe this was already planted on me in the store, in general I’ll change the RAM, s"&amp;"ince it’s difficult to buy an additional 2GB slot...... In short, a good laptop!")</f>
        <v>In general, the laptop is not bad! The OS, that is, Vista, is definitely too crooked and a lot of unnecessary things to demolish. The monitor and hardware work quite nicely, games are great, it’s convenient to work with. For the money I think it's the best choice.  I found a flaw in the operating system - why are the strips different not in volume (which is not so important), but also in throughput? Has anyone noticed, or maybe this was already planted on me in the store, in general I’ll change the RAM, since it’s difficult to buy an additional 2GB slot...... In short, a good laptop!</v>
      </c>
    </row>
    <row r="4459" spans="1:9" x14ac:dyDescent="0.3">
      <c r="A4459" s="1" t="s">
        <v>211</v>
      </c>
      <c r="B4459" s="1" t="s">
        <v>212</v>
      </c>
      <c r="C4459" s="1" t="s">
        <v>745</v>
      </c>
      <c r="D4459" s="1" t="s">
        <v>521</v>
      </c>
      <c r="E4459" s="1" t="s">
        <v>3431</v>
      </c>
      <c r="F4459" s="1" t="s">
        <v>7604</v>
      </c>
      <c r="G4459" s="1" t="s">
        <v>36</v>
      </c>
      <c r="H4459" s="1" t="s">
        <v>29</v>
      </c>
      <c r="I4459" s="1" t="str">
        <f ca="1">IFERROR(__xludf.DUMMYFUNCTION("GOOGLETRANSLATE(F4459, ""auto"", ""en"")
"),"This Polaris hair dryer brush dries and styles my thin hair well. The comb attachment lifts hair while the round brush guides and creates curls. For such a price the model is excellent. It has been working for a year without any complaints. It's comfortab"&amp;"le in the hand, compact, and can be taken on the go. Power is good. My head is always well-groomed with this hairdryer. Nowadays there are so many different fancy hair dryers, but this one is enough for me.")</f>
        <v>This Polaris hair dryer brush dries and styles my thin hair well. The comb attachment lifts hair while the round brush guides and creates curls. For such a price the model is excellent. It has been working for a year without any complaints. It's comfortable in the hand, compact, and can be taken on the go. Power is good. My head is always well-groomed with this hairdryer. Nowadays there are so many different fancy hair dryers, but this one is enough for me.</v>
      </c>
    </row>
    <row r="4460" spans="1:9" x14ac:dyDescent="0.3">
      <c r="A4460" s="1" t="s">
        <v>169</v>
      </c>
      <c r="B4460" s="1" t="s">
        <v>170</v>
      </c>
      <c r="C4460" s="1" t="s">
        <v>122</v>
      </c>
      <c r="D4460" s="1" t="s">
        <v>916</v>
      </c>
      <c r="E4460" s="1" t="s">
        <v>1273</v>
      </c>
      <c r="F4460" s="1" t="s">
        <v>7605</v>
      </c>
      <c r="G4460" s="1" t="s">
        <v>36</v>
      </c>
      <c r="H4460" s="1" t="s">
        <v>29</v>
      </c>
      <c r="I4460" s="1" t="str">
        <f ca="1">IFERROR(__xludf.DUMMYFUNCTION("GOOGLETRANSLATE(F4460, ""auto"", ""en"")
"),"Good sound insulation.  3 sets of ear pads included.  Good Bass, almost like in large headphones.  Ultralight.")</f>
        <v>Good sound insulation.  3 sets of ear pads included.  Good Bass, almost like in large headphones.  Ultralight.</v>
      </c>
    </row>
    <row r="4461" spans="1:9" x14ac:dyDescent="0.3">
      <c r="A4461" s="1" t="s">
        <v>169</v>
      </c>
      <c r="B4461" s="1" t="s">
        <v>170</v>
      </c>
      <c r="C4461" s="1" t="s">
        <v>193</v>
      </c>
      <c r="D4461" s="1" t="s">
        <v>690</v>
      </c>
      <c r="E4461" s="1" t="s">
        <v>3330</v>
      </c>
      <c r="F4461" s="1" t="s">
        <v>7606</v>
      </c>
      <c r="G4461" s="1" t="s">
        <v>36</v>
      </c>
      <c r="H4461" s="1" t="s">
        <v>29</v>
      </c>
      <c r="I4461" s="1" t="str">
        <f ca="1">IFERROR(__xludf.DUMMYFUNCTION("GOOGLETRANSLATE(F4461, ""auto"", ""en"")
"),"I recently picked up these headphones. Just a great thing!!!)) If you don’t like something when testing it in a store, it’s most likely because of the player on the computer on which they will be shown to you. The bass is excellent, does not creak, there "&amp;"is a 6.3 connector, in general the sound is excellent) Take it - you won’t regret it!")</f>
        <v>I recently picked up these headphones. Just a great thing!!!)) If you don’t like something when testing it in a store, it’s most likely because of the player on the computer on which they will be shown to you. The bass is excellent, does not creak, there is a 6.3 connector, in general the sound is excellent) Take it - you won’t regret it!</v>
      </c>
    </row>
    <row r="4462" spans="1:9" x14ac:dyDescent="0.3">
      <c r="A4462" s="1" t="s">
        <v>211</v>
      </c>
      <c r="B4462" s="1" t="s">
        <v>212</v>
      </c>
      <c r="C4462" s="1" t="s">
        <v>213</v>
      </c>
      <c r="D4462" s="1" t="s">
        <v>64</v>
      </c>
      <c r="E4462" s="1" t="s">
        <v>7607</v>
      </c>
      <c r="F4462" s="1" t="s">
        <v>7608</v>
      </c>
      <c r="G4462" s="1" t="s">
        <v>36</v>
      </c>
      <c r="H4462" s="1" t="s">
        <v>29</v>
      </c>
      <c r="I4462" s="1" t="str">
        <f ca="1">IFERROR(__xludf.DUMMYFUNCTION("GOOGLETRANSLATE(F4462, ""auto"", ""en"")
"),"Was disappointed after the first use. I wrote a not very flattering review. But now, after a month of use, I have changed my opinion. Not a bad hairdryer. I got the hang of changing brushes, as they say, “on the fly.”   Just what you need for home use.")</f>
        <v>Was disappointed after the first use. I wrote a not very flattering review. But now, after a month of use, I have changed my opinion. Not a bad hairdryer. I got the hang of changing brushes, as they say, “on the fly.”   Just what you need for home use.</v>
      </c>
    </row>
    <row r="4463" spans="1:9" x14ac:dyDescent="0.3">
      <c r="A4463" s="1" t="s">
        <v>557</v>
      </c>
      <c r="B4463" s="1" t="s">
        <v>558</v>
      </c>
      <c r="C4463" s="1" t="s">
        <v>1921</v>
      </c>
      <c r="D4463" s="1" t="s">
        <v>64</v>
      </c>
      <c r="E4463" s="1" t="s">
        <v>1446</v>
      </c>
      <c r="F4463" s="1" t="s">
        <v>7609</v>
      </c>
      <c r="G4463" s="1" t="s">
        <v>15</v>
      </c>
      <c r="H4463" s="1" t="s">
        <v>16</v>
      </c>
      <c r="I4463" s="1" t="str">
        <f ca="1">IFERROR(__xludf.DUMMYFUNCTION("GOOGLETRANSLATE(F4463, ""auto"", ""en"")
"),"Despite the beautiful design and so on, the DECT teXet TX-D7600 phone has several disadvantages: -very quiet sound. When talking with your interlocutor, you literally have to put the phone in your ear to hear what they are saying to you.  - speaking of th"&amp;"e inconvenient configuration of the handset itself. It may be small, but it’s not entirely comfortable. Its upper part digs into the ear when talking.  -buttons are small and narrow.")</f>
        <v>Despite the beautiful design and so on, the DECT teXet TX-D7600 phone has several disadvantages: -very quiet sound. When talking with your interlocutor, you literally have to put the phone in your ear to hear what they are saying to you.  - speaking of the inconvenient configuration of the handset itself. It may be small, but it’s not entirely comfortable. Its upper part digs into the ear when talking.  -buttons are small and narrow.</v>
      </c>
    </row>
    <row r="4464" spans="1:9" x14ac:dyDescent="0.3">
      <c r="A4464" s="1" t="s">
        <v>43</v>
      </c>
      <c r="B4464" s="1" t="s">
        <v>303</v>
      </c>
      <c r="C4464" s="1" t="s">
        <v>665</v>
      </c>
      <c r="D4464" s="1" t="s">
        <v>52</v>
      </c>
      <c r="E4464" s="1" t="s">
        <v>6435</v>
      </c>
      <c r="F4464" s="1" t="s">
        <v>7610</v>
      </c>
      <c r="G4464" s="1" t="s">
        <v>36</v>
      </c>
      <c r="H4464" s="1" t="s">
        <v>29</v>
      </c>
      <c r="I4464" s="1" t="str">
        <f ca="1">IFERROR(__xludf.DUMMYFUNCTION("GOOGLETRANSLATE(F4464, ""auto"", ""en"")
"),"I bought it a year ago. It works all the time, no problems at all. It's a little inconvenient to hang, but I managed it alone. But at 4 points you can’t tear off the weight. The check valve is not leaking. It has no competitors in terms of price and quali"&amp;"ty. The thermal insulation is very good, the outside of the tank is almost cold. I think if you turn it off for several days, it stays hot and won’t cool down, but I haven’t tried it myself. Bottom line: If you don’t chase show-offs, then the device is ve"&amp;"ry worthy and looks beautiful, so I advise everyone to take it!!!!!!!!!!!!!!!!")</f>
        <v>I bought it a year ago. It works all the time, no problems at all. It's a little inconvenient to hang, but I managed it alone. But at 4 points you can’t tear off the weight. The check valve is not leaking. It has no competitors in terms of price and quality. The thermal insulation is very good, the outside of the tank is almost cold. I think if you turn it off for several days, it stays hot and won’t cool down, but I haven’t tried it myself. Bottom line: If you don’t chase show-offs, then the device is very worthy and looks beautiful, so I advise everyone to take it!!!!!!!!!!!!!!!!</v>
      </c>
    </row>
    <row r="4465" spans="1:9" x14ac:dyDescent="0.3">
      <c r="A4465" s="1" t="s">
        <v>61</v>
      </c>
      <c r="B4465" s="1" t="s">
        <v>318</v>
      </c>
      <c r="C4465" s="1" t="s">
        <v>4871</v>
      </c>
      <c r="D4465" s="1" t="s">
        <v>1610</v>
      </c>
      <c r="E4465" s="1" t="s">
        <v>5648</v>
      </c>
      <c r="F4465" s="1" t="s">
        <v>7611</v>
      </c>
      <c r="G4465" s="1" t="s">
        <v>36</v>
      </c>
      <c r="H4465" s="1" t="s">
        <v>29</v>
      </c>
      <c r="I4465" s="1" t="str">
        <f ca="1">IFERROR(__xludf.DUMMYFUNCTION("GOOGLETRANSLATE(F4465, ""auto"", ""en"")
"),"I bought a very high-quality thermopot 5 years ago and am very pleased with it. Holds temperature very well. Boils in 25 minutes. Buy it, you won’t regret it.")</f>
        <v>I bought a very high-quality thermopot 5 years ago and am very pleased with it. Holds temperature very well. Boils in 25 minutes. Buy it, you won’t regret it.</v>
      </c>
    </row>
    <row r="4466" spans="1:9" x14ac:dyDescent="0.3">
      <c r="A4466" s="1" t="s">
        <v>1119</v>
      </c>
      <c r="B4466" s="1" t="s">
        <v>1120</v>
      </c>
      <c r="C4466" s="1" t="s">
        <v>4468</v>
      </c>
      <c r="D4466" s="1" t="s">
        <v>52</v>
      </c>
      <c r="E4466" s="1" t="s">
        <v>3073</v>
      </c>
      <c r="F4466" s="1" t="s">
        <v>7612</v>
      </c>
      <c r="G4466" s="1" t="s">
        <v>36</v>
      </c>
      <c r="H4466" s="1" t="s">
        <v>29</v>
      </c>
      <c r="I4466" s="1" t="str">
        <f ca="1">IFERROR(__xludf.DUMMYFUNCTION("GOOGLETRANSLATE(F4466, ""auto"", ""en"")
"),"The camera is very good, small in size, very comfortable in the hand. The functions are also quite good, so take it, you won’t regret it!!!!")</f>
        <v>The camera is very good, small in size, very comfortable in the hand. The functions are also quite good, so take it, you won’t regret it!!!!</v>
      </c>
    </row>
    <row r="4467" spans="1:9" x14ac:dyDescent="0.3">
      <c r="A4467" s="1" t="s">
        <v>61</v>
      </c>
      <c r="B4467" s="1" t="s">
        <v>73</v>
      </c>
      <c r="C4467" s="1" t="s">
        <v>101</v>
      </c>
      <c r="D4467" s="1" t="s">
        <v>280</v>
      </c>
      <c r="E4467" s="1" t="s">
        <v>7195</v>
      </c>
      <c r="F4467" s="1" t="s">
        <v>7613</v>
      </c>
      <c r="G4467" s="1" t="s">
        <v>49</v>
      </c>
      <c r="H4467" s="1" t="s">
        <v>16</v>
      </c>
      <c r="I4467" s="1" t="str">
        <f ca="1">IFERROR(__xludf.DUMMYFUNCTION("GOOGLETRANSLATE(F4467, ""auto"", ""en"")
"),"I bought this meat grinder for myself, thinking to save time and effort on cooking, but I still have to buy minced meat from the store. What comes out of this meat grinder at a slow speed cannot be called minced meat, it is more like some kind of paste. I"&amp;" don't recommend it.")</f>
        <v>I bought this meat grinder for myself, thinking to save time and effort on cooking, but I still have to buy minced meat from the store. What comes out of this meat grinder at a slow speed cannot be called minced meat, it is more like some kind of paste. I don't recommend it.</v>
      </c>
    </row>
    <row r="4468" spans="1:9" x14ac:dyDescent="0.3">
      <c r="A4468" s="1" t="s">
        <v>37</v>
      </c>
      <c r="B4468" s="1" t="s">
        <v>536</v>
      </c>
      <c r="C4468" s="1" t="s">
        <v>163</v>
      </c>
      <c r="D4468" s="1" t="s">
        <v>75</v>
      </c>
      <c r="E4468" s="1" t="s">
        <v>214</v>
      </c>
      <c r="F4468" s="1" t="s">
        <v>7614</v>
      </c>
      <c r="G4468" s="1" t="s">
        <v>49</v>
      </c>
      <c r="H4468" s="1" t="s">
        <v>16</v>
      </c>
      <c r="I4468" s="1" t="str">
        <f ca="1">IFERROR(__xludf.DUMMYFUNCTION("GOOGLETRANSLATE(F4468, ""auto"", ""en"")
"),"I bought the phone 2 weeks ago, it freezes terribly..... I had to give it back for a replacement!!!!=((((( So basically nothing, only the system is buggy.....")</f>
        <v>I bought the phone 2 weeks ago, it freezes terribly..... I had to give it back for a replacement!!!!=((((( So basically nothing, only the system is buggy.....</v>
      </c>
    </row>
    <row r="4469" spans="1:9" x14ac:dyDescent="0.3">
      <c r="A4469" s="1" t="s">
        <v>61</v>
      </c>
      <c r="B4469" s="1" t="s">
        <v>318</v>
      </c>
      <c r="C4469" s="1" t="s">
        <v>85</v>
      </c>
      <c r="D4469" s="1" t="s">
        <v>305</v>
      </c>
      <c r="E4469" s="1" t="s">
        <v>7615</v>
      </c>
      <c r="F4469" s="1" t="s">
        <v>7616</v>
      </c>
      <c r="G4469" s="1" t="s">
        <v>36</v>
      </c>
      <c r="H4469" s="1" t="s">
        <v>29</v>
      </c>
      <c r="I4469" s="1" t="str">
        <f ca="1">IFERROR(__xludf.DUMMYFUNCTION("GOOGLETRANSLATE(F4469, ""auto"", ""en"")
"),"I've been using it for 2 years. No complaints. Boils water almost silently.  There is a choice of temperatures, which is convenient when preparing drinks. I recommend for purchase.")</f>
        <v>I've been using it for 2 years. No complaints. Boils water almost silently.  There is a choice of temperatures, which is convenient when preparing drinks. I recommend for purchase.</v>
      </c>
    </row>
    <row r="4470" spans="1:9" x14ac:dyDescent="0.3">
      <c r="A4470" s="1" t="s">
        <v>9</v>
      </c>
      <c r="B4470" s="1" t="s">
        <v>10</v>
      </c>
      <c r="C4470" s="1" t="s">
        <v>466</v>
      </c>
      <c r="D4470" s="1" t="s">
        <v>305</v>
      </c>
      <c r="E4470" s="1" t="s">
        <v>7617</v>
      </c>
      <c r="F4470" s="1" t="s">
        <v>7618</v>
      </c>
      <c r="G4470" s="1" t="s">
        <v>28</v>
      </c>
      <c r="H4470" s="1" t="s">
        <v>29</v>
      </c>
      <c r="I4470" s="1" t="str">
        <f ca="1">IFERROR(__xludf.DUMMYFUNCTION("GOOGLETRANSLATE(F4470, ""auto"", ""en"")
"),"I purchased this hood in July 2014 to order. On the display case and on the website, the grease filter consists of two halves. In mine, this part is made into a single part. Those. the advantage in washing it away from fat, which was stated earlier, no lo"&amp;"nger corresponds to reality. It works quietly, I had to buy an additional carbon filter. I'm happy with the purchase.")</f>
        <v>I purchased this hood in July 2014 to order. On the display case and on the website, the grease filter consists of two halves. In mine, this part is made into a single part. Those. the advantage in washing it away from fat, which was stated earlier, no longer corresponds to reality. It works quietly, I had to buy an additional carbon filter. I'm happy with the purchase.</v>
      </c>
    </row>
    <row r="4471" spans="1:9" x14ac:dyDescent="0.3">
      <c r="A4471" s="1" t="s">
        <v>95</v>
      </c>
      <c r="B4471" s="1" t="s">
        <v>486</v>
      </c>
      <c r="C4471" s="1" t="s">
        <v>487</v>
      </c>
      <c r="D4471" s="1" t="s">
        <v>7619</v>
      </c>
      <c r="E4471" s="1" t="s">
        <v>400</v>
      </c>
      <c r="F4471" s="1" t="s">
        <v>7620</v>
      </c>
      <c r="G4471" s="1" t="s">
        <v>36</v>
      </c>
      <c r="H4471" s="1" t="s">
        <v>29</v>
      </c>
      <c r="I4471" s="1" t="str">
        <f ca="1">IFERROR(__xludf.DUMMYFUNCTION("GOOGLETRANSLATE(F4471, ""auto"", ""en"")
"),"why copy? the fact that Sony copies Nintendo is normal, but the fact that the small software guys made a stripped-down version 5 years later is copyright right?  And sales of gods are 1.5 times higher than sales of Sony. So there is nothing to say without"&amp;" facts.")</f>
        <v>why copy? the fact that Sony copies Nintendo is normal, but the fact that the small software guys made a stripped-down version 5 years later is copyright right?  And sales of gods are 1.5 times higher than sales of Sony. So there is nothing to say without facts.</v>
      </c>
    </row>
    <row r="4472" spans="1:9" x14ac:dyDescent="0.3">
      <c r="A4472" s="1" t="s">
        <v>67</v>
      </c>
      <c r="B4472" s="1" t="s">
        <v>68</v>
      </c>
      <c r="C4472" s="1" t="s">
        <v>69</v>
      </c>
      <c r="D4472" s="1" t="s">
        <v>471</v>
      </c>
      <c r="E4472" s="1" t="s">
        <v>4486</v>
      </c>
      <c r="F4472" s="1" t="s">
        <v>7621</v>
      </c>
      <c r="G4472" s="1" t="s">
        <v>28</v>
      </c>
      <c r="H4472" s="1" t="s">
        <v>29</v>
      </c>
      <c r="I4472" s="1" t="str">
        <f ca="1">IFERROR(__xludf.DUMMYFUNCTION("GOOGLETRANSLATE(F4472, ""auto"", ""en"")
"),"Irons perfectly, but the downside is the unpleasant sound from the steam!")</f>
        <v>Irons perfectly, but the downside is the unpleasant sound from the steam!</v>
      </c>
    </row>
    <row r="4473" spans="1:9" x14ac:dyDescent="0.3">
      <c r="A4473" s="1" t="s">
        <v>811</v>
      </c>
      <c r="B4473" s="1" t="s">
        <v>812</v>
      </c>
      <c r="C4473" s="1" t="s">
        <v>974</v>
      </c>
      <c r="D4473" s="1" t="s">
        <v>81</v>
      </c>
      <c r="E4473" s="1" t="s">
        <v>1507</v>
      </c>
      <c r="F4473" s="1" t="s">
        <v>7622</v>
      </c>
      <c r="G4473" s="1" t="s">
        <v>36</v>
      </c>
      <c r="H4473" s="1" t="s">
        <v>29</v>
      </c>
      <c r="I4473" s="1" t="str">
        <f ca="1">IFERROR(__xludf.DUMMYFUNCTION("GOOGLETRANSLATE(F4473, ""auto"", ""en"")
"),"The tripod significantly expands the shooting area due to its unusual design.")</f>
        <v>The tripod significantly expands the shooting area due to its unusual design.</v>
      </c>
    </row>
    <row r="4474" spans="1:9" x14ac:dyDescent="0.3">
      <c r="A4474" s="1" t="s">
        <v>89</v>
      </c>
      <c r="B4474" s="1" t="s">
        <v>90</v>
      </c>
      <c r="C4474" s="1" t="s">
        <v>63</v>
      </c>
      <c r="D4474" s="1" t="s">
        <v>568</v>
      </c>
      <c r="E4474" s="1" t="s">
        <v>2693</v>
      </c>
      <c r="F4474" s="1" t="s">
        <v>7623</v>
      </c>
      <c r="G4474" s="1" t="s">
        <v>36</v>
      </c>
      <c r="H4474" s="1" t="s">
        <v>29</v>
      </c>
      <c r="I4474" s="1" t="str">
        <f ca="1">IFERROR(__xludf.DUMMYFUNCTION("GOOGLETRANSLATE(F4474, ""auto"", ""en"")
"),"I swapped for this coffee grinder after a rotary one - what I like about it - yes, I like everything, it’s made not in China but in Yugoslavia, it’s white - nice, a convenient switch, small in size - it doesn’t take up much space in the kitchen, the coffe"&amp;"e grinds well, the longer you keep it on, the finer the grind, you can grind it into dust, it will be like flour, this is what a rotary coffee grinder can’t do.  The only negative is that if you grind for one cup of coffee, the engine’s power is too much;"&amp;" if you keep it on for a long time, the winding starts to heat up and smell. At least that’s how it was at the beginning, now I don’t notice the smell of the heated winding. True, when you fill up a full cup, this is rather a plus.")</f>
        <v>I swapped for this coffee grinder after a rotary one - what I like about it - yes, I like everything, it’s made not in China but in Yugoslavia, it’s white - nice, a convenient switch, small in size - it doesn’t take up much space in the kitchen, the coffee grinds well, the longer you keep it on, the finer the grind, you can grind it into dust, it will be like flour, this is what a rotary coffee grinder can’t do.  The only negative is that if you grind for one cup of coffee, the engine’s power is too much; if you keep it on for a long time, the winding starts to heat up and smell. At least that’s how it was at the beginning, now I don’t notice the smell of the heated winding. True, when you fill up a full cup, this is rather a plus.</v>
      </c>
    </row>
    <row r="4475" spans="1:9" x14ac:dyDescent="0.3">
      <c r="A4475" s="1" t="s">
        <v>89</v>
      </c>
      <c r="B4475" s="1" t="s">
        <v>90</v>
      </c>
      <c r="C4475" s="1" t="s">
        <v>63</v>
      </c>
      <c r="D4475" s="1" t="s">
        <v>139</v>
      </c>
      <c r="E4475" s="1" t="s">
        <v>7624</v>
      </c>
      <c r="F4475" s="1" t="s">
        <v>7625</v>
      </c>
      <c r="G4475" s="1" t="s">
        <v>36</v>
      </c>
      <c r="H4475" s="1" t="s">
        <v>29</v>
      </c>
      <c r="I4475" s="1" t="str">
        <f ca="1">IFERROR(__xludf.DUMMYFUNCTION("GOOGLETRANSLATE(F4475, ""auto"", ""en"")
"),"The thoroughness and uniformity of grinding coffee beans in the short time specified in the instructions is enough.  Fast and high quality!")</f>
        <v>The thoroughness and uniformity of grinding coffee beans in the short time specified in the instructions is enough.  Fast and high quality!</v>
      </c>
    </row>
    <row r="4476" spans="1:9" x14ac:dyDescent="0.3">
      <c r="A4476" s="1" t="s">
        <v>149</v>
      </c>
      <c r="B4476" s="1" t="s">
        <v>576</v>
      </c>
      <c r="C4476" s="1" t="s">
        <v>69</v>
      </c>
      <c r="D4476" s="1" t="s">
        <v>7626</v>
      </c>
      <c r="E4476" s="1" t="s">
        <v>7627</v>
      </c>
      <c r="F4476" s="1" t="s">
        <v>7628</v>
      </c>
      <c r="G4476" s="1" t="s">
        <v>36</v>
      </c>
      <c r="H4476" s="1" t="s">
        <v>29</v>
      </c>
      <c r="I4476" s="1" t="str">
        <f ca="1">IFERROR(__xludf.DUMMYFUNCTION("GOOGLETRANSLATE(F4476, ""auto"", ""en"")
"),"Powerful, practical")</f>
        <v>Powerful, practical</v>
      </c>
    </row>
    <row r="4477" spans="1:9" x14ac:dyDescent="0.3">
      <c r="A4477" s="1" t="s">
        <v>9</v>
      </c>
      <c r="B4477" s="1" t="s">
        <v>10</v>
      </c>
      <c r="C4477" s="1" t="s">
        <v>466</v>
      </c>
      <c r="D4477" s="1" t="s">
        <v>46</v>
      </c>
      <c r="E4477" s="1" t="s">
        <v>2173</v>
      </c>
      <c r="F4477" s="1" t="s">
        <v>7629</v>
      </c>
      <c r="G4477" s="1" t="s">
        <v>36</v>
      </c>
      <c r="H4477" s="1" t="s">
        <v>29</v>
      </c>
      <c r="I4477" s="1" t="str">
        <f ca="1">IFERROR(__xludf.DUMMYFUNCTION("GOOGLETRANSLATE(F4477, ""auto"", ""en"")
"),"We were looking for a simple and inexpensive range hood for the kitchen, and we were attracted to this one. It is small and compact, easy to install. Easy to clean too. It is quite enough for our small kitchen. It draws air perfectly, now the kitchen is n"&amp;"ot stuffy while cooking, and it doesn’t smell like fried onions or other foods. The performance is good, and the hood is not noisy at all. Convenient control, 3 speeds, you can choose any depending on the desired power. Lights up the stove well.")</f>
        <v>We were looking for a simple and inexpensive range hood for the kitchen, and we were attracted to this one. It is small and compact, easy to install. Easy to clean too. It is quite enough for our small kitchen. It draws air perfectly, now the kitchen is not stuffy while cooking, and it doesn’t smell like fried onions or other foods. The performance is good, and the hood is not noisy at all. Convenient control, 3 speeds, you can choose any depending on the desired power. Lights up the stove well.</v>
      </c>
    </row>
    <row r="4478" spans="1:9" x14ac:dyDescent="0.3">
      <c r="A4478" s="1" t="s">
        <v>43</v>
      </c>
      <c r="B4478" s="1" t="s">
        <v>334</v>
      </c>
      <c r="C4478" s="1" t="s">
        <v>101</v>
      </c>
      <c r="D4478" s="1" t="s">
        <v>152</v>
      </c>
      <c r="E4478" s="1" t="s">
        <v>4692</v>
      </c>
      <c r="F4478" s="1" t="s">
        <v>7630</v>
      </c>
      <c r="G4478" s="1" t="s">
        <v>36</v>
      </c>
      <c r="H4478" s="1" t="s">
        <v>29</v>
      </c>
      <c r="I4478" s="1" t="str">
        <f ca="1">IFERROR(__xludf.DUMMYFUNCTION("GOOGLETRANSLATE(F4478, ""auto"", ""en"")
"),"I bought it in the spring of 2010. Works great. Low noise. Very pleased with the purchase.")</f>
        <v>I bought it in the spring of 2010. Works great. Low noise. Very pleased with the purchase.</v>
      </c>
    </row>
    <row r="4479" spans="1:9" x14ac:dyDescent="0.3">
      <c r="A4479" s="1" t="s">
        <v>37</v>
      </c>
      <c r="B4479" s="1" t="s">
        <v>38</v>
      </c>
      <c r="C4479" s="1" t="s">
        <v>151</v>
      </c>
      <c r="D4479" s="1" t="s">
        <v>1499</v>
      </c>
      <c r="E4479" s="1" t="s">
        <v>2280</v>
      </c>
      <c r="F4479" s="1" t="s">
        <v>7631</v>
      </c>
      <c r="G4479" s="1" t="s">
        <v>36</v>
      </c>
      <c r="H4479" s="1" t="s">
        <v>29</v>
      </c>
      <c r="I4479" s="1" t="str">
        <f ca="1">IFERROR(__xludf.DUMMYFUNCTION("GOOGLETRANSLATE(F4479, ""auto"", ""en"")
"),"I recently bought it and am very happy!  Excellent phone with cool interchangeable panels.  bright, fashionable, beautiful, clear and comfortable. etc. a good camera no worse than the star :) there are few shortcomings, there is much more good in it!  Eve"&amp;"ry day it makes me more and more happy!  Lots of internet access!  can replace the player) a very good phone!) I advise everyone to take it! And the price is good...)")</f>
        <v>I recently bought it and am very happy!  Excellent phone with cool interchangeable panels.  bright, fashionable, beautiful, clear and comfortable. etc. a good camera no worse than the star :) there are few shortcomings, there is much more good in it!  Every day it makes me more and more happy!  Lots of internet access!  can replace the player) a very good phone!) I advise everyone to take it! And the price is good...)</v>
      </c>
    </row>
    <row r="4480" spans="1:9" x14ac:dyDescent="0.3">
      <c r="A4480" s="1" t="s">
        <v>89</v>
      </c>
      <c r="B4480" s="1" t="s">
        <v>90</v>
      </c>
      <c r="C4480" s="1" t="s">
        <v>745</v>
      </c>
      <c r="D4480" s="1" t="s">
        <v>1681</v>
      </c>
      <c r="E4480" s="1" t="s">
        <v>4330</v>
      </c>
      <c r="F4480" s="1" t="s">
        <v>7249</v>
      </c>
      <c r="G4480" s="1" t="s">
        <v>36</v>
      </c>
      <c r="H4480" s="1" t="s">
        <v>29</v>
      </c>
      <c r="I4480" s="1" t="str">
        <f ca="1">IFERROR(__xludf.DUMMYFUNCTION("GOOGLETRANSLATE(F4480, ""auto"", ""en"")
"),"Now we’re wondering how we ever managed without it. We had never drank coffee beans before, so we didn’t need a coffee grinder. But with it and the ground leather, it’s just some kind of gift. It's much easier and tastier. It is plastic and quite light in"&amp;" weight, but it is made thoroughly. The power is decent and it doesn't consume much electricity. And they gave us a guarantee for it.")</f>
        <v>Now we’re wondering how we ever managed without it. We had never drank coffee beans before, so we didn’t need a coffee grinder. But with it and the ground leather, it’s just some kind of gift. It's much easier and tastier. It is plastic and quite light in weight, but it is made thoroughly. The power is decent and it doesn't consume much electricity. And they gave us a guarantee for it.</v>
      </c>
    </row>
    <row r="4481" spans="1:9" x14ac:dyDescent="0.3">
      <c r="A4481" s="1" t="s">
        <v>9</v>
      </c>
      <c r="B4481" s="1" t="s">
        <v>10</v>
      </c>
      <c r="C4481" s="1" t="s">
        <v>407</v>
      </c>
      <c r="D4481" s="1" t="s">
        <v>7632</v>
      </c>
      <c r="E4481" s="1" t="s">
        <v>7229</v>
      </c>
      <c r="F4481" s="1" t="s">
        <v>7633</v>
      </c>
      <c r="G4481" s="1" t="s">
        <v>36</v>
      </c>
      <c r="H4481" s="1" t="s">
        <v>29</v>
      </c>
      <c r="I4481" s="1" t="str">
        <f ca="1">IFERROR(__xludf.DUMMYFUNCTION("GOOGLETRANSLATE(F4481, ""auto"", ""en"")
"),"I liked this hood in the store and barely convinced my husband to buy it. It looks great compared to our old one!! It is convenient that it is located at an angle to the surface of the stove, and does not interfere with the cooking process. Whenever I coo"&amp;"k, I turn on the backlight, even during the day, so that I can better see what’s going on in the pans. The hood operates almost silently. We also bought an additional carbon filter. My husband often smokes in the kitchen, and with an additional tobacco sm"&amp;"ell filter he goes away with a bang. Definitely a good purchase!")</f>
        <v>I liked this hood in the store and barely convinced my husband to buy it. It looks great compared to our old one!! It is convenient that it is located at an angle to the surface of the stove, and does not interfere with the cooking process. Whenever I cook, I turn on the backlight, even during the day, so that I can better see what’s going on in the pans. The hood operates almost silently. We also bought an additional carbon filter. My husband often smokes in the kitchen, and with an additional tobacco smell filter he goes away with a bang. Definitely a good purchase!</v>
      </c>
    </row>
    <row r="4482" spans="1:9" x14ac:dyDescent="0.3">
      <c r="A4482" s="1" t="s">
        <v>111</v>
      </c>
      <c r="B4482" s="1" t="s">
        <v>1090</v>
      </c>
      <c r="C4482" s="1" t="s">
        <v>1091</v>
      </c>
      <c r="D4482" s="1" t="s">
        <v>75</v>
      </c>
      <c r="E4482" s="1" t="s">
        <v>3630</v>
      </c>
      <c r="F4482" s="1" t="s">
        <v>7634</v>
      </c>
      <c r="G4482" s="1" t="s">
        <v>36</v>
      </c>
      <c r="H4482" s="1" t="s">
        <v>29</v>
      </c>
      <c r="I4482" s="1" t="str">
        <f ca="1">IFERROR(__xludf.DUMMYFUNCTION("GOOGLETRANSLATE(F4482, ""auto"", ""en"")
"),"I have been using the lamp for several days now, and I can say that the lamp corresponds to the declared characteristics. Excellent quality.  When turned on, only after a long break, there is a slight delay, which is not at all critical. The advantage is "&amp;"the short length of the lamp.")</f>
        <v>I have been using the lamp for several days now, and I can say that the lamp corresponds to the declared characteristics. Excellent quality.  When turned on, only after a long break, there is a slight delay, which is not at all critical. The advantage is the short length of the lamp.</v>
      </c>
    </row>
    <row r="4483" spans="1:9" x14ac:dyDescent="0.3">
      <c r="A4483" s="1" t="s">
        <v>111</v>
      </c>
      <c r="B4483" s="1" t="s">
        <v>1090</v>
      </c>
      <c r="C4483" s="1" t="s">
        <v>6206</v>
      </c>
      <c r="D4483" s="1" t="s">
        <v>139</v>
      </c>
      <c r="E4483" s="1" t="s">
        <v>1362</v>
      </c>
      <c r="F4483" s="1" t="s">
        <v>7635</v>
      </c>
      <c r="G4483" s="1" t="s">
        <v>28</v>
      </c>
      <c r="H4483" s="1" t="s">
        <v>29</v>
      </c>
      <c r="I4483" s="1" t="str">
        <f ca="1">IFERROR(__xludf.DUMMYFUNCTION("GOOGLETRANSLATE(F4483, ""auto"", ""en"")
"),"A good flashlight for the money, it shines brightly, the batteries last a long time.  After purchasing it I had to finish it a little myself. The board with the LED was not glued and the wiring with a minus was coming off.  Did it in a couple of seconds.")</f>
        <v>A good flashlight for the money, it shines brightly, the batteries last a long time.  After purchasing it I had to finish it a little myself. The board with the LED was not glued and the wiring with a minus was coming off.  Did it in a couple of seconds.</v>
      </c>
    </row>
    <row r="4484" spans="1:9" x14ac:dyDescent="0.3">
      <c r="A4484" s="1" t="s">
        <v>61</v>
      </c>
      <c r="B4484" s="1" t="s">
        <v>224</v>
      </c>
      <c r="C4484" s="1" t="s">
        <v>85</v>
      </c>
      <c r="D4484" s="1" t="s">
        <v>5491</v>
      </c>
      <c r="E4484" s="1" t="s">
        <v>5081</v>
      </c>
      <c r="F4484" s="1" t="s">
        <v>7636</v>
      </c>
      <c r="G4484" s="1" t="s">
        <v>36</v>
      </c>
      <c r="H4484" s="1" t="s">
        <v>29</v>
      </c>
      <c r="I4484" s="1" t="str">
        <f ca="1">IFERROR(__xludf.DUMMYFUNCTION("GOOGLETRANSLATE(F4484, ""auto"", ""en"")
"),"I've been using it for half a year now and really like it. The cake is absolutely dry, squeezes out very quickly, can be washed and disassembled in 1 minute, does not take up much space in the kitchen, and squeezes out carrots, apples, and oranges especia"&amp;"lly well. In general, I am very pleased with the purchase and recommend it to everyone!")</f>
        <v>I've been using it for half a year now and really like it. The cake is absolutely dry, squeezes out very quickly, can be washed and disassembled in 1 minute, does not take up much space in the kitchen, and squeezes out carrots, apples, and oranges especially well. In general, I am very pleased with the purchase and recommend it to everyone!</v>
      </c>
    </row>
    <row r="4485" spans="1:9" x14ac:dyDescent="0.3">
      <c r="A4485" s="1" t="s">
        <v>111</v>
      </c>
      <c r="B4485" s="1" t="s">
        <v>636</v>
      </c>
      <c r="C4485" s="1" t="s">
        <v>637</v>
      </c>
      <c r="D4485" s="1" t="s">
        <v>32</v>
      </c>
      <c r="E4485" s="1" t="s">
        <v>7637</v>
      </c>
      <c r="F4485" s="1" t="s">
        <v>7638</v>
      </c>
      <c r="G4485" s="1" t="s">
        <v>36</v>
      </c>
      <c r="H4485" s="1" t="s">
        <v>29</v>
      </c>
      <c r="I4485" s="1" t="str">
        <f ca="1">IFERROR(__xludf.DUMMYFUNCTION("GOOGLETRANSLATE(F4485, ""auto"", ""en"")
"),"Measures accurately")</f>
        <v>Measures accurately</v>
      </c>
    </row>
    <row r="4486" spans="1:9" x14ac:dyDescent="0.3">
      <c r="A4486" s="1" t="s">
        <v>211</v>
      </c>
      <c r="B4486" s="1" t="s">
        <v>899</v>
      </c>
      <c r="C4486" s="1" t="s">
        <v>69</v>
      </c>
      <c r="D4486" s="1" t="s">
        <v>2425</v>
      </c>
      <c r="E4486" s="1" t="s">
        <v>1417</v>
      </c>
      <c r="F4486" s="1" t="s">
        <v>7639</v>
      </c>
      <c r="G4486" s="1" t="s">
        <v>36</v>
      </c>
      <c r="H4486" s="1" t="s">
        <v>29</v>
      </c>
      <c r="I4486" s="1" t="str">
        <f ca="1">IFERROR(__xludf.DUMMYFUNCTION("GOOGLETRANSLATE(F4486, ""auto"", ""en"")
"),"I want to share the result of using a toothbrush. I’ll say right away - I’m very pleased!!! Due to the “peculiarities” of my body, plaque always forms on the inside of my lower teeth, no matter what brushes and pastes I used to clean it off; only regular "&amp;"ultrasonic cleaning at the dentist’s office helped. To maintain cleanliness, the doctor recommended purchasing an electric brush. The choice fell on this model, thanks to its modes and correct movements. Removes plaque perfectly! Teeth are always clean!")</f>
        <v>I want to share the result of using a toothbrush. I’ll say right away - I’m very pleased!!! Due to the “peculiarities” of my body, plaque always forms on the inside of my lower teeth, no matter what brushes and pastes I used to clean it off; only regular ultrasonic cleaning at the dentist’s office helped. To maintain cleanliness, the doctor recommended purchasing an electric brush. The choice fell on this model, thanks to its modes and correct movements. Removes plaque perfectly! Teeth are always clean!</v>
      </c>
    </row>
    <row r="4487" spans="1:9" x14ac:dyDescent="0.3">
      <c r="A4487" s="1" t="s">
        <v>17</v>
      </c>
      <c r="B4487" s="1" t="s">
        <v>18</v>
      </c>
      <c r="C4487" s="1" t="s">
        <v>243</v>
      </c>
      <c r="D4487" s="1" t="s">
        <v>139</v>
      </c>
      <c r="E4487" s="1" t="s">
        <v>7640</v>
      </c>
      <c r="F4487" s="1" t="s">
        <v>7641</v>
      </c>
      <c r="G4487" s="1" t="s">
        <v>36</v>
      </c>
      <c r="H4487" s="1" t="s">
        <v>29</v>
      </c>
      <c r="I4487" s="1" t="str">
        <f ca="1">IFERROR(__xludf.DUMMYFUNCTION("GOOGLETRANSLATE(F4487, ""auto"", ""en"")
"),"I really like the washing machine, easy to use, quiet, small - just perfect for our one-room apartment, reasonable price, ordered and paid online - received a 5% discount, and that’s a lot) and easily transported it in the back seat of the car.")</f>
        <v>I really like the washing machine, easy to use, quiet, small - just perfect for our one-room apartment, reasonable price, ordered and paid online - received a 5% discount, and that’s a lot) and easily transported it in the back seat of the car.</v>
      </c>
    </row>
    <row r="4488" spans="1:9" x14ac:dyDescent="0.3">
      <c r="A4488" s="1" t="s">
        <v>1443</v>
      </c>
      <c r="B4488" s="1" t="s">
        <v>1444</v>
      </c>
      <c r="C4488" s="1" t="s">
        <v>1445</v>
      </c>
      <c r="D4488" s="1" t="s">
        <v>7642</v>
      </c>
      <c r="E4488" s="1" t="s">
        <v>886</v>
      </c>
      <c r="F4488" s="1" t="s">
        <v>7643</v>
      </c>
      <c r="G4488" s="1" t="s">
        <v>28</v>
      </c>
      <c r="H4488" s="1" t="s">
        <v>29</v>
      </c>
      <c r="I4488" s="1" t="str">
        <f ca="1">IFERROR(__xludf.DUMMYFUNCTION("GOOGLETRANSLATE(F4488, ""auto"", ""en"")
"),"For some reason the Pioneer DVD player does not read the AVI file from it, despite the fact that it reads the same file normally from another flash drive.")</f>
        <v>For some reason the Pioneer DVD player does not read the AVI file from it, despite the fact that it reads the same file normally from another flash drive.</v>
      </c>
    </row>
    <row r="4489" spans="1:9" x14ac:dyDescent="0.3">
      <c r="A4489" s="1" t="s">
        <v>211</v>
      </c>
      <c r="B4489" s="1" t="s">
        <v>265</v>
      </c>
      <c r="C4489" s="1" t="s">
        <v>294</v>
      </c>
      <c r="D4489" s="1" t="s">
        <v>1008</v>
      </c>
      <c r="E4489" s="1" t="s">
        <v>7644</v>
      </c>
      <c r="F4489" s="1" t="s">
        <v>7645</v>
      </c>
      <c r="G4489" s="1" t="s">
        <v>49</v>
      </c>
      <c r="H4489" s="1" t="s">
        <v>16</v>
      </c>
      <c r="I4489" s="1" t="str">
        <f ca="1">IFERROR(__xludf.DUMMYFUNCTION("GOOGLETRANSLATE(F4489, ""auto"", ""en"")
"),"antennas, in order to achieve a normal haircut, you need to bring the head of the person being trimmed to calluses, reduce the speed yourself, I want to return it as long as the guarantee allows")</f>
        <v>antennas, in order to achieve a normal haircut, you need to bring the head of the person being trimmed to calluses, reduce the speed yourself, I want to return it as long as the guarantee allows</v>
      </c>
    </row>
    <row r="4490" spans="1:9" x14ac:dyDescent="0.3">
      <c r="A4490" s="1" t="s">
        <v>61</v>
      </c>
      <c r="B4490" s="1" t="s">
        <v>145</v>
      </c>
      <c r="C4490" s="1" t="s">
        <v>69</v>
      </c>
      <c r="D4490" s="1" t="s">
        <v>208</v>
      </c>
      <c r="E4490" s="1" t="s">
        <v>2043</v>
      </c>
      <c r="F4490" s="1" t="s">
        <v>7646</v>
      </c>
      <c r="G4490" s="1" t="s">
        <v>36</v>
      </c>
      <c r="H4490" s="1" t="s">
        <v>29</v>
      </c>
      <c r="I4490" s="1" t="str">
        <f ca="1">IFERROR(__xludf.DUMMYFUNCTION("GOOGLETRANSLATE(F4490, ""auto"", ""en"")
"),"Super. After we bought it, we now cook 70% of our food only with it. I used to think that steamed food would be rubbery and not tasty. Now I understand how wrong I was.   Considering that I was diagnosed with gastritis - low-fat and non-fried food, but at"&amp;" the same time tasty, this is just for me.  Now I'm going to buy exactly the same one for my mother as a gift.")</f>
        <v>Super. After we bought it, we now cook 70% of our food only with it. I used to think that steamed food would be rubbery and not tasty. Now I understand how wrong I was.   Considering that I was diagnosed with gastritis - low-fat and non-fried food, but at the same time tasty, this is just for me.  Now I'm going to buy exactly the same one for my mother as a gift.</v>
      </c>
    </row>
    <row r="4491" spans="1:9" x14ac:dyDescent="0.3">
      <c r="A4491" s="1" t="s">
        <v>61</v>
      </c>
      <c r="B4491" s="1" t="s">
        <v>318</v>
      </c>
      <c r="C4491" s="1" t="s">
        <v>101</v>
      </c>
      <c r="D4491" s="1" t="s">
        <v>1036</v>
      </c>
      <c r="E4491" s="1" t="s">
        <v>2855</v>
      </c>
      <c r="F4491" s="1" t="s">
        <v>7647</v>
      </c>
      <c r="G4491" s="1" t="s">
        <v>36</v>
      </c>
      <c r="H4491" s="1" t="s">
        <v>29</v>
      </c>
      <c r="I4491" s="1" t="str">
        <f ca="1">IFERROR(__xludf.DUMMYFUNCTION("GOOGLETRANSLATE(F4491, ""auto"", ""en"")
"),"Glows ")</f>
        <v xml:space="preserve">Glows </v>
      </c>
    </row>
    <row r="4492" spans="1:9" x14ac:dyDescent="0.3">
      <c r="A4492" s="1" t="s">
        <v>61</v>
      </c>
      <c r="B4492" s="1" t="s">
        <v>434</v>
      </c>
      <c r="C4492" s="1" t="s">
        <v>101</v>
      </c>
      <c r="D4492" s="1" t="s">
        <v>7648</v>
      </c>
      <c r="E4492" s="1" t="s">
        <v>3735</v>
      </c>
      <c r="F4492" s="1" t="s">
        <v>7649</v>
      </c>
      <c r="G4492" s="1" t="s">
        <v>36</v>
      </c>
      <c r="H4492" s="1" t="s">
        <v>29</v>
      </c>
      <c r="I4492" s="1" t="str">
        <f ca="1">IFERROR(__xludf.DUMMYFUNCTION("GOOGLETRANSLATE(F4492, ""auto"", ""en"")
"),"I bought an oven and immediately began to “break in” it. I baked a pie - it turned out great. It baked evenly. I baked vegetables - it turned out quickly and tasty, and most importantly, healthy. The buns turned out delicious. I recommend this mini oven t"&amp;"o everyone.")</f>
        <v>I bought an oven and immediately began to “break in” it. I baked a pie - it turned out great. It baked evenly. I baked vegetables - it turned out quickly and tasty, and most importantly, healthy. The buns turned out delicious. I recommend this mini oven to everyone.</v>
      </c>
    </row>
    <row r="4493" spans="1:9" x14ac:dyDescent="0.3">
      <c r="A4493" s="1" t="s">
        <v>17</v>
      </c>
      <c r="B4493" s="1" t="s">
        <v>18</v>
      </c>
      <c r="C4493" s="1" t="s">
        <v>19</v>
      </c>
      <c r="D4493" s="1" t="s">
        <v>7650</v>
      </c>
      <c r="E4493" s="1" t="s">
        <v>7651</v>
      </c>
      <c r="F4493" s="1" t="s">
        <v>7652</v>
      </c>
      <c r="G4493" s="1" t="s">
        <v>28</v>
      </c>
      <c r="H4493" s="1" t="s">
        <v>29</v>
      </c>
      <c r="I4493" s="1" t="str">
        <f ca="1">IFERROR(__xludf.DUMMYFUNCTION("GOOGLETRANSLATE(F4493, ""auto"", ""en"")
"),"Overall a good combination of price and quality. It washes well and has flexible washing settings. A little noisy, when fully loaded on the spin cycle it “crawls” due to vibration :) although it is adjusted to the level. It worked for three years and the "&amp;"engine failed.")</f>
        <v>Overall a good combination of price and quality. It washes well and has flexible washing settings. A little noisy, when fully loaded on the spin cycle it “crawls” due to vibration :) although it is adjusted to the level. It worked for three years and the engine failed.</v>
      </c>
    </row>
    <row r="4494" spans="1:9" x14ac:dyDescent="0.3">
      <c r="A4494" s="1" t="s">
        <v>105</v>
      </c>
      <c r="B4494" s="1" t="s">
        <v>106</v>
      </c>
      <c r="C4494" s="1" t="s">
        <v>1921</v>
      </c>
      <c r="D4494" s="1" t="s">
        <v>295</v>
      </c>
      <c r="E4494" s="1" t="s">
        <v>3397</v>
      </c>
      <c r="F4494" s="1" t="s">
        <v>7653</v>
      </c>
      <c r="G4494" s="1" t="s">
        <v>49</v>
      </c>
      <c r="H4494" s="1" t="s">
        <v>16</v>
      </c>
      <c r="I4494" s="1" t="str">
        <f ca="1">IFERROR(__xludf.DUMMYFUNCTION("GOOGLETRANSLATE(F4494, ""auto"", ""en"")
"),"The player lasted for about 10 months, and very often turned off on its own... and recently the sound simply disappeared, they changed the firmware, until you turn it off, it works, then you turn it on... and again silence... In general... very upset!!!")</f>
        <v>The player lasted for about 10 months, and very often turned off on its own... and recently the sound simply disappeared, they changed the firmware, until you turn it off, it works, then you turn it on... and again silence... In general... very upset!!!</v>
      </c>
    </row>
    <row r="4495" spans="1:9" x14ac:dyDescent="0.3">
      <c r="A4495" s="1" t="s">
        <v>206</v>
      </c>
      <c r="B4495" s="1" t="s">
        <v>207</v>
      </c>
      <c r="C4495" s="1" t="s">
        <v>351</v>
      </c>
      <c r="D4495" s="1" t="s">
        <v>411</v>
      </c>
      <c r="E4495" s="1" t="s">
        <v>4818</v>
      </c>
      <c r="F4495" s="1" t="s">
        <v>7654</v>
      </c>
      <c r="G4495" s="1" t="s">
        <v>28</v>
      </c>
      <c r="H4495" s="1" t="s">
        <v>29</v>
      </c>
      <c r="I4495" s="1" t="str">
        <f ca="1">IFERROR(__xludf.DUMMYFUNCTION("GOOGLETRANSLATE(F4495, ""auto"", ""en"")
"),"I did not install this amplifier in my car. Installed it in the garage: connected home theater speakers (4 speakers), powered it through a 20-amp power supply. Quite pleased with the result.")</f>
        <v>I did not install this amplifier in my car. Installed it in the garage: connected home theater speakers (4 speakers), powered it through a 20-amp power supply. Quite pleased with the result.</v>
      </c>
    </row>
    <row r="4496" spans="1:9" x14ac:dyDescent="0.3">
      <c r="A4496" s="1" t="s">
        <v>624</v>
      </c>
      <c r="B4496" s="1" t="s">
        <v>625</v>
      </c>
      <c r="C4496" s="1" t="s">
        <v>479</v>
      </c>
      <c r="D4496" s="1" t="s">
        <v>228</v>
      </c>
      <c r="E4496" s="1" t="s">
        <v>7655</v>
      </c>
      <c r="F4496" s="1" t="s">
        <v>7656</v>
      </c>
      <c r="G4496" s="1" t="s">
        <v>36</v>
      </c>
      <c r="H4496" s="1" t="s">
        <v>29</v>
      </c>
      <c r="I4496" s="1" t="str">
        <f ca="1">IFERROR(__xludf.DUMMYFUNCTION("GOOGLETRANSLATE(F4496, ""auto"", ""en"")
"),"The game is good, you can play with one joystick, but you can also use two, I advise everyone to buy it.")</f>
        <v>The game is good, you can play with one joystick, but you can also use two, I advise everyone to buy it.</v>
      </c>
    </row>
    <row r="4497" spans="1:9" x14ac:dyDescent="0.3">
      <c r="A4497" s="1" t="s">
        <v>477</v>
      </c>
      <c r="B4497" s="1" t="s">
        <v>478</v>
      </c>
      <c r="C4497" s="1" t="s">
        <v>479</v>
      </c>
      <c r="D4497" s="1" t="s">
        <v>7657</v>
      </c>
      <c r="E4497" s="1" t="s">
        <v>6021</v>
      </c>
      <c r="F4497" s="1" t="s">
        <v>7658</v>
      </c>
      <c r="G4497" s="1" t="s">
        <v>28</v>
      </c>
      <c r="H4497" s="1" t="s">
        <v>29</v>
      </c>
      <c r="I4497" s="1" t="str">
        <f ca="1">IFERROR(__xludf.DUMMYFUNCTION("GOOGLETRANSLATE(F4497, ""auto"", ""en"")
"),"In my opinion, this is by far the best combat simulator! Especially on hard!!!")</f>
        <v>In my opinion, this is by far the best combat simulator! Especially on hard!!!</v>
      </c>
    </row>
    <row r="4498" spans="1:9" x14ac:dyDescent="0.3">
      <c r="A4498" s="1" t="s">
        <v>37</v>
      </c>
      <c r="B4498" s="1" t="s">
        <v>536</v>
      </c>
      <c r="C4498" s="1" t="s">
        <v>39</v>
      </c>
      <c r="D4498" s="1" t="s">
        <v>1917</v>
      </c>
      <c r="E4498" s="1" t="s">
        <v>4012</v>
      </c>
      <c r="F4498" s="1" t="s">
        <v>7659</v>
      </c>
      <c r="G4498" s="1" t="s">
        <v>36</v>
      </c>
      <c r="H4498" s="1" t="s">
        <v>29</v>
      </c>
      <c r="I4498" s="1" t="str">
        <f ca="1">IFERROR(__xludf.DUMMYFUNCTION("GOOGLETRANSLATE(F4498, ""auto"", ""en"")
"),"The phone is super, I'm glad I bought a touch screen, a keyboard, of course the memory is only 512MB, but it's ok, I advise you to buy it")</f>
        <v>The phone is super, I'm glad I bought a touch screen, a keyboard, of course the memory is only 512MB, but it's ok, I advise you to buy it</v>
      </c>
    </row>
    <row r="4499" spans="1:9" x14ac:dyDescent="0.3">
      <c r="A4499" s="1" t="s">
        <v>9</v>
      </c>
      <c r="B4499" s="1" t="s">
        <v>10</v>
      </c>
      <c r="C4499" s="1" t="s">
        <v>4314</v>
      </c>
      <c r="D4499" s="1" t="s">
        <v>7457</v>
      </c>
      <c r="E4499" s="1" t="s">
        <v>4303</v>
      </c>
      <c r="F4499" s="1" t="s">
        <v>7660</v>
      </c>
      <c r="G4499" s="1" t="s">
        <v>15</v>
      </c>
      <c r="H4499" s="1" t="s">
        <v>16</v>
      </c>
      <c r="I4499" s="1" t="str">
        <f ca="1">IFERROR(__xludf.DUMMYFUNCTION("GOOGLETRANSLATE(F4499, ""auto"", ""en"")
"),"Keep in mind when purchasing, there is no official service in Russia, repairs cannot be made under warranty, only for payment.")</f>
        <v>Keep in mind when purchasing, there is no official service in Russia, repairs cannot be made under warranty, only for payment.</v>
      </c>
    </row>
    <row r="4500" spans="1:9" x14ac:dyDescent="0.3">
      <c r="A4500" s="1" t="s">
        <v>95</v>
      </c>
      <c r="B4500" s="1" t="s">
        <v>227</v>
      </c>
      <c r="C4500" s="1" t="s">
        <v>97</v>
      </c>
      <c r="D4500" s="1" t="s">
        <v>7661</v>
      </c>
      <c r="E4500" s="1" t="s">
        <v>1039</v>
      </c>
      <c r="F4500" s="1" t="s">
        <v>7662</v>
      </c>
      <c r="G4500" s="1" t="s">
        <v>36</v>
      </c>
      <c r="H4500" s="1" t="s">
        <v>29</v>
      </c>
      <c r="I4500" s="1" t="str">
        <f ca="1">IFERROR(__xludf.DUMMYFUNCTION("GOOGLETRANSLATE(F4500, ""auto"", ""en"")
"),"DO THEY SELL jailbreak IN IRKUTSK???? SHARE YOUR ADDRESS)")</f>
        <v>DO THEY SELL jailbreak IN IRKUTSK???? SHARE YOUR ADDRESS)</v>
      </c>
    </row>
    <row r="4501" spans="1:9" x14ac:dyDescent="0.3">
      <c r="A4501" s="1" t="s">
        <v>30</v>
      </c>
      <c r="B4501" s="1" t="s">
        <v>50</v>
      </c>
      <c r="C4501" s="1" t="s">
        <v>189</v>
      </c>
      <c r="D4501" s="1" t="s">
        <v>305</v>
      </c>
      <c r="E4501" s="1" t="s">
        <v>1037</v>
      </c>
      <c r="F4501" s="1" t="s">
        <v>7663</v>
      </c>
      <c r="G4501" s="1" t="s">
        <v>49</v>
      </c>
      <c r="H4501" s="1" t="s">
        <v>16</v>
      </c>
      <c r="I4501" s="1" t="str">
        <f ca="1">IFERROR(__xludf.DUMMYFUNCTION("GOOGLETRANSLATE(F4501, ""auto"", ""en"")
"),"A very bad laptop, it has a very serious drawback at the moment - optimus technology, which allows you to work with two video cards at once (from intel and nvidia). But most applications, due to shortcomings of driver developers, do not detect the latter,"&amp;" as a result of which the performance is extremely low, and the nvidia video card does absolutely nothing in the system.")</f>
        <v>A very bad laptop, it has a very serious drawback at the moment - optimus technology, which allows you to work with two video cards at once (from intel and nvidia). But most applications, due to shortcomings of driver developers, do not detect the latter, as a result of which the performance is extremely low, and the nvidia video card does absolutely nothing in the system.</v>
      </c>
    </row>
    <row r="4502" spans="1:9" x14ac:dyDescent="0.3">
      <c r="A4502" s="1" t="s">
        <v>17</v>
      </c>
      <c r="B4502" s="1" t="s">
        <v>18</v>
      </c>
      <c r="C4502" s="1" t="s">
        <v>243</v>
      </c>
      <c r="D4502" s="1" t="s">
        <v>280</v>
      </c>
      <c r="E4502" s="1" t="s">
        <v>734</v>
      </c>
      <c r="F4502" s="1" t="s">
        <v>7664</v>
      </c>
      <c r="G4502" s="1" t="s">
        <v>28</v>
      </c>
      <c r="H4502" s="1" t="s">
        <v>29</v>
      </c>
      <c r="I4502" s="1" t="str">
        <f ca="1">IFERROR(__xludf.DUMMYFUNCTION("GOOGLETRANSLATE(F4502, ""auto"", ""en"")
"),"Good washing machine.  There was a Samsung 803 before it. The dimensions are almost the same, only the Samsung kept jumping around the bathroom, and the Indesit stands where it left it) The only downside of the machine for me is that there is no indicatio"&amp;"n in the form of a light bulb or display of the installed program. You have to bend your head and look carefully at what you turned on.  Washes and spins - VERY GOOD! My wife and I are happy.")</f>
        <v>Good washing machine.  There was a Samsung 803 before it. The dimensions are almost the same, only the Samsung kept jumping around the bathroom, and the Indesit stands where it left it) The only downside of the machine for me is that there is no indication in the form of a light bulb or display of the installed program. You have to bend your head and look carefully at what you turned on.  Washes and spins - VERY GOOD! My wife and I are happy.</v>
      </c>
    </row>
    <row r="4503" spans="1:9" x14ac:dyDescent="0.3">
      <c r="A4503" s="1" t="s">
        <v>61</v>
      </c>
      <c r="B4503" s="1" t="s">
        <v>62</v>
      </c>
      <c r="C4503" s="1" t="s">
        <v>146</v>
      </c>
      <c r="D4503" s="1" t="s">
        <v>280</v>
      </c>
      <c r="E4503" s="1" t="s">
        <v>1164</v>
      </c>
      <c r="F4503" s="1" t="s">
        <v>7665</v>
      </c>
      <c r="G4503" s="1" t="s">
        <v>28</v>
      </c>
      <c r="H4503" s="1" t="s">
        <v>29</v>
      </c>
      <c r="I4503" s="1" t="str">
        <f ca="1">IFERROR(__xludf.DUMMYFUNCTION("GOOGLETRANSLATE(F4503, ""auto"", ""en"")
"),"Not a bad model. Works without problems. The disadvantage is that the switch handle does not have ribs and is therefore slippery during operation and is not very convenient.")</f>
        <v>Not a bad model. Works without problems. The disadvantage is that the switch handle does not have ribs and is therefore slippery during operation and is not very convenient.</v>
      </c>
    </row>
    <row r="4504" spans="1:9" x14ac:dyDescent="0.3">
      <c r="A4504" s="1" t="s">
        <v>17</v>
      </c>
      <c r="B4504" s="1" t="s">
        <v>325</v>
      </c>
      <c r="C4504" s="1" t="s">
        <v>326</v>
      </c>
      <c r="D4504" s="1" t="s">
        <v>658</v>
      </c>
      <c r="E4504" s="1" t="s">
        <v>523</v>
      </c>
      <c r="F4504" s="1" t="s">
        <v>7666</v>
      </c>
      <c r="G4504" s="1" t="s">
        <v>28</v>
      </c>
      <c r="H4504" s="1" t="s">
        <v>29</v>
      </c>
      <c r="I4504" s="1" t="str">
        <f ca="1">IFERROR(__xludf.DUMMYFUNCTION("GOOGLETRANSLATE(F4504, ""auto"", ""en"")
"),"I bought it for a rented apartment - I couldn’t be more pleased, it washes bed linen, jeans, and jackets with a bang. Two washing modes - normal and delicate, mechanical timer with a maximum of 15 minutes. The activator rotates in both directions, thanks "&amp;"to this the laundry does not bunch up. What really surprised me was that it doesn’t “jump” and stands exactly as it was placed. The kit included a hose for filling water, I don’t use it, it’s easier and faster to fill it with a shower head, but the drain "&amp;"hose was inflated, so it’s not 5. It’s very short, you have to drain it into a basin. In general, it is made well, does not creak, does not rattle, and does not leak anywhere. Another “trick” is the filter inside the machine, I don’t quite understand how "&amp;"it works, but the point is that all large dirt, such as threads, pellets, long hair, remains inside a special bag, which must be periodically removed and cleaned. The machine is simply excellent for the money, the main thing is not to turn the timer in th"&amp;"e opposite direction (it will break) and choose the right powder - for activator machines, not for the machine.")</f>
        <v>I bought it for a rented apartment - I couldn’t be more pleased, it washes bed linen, jeans, and jackets with a bang. Two washing modes - normal and delicate, mechanical timer with a maximum of 15 minutes. The activator rotates in both directions, thanks to this the laundry does not bunch up. What really surprised me was that it doesn’t “jump” and stands exactly as it was placed. The kit included a hose for filling water, I don’t use it, it’s easier and faster to fill it with a shower head, but the drain hose was inflated, so it’s not 5. It’s very short, you have to drain it into a basin. In general, it is made well, does not creak, does not rattle, and does not leak anywhere. Another “trick” is the filter inside the machine, I don’t quite understand how it works, but the point is that all large dirt, such as threads, pellets, long hair, remains inside a special bag, which must be periodically removed and cleaned. The machine is simply excellent for the money, the main thing is not to turn the timer in the opposite direction (it will break) and choose the right powder - for activator machines, not for the machine.</v>
      </c>
    </row>
    <row r="4505" spans="1:9" x14ac:dyDescent="0.3">
      <c r="A4505" s="1" t="s">
        <v>43</v>
      </c>
      <c r="B4505" s="1" t="s">
        <v>1382</v>
      </c>
      <c r="C4505" s="1" t="s">
        <v>45</v>
      </c>
      <c r="D4505" s="1" t="s">
        <v>232</v>
      </c>
      <c r="E4505" s="1" t="s">
        <v>6496</v>
      </c>
      <c r="F4505" s="1" t="s">
        <v>7667</v>
      </c>
      <c r="G4505" s="1" t="s">
        <v>15</v>
      </c>
      <c r="H4505" s="1" t="s">
        <v>16</v>
      </c>
      <c r="I4505" s="1" t="str">
        <f ca="1">IFERROR(__xludf.DUMMYFUNCTION("GOOGLETRANSLATE(F4505, ""auto"", ""en"")
"),"It creaks, smokes,&amp;nbsp; if you want, take it at your own risk")</f>
        <v>It creaks, smokes,&amp;nbsp; if you want, take it at your own risk</v>
      </c>
    </row>
    <row r="4506" spans="1:9" x14ac:dyDescent="0.3">
      <c r="A4506" s="1" t="s">
        <v>169</v>
      </c>
      <c r="B4506" s="1" t="s">
        <v>170</v>
      </c>
      <c r="C4506" s="1" t="s">
        <v>97</v>
      </c>
      <c r="D4506" s="1" t="s">
        <v>411</v>
      </c>
      <c r="E4506" s="1" t="s">
        <v>4080</v>
      </c>
      <c r="F4506" s="1" t="s">
        <v>7668</v>
      </c>
      <c r="G4506" s="1" t="s">
        <v>49</v>
      </c>
      <c r="H4506" s="1" t="s">
        <v>16</v>
      </c>
      <c r="I4506" s="1" t="str">
        <f ca="1">IFERROR(__xludf.DUMMYFUNCTION("GOOGLETRANSLATE(F4506, ""auto"", ""en"")
"),"The headphones are bad. I don’t recommend buying them for connoisseurs of good sound. There is practically no bass, only low and medium. In general, the Sony brand has not been pleasing lately - everything often breaks.")</f>
        <v>The headphones are bad. I don’t recommend buying them for connoisseurs of good sound. There is practically no bass, only low and medium. In general, the Sony brand has not been pleasing lately - everything often breaks.</v>
      </c>
    </row>
    <row r="4507" spans="1:9" x14ac:dyDescent="0.3">
      <c r="A4507" s="1" t="s">
        <v>55</v>
      </c>
      <c r="B4507" s="1" t="s">
        <v>84</v>
      </c>
      <c r="C4507" s="1" t="s">
        <v>85</v>
      </c>
      <c r="D4507" s="1" t="s">
        <v>12</v>
      </c>
      <c r="E4507" s="1" t="s">
        <v>7070</v>
      </c>
      <c r="F4507" s="1" t="s">
        <v>7669</v>
      </c>
      <c r="G4507" s="1" t="s">
        <v>36</v>
      </c>
      <c r="H4507" s="1" t="s">
        <v>29</v>
      </c>
      <c r="I4507" s="1" t="str">
        <f ca="1">IFERROR(__xludf.DUMMYFUNCTION("GOOGLETRANSLATE(F4507, ""auto"", ""en"")
"),"Quiet, powerful, stylish")</f>
        <v>Quiet, powerful, stylish</v>
      </c>
    </row>
    <row r="4508" spans="1:9" x14ac:dyDescent="0.3">
      <c r="A4508" s="1" t="s">
        <v>149</v>
      </c>
      <c r="B4508" s="1" t="s">
        <v>576</v>
      </c>
      <c r="C4508" s="1" t="s">
        <v>80</v>
      </c>
      <c r="D4508" s="1" t="s">
        <v>12</v>
      </c>
      <c r="E4508" s="1" t="s">
        <v>3084</v>
      </c>
      <c r="F4508" s="1" t="s">
        <v>7670</v>
      </c>
      <c r="G4508" s="1" t="s">
        <v>28</v>
      </c>
      <c r="H4508" s="1" t="s">
        <v>29</v>
      </c>
      <c r="I4508" s="1" t="str">
        <f ca="1">IFERROR(__xludf.DUMMYFUNCTION("GOOGLETRANSLATE(F4508, ""auto"", ""en"")
"),"My husband gave it to me. I initially wanted to buy a power of 1800, but after testing this one in practice I realized that 1400 was quite enough (the heavy woolen carpet was sucked in and rose into the air along with the tube). Conveniently, paper bags a"&amp;"re very spacious. Easily rolls on its little wheels on the carpet behind the hose, light weight.     Of the minuses: a bit noisy.")</f>
        <v>My husband gave it to me. I initially wanted to buy a power of 1800, but after testing this one in practice I realized that 1400 was quite enough (the heavy woolen carpet was sucked in and rose into the air along with the tube). Conveniently, paper bags are very spacious. Easily rolls on its little wheels on the carpet behind the hose, light weight.     Of the minuses: a bit noisy.</v>
      </c>
    </row>
    <row r="4509" spans="1:9" x14ac:dyDescent="0.3">
      <c r="A4509" s="1" t="s">
        <v>67</v>
      </c>
      <c r="B4509" s="1" t="s">
        <v>68</v>
      </c>
      <c r="C4509" s="1" t="s">
        <v>246</v>
      </c>
      <c r="D4509" s="1" t="s">
        <v>39</v>
      </c>
      <c r="E4509" s="1" t="s">
        <v>7671</v>
      </c>
      <c r="F4509" s="1" t="s">
        <v>7672</v>
      </c>
      <c r="G4509" s="1" t="s">
        <v>36</v>
      </c>
      <c r="H4509" s="1" t="s">
        <v>29</v>
      </c>
      <c r="I4509" s="1" t="str">
        <f ca="1">IFERROR(__xludf.DUMMYFUNCTION("GOOGLETRANSLATE(F4509, ""auto"", ""en"")
"),"The iron is excellent, steams things well, irons bed linen in 4 layers, fully meets its parameters, very happy with the purchase. It cannot be compared with a regular iron, because the iron does not have such capabilities. Vertical steaming works, but of "&amp;"course not in one second, regular ironing is faster, the main thing in its use is a large amount of steam, due to which you do not need to put effort when ironing, which makes it easier, the water evaporates in proportion to the amount of ironed laundry. "&amp;"The weight of the iron itself is lighter than usual; together with the system filled with water, it is of course heavy; in principle, it does not take up much space, but more than a regular iron; the water tank itself is removable, which makes it easier t"&amp;"o fill with water. If you choose between a regular iron and this one, then of course this system is better.")</f>
        <v>The iron is excellent, steams things well, irons bed linen in 4 layers, fully meets its parameters, very happy with the purchase. It cannot be compared with a regular iron, because the iron does not have such capabilities. Vertical steaming works, but of course not in one second, regular ironing is faster, the main thing in its use is a large amount of steam, due to which you do not need to put effort when ironing, which makes it easier, the water evaporates in proportion to the amount of ironed laundry. The weight of the iron itself is lighter than usual; together with the system filled with water, it is of course heavy; in principle, it does not take up much space, but more than a regular iron; the water tank itself is removable, which makes it easier to fill with water. If you choose between a regular iron and this one, then of course this system is better.</v>
      </c>
    </row>
    <row r="4510" spans="1:9" x14ac:dyDescent="0.3">
      <c r="A4510" s="1" t="s">
        <v>95</v>
      </c>
      <c r="B4510" s="1" t="s">
        <v>402</v>
      </c>
      <c r="C4510" s="1" t="s">
        <v>403</v>
      </c>
      <c r="D4510" s="1" t="s">
        <v>7494</v>
      </c>
      <c r="E4510" s="1" t="s">
        <v>386</v>
      </c>
      <c r="F4510" s="1" t="s">
        <v>7673</v>
      </c>
      <c r="G4510" s="1" t="s">
        <v>36</v>
      </c>
      <c r="H4510" s="1" t="s">
        <v>29</v>
      </c>
      <c r="I4510" s="1" t="str">
        <f ca="1">IFERROR(__xludf.DUMMYFUNCTION("GOOGLETRANSLATE(F4510, ""auto"", ""en"")
"),"I've had the console almost since the beginning of sales. It's just super. The 3D looks great, but the viewing angles are bad. And in general I like everything. The only negative is that there are not enough games yet. In general, the console turned out t"&amp;"o be excellent. And I recommend buying it. Is it possible to wait until more games come out?")</f>
        <v>I've had the console almost since the beginning of sales. It's just super. The 3D looks great, but the viewing angles are bad. And in general I like everything. The only negative is that there are not enough games yet. In general, the console turned out to be excellent. And I recommend buying it. Is it possible to wait until more games come out?</v>
      </c>
    </row>
    <row r="4511" spans="1:9" x14ac:dyDescent="0.3">
      <c r="A4511" s="1" t="s">
        <v>111</v>
      </c>
      <c r="B4511" s="1" t="s">
        <v>636</v>
      </c>
      <c r="C4511" s="1" t="s">
        <v>57</v>
      </c>
      <c r="D4511" s="1" t="s">
        <v>1894</v>
      </c>
      <c r="E4511" s="1" t="s">
        <v>1875</v>
      </c>
      <c r="F4511" s="1" t="s">
        <v>7674</v>
      </c>
      <c r="G4511" s="1" t="s">
        <v>28</v>
      </c>
      <c r="H4511" s="1" t="s">
        <v>29</v>
      </c>
      <c r="I4511" s="1" t="str">
        <f ca="1">IFERROR(__xludf.DUMMYFUNCTION("GOOGLETRANSLATE(F4511, ""auto"", ""en"")
"),"The station was purchased 2 weeks ago as an alternative to “television” weather forecasts, which have recently come true with a probability of no more than 50%, at least in St. Petersburg. Here the probability of 70% was promised. I must say that the stat"&amp;"ion fully corresponds to the promises of the developers. It may be wrong by one gradation - i.e. instead of ""rain"" show ""cloudy"" or instead of ""clear"" show ""partly cloudy"". No greater sin was observed in her. Regarding the accuracy of the data. Pr"&amp;"eviously, there was just an electronic thermometer (from another company) at home and compared with its readings - the difference in the readings both on the street and at home was no more than 0.4 degrees. Advice: before operation, set the pressure not a"&amp;"ccording to altitude, but according to the “normal” barometer (ask your neighbors or on local TV channels, it happens that the current pressure is shown) and take into account that the station accumulates information during operation and actually begins t"&amp;"o “forecast the weather” only (not earlier) 12 hours after switching on (written in the instructions). In conclusion: the station, of course, is more like a toy, but quite pleasant and partially useful, for example, this morning at 8.00. on TV they said t"&amp;"hat there would be a thunderstorm in the afternoon, the station showed partly cloudy (forecast for 12 hours in advance) - in fact, there was no rain that day, and before, without the “opinion” of the station, I probably would have taken an umbrella with m"&amp;"e...")</f>
        <v>The station was purchased 2 weeks ago as an alternative to “television” weather forecasts, which have recently come true with a probability of no more than 50%, at least in St. Petersburg. Here the probability of 70% was promised. I must say that the station fully corresponds to the promises of the developers. It may be wrong by one gradation - i.e. instead of "rain" show "cloudy" or instead of "clear" show "partly cloudy". No greater sin was observed in her. Regarding the accuracy of the data. Previously, there was just an electronic thermometer (from another company) at home and compared with its readings - the difference in the readings both on the street and at home was no more than 0.4 degrees. Advice: before operation, set the pressure not according to altitude, but according to the “normal” barometer (ask your neighbors or on local TV channels, it happens that the current pressure is shown) and take into account that the station accumulates information during operation and actually begins to “forecast the weather” only (not earlier) 12 hours after switching on (written in the instructions). In conclusion: the station, of course, is more like a toy, but quite pleasant and partially useful, for example, this morning at 8.00. on TV they said that there would be a thunderstorm in the afternoon, the station showed partly cloudy (forecast for 12 hours in advance) - in fact, there was no rain that day, and before, without the “opinion” of the station, I probably would have taken an umbrella with me...</v>
      </c>
    </row>
    <row r="4512" spans="1:9" x14ac:dyDescent="0.3">
      <c r="A4512" s="1" t="s">
        <v>17</v>
      </c>
      <c r="B4512" s="1" t="s">
        <v>18</v>
      </c>
      <c r="C4512" s="1" t="s">
        <v>243</v>
      </c>
      <c r="D4512" s="1" t="s">
        <v>20</v>
      </c>
      <c r="E4512" s="1" t="s">
        <v>2331</v>
      </c>
      <c r="F4512" s="1" t="s">
        <v>7675</v>
      </c>
      <c r="G4512" s="1" t="s">
        <v>36</v>
      </c>
      <c r="H4512" s="1" t="s">
        <v>29</v>
      </c>
      <c r="I4512" s="1" t="str">
        <f ca="1">IFERROR(__xludf.DUMMYFUNCTION("GOOGLETRANSLATE(F4512, ""auto"", ""en"")
"),"inexpensive, 1 hour timer is normal, energy saving, saves water, in short, perfect for every day.")</f>
        <v>inexpensive, 1 hour timer is normal, energy saving, saves water, in short, perfect for every day.</v>
      </c>
    </row>
    <row r="4513" spans="1:9" x14ac:dyDescent="0.3">
      <c r="A4513" s="1" t="s">
        <v>37</v>
      </c>
      <c r="B4513" s="1" t="s">
        <v>536</v>
      </c>
      <c r="C4513" s="1" t="s">
        <v>189</v>
      </c>
      <c r="D4513" s="1" t="s">
        <v>7676</v>
      </c>
      <c r="E4513" s="1" t="s">
        <v>1608</v>
      </c>
      <c r="F4513" s="1" t="s">
        <v>7677</v>
      </c>
      <c r="G4513" s="1" t="s">
        <v>36</v>
      </c>
      <c r="H4513" s="1" t="s">
        <v>29</v>
      </c>
      <c r="I4513" s="1" t="str">
        <f ca="1">IFERROR(__xludf.DUMMYFUNCTION("GOOGLETRANSLATE(F4513, ""auto"", ""en"")
"),"Normal communicator, there are some drawbacks, but otherwise everything is fine")</f>
        <v>Normal communicator, there are some drawbacks, but otherwise everything is fine</v>
      </c>
    </row>
    <row r="4514" spans="1:9" x14ac:dyDescent="0.3">
      <c r="A4514" s="1" t="s">
        <v>43</v>
      </c>
      <c r="B4514" s="1" t="s">
        <v>502</v>
      </c>
      <c r="C4514" s="1" t="s">
        <v>151</v>
      </c>
      <c r="D4514" s="1" t="s">
        <v>64</v>
      </c>
      <c r="E4514" s="1" t="s">
        <v>5461</v>
      </c>
      <c r="F4514" s="1" t="s">
        <v>7678</v>
      </c>
      <c r="G4514" s="1" t="s">
        <v>36</v>
      </c>
      <c r="H4514" s="1" t="s">
        <v>29</v>
      </c>
      <c r="I4514" s="1" t="str">
        <f ca="1">IFERROR(__xludf.DUMMYFUNCTION("GOOGLETRANSLATE(F4514, ""auto"", ""en"")
"),"We've been using it for a month. The room is 10 m2 and the door to the corridor is open, it cools instantly! The indoor and outdoor units are inaudible! Nice design, convenient remote control, easy to operate. Value: price-quality! I advise you to buy it."&amp;" I plan to buy the same one for the second room next year, 13m2")</f>
        <v>We've been using it for a month. The room is 10 m2 and the door to the corridor is open, it cools instantly! The indoor and outdoor units are inaudible! Nice design, convenient remote control, easy to operate. Value: price-quality! I advise you to buy it. I plan to buy the same one for the second room next year, 13m2</v>
      </c>
    </row>
    <row r="4515" spans="1:9" x14ac:dyDescent="0.3">
      <c r="A4515" s="1" t="s">
        <v>67</v>
      </c>
      <c r="B4515" s="1" t="s">
        <v>68</v>
      </c>
      <c r="C4515" s="1" t="s">
        <v>85</v>
      </c>
      <c r="D4515" s="1" t="s">
        <v>474</v>
      </c>
      <c r="E4515" s="1" t="s">
        <v>3983</v>
      </c>
      <c r="F4515" s="1" t="s">
        <v>7679</v>
      </c>
      <c r="G4515" s="1" t="s">
        <v>36</v>
      </c>
      <c r="H4515" s="1" t="s">
        <v>29</v>
      </c>
      <c r="I4515" s="1" t="str">
        <f ca="1">IFERROR(__xludf.DUMMYFUNCTION("GOOGLETRANSLATE(F4515, ""auto"", ""en"")
"),"Easy to iron, functionality, good steam.")</f>
        <v>Easy to iron, functionality, good steam.</v>
      </c>
    </row>
    <row r="4516" spans="1:9" x14ac:dyDescent="0.3">
      <c r="A4516" s="1" t="s">
        <v>55</v>
      </c>
      <c r="B4516" s="1" t="s">
        <v>184</v>
      </c>
      <c r="C4516" s="1" t="s">
        <v>57</v>
      </c>
      <c r="D4516" s="1" t="s">
        <v>589</v>
      </c>
      <c r="E4516" s="1" t="s">
        <v>2906</v>
      </c>
      <c r="F4516" s="1" t="s">
        <v>7680</v>
      </c>
      <c r="G4516" s="1" t="s">
        <v>36</v>
      </c>
      <c r="H4516" s="1" t="s">
        <v>29</v>
      </c>
      <c r="I4516" s="1" t="str">
        <f ca="1">IFERROR(__xludf.DUMMYFUNCTION("GOOGLETRANSLATE(F4516, ""auto"", ""en"")
"),"I've been using it for three weeks. A room of 8 sq.m. It warms up quickly, the smell from the filter went away in three days, the body does not heat up excessively. I'm satisfied, I recommend it.")</f>
        <v>I've been using it for three weeks. A room of 8 sq.m. It warms up quickly, the smell from the filter went away in three days, the body does not heat up excessively. I'm satisfied, I recommend it.</v>
      </c>
    </row>
    <row r="4517" spans="1:9" x14ac:dyDescent="0.3">
      <c r="A4517" s="1" t="s">
        <v>89</v>
      </c>
      <c r="B4517" s="1" t="s">
        <v>90</v>
      </c>
      <c r="C4517" s="1" t="s">
        <v>185</v>
      </c>
      <c r="D4517" s="1" t="s">
        <v>232</v>
      </c>
      <c r="E4517" s="1" t="s">
        <v>2089</v>
      </c>
      <c r="F4517" s="1" t="s">
        <v>7681</v>
      </c>
      <c r="G4517" s="1" t="s">
        <v>36</v>
      </c>
      <c r="H4517" s="1" t="s">
        <v>29</v>
      </c>
      <c r="I4517" s="1" t="str">
        <f ca="1">IFERROR(__xludf.DUMMYFUNCTION("GOOGLETRANSLATE(F4517, ""auto"", ""en"")
"),"Good coffee grinder. I use it with a De Longhi carob coffee maker. I recommend making the finest grind. You can add coffee and grind as needed. I recommend it for advanced coffee lovers!")</f>
        <v>Good coffee grinder. I use it with a De Longhi carob coffee maker. I recommend making the finest grind. You can add coffee and grind as needed. I recommend it for advanced coffee lovers!</v>
      </c>
    </row>
    <row r="4518" spans="1:9" x14ac:dyDescent="0.3">
      <c r="A4518" s="1" t="s">
        <v>30</v>
      </c>
      <c r="B4518" s="1" t="s">
        <v>31</v>
      </c>
      <c r="C4518" s="1" t="s">
        <v>5122</v>
      </c>
      <c r="D4518" s="1" t="s">
        <v>7682</v>
      </c>
      <c r="E4518" s="1" t="s">
        <v>3676</v>
      </c>
      <c r="F4518" s="1" t="s">
        <v>7683</v>
      </c>
      <c r="G4518" s="1" t="s">
        <v>36</v>
      </c>
      <c r="H4518" s="1" t="s">
        <v>29</v>
      </c>
      <c r="I4518" s="1" t="str">
        <f ca="1">IFERROR(__xludf.DUMMYFUNCTION("GOOGLETRANSLATE(F4518, ""auto"", ""en"")
"),"cool computer Can handle all games!")</f>
        <v>cool computer Can handle all games!</v>
      </c>
    </row>
    <row r="4519" spans="1:9" x14ac:dyDescent="0.3">
      <c r="A4519" s="1" t="s">
        <v>89</v>
      </c>
      <c r="B4519" s="1" t="s">
        <v>231</v>
      </c>
      <c r="C4519" s="1" t="s">
        <v>185</v>
      </c>
      <c r="D4519" s="1" t="s">
        <v>327</v>
      </c>
      <c r="E4519" s="1" t="s">
        <v>5663</v>
      </c>
      <c r="F4519" s="1" t="s">
        <v>7684</v>
      </c>
      <c r="G4519" s="1" t="s">
        <v>36</v>
      </c>
      <c r="H4519" s="1" t="s">
        <v>29</v>
      </c>
      <c r="I4519" s="1" t="str">
        <f ca="1">IFERROR(__xludf.DUMMYFUNCTION("GOOGLETRANSLATE(F4519, ""auto"", ""en"")
"),"Adequate in disassembly, a person with straight hands will be able to independently put all the mechanisms in order. Breakdowns only occur in those who are too lazy to remove scale and coffee residues in a timely manner. To descale, you don’t have to buy "&amp;"special solutions (a scam for money) 10% citric acid solution and you will be happy. DON'T BE LAZY TO READ THE INSTRUCTIONS!!! For God's sake, do not use water for coolers and from wells. There are a lot of salts that worsen the taste of coffee and clog t"&amp;"he boiler with scale! The preferred option is water purified using reverse OSMOSIS.  The quality of the brewed coffee is excellent! (reviews about unsaturation - Learn to select grinding and dosage. If you have no brains, don’t blame the machine!)")</f>
        <v>Adequate in disassembly, a person with straight hands will be able to independently put all the mechanisms in order. Breakdowns only occur in those who are too lazy to remove scale and coffee residues in a timely manner. To descale, you don’t have to buy special solutions (a scam for money) 10% citric acid solution and you will be happy. DON'T BE LAZY TO READ THE INSTRUCTIONS!!! For God's sake, do not use water for coolers and from wells. There are a lot of salts that worsen the taste of coffee and clog the boiler with scale! The preferred option is water purified using reverse OSMOSIS.  The quality of the brewed coffee is excellent! (reviews about unsaturation - Learn to select grinding and dosage. If you have no brains, don’t blame the machine!)</v>
      </c>
    </row>
    <row r="4520" spans="1:9" x14ac:dyDescent="0.3">
      <c r="A4520" s="1" t="s">
        <v>17</v>
      </c>
      <c r="B4520" s="1" t="s">
        <v>18</v>
      </c>
      <c r="C4520" s="1" t="s">
        <v>63</v>
      </c>
      <c r="D4520" s="1" t="s">
        <v>2975</v>
      </c>
      <c r="E4520" s="1" t="s">
        <v>622</v>
      </c>
      <c r="F4520" s="1" t="s">
        <v>7685</v>
      </c>
      <c r="G4520" s="1" t="s">
        <v>28</v>
      </c>
      <c r="H4520" s="1" t="s">
        <v>29</v>
      </c>
      <c r="I4520" s="1" t="str">
        <f ca="1">IFERROR(__xludf.DUMMYFUNCTION("GOOGLETRANSLATE(F4520, ""auto"", ""en"")
"),"I bought it three months ago. Overall satisfied.  Pros: 1. The washing quality is good. 2. There are two quick washes of 15 and 30 minutes. 3.When the work is completed, it emits a sound signal. 4. Manufactured in Germany. 5. Cool touch buttons. 6. Metal "&amp;"hatch latch (not plastic). 7. Possibility of setting the speed regardless of the program.  Minor disadvantages: 1. A bit noisy. 2. There is no additional rinse program. 3. Does not come with a wrench for removing transportation bolts. But overall everythi"&amp;"ng is great.")</f>
        <v>I bought it three months ago. Overall satisfied.  Pros: 1. The washing quality is good. 2. There are two quick washes of 15 and 30 minutes. 3.When the work is completed, it emits a sound signal. 4. Manufactured in Germany. 5. Cool touch buttons. 6. Metal hatch latch (not plastic). 7. Possibility of setting the speed regardless of the program.  Minor disadvantages: 1. A bit noisy. 2. There is no additional rinse program. 3. Does not come with a wrench for removing transportation bolts. But overall everything is great.</v>
      </c>
    </row>
    <row r="4521" spans="1:9" x14ac:dyDescent="0.3">
      <c r="A4521" s="1" t="s">
        <v>61</v>
      </c>
      <c r="B4521" s="1" t="s">
        <v>145</v>
      </c>
      <c r="C4521" s="1" t="s">
        <v>57</v>
      </c>
      <c r="D4521" s="1" t="s">
        <v>7686</v>
      </c>
      <c r="E4521" s="1" t="s">
        <v>2721</v>
      </c>
      <c r="F4521" s="1" t="s">
        <v>7687</v>
      </c>
      <c r="G4521" s="1" t="s">
        <v>36</v>
      </c>
      <c r="H4521" s="1" t="s">
        <v>29</v>
      </c>
      <c r="I4521" s="1" t="str">
        <f ca="1">IFERROR(__xludf.DUMMYFUNCTION("GOOGLETRANSLATE(F4521, ""auto"", ""en"")
"),"Excellent deep fryer, I've been using it for almost 2 years!  Everything is fine! The only thing is, I don’t know how to wash it completely... or I’m just lazy!    It fries well!  The timer is working!  The thermostat works well too!  Not expensive, volum"&amp;"inous (2.5 liters for oil), I didn’t notice any shortcomings, conclusion - take it!")</f>
        <v>Excellent deep fryer, I've been using it for almost 2 years!  Everything is fine! The only thing is, I don’t know how to wash it completely... or I’m just lazy!    It fries well!  The timer is working!  The thermostat works well too!  Not expensive, voluminous (2.5 liters for oil), I didn’t notice any shortcomings, conclusion - take it!</v>
      </c>
    </row>
    <row r="4522" spans="1:9" x14ac:dyDescent="0.3">
      <c r="A4522" s="1" t="s">
        <v>61</v>
      </c>
      <c r="B4522" s="1" t="s">
        <v>318</v>
      </c>
      <c r="C4522" s="1" t="s">
        <v>246</v>
      </c>
      <c r="D4522" s="1" t="s">
        <v>305</v>
      </c>
      <c r="E4522" s="1" t="s">
        <v>1219</v>
      </c>
      <c r="F4522" s="1" t="s">
        <v>7688</v>
      </c>
      <c r="G4522" s="1" t="s">
        <v>49</v>
      </c>
      <c r="H4522" s="1" t="s">
        <v>16</v>
      </c>
      <c r="I4522" s="1" t="str">
        <f ca="1">IFERROR(__xludf.DUMMYFUNCTION("GOOGLETRANSLATE(F4522, ""auto"", ""en"")
"),"After 2 weeks, the kettle began to leak when boiling (it keeps the water cold!) The regulator lives its own life - the kettle either does not heat the water at all, or boils to the bitter end - until all the water pours out through the bottom.")</f>
        <v>After 2 weeks, the kettle began to leak when boiling (it keeps the water cold!) The regulator lives its own life - the kettle either does not heat the water at all, or boils to the bitter end - until all the water pours out through the bottom.</v>
      </c>
    </row>
    <row r="4523" spans="1:9" x14ac:dyDescent="0.3">
      <c r="A4523" s="1" t="s">
        <v>149</v>
      </c>
      <c r="B4523" s="1" t="s">
        <v>155</v>
      </c>
      <c r="C4523" s="1" t="s">
        <v>159</v>
      </c>
      <c r="D4523" s="1" t="s">
        <v>1124</v>
      </c>
      <c r="E4523" s="1" t="s">
        <v>585</v>
      </c>
      <c r="F4523" s="1" t="s">
        <v>7689</v>
      </c>
      <c r="G4523" s="1" t="s">
        <v>28</v>
      </c>
      <c r="H4523" s="1" t="s">
        <v>29</v>
      </c>
      <c r="I4523" s="1" t="str">
        <f ca="1">IFERROR(__xludf.DUMMYFUNCTION("GOOGLETRANSLATE(F4523, ""auto"", ""en"")
"),"I shopped around for a long time and looked for a good bagless vacuum cleaner. I wanted a Samsung at first, well even the Electrolux took me with its design, and the concept of a cyclone is cool. It vacuums perfectly, and it’s beautiful—you can see how th"&amp;"e dust swirls in the cyclone. One minus is that the second lid in the container is difficult to open, I’m afraid of breaking it, and the engine output filter cover is also very tight. And so ))) very good!!! buy you won't regret it!")</f>
        <v>I shopped around for a long time and looked for a good bagless vacuum cleaner. I wanted a Samsung at first, well even the Electrolux took me with its design, and the concept of a cyclone is cool. It vacuums perfectly, and it’s beautiful—you can see how the dust swirls in the cyclone. One minus is that the second lid in the container is difficult to open, I’m afraid of breaking it, and the engine output filter cover is also very tight. And so ))) very good!!! buy you won't regret it!</v>
      </c>
    </row>
    <row r="4524" spans="1:9" x14ac:dyDescent="0.3">
      <c r="A4524" s="1" t="s">
        <v>211</v>
      </c>
      <c r="B4524" s="1" t="s">
        <v>212</v>
      </c>
      <c r="C4524" s="1" t="s">
        <v>381</v>
      </c>
      <c r="D4524" s="1" t="s">
        <v>658</v>
      </c>
      <c r="E4524" s="1" t="s">
        <v>2089</v>
      </c>
      <c r="F4524" s="1" t="s">
        <v>7690</v>
      </c>
      <c r="G4524" s="1" t="s">
        <v>49</v>
      </c>
      <c r="H4524" s="1" t="s">
        <v>16</v>
      </c>
      <c r="I4524" s="1" t="str">
        <f ca="1">IFERROR(__xludf.DUMMYFUNCTION("GOOGLETRANSLATE(F4524, ""auto"", ""en"")
"),"It spins very poorly, my regular curling iron from the old days spins much better than this...... while I twisted one side the other almost unraveled, it’s good that I didn’t buy it, but gave it as a gift")</f>
        <v>It spins very poorly, my regular curling iron from the old days spins much better than this...... while I twisted one side the other almost unraveled, it’s good that I didn’t buy it, but gave it as a gift</v>
      </c>
    </row>
    <row r="4525" spans="1:9" x14ac:dyDescent="0.3">
      <c r="A4525" s="1" t="s">
        <v>149</v>
      </c>
      <c r="B4525" s="1" t="s">
        <v>150</v>
      </c>
      <c r="C4525" s="1" t="s">
        <v>151</v>
      </c>
      <c r="D4525" s="1" t="s">
        <v>172</v>
      </c>
      <c r="E4525" s="1" t="s">
        <v>4956</v>
      </c>
      <c r="F4525" s="1" t="s">
        <v>7691</v>
      </c>
      <c r="G4525" s="1" t="s">
        <v>15</v>
      </c>
      <c r="H4525" s="1" t="s">
        <v>16</v>
      </c>
      <c r="I4525" s="1" t="str">
        <f ca="1">IFERROR(__xludf.DUMMYFUNCTION("GOOGLETRANSLATE(F4525, ""auto"", ""en"")
"),"I worked for a year. The engine died. Before this, everything was fine, except for the weight.")</f>
        <v>I worked for a year. The engine died. Before this, everything was fine, except for the weight.</v>
      </c>
    </row>
    <row r="4526" spans="1:9" x14ac:dyDescent="0.3">
      <c r="A4526" s="1" t="s">
        <v>30</v>
      </c>
      <c r="B4526" s="1" t="s">
        <v>31</v>
      </c>
      <c r="C4526" s="1" t="s">
        <v>32</v>
      </c>
      <c r="D4526" s="1" t="s">
        <v>7692</v>
      </c>
      <c r="E4526" s="1" t="s">
        <v>415</v>
      </c>
      <c r="F4526" s="1" t="s">
        <v>7693</v>
      </c>
      <c r="G4526" s="1" t="s">
        <v>36</v>
      </c>
      <c r="H4526" s="1" t="s">
        <v>29</v>
      </c>
      <c r="I4526" s="1" t="str">
        <f ca="1">IFERROR(__xludf.DUMMYFUNCTION("GOOGLETRANSLATE(F4526, ""auto"", ""en"")
"),"This system unit is a real predator in its strength and power in work there is no equal! It is new and stylish, the price is certainly not for the poor, but for money people. So for now he will be the best at this time, and then in a few years he will bec"&amp;"ome outdated and new young predators will come to replace him. So, people, if you don’t hack anything on computers, then it’s better not to write anything and don’t litter this site with any nonsense.")</f>
        <v>This system unit is a real predator in its strength and power in work there is no equal! It is new and stylish, the price is certainly not for the poor, but for money people. So for now he will be the best at this time, and then in a few years he will become outdated and new young predators will come to replace him. So, people, if you don’t hack anything on computers, then it’s better not to write anything and don’t litter this site with any nonsense.</v>
      </c>
    </row>
    <row r="4527" spans="1:9" x14ac:dyDescent="0.3">
      <c r="A4527" s="1" t="s">
        <v>211</v>
      </c>
      <c r="B4527" s="1" t="s">
        <v>212</v>
      </c>
      <c r="C4527" s="1" t="s">
        <v>381</v>
      </c>
      <c r="D4527" s="1" t="s">
        <v>589</v>
      </c>
      <c r="E4527" s="1" t="s">
        <v>3390</v>
      </c>
      <c r="F4527" s="1" t="s">
        <v>7694</v>
      </c>
      <c r="G4527" s="1" t="s">
        <v>36</v>
      </c>
      <c r="H4527" s="1" t="s">
        <v>29</v>
      </c>
      <c r="I4527" s="1" t="str">
        <f ca="1">IFERROR(__xludf.DUMMYFUNCTION("GOOGLETRANSLATE(F4527, ""auto"", ""en"")
"),"Very good hairdryer. I've been using it for 2 years now. Doesn't dry out hair even without ionization.")</f>
        <v>Very good hairdryer. I've been using it for 2 years now. Doesn't dry out hair even without ionization.</v>
      </c>
    </row>
    <row r="4528" spans="1:9" x14ac:dyDescent="0.3">
      <c r="A4528" s="1" t="s">
        <v>369</v>
      </c>
      <c r="B4528" s="1" t="s">
        <v>587</v>
      </c>
      <c r="C4528" s="1" t="s">
        <v>19</v>
      </c>
      <c r="D4528" s="1" t="s">
        <v>139</v>
      </c>
      <c r="E4528" s="1" t="s">
        <v>994</v>
      </c>
      <c r="F4528" s="1" t="s">
        <v>7695</v>
      </c>
      <c r="G4528" s="1" t="s">
        <v>36</v>
      </c>
      <c r="H4528" s="1" t="s">
        <v>29</v>
      </c>
      <c r="I4528" s="1" t="str">
        <f ca="1">IFERROR(__xludf.DUMMYFUNCTION("GOOGLETRANSLATE(F4528, ""auto"", ""en"")
"),"I've been using it for three months. Everything I have works great. The ignition of the burners is very convenient - lighting with one hand is very simple and quick (4 seconds). Cons: 1. - the clock buzzes a little if you listen, but that’s only if you li"&amp;"sten very closely :) 2. - the oven will have to be ignited with matches, for some reason they didn’t ignite it there.  These disadvantages are not significant, I’m just scrupulous about details.")</f>
        <v>I've been using it for three months. Everything I have works great. The ignition of the burners is very convenient - lighting with one hand is very simple and quick (4 seconds). Cons: 1. - the clock buzzes a little if you listen, but that’s only if you listen very closely :) 2. - the oven will have to be ignited with matches, for some reason they didn’t ignite it there.  These disadvantages are not significant, I’m just scrupulous about details.</v>
      </c>
    </row>
    <row r="4529" spans="1:9" x14ac:dyDescent="0.3">
      <c r="A4529" s="1" t="s">
        <v>361</v>
      </c>
      <c r="B4529" s="1" t="s">
        <v>462</v>
      </c>
      <c r="C4529" s="1" t="s">
        <v>698</v>
      </c>
      <c r="D4529" s="1" t="s">
        <v>39</v>
      </c>
      <c r="E4529" s="1" t="s">
        <v>7696</v>
      </c>
      <c r="F4529" s="1" t="s">
        <v>7697</v>
      </c>
      <c r="G4529" s="1" t="s">
        <v>36</v>
      </c>
      <c r="H4529" s="1" t="s">
        <v>29</v>
      </c>
      <c r="I4529" s="1" t="str">
        <f ca="1">IFERROR(__xludf.DUMMYFUNCTION("GOOGLETRANSLATE(F4529, ""auto"", ""en"")
"),"Yaroslava, don’t be lazy to change the cartridge more often than once/4 months.. )) Because such water will do more harm than good (!) 1 time/month will be just right ;) The lid doesn’t come off anywhere, you just need to pour water into the cup after it "&amp;"has been filtered, and not before.. ;) Well, hold the lid with your handle just in case (although I’ve never had such a case in 10 years) nothing flows anywhere except teapot or cup.  Hope all XL jugs do not have a filler hole because the volume is large "&amp;"and difficult to hold while filling. But they have a very convenient 4-finger grip to pull off the entire lid, which is actually more convenient for large jugs than a hinged thumb lid.  This Brita company turns 50 this year. For such a long period of time"&amp;", believe that they have learned to make filters of the most optimal design and the highest quality of filtration. It’s not for nothing that these same Maxtra cartridges are used in Bosch coffee machines ;) Great price for an excellent product.")</f>
        <v>Yaroslava, don’t be lazy to change the cartridge more often than once/4 months.. )) Because such water will do more harm than good (!) 1 time/month will be just right ;) The lid doesn’t come off anywhere, you just need to pour water into the cup after it has been filtered, and not before.. ;) Well, hold the lid with your handle just in case (although I’ve never had such a case in 10 years) nothing flows anywhere except teapot or cup.  Hope all XL jugs do not have a filler hole because the volume is large and difficult to hold while filling. But they have a very convenient 4-finger grip to pull off the entire lid, which is actually more convenient for large jugs than a hinged thumb lid.  This Brita company turns 50 this year. For such a long period of time, believe that they have learned to make filters of the most optimal design and the highest quality of filtration. It’s not for nothing that these same Maxtra cartridges are used in Bosch coffee machines ;) Great price for an excellent product.</v>
      </c>
    </row>
    <row r="4530" spans="1:9" x14ac:dyDescent="0.3">
      <c r="A4530" s="1" t="s">
        <v>120</v>
      </c>
      <c r="B4530" s="1" t="s">
        <v>121</v>
      </c>
      <c r="C4530" s="1" t="s">
        <v>658</v>
      </c>
      <c r="D4530" s="1" t="s">
        <v>1121</v>
      </c>
      <c r="E4530" s="1" t="s">
        <v>2341</v>
      </c>
      <c r="F4530" s="1" t="s">
        <v>7698</v>
      </c>
      <c r="G4530" s="1" t="s">
        <v>36</v>
      </c>
      <c r="H4530" s="1" t="s">
        <v>29</v>
      </c>
      <c r="I4530" s="1" t="str">
        <f ca="1">IFERROR(__xludf.DUMMYFUNCTION("GOOGLETRANSLATE(F4530, ""auto"", ""en"")
"),"I'm going to buy this TV in the near future. I read about it on the Internet and on the manufacturer’s website - the reviews are positive. In comparison with Panasonic it is cheaper, but does not lose in quality. Two tuners, several HDMI inputs, USB and o"&amp;"ther nice little things complete this TV. Plus the assembly is Poland, after all, not Russia.")</f>
        <v>I'm going to buy this TV in the near future. I read about it on the Internet and on the manufacturer’s website - the reviews are positive. In comparison with Panasonic it is cheaper, but does not lose in quality. Two tuners, several HDMI inputs, USB and other nice little things complete this TV. Plus the assembly is Poland, after all, not Russia.</v>
      </c>
    </row>
    <row r="4531" spans="1:9" x14ac:dyDescent="0.3">
      <c r="A4531" s="1" t="s">
        <v>78</v>
      </c>
      <c r="B4531" s="1" t="s">
        <v>1163</v>
      </c>
      <c r="C4531" s="1" t="s">
        <v>80</v>
      </c>
      <c r="D4531" s="1" t="s">
        <v>326</v>
      </c>
      <c r="E4531" s="1" t="s">
        <v>481</v>
      </c>
      <c r="F4531" s="1" t="s">
        <v>7699</v>
      </c>
      <c r="G4531" s="1" t="s">
        <v>36</v>
      </c>
      <c r="H4531" s="1" t="s">
        <v>29</v>
      </c>
      <c r="I4531" s="1" t="str">
        <f ca="1">IFERROR(__xludf.DUMMYFUNCTION("GOOGLETRANSLATE(F4531, ""auto"", ""en"")
"),"I am very pleased with this microwave! We've been using it for 2 years, it works great, it's neat in appearance and compact. I recommend!")</f>
        <v>I am very pleased with this microwave! We've been using it for 2 years, it works great, it's neat in appearance and compact. I recommend!</v>
      </c>
    </row>
    <row r="4532" spans="1:9" x14ac:dyDescent="0.3">
      <c r="A4532" s="1" t="s">
        <v>211</v>
      </c>
      <c r="B4532" s="1" t="s">
        <v>410</v>
      </c>
      <c r="C4532" s="1" t="s">
        <v>213</v>
      </c>
      <c r="D4532" s="1" t="s">
        <v>232</v>
      </c>
      <c r="E4532" s="1" t="s">
        <v>491</v>
      </c>
      <c r="F4532" s="1" t="s">
        <v>7700</v>
      </c>
      <c r="G4532" s="1" t="s">
        <v>36</v>
      </c>
      <c r="H4532" s="1" t="s">
        <v>29</v>
      </c>
      <c r="I4532" s="1" t="str">
        <f ca="1">IFERROR(__xludf.DUMMYFUNCTION("GOOGLETRANSLATE(F4532, ""auto"", ""en"")
"),"I recently bought a razor. The instructions say that the cutting unit needs to be changed every 18 months. In the store, the seller lowered this figure to 4-5 months. I don't know who to believe. And the impression is excellent! Price/quality - at an amaz"&amp;"ing level. I recommend to buy.")</f>
        <v>I recently bought a razor. The instructions say that the cutting unit needs to be changed every 18 months. In the store, the seller lowered this figure to 4-5 months. I don't know who to believe. And the impression is excellent! Price/quality - at an amazing level. I recommend to buy.</v>
      </c>
    </row>
    <row r="4533" spans="1:9" x14ac:dyDescent="0.3">
      <c r="A4533" s="1" t="s">
        <v>61</v>
      </c>
      <c r="B4533" s="1" t="s">
        <v>62</v>
      </c>
      <c r="C4533" s="1" t="s">
        <v>63</v>
      </c>
      <c r="D4533" s="1" t="s">
        <v>247</v>
      </c>
      <c r="E4533" s="1" t="s">
        <v>1909</v>
      </c>
      <c r="F4533" s="1" t="s">
        <v>7701</v>
      </c>
      <c r="G4533" s="1" t="s">
        <v>36</v>
      </c>
      <c r="H4533" s="1" t="s">
        <v>29</v>
      </c>
      <c r="I4533" s="1" t="str">
        <f ca="1">IFERROR(__xludf.DUMMYFUNCTION("GOOGLETRANSLATE(F4533, ""auto"", ""en"")
"),"We bought a combine harvester 2 days ago, we are very satisfied, we are satisfied with the equipment. I would also like to buy a cube attachment separately, but where?")</f>
        <v>We bought a combine harvester 2 days ago, we are very satisfied, we are satisfied with the equipment. I would also like to buy a cube attachment separately, but where?</v>
      </c>
    </row>
    <row r="4534" spans="1:9" x14ac:dyDescent="0.3">
      <c r="A4534" s="1" t="s">
        <v>37</v>
      </c>
      <c r="B4534" s="1" t="s">
        <v>38</v>
      </c>
      <c r="C4534" s="1" t="s">
        <v>163</v>
      </c>
      <c r="D4534" s="1" t="s">
        <v>7702</v>
      </c>
      <c r="E4534" s="1" t="s">
        <v>3550</v>
      </c>
      <c r="F4534" s="1" t="s">
        <v>7703</v>
      </c>
      <c r="G4534" s="1" t="s">
        <v>28</v>
      </c>
      <c r="H4534" s="1" t="s">
        <v>29</v>
      </c>
      <c r="I4534" s="1" t="str">
        <f ca="1">IFERROR(__xludf.DUMMYFUNCTION("GOOGLETRANSLATE(F4534, ""auto"", ""en"")
"),"bought today. almost everything said above is true, since I took it because two friends have such a phone) but one thing confuses me - the brightness! I still can’t find the brightness of the phone..can it be changed??")</f>
        <v>bought today. almost everything said above is true, since I took it because two friends have such a phone) but one thing confuses me - the brightness! I still can’t find the brightness of the phone..can it be changed??</v>
      </c>
    </row>
    <row r="4535" spans="1:9" x14ac:dyDescent="0.3">
      <c r="A4535" s="1" t="s">
        <v>1031</v>
      </c>
      <c r="B4535" s="1" t="s">
        <v>1032</v>
      </c>
      <c r="C4535" s="1" t="s">
        <v>1033</v>
      </c>
      <c r="D4535" s="1" t="s">
        <v>7704</v>
      </c>
      <c r="E4535" s="1" t="s">
        <v>3573</v>
      </c>
      <c r="F4535" s="1" t="s">
        <v>7705</v>
      </c>
      <c r="G4535" s="1" t="s">
        <v>36</v>
      </c>
      <c r="H4535" s="1" t="s">
        <v>29</v>
      </c>
      <c r="I4535" s="1" t="str">
        <f ca="1">IFERROR(__xludf.DUMMYFUNCTION("GOOGLETRANSLATE(F4535, ""auto"", ""en"")
"),"I use this product to polish almost everything made of stainless steel in my kitchen, and I am always very pleased with the result. It is easy to clean and makes the stove and refrigerator and even forks and knives shiny.  This quarter liter container las"&amp;"ts me about a month.  The price of the liquid is low, so when buying, I take two or three packages at once to use it longer.")</f>
        <v>I use this product to polish almost everything made of stainless steel in my kitchen, and I am always very pleased with the result. It is easy to clean and makes the stove and refrigerator and even forks and knives shiny.  This quarter liter container lasts me about a month.  The price of the liquid is low, so when buying, I take two or three packages at once to use it longer.</v>
      </c>
    </row>
    <row r="4536" spans="1:9" x14ac:dyDescent="0.3">
      <c r="A4536" s="1" t="s">
        <v>211</v>
      </c>
      <c r="B4536" s="1" t="s">
        <v>410</v>
      </c>
      <c r="C4536" s="1" t="s">
        <v>213</v>
      </c>
      <c r="D4536" s="1" t="s">
        <v>114</v>
      </c>
      <c r="E4536" s="1" t="s">
        <v>912</v>
      </c>
      <c r="F4536" s="1" t="s">
        <v>7706</v>
      </c>
      <c r="G4536" s="1" t="s">
        <v>36</v>
      </c>
      <c r="H4536" s="1" t="s">
        <v>29</v>
      </c>
      <c r="I4536" s="1" t="str">
        <f ca="1">IFERROR(__xludf.DUMMYFUNCTION("GOOGLETRANSLATE(F4536, ""auto"", ""en"")
"),"It takes 3-4 minutes to shave perfectly, there are some missing hairs, but there are so few of them that it is not critical. Overall I'm very pleased with the razor. The locking head and 3 shaving intensity settings are very convenient for daily use. I am"&amp;" very pleased with the razor, I can confidently recommend it to others. I think it’s worth adding: I have medium-hard stubble, I shave mainly with a stubble length of 2-3 mm. With 1-2 mm stubble - it shaves perfectly!")</f>
        <v>It takes 3-4 minutes to shave perfectly, there are some missing hairs, but there are so few of them that it is not critical. Overall I'm very pleased with the razor. The locking head and 3 shaving intensity settings are very convenient for daily use. I am very pleased with the razor, I can confidently recommend it to others. I think it’s worth adding: I have medium-hard stubble, I shave mainly with a stubble length of 2-3 mm. With 1-2 mm stubble - it shaves perfectly!</v>
      </c>
    </row>
    <row r="4537" spans="1:9" x14ac:dyDescent="0.3">
      <c r="A4537" s="1" t="s">
        <v>120</v>
      </c>
      <c r="B4537" s="1" t="s">
        <v>126</v>
      </c>
      <c r="C4537" s="1" t="s">
        <v>122</v>
      </c>
      <c r="D4537" s="1" t="s">
        <v>139</v>
      </c>
      <c r="E4537" s="1" t="s">
        <v>1228</v>
      </c>
      <c r="F4537" s="1" t="s">
        <v>7707</v>
      </c>
      <c r="G4537" s="1" t="s">
        <v>36</v>
      </c>
      <c r="H4537" s="1" t="s">
        <v>29</v>
      </c>
      <c r="I4537" s="1" t="str">
        <f ca="1">IFERROR(__xludf.DUMMYFUNCTION("GOOGLETRANSLATE(F4537, ""auto"", ""en"")
"),"Great plasma panel at a great price. I really didn't expect such a high quality image. Very pleased. Thanks to the Mvideo store!!!")</f>
        <v>Great plasma panel at a great price. I really didn't expect such a high quality image. Very pleased. Thanks to the Mvideo store!!!</v>
      </c>
    </row>
    <row r="4538" spans="1:9" x14ac:dyDescent="0.3">
      <c r="A4538" s="1" t="s">
        <v>30</v>
      </c>
      <c r="B4538" s="1" t="s">
        <v>50</v>
      </c>
      <c r="C4538" s="1" t="s">
        <v>32</v>
      </c>
      <c r="D4538" s="1" t="s">
        <v>7708</v>
      </c>
      <c r="E4538" s="1" t="s">
        <v>4783</v>
      </c>
      <c r="F4538" s="1" t="s">
        <v>7709</v>
      </c>
      <c r="G4538" s="1" t="s">
        <v>28</v>
      </c>
      <c r="H4538" s="1" t="s">
        <v>29</v>
      </c>
      <c r="I4538" s="1" t="str">
        <f ca="1">IFERROR(__xludf.DUMMYFUNCTION("GOOGLETRANSLATE(F4538, ""auto"", ""en"")
"),"I'll mention the disadvantages first: 1 Lack of bluetooth, a trifle of course, but it's just a shame, since the button is present!  2 The touch panel on the right for sound does not work for the following reason: Launch Manager, the utility for controllin"&amp;"g this panel, is not compatible with Windows 7, I don’t want to demolish 7 just yet! managed to launch only the Mute button!  3 The left side gets very hot, where the video card and processor are located, and the network card!  4 The network card connecto"&amp;"r under the connector does not have a latch, the cable constantly comes out, you have to press it in hard! “Perhaps the connector is faulty only for me("" 5 Due to overheating, the left speaker periodically begins to wheeze at low frequencies! Well, that "&amp;"seems to be all about the minuses, someone wrote below that the speaker is touching the body, I don’t have such troubles, the speaker opens perfectly, maybe this is an isolated defect, like I have with the network one: (Now about the pros, in general I re"&amp;"ally liked the laptop, the performance is quite high, it handles new toys very well, such as: Stalker, Metro 2033, Battlefield Bad Company 2, I also wanted to try GTA 4 but I couldn’t find a version that would work in Windows 7 “whoever got it, let me kno"&amp;"w” The external design looks very kosher, well, in general, all the disadvantages are not significant in comparison with the advantages of this laptop, I recommend it to everyone!!!")</f>
        <v>I'll mention the disadvantages first: 1 Lack of bluetooth, a trifle of course, but it's just a shame, since the button is present!  2 The touch panel on the right for sound does not work for the following reason: Launch Manager, the utility for controlling this panel, is not compatible with Windows 7, I don’t want to demolish 7 just yet! managed to launch only the Mute button!  3 The left side gets very hot, where the video card and processor are located, and the network card!  4 The network card connector under the connector does not have a latch, the cable constantly comes out, you have to press it in hard! “Perhaps the connector is faulty only for me(" 5 Due to overheating, the left speaker periodically begins to wheeze at low frequencies! Well, that seems to be all about the minuses, someone wrote below that the speaker is touching the body, I don’t have such troubles, the speaker opens perfectly, maybe this is an isolated defect, like I have with the network one: (Now about the pros, in general I really liked the laptop, the performance is quite high, it handles new toys very well, such as: Stalker, Metro 2033, Battlefield Bad Company 2, I also wanted to try GTA 4 but I couldn’t find a version that would work in Windows 7 “whoever got it, let me know” The external design looks very kosher, well, in general, all the disadvantages are not significant in comparison with the advantages of this laptop, I recommend it to everyone!!!</v>
      </c>
    </row>
    <row r="4539" spans="1:9" x14ac:dyDescent="0.3">
      <c r="A4539" s="1" t="s">
        <v>67</v>
      </c>
      <c r="B4539" s="1" t="s">
        <v>68</v>
      </c>
      <c r="C4539" s="1" t="s">
        <v>246</v>
      </c>
      <c r="D4539" s="1" t="s">
        <v>621</v>
      </c>
      <c r="E4539" s="1" t="s">
        <v>1454</v>
      </c>
      <c r="F4539" s="1" t="s">
        <v>7710</v>
      </c>
      <c r="G4539" s="1" t="s">
        <v>15</v>
      </c>
      <c r="H4539" s="1" t="s">
        <v>16</v>
      </c>
      <c r="I4539" s="1" t="str">
        <f ca="1">IFERROR(__xludf.DUMMYFUNCTION("GOOGLETRANSLATE(F4539, ""auto"", ""en"")
"),"I didn’t like this iron, maybe it’s true because before this I had the same brand and it was more sophisticated... I didn’t like that it doesn’t steam well, it’s quite light, I’ll buy a new one and don’t skimp on the price")</f>
        <v>I didn’t like this iron, maybe it’s true because before this I had the same brand and it was more sophisticated... I didn’t like that it doesn’t steam well, it’s quite light, I’ll buy a new one and don’t skimp on the price</v>
      </c>
    </row>
    <row r="4540" spans="1:9" x14ac:dyDescent="0.3">
      <c r="A4540" s="1" t="s">
        <v>211</v>
      </c>
      <c r="B4540" s="1" t="s">
        <v>265</v>
      </c>
      <c r="C4540" s="1" t="s">
        <v>266</v>
      </c>
      <c r="D4540" s="1" t="s">
        <v>208</v>
      </c>
      <c r="E4540" s="1" t="s">
        <v>2278</v>
      </c>
      <c r="F4540" s="1" t="s">
        <v>7711</v>
      </c>
      <c r="G4540" s="1" t="s">
        <v>49</v>
      </c>
      <c r="H4540" s="1" t="s">
        <v>16</v>
      </c>
      <c r="I4540" s="1" t="str">
        <f ca="1">IFERROR(__xludf.DUMMYFUNCTION("GOOGLETRANSLATE(F4540, ""auto"", ""en"")
"),"Trimming a beard from 2 to 16 mm is not possible!!! The bristles do not rise under the knives in any way, thanks to the attachments that come with the kit. They have a comb that is too thick, which CANNOT capture not only the stubble, but even just the ha"&amp;"ir on the head!!! Don't buy this nonsense, waste your money! I tried to get my money back, but they politely sent me away, citing the Trade Law, where, they say, a trimmer is a personal hygiene device. And I would carefully tear off the hands of the desig"&amp;"ner and constructor of this model. ;)")</f>
        <v>Trimming a beard from 2 to 16 mm is not possible!!! The bristles do not rise under the knives in any way, thanks to the attachments that come with the kit. They have a comb that is too thick, which CANNOT capture not only the stubble, but even just the hair on the head!!! Don't buy this nonsense, waste your money! I tried to get my money back, but they politely sent me away, citing the Trade Law, where, they say, a trimmer is a personal hygiene device. And I would carefully tear off the hands of the designer and constructor of this model. ;)</v>
      </c>
    </row>
    <row r="4541" spans="1:9" x14ac:dyDescent="0.3">
      <c r="A4541" s="1" t="s">
        <v>9</v>
      </c>
      <c r="B4541" s="1" t="s">
        <v>10</v>
      </c>
      <c r="C4541" s="1" t="s">
        <v>4314</v>
      </c>
      <c r="D4541" s="1" t="s">
        <v>247</v>
      </c>
      <c r="E4541" s="1" t="s">
        <v>7712</v>
      </c>
      <c r="F4541" s="1" t="s">
        <v>7713</v>
      </c>
      <c r="G4541" s="1" t="s">
        <v>36</v>
      </c>
      <c r="H4541" s="1" t="s">
        <v>29</v>
      </c>
      <c r="I4541" s="1" t="str">
        <f ca="1">IFERROR(__xludf.DUMMYFUNCTION("GOOGLETRANSLATE(F4541, ""auto"", ""en"")
"),"Good hood. The noise is moderate. 3 speeds + lighting. She works on her own and doesn’t bother anyone! I recommend!")</f>
        <v>Good hood. The noise is moderate. 3 speeds + lighting. She works on her own and doesn’t bother anyone! I recommend!</v>
      </c>
    </row>
    <row r="4542" spans="1:9" x14ac:dyDescent="0.3">
      <c r="A4542" s="1" t="s">
        <v>61</v>
      </c>
      <c r="B4542" s="1" t="s">
        <v>145</v>
      </c>
      <c r="C4542" s="1" t="s">
        <v>85</v>
      </c>
      <c r="D4542" s="1" t="s">
        <v>228</v>
      </c>
      <c r="E4542" s="1" t="s">
        <v>2787</v>
      </c>
      <c r="F4542" s="1" t="s">
        <v>7714</v>
      </c>
      <c r="G4542" s="1" t="s">
        <v>36</v>
      </c>
      <c r="H4542" s="1" t="s">
        <v>29</v>
      </c>
      <c r="I4542" s="1" t="str">
        <f ca="1">IFERROR(__xludf.DUMMYFUNCTION("GOOGLETRANSLATE(F4542, ""auto"", ""en"")
"),"A very simple and convenient steamer. The dishes turn out tasty and juicy. Everything is prepared extremely quickly. I recommend it to everyone.")</f>
        <v>A very simple and convenient steamer. The dishes turn out tasty and juicy. Everything is prepared extremely quickly. I recommend it to everyone.</v>
      </c>
    </row>
    <row r="4543" spans="1:9" x14ac:dyDescent="0.3">
      <c r="A4543" s="1" t="s">
        <v>30</v>
      </c>
      <c r="B4543" s="1" t="s">
        <v>50</v>
      </c>
      <c r="C4543" s="1" t="s">
        <v>694</v>
      </c>
      <c r="D4543" s="1" t="s">
        <v>52</v>
      </c>
      <c r="E4543" s="1" t="s">
        <v>7715</v>
      </c>
      <c r="F4543" s="1" t="s">
        <v>7716</v>
      </c>
      <c r="G4543" s="1" t="s">
        <v>36</v>
      </c>
      <c r="H4543" s="1" t="s">
        <v>29</v>
      </c>
      <c r="I4543" s="1" t="str">
        <f ca="1">IFERROR(__xludf.DUMMYFUNCTION("GOOGLETRANSLATE(F4543, ""auto"", ""en"")
"),"There are only pros, I haven’t seen any cons yet, except maybe the gloss near the keyboard.  And it’s just a bomb, at maximum load the heat dissipation is very good, not only Windows flies, but anything you put in (within reasonable limits, of course, it’"&amp;"s a laptop after all). Very pleased.")</f>
        <v>There are only pros, I haven’t seen any cons yet, except maybe the gloss near the keyboard.  And it’s just a bomb, at maximum load the heat dissipation is very good, not only Windows flies, but anything you put in (within reasonable limits, of course, it’s a laptop after all). Very pleased.</v>
      </c>
    </row>
    <row r="4544" spans="1:9" x14ac:dyDescent="0.3">
      <c r="A4544" s="1" t="s">
        <v>89</v>
      </c>
      <c r="B4544" s="1" t="s">
        <v>90</v>
      </c>
      <c r="C4544" s="1" t="s">
        <v>85</v>
      </c>
      <c r="D4544" s="1" t="s">
        <v>7717</v>
      </c>
      <c r="E4544" s="1" t="s">
        <v>597</v>
      </c>
      <c r="F4544" s="1" t="s">
        <v>7718</v>
      </c>
      <c r="G4544" s="1" t="s">
        <v>36</v>
      </c>
      <c r="H4544" s="1" t="s">
        <v>29</v>
      </c>
      <c r="I4544" s="1" t="str">
        <f ca="1">IFERROR(__xludf.DUMMYFUNCTION("GOOGLETRANSLATE(F4544, ""auto"", ""en"")
"),"The coffee grinder is SUPER!!!")</f>
        <v>The coffee grinder is SUPER!!!</v>
      </c>
    </row>
    <row r="4545" spans="1:9" x14ac:dyDescent="0.3">
      <c r="A4545" s="1" t="s">
        <v>95</v>
      </c>
      <c r="B4545" s="1" t="s">
        <v>227</v>
      </c>
      <c r="C4545" s="1" t="s">
        <v>97</v>
      </c>
      <c r="D4545" s="1" t="s">
        <v>7719</v>
      </c>
      <c r="E4545" s="1" t="s">
        <v>7720</v>
      </c>
      <c r="F4545" s="1" t="s">
        <v>7721</v>
      </c>
      <c r="G4545" s="1" t="s">
        <v>36</v>
      </c>
      <c r="H4545" s="1" t="s">
        <v>29</v>
      </c>
      <c r="I4545" s="1" t="str">
        <f ca="1">IFERROR(__xludf.DUMMYFUNCTION("GOOGLETRANSLATE(F4545, ""auto"", ""en"")
"),"I join the reviews. On my own behalf I want to add about 3D games. 107cm TV-Sports Festival 2 (included in the kit) 3D is just Super.! Sound through the House. Cinema 5:1 Thing.!")</f>
        <v>I join the reviews. On my own behalf I want to add about 3D games. 107cm TV-Sports Festival 2 (included in the kit) 3D is just Super.! Sound through the House. Cinema 5:1 Thing.!</v>
      </c>
    </row>
    <row r="4546" spans="1:9" x14ac:dyDescent="0.3">
      <c r="A4546" s="1" t="s">
        <v>37</v>
      </c>
      <c r="B4546" s="1" t="s">
        <v>38</v>
      </c>
      <c r="C4546" s="1" t="s">
        <v>69</v>
      </c>
      <c r="D4546" s="1" t="s">
        <v>114</v>
      </c>
      <c r="E4546" s="1" t="s">
        <v>2680</v>
      </c>
      <c r="F4546" s="1" t="s">
        <v>7722</v>
      </c>
      <c r="G4546" s="1" t="s">
        <v>36</v>
      </c>
      <c r="H4546" s="1" t="s">
        <v>29</v>
      </c>
      <c r="I4546" s="1" t="str">
        <f ca="1">IFERROR(__xludf.DUMMYFUNCTION("GOOGLETRANSLATE(F4546, ""auto"", ""en"")
"),"I can’t say much, since I recently took it, but at first glance and the feeling is a normal phone, there are some inconveniences after the phone. Nokia, but you can get used to them!")</f>
        <v>I can’t say much, since I recently took it, but at first glance and the feeling is a normal phone, there are some inconveniences after the phone. Nokia, but you can get used to them!</v>
      </c>
    </row>
    <row r="4547" spans="1:9" x14ac:dyDescent="0.3">
      <c r="A4547" s="1" t="s">
        <v>105</v>
      </c>
      <c r="B4547" s="1" t="s">
        <v>106</v>
      </c>
      <c r="C4547" s="1" t="s">
        <v>97</v>
      </c>
      <c r="D4547" s="1" t="s">
        <v>2975</v>
      </c>
      <c r="E4547" s="1" t="s">
        <v>367</v>
      </c>
      <c r="F4547" s="1" t="s">
        <v>7723</v>
      </c>
      <c r="G4547" s="1" t="s">
        <v>36</v>
      </c>
      <c r="H4547" s="1" t="s">
        <v>29</v>
      </c>
      <c r="I4547" s="1" t="str">
        <f ca="1">IFERROR(__xludf.DUMMYFUNCTION("GOOGLETRANSLATE(F4547, ""auto"", ""en"")
"),"This is a wildly convenient player for running and, in general, for playing sports, of all the ones I’ve ever dealt with. Take it without hesitation, in terms of price-quality ratio it’s just a blast.")</f>
        <v>This is a wildly convenient player for running and, in general, for playing sports, of all the ones I’ve ever dealt with. Take it without hesitation, in terms of price-quality ratio it’s just a blast.</v>
      </c>
    </row>
    <row r="4548" spans="1:9" x14ac:dyDescent="0.3">
      <c r="A4548" s="1" t="s">
        <v>211</v>
      </c>
      <c r="B4548" s="1" t="s">
        <v>856</v>
      </c>
      <c r="C4548" s="1" t="s">
        <v>57</v>
      </c>
      <c r="D4548" s="1" t="s">
        <v>75</v>
      </c>
      <c r="E4548" s="1" t="s">
        <v>3104</v>
      </c>
      <c r="F4548" s="1" t="s">
        <v>7724</v>
      </c>
      <c r="G4548" s="1" t="s">
        <v>28</v>
      </c>
      <c r="H4548" s="1" t="s">
        <v>29</v>
      </c>
      <c r="I4548" s="1" t="str">
        <f ca="1">IFERROR(__xludf.DUMMYFUNCTION("GOOGLETRANSLATE(F4548, ""auto"", ""en"")
"),"Pros: inexpensive, treats cuticles well Cons: weak for foot pedicure, of all the attachments only one cone-shaped cutter is useful, the rest can be thrown away")</f>
        <v>Pros: inexpensive, treats cuticles well Cons: weak for foot pedicure, of all the attachments only one cone-shaped cutter is useful, the rest can be thrown away</v>
      </c>
    </row>
    <row r="4549" spans="1:9" x14ac:dyDescent="0.3">
      <c r="A4549" s="1" t="s">
        <v>211</v>
      </c>
      <c r="B4549" s="1" t="s">
        <v>410</v>
      </c>
      <c r="C4549" s="1" t="s">
        <v>213</v>
      </c>
      <c r="D4549" s="1" t="s">
        <v>152</v>
      </c>
      <c r="E4549" s="1" t="s">
        <v>7725</v>
      </c>
      <c r="F4549" s="1" t="s">
        <v>7726</v>
      </c>
      <c r="G4549" s="1" t="s">
        <v>36</v>
      </c>
      <c r="H4549" s="1" t="s">
        <v>29</v>
      </c>
      <c r="I4549" s="1" t="str">
        <f ca="1">IFERROR(__xludf.DUMMYFUNCTION("GOOGLETRANSLATE(F4549, ""auto"", ""en"")
"),"Last night I tried to shave off my 3 day old hair with this wonderful razor. Email You need to know how to use a razor, unless of course you want to suffer and write negative reviews. So yesterday I bought this miracle, you don’t have to believe me, you’r"&amp;"e right, but the first time I shaved off my 3-day stubble normally, without irritation (my skin, despite the wild stubble, is sensitive), no pain, pretty quickly for e-mail. razors, here they wrote badly under my nose, and I suffered with the machine ther"&amp;"e, but once with a razor - no. I’ll go and buy another cutting block, I won’t wait for this one to get dull, the way lies, it doesn’t ask for food))) As for the price, decide what is more valuable to you: your skin or money? If you want comfort and qualit"&amp;"y, pay. If you find a razor for 1000 rubles that shaves no worse than this one, drop a link, but for now there is no alternative, there are 2 options: either buy it and enjoy shaving, or save money and sit and cry from irritation! I heard and read everywh"&amp;"ere that no matter what razor you use, there will be irritation in the first week - the skin gets used to it, strange, but I don’t have it from this one)))")</f>
        <v>Last night I tried to shave off my 3 day old hair with this wonderful razor. Email You need to know how to use a razor, unless of course you want to suffer and write negative reviews. So yesterday I bought this miracle, you don’t have to believe me, you’re right, but the first time I shaved off my 3-day stubble normally, without irritation (my skin, despite the wild stubble, is sensitive), no pain, pretty quickly for e-mail. razors, here they wrote badly under my nose, and I suffered with the machine there, but once with a razor - no. I’ll go and buy another cutting block, I won’t wait for this one to get dull, the way lies, it doesn’t ask for food))) As for the price, decide what is more valuable to you: your skin or money? If you want comfort and quality, pay. If you find a razor for 1000 rubles that shaves no worse than this one, drop a link, but for now there is no alternative, there are 2 options: either buy it and enjoy shaving, or save money and sit and cry from irritation! I heard and read everywhere that no matter what razor you use, there will be irritation in the first week - the skin gets used to it, strange, but I don’t have it from this one)))</v>
      </c>
    </row>
    <row r="4550" spans="1:9" x14ac:dyDescent="0.3">
      <c r="A4550" s="1" t="s">
        <v>732</v>
      </c>
      <c r="B4550" s="1" t="s">
        <v>733</v>
      </c>
      <c r="C4550" s="1" t="s">
        <v>80</v>
      </c>
      <c r="D4550" s="1" t="s">
        <v>7727</v>
      </c>
      <c r="E4550" s="1" t="s">
        <v>3999</v>
      </c>
      <c r="F4550" s="1" t="s">
        <v>7728</v>
      </c>
      <c r="G4550" s="1" t="s">
        <v>36</v>
      </c>
      <c r="H4550" s="1" t="s">
        <v>29</v>
      </c>
      <c r="I4550" s="1" t="str">
        <f ca="1">IFERROR(__xludf.DUMMYFUNCTION("GOOGLETRANSLATE(F4550, ""auto"", ""en"")
"),"The monitor has been working for 3 years, satisfied in all respects, but 2 times there was a “misunderstanding” with the sound: when turned on there were distortions, after that they disassembled the monitor, blew off the dust, put it back together and ev"&amp;"erything worked well again. The incident recently repeated itself; a month and a half passed between the first and second incidents, although before that I had been working for 2.5 years without any intervention. The room may be very dusty, but the humidi"&amp;"ty is normal.")</f>
        <v>The monitor has been working for 3 years, satisfied in all respects, but 2 times there was a “misunderstanding” with the sound: when turned on there were distortions, after that they disassembled the monitor, blew off the dust, put it back together and everything worked well again. The incident recently repeated itself; a month and a half passed between the first and second incidents, although before that I had been working for 2.5 years without any intervention. The room may be very dusty, but the humidity is normal.</v>
      </c>
    </row>
    <row r="4551" spans="1:9" x14ac:dyDescent="0.3">
      <c r="A4551" s="1" t="s">
        <v>149</v>
      </c>
      <c r="B4551" s="1" t="s">
        <v>423</v>
      </c>
      <c r="C4551" s="1" t="s">
        <v>531</v>
      </c>
      <c r="D4551" s="1" t="s">
        <v>1008</v>
      </c>
      <c r="E4551" s="1" t="s">
        <v>6891</v>
      </c>
      <c r="F4551" s="1" t="s">
        <v>7729</v>
      </c>
      <c r="G4551" s="1" t="s">
        <v>36</v>
      </c>
      <c r="H4551" s="1" t="s">
        <v>29</v>
      </c>
      <c r="I4551" s="1" t="str">
        <f ca="1">IFERROR(__xludf.DUMMYFUNCTION("GOOGLETRANSLATE(F4551, ""auto"", ""en"")
"),"The vacuum cleaner is essentially three in one - a bag for dry cleaning, an aqua filter and a washing machine. The most convenient thing is the ease of switching from dry to washing mode. Washing the vacuum cleaner itself after cleaning is not particularl"&amp;"y difficult or tedious, it only takes 5-10 minutes. I didn’t like wet carpet cleaning: the carpet is very wet and takes a long time to dry (although if the humidity in the apartment is low, this is rather a plus). Parquet, linoleum, tiles - it's all great"&amp;". During the year of washing the parquet, not a single board swelled. Consumables (filters, bags) are on sale, but original shampoo is difficult to find. I want to warn those who are just thinking about buying a washing vacuum cleaner: you won’t be able t"&amp;"o clean your apartment faster than by hand. Better quality - yes. Fatigue is about the same. You will still have to clean the corners with a rag. So if the apartment is in a small town, 50-60 meters away, don’t worry, take a regular cyclone and a bucket w"&amp;"ith a rag, it’ll be faster, cheaper and easier. But when the apartment or house is about 200 square meters and there are children, cats, dogs, a bunch of parishioners - there are no options.")</f>
        <v>The vacuum cleaner is essentially three in one - a bag for dry cleaning, an aqua filter and a washing machine. The most convenient thing is the ease of switching from dry to washing mode. Washing the vacuum cleaner itself after cleaning is not particularly difficult or tedious, it only takes 5-10 minutes. I didn’t like wet carpet cleaning: the carpet is very wet and takes a long time to dry (although if the humidity in the apartment is low, this is rather a plus). Parquet, linoleum, tiles - it's all great. During the year of washing the parquet, not a single board swelled. Consumables (filters, bags) are on sale, but original shampoo is difficult to find. I want to warn those who are just thinking about buying a washing vacuum cleaner: you won’t be able to clean your apartment faster than by hand. Better quality - yes. Fatigue is about the same. You will still have to clean the corners with a rag. So if the apartment is in a small town, 50-60 meters away, don’t worry, take a regular cyclone and a bucket with a rag, it’ll be faster, cheaper and easier. But when the apartment or house is about 200 square meters and there are children, cats, dogs, a bunch of parishioners - there are no options.</v>
      </c>
    </row>
    <row r="4552" spans="1:9" x14ac:dyDescent="0.3">
      <c r="A4552" s="1" t="s">
        <v>61</v>
      </c>
      <c r="B4552" s="1" t="s">
        <v>318</v>
      </c>
      <c r="C4552" s="1" t="s">
        <v>246</v>
      </c>
      <c r="D4552" s="1" t="s">
        <v>420</v>
      </c>
      <c r="E4552" s="1" t="s">
        <v>1978</v>
      </c>
      <c r="F4552" s="1" t="s">
        <v>7730</v>
      </c>
      <c r="G4552" s="1" t="s">
        <v>49</v>
      </c>
      <c r="H4552" s="1" t="s">
        <v>16</v>
      </c>
      <c r="I4552" s="1" t="str">
        <f ca="1">IFERROR(__xludf.DUMMYFUNCTION("GOOGLETRANSLATE(F4552, ""auto"", ""en"")
"),"I chose the kettle because of the brand and the 2-year warranty. After a week, the button cover stopped opening. Two weeks later the button fell off the shift lever. After a month, the manual shutdown stopped working. You just need to heat the water, and "&amp;"the kettle does not turn off until the water boils, no matter how much you turn the shutdown lever. After 2.5 months, the automatic shutdown when the water boiled periodically did not work. He turned it on once and left the kitchen. I returned 20 minutes "&amp;"later - the kitchen was full of steam, there was a puddle under the kettle, two sheets of wallpaper had peeled off at the top. Warranty workshop on the other side of town. I didn’t go right away, but began to monitor the boiling. After 3.5 months, from ti"&amp;"me to time, when boiling, small puddles of water began to appear on the pan. After 4 months I got tired of it and took it to a warranty workshop. And they said that the failure was mechanical and apparently I broke it myself (dropped it). Although I didn'"&amp;"t drop it. And what is this plastic inside that is supposed to break - it’s not glass! They said that they would send the photo to the company's representative office and if permission came from there, they would repair it under warranty. Completely disap"&amp;"pointed in both quality and service.")</f>
        <v>I chose the kettle because of the brand and the 2-year warranty. After a week, the button cover stopped opening. Two weeks later the button fell off the shift lever. After a month, the manual shutdown stopped working. You just need to heat the water, and the kettle does not turn off until the water boils, no matter how much you turn the shutdown lever. After 2.5 months, the automatic shutdown when the water boiled periodically did not work. He turned it on once and left the kitchen. I returned 20 minutes later - the kitchen was full of steam, there was a puddle under the kettle, two sheets of wallpaper had peeled off at the top. Warranty workshop on the other side of town. I didn’t go right away, but began to monitor the boiling. After 3.5 months, from time to time, when boiling, small puddles of water began to appear on the pan. After 4 months I got tired of it and took it to a warranty workshop. And they said that the failure was mechanical and apparently I broke it myself (dropped it). Although I didn't drop it. And what is this plastic inside that is supposed to break - it’s not glass! They said that they would send the photo to the company's representative office and if permission came from there, they would repair it under warranty. Completely disappointed in both quality and service.</v>
      </c>
    </row>
    <row r="4553" spans="1:9" x14ac:dyDescent="0.3">
      <c r="A4553" s="1" t="s">
        <v>17</v>
      </c>
      <c r="B4553" s="1" t="s">
        <v>18</v>
      </c>
      <c r="C4553" s="1" t="s">
        <v>277</v>
      </c>
      <c r="D4553" s="1" t="s">
        <v>7731</v>
      </c>
      <c r="E4553" s="1" t="s">
        <v>5241</v>
      </c>
      <c r="F4553" s="1" t="s">
        <v>7732</v>
      </c>
      <c r="G4553" s="1" t="s">
        <v>28</v>
      </c>
      <c r="H4553" s="1" t="s">
        <v>29</v>
      </c>
      <c r="I4553" s="1" t="str">
        <f ca="1">IFERROR(__xludf.DUMMYFUNCTION("GOOGLETRANSLATE(F4553, ""auto"", ""en"")
"),"I've been doing laundry for a year now and I'm very pleased. I wash very often, but more often I only use the quick wash program.    Among the disadvantages: sometimes it does not spin out, you have to reload it. There is always water in the middle compar"&amp;"tment after washing. I still don’t understand what this is.")</f>
        <v>I've been doing laundry for a year now and I'm very pleased. I wash very often, but more often I only use the quick wash program.    Among the disadvantages: sometimes it does not spin out, you have to reload it. There is always water in the middle compartment after washing. I still don’t understand what this is.</v>
      </c>
    </row>
    <row r="4554" spans="1:9" x14ac:dyDescent="0.3">
      <c r="A4554" s="1" t="s">
        <v>211</v>
      </c>
      <c r="B4554" s="1" t="s">
        <v>899</v>
      </c>
      <c r="C4554" s="1" t="s">
        <v>69</v>
      </c>
      <c r="D4554" s="1" t="s">
        <v>896</v>
      </c>
      <c r="E4554" s="1" t="s">
        <v>2900</v>
      </c>
      <c r="F4554" s="1" t="s">
        <v>7733</v>
      </c>
      <c r="G4554" s="1" t="s">
        <v>36</v>
      </c>
      <c r="H4554" s="1" t="s">
        <v>29</v>
      </c>
      <c r="I4554" s="1" t="str">
        <f ca="1">IFERROR(__xludf.DUMMYFUNCTION("GOOGLETRANSLATE(F4554, ""auto"", ""en"")
"),"My husband and I have been using this brush for a year now. Indeed, it cleans teeth very well, which cannot be cleaned with a regular brush and plaque remains. After this, all teeth are clean and smooth. As for my gums, they used to be very sensitive, but"&amp;" now there is no such problem. If I go somewhere without it, then my gums start to hurt again from regular brushes. Overall, we are very pleased with the purchase. Moreover, it is very convenient for a family; you can buy several attachments. It is better"&amp;" to buy nozzles immediately with a reserve, because they need to be changed every 3 months.")</f>
        <v>My husband and I have been using this brush for a year now. Indeed, it cleans teeth very well, which cannot be cleaned with a regular brush and plaque remains. After this, all teeth are clean and smooth. As for my gums, they used to be very sensitive, but now there is no such problem. If I go somewhere without it, then my gums start to hurt again from regular brushes. Overall, we are very pleased with the purchase. Moreover, it is very convenient for a family; you can buy several attachments. It is better to buy nozzles immediately with a reserve, because they need to be changed every 3 months.</v>
      </c>
    </row>
    <row r="4555" spans="1:9" x14ac:dyDescent="0.3">
      <c r="A4555" s="1" t="s">
        <v>149</v>
      </c>
      <c r="B4555" s="1" t="s">
        <v>155</v>
      </c>
      <c r="C4555" s="1" t="s">
        <v>1187</v>
      </c>
      <c r="D4555" s="1" t="s">
        <v>171</v>
      </c>
      <c r="E4555" s="1" t="s">
        <v>7195</v>
      </c>
      <c r="F4555" s="1" t="s">
        <v>7734</v>
      </c>
      <c r="G4555" s="1" t="s">
        <v>36</v>
      </c>
      <c r="H4555" s="1" t="s">
        <v>29</v>
      </c>
      <c r="I4555" s="1" t="str">
        <f ca="1">IFERROR(__xludf.DUMMYFUNCTION("GOOGLETRANSLATE(F4555, ""auto"", ""en"")
"),"We bought it a month ago, the standard brush is complete garbage, you also have to buy a turbo brush for a separate fee, that’s what it works with.")</f>
        <v>We bought it a month ago, the standard brush is complete garbage, you also have to buy a turbo brush for a separate fee, that’s what it works with.</v>
      </c>
    </row>
    <row r="4556" spans="1:9" x14ac:dyDescent="0.3">
      <c r="A4556" s="1" t="s">
        <v>43</v>
      </c>
      <c r="B4556" s="1" t="s">
        <v>303</v>
      </c>
      <c r="C4556" s="1" t="s">
        <v>304</v>
      </c>
      <c r="D4556" s="1" t="s">
        <v>152</v>
      </c>
      <c r="E4556" s="1" t="s">
        <v>7735</v>
      </c>
      <c r="F4556" s="1" t="s">
        <v>7736</v>
      </c>
      <c r="G4556" s="1" t="s">
        <v>28</v>
      </c>
      <c r="H4556" s="1" t="s">
        <v>29</v>
      </c>
      <c r="I4556" s="1" t="str">
        <f ca="1">IFERROR(__xludf.DUMMYFUNCTION("GOOGLETRANSLATE(F4556, ""auto"", ""en"")
"),"A normal (ordinary) water heater, of which there are many. Installed without problems. We also connected without problems. Turned it on... After 3 hours we noticed that the cold water supply was HOT!!! The thermostat never worked during this time. Nothing"&amp;" drips from the check valve. We opened the hot water tap... We heard hissing and steam. Briefly speaking. The temperature regulator was turned down. Our temperature was average, III, but in fact the thermostat was turned down (We found out about this by r"&amp;"emoving the cover and touching its flag with our hands). We were upset that we would have to drain the water, remove it, and take it to the store for a replacement (only 3 days since we bought it). But when we turned the regulator flag around the axis, we"&amp;" heard a click. It turned out that we put it in the normal position in this way (BY MAKING 1 FULL TURNS!!!) We turned it off and left it until the morning... In the morning we turned it on again, to the very minimum. After 40 minutes the tank turned off. "&amp;"There was no more time before going to work. We REALLY hope he's back to normal now. We'll watch it again in the evening after work. This is the quality of the build and components. The quality of the product was a little disappointing. This shouldn't hap"&amp;"pen!!! Be careful when purchasing. Check if your temperature regulator rotates 360 degrees or more, then it’s the same garbage. There, the regulator flag slips past the stopper. If this problem happens again, we'll go ahead and replace it, although I don'"&amp;"t really want to do it. This is not a 1kg iron. It's a shame!")</f>
        <v>A normal (ordinary) water heater, of which there are many. Installed without problems. We also connected without problems. Turned it on... After 3 hours we noticed that the cold water supply was HOT!!! The thermostat never worked during this time. Nothing drips from the check valve. We opened the hot water tap... We heard hissing and steam. Briefly speaking. The temperature regulator was turned down. Our temperature was average, III, but in fact the thermostat was turned down (We found out about this by removing the cover and touching its flag with our hands). We were upset that we would have to drain the water, remove it, and take it to the store for a replacement (only 3 days since we bought it). But when we turned the regulator flag around the axis, we heard a click. It turned out that we put it in the normal position in this way (BY MAKING 1 FULL TURNS!!!) We turned it off and left it until the morning... In the morning we turned it on again, to the very minimum. After 40 minutes the tank turned off. There was no more time before going to work. We REALLY hope he's back to normal now. We'll watch it again in the evening after work. This is the quality of the build and components. The quality of the product was a little disappointing. This shouldn't happen!!! Be careful when purchasing. Check if your temperature regulator rotates 360 degrees or more, then it’s the same garbage. There, the regulator flag slips past the stopper. If this problem happens again, we'll go ahead and replace it, although I don't really want to do it. This is not a 1kg iron. It's a shame!</v>
      </c>
    </row>
    <row r="4557" spans="1:9" x14ac:dyDescent="0.3">
      <c r="A4557" s="1" t="s">
        <v>37</v>
      </c>
      <c r="B4557" s="1" t="s">
        <v>38</v>
      </c>
      <c r="C4557" s="1" t="s">
        <v>151</v>
      </c>
      <c r="D4557" s="1" t="s">
        <v>139</v>
      </c>
      <c r="E4557" s="1" t="s">
        <v>164</v>
      </c>
      <c r="F4557" s="1" t="s">
        <v>7737</v>
      </c>
      <c r="G4557" s="1" t="s">
        <v>36</v>
      </c>
      <c r="H4557" s="1" t="s">
        <v>29</v>
      </c>
      <c r="I4557" s="1" t="str">
        <f ca="1">IFERROR(__xludf.DUMMYFUNCTION("GOOGLETRANSLATE(F4557, ""auto"", ""en"")
"),"Great model. Wonderful, stylish design that looks like an expensive model, rich polyphony, stable signal, FM receiver with headset, photo/video full standard set. Very pleased with the purchase. The price is surprisingly affordable for such a solid model,"&amp;" by the way, much cheaper than in other chains in the city.")</f>
        <v>Great model. Wonderful, stylish design that looks like an expensive model, rich polyphony, stable signal, FM receiver with headset, photo/video full standard set. Very pleased with the purchase. The price is surprisingly affordable for such a solid model, by the way, much cheaper than in other chains in the city.</v>
      </c>
    </row>
    <row r="4558" spans="1:9" x14ac:dyDescent="0.3">
      <c r="A4558" s="1" t="s">
        <v>1443</v>
      </c>
      <c r="B4558" s="1" t="s">
        <v>1444</v>
      </c>
      <c r="C4558" s="1" t="s">
        <v>1489</v>
      </c>
      <c r="D4558" s="1" t="s">
        <v>114</v>
      </c>
      <c r="E4558" s="1" t="s">
        <v>395</v>
      </c>
      <c r="F4558" s="1" t="s">
        <v>7738</v>
      </c>
      <c r="G4558" s="1" t="s">
        <v>36</v>
      </c>
      <c r="H4558" s="1" t="s">
        <v>29</v>
      </c>
      <c r="I4558" s="1" t="str">
        <f ca="1">IFERROR(__xludf.DUMMYFUNCTION("GOOGLETRANSLATE(F4558, ""auto"", ""en"")
"),"I read the review and also tried its microwave stability. 3 minutes in the grill and nothing, not even melted. Works. And the washer didn’t pick it up. I've been using it for a year now. I recommend it.")</f>
        <v>I read the review and also tried its microwave stability. 3 minutes in the grill and nothing, not even melted. Works. And the washer didn’t pick it up. I've been using it for a year now. I recommend it.</v>
      </c>
    </row>
    <row r="4559" spans="1:9" x14ac:dyDescent="0.3">
      <c r="A4559" s="1" t="s">
        <v>30</v>
      </c>
      <c r="B4559" s="1" t="s">
        <v>50</v>
      </c>
      <c r="C4559" s="1" t="s">
        <v>694</v>
      </c>
      <c r="D4559" s="1" t="s">
        <v>548</v>
      </c>
      <c r="E4559" s="1" t="s">
        <v>1649</v>
      </c>
      <c r="F4559" s="1" t="s">
        <v>7739</v>
      </c>
      <c r="G4559" s="1" t="s">
        <v>36</v>
      </c>
      <c r="H4559" s="1" t="s">
        <v>29</v>
      </c>
      <c r="I4559" s="1" t="str">
        <f ca="1">IFERROR(__xludf.DUMMYFUNCTION("GOOGLETRANSLATE(F4559, ""auto"", ""en"")
"),"A problem has appeared, the buttons stick and the sound crackles. I flashed the BIOS, changed Windows, installed the latest firewood. I installed it, the left column is still acting up, I don’t know what to do, where to take it? I want to exchange for ano"&amp;"ther!")</f>
        <v>A problem has appeared, the buttons stick and the sound crackles. I flashed the BIOS, changed Windows, installed the latest firewood. I installed it, the left column is still acting up, I don’t know what to do, where to take it? I want to exchange for another!</v>
      </c>
    </row>
    <row r="4560" spans="1:9" x14ac:dyDescent="0.3">
      <c r="A4560" s="1" t="s">
        <v>37</v>
      </c>
      <c r="B4560" s="1" t="s">
        <v>38</v>
      </c>
      <c r="C4560" s="1" t="s">
        <v>69</v>
      </c>
      <c r="D4560" s="1" t="s">
        <v>232</v>
      </c>
      <c r="E4560" s="1" t="s">
        <v>4739</v>
      </c>
      <c r="F4560" s="1" t="s">
        <v>7740</v>
      </c>
      <c r="G4560" s="1" t="s">
        <v>36</v>
      </c>
      <c r="H4560" s="1" t="s">
        <v>29</v>
      </c>
      <c r="I4560" s="1" t="str">
        <f ca="1">IFERROR(__xludf.DUMMYFUNCTION("GOOGLETRANSLATE(F4560, ""auto"", ""en"")
"),"The phone is great, although not very functional. There are no problems with communication. very happy with the phone.")</f>
        <v>The phone is great, although not very functional. There are no problems with communication. very happy with the phone.</v>
      </c>
    </row>
    <row r="4561" spans="1:9" x14ac:dyDescent="0.3">
      <c r="A4561" s="1" t="s">
        <v>61</v>
      </c>
      <c r="B4561" s="1" t="s">
        <v>73</v>
      </c>
      <c r="C4561" s="1" t="s">
        <v>146</v>
      </c>
      <c r="D4561" s="1" t="s">
        <v>305</v>
      </c>
      <c r="E4561" s="1" t="s">
        <v>1843</v>
      </c>
      <c r="F4561" s="1" t="s">
        <v>7741</v>
      </c>
      <c r="G4561" s="1" t="s">
        <v>36</v>
      </c>
      <c r="H4561" s="1" t="s">
        <v>29</v>
      </c>
      <c r="I4561" s="1" t="str">
        <f ca="1">IFERROR(__xludf.DUMMYFUNCTION("GOOGLETRANSLATE(F4561, ""auto"", ""en"")
"),"A modern thing that can make 4 kg of excellent minced meat in 2 minutes. Excellent grinding even for veiny meat. My wife hasn’t tried making sausages yet, because... I bought them quite recently, but I’m sure they will turn out as tasty as the cutlets she"&amp;" makes with this meat grinder.")</f>
        <v>A modern thing that can make 4 kg of excellent minced meat in 2 minutes. Excellent grinding even for veiny meat. My wife hasn’t tried making sausages yet, because... I bought them quite recently, but I’m sure they will turn out as tasty as the cutlets she makes with this meat grinder.</v>
      </c>
    </row>
    <row r="4562" spans="1:9" x14ac:dyDescent="0.3">
      <c r="A4562" s="1" t="s">
        <v>9</v>
      </c>
      <c r="B4562" s="1" t="s">
        <v>10</v>
      </c>
      <c r="C4562" s="1" t="s">
        <v>466</v>
      </c>
      <c r="D4562" s="1" t="s">
        <v>7742</v>
      </c>
      <c r="E4562" s="1" t="s">
        <v>7743</v>
      </c>
      <c r="F4562" s="1" t="s">
        <v>7744</v>
      </c>
      <c r="G4562" s="1" t="s">
        <v>36</v>
      </c>
      <c r="H4562" s="1" t="s">
        <v>29</v>
      </c>
      <c r="I4562" s="1" t="str">
        <f ca="1">IFERROR(__xludf.DUMMYFUNCTION("GOOGLETRANSLATE(F4562, ""auto"", ""en"")
"),"It’s been working for us for six months and pah-pah nothing has broken! It looks neatly made, the parts are securely fastened, plus the metal filter does not dangle. There is very good and bright lighting, in the evenings it is enough to cook and illumina"&amp;"te the kitchen. It hums a little, although already at second speed, but everyone at home is already used to it, so there’s nothing to complain about. There is also a two-year warranty, and not a year, like the vast majority of models - if something happen"&amp;"s, you can sleep peacefully. Satisfied!")</f>
        <v>It’s been working for us for six months and pah-pah nothing has broken! It looks neatly made, the parts are securely fastened, plus the metal filter does not dangle. There is very good and bright lighting, in the evenings it is enough to cook and illuminate the kitchen. It hums a little, although already at second speed, but everyone at home is already used to it, so there’s nothing to complain about. There is also a two-year warranty, and not a year, like the vast majority of models - if something happens, you can sleep peacefully. Satisfied!</v>
      </c>
    </row>
    <row r="4563" spans="1:9" x14ac:dyDescent="0.3">
      <c r="A4563" s="1" t="s">
        <v>811</v>
      </c>
      <c r="B4563" s="1" t="s">
        <v>1599</v>
      </c>
      <c r="C4563" s="1" t="s">
        <v>1600</v>
      </c>
      <c r="D4563" s="1" t="s">
        <v>592</v>
      </c>
      <c r="E4563" s="1" t="s">
        <v>4563</v>
      </c>
      <c r="F4563" s="1" t="s">
        <v>7745</v>
      </c>
      <c r="G4563" s="1" t="s">
        <v>36</v>
      </c>
      <c r="H4563" s="1" t="s">
        <v>29</v>
      </c>
      <c r="I4563" s="1" t="str">
        <f ca="1">IFERROR(__xludf.DUMMYFUNCTION("GOOGLETRANSLATE(F4563, ""auto"", ""en"")
"),"I bought a bag for the Flash HD video camera Sony HDR-CX620. I really liked it - durable, compact and roomy.")</f>
        <v>I bought a bag for the Flash HD video camera Sony HDR-CX620. I really liked it - durable, compact and roomy.</v>
      </c>
    </row>
    <row r="4564" spans="1:9" x14ac:dyDescent="0.3">
      <c r="A4564" s="1" t="s">
        <v>120</v>
      </c>
      <c r="B4564" s="1" t="s">
        <v>121</v>
      </c>
      <c r="C4564" s="1" t="s">
        <v>69</v>
      </c>
      <c r="D4564" s="1" t="s">
        <v>295</v>
      </c>
      <c r="E4564" s="1" t="s">
        <v>4528</v>
      </c>
      <c r="F4564" s="1" t="s">
        <v>7746</v>
      </c>
      <c r="G4564" s="1" t="s">
        <v>49</v>
      </c>
      <c r="H4564" s="1" t="s">
        <v>16</v>
      </c>
      <c r="I4564" s="1" t="str">
        <f ca="1">IFERROR(__xludf.DUMMYFUNCTION("GOOGLETRANSLATE(F4564, ""auto"", ""en"")
"),"Complete disappointment, it lasted for 3 years, it’s a pity they didn’t use the backlight much. They didn’t bother with repairs (there was a problem with the matrix), they bought a new TV from another company.")</f>
        <v>Complete disappointment, it lasted for 3 years, it’s a pity they didn’t use the backlight much. They didn’t bother with repairs (there was a problem with the matrix), they bought a new TV from another company.</v>
      </c>
    </row>
    <row r="4565" spans="1:9" x14ac:dyDescent="0.3">
      <c r="A4565" s="1" t="s">
        <v>43</v>
      </c>
      <c r="B4565" s="1" t="s">
        <v>1616</v>
      </c>
      <c r="C4565" s="1" t="s">
        <v>185</v>
      </c>
      <c r="D4565" s="1" t="s">
        <v>7747</v>
      </c>
      <c r="E4565" s="1" t="s">
        <v>6631</v>
      </c>
      <c r="F4565" s="1" t="s">
        <v>7748</v>
      </c>
      <c r="G4565" s="1" t="s">
        <v>15</v>
      </c>
      <c r="H4565" s="1" t="s">
        <v>16</v>
      </c>
      <c r="I4565" s="1" t="str">
        <f ca="1">IFERROR(__xludf.DUMMYFUNCTION("GOOGLETRANSLATE(F4565, ""auto"", ""en"")
"),"The air conditioner was delivered on June 11, 2013. After 10 minutes of operation, it began to rattle like a compressor station. I hope I can pass it and get my money back. I don’t want to change it since it didn’t work out at first.")</f>
        <v>The air conditioner was delivered on June 11, 2013. After 10 minutes of operation, it began to rattle like a compressor station. I hope I can pass it and get my money back. I don’t want to change it since it didn’t work out at first.</v>
      </c>
    </row>
    <row r="4566" spans="1:9" x14ac:dyDescent="0.3">
      <c r="A4566" s="1" t="s">
        <v>61</v>
      </c>
      <c r="B4566" s="1" t="s">
        <v>726</v>
      </c>
      <c r="C4566" s="1" t="s">
        <v>146</v>
      </c>
      <c r="D4566" s="1" t="s">
        <v>171</v>
      </c>
      <c r="E4566" s="1" t="s">
        <v>7749</v>
      </c>
      <c r="F4566" s="1" t="s">
        <v>7750</v>
      </c>
      <c r="G4566" s="1" t="s">
        <v>36</v>
      </c>
      <c r="H4566" s="1" t="s">
        <v>29</v>
      </c>
      <c r="I4566" s="1" t="str">
        <f ca="1">IFERROR(__xludf.DUMMYFUNCTION("GOOGLETRANSLATE(F4566, ""auto"", ""en"")
"),"It has convection, like a good oven. The result was very pleasing, the bread turned out to be really fluffy and tasty, my wife also made the dough for dumplings, everything was also very simple and it turned out great! Overall, I’m very pleased with my ch"&amp;"oice, thanks to those who left their reviews here, they helped me a lot!")</f>
        <v>It has convection, like a good oven. The result was very pleasing, the bread turned out to be really fluffy and tasty, my wife also made the dough for dumplings, everything was also very simple and it turned out great! Overall, I’m very pleased with my choice, thanks to those who left their reviews here, they helped me a lot!</v>
      </c>
    </row>
    <row r="4567" spans="1:9" x14ac:dyDescent="0.3">
      <c r="A4567" s="1" t="s">
        <v>43</v>
      </c>
      <c r="B4567" s="1" t="s">
        <v>44</v>
      </c>
      <c r="C4567" s="1" t="s">
        <v>85</v>
      </c>
      <c r="D4567" s="1" t="s">
        <v>1506</v>
      </c>
      <c r="E4567" s="1" t="s">
        <v>259</v>
      </c>
      <c r="F4567" s="1" t="s">
        <v>7751</v>
      </c>
      <c r="G4567" s="1" t="s">
        <v>36</v>
      </c>
      <c r="H4567" s="1" t="s">
        <v>29</v>
      </c>
      <c r="I4567" s="1" t="str">
        <f ca="1">IFERROR(__xludf.DUMMYFUNCTION("GOOGLETRANSLATE(F4567, ""auto"", ""en"")
"),"We have been using the fan for a week. Very pleased. We bought it as an alternative to a mobile air conditioner that the children took to the dacha. Briefly: powerful, not noisy, beautiful, pleasant to use. I recommend buying it!")</f>
        <v>We have been using the fan for a week. Very pleased. We bought it as an alternative to a mobile air conditioner that the children took to the dacha. Briefly: powerful, not noisy, beautiful, pleasant to use. I recommend buying it!</v>
      </c>
    </row>
    <row r="4568" spans="1:9" x14ac:dyDescent="0.3">
      <c r="A4568" s="1" t="s">
        <v>61</v>
      </c>
      <c r="B4568" s="1" t="s">
        <v>434</v>
      </c>
      <c r="C4568" s="1" t="s">
        <v>185</v>
      </c>
      <c r="D4568" s="1" t="s">
        <v>7752</v>
      </c>
      <c r="E4568" s="1" t="s">
        <v>3872</v>
      </c>
      <c r="F4568" s="1" t="s">
        <v>7753</v>
      </c>
      <c r="G4568" s="1" t="s">
        <v>36</v>
      </c>
      <c r="H4568" s="1" t="s">
        <v>29</v>
      </c>
      <c r="I4568" s="1" t="str">
        <f ca="1">IFERROR(__xludf.DUMMYFUNCTION("GOOGLETRANSLATE(F4568, ""auto"", ""en"")
"),"We bought a Delonghi mini oven 2 months ago, we are very pleased, it bakes everything perfectly, as written below, we also tried chicken, turkey, pork, pizza 100 points!!!! In general, we initially wanted to buy it for making homemade pizza, but when I re"&amp;"ad that it was, let’s say, “universal,” we were very happy... Yesterday I made cupcakes - delicious!!!! It is very easy to clean, overall we are happy!!!! I recommend it.")</f>
        <v>We bought a Delonghi mini oven 2 months ago, we are very pleased, it bakes everything perfectly, as written below, we also tried chicken, turkey, pork, pizza 100 points!!!! In general, we initially wanted to buy it for making homemade pizza, but when I read that it was, let’s say, “universal,” we were very happy... Yesterday I made cupcakes - delicious!!!! It is very easy to clean, overall we are happy!!!! I recommend it.</v>
      </c>
    </row>
    <row r="4569" spans="1:9" x14ac:dyDescent="0.3">
      <c r="A4569" s="1" t="s">
        <v>17</v>
      </c>
      <c r="B4569" s="1" t="s">
        <v>18</v>
      </c>
      <c r="C4569" s="1" t="s">
        <v>665</v>
      </c>
      <c r="D4569" s="1" t="s">
        <v>247</v>
      </c>
      <c r="E4569" s="1" t="s">
        <v>5294</v>
      </c>
      <c r="F4569" s="1" t="s">
        <v>7754</v>
      </c>
      <c r="G4569" s="1" t="s">
        <v>36</v>
      </c>
      <c r="H4569" s="1" t="s">
        <v>29</v>
      </c>
      <c r="I4569" s="1" t="str">
        <f ca="1">IFERROR(__xludf.DUMMYFUNCTION("GOOGLETRANSLATE(F4569, ""auto"", ""en"")
"),"There are many necessary programs, it washes perfectly, it doesn’t glitch (it washes at exactly the specified time), it washes out the powder completely (the previous machine had problems with this), and it doesn’t skip during the spin cycle (which surpri"&amp;"sed me at 1200 rpm). What can be called disadvantages: a noisy pump, relay clicks and a loud click when the door opens automatically. This is a great machine for the money, take it, you won’t regret it!")</f>
        <v>There are many necessary programs, it washes perfectly, it doesn’t glitch (it washes at exactly the specified time), it washes out the powder completely (the previous machine had problems with this), and it doesn’t skip during the spin cycle (which surprised me at 1200 rpm). What can be called disadvantages: a noisy pump, relay clicks and a loud click when the door opens automatically. This is a great machine for the money, take it, you won’t regret it!</v>
      </c>
    </row>
    <row r="4570" spans="1:9" x14ac:dyDescent="0.3">
      <c r="A4570" s="1" t="s">
        <v>61</v>
      </c>
      <c r="B4570" s="1" t="s">
        <v>318</v>
      </c>
      <c r="C4570" s="1" t="s">
        <v>101</v>
      </c>
      <c r="D4570" s="1" t="s">
        <v>7755</v>
      </c>
      <c r="E4570" s="1" t="s">
        <v>7756</v>
      </c>
      <c r="F4570" s="1" t="s">
        <v>7757</v>
      </c>
      <c r="G4570" s="1" t="s">
        <v>36</v>
      </c>
      <c r="H4570" s="1" t="s">
        <v>29</v>
      </c>
      <c r="I4570" s="1" t="str">
        <f ca="1">IFERROR(__xludf.DUMMYFUNCTION("GOOGLETRANSLATE(F4570, ""auto"", ""en"")
"),"A kettle for 5, but not strong, I threw it at the wall - the kettle crumbled and no longer works. Enough for 2 months.")</f>
        <v>A kettle for 5, but not strong, I threw it at the wall - the kettle crumbled and no longer works. Enough for 2 months.</v>
      </c>
    </row>
    <row r="4571" spans="1:9" x14ac:dyDescent="0.3">
      <c r="A4571" s="1" t="s">
        <v>61</v>
      </c>
      <c r="B4571" s="1" t="s">
        <v>318</v>
      </c>
      <c r="C4571" s="1" t="s">
        <v>4871</v>
      </c>
      <c r="D4571" s="1" t="s">
        <v>295</v>
      </c>
      <c r="E4571" s="1" t="s">
        <v>2514</v>
      </c>
      <c r="F4571" s="1" t="s">
        <v>7758</v>
      </c>
      <c r="G4571" s="1" t="s">
        <v>36</v>
      </c>
      <c r="H4571" s="1" t="s">
        <v>29</v>
      </c>
      <c r="I4571" s="1" t="str">
        <f ca="1">IFERROR(__xludf.DUMMYFUNCTION("GOOGLETRANSLATE(F4571, ""auto"", ""en"")
"),"In principle, I’m happy with the product so far, we’ve been using it for a week, the price is certainly a little expensive, but I hope it’s worth it! It’s not convenient that the inscriptions on the buttons are not in Russian! It boils in about 30 minutes"&amp;"! From 98 to 60 gr. Cools down in 4 hours! For those with a small child, it’s very convenient!")</f>
        <v>In principle, I’m happy with the product so far, we’ve been using it for a week, the price is certainly a little expensive, but I hope it’s worth it! It’s not convenient that the inscriptions on the buttons are not in Russian! It boils in about 30 minutes! From 98 to 60 gr. Cools down in 4 hours! For those with a small child, it’s very convenient!</v>
      </c>
    </row>
    <row r="4572" spans="1:9" x14ac:dyDescent="0.3">
      <c r="A4572" s="1" t="s">
        <v>9</v>
      </c>
      <c r="B4572" s="1" t="s">
        <v>10</v>
      </c>
      <c r="C4572" s="1" t="s">
        <v>407</v>
      </c>
      <c r="D4572" s="1" t="s">
        <v>1659</v>
      </c>
      <c r="E4572" s="1" t="s">
        <v>3587</v>
      </c>
      <c r="F4572" s="1" t="s">
        <v>7759</v>
      </c>
      <c r="G4572" s="1" t="s">
        <v>49</v>
      </c>
      <c r="H4572" s="1" t="s">
        <v>16</v>
      </c>
      <c r="I4572" s="1" t="str">
        <f ca="1">IFERROR(__xludf.DUMMYFUNCTION("GOOGLETRANSLATE(F4572, ""auto"", ""en"")
"),"The hood is of terrible quality; upon arrival home, when checking, it worked for a minute, the first speed failed. Immediately returned to the store. I DO NOT RECOMMEND!!!!!")</f>
        <v>The hood is of terrible quality; upon arrival home, when checking, it worked for a minute, the first speed failed. Immediately returned to the store. I DO NOT RECOMMEND!!!!!</v>
      </c>
    </row>
    <row r="4573" spans="1:9" x14ac:dyDescent="0.3">
      <c r="A4573" s="1" t="s">
        <v>238</v>
      </c>
      <c r="B4573" s="1" t="s">
        <v>239</v>
      </c>
      <c r="C4573" s="1" t="s">
        <v>151</v>
      </c>
      <c r="D4573" s="1" t="s">
        <v>565</v>
      </c>
      <c r="E4573" s="1" t="s">
        <v>2882</v>
      </c>
      <c r="F4573" s="1" t="s">
        <v>7760</v>
      </c>
      <c r="G4573" s="1" t="s">
        <v>36</v>
      </c>
      <c r="H4573" s="1" t="s">
        <v>29</v>
      </c>
      <c r="I4573" s="1" t="str">
        <f ca="1">IFERROR(__xludf.DUMMYFUNCTION("GOOGLETRANSLATE(F4573, ""auto"", ""en"")
"),"We bought a refrigerator before the New Year in Krasnodar. They brought it, waited for a while, turned it on. I was a little confused by the unpleasant smell of plastic from the refrigerator. After 30 minutes of operation, there was a strong cracking soun"&amp;"d. It turned out that the internal lining of the freezer had cracked. In shock, we called the service center and were sent to the store. At the store we were pleasantly surprised, even amazed at the friendliness of the store managers. I couldn’t believe i"&amp;"t, but they replaced the refrigerator for us. There was no smell in the refrigerator and it works without problems, much quieter than the previous one. The refrigerator SUPER, very satisfied, I agree with all the comments. We concluded that the first refr"&amp;"igerator had low-quality plastic, so you should pay attention to the smell. The second refrigerator had no smell! Don’t hesitate, buy it, you won’t regret it.")</f>
        <v>We bought a refrigerator before the New Year in Krasnodar. They brought it, waited for a while, turned it on. I was a little confused by the unpleasant smell of plastic from the refrigerator. After 30 minutes of operation, there was a strong cracking sound. It turned out that the internal lining of the freezer had cracked. In shock, we called the service center and were sent to the store. At the store we were pleasantly surprised, even amazed at the friendliness of the store managers. I couldn’t believe it, but they replaced the refrigerator for us. There was no smell in the refrigerator and it works without problems, much quieter than the previous one. The refrigerator SUPER, very satisfied, I agree with all the comments. We concluded that the first refrigerator had low-quality plastic, so you should pay attention to the smell. The second refrigerator had no smell! Don’t hesitate, buy it, you won’t regret it.</v>
      </c>
    </row>
    <row r="4574" spans="1:9" x14ac:dyDescent="0.3">
      <c r="A4574" s="1" t="s">
        <v>78</v>
      </c>
      <c r="B4574" s="1" t="s">
        <v>493</v>
      </c>
      <c r="C4574" s="1" t="s">
        <v>80</v>
      </c>
      <c r="D4574" s="1" t="s">
        <v>203</v>
      </c>
      <c r="E4574" s="1" t="s">
        <v>2171</v>
      </c>
      <c r="F4574" s="1" t="s">
        <v>7761</v>
      </c>
      <c r="G4574" s="1" t="s">
        <v>28</v>
      </c>
      <c r="H4574" s="1" t="s">
        <v>29</v>
      </c>
      <c r="I4574" s="1" t="str">
        <f ca="1">IFERROR(__xludf.DUMMYFUNCTION("GOOGLETRANSLATE(F4574, ""auto"", ""en"")
"),"I won’t write about how cool the stove is, I’ve been using it for two days now. The appearance is simply gorgeous, I managed to cook a grilled chicken, cooked 1.5 kg for 25 minutes, amazing taste! Due to poor assembly in COMBO2 mode, the top panel rattles"&amp;" very loudly due to vibration; if you put your hand on it or something else, it stops. There are some minor flaws in terms of internal design, but it does its job and cooks great. If a serious defect occurs or a breakdown occurs, I will definitely write b"&amp;"ack.")</f>
        <v>I won’t write about how cool the stove is, I’ve been using it for two days now. The appearance is simply gorgeous, I managed to cook a grilled chicken, cooked 1.5 kg for 25 minutes, amazing taste! Due to poor assembly in COMBO2 mode, the top panel rattles very loudly due to vibration; if you put your hand on it or something else, it stops. There are some minor flaws in terms of internal design, but it does its job and cooks great. If a serious defect occurs or a breakdown occurs, I will definitely write back.</v>
      </c>
    </row>
    <row r="4575" spans="1:9" x14ac:dyDescent="0.3">
      <c r="A4575" s="1" t="s">
        <v>30</v>
      </c>
      <c r="B4575" s="1" t="s">
        <v>50</v>
      </c>
      <c r="C4575" s="1" t="s">
        <v>694</v>
      </c>
      <c r="D4575" s="1" t="s">
        <v>114</v>
      </c>
      <c r="E4575" s="1" t="s">
        <v>1723</v>
      </c>
      <c r="F4575" s="1" t="s">
        <v>7762</v>
      </c>
      <c r="G4575" s="1" t="s">
        <v>36</v>
      </c>
      <c r="H4575" s="1" t="s">
        <v>29</v>
      </c>
      <c r="I4575" s="1" t="str">
        <f ca="1">IFERROR(__xludf.DUMMYFUNCTION("GOOGLETRANSLATE(F4575, ""auto"", ""en"")
"),"I bought it today, there was no yota, I started calling the support service - they advised me to call yota itself, they explained where and what to download and install (32). Another small inconvenience - I bought a case in the store, but the netbook alon"&amp;"g with the battery, which is attached to the side, does not want to fit into the case, you have to squeeze it in for a long time and carefully and take it out just as hemorrhoidally, although the seller assured that the case is the right size (in the phot"&amp;"ographs and in the room there is a netbook without a battery, keep in mind that its dimensions with the battery are larger).")</f>
        <v>I bought it today, there was no yota, I started calling the support service - they advised me to call yota itself, they explained where and what to download and install (32). Another small inconvenience - I bought a case in the store, but the netbook along with the battery, which is attached to the side, does not want to fit into the case, you have to squeeze it in for a long time and carefully and take it out just as hemorrhoidally, although the seller assured that the case is the right size (in the photographs and in the room there is a netbook without a battery, keep in mind that its dimensions with the battery are larger).</v>
      </c>
    </row>
    <row r="4576" spans="1:9" x14ac:dyDescent="0.3">
      <c r="A4576" s="1" t="s">
        <v>43</v>
      </c>
      <c r="B4576" s="1" t="s">
        <v>334</v>
      </c>
      <c r="C4576" s="1" t="s">
        <v>257</v>
      </c>
      <c r="D4576" s="1" t="s">
        <v>7763</v>
      </c>
      <c r="E4576" s="1" t="s">
        <v>201</v>
      </c>
      <c r="F4576" s="1" t="s">
        <v>7764</v>
      </c>
      <c r="G4576" s="1" t="s">
        <v>36</v>
      </c>
      <c r="H4576" s="1" t="s">
        <v>29</v>
      </c>
      <c r="I4576" s="1" t="str">
        <f ca="1">IFERROR(__xludf.DUMMYFUNCTION("GOOGLETRANSLATE(F4576, ""auto"", ""en"")
"),"nice and cheap!")</f>
        <v>nice and cheap!</v>
      </c>
    </row>
    <row r="4577" spans="1:9" x14ac:dyDescent="0.3">
      <c r="A4577" s="1" t="s">
        <v>61</v>
      </c>
      <c r="B4577" s="1" t="s">
        <v>318</v>
      </c>
      <c r="C4577" s="1" t="s">
        <v>2840</v>
      </c>
      <c r="D4577" s="1" t="s">
        <v>247</v>
      </c>
      <c r="E4577" s="1" t="s">
        <v>4490</v>
      </c>
      <c r="F4577" s="1" t="s">
        <v>7765</v>
      </c>
      <c r="G4577" s="1" t="s">
        <v>36</v>
      </c>
      <c r="H4577" s="1" t="s">
        <v>29</v>
      </c>
      <c r="I4577" s="1" t="str">
        <f ca="1">IFERROR(__xludf.DUMMYFUNCTION("GOOGLETRANSLATE(F4577, ""auto"", ""en"")
"),"Cool design! everything is convenient and beautiful. Except for one thing: COVER! This is some kind of nightmare. It broke down just like everyone else's after more than a year, they repaired it a couple of times (because I really like it), but to no avai"&amp;"l. They didn’t take out an additional guarantee, but it was necessary. Do you want this kettle? take an additional guarantee and live in peace. I honestly wouldn't buy it at the current price.")</f>
        <v>Cool design! everything is convenient and beautiful. Except for one thing: COVER! This is some kind of nightmare. It broke down just like everyone else's after more than a year, they repaired it a couple of times (because I really like it), but to no avail. They didn’t take out an additional guarantee, but it was necessary. Do you want this kettle? take an additional guarantee and live in peace. I honestly wouldn't buy it at the current price.</v>
      </c>
    </row>
    <row r="4578" spans="1:9" x14ac:dyDescent="0.3">
      <c r="A4578" s="1" t="s">
        <v>61</v>
      </c>
      <c r="B4578" s="1" t="s">
        <v>145</v>
      </c>
      <c r="C4578" s="1" t="s">
        <v>57</v>
      </c>
      <c r="D4578" s="1" t="s">
        <v>592</v>
      </c>
      <c r="E4578" s="1" t="s">
        <v>4805</v>
      </c>
      <c r="F4578" s="1" t="s">
        <v>7766</v>
      </c>
      <c r="G4578" s="1" t="s">
        <v>36</v>
      </c>
      <c r="H4578" s="1" t="s">
        <v>29</v>
      </c>
      <c r="I4578" s="1" t="str">
        <f ca="1">IFERROR(__xludf.DUMMYFUNCTION("GOOGLETRANSLATE(F4578, ""auto"", ""en"")
"),"We liked the deep fryer, the only negative for us is the large amount of oil. I took it for children's parties, because... Children love French fries very much.")</f>
        <v>We liked the deep fryer, the only negative for us is the large amount of oil. I took it for children's parties, because... Children love French fries very much.</v>
      </c>
    </row>
    <row r="4579" spans="1:9" x14ac:dyDescent="0.3">
      <c r="A4579" s="1" t="s">
        <v>149</v>
      </c>
      <c r="B4579" s="1" t="s">
        <v>423</v>
      </c>
      <c r="C4579" s="1" t="s">
        <v>424</v>
      </c>
      <c r="D4579" s="1" t="s">
        <v>545</v>
      </c>
      <c r="E4579" s="1" t="s">
        <v>1467</v>
      </c>
      <c r="F4579" s="1" t="s">
        <v>7767</v>
      </c>
      <c r="G4579" s="1" t="s">
        <v>28</v>
      </c>
      <c r="H4579" s="1" t="s">
        <v>29</v>
      </c>
      <c r="I4579" s="1" t="str">
        <f ca="1">IFERROR(__xludf.DUMMYFUNCTION("GOOGLETRANSLATE(F4579, ""auto"", ""en"")
"),"A washing vacuum cleaner was delivered today. I was really looking forward to it, because... There is a cat in the house and I really wanted to wash the fur off the sofa and carpets. I immediately assembled it (according to the instructions - simple) and "&amp;"got started. What was alarming was that the water did not spray out of the brushes, but flowed in a good stream. The sofa and carpet immediately got wet, but the wool remained in place, although the water was still very dirty. But I was pleased with the c"&amp;"leaning of the floor: both the laminate flooring in the rooms and the tiles in the kitchen and hallway were washed in a way that could not be done by hand. The result is suitable for washing floors and smooth carpets. In principle, for general cleaning tw"&amp;"ice a month you can use it, no more often, taking into account the laboriousness of pouring water, draining dirty water, washing and drying the insides after cleaning.")</f>
        <v>A washing vacuum cleaner was delivered today. I was really looking forward to it, because... There is a cat in the house and I really wanted to wash the fur off the sofa and carpets. I immediately assembled it (according to the instructions - simple) and got started. What was alarming was that the water did not spray out of the brushes, but flowed in a good stream. The sofa and carpet immediately got wet, but the wool remained in place, although the water was still very dirty. But I was pleased with the cleaning of the floor: both the laminate flooring in the rooms and the tiles in the kitchen and hallway were washed in a way that could not be done by hand. The result is suitable for washing floors and smooth carpets. In principle, for general cleaning twice a month you can use it, no more often, taking into account the laboriousness of pouring water, draining dirty water, washing and drying the insides after cleaning.</v>
      </c>
    </row>
    <row r="4580" spans="1:9" x14ac:dyDescent="0.3">
      <c r="A4580" s="1" t="s">
        <v>113</v>
      </c>
      <c r="B4580" s="1" t="s">
        <v>1251</v>
      </c>
      <c r="C4580" s="1" t="s">
        <v>2115</v>
      </c>
      <c r="D4580" s="1" t="s">
        <v>64</v>
      </c>
      <c r="E4580" s="1" t="s">
        <v>2057</v>
      </c>
      <c r="F4580" s="1" t="s">
        <v>7768</v>
      </c>
      <c r="G4580" s="1" t="s">
        <v>36</v>
      </c>
      <c r="H4580" s="1" t="s">
        <v>29</v>
      </c>
      <c r="I4580" s="1" t="str">
        <f ca="1">IFERROR(__xludf.DUMMYFUNCTION("GOOGLETRANSLATE(F4580, ""auto"", ""en"")
"),"I’m very pleased, I bought it with my last money, the quality is wonderful if you take pictures without moving. It is not suitable for those whose hands shake, the photos come out blurry")</f>
        <v>I’m very pleased, I bought it with my last money, the quality is wonderful if you take pictures without moving. It is not suitable for those whose hands shake, the photos come out blurry</v>
      </c>
    </row>
    <row r="4581" spans="1:9" x14ac:dyDescent="0.3">
      <c r="A4581" s="1" t="s">
        <v>61</v>
      </c>
      <c r="B4581" s="1" t="s">
        <v>224</v>
      </c>
      <c r="C4581" s="1" t="s">
        <v>63</v>
      </c>
      <c r="D4581" s="1" t="s">
        <v>2633</v>
      </c>
      <c r="E4581" s="1" t="s">
        <v>491</v>
      </c>
      <c r="F4581" s="1" t="s">
        <v>7769</v>
      </c>
      <c r="G4581" s="1" t="s">
        <v>36</v>
      </c>
      <c r="H4581" s="1" t="s">
        <v>29</v>
      </c>
      <c r="I4581" s="1" t="str">
        <f ca="1">IFERROR(__xludf.DUMMYFUNCTION("GOOGLETRANSLATE(F4581, ""auto"", ""en"")
"),"I was given this juicer as a gift. I really liked it, I'm satisfied.")</f>
        <v>I was given this juicer as a gift. I really liked it, I'm satisfied.</v>
      </c>
    </row>
    <row r="4582" spans="1:9" x14ac:dyDescent="0.3">
      <c r="A4582" s="1" t="s">
        <v>61</v>
      </c>
      <c r="B4582" s="1" t="s">
        <v>726</v>
      </c>
      <c r="C4582" s="1" t="s">
        <v>74</v>
      </c>
      <c r="D4582" s="1" t="s">
        <v>7770</v>
      </c>
      <c r="E4582" s="1" t="s">
        <v>2733</v>
      </c>
      <c r="F4582" s="1" t="s">
        <v>7771</v>
      </c>
      <c r="G4582" s="1" t="s">
        <v>28</v>
      </c>
      <c r="H4582" s="1" t="s">
        <v>29</v>
      </c>
      <c r="I4582" s="1" t="str">
        <f ca="1">IFERROR(__xludf.DUMMYFUNCTION("GOOGLETRANSLATE(F4582, ""auto"", ""en"")
"),"I really liked the bread maker. True, we didn’t quite figure out the assembly - the milk leaked out. I hope it's my mistake and I won't have to return it to the store.")</f>
        <v>I really liked the bread maker. True, we didn’t quite figure out the assembly - the milk leaked out. I hope it's my mistake and I won't have to return it to the store.</v>
      </c>
    </row>
    <row r="4583" spans="1:9" x14ac:dyDescent="0.3">
      <c r="A4583" s="1" t="s">
        <v>78</v>
      </c>
      <c r="B4583" s="1" t="s">
        <v>1163</v>
      </c>
      <c r="C4583" s="1" t="s">
        <v>1224</v>
      </c>
      <c r="D4583" s="1" t="s">
        <v>1036</v>
      </c>
      <c r="E4583" s="1" t="s">
        <v>1414</v>
      </c>
      <c r="F4583" s="1" t="s">
        <v>7772</v>
      </c>
      <c r="G4583" s="1" t="s">
        <v>36</v>
      </c>
      <c r="H4583" s="1" t="s">
        <v>29</v>
      </c>
      <c r="I4583" s="1" t="str">
        <f ca="1">IFERROR(__xludf.DUMMYFUNCTION("GOOGLETRANSLATE(F4583, ""auto"", ""en"")
"),"It's a good oven with enough power to heat up quickly.")</f>
        <v>It's a good oven with enough power to heat up quickly.</v>
      </c>
    </row>
    <row r="4584" spans="1:9" x14ac:dyDescent="0.3">
      <c r="A4584" s="1" t="s">
        <v>37</v>
      </c>
      <c r="B4584" s="1" t="s">
        <v>38</v>
      </c>
      <c r="C4584" s="1" t="s">
        <v>151</v>
      </c>
      <c r="D4584" s="1" t="s">
        <v>7773</v>
      </c>
      <c r="E4584" s="1" t="s">
        <v>109</v>
      </c>
      <c r="F4584" s="1" t="s">
        <v>7774</v>
      </c>
      <c r="G4584" s="1" t="s">
        <v>36</v>
      </c>
      <c r="H4584" s="1" t="s">
        <v>29</v>
      </c>
      <c r="I4584" s="1" t="str">
        <f ca="1">IFERROR(__xludf.DUMMYFUNCTION("GOOGLETRANSLATE(F4584, ""auto"", ""en"")
"),"Awesome, stylish phone. Large screen, bright colors.  I bought it a couple of weeks ago. All applications work on it.  The GPS navigator also does not fail; other navigators are several steps behind this. Shows traffic jams on the route, shortcuts, off-ro"&amp;"ad driving, a bunch of different settings and functions. In general, I advise everyone, buy it!)")</f>
        <v>Awesome, stylish phone. Large screen, bright colors.  I bought it a couple of weeks ago. All applications work on it.  The GPS navigator also does not fail; other navigators are several steps behind this. Shows traffic jams on the route, shortcuts, off-road driving, a bunch of different settings and functions. In general, I advise everyone, buy it!)</v>
      </c>
    </row>
    <row r="4585" spans="1:9" x14ac:dyDescent="0.3">
      <c r="A4585" s="1" t="s">
        <v>30</v>
      </c>
      <c r="B4585" s="1" t="s">
        <v>50</v>
      </c>
      <c r="C4585" s="1" t="s">
        <v>32</v>
      </c>
      <c r="D4585" s="1" t="s">
        <v>7775</v>
      </c>
      <c r="E4585" s="1" t="s">
        <v>5596</v>
      </c>
      <c r="F4585" s="1" t="s">
        <v>7776</v>
      </c>
      <c r="G4585" s="1" t="s">
        <v>36</v>
      </c>
      <c r="H4585" s="1" t="s">
        <v>29</v>
      </c>
      <c r="I4585" s="1" t="str">
        <f ca="1">IFERROR(__xludf.DUMMYFUNCTION("GOOGLETRANSLATE(F4585, ""auto"", ""en"")
"),"2 Nastena How much will it be 320-(140+140)=40 GB for a hidden partition")</f>
        <v>2 Nastena How much will it be 320-(140+140)=40 GB for a hidden partition</v>
      </c>
    </row>
    <row r="4586" spans="1:9" x14ac:dyDescent="0.3">
      <c r="A4586" s="1" t="s">
        <v>37</v>
      </c>
      <c r="B4586" s="1" t="s">
        <v>38</v>
      </c>
      <c r="C4586" s="1" t="s">
        <v>3332</v>
      </c>
      <c r="D4586" s="1" t="s">
        <v>679</v>
      </c>
      <c r="E4586" s="1" t="s">
        <v>571</v>
      </c>
      <c r="F4586" s="1" t="s">
        <v>7777</v>
      </c>
      <c r="G4586" s="1" t="s">
        <v>28</v>
      </c>
      <c r="H4586" s="1" t="s">
        <v>29</v>
      </c>
      <c r="I4586" s="1" t="str">
        <f ca="1">IFERROR(__xludf.DUMMYFUNCTION("GOOGLETRANSLATE(F4586, ""auto"", ""en"")
"),"It’s a normal phone, it lasts for three days without charging, that’s for sure... I haven’t found any cons yet...")</f>
        <v>It’s a normal phone, it lasts for three days without charging, that’s for sure... I haven’t found any cons yet...</v>
      </c>
    </row>
    <row r="4587" spans="1:9" x14ac:dyDescent="0.3">
      <c r="A4587" s="1" t="s">
        <v>61</v>
      </c>
      <c r="B4587" s="1" t="s">
        <v>726</v>
      </c>
      <c r="C4587" s="1" t="s">
        <v>146</v>
      </c>
      <c r="D4587" s="1" t="s">
        <v>295</v>
      </c>
      <c r="E4587" s="1" t="s">
        <v>3379</v>
      </c>
      <c r="F4587" s="1" t="s">
        <v>7778</v>
      </c>
      <c r="G4587" s="1" t="s">
        <v>36</v>
      </c>
      <c r="H4587" s="1" t="s">
        <v>29</v>
      </c>
      <c r="I4587" s="1" t="str">
        <f ca="1">IFERROR(__xludf.DUMMYFUNCTION("GOOGLETRANSLATE(F4587, ""auto"", ""en"")
"),"everything is great))")</f>
        <v>everything is great))</v>
      </c>
    </row>
    <row r="4588" spans="1:9" x14ac:dyDescent="0.3">
      <c r="A4588" s="1" t="s">
        <v>9</v>
      </c>
      <c r="B4588" s="1" t="s">
        <v>137</v>
      </c>
      <c r="C4588" s="1" t="s">
        <v>466</v>
      </c>
      <c r="D4588" s="1" t="s">
        <v>589</v>
      </c>
      <c r="E4588" s="1" t="s">
        <v>2928</v>
      </c>
      <c r="F4588" s="1" t="s">
        <v>7779</v>
      </c>
      <c r="G4588" s="1" t="s">
        <v>36</v>
      </c>
      <c r="H4588" s="1" t="s">
        <v>29</v>
      </c>
      <c r="I4588" s="1" t="str">
        <f ca="1">IFERROR(__xludf.DUMMYFUNCTION("GOOGLETRANSLATE(F4588, ""auto"", ""en"")
"),"I have been using the surface for 3 years. No problem. All stains are removed with special cleaning agents for glass ceramics. Satisfied.")</f>
        <v>I have been using the surface for 3 years. No problem. All stains are removed with special cleaning agents for glass ceramics. Satisfied.</v>
      </c>
    </row>
    <row r="4589" spans="1:9" x14ac:dyDescent="0.3">
      <c r="A4589" s="1" t="s">
        <v>61</v>
      </c>
      <c r="B4589" s="1" t="s">
        <v>73</v>
      </c>
      <c r="C4589" s="1" t="s">
        <v>146</v>
      </c>
      <c r="D4589" s="1" t="s">
        <v>46</v>
      </c>
      <c r="E4589" s="1" t="s">
        <v>3512</v>
      </c>
      <c r="F4589" s="1" t="s">
        <v>7780</v>
      </c>
      <c r="G4589" s="1" t="s">
        <v>36</v>
      </c>
      <c r="H4589" s="1" t="s">
        <v>29</v>
      </c>
      <c r="I4589" s="1" t="str">
        <f ca="1">IFERROR(__xludf.DUMMYFUNCTION("GOOGLETRANSLATE(F4589, ""auto"", ""en"")
"),"Bought it yesterday from M.Video. They immediately came and decided to try it on pork, they threw it straight with the veins - it processed perfectly, ground 3 kg of pork in about 2 minutes. The first impression is great.")</f>
        <v>Bought it yesterday from M.Video. They immediately came and decided to try it on pork, they threw it straight with the veins - it processed perfectly, ground 3 kg of pork in about 2 minutes. The first impression is great.</v>
      </c>
    </row>
    <row r="4590" spans="1:9" x14ac:dyDescent="0.3">
      <c r="A4590" s="1" t="s">
        <v>17</v>
      </c>
      <c r="B4590" s="1" t="s">
        <v>325</v>
      </c>
      <c r="C4590" s="1" t="s">
        <v>326</v>
      </c>
      <c r="D4590" s="1" t="s">
        <v>471</v>
      </c>
      <c r="E4590" s="1" t="s">
        <v>2841</v>
      </c>
      <c r="F4590" s="1" t="s">
        <v>7781</v>
      </c>
      <c r="G4590" s="1" t="s">
        <v>36</v>
      </c>
      <c r="H4590" s="1" t="s">
        <v>29</v>
      </c>
      <c r="I4590" s="1" t="str">
        <f ca="1">IFERROR(__xludf.DUMMYFUNCTION("GOOGLETRANSLATE(F4590, ""auto"", ""en"")
"),"Upon receipt of the goods, I asked the issuers (a guy and a girl) if we would check the magic? I was told that ""you can only judge the appearance."" I arrived home and couldn't start the car. It hummed and did not spin. The device did not spin, which int"&amp;"erferes with the laundry. I immediately called a technician, who explained to me that one of the first points in the product’s operating instructions says: “When buying a washing machine, be sure to check its serviceability by a test run, completeness, an"&amp;"d absence of damage.” As a result, it turned out that the belt in the machine had fallen asleep. And this, as I understand it, could be installed before I brought the car home and started it.")</f>
        <v>Upon receipt of the goods, I asked the issuers (a guy and a girl) if we would check the magic? I was told that "you can only judge the appearance." I arrived home and couldn't start the car. It hummed and did not spin. The device did not spin, which interferes with the laundry. I immediately called a technician, who explained to me that one of the first points in the product’s operating instructions says: “When buying a washing machine, be sure to check its serviceability by a test run, completeness, and absence of damage.” As a result, it turned out that the belt in the machine had fallen asleep. And this, as I understand it, could be installed before I brought the car home and started it.</v>
      </c>
    </row>
    <row r="4591" spans="1:9" x14ac:dyDescent="0.3">
      <c r="A4591" s="1" t="s">
        <v>120</v>
      </c>
      <c r="B4591" s="1" t="s">
        <v>196</v>
      </c>
      <c r="C4591" s="1" t="s">
        <v>658</v>
      </c>
      <c r="D4591" s="1" t="s">
        <v>203</v>
      </c>
      <c r="E4591" s="1" t="s">
        <v>41</v>
      </c>
      <c r="F4591" s="1" t="s">
        <v>7782</v>
      </c>
      <c r="G4591" s="1" t="s">
        <v>36</v>
      </c>
      <c r="H4591" s="1" t="s">
        <v>29</v>
      </c>
      <c r="I4591" s="1" t="str">
        <f ca="1">IFERROR(__xludf.DUMMYFUNCTION("GOOGLETRANSLATE(F4591, ""auto"", ""en"")
"),"I bought it about a few days ago. I was choosing between Samsung (since I had a 37' before), Sony, Lg and Toshiba. I read a lot of reviews on 42' models from these companies. In the end, the choice fell on Toshiba; by the way, Samsung does not have 42 LCD"&amp;" panels at all.   Excellent picture quality on DVD via HDMI, quality of over-the-air reception (cable TV) is 4, but these are the shortcomings of the cable broadcast itself, not the TV. The Toshiba has a higher quality of the received signal than my previ"&amp;"ous Samsung, the picture is clearer, the sound has a predominance of low frequencies, which makes me happy. I am very pleased with the TV - high-quality picture, good sound, excellent design. The plastic of the TV does not creak, which was a slight sin fo"&amp;"r Samsung. I recommend it, excellent quality-price ratio.")</f>
        <v>I bought it about a few days ago. I was choosing between Samsung (since I had a 37' before), Sony, Lg and Toshiba. I read a lot of reviews on 42' models from these companies. In the end, the choice fell on Toshiba; by the way, Samsung does not have 42 LCD panels at all.   Excellent picture quality on DVD via HDMI, quality of over-the-air reception (cable TV) is 4, but these are the shortcomings of the cable broadcast itself, not the TV. The Toshiba has a higher quality of the received signal than my previous Samsung, the picture is clearer, the sound has a predominance of low frequencies, which makes me happy. I am very pleased with the TV - high-quality picture, good sound, excellent design. The plastic of the TV does not creak, which was a slight sin for Samsung. I recommend it, excellent quality-price ratio.</v>
      </c>
    </row>
    <row r="4592" spans="1:9" x14ac:dyDescent="0.3">
      <c r="A4592" s="1" t="s">
        <v>9</v>
      </c>
      <c r="B4592" s="1" t="s">
        <v>874</v>
      </c>
      <c r="C4592" s="1" t="s">
        <v>588</v>
      </c>
      <c r="D4592" s="1" t="s">
        <v>32</v>
      </c>
      <c r="E4592" s="1" t="s">
        <v>6514</v>
      </c>
      <c r="F4592" s="1" t="s">
        <v>7783</v>
      </c>
      <c r="G4592" s="1" t="s">
        <v>36</v>
      </c>
      <c r="H4592" s="1" t="s">
        <v>29</v>
      </c>
      <c r="I4592" s="1" t="str">
        <f ca="1">IFERROR(__xludf.DUMMYFUNCTION("GOOGLETRANSLATE(F4592, ""auto"", ""en"")
"),"I've been using this kit for a little over a year. So far I like everything. The price of a dependent set is cheaper than buying separately. Build quality is good. Particularly impressive are the recessed backlit control knobs and the presence of 3 baking"&amp;" trays, plus a wire rack. I immediately read the instructions and if any questions arise, I dive in again. Therefore, it does not cause surprises or troubles.   Of course this is an economical option. There are no mega-additional functions here, such as a"&amp;" child lock or food temperature and shutdown indicators. Everything is quite simple and predictable. But before that I used an autonomous Soviet hotplate, so I’m happy with everything.  In principle, you can set it to 5. (I remembered that there is a time"&amp;"r to turn off the oven with a signal, it’s a pity that the hob does not turn off with a timer)")</f>
        <v>I've been using this kit for a little over a year. So far I like everything. The price of a dependent set is cheaper than buying separately. Build quality is good. Particularly impressive are the recessed backlit control knobs and the presence of 3 baking trays, plus a wire rack. I immediately read the instructions and if any questions arise, I dive in again. Therefore, it does not cause surprises or troubles.   Of course this is an economical option. There are no mega-additional functions here, such as a child lock or food temperature and shutdown indicators. Everything is quite simple and predictable. But before that I used an autonomous Soviet hotplate, so I’m happy with everything.  In principle, you can set it to 5. (I remembered that there is a timer to turn off the oven with a signal, it’s a pity that the hob does not turn off with a timer)</v>
      </c>
    </row>
    <row r="4593" spans="1:9" x14ac:dyDescent="0.3">
      <c r="A4593" s="1" t="s">
        <v>105</v>
      </c>
      <c r="B4593" s="1" t="s">
        <v>106</v>
      </c>
      <c r="C4593" s="1" t="s">
        <v>1526</v>
      </c>
      <c r="D4593" s="1" t="s">
        <v>1605</v>
      </c>
      <c r="E4593" s="1" t="s">
        <v>2059</v>
      </c>
      <c r="F4593" s="1" t="s">
        <v>7784</v>
      </c>
      <c r="G4593" s="1" t="s">
        <v>28</v>
      </c>
      <c r="H4593" s="1" t="s">
        <v>29</v>
      </c>
      <c r="I4593" s="1" t="str">
        <f ca="1">IFERROR(__xludf.DUMMYFUNCTION("GOOGLETRANSLATE(F4593, ""auto"", ""en"")
"),"In principle, everything was fine.   Except 1: The radio doesn't pick up well (you can't listen to it in a minibus; the wave floats all the time) 2. The software on the disk is so-so, the converter doesn't work 3. The ears are not very comfortable, they c"&amp;"onstantly fall out ( 4. The memory capacity is not enough But overall I'm happy.")</f>
        <v>In principle, everything was fine.   Except 1: The radio doesn't pick up well (you can't listen to it in a minibus; the wave floats all the time) 2. The software on the disk is so-so, the converter doesn't work 3. The ears are not very comfortable, they constantly fall out ( 4. The memory capacity is not enough But overall I'm happy.</v>
      </c>
    </row>
    <row r="4594" spans="1:9" x14ac:dyDescent="0.3">
      <c r="A4594" s="1" t="s">
        <v>211</v>
      </c>
      <c r="B4594" s="1" t="s">
        <v>212</v>
      </c>
      <c r="C4594" s="1" t="s">
        <v>294</v>
      </c>
      <c r="D4594" s="1" t="s">
        <v>4658</v>
      </c>
      <c r="E4594" s="1" t="s">
        <v>1305</v>
      </c>
      <c r="F4594" s="1" t="s">
        <v>7785</v>
      </c>
      <c r="G4594" s="1" t="s">
        <v>36</v>
      </c>
      <c r="H4594" s="1" t="s">
        <v>29</v>
      </c>
      <c r="I4594" s="1" t="str">
        <f ca="1">IFERROR(__xludf.DUMMYFUNCTION("GOOGLETRANSLATE(F4594, ""auto"", ""en"")
"),"They gave it to me, but it came with a slightly different configuration. It worked for 5 years, is made of very high quality, from pleasant plastic and the temperature adjustment is very convenient, and it doesn’t pull out hair! Now it’s broken =(But afte"&amp;"r 5 years of using it every other day, it’s not even a shame! =) I want to get one from the same company, but with a temperature display.")</f>
        <v>They gave it to me, but it came with a slightly different configuration. It worked for 5 years, is made of very high quality, from pleasant plastic and the temperature adjustment is very convenient, and it doesn’t pull out hair! Now it’s broken =(But after 5 years of using it every other day, it’s not even a shame! =) I want to get one from the same company, but with a temperature display.</v>
      </c>
    </row>
    <row r="4595" spans="1:9" x14ac:dyDescent="0.3">
      <c r="A4595" s="1" t="s">
        <v>61</v>
      </c>
      <c r="B4595" s="1" t="s">
        <v>73</v>
      </c>
      <c r="C4595" s="1" t="s">
        <v>74</v>
      </c>
      <c r="D4595" s="1" t="s">
        <v>308</v>
      </c>
      <c r="E4595" s="1" t="s">
        <v>3771</v>
      </c>
      <c r="F4595" s="1" t="s">
        <v>7786</v>
      </c>
      <c r="G4595" s="1" t="s">
        <v>36</v>
      </c>
      <c r="H4595" s="1" t="s">
        <v>29</v>
      </c>
      <c r="I4595" s="1" t="str">
        <f ca="1">IFERROR(__xludf.DUMMYFUNCTION("GOOGLETRANSLATE(F4595, ""auto"", ""en"")
"),"I am very pleased with the meat grinder; it does its main function perfectly. Particular pleasure is provided by the attachments with which you can grate vegetables (indispensable when preparing winter preparations).")</f>
        <v>I am very pleased with the meat grinder; it does its main function perfectly. Particular pleasure is provided by the attachments with which you can grate vegetables (indispensable when preparing winter preparations).</v>
      </c>
    </row>
    <row r="4596" spans="1:9" x14ac:dyDescent="0.3">
      <c r="A4596" s="1" t="s">
        <v>211</v>
      </c>
      <c r="B4596" s="1" t="s">
        <v>856</v>
      </c>
      <c r="C4596" s="1" t="s">
        <v>101</v>
      </c>
      <c r="D4596" s="1" t="s">
        <v>896</v>
      </c>
      <c r="E4596" s="1" t="s">
        <v>6971</v>
      </c>
      <c r="F4596" s="1" t="s">
        <v>7787</v>
      </c>
      <c r="G4596" s="1" t="s">
        <v>36</v>
      </c>
      <c r="H4596" s="1" t="s">
        <v>29</v>
      </c>
      <c r="I4596" s="1" t="str">
        <f ca="1">IFERROR(__xludf.DUMMYFUNCTION("GOOGLETRANSLATE(F4596, ""auto"", ""en"")
"),"Very compact and convenient set! You can take it with you on trips, it replaces an entire travel bag, and the price is even cheaper! I’ve been using it for two years every two or three days, my nails always look great!")</f>
        <v>Very compact and convenient set! You can take it with you on trips, it replaces an entire travel bag, and the price is even cheaper! I’ve been using it for two years every two or three days, my nails always look great!</v>
      </c>
    </row>
    <row r="4597" spans="1:9" x14ac:dyDescent="0.3">
      <c r="A4597" s="1" t="s">
        <v>238</v>
      </c>
      <c r="B4597" s="1" t="s">
        <v>276</v>
      </c>
      <c r="C4597" s="1" t="s">
        <v>1677</v>
      </c>
      <c r="D4597" s="1" t="s">
        <v>81</v>
      </c>
      <c r="E4597" s="1" t="s">
        <v>7788</v>
      </c>
      <c r="F4597" s="1" t="s">
        <v>7789</v>
      </c>
      <c r="G4597" s="1" t="s">
        <v>36</v>
      </c>
      <c r="H4597" s="1" t="s">
        <v>29</v>
      </c>
      <c r="I4597" s="1" t="str">
        <f ca="1">IFERROR(__xludf.DUMMYFUNCTION("GOOGLETRANSLATE(F4597, ""auto"", ""en"")
"),"The refrigerator is capacious, beautiful, convenient, and silent. We are very glad that we bought it. 555 liters of capacity is enough for everything!")</f>
        <v>The refrigerator is capacious, beautiful, convenient, and silent. We are very glad that we bought it. 555 liters of capacity is enough for everything!</v>
      </c>
    </row>
    <row r="4598" spans="1:9" x14ac:dyDescent="0.3">
      <c r="A4598" s="1" t="s">
        <v>61</v>
      </c>
      <c r="B4598" s="1" t="s">
        <v>977</v>
      </c>
      <c r="C4598" s="1" t="s">
        <v>69</v>
      </c>
      <c r="D4598" s="1" t="s">
        <v>64</v>
      </c>
      <c r="E4598" s="1" t="s">
        <v>1816</v>
      </c>
      <c r="F4598" s="1" t="s">
        <v>7790</v>
      </c>
      <c r="G4598" s="1" t="s">
        <v>15</v>
      </c>
      <c r="H4598" s="1" t="s">
        <v>16</v>
      </c>
      <c r="I4598" s="1" t="str">
        <f ca="1">IFERROR(__xludf.DUMMYFUNCTION("GOOGLETRANSLATE(F4598, ""auto"", ""en"")
"),"I do not recommend this model. Our gear, which transmits rotation from the motor to the attachments, also burst, although we did not use the blender often, only for baby purees. The set included 2 bowls, both broke. Replacing the bowl (the warranty has al"&amp;"ready expired) costs 750 rubles, it would be better to buy a blender of a different brand.")</f>
        <v>I do not recommend this model. Our gear, which transmits rotation from the motor to the attachments, also burst, although we did not use the blender often, only for baby purees. The set included 2 bowls, both broke. Replacing the bowl (the warranty has already expired) costs 750 rubles, it would be better to buy a blender of a different brand.</v>
      </c>
    </row>
    <row r="4599" spans="1:9" x14ac:dyDescent="0.3">
      <c r="A4599" s="1" t="s">
        <v>149</v>
      </c>
      <c r="B4599" s="1" t="s">
        <v>155</v>
      </c>
      <c r="C4599" s="1" t="s">
        <v>151</v>
      </c>
      <c r="D4599" s="1" t="s">
        <v>2336</v>
      </c>
      <c r="E4599" s="1" t="s">
        <v>1524</v>
      </c>
      <c r="F4599" s="1" t="s">
        <v>7791</v>
      </c>
      <c r="G4599" s="1" t="s">
        <v>15</v>
      </c>
      <c r="H4599" s="1" t="s">
        <v>16</v>
      </c>
      <c r="I4599" s="1" t="str">
        <f ca="1">IFERROR(__xludf.DUMMYFUNCTION("GOOGLETRANSLATE(F4599, ""auto"", ""en"")
"),"I have owned this vacuum cleaner for a year now. At first it really worked well, I was glad that I didn’t have to knock out the bags or change them, etc.   BUT: 1) the filter gets clogged after 1-2 cleanings, and it doesn’t always even have time to dry be"&amp;"fore the next cleaning, and besides, the mesh filter doesn’t wash out at all :(. 2) the hose gets bent all the time, no matter what we did 3) it’s unclear why now it’s also started roaring In general, to be honest, I regret purchasing this model, maybe it"&amp;"’s not worth saving and buying something more decent right away? otherwise it will end up being more expensive.")</f>
        <v>I have owned this vacuum cleaner for a year now. At first it really worked well, I was glad that I didn’t have to knock out the bags or change them, etc.   BUT: 1) the filter gets clogged after 1-2 cleanings, and it doesn’t always even have time to dry before the next cleaning, and besides, the mesh filter doesn’t wash out at all :(. 2) the hose gets bent all the time, no matter what we did 3) it’s unclear why now it’s also started roaring In general, to be honest, I regret purchasing this model, maybe it’s not worth saving and buying something more decent right away? otherwise it will end up being more expensive.</v>
      </c>
    </row>
    <row r="4600" spans="1:9" x14ac:dyDescent="0.3">
      <c r="A4600" s="1" t="s">
        <v>120</v>
      </c>
      <c r="B4600" s="1" t="s">
        <v>121</v>
      </c>
      <c r="C4600" s="1" t="s">
        <v>151</v>
      </c>
      <c r="D4600" s="1" t="s">
        <v>7792</v>
      </c>
      <c r="E4600" s="1" t="s">
        <v>3203</v>
      </c>
      <c r="F4600" s="1" t="s">
        <v>7793</v>
      </c>
      <c r="G4600" s="1" t="s">
        <v>36</v>
      </c>
      <c r="H4600" s="1" t="s">
        <v>29</v>
      </c>
      <c r="I4600" s="1" t="str">
        <f ca="1">IFERROR(__xludf.DUMMYFUNCTION("GOOGLETRANSLATE(F4600, ""auto"", ""en"")
"),"Good TV. Made in Russia. Design and assembly are excellent. The image on the cable channel is quite decent. I haven’t tried the image from a DVD player on 5, HDMI yet. Setting up the channels couldn’t be easier, but to renumber them in your own way, you n"&amp;"eed to tinker ((. The hefty remote control is not good. The rest is quite happy.")</f>
        <v>Good TV. Made in Russia. Design and assembly are excellent. The image on the cable channel is quite decent. I haven’t tried the image from a DVD player on 5, HDMI yet. Setting up the channels couldn’t be easier, but to renumber them in your own way, you need to tinker ((. The hefty remote control is not good. The rest is quite happy.</v>
      </c>
    </row>
    <row r="4601" spans="1:9" x14ac:dyDescent="0.3">
      <c r="A4601" s="1" t="s">
        <v>1823</v>
      </c>
      <c r="B4601" s="1" t="s">
        <v>1824</v>
      </c>
      <c r="C4601" s="1" t="s">
        <v>69</v>
      </c>
      <c r="D4601" s="1" t="s">
        <v>46</v>
      </c>
      <c r="E4601" s="1" t="s">
        <v>244</v>
      </c>
      <c r="F4601" s="1" t="s">
        <v>7794</v>
      </c>
      <c r="G4601" s="1" t="s">
        <v>36</v>
      </c>
      <c r="H4601" s="1" t="s">
        <v>29</v>
      </c>
      <c r="I4601" s="1" t="str">
        <f ca="1">IFERROR(__xludf.DUMMYFUNCTION("GOOGLETRANSLATE(F4601, ""auto"", ""en"")
"),"I really liked the stand for the steam generator, stable and well made. Wide surface, and shirts are ironed with a bang :) I recommend it. The only thing I would change is the attachments on the legs; they are plastic, but for the home, rubberized ones ar"&amp;"e better. Standing board")</f>
        <v>I really liked the stand for the steam generator, stable and well made. Wide surface, and shirts are ironed with a bang :) I recommend it. The only thing I would change is the attachments on the legs; they are plastic, but for the home, rubberized ones are better. Standing board</v>
      </c>
    </row>
    <row r="4602" spans="1:9" x14ac:dyDescent="0.3">
      <c r="A4602" s="1" t="s">
        <v>624</v>
      </c>
      <c r="B4602" s="1" t="s">
        <v>625</v>
      </c>
      <c r="C4602" s="1" t="s">
        <v>479</v>
      </c>
      <c r="D4602" s="1" t="s">
        <v>280</v>
      </c>
      <c r="E4602" s="1" t="s">
        <v>883</v>
      </c>
      <c r="F4602" s="1" t="s">
        <v>7795</v>
      </c>
      <c r="G4602" s="1" t="s">
        <v>28</v>
      </c>
      <c r="H4602" s="1" t="s">
        <v>29</v>
      </c>
      <c r="I4602" s="1" t="str">
        <f ca="1">IFERROR(__xludf.DUMMYFUNCTION("GOOGLETRANSLATE(F4602, ""auto"", ""en"")
"),"I played for about 30 minutes. The first impression of the game was not bad, but not great, many praised it to the point of horror. I didn't see anything special. Maybe in the future my opinion will change.")</f>
        <v>I played for about 30 minutes. The first impression of the game was not bad, but not great, many praised it to the point of horror. I didn't see anything special. Maybe in the future my opinion will change.</v>
      </c>
    </row>
    <row r="4603" spans="1:9" x14ac:dyDescent="0.3">
      <c r="A4603" s="1" t="s">
        <v>67</v>
      </c>
      <c r="B4603" s="1" t="s">
        <v>68</v>
      </c>
      <c r="C4603" s="1" t="s">
        <v>246</v>
      </c>
      <c r="D4603" s="1" t="s">
        <v>335</v>
      </c>
      <c r="E4603" s="1" t="s">
        <v>2063</v>
      </c>
      <c r="F4603" s="1" t="s">
        <v>7796</v>
      </c>
      <c r="G4603" s="1" t="s">
        <v>36</v>
      </c>
      <c r="H4603" s="1" t="s">
        <v>29</v>
      </c>
      <c r="I4603" s="1" t="str">
        <f ca="1">IFERROR(__xludf.DUMMYFUNCTION("GOOGLETRANSLATE(F4603, ""auto"", ""en"")
"),"Great model! I gave it as a gift three years ago - I still use it, without a single breakdown!!!")</f>
        <v>Great model! I gave it as a gift three years ago - I still use it, without a single breakdown!!!</v>
      </c>
    </row>
    <row r="4604" spans="1:9" x14ac:dyDescent="0.3">
      <c r="A4604" s="1" t="s">
        <v>30</v>
      </c>
      <c r="B4604" s="1" t="s">
        <v>31</v>
      </c>
      <c r="C4604" s="1" t="s">
        <v>32</v>
      </c>
      <c r="D4604" s="1" t="s">
        <v>171</v>
      </c>
      <c r="E4604" s="1" t="s">
        <v>2008</v>
      </c>
      <c r="F4604" s="1" t="s">
        <v>7797</v>
      </c>
      <c r="G4604" s="1" t="s">
        <v>36</v>
      </c>
      <c r="H4604" s="1" t="s">
        <v>29</v>
      </c>
      <c r="I4604" s="1" t="str">
        <f ca="1">IFERROR(__xludf.DUMMYFUNCTION("GOOGLETRANSLATE(F4604, ""auto"", ""en"")
"),"Very good car. Quiet. I bought it to watch videos as part of a home theater. Very compact. Very fast. Overall very pleased.  Of the minuses: after 5 hours the video card heats up about 65 degrees and the hard drive 51-56 degrees (everest). The processor i"&amp;"s always 31 degrees.  There are inaccuracies in the description: DDR3 1333 memory, one 2G stick, USB 4 in the back and 5 in the front. There is no case fan, it's the power supply. The discrete video card has dvi and hdmi. with built-in sdub and hdmi.")</f>
        <v>Very good car. Quiet. I bought it to watch videos as part of a home theater. Very compact. Very fast. Overall very pleased.  Of the minuses: after 5 hours the video card heats up about 65 degrees and the hard drive 51-56 degrees (everest). The processor is always 31 degrees.  There are inaccuracies in the description: DDR3 1333 memory, one 2G stick, USB 4 in the back and 5 in the front. There is no case fan, it's the power supply. The discrete video card has dvi and hdmi. with built-in sdub and hdmi.</v>
      </c>
    </row>
    <row r="4605" spans="1:9" x14ac:dyDescent="0.3">
      <c r="A4605" s="1" t="s">
        <v>67</v>
      </c>
      <c r="B4605" s="1" t="s">
        <v>68</v>
      </c>
      <c r="C4605" s="1" t="s">
        <v>69</v>
      </c>
      <c r="D4605" s="1" t="s">
        <v>39</v>
      </c>
      <c r="E4605" s="1" t="s">
        <v>2596</v>
      </c>
      <c r="F4605" s="1" t="s">
        <v>7798</v>
      </c>
      <c r="G4605" s="1" t="s">
        <v>28</v>
      </c>
      <c r="H4605" s="1" t="s">
        <v>29</v>
      </c>
      <c r="I4605" s="1" t="str">
        <f ca="1">IFERROR(__xludf.DUMMYFUNCTION("GOOGLETRANSLATE(F4605, ""auto"", ""en"")
"),"The iron is good.   It heats up instantly, the power is high, and it holds the temperature for a long time. The steamglide sole is rumored to be one of the best at the moment (at this price point), glides easily. But don’t expect that with a lot of pressu"&amp;"re it won’t leave shiny spots - gauze will still have to be used sometimes.  Not light (but not cast iron either!) - depending on who you like.  It really hisses loudly during the ""steam burst"" (common sense dictates that this is normal), and steam is r"&amp;"eally only supplied from the spout (as stated by the manufacturer). So don't expect to be able to use it as a full-fledged steamer, but you can steam a couple of rough folds on your jacket.  When ironing horizontally, steam is supplied through all the hol"&amp;"es, not loudly (like any other iron), quite evenly, because there are many holes.   A large 350 ml tank - which, in my opinion, is good + a glass with a narrow spout for pouring water. The hole is large enough to carefully pour out the remaining water wit"&amp;"hout flooding the entire iron. The plug is tight - nothing leaks or spills out.   Anti-drop system - works. But don’t forget about condensation, which you can’t do anything about.  I can’t say anything about the dual anti-scale system, since I bought it q"&amp;"uite recently. But common sense again suggests that you shouldn’t rely too much on it - and use at least filtered water.  For the price - I think you can find a worthy analogue cheaper, they are clearly charging for the anti-scale system (which you still "&amp;"want to rely on).  The downside is that there is no self-shutdown system, and it could have been more colorful.   It also has a super awesome sprinkler! if anyone uses it at all.")</f>
        <v>The iron is good.   It heats up instantly, the power is high, and it holds the temperature for a long time. The steamglide sole is rumored to be one of the best at the moment (at this price point), glides easily. But don’t expect that with a lot of pressure it won’t leave shiny spots - gauze will still have to be used sometimes.  Not light (but not cast iron either!) - depending on who you like.  It really hisses loudly during the "steam burst" (common sense dictates that this is normal), and steam is really only supplied from the spout (as stated by the manufacturer). So don't expect to be able to use it as a full-fledged steamer, but you can steam a couple of rough folds on your jacket.  When ironing horizontally, steam is supplied through all the holes, not loudly (like any other iron), quite evenly, because there are many holes.   A large 350 ml tank - which, in my opinion, is good + a glass with a narrow spout for pouring water. The hole is large enough to carefully pour out the remaining water without flooding the entire iron. The plug is tight - nothing leaks or spills out.   Anti-drop system - works. But don’t forget about condensation, which you can’t do anything about.  I can’t say anything about the dual anti-scale system, since I bought it quite recently. But common sense again suggests that you shouldn’t rely too much on it - and use at least filtered water.  For the price - I think you can find a worthy analogue cheaper, they are clearly charging for the anti-scale system (which you still want to rely on).  The downside is that there is no self-shutdown system, and it could have been more colorful.   It also has a super awesome sprinkler! if anyone uses it at all.</v>
      </c>
    </row>
    <row r="4606" spans="1:9" x14ac:dyDescent="0.3">
      <c r="A4606" s="1" t="s">
        <v>30</v>
      </c>
      <c r="B4606" s="1" t="s">
        <v>50</v>
      </c>
      <c r="C4606" s="1" t="s">
        <v>32</v>
      </c>
      <c r="D4606" s="1" t="s">
        <v>64</v>
      </c>
      <c r="E4606" s="1" t="s">
        <v>905</v>
      </c>
      <c r="F4606" s="1" t="s">
        <v>7799</v>
      </c>
      <c r="G4606" s="1" t="s">
        <v>36</v>
      </c>
      <c r="H4606" s="1" t="s">
        <v>29</v>
      </c>
      <c r="I4606" s="1" t="str">
        <f ca="1">IFERROR(__xludf.DUMMYFUNCTION("GOOGLETRANSLATE(F4606, ""auto"", ""en"")
"),"I bought it yesterday. I like everything so far. Bright beautiful screen. Large, but nevertheless very comfortable. So far I haven’t found any jambs, if I find them I’ll let you know additionally. Very pleased with the purchase.")</f>
        <v>I bought it yesterday. I like everything so far. Bright beautiful screen. Large, but nevertheless very comfortable. So far I haven’t found any jambs, if I find them I’ll let you know additionally. Very pleased with the purchase.</v>
      </c>
    </row>
    <row r="4607" spans="1:9" x14ac:dyDescent="0.3">
      <c r="A4607" s="1" t="s">
        <v>17</v>
      </c>
      <c r="B4607" s="1" t="s">
        <v>18</v>
      </c>
      <c r="C4607" s="1" t="s">
        <v>885</v>
      </c>
      <c r="D4607" s="1" t="s">
        <v>171</v>
      </c>
      <c r="E4607" s="1" t="s">
        <v>3044</v>
      </c>
      <c r="F4607" s="1" t="s">
        <v>7800</v>
      </c>
      <c r="G4607" s="1" t="s">
        <v>49</v>
      </c>
      <c r="H4607" s="1" t="s">
        <v>16</v>
      </c>
      <c r="I4607" s="1" t="str">
        <f ca="1">IFERROR(__xludf.DUMMYFUNCTION("GOOGLETRANSLATE(F4607, ""auto"", ""en"")
"),"I bought it 3 days ago - just a helicopter, I was surprised that there was no bottom. Before this, BOSCH worked flawlessly for 8 years. This machine is jumping all over the bathroom, it’s just terrible, it’s swaying, rattling, I set it to the level with t"&amp;"he precision of aircraft instruments - nothing helps, I tried it on tiles, and on the floor in the hallway on laminate and in the kitchen on linoleum.")</f>
        <v>I bought it 3 days ago - just a helicopter, I was surprised that there was no bottom. Before this, BOSCH worked flawlessly for 8 years. This machine is jumping all over the bathroom, it’s just terrible, it’s swaying, rattling, I set it to the level with the precision of aircraft instruments - nothing helps, I tried it on tiles, and on the floor in the hallway on laminate and in the kitchen on linoleum.</v>
      </c>
    </row>
    <row r="4608" spans="1:9" x14ac:dyDescent="0.3">
      <c r="A4608" s="1" t="s">
        <v>30</v>
      </c>
      <c r="B4608" s="1" t="s">
        <v>50</v>
      </c>
      <c r="C4608" s="1" t="s">
        <v>694</v>
      </c>
      <c r="D4608" s="1" t="s">
        <v>7801</v>
      </c>
      <c r="E4608" s="1" t="s">
        <v>391</v>
      </c>
      <c r="F4608" s="1" t="s">
        <v>7802</v>
      </c>
      <c r="G4608" s="1" t="s">
        <v>36</v>
      </c>
      <c r="H4608" s="1" t="s">
        <v>29</v>
      </c>
      <c r="I4608" s="1" t="str">
        <f ca="1">IFERROR(__xludf.DUMMYFUNCTION("GOOGLETRANSLATE(F4608, ""auto"", ""en"")
"),"Inna, my key is on the bottom panel))) there is a sticker there....")</f>
        <v>Inna, my key is on the bottom panel))) there is a sticker there....</v>
      </c>
    </row>
    <row r="4609" spans="1:9" x14ac:dyDescent="0.3">
      <c r="A4609" s="1" t="s">
        <v>1119</v>
      </c>
      <c r="B4609" s="1" t="s">
        <v>1120</v>
      </c>
      <c r="C4609" s="1" t="s">
        <v>122</v>
      </c>
      <c r="D4609" s="1" t="s">
        <v>39</v>
      </c>
      <c r="E4609" s="1" t="s">
        <v>3320</v>
      </c>
      <c r="F4609" s="1" t="s">
        <v>7803</v>
      </c>
      <c r="G4609" s="1" t="s">
        <v>49</v>
      </c>
      <c r="H4609" s="1" t="s">
        <v>16</v>
      </c>
      <c r="I4609" s="1" t="str">
        <f ca="1">IFERROR(__xludf.DUMMYFUNCTION("GOOGLETRANSLATE(F4609, ""auto"", ""en"")
"),"They gave me complete garbage, I’m thinking of selling it to someone at a discount. I have an old camera that takes better video. so a new photo like this will cost 3 tr. The only difference is the presence of x70 zoom. But with this recording quality, th"&amp;"is zoom is not needed. Photos in general are 640x480 in phones; the cameras are better and more powerful. I don’t understand who this shit is being released for")</f>
        <v>They gave me complete garbage, I’m thinking of selling it to someone at a discount. I have an old camera that takes better video. so a new photo like this will cost 3 tr. The only difference is the presence of x70 zoom. But with this recording quality, this zoom is not needed. Photos in general are 640x480 in phones; the cameras are better and more powerful. I don’t understand who this shit is being released for</v>
      </c>
    </row>
    <row r="4610" spans="1:9" x14ac:dyDescent="0.3">
      <c r="A4610" s="1" t="s">
        <v>120</v>
      </c>
      <c r="B4610" s="1" t="s">
        <v>196</v>
      </c>
      <c r="C4610" s="1" t="s">
        <v>69</v>
      </c>
      <c r="D4610" s="1" t="s">
        <v>7804</v>
      </c>
      <c r="E4610" s="1" t="s">
        <v>346</v>
      </c>
      <c r="F4610" s="1" t="s">
        <v>7805</v>
      </c>
      <c r="G4610" s="1" t="s">
        <v>49</v>
      </c>
      <c r="H4610" s="1" t="s">
        <v>16</v>
      </c>
      <c r="I4610" s="1" t="str">
        <f ca="1">IFERROR(__xludf.DUMMYFUNCTION("GOOGLETRANSLATE(F4610, ""auto"", ""en"")
"),"I bought the same one, only European assembly 5604/12N.  I immediately downloaded the new firmware and have been enjoying it for half a year now.  The quality is super! Everything works! Reads flash drives of all formats!  So look for Europe.")</f>
        <v>I bought the same one, only European assembly 5604/12N.  I immediately downloaded the new firmware and have been enjoying it for half a year now.  The quality is super! Everything works! Reads flash drives of all formats!  So look for Europe.</v>
      </c>
    </row>
    <row r="4611" spans="1:9" x14ac:dyDescent="0.3">
      <c r="A4611" s="1" t="s">
        <v>624</v>
      </c>
      <c r="B4611" s="1" t="s">
        <v>625</v>
      </c>
      <c r="C4611" s="1" t="s">
        <v>479</v>
      </c>
      <c r="D4611" s="1" t="s">
        <v>7806</v>
      </c>
      <c r="E4611" s="1" t="s">
        <v>460</v>
      </c>
      <c r="F4611" s="1" t="s">
        <v>7807</v>
      </c>
      <c r="G4611" s="1" t="s">
        <v>36</v>
      </c>
      <c r="H4611" s="1" t="s">
        <v>29</v>
      </c>
      <c r="I4611" s="1" t="str">
        <f ca="1">IFERROR(__xludf.DUMMYFUNCTION("GOOGLETRANSLATE(F4611, ""auto"", ""en"")
"),"The game is very cool and unlike Richat, who lives in Yekaterinburg, I personally bought the game with Russian subtitles")</f>
        <v>The game is very cool and unlike Richat, who lives in Yekaterinburg, I personally bought the game with Russian subtitles</v>
      </c>
    </row>
    <row r="4612" spans="1:9" x14ac:dyDescent="0.3">
      <c r="A4612" s="1" t="s">
        <v>17</v>
      </c>
      <c r="B4612" s="1" t="s">
        <v>18</v>
      </c>
      <c r="C4612" s="1" t="s">
        <v>243</v>
      </c>
      <c r="D4612" s="1" t="s">
        <v>1003</v>
      </c>
      <c r="E4612" s="1" t="s">
        <v>7808</v>
      </c>
      <c r="F4612" s="1" t="s">
        <v>7809</v>
      </c>
      <c r="G4612" s="1" t="s">
        <v>36</v>
      </c>
      <c r="H4612" s="1" t="s">
        <v>29</v>
      </c>
      <c r="I4612" s="1" t="str">
        <f ca="1">IFERROR(__xludf.DUMMYFUNCTION("GOOGLETRANSLATE(F4612, ""auto"", ""en"")
"),"The model is worthy of special attention and, in my opinion, one of the few options for those who have a very small bathtub or a combined option.  It’s a completely normal option in terms of functionality; even the premium segment can envy the number of p"&amp;"rograms.  The optimal number of revolutions for our time is 1000, this is enough to wring any cotton fabric almost dry.  Therefore, the advantages of this model can be safely attributed to its compactness, loading capacity is 4 kg, and can accommodate 1 s"&amp;"et of bed linen. A large number of programs, there is a delicate spin mode (light ironing). It is stable, despite its miniature weight, it weighs 65 kg, but I note that if the floor is tiles or tiles, it is 100% better to lay a rubber mat or feet, because"&amp;" aerodynamic laws on such surfaces will shift even full-sized vehicles. Do not also forget to remove the transport bolts before use, otherwise there is a risk of not only seeing the machine dance, but also damaging the bathroom facade. I also consider the"&amp;" presence of a timer to be a big plus; it is always convenient to see how much time is left until the end of the wash. As for the quality of the device, do not forget about the Russian assembly, which for many manufacturers sometimes leaves much to be des"&amp;"ired, so depending on your luck.   The result is a compact, functional model at a very affordable price. I recommend it.")</f>
        <v>The model is worthy of special attention and, in my opinion, one of the few options for those who have a very small bathtub or a combined option.  It’s a completely normal option in terms of functionality; even the premium segment can envy the number of programs.  The optimal number of revolutions for our time is 1000, this is enough to wring any cotton fabric almost dry.  Therefore, the advantages of this model can be safely attributed to its compactness, loading capacity is 4 kg, and can accommodate 1 set of bed linen. A large number of programs, there is a delicate spin mode (light ironing). It is stable, despite its miniature weight, it weighs 65 kg, but I note that if the floor is tiles or tiles, it is 100% better to lay a rubber mat or feet, because aerodynamic laws on such surfaces will shift even full-sized vehicles. Do not also forget to remove the transport bolts before use, otherwise there is a risk of not only seeing the machine dance, but also damaging the bathroom facade. I also consider the presence of a timer to be a big plus; it is always convenient to see how much time is left until the end of the wash. As for the quality of the device, do not forget about the Russian assembly, which for many manufacturers sometimes leaves much to be desired, so depending on your luck.   The result is a compact, functional model at a very affordable price. I recommend it.</v>
      </c>
    </row>
    <row r="4613" spans="1:9" x14ac:dyDescent="0.3">
      <c r="A4613" s="1" t="s">
        <v>211</v>
      </c>
      <c r="B4613" s="1" t="s">
        <v>212</v>
      </c>
      <c r="C4613" s="1" t="s">
        <v>381</v>
      </c>
      <c r="D4613" s="1" t="s">
        <v>4222</v>
      </c>
      <c r="E4613" s="1" t="s">
        <v>7810</v>
      </c>
      <c r="F4613" s="1" t="s">
        <v>7811</v>
      </c>
      <c r="G4613" s="1" t="s">
        <v>36</v>
      </c>
      <c r="H4613" s="1" t="s">
        <v>29</v>
      </c>
      <c r="I4613" s="1" t="str">
        <f ca="1">IFERROR(__xludf.DUMMYFUNCTION("GOOGLETRANSLATE(F4613, ""auto"", ""en"")
"),"straightens hair quickly and does not burn hair")</f>
        <v>straightens hair quickly and does not burn hair</v>
      </c>
    </row>
    <row r="4614" spans="1:9" x14ac:dyDescent="0.3">
      <c r="A4614" s="1" t="s">
        <v>120</v>
      </c>
      <c r="B4614" s="1" t="s">
        <v>121</v>
      </c>
      <c r="C4614" s="1" t="s">
        <v>97</v>
      </c>
      <c r="D4614" s="1" t="s">
        <v>39</v>
      </c>
      <c r="E4614" s="1" t="s">
        <v>3327</v>
      </c>
      <c r="F4614" s="1" t="s">
        <v>7812</v>
      </c>
      <c r="G4614" s="1" t="s">
        <v>28</v>
      </c>
      <c r="H4614" s="1" t="s">
        <v>29</v>
      </c>
      <c r="I4614" s="1" t="str">
        <f ca="1">IFERROR(__xludf.DUMMYFUNCTION("GOOGLETRANSLATE(F4614, ""auto"", ""en"")
"),"We bought this TV. We went for a Philips, which is also FullHD 32 inches. The store compared the pictures - SONKA turned out to be much better in both black and saturation. Compared with more expensive ones, 26-33k rubles. - the difference is minimal, alt"&amp;"hough you can only feel it if you put it next to it (And the best image is from Samsung and LG, then Sonya). About the vagueness and poor quality of broadcast channels: ANY LCD up to 60k rubles. they will be shown worse than a CRT. I'm satisfied with the "&amp;"quality of the broadcasts, although I'll have to switch to digital. And all the delights of FullHD will be noticeable only with an appropriate signal, for example from blue-ray. and so - good quality at a good price.")</f>
        <v>We bought this TV. We went for a Philips, which is also FullHD 32 inches. The store compared the pictures - SONKA turned out to be much better in both black and saturation. Compared with more expensive ones, 26-33k rubles. - the difference is minimal, although you can only feel it if you put it next to it (And the best image is from Samsung and LG, then Sonya). About the vagueness and poor quality of broadcast channels: ANY LCD up to 60k rubles. they will be shown worse than a CRT. I'm satisfied with the quality of the broadcasts, although I'll have to switch to digital. And all the delights of FullHD will be noticeable only with an appropriate signal, for example from blue-ray. and so - good quality at a good price.</v>
      </c>
    </row>
    <row r="4615" spans="1:9" x14ac:dyDescent="0.3">
      <c r="A4615" s="1" t="s">
        <v>43</v>
      </c>
      <c r="B4615" s="1" t="s">
        <v>1370</v>
      </c>
      <c r="C4615" s="1" t="s">
        <v>2137</v>
      </c>
      <c r="D4615" s="1" t="s">
        <v>247</v>
      </c>
      <c r="E4615" s="1" t="s">
        <v>7813</v>
      </c>
      <c r="F4615" s="1" t="s">
        <v>7814</v>
      </c>
      <c r="G4615" s="1" t="s">
        <v>28</v>
      </c>
      <c r="H4615" s="1" t="s">
        <v>29</v>
      </c>
      <c r="I4615" s="1" t="str">
        <f ca="1">IFERROR(__xludf.DUMMYFUNCTION("GOOGLETRANSLATE(F4615, ""auto"", ""en"")
"),"I bought it, connected it, the smile hasn’t left my face for several hours. It’s pouring hot, with one ring in the watering can (the water at the entrance is freezing). If there are two rings or 3, then even washing your hands is not particularly pleasant"&amp;". Easy to connect, you don’t even need instructions. I recommend it for temporary use when the hot water supply is turned off.")</f>
        <v>I bought it, connected it, the smile hasn’t left my face for several hours. It’s pouring hot, with one ring in the watering can (the water at the entrance is freezing). If there are two rings or 3, then even washing your hands is not particularly pleasant. Easy to connect, you don’t even need instructions. I recommend it for temporary use when the hot water supply is turned off.</v>
      </c>
    </row>
    <row r="4616" spans="1:9" x14ac:dyDescent="0.3">
      <c r="A4616" s="1" t="s">
        <v>89</v>
      </c>
      <c r="B4616" s="1" t="s">
        <v>231</v>
      </c>
      <c r="C4616" s="1" t="s">
        <v>185</v>
      </c>
      <c r="D4616" s="1" t="s">
        <v>940</v>
      </c>
      <c r="E4616" s="1" t="s">
        <v>87</v>
      </c>
      <c r="F4616" s="1" t="s">
        <v>7815</v>
      </c>
      <c r="G4616" s="1" t="s">
        <v>36</v>
      </c>
      <c r="H4616" s="1" t="s">
        <v>29</v>
      </c>
      <c r="I4616" s="1" t="str">
        <f ca="1">IFERROR(__xludf.DUMMYFUNCTION("GOOGLETRANSLATE(F4616, ""auto"", ""en"")
"),"My wife and I bought it a week ago. We spent a long time choosing it, we decided on it, the consultant recommended it and we didn’t regret it at all. The expresso is just super with delicate foam, the latte is amazing. It’s simple and easy to clean (the b"&amp;"rewing unit) is washed with water, there’s no need to spend money on expensive chemicals. In general, we’re happy. I recommend it to everyone!")</f>
        <v>My wife and I bought it a week ago. We spent a long time choosing it, we decided on it, the consultant recommended it and we didn’t regret it at all. The expresso is just super with delicate foam, the latte is amazing. It’s simple and easy to clean (the brewing unit) is washed with water, there’s no need to spend money on expensive chemicals. In general, we’re happy. I recommend it to everyone!</v>
      </c>
    </row>
    <row r="4617" spans="1:9" x14ac:dyDescent="0.3">
      <c r="A4617" s="1" t="s">
        <v>95</v>
      </c>
      <c r="B4617" s="1" t="s">
        <v>96</v>
      </c>
      <c r="C4617" s="1" t="s">
        <v>97</v>
      </c>
      <c r="D4617" s="1" t="s">
        <v>152</v>
      </c>
      <c r="E4617" s="1" t="s">
        <v>1282</v>
      </c>
      <c r="F4617" s="1" t="s">
        <v>7816</v>
      </c>
      <c r="G4617" s="1" t="s">
        <v>94</v>
      </c>
      <c r="H4617" s="1" t="s">
        <v>29</v>
      </c>
      <c r="I4617" s="1" t="str">
        <f ca="1">IFERROR(__xludf.DUMMYFUNCTION("GOOGLETRANSLATE(F4617, ""auto"", ""en"")
"),"and you can flash the PlayStation Portable Sony PSP-3008 Black Base game console itself▶▶▶EXPERT ANSWER “M.VIDEO”◀◀◀Alexander, the manufacturer recommends using only original software and licensed games in digital or physical form.")</f>
        <v>and you can flash the PlayStation Portable Sony PSP-3008 Black Base game console itself▶▶▶EXPERT ANSWER “M.VIDEO”◀◀◀Alexander, the manufacturer recommends using only original software and licensed games in digital or physical form.</v>
      </c>
    </row>
    <row r="4618" spans="1:9" x14ac:dyDescent="0.3">
      <c r="A4618" s="1" t="s">
        <v>43</v>
      </c>
      <c r="B4618" s="1" t="s">
        <v>1370</v>
      </c>
      <c r="C4618" s="1" t="s">
        <v>2137</v>
      </c>
      <c r="D4618" s="1" t="s">
        <v>152</v>
      </c>
      <c r="E4618" s="1" t="s">
        <v>1946</v>
      </c>
      <c r="F4618" s="1" t="s">
        <v>7817</v>
      </c>
      <c r="G4618" s="1" t="s">
        <v>36</v>
      </c>
      <c r="H4618" s="1" t="s">
        <v>29</v>
      </c>
      <c r="I4618" s="1" t="str">
        <f ca="1">IFERROR(__xludf.DUMMYFUNCTION("GOOGLETRANSLATE(F4618, ""auto"", ""en"")
"),"I looked at the reference book, a cross-section of 1.5 kW (5 kW, open wiring, copper) is sufficient for connection. To be on the safe side, I took 2.5 sq. The wiring does not heat up. I've been using it for 2 years. Satisfied.")</f>
        <v>I looked at the reference book, a cross-section of 1.5 kW (5 kW, open wiring, copper) is sufficient for connection. To be on the safe side, I took 2.5 sq. The wiring does not heat up. I've been using it for 2 years. Satisfied.</v>
      </c>
    </row>
    <row r="4619" spans="1:9" x14ac:dyDescent="0.3">
      <c r="A4619" s="1" t="s">
        <v>61</v>
      </c>
      <c r="B4619" s="1" t="s">
        <v>73</v>
      </c>
      <c r="C4619" s="1" t="s">
        <v>74</v>
      </c>
      <c r="D4619" s="1" t="s">
        <v>474</v>
      </c>
      <c r="E4619" s="1" t="s">
        <v>3979</v>
      </c>
      <c r="F4619" s="1" t="s">
        <v>7818</v>
      </c>
      <c r="G4619" s="1" t="s">
        <v>28</v>
      </c>
      <c r="H4619" s="1" t="s">
        <v>29</v>
      </c>
      <c r="I4619" s="1" t="str">
        <f ca="1">IFERROR(__xludf.DUMMYFUNCTION("GOOGLETRANSLATE(F4619, ""auto"", ""en"")
"),"We bought this meat grinder today and fell for the price (with owls and a card it was 1,100 rubles cheaper). They brought it home, unpacked it, it turned out that the very fastening, although plastic (like 90% of modern meat grinders in general), but thic"&amp;"k and strong, turned out to be simply broken, all the parts were in opened (!) bags - it had obviously already been returned back. Without hesitation, we took him back to the store. They accepted me there without any questions. They took the same one, but"&amp;" whole. Let's see how it works. I ground a pound of beef (cut into 5x5 cm pieces) in less than a minute. I also chopped the carrots well. For its price, the meat grinder is quite decent.")</f>
        <v>We bought this meat grinder today and fell for the price (with owls and a card it was 1,100 rubles cheaper). They brought it home, unpacked it, it turned out that the very fastening, although plastic (like 90% of modern meat grinders in general), but thick and strong, turned out to be simply broken, all the parts were in opened (!) bags - it had obviously already been returned back. Without hesitation, we took him back to the store. They accepted me there without any questions. They took the same one, but whole. Let's see how it works. I ground a pound of beef (cut into 5x5 cm pieces) in less than a minute. I also chopped the carrots well. For its price, the meat grinder is quite decent.</v>
      </c>
    </row>
    <row r="4620" spans="1:9" x14ac:dyDescent="0.3">
      <c r="A4620" s="1" t="s">
        <v>211</v>
      </c>
      <c r="B4620" s="1" t="s">
        <v>410</v>
      </c>
      <c r="C4620" s="1" t="s">
        <v>213</v>
      </c>
      <c r="D4620" s="1" t="s">
        <v>545</v>
      </c>
      <c r="E4620" s="1" t="s">
        <v>7819</v>
      </c>
      <c r="F4620" s="1" t="s">
        <v>7820</v>
      </c>
      <c r="G4620" s="1" t="s">
        <v>36</v>
      </c>
      <c r="H4620" s="1" t="s">
        <v>29</v>
      </c>
      <c r="I4620" s="1" t="str">
        <f ca="1">IFERROR(__xludf.DUMMYFUNCTION("GOOGLETRANSLATE(F4620, ""auto"", ""en"")
"),"The price corresponds to the quality, stylish design, self-cleaning, dry and wet shaving")</f>
        <v>The price corresponds to the quality, stylish design, self-cleaning, dry and wet shaving</v>
      </c>
    </row>
    <row r="4621" spans="1:9" x14ac:dyDescent="0.3">
      <c r="A4621" s="1" t="s">
        <v>17</v>
      </c>
      <c r="B4621" s="1" t="s">
        <v>18</v>
      </c>
      <c r="C4621" s="1" t="s">
        <v>138</v>
      </c>
      <c r="D4621" s="1" t="s">
        <v>308</v>
      </c>
      <c r="E4621" s="1" t="s">
        <v>1868</v>
      </c>
      <c r="F4621" s="1" t="s">
        <v>7821</v>
      </c>
      <c r="G4621" s="1" t="s">
        <v>28</v>
      </c>
      <c r="H4621" s="1" t="s">
        <v>29</v>
      </c>
      <c r="I4621" s="1" t="str">
        <f ca="1">IFERROR(__xludf.DUMMYFUNCTION("GOOGLETRANSLATE(F4621, ""auto"", ""en"")
"),"I bought the car almost 2 years ago. We use it several times a day. Works great.   It washes well. When you wash it delicately, you come out of it like new.  It's still intact, although we use it very carelessly.")</f>
        <v>I bought the car almost 2 years ago. We use it several times a day. Works great.   It washes well. When you wash it delicately, you come out of it like new.  It's still intact, although we use it very carelessly.</v>
      </c>
    </row>
    <row r="4622" spans="1:9" x14ac:dyDescent="0.3">
      <c r="A4622" s="1" t="s">
        <v>211</v>
      </c>
      <c r="B4622" s="1" t="s">
        <v>384</v>
      </c>
      <c r="C4622" s="1" t="s">
        <v>57</v>
      </c>
      <c r="D4622" s="1" t="s">
        <v>295</v>
      </c>
      <c r="E4622" s="1" t="s">
        <v>954</v>
      </c>
      <c r="F4622" s="1" t="s">
        <v>7822</v>
      </c>
      <c r="G4622" s="1" t="s">
        <v>36</v>
      </c>
      <c r="H4622" s="1" t="s">
        <v>29</v>
      </c>
      <c r="I4622" s="1" t="str">
        <f ca="1">IFERROR(__xludf.DUMMYFUNCTION("GOOGLETRANSLATE(F4622, ""auto"", ""en"")
"),"I really liked the scales. The surface is slightly convex. And this is not a disadvantage as some have written. No matter how I stand on them, they show the same number, down to the grams. I put the scales in one place (convenient for everyone) and I don’"&amp;"t move them anymore, thereby ensuring a stable result when weighing. In order for the scale to show the weight on it, you need to stand calmly, and in order to be measured again (for example, you took off your clothes), you just need to get off it. And as"&amp;" soon as they go out, get up again.  I am very pleased with the purchase.")</f>
        <v>I really liked the scales. The surface is slightly convex. And this is not a disadvantage as some have written. No matter how I stand on them, they show the same number, down to the grams. I put the scales in one place (convenient for everyone) and I don’t move them anymore, thereby ensuring a stable result when weighing. In order for the scale to show the weight on it, you need to stand calmly, and in order to be measured again (for example, you took off your clothes), you just need to get off it. And as soon as they go out, get up again.  I am very pleased with the purchase.</v>
      </c>
    </row>
    <row r="4623" spans="1:9" x14ac:dyDescent="0.3">
      <c r="A4623" s="1" t="s">
        <v>17</v>
      </c>
      <c r="B4623" s="1" t="s">
        <v>18</v>
      </c>
      <c r="C4623" s="1" t="s">
        <v>151</v>
      </c>
      <c r="D4623" s="1" t="s">
        <v>308</v>
      </c>
      <c r="E4623" s="1" t="s">
        <v>1852</v>
      </c>
      <c r="F4623" s="1" t="s">
        <v>7823</v>
      </c>
      <c r="G4623" s="1" t="s">
        <v>36</v>
      </c>
      <c r="H4623" s="1" t="s">
        <v>29</v>
      </c>
      <c r="I4623" s="1" t="str">
        <f ca="1">IFERROR(__xludf.DUMMYFUNCTION("GOOGLETRANSLATE(F4623, ""auto"", ""en"")
"),"We recently bought this machine. We took it for a test drive and washed it non-stop. It works very quietly, the most important thing for those who have children is that there is a button lock. I recommend this machine to everyone. The price-quality ratio "&amp;"is very good.")</f>
        <v>We recently bought this machine. We took it for a test drive and washed it non-stop. It works very quietly, the most important thing for those who have children is that there is a button lock. I recommend this machine to everyone. The price-quality ratio is very good.</v>
      </c>
    </row>
    <row r="4624" spans="1:9" x14ac:dyDescent="0.3">
      <c r="A4624" s="1" t="s">
        <v>37</v>
      </c>
      <c r="B4624" s="1" t="s">
        <v>38</v>
      </c>
      <c r="C4624" s="1" t="s">
        <v>151</v>
      </c>
      <c r="D4624" s="1" t="s">
        <v>7824</v>
      </c>
      <c r="E4624" s="1" t="s">
        <v>491</v>
      </c>
      <c r="F4624" s="1" t="s">
        <v>7825</v>
      </c>
      <c r="G4624" s="1" t="s">
        <v>49</v>
      </c>
      <c r="H4624" s="1" t="s">
        <v>16</v>
      </c>
      <c r="I4624" s="1" t="str">
        <f ca="1">IFERROR(__xludf.DUMMYFUNCTION("GOOGLETRANSLATE(F4624, ""auto"", ""en"")
"),"Mom bought a terrible microphone in it!!!!!!!! You can't make out a word - it hurts your ear. Makes me nervous :-)")</f>
        <v>Mom bought a terrible microphone in it!!!!!!!! You can't make out a word - it hurts your ear. Makes me nervous :-)</v>
      </c>
    </row>
    <row r="4625" spans="1:9" x14ac:dyDescent="0.3">
      <c r="A4625" s="1" t="s">
        <v>67</v>
      </c>
      <c r="B4625" s="1" t="s">
        <v>68</v>
      </c>
      <c r="C4625" s="1" t="s">
        <v>381</v>
      </c>
      <c r="D4625" s="1" t="s">
        <v>280</v>
      </c>
      <c r="E4625" s="1" t="s">
        <v>6200</v>
      </c>
      <c r="F4625" s="1" t="s">
        <v>7826</v>
      </c>
      <c r="G4625" s="1" t="s">
        <v>15</v>
      </c>
      <c r="H4625" s="1" t="s">
        <v>16</v>
      </c>
      <c r="I4625" s="1" t="str">
        <f ca="1">IFERROR(__xludf.DUMMYFUNCTION("GOOGLETRANSLATE(F4625, ""auto"", ""en"")
"),"Not an irony, but a complete misunderstanding. Without steam it won’t iron anything, you turn on the steam, you can’t hold your hand close, it will scald you in two seconds. How then to iron a shirt? Along with the steam, water flies out of the sole and t"&amp;"hen wet things have to be dried without steam. The steam supply power is not regulated, it just presses on all the power. I understand this is necessary for ironing towels and duvet covers, but the house is full of other things too! I took out my old iron"&amp;". I advise you to try it in action before you buy.")</f>
        <v>Not an irony, but a complete misunderstanding. Without steam it won’t iron anything, you turn on the steam, you can’t hold your hand close, it will scald you in two seconds. How then to iron a shirt? Along with the steam, water flies out of the sole and then wet things have to be dried without steam. The steam supply power is not regulated, it just presses on all the power. I understand this is necessary for ironing towels and duvet covers, but the house is full of other things too! I took out my old iron. I advise you to try it in action before you buy.</v>
      </c>
    </row>
    <row r="4626" spans="1:9" x14ac:dyDescent="0.3">
      <c r="A4626" s="1" t="s">
        <v>61</v>
      </c>
      <c r="B4626" s="1" t="s">
        <v>318</v>
      </c>
      <c r="C4626" s="1" t="s">
        <v>101</v>
      </c>
      <c r="D4626" s="1" t="s">
        <v>385</v>
      </c>
      <c r="E4626" s="1" t="s">
        <v>2176</v>
      </c>
      <c r="F4626" s="1" t="s">
        <v>7827</v>
      </c>
      <c r="G4626" s="1" t="s">
        <v>28</v>
      </c>
      <c r="H4626" s="1" t="s">
        <v>29</v>
      </c>
      <c r="I4626" s="1" t="str">
        <f ca="1">IFERROR(__xludf.DUMMYFUNCTION("GOOGLETRANSLATE(F4626, ""auto"", ""en"")
"),"leaked after 3 years. The power button did not work right away, but my husband took it apart and cut off some kind of burr inside, which “turned off” the button. It served well for 3 years and is now leaking.")</f>
        <v>leaked after 3 years. The power button did not work right away, but my husband took it apart and cut off some kind of burr inside, which “turned off” the button. It served well for 3 years and is now leaking.</v>
      </c>
    </row>
    <row r="4627" spans="1:9" x14ac:dyDescent="0.3">
      <c r="A4627" s="1" t="s">
        <v>55</v>
      </c>
      <c r="B4627" s="1" t="s">
        <v>184</v>
      </c>
      <c r="C4627" s="1" t="s">
        <v>101</v>
      </c>
      <c r="D4627" s="1" t="s">
        <v>203</v>
      </c>
      <c r="E4627" s="1" t="s">
        <v>217</v>
      </c>
      <c r="F4627" s="1" t="s">
        <v>7828</v>
      </c>
      <c r="G4627" s="1" t="s">
        <v>49</v>
      </c>
      <c r="H4627" s="1" t="s">
        <v>16</v>
      </c>
      <c r="I4627" s="1" t="str">
        <f ca="1">IFERROR(__xludf.DUMMYFUNCTION("GOOGLETRANSLATE(F4627, ""auto"", ""en"")
"),"A completely useless thing. Absolutely no sense. I don’t know what area was heated by those speaking above, but our 18 m room did not warm up at all. We could have just thrown away the money with the same success ((, very disappointed.")</f>
        <v>A completely useless thing. Absolutely no sense. I don’t know what area was heated by those speaking above, but our 18 m room did not warm up at all. We could have just thrown away the money with the same success ((, very disappointed.</v>
      </c>
    </row>
    <row r="4628" spans="1:9" x14ac:dyDescent="0.3">
      <c r="A4628" s="1" t="s">
        <v>557</v>
      </c>
      <c r="B4628" s="1" t="s">
        <v>558</v>
      </c>
      <c r="C4628" s="1" t="s">
        <v>122</v>
      </c>
      <c r="D4628" s="1" t="s">
        <v>2633</v>
      </c>
      <c r="E4628" s="1" t="s">
        <v>4203</v>
      </c>
      <c r="F4628" s="1" t="s">
        <v>7829</v>
      </c>
      <c r="G4628" s="1" t="s">
        <v>36</v>
      </c>
      <c r="H4628" s="1" t="s">
        <v>29</v>
      </c>
      <c r="I4628" s="1" t="str">
        <f ca="1">IFERROR(__xludf.DUMMYFUNCTION("GOOGLETRANSLATE(F4628, ""auto"", ""en"")
"),"I bought this model 2 weeks ago, I am very pleased not only with the price, but also with the quality: there is a Russian language, polyphony, a convenient phone))))")</f>
        <v>I bought this model 2 weeks ago, I am very pleased not only with the price, but also with the quality: there is a Russian language, polyphony, a convenient phone))))</v>
      </c>
    </row>
    <row r="4629" spans="1:9" x14ac:dyDescent="0.3">
      <c r="A4629" s="1" t="s">
        <v>37</v>
      </c>
      <c r="B4629" s="1" t="s">
        <v>536</v>
      </c>
      <c r="C4629" s="1" t="s">
        <v>151</v>
      </c>
      <c r="D4629" s="1" t="s">
        <v>7830</v>
      </c>
      <c r="E4629" s="1" t="s">
        <v>841</v>
      </c>
      <c r="F4629" s="1" t="s">
        <v>7831</v>
      </c>
      <c r="G4629" s="1" t="s">
        <v>36</v>
      </c>
      <c r="H4629" s="1" t="s">
        <v>29</v>
      </c>
      <c r="I4629" s="1" t="str">
        <f ca="1">IFERROR(__xludf.DUMMYFUNCTION("GOOGLETRANSLATE(F4629, ""auto"", ""en"")
"),"I don’t know, guys, who is having problems, but the device is excellent, I’ve had it for 2 months now, and everything works great. Everything is updated and everything is working. The only thing I didn’t like was the GPS Navifon program that was standard,"&amp;" I immediately replaced it with a Navitel license and still don’t know the grief. Before this I had a Nokia 5530 XM, but it really STOPPED, there are no words. But in general, you just need to customize it for yourself, turn off what you don’t need, and t"&amp;"hat’s it.   PS: Before you buy anything you need to look at it very carefully.")</f>
        <v>I don’t know, guys, who is having problems, but the device is excellent, I’ve had it for 2 months now, and everything works great. Everything is updated and everything is working. The only thing I didn’t like was the GPS Navifon program that was standard, I immediately replaced it with a Navitel license and still don’t know the grief. Before this I had a Nokia 5530 XM, but it really STOPPED, there are no words. But in general, you just need to customize it for yourself, turn off what you don’t need, and that’s it.   PS: Before you buy anything you need to look at it very carefully.</v>
      </c>
    </row>
    <row r="4630" spans="1:9" x14ac:dyDescent="0.3">
      <c r="A4630" s="1" t="s">
        <v>477</v>
      </c>
      <c r="B4630" s="1" t="s">
        <v>478</v>
      </c>
      <c r="C4630" s="1" t="s">
        <v>479</v>
      </c>
      <c r="D4630" s="1" t="s">
        <v>7832</v>
      </c>
      <c r="E4630" s="1" t="s">
        <v>7833</v>
      </c>
      <c r="F4630" s="1" t="s">
        <v>7834</v>
      </c>
      <c r="G4630" s="1" t="s">
        <v>36</v>
      </c>
      <c r="H4630" s="1" t="s">
        <v>29</v>
      </c>
      <c r="I4630" s="1" t="str">
        <f ca="1">IFERROR(__xludf.DUMMYFUNCTION("GOOGLETRANSLATE(F4630, ""auto"", ""en"")
"),"Previously, when there were promotional codes for 500 rubles, you could buy a card for 690 rubles, but now it’s too low :(")</f>
        <v>Previously, when there were promotional codes for 500 rubles, you could buy a card for 690 rubles, but now it’s too low :(</v>
      </c>
    </row>
    <row r="4631" spans="1:9" x14ac:dyDescent="0.3">
      <c r="A4631" s="1" t="s">
        <v>30</v>
      </c>
      <c r="B4631" s="1" t="s">
        <v>31</v>
      </c>
      <c r="C4631" s="1" t="s">
        <v>32</v>
      </c>
      <c r="D4631" s="1" t="s">
        <v>7835</v>
      </c>
      <c r="E4631" s="1" t="s">
        <v>2896</v>
      </c>
      <c r="F4631" s="1" t="s">
        <v>7836</v>
      </c>
      <c r="G4631" s="1" t="s">
        <v>36</v>
      </c>
      <c r="H4631" s="1" t="s">
        <v>29</v>
      </c>
      <c r="I4631" s="1" t="str">
        <f ca="1">IFERROR(__xludf.DUMMYFUNCTION("GOOGLETRANSLATE(F4631, ""auto"", ""en"")
"),"Kiryukh, I don’t know what’s wrong with your computer... Most likely the assembly was not successful (you wrote this) But the computer is just a miracle, I also had problems)) the power supply is not for Russian sockets!!! My computer shut down during ope"&amp;"ration (I can give advice to anyone who has such problems), if there is a warranty, then you can demand that the unit be replaced specifically for Russian sockets!!! After... No problems, everything is ice)) the only thing is that Win 7 doesn’t work well "&amp;"on it, but Vista just flies!!! 0 problems.. All games work!!!  in general, as I said - a miracle!)")</f>
        <v>Kiryukh, I don’t know what’s wrong with your computer... Most likely the assembly was not successful (you wrote this) But the computer is just a miracle, I also had problems)) the power supply is not for Russian sockets!!! My computer shut down during operation (I can give advice to anyone who has such problems), if there is a warranty, then you can demand that the unit be replaced specifically for Russian sockets!!! After... No problems, everything is ice)) the only thing is that Win 7 doesn’t work well on it, but Vista just flies!!! 0 problems.. All games work!!!  in general, as I said - a miracle!)</v>
      </c>
    </row>
    <row r="4632" spans="1:9" x14ac:dyDescent="0.3">
      <c r="A4632" s="1" t="s">
        <v>624</v>
      </c>
      <c r="B4632" s="1" t="s">
        <v>2107</v>
      </c>
      <c r="C4632" s="1" t="s">
        <v>479</v>
      </c>
      <c r="D4632" s="1" t="s">
        <v>7837</v>
      </c>
      <c r="E4632" s="1" t="s">
        <v>6378</v>
      </c>
      <c r="F4632" s="1" t="s">
        <v>7838</v>
      </c>
      <c r="G4632" s="1" t="s">
        <v>36</v>
      </c>
      <c r="H4632" s="1" t="s">
        <v>29</v>
      </c>
      <c r="I4632" s="1" t="str">
        <f ca="1">IFERROR(__xludf.DUMMYFUNCTION("GOOGLETRANSLATE(F4632, ""auto"", ""en"")
"),"awesome horror!!!!!  I advise anyone who loves other people to buy it.")</f>
        <v>awesome horror!!!!!  I advise anyone who loves other people to buy it.</v>
      </c>
    </row>
    <row r="4633" spans="1:9" x14ac:dyDescent="0.3">
      <c r="A4633" s="1" t="s">
        <v>17</v>
      </c>
      <c r="B4633" s="1" t="s">
        <v>18</v>
      </c>
      <c r="C4633" s="1" t="s">
        <v>80</v>
      </c>
      <c r="D4633" s="1" t="s">
        <v>86</v>
      </c>
      <c r="E4633" s="1" t="s">
        <v>7839</v>
      </c>
      <c r="F4633" s="1" t="s">
        <v>7840</v>
      </c>
      <c r="G4633" s="1" t="s">
        <v>28</v>
      </c>
      <c r="H4633" s="1" t="s">
        <v>29</v>
      </c>
      <c r="I4633" s="1" t="str">
        <f ca="1">IFERROR(__xludf.DUMMYFUNCTION("GOOGLETRANSLATE(F4633, ""auto"", ""en"")
"),"Bought about two weeks ago. Quiet - we enjoy watching TV (we have it installed in the kitchen) without adjusting the volume. My wife does laundry almost every day, because... there is a small child in the house. When spinning, something is tapping somewhe"&amp;"re - perhaps, as they wrote in the reviews, the wires are not secured. The only thing is that I would like it to work for 8-10 years, then I’ll write another review.")</f>
        <v>Bought about two weeks ago. Quiet - we enjoy watching TV (we have it installed in the kitchen) without adjusting the volume. My wife does laundry almost every day, because... there is a small child in the house. When spinning, something is tapping somewhere - perhaps, as they wrote in the reviews, the wires are not secured. The only thing is that I would like it to work for 8-10 years, then I’ll write another review.</v>
      </c>
    </row>
    <row r="4634" spans="1:9" x14ac:dyDescent="0.3">
      <c r="A4634" s="1" t="s">
        <v>206</v>
      </c>
      <c r="B4634" s="1" t="s">
        <v>1253</v>
      </c>
      <c r="C4634" s="1" t="s">
        <v>4464</v>
      </c>
      <c r="D4634" s="1" t="s">
        <v>7841</v>
      </c>
      <c r="E4634" s="1" t="s">
        <v>585</v>
      </c>
      <c r="F4634" s="1" t="s">
        <v>7842</v>
      </c>
      <c r="G4634" s="1" t="s">
        <v>28</v>
      </c>
      <c r="H4634" s="1" t="s">
        <v>29</v>
      </c>
      <c r="I4634" s="1" t="str">
        <f ca="1">IFERROR(__xludf.DUMMYFUNCTION("GOOGLETRANSLATE(F4634, ""auto"", ""en"")
"),"Not a bad radio station, I think the 1490 is the best choice!")</f>
        <v>Not a bad radio station, I think the 1490 is the best choice!</v>
      </c>
    </row>
    <row r="4635" spans="1:9" x14ac:dyDescent="0.3">
      <c r="A4635" s="1" t="s">
        <v>211</v>
      </c>
      <c r="B4635" s="1" t="s">
        <v>515</v>
      </c>
      <c r="C4635" s="1" t="s">
        <v>213</v>
      </c>
      <c r="D4635" s="1" t="s">
        <v>64</v>
      </c>
      <c r="E4635" s="1" t="s">
        <v>5332</v>
      </c>
      <c r="F4635" s="1" t="s">
        <v>7843</v>
      </c>
      <c r="G4635" s="1" t="s">
        <v>36</v>
      </c>
      <c r="H4635" s="1" t="s">
        <v>29</v>
      </c>
      <c r="I4635" s="1" t="str">
        <f ca="1">IFERROR(__xludf.DUMMYFUNCTION("GOOGLETRANSLATE(F4635, ""auto"", ""en"")
"),"price, design, brand, effect ")</f>
        <v xml:space="preserve">price, design, brand, effect </v>
      </c>
    </row>
    <row r="4636" spans="1:9" x14ac:dyDescent="0.3">
      <c r="A4636" s="1" t="s">
        <v>43</v>
      </c>
      <c r="B4636" s="1" t="s">
        <v>303</v>
      </c>
      <c r="C4636" s="1" t="s">
        <v>304</v>
      </c>
      <c r="D4636" s="1" t="s">
        <v>172</v>
      </c>
      <c r="E4636" s="1" t="s">
        <v>3903</v>
      </c>
      <c r="F4636" s="1" t="s">
        <v>7844</v>
      </c>
      <c r="G4636" s="1" t="s">
        <v>49</v>
      </c>
      <c r="H4636" s="1" t="s">
        <v>16</v>
      </c>
      <c r="I4636" s="1" t="str">
        <f ca="1">IFERROR(__xludf.DUMMYFUNCTION("GOOGLETRANSLATE(F4636, ""auto"", ""en"")
"),"It worked for exactly half a year (it rotted from the inside and leaked), gurgling during operation and the pressure was not stable.")</f>
        <v>It worked for exactly half a year (it rotted from the inside and leaked), gurgling during operation and the pressure was not stable.</v>
      </c>
    </row>
    <row r="4637" spans="1:9" x14ac:dyDescent="0.3">
      <c r="A4637" s="1" t="s">
        <v>238</v>
      </c>
      <c r="B4637" s="1" t="s">
        <v>276</v>
      </c>
      <c r="C4637" s="1" t="s">
        <v>1677</v>
      </c>
      <c r="D4637" s="1" t="s">
        <v>7845</v>
      </c>
      <c r="E4637" s="1" t="s">
        <v>5307</v>
      </c>
      <c r="F4637" s="1" t="s">
        <v>7846</v>
      </c>
      <c r="G4637" s="1" t="s">
        <v>36</v>
      </c>
      <c r="H4637" s="1" t="s">
        <v>29</v>
      </c>
      <c r="I4637" s="1" t="str">
        <f ca="1">IFERROR(__xludf.DUMMYFUNCTION("GOOGLETRANSLATE(F4637, ""auto"", ""en"")
"),"I really liked the design and work. I bought it from M-Video two years ago and I don’t regret it at all! It has never failed, it behaves very well in the heat (there is no air conditioner in the kitchen, but the side is sunny, it is located near the windo"&amp;"w, the sun's rays fall directly on the body). For half a month there were power outages (the house was new - a new building, the voltage was jumping) - everything withstood with dignity! I recommend it. The design of the case is especially magnificent - i"&amp;"t looks like a Venetian, super! Yes, the handle is very comfortable and the LEDs light up beautifully at night! I loaded the glass shelves specifically - no questions asked! Thank you for a good product, I recommend it!")</f>
        <v>I really liked the design and work. I bought it from M-Video two years ago and I don’t regret it at all! It has never failed, it behaves very well in the heat (there is no air conditioner in the kitchen, but the side is sunny, it is located near the window, the sun's rays fall directly on the body). For half a month there were power outages (the house was new - a new building, the voltage was jumping) - everything withstood with dignity! I recommend it. The design of the case is especially magnificent - it looks like a Venetian, super! Yes, the handle is very comfortable and the LEDs light up beautifully at night! I loaded the glass shelves specifically - no questions asked! Thank you for a good product, I recommend it!</v>
      </c>
    </row>
    <row r="4638" spans="1:9" x14ac:dyDescent="0.3">
      <c r="A4638" s="1" t="s">
        <v>477</v>
      </c>
      <c r="B4638" s="1" t="s">
        <v>478</v>
      </c>
      <c r="C4638" s="1" t="s">
        <v>479</v>
      </c>
      <c r="D4638" s="1" t="s">
        <v>1254</v>
      </c>
      <c r="E4638" s="1" t="s">
        <v>2543</v>
      </c>
      <c r="F4638" s="1" t="s">
        <v>7847</v>
      </c>
      <c r="G4638" s="1" t="s">
        <v>36</v>
      </c>
      <c r="H4638" s="1" t="s">
        <v>29</v>
      </c>
      <c r="I4638" s="1" t="str">
        <f ca="1">IFERROR(__xludf.DUMMYFUNCTION("GOOGLETRANSLATE(F4638, ""auto"", ""en"")
"),"this is a new level of FIFA")</f>
        <v>this is a new level of FIFA</v>
      </c>
    </row>
    <row r="4639" spans="1:9" x14ac:dyDescent="0.3">
      <c r="A4639" s="1" t="s">
        <v>95</v>
      </c>
      <c r="B4639" s="1" t="s">
        <v>958</v>
      </c>
      <c r="C4639" s="1" t="s">
        <v>403</v>
      </c>
      <c r="D4639" s="1" t="s">
        <v>1506</v>
      </c>
      <c r="E4639" s="1" t="s">
        <v>5947</v>
      </c>
      <c r="F4639" s="1" t="s">
        <v>7848</v>
      </c>
      <c r="G4639" s="1" t="s">
        <v>36</v>
      </c>
      <c r="H4639" s="1" t="s">
        <v>29</v>
      </c>
      <c r="I4639" s="1" t="str">
        <f ca="1">IFERROR(__xludf.DUMMYFUNCTION("GOOGLETRANSLATE(F4639, ""auto"", ""en"")
"),"Great thing, we play it with our whole family and friends. This game is interesting not only for children, my husband and I love to play on the Wii and organize competitions. Also, if you buy an attachment board, the Wii will help you develop a set of exe"&amp;"rcises for losing weight and will control your weight, one drawback for Russians is that everything is in English.")</f>
        <v>Great thing, we play it with our whole family and friends. This game is interesting not only for children, my husband and I love to play on the Wii and organize competitions. Also, if you buy an attachment board, the Wii will help you develop a set of exercises for losing weight and will control your weight, one drawback for Russians is that everything is in English.</v>
      </c>
    </row>
    <row r="4640" spans="1:9" x14ac:dyDescent="0.3">
      <c r="A4640" s="1" t="s">
        <v>61</v>
      </c>
      <c r="B4640" s="1" t="s">
        <v>180</v>
      </c>
      <c r="C4640" s="1" t="s">
        <v>63</v>
      </c>
      <c r="D4640" s="1" t="s">
        <v>295</v>
      </c>
      <c r="E4640" s="1" t="s">
        <v>1102</v>
      </c>
      <c r="F4640" s="1" t="s">
        <v>7849</v>
      </c>
      <c r="G4640" s="1" t="s">
        <v>36</v>
      </c>
      <c r="H4640" s="1" t="s">
        <v>29</v>
      </c>
      <c r="I4640" s="1" t="str">
        <f ca="1">IFERROR(__xludf.DUMMYFUNCTION("GOOGLETRANSLATE(F4640, ""auto"", ""en"")
"),"The toaster is wonderful, toasts bread perfectly. Bread is going crazy right now. Take this model, you won't regret it.")</f>
        <v>The toaster is wonderful, toasts bread perfectly. Bread is going crazy right now. Take this model, you won't regret it.</v>
      </c>
    </row>
    <row r="4641" spans="1:9" x14ac:dyDescent="0.3">
      <c r="A4641" s="1" t="s">
        <v>67</v>
      </c>
      <c r="B4641" s="1" t="s">
        <v>340</v>
      </c>
      <c r="C4641" s="1" t="s">
        <v>1634</v>
      </c>
      <c r="D4641" s="1" t="s">
        <v>565</v>
      </c>
      <c r="E4641" s="1" t="s">
        <v>926</v>
      </c>
      <c r="F4641" s="1" t="s">
        <v>7850</v>
      </c>
      <c r="G4641" s="1" t="s">
        <v>36</v>
      </c>
      <c r="H4641" s="1" t="s">
        <v>29</v>
      </c>
      <c r="I4641" s="1" t="str">
        <f ca="1">IFERROR(__xludf.DUMMYFUNCTION("GOOGLETRANSLATE(F4641, ""auto"", ""en"")
"),"I spent a long time choosing a sewing machine model and settled on this one. Since I need it for home use, mainly to hem it, sew in a zipper, etc... and sew something else.  So far I have had this machine for three days. I like everything. Smooth running,"&amp;" not very noisy, the paws can be changed in one motion. I tried to sew, stitched items, repaired them, I did everything very quickly. Today I tried to replace the zipper. I sewed it in very quickly, without any problems. The instructions are clear, everyt"&amp;"hing is written step by step and there are pictures. Hope it lasts a long time! I recommend!")</f>
        <v>I spent a long time choosing a sewing machine model and settled on this one. Since I need it for home use, mainly to hem it, sew in a zipper, etc... and sew something else.  So far I have had this machine for three days. I like everything. Smooth running, not very noisy, the paws can be changed in one motion. I tried to sew, stitched items, repaired them, I did everything very quickly. Today I tried to replace the zipper. I sewed it in very quickly, without any problems. The instructions are clear, everything is written step by step and there are pictures. Hope it lasts a long time! I recommend!</v>
      </c>
    </row>
    <row r="4642" spans="1:9" x14ac:dyDescent="0.3">
      <c r="A4642" s="1" t="s">
        <v>211</v>
      </c>
      <c r="B4642" s="1" t="s">
        <v>899</v>
      </c>
      <c r="C4642" s="1" t="s">
        <v>213</v>
      </c>
      <c r="D4642" s="1" t="s">
        <v>127</v>
      </c>
      <c r="E4642" s="1" t="s">
        <v>6941</v>
      </c>
      <c r="F4642" s="1" t="s">
        <v>7851</v>
      </c>
      <c r="G4642" s="1" t="s">
        <v>36</v>
      </c>
      <c r="H4642" s="1" t="s">
        <v>29</v>
      </c>
      <c r="I4642" s="1" t="str">
        <f ca="1">IFERROR(__xludf.DUMMYFUNCTION("GOOGLETRANSLATE(F4642, ""auto"", ""en"")
"),"Efficiency, ergonomics, reliability")</f>
        <v>Efficiency, ergonomics, reliability</v>
      </c>
    </row>
    <row r="4643" spans="1:9" x14ac:dyDescent="0.3">
      <c r="A4643" s="1" t="s">
        <v>238</v>
      </c>
      <c r="B4643" s="1" t="s">
        <v>276</v>
      </c>
      <c r="C4643" s="1" t="s">
        <v>138</v>
      </c>
      <c r="D4643" s="1" t="s">
        <v>247</v>
      </c>
      <c r="E4643" s="1" t="s">
        <v>1909</v>
      </c>
      <c r="F4643" s="1" t="s">
        <v>7852</v>
      </c>
      <c r="G4643" s="1" t="s">
        <v>36</v>
      </c>
      <c r="H4643" s="1" t="s">
        <v>29</v>
      </c>
      <c r="I4643" s="1" t="str">
        <f ca="1">IFERROR(__xludf.DUMMYFUNCTION("GOOGLETRANSLATE(F4643, ""auto"", ""en"")
"),"I bought this refrigerator and thought it was a waste of money. It turned out it works just fine!!!!!!!!! Thanks for the good advice!!!!!!!!!!!!")</f>
        <v>I bought this refrigerator and thought it was a waste of money. It turned out it works just fine!!!!!!!!! Thanks for the good advice!!!!!!!!!!!!</v>
      </c>
    </row>
    <row r="4644" spans="1:9" x14ac:dyDescent="0.3">
      <c r="A4644" s="1" t="s">
        <v>120</v>
      </c>
      <c r="B4644" s="1" t="s">
        <v>121</v>
      </c>
      <c r="C4644" s="1" t="s">
        <v>69</v>
      </c>
      <c r="D4644" s="1" t="s">
        <v>7853</v>
      </c>
      <c r="E4644" s="1" t="s">
        <v>1632</v>
      </c>
      <c r="F4644" s="1" t="s">
        <v>7854</v>
      </c>
      <c r="G4644" s="1" t="s">
        <v>36</v>
      </c>
      <c r="H4644" s="1" t="s">
        <v>29</v>
      </c>
      <c r="I4644" s="1" t="str">
        <f ca="1">IFERROR(__xludf.DUMMYFUNCTION("GOOGLETRANSLATE(F4644, ""auto"", ""en"")
"),"I bought this TV, I was happy with everything, but after a day of watching it heated up so much that the joy went away :( people who have this TV, write a message, does it get very hot? Mine is HOT, about the same as heaters on low mode, Ignat, what’s wro"&amp;"ng with yours?")</f>
        <v>I bought this TV, I was happy with everything, but after a day of watching it heated up so much that the joy went away :( people who have this TV, write a message, does it get very hot? Mine is HOT, about the same as heaters on low mode, Ignat, what’s wrong with yours?</v>
      </c>
    </row>
    <row r="4645" spans="1:9" x14ac:dyDescent="0.3">
      <c r="A4645" s="1" t="s">
        <v>238</v>
      </c>
      <c r="B4645" s="1" t="s">
        <v>276</v>
      </c>
      <c r="C4645" s="1" t="s">
        <v>1677</v>
      </c>
      <c r="D4645" s="1" t="s">
        <v>2826</v>
      </c>
      <c r="E4645" s="1" t="s">
        <v>7855</v>
      </c>
      <c r="F4645" s="1" t="s">
        <v>7856</v>
      </c>
      <c r="G4645" s="1" t="s">
        <v>36</v>
      </c>
      <c r="H4645" s="1" t="s">
        <v>29</v>
      </c>
      <c r="I4645" s="1" t="str">
        <f ca="1">IFERROR(__xludf.DUMMYFUNCTION("GOOGLETRANSLATE(F4645, ""auto"", ""en"")
"),"Excellent spacious refrigerator. Delivery is excellent as always. Right on time and very delicate.")</f>
        <v>Excellent spacious refrigerator. Delivery is excellent as always. Right on time and very delicate.</v>
      </c>
    </row>
    <row r="4646" spans="1:9" x14ac:dyDescent="0.3">
      <c r="A4646" s="1" t="s">
        <v>17</v>
      </c>
      <c r="B4646" s="1" t="s">
        <v>18</v>
      </c>
      <c r="C4646" s="1" t="s">
        <v>19</v>
      </c>
      <c r="D4646" s="1" t="s">
        <v>7857</v>
      </c>
      <c r="E4646" s="1" t="s">
        <v>1228</v>
      </c>
      <c r="F4646" s="1" t="s">
        <v>7858</v>
      </c>
      <c r="G4646" s="1" t="s">
        <v>15</v>
      </c>
      <c r="H4646" s="1" t="s">
        <v>16</v>
      </c>
      <c r="I4646" s="1" t="str">
        <f ca="1">IFERROR(__xludf.DUMMYFUNCTION("GOOGLETRANSLATE(F4646, ""auto"", ""en"")
"),"A couple of days ago I bought a washing machine and dryer. I was choosing between two brands: ARISTON ARMXXL 105 and Indesit IWDC 7105. The choice fell on ARISTON ARMXXL 105. So, what I would like to note is that ARISTON ARMXXL 105 works VERY loud!!! As s"&amp;"oon as you start any program (washing or drying), and the electric motor inside starts to rotate, such a roaring noise appears!!! I didn’t even expect it (and this despite the fact that the salespeople in the store assured that ARISTON is quieter than Ind"&amp;"esit)! Now I really want to listen to Indesit IWDC 7105 in action. There are also complaints about drying. The instructions say that at the end of drying, a cycle of cooling the laundry occurs, but in my machine this does not happen and the laundry, like "&amp;"the rest of the washing machine, is VERY hot after drying.  But despite all the shortcomings, ARISTON ARMXXL 105 still washes and dries.  If you have experience owning an Indesit IWDC 7105 washing machine, please write. Very interesting to compare!!!")</f>
        <v>A couple of days ago I bought a washing machine and dryer. I was choosing between two brands: ARISTON ARMXXL 105 and Indesit IWDC 7105. The choice fell on ARISTON ARMXXL 105. So, what I would like to note is that ARISTON ARMXXL 105 works VERY loud!!! As soon as you start any program (washing or drying), and the electric motor inside starts to rotate, such a roaring noise appears!!! I didn’t even expect it (and this despite the fact that the salespeople in the store assured that ARISTON is quieter than Indesit)! Now I really want to listen to Indesit IWDC 7105 in action. There are also complaints about drying. The instructions say that at the end of drying, a cycle of cooling the laundry occurs, but in my machine this does not happen and the laundry, like the rest of the washing machine, is VERY hot after drying.  But despite all the shortcomings, ARISTON ARMXXL 105 still washes and dries.  If you have experience owning an Indesit IWDC 7105 washing machine, please write. Very interesting to compare!!!</v>
      </c>
    </row>
    <row r="4647" spans="1:9" x14ac:dyDescent="0.3">
      <c r="A4647" s="1" t="s">
        <v>105</v>
      </c>
      <c r="B4647" s="1" t="s">
        <v>106</v>
      </c>
      <c r="C4647" s="1" t="s">
        <v>69</v>
      </c>
      <c r="D4647" s="1" t="s">
        <v>774</v>
      </c>
      <c r="E4647" s="1" t="s">
        <v>585</v>
      </c>
      <c r="F4647" s="1" t="s">
        <v>7859</v>
      </c>
      <c r="G4647" s="1" t="s">
        <v>36</v>
      </c>
      <c r="H4647" s="1" t="s">
        <v>29</v>
      </c>
      <c r="I4647" s="1" t="str">
        <f ca="1">IFERROR(__xludf.DUMMYFUNCTION("GOOGLETRANSLATE(F4647, ""auto"", ""en"")
"),"I bought it in the fall. instantly fell in love with him. very convenient, small, neat, easy to use....and the memory..and the battery...is great)))) I lost it recently...in a couple of days I’ll go buy it again..and again)))")</f>
        <v>I bought it in the fall. instantly fell in love with him. very convenient, small, neat, easy to use....and the memory..and the battery...is great)))) I lost it recently...in a couple of days I’ll go buy it again..and again)))</v>
      </c>
    </row>
    <row r="4648" spans="1:9" x14ac:dyDescent="0.3">
      <c r="A4648" s="1" t="s">
        <v>149</v>
      </c>
      <c r="B4648" s="1" t="s">
        <v>155</v>
      </c>
      <c r="C4648" s="1" t="s">
        <v>101</v>
      </c>
      <c r="D4648" s="1" t="s">
        <v>411</v>
      </c>
      <c r="E4648" s="1" t="s">
        <v>76</v>
      </c>
      <c r="F4648" s="1" t="s">
        <v>7860</v>
      </c>
      <c r="G4648" s="1" t="s">
        <v>15</v>
      </c>
      <c r="H4648" s="1" t="s">
        <v>16</v>
      </c>
      <c r="I4648" s="1" t="str">
        <f ca="1">IFERROR(__xludf.DUMMYFUNCTION("GOOGLETRANSLATE(F4648, ""auto"", ""en"")
"),"It clogs instantly, while making noise for five people! With the purchase of this vacuum cleaner, cleaning has become a nightmare. The quality of the plastic is low, there are already some hints on the hose that it is about to crack (I’ve only been using "&amp;"it for six months). It seems to me that it doesn’t even justify its price, I’m disappointed.")</f>
        <v>It clogs instantly, while making noise for five people! With the purchase of this vacuum cleaner, cleaning has become a nightmare. The quality of the plastic is low, there are already some hints on the hose that it is about to crack (I’ve only been using it for six months). It seems to me that it doesn’t even justify its price, I’m disappointed.</v>
      </c>
    </row>
    <row r="4649" spans="1:9" x14ac:dyDescent="0.3">
      <c r="A4649" s="1" t="s">
        <v>61</v>
      </c>
      <c r="B4649" s="1" t="s">
        <v>224</v>
      </c>
      <c r="C4649" s="1" t="s">
        <v>74</v>
      </c>
      <c r="D4649" s="1" t="s">
        <v>295</v>
      </c>
      <c r="E4649" s="1" t="s">
        <v>6554</v>
      </c>
      <c r="F4649" s="1" t="s">
        <v>7861</v>
      </c>
      <c r="G4649" s="1" t="s">
        <v>36</v>
      </c>
      <c r="H4649" s="1" t="s">
        <v>29</v>
      </c>
      <c r="I4649" s="1" t="str">
        <f ca="1">IFERROR(__xludf.DUMMYFUNCTION("GOOGLETRANSLATE(F4649, ""auto"", ""en"")
"),"Bought it today, I really like it so far. Squeezed all the juices out of apples and carrots. Tomorrow we plan to make pear and apple juice. The noise is average, the threshing is excellent. The cake is dry, only shavings of the carrots remain, grind it wi"&amp;"th honey and nuts - it turns out to be an excellent vitamin paste for breakfast. I recommend it to everyone!")</f>
        <v>Bought it today, I really like it so far. Squeezed all the juices out of apples and carrots. Tomorrow we plan to make pear and apple juice. The noise is average, the threshing is excellent. The cake is dry, only shavings of the carrots remain, grind it with honey and nuts - it turns out to be an excellent vitamin paste for breakfast. I recommend it to everyone!</v>
      </c>
    </row>
    <row r="4650" spans="1:9" x14ac:dyDescent="0.3">
      <c r="A4650" s="1" t="s">
        <v>43</v>
      </c>
      <c r="B4650" s="1" t="s">
        <v>44</v>
      </c>
      <c r="C4650" s="1" t="s">
        <v>101</v>
      </c>
      <c r="D4650" s="1" t="s">
        <v>6695</v>
      </c>
      <c r="E4650" s="1" t="s">
        <v>1875</v>
      </c>
      <c r="F4650" s="1" t="s">
        <v>7862</v>
      </c>
      <c r="G4650" s="1" t="s">
        <v>36</v>
      </c>
      <c r="H4650" s="1" t="s">
        <v>29</v>
      </c>
      <c r="I4650" s="1" t="str">
        <f ca="1">IFERROR(__xludf.DUMMYFUNCTION("GOOGLETRANSLATE(F4650, ""auto"", ""en"")
"),"The fan is good. Working for 2nd year. This year, for the 2nd month, it has been working almost 24 hours a day.")</f>
        <v>The fan is good. Working for 2nd year. This year, for the 2nd month, it has been working almost 24 hours a day.</v>
      </c>
    </row>
    <row r="4651" spans="1:9" x14ac:dyDescent="0.3">
      <c r="A4651" s="1" t="s">
        <v>30</v>
      </c>
      <c r="B4651" s="1" t="s">
        <v>50</v>
      </c>
      <c r="C4651" s="1" t="s">
        <v>32</v>
      </c>
      <c r="D4651" s="1" t="s">
        <v>305</v>
      </c>
      <c r="E4651" s="1" t="s">
        <v>1765</v>
      </c>
      <c r="F4651" s="1" t="s">
        <v>7863</v>
      </c>
      <c r="G4651" s="1" t="s">
        <v>36</v>
      </c>
      <c r="H4651" s="1" t="s">
        <v>29</v>
      </c>
      <c r="I4651" s="1" t="str">
        <f ca="1">IFERROR(__xludf.DUMMYFUNCTION("GOOGLETRANSLATE(F4651, ""auto"", ""en"")
"),"I bought a laptop on the 5th of this month, I’m very pleased, the configuration is good, it’s worth the money. There are no complaints about the work, but there is a minus - the laptop lid is easily soiled, if you close it or carry it often, then prepare "&amp;"a cloth to wipe off fingerprints :) The overall impression is excellent, the product gets a solid 5. P.S. If someone, after updating the factory Windows 7 via WinUpdate, after some time, the system begins to periodically throw into BSOD (blue screen of de"&amp;"ath), then on the Acer website they posted the VGA 8.682.1 update (more precisely, this is a pack of updates for the video card, north bridge, chipset, etc. from AMD), I recommend updating, this will help (remove the old ones before installation). You can"&amp;" also update your sound card drivers to newer ones (not necessary), the drivers are available on the Realtek website.")</f>
        <v>I bought a laptop on the 5th of this month, I’m very pleased, the configuration is good, it’s worth the money. There are no complaints about the work, but there is a minus - the laptop lid is easily soiled, if you close it or carry it often, then prepare a cloth to wipe off fingerprints :) The overall impression is excellent, the product gets a solid 5. P.S. If someone, after updating the factory Windows 7 via WinUpdate, after some time, the system begins to periodically throw into BSOD (blue screen of death), then on the Acer website they posted the VGA 8.682.1 update (more precisely, this is a pack of updates for the video card, north bridge, chipset, etc. from AMD), I recommend updating, this will help (remove the old ones before installation). You can also update your sound card drivers to newer ones (not necessary), the drivers are available on the Realtek website.</v>
      </c>
    </row>
    <row r="4652" spans="1:9" x14ac:dyDescent="0.3">
      <c r="A4652" s="1" t="s">
        <v>2087</v>
      </c>
      <c r="B4652" s="1" t="s">
        <v>2088</v>
      </c>
      <c r="C4652" s="1" t="s">
        <v>97</v>
      </c>
      <c r="D4652" s="1" t="s">
        <v>7864</v>
      </c>
      <c r="E4652" s="1" t="s">
        <v>109</v>
      </c>
      <c r="F4652" s="1" t="s">
        <v>7865</v>
      </c>
      <c r="G4652" s="1" t="s">
        <v>28</v>
      </c>
      <c r="H4652" s="1" t="s">
        <v>29</v>
      </c>
      <c r="I4652" s="1" t="str">
        <f ca="1">IFERROR(__xludf.DUMMYFUNCTION("GOOGLETRANSLATE(F4652, ""auto"", ""en"")
"),"Very good DVD and blu-ray playback!! The only negative is that it does not read mp-3 and mp-4")</f>
        <v>Very good DVD and blu-ray playback!! The only negative is that it does not read mp-3 and mp-4</v>
      </c>
    </row>
    <row r="4653" spans="1:9" x14ac:dyDescent="0.3">
      <c r="A4653" s="1" t="s">
        <v>282</v>
      </c>
      <c r="B4653" s="1" t="s">
        <v>283</v>
      </c>
      <c r="C4653" s="1" t="s">
        <v>284</v>
      </c>
      <c r="D4653" s="1" t="s">
        <v>86</v>
      </c>
      <c r="E4653" s="1" t="s">
        <v>285</v>
      </c>
      <c r="F4653" s="1" t="s">
        <v>7866</v>
      </c>
      <c r="G4653" s="1" t="s">
        <v>36</v>
      </c>
      <c r="H4653" s="1" t="s">
        <v>29</v>
      </c>
      <c r="I4653" s="1" t="str">
        <f ca="1">IFERROR(__xludf.DUMMYFUNCTION("GOOGLETRANSLATE(F4653, ""auto"", ""en"")
"),"A fairy tale with amazing special effects. Ah, Jennifer Lopez...")</f>
        <v>A fairy tale with amazing special effects. Ah, Jennifer Lopez...</v>
      </c>
    </row>
    <row r="4654" spans="1:9" x14ac:dyDescent="0.3">
      <c r="A4654" s="1" t="s">
        <v>89</v>
      </c>
      <c r="B4654" s="1" t="s">
        <v>90</v>
      </c>
      <c r="C4654" s="1" t="s">
        <v>85</v>
      </c>
      <c r="D4654" s="1" t="s">
        <v>39</v>
      </c>
      <c r="E4654" s="1" t="s">
        <v>393</v>
      </c>
      <c r="F4654" s="1" t="s">
        <v>7867</v>
      </c>
      <c r="G4654" s="1" t="s">
        <v>28</v>
      </c>
      <c r="H4654" s="1" t="s">
        <v>29</v>
      </c>
      <c r="I4654" s="1" t="str">
        <f ca="1">IFERROR(__xludf.DUMMYFUNCTION("GOOGLETRANSLATE(F4654, ""auto"", ""en"")
"),"I've been using it for 2 months. In terms of technical characteristics, it is an excellent device. One thing - the material of the body and millstones is not stainless steel, as I was assured in the store. Still so rusty! All droplets must be thoroughly w"&amp;"iped off immediately, and cannot be stored on the balcony or in the garage.")</f>
        <v>I've been using it for 2 months. In terms of technical characteristics, it is an excellent device. One thing - the material of the body and millstones is not stainless steel, as I was assured in the store. Still so rusty! All droplets must be thoroughly wiped off immediately, and cannot be stored on the balcony or in the garage.</v>
      </c>
    </row>
    <row r="4655" spans="1:9" x14ac:dyDescent="0.3">
      <c r="A4655" s="1" t="s">
        <v>211</v>
      </c>
      <c r="B4655" s="1" t="s">
        <v>212</v>
      </c>
      <c r="C4655" s="1" t="s">
        <v>294</v>
      </c>
      <c r="D4655" s="1" t="s">
        <v>64</v>
      </c>
      <c r="E4655" s="1" t="s">
        <v>421</v>
      </c>
      <c r="F4655" s="1" t="s">
        <v>7868</v>
      </c>
      <c r="G4655" s="1" t="s">
        <v>36</v>
      </c>
      <c r="H4655" s="1" t="s">
        <v>29</v>
      </c>
      <c r="I4655" s="1" t="str">
        <f ca="1">IFERROR(__xludf.DUMMYFUNCTION("GOOGLETRANSLATE(F4655, ""auto"", ""en"")
"),"I recently bought it, I really like it, even on the third day my hair remains straight, I haven’t tried it for longer. Off/on button It doesn’t interfere at all, it heats up quickly, you only need to run it through your hair once or twice. I agree about t"&amp;"he plates - they are close together, I actually got burned a couple of times, you need to be careful! I won’t say that the effect of ionization is very noticeable, it electrolyzes a little, but still the hair becomes gorgeous: soft and shiny!   If you buy"&amp;" it, you won't regret it!")</f>
        <v>I recently bought it, I really like it, even on the third day my hair remains straight, I haven’t tried it for longer. Off/on button It doesn’t interfere at all, it heats up quickly, you only need to run it through your hair once or twice. I agree about the plates - they are close together, I actually got burned a couple of times, you need to be careful! I won’t say that the effect of ionization is very noticeable, it electrolyzes a little, but still the hair becomes gorgeous: soft and shiny!   If you buy it, you won't regret it!</v>
      </c>
    </row>
    <row r="4656" spans="1:9" x14ac:dyDescent="0.3">
      <c r="A4656" s="1" t="s">
        <v>30</v>
      </c>
      <c r="B4656" s="1" t="s">
        <v>31</v>
      </c>
      <c r="C4656" s="1" t="s">
        <v>32</v>
      </c>
      <c r="D4656" s="1" t="s">
        <v>7869</v>
      </c>
      <c r="E4656" s="1" t="s">
        <v>4327</v>
      </c>
      <c r="F4656" s="1" t="s">
        <v>7870</v>
      </c>
      <c r="G4656" s="1" t="s">
        <v>36</v>
      </c>
      <c r="H4656" s="1" t="s">
        <v>29</v>
      </c>
      <c r="I4656" s="1" t="str">
        <f ca="1">IFERROR(__xludf.DUMMYFUNCTION("GOOGLETRANSLATE(F4656, ""auto"", ""en"")
"),"Gamer's computer, any game fits here")</f>
        <v>Gamer's computer, any game fits here</v>
      </c>
    </row>
    <row r="4657" spans="1:9" x14ac:dyDescent="0.3">
      <c r="A4657" s="1" t="s">
        <v>61</v>
      </c>
      <c r="B4657" s="1" t="s">
        <v>434</v>
      </c>
      <c r="C4657" s="1" t="s">
        <v>185</v>
      </c>
      <c r="D4657" s="1" t="s">
        <v>308</v>
      </c>
      <c r="E4657" s="1" t="s">
        <v>3448</v>
      </c>
      <c r="F4657" s="1" t="s">
        <v>7871</v>
      </c>
      <c r="G4657" s="1" t="s">
        <v>36</v>
      </c>
      <c r="H4657" s="1" t="s">
        <v>29</v>
      </c>
      <c r="I4657" s="1" t="str">
        <f ca="1">IFERROR(__xludf.DUMMYFUNCTION("GOOGLETRANSLATE(F4657, ""auto"", ""en"")
"),"I bought a white stove several years ago; when I used it, the top cover turned yellow due to high temperatures - it began to not fit into the interior of the kitchen. I took it to the dacha and bought the same one home, but in black. Now I'm very happy. L"&amp;"ightweight, easy to use, no need to use an oven in a gas stove. I recommend every housewife to have such a stove!!!")</f>
        <v>I bought a white stove several years ago; when I used it, the top cover turned yellow due to high temperatures - it began to not fit into the interior of the kitchen. I took it to the dacha and bought the same one home, but in black. Now I'm very happy. Lightweight, easy to use, no need to use an oven in a gas stove. I recommend every housewife to have such a stove!!!</v>
      </c>
    </row>
    <row r="4658" spans="1:9" x14ac:dyDescent="0.3">
      <c r="A4658" s="1" t="s">
        <v>206</v>
      </c>
      <c r="B4658" s="1" t="s">
        <v>207</v>
      </c>
      <c r="C4658" s="1" t="s">
        <v>152</v>
      </c>
      <c r="D4658" s="1" t="s">
        <v>411</v>
      </c>
      <c r="E4658" s="1" t="s">
        <v>7872</v>
      </c>
      <c r="F4658" s="1" t="s">
        <v>7873</v>
      </c>
      <c r="G4658" s="1" t="s">
        <v>49</v>
      </c>
      <c r="H4658" s="1" t="s">
        <v>16</v>
      </c>
      <c r="I4658" s="1" t="str">
        <f ca="1">IFERROR(__xludf.DUMMYFUNCTION("GOOGLETRANSLATE(F4658, ""auto"", ""en"")
"),"A month later, one of these wonderful speakers began to wheeze. The bass was not felt at all, and even then they could not withstand a simple tape recorder. Now I'll take something else.")</f>
        <v>A month later, one of these wonderful speakers began to wheeze. The bass was not felt at all, and even then they could not withstand a simple tape recorder. Now I'll take something else.</v>
      </c>
    </row>
    <row r="4659" spans="1:9" x14ac:dyDescent="0.3">
      <c r="A4659" s="1" t="s">
        <v>61</v>
      </c>
      <c r="B4659" s="1" t="s">
        <v>318</v>
      </c>
      <c r="C4659" s="1" t="s">
        <v>213</v>
      </c>
      <c r="D4659" s="1" t="s">
        <v>2728</v>
      </c>
      <c r="E4659" s="1" t="s">
        <v>1597</v>
      </c>
      <c r="F4659" s="1" t="s">
        <v>7874</v>
      </c>
      <c r="G4659" s="1" t="s">
        <v>36</v>
      </c>
      <c r="H4659" s="1" t="s">
        <v>29</v>
      </c>
      <c r="I4659" s="1" t="str">
        <f ca="1">IFERROR(__xludf.DUMMYFUNCTION("GOOGLETRANSLATE(F4659, ""auto"", ""en"")
"),"Truly durable, high quality, stylish, comfortable")</f>
        <v>Truly durable, high quality, stylish, comfortable</v>
      </c>
    </row>
    <row r="4660" spans="1:9" x14ac:dyDescent="0.3">
      <c r="A4660" s="1" t="s">
        <v>43</v>
      </c>
      <c r="B4660" s="1" t="s">
        <v>502</v>
      </c>
      <c r="C4660" s="1" t="s">
        <v>122</v>
      </c>
      <c r="D4660" s="1" t="s">
        <v>1416</v>
      </c>
      <c r="E4660" s="1" t="s">
        <v>1728</v>
      </c>
      <c r="F4660" s="1" t="s">
        <v>7875</v>
      </c>
      <c r="G4660" s="1" t="s">
        <v>28</v>
      </c>
      <c r="H4660" s="1" t="s">
        <v>29</v>
      </c>
      <c r="I4660" s="1" t="str">
        <f ca="1">IFERROR(__xludf.DUMMYFUNCTION("GOOGLETRANSLATE(F4660, ""auto"", ""en"")
"),"The design is simple, the functions are minimal, the animation is scanty, all for the sake of high power and low price, bought from M.video in March 2012 with free installation. Installed quickly. No questions. Thank you. The air conditioner is more like "&amp;"a public one than a home one - you turn it on and forget it - you don’t have to mess around with the settings... there aren’t any.")</f>
        <v>The design is simple, the functions are minimal, the animation is scanty, all for the sake of high power and low price, bought from M.video in March 2012 with free installation. Installed quickly. No questions. Thank you. The air conditioner is more like a public one than a home one - you turn it on and forget it - you don’t have to mess around with the settings... there aren’t any.</v>
      </c>
    </row>
    <row r="4661" spans="1:9" x14ac:dyDescent="0.3">
      <c r="A4661" s="1" t="s">
        <v>17</v>
      </c>
      <c r="B4661" s="1" t="s">
        <v>18</v>
      </c>
      <c r="C4661" s="1" t="s">
        <v>243</v>
      </c>
      <c r="D4661" s="1" t="s">
        <v>247</v>
      </c>
      <c r="E4661" s="1" t="s">
        <v>7876</v>
      </c>
      <c r="F4661" s="1" t="s">
        <v>7877</v>
      </c>
      <c r="G4661" s="1" t="s">
        <v>49</v>
      </c>
      <c r="H4661" s="1" t="s">
        <v>16</v>
      </c>
      <c r="I4661" s="1" t="str">
        <f ca="1">IFERROR(__xludf.DUMMYFUNCTION("GOOGLETRANSLATE(F4661, ""auto"", ""en"")
"),"The machine served for 5 years, and then the drum came loose...more precisely, the bearing is in the drum, the tank is monolithic, to replace the bearing, you need to cut the tank....apparently, after repairing it, it will glue it together....it’s easier "&amp;"to buy a new car")</f>
        <v>The machine served for 5 years, and then the drum came loose...more precisely, the bearing is in the drum, the tank is monolithic, to replace the bearing, you need to cut the tank....apparently, after repairing it, it will glue it together....it’s easier to buy a new car</v>
      </c>
    </row>
    <row r="4662" spans="1:9" x14ac:dyDescent="0.3">
      <c r="A4662" s="1" t="s">
        <v>9</v>
      </c>
      <c r="B4662" s="1" t="s">
        <v>133</v>
      </c>
      <c r="C4662" s="1" t="s">
        <v>151</v>
      </c>
      <c r="D4662" s="1" t="s">
        <v>474</v>
      </c>
      <c r="E4662" s="1" t="s">
        <v>1285</v>
      </c>
      <c r="F4662" s="1" t="s">
        <v>7878</v>
      </c>
      <c r="G4662" s="1" t="s">
        <v>36</v>
      </c>
      <c r="H4662" s="1" t="s">
        <v>29</v>
      </c>
      <c r="I4662" s="1" t="str">
        <f ca="1">IFERROR(__xludf.DUMMYFUNCTION("GOOGLETRANSLATE(F4662, ""auto"", ""en"")
"),"Bought 4 years ago. It was in the box and not connected. And now I’ve been using my beauty and cleverness for a year!  About the fork: we were immediately warned at the store that it was not included in the package. And this is not a problem, it is attach"&amp;"ed to modern sockets only with wires and closed with some kind of lid (I’m not good at this).  The baking is excellent, it has a timer (it’s convenient), it’s easy to clean, and it doesn’t accumulate odors. The glass (there are 3 of them) is removable and"&amp;" washable - always clean, no drips! There are two pans, they are not deformed, they are even (I had a problem with the pans being skewed with the previous stove) The only warning: When opening the door during cooking, be careful!!! Hot air rushes out with"&amp;" pressure!")</f>
        <v>Bought 4 years ago. It was in the box and not connected. And now I’ve been using my beauty and cleverness for a year!  About the fork: we were immediately warned at the store that it was not included in the package. And this is not a problem, it is attached to modern sockets only with wires and closed with some kind of lid (I’m not good at this).  The baking is excellent, it has a timer (it’s convenient), it’s easy to clean, and it doesn’t accumulate odors. The glass (there are 3 of them) is removable and washable - always clean, no drips! There are two pans, they are not deformed, they are even (I had a problem with the pans being skewed with the previous stove) The only warning: When opening the door during cooking, be careful!!! Hot air rushes out with pressure!</v>
      </c>
    </row>
    <row r="4663" spans="1:9" x14ac:dyDescent="0.3">
      <c r="A4663" s="1" t="s">
        <v>211</v>
      </c>
      <c r="B4663" s="1" t="s">
        <v>515</v>
      </c>
      <c r="C4663" s="1" t="s">
        <v>213</v>
      </c>
      <c r="D4663" s="1" t="s">
        <v>474</v>
      </c>
      <c r="E4663" s="1" t="s">
        <v>1500</v>
      </c>
      <c r="F4663" s="1" t="s">
        <v>2268</v>
      </c>
      <c r="G4663" s="1" t="s">
        <v>49</v>
      </c>
      <c r="H4663" s="1" t="s">
        <v>16</v>
      </c>
      <c r="I4663" s="1" t="str">
        <f ca="1">IFERROR(__xludf.DUMMYFUNCTION("GOOGLETRANSLATE(F4663, ""auto"", ""en"")
"),"No")</f>
        <v>No</v>
      </c>
    </row>
    <row r="4664" spans="1:9" x14ac:dyDescent="0.3">
      <c r="A4664" s="1" t="s">
        <v>61</v>
      </c>
      <c r="B4664" s="1" t="s">
        <v>318</v>
      </c>
      <c r="C4664" s="1" t="s">
        <v>246</v>
      </c>
      <c r="D4664" s="1" t="s">
        <v>7879</v>
      </c>
      <c r="E4664" s="1" t="s">
        <v>2484</v>
      </c>
      <c r="F4664" s="1" t="s">
        <v>7880</v>
      </c>
      <c r="G4664" s="1" t="s">
        <v>49</v>
      </c>
      <c r="H4664" s="1" t="s">
        <v>16</v>
      </c>
      <c r="I4664" s="1" t="str">
        <f ca="1">IFERROR(__xludf.DUMMYFUNCTION("GOOGLETRANSLATE(F4664, ""auto"", ""en"")
"),"I bought this for work today. Doesn't turn on. I'll go change it tomorrow. The kettle is a complete disappointment.")</f>
        <v>I bought this for work today. Doesn't turn on. I'll go change it tomorrow. The kettle is a complete disappointment.</v>
      </c>
    </row>
    <row r="4665" spans="1:9" x14ac:dyDescent="0.3">
      <c r="A4665" s="1" t="s">
        <v>67</v>
      </c>
      <c r="B4665" s="1" t="s">
        <v>68</v>
      </c>
      <c r="C4665" s="1" t="s">
        <v>69</v>
      </c>
      <c r="D4665" s="1" t="s">
        <v>86</v>
      </c>
      <c r="E4665" s="1" t="s">
        <v>1016</v>
      </c>
      <c r="F4665" s="1" t="s">
        <v>7881</v>
      </c>
      <c r="G4665" s="1" t="s">
        <v>49</v>
      </c>
      <c r="H4665" s="1" t="s">
        <v>16</v>
      </c>
      <c r="I4665" s="1" t="str">
        <f ca="1">IFERROR(__xludf.DUMMYFUNCTION("GOOGLETRANSLATE(F4665, ""auto"", ""en"")
"),"In addition to the review dated January 31, 2016, on the same day I took the iron for repair to the authorized service center Remix (Barnaul). They accepted it, wrote out a receipt, and received an SMS with the order number. Already on Thursday evening I "&amp;"received an SMS notification about the repair, but due to the holidays, this iron was picked up on November 7, 2016.")</f>
        <v>In addition to the review dated January 31, 2016, on the same day I took the iron for repair to the authorized service center Remix (Barnaul). They accepted it, wrote out a receipt, and received an SMS with the order number. Already on Thursday evening I received an SMS notification about the repair, but due to the holidays, this iron was picked up on November 7, 2016.</v>
      </c>
    </row>
    <row r="4666" spans="1:9" x14ac:dyDescent="0.3">
      <c r="A4666" s="1" t="s">
        <v>1119</v>
      </c>
      <c r="B4666" s="1" t="s">
        <v>1120</v>
      </c>
      <c r="C4666" s="1" t="s">
        <v>97</v>
      </c>
      <c r="D4666" s="1" t="s">
        <v>1659</v>
      </c>
      <c r="E4666" s="1" t="s">
        <v>3550</v>
      </c>
      <c r="F4666" s="1" t="s">
        <v>7882</v>
      </c>
      <c r="G4666" s="1" t="s">
        <v>49</v>
      </c>
      <c r="H4666" s="1" t="s">
        <v>16</v>
      </c>
      <c r="I4666" s="1" t="str">
        <f ca="1">IFERROR(__xludf.DUMMYFUNCTION("GOOGLETRANSLATE(F4666, ""auto"", ""en"")
"),"The camera is convenient and easy to use, but the quality of shooting and photos is HORRIBLE!!!   Let's go change!!!")</f>
        <v>The camera is convenient and easy to use, but the quality of shooting and photos is HORRIBLE!!!   Let's go change!!!</v>
      </c>
    </row>
    <row r="4667" spans="1:9" x14ac:dyDescent="0.3">
      <c r="A4667" s="1" t="s">
        <v>477</v>
      </c>
      <c r="B4667" s="1" t="s">
        <v>478</v>
      </c>
      <c r="C4667" s="1" t="s">
        <v>479</v>
      </c>
      <c r="D4667" s="1" t="s">
        <v>280</v>
      </c>
      <c r="E4667" s="1" t="s">
        <v>1738</v>
      </c>
      <c r="F4667" s="1" t="s">
        <v>7883</v>
      </c>
      <c r="G4667" s="1" t="s">
        <v>36</v>
      </c>
      <c r="H4667" s="1" t="s">
        <v>29</v>
      </c>
      <c r="I4667" s="1" t="str">
        <f ca="1">IFERROR(__xludf.DUMMYFUNCTION("GOOGLETRANSLATE(F4667, ""auto"", ""en"")
"),"The gloomy dungeons of the SS are teeming with evil spirits and powerful monsters ready to tear you apart, which you have to deal with. And if at the first levels the game is played in a gentle mode, where you shoot back at simple Krauts and an ordinary r"&amp;"ifle is enough for you. Then at later stages your weapons warehouse will be filled with bazookas, sniper rifles and laser beams, which you simply cannot do without. The game is captivating with its plot and sudden attacks by ghouls from the shadows.     I"&amp;" really liked the toy, the secret rooms and ambiguous levels do not tire you out, and each boss is unique and requires ingenuity.    Good luck to everyone in passing.")</f>
        <v>The gloomy dungeons of the SS are teeming with evil spirits and powerful monsters ready to tear you apart, which you have to deal with. And if at the first levels the game is played in a gentle mode, where you shoot back at simple Krauts and an ordinary rifle is enough for you. Then at later stages your weapons warehouse will be filled with bazookas, sniper rifles and laser beams, which you simply cannot do without. The game is captivating with its plot and sudden attacks by ghouls from the shadows.     I really liked the toy, the secret rooms and ambiguous levels do not tire you out, and each boss is unique and requires ingenuity.    Good luck to everyone in passing.</v>
      </c>
    </row>
    <row r="4668" spans="1:9" x14ac:dyDescent="0.3">
      <c r="A4668" s="1" t="s">
        <v>43</v>
      </c>
      <c r="B4668" s="1" t="s">
        <v>1382</v>
      </c>
      <c r="C4668" s="1" t="s">
        <v>45</v>
      </c>
      <c r="D4668" s="1" t="s">
        <v>52</v>
      </c>
      <c r="E4668" s="1" t="s">
        <v>7584</v>
      </c>
      <c r="F4668" s="1" t="s">
        <v>7884</v>
      </c>
      <c r="G4668" s="1" t="s">
        <v>49</v>
      </c>
      <c r="H4668" s="1" t="s">
        <v>16</v>
      </c>
      <c r="I4668" s="1" t="str">
        <f ca="1">IFERROR(__xludf.DUMMYFUNCTION("GOOGLETRANSLATE(F4668, ""auto"", ""en"")
"),"Advantages: volumetric air flow, remote control included! I didn't notice any other advantages.    Disadvantages: turned it on, listened - terrible noise from friction in the mechanism. Poor build quality - looks like a cheap Chinese toy that breaks when "&amp;"dropped. I took it apart and was horrified - there was not a single bearing in the places where the drum axis was attached, there was bushing interaction everywhere, there was no lubrication of the mechanism. After 2 hours of operation at 3rd speed, I ent"&amp;"ered the room and smelled burnt plastic. I quickly turned it off, took it apart again - the motor rotating the drum became heated to the point of melting the braid of the supply wire. I disassembled the engine - again, not a single bearing - everything wa"&amp;"s on bushings (steel on steel) without lubrication.")</f>
        <v>Advantages: volumetric air flow, remote control included! I didn't notice any other advantages.    Disadvantages: turned it on, listened - terrible noise from friction in the mechanism. Poor build quality - looks like a cheap Chinese toy that breaks when dropped. I took it apart and was horrified - there was not a single bearing in the places where the drum axis was attached, there was bushing interaction everywhere, there was no lubrication of the mechanism. After 2 hours of operation at 3rd speed, I entered the room and smelled burnt plastic. I quickly turned it off, took it apart again - the motor rotating the drum became heated to the point of melting the braid of the supply wire. I disassembled the engine - again, not a single bearing - everything was on bushings (steel on steel) without lubrication.</v>
      </c>
    </row>
    <row r="4669" spans="1:9" x14ac:dyDescent="0.3">
      <c r="A4669" s="1" t="s">
        <v>624</v>
      </c>
      <c r="B4669" s="1" t="s">
        <v>2107</v>
      </c>
      <c r="C4669" s="1" t="s">
        <v>479</v>
      </c>
      <c r="D4669" s="1" t="s">
        <v>7885</v>
      </c>
      <c r="E4669" s="1" t="s">
        <v>1576</v>
      </c>
      <c r="F4669" s="1" t="s">
        <v>7886</v>
      </c>
      <c r="G4669" s="1" t="s">
        <v>36</v>
      </c>
      <c r="H4669" s="1" t="s">
        <v>29</v>
      </c>
      <c r="I4669" s="1" t="str">
        <f ca="1">IFERROR(__xludf.DUMMYFUNCTION("GOOGLETRANSLATE(F4669, ""auto"", ""en"")
"),"cool game. When I bought the console, I bought this game first. For those who like shooting games on a ship in space, this is it. the sound is simply amazing! (You may not be able to sleep at night). I recommend!!!!!!")</f>
        <v>cool game. When I bought the console, I bought this game first. For those who like shooting games on a ship in space, this is it. the sound is simply amazing! (You may not be able to sleep at night). I recommend!!!!!!</v>
      </c>
    </row>
    <row r="4670" spans="1:9" x14ac:dyDescent="0.3">
      <c r="A4670" s="1" t="s">
        <v>105</v>
      </c>
      <c r="B4670" s="1" t="s">
        <v>106</v>
      </c>
      <c r="C4670" s="1" t="s">
        <v>1921</v>
      </c>
      <c r="D4670" s="1" t="s">
        <v>7887</v>
      </c>
      <c r="E4670" s="1" t="s">
        <v>1450</v>
      </c>
      <c r="F4670" s="1" t="s">
        <v>7888</v>
      </c>
      <c r="G4670" s="1" t="s">
        <v>36</v>
      </c>
      <c r="H4670" s="1" t="s">
        <v>29</v>
      </c>
      <c r="I4670" s="1" t="str">
        <f ca="1">IFERROR(__xludf.DUMMYFUNCTION("GOOGLETRANSLATE(F4670, ""auto"", ""en"")
"),"I bought it. I am very pleased with the sound quality and volume. The headphones in the set don’t even fit into my ears, so I bought new ones.  I'm happy with everything, just need to get used to the power button) Take it, you won't regret it ;)")</f>
        <v>I bought it. I am very pleased with the sound quality and volume. The headphones in the set don’t even fit into my ears, so I bought new ones.  I'm happy with everything, just need to get used to the power button) Take it, you won't regret it ;)</v>
      </c>
    </row>
    <row r="4671" spans="1:9" x14ac:dyDescent="0.3">
      <c r="A4671" s="1" t="s">
        <v>17</v>
      </c>
      <c r="B4671" s="1" t="s">
        <v>18</v>
      </c>
      <c r="C4671" s="1" t="s">
        <v>63</v>
      </c>
      <c r="D4671" s="1" t="s">
        <v>75</v>
      </c>
      <c r="E4671" s="1" t="s">
        <v>1236</v>
      </c>
      <c r="F4671" s="1" t="s">
        <v>7889</v>
      </c>
      <c r="G4671" s="1" t="s">
        <v>36</v>
      </c>
      <c r="H4671" s="1" t="s">
        <v>29</v>
      </c>
      <c r="I4671" s="1" t="str">
        <f ca="1">IFERROR(__xludf.DUMMYFUNCTION("GOOGLETRANSLATE(F4671, ""auto"", ""en"")
"),"I don’t regret purchasing this machine at all. It washes well, spins well, and works silently.")</f>
        <v>I don’t regret purchasing this machine at all. It washes well, spins well, and works silently.</v>
      </c>
    </row>
    <row r="4672" spans="1:9" x14ac:dyDescent="0.3">
      <c r="A4672" s="1" t="s">
        <v>120</v>
      </c>
      <c r="B4672" s="1" t="s">
        <v>1205</v>
      </c>
      <c r="C4672" s="1" t="s">
        <v>1430</v>
      </c>
      <c r="D4672" s="1" t="s">
        <v>1776</v>
      </c>
      <c r="E4672" s="1" t="s">
        <v>3080</v>
      </c>
      <c r="F4672" s="1" t="s">
        <v>7890</v>
      </c>
      <c r="G4672" s="1" t="s">
        <v>36</v>
      </c>
      <c r="H4672" s="1" t="s">
        <v>29</v>
      </c>
      <c r="I4672" s="1" t="str">
        <f ca="1">IFERROR(__xludf.DUMMYFUNCTION("GOOGLETRANSLATE(F4672, ""auto"", ""en"")
"),"What channel package is included when purchasing in Irkutsk?")</f>
        <v>What channel package is included when purchasing in Irkutsk?</v>
      </c>
    </row>
    <row r="4673" spans="1:9" x14ac:dyDescent="0.3">
      <c r="A4673" s="1" t="s">
        <v>30</v>
      </c>
      <c r="B4673" s="1" t="s">
        <v>50</v>
      </c>
      <c r="C4673" s="1" t="s">
        <v>1003</v>
      </c>
      <c r="D4673" s="1" t="s">
        <v>33</v>
      </c>
      <c r="E4673" s="1" t="s">
        <v>3472</v>
      </c>
      <c r="F4673" s="1" t="s">
        <v>7891</v>
      </c>
      <c r="G4673" s="1" t="s">
        <v>36</v>
      </c>
      <c r="H4673" s="1" t="s">
        <v>29</v>
      </c>
      <c r="I4673" s="1" t="str">
        <f ca="1">IFERROR(__xludf.DUMMYFUNCTION("GOOGLETRANSLATE(F4673, ""auto"", ""en"")
"),"awesome device")</f>
        <v>awesome device</v>
      </c>
    </row>
    <row r="4674" spans="1:9" x14ac:dyDescent="0.3">
      <c r="A4674" s="1" t="s">
        <v>149</v>
      </c>
      <c r="B4674" s="1" t="s">
        <v>155</v>
      </c>
      <c r="C4674" s="1" t="s">
        <v>63</v>
      </c>
      <c r="D4674" s="1" t="s">
        <v>411</v>
      </c>
      <c r="E4674" s="1" t="s">
        <v>4166</v>
      </c>
      <c r="F4674" s="1" t="s">
        <v>7892</v>
      </c>
      <c r="G4674" s="1" t="s">
        <v>49</v>
      </c>
      <c r="H4674" s="1" t="s">
        <v>16</v>
      </c>
      <c r="I4674" s="1" t="str">
        <f ca="1">IFERROR(__xludf.DUMMYFUNCTION("GOOGLETRANSLATE(F4674, ""auto"", ""en"")
"),"Continuation of the story with Bosch. I called the service technician 2 times. And no one found the problem - the seventh filter (tangential) which is not easy to get to. Why does a simple vacuum cleaner need 7 filters? So that the suction power drops mor"&amp;"e often? Or maybe to buy consumables more often, and if the engine burns out, so that the service will refuse the warranty because the filters are clogged? And whoever writes that he rarely cleans the filters in this vacuum cleaner probably lives in steri"&amp;"le conditions")</f>
        <v>Continuation of the story with Bosch. I called the service technician 2 times. And no one found the problem - the seventh filter (tangential) which is not easy to get to. Why does a simple vacuum cleaner need 7 filters? So that the suction power drops more often? Or maybe to buy consumables more often, and if the engine burns out, so that the service will refuse the warranty because the filters are clogged? And whoever writes that he rarely cleans the filters in this vacuum cleaner probably lives in sterile conditions</v>
      </c>
    </row>
    <row r="4675" spans="1:9" x14ac:dyDescent="0.3">
      <c r="A4675" s="1" t="s">
        <v>169</v>
      </c>
      <c r="B4675" s="1" t="s">
        <v>170</v>
      </c>
      <c r="C4675" s="1" t="s">
        <v>171</v>
      </c>
      <c r="D4675" s="1" t="s">
        <v>7893</v>
      </c>
      <c r="E4675" s="1" t="s">
        <v>594</v>
      </c>
      <c r="F4675" s="1" t="s">
        <v>7894</v>
      </c>
      <c r="G4675" s="1" t="s">
        <v>36</v>
      </c>
      <c r="H4675" s="1" t="s">
        <v>29</v>
      </c>
      <c r="I4675" s="1" t="str">
        <f ca="1">IFERROR(__xludf.DUMMYFUNCTION("GOOGLETRANSLATE(F4675, ""auto"", ""en"")
"),"Excellent ears in their price category, maybe even the best. Pleasant dense sound with a slight bias towards the lows. Many flaws in the quality of the recording are exposed, but they are also capable of revealing new shades of familiar tracks. They fit v"&amp;"ery comfortably in the ear due to their small size. In short, the headphones are very, very pleasant.")</f>
        <v>Excellent ears in their price category, maybe even the best. Pleasant dense sound with a slight bias towards the lows. Many flaws in the quality of the recording are exposed, but they are also capable of revealing new shades of familiar tracks. They fit very comfortably in the ear due to their small size. In short, the headphones are very, very pleasant.</v>
      </c>
    </row>
    <row r="4676" spans="1:9" x14ac:dyDescent="0.3">
      <c r="A4676" s="1" t="s">
        <v>17</v>
      </c>
      <c r="B4676" s="1" t="s">
        <v>18</v>
      </c>
      <c r="C4676" s="1" t="s">
        <v>243</v>
      </c>
      <c r="D4676" s="1" t="s">
        <v>308</v>
      </c>
      <c r="E4676" s="1" t="s">
        <v>454</v>
      </c>
      <c r="F4676" s="1" t="s">
        <v>1795</v>
      </c>
      <c r="G4676" s="1" t="s">
        <v>49</v>
      </c>
      <c r="H4676" s="1" t="s">
        <v>16</v>
      </c>
      <c r="I4676" s="1" t="str">
        <f ca="1">IFERROR(__xludf.DUMMYFUNCTION("GOOGLETRANSLATE(F4676, ""auto"", ""en"")
"),"No")</f>
        <v>No</v>
      </c>
    </row>
    <row r="4677" spans="1:9" x14ac:dyDescent="0.3">
      <c r="A4677" s="1" t="s">
        <v>67</v>
      </c>
      <c r="B4677" s="1" t="s">
        <v>68</v>
      </c>
      <c r="C4677" s="1" t="s">
        <v>185</v>
      </c>
      <c r="D4677" s="1" t="s">
        <v>584</v>
      </c>
      <c r="E4677" s="1" t="s">
        <v>822</v>
      </c>
      <c r="F4677" s="1" t="s">
        <v>7895</v>
      </c>
      <c r="G4677" s="1" t="s">
        <v>49</v>
      </c>
      <c r="H4677" s="1" t="s">
        <v>16</v>
      </c>
      <c r="I4677" s="1" t="str">
        <f ca="1">IFERROR(__xludf.DUMMYFUNCTION("GOOGLETRANSLATE(F4677, ""auto"", ""en"")
"),"We bought this iron last year. A terrible iron. From the very beginning, it didn’t slide well on clothes, then everything began to stick to the sole, the sole can only be cleaned together with the enamel, yes, you heard right, the sole is simply covered w"&amp;"ith paint (!?) Then the sole stopped being cleaned at all. Steaming/ironing with steam works every once in a while. In short, after a year it became impossible to use at all, so I had to buy a new one. Now we bought ****, heaven and earth. By the way, bef"&amp;"ore this we used the Ufesa iron for six years, an excellent iron made in Europe, but now for some reason this brand is not visible, which is a pity.")</f>
        <v>We bought this iron last year. A terrible iron. From the very beginning, it didn’t slide well on clothes, then everything began to stick to the sole, the sole can only be cleaned together with the enamel, yes, you heard right, the sole is simply covered with paint (!?) Then the sole stopped being cleaned at all. Steaming/ironing with steam works every once in a while. In short, after a year it became impossible to use at all, so I had to buy a new one. Now we bought ****, heaven and earth. By the way, before this we used the Ufesa iron for six years, an excellent iron made in Europe, but now for some reason this brand is not visible, which is a pity.</v>
      </c>
    </row>
    <row r="4678" spans="1:9" x14ac:dyDescent="0.3">
      <c r="A4678" s="1" t="s">
        <v>211</v>
      </c>
      <c r="B4678" s="1" t="s">
        <v>212</v>
      </c>
      <c r="C4678" s="1" t="s">
        <v>381</v>
      </c>
      <c r="D4678" s="1" t="s">
        <v>565</v>
      </c>
      <c r="E4678" s="1" t="s">
        <v>661</v>
      </c>
      <c r="F4678" s="1" t="s">
        <v>7896</v>
      </c>
      <c r="G4678" s="1" t="s">
        <v>36</v>
      </c>
      <c r="H4678" s="1" t="s">
        <v>29</v>
      </c>
      <c r="I4678" s="1" t="str">
        <f ca="1">IFERROR(__xludf.DUMMYFUNCTION("GOOGLETRANSLATE(F4678, ""auto"", ""en"")
"),"I’ve been using it for 2 years now, it straightens my hair perfectly, and thanks to the ionizer, my hair doesn’t get electrified at all. Great straightener!")</f>
        <v>I’ve been using it for 2 years now, it straightens my hair perfectly, and thanks to the ionizer, my hair doesn’t get electrified at all. Great straightener!</v>
      </c>
    </row>
    <row r="4679" spans="1:9" x14ac:dyDescent="0.3">
      <c r="A4679" s="1" t="s">
        <v>55</v>
      </c>
      <c r="B4679" s="1" t="s">
        <v>184</v>
      </c>
      <c r="C4679" s="1" t="s">
        <v>185</v>
      </c>
      <c r="D4679" s="1" t="s">
        <v>1659</v>
      </c>
      <c r="E4679" s="1" t="s">
        <v>7897</v>
      </c>
      <c r="F4679" s="1" t="s">
        <v>7898</v>
      </c>
      <c r="G4679" s="1" t="s">
        <v>36</v>
      </c>
      <c r="H4679" s="1" t="s">
        <v>29</v>
      </c>
      <c r="I4679" s="1" t="str">
        <f ca="1">IFERROR(__xludf.DUMMYFUNCTION("GOOGLETRANSLATE(F4679, ""auto"", ""en"")
"),"The heater is not bad, it warms the room well and quickly. Maintains the set temperature, takes up virtually no space, even a child can tolerate it. The downside is a little fan noise during operation, but you can get used to it.")</f>
        <v>The heater is not bad, it warms the room well and quickly. Maintains the set temperature, takes up virtually no space, even a child can tolerate it. The downside is a little fan noise during operation, but you can get used to it.</v>
      </c>
    </row>
    <row r="4680" spans="1:9" x14ac:dyDescent="0.3">
      <c r="A4680" s="1" t="s">
        <v>30</v>
      </c>
      <c r="B4680" s="1" t="s">
        <v>50</v>
      </c>
      <c r="C4680" s="1" t="s">
        <v>694</v>
      </c>
      <c r="D4680" s="1" t="s">
        <v>7899</v>
      </c>
      <c r="E4680" s="1" t="s">
        <v>1742</v>
      </c>
      <c r="F4680" s="1" t="s">
        <v>7900</v>
      </c>
      <c r="G4680" s="1" t="s">
        <v>36</v>
      </c>
      <c r="H4680" s="1" t="s">
        <v>29</v>
      </c>
      <c r="I4680" s="1" t="str">
        <f ca="1">IFERROR(__xludf.DUMMYFUNCTION("GOOGLETRANSLATE(F4680, ""auto"", ""en"")
"),"When buying a netbook, I already know from experience that it is more convenient to immediately buy a DVD drive.  For the first time in my life, or rather my first netbook, which “accepted” the drive without any problems! Before this, three other netbooks"&amp;" completely refused to “see” external drives. The speed of the netbook is quite satisfactory. Recharging lasts for a relatively long time. +1.    I'm already familiar with Lenovo, and the controls haven't given me any problems. +1 It works quietly. This i"&amp;"s one of the most important qualities for me personally. In my case, I'm happy with the netbook in this regard +1 Stylish. I love when a netbook is thin and neat. +1 Since I very often need to carry a netbook with me, naturally it is important for me that"&amp;" it be easy to lift. +1 And that - +5 :)")</f>
        <v>When buying a netbook, I already know from experience that it is more convenient to immediately buy a DVD drive.  For the first time in my life, or rather my first netbook, which “accepted” the drive without any problems! Before this, three other netbooks completely refused to “see” external drives. The speed of the netbook is quite satisfactory. Recharging lasts for a relatively long time. +1.    I'm already familiar with Lenovo, and the controls haven't given me any problems. +1 It works quietly. This is one of the most important qualities for me personally. In my case, I'm happy with the netbook in this regard +1 Stylish. I love when a netbook is thin and neat. +1 Since I very often need to carry a netbook with me, naturally it is important for me that it be easy to lift. +1 And that - +5 :)</v>
      </c>
    </row>
    <row r="4681" spans="1:9" x14ac:dyDescent="0.3">
      <c r="A4681" s="1" t="s">
        <v>17</v>
      </c>
      <c r="B4681" s="1" t="s">
        <v>18</v>
      </c>
      <c r="C4681" s="1" t="s">
        <v>243</v>
      </c>
      <c r="D4681" s="1" t="s">
        <v>52</v>
      </c>
      <c r="E4681" s="1" t="s">
        <v>6715</v>
      </c>
      <c r="F4681" s="1" t="s">
        <v>7901</v>
      </c>
      <c r="G4681" s="1" t="s">
        <v>36</v>
      </c>
      <c r="H4681" s="1" t="s">
        <v>29</v>
      </c>
      <c r="I4681" s="1" t="str">
        <f ca="1">IFERROR(__xludf.DUMMYFUNCTION("GOOGLETRANSLATE(F4681, ""auto"", ""en"")
"),"The machine is normal, it works out its price, there are no problems.")</f>
        <v>The machine is normal, it works out its price, there are no problems.</v>
      </c>
    </row>
    <row r="4682" spans="1:9" x14ac:dyDescent="0.3">
      <c r="A4682" s="1" t="s">
        <v>17</v>
      </c>
      <c r="B4682" s="1" t="s">
        <v>18</v>
      </c>
      <c r="C4682" s="1" t="s">
        <v>63</v>
      </c>
      <c r="D4682" s="1" t="s">
        <v>7902</v>
      </c>
      <c r="E4682" s="1" t="s">
        <v>2057</v>
      </c>
      <c r="F4682" s="1" t="s">
        <v>7903</v>
      </c>
      <c r="G4682" s="1" t="s">
        <v>36</v>
      </c>
      <c r="H4682" s="1" t="s">
        <v>29</v>
      </c>
      <c r="I4682" s="1" t="str">
        <f ca="1">IFERROR(__xludf.DUMMYFUNCTION("GOOGLETRANSLATE(F4682, ""auto"", ""en"")
"),"I bought myself a Bosch WLX 20162 OE machine, I really liked it. Everything works fine, I don’t notice any comments, I recommend it.")</f>
        <v>I bought myself a Bosch WLX 20162 OE machine, I really liked it. Everything works fine, I don’t notice any comments, I recommend it.</v>
      </c>
    </row>
    <row r="4683" spans="1:9" x14ac:dyDescent="0.3">
      <c r="A4683" s="1" t="s">
        <v>206</v>
      </c>
      <c r="B4683" s="1" t="s">
        <v>261</v>
      </c>
      <c r="C4683" s="1" t="s">
        <v>107</v>
      </c>
      <c r="D4683" s="1" t="s">
        <v>658</v>
      </c>
      <c r="E4683" s="1" t="s">
        <v>628</v>
      </c>
      <c r="F4683" s="1" t="s">
        <v>7904</v>
      </c>
      <c r="G4683" s="1" t="s">
        <v>28</v>
      </c>
      <c r="H4683" s="1" t="s">
        <v>29</v>
      </c>
      <c r="I4683" s="1" t="str">
        <f ca="1">IFERROR(__xludf.DUMMYFUNCTION("GOOGLETRANSLATE(F4683, ""auto"", ""en"")
"),"It works well, the sound is excellent, it reads any files, one minus is that the control panel is really missing.")</f>
        <v>It works well, the sound is excellent, it reads any files, one minus is that the control panel is really missing.</v>
      </c>
    </row>
    <row r="4684" spans="1:9" x14ac:dyDescent="0.3">
      <c r="A4684" s="1" t="s">
        <v>30</v>
      </c>
      <c r="B4684" s="1" t="s">
        <v>50</v>
      </c>
      <c r="C4684" s="1" t="s">
        <v>51</v>
      </c>
      <c r="D4684" s="1" t="s">
        <v>483</v>
      </c>
      <c r="E4684" s="1" t="s">
        <v>1228</v>
      </c>
      <c r="F4684" s="1" t="s">
        <v>7905</v>
      </c>
      <c r="G4684" s="1" t="s">
        <v>28</v>
      </c>
      <c r="H4684" s="1" t="s">
        <v>29</v>
      </c>
      <c r="I4684" s="1" t="str">
        <f ca="1">IFERROR(__xludf.DUMMYFUNCTION("GOOGLETRANSLATE(F4684, ""auto"", ""en"")
"),"For this price, of course, you can’t find a laptop with such parameters, that’s why I gave it a 4. The build quality leaves much to be desired. The subwoofer is noisy, I had to turn it off, I turn it on sometimes, depending on the content. The left speake"&amp;"r rattles. The clamps in the bay for the additional hard drive were also rattling, but I solved this problem myself. I didn't return it because... I understood what I was taking and at what price. Overall the machine is great and works great. Windows 7 is"&amp;" annoying and not stable.")</f>
        <v>For this price, of course, you can’t find a laptop with such parameters, that’s why I gave it a 4. The build quality leaves much to be desired. The subwoofer is noisy, I had to turn it off, I turn it on sometimes, depending on the content. The left speaker rattles. The clamps in the bay for the additional hard drive were also rattling, but I solved this problem myself. I didn't return it because... I understood what I was taking and at what price. Overall the machine is great and works great. Windows 7 is annoying and not stable.</v>
      </c>
    </row>
    <row r="4685" spans="1:9" x14ac:dyDescent="0.3">
      <c r="A4685" s="1" t="s">
        <v>95</v>
      </c>
      <c r="B4685" s="1" t="s">
        <v>648</v>
      </c>
      <c r="C4685" s="1" t="s">
        <v>97</v>
      </c>
      <c r="D4685" s="1" t="s">
        <v>1459</v>
      </c>
      <c r="E4685" s="1" t="s">
        <v>386</v>
      </c>
      <c r="F4685" s="1" t="s">
        <v>7906</v>
      </c>
      <c r="G4685" s="1" t="s">
        <v>36</v>
      </c>
      <c r="H4685" s="1" t="s">
        <v>29</v>
      </c>
      <c r="I4685" s="1" t="str">
        <f ca="1">IFERROR(__xludf.DUMMYFUNCTION("GOOGLETRANSLATE(F4685, ""auto"", ""en"")
"),"the console is simply super colorful games, wonderful sound graphics, amazing various games, in short, my rating for this console and for m.video + you")</f>
        <v>the console is simply super colorful games, wonderful sound graphics, amazing various games, in short, my rating for this console and for m.video + you</v>
      </c>
    </row>
    <row r="4686" spans="1:9" x14ac:dyDescent="0.3">
      <c r="A4686" s="1" t="s">
        <v>105</v>
      </c>
      <c r="B4686" s="1" t="s">
        <v>106</v>
      </c>
      <c r="C4686" s="1" t="s">
        <v>1526</v>
      </c>
      <c r="D4686" s="1" t="s">
        <v>7907</v>
      </c>
      <c r="E4686" s="1" t="s">
        <v>259</v>
      </c>
      <c r="F4686" s="1" t="s">
        <v>7908</v>
      </c>
      <c r="G4686" s="1" t="s">
        <v>15</v>
      </c>
      <c r="H4686" s="1" t="s">
        <v>16</v>
      </c>
      <c r="I4686" s="1" t="str">
        <f ca="1">IFERROR(__xludf.DUMMYFUNCTION("GOOGLETRANSLATE(F4686, ""auto"", ""en"")
"),"I bought this beauty 5 days ago...and today I took it back to the store! Firstly, it’s terribly buggy (well, it flips through and opens files very slowly), secondly, the vibration disappeared almost immediately, thirdly, the sensors are not very sensitive"&amp;" (you have to press the buttons many times)! In general, I am very sorry that such a stylish, beautiful player is very poor in its functions! You can only look at it and admire it! I didn't expect it!")</f>
        <v>I bought this beauty 5 days ago...and today I took it back to the store! Firstly, it’s terribly buggy (well, it flips through and opens files very slowly), secondly, the vibration disappeared almost immediately, thirdly, the sensors are not very sensitive (you have to press the buttons many times)! In general, I am very sorry that such a stylish, beautiful player is very poor in its functions! You can only look at it and admire it! I didn't expect it!</v>
      </c>
    </row>
    <row r="4687" spans="1:9" x14ac:dyDescent="0.3">
      <c r="A4687" s="1" t="s">
        <v>67</v>
      </c>
      <c r="B4687" s="1" t="s">
        <v>68</v>
      </c>
      <c r="C4687" s="1" t="s">
        <v>69</v>
      </c>
      <c r="D4687" s="1" t="s">
        <v>247</v>
      </c>
      <c r="E4687" s="1" t="s">
        <v>7463</v>
      </c>
      <c r="F4687" s="1" t="s">
        <v>7909</v>
      </c>
      <c r="G4687" s="1" t="s">
        <v>15</v>
      </c>
      <c r="H4687" s="1" t="s">
        <v>16</v>
      </c>
      <c r="I4687" s="1" t="str">
        <f ca="1">IFERROR(__xludf.DUMMYFUNCTION("GOOGLETRANSLATE(F4687, ""auto"", ""en"")
"),"The iron was disappointing. An Indonesian-made iron is complete nonsense compared to the Singapore one (my sister has one, she’s very pleased). Vertical steaming is just one name. The inscription above the automatic shutdown indicator was erased after the"&amp;" second use. The soleplate of the iron attracts things. The meaningless ionization button is constantly being touched. A lot of water is consumed during steaming, you need to constantly top it up. The iron did not live up to expectations.")</f>
        <v>The iron was disappointing. An Indonesian-made iron is complete nonsense compared to the Singapore one (my sister has one, she’s very pleased). Vertical steaming is just one name. The inscription above the automatic shutdown indicator was erased after the second use. The soleplate of the iron attracts things. The meaningless ionization button is constantly being touched. A lot of water is consumed during steaming, you need to constantly top it up. The iron did not live up to expectations.</v>
      </c>
    </row>
    <row r="4688" spans="1:9" x14ac:dyDescent="0.3">
      <c r="A4688" s="1" t="s">
        <v>211</v>
      </c>
      <c r="B4688" s="1" t="s">
        <v>410</v>
      </c>
      <c r="C4688" s="1" t="s">
        <v>122</v>
      </c>
      <c r="D4688" s="1" t="s">
        <v>1659</v>
      </c>
      <c r="E4688" s="1" t="s">
        <v>643</v>
      </c>
      <c r="F4688" s="1" t="s">
        <v>7910</v>
      </c>
      <c r="G4688" s="1" t="s">
        <v>36</v>
      </c>
      <c r="H4688" s="1" t="s">
        <v>29</v>
      </c>
      <c r="I4688" s="1" t="str">
        <f ca="1">IFERROR(__xludf.DUMMYFUNCTION("GOOGLETRANSLATE(F4688, ""auto"", ""en"")
"),"I’ve been shaving for two years, I have hard stubble and irritable skin. Before this razor, shaving seemed like hell, Mach3 - the blade was enough for 2 times and then you’ll get all cut up and won’t be able to shave. I tried Brown, which is a little bett"&amp;"er than the blades, but it was irritating. I use a Panasonic dry shave and haven’t changed the cutting unit yet. I recommend this razor to everyone.")</f>
        <v>I’ve been shaving for two years, I have hard stubble and irritable skin. Before this razor, shaving seemed like hell, Mach3 - the blade was enough for 2 times and then you’ll get all cut up and won’t be able to shave. I tried Brown, which is a little better than the blades, but it was irritating. I use a Panasonic dry shave and haven’t changed the cutting unit yet. I recommend this razor to everyone.</v>
      </c>
    </row>
    <row r="4689" spans="1:9" x14ac:dyDescent="0.3">
      <c r="A4689" s="1" t="s">
        <v>61</v>
      </c>
      <c r="B4689" s="1" t="s">
        <v>180</v>
      </c>
      <c r="C4689" s="1" t="s">
        <v>74</v>
      </c>
      <c r="D4689" s="1" t="s">
        <v>565</v>
      </c>
      <c r="E4689" s="1" t="s">
        <v>1203</v>
      </c>
      <c r="F4689" s="1" t="s">
        <v>7911</v>
      </c>
      <c r="G4689" s="1" t="s">
        <v>36</v>
      </c>
      <c r="H4689" s="1" t="s">
        <v>29</v>
      </c>
      <c r="I4689" s="1" t="str">
        <f ca="1">IFERROR(__xludf.DUMMYFUNCTION("GOOGLETRANSLATE(F4689, ""auto"", ""en"")
"),"We bought this sandwich maker 2 weeks ago. At first I wanted to buy a regular toaster, but after studying the product offered by m-video, my husband and I chose this particular sandwich toaster so that we could make sandwiches and bake waffles. I doubted "&amp;"for a long time whether it was worth buying or not. Now I understand one thing, it’s good that you bought it. I liked the color of this sandwich maker, its capabilities and the price. We have made sandwiches many times. We buy bread specifically for toast"&amp;"ing. It is imperative to grease the pieces of bread with butter (just don’t overdo it, otherwise there will be butter even under the Teflon mold). You need to grease the outer sides of the bread, but you can also grease the inner sides - this is not for e"&amp;"verybody. I was baking waffles, I found the recipe on the Internet. In order for the waffles to be well-fried on both sides and have a beautiful shape, you need to put in enough dough so that it is not spread in a thin layer over the pan, but once you bak"&amp;"e it, everything will immediately become clear. Pros: compact, beautiful, sandwiches are crispy and tasty, waffles are great too. Easy to use. Disadvantages: none found.")</f>
        <v>We bought this sandwich maker 2 weeks ago. At first I wanted to buy a regular toaster, but after studying the product offered by m-video, my husband and I chose this particular sandwich toaster so that we could make sandwiches and bake waffles. I doubted for a long time whether it was worth buying or not. Now I understand one thing, it’s good that you bought it. I liked the color of this sandwich maker, its capabilities and the price. We have made sandwiches many times. We buy bread specifically for toasting. It is imperative to grease the pieces of bread with butter (just don’t overdo it, otherwise there will be butter even under the Teflon mold). You need to grease the outer sides of the bread, but you can also grease the inner sides - this is not for everybody. I was baking waffles, I found the recipe on the Internet. In order for the waffles to be well-fried on both sides and have a beautiful shape, you need to put in enough dough so that it is not spread in a thin layer over the pan, but once you bake it, everything will immediately become clear. Pros: compact, beautiful, sandwiches are crispy and tasty, waffles are great too. Easy to use. Disadvantages: none found.</v>
      </c>
    </row>
    <row r="4690" spans="1:9" x14ac:dyDescent="0.3">
      <c r="A4690" s="1" t="s">
        <v>61</v>
      </c>
      <c r="B4690" s="1" t="s">
        <v>318</v>
      </c>
      <c r="C4690" s="1" t="s">
        <v>745</v>
      </c>
      <c r="D4690" s="1" t="s">
        <v>152</v>
      </c>
      <c r="E4690" s="1" t="s">
        <v>1943</v>
      </c>
      <c r="F4690" s="1" t="s">
        <v>7912</v>
      </c>
      <c r="G4690" s="1" t="s">
        <v>36</v>
      </c>
      <c r="H4690" s="1" t="s">
        <v>29</v>
      </c>
      <c r="I4690" s="1" t="str">
        <f ca="1">IFERROR(__xludf.DUMMYFUNCTION("GOOGLETRANSLATE(F4690, ""auto"", ""en"")
"),"I am writing this review on behalf of myself and my husband. I love this kettle! We've been using it for three years (bought on sale). It makes noise and squeaks, but it doesn’t bother us at all. As for the fact that someone is starting to leak, just don’"&amp;"t allow sudden changes in temperature, let the kettle cool down before pouring water")</f>
        <v>I am writing this review on behalf of myself and my husband. I love this kettle! We've been using it for three years (bought on sale). It makes noise and squeaks, but it doesn’t bother us at all. As for the fact that someone is starting to leak, just don’t allow sudden changes in temperature, let the kettle cool down before pouring water</v>
      </c>
    </row>
    <row r="4691" spans="1:9" x14ac:dyDescent="0.3">
      <c r="A4691" s="1" t="s">
        <v>37</v>
      </c>
      <c r="B4691" s="1" t="s">
        <v>38</v>
      </c>
      <c r="C4691" s="1" t="s">
        <v>39</v>
      </c>
      <c r="D4691" s="1" t="s">
        <v>12</v>
      </c>
      <c r="E4691" s="1" t="s">
        <v>649</v>
      </c>
      <c r="F4691" s="1" t="s">
        <v>7913</v>
      </c>
      <c r="G4691" s="1" t="s">
        <v>28</v>
      </c>
      <c r="H4691" s="1" t="s">
        <v>29</v>
      </c>
      <c r="I4691" s="1" t="str">
        <f ca="1">IFERROR(__xludf.DUMMYFUNCTION("GOOGLETRANSLATE(F4691, ""auto"", ""en"")
"),"I really like the phone! There were no glitches! Some part of it suddenly broke and now it won’t turn on! =(")</f>
        <v>I really like the phone! There were no glitches! Some part of it suddenly broke and now it won’t turn on! =(</v>
      </c>
    </row>
    <row r="4692" spans="1:9" x14ac:dyDescent="0.3">
      <c r="A4692" s="1" t="s">
        <v>61</v>
      </c>
      <c r="B4692" s="1" t="s">
        <v>318</v>
      </c>
      <c r="C4692" s="1" t="s">
        <v>69</v>
      </c>
      <c r="D4692" s="1" t="s">
        <v>172</v>
      </c>
      <c r="E4692" s="1" t="s">
        <v>6661</v>
      </c>
      <c r="F4692" s="1" t="s">
        <v>7914</v>
      </c>
      <c r="G4692" s="1" t="s">
        <v>36</v>
      </c>
      <c r="H4692" s="1" t="s">
        <v>29</v>
      </c>
      <c r="I4692" s="1" t="str">
        <f ca="1">IFERROR(__xludf.DUMMYFUNCTION("GOOGLETRANSLATE(F4692, ""auto"", ""en"")
"),"The kettle was (was) 2 years old - no problems at all. But one fine day my wife began to wash it, as usual, and the transparent part of the lid simply crumbled. Imagine a teapot with a hole in the lid! I don’t even know the reason, but I noticed that this"&amp;" cover gradually became dull during use. Maybe the plastic is not of high quality because it cannot withstand the steam temperature over time? And so, if not for this “trifle,” the kettle is excellent, without leaks or problems.")</f>
        <v>The kettle was (was) 2 years old - no problems at all. But one fine day my wife began to wash it, as usual, and the transparent part of the lid simply crumbled. Imagine a teapot with a hole in the lid! I don’t even know the reason, but I noticed that this cover gradually became dull during use. Maybe the plastic is not of high quality because it cannot withstand the steam temperature over time? And so, if not for this “trifle,” the kettle is excellent, without leaks or problems.</v>
      </c>
    </row>
    <row r="4693" spans="1:9" x14ac:dyDescent="0.3">
      <c r="A4693" s="1" t="s">
        <v>1823</v>
      </c>
      <c r="B4693" s="1" t="s">
        <v>1824</v>
      </c>
      <c r="C4693" s="1" t="s">
        <v>69</v>
      </c>
      <c r="D4693" s="1" t="s">
        <v>75</v>
      </c>
      <c r="E4693" s="1" t="s">
        <v>7537</v>
      </c>
      <c r="F4693" s="1" t="s">
        <v>7915</v>
      </c>
      <c r="G4693" s="1" t="s">
        <v>15</v>
      </c>
      <c r="H4693" s="1" t="s">
        <v>16</v>
      </c>
      <c r="I4693" s="1" t="str">
        <f ca="1">IFERROR(__xludf.DUMMYFUNCTION("GOOGLETRANSLATE(F4693, ""auto"", ""en"")
"),"wide ironing field")</f>
        <v>wide ironing field</v>
      </c>
    </row>
    <row r="4694" spans="1:9" x14ac:dyDescent="0.3">
      <c r="A4694" s="1" t="s">
        <v>557</v>
      </c>
      <c r="B4694" s="1" t="s">
        <v>558</v>
      </c>
      <c r="C4694" s="1" t="s">
        <v>816</v>
      </c>
      <c r="D4694" s="1" t="s">
        <v>7916</v>
      </c>
      <c r="E4694" s="1" t="s">
        <v>1723</v>
      </c>
      <c r="F4694" s="1" t="s">
        <v>7917</v>
      </c>
      <c r="G4694" s="1" t="s">
        <v>49</v>
      </c>
      <c r="H4694" s="1" t="s">
        <v>16</v>
      </c>
      <c r="I4694" s="1" t="str">
        <f ca="1">IFERROR(__xludf.DUMMYFUNCTION("GOOGLETRANSLATE(F4694, ""auto"", ""en"")
"),"The device is constantly glitching!  Sometimes when you press the ""hang up"" button, it starts ringing with the melody of an incoming call. Sometimes after this the sound disappears and the microphone stops working (freezes), you have to remove the batte"&amp;"ry.  The only plus of the device is, in my opinion, quite good build quality (the plastic body of the handset does not creak in your hands)")</f>
        <v>The device is constantly glitching!  Sometimes when you press the "hang up" button, it starts ringing with the melody of an incoming call. Sometimes after this the sound disappears and the microphone stops working (freezes), you have to remove the battery.  The only plus of the device is, in my opinion, quite good build quality (the plastic body of the handset does not creak in your hands)</v>
      </c>
    </row>
    <row r="4695" spans="1:9" x14ac:dyDescent="0.3">
      <c r="A4695" s="1" t="s">
        <v>369</v>
      </c>
      <c r="B4695" s="1" t="s">
        <v>370</v>
      </c>
      <c r="C4695" s="1" t="s">
        <v>588</v>
      </c>
      <c r="D4695" s="1" t="s">
        <v>471</v>
      </c>
      <c r="E4695" s="1" t="s">
        <v>1745</v>
      </c>
      <c r="F4695" s="1" t="s">
        <v>7918</v>
      </c>
      <c r="G4695" s="1" t="s">
        <v>49</v>
      </c>
      <c r="H4695" s="1" t="s">
        <v>16</v>
      </c>
      <c r="I4695" s="1" t="str">
        <f ca="1">IFERROR(__xludf.DUMMYFUNCTION("GOOGLETRANSLATE(F4695, ""auto"", ""en"")
"),"Bought it a few days ago. We were surprised that there is no wire to the stove, it is not included")</f>
        <v>Bought it a few days ago. We were surprised that there is no wire to the stove, it is not included</v>
      </c>
    </row>
    <row r="4696" spans="1:9" x14ac:dyDescent="0.3">
      <c r="A4696" s="1" t="s">
        <v>211</v>
      </c>
      <c r="B4696" s="1" t="s">
        <v>384</v>
      </c>
      <c r="C4696" s="1" t="s">
        <v>246</v>
      </c>
      <c r="D4696" s="1" t="s">
        <v>6471</v>
      </c>
      <c r="E4696" s="1" t="s">
        <v>3527</v>
      </c>
      <c r="F4696" s="1" t="s">
        <v>7919</v>
      </c>
      <c r="G4696" s="1" t="s">
        <v>28</v>
      </c>
      <c r="H4696" s="1" t="s">
        <v>29</v>
      </c>
      <c r="I4696" s="1" t="str">
        <f ca="1">IFERROR(__xludf.DUMMYFUNCTION("GOOGLETRANSLATE(F4696, ""auto"", ""en"")
"),"We've been using it for 1.5 years. To accurately display the weight, we place it on the tiles in the bathtub. Guests are delighted with the weigh-in. Sometimes the weight is not shown the first time - it says ""Error"". happy with the purchase.")</f>
        <v>We've been using it for 1.5 years. To accurately display the weight, we place it on the tiles in the bathtub. Guests are delighted with the weigh-in. Sometimes the weight is not shown the first time - it says "Error". happy with the purchase.</v>
      </c>
    </row>
    <row r="4697" spans="1:9" x14ac:dyDescent="0.3">
      <c r="A4697" s="1" t="s">
        <v>211</v>
      </c>
      <c r="B4697" s="1" t="s">
        <v>384</v>
      </c>
      <c r="C4697" s="1" t="s">
        <v>246</v>
      </c>
      <c r="D4697" s="1" t="s">
        <v>308</v>
      </c>
      <c r="E4697" s="1" t="s">
        <v>5867</v>
      </c>
      <c r="F4697" s="1" t="s">
        <v>7920</v>
      </c>
      <c r="G4697" s="1" t="s">
        <v>49</v>
      </c>
      <c r="H4697" s="1" t="s">
        <v>16</v>
      </c>
      <c r="I4697" s="1" t="str">
        <f ca="1">IFERROR(__xludf.DUMMYFUNCTION("GOOGLETRANSLATE(F4697, ""auto"", ""en"")
"),"Very bad scales.   They worked fine for only a month. Now the error is 2-3 kilograms and the readings are constantly changing downwards (when you stand on the scales). I tried replacing the battery - it didn't help.")</f>
        <v>Very bad scales.   They worked fine for only a month. Now the error is 2-3 kilograms and the readings are constantly changing downwards (when you stand on the scales). I tried replacing the battery - it didn't help.</v>
      </c>
    </row>
    <row r="4698" spans="1:9" x14ac:dyDescent="0.3">
      <c r="A4698" s="1" t="s">
        <v>9</v>
      </c>
      <c r="B4698" s="1" t="s">
        <v>10</v>
      </c>
      <c r="C4698" s="1" t="s">
        <v>407</v>
      </c>
      <c r="D4698" s="1" t="s">
        <v>171</v>
      </c>
      <c r="E4698" s="1" t="s">
        <v>2053</v>
      </c>
      <c r="F4698" s="1" t="s">
        <v>7921</v>
      </c>
      <c r="G4698" s="1" t="s">
        <v>49</v>
      </c>
      <c r="H4698" s="1" t="s">
        <v>16</v>
      </c>
      <c r="I4698" s="1" t="str">
        <f ca="1">IFERROR(__xludf.DUMMYFUNCTION("GOOGLETRANSLATE(F4698, ""auto"", ""en"")
"),"It makes noise, but is of little use, the turbine is powerful, but does not suck in anything, apparently due to its shape")</f>
        <v>It makes noise, but is of little use, the turbine is powerful, but does not suck in anything, apparently due to its shape</v>
      </c>
    </row>
    <row r="4699" spans="1:9" x14ac:dyDescent="0.3">
      <c r="A4699" s="1" t="s">
        <v>61</v>
      </c>
      <c r="B4699" s="1" t="s">
        <v>318</v>
      </c>
      <c r="C4699" s="1" t="s">
        <v>146</v>
      </c>
      <c r="D4699" s="1" t="s">
        <v>589</v>
      </c>
      <c r="E4699" s="1" t="s">
        <v>571</v>
      </c>
      <c r="F4699" s="1" t="s">
        <v>7922</v>
      </c>
      <c r="G4699" s="1" t="s">
        <v>36</v>
      </c>
      <c r="H4699" s="1" t="s">
        <v>29</v>
      </c>
      <c r="I4699" s="1" t="str">
        <f ca="1">IFERROR(__xludf.DUMMYFUNCTION("GOOGLETRANSLATE(F4699, ""auto"", ""en"")
"),"An excellent kettle, although it is made in China, it works perfectly, convenient design. What else do you need from a kettle?  Over time, scale appeared, but a tablespoon of citric acid fixed everything. You just need to boil a kettle with citric acid an"&amp;"d it will be as good as new!")</f>
        <v>An excellent kettle, although it is made in China, it works perfectly, convenient design. What else do you need from a kettle?  Over time, scale appeared, but a tablespoon of citric acid fixed everything. You just need to boil a kettle with citric acid and it will be as good as new!</v>
      </c>
    </row>
    <row r="4700" spans="1:9" x14ac:dyDescent="0.3">
      <c r="A4700" s="1" t="s">
        <v>37</v>
      </c>
      <c r="B4700" s="1" t="s">
        <v>38</v>
      </c>
      <c r="C4700" s="1" t="s">
        <v>163</v>
      </c>
      <c r="D4700" s="1" t="s">
        <v>7923</v>
      </c>
      <c r="E4700" s="1" t="s">
        <v>1290</v>
      </c>
      <c r="F4700" s="1" t="s">
        <v>7924</v>
      </c>
      <c r="G4700" s="1" t="s">
        <v>36</v>
      </c>
      <c r="H4700" s="1" t="s">
        <v>29</v>
      </c>
      <c r="I4700" s="1" t="str">
        <f ca="1">IFERROR(__xludf.DUMMYFUNCTION("GOOGLETRANSLATE(F4700, ""auto"", ""en"")
"),"good phone) the lack of modern bells and whistles is compensated by time of operation.... in standby mode it lasts not 30 hours as indicated, but for about a week)")</f>
        <v>good phone) the lack of modern bells and whistles is compensated by time of operation.... in standby mode it lasts not 30 hours as indicated, but for about a week)</v>
      </c>
    </row>
    <row r="4701" spans="1:9" x14ac:dyDescent="0.3">
      <c r="A4701" s="1" t="s">
        <v>17</v>
      </c>
      <c r="B4701" s="1" t="s">
        <v>18</v>
      </c>
      <c r="C4701" s="1" t="s">
        <v>243</v>
      </c>
      <c r="D4701" s="1" t="s">
        <v>75</v>
      </c>
      <c r="E4701" s="1" t="s">
        <v>7925</v>
      </c>
      <c r="F4701" s="1" t="s">
        <v>7926</v>
      </c>
      <c r="G4701" s="1" t="s">
        <v>36</v>
      </c>
      <c r="H4701" s="1" t="s">
        <v>29</v>
      </c>
      <c r="I4701" s="1" t="str">
        <f ca="1">IFERROR(__xludf.DUMMYFUNCTION("GOOGLETRANSLATE(F4701, ""auto"", ""en"")
"),"A wonderful machine. We have been using it for 1.5 years. Miniature, washes everything. Bought it on sale. So far I'm just happy.")</f>
        <v>A wonderful machine. We have been using it for 1.5 years. Miniature, washes everything. Bought it on sale. So far I'm just happy.</v>
      </c>
    </row>
    <row r="4702" spans="1:9" x14ac:dyDescent="0.3">
      <c r="A4702" s="1" t="s">
        <v>206</v>
      </c>
      <c r="B4702" s="1" t="s">
        <v>207</v>
      </c>
      <c r="C4702" s="1" t="s">
        <v>262</v>
      </c>
      <c r="D4702" s="1" t="s">
        <v>1526</v>
      </c>
      <c r="E4702" s="1" t="s">
        <v>7927</v>
      </c>
      <c r="F4702" s="1" t="s">
        <v>7928</v>
      </c>
      <c r="G4702" s="1" t="s">
        <v>36</v>
      </c>
      <c r="H4702" s="1" t="s">
        <v>29</v>
      </c>
      <c r="I4702" s="1" t="str">
        <f ca="1">IFERROR(__xludf.DUMMYFUNCTION("GOOGLETRANSLATE(F4702, ""auto"", ""en"")
"),"If you set it up wisely, then the price and quality are 5!!!! And the sound is very good, I didn’t expect such an effect for that kind of money!!!!")</f>
        <v>If you set it up wisely, then the price and quality are 5!!!! And the sound is very good, I didn’t expect such an effect for that kind of money!!!!</v>
      </c>
    </row>
    <row r="4703" spans="1:9" x14ac:dyDescent="0.3">
      <c r="A4703" s="1" t="s">
        <v>624</v>
      </c>
      <c r="B4703" s="1" t="s">
        <v>6461</v>
      </c>
      <c r="C4703" s="1" t="s">
        <v>479</v>
      </c>
      <c r="D4703" s="1" t="s">
        <v>7929</v>
      </c>
      <c r="E4703" s="1" t="s">
        <v>4424</v>
      </c>
      <c r="F4703" s="1" t="s">
        <v>7930</v>
      </c>
      <c r="G4703" s="1" t="s">
        <v>36</v>
      </c>
      <c r="H4703" s="1" t="s">
        <v>29</v>
      </c>
      <c r="I4703" s="1" t="str">
        <f ca="1">IFERROR(__xludf.DUMMYFUNCTION("GOOGLETRANSLATE(F4703, ""auto"", ""en"")
"),"A game for real football fans. Much better than many analogues.")</f>
        <v>A game for real football fans. Much better than many analogues.</v>
      </c>
    </row>
    <row r="4704" spans="1:9" x14ac:dyDescent="0.3">
      <c r="A4704" s="1" t="s">
        <v>113</v>
      </c>
      <c r="B4704" s="1" t="s">
        <v>1251</v>
      </c>
      <c r="C4704" s="1" t="s">
        <v>2115</v>
      </c>
      <c r="D4704" s="1" t="s">
        <v>2595</v>
      </c>
      <c r="E4704" s="1" t="s">
        <v>1988</v>
      </c>
      <c r="F4704" s="1" t="s">
        <v>7931</v>
      </c>
      <c r="G4704" s="1" t="s">
        <v>36</v>
      </c>
      <c r="H4704" s="1" t="s">
        <v>29</v>
      </c>
      <c r="I4704" s="1" t="str">
        <f ca="1">IFERROR(__xludf.DUMMYFUNCTION("GOOGLETRANSLATE(F4704, ""auto"", ""en"")
"),"Good camera. Excellent shooting, good quality. Many functions, easy to use. Reasonable price and excellent quality. I am very pleased with the purchase.")</f>
        <v>Good camera. Excellent shooting, good quality. Many functions, easy to use. Reasonable price and excellent quality. I am very pleased with the purchase.</v>
      </c>
    </row>
    <row r="4705" spans="1:9" x14ac:dyDescent="0.3">
      <c r="A4705" s="1" t="s">
        <v>17</v>
      </c>
      <c r="B4705" s="1" t="s">
        <v>18</v>
      </c>
      <c r="C4705" s="1" t="s">
        <v>63</v>
      </c>
      <c r="D4705" s="1" t="s">
        <v>52</v>
      </c>
      <c r="E4705" s="1" t="s">
        <v>1868</v>
      </c>
      <c r="F4705" s="1" t="s">
        <v>7932</v>
      </c>
      <c r="G4705" s="1" t="s">
        <v>36</v>
      </c>
      <c r="H4705" s="1" t="s">
        <v>29</v>
      </c>
      <c r="I4705" s="1" t="str">
        <f ca="1">IFERROR(__xludf.DUMMYFUNCTION("GOOGLETRANSLATE(F4705, ""auto"", ""en"")
"),"So far I have noticed one nuance: the hatch door closes, but to put it mildly, with difficulty, but otherwise everything is fine, including rubber (silicone) feet, a convenient panel + display, in general, I like it so far!")</f>
        <v>So far I have noticed one nuance: the hatch door closes, but to put it mildly, with difficulty, but otherwise everything is fine, including rubber (silicone) feet, a convenient panel + display, in general, I like it so far!</v>
      </c>
    </row>
    <row r="4706" spans="1:9" x14ac:dyDescent="0.3">
      <c r="A4706" s="1" t="s">
        <v>43</v>
      </c>
      <c r="B4706" s="1" t="s">
        <v>334</v>
      </c>
      <c r="C4706" s="1" t="s">
        <v>101</v>
      </c>
      <c r="D4706" s="1" t="s">
        <v>152</v>
      </c>
      <c r="E4706" s="1" t="s">
        <v>3552</v>
      </c>
      <c r="F4706" s="1" t="s">
        <v>7933</v>
      </c>
      <c r="G4706" s="1" t="s">
        <v>36</v>
      </c>
      <c r="H4706" s="1" t="s">
        <v>29</v>
      </c>
      <c r="I4706" s="1" t="str">
        <f ca="1">IFERROR(__xludf.DUMMYFUNCTION("GOOGLETRANSLATE(F4706, ""auto"", ""en"")
"),"This fan is what you need on these hot days.  When I sit down to work in front of my laptop, I put this fan next to me so as not to die from the heat, besides, the cooler... It helps a lot, the heat is gone.  In addition, the fan has a stable base, does n"&amp;"ot vibrate at all and does not make unnecessary sounds during operation. It does not distract me... There is a shutdown function when it overheats, this is very important for me, because my fan runs for a long time, for several hours. Although it has neve"&amp;"r overheated yet. I was very surprised that I received such a high-quality model for such a low price. I recommend it.")</f>
        <v>This fan is what you need on these hot days.  When I sit down to work in front of my laptop, I put this fan next to me so as not to die from the heat, besides, the cooler... It helps a lot, the heat is gone.  In addition, the fan has a stable base, does not vibrate at all and does not make unnecessary sounds during operation. It does not distract me... There is a shutdown function when it overheats, this is very important for me, because my fan runs for a long time, for several hours. Although it has never overheated yet. I was very surprised that I received such a high-quality model for such a low price. I recommend it.</v>
      </c>
    </row>
    <row r="4707" spans="1:9" x14ac:dyDescent="0.3">
      <c r="A4707" s="1" t="s">
        <v>43</v>
      </c>
      <c r="B4707" s="1" t="s">
        <v>1616</v>
      </c>
      <c r="C4707" s="1" t="s">
        <v>85</v>
      </c>
      <c r="D4707" s="1" t="s">
        <v>2290</v>
      </c>
      <c r="E4707" s="1" t="s">
        <v>2514</v>
      </c>
      <c r="F4707" s="1" t="s">
        <v>7934</v>
      </c>
      <c r="G4707" s="1" t="s">
        <v>49</v>
      </c>
      <c r="H4707" s="1" t="s">
        <v>16</v>
      </c>
      <c r="I4707" s="1" t="str">
        <f ca="1">IFERROR(__xludf.DUMMYFUNCTION("GOOGLETRANSLATE(F4707, ""auto"", ""en"")
"),"thing. It doesn't get any cooler. First time like this.  They brought it to the office, turned it on - after 10 minutes the socket was knocked out. Switched to another outlet, knocked out the second one. Now 6 workstations are not working. And what to do "&amp;"with this junk now?!")</f>
        <v>thing. It doesn't get any cooler. First time like this.  They brought it to the office, turned it on - after 10 minutes the socket was knocked out. Switched to another outlet, knocked out the second one. Now 6 workstations are not working. And what to do with this junk now?!</v>
      </c>
    </row>
    <row r="4708" spans="1:9" x14ac:dyDescent="0.3">
      <c r="A4708" s="1" t="s">
        <v>89</v>
      </c>
      <c r="B4708" s="1" t="s">
        <v>231</v>
      </c>
      <c r="C4708" s="1" t="s">
        <v>185</v>
      </c>
      <c r="D4708" s="1" t="s">
        <v>64</v>
      </c>
      <c r="E4708" s="1" t="s">
        <v>1883</v>
      </c>
      <c r="F4708" s="1" t="s">
        <v>7935</v>
      </c>
      <c r="G4708" s="1" t="s">
        <v>36</v>
      </c>
      <c r="H4708" s="1" t="s">
        <v>29</v>
      </c>
      <c r="I4708" s="1" t="str">
        <f ca="1">IFERROR(__xludf.DUMMYFUNCTION("GOOGLETRANSLATE(F4708, ""auto"", ""en"")
"),"Prepare a flavorful drink quickly and easily. The presence of a cappuccino maker is a definite plus.")</f>
        <v>Prepare a flavorful drink quickly and easily. The presence of a cappuccino maker is a definite plus.</v>
      </c>
    </row>
    <row r="4709" spans="1:9" x14ac:dyDescent="0.3">
      <c r="A4709" s="1" t="s">
        <v>17</v>
      </c>
      <c r="B4709" s="1" t="s">
        <v>18</v>
      </c>
      <c r="C4709" s="1" t="s">
        <v>870</v>
      </c>
      <c r="D4709" s="1" t="s">
        <v>102</v>
      </c>
      <c r="E4709" s="1" t="s">
        <v>2265</v>
      </c>
      <c r="F4709" s="1" t="s">
        <v>7936</v>
      </c>
      <c r="G4709" s="1" t="s">
        <v>36</v>
      </c>
      <c r="H4709" s="1" t="s">
        <v>29</v>
      </c>
      <c r="I4709" s="1" t="str">
        <f ca="1">IFERROR(__xludf.DUMMYFUNCTION("GOOGLETRANSLATE(F4709, ""auto"", ""en"")
"),"An excellent washing machine, works great, is almost silent, does not wrinkle things, washes well, consumes little water + made in Slovakia, which is a plus.")</f>
        <v>An excellent washing machine, works great, is almost silent, does not wrinkle things, washes well, consumes little water + made in Slovakia, which is a plus.</v>
      </c>
    </row>
    <row r="4710" spans="1:9" x14ac:dyDescent="0.3">
      <c r="A4710" s="1" t="s">
        <v>17</v>
      </c>
      <c r="B4710" s="1" t="s">
        <v>18</v>
      </c>
      <c r="C4710" s="1" t="s">
        <v>134</v>
      </c>
      <c r="D4710" s="1" t="s">
        <v>1092</v>
      </c>
      <c r="E4710" s="1" t="s">
        <v>1273</v>
      </c>
      <c r="F4710" s="1" t="s">
        <v>7937</v>
      </c>
      <c r="G4710" s="1" t="s">
        <v>36</v>
      </c>
      <c r="H4710" s="1" t="s">
        <v>29</v>
      </c>
      <c r="I4710" s="1" t="str">
        <f ca="1">IFERROR(__xludf.DUMMYFUNCTION("GOOGLETRANSLATE(F4710, ""auto"", ""en"")
"),"I purchased this model of washing machine on Saturday, today it was delivered directly to the apartment (for only 200 rubles!, we called in advance and agreed on a time again - I was at work at that time, but since it was a convenient “lunch time”, I quic"&amp;"kly went home and turned around in an hour. So, great respect to the M-Video delivery service!). I was going to buy this particular model and from M-Video. Firstly, the price for German equipment with such characteristics is very attractive, and secondly,"&amp;" because... In December I bought a PHILIPS 32 PFL 5604/H12 TV from M-Video (also, by the way, this particular model on purpose :-) and from M-Video at a great price), and in addition I received cards worth 2 thousand rubles. Thus, this model of washing ma"&amp;"chine actually cost me 17,990 rubles (+200 rubles delivery). Today I tested it in action. It works quietly, does not “jump” during the spin cycle, all the specified functions work clearly, the menu and manual are accessible. The quick wash program is very"&amp;" convenient (15 minutes!), the Aqua-Stop system with a solenoid valve is also good. I think that I purchased a very respectable machine with claims to be a “premium” class at such a reasonable price, which I am very happy about! :-) I hope that the German"&amp;" (SIEMENS Munich plant) quality will not let me down and it will serve me for a long time.")</f>
        <v>I purchased this model of washing machine on Saturday, today it was delivered directly to the apartment (for only 200 rubles!, we called in advance and agreed on a time again - I was at work at that time, but since it was a convenient “lunch time”, I quickly went home and turned around in an hour. So, great respect to the M-Video delivery service!). I was going to buy this particular model and from M-Video. Firstly, the price for German equipment with such characteristics is very attractive, and secondly, because... In December I bought a PHILIPS 32 PFL 5604/H12 TV from M-Video (also, by the way, this particular model on purpose :-) and from M-Video at a great price), and in addition I received cards worth 2 thousand rubles. Thus, this model of washing machine actually cost me 17,990 rubles (+200 rubles delivery). Today I tested it in action. It works quietly, does not “jump” during the spin cycle, all the specified functions work clearly, the menu and manual are accessible. The quick wash program is very convenient (15 minutes!), the Aqua-Stop system with a solenoid valve is also good. I think that I purchased a very respectable machine with claims to be a “premium” class at such a reasonable price, which I am very happy about! :-) I hope that the German (SIEMENS Munich plant) quality will not let me down and it will serve me for a long time.</v>
      </c>
    </row>
    <row r="4711" spans="1:9" x14ac:dyDescent="0.3">
      <c r="A4711" s="1" t="s">
        <v>9</v>
      </c>
      <c r="B4711" s="1" t="s">
        <v>133</v>
      </c>
      <c r="C4711" s="1" t="s">
        <v>24</v>
      </c>
      <c r="D4711" s="1" t="s">
        <v>7938</v>
      </c>
      <c r="E4711" s="1" t="s">
        <v>353</v>
      </c>
      <c r="F4711" s="1" t="s">
        <v>7939</v>
      </c>
      <c r="G4711" s="1" t="s">
        <v>36</v>
      </c>
      <c r="H4711" s="1" t="s">
        <v>29</v>
      </c>
      <c r="I4711" s="1" t="str">
        <f ca="1">IFERROR(__xludf.DUMMYFUNCTION("GOOGLETRANSLATE(F4711, ""auto"", ""en"")
"),"Great oven! We are very happy with our purchase! Bakes great! The whole family loved both baked vegetables and meat. The only caveat: you need to open it in cooking mode carefully - you can get burned by the steam. Otherwise we are very pleased!")</f>
        <v>Great oven! We are very happy with our purchase! Bakes great! The whole family loved both baked vegetables and meat. The only caveat: you need to open it in cooking mode carefully - you can get burned by the steam. Otherwise we are very pleased!</v>
      </c>
    </row>
    <row r="4712" spans="1:9" x14ac:dyDescent="0.3">
      <c r="A4712" s="1" t="s">
        <v>149</v>
      </c>
      <c r="B4712" s="1" t="s">
        <v>423</v>
      </c>
      <c r="C4712" s="1" t="s">
        <v>548</v>
      </c>
      <c r="D4712" s="1" t="s">
        <v>7940</v>
      </c>
      <c r="E4712" s="1" t="s">
        <v>3004</v>
      </c>
      <c r="F4712" s="1" t="s">
        <v>7941</v>
      </c>
      <c r="G4712" s="1" t="s">
        <v>49</v>
      </c>
      <c r="H4712" s="1" t="s">
        <v>16</v>
      </c>
      <c r="I4712" s="1" t="str">
        <f ca="1">IFERROR(__xludf.DUMMYFUNCTION("GOOGLETRANSLATE(F4712, ""auto"", ""en"")
"),"Low level of residual humidity!!!!! Apparently this is the only positive point.    Terrible noise! Neither Europe nor Asia has allowed this to happen for a long time.  Very impractical and inconvenient pipes and replaceable nozzles, and of poor quality!  "&amp;"Guys! Don't buy this crap from the 18th century! It’s cheaper to buy a compressor and attach a tube from a vacuum cleaner at the inlet!")</f>
        <v>Low level of residual humidity!!!!! Apparently this is the only positive point.    Terrible noise! Neither Europe nor Asia has allowed this to happen for a long time.  Very impractical and inconvenient pipes and replaceable nozzles, and of poor quality!  Guys! Don't buy this crap from the 18th century! It’s cheaper to buy a compressor and attach a tube from a vacuum cleaner at the inlet!</v>
      </c>
    </row>
    <row r="4713" spans="1:9" x14ac:dyDescent="0.3">
      <c r="A4713" s="1" t="s">
        <v>149</v>
      </c>
      <c r="B4713" s="1" t="s">
        <v>423</v>
      </c>
      <c r="C4713" s="1" t="s">
        <v>548</v>
      </c>
      <c r="D4713" s="1" t="s">
        <v>545</v>
      </c>
      <c r="E4713" s="1" t="s">
        <v>7942</v>
      </c>
      <c r="F4713" s="1" t="s">
        <v>7943</v>
      </c>
      <c r="G4713" s="1" t="s">
        <v>15</v>
      </c>
      <c r="H4713" s="1" t="s">
        <v>16</v>
      </c>
      <c r="I4713" s="1" t="str">
        <f ca="1">IFERROR(__xludf.DUMMYFUNCTION("GOOGLETRANSLATE(F4713, ""auto"", ""en"")
"),"Bulky, very noisy, takes up a lot of storage space. The suction power during dry cleaning did not live up to my expectations; I believe that no one has ever done better than the Soviet “rocket” and “buran” in terms of power. In general, I’m happy with the"&amp;" quality of cleaning with this vacuum cleaner, only the price: I bought it in February for 35 thousand rubles, after 2 weeks it cost 25 thousand rubles, and now it costs 20 thousand rubles. It's worth it - I wouldn't even give that money for it.")</f>
        <v>Bulky, very noisy, takes up a lot of storage space. The suction power during dry cleaning did not live up to my expectations; I believe that no one has ever done better than the Soviet “rocket” and “buran” in terms of power. In general, I’m happy with the quality of cleaning with this vacuum cleaner, only the price: I bought it in February for 35 thousand rubles, after 2 weeks it cost 25 thousand rubles, and now it costs 20 thousand rubles. It's worth it - I wouldn't even give that money for it.</v>
      </c>
    </row>
    <row r="4714" spans="1:9" x14ac:dyDescent="0.3">
      <c r="A4714" s="1" t="s">
        <v>37</v>
      </c>
      <c r="B4714" s="1" t="s">
        <v>536</v>
      </c>
      <c r="C4714" s="1" t="s">
        <v>163</v>
      </c>
      <c r="D4714" s="1" t="s">
        <v>807</v>
      </c>
      <c r="E4714" s="1" t="s">
        <v>1190</v>
      </c>
      <c r="F4714" s="1" t="s">
        <v>7944</v>
      </c>
      <c r="G4714" s="1" t="s">
        <v>28</v>
      </c>
      <c r="H4714" s="1" t="s">
        <v>29</v>
      </c>
      <c r="I4714" s="1" t="str">
        <f ca="1">IFERROR(__xludf.DUMMYFUNCTION("GOOGLETRANSLATE(F4714, ""auto"", ""en"")
"),"the phone is good, if not for its assembly, maybe it’s just me the front panel is coming off, I don’t know what to do about it")</f>
        <v>the phone is good, if not for its assembly, maybe it’s just me the front panel is coming off, I don’t know what to do about it</v>
      </c>
    </row>
    <row r="4715" spans="1:9" x14ac:dyDescent="0.3">
      <c r="A4715" s="1" t="s">
        <v>61</v>
      </c>
      <c r="B4715" s="1" t="s">
        <v>224</v>
      </c>
      <c r="C4715" s="1" t="s">
        <v>85</v>
      </c>
      <c r="D4715" s="1" t="s">
        <v>1625</v>
      </c>
      <c r="E4715" s="1" t="s">
        <v>7945</v>
      </c>
      <c r="F4715" s="1" t="s">
        <v>7946</v>
      </c>
      <c r="G4715" s="1" t="s">
        <v>49</v>
      </c>
      <c r="H4715" s="1" t="s">
        <v>16</v>
      </c>
      <c r="I4715" s="1" t="str">
        <f ca="1">IFERROR(__xludf.DUMMYFUNCTION("GOOGLETRANSLATE(F4715, ""auto"", ""en"")
"),"I've been dreaming about it for a long time, I bought it on my own! Money wasted! When I bought it from the seller, I asked him to press the grapes. He said it pressed beautifully! As a result, all the grapes along with the juice ended up in the pulp, and"&amp;" I squeezed out a little juice, but the main part was thrown into waste! Everything else is crushing, but just like any other for a much smaller amount!")</f>
        <v>I've been dreaming about it for a long time, I bought it on my own! Money wasted! When I bought it from the seller, I asked him to press the grapes. He said it pressed beautifully! As a result, all the grapes along with the juice ended up in the pulp, and I squeezed out a little juice, but the main part was thrown into waste! Everything else is crushing, but just like any other for a much smaller amount!</v>
      </c>
    </row>
    <row r="4716" spans="1:9" x14ac:dyDescent="0.3">
      <c r="A4716" s="1" t="s">
        <v>61</v>
      </c>
      <c r="B4716" s="1" t="s">
        <v>726</v>
      </c>
      <c r="C4716" s="1" t="s">
        <v>74</v>
      </c>
      <c r="D4716" s="1" t="s">
        <v>64</v>
      </c>
      <c r="E4716" s="1" t="s">
        <v>3906</v>
      </c>
      <c r="F4716" s="1" t="s">
        <v>7947</v>
      </c>
      <c r="G4716" s="1" t="s">
        <v>15</v>
      </c>
      <c r="H4716" s="1" t="s">
        <v>16</v>
      </c>
      <c r="I4716" s="1" t="str">
        <f ca="1">IFERROR(__xludf.DUMMYFUNCTION("GOOGLETRANSLATE(F4716, ""auto"", ""en"")
"),"I received a bread maker as a gift, I was very happy, the bread was beautiful, tasty, but the joy was short-lived, after ten days the baking stopped. They took it to the store....")</f>
        <v>I received a bread maker as a gift, I was very happy, the bread was beautiful, tasty, but the joy was short-lived, after ten days the baking stopped. They took it to the store....</v>
      </c>
    </row>
    <row r="4717" spans="1:9" x14ac:dyDescent="0.3">
      <c r="A4717" s="1" t="s">
        <v>211</v>
      </c>
      <c r="B4717" s="1" t="s">
        <v>212</v>
      </c>
      <c r="C4717" s="1" t="s">
        <v>69</v>
      </c>
      <c r="D4717" s="1" t="s">
        <v>456</v>
      </c>
      <c r="E4717" s="1" t="s">
        <v>7948</v>
      </c>
      <c r="F4717" s="1" t="s">
        <v>7949</v>
      </c>
      <c r="G4717" s="1" t="s">
        <v>36</v>
      </c>
      <c r="H4717" s="1" t="s">
        <v>29</v>
      </c>
      <c r="I4717" s="1" t="str">
        <f ca="1">IFERROR(__xludf.DUMMYFUNCTION("GOOGLETRANSLATE(F4717, ""auto"", ""en"")
"),"1) Advantages: high power, long cord, bag for storage and transportation, folding handle 2) disadvantages: Sometimes after long work there is a smell of burnt plastic General impression: I have been using it for many years. I wanted to buy another one as "&amp;"a gift. It's a pity that this hair dryer model is no longer on sale.")</f>
        <v>1) Advantages: high power, long cord, bag for storage and transportation, folding handle 2) disadvantages: Sometimes after long work there is a smell of burnt plastic General impression: I have been using it for many years. I wanted to buy another one as a gift. It's a pity that this hair dryer model is no longer on sale.</v>
      </c>
    </row>
    <row r="4718" spans="1:9" x14ac:dyDescent="0.3">
      <c r="A4718" s="1" t="s">
        <v>37</v>
      </c>
      <c r="B4718" s="1" t="s">
        <v>38</v>
      </c>
      <c r="C4718" s="1" t="s">
        <v>163</v>
      </c>
      <c r="D4718" s="1" t="s">
        <v>7626</v>
      </c>
      <c r="E4718" s="1" t="s">
        <v>2955</v>
      </c>
      <c r="F4718" s="1" t="s">
        <v>7950</v>
      </c>
      <c r="G4718" s="1" t="s">
        <v>36</v>
      </c>
      <c r="H4718" s="1" t="s">
        <v>29</v>
      </c>
      <c r="I4718" s="1" t="str">
        <f ca="1">IFERROR(__xludf.DUMMYFUNCTION("GOOGLETRANSLATE(F4718, ""auto"", ""en"")
"),"Very good phone!  Personally, I don't need a phone for games, but for calls.   The quality of the photo is not very good, but that’s why it’s a phone and not a camera, so everything is fine.  The sound is very loud, which is very pleasing.  No buttons cra"&amp;"ck, the screen is excellent, nothing breaks or gets erased. You need to use your phone carefully, then everything will be ok")</f>
        <v>Very good phone!  Personally, I don't need a phone for games, but for calls.   The quality of the photo is not very good, but that’s why it’s a phone and not a camera, so everything is fine.  The sound is very loud, which is very pleasing.  No buttons crack, the screen is excellent, nothing breaks or gets erased. You need to use your phone carefully, then everything will be ok</v>
      </c>
    </row>
    <row r="4719" spans="1:9" x14ac:dyDescent="0.3">
      <c r="A4719" s="1" t="s">
        <v>30</v>
      </c>
      <c r="B4719" s="1" t="s">
        <v>50</v>
      </c>
      <c r="C4719" s="1" t="s">
        <v>51</v>
      </c>
      <c r="D4719" s="1" t="s">
        <v>1499</v>
      </c>
      <c r="E4719" s="1" t="s">
        <v>594</v>
      </c>
      <c r="F4719" s="1" t="s">
        <v>7951</v>
      </c>
      <c r="G4719" s="1" t="s">
        <v>36</v>
      </c>
      <c r="H4719" s="1" t="s">
        <v>29</v>
      </c>
      <c r="I4719" s="1" t="str">
        <f ca="1">IFERROR(__xludf.DUMMYFUNCTION("GOOGLETRANSLATE(F4719, ""auto"", ""en"")
"),"I really like it. The processor is powerful. And the fact that they write about buttons there are no such problems. Very convenient buttons.")</f>
        <v>I really like it. The processor is powerful. And the fact that they write about buttons there are no such problems. Very convenient buttons.</v>
      </c>
    </row>
    <row r="4720" spans="1:9" x14ac:dyDescent="0.3">
      <c r="A4720" s="1" t="s">
        <v>61</v>
      </c>
      <c r="B4720" s="1" t="s">
        <v>318</v>
      </c>
      <c r="C4720" s="1" t="s">
        <v>63</v>
      </c>
      <c r="D4720" s="1" t="s">
        <v>2122</v>
      </c>
      <c r="E4720" s="1" t="s">
        <v>7952</v>
      </c>
      <c r="F4720" s="1" t="s">
        <v>7953</v>
      </c>
      <c r="G4720" s="1" t="s">
        <v>36</v>
      </c>
      <c r="H4720" s="1" t="s">
        <v>29</v>
      </c>
      <c r="I4720" s="1" t="str">
        <f ca="1">IFERROR(__xludf.DUMMYFUNCTION("GOOGLETRANSLATE(F4720, ""auto"", ""en"")
"),"Unkillable. 7 years old, I'm replacing it with the same one, the plastic has turned yellow with age")</f>
        <v>Unkillable. 7 years old, I'm replacing it with the same one, the plastic has turned yellow with age</v>
      </c>
    </row>
    <row r="4721" spans="1:9" x14ac:dyDescent="0.3">
      <c r="A4721" s="1" t="s">
        <v>61</v>
      </c>
      <c r="B4721" s="1" t="s">
        <v>318</v>
      </c>
      <c r="C4721" s="1" t="s">
        <v>63</v>
      </c>
      <c r="D4721" s="1" t="s">
        <v>32</v>
      </c>
      <c r="E4721" s="1" t="s">
        <v>7954</v>
      </c>
      <c r="F4721" s="1" t="s">
        <v>7955</v>
      </c>
      <c r="G4721" s="1" t="s">
        <v>36</v>
      </c>
      <c r="H4721" s="1" t="s">
        <v>29</v>
      </c>
      <c r="I4721" s="1" t="str">
        <f ca="1">IFERROR(__xludf.DUMMYFUNCTION("GOOGLETRANSLATE(F4721, ""auto"", ""en"")
"),"The kettle is great, it lasted about five years. It doesn’t run, doesn’t cool down quickly, we decided to buy a new one because the lid stopped closing and opened slightly when boiling. And the kettle is very good, there are no complaints about the qualit"&amp;"y of the boiling, it earned its money.")</f>
        <v>The kettle is great, it lasted about five years. It doesn’t run, doesn’t cool down quickly, we decided to buy a new one because the lid stopped closing and opened slightly when boiling. And the kettle is very good, there are no complaints about the quality of the boiling, it earned its money.</v>
      </c>
    </row>
    <row r="4722" spans="1:9" x14ac:dyDescent="0.3">
      <c r="A4722" s="1" t="s">
        <v>624</v>
      </c>
      <c r="B4722" s="1" t="s">
        <v>2107</v>
      </c>
      <c r="C4722" s="1" t="s">
        <v>479</v>
      </c>
      <c r="D4722" s="1" t="s">
        <v>7956</v>
      </c>
      <c r="E4722" s="1" t="s">
        <v>2313</v>
      </c>
      <c r="F4722" s="1" t="s">
        <v>7957</v>
      </c>
      <c r="G4722" s="1" t="s">
        <v>36</v>
      </c>
      <c r="H4722" s="1" t="s">
        <v>29</v>
      </c>
      <c r="I4722" s="1" t="str">
        <f ca="1">IFERROR(__xludf.DUMMYFUNCTION("GOOGLETRANSLATE(F4722, ""auto"", ""en"")
"),"It is because of this game that I am going to buy an xbox/ps3. Excellent depiction of the dynamics, freedom of movement in battle, anime fans should really like it.  I hope by the time I buy the platform you will have the game!")</f>
        <v>It is because of this game that I am going to buy an xbox/ps3. Excellent depiction of the dynamics, freedom of movement in battle, anime fans should really like it.  I hope by the time I buy the platform you will have the game!</v>
      </c>
    </row>
    <row r="4723" spans="1:9" x14ac:dyDescent="0.3">
      <c r="A4723" s="1" t="s">
        <v>211</v>
      </c>
      <c r="B4723" s="1" t="s">
        <v>212</v>
      </c>
      <c r="C4723" s="1" t="s">
        <v>294</v>
      </c>
      <c r="D4723" s="1" t="s">
        <v>565</v>
      </c>
      <c r="E4723" s="1" t="s">
        <v>2669</v>
      </c>
      <c r="F4723" s="1" t="s">
        <v>7958</v>
      </c>
      <c r="G4723" s="1" t="s">
        <v>36</v>
      </c>
      <c r="H4723" s="1" t="s">
        <v>29</v>
      </c>
      <c r="I4723" s="1" t="str">
        <f ca="1">IFERROR(__xludf.DUMMYFUNCTION("GOOGLETRANSLATE(F4723, ""auto"", ""en"")
"),"I've been using this hair dryer for six months now. And I can’t say anything bad about him. Great thing (5+). I have never regretted that I bought it.")</f>
        <v>I've been using this hair dryer for six months now. And I can’t say anything bad about him. Great thing (5+). I have never regretted that I bought it.</v>
      </c>
    </row>
    <row r="4724" spans="1:9" x14ac:dyDescent="0.3">
      <c r="A4724" s="1" t="s">
        <v>30</v>
      </c>
      <c r="B4724" s="1" t="s">
        <v>31</v>
      </c>
      <c r="C4724" s="1" t="s">
        <v>32</v>
      </c>
      <c r="D4724" s="1" t="s">
        <v>1776</v>
      </c>
      <c r="E4724" s="1" t="s">
        <v>400</v>
      </c>
      <c r="F4724" s="1" t="s">
        <v>7959</v>
      </c>
      <c r="G4724" s="1" t="s">
        <v>36</v>
      </c>
      <c r="H4724" s="1" t="s">
        <v>29</v>
      </c>
      <c r="I4724" s="1" t="str">
        <f ca="1">IFERROR(__xludf.DUMMYFUNCTION("GOOGLETRANSLATE(F4724, ""auto"", ""en"")
"),"asd, you're wrong.  Windows64 supports 128GB of RAM, not 64")</f>
        <v>asd, you're wrong.  Windows64 supports 128GB of RAM, not 64</v>
      </c>
    </row>
    <row r="4725" spans="1:9" x14ac:dyDescent="0.3">
      <c r="A4725" s="1" t="s">
        <v>149</v>
      </c>
      <c r="B4725" s="1" t="s">
        <v>576</v>
      </c>
      <c r="C4725" s="1" t="s">
        <v>69</v>
      </c>
      <c r="D4725" s="1" t="s">
        <v>7960</v>
      </c>
      <c r="E4725" s="1" t="s">
        <v>7961</v>
      </c>
      <c r="F4725" s="1" t="s">
        <v>7962</v>
      </c>
      <c r="G4725" s="1" t="s">
        <v>36</v>
      </c>
      <c r="H4725" s="1" t="s">
        <v>29</v>
      </c>
      <c r="I4725" s="1" t="str">
        <f ca="1">IFERROR(__xludf.DUMMYFUNCTION("GOOGLETRANSLATE(F4725, ""auto"", ""en"")
"),"This is a really powerful vacuum cleaner and is very quiet compared to others. They showed it to me in the store and I had no doubt that this was what I needed. I didn’t regret my choice at all. And by the way, the bags are replaceable, it’s very convenie"&amp;"nt, fill it up, throw it away and don’t need to shake anything, wash it, etc. The previous one also came with bags, believe me, it’s very convenient!")</f>
        <v>This is a really powerful vacuum cleaner and is very quiet compared to others. They showed it to me in the store and I had no doubt that this was what I needed. I didn’t regret my choice at all. And by the way, the bags are replaceable, it’s very convenient, fill it up, throw it away and don’t need to shake anything, wash it, etc. The previous one also came with bags, believe me, it’s very convenient!</v>
      </c>
    </row>
    <row r="4726" spans="1:9" x14ac:dyDescent="0.3">
      <c r="A4726" s="1" t="s">
        <v>67</v>
      </c>
      <c r="B4726" s="1" t="s">
        <v>68</v>
      </c>
      <c r="C4726" s="1" t="s">
        <v>185</v>
      </c>
      <c r="D4726" s="1" t="s">
        <v>280</v>
      </c>
      <c r="E4726" s="1" t="s">
        <v>153</v>
      </c>
      <c r="F4726" s="1" t="s">
        <v>7963</v>
      </c>
      <c r="G4726" s="1" t="s">
        <v>28</v>
      </c>
      <c r="H4726" s="1" t="s">
        <v>29</v>
      </c>
      <c r="I4726" s="1" t="str">
        <f ca="1">IFERROR(__xludf.DUMMYFUNCTION("GOOGLETRANSLATE(F4726, ""auto"", ""en"")
"),"I bought one for myself 2 years ago - I really liked how it worked. Last year I bought two more of these - for my sister and brother (for weddings) - they are also very happy and use them constantly. Rating 4 - because My brother’s iron broke after six mo"&amp;"nths (the valve rattled). He took the iron to the M-Video service center, and they sent it to Delongey for repairs. They repaired it in DeLonghi and returned it a month later. Now he uses it - no problems. I recommend it. The price is good. A great gift f"&amp;"or hostesses.")</f>
        <v>I bought one for myself 2 years ago - I really liked how it worked. Last year I bought two more of these - for my sister and brother (for weddings) - they are also very happy and use them constantly. Rating 4 - because My brother’s iron broke after six months (the valve rattled). He took the iron to the M-Video service center, and they sent it to Delongey for repairs. They repaired it in DeLonghi and returned it a month later. Now he uses it - no problems. I recommend it. The price is good. A great gift for hostesses.</v>
      </c>
    </row>
    <row r="4727" spans="1:9" x14ac:dyDescent="0.3">
      <c r="A4727" s="1" t="s">
        <v>78</v>
      </c>
      <c r="B4727" s="1" t="s">
        <v>79</v>
      </c>
      <c r="C4727" s="1" t="s">
        <v>351</v>
      </c>
      <c r="D4727" s="1" t="s">
        <v>1188</v>
      </c>
      <c r="E4727" s="1" t="s">
        <v>4710</v>
      </c>
      <c r="F4727" s="1" t="s">
        <v>7964</v>
      </c>
      <c r="G4727" s="1" t="s">
        <v>36</v>
      </c>
      <c r="H4727" s="1" t="s">
        <v>29</v>
      </c>
      <c r="I4727" s="1" t="str">
        <f ca="1">IFERROR(__xludf.DUMMYFUNCTION("GOOGLETRANSLATE(F4727, ""auto"", ""en"")
"),"We got it as a wedding gift 4 years ago. At first I was confused that it was Supra; I had never heard of this company before, but as it turned out, it was completely in vain. It has been working flawlessly for 4 years, without the slightest breakdown. And"&amp;" the price in stores, as it turned out, was also a pleasant surprise. I would recommend it. I use it almost every day and have no problems.")</f>
        <v>We got it as a wedding gift 4 years ago. At first I was confused that it was Supra; I had never heard of this company before, but as it turned out, it was completely in vain. It has been working flawlessly for 4 years, without the slightest breakdown. And the price in stores, as it turned out, was also a pleasant surprise. I would recommend it. I use it almost every day and have no problems.</v>
      </c>
    </row>
    <row r="4728" spans="1:9" x14ac:dyDescent="0.3">
      <c r="A4728" s="1" t="s">
        <v>211</v>
      </c>
      <c r="B4728" s="1" t="s">
        <v>856</v>
      </c>
      <c r="C4728" s="1" t="s">
        <v>57</v>
      </c>
      <c r="D4728" s="1" t="s">
        <v>471</v>
      </c>
      <c r="E4728" s="1" t="s">
        <v>7965</v>
      </c>
      <c r="F4728" s="1" t="s">
        <v>7966</v>
      </c>
      <c r="G4728" s="1" t="s">
        <v>49</v>
      </c>
      <c r="H4728" s="1" t="s">
        <v>16</v>
      </c>
      <c r="I4728" s="1" t="str">
        <f ca="1">IFERROR(__xludf.DUMMYFUNCTION("GOOGLETRANSLATE(F4728, ""auto"", ""en"")
"),"Terrible and useless set!! You can't really do anything with it! It's very weak for a pedicure!!")</f>
        <v>Terrible and useless set!! You can't really do anything with it! It's very weak for a pedicure!!</v>
      </c>
    </row>
    <row r="4729" spans="1:9" x14ac:dyDescent="0.3">
      <c r="A4729" s="1" t="s">
        <v>9</v>
      </c>
      <c r="B4729" s="1" t="s">
        <v>10</v>
      </c>
      <c r="C4729" s="1" t="s">
        <v>3091</v>
      </c>
      <c r="D4729" s="1" t="s">
        <v>483</v>
      </c>
      <c r="E4729" s="1" t="s">
        <v>7967</v>
      </c>
      <c r="F4729" s="1" t="s">
        <v>7968</v>
      </c>
      <c r="G4729" s="1" t="s">
        <v>36</v>
      </c>
      <c r="H4729" s="1" t="s">
        <v>29</v>
      </c>
      <c r="I4729" s="1" t="str">
        <f ca="1">IFERROR(__xludf.DUMMYFUNCTION("GOOGLETRANSLATE(F4729, ""auto"", ""en"")
"),"Calm design - nothing superfluous. At this price and size for a kitchen, 12 sq.m provides very decent suction power. Not noisy at all (compared to other manufacturers). You need to install a plastic solid air duct. I recommend))")</f>
        <v>Calm design - nothing superfluous. At this price and size for a kitchen, 12 sq.m provides very decent suction power. Not noisy at all (compared to other manufacturers). You need to install a plastic solid air duct. I recommend))</v>
      </c>
    </row>
    <row r="4730" spans="1:9" x14ac:dyDescent="0.3">
      <c r="A4730" s="1" t="s">
        <v>9</v>
      </c>
      <c r="B4730" s="1" t="s">
        <v>137</v>
      </c>
      <c r="C4730" s="1" t="s">
        <v>151</v>
      </c>
      <c r="D4730" s="1" t="s">
        <v>308</v>
      </c>
      <c r="E4730" s="1" t="s">
        <v>7969</v>
      </c>
      <c r="F4730" s="1" t="s">
        <v>7970</v>
      </c>
      <c r="G4730" s="1" t="s">
        <v>36</v>
      </c>
      <c r="H4730" s="1" t="s">
        <v>29</v>
      </c>
      <c r="I4730" s="1" t="str">
        <f ca="1">IFERROR(__xludf.DUMMYFUNCTION("GOOGLETRANSLATE(F4730, ""auto"", ""en"")
"),"We started renovations in a new apartment... everything was going as usual... and now it’s time to choose a glass-ceramic hob. I liked the look of the Samsung C61R2CAST (especially since I never had any problems with this company). Then, after visiting a "&amp;"bunch of other stores (we were looking for where it was cheaper or had a promotion on it), we bought it. At first I was very afraid to cook with it, I thought it would get dirty and not clean it off. But over time I got used to it. By the way, the husband"&amp;" was going to cook some spaghetti, they “ran away” from him and he didn’t approach her when the gun shot. It’s very easy to take care of it, the main thing is to buy a scraper and a special cleaning agent. I also bought a new set of dishes, it’s just a sh"&amp;"ame to cook on such a cool panel with old pots. (((Another very important point is not to buy a hob with an aluminum rim, because grease and dirt will collect there!!! By the way, it’s very important to read reviews before buying because my friend’s hob ("&amp;"I don’t remember which company) doesn’t want to be cleaned, she tried everything, she I'm just terrified. Also, this panel is afraid of targeted impacts. Enjoy your cooking :)")</f>
        <v>We started renovations in a new apartment... everything was going as usual... and now it’s time to choose a glass-ceramic hob. I liked the look of the Samsung C61R2CAST (especially since I never had any problems with this company). Then, after visiting a bunch of other stores (we were looking for where it was cheaper or had a promotion on it), we bought it. At first I was very afraid to cook with it, I thought it would get dirty and not clean it off. But over time I got used to it. By the way, the husband was going to cook some spaghetti, they “ran away” from him and he didn’t approach her when the gun shot. It’s very easy to take care of it, the main thing is to buy a scraper and a special cleaning agent. I also bought a new set of dishes, it’s just a shame to cook on such a cool panel with old pots. (((Another very important point is not to buy a hob with an aluminum rim, because grease and dirt will collect there!!! By the way, it’s very important to read reviews before buying because my friend’s hob (I don’t remember which company) doesn’t want to be cleaned, she tried everything, she I'm just terrified. Also, this panel is afraid of targeted impacts. Enjoy your cooking :)</v>
      </c>
    </row>
    <row r="4731" spans="1:9" x14ac:dyDescent="0.3">
      <c r="A4731" s="1" t="s">
        <v>67</v>
      </c>
      <c r="B4731" s="1" t="s">
        <v>68</v>
      </c>
      <c r="C4731" s="1" t="s">
        <v>246</v>
      </c>
      <c r="D4731" s="1" t="s">
        <v>589</v>
      </c>
      <c r="E4731" s="1" t="s">
        <v>7971</v>
      </c>
      <c r="F4731" s="1" t="s">
        <v>7972</v>
      </c>
      <c r="G4731" s="1" t="s">
        <v>36</v>
      </c>
      <c r="H4731" s="1" t="s">
        <v>29</v>
      </c>
      <c r="I4731" s="1" t="str">
        <f ca="1">IFERROR(__xludf.DUMMYFUNCTION("GOOGLETRANSLATE(F4731, ""auto"", ""en"")
"),"I have been using this model for more than 5 years. Everything is great! Steams and irons wonderfully. I don't have any problems with it. I recommend it to everyone.")</f>
        <v>I have been using this model for more than 5 years. Everything is great! Steams and irons wonderfully. I don't have any problems with it. I recommend it to everyone.</v>
      </c>
    </row>
    <row r="4732" spans="1:9" x14ac:dyDescent="0.3">
      <c r="A4732" s="1" t="s">
        <v>211</v>
      </c>
      <c r="B4732" s="1" t="s">
        <v>212</v>
      </c>
      <c r="C4732" s="1" t="s">
        <v>381</v>
      </c>
      <c r="D4732" s="1" t="s">
        <v>64</v>
      </c>
      <c r="E4732" s="1" t="s">
        <v>7973</v>
      </c>
      <c r="F4732" s="1" t="s">
        <v>7974</v>
      </c>
      <c r="G4732" s="1" t="s">
        <v>36</v>
      </c>
      <c r="H4732" s="1" t="s">
        <v>29</v>
      </c>
      <c r="I4732" s="1" t="str">
        <f ca="1">IFERROR(__xludf.DUMMYFUNCTION("GOOGLETRANSLATE(F4732, ""auto"", ""en"")
"),"The negative reviews are simply surprising. Girls, why do you take these curling irons? For curls you need others. My hair is long and straight like straw. I use them to style my bangs and ends, and add volume at the roots. I learned this from my own expe"&amp;"rience, it’s good that they don’t heat up too much, which makes styling easy (don’t overdo it). So just because they don't do curls doesn't mean they're bad.")</f>
        <v>The negative reviews are simply surprising. Girls, why do you take these curling irons? For curls you need others. My hair is long and straight like straw. I use them to style my bangs and ends, and add volume at the roots. I learned this from my own experience, it’s good that they don’t heat up too much, which makes styling easy (don’t overdo it). So just because they don't do curls doesn't mean they're bad.</v>
      </c>
    </row>
    <row r="4733" spans="1:9" x14ac:dyDescent="0.3">
      <c r="A4733" s="1" t="s">
        <v>105</v>
      </c>
      <c r="B4733" s="1" t="s">
        <v>106</v>
      </c>
      <c r="C4733" s="1" t="s">
        <v>1209</v>
      </c>
      <c r="D4733" s="1" t="s">
        <v>7975</v>
      </c>
      <c r="E4733" s="1" t="s">
        <v>395</v>
      </c>
      <c r="F4733" s="1" t="s">
        <v>7976</v>
      </c>
      <c r="G4733" s="1" t="s">
        <v>36</v>
      </c>
      <c r="H4733" s="1" t="s">
        <v>29</v>
      </c>
      <c r="I4733" s="1" t="str">
        <f ca="1">IFERROR(__xludf.DUMMYFUNCTION("GOOGLETRANSLATE(F4733, ""auto"", ""en"")
"),"Very beautiful, thin body, colorful display, plays almost all formats, and is not expensive. Players without video are sold for the same money. I am very pleased with the purchase, the player makes me very happy, one of the best models!")</f>
        <v>Very beautiful, thin body, colorful display, plays almost all formats, and is not expensive. Players without video are sold for the same money. I am very pleased with the purchase, the player makes me very happy, one of the best models!</v>
      </c>
    </row>
    <row r="4734" spans="1:9" x14ac:dyDescent="0.3">
      <c r="A4734" s="1" t="s">
        <v>169</v>
      </c>
      <c r="B4734" s="1" t="s">
        <v>170</v>
      </c>
      <c r="C4734" s="1" t="s">
        <v>193</v>
      </c>
      <c r="D4734" s="1" t="s">
        <v>232</v>
      </c>
      <c r="E4734" s="1" t="s">
        <v>1005</v>
      </c>
      <c r="F4734" s="1" t="s">
        <v>7977</v>
      </c>
      <c r="G4734" s="1" t="s">
        <v>36</v>
      </c>
      <c r="H4734" s="1" t="s">
        <v>29</v>
      </c>
      <c r="I4734" s="1" t="str">
        <f ca="1">IFERROR(__xludf.DUMMYFUNCTION("GOOGLETRANSLATE(F4734, ""auto"", ""en"")
"),"There is just an unreal amount of music!!!   Take it with confidence, you won’t regret it.  There are no competitors in this price category.")</f>
        <v>There is just an unreal amount of music!!!   Take it with confidence, you won’t regret it.  There are no competitors in this price category.</v>
      </c>
    </row>
    <row r="4735" spans="1:9" x14ac:dyDescent="0.3">
      <c r="A4735" s="1" t="s">
        <v>9</v>
      </c>
      <c r="B4735" s="1" t="s">
        <v>10</v>
      </c>
      <c r="C4735" s="1" t="s">
        <v>466</v>
      </c>
      <c r="D4735" s="1" t="s">
        <v>7978</v>
      </c>
      <c r="E4735" s="1" t="s">
        <v>2742</v>
      </c>
      <c r="F4735" s="1" t="s">
        <v>7979</v>
      </c>
      <c r="G4735" s="1" t="s">
        <v>36</v>
      </c>
      <c r="H4735" s="1" t="s">
        <v>29</v>
      </c>
      <c r="I4735" s="1" t="str">
        <f ca="1">IFERROR(__xludf.DUMMYFUNCTION("GOOGLETRANSLATE(F4735, ""auto"", ""en"")
"),"The hood has been working effectively for me for over a year now. What did you notice when she appeared? On my work apron, which I have made of light tiles, a sticky yellowish coating from steam and grease has stopped appearing, which had to be scrubbed o"&amp;"ff with a hard washcloth; after generously frying a cutlet or, especially, fish, even kitchen towels do not absorb cooking odors. It works powerfully, absorbs all aromas conscientiously, I cook only with the hood on, and in the evening it is convenient to"&amp;" use only the stove light. Management is elementary. Easy to clean, filters can be removed for cleaning. I'm happy.")</f>
        <v>The hood has been working effectively for me for over a year now. What did you notice when she appeared? On my work apron, which I have made of light tiles, a sticky yellowish coating from steam and grease has stopped appearing, which had to be scrubbed off with a hard washcloth; after generously frying a cutlet or, especially, fish, even kitchen towels do not absorb cooking odors. It works powerfully, absorbs all aromas conscientiously, I cook only with the hood on, and in the evening it is convenient to use only the stove light. Management is elementary. Easy to clean, filters can be removed for cleaning. I'm happy.</v>
      </c>
    </row>
    <row r="4736" spans="1:9" x14ac:dyDescent="0.3">
      <c r="A4736" s="1" t="s">
        <v>120</v>
      </c>
      <c r="B4736" s="1" t="s">
        <v>121</v>
      </c>
      <c r="C4736" s="1" t="s">
        <v>151</v>
      </c>
      <c r="D4736" s="1" t="s">
        <v>2682</v>
      </c>
      <c r="E4736" s="1" t="s">
        <v>571</v>
      </c>
      <c r="F4736" s="1" t="s">
        <v>7980</v>
      </c>
      <c r="G4736" s="1" t="s">
        <v>36</v>
      </c>
      <c r="H4736" s="1" t="s">
        <v>29</v>
      </c>
      <c r="I4736" s="1" t="str">
        <f ca="1">IFERROR(__xludf.DUMMYFUNCTION("GOOGLETRANSLATE(F4736, ""auto"", ""en"")
"),"32"" LCD TV Samsung LE-32 B450 C4W. Excellent TV, in my opinion - the best of the ""budget"" models. Bright, juicy, ""sunny"" image, which really pleased!!! The Samsung matrix rules! I didn't even consider a diagonal of less than 26"" when choosing, and h"&amp;"aving tasted 32"" - you won't agree to a smaller one (unless this TV intended for the kitchen, for example). So I advise everyone who doubts to take it - you won’t regret it!")</f>
        <v>32" LCD TV Samsung LE-32 B450 C4W. Excellent TV, in my opinion - the best of the "budget" models. Bright, juicy, "sunny" image, which really pleased!!! The Samsung matrix rules! I didn't even consider a diagonal of less than 26" when choosing, and having tasted 32" - you won't agree to a smaller one (unless this TV intended for the kitchen, for example). So I advise everyone who doubts to take it - you won’t regret it!</v>
      </c>
    </row>
    <row r="4737" spans="1:9" x14ac:dyDescent="0.3">
      <c r="A4737" s="1" t="s">
        <v>211</v>
      </c>
      <c r="B4737" s="1" t="s">
        <v>212</v>
      </c>
      <c r="C4737" s="1" t="s">
        <v>294</v>
      </c>
      <c r="D4737" s="1" t="s">
        <v>1681</v>
      </c>
      <c r="E4737" s="1" t="s">
        <v>2502</v>
      </c>
      <c r="F4737" s="1" t="s">
        <v>7981</v>
      </c>
      <c r="G4737" s="1" t="s">
        <v>36</v>
      </c>
      <c r="H4737" s="1" t="s">
        <v>29</v>
      </c>
      <c r="I4737" s="1" t="str">
        <f ca="1">IFERROR(__xludf.DUMMYFUNCTION("GOOGLETRANSLATE(F4737, ""auto"", ""en"")
"),"The tongs are simply incredible. I didn’t regret that I bought it) I recommend it to everyone)")</f>
        <v>The tongs are simply incredible. I didn’t regret that I bought it) I recommend it to everyone)</v>
      </c>
    </row>
    <row r="4738" spans="1:9" x14ac:dyDescent="0.3">
      <c r="A4738" s="1" t="s">
        <v>37</v>
      </c>
      <c r="B4738" s="1" t="s">
        <v>38</v>
      </c>
      <c r="C4738" s="1" t="s">
        <v>163</v>
      </c>
      <c r="D4738" s="1" t="s">
        <v>2091</v>
      </c>
      <c r="E4738" s="1" t="s">
        <v>3367</v>
      </c>
      <c r="F4738" s="1" t="s">
        <v>7982</v>
      </c>
      <c r="G4738" s="1" t="s">
        <v>28</v>
      </c>
      <c r="H4738" s="1" t="s">
        <v>29</v>
      </c>
      <c r="I4738" s="1" t="str">
        <f ca="1">IFERROR(__xludf.DUMMYFUNCTION("GOOGLETRANSLATE(F4738, ""auto"", ""en"")
"),"The phone is not bad, and you can’t wish for anything better for that kind of money.  a good music player, although the speakers are not so loud. The camera on the phone is *so-so*. Well, you shouldn’t expect more, since this is not a SLR camera. The batt"&amp;"eries last for about 3-4 days. There is one drawback: on the street you can hardly see anything on the screen, I advise")</f>
        <v>The phone is not bad, and you can’t wish for anything better for that kind of money.  a good music player, although the speakers are not so loud. The camera on the phone is *so-so*. Well, you shouldn’t expect more, since this is not a SLR camera. The batteries last for about 3-4 days. There is one drawback: on the street you can hardly see anything on the screen, I advise</v>
      </c>
    </row>
    <row r="4739" spans="1:9" x14ac:dyDescent="0.3">
      <c r="A4739" s="1" t="s">
        <v>369</v>
      </c>
      <c r="B4739" s="1" t="s">
        <v>370</v>
      </c>
      <c r="C4739" s="1" t="s">
        <v>19</v>
      </c>
      <c r="D4739" s="1" t="s">
        <v>345</v>
      </c>
      <c r="E4739" s="1" t="s">
        <v>1651</v>
      </c>
      <c r="F4739" s="1" t="s">
        <v>7983</v>
      </c>
      <c r="G4739" s="1" t="s">
        <v>36</v>
      </c>
      <c r="H4739" s="1" t="s">
        <v>29</v>
      </c>
      <c r="I4739" s="1" t="str">
        <f ca="1">IFERROR(__xludf.DUMMYFUNCTION("GOOGLETRANSLATE(F4739, ""auto"", ""en"")
"),"Great stove! We bought it 3 months ago and are very pleased. At first they wanted to get one with cast iron burners, because... cheaper, but at the last moment they changed their mind (and did the right thing).")</f>
        <v>Great stove! We bought it 3 months ago and are very pleased. At first they wanted to get one with cast iron burners, because... cheaper, but at the last moment they changed their mind (and did the right thing).</v>
      </c>
    </row>
    <row r="4740" spans="1:9" x14ac:dyDescent="0.3">
      <c r="A4740" s="1" t="s">
        <v>61</v>
      </c>
      <c r="B4740" s="1" t="s">
        <v>318</v>
      </c>
      <c r="C4740" s="1" t="s">
        <v>101</v>
      </c>
      <c r="D4740" s="1" t="s">
        <v>1840</v>
      </c>
      <c r="E4740" s="1" t="s">
        <v>7984</v>
      </c>
      <c r="F4740" s="1" t="s">
        <v>7985</v>
      </c>
      <c r="G4740" s="1" t="s">
        <v>49</v>
      </c>
      <c r="H4740" s="1" t="s">
        <v>16</v>
      </c>
      <c r="I4740" s="1" t="str">
        <f ca="1">IFERROR(__xludf.DUMMYFUNCTION("GOOGLETRANSLATE(F4740, ""auto"", ""en"")
"),"The kettle is noisy, boils in 4-5 minutes, it worked for six months and then the contact melted during boiling, it’s not worth buying, it’s not durable.")</f>
        <v>The kettle is noisy, boils in 4-5 minutes, it worked for six months and then the contact melted during boiling, it’s not worth buying, it’s not durable.</v>
      </c>
    </row>
    <row r="4741" spans="1:9" x14ac:dyDescent="0.3">
      <c r="A4741" s="1" t="s">
        <v>61</v>
      </c>
      <c r="B4741" s="1" t="s">
        <v>1727</v>
      </c>
      <c r="C4741" s="1" t="s">
        <v>122</v>
      </c>
      <c r="D4741" s="1" t="s">
        <v>308</v>
      </c>
      <c r="E4741" s="1" t="s">
        <v>3477</v>
      </c>
      <c r="F4741" s="1" t="s">
        <v>7986</v>
      </c>
      <c r="G4741" s="1" t="s">
        <v>36</v>
      </c>
      <c r="H4741" s="1" t="s">
        <v>29</v>
      </c>
      <c r="I4741" s="1" t="str">
        <f ca="1">IFERROR(__xludf.DUMMYFUNCTION("GOOGLETRANSLATE(F4741, ""auto"", ""en"")
"),"My husband gave it for March 8th. I'm just delighted! I tried all the modes. I didn’t have time to do anything with a small child and the multi became a real salvation - I threw everything on, turned it on and ran for a walk. and bakes excellently. mine w"&amp;"orks silently, well, of course, it beeps at the end. The smell of food does not remain if you follow the instructions and rinse the valve on the lid each time. There is only one minus - he cannot take everything from the refrigerator and throw it into him"&amp;"self.  I am absolutely delighted! Everything turns out very tasty. And my pilaf, by the way, turned out to be crumbly, not a bit of rice sticking together.")</f>
        <v>My husband gave it for March 8th. I'm just delighted! I tried all the modes. I didn’t have time to do anything with a small child and the multi became a real salvation - I threw everything on, turned it on and ran for a walk. and bakes excellently. mine works silently, well, of course, it beeps at the end. The smell of food does not remain if you follow the instructions and rinse the valve on the lid each time. There is only one minus - he cannot take everything from the refrigerator and throw it into himself.  I am absolutely delighted! Everything turns out very tasty. And my pilaf, by the way, turned out to be crumbly, not a bit of rice sticking together.</v>
      </c>
    </row>
    <row r="4742" spans="1:9" x14ac:dyDescent="0.3">
      <c r="A4742" s="1" t="s">
        <v>105</v>
      </c>
      <c r="B4742" s="1" t="s">
        <v>106</v>
      </c>
      <c r="C4742" s="1" t="s">
        <v>151</v>
      </c>
      <c r="D4742" s="1" t="s">
        <v>33</v>
      </c>
      <c r="E4742" s="1" t="s">
        <v>1494</v>
      </c>
      <c r="F4742" s="1" t="s">
        <v>7987</v>
      </c>
      <c r="G4742" s="1" t="s">
        <v>36</v>
      </c>
      <c r="H4742" s="1" t="s">
        <v>29</v>
      </c>
      <c r="I4742" s="1" t="str">
        <f ca="1">IFERROR(__xludf.DUMMYFUNCTION("GOOGLETRANSLATE(F4742, ""auto"", ""en"")
"),"The thing is magnificent!!! I couldn't be happier, take it, you won't regret it!! The screen is nice and simple, the included headphones are excellent and overall the appearance is nice. I chose between the Sony NWZ-B143F 2gb Black and the Sams.   Sony's,"&amp;" although the price is higher, the screen is made too simply and doesn't show animation or album cover, but in terms of sound quality I gave preference to Sonya: it has a slightly richer sound. and in terms of coating, Sonya lost again - it’s colorful and"&amp;" glossy, while the player can be in your pocket with change and keys, and in general, I think we overpay 300-400 rubles just for the inscription “SONY” =)")</f>
        <v>The thing is magnificent!!! I couldn't be happier, take it, you won't regret it!! The screen is nice and simple, the included headphones are excellent and overall the appearance is nice. I chose between the Sony NWZ-B143F 2gb Black and the Sams.   Sony's, although the price is higher, the screen is made too simply and doesn't show animation or album cover, but in terms of sound quality I gave preference to Sonya: it has a slightly richer sound. and in terms of coating, Sonya lost again - it’s colorful and glossy, while the player can be in your pocket with change and keys, and in general, I think we overpay 300-400 rubles just for the inscription “SONY” =)</v>
      </c>
    </row>
    <row r="4743" spans="1:9" x14ac:dyDescent="0.3">
      <c r="A4743" s="1" t="s">
        <v>2087</v>
      </c>
      <c r="B4743" s="1" t="s">
        <v>2088</v>
      </c>
      <c r="C4743" s="1" t="s">
        <v>4545</v>
      </c>
      <c r="D4743" s="1" t="s">
        <v>152</v>
      </c>
      <c r="E4743" s="1" t="s">
        <v>2089</v>
      </c>
      <c r="F4743" s="1" t="s">
        <v>7988</v>
      </c>
      <c r="G4743" s="1" t="s">
        <v>28</v>
      </c>
      <c r="H4743" s="1" t="s">
        <v>29</v>
      </c>
      <c r="I4743" s="1" t="str">
        <f ca="1">IFERROR(__xludf.DUMMYFUNCTION("GOOGLETRANSLATE(F4743, ""auto"", ""en"")
"),"Very good optical sound.  Reads well - even what gets stuck on the computer.  The inability to enable multi-zone is annoying: the magic combination 9113, found on the Internet for the BD3000, does not work (dialing numbers is accompanied by an indication "&amp;"on the screen “prohibited”)")</f>
        <v>Very good optical sound.  Reads well - even what gets stuck on the computer.  The inability to enable multi-zone is annoying: the magic combination 9113, found on the Internet for the BD3000, does not work (dialing numbers is accompanied by an indication on the screen “prohibited”)</v>
      </c>
    </row>
    <row r="4744" spans="1:9" x14ac:dyDescent="0.3">
      <c r="A4744" s="1" t="s">
        <v>61</v>
      </c>
      <c r="B4744" s="1" t="s">
        <v>318</v>
      </c>
      <c r="C4744" s="1" t="s">
        <v>101</v>
      </c>
      <c r="D4744" s="1" t="s">
        <v>4222</v>
      </c>
      <c r="E4744" s="1" t="s">
        <v>1700</v>
      </c>
      <c r="F4744" s="1" t="s">
        <v>7989</v>
      </c>
      <c r="G4744" s="1" t="s">
        <v>15</v>
      </c>
      <c r="H4744" s="1" t="s">
        <v>16</v>
      </c>
      <c r="I4744" s="1" t="str">
        <f ca="1">IFERROR(__xludf.DUMMYFUNCTION("GOOGLETRANSLATE(F4744, ""auto"", ""en"")
"),"Yesterday we bought this company. So, in principle, it’s not bad: beautiful design, backlighting, does not make noise when boiling, but there is a very big minus - the plastic stinks when heated. My husband took it back and they accepted it.")</f>
        <v>Yesterday we bought this company. So, in principle, it’s not bad: beautiful design, backlighting, does not make noise when boiling, but there is a very big minus - the plastic stinks when heated. My husband took it back and they accepted it.</v>
      </c>
    </row>
    <row r="4745" spans="1:9" x14ac:dyDescent="0.3">
      <c r="A4745" s="1" t="s">
        <v>211</v>
      </c>
      <c r="B4745" s="1" t="s">
        <v>212</v>
      </c>
      <c r="C4745" s="1" t="s">
        <v>57</v>
      </c>
      <c r="D4745" s="1" t="s">
        <v>64</v>
      </c>
      <c r="E4745" s="1" t="s">
        <v>7990</v>
      </c>
      <c r="F4745" s="1" t="s">
        <v>7991</v>
      </c>
      <c r="G4745" s="1" t="s">
        <v>49</v>
      </c>
      <c r="H4745" s="1" t="s">
        <v>16</v>
      </c>
      <c r="I4745" s="1" t="str">
        <f ca="1">IFERROR(__xludf.DUMMYFUNCTION("GOOGLETRANSLATE(F4745, ""auto"", ""en"")
"),"They warmed up slowly. One day they simply stopped working.")</f>
        <v>They warmed up slowly. One day they simply stopped working.</v>
      </c>
    </row>
    <row r="4746" spans="1:9" x14ac:dyDescent="0.3">
      <c r="A4746" s="1" t="s">
        <v>61</v>
      </c>
      <c r="B4746" s="1" t="s">
        <v>224</v>
      </c>
      <c r="C4746" s="1" t="s">
        <v>69</v>
      </c>
      <c r="D4746" s="1" t="s">
        <v>1581</v>
      </c>
      <c r="E4746" s="1" t="s">
        <v>285</v>
      </c>
      <c r="F4746" s="1" t="s">
        <v>7992</v>
      </c>
      <c r="G4746" s="1" t="s">
        <v>28</v>
      </c>
      <c r="H4746" s="1" t="s">
        <v>29</v>
      </c>
      <c r="I4746" s="1" t="str">
        <f ca="1">IFERROR(__xludf.DUMMYFUNCTION("GOOGLETRANSLATE(F4746, ""auto"", ""en"")
"),"Quite a convenient device, the only negative is that after a month of use I still didn’t understand the algorithm for switching the speed “forward/backward” ((((")</f>
        <v>Quite a convenient device, the only negative is that after a month of use I still didn’t understand the algorithm for switching the speed “forward/backward” ((((</v>
      </c>
    </row>
    <row r="4747" spans="1:9" x14ac:dyDescent="0.3">
      <c r="A4747" s="1" t="s">
        <v>369</v>
      </c>
      <c r="B4747" s="1" t="s">
        <v>587</v>
      </c>
      <c r="C4747" s="1" t="s">
        <v>243</v>
      </c>
      <c r="D4747" s="1" t="s">
        <v>64</v>
      </c>
      <c r="E4747" s="1" t="s">
        <v>2514</v>
      </c>
      <c r="F4747" s="1" t="s">
        <v>7993</v>
      </c>
      <c r="G4747" s="1" t="s">
        <v>36</v>
      </c>
      <c r="H4747" s="1" t="s">
        <v>29</v>
      </c>
      <c r="I4747" s="1" t="str">
        <f ca="1">IFERROR(__xludf.DUMMYFUNCTION("GOOGLETRANSLATE(F4747, ""auto"", ""en"")
"),"It’s an excellent stove, you just need to get used to it, like with anything new. And to avoid problems with streaks, once it’s ready, wipe it right away. I bought a napkin, a cleaning product, and everything is great. If you like it, buy it.")</f>
        <v>It’s an excellent stove, you just need to get used to it, like with anything new. And to avoid problems with streaks, once it’s ready, wipe it right away. I bought a napkin, a cleaning product, and everything is great. If you like it, buy it.</v>
      </c>
    </row>
    <row r="4748" spans="1:9" x14ac:dyDescent="0.3">
      <c r="A4748" s="1" t="s">
        <v>61</v>
      </c>
      <c r="B4748" s="1" t="s">
        <v>318</v>
      </c>
      <c r="C4748" s="1" t="s">
        <v>246</v>
      </c>
      <c r="D4748" s="1" t="s">
        <v>420</v>
      </c>
      <c r="E4748" s="1" t="s">
        <v>859</v>
      </c>
      <c r="F4748" s="1" t="s">
        <v>7994</v>
      </c>
      <c r="G4748" s="1" t="s">
        <v>36</v>
      </c>
      <c r="H4748" s="1" t="s">
        <v>29</v>
      </c>
      <c r="I4748" s="1" t="str">
        <f ca="1">IFERROR(__xludf.DUMMYFUNCTION("GOOGLETRANSLATE(F4748, ""auto"", ""en"")
"),"We have been using the kettle for almost a year and a half, we have not identified any of the problems described above, well, maybe only it is loud, but this is a dubious minus for me, good design and a non-plastic body are two big advantages.")</f>
        <v>We have been using the kettle for almost a year and a half, we have not identified any of the problems described above, well, maybe only it is loud, but this is a dubious minus for me, good design and a non-plastic body are two big advantages.</v>
      </c>
    </row>
    <row r="4749" spans="1:9" x14ac:dyDescent="0.3">
      <c r="A4749" s="1" t="s">
        <v>30</v>
      </c>
      <c r="B4749" s="1" t="s">
        <v>50</v>
      </c>
      <c r="C4749" s="1" t="s">
        <v>151</v>
      </c>
      <c r="D4749" s="1" t="s">
        <v>152</v>
      </c>
      <c r="E4749" s="1" t="s">
        <v>7995</v>
      </c>
      <c r="F4749" s="1" t="s">
        <v>7996</v>
      </c>
      <c r="G4749" s="1" t="s">
        <v>36</v>
      </c>
      <c r="H4749" s="1" t="s">
        <v>29</v>
      </c>
      <c r="I4749" s="1" t="str">
        <f ca="1">IFERROR(__xludf.DUMMYFUNCTION("GOOGLETRANSLATE(F4749, ""auto"", ""en"")
"),"Hi all! The laptop is very good because I bought it 10 days ago, but again for a smaller amount. I would have bought it from Mvideo, but the sales consultants’ inexperienced knowledge of the product put me at a dead end. The fact is that everyone knows th"&amp;"at the beeches have a Vista axis, which does not adversely affect the performance and speed of the system. And the sales consultant says that XP cannot be installed. They will remove the warranty. Contacted the manufacturer and service center. They replie"&amp;"d that this was all complete nonsense. They do not void the warranty of equipment with any reinstallations. because They are not responsible for the operating system and software, but specifically for the beech itself.")</f>
        <v>Hi all! The laptop is very good because I bought it 10 days ago, but again for a smaller amount. I would have bought it from Mvideo, but the sales consultants’ inexperienced knowledge of the product put me at a dead end. The fact is that everyone knows that the beeches have a Vista axis, which does not adversely affect the performance and speed of the system. And the sales consultant says that XP cannot be installed. They will remove the warranty. Contacted the manufacturer and service center. They replied that this was all complete nonsense. They do not void the warranty of equipment with any reinstallations. because They are not responsible for the operating system and software, but specifically for the beech itself.</v>
      </c>
    </row>
    <row r="4750" spans="1:9" x14ac:dyDescent="0.3">
      <c r="A4750" s="1" t="s">
        <v>61</v>
      </c>
      <c r="B4750" s="1" t="s">
        <v>318</v>
      </c>
      <c r="C4750" s="1" t="s">
        <v>85</v>
      </c>
      <c r="D4750" s="1" t="s">
        <v>247</v>
      </c>
      <c r="E4750" s="1" t="s">
        <v>2981</v>
      </c>
      <c r="F4750" s="1" t="s">
        <v>7997</v>
      </c>
      <c r="G4750" s="1" t="s">
        <v>36</v>
      </c>
      <c r="H4750" s="1" t="s">
        <v>29</v>
      </c>
      <c r="I4750" s="1" t="str">
        <f ca="1">IFERROR(__xludf.DUMMYFUNCTION("GOOGLETRANSLATE(F4750, ""auto"", ""en"")
"),"There is a display and several modes, a power indicator, ultra-modern design, high quality, convenient, functional")</f>
        <v>There is a display and several modes, a power indicator, ultra-modern design, high quality, convenient, functional</v>
      </c>
    </row>
    <row r="4751" spans="1:9" x14ac:dyDescent="0.3">
      <c r="A4751" s="1" t="s">
        <v>557</v>
      </c>
      <c r="B4751" s="1" t="s">
        <v>558</v>
      </c>
      <c r="C4751" s="1" t="s">
        <v>816</v>
      </c>
      <c r="D4751" s="1" t="s">
        <v>335</v>
      </c>
      <c r="E4751" s="1" t="s">
        <v>1838</v>
      </c>
      <c r="F4751" s="1" t="s">
        <v>7998</v>
      </c>
      <c r="G4751" s="1" t="s">
        <v>15</v>
      </c>
      <c r="H4751" s="1" t="s">
        <v>16</v>
      </c>
      <c r="I4751" s="1" t="str">
        <f ca="1">IFERROR(__xludf.DUMMYFUNCTION("GOOGLETRANSLATE(F4751, ""auto"", ""en"")
"),"Everything would be fine, for such a price you can’t expect miracles. The case is quite decent, the rubberized buttons are comfortable. The screen slows down, but for that kind of money you can probably put up with that. But the hissing in the speakers fo"&amp;"rced me to exchange this model for another literally two hours after delivery. Quiet, but noticeable, monotonous hissing.... brrrrr....")</f>
        <v>Everything would be fine, for such a price you can’t expect miracles. The case is quite decent, the rubberized buttons are comfortable. The screen slows down, but for that kind of money you can probably put up with that. But the hissing in the speakers forced me to exchange this model for another literally two hours after delivery. Quiet, but noticeable, monotonous hissing.... brrrrr....</v>
      </c>
    </row>
    <row r="4752" spans="1:9" x14ac:dyDescent="0.3">
      <c r="A4752" s="1" t="s">
        <v>120</v>
      </c>
      <c r="B4752" s="1" t="s">
        <v>126</v>
      </c>
      <c r="C4752" s="1" t="s">
        <v>80</v>
      </c>
      <c r="D4752" s="1" t="s">
        <v>127</v>
      </c>
      <c r="E4752" s="1" t="s">
        <v>4327</v>
      </c>
      <c r="F4752" s="1" t="s">
        <v>7999</v>
      </c>
      <c r="G4752" s="1" t="s">
        <v>36</v>
      </c>
      <c r="H4752" s="1" t="s">
        <v>29</v>
      </c>
      <c r="I4752" s="1" t="str">
        <f ca="1">IFERROR(__xludf.DUMMYFUNCTION("GOOGLETRANSLATE(F4752, ""auto"", ""en"")
"),"The situation was like Igor’s, I bought a promotional card of 24990 + 5 thousand, they gave me a card, and I was going to buy Xbox 360, because... before that there were 2 pieces, and when I went to buy a set-top box, I still decided to buy a receiver + a"&amp;"coustics. I took a Yamaha 363, it was also sold at a discount, because... The last one was, and I used bookshelf acoustics, and it turned out to be an excellent home theater.  According to Plasma, excellent quality, many settings, the best choice in terms"&amp;" of price/quality, the only difference from the older model PC600 is that the PC600 reads Avi from a flash drive via USB, but in the PC301 all this is easily activated.")</f>
        <v>The situation was like Igor’s, I bought a promotional card of 24990 + 5 thousand, they gave me a card, and I was going to buy Xbox 360, because... before that there were 2 pieces, and when I went to buy a set-top box, I still decided to buy a receiver + acoustics. I took a Yamaha 363, it was also sold at a discount, because... The last one was, and I used bookshelf acoustics, and it turned out to be an excellent home theater.  According to Plasma, excellent quality, many settings, the best choice in terms of price/quality, the only difference from the older model PC600 is that the PC600 reads Avi from a flash drive via USB, but in the PC301 all this is easily activated.</v>
      </c>
    </row>
    <row r="4753" spans="1:9" x14ac:dyDescent="0.3">
      <c r="A4753" s="1" t="s">
        <v>624</v>
      </c>
      <c r="B4753" s="1" t="s">
        <v>625</v>
      </c>
      <c r="C4753" s="1" t="s">
        <v>479</v>
      </c>
      <c r="D4753" s="1" t="s">
        <v>8000</v>
      </c>
      <c r="E4753" s="1" t="s">
        <v>750</v>
      </c>
      <c r="F4753" s="1" t="s">
        <v>8001</v>
      </c>
      <c r="G4753" s="1" t="s">
        <v>36</v>
      </c>
      <c r="H4753" s="1" t="s">
        <v>29</v>
      </c>
      <c r="I4753" s="1" t="str">
        <f ca="1">IFERROR(__xludf.DUMMYFUNCTION("GOOGLETRANSLATE(F4753, ""auto"", ""en"")
"),"A very good game, I recently bought this game in my area in Teply Stan, a very good game, the graphics are much better than on a PC, and easy controls, I already learned how to play in 1 hour. Only in tournament mode there is no NHL season (only the Montr"&amp;"eal Canadiens Cup, where Canadian teams play in the tournament), and there is no Russian league either, you only have to play comrade. matches. =( Maybe you can create your own tournament there with Russian teams?")</f>
        <v>A very good game, I recently bought this game in my area in Teply Stan, a very good game, the graphics are much better than on a PC, and easy controls, I already learned how to play in 1 hour. Only in tournament mode there is no NHL season (only the Montreal Canadiens Cup, where Canadian teams play in the tournament), and there is no Russian league either, you only have to play comrade. matches. =( Maybe you can create your own tournament there with Russian teams?</v>
      </c>
    </row>
    <row r="4754" spans="1:9" x14ac:dyDescent="0.3">
      <c r="A4754" s="1" t="s">
        <v>211</v>
      </c>
      <c r="B4754" s="1" t="s">
        <v>265</v>
      </c>
      <c r="C4754" s="1" t="s">
        <v>294</v>
      </c>
      <c r="D4754" s="1" t="s">
        <v>1036</v>
      </c>
      <c r="E4754" s="1" t="s">
        <v>5696</v>
      </c>
      <c r="F4754" s="1" t="s">
        <v>8002</v>
      </c>
      <c r="G4754" s="1" t="s">
        <v>28</v>
      </c>
      <c r="H4754" s="1" t="s">
        <v>29</v>
      </c>
      <c r="I4754" s="1" t="str">
        <f ca="1">IFERROR(__xludf.DUMMYFUNCTION("GOOGLETRANSLATE(F4754, ""auto"", ""en"")
"),"I bought it just yesterday, came home and was a little surprised. I bought it in a hurry at the store, I didn’t really recognize anything. As a result, when I opened the box, I saw 2 telescopic attachments, in increments of 3 mm, i.e. 3,6,9 etc.  I myself"&amp;" cut my hair at 4 mm, I decided for myself that this is optimal.  So, for me this is a significant minus. Still, a shorter range of settings between fixed positions is not enough.    And so, the machine is acceptable, and the kit makes me happy. Therefore"&amp;", there are only positive reviews regarding the company.")</f>
        <v>I bought it just yesterday, came home and was a little surprised. I bought it in a hurry at the store, I didn’t really recognize anything. As a result, when I opened the box, I saw 2 telescopic attachments, in increments of 3 mm, i.e. 3,6,9 etc.  I myself cut my hair at 4 mm, I decided for myself that this is optimal.  So, for me this is a significant minus. Still, a shorter range of settings between fixed positions is not enough.    And so, the machine is acceptable, and the kit makes me happy. Therefore, there are only positive reviews regarding the company.</v>
      </c>
    </row>
    <row r="4755" spans="1:9" x14ac:dyDescent="0.3">
      <c r="A4755" s="1" t="s">
        <v>361</v>
      </c>
      <c r="B4755" s="1" t="s">
        <v>2555</v>
      </c>
      <c r="C4755" s="1" t="s">
        <v>4871</v>
      </c>
      <c r="D4755" s="1" t="s">
        <v>52</v>
      </c>
      <c r="E4755" s="1" t="s">
        <v>8003</v>
      </c>
      <c r="F4755" s="1" t="s">
        <v>8004</v>
      </c>
      <c r="G4755" s="1" t="s">
        <v>36</v>
      </c>
      <c r="H4755" s="1" t="s">
        <v>29</v>
      </c>
      <c r="I4755" s="1" t="str">
        <f ca="1">IFERROR(__xludf.DUMMYFUNCTION("GOOGLETRANSLATE(F4755, ""auto"", ""en"")
"),"Sealed, retains heat well, large volume - very convenient for traveling with the family. The price for this model in M-Video is very affordable; in other online stores the price is higher.")</f>
        <v>Sealed, retains heat well, large volume - very convenient for traveling with the family. The price for this model in M-Video is very affordable; in other online stores the price is higher.</v>
      </c>
    </row>
    <row r="4756" spans="1:9" x14ac:dyDescent="0.3">
      <c r="A4756" s="1" t="s">
        <v>149</v>
      </c>
      <c r="B4756" s="1" t="s">
        <v>576</v>
      </c>
      <c r="C4756" s="1" t="s">
        <v>69</v>
      </c>
      <c r="D4756" s="1" t="s">
        <v>12</v>
      </c>
      <c r="E4756" s="1" t="s">
        <v>8005</v>
      </c>
      <c r="F4756" s="1" t="s">
        <v>8006</v>
      </c>
      <c r="G4756" s="1" t="s">
        <v>36</v>
      </c>
      <c r="H4756" s="1" t="s">
        <v>29</v>
      </c>
      <c r="I4756" s="1" t="str">
        <f ca="1">IFERROR(__xludf.DUMMYFUNCTION("GOOGLETRANSLATE(F4756, ""auto"", ""en"")
"),"The vacuum cleaner is very powerful, cleaning with it is easy and fast! Quiet for such power, if the power is reduced by half (who doesn’t have animals, half the power is enough!), then it is not audible in the next room. The “tick” brush actually turned "&amp;"out to be more convenient than I expected! It fits everywhere, even under the bed and under the kitchen set without difficulty (with other models, such a maneuver was only possible with a crevice or small furniture attachment).  For those who are just abo"&amp;"ut to make a purchase: - there is one bag included and it is disposable! Immediately take bags in reserve;  - It’s not indicated on the website, but the bags also fit Electrolux. S-Bag is the same for Philips and Electrolux; M-Video stores have them;  - t"&amp;"here are 5 attachments, but in fact there are 4 of them. It’s just a “tick” attachment with retractable bristles, i.e. it costs 2 (for carpet and parquet).")</f>
        <v>The vacuum cleaner is very powerful, cleaning with it is easy and fast! Quiet for such power, if the power is reduced by half (who doesn’t have animals, half the power is enough!), then it is not audible in the next room. The “tick” brush actually turned out to be more convenient than I expected! It fits everywhere, even under the bed and under the kitchen set without difficulty (with other models, such a maneuver was only possible with a crevice or small furniture attachment).  For those who are just about to make a purchase: - there is one bag included and it is disposable! Immediately take bags in reserve;  - It’s not indicated on the website, but the bags also fit Electrolux. S-Bag is the same for Philips and Electrolux; M-Video stores have them;  - there are 5 attachments, but in fact there are 4 of them. It’s just a “tick” attachment with retractable bristles, i.e. it costs 2 (for carpet and parquet).</v>
      </c>
    </row>
    <row r="4757" spans="1:9" x14ac:dyDescent="0.3">
      <c r="A4757" s="1" t="s">
        <v>1119</v>
      </c>
      <c r="B4757" s="1" t="s">
        <v>1120</v>
      </c>
      <c r="C4757" s="1" t="s">
        <v>97</v>
      </c>
      <c r="D4757" s="1" t="s">
        <v>8007</v>
      </c>
      <c r="E4757" s="1" t="s">
        <v>617</v>
      </c>
      <c r="F4757" s="1" t="s">
        <v>8008</v>
      </c>
      <c r="G4757" s="1" t="s">
        <v>28</v>
      </c>
      <c r="H4757" s="1" t="s">
        <v>29</v>
      </c>
      <c r="I4757" s="1" t="str">
        <f ca="1">IFERROR(__xludf.DUMMYFUNCTION("GOOGLETRANSLATE(F4757, ""auto"", ""en"")
"),"The video camera is good, compact, comfortable to hold in your hand, but it really lacks the anti-glare function. When shooting towards the sun or headlights, the shooting quality decreases ((((")</f>
        <v>The video camera is good, compact, comfortable to hold in your hand, but it really lacks the anti-glare function. When shooting towards the sun or headlights, the shooting quality decreases ((((</v>
      </c>
    </row>
    <row r="4758" spans="1:9" x14ac:dyDescent="0.3">
      <c r="A4758" s="1" t="s">
        <v>17</v>
      </c>
      <c r="B4758" s="1" t="s">
        <v>18</v>
      </c>
      <c r="C4758" s="1" t="s">
        <v>151</v>
      </c>
      <c r="D4758" s="1" t="s">
        <v>8009</v>
      </c>
      <c r="E4758" s="1" t="s">
        <v>2442</v>
      </c>
      <c r="F4758" s="1" t="s">
        <v>8010</v>
      </c>
      <c r="G4758" s="1" t="s">
        <v>36</v>
      </c>
      <c r="H4758" s="1" t="s">
        <v>29</v>
      </c>
      <c r="I4758" s="1" t="str">
        <f ca="1">IFERROR(__xludf.DUMMYFUNCTION("GOOGLETRANSLATE(F4758, ""auto"", ""en"")
"),"Bought in mid-January at a promotion of up to ""50%"" I chose it based on reviews from all over the Internet and functionality, they installed it themselves the next day, the legs are original, it stands on a tiled floor - it doesn’t run anywhere, althoug"&amp;"h the vibration is different depending on the type of linen. It's not very noisy, you can barely hear it from the bathroom. I checked it on all modes - it washes perfectly. The menu is simple. I haven’t found any shortcomings in the work yet, and washing "&amp;"is a big relief. One of the minuses, or maybe something that is not understood, is that after several washes in a row the display and buttons heat up. I recommend it with pleasure.")</f>
        <v>Bought in mid-January at a promotion of up to "50%" I chose it based on reviews from all over the Internet and functionality, they installed it themselves the next day, the legs are original, it stands on a tiled floor - it doesn’t run anywhere, although the vibration is different depending on the type of linen. It's not very noisy, you can barely hear it from the bathroom. I checked it on all modes - it washes perfectly. The menu is simple. I haven’t found any shortcomings in the work yet, and washing is a big relief. One of the minuses, or maybe something that is not understood, is that after several washes in a row the display and buttons heat up. I recommend it with pleasure.</v>
      </c>
    </row>
    <row r="4759" spans="1:9" x14ac:dyDescent="0.3">
      <c r="A4759" s="1" t="s">
        <v>169</v>
      </c>
      <c r="B4759" s="1" t="s">
        <v>170</v>
      </c>
      <c r="C4759" s="1" t="s">
        <v>69</v>
      </c>
      <c r="D4759" s="1" t="s">
        <v>8011</v>
      </c>
      <c r="E4759" s="1" t="s">
        <v>1139</v>
      </c>
      <c r="F4759" s="1" t="s">
        <v>8012</v>
      </c>
      <c r="G4759" s="1" t="s">
        <v>15</v>
      </c>
      <c r="H4759" s="1" t="s">
        <v>16</v>
      </c>
      <c r="I4759" s="1" t="str">
        <f ca="1">IFERROR(__xludf.DUMMYFUNCTION("GOOGLETRANSLATE(F4759, ""auto"", ""en"")
"),"Tested when fully charged.  Suitable only for watching TV shows and movies. Music (rock/metal) is not played well, they start to “fart” regardless of the volume, and there is also a feeling that there is not enough “power” for the entire frequency range a"&amp;"nd the high frequencies fall off, we get a sound “from under the pillow”.")</f>
        <v>Tested when fully charged.  Suitable only for watching TV shows and movies. Music (rock/metal) is not played well, they start to “fart” regardless of the volume, and there is also a feeling that there is not enough “power” for the entire frequency range and the high frequencies fall off, we get a sound “from under the pillow”.</v>
      </c>
    </row>
    <row r="4760" spans="1:9" x14ac:dyDescent="0.3">
      <c r="A4760" s="1" t="s">
        <v>30</v>
      </c>
      <c r="B4760" s="1" t="s">
        <v>50</v>
      </c>
      <c r="C4760" s="1" t="s">
        <v>189</v>
      </c>
      <c r="D4760" s="1" t="s">
        <v>8013</v>
      </c>
      <c r="E4760" s="1" t="s">
        <v>2094</v>
      </c>
      <c r="F4760" s="1" t="s">
        <v>8014</v>
      </c>
      <c r="G4760" s="1" t="s">
        <v>15</v>
      </c>
      <c r="H4760" s="1" t="s">
        <v>16</v>
      </c>
      <c r="I4760" s="1" t="str">
        <f ca="1">IFERROR(__xludf.DUMMYFUNCTION("GOOGLETRANSLATE(F4760, ""auto"", ""en"")
"),"Pros: The keyboard is very comfortable for typing.   Modern processor i3 2130 MHz 330M Battery lasts 3 hours.  Disadvantages: It makes a strange squeak, sometimes you can’t hear it, but if you listen, it starts to get on your nerves.  Comment: Quite an ad"&amp;"equate laptop. Wide screen.  23 thousand with delivery. Bluetooth available. Funny facial recognition program for login for authorization.")</f>
        <v>Pros: The keyboard is very comfortable for typing.   Modern processor i3 2130 MHz 330M Battery lasts 3 hours.  Disadvantages: It makes a strange squeak, sometimes you can’t hear it, but if you listen, it starts to get on your nerves.  Comment: Quite an adequate laptop. Wide screen.  23 thousand with delivery. Bluetooth available. Funny facial recognition program for login for authorization.</v>
      </c>
    </row>
    <row r="4761" spans="1:9" x14ac:dyDescent="0.3">
      <c r="A4761" s="1" t="s">
        <v>496</v>
      </c>
      <c r="B4761" s="1" t="s">
        <v>497</v>
      </c>
      <c r="C4761" s="1" t="s">
        <v>479</v>
      </c>
      <c r="D4761" s="1" t="s">
        <v>8015</v>
      </c>
      <c r="E4761" s="1" t="s">
        <v>1136</v>
      </c>
      <c r="F4761" s="1" t="s">
        <v>8016</v>
      </c>
      <c r="G4761" s="1" t="s">
        <v>36</v>
      </c>
      <c r="H4761" s="1" t="s">
        <v>29</v>
      </c>
      <c r="I4761" s="1" t="str">
        <f ca="1">IFERROR(__xludf.DUMMYFUNCTION("GOOGLETRANSLATE(F4761, ""auto"", ""en"")
"),"Installs easily. Full of useful information. A treasure trove of simple folk wisdom. It’s quite inexpensive, I even buy my child’s computer toys and consoles at a higher price. I’m not even talking about how much such an encyclopedia would cost if it were"&amp;" in the form of an ordinary paper book. I am allergic to many medications. If you do too, then you will definitely appreciate the opportunities that this electronic encyclopedia opens up for improving the health and beauty of your skin, hair and nails.")</f>
        <v>Installs easily. Full of useful information. A treasure trove of simple folk wisdom. It’s quite inexpensive, I even buy my child’s computer toys and consoles at a higher price. I’m not even talking about how much such an encyclopedia would cost if it were in the form of an ordinary paper book. I am allergic to many medications. If you do too, then you will definitely appreciate the opportunities that this electronic encyclopedia opens up for improving the health and beauty of your skin, hair and nails.</v>
      </c>
    </row>
    <row r="4762" spans="1:9" x14ac:dyDescent="0.3">
      <c r="A4762" s="1" t="s">
        <v>67</v>
      </c>
      <c r="B4762" s="1" t="s">
        <v>68</v>
      </c>
      <c r="C4762" s="1" t="s">
        <v>381</v>
      </c>
      <c r="D4762" s="1" t="s">
        <v>471</v>
      </c>
      <c r="E4762" s="1" t="s">
        <v>2118</v>
      </c>
      <c r="F4762" s="1" t="s">
        <v>8017</v>
      </c>
      <c r="G4762" s="1" t="s">
        <v>36</v>
      </c>
      <c r="H4762" s="1" t="s">
        <v>29</v>
      </c>
      <c r="I4762" s="1" t="str">
        <f ca="1">IFERROR(__xludf.DUMMYFUNCTION("GOOGLETRANSLATE(F4762, ""auto"", ""en"")
"),"It steams perfectly - no words, the only negative is that the water runs out very quickly, although with such a steam boost it’s not surprising. I haven’t been using it for long, which is most likely due to the fact that I got scalded a couple of times wh"&amp;"ile adjusting the fabric)")</f>
        <v>It steams perfectly - no words, the only negative is that the water runs out very quickly, although with such a steam boost it’s not surprising. I haven’t been using it for long, which is most likely due to the fact that I got scalded a couple of times while adjusting the fabric)</v>
      </c>
    </row>
    <row r="4763" spans="1:9" x14ac:dyDescent="0.3">
      <c r="A4763" s="1" t="s">
        <v>61</v>
      </c>
      <c r="B4763" s="1" t="s">
        <v>62</v>
      </c>
      <c r="C4763" s="1" t="s">
        <v>63</v>
      </c>
      <c r="D4763" s="1" t="s">
        <v>247</v>
      </c>
      <c r="E4763" s="1" t="s">
        <v>6608</v>
      </c>
      <c r="F4763" s="1" t="s">
        <v>8018</v>
      </c>
      <c r="G4763" s="1" t="s">
        <v>28</v>
      </c>
      <c r="H4763" s="1" t="s">
        <v>29</v>
      </c>
      <c r="I4763" s="1" t="str">
        <f ca="1">IFERROR(__xludf.DUMMYFUNCTION("GOOGLETRANSLATE(F4763, ""auto"", ""en"")
"),"I have been using this processor since October 2007 and its only drawback is its weak power for a meat grinder. But in general it copes with all tasks, I use all the attachments. Without him, I’m like without hands. And today the coupling on the auger bro"&amp;"ke in the meat grinder, which was not pleasant, but it served well. I looked through online stores and was convinced that they would save us from such troubles.")</f>
        <v>I have been using this processor since October 2007 and its only drawback is its weak power for a meat grinder. But in general it copes with all tasks, I use all the attachments. Without him, I’m like without hands. And today the coupling on the auger broke in the meat grinder, which was not pleasant, but it served well. I looked through online stores and was convinced that they would save us from such troubles.</v>
      </c>
    </row>
    <row r="4764" spans="1:9" x14ac:dyDescent="0.3">
      <c r="A4764" s="1" t="s">
        <v>30</v>
      </c>
      <c r="B4764" s="1" t="s">
        <v>50</v>
      </c>
      <c r="C4764" s="1" t="s">
        <v>32</v>
      </c>
      <c r="D4764" s="1" t="s">
        <v>4276</v>
      </c>
      <c r="E4764" s="1" t="s">
        <v>460</v>
      </c>
      <c r="F4764" s="1" t="s">
        <v>8019</v>
      </c>
      <c r="G4764" s="1" t="s">
        <v>36</v>
      </c>
      <c r="H4764" s="1" t="s">
        <v>29</v>
      </c>
      <c r="I4764" s="1" t="str">
        <f ca="1">IFERROR(__xludf.DUMMYFUNCTION("GOOGLETRANSLATE(F4764, ""auto"", ""en"")
"),"super laptop")</f>
        <v>super laptop</v>
      </c>
    </row>
    <row r="4765" spans="1:9" x14ac:dyDescent="0.3">
      <c r="A4765" s="1" t="s">
        <v>61</v>
      </c>
      <c r="B4765" s="1" t="s">
        <v>73</v>
      </c>
      <c r="C4765" s="1" t="s">
        <v>85</v>
      </c>
      <c r="D4765" s="1" t="s">
        <v>295</v>
      </c>
      <c r="E4765" s="1" t="s">
        <v>8020</v>
      </c>
      <c r="F4765" s="1" t="s">
        <v>8021</v>
      </c>
      <c r="G4765" s="1" t="s">
        <v>28</v>
      </c>
      <c r="H4765" s="1" t="s">
        <v>29</v>
      </c>
      <c r="I4765" s="1" t="str">
        <f ca="1">IFERROR(__xludf.DUMMYFUNCTION("GOOGLETRANSLATE(F4765, ""auto"", ""en"")
"),"Impression from one time of work. I took it for a special task - making minced meat for feeding expensive purebred cats, which contains the ingredient chicken necks and, as you understand, they have bones. The meat grinder coped with this task with a bang"&amp;", instantly and effortlessly, just like with frozen, very veiny beef. The only thing that is not clear to me yet: it turned off several times when the temperature on the display was about 45 degrees, and the stated maximum was 80 degrees. So far I’m happy"&amp;", I haven’t used graters or attachments for sausages yet...")</f>
        <v>Impression from one time of work. I took it for a special task - making minced meat for feeding expensive purebred cats, which contains the ingredient chicken necks and, as you understand, they have bones. The meat grinder coped with this task with a bang, instantly and effortlessly, just like with frozen, very veiny beef. The only thing that is not clear to me yet: it turned off several times when the temperature on the display was about 45 degrees, and the stated maximum was 80 degrees. So far I’m happy, I haven’t used graters or attachments for sausages yet...</v>
      </c>
    </row>
    <row r="4766" spans="1:9" x14ac:dyDescent="0.3">
      <c r="A4766" s="1" t="s">
        <v>55</v>
      </c>
      <c r="B4766" s="1" t="s">
        <v>56</v>
      </c>
      <c r="C4766" s="1" t="s">
        <v>85</v>
      </c>
      <c r="D4766" s="1" t="s">
        <v>139</v>
      </c>
      <c r="E4766" s="1" t="s">
        <v>8022</v>
      </c>
      <c r="F4766" s="1" t="s">
        <v>8023</v>
      </c>
      <c r="G4766" s="1" t="s">
        <v>36</v>
      </c>
      <c r="H4766" s="1" t="s">
        <v>29</v>
      </c>
      <c r="I4766" s="1" t="str">
        <f ca="1">IFERROR(__xludf.DUMMYFUNCTION("GOOGLETRANSLATE(F4766, ""auto"", ""en"")
"),"If you have plaque, then throw away the filter. The first time we poured in unfiltered water, there was deposits everywhere the steam got in, but the next time we ran the water through a regular barrier, and lo and behold, there was not a hint of deposits"&amp;".  The only negative is not significant, sometimes it gurgles, but when you sleep you can’t hear it.")</f>
        <v>If you have plaque, then throw away the filter. The first time we poured in unfiltered water, there was deposits everywhere the steam got in, but the next time we ran the water through a regular barrier, and lo and behold, there was not a hint of deposits.  The only negative is not significant, sometimes it gurgles, but when you sleep you can’t hear it.</v>
      </c>
    </row>
    <row r="4767" spans="1:9" x14ac:dyDescent="0.3">
      <c r="A4767" s="1" t="s">
        <v>211</v>
      </c>
      <c r="B4767" s="1" t="s">
        <v>515</v>
      </c>
      <c r="C4767" s="1" t="s">
        <v>381</v>
      </c>
      <c r="D4767" s="1" t="s">
        <v>5031</v>
      </c>
      <c r="E4767" s="1" t="s">
        <v>4913</v>
      </c>
      <c r="F4767" s="1" t="s">
        <v>8024</v>
      </c>
      <c r="G4767" s="1" t="s">
        <v>15</v>
      </c>
      <c r="H4767" s="1" t="s">
        <v>16</v>
      </c>
      <c r="I4767" s="1" t="str">
        <f ca="1">IFERROR(__xludf.DUMMYFUNCTION("GOOGLETRANSLATE(F4767, ""auto"", ""en"")
"),"It makes a lot of noise. The box says that it removes even hair smaller than 0.5 mm, which is not true. Not only does it not grab them, but it also chews the skin along the way. The box also says painless hair removal. So, this is also not true. There is "&amp;"a special attachment for the armpit area, although it is difficult to call it an attachment - it is more of a limiter. Neither the cooling system nor this “attachment” can save you from pain when epilating the armpit area. I don’t understand why the airfl"&amp;"ow was installed there at all - it’s of no use. But I really liked the attachment for exfoliating the skin - it gently and gently removed a layer of dead skin. Thus, it is more suitable for girls with thin blond hair who have little pain sensitivity.")</f>
        <v>It makes a lot of noise. The box says that it removes even hair smaller than 0.5 mm, which is not true. Not only does it not grab them, but it also chews the skin along the way. The box also says painless hair removal. So, this is also not true. There is a special attachment for the armpit area, although it is difficult to call it an attachment - it is more of a limiter. Neither the cooling system nor this “attachment” can save you from pain when epilating the armpit area. I don’t understand why the airflow was installed there at all - it’s of no use. But I really liked the attachment for exfoliating the skin - it gently and gently removed a layer of dead skin. Thus, it is more suitable for girls with thin blond hair who have little pain sensitivity.</v>
      </c>
    </row>
    <row r="4768" spans="1:9" x14ac:dyDescent="0.3">
      <c r="A4768" s="1" t="s">
        <v>61</v>
      </c>
      <c r="B4768" s="1" t="s">
        <v>977</v>
      </c>
      <c r="C4768" s="1" t="s">
        <v>63</v>
      </c>
      <c r="D4768" s="1" t="s">
        <v>295</v>
      </c>
      <c r="E4768" s="1" t="s">
        <v>715</v>
      </c>
      <c r="F4768" s="1" t="s">
        <v>8025</v>
      </c>
      <c r="G4768" s="1" t="s">
        <v>36</v>
      </c>
      <c r="H4768" s="1" t="s">
        <v>29</v>
      </c>
      <c r="I4768" s="1" t="str">
        <f ca="1">IFERROR(__xludf.DUMMYFUNCTION("GOOGLETRANSLATE(F4768, ""auto"", ""en"")
"),"Today I bought this blender in order to prepare various purees for a small child. When I got home I immediately tried out my purchase. I prepared puree for the baby in a matter of seconds. Not a single lump!! Which is very important for babies who do not "&amp;"yet know how to chew. In general, if you are looking for a blender to cook for your baby, this is an excellent and most importantly inexpensive option. I recommend!")</f>
        <v>Today I bought this blender in order to prepare various purees for a small child. When I got home I immediately tried out my purchase. I prepared puree for the baby in a matter of seconds. Not a single lump!! Which is very important for babies who do not yet know how to chew. In general, if you are looking for a blender to cook for your baby, this is an excellent and most importantly inexpensive option. I recommend!</v>
      </c>
    </row>
    <row r="4769" spans="1:9" x14ac:dyDescent="0.3">
      <c r="A4769" s="1" t="s">
        <v>211</v>
      </c>
      <c r="B4769" s="1" t="s">
        <v>410</v>
      </c>
      <c r="C4769" s="1" t="s">
        <v>213</v>
      </c>
      <c r="D4769" s="1" t="s">
        <v>1894</v>
      </c>
      <c r="E4769" s="1" t="s">
        <v>2251</v>
      </c>
      <c r="F4769" s="1" t="s">
        <v>8026</v>
      </c>
      <c r="G4769" s="1" t="s">
        <v>36</v>
      </c>
      <c r="H4769" s="1" t="s">
        <v>29</v>
      </c>
      <c r="I4769" s="1" t="str">
        <f ca="1">IFERROR(__xludf.DUMMYFUNCTION("GOOGLETRANSLATE(F4769, ""auto"", ""en"")
"),"Before this, I used a Phillips 3-head shave, but since my skin is very sensitive, there was irritation on my neck and periodically on my cheeks. I gave it to my father. I bought the Pulsonic at a discount and was pleased with the microvibrations that mini"&amp;"mize irritation and the trimmer in the middle. In comparison with another brand that I tried before - heaven and earth!! cleaner, faster, nicer, more comfortable. I recommend it to anyone with sensitive skin - you won’t regret it!")</f>
        <v>Before this, I used a Phillips 3-head shave, but since my skin is very sensitive, there was irritation on my neck and periodically on my cheeks. I gave it to my father. I bought the Pulsonic at a discount and was pleased with the microvibrations that minimize irritation and the trimmer in the middle. In comparison with another brand that I tried before - heaven and earth!! cleaner, faster, nicer, more comfortable. I recommend it to anyone with sensitive skin - you won’t regret it!</v>
      </c>
    </row>
    <row r="4770" spans="1:9" x14ac:dyDescent="0.3">
      <c r="A4770" s="1" t="s">
        <v>211</v>
      </c>
      <c r="B4770" s="1" t="s">
        <v>212</v>
      </c>
      <c r="C4770" s="1" t="s">
        <v>57</v>
      </c>
      <c r="D4770" s="1" t="s">
        <v>75</v>
      </c>
      <c r="E4770" s="1" t="s">
        <v>8027</v>
      </c>
      <c r="F4770" s="1" t="s">
        <v>8028</v>
      </c>
      <c r="G4770" s="1" t="s">
        <v>36</v>
      </c>
      <c r="H4770" s="1" t="s">
        <v>29</v>
      </c>
      <c r="I4770" s="1" t="str">
        <f ca="1">IFERROR(__xludf.DUMMYFUNCTION("GOOGLETRANSLATE(F4770, ""auto"", ""en"")
"),"I chose a curling iron based on several parameters: 1. it must have a ceramic surface (there were metal ones - thank you, no longer needed). 2. so that the cord rotates - for my long hair this is very important, because then you have to unwind this ever-f"&amp;"olding cord), 3. so that the diameter of the curling iron is at least 2-2.5 cm - perhaps this is a matter of taste and who wears what hairstyle, but for me not only curls are important, but also volume - this model has 2.5 cm and this is exactly what is n"&amp;"eeded). As an additional advantage, I would also note the ability to regulate the heating temperature - there are 2 modes. This is also a very convenient function, because sometimes you need curls that are tighter, and sometimes just a little curling of t"&amp;"he ends is enough - so why burn your hair in vain? The model is quite good from all sides, I find it difficult to say anything about the shortcomings - I couldn’t find any.")</f>
        <v>I chose a curling iron based on several parameters: 1. it must have a ceramic surface (there were metal ones - thank you, no longer needed). 2. so that the cord rotates - for my long hair this is very important, because then you have to unwind this ever-folding cord), 3. so that the diameter of the curling iron is at least 2-2.5 cm - perhaps this is a matter of taste and who wears what hairstyle, but for me not only curls are important, but also volume - this model has 2.5 cm and this is exactly what is needed). As an additional advantage, I would also note the ability to regulate the heating temperature - there are 2 modes. This is also a very convenient function, because sometimes you need curls that are tighter, and sometimes just a little curling of the ends is enough - so why burn your hair in vain? The model is quite good from all sides, I find it difficult to say anything about the shortcomings - I couldn’t find any.</v>
      </c>
    </row>
    <row r="4771" spans="1:9" x14ac:dyDescent="0.3">
      <c r="A4771" s="1" t="s">
        <v>61</v>
      </c>
      <c r="B4771" s="1" t="s">
        <v>318</v>
      </c>
      <c r="C4771" s="1" t="s">
        <v>63</v>
      </c>
      <c r="D4771" s="1" t="s">
        <v>247</v>
      </c>
      <c r="E4771" s="1" t="s">
        <v>8029</v>
      </c>
      <c r="F4771" s="1" t="s">
        <v>8030</v>
      </c>
      <c r="G4771" s="1" t="s">
        <v>36</v>
      </c>
      <c r="H4771" s="1" t="s">
        <v>29</v>
      </c>
      <c r="I4771" s="1" t="str">
        <f ca="1">IFERROR(__xludf.DUMMYFUNCTION("GOOGLETRANSLATE(F4771, ""auto"", ""en"")
"),"I have been using this model kettle for 5 years. Still no complaints about the work. If there is a slight overflow, it leaks, which was not the case before (according to the instructions, overflow is not allowed)")</f>
        <v>I have been using this model kettle for 5 years. Still no complaints about the work. If there is a slight overflow, it leaks, which was not the case before (according to the instructions, overflow is not allowed)</v>
      </c>
    </row>
    <row r="4772" spans="1:9" x14ac:dyDescent="0.3">
      <c r="A4772" s="1" t="s">
        <v>2087</v>
      </c>
      <c r="B4772" s="1" t="s">
        <v>2088</v>
      </c>
      <c r="C4772" s="1" t="s">
        <v>80</v>
      </c>
      <c r="D4772" s="1" t="s">
        <v>8031</v>
      </c>
      <c r="E4772" s="1" t="s">
        <v>26</v>
      </c>
      <c r="F4772" s="1" t="s">
        <v>8032</v>
      </c>
      <c r="G4772" s="1" t="s">
        <v>15</v>
      </c>
      <c r="H4772" s="1" t="s">
        <v>16</v>
      </c>
      <c r="I4772" s="1" t="str">
        <f ca="1">IFERROR(__xludf.DUMMYFUNCTION("GOOGLETRANSLATE(F4772, ""auto"", ""en"")
"),"Maybe I haven’t seen any really bad players, but this one is the most disgusting.  There are minimal settings, both for sound and video. The sound level from the remote control is not adjustable. Photo size is very limited. In any screen format, the photo"&amp;" is somehow flattened at the top and bottom. When playing avi's and mp3s, even from new discs, it slows down and stutters from time to time. Video formats for Blu-ray player are not enough by modern standards. It is impossible to see how much time is left"&amp;" until the end of the film, only the current time, and then this panel extends to a third of the screen... The whole advantage is a beautiful design, but even the low price will not overshadow all the shortcomings.")</f>
        <v>Maybe I haven’t seen any really bad players, but this one is the most disgusting.  There are minimal settings, both for sound and video. The sound level from the remote control is not adjustable. Photo size is very limited. In any screen format, the photo is somehow flattened at the top and bottom. When playing avi's and mp3s, even from new discs, it slows down and stutters from time to time. Video formats for Blu-ray player are not enough by modern standards. It is impossible to see how much time is left until the end of the film, only the current time, and then this panel extends to a third of the screen... The whole advantage is a beautiful design, but even the low price will not overshadow all the shortcomings.</v>
      </c>
    </row>
    <row r="4773" spans="1:9" x14ac:dyDescent="0.3">
      <c r="A4773" s="1" t="s">
        <v>120</v>
      </c>
      <c r="B4773" s="1" t="s">
        <v>121</v>
      </c>
      <c r="C4773" s="1" t="s">
        <v>97</v>
      </c>
      <c r="D4773" s="1" t="s">
        <v>8033</v>
      </c>
      <c r="E4773" s="1" t="s">
        <v>3527</v>
      </c>
      <c r="F4773" s="1" t="s">
        <v>8034</v>
      </c>
      <c r="G4773" s="1" t="s">
        <v>36</v>
      </c>
      <c r="H4773" s="1" t="s">
        <v>29</v>
      </c>
      <c r="I4773" s="1" t="str">
        <f ca="1">IFERROR(__xludf.DUMMYFUNCTION("GOOGLETRANSLATE(F4773, ""auto"", ""en"")
"),"I went shopping for 3 days, ended up buying a SONY, we are looking at it as a family - we are happy... It connects to the laptop without problems, it plays flash drives, the hard drive also plays without problems.  Maybe I'm not very picky and don't know "&amp;"much about TVs, but I think this is excellent.")</f>
        <v>I went shopping for 3 days, ended up buying a SONY, we are looking at it as a family - we are happy... It connects to the laptop without problems, it plays flash drives, the hard drive also plays without problems.  Maybe I'm not very picky and don't know much about TVs, but I think this is excellent.</v>
      </c>
    </row>
    <row r="4774" spans="1:9" x14ac:dyDescent="0.3">
      <c r="A4774" s="1" t="s">
        <v>206</v>
      </c>
      <c r="B4774" s="1" t="s">
        <v>261</v>
      </c>
      <c r="C4774" s="1" t="s">
        <v>351</v>
      </c>
      <c r="D4774" s="1" t="s">
        <v>2771</v>
      </c>
      <c r="E4774" s="1" t="s">
        <v>2596</v>
      </c>
      <c r="F4774" s="1" t="s">
        <v>8035</v>
      </c>
      <c r="G4774" s="1" t="s">
        <v>15</v>
      </c>
      <c r="H4774" s="1" t="s">
        <v>16</v>
      </c>
      <c r="I4774" s="1" t="str">
        <f ca="1">IFERROR(__xludf.DUMMYFUNCTION("GOOGLETRANSLATE(F4774, ""auto"", ""en"")
"),"+ it’s convenient that it has a swivel mount, it bends up to 180 degrees - it’s quite bulky - it burned out yesterday for some unknown reason: it worked, they pulled it out, stuck it back in - it stopped working. Perhaps some contact has come loose.  I bo"&amp;"ught it about six months ago, also in M-video, now I’m looking for a new one.")</f>
        <v>+ it’s convenient that it has a swivel mount, it bends up to 180 degrees - it’s quite bulky - it burned out yesterday for some unknown reason: it worked, they pulled it out, stuck it back in - it stopped working. Perhaps some contact has come loose.  I bought it about six months ago, also in M-video, now I’m looking for a new one.</v>
      </c>
    </row>
    <row r="4775" spans="1:9" x14ac:dyDescent="0.3">
      <c r="A4775" s="1" t="s">
        <v>61</v>
      </c>
      <c r="B4775" s="1" t="s">
        <v>145</v>
      </c>
      <c r="C4775" s="1" t="s">
        <v>1981</v>
      </c>
      <c r="D4775" s="1" t="s">
        <v>247</v>
      </c>
      <c r="E4775" s="1" t="s">
        <v>6606</v>
      </c>
      <c r="F4775" s="1" t="s">
        <v>8036</v>
      </c>
      <c r="G4775" s="1" t="s">
        <v>28</v>
      </c>
      <c r="H4775" s="1" t="s">
        <v>29</v>
      </c>
      <c r="I4775" s="1" t="str">
        <f ca="1">IFERROR(__xludf.DUMMYFUNCTION("GOOGLETRANSLATE(F4775, ""auto"", ""en"")
"),"A year of operation has passed. Probably 500 eggs boiled. I want to say “Thank you” to the manufacturers. Not a single egg cracked or leaked. The main thing is to learn how to quickly make a neat hole in the blunt end of the egg. But even if the hole is n"&amp;"ot very good, the egg will cook perfectly. The eggs are tasty and have the right consistency.  I especially like soft-boiled ones, I cook them in an egg boiler, they are different from the saucepan ones. Their protein is harder, you can even take them wit"&amp;"h you to work, they won’t disgrace you, they clean well. Rarely has a piece of small kitchen appliance delighted me...")</f>
        <v>A year of operation has passed. Probably 500 eggs boiled. I want to say “Thank you” to the manufacturers. Not a single egg cracked or leaked. The main thing is to learn how to quickly make a neat hole in the blunt end of the egg. But even if the hole is not very good, the egg will cook perfectly. The eggs are tasty and have the right consistency.  I especially like soft-boiled ones, I cook them in an egg boiler, they are different from the saucepan ones. Their protein is harder, you can even take them with you to work, they won’t disgrace you, they clean well. Rarely has a piece of small kitchen appliance delighted me...</v>
      </c>
    </row>
    <row r="4776" spans="1:9" x14ac:dyDescent="0.3">
      <c r="A4776" s="1" t="s">
        <v>95</v>
      </c>
      <c r="B4776" s="1" t="s">
        <v>648</v>
      </c>
      <c r="C4776" s="1" t="s">
        <v>97</v>
      </c>
      <c r="D4776" s="1" t="s">
        <v>411</v>
      </c>
      <c r="E4776" s="1" t="s">
        <v>3465</v>
      </c>
      <c r="F4776" s="1" t="s">
        <v>8037</v>
      </c>
      <c r="G4776" s="1" t="s">
        <v>49</v>
      </c>
      <c r="H4776" s="1" t="s">
        <v>16</v>
      </c>
      <c r="I4776" s="1" t="str">
        <f ca="1">IFERROR(__xludf.DUMMYFUNCTION("GOOGLETRANSLATE(F4776, ""auto"", ""en"")
"),"I completely agree with the previous speaker. Not everyone has Wi-Fi, not everyone has a credit card, and PSStore payment cards are not sold everywhere. I'm very confused by its form factor - I don't like sliders. I believe that the fewer moving parts, th"&amp;"e more reliable it is. The placement of the shifts also causes nervous laughter. The fact that the battery does not change is absolutely killing. The design is very poor. And the worst thing is the lack of UMD! 16 GB of internal memory is, of course, good"&amp;"... But there are problems with Wi-Fi in my city, to put it mildly. As a player, it may have been a success, but people buy a GAME console for the sake of PLAYING.")</f>
        <v>I completely agree with the previous speaker. Not everyone has Wi-Fi, not everyone has a credit card, and PSStore payment cards are not sold everywhere. I'm very confused by its form factor - I don't like sliders. I believe that the fewer moving parts, the more reliable it is. The placement of the shifts also causes nervous laughter. The fact that the battery does not change is absolutely killing. The design is very poor. And the worst thing is the lack of UMD! 16 GB of internal memory is, of course, good... But there are problems with Wi-Fi in my city, to put it mildly. As a player, it may have been a success, but people buy a GAME console for the sake of PLAYING.</v>
      </c>
    </row>
    <row r="4777" spans="1:9" x14ac:dyDescent="0.3">
      <c r="A4777" s="1" t="s">
        <v>149</v>
      </c>
      <c r="B4777" s="1" t="s">
        <v>155</v>
      </c>
      <c r="C4777" s="1" t="s">
        <v>63</v>
      </c>
      <c r="D4777" s="1" t="s">
        <v>247</v>
      </c>
      <c r="E4777" s="1" t="s">
        <v>3750</v>
      </c>
      <c r="F4777" s="1" t="s">
        <v>8038</v>
      </c>
      <c r="G4777" s="1" t="s">
        <v>15</v>
      </c>
      <c r="H4777" s="1" t="s">
        <v>16</v>
      </c>
      <c r="I4777" s="1" t="str">
        <f ca="1">IFERROR(__xludf.DUMMYFUNCTION("GOOGLETRANSLATE(F4777, ""auto"", ""en"")
"),"Cons: 1. The vacuum cleaner does not have a handle, i.e. It cannot be worn, only rolled. To vacuum on the balcony or in the bathroom, you need to carry it by hand (in a vertical position it takes up little space, but moving it is not convenient) 2. the wh"&amp;"eels leave marks on the floor, it is not maneuverable, you can only move it by the hose 3. There is no button for collecting the cord, it assembles if you pull it again at the base. Sometimes it starts to tighten the wire of its own accord right during cl"&amp;"eaning (if you accidentally touch the wire).  4. There is no need for a power regulator; after 10-15 minutes of working at maximum power, it drops it to minimum, and the “change filter” light comes on. The cone-shaped filter clogs immediately. If you don'"&amp;"t clean it several times during cleaning, there will be no traction. It turns out that during half an hour of cleaning you need to open the lid 2-3 times, pull out the cone-shaped filter and remove dust from it 5. heavy 6. very noisy (I don’t understand w"&amp;"hat noiselessness they write in reviews if you can’t hear the phone ringing while the vacuum cleaner is running!) 7. To remove the brush, considerable effort is required 8. Some dust still gets into the air, even with the most careful maintenance 9. It ta"&amp;"kes a lot of time to It is impossible to clean the entire vacuum cleaner. It is impossible to return it and change it.   I do not recommend this vacuum cleaner.")</f>
        <v>Cons: 1. The vacuum cleaner does not have a handle, i.e. It cannot be worn, only rolled. To vacuum on the balcony or in the bathroom, you need to carry it by hand (in a vertical position it takes up little space, but moving it is not convenient) 2. the wheels leave marks on the floor, it is not maneuverable, you can only move it by the hose 3. There is no button for collecting the cord, it assembles if you pull it again at the base. Sometimes it starts to tighten the wire of its own accord right during cleaning (if you accidentally touch the wire).  4. There is no need for a power regulator; after 10-15 minutes of working at maximum power, it drops it to minimum, and the “change filter” light comes on. The cone-shaped filter clogs immediately. If you don't clean it several times during cleaning, there will be no traction. It turns out that during half an hour of cleaning you need to open the lid 2-3 times, pull out the cone-shaped filter and remove dust from it 5. heavy 6. very noisy (I don’t understand what noiselessness they write in reviews if you can’t hear the phone ringing while the vacuum cleaner is running!) 7. To remove the brush, considerable effort is required 8. Some dust still gets into the air, even with the most careful maintenance 9. It takes a lot of time to It is impossible to clean the entire vacuum cleaner. It is impossible to return it and change it.   I do not recommend this vacuum cleaner.</v>
      </c>
    </row>
    <row r="4778" spans="1:9" x14ac:dyDescent="0.3">
      <c r="A4778" s="1" t="s">
        <v>120</v>
      </c>
      <c r="B4778" s="1" t="s">
        <v>121</v>
      </c>
      <c r="C4778" s="1" t="s">
        <v>80</v>
      </c>
      <c r="D4778" s="1" t="s">
        <v>52</v>
      </c>
      <c r="E4778" s="1" t="s">
        <v>4860</v>
      </c>
      <c r="F4778" s="1" t="s">
        <v>8039</v>
      </c>
      <c r="G4778" s="1" t="s">
        <v>36</v>
      </c>
      <c r="H4778" s="1" t="s">
        <v>29</v>
      </c>
      <c r="I4778" s="1" t="str">
        <f ca="1">IFERROR(__xludf.DUMMYFUNCTION("GOOGLETRANSLATE(F4778, ""auto"", ""en"")
"),"The TV is excellent. USB unlocked with LEDs. Pulls a 500 GB hard drive.")</f>
        <v>The TV is excellent. USB unlocked with LEDs. Pulls a 500 GB hard drive.</v>
      </c>
    </row>
    <row r="4779" spans="1:9" x14ac:dyDescent="0.3">
      <c r="A4779" s="1" t="s">
        <v>149</v>
      </c>
      <c r="B4779" s="1" t="s">
        <v>150</v>
      </c>
      <c r="C4779" s="1" t="s">
        <v>57</v>
      </c>
      <c r="D4779" s="1" t="s">
        <v>152</v>
      </c>
      <c r="E4779" s="1" t="s">
        <v>1500</v>
      </c>
      <c r="F4779" s="1" t="s">
        <v>8040</v>
      </c>
      <c r="G4779" s="1" t="s">
        <v>49</v>
      </c>
      <c r="H4779" s="1" t="s">
        <v>16</v>
      </c>
      <c r="I4779" s="1" t="str">
        <f ca="1">IFERROR(__xludf.DUMMYFUNCTION("GOOGLETRANSLATE(F4779, ""auto"", ""en"")
"),"There is not")</f>
        <v>There is not</v>
      </c>
    </row>
    <row r="4780" spans="1:9" x14ac:dyDescent="0.3">
      <c r="A4780" s="1" t="s">
        <v>149</v>
      </c>
      <c r="B4780" s="1" t="s">
        <v>155</v>
      </c>
      <c r="C4780" s="1" t="s">
        <v>24</v>
      </c>
      <c r="D4780" s="1" t="s">
        <v>8041</v>
      </c>
      <c r="E4780" s="1" t="s">
        <v>8042</v>
      </c>
      <c r="F4780" s="1" t="s">
        <v>8043</v>
      </c>
      <c r="G4780" s="1" t="s">
        <v>36</v>
      </c>
      <c r="H4780" s="1" t="s">
        <v>29</v>
      </c>
      <c r="I4780" s="1" t="str">
        <f ca="1">IFERROR(__xludf.DUMMYFUNCTION("GOOGLETRANSLATE(F4780, ""auto"", ""en"")
"),"We purchased this vacuum cleaner for work on the recommendation of the seller and did not regret it. The first assignment was to clean a bowling center and a small billiard room where carpet was installed. He copes with his duties very well. In use for ju"&amp;"st over a year (previously other vacuum cleaners didn’t last even six months). Today, at a promotion (I was very pleased with the price), I bought the same device for my mother as a gift. Regarding care, it is necessary to wash it every time after a big c"&amp;"leaning. And by the way, filters are available in M.Video.")</f>
        <v>We purchased this vacuum cleaner for work on the recommendation of the seller and did not regret it. The first assignment was to clean a bowling center and a small billiard room where carpet was installed. He copes with his duties very well. In use for just over a year (previously other vacuum cleaners didn’t last even six months). Today, at a promotion (I was very pleased with the price), I bought the same device for my mother as a gift. Regarding care, it is necessary to wash it every time after a big cleaning. And by the way, filters are available in M.Video.</v>
      </c>
    </row>
    <row r="4781" spans="1:9" x14ac:dyDescent="0.3">
      <c r="A4781" s="1" t="s">
        <v>55</v>
      </c>
      <c r="B4781" s="1" t="s">
        <v>184</v>
      </c>
      <c r="C4781" s="1" t="s">
        <v>85</v>
      </c>
      <c r="D4781" s="1" t="s">
        <v>6224</v>
      </c>
      <c r="E4781" s="1" t="s">
        <v>178</v>
      </c>
      <c r="F4781" s="1" t="s">
        <v>8044</v>
      </c>
      <c r="G4781" s="1" t="s">
        <v>49</v>
      </c>
      <c r="H4781" s="1" t="s">
        <v>16</v>
      </c>
      <c r="I4781" s="1" t="str">
        <f ca="1">IFERROR(__xludf.DUMMYFUNCTION("GOOGLETRANSLATE(F4781, ""auto"", ""en"")
"),"Very noisy - the vacuum cleaner is even quieter. It is absolutely not suitable for heating residential premises. I bought it thinking that for that kind of money I could make the fan heater quieter. In general, real garbage.")</f>
        <v>Very noisy - the vacuum cleaner is even quieter. It is absolutely not suitable for heating residential premises. I bought it thinking that for that kind of money I could make the fan heater quieter. In general, real garbage.</v>
      </c>
    </row>
    <row r="4782" spans="1:9" x14ac:dyDescent="0.3">
      <c r="A4782" s="1" t="s">
        <v>61</v>
      </c>
      <c r="B4782" s="1" t="s">
        <v>73</v>
      </c>
      <c r="C4782" s="1" t="s">
        <v>146</v>
      </c>
      <c r="D4782" s="1" t="s">
        <v>171</v>
      </c>
      <c r="E4782" s="1" t="s">
        <v>5423</v>
      </c>
      <c r="F4782" s="1" t="s">
        <v>8045</v>
      </c>
      <c r="G4782" s="1" t="s">
        <v>36</v>
      </c>
      <c r="H4782" s="1" t="s">
        <v>29</v>
      </c>
      <c r="I4782" s="1" t="str">
        <f ca="1">IFERROR(__xludf.DUMMYFUNCTION("GOOGLETRANSLATE(F4782, ""auto"", ""en"")
"),"Metal body, metal connection, reverse, forged self-sharpening knife.")</f>
        <v>Metal body, metal connection, reverse, forged self-sharpening knife.</v>
      </c>
    </row>
    <row r="4783" spans="1:9" x14ac:dyDescent="0.3">
      <c r="A4783" s="1" t="s">
        <v>211</v>
      </c>
      <c r="B4783" s="1" t="s">
        <v>212</v>
      </c>
      <c r="C4783" s="1" t="s">
        <v>69</v>
      </c>
      <c r="D4783" s="1" t="s">
        <v>8046</v>
      </c>
      <c r="E4783" s="1" t="s">
        <v>3906</v>
      </c>
      <c r="F4783" s="1" t="s">
        <v>8047</v>
      </c>
      <c r="G4783" s="1" t="s">
        <v>36</v>
      </c>
      <c r="H4783" s="1" t="s">
        <v>29</v>
      </c>
      <c r="I4783" s="1" t="str">
        <f ca="1">IFERROR(__xludf.DUMMYFUNCTION("GOOGLETRANSLATE(F4783, ""auto"", ""en"")
"),"An excellent hair dryer for styling. Fits comfortably in the hand. Sufficient power even for drying hair. Lots of attachments!!! Nice design!")</f>
        <v>An excellent hair dryer for styling. Fits comfortably in the hand. Sufficient power even for drying hair. Lots of attachments!!! Nice design!</v>
      </c>
    </row>
    <row r="4784" spans="1:9" x14ac:dyDescent="0.3">
      <c r="A4784" s="1" t="s">
        <v>61</v>
      </c>
      <c r="B4784" s="1" t="s">
        <v>318</v>
      </c>
      <c r="C4784" s="1" t="s">
        <v>85</v>
      </c>
      <c r="D4784" s="1" t="s">
        <v>521</v>
      </c>
      <c r="E4784" s="1" t="s">
        <v>8048</v>
      </c>
      <c r="F4784" s="1" t="s">
        <v>8049</v>
      </c>
      <c r="G4784" s="1" t="s">
        <v>49</v>
      </c>
      <c r="H4784" s="1" t="s">
        <v>16</v>
      </c>
      <c r="I4784" s="1" t="str">
        <f ca="1">IFERROR(__xludf.DUMMYFUNCTION("GOOGLETRANSLATE(F4784, ""auto"", ""en"")
"),"After less than a year of use, it stopped boiling water and started leaking.")</f>
        <v>After less than a year of use, it stopped boiling water and started leaking.</v>
      </c>
    </row>
    <row r="4785" spans="1:9" x14ac:dyDescent="0.3">
      <c r="A4785" s="1" t="s">
        <v>1119</v>
      </c>
      <c r="B4785" s="1" t="s">
        <v>1120</v>
      </c>
      <c r="C4785" s="1" t="s">
        <v>97</v>
      </c>
      <c r="D4785" s="1" t="s">
        <v>1008</v>
      </c>
      <c r="E4785" s="1" t="s">
        <v>2176</v>
      </c>
      <c r="F4785" s="1" t="s">
        <v>8050</v>
      </c>
      <c r="G4785" s="1" t="s">
        <v>28</v>
      </c>
      <c r="H4785" s="1" t="s">
        <v>29</v>
      </c>
      <c r="I4785" s="1" t="str">
        <f ca="1">IFERROR(__xludf.DUMMYFUNCTION("GOOGLETRANSLATE(F4785, ""auto"", ""en"")
"),"1. It’s better not to take photos with it, but to do it with a camera (after all, it’s a video camera).  2. You don’t have to take pictures at night, because... no sensitivity.   3.The quality of shooting at other times of the day is excellent.  4. The ba"&amp;"ttery, if removed for a very long time, is not enough and therefore I advise you to buy another one.  5.The screen gets dirty quickly (buying a protective film will help remove this).  6. I liked the fact that a non-professional can shoot with it (everyth"&amp;"ing is clear and understandable if the menu is in Russian).  7. Convenient quick start function (open the screen and shoot)... In short, the video camera is worth the money. And if you are not satisfied with the quality of shooting in Full HD mode, where "&amp;"the effective video resolution is 1.35 megapixels, then you can take this HDD HD camcorder Sony HDR-XR550E Black")</f>
        <v>1. It’s better not to take photos with it, but to do it with a camera (after all, it’s a video camera).  2. You don’t have to take pictures at night, because... no sensitivity.   3.The quality of shooting at other times of the day is excellent.  4. The battery, if removed for a very long time, is not enough and therefore I advise you to buy another one.  5.The screen gets dirty quickly (buying a protective film will help remove this).  6. I liked the fact that a non-professional can shoot with it (everything is clear and understandable if the menu is in Russian).  7. Convenient quick start function (open the screen and shoot)... In short, the video camera is worth the money. And if you are not satisfied with the quality of shooting in Full HD mode, where the effective video resolution is 1.35 megapixels, then you can take this HDD HD camcorder Sony HDR-XR550E Black</v>
      </c>
    </row>
    <row r="4786" spans="1:9" x14ac:dyDescent="0.3">
      <c r="A4786" s="1" t="s">
        <v>169</v>
      </c>
      <c r="B4786" s="1" t="s">
        <v>170</v>
      </c>
      <c r="C4786" s="1" t="s">
        <v>122</v>
      </c>
      <c r="D4786" s="1" t="s">
        <v>139</v>
      </c>
      <c r="E4786" s="1" t="s">
        <v>8051</v>
      </c>
      <c r="F4786" s="1" t="s">
        <v>8052</v>
      </c>
      <c r="G4786" s="1" t="s">
        <v>15</v>
      </c>
      <c r="H4786" s="1" t="s">
        <v>16</v>
      </c>
      <c r="I4786" s="1" t="str">
        <f ca="1">IFERROR(__xludf.DUMMYFUNCTION("GOOGLETRANSLATE(F4786, ""auto"", ""en"")
"),"No headphones! The sound is flat, like from a barrel. To listen to the bass you need to press it hard to your ear. The tall ones are cut off. Only the brand is cool. Suitable only for listening to speech (news, audiobooks...). There can be no talk of any "&amp;"enjoyment of music!")</f>
        <v>No headphones! The sound is flat, like from a barrel. To listen to the bass you need to press it hard to your ear. The tall ones are cut off. Only the brand is cool. Suitable only for listening to speech (news, audiobooks...). There can be no talk of any enjoyment of music!</v>
      </c>
    </row>
    <row r="4787" spans="1:9" x14ac:dyDescent="0.3">
      <c r="A4787" s="1" t="s">
        <v>61</v>
      </c>
      <c r="B4787" s="1" t="s">
        <v>180</v>
      </c>
      <c r="C4787" s="1" t="s">
        <v>63</v>
      </c>
      <c r="D4787" s="1" t="s">
        <v>64</v>
      </c>
      <c r="E4787" s="1" t="s">
        <v>2423</v>
      </c>
      <c r="F4787" s="1" t="s">
        <v>8053</v>
      </c>
      <c r="G4787" s="1" t="s">
        <v>36</v>
      </c>
      <c r="H4787" s="1" t="s">
        <v>29</v>
      </c>
      <c r="I4787" s="1" t="str">
        <f ca="1">IFERROR(__xludf.DUMMYFUNCTION("GOOGLETRANSLATE(F4787, ""auto"", ""en"")
"),"We've been using it for about a year now. There were no problems. Only positive impressions.  Basically we dry multi-grain bread at 4-5 power.")</f>
        <v>We've been using it for about a year now. There were no problems. Only positive impressions.  Basically we dry multi-grain bread at 4-5 power.</v>
      </c>
    </row>
    <row r="4788" spans="1:9" x14ac:dyDescent="0.3">
      <c r="A4788" s="1" t="s">
        <v>120</v>
      </c>
      <c r="B4788" s="1" t="s">
        <v>126</v>
      </c>
      <c r="C4788" s="1" t="s">
        <v>122</v>
      </c>
      <c r="D4788" s="1" t="s">
        <v>64</v>
      </c>
      <c r="E4788" s="1" t="s">
        <v>3038</v>
      </c>
      <c r="F4788" s="1" t="s">
        <v>8054</v>
      </c>
      <c r="G4788" s="1" t="s">
        <v>15</v>
      </c>
      <c r="H4788" s="1" t="s">
        <v>16</v>
      </c>
      <c r="I4788" s="1" t="str">
        <f ca="1">IFERROR(__xludf.DUMMYFUNCTION("GOOGLETRANSLATE(F4788, ""auto"", ""en"")
"),"TV channels show poorly. We tried changing the settings all day, to no avail. DVD via HDMI - more or less. We regretted taking this model. I don't recommend it.")</f>
        <v>TV channels show poorly. We tried changing the settings all day, to no avail. DVD via HDMI - more or less. We regretted taking this model. I don't recommend it.</v>
      </c>
    </row>
    <row r="4789" spans="1:9" x14ac:dyDescent="0.3">
      <c r="A4789" s="1" t="s">
        <v>67</v>
      </c>
      <c r="B4789" s="1" t="s">
        <v>68</v>
      </c>
      <c r="C4789" s="1" t="s">
        <v>246</v>
      </c>
      <c r="D4789" s="1" t="s">
        <v>1004</v>
      </c>
      <c r="E4789" s="1" t="s">
        <v>864</v>
      </c>
      <c r="F4789" s="1" t="s">
        <v>8055</v>
      </c>
      <c r="G4789" s="1" t="s">
        <v>36</v>
      </c>
      <c r="H4789" s="1" t="s">
        <v>29</v>
      </c>
      <c r="I4789" s="1" t="str">
        <f ca="1">IFERROR(__xludf.DUMMYFUNCTION("GOOGLETRANSLATE(F4789, ""auto"", ""en"")
"),"The iron is very good, it irons things perfectly, the soleplate of the iron is 100%. I advise you to buy it, you won’t regret it.")</f>
        <v>The iron is very good, it irons things perfectly, the soleplate of the iron is 100%. I advise you to buy it, you won’t regret it.</v>
      </c>
    </row>
    <row r="4790" spans="1:9" x14ac:dyDescent="0.3">
      <c r="A4790" s="1" t="s">
        <v>169</v>
      </c>
      <c r="B4790" s="1" t="s">
        <v>170</v>
      </c>
      <c r="C4790" s="1" t="s">
        <v>171</v>
      </c>
      <c r="D4790" s="1" t="s">
        <v>8056</v>
      </c>
      <c r="E4790" s="1" t="s">
        <v>3259</v>
      </c>
      <c r="F4790" s="1" t="s">
        <v>8057</v>
      </c>
      <c r="G4790" s="1" t="s">
        <v>36</v>
      </c>
      <c r="H4790" s="1" t="s">
        <v>29</v>
      </c>
      <c r="I4790" s="1" t="str">
        <f ca="1">IFERROR(__xludf.DUMMYFUNCTION("GOOGLETRANSLATE(F4790, ""auto"", ""en"")
"),"Good headphones. Noise isolation and bass are excellent. Unfortunately, after a year of use they died. There's something wrong with the plug. Those. they work, but the sound is like ""karaoke"".")</f>
        <v>Good headphones. Noise isolation and bass are excellent. Unfortunately, after a year of use they died. There's something wrong with the plug. Those. they work, but the sound is like "karaoke".</v>
      </c>
    </row>
    <row r="4791" spans="1:9" x14ac:dyDescent="0.3">
      <c r="A4791" s="1" t="s">
        <v>30</v>
      </c>
      <c r="B4791" s="1" t="s">
        <v>50</v>
      </c>
      <c r="C4791" s="1" t="s">
        <v>694</v>
      </c>
      <c r="D4791" s="1" t="s">
        <v>8058</v>
      </c>
      <c r="E4791" s="1" t="s">
        <v>8059</v>
      </c>
      <c r="F4791" s="1" t="s">
        <v>8060</v>
      </c>
      <c r="G4791" s="1" t="s">
        <v>36</v>
      </c>
      <c r="H4791" s="1" t="s">
        <v>29</v>
      </c>
      <c r="I4791" s="1" t="str">
        <f ca="1">IFERROR(__xludf.DUMMYFUNCTION("GOOGLETRANSLATE(F4791, ""auto"", ""en"")
"),"An excellent laptop for those who don’t need to play with toys. The screen is just super powerful enough for the net, the speakers are really okay, the weight and dimensions are also excellent. For 13,000 it’s an excellent work machine.")</f>
        <v>An excellent laptop for those who don’t need to play with toys. The screen is just super powerful enough for the net, the speakers are really okay, the weight and dimensions are also excellent. For 13,000 it’s an excellent work machine.</v>
      </c>
    </row>
    <row r="4792" spans="1:9" x14ac:dyDescent="0.3">
      <c r="A4792" s="1" t="s">
        <v>211</v>
      </c>
      <c r="B4792" s="1" t="s">
        <v>212</v>
      </c>
      <c r="C4792" s="1" t="s">
        <v>294</v>
      </c>
      <c r="D4792" s="1" t="s">
        <v>6771</v>
      </c>
      <c r="E4792" s="1" t="s">
        <v>1321</v>
      </c>
      <c r="F4792" s="1" t="s">
        <v>8061</v>
      </c>
      <c r="G4792" s="1" t="s">
        <v>36</v>
      </c>
      <c r="H4792" s="1" t="s">
        <v>29</v>
      </c>
      <c r="I4792" s="1" t="str">
        <f ca="1">IFERROR(__xludf.DUMMYFUNCTION("GOOGLETRANSLATE(F4792, ""auto"", ""en"")
"),"The perfect hairdryer! There are a lot of functions, including cold air, which is safe for thin and diseased hair. Dries great! It doesn’t break, it simply doesn’t have time to overheat, and the hair dries within 10 minutes.  Great hairdryer! I'm very ple"&amp;"ased with them!")</f>
        <v>The perfect hairdryer! There are a lot of functions, including cold air, which is safe for thin and diseased hair. Dries great! It doesn’t break, it simply doesn’t have time to overheat, and the hair dries within 10 minutes.  Great hairdryer! I'm very pleased with them!</v>
      </c>
    </row>
    <row r="4793" spans="1:9" x14ac:dyDescent="0.3">
      <c r="A4793" s="1" t="s">
        <v>37</v>
      </c>
      <c r="B4793" s="1" t="s">
        <v>536</v>
      </c>
      <c r="C4793" s="1" t="s">
        <v>163</v>
      </c>
      <c r="D4793" s="1" t="s">
        <v>2497</v>
      </c>
      <c r="E4793" s="1" t="s">
        <v>386</v>
      </c>
      <c r="F4793" s="1" t="s">
        <v>8062</v>
      </c>
      <c r="G4793" s="1" t="s">
        <v>36</v>
      </c>
      <c r="H4793" s="1" t="s">
        <v>29</v>
      </c>
      <c r="I4793" s="1" t="str">
        <f ca="1">IFERROR(__xludf.DUMMYFUNCTION("GOOGLETRANSLATE(F4793, ""auto"", ""en"")
"),"All sensors start to fail sooner or later. Such a good phone has only one drawback: charging lasts for one or 1.5 days.")</f>
        <v>All sensors start to fail sooner or later. Such a good phone has only one drawback: charging lasts for one or 1.5 days.</v>
      </c>
    </row>
    <row r="4794" spans="1:9" x14ac:dyDescent="0.3">
      <c r="A4794" s="1" t="s">
        <v>120</v>
      </c>
      <c r="B4794" s="1" t="s">
        <v>121</v>
      </c>
      <c r="C4794" s="1" t="s">
        <v>69</v>
      </c>
      <c r="D4794" s="1" t="s">
        <v>1092</v>
      </c>
      <c r="E4794" s="1" t="s">
        <v>1738</v>
      </c>
      <c r="F4794" s="1" t="s">
        <v>8063</v>
      </c>
      <c r="G4794" s="1" t="s">
        <v>36</v>
      </c>
      <c r="H4794" s="1" t="s">
        <v>29</v>
      </c>
      <c r="I4794" s="1" t="str">
        <f ca="1">IFERROR(__xludf.DUMMYFUNCTION("GOOGLETRANSLATE(F4794, ""auto"", ""en"")
"),"Found information about the new firmware (069 from 01/19/09) http://www.p4c.philips.com/cgi-bin/dcbint/cpindex.pl?scy=RU&amp;slg=RUS&amp;sct=LCD_TV_SU&amp;cat=TV_CA&amp;grp=SOUND_A ND_VISION_GR&amp;session=20100120115738_94.180.175.51&amp;ctn=32PFL5604H/12&amp;mid=Link_Software&amp;hlt="&amp;"Link_Software")</f>
        <v>Found information about the new firmware (069 from 01/19/09) http://www.p4c.philips.com/cgi-bin/dcbint/cpindex.pl?scy=RU&amp;slg=RUS&amp;sct=LCD_TV_SU&amp;cat=TV_CA&amp;grp=SOUND_A ND_VISION_GR&amp;session=20100120115738_94.180.175.51&amp;ctn=32PFL5604H/12&amp;mid=Link_Software&amp;hlt=Link_Software</v>
      </c>
    </row>
    <row r="4795" spans="1:9" x14ac:dyDescent="0.3">
      <c r="A4795" s="1" t="s">
        <v>496</v>
      </c>
      <c r="B4795" s="1" t="s">
        <v>497</v>
      </c>
      <c r="C4795" s="1" t="s">
        <v>479</v>
      </c>
      <c r="D4795" s="1" t="s">
        <v>8064</v>
      </c>
      <c r="E4795" s="1" t="s">
        <v>1136</v>
      </c>
      <c r="F4795" s="1" t="s">
        <v>8065</v>
      </c>
      <c r="G4795" s="1" t="s">
        <v>36</v>
      </c>
      <c r="H4795" s="1" t="s">
        <v>29</v>
      </c>
      <c r="I4795" s="1" t="str">
        <f ca="1">IFERROR(__xludf.DUMMYFUNCTION("GOOGLETRANSLATE(F4795, ""auto"", ""en"")
"),"I work with translations, so without such a program I’m simply without hands. Simple program. A very large number of excellent dictionaries, including Oxford. That is, the most needed and respected in the translation community. Very fast search in all dic"&amp;"tionaries. I don't remember anything not being found.")</f>
        <v>I work with translations, so without such a program I’m simply without hands. Simple program. A very large number of excellent dictionaries, including Oxford. That is, the most needed and respected in the translation community. Very fast search in all dictionaries. I don't remember anything not being found.</v>
      </c>
    </row>
    <row r="4796" spans="1:9" x14ac:dyDescent="0.3">
      <c r="A4796" s="1" t="s">
        <v>61</v>
      </c>
      <c r="B4796" s="1" t="s">
        <v>977</v>
      </c>
      <c r="C4796" s="1" t="s">
        <v>69</v>
      </c>
      <c r="D4796" s="1" t="s">
        <v>308</v>
      </c>
      <c r="E4796" s="1" t="s">
        <v>8066</v>
      </c>
      <c r="F4796" s="1" t="s">
        <v>8067</v>
      </c>
      <c r="G4796" s="1" t="s">
        <v>36</v>
      </c>
      <c r="H4796" s="1" t="s">
        <v>29</v>
      </c>
      <c r="I4796" s="1" t="str">
        <f ca="1">IFERROR(__xludf.DUMMYFUNCTION("GOOGLETRANSLATE(F4796, ""auto"", ""en"")
"),"I bought this blender 6 years ago, after 0.5 years the motor burned out, they exchanged it for a new one in the store without any problems, which served me faithfully for 5 years without any problems. Used often, easy to use.")</f>
        <v>I bought this blender 6 years ago, after 0.5 years the motor burned out, they exchanged it for a new one in the store without any problems, which served me faithfully for 5 years without any problems. Used often, easy to use.</v>
      </c>
    </row>
    <row r="4797" spans="1:9" x14ac:dyDescent="0.3">
      <c r="A4797" s="1" t="s">
        <v>30</v>
      </c>
      <c r="B4797" s="1" t="s">
        <v>31</v>
      </c>
      <c r="C4797" s="1" t="s">
        <v>32</v>
      </c>
      <c r="D4797" s="1" t="s">
        <v>280</v>
      </c>
      <c r="E4797" s="1" t="s">
        <v>864</v>
      </c>
      <c r="F4797" s="1" t="s">
        <v>8068</v>
      </c>
      <c r="G4797" s="1" t="s">
        <v>28</v>
      </c>
      <c r="H4797" s="1" t="s">
        <v>29</v>
      </c>
      <c r="I4797" s="1" t="str">
        <f ca="1">IFERROR(__xludf.DUMMYFUNCTION("GOOGLETRANSLATE(F4797, ""auto"", ""en"")
"),"It's the same problem. The car often freezes. And not only in games (in games more often, of course), sometimes not once a day, sometimes 6-7 times. In general, there is some kind of marriage in the entire series. I took it to the service center, sat with"&amp;"out a computer for a month, it’s terrible. They said the video card is bad. They changed it... 2 weeks passed and the freezes started again, it’s still not clear what this is connected with.")</f>
        <v>It's the same problem. The car often freezes. And not only in games (in games more often, of course), sometimes not once a day, sometimes 6-7 times. In general, there is some kind of marriage in the entire series. I took it to the service center, sat without a computer for a month, it’s terrible. They said the video card is bad. They changed it... 2 weeks passed and the freezes started again, it’s still not clear what this is connected with.</v>
      </c>
    </row>
    <row r="4798" spans="1:9" x14ac:dyDescent="0.3">
      <c r="A4798" s="1" t="s">
        <v>61</v>
      </c>
      <c r="B4798" s="1" t="s">
        <v>145</v>
      </c>
      <c r="C4798" s="1" t="s">
        <v>246</v>
      </c>
      <c r="D4798" s="1" t="s">
        <v>8069</v>
      </c>
      <c r="E4798" s="1" t="s">
        <v>1871</v>
      </c>
      <c r="F4798" s="1" t="s">
        <v>8070</v>
      </c>
      <c r="G4798" s="1" t="s">
        <v>36</v>
      </c>
      <c r="H4798" s="1" t="s">
        <v>29</v>
      </c>
      <c r="I4798" s="1" t="str">
        <f ca="1">IFERROR(__xludf.DUMMYFUNCTION("GOOGLETRANSLATE(F4798, ""auto"", ""en"")
"),"I’m very pleased, I can prepare a lot of delicious food at once. Everything is cleverly thought out and very easy to use, which is important. Don't waste your money, it's worth it.")</f>
        <v>I’m very pleased, I can prepare a lot of delicious food at once. Everything is cleverly thought out and very easy to use, which is important. Don't waste your money, it's worth it.</v>
      </c>
    </row>
    <row r="4799" spans="1:9" x14ac:dyDescent="0.3">
      <c r="A4799" s="1" t="s">
        <v>95</v>
      </c>
      <c r="B4799" s="1" t="s">
        <v>648</v>
      </c>
      <c r="C4799" s="1" t="s">
        <v>97</v>
      </c>
      <c r="D4799" s="1" t="s">
        <v>139</v>
      </c>
      <c r="E4799" s="1" t="s">
        <v>708</v>
      </c>
      <c r="F4799" s="1" t="s">
        <v>8071</v>
      </c>
      <c r="G4799" s="1" t="s">
        <v>36</v>
      </c>
      <c r="H4799" s="1" t="s">
        <v>29</v>
      </c>
      <c r="I4799" s="1" t="str">
        <f ca="1">IFERROR(__xludf.DUMMYFUNCTION("GOOGLETRANSLATE(F4799, ""auto"", ""en"")
"),"I've been dreaming about this PSP model for a long time. I'm happy with everything, very good graphics, but you can't reflash it. Overall, it's a very good multifunctional device.")</f>
        <v>I've been dreaming about this PSP model for a long time. I'm happy with everything, very good graphics, but you can't reflash it. Overall, it's a very good multifunctional device.</v>
      </c>
    </row>
    <row r="4800" spans="1:9" x14ac:dyDescent="0.3">
      <c r="A4800" s="1" t="s">
        <v>43</v>
      </c>
      <c r="B4800" s="1" t="s">
        <v>502</v>
      </c>
      <c r="C4800" s="1" t="s">
        <v>151</v>
      </c>
      <c r="D4800" s="1" t="s">
        <v>52</v>
      </c>
      <c r="E4800" s="1" t="s">
        <v>2028</v>
      </c>
      <c r="F4800" s="1" t="s">
        <v>8072</v>
      </c>
      <c r="G4800" s="1" t="s">
        <v>36</v>
      </c>
      <c r="H4800" s="1" t="s">
        <v>29</v>
      </c>
      <c r="I4800" s="1" t="str">
        <f ca="1">IFERROR(__xludf.DUMMYFUNCTION("GOOGLETRANSLATE(F4800, ""auto"", ""en"")
"),"Normal air conditioning for a small apartment. I don’t understand why people need a luminous display on the evaporator housing and why are they afraid of the plastic housing of the box in which the compressor is located? Metal will always rot faster than "&amp;"plastic. And the plastic will only fade. And why is there a clock on the remote control? The simpler the device, the fewer breakdowns. It cools and heats - it is invisible in operation, and this is the main thing.")</f>
        <v>Normal air conditioning for a small apartment. I don’t understand why people need a luminous display on the evaporator housing and why are they afraid of the plastic housing of the box in which the compressor is located? Metal will always rot faster than plastic. And the plastic will only fade. And why is there a clock on the remote control? The simpler the device, the fewer breakdowns. It cools and heats - it is invisible in operation, and this is the main thing.</v>
      </c>
    </row>
    <row r="4801" spans="1:9" x14ac:dyDescent="0.3">
      <c r="A4801" s="1" t="s">
        <v>67</v>
      </c>
      <c r="B4801" s="1" t="s">
        <v>68</v>
      </c>
      <c r="C4801" s="1" t="s">
        <v>381</v>
      </c>
      <c r="D4801" s="1" t="s">
        <v>64</v>
      </c>
      <c r="E4801" s="1" t="s">
        <v>5470</v>
      </c>
      <c r="F4801" s="1" t="s">
        <v>8073</v>
      </c>
      <c r="G4801" s="1" t="s">
        <v>28</v>
      </c>
      <c r="H4801" s="1" t="s">
        <v>29</v>
      </c>
      <c r="I4801" s="1" t="str">
        <f ca="1">IFERROR(__xludf.DUMMYFUNCTION("GOOGLETRANSLATE(F4801, ""auto"", ""en"")
"),"Perfectly irons things, quite heavy, stylish. I'm happy with the purchase.")</f>
        <v>Perfectly irons things, quite heavy, stylish. I'm happy with the purchase.</v>
      </c>
    </row>
    <row r="4802" spans="1:9" x14ac:dyDescent="0.3">
      <c r="A4802" s="1" t="s">
        <v>105</v>
      </c>
      <c r="B4802" s="1" t="s">
        <v>106</v>
      </c>
      <c r="C4802" s="1" t="s">
        <v>1209</v>
      </c>
      <c r="D4802" s="1" t="s">
        <v>1851</v>
      </c>
      <c r="E4802" s="1" t="s">
        <v>1190</v>
      </c>
      <c r="F4802" s="1" t="s">
        <v>8074</v>
      </c>
      <c r="G4802" s="1" t="s">
        <v>49</v>
      </c>
      <c r="H4802" s="1" t="s">
        <v>16</v>
      </c>
      <c r="I4802" s="1" t="str">
        <f ca="1">IFERROR(__xludf.DUMMYFUNCTION("GOOGLETRANSLATE(F4802, ""auto"", ""en"")
"),"The funny thing is that I bought it), I was happy with the purchase - good sound, my original headphones are also not bad, comfortable... in short, all the advantages. BUT! on the first day of use it just went out and didn’t react at all... I used it for "&amp;"2 hours).. it was very unpleasant when it just stopped working, but Explay is a good company... (in any case, I won’t buy one again - that’s for sure)")</f>
        <v>The funny thing is that I bought it), I was happy with the purchase - good sound, my original headphones are also not bad, comfortable... in short, all the advantages. BUT! on the first day of use it just went out and didn’t react at all... I used it for 2 hours).. it was very unpleasant when it just stopped working, but Explay is a good company... (in any case, I won’t buy one again - that’s for sure)</v>
      </c>
    </row>
    <row r="4803" spans="1:9" x14ac:dyDescent="0.3">
      <c r="A4803" s="1" t="s">
        <v>211</v>
      </c>
      <c r="B4803" s="1" t="s">
        <v>212</v>
      </c>
      <c r="C4803" s="1" t="s">
        <v>69</v>
      </c>
      <c r="D4803" s="1" t="s">
        <v>172</v>
      </c>
      <c r="E4803" s="1" t="s">
        <v>2841</v>
      </c>
      <c r="F4803" s="1" t="s">
        <v>8075</v>
      </c>
      <c r="G4803" s="1" t="s">
        <v>36</v>
      </c>
      <c r="H4803" s="1" t="s">
        <v>29</v>
      </c>
      <c r="I4803" s="1" t="str">
        <f ca="1">IFERROR(__xludf.DUMMYFUNCTION("GOOGLETRANSLATE(F4803, ""auto"", ""en"")
"),"Bought it for my wife. She said everything superbly! Fully corresponds to the description! Recommends)))")</f>
        <v>Bought it for my wife. She said everything superbly! Fully corresponds to the description! Recommends)))</v>
      </c>
    </row>
    <row r="4804" spans="1:9" x14ac:dyDescent="0.3">
      <c r="A4804" s="1" t="s">
        <v>149</v>
      </c>
      <c r="B4804" s="1" t="s">
        <v>155</v>
      </c>
      <c r="C4804" s="1" t="s">
        <v>1187</v>
      </c>
      <c r="D4804" s="1" t="s">
        <v>295</v>
      </c>
      <c r="E4804" s="1" t="s">
        <v>8076</v>
      </c>
      <c r="F4804" s="1" t="s">
        <v>8077</v>
      </c>
      <c r="G4804" s="1" t="s">
        <v>36</v>
      </c>
      <c r="H4804" s="1" t="s">
        <v>29</v>
      </c>
      <c r="I4804" s="1" t="str">
        <f ca="1">IFERROR(__xludf.DUMMYFUNCTION("GOOGLETRANSLATE(F4804, ""auto"", ""en"")
"),"Just a fairy tale!!! I didn’t regret for a second that I bought it!!!! And in order for it to work well, you need to wash the filters - it’s written in the instructions!!!!!!!")</f>
        <v>Just a fairy tale!!! I didn’t regret for a second that I bought it!!!! And in order for it to work well, you need to wash the filters - it’s written in the instructions!!!!!!!</v>
      </c>
    </row>
    <row r="4805" spans="1:9" x14ac:dyDescent="0.3">
      <c r="A4805" s="1" t="s">
        <v>37</v>
      </c>
      <c r="B4805" s="1" t="s">
        <v>38</v>
      </c>
      <c r="C4805" s="1" t="s">
        <v>69</v>
      </c>
      <c r="D4805" s="1" t="s">
        <v>152</v>
      </c>
      <c r="E4805" s="1" t="s">
        <v>841</v>
      </c>
      <c r="F4805" s="1" t="s">
        <v>8078</v>
      </c>
      <c r="G4805" s="1" t="s">
        <v>36</v>
      </c>
      <c r="H4805" s="1" t="s">
        <v>29</v>
      </c>
      <c r="I4805" s="1" t="str">
        <f ca="1">IFERROR(__xludf.DUMMYFUNCTION("GOOGLETRANSLATE(F4805, ""auto"", ""en"")
"),"I've been using this phone for about 3 weeks now and haven't charged it since I bought it! Very cool!  I haven’t charged it, but still have about half the charge. The quality of call reception is excellent, the quality of voice transmission is also ideal."&amp;" I was pleased that the case is almost entirely metal: this is the battery compartment cover, the buttons are metal, and the bezel around the entire perimeter of the case also turned out to be metal - I didn’t have a single scratch. I was pleased with the"&amp;" FM receiver, Bluetooth, and also there is a slot for memory cards, mine is on 2Gb and works great.  But he clearly doesn’t want to work with Java applications, there’s a problem with them. The camera here is normal for 1.3 megapixels, the video is actual"&amp;"ly recorded in disgusting quality, but that’s not the main thing here.  The main thing is that my battery doesn’t run out at all and my head stopped hurting from carrying a charger with me everywhere. Take this phone and you won’t regret it!")</f>
        <v>I've been using this phone for about 3 weeks now and haven't charged it since I bought it! Very cool!  I haven’t charged it, but still have about half the charge. The quality of call reception is excellent, the quality of voice transmission is also ideal. I was pleased that the case is almost entirely metal: this is the battery compartment cover, the buttons are metal, and the bezel around the entire perimeter of the case also turned out to be metal - I didn’t have a single scratch. I was pleased with the FM receiver, Bluetooth, and also there is a slot for memory cards, mine is on 2Gb and works great.  But he clearly doesn’t want to work with Java applications, there’s a problem with them. The camera here is normal for 1.3 megapixels, the video is actually recorded in disgusting quality, but that’s not the main thing here.  The main thing is that my battery doesn’t run out at all and my head stopped hurting from carrying a charger with me everywhere. Take this phone and you won’t regret it!</v>
      </c>
    </row>
    <row r="4806" spans="1:9" x14ac:dyDescent="0.3">
      <c r="A4806" s="1" t="s">
        <v>61</v>
      </c>
      <c r="B4806" s="1" t="s">
        <v>318</v>
      </c>
      <c r="C4806" s="1" t="s">
        <v>213</v>
      </c>
      <c r="D4806" s="1" t="s">
        <v>1681</v>
      </c>
      <c r="E4806" s="1" t="s">
        <v>1465</v>
      </c>
      <c r="F4806" s="1" t="s">
        <v>8079</v>
      </c>
      <c r="G4806" s="1" t="s">
        <v>36</v>
      </c>
      <c r="H4806" s="1" t="s">
        <v>29</v>
      </c>
      <c r="I4806" s="1" t="str">
        <f ca="1">IFERROR(__xludf.DUMMYFUNCTION("GOOGLETRANSLATE(F4806, ""auto"", ""en"")
"),"The kettle is good, we have been using it for a long time, it works perfectly. The only possible inconvenience is when the lid is open, there is a wall on it that goes down into the spout, sticks out and prevents you from pouring water from the jug from t"&amp;"he side.")</f>
        <v>The kettle is good, we have been using it for a long time, it works perfectly. The only possible inconvenience is when the lid is open, there is a wall on it that goes down into the spout, sticks out and prevents you from pouring water from the jug from the side.</v>
      </c>
    </row>
    <row r="4807" spans="1:9" x14ac:dyDescent="0.3">
      <c r="A4807" s="1" t="s">
        <v>105</v>
      </c>
      <c r="B4807" s="1" t="s">
        <v>106</v>
      </c>
      <c r="C4807" s="1" t="s">
        <v>1921</v>
      </c>
      <c r="D4807" s="1" t="s">
        <v>4620</v>
      </c>
      <c r="E4807" s="1" t="s">
        <v>897</v>
      </c>
      <c r="F4807" s="1" t="s">
        <v>8080</v>
      </c>
      <c r="G4807" s="1" t="s">
        <v>28</v>
      </c>
      <c r="H4807" s="1" t="s">
        <v>29</v>
      </c>
      <c r="I4807" s="1" t="str">
        <f ca="1">IFERROR(__xludf.DUMMYFUNCTION("GOOGLETRANSLATE(F4807, ""auto"", ""en"")
"),"There was no usb cable included(((")</f>
        <v>There was no usb cable included(((</v>
      </c>
    </row>
    <row r="4808" spans="1:9" x14ac:dyDescent="0.3">
      <c r="A4808" s="1" t="s">
        <v>95</v>
      </c>
      <c r="B4808" s="1" t="s">
        <v>648</v>
      </c>
      <c r="C4808" s="1" t="s">
        <v>97</v>
      </c>
      <c r="D4808" s="1" t="s">
        <v>152</v>
      </c>
      <c r="E4808" s="1" t="s">
        <v>2321</v>
      </c>
      <c r="F4808" s="1" t="s">
        <v>8081</v>
      </c>
      <c r="G4808" s="1" t="s">
        <v>28</v>
      </c>
      <c r="H4808" s="1" t="s">
        <v>29</v>
      </c>
      <c r="I4808" s="1" t="str">
        <f ca="1">IFERROR(__xludf.DUMMYFUNCTION("GOOGLETRANSLATE(F4808, ""auto"", ""en"")
"),"The design is made in black style with white stripes. But the games can and even need to be improved. I also liked the camera.")</f>
        <v>The design is made in black style with white stripes. But the games can and even need to be improved. I also liked the camera.</v>
      </c>
    </row>
    <row r="4809" spans="1:9" x14ac:dyDescent="0.3">
      <c r="A4809" s="1" t="s">
        <v>211</v>
      </c>
      <c r="B4809" s="1" t="s">
        <v>212</v>
      </c>
      <c r="C4809" s="1" t="s">
        <v>1591</v>
      </c>
      <c r="D4809" s="1" t="s">
        <v>8082</v>
      </c>
      <c r="E4809" s="1" t="s">
        <v>6891</v>
      </c>
      <c r="F4809" s="1" t="s">
        <v>8083</v>
      </c>
      <c r="G4809" s="1" t="s">
        <v>36</v>
      </c>
      <c r="H4809" s="1" t="s">
        <v>29</v>
      </c>
      <c r="I4809" s="1" t="str">
        <f ca="1">IFERROR(__xludf.DUMMYFUNCTION("GOOGLETRANSLATE(F4809, ""auto"", ""en"")
"),"My husband bought me this hairdryer brush because he was always moved by the way I styled my hair... a hairdryer in one hand, a comb in the other (he thought it was terribly inconvenient). So I decided to make this task easier for me with this purchase. I"&amp;"’ve been using this hairdryer brush for 3-4 years now and I’m very pleased! I mainly use the largest brush, it is really very convenient to pull out strands and curl the ends. Hair after styling is shiny and soft.")</f>
        <v>My husband bought me this hairdryer brush because he was always moved by the way I styled my hair... a hairdryer in one hand, a comb in the other (he thought it was terribly inconvenient). So I decided to make this task easier for me with this purchase. I’ve been using this hairdryer brush for 3-4 years now and I’m very pleased! I mainly use the largest brush, it is really very convenient to pull out strands and curl the ends. Hair after styling is shiny and soft.</v>
      </c>
    </row>
    <row r="4810" spans="1:9" x14ac:dyDescent="0.3">
      <c r="A4810" s="1" t="s">
        <v>61</v>
      </c>
      <c r="B4810" s="1" t="s">
        <v>180</v>
      </c>
      <c r="C4810" s="1" t="s">
        <v>246</v>
      </c>
      <c r="D4810" s="1" t="s">
        <v>114</v>
      </c>
      <c r="E4810" s="1" t="s">
        <v>8084</v>
      </c>
      <c r="F4810" s="1" t="s">
        <v>8085</v>
      </c>
      <c r="G4810" s="1" t="s">
        <v>49</v>
      </c>
      <c r="H4810" s="1" t="s">
        <v>16</v>
      </c>
      <c r="I4810" s="1" t="str">
        <f ca="1">IFERROR(__xludf.DUMMYFUNCTION("GOOGLETRANSLATE(F4810, ""auto"", ""en"")
"),"I took this unit a week ago, after 5 days it died... It also smelled of burnt plastic almost every time it was used. I use technology carefully. Maybe I just got caught like that... Or maybe not. Today I'm going to take it.")</f>
        <v>I took this unit a week ago, after 5 days it died... It also smelled of burnt plastic almost every time it was used. I use technology carefully. Maybe I just got caught like that... Or maybe not. Today I'm going to take it.</v>
      </c>
    </row>
    <row r="4811" spans="1:9" x14ac:dyDescent="0.3">
      <c r="A4811" s="1" t="s">
        <v>61</v>
      </c>
      <c r="B4811" s="1" t="s">
        <v>224</v>
      </c>
      <c r="C4811" s="1" t="s">
        <v>85</v>
      </c>
      <c r="D4811" s="1" t="s">
        <v>8086</v>
      </c>
      <c r="E4811" s="1" t="s">
        <v>259</v>
      </c>
      <c r="F4811" s="1" t="s">
        <v>8087</v>
      </c>
      <c r="G4811" s="1" t="s">
        <v>36</v>
      </c>
      <c r="H4811" s="1" t="s">
        <v>29</v>
      </c>
      <c r="I4811" s="1" t="str">
        <f ca="1">IFERROR(__xludf.DUMMYFUNCTION("GOOGLETRANSLATE(F4811, ""auto"", ""en"")
"),"Works flawlessly. The quality of the juice is excellent. A big plus is the ability to extract juice from products without cutting them.")</f>
        <v>Works flawlessly. The quality of the juice is excellent. A big plus is the ability to extract juice from products without cutting them.</v>
      </c>
    </row>
    <row r="4812" spans="1:9" x14ac:dyDescent="0.3">
      <c r="A4812" s="1" t="s">
        <v>17</v>
      </c>
      <c r="B4812" s="1" t="s">
        <v>18</v>
      </c>
      <c r="C4812" s="1" t="s">
        <v>870</v>
      </c>
      <c r="D4812" s="1" t="s">
        <v>64</v>
      </c>
      <c r="E4812" s="1" t="s">
        <v>3690</v>
      </c>
      <c r="F4812" s="1" t="s">
        <v>8088</v>
      </c>
      <c r="G4812" s="1" t="s">
        <v>28</v>
      </c>
      <c r="H4812" s="1" t="s">
        <v>29</v>
      </c>
      <c r="I4812" s="1" t="str">
        <f ca="1">IFERROR(__xludf.DUMMYFUNCTION("GOOGLETRANSLATE(F4812, ""auto"", ""en"")
"),"Worked for 7 years. Cons: strong noise during spin cycles. The rest was very satisfactory. Now it has stopped squeezing completely, it gets stuck before rinsing. If you don't watch it, it will spin in one place all day.")</f>
        <v>Worked for 7 years. Cons: strong noise during spin cycles. The rest was very satisfactory. Now it has stopped squeezing completely, it gets stuck before rinsing. If you don't watch it, it will spin in one place all day.</v>
      </c>
    </row>
    <row r="4813" spans="1:9" x14ac:dyDescent="0.3">
      <c r="A4813" s="1" t="s">
        <v>95</v>
      </c>
      <c r="B4813" s="1" t="s">
        <v>402</v>
      </c>
      <c r="C4813" s="1" t="s">
        <v>403</v>
      </c>
      <c r="D4813" s="1" t="s">
        <v>8089</v>
      </c>
      <c r="E4813" s="1" t="s">
        <v>386</v>
      </c>
      <c r="F4813" s="1" t="s">
        <v>8090</v>
      </c>
      <c r="G4813" s="1" t="s">
        <v>36</v>
      </c>
      <c r="H4813" s="1" t="s">
        <v>29</v>
      </c>
      <c r="I4813" s="1" t="str">
        <f ca="1">IFERROR(__xludf.DUMMYFUNCTION("GOOGLETRANSLATE(F4813, ""auto"", ""en"")
"),"Nintendo 3DS Aqua Blue is simply super!!!   You can't go wrong with your choice!!! I recommend!!!")</f>
        <v>Nintendo 3DS Aqua Blue is simply super!!!   You can't go wrong with your choice!!! I recommend!!!</v>
      </c>
    </row>
    <row r="4814" spans="1:9" x14ac:dyDescent="0.3">
      <c r="A4814" s="1" t="s">
        <v>120</v>
      </c>
      <c r="B4814" s="1" t="s">
        <v>256</v>
      </c>
      <c r="C4814" s="1" t="s">
        <v>69</v>
      </c>
      <c r="D4814" s="1" t="s">
        <v>33</v>
      </c>
      <c r="E4814" s="1" t="s">
        <v>1267</v>
      </c>
      <c r="F4814" s="1" t="s">
        <v>8091</v>
      </c>
      <c r="G4814" s="1" t="s">
        <v>28</v>
      </c>
      <c r="H4814" s="1" t="s">
        <v>29</v>
      </c>
      <c r="I4814" s="1" t="str">
        <f ca="1">IFERROR(__xludf.DUMMYFUNCTION("GOOGLETRANSLATE(F4814, ""auto"", ""en"")
"),"I bought it a year ago, the design is excellent, like all TVs of this brand. The quality is also not inferior to TVs of the same class, I came to the conclusion while shopping for digital equipment, at first it seemed that there was almost no black color,"&amp;" but after tinkering with the settings I adjusted it. As a monitor, it shows excellently for the XBOX-360.")</f>
        <v>I bought it a year ago, the design is excellent, like all TVs of this brand. The quality is also not inferior to TVs of the same class, I came to the conclusion while shopping for digital equipment, at first it seemed that there was almost no black color, but after tinkering with the settings I adjusted it. As a monitor, it shows excellently for the XBOX-360.</v>
      </c>
    </row>
    <row r="4815" spans="1:9" x14ac:dyDescent="0.3">
      <c r="A4815" s="1" t="s">
        <v>149</v>
      </c>
      <c r="B4815" s="1" t="s">
        <v>155</v>
      </c>
      <c r="C4815" s="1" t="s">
        <v>159</v>
      </c>
      <c r="D4815" s="1" t="s">
        <v>366</v>
      </c>
      <c r="E4815" s="1" t="s">
        <v>504</v>
      </c>
      <c r="F4815" s="1" t="s">
        <v>8092</v>
      </c>
      <c r="G4815" s="1" t="s">
        <v>36</v>
      </c>
      <c r="H4815" s="1" t="s">
        <v>29</v>
      </c>
      <c r="I4815" s="1" t="str">
        <f ca="1">IFERROR(__xludf.DUMMYFUNCTION("GOOGLETRANSLATE(F4815, ""auto"", ""en"")
"),"This model has been working for me for 1.5 years. I use it every day because... I had a one-year-old child at home. One day an unpleasant thing happened: it began to heat up and turn off, and then lost its suction power. The reason turned out to be simple"&amp;": I had to clean the spiral in the container of hair (otherwise I just threw the garbage out of the container, washed the filters, I thought that was enough, for a long time I could not understand why the vacuum cleaner lost its power). So I decided to he"&amp;"lp you all with advice, an excellent vacuum cleaner.")</f>
        <v>This model has been working for me for 1.5 years. I use it every day because... I had a one-year-old child at home. One day an unpleasant thing happened: it began to heat up and turn off, and then lost its suction power. The reason turned out to be simple: I had to clean the spiral in the container of hair (otherwise I just threw the garbage out of the container, washed the filters, I thought that was enough, for a long time I could not understand why the vacuum cleaner lost its power). So I decided to help you all with advice, an excellent vacuum cleaner.</v>
      </c>
    </row>
    <row r="4816" spans="1:9" x14ac:dyDescent="0.3">
      <c r="A4816" s="1" t="s">
        <v>624</v>
      </c>
      <c r="B4816" s="1" t="s">
        <v>625</v>
      </c>
      <c r="C4816" s="1" t="s">
        <v>479</v>
      </c>
      <c r="D4816" s="1" t="s">
        <v>8093</v>
      </c>
      <c r="E4816" s="1" t="s">
        <v>1765</v>
      </c>
      <c r="F4816" s="1" t="s">
        <v>8094</v>
      </c>
      <c r="G4816" s="1" t="s">
        <v>36</v>
      </c>
      <c r="H4816" s="1" t="s">
        <v>29</v>
      </c>
      <c r="I4816" s="1" t="str">
        <f ca="1">IFERROR(__xludf.DUMMYFUNCTION("GOOGLETRANSLATE(F4816, ""auto"", ""en"")
"),"The other day they bought me a PS3, but it turned out to be defective and we bought another one, I didn’t take the bundle with the game, but bought the game separately, my choice at that time was MK VS DCU, I really liked the game, 5 points!!!")</f>
        <v>The other day they bought me a PS3, but it turned out to be defective and we bought another one, I didn’t take the bundle with the game, but bought the game separately, my choice at that time was MK VS DCU, I really liked the game, 5 points!!!</v>
      </c>
    </row>
    <row r="4817" spans="1:9" x14ac:dyDescent="0.3">
      <c r="A4817" s="1" t="s">
        <v>61</v>
      </c>
      <c r="B4817" s="1" t="s">
        <v>224</v>
      </c>
      <c r="C4817" s="1" t="s">
        <v>85</v>
      </c>
      <c r="D4817" s="1" t="s">
        <v>305</v>
      </c>
      <c r="E4817" s="1" t="s">
        <v>5554</v>
      </c>
      <c r="F4817" s="1" t="s">
        <v>8095</v>
      </c>
      <c r="G4817" s="1" t="s">
        <v>36</v>
      </c>
      <c r="H4817" s="1" t="s">
        <v>29</v>
      </c>
      <c r="I4817" s="1" t="str">
        <f ca="1">IFERROR(__xludf.DUMMYFUNCTION("GOOGLETRANSLATE(F4817, ""auto"", ""en"")
"),"Pros: When I bought it, I was surprised at how quietly it spins! At the same time, it pays off its price one hundred percent - now I regularly squeeze juice from citrus fruits and pomegranates for the whole family. It’s very convenient that the lever, fir"&amp;"stly, does all the work for me - I don’t need to press hard, and secondly, thanks to it my hands remain clean.")</f>
        <v>Pros: When I bought it, I was surprised at how quietly it spins! At the same time, it pays off its price one hundred percent - now I regularly squeeze juice from citrus fruits and pomegranates for the whole family. It’s very convenient that the lever, firstly, does all the work for me - I don’t need to press hard, and secondly, thanks to it my hands remain clean.</v>
      </c>
    </row>
    <row r="4818" spans="1:9" x14ac:dyDescent="0.3">
      <c r="A4818" s="1" t="s">
        <v>95</v>
      </c>
      <c r="B4818" s="1" t="s">
        <v>486</v>
      </c>
      <c r="C4818" s="1" t="s">
        <v>487</v>
      </c>
      <c r="D4818" s="1" t="s">
        <v>8096</v>
      </c>
      <c r="E4818" s="1" t="s">
        <v>1553</v>
      </c>
      <c r="F4818" s="1" t="s">
        <v>8097</v>
      </c>
      <c r="G4818" s="1" t="s">
        <v>36</v>
      </c>
      <c r="H4818" s="1" t="s">
        <v>29</v>
      </c>
      <c r="I4818" s="1" t="str">
        <f ca="1">IFERROR(__xludf.DUMMYFUNCTION("GOOGLETRANSLATE(F4818, ""auto"", ""en"")
"),"The console works great and works flawlessly! Kinect is truly a miracle of technology! It’s a very good console, I play it every day and I can’t get enough of it! It just heats up very quickly =(")</f>
        <v>The console works great and works flawlessly! Kinect is truly a miracle of technology! It’s a very good console, I play it every day and I can’t get enough of it! It just heats up very quickly =(</v>
      </c>
    </row>
    <row r="4819" spans="1:9" x14ac:dyDescent="0.3">
      <c r="A4819" s="1" t="s">
        <v>89</v>
      </c>
      <c r="B4819" s="1" t="s">
        <v>90</v>
      </c>
      <c r="C4819" s="1" t="s">
        <v>63</v>
      </c>
      <c r="D4819" s="1" t="s">
        <v>280</v>
      </c>
      <c r="E4819" s="1" t="s">
        <v>608</v>
      </c>
      <c r="F4819" s="1" t="s">
        <v>8098</v>
      </c>
      <c r="G4819" s="1" t="s">
        <v>36</v>
      </c>
      <c r="H4819" s="1" t="s">
        <v>29</v>
      </c>
      <c r="I4819" s="1" t="str">
        <f ca="1">IFERROR(__xludf.DUMMYFUNCTION("GOOGLETRANSLATE(F4819, ""auto"", ""en"")
"),"For the sake of all the Gods of Olympus, read the instructions before use! Everything is written there about the time of continuous operation. 20 seconds make fine dust from 3 spoons of coffee. Read how many beans need to be ground at a time (the maximum "&amp;"possible amount). This coffee grinder does not deserve ratings lower than 5. Because this is the third one I use and it works magic)")</f>
        <v>For the sake of all the Gods of Olympus, read the instructions before use! Everything is written there about the time of continuous operation. 20 seconds make fine dust from 3 spoons of coffee. Read how many beans need to be ground at a time (the maximum possible amount). This coffee grinder does not deserve ratings lower than 5. Because this is the third one I use and it works magic)</v>
      </c>
    </row>
    <row r="4820" spans="1:9" x14ac:dyDescent="0.3">
      <c r="A4820" s="1" t="s">
        <v>43</v>
      </c>
      <c r="B4820" s="1" t="s">
        <v>502</v>
      </c>
      <c r="C4820" s="1" t="s">
        <v>151</v>
      </c>
      <c r="D4820" s="1" t="s">
        <v>39</v>
      </c>
      <c r="E4820" s="1" t="s">
        <v>859</v>
      </c>
      <c r="F4820" s="1" t="s">
        <v>8099</v>
      </c>
      <c r="G4820" s="1" t="s">
        <v>36</v>
      </c>
      <c r="H4820" s="1" t="s">
        <v>29</v>
      </c>
      <c r="I4820" s="1" t="str">
        <f ca="1">IFERROR(__xludf.DUMMYFUNCTION("GOOGLETRANSLATE(F4820, ""auto"", ""en"")
"),"The air conditioner was purchased at the M.Video store in the Maryino metro area. The air conditioner is installed in a room with an area of ​​17 sq.m. I am very pleased with this model. It works great in all modes, cools very quickly and maintains the te"&amp;"mperature at any given parameters. It is silent in operation. GOOD SLEEP mode is absolutely a fairy tale. The blades are vertically adjustable at any angle; it is also possible to adjust them horizontally manually. The external unit is mounted on a stand,"&amp;" which is equipped with special cushions around the entire perimeter - this provides very high-quality noise and vibration insulation for the wall, the house and your neighbors. Neighbors will not be disturbed while working. Take it, you won't regret it. "&amp;"I highly recommend it! I would like to express special gratitude to the installers, as they recently installed expensive wallpaper in the room. Everything was done very carefully and nothing was damaged.")</f>
        <v>The air conditioner was purchased at the M.Video store in the Maryino metro area. The air conditioner is installed in a room with an area of ​​17 sq.m. I am very pleased with this model. It works great in all modes, cools very quickly and maintains the temperature at any given parameters. It is silent in operation. GOOD SLEEP mode is absolutely a fairy tale. The blades are vertically adjustable at any angle; it is also possible to adjust them horizontally manually. The external unit is mounted on a stand, which is equipped with special cushions around the entire perimeter - this provides very high-quality noise and vibration insulation for the wall, the house and your neighbors. Neighbors will not be disturbed while working. Take it, you won't regret it. I highly recommend it! I would like to express special gratitude to the installers, as they recently installed expensive wallpaper in the room. Everything was done very carefully and nothing was damaged.</v>
      </c>
    </row>
    <row r="4821" spans="1:9" x14ac:dyDescent="0.3">
      <c r="A4821" s="1" t="s">
        <v>61</v>
      </c>
      <c r="B4821" s="1" t="s">
        <v>318</v>
      </c>
      <c r="C4821" s="1" t="s">
        <v>213</v>
      </c>
      <c r="D4821" s="1" t="s">
        <v>232</v>
      </c>
      <c r="E4821" s="1" t="s">
        <v>92</v>
      </c>
      <c r="F4821" s="1" t="s">
        <v>8100</v>
      </c>
      <c r="G4821" s="1" t="s">
        <v>36</v>
      </c>
      <c r="H4821" s="1" t="s">
        <v>29</v>
      </c>
      <c r="I4821" s="1" t="str">
        <f ca="1">IFERROR(__xludf.DUMMYFUNCTION("GOOGLETRANSLATE(F4821, ""auto"", ""en"")
"),"Cool kettle! Modern and reliable!")</f>
        <v>Cool kettle! Modern and reliable!</v>
      </c>
    </row>
    <row r="4822" spans="1:9" x14ac:dyDescent="0.3">
      <c r="A4822" s="1" t="s">
        <v>30</v>
      </c>
      <c r="B4822" s="1" t="s">
        <v>50</v>
      </c>
      <c r="C4822" s="1" t="s">
        <v>377</v>
      </c>
      <c r="D4822" s="1" t="s">
        <v>8101</v>
      </c>
      <c r="E4822" s="1" t="s">
        <v>2298</v>
      </c>
      <c r="F4822" s="1" t="s">
        <v>8102</v>
      </c>
      <c r="G4822" s="1" t="s">
        <v>36</v>
      </c>
      <c r="H4822" s="1" t="s">
        <v>29</v>
      </c>
      <c r="I4822" s="1" t="str">
        <f ca="1">IFERROR(__xludf.DUMMYFUNCTION("GOOGLETRANSLATE(F4822, ""auto"", ""en"")
"),"An excellent laptop for such money, I recommend it like a fairy tale and the company is excellent...")</f>
        <v>An excellent laptop for such money, I recommend it like a fairy tale and the company is excellent...</v>
      </c>
    </row>
    <row r="4823" spans="1:9" x14ac:dyDescent="0.3">
      <c r="A4823" s="1" t="s">
        <v>43</v>
      </c>
      <c r="B4823" s="1" t="s">
        <v>1370</v>
      </c>
      <c r="C4823" s="1" t="s">
        <v>304</v>
      </c>
      <c r="D4823" s="1" t="s">
        <v>102</v>
      </c>
      <c r="E4823" s="1" t="s">
        <v>4409</v>
      </c>
      <c r="F4823" s="1" t="s">
        <v>8103</v>
      </c>
      <c r="G4823" s="1" t="s">
        <v>49</v>
      </c>
      <c r="H4823" s="1" t="s">
        <v>16</v>
      </c>
      <c r="I4823" s="1" t="str">
        <f ca="1">IFERROR(__xludf.DUMMYFUNCTION("GOOGLETRANSLATE(F4823, ""auto"", ""en"")
"),"The water heater is terrible. It consumes a lot of energy, but does not heat the water at all, even at maximum power and with minimum flow the water is barely warm (I do not recommend buying.")</f>
        <v>The water heater is terrible. It consumes a lot of energy, but does not heat the water at all, even at maximum power and with minimum flow the water is barely warm (I do not recommend buying.</v>
      </c>
    </row>
    <row r="4824" spans="1:9" x14ac:dyDescent="0.3">
      <c r="A4824" s="1" t="s">
        <v>211</v>
      </c>
      <c r="B4824" s="1" t="s">
        <v>212</v>
      </c>
      <c r="C4824" s="1" t="s">
        <v>69</v>
      </c>
      <c r="D4824" s="1" t="s">
        <v>8104</v>
      </c>
      <c r="E4824" s="1" t="s">
        <v>2669</v>
      </c>
      <c r="F4824" s="1" t="s">
        <v>8105</v>
      </c>
      <c r="G4824" s="1" t="s">
        <v>36</v>
      </c>
      <c r="H4824" s="1" t="s">
        <v>29</v>
      </c>
      <c r="I4824" s="1" t="str">
        <f ca="1">IFERROR(__xludf.DUMMYFUNCTION("GOOGLETRANSLATE(F4824, ""auto"", ""en"")
"),"Excellent iron. I really like it. Heats up in 5 seconds. It straightens even my curls quickly. How much I suffered, I could not find a normal iron that would straighten my curls, but this iron is the best. I advise you!")</f>
        <v>Excellent iron. I really like it. Heats up in 5 seconds. It straightens even my curls quickly. How much I suffered, I could not find a normal iron that would straighten my curls, but this iron is the best. I advise you!</v>
      </c>
    </row>
    <row r="4825" spans="1:9" x14ac:dyDescent="0.3">
      <c r="A4825" s="1" t="s">
        <v>78</v>
      </c>
      <c r="B4825" s="1" t="s">
        <v>79</v>
      </c>
      <c r="C4825" s="1" t="s">
        <v>122</v>
      </c>
      <c r="D4825" s="1" t="s">
        <v>621</v>
      </c>
      <c r="E4825" s="1" t="s">
        <v>8106</v>
      </c>
      <c r="F4825" s="1" t="s">
        <v>8107</v>
      </c>
      <c r="G4825" s="1" t="s">
        <v>36</v>
      </c>
      <c r="H4825" s="1" t="s">
        <v>29</v>
      </c>
      <c r="I4825" s="1" t="str">
        <f ca="1">IFERROR(__xludf.DUMMYFUNCTION("GOOGLETRANSLATE(F4825, ""auto"", ""en"")
"),"We bought it for ourselves a few years ago, I compare it with microwave ovens from friends - there is no more convenient and correct oven! Everything is convenient, all the buttons are very logically located, easy to clean, stylish design. A friend recent"&amp;"ly bought the same one and couldn’t be happier.")</f>
        <v>We bought it for ourselves a few years ago, I compare it with microwave ovens from friends - there is no more convenient and correct oven! Everything is convenient, all the buttons are very logically located, easy to clean, stylish design. A friend recently bought the same one and couldn’t be happier.</v>
      </c>
    </row>
    <row r="4826" spans="1:9" x14ac:dyDescent="0.3">
      <c r="A4826" s="1" t="s">
        <v>55</v>
      </c>
      <c r="B4826" s="1" t="s">
        <v>56</v>
      </c>
      <c r="C4826" s="1" t="s">
        <v>3651</v>
      </c>
      <c r="D4826" s="1" t="s">
        <v>8108</v>
      </c>
      <c r="E4826" s="1" t="s">
        <v>1376</v>
      </c>
      <c r="F4826" s="1" t="s">
        <v>8109</v>
      </c>
      <c r="G4826" s="1" t="s">
        <v>28</v>
      </c>
      <c r="H4826" s="1" t="s">
        <v>29</v>
      </c>
      <c r="I4826" s="1" t="str">
        <f ca="1">IFERROR(__xludf.DUMMYFUNCTION("GOOGLETRANSLATE(F4826, ""auto"", ""en"")
"),"Purchased in winter to create normal humidity in the room. It copes with the task at 100 at low speed, because, no matter what they say, there is a hum at high speed, and it is not needed for a room of 22 sq.m. There was much less dust. Humidity 55%. Find"&amp;"ing a replacement filter is not a problem; it’s only quite expensive, starting from 700 rubles; the internet is full of offers. I advise you to buy.")</f>
        <v>Purchased in winter to create normal humidity in the room. It copes with the task at 100 at low speed, because, no matter what they say, there is a hum at high speed, and it is not needed for a room of 22 sq.m. There was much less dust. Humidity 55%. Finding a replacement filter is not a problem; it’s only quite expensive, starting from 700 rubles; the internet is full of offers. I advise you to buy.</v>
      </c>
    </row>
    <row r="4827" spans="1:9" x14ac:dyDescent="0.3">
      <c r="A4827" s="1" t="s">
        <v>624</v>
      </c>
      <c r="B4827" s="1" t="s">
        <v>625</v>
      </c>
      <c r="C4827" s="1" t="s">
        <v>479</v>
      </c>
      <c r="D4827" s="1" t="s">
        <v>8110</v>
      </c>
      <c r="E4827" s="1" t="s">
        <v>2105</v>
      </c>
      <c r="F4827" s="1" t="s">
        <v>8111</v>
      </c>
      <c r="G4827" s="1" t="s">
        <v>36</v>
      </c>
      <c r="H4827" s="1" t="s">
        <v>29</v>
      </c>
      <c r="I4827" s="1" t="str">
        <f ca="1">IFERROR(__xludf.DUMMYFUNCTION("GOOGLETRANSLATE(F4827, ""auto"", ""en"")
"),"There are few such games, which is a pity. Autumn is a beautiful game with an excellent plot, I recommend it to adventure lovers. Only I was still playing with the Russian language, but here it seems that only documentation is written.")</f>
        <v>There are few such games, which is a pity. Autumn is a beautiful game with an excellent plot, I recommend it to adventure lovers. Only I was still playing with the Russian language, but here it seems that only documentation is written.</v>
      </c>
    </row>
    <row r="4828" spans="1:9" x14ac:dyDescent="0.3">
      <c r="A4828" s="1" t="s">
        <v>811</v>
      </c>
      <c r="B4828" s="1" t="s">
        <v>812</v>
      </c>
      <c r="C4828" s="1" t="s">
        <v>949</v>
      </c>
      <c r="D4828" s="1" t="s">
        <v>2068</v>
      </c>
      <c r="E4828" s="1" t="s">
        <v>4110</v>
      </c>
      <c r="F4828" s="1" t="s">
        <v>8112</v>
      </c>
      <c r="G4828" s="1" t="s">
        <v>28</v>
      </c>
      <c r="H4828" s="1" t="s">
        <v>29</v>
      </c>
      <c r="I4828" s="1" t="str">
        <f ca="1">IFERROR(__xludf.DUMMYFUNCTION("GOOGLETRANSLATE(F4828, ""auto"", ""en"")
"),"I liked the higher quality workmanship and materials than tripods from other manufacturers. The head moves more smoothly than that of the same Rekam. But after a short time, the ears of the PLASTIC links connecting the legs and the vertical base began to "&amp;"break. It's a shame. The link is broken - the tripod is not functional. As it turned out, this is a very vulnerable place. When the tripod is installed, any careless movement and you can hear the crunch of the plastic. That’s why I’m advocating for tripod"&amp;"s with metal links. And if you need a smooth ride, then these are different tripods for a completely different price.")</f>
        <v>I liked the higher quality workmanship and materials than tripods from other manufacturers. The head moves more smoothly than that of the same Rekam. But after a short time, the ears of the PLASTIC links connecting the legs and the vertical base began to break. It's a shame. The link is broken - the tripod is not functional. As it turned out, this is a very vulnerable place. When the tripod is installed, any careless movement and you can hear the crunch of the plastic. That’s why I’m advocating for tripods with metal links. And if you need a smooth ride, then these are different tripods for a completely different price.</v>
      </c>
    </row>
    <row r="4829" spans="1:9" x14ac:dyDescent="0.3">
      <c r="A4829" s="1" t="s">
        <v>61</v>
      </c>
      <c r="B4829" s="1" t="s">
        <v>145</v>
      </c>
      <c r="C4829" s="1" t="s">
        <v>246</v>
      </c>
      <c r="D4829" s="1" t="s">
        <v>943</v>
      </c>
      <c r="E4829" s="1" t="s">
        <v>569</v>
      </c>
      <c r="F4829" s="1" t="s">
        <v>8113</v>
      </c>
      <c r="G4829" s="1" t="s">
        <v>28</v>
      </c>
      <c r="H4829" s="1" t="s">
        <v>29</v>
      </c>
      <c r="I4829" s="1" t="str">
        <f ca="1">IFERROR(__xludf.DUMMYFUNCTION("GOOGLETRANSLATE(F4829, ""auto"", ""en"")
"),"An excellent option for 2 people. Optimal potato/oil ratio.    + Fast and high-quality frying of potatoes.   - The case gets very hot (I’m afraid I might set the tabletop on fire, I’ll have to get a special stand).    A good deep fryer, the main thing now"&amp;" is that it lasts a long time.")</f>
        <v>An excellent option for 2 people. Optimal potato/oil ratio.    + Fast and high-quality frying of potatoes.   - The case gets very hot (I’m afraid I might set the tabletop on fire, I’ll have to get a special stand).    A good deep fryer, the main thing now is that it lasts a long time.</v>
      </c>
    </row>
    <row r="4830" spans="1:9" x14ac:dyDescent="0.3">
      <c r="A4830" s="1" t="s">
        <v>89</v>
      </c>
      <c r="B4830" s="1" t="s">
        <v>90</v>
      </c>
      <c r="C4830" s="1" t="s">
        <v>85</v>
      </c>
      <c r="D4830" s="1" t="s">
        <v>2290</v>
      </c>
      <c r="E4830" s="1" t="s">
        <v>3794</v>
      </c>
      <c r="F4830" s="1" t="s">
        <v>8114</v>
      </c>
      <c r="G4830" s="1" t="s">
        <v>49</v>
      </c>
      <c r="H4830" s="1" t="s">
        <v>16</v>
      </c>
      <c r="I4830" s="1" t="str">
        <f ca="1">IFERROR(__xludf.DUMMYFUNCTION("GOOGLETRANSLATE(F4830, ""auto"", ""en"")
"),"Unreliable coffee grinder. Unreliable engine - very afraid of overload! Very difficult to repair! The design is just a plus and that’s it!")</f>
        <v>Unreliable coffee grinder. Unreliable engine - very afraid of overload! Very difficult to repair! The design is just a plus and that’s it!</v>
      </c>
    </row>
    <row r="4831" spans="1:9" x14ac:dyDescent="0.3">
      <c r="A4831" s="1" t="s">
        <v>105</v>
      </c>
      <c r="B4831" s="1" t="s">
        <v>106</v>
      </c>
      <c r="C4831" s="1" t="s">
        <v>1921</v>
      </c>
      <c r="D4831" s="1" t="s">
        <v>8115</v>
      </c>
      <c r="E4831" s="1" t="s">
        <v>2430</v>
      </c>
      <c r="F4831" s="1" t="s">
        <v>8116</v>
      </c>
      <c r="G4831" s="1" t="s">
        <v>36</v>
      </c>
      <c r="H4831" s="1" t="s">
        <v>29</v>
      </c>
      <c r="I4831" s="1" t="str">
        <f ca="1">IFERROR(__xludf.DUMMYFUNCTION("GOOGLETRANSLATE(F4831, ""auto"", ""en"")
"),"I’ve been using the player for the third day now, so far I’m happy with everything, you immediately get used to turning it on, as well as the menu. Music playback is excellent, does not glitch, the battery lasts a long time, in general, I recommend it to "&amp;"everyone!")</f>
        <v>I’ve been using the player for the third day now, so far I’m happy with everything, you immediately get used to turning it on, as well as the menu. Music playback is excellent, does not glitch, the battery lasts a long time, in general, I recommend it to everyone!</v>
      </c>
    </row>
    <row r="4832" spans="1:9" x14ac:dyDescent="0.3">
      <c r="A4832" s="1" t="s">
        <v>17</v>
      </c>
      <c r="B4832" s="1" t="s">
        <v>18</v>
      </c>
      <c r="C4832" s="1" t="s">
        <v>80</v>
      </c>
      <c r="D4832" s="1" t="s">
        <v>565</v>
      </c>
      <c r="E4832" s="1" t="s">
        <v>4434</v>
      </c>
      <c r="F4832" s="1" t="s">
        <v>8117</v>
      </c>
      <c r="G4832" s="1" t="s">
        <v>3927</v>
      </c>
      <c r="H4832" s="1" t="s">
        <v>16</v>
      </c>
      <c r="I4832" s="1" t="str">
        <f ca="1">IFERROR(__xludf.DUMMYFUNCTION("GOOGLETRANSLATE(F4832, ""auto"", ""en"")
"),"This machine really infuriated me, there are simply no words, in general, people, don’t press yourself, buy normal equipment")</f>
        <v>This machine really infuriated me, there are simply no words, in general, people, don’t press yourself, buy normal equipment</v>
      </c>
    </row>
    <row r="4833" spans="1:9" x14ac:dyDescent="0.3">
      <c r="A4833" s="1" t="s">
        <v>17</v>
      </c>
      <c r="B4833" s="1" t="s">
        <v>18</v>
      </c>
      <c r="C4833" s="1" t="s">
        <v>151</v>
      </c>
      <c r="D4833" s="1" t="s">
        <v>12</v>
      </c>
      <c r="E4833" s="1" t="s">
        <v>2038</v>
      </c>
      <c r="F4833" s="1" t="s">
        <v>8118</v>
      </c>
      <c r="G4833" s="1" t="s">
        <v>36</v>
      </c>
      <c r="H4833" s="1" t="s">
        <v>29</v>
      </c>
      <c r="I4833" s="1" t="str">
        <f ca="1">IFERROR(__xludf.DUMMYFUNCTION("GOOGLETRANSLATE(F4833, ""auto"", ""en"")
"),"Cool machine!!!  Lots of useful functions, easy to use, washes and spins perfectly and is not loud!")</f>
        <v>Cool machine!!!  Lots of useful functions, easy to use, washes and spins perfectly and is not loud!</v>
      </c>
    </row>
    <row r="4834" spans="1:9" x14ac:dyDescent="0.3">
      <c r="A4834" s="1" t="s">
        <v>211</v>
      </c>
      <c r="B4834" s="1" t="s">
        <v>410</v>
      </c>
      <c r="C4834" s="1" t="s">
        <v>213</v>
      </c>
      <c r="D4834" s="1" t="s">
        <v>127</v>
      </c>
      <c r="E4834" s="1" t="s">
        <v>4080</v>
      </c>
      <c r="F4834" s="1" t="s">
        <v>8119</v>
      </c>
      <c r="G4834" s="1" t="s">
        <v>36</v>
      </c>
      <c r="H4834" s="1" t="s">
        <v>29</v>
      </c>
      <c r="I4834" s="1" t="str">
        <f ca="1">IFERROR(__xludf.DUMMYFUNCTION("GOOGLETRANSLATE(F4834, ""auto"", ""en"")
"),"Hello! This razor is really great. I have shaved with a machine all my life, I was given this razor for my 45th birthday, I was amazed that an electric razor could shave so clean.")</f>
        <v>Hello! This razor is really great. I have shaved with a machine all my life, I was given this razor for my 45th birthday, I was amazed that an electric razor could shave so clean.</v>
      </c>
    </row>
    <row r="4835" spans="1:9" x14ac:dyDescent="0.3">
      <c r="A4835" s="1" t="s">
        <v>61</v>
      </c>
      <c r="B4835" s="1" t="s">
        <v>318</v>
      </c>
      <c r="C4835" s="1" t="s">
        <v>57</v>
      </c>
      <c r="D4835" s="1" t="s">
        <v>81</v>
      </c>
      <c r="E4835" s="1" t="s">
        <v>1623</v>
      </c>
      <c r="F4835" s="1" t="s">
        <v>8120</v>
      </c>
      <c r="G4835" s="1" t="s">
        <v>15</v>
      </c>
      <c r="H4835" s="1" t="s">
        <v>16</v>
      </c>
      <c r="I4835" s="1" t="str">
        <f ca="1">IFERROR(__xludf.DUMMYFUNCTION("GOOGLETRANSLATE(F4835, ""auto"", ""en"")
"),"The day before yesterday I bought this thermopot, but I only got to try it yesterday... The water heating time (3.3 liters, full) is 24 minutes!!! Heating 1.5 liters 22 minutes!!! Is this a malfunction, I ask myself, or is this a normal time for this devi"&amp;"ce??))) I want to exchange it for a simple kettle, or return the money.")</f>
        <v>The day before yesterday I bought this thermopot, but I only got to try it yesterday... The water heating time (3.3 liters, full) is 24 minutes!!! Heating 1.5 liters 22 minutes!!! Is this a malfunction, I ask myself, or is this a normal time for this device??))) I want to exchange it for a simple kettle, or return the money.</v>
      </c>
    </row>
    <row r="4836" spans="1:9" x14ac:dyDescent="0.3">
      <c r="A4836" s="1" t="s">
        <v>211</v>
      </c>
      <c r="B4836" s="1" t="s">
        <v>856</v>
      </c>
      <c r="C4836" s="1" t="s">
        <v>57</v>
      </c>
      <c r="D4836" s="1" t="s">
        <v>240</v>
      </c>
      <c r="E4836" s="1" t="s">
        <v>7872</v>
      </c>
      <c r="F4836" s="1" t="s">
        <v>8121</v>
      </c>
      <c r="G4836" s="1" t="s">
        <v>36</v>
      </c>
      <c r="H4836" s="1" t="s">
        <v>29</v>
      </c>
      <c r="I4836" s="1" t="str">
        <f ca="1">IFERROR(__xludf.DUMMYFUNCTION("GOOGLETRANSLATE(F4836, ""auto"", ""en"")
"),"I'm delighted with the set! My husband gave it to me for this New Year. I use it regularly. Nails look like after a visit to the salon. It takes a long time to charge, but I leave it on overnight.")</f>
        <v>I'm delighted with the set! My husband gave it to me for this New Year. I use it regularly. Nails look like after a visit to the salon. It takes a long time to charge, but I leave it on overnight.</v>
      </c>
    </row>
    <row r="4837" spans="1:9" x14ac:dyDescent="0.3">
      <c r="A4837" s="1" t="s">
        <v>169</v>
      </c>
      <c r="B4837" s="1" t="s">
        <v>170</v>
      </c>
      <c r="C4837" s="1" t="s">
        <v>69</v>
      </c>
      <c r="D4837" s="1" t="s">
        <v>52</v>
      </c>
      <c r="E4837" s="1" t="s">
        <v>8122</v>
      </c>
      <c r="F4837" s="1" t="s">
        <v>8123</v>
      </c>
      <c r="G4837" s="1" t="s">
        <v>15</v>
      </c>
      <c r="H4837" s="1" t="s">
        <v>16</v>
      </c>
      <c r="I4837" s="1" t="str">
        <f ca="1">IFERROR(__xludf.DUMMYFUNCTION("GOOGLETRANSLATE(F4837, ""auto"", ""en"")
"),"I bought headphones 3 years ago. They turn off unexpectedly when the batteries are normally charged. I start charging for about five minutes. Then I use it again. It lasts for a few minutes, then they cut off again.")</f>
        <v>I bought headphones 3 years ago. They turn off unexpectedly when the batteries are normally charged. I start charging for about five minutes. Then I use it again. It lasts for a few minutes, then they cut off again.</v>
      </c>
    </row>
    <row r="4838" spans="1:9" x14ac:dyDescent="0.3">
      <c r="A4838" s="1" t="s">
        <v>55</v>
      </c>
      <c r="B4838" s="1" t="s">
        <v>56</v>
      </c>
      <c r="C4838" s="1" t="s">
        <v>57</v>
      </c>
      <c r="D4838" s="1" t="s">
        <v>247</v>
      </c>
      <c r="E4838" s="1" t="s">
        <v>2742</v>
      </c>
      <c r="F4838" s="1" t="s">
        <v>8124</v>
      </c>
      <c r="G4838" s="1" t="s">
        <v>28</v>
      </c>
      <c r="H4838" s="1" t="s">
        <v>29</v>
      </c>
      <c r="I4838" s="1" t="str">
        <f ca="1">IFERROR(__xludf.DUMMYFUNCTION("GOOGLETRANSLATE(F4838, ""auto"", ""en"")
"),"Pros: large tank, power can be adjusted, turns off if there is no water Cons: hole for filling water from the bottom of the barrel; when the operating mode is above the average level, a puddle forms around.  Comment: In general, we are not disappointed wi"&amp;"th the purchase, although we do not experience great joy.  Judging by the room hygrometer, the humidity increases, but as they write that “it’s easier to breathe and the children are healed,” it’s not true. They’re breathing as usual, the children got sic"&amp;"k under the new humidifier.  Result: it fulfills the function of moisturizing!")</f>
        <v>Pros: large tank, power can be adjusted, turns off if there is no water Cons: hole for filling water from the bottom of the barrel; when the operating mode is above the average level, a puddle forms around.  Comment: In general, we are not disappointed with the purchase, although we do not experience great joy.  Judging by the room hygrometer, the humidity increases, but as they write that “it’s easier to breathe and the children are healed,” it’s not true. They’re breathing as usual, the children got sick under the new humidifier.  Result: it fulfills the function of moisturizing!</v>
      </c>
    </row>
    <row r="4839" spans="1:9" x14ac:dyDescent="0.3">
      <c r="A4839" s="1" t="s">
        <v>120</v>
      </c>
      <c r="B4839" s="1" t="s">
        <v>126</v>
      </c>
      <c r="C4839" s="1" t="s">
        <v>80</v>
      </c>
      <c r="D4839" s="1" t="s">
        <v>39</v>
      </c>
      <c r="E4839" s="1" t="s">
        <v>504</v>
      </c>
      <c r="F4839" s="1" t="s">
        <v>8125</v>
      </c>
      <c r="G4839" s="1" t="s">
        <v>28</v>
      </c>
      <c r="H4839" s="1" t="s">
        <v>29</v>
      </c>
      <c r="I4839" s="1" t="str">
        <f ca="1">IFERROR(__xludf.DUMMYFUNCTION("GOOGLETRANSLATE(F4839, ""auto"", ""en"")
"),"I agree that the TV is worth the money (I got it in exchange for an old TV for 16,000 rubles), I put a bunch of different formats on an external drive, I should notice AVI files, DVD rips, mpeg read without problems, but unfortunately I can’t see the good"&amp;" quality HDRip and BDRip formats? and I have almost everything in HD(((. If anyone knows if it is possible to flash it to fix it, then write, I will be grateful...")</f>
        <v>I agree that the TV is worth the money (I got it in exchange for an old TV for 16,000 rubles), I put a bunch of different formats on an external drive, I should notice AVI files, DVD rips, mpeg read without problems, but unfortunately I can’t see the good quality HDRip and BDRip formats? and I have almost everything in HD(((. If anyone knows if it is possible to flash it to fix it, then write, I will be grateful...</v>
      </c>
    </row>
    <row r="4840" spans="1:9" x14ac:dyDescent="0.3">
      <c r="A4840" s="1" t="s">
        <v>17</v>
      </c>
      <c r="B4840" s="1" t="s">
        <v>18</v>
      </c>
      <c r="C4840" s="1" t="s">
        <v>665</v>
      </c>
      <c r="D4840" s="1" t="s">
        <v>471</v>
      </c>
      <c r="E4840" s="1" t="s">
        <v>2998</v>
      </c>
      <c r="F4840" s="1" t="s">
        <v>8126</v>
      </c>
      <c r="G4840" s="1" t="s">
        <v>36</v>
      </c>
      <c r="H4840" s="1" t="s">
        <v>29</v>
      </c>
      <c r="I4840" s="1" t="str">
        <f ca="1">IFERROR(__xludf.DUMMYFUNCTION("GOOGLETRANSLATE(F4840, ""auto"", ""en"")
"),"It’s an excellent machine, we’ve been using it for 2 years now, no problems so far. Optimal number of washing programs, no foreign odors, moderate noise, almost inaudible when the door is closed. I recommend it to everyone, excellent combination of price "&amp;"and quality!")</f>
        <v>It’s an excellent machine, we’ve been using it for 2 years now, no problems so far. Optimal number of washing programs, no foreign odors, moderate noise, almost inaudible when the door is closed. I recommend it to everyone, excellent combination of price and quality!</v>
      </c>
    </row>
    <row r="4841" spans="1:9" x14ac:dyDescent="0.3">
      <c r="A4841" s="1" t="s">
        <v>95</v>
      </c>
      <c r="B4841" s="1" t="s">
        <v>227</v>
      </c>
      <c r="C4841" s="1" t="s">
        <v>97</v>
      </c>
      <c r="D4841" s="1" t="s">
        <v>8127</v>
      </c>
      <c r="E4841" s="1" t="s">
        <v>1899</v>
      </c>
      <c r="F4841" s="1" t="s">
        <v>8128</v>
      </c>
      <c r="G4841" s="1" t="s">
        <v>36</v>
      </c>
      <c r="H4841" s="1" t="s">
        <v>29</v>
      </c>
      <c r="I4841" s="1" t="str">
        <f ca="1">IFERROR(__xludf.DUMMYFUNCTION("GOOGLETRANSLATE(F4841, ""auto"", ""en"")
"),"It’s a pity I can’t buy it. Otherwise I would have bought it right away")</f>
        <v>It’s a pity I can’t buy it. Otherwise I would have bought it right away</v>
      </c>
    </row>
    <row r="4842" spans="1:9" x14ac:dyDescent="0.3">
      <c r="A4842" s="1" t="s">
        <v>120</v>
      </c>
      <c r="B4842" s="1" t="s">
        <v>121</v>
      </c>
      <c r="C4842" s="1" t="s">
        <v>151</v>
      </c>
      <c r="D4842" s="1" t="s">
        <v>327</v>
      </c>
      <c r="E4842" s="1" t="s">
        <v>3664</v>
      </c>
      <c r="F4842" s="1" t="s">
        <v>8129</v>
      </c>
      <c r="G4842" s="1" t="s">
        <v>36</v>
      </c>
      <c r="H4842" s="1" t="s">
        <v>29</v>
      </c>
      <c r="I4842" s="1" t="str">
        <f ca="1">IFERROR(__xludf.DUMMYFUNCTION("GOOGLETRANSLATE(F4842, ""auto"", ""en"")
"),"Great TV. optimal price-quality ratio.")</f>
        <v>Great TV. optimal price-quality ratio.</v>
      </c>
    </row>
    <row r="4843" spans="1:9" x14ac:dyDescent="0.3">
      <c r="A4843" s="1" t="s">
        <v>206</v>
      </c>
      <c r="B4843" s="1" t="s">
        <v>1349</v>
      </c>
      <c r="C4843" s="1" t="s">
        <v>45</v>
      </c>
      <c r="D4843" s="1" t="s">
        <v>8130</v>
      </c>
      <c r="E4843" s="1" t="s">
        <v>2215</v>
      </c>
      <c r="F4843" s="1" t="s">
        <v>8131</v>
      </c>
      <c r="G4843" s="1" t="s">
        <v>36</v>
      </c>
      <c r="H4843" s="1" t="s">
        <v>29</v>
      </c>
      <c r="I4843" s="1" t="str">
        <f ca="1">IFERROR(__xludf.DUMMYFUNCTION("GOOGLETRANSLATE(F4843, ""auto"", ""en"")
"),"Very happy with the purchase!")</f>
        <v>Very happy with the purchase!</v>
      </c>
    </row>
    <row r="4844" spans="1:9" x14ac:dyDescent="0.3">
      <c r="A4844" s="1" t="s">
        <v>120</v>
      </c>
      <c r="B4844" s="1" t="s">
        <v>196</v>
      </c>
      <c r="C4844" s="1" t="s">
        <v>80</v>
      </c>
      <c r="D4844" s="1" t="s">
        <v>8132</v>
      </c>
      <c r="E4844" s="1" t="s">
        <v>2348</v>
      </c>
      <c r="F4844" s="1" t="s">
        <v>8133</v>
      </c>
      <c r="G4844" s="1" t="s">
        <v>28</v>
      </c>
      <c r="H4844" s="1" t="s">
        <v>29</v>
      </c>
      <c r="I4844" s="1" t="str">
        <f ca="1">IFERROR(__xludf.DUMMYFUNCTION("GOOGLETRANSLATE(F4844, ""auto"", ""en"")
"),"“Insert the flash drive with the firmware, press the “menu” button, select “options” in the menu (but don’t go into them!!!), press the “FAV” button on the remote control SEVEN TIMES!!! (then - select the firmware file manually, run and don’t touch anythi"&amp;"ng else)” The software table was displayed and that’s it - we still didn’t understand how to select manually further - we’ve already gone through everything!  Whoever reflashed it, tell me in more detail, please!!!  Thanks in advance!")</f>
        <v>“Insert the flash drive with the firmware, press the “menu” button, select “options” in the menu (but don’t go into them!!!), press the “FAV” button on the remote control SEVEN TIMES!!! (then - select the firmware file manually, run and don’t touch anything else)” The software table was displayed and that’s it - we still didn’t understand how to select manually further - we’ve already gone through everything!  Whoever reflashed it, tell me in more detail, please!!!  Thanks in advance!</v>
      </c>
    </row>
    <row r="4845" spans="1:9" x14ac:dyDescent="0.3">
      <c r="A4845" s="1" t="s">
        <v>211</v>
      </c>
      <c r="B4845" s="1" t="s">
        <v>384</v>
      </c>
      <c r="C4845" s="1" t="s">
        <v>63</v>
      </c>
      <c r="D4845" s="1" t="s">
        <v>474</v>
      </c>
      <c r="E4845" s="1" t="s">
        <v>1467</v>
      </c>
      <c r="F4845" s="1" t="s">
        <v>8134</v>
      </c>
      <c r="G4845" s="1" t="s">
        <v>36</v>
      </c>
      <c r="H4845" s="1" t="s">
        <v>29</v>
      </c>
      <c r="I4845" s="1" t="str">
        <f ca="1">IFERROR(__xludf.DUMMYFUNCTION("GOOGLETRANSLATE(F4845, ""auto"", ""en"")
"),"The scales are simply superb, they look very stylish in the interior. In fact, you need to use them correctly. All the numbers are clearly visible, I chose them myself, since I couldn’t wait for a consultant in our store, I looked at everything and studie"&amp;"d them and chose them. I weighed myself right in the store, several times in a row, everything was clear! Now I don’t experience any inconvenience either. I recommend these scales to everyone who wants both quality and a reasonable price.")</f>
        <v>The scales are simply superb, they look very stylish in the interior. In fact, you need to use them correctly. All the numbers are clearly visible, I chose them myself, since I couldn’t wait for a consultant in our store, I looked at everything and studied them and chose them. I weighed myself right in the store, several times in a row, everything was clear! Now I don’t experience any inconvenience either. I recommend these scales to everyone who wants both quality and a reasonable price.</v>
      </c>
    </row>
    <row r="4846" spans="1:9" x14ac:dyDescent="0.3">
      <c r="A4846" s="1" t="s">
        <v>67</v>
      </c>
      <c r="B4846" s="1" t="s">
        <v>340</v>
      </c>
      <c r="C4846" s="1" t="s">
        <v>341</v>
      </c>
      <c r="D4846" s="1" t="s">
        <v>8135</v>
      </c>
      <c r="E4846" s="1" t="s">
        <v>4972</v>
      </c>
      <c r="F4846" s="1" t="s">
        <v>8136</v>
      </c>
      <c r="G4846" s="1" t="s">
        <v>36</v>
      </c>
      <c r="H4846" s="1" t="s">
        <v>29</v>
      </c>
      <c r="I4846" s="1" t="str">
        <f ca="1">IFERROR(__xludf.DUMMYFUNCTION("GOOGLETRANSLATE(F4846, ""auto"", ""en"")
"),"Very functional and easy to use. The most ideal option for needlewomen. I'm very pleased with her.")</f>
        <v>Very functional and easy to use. The most ideal option for needlewomen. I'm very pleased with her.</v>
      </c>
    </row>
    <row r="4847" spans="1:9" x14ac:dyDescent="0.3">
      <c r="A4847" s="1" t="s">
        <v>361</v>
      </c>
      <c r="B4847" s="1" t="s">
        <v>3058</v>
      </c>
      <c r="C4847" s="1" t="s">
        <v>2143</v>
      </c>
      <c r="D4847" s="1" t="s">
        <v>521</v>
      </c>
      <c r="E4847" s="1" t="s">
        <v>3673</v>
      </c>
      <c r="F4847" s="1" t="s">
        <v>8137</v>
      </c>
      <c r="G4847" s="1" t="s">
        <v>28</v>
      </c>
      <c r="H4847" s="1" t="s">
        <v>29</v>
      </c>
      <c r="I4847" s="1" t="str">
        <f ca="1">IFERROR(__xludf.DUMMYFUNCTION("GOOGLETRANSLATE(F4847, ""auto"", ""en"")
"),"Great knives! We are delighted, we have been using it for 3 years, the quality is excellent, stylish design.  Among the shortcomings: over time, the handles turn a little white from constant use, and the rubber on the scissors has worn out.  But this is n"&amp;"ot too much of a minus, because nothing lasts forever)))")</f>
        <v>Great knives! We are delighted, we have been using it for 3 years, the quality is excellent, stylish design.  Among the shortcomings: over time, the handles turn a little white from constant use, and the rubber on the scissors has worn out.  But this is not too much of a minus, because nothing lasts forever)))</v>
      </c>
    </row>
    <row r="4848" spans="1:9" x14ac:dyDescent="0.3">
      <c r="A4848" s="1" t="s">
        <v>37</v>
      </c>
      <c r="B4848" s="1" t="s">
        <v>38</v>
      </c>
      <c r="C4848" s="1" t="s">
        <v>163</v>
      </c>
      <c r="D4848" s="1" t="s">
        <v>8138</v>
      </c>
      <c r="E4848" s="1" t="s">
        <v>1886</v>
      </c>
      <c r="F4848" s="1" t="s">
        <v>8139</v>
      </c>
      <c r="G4848" s="1" t="s">
        <v>36</v>
      </c>
      <c r="H4848" s="1" t="s">
        <v>29</v>
      </c>
      <c r="I4848" s="1" t="str">
        <f ca="1">IFERROR(__xludf.DUMMYFUNCTION("GOOGLETRANSLATE(F4848, ""auto"", ""en"")
"),"“the phone is only for children or business people who don’t use modern devices. I’ve been using it for 2 years, and I started to understand that with such a body you can’t raise authority in the classroom! Buy a phone for children up to school or 1st, 2n"&amp;"d, 3rd grades, but the phone is normal)) memory is the only problem..."" hmm, it feels like this was written by a careless schoolboy himself, who was given such a phone by his parents =) in principle, a phone doesn’t raise authority either at school or an"&amp;"ywhere else also =) I myself now have a 5530, and I’m looking for a small phone for the summer so that it doesn’t weigh too much in my shorts pocket =)) I don’t think this will somehow affect my authority =)")</f>
        <v>“the phone is only for children or business people who don’t use modern devices. I’ve been using it for 2 years, and I started to understand that with such a body you can’t raise authority in the classroom! Buy a phone for children up to school or 1st, 2nd, 3rd grades, but the phone is normal)) memory is the only problem..." hmm, it feels like this was written by a careless schoolboy himself, who was given such a phone by his parents =) in principle, a phone doesn’t raise authority either at school or anywhere else also =) I myself now have a 5530, and I’m looking for a small phone for the summer so that it doesn’t weigh too much in my shorts pocket =)) I don’t think this will somehow affect my authority =)</v>
      </c>
    </row>
    <row r="4849" spans="1:9" x14ac:dyDescent="0.3">
      <c r="A4849" s="1" t="s">
        <v>519</v>
      </c>
      <c r="B4849" s="1" t="s">
        <v>3088</v>
      </c>
      <c r="C4849" s="1" t="s">
        <v>246</v>
      </c>
      <c r="D4849" s="1" t="s">
        <v>1188</v>
      </c>
      <c r="E4849" s="1" t="s">
        <v>1384</v>
      </c>
      <c r="F4849" s="1" t="s">
        <v>8140</v>
      </c>
      <c r="G4849" s="1" t="s">
        <v>36</v>
      </c>
      <c r="H4849" s="1" t="s">
        <v>29</v>
      </c>
      <c r="I4849" s="1" t="str">
        <f ca="1">IFERROR(__xludf.DUMMYFUNCTION("GOOGLETRANSLATE(F4849, ""auto"", ""en"")
"),"Yeah... The set is excellent, I've been using it for 3 years now. Now I'm planning to buy similar pans.")</f>
        <v>Yeah... The set is excellent, I've been using it for 3 years now. Now I'm planning to buy similar pans.</v>
      </c>
    </row>
    <row r="4850" spans="1:9" x14ac:dyDescent="0.3">
      <c r="A4850" s="1" t="s">
        <v>477</v>
      </c>
      <c r="B4850" s="1" t="s">
        <v>478</v>
      </c>
      <c r="C4850" s="1" t="s">
        <v>479</v>
      </c>
      <c r="D4850" s="1" t="s">
        <v>228</v>
      </c>
      <c r="E4850" s="1" t="s">
        <v>4919</v>
      </c>
      <c r="F4850" s="1" t="s">
        <v>8141</v>
      </c>
      <c r="G4850" s="1" t="s">
        <v>28</v>
      </c>
      <c r="H4850" s="1" t="s">
        <v>29</v>
      </c>
      <c r="I4850" s="1" t="str">
        <f ca="1">IFERROR(__xludf.DUMMYFUNCTION("GOOGLETRANSLATE(F4850, ""auto"", ""en"")
"),"I played through this game several times, I was left with good impressions) the only negative was that the physics was not fully developed, the cars were not killable, you go at full speed, crash into, say, a building, the car is intact except for scratch"&amp;"es. In general, cars there are like bricks. Everything else is great.")</f>
        <v>I played through this game several times, I was left with good impressions) the only negative was that the physics was not fully developed, the cars were not killable, you go at full speed, crash into, say, a building, the car is intact except for scratches. In general, cars there are like bricks. Everything else is great.</v>
      </c>
    </row>
    <row r="4851" spans="1:9" x14ac:dyDescent="0.3">
      <c r="A4851" s="1" t="s">
        <v>30</v>
      </c>
      <c r="B4851" s="1" t="s">
        <v>50</v>
      </c>
      <c r="C4851" s="1" t="s">
        <v>189</v>
      </c>
      <c r="D4851" s="1" t="s">
        <v>208</v>
      </c>
      <c r="E4851" s="1" t="s">
        <v>5011</v>
      </c>
      <c r="F4851" s="1" t="s">
        <v>8142</v>
      </c>
      <c r="G4851" s="1" t="s">
        <v>36</v>
      </c>
      <c r="H4851" s="1" t="s">
        <v>29</v>
      </c>
      <c r="I4851" s="1" t="str">
        <f ca="1">IFERROR(__xludf.DUMMYFUNCTION("GOOGLETRANSLATE(F4851, ""auto"", ""en"")
"),"Great laptop. Before that I worked with Dell, of course there is no comparison. This one is much better. I will not describe the technical characteristics, all this is very individual and debatable. And this is truly the best choice.  From myself personal"&amp;"ly, I recommend!!!")</f>
        <v>Great laptop. Before that I worked with Dell, of course there is no comparison. This one is much better. I will not describe the technical characteristics, all this is very individual and debatable. And this is truly the best choice.  From myself personally, I recommend!!!</v>
      </c>
    </row>
    <row r="4852" spans="1:9" x14ac:dyDescent="0.3">
      <c r="A4852" s="1" t="s">
        <v>37</v>
      </c>
      <c r="B4852" s="1" t="s">
        <v>355</v>
      </c>
      <c r="C4852" s="1" t="s">
        <v>356</v>
      </c>
      <c r="D4852" s="1" t="s">
        <v>8143</v>
      </c>
      <c r="E4852" s="1" t="s">
        <v>1707</v>
      </c>
      <c r="F4852" s="1" t="s">
        <v>8144</v>
      </c>
      <c r="G4852" s="1" t="s">
        <v>36</v>
      </c>
      <c r="H4852" s="1" t="s">
        <v>29</v>
      </c>
      <c r="I4852" s="1" t="str">
        <f ca="1">IFERROR(__xludf.DUMMYFUNCTION("GOOGLETRANSLATE(F4852, ""auto"", ""en"")
"),"Great phone! I've been using it for a year now! The device works one hundred percent. If you compare it with communicators on WM, then there is a lot to argue about... If you customize the iPhone for yourself, then a huge world of possibilities opens up t"&amp;"hat simply do not exist on other phones. Firstly, this is a gaming platform; there is NOT a single phone that can compare with the iPhone in terms of quantity and, most importantly, quality of games. Secondly, this is a screen, it deserves all the highest"&amp;" praise! Thirdly, this OS compared to Windows Mobile does not have a single glitch, not a single freeze, not a single slowdown!    1P.S.: I used many phones and communicators before the iPhone, but as soon as I figured out the miracle apple, I don’t need "&amp;"anything else! It's cool in every way (except the price)! And how many times have I heard from my friends that the iPhone is bullshit, and as a result, when we sit next to each other and actively use or play with the devices, everyone’s mouth waters and c"&amp;"onversations begin like “Wow, Great, how is that possible? This can’t be true, let me try.”    2P.S.: People! Don't listen to those who criticize the iPhone. Because there are three types of such people: 1. They held the device in their hands for half an "&amp;"hour and everything is bullshit. 2. Who never held him at all. 3. Somewhere we heard something about the device - and it’s all bullshit!    3P.S.: It has Bluetooth and maps for Russia. And MMS too. Yes, it has everything! Even something you have never hea"&amp;"rd of and could not think about!")</f>
        <v>Great phone! I've been using it for a year now! The device works one hundred percent. If you compare it with communicators on WM, then there is a lot to argue about... If you customize the iPhone for yourself, then a huge world of possibilities opens up that simply do not exist on other phones. Firstly, this is a gaming platform; there is NOT a single phone that can compare with the iPhone in terms of quantity and, most importantly, quality of games. Secondly, this is a screen, it deserves all the highest praise! Thirdly, this OS compared to Windows Mobile does not have a single glitch, not a single freeze, not a single slowdown!    1P.S.: I used many phones and communicators before the iPhone, but as soon as I figured out the miracle apple, I don’t need anything else! It's cool in every way (except the price)! And how many times have I heard from my friends that the iPhone is bullshit, and as a result, when we sit next to each other and actively use or play with the devices, everyone’s mouth waters and conversations begin like “Wow, Great, how is that possible? This can’t be true, let me try.”    2P.S.: People! Don't listen to those who criticize the iPhone. Because there are three types of such people: 1. They held the device in their hands for half an hour and everything is bullshit. 2. Who never held him at all. 3. Somewhere we heard something about the device - and it’s all bullshit!    3P.S.: It has Bluetooth and maps for Russia. And MMS too. Yes, it has everything! Even something you have never heard of and could not think about!</v>
      </c>
    </row>
    <row r="4853" spans="1:9" x14ac:dyDescent="0.3">
      <c r="A4853" s="1" t="s">
        <v>120</v>
      </c>
      <c r="B4853" s="1" t="s">
        <v>196</v>
      </c>
      <c r="C4853" s="1" t="s">
        <v>80</v>
      </c>
      <c r="D4853" s="1" t="s">
        <v>171</v>
      </c>
      <c r="E4853" s="1" t="s">
        <v>1000</v>
      </c>
      <c r="F4853" s="1" t="s">
        <v>8145</v>
      </c>
      <c r="G4853" s="1" t="s">
        <v>28</v>
      </c>
      <c r="H4853" s="1" t="s">
        <v>29</v>
      </c>
      <c r="I4853" s="1" t="str">
        <f ca="1">IFERROR(__xludf.DUMMYFUNCTION("GOOGLETRANSLATE(F4853, ""auto"", ""en"")
"),"I've been using it for a week. So far I'm happy. I asked again. Now the USB connector is fully functional. Now you can watch movies, photos, listen to music and all this from the flash drive DIRECTLY.")</f>
        <v>I've been using it for a week. So far I'm happy. I asked again. Now the USB connector is fully functional. Now you can watch movies, photos, listen to music and all this from the flash drive DIRECTLY.</v>
      </c>
    </row>
    <row r="4854" spans="1:9" x14ac:dyDescent="0.3">
      <c r="A4854" s="1" t="s">
        <v>9</v>
      </c>
      <c r="B4854" s="1" t="s">
        <v>23</v>
      </c>
      <c r="C4854" s="1" t="s">
        <v>63</v>
      </c>
      <c r="D4854" s="1" t="s">
        <v>64</v>
      </c>
      <c r="E4854" s="1" t="s">
        <v>201</v>
      </c>
      <c r="F4854" s="1" t="s">
        <v>8146</v>
      </c>
      <c r="G4854" s="1" t="s">
        <v>36</v>
      </c>
      <c r="H4854" s="1" t="s">
        <v>29</v>
      </c>
      <c r="I4854" s="1" t="str">
        <f ca="1">IFERROR(__xludf.DUMMYFUNCTION("GOOGLETRANSLATE(F4854, ""auto"", ""en"")
"),"We are very pleased with it.. a year has passed and it does not fail)) we only chose from Bosch and we needed the half loading function. there seem to be no shortcomings))))")</f>
        <v>We are very pleased with it.. a year has passed and it does not fail)) we only chose from Bosch and we needed the half loading function. there seem to be no shortcomings))))</v>
      </c>
    </row>
    <row r="4855" spans="1:9" x14ac:dyDescent="0.3">
      <c r="A4855" s="1" t="s">
        <v>37</v>
      </c>
      <c r="B4855" s="1" t="s">
        <v>38</v>
      </c>
      <c r="C4855" s="1" t="s">
        <v>151</v>
      </c>
      <c r="D4855" s="1" t="s">
        <v>8147</v>
      </c>
      <c r="E4855" s="1" t="s">
        <v>393</v>
      </c>
      <c r="F4855" s="1" t="s">
        <v>8148</v>
      </c>
      <c r="G4855" s="1" t="s">
        <v>36</v>
      </c>
      <c r="H4855" s="1" t="s">
        <v>29</v>
      </c>
      <c r="I4855" s="1" t="str">
        <f ca="1">IFERROR(__xludf.DUMMYFUNCTION("GOOGLETRANSLATE(F4855, ""auto"", ""en"")
"),"The connection quality is at the level of Samsung phones, there are no problems with the device, it is comparable to other models in this class. The ringer volume is not bad and can be heard in various conditions. The vibration alert is average in strengt"&amp;"h, there are no fundamental improvements here.    This device is an offer for a female audience, as evidenced by the rhinestones around the camera and the patterns on the body. The cost of the model at the end of August will be about 9000-9500 rubles, whi"&amp;"ch is about 1500 rubles more expensive than the completely similar Samsung S5200. We can say that the price is higher due to the richer delivery set (case), but I think this is mainly a price for appearance.    Unusual features include the option of inter"&amp;"active wallpaper; in the calendar you can select the wallpaper that will be set for each event. An unusual implementation, but I’m not sure that it will be in demand by many.    You shouldn't expect that the Samsung S5050 will be a resounding success. On "&amp;"the other hand, it’s impossible to call this device a failure, bad taste or anything like that. An example of models from the La’Fleur line shows that such phones are sold very successfully, there is a demand for them. As a product offering, the Samsung S"&amp;"5050 will be successful.")</f>
        <v>The connection quality is at the level of Samsung phones, there are no problems with the device, it is comparable to other models in this class. The ringer volume is not bad and can be heard in various conditions. The vibration alert is average in strength, there are no fundamental improvements here.    This device is an offer for a female audience, as evidenced by the rhinestones around the camera and the patterns on the body. The cost of the model at the end of August will be about 9000-9500 rubles, which is about 1500 rubles more expensive than the completely similar Samsung S5200. We can say that the price is higher due to the richer delivery set (case), but I think this is mainly a price for appearance.    Unusual features include the option of interactive wallpaper; in the calendar you can select the wallpaper that will be set for each event. An unusual implementation, but I’m not sure that it will be in demand by many.    You shouldn't expect that the Samsung S5050 will be a resounding success. On the other hand, it’s impossible to call this device a failure, bad taste or anything like that. An example of models from the La’Fleur line shows that such phones are sold very successfully, there is a demand for them. As a product offering, the Samsung S5050 will be successful.</v>
      </c>
    </row>
    <row r="4856" spans="1:9" x14ac:dyDescent="0.3">
      <c r="A4856" s="1" t="s">
        <v>43</v>
      </c>
      <c r="B4856" s="1" t="s">
        <v>1382</v>
      </c>
      <c r="C4856" s="1" t="s">
        <v>57</v>
      </c>
      <c r="D4856" s="1" t="s">
        <v>545</v>
      </c>
      <c r="E4856" s="1" t="s">
        <v>1330</v>
      </c>
      <c r="F4856" s="1" t="s">
        <v>8149</v>
      </c>
      <c r="G4856" s="1" t="s">
        <v>28</v>
      </c>
      <c r="H4856" s="1" t="s">
        <v>29</v>
      </c>
      <c r="I4856" s="1" t="str">
        <f ca="1">IFERROR(__xludf.DUMMYFUNCTION("GOOGLETRANSLATE(F4856, ""auto"", ""en"")
"),"I bought it 2 months ago and I’m generally happy with it. Powerful (good for large areas), convenient when there are animals in the house. It’s noisy, of course, but I’ve gotten used to it and even fall asleep to the noise.   The downside is that it creak"&amp;"s when turning, otherwise I would give it 5 points.")</f>
        <v>I bought it 2 months ago and I’m generally happy with it. Powerful (good for large areas), convenient when there are animals in the house. It’s noisy, of course, but I’ve gotten used to it and even fall asleep to the noise.   The downside is that it creaks when turning, otherwise I would give it 5 points.</v>
      </c>
    </row>
    <row r="4857" spans="1:9" x14ac:dyDescent="0.3">
      <c r="A4857" s="1" t="s">
        <v>61</v>
      </c>
      <c r="B4857" s="1" t="s">
        <v>73</v>
      </c>
      <c r="C4857" s="1" t="s">
        <v>74</v>
      </c>
      <c r="D4857" s="1" t="s">
        <v>81</v>
      </c>
      <c r="E4857" s="1" t="s">
        <v>1858</v>
      </c>
      <c r="F4857" s="1" t="s">
        <v>8150</v>
      </c>
      <c r="G4857" s="1" t="s">
        <v>36</v>
      </c>
      <c r="H4857" s="1" t="s">
        <v>29</v>
      </c>
      <c r="I4857" s="1" t="str">
        <f ca="1">IFERROR(__xludf.DUMMYFUNCTION("GOOGLETRANSLATE(F4857, ""auto"", ""en"")
"),"The meat turns perfectly! A pusher is basically not needed. There is enough power without directing the meat with a pusher. This is great!  Grate the carrots into the finest sieve. Perfect. Large, hard carrots grate amazingly.  I am very pleased with the "&amp;"gift for February 23rd! I recommend it to everyone. Thanks to the manufacturer. France has made an excellent helper in the kitchen.")</f>
        <v>The meat turns perfectly! A pusher is basically not needed. There is enough power without directing the meat with a pusher. This is great!  Grate the carrots into the finest sieve. Perfect. Large, hard carrots grate amazingly.  I am very pleased with the gift for February 23rd! I recommend it to everyone. Thanks to the manufacturer. France has made an excellent helper in the kitchen.</v>
      </c>
    </row>
    <row r="4858" spans="1:9" x14ac:dyDescent="0.3">
      <c r="A4858" s="1" t="s">
        <v>149</v>
      </c>
      <c r="B4858" s="1" t="s">
        <v>155</v>
      </c>
      <c r="C4858" s="1" t="s">
        <v>80</v>
      </c>
      <c r="D4858" s="1" t="s">
        <v>52</v>
      </c>
      <c r="E4858" s="1" t="s">
        <v>8151</v>
      </c>
      <c r="F4858" s="1" t="s">
        <v>8152</v>
      </c>
      <c r="G4858" s="1" t="s">
        <v>36</v>
      </c>
      <c r="H4858" s="1" t="s">
        <v>29</v>
      </c>
      <c r="I4858" s="1" t="str">
        <f ca="1">IFERROR(__xludf.DUMMYFUNCTION("GOOGLETRANSLATE(F4858, ""auto"", ""en"")
"),"The cyclone system remains practically clean. Everything is collected only in a container. ")</f>
        <v xml:space="preserve">The cyclone system remains practically clean. Everything is collected only in a container. </v>
      </c>
    </row>
    <row r="4859" spans="1:9" x14ac:dyDescent="0.3">
      <c r="A4859" s="1" t="s">
        <v>149</v>
      </c>
      <c r="B4859" s="1" t="s">
        <v>576</v>
      </c>
      <c r="C4859" s="1" t="s">
        <v>69</v>
      </c>
      <c r="D4859" s="1" t="s">
        <v>385</v>
      </c>
      <c r="E4859" s="1" t="s">
        <v>5385</v>
      </c>
      <c r="F4859" s="1" t="s">
        <v>8153</v>
      </c>
      <c r="G4859" s="1" t="s">
        <v>36</v>
      </c>
      <c r="H4859" s="1" t="s">
        <v>29</v>
      </c>
      <c r="I4859" s="1" t="str">
        <f ca="1">IFERROR(__xludf.DUMMYFUNCTION("GOOGLETRANSLATE(F4859, ""auto"", ""en"")
"),"5+ I’ve been using it for three years, but I can’t find an attachment for it, the old one has served its purpose. Doesn't shock me)")</f>
        <v>5+ I’ve been using it for three years, but I can’t find an attachment for it, the old one has served its purpose. Doesn't shock me)</v>
      </c>
    </row>
    <row r="4860" spans="1:9" x14ac:dyDescent="0.3">
      <c r="A4860" s="1" t="s">
        <v>37</v>
      </c>
      <c r="B4860" s="1" t="s">
        <v>536</v>
      </c>
      <c r="C4860" s="1" t="s">
        <v>32</v>
      </c>
      <c r="D4860" s="1" t="s">
        <v>5784</v>
      </c>
      <c r="E4860" s="1" t="s">
        <v>6363</v>
      </c>
      <c r="F4860" s="1" t="s">
        <v>8154</v>
      </c>
      <c r="G4860" s="1" t="s">
        <v>36</v>
      </c>
      <c r="H4860" s="1" t="s">
        <v>29</v>
      </c>
      <c r="I4860" s="1" t="str">
        <f ca="1">IFERROR(__xludf.DUMMYFUNCTION("GOOGLETRANSLATE(F4860, ""auto"", ""en"")
"),"Delivered yesterday, very fast, before that I had Witu. perfect combination of price and quality. I recommend it to everyone!!!!")</f>
        <v>Delivered yesterday, very fast, before that I had Witu. perfect combination of price and quality. I recommend it to everyone!!!!</v>
      </c>
    </row>
    <row r="4861" spans="1:9" x14ac:dyDescent="0.3">
      <c r="A4861" s="1" t="s">
        <v>61</v>
      </c>
      <c r="B4861" s="1" t="s">
        <v>318</v>
      </c>
      <c r="C4861" s="1" t="s">
        <v>246</v>
      </c>
      <c r="D4861" s="1" t="s">
        <v>280</v>
      </c>
      <c r="E4861" s="1" t="s">
        <v>559</v>
      </c>
      <c r="F4861" s="1" t="s">
        <v>8155</v>
      </c>
      <c r="G4861" s="1" t="s">
        <v>15</v>
      </c>
      <c r="H4861" s="1" t="s">
        <v>16</v>
      </c>
      <c r="I4861" s="1" t="str">
        <f ca="1">IFERROR(__xludf.DUMMYFUNCTION("GOOGLETRANSLATE(F4861, ""auto"", ""en"")
"),"We bought a kettle for a housewarming and it kept us happy for exactly 4 months.  It was very noisy, but that’s okay, but I liked the look) One fine day, when I wanted to open the lid to pour water, the lid just crumbled) Why make such low-quality plastic"&amp;".  It's a shame.   TEFAL such a name and such covers - disappointed (")</f>
        <v>We bought a kettle for a housewarming and it kept us happy for exactly 4 months.  It was very noisy, but that’s okay, but I liked the look) One fine day, when I wanted to open the lid to pour water, the lid just crumbled) Why make such low-quality plastic.  It's a shame.   TEFAL such a name and such covers - disappointed (</v>
      </c>
    </row>
    <row r="4862" spans="1:9" x14ac:dyDescent="0.3">
      <c r="A4862" s="1" t="s">
        <v>17</v>
      </c>
      <c r="B4862" s="1" t="s">
        <v>18</v>
      </c>
      <c r="C4862" s="1" t="s">
        <v>243</v>
      </c>
      <c r="D4862" s="1" t="s">
        <v>64</v>
      </c>
      <c r="E4862" s="1" t="s">
        <v>7177</v>
      </c>
      <c r="F4862" s="1" t="s">
        <v>8156</v>
      </c>
      <c r="G4862" s="1" t="s">
        <v>28</v>
      </c>
      <c r="H4862" s="1" t="s">
        <v>29</v>
      </c>
      <c r="I4862" s="1" t="str">
        <f ca="1">IFERROR(__xludf.DUMMYFUNCTION("GOOGLETRANSLATE(F4862, ""auto"", ""en"")
"),"One minus - after drying there is a smell in the whole bathroom")</f>
        <v>One minus - after drying there is a smell in the whole bathroom</v>
      </c>
    </row>
    <row r="4863" spans="1:9" x14ac:dyDescent="0.3">
      <c r="A4863" s="1" t="s">
        <v>211</v>
      </c>
      <c r="B4863" s="1" t="s">
        <v>2818</v>
      </c>
      <c r="C4863" s="1" t="s">
        <v>213</v>
      </c>
      <c r="D4863" s="1" t="s">
        <v>8157</v>
      </c>
      <c r="E4863" s="1" t="s">
        <v>4867</v>
      </c>
      <c r="F4863" s="1" t="s">
        <v>8158</v>
      </c>
      <c r="G4863" s="1" t="s">
        <v>36</v>
      </c>
      <c r="H4863" s="1" t="s">
        <v>29</v>
      </c>
      <c r="I4863" s="1" t="str">
        <f ca="1">IFERROR(__xludf.DUMMYFUNCTION("GOOGLETRANSLATE(F4863, ""auto"", ""en"")
"),"It shaves softly, the plastic is very durable, the mesh has an original pattern and due to this the shave is smooth. After the change, the Cruiser razor even looks like it has been updated. The replacement is very simple, I bought it and installed it, not"&amp;"hing complicated.")</f>
        <v>It shaves softly, the plastic is very durable, the mesh has an original pattern and due to this the shave is smooth. After the change, the Cruiser razor even looks like it has been updated. The replacement is very simple, I bought it and installed it, nothing complicated.</v>
      </c>
    </row>
    <row r="4864" spans="1:9" x14ac:dyDescent="0.3">
      <c r="A4864" s="1" t="s">
        <v>624</v>
      </c>
      <c r="B4864" s="1" t="s">
        <v>881</v>
      </c>
      <c r="C4864" s="1" t="s">
        <v>479</v>
      </c>
      <c r="D4864" s="1" t="s">
        <v>8159</v>
      </c>
      <c r="E4864" s="1" t="s">
        <v>606</v>
      </c>
      <c r="F4864" s="1" t="s">
        <v>8160</v>
      </c>
      <c r="G4864" s="1" t="s">
        <v>36</v>
      </c>
      <c r="H4864" s="1" t="s">
        <v>29</v>
      </c>
      <c r="I4864" s="1" t="str">
        <f ca="1">IFERROR(__xludf.DUMMYFUNCTION("GOOGLETRANSLATE(F4864, ""auto"", ""en"")
"),"cool game let's buy it!!!!")</f>
        <v>cool game let's buy it!!!!</v>
      </c>
    </row>
    <row r="4865" spans="1:9" x14ac:dyDescent="0.3">
      <c r="A4865" s="1" t="s">
        <v>55</v>
      </c>
      <c r="B4865" s="1" t="s">
        <v>752</v>
      </c>
      <c r="C4865" s="1" t="s">
        <v>185</v>
      </c>
      <c r="D4865" s="1" t="s">
        <v>327</v>
      </c>
      <c r="E4865" s="1" t="s">
        <v>8161</v>
      </c>
      <c r="F4865" s="1" t="s">
        <v>8162</v>
      </c>
      <c r="G4865" s="1" t="s">
        <v>28</v>
      </c>
      <c r="H4865" s="1" t="s">
        <v>29</v>
      </c>
      <c r="I4865" s="1" t="str">
        <f ca="1">IFERROR(__xludf.DUMMYFUNCTION("GOOGLETRANSLATE(F4865, ""auto"", ""en"")
"),"Pros: It warms, and warms up a room of 18 m2 quite well and quickly. The build quality on the outside is pleasing, everything is neat, nothing is loose.  Cons - crackles at maximum mode. The smell of this plastic emanates from it, which still does not dis"&amp;"appear. Dries the air.")</f>
        <v>Pros: It warms, and warms up a room of 18 m2 quite well and quickly. The build quality on the outside is pleasing, everything is neat, nothing is loose.  Cons - crackles at maximum mode. The smell of this plastic emanates from it, which still does not disappear. Dries the air.</v>
      </c>
    </row>
    <row r="4866" spans="1:9" x14ac:dyDescent="0.3">
      <c r="A4866" s="1" t="s">
        <v>30</v>
      </c>
      <c r="B4866" s="1" t="s">
        <v>50</v>
      </c>
      <c r="C4866" s="1" t="s">
        <v>32</v>
      </c>
      <c r="D4866" s="1" t="s">
        <v>568</v>
      </c>
      <c r="E4866" s="1" t="s">
        <v>379</v>
      </c>
      <c r="F4866" s="1" t="s">
        <v>8163</v>
      </c>
      <c r="G4866" s="1" t="s">
        <v>15</v>
      </c>
      <c r="H4866" s="1" t="s">
        <v>16</v>
      </c>
      <c r="I4866" s="1" t="str">
        <f ca="1">IFERROR(__xludf.DUMMYFUNCTION("GOOGLETRANSLATE(F4866, ""auto"", ""en"")
"),"I bought this laptop because of the price and the availability of DVD and HDMI. But after connecting the ZhK42"" and starting the movie, I watched only 5 minutes and the laptop rebooted. I think it’s due to the video overheating.")</f>
        <v>I bought this laptop because of the price and the availability of DVD and HDMI. But after connecting the ZhK42" and starting the movie, I watched only 5 minutes and the laptop rebooted. I think it’s due to the video overheating.</v>
      </c>
    </row>
    <row r="4867" spans="1:9" x14ac:dyDescent="0.3">
      <c r="A4867" s="1" t="s">
        <v>30</v>
      </c>
      <c r="B4867" s="1" t="s">
        <v>50</v>
      </c>
      <c r="C4867" s="1" t="s">
        <v>32</v>
      </c>
      <c r="D4867" s="1" t="s">
        <v>1681</v>
      </c>
      <c r="E4867" s="1" t="s">
        <v>1012</v>
      </c>
      <c r="F4867" s="1" t="s">
        <v>8164</v>
      </c>
      <c r="G4867" s="1" t="s">
        <v>36</v>
      </c>
      <c r="H4867" s="1" t="s">
        <v>29</v>
      </c>
      <c r="I4867" s="1" t="str">
        <f ca="1">IFERROR(__xludf.DUMMYFUNCTION("GOOGLETRANSLATE(F4867, ""auto"", ""en"")
"),"3 weeks ago, I picked up this machine and couldn’t be happier!!! All the most modern and demanding games run without any freezing (I personally haven’t experienced one yet!!!). In general, I recommend it to everyone!!!!!!!!!!!")</f>
        <v>3 weeks ago, I picked up this machine and couldn’t be happier!!! All the most modern and demanding games run without any freezing (I personally haven’t experienced one yet!!!). In general, I recommend it to everyone!!!!!!!!!!!</v>
      </c>
    </row>
    <row r="4868" spans="1:9" x14ac:dyDescent="0.3">
      <c r="A4868" s="1" t="s">
        <v>37</v>
      </c>
      <c r="B4868" s="1" t="s">
        <v>38</v>
      </c>
      <c r="C4868" s="1" t="s">
        <v>163</v>
      </c>
      <c r="D4868" s="1" t="s">
        <v>345</v>
      </c>
      <c r="E4868" s="1" t="s">
        <v>2350</v>
      </c>
      <c r="F4868" s="1" t="s">
        <v>8165</v>
      </c>
      <c r="G4868" s="1" t="s">
        <v>36</v>
      </c>
      <c r="H4868" s="1" t="s">
        <v>29</v>
      </c>
      <c r="I4868" s="1" t="str">
        <f ca="1">IFERROR(__xludf.DUMMYFUNCTION("GOOGLETRANSLATE(F4868, ""auto"", ""en"")
"),"I bought it for my wife over a year ago. Works fine. Loud speaker, letters do not fall off. The phone is very good.")</f>
        <v>I bought it for my wife over a year ago. Works fine. Loud speaker, letters do not fall off. The phone is very good.</v>
      </c>
    </row>
    <row r="4869" spans="1:9" x14ac:dyDescent="0.3">
      <c r="A4869" s="1" t="s">
        <v>67</v>
      </c>
      <c r="B4869" s="1" t="s">
        <v>340</v>
      </c>
      <c r="C4869" s="1" t="s">
        <v>1634</v>
      </c>
      <c r="D4869" s="1" t="s">
        <v>295</v>
      </c>
      <c r="E4869" s="1" t="s">
        <v>8166</v>
      </c>
      <c r="F4869" s="1" t="s">
        <v>8167</v>
      </c>
      <c r="G4869" s="1" t="s">
        <v>36</v>
      </c>
      <c r="H4869" s="1" t="s">
        <v>29</v>
      </c>
      <c r="I4869" s="1" t="str">
        <f ca="1">IFERROR(__xludf.DUMMYFUNCTION("GOOGLETRANSLATE(F4869, ""auto"", ""en"")
"),"I chose the model based on the principle: price and functions! I was satisfied, everything was thought out to the smallest detail, detailed instructions. Easy to use. Now this is my assistant, especially when there are children growing up in the house!!!!"&amp;" Thank you!")</f>
        <v>I chose the model based on the principle: price and functions! I was satisfied, everything was thought out to the smallest detail, detailed instructions. Easy to use. Now this is my assistant, especially when there are children growing up in the house!!!! Thank you!</v>
      </c>
    </row>
    <row r="4870" spans="1:9" x14ac:dyDescent="0.3">
      <c r="A4870" s="1" t="s">
        <v>206</v>
      </c>
      <c r="B4870" s="1" t="s">
        <v>207</v>
      </c>
      <c r="C4870" s="1" t="s">
        <v>97</v>
      </c>
      <c r="D4870" s="1" t="s">
        <v>7832</v>
      </c>
      <c r="E4870" s="1" t="s">
        <v>5086</v>
      </c>
      <c r="F4870" s="1" t="s">
        <v>8168</v>
      </c>
      <c r="G4870" s="1" t="s">
        <v>36</v>
      </c>
      <c r="H4870" s="1" t="s">
        <v>29</v>
      </c>
      <c r="I4870" s="1" t="str">
        <f ca="1">IFERROR(__xludf.DUMMYFUNCTION("GOOGLETRANSLATE(F4870, ""auto"", ""en"")
"),"I bought this sub this summer, it works with the blaubunkt gta 5350 amplifier, it works amazingly, it holds hard and soft bass perfectly, but at the very beginning of use I didn’t like it at all!! Well, as soon as he started shaking literally in the secon"&amp;"d week of his intensive work, he simply tore apart the trunk of my BMW 1, in general a very good sub.")</f>
        <v>I bought this sub this summer, it works with the blaubunkt gta 5350 amplifier, it works amazingly, it holds hard and soft bass perfectly, but at the very beginning of use I didn’t like it at all!! Well, as soon as he started shaking literally in the second week of his intensive work, he simply tore apart the trunk of my BMW 1, in general a very good sub.</v>
      </c>
    </row>
    <row r="4871" spans="1:9" x14ac:dyDescent="0.3">
      <c r="A4871" s="1" t="s">
        <v>55</v>
      </c>
      <c r="B4871" s="1" t="s">
        <v>184</v>
      </c>
      <c r="C4871" s="1" t="s">
        <v>57</v>
      </c>
      <c r="D4871" s="1" t="s">
        <v>171</v>
      </c>
      <c r="E4871" s="1" t="s">
        <v>222</v>
      </c>
      <c r="F4871" s="1" t="s">
        <v>8169</v>
      </c>
      <c r="G4871" s="1" t="s">
        <v>36</v>
      </c>
      <c r="H4871" s="1" t="s">
        <v>29</v>
      </c>
      <c r="I4871" s="1" t="str">
        <f ca="1">IFERROR(__xludf.DUMMYFUNCTION("GOOGLETRANSLATE(F4871, ""auto"", ""en"")
"),"So far it works great. No deficiencies were identified within a month. I recommend it.")</f>
        <v>So far it works great. No deficiencies were identified within a month. I recommend it.</v>
      </c>
    </row>
    <row r="4872" spans="1:9" x14ac:dyDescent="0.3">
      <c r="A4872" s="1" t="s">
        <v>111</v>
      </c>
      <c r="B4872" s="1" t="s">
        <v>636</v>
      </c>
      <c r="C4872" s="1" t="s">
        <v>637</v>
      </c>
      <c r="D4872" s="1" t="s">
        <v>568</v>
      </c>
      <c r="E4872" s="1" t="s">
        <v>1792</v>
      </c>
      <c r="F4872" s="1" t="s">
        <v>8170</v>
      </c>
      <c r="G4872" s="1" t="s">
        <v>36</v>
      </c>
      <c r="H4872" s="1" t="s">
        <v>29</v>
      </c>
      <c r="I4872" s="1" t="str">
        <f ca="1">IFERROR(__xludf.DUMMYFUNCTION("GOOGLETRANSLATE(F4872, ""auto"", ""en"")
"),"I bought it in December 2010, during the entire period of operation I changed the batteries in the main device once, I immediately installed good batteries in the transmitter, during all the frosts of the winter of 2011 and 2012 the batteries never froze "&amp;"and the device itself worked without problems, although at night the temperature was down to minus 32. I am very, very pleased with the purchase, I recommend it!")</f>
        <v>I bought it in December 2010, during the entire period of operation I changed the batteries in the main device once, I immediately installed good batteries in the transmitter, during all the frosts of the winter of 2011 and 2012 the batteries never froze and the device itself worked without problems, although at night the temperature was down to minus 32. I am very, very pleased with the purchase, I recommend it!</v>
      </c>
    </row>
    <row r="4873" spans="1:9" x14ac:dyDescent="0.3">
      <c r="A4873" s="1" t="s">
        <v>149</v>
      </c>
      <c r="B4873" s="1" t="s">
        <v>155</v>
      </c>
      <c r="C4873" s="1" t="s">
        <v>159</v>
      </c>
      <c r="D4873" s="1" t="s">
        <v>81</v>
      </c>
      <c r="E4873" s="1" t="s">
        <v>2693</v>
      </c>
      <c r="F4873" s="1" t="s">
        <v>8171</v>
      </c>
      <c r="G4873" s="1" t="s">
        <v>36</v>
      </c>
      <c r="H4873" s="1" t="s">
        <v>29</v>
      </c>
      <c r="I4873" s="1" t="str">
        <f ca="1">IFERROR(__xludf.DUMMYFUNCTION("GOOGLETRANSLATE(F4873, ""auto"", ""en"")
"),"We bought a vacuum cleaner more than a month ago. It works great, if you don’t adjust the suction power, it will suck everything away. It is easy to clean, but the 2nd lid is very difficult to open, and you think it will break. A fragile woman cannot open"&amp;" it. Very happy with the vacuum cleaner.")</f>
        <v>We bought a vacuum cleaner more than a month ago. It works great, if you don’t adjust the suction power, it will suck everything away. It is easy to clean, but the 2nd lid is very difficult to open, and you think it will break. A fragile woman cannot open it. Very happy with the vacuum cleaner.</v>
      </c>
    </row>
    <row r="4874" spans="1:9" x14ac:dyDescent="0.3">
      <c r="A4874" s="1" t="s">
        <v>61</v>
      </c>
      <c r="B4874" s="1" t="s">
        <v>73</v>
      </c>
      <c r="C4874" s="1" t="s">
        <v>146</v>
      </c>
      <c r="D4874" s="1" t="s">
        <v>589</v>
      </c>
      <c r="E4874" s="1" t="s">
        <v>1497</v>
      </c>
      <c r="F4874" s="1" t="s">
        <v>8172</v>
      </c>
      <c r="G4874" s="1" t="s">
        <v>36</v>
      </c>
      <c r="H4874" s="1" t="s">
        <v>29</v>
      </c>
      <c r="I4874" s="1" t="str">
        <f ca="1">IFERROR(__xludf.DUMMYFUNCTION("GOOGLETRANSLATE(F4874, ""auto"", ""en"")
"),"Just super, no words!!!!!!!!!!!!!!!!!!!!")</f>
        <v>Just super, no words!!!!!!!!!!!!!!!!!!!!</v>
      </c>
    </row>
    <row r="4875" spans="1:9" x14ac:dyDescent="0.3">
      <c r="A4875" s="1" t="s">
        <v>111</v>
      </c>
      <c r="B4875" s="1" t="s">
        <v>636</v>
      </c>
      <c r="C4875" s="1" t="s">
        <v>637</v>
      </c>
      <c r="D4875" s="1" t="s">
        <v>1036</v>
      </c>
      <c r="E4875" s="1" t="s">
        <v>1270</v>
      </c>
      <c r="F4875" s="1" t="s">
        <v>8173</v>
      </c>
      <c r="G4875" s="1" t="s">
        <v>49</v>
      </c>
      <c r="H4875" s="1" t="s">
        <v>16</v>
      </c>
      <c r="I4875" s="1" t="str">
        <f ca="1">IFERROR(__xludf.DUMMYFUNCTION("GOOGLETRANSLATE(F4875, ""auto"", ""en"")
"),"Over time, almost all segments of the projector's digits stopped working.")</f>
        <v>Over time, almost all segments of the projector's digits stopped working.</v>
      </c>
    </row>
    <row r="4876" spans="1:9" x14ac:dyDescent="0.3">
      <c r="A4876" s="1" t="s">
        <v>1119</v>
      </c>
      <c r="B4876" s="1" t="s">
        <v>1120</v>
      </c>
      <c r="C4876" s="1" t="s">
        <v>4468</v>
      </c>
      <c r="D4876" s="1" t="s">
        <v>653</v>
      </c>
      <c r="E4876" s="1" t="s">
        <v>3872</v>
      </c>
      <c r="F4876" s="1" t="s">
        <v>8174</v>
      </c>
      <c r="G4876" s="1" t="s">
        <v>28</v>
      </c>
      <c r="H4876" s="1" t="s">
        <v>29</v>
      </c>
      <c r="I4876" s="1" t="str">
        <f ca="1">IFERROR(__xludf.DUMMYFUNCTION("GOOGLETRANSLATE(F4876, ""auto"", ""en"")
"),"We compared Sony, JVC, Canon cameras from the same price category. The latter turned out to have better optics. It takes good pictures, but the photos are not great. Well, for photography, I think you need a camera. And for such a price it’s quite normal "&amp;"for amateur filming. And the battery charge lasts a long time.")</f>
        <v>We compared Sony, JVC, Canon cameras from the same price category. The latter turned out to have better optics. It takes good pictures, but the photos are not great. Well, for photography, I think you need a camera. And for such a price it’s quite normal for amateur filming. And the battery charge lasts a long time.</v>
      </c>
    </row>
    <row r="4877" spans="1:9" x14ac:dyDescent="0.3">
      <c r="A4877" s="1" t="s">
        <v>89</v>
      </c>
      <c r="B4877" s="1" t="s">
        <v>90</v>
      </c>
      <c r="C4877" s="1" t="s">
        <v>185</v>
      </c>
      <c r="D4877" s="1" t="s">
        <v>8175</v>
      </c>
      <c r="E4877" s="1" t="s">
        <v>285</v>
      </c>
      <c r="F4877" s="1" t="s">
        <v>8176</v>
      </c>
      <c r="G4877" s="1" t="s">
        <v>36</v>
      </c>
      <c r="H4877" s="1" t="s">
        <v>29</v>
      </c>
      <c r="I4877" s="1" t="str">
        <f ca="1">IFERROR(__xludf.DUMMYFUNCTION("GOOGLETRANSLATE(F4877, ""auto"", ""en"")
"),"An excellent unit. Anyone who doesn’t like it doesn’t know what he wants :).")</f>
        <v>An excellent unit. Anyone who doesn’t like it doesn’t know what he wants :).</v>
      </c>
    </row>
    <row r="4878" spans="1:9" x14ac:dyDescent="0.3">
      <c r="A4878" s="1" t="s">
        <v>965</v>
      </c>
      <c r="B4878" s="1" t="s">
        <v>966</v>
      </c>
      <c r="C4878" s="1" t="s">
        <v>967</v>
      </c>
      <c r="D4878" s="1" t="s">
        <v>102</v>
      </c>
      <c r="E4878" s="1" t="s">
        <v>8177</v>
      </c>
      <c r="F4878" s="1" t="s">
        <v>8178</v>
      </c>
      <c r="G4878" s="1" t="s">
        <v>28</v>
      </c>
      <c r="H4878" s="1" t="s">
        <v>29</v>
      </c>
      <c r="I4878" s="1" t="str">
        <f ca="1">IFERROR(__xludf.DUMMYFUNCTION("GOOGLETRANSLATE(F4878, ""auto"", ""en"")
"),"Not a bad model. I like it too. I also agree with the assessment.")</f>
        <v>Not a bad model. I like it too. I also agree with the assessment.</v>
      </c>
    </row>
    <row r="4879" spans="1:9" x14ac:dyDescent="0.3">
      <c r="A4879" s="1" t="s">
        <v>169</v>
      </c>
      <c r="B4879" s="1" t="s">
        <v>170</v>
      </c>
      <c r="C4879" s="1" t="s">
        <v>171</v>
      </c>
      <c r="D4879" s="1" t="s">
        <v>8179</v>
      </c>
      <c r="E4879" s="1" t="s">
        <v>5803</v>
      </c>
      <c r="F4879" s="1" t="s">
        <v>8180</v>
      </c>
      <c r="G4879" s="1" t="s">
        <v>36</v>
      </c>
      <c r="H4879" s="1" t="s">
        <v>29</v>
      </c>
      <c r="I4879" s="1" t="str">
        <f ca="1">IFERROR(__xludf.DUMMYFUNCTION("GOOGLETRANSLATE(F4879, ""auto"", ""en"")
"),"Good headphones, at first I didn’t like that they sounded dull, as it turns out, it’s just the phone making that sound, I use the headphones for mixing (I do music)... The sound is almost the same as on the speakers... It’s been almost a year since I boug"&amp;"ht them, I don’t handle them very carefully, they hold up well, other headphones that I had before usually started having problems with the wires for 2 months, but with these everything is fine, the wire doesn’t harden in the cold...")</f>
        <v>Good headphones, at first I didn’t like that they sounded dull, as it turns out, it’s just the phone making that sound, I use the headphones for mixing (I do music)... The sound is almost the same as on the speakers... It’s been almost a year since I bought them, I don’t handle them very carefully, they hold up well, other headphones that I had before usually started having problems with the wires for 2 months, but with these everything is fine, the wire doesn’t harden in the cold...</v>
      </c>
    </row>
    <row r="4880" spans="1:9" x14ac:dyDescent="0.3">
      <c r="A4880" s="1" t="s">
        <v>206</v>
      </c>
      <c r="B4880" s="1" t="s">
        <v>1349</v>
      </c>
      <c r="C4880" s="1" t="s">
        <v>2425</v>
      </c>
      <c r="D4880" s="1" t="s">
        <v>52</v>
      </c>
      <c r="E4880" s="1" t="s">
        <v>443</v>
      </c>
      <c r="F4880" s="1" t="s">
        <v>8181</v>
      </c>
      <c r="G4880" s="1" t="s">
        <v>28</v>
      </c>
      <c r="H4880" s="1" t="s">
        <v>29</v>
      </c>
      <c r="I4880" s="1" t="str">
        <f ca="1">IFERROR(__xludf.DUMMYFUNCTION("GOOGLETRANSLATE(F4880, ""auto"", ""en"")
"),"In principle, a good device. The remote control is convenient, watching movies is very convenient.    The downside is that the TV only catches 2-3 programs. From the flash drive, when you turn off the radio, it starts playing songs from the beginning, and"&amp;" not from the last song. The screen is dull, rarely though. I have to turn the radio off/on.    On the plus side, I liked the sound, the sound quality, the bass is good, the panel is comfortable, the navigation on the panel is good. Menu in Russian.    Th"&amp;"ere were a few connection problems, but I managed.  P.S I like it, buy it, you won’t regret it.h")</f>
        <v>In principle, a good device. The remote control is convenient, watching movies is very convenient.    The downside is that the TV only catches 2-3 programs. From the flash drive, when you turn off the radio, it starts playing songs from the beginning, and not from the last song. The screen is dull, rarely though. I have to turn the radio off/on.    On the plus side, I liked the sound, the sound quality, the bass is good, the panel is comfortable, the navigation on the panel is good. Menu in Russian.    There were a few connection problems, but I managed.  P.S I like it, buy it, you won’t regret it.h</v>
      </c>
    </row>
    <row r="4881" spans="1:9" x14ac:dyDescent="0.3">
      <c r="A4881" s="1" t="s">
        <v>105</v>
      </c>
      <c r="B4881" s="1" t="s">
        <v>106</v>
      </c>
      <c r="C4881" s="1" t="s">
        <v>97</v>
      </c>
      <c r="D4881" s="1" t="s">
        <v>8182</v>
      </c>
      <c r="E4881" s="1" t="s">
        <v>1005</v>
      </c>
      <c r="F4881" s="1" t="s">
        <v>8183</v>
      </c>
      <c r="G4881" s="1" t="s">
        <v>36</v>
      </c>
      <c r="H4881" s="1" t="s">
        <v>29</v>
      </c>
      <c r="I4881" s="1" t="str">
        <f ca="1">IFERROR(__xludf.DUMMYFUNCTION("GOOGLETRANSLATE(F4881, ""auto"", ""en"")
"),"I looked at all the reviews about the players, also looked at the functionality of the players, and came to the conclusion that this player is the best. I'm going to buy it in a month.    By the way, no one writes how the FM modulator works and at what fr"&amp;"equencies.")</f>
        <v>I looked at all the reviews about the players, also looked at the functionality of the players, and came to the conclusion that this player is the best. I'm going to buy it in a month.    By the way, no one writes how the FM modulator works and at what frequencies.</v>
      </c>
    </row>
    <row r="4882" spans="1:9" x14ac:dyDescent="0.3">
      <c r="A4882" s="1" t="s">
        <v>30</v>
      </c>
      <c r="B4882" s="1" t="s">
        <v>50</v>
      </c>
      <c r="C4882" s="1" t="s">
        <v>189</v>
      </c>
      <c r="D4882" s="1" t="s">
        <v>280</v>
      </c>
      <c r="E4882" s="1" t="s">
        <v>8184</v>
      </c>
      <c r="F4882" s="1" t="s">
        <v>8185</v>
      </c>
      <c r="G4882" s="1" t="s">
        <v>36</v>
      </c>
      <c r="H4882" s="1" t="s">
        <v>29</v>
      </c>
      <c r="I4882" s="1" t="str">
        <f ca="1">IFERROR(__xludf.DUMMYFUNCTION("GOOGLETRANSLATE(F4882, ""auto"", ""en"")
"),"1 day of use.  I liked the touchpad, the scroll bar is not highlighted, but hidden. There seems to be one button, but in fact there are 2 of them! organically done.  The keyboard seems to hover in the air, recessed, with a glossy border around it. The sou"&amp;"nd is quite acceptable. The screen does not glare (turned it on in the room) I haven’t played any games yet.")</f>
        <v>1 day of use.  I liked the touchpad, the scroll bar is not highlighted, but hidden. There seems to be one button, but in fact there are 2 of them! organically done.  The keyboard seems to hover in the air, recessed, with a glossy border around it. The sound is quite acceptable. The screen does not glare (turned it on in the room) I haven’t played any games yet.</v>
      </c>
    </row>
    <row r="4883" spans="1:9" x14ac:dyDescent="0.3">
      <c r="A4883" s="1" t="s">
        <v>206</v>
      </c>
      <c r="B4883" s="1" t="s">
        <v>1253</v>
      </c>
      <c r="C4883" s="1" t="s">
        <v>4464</v>
      </c>
      <c r="D4883" s="1" t="s">
        <v>305</v>
      </c>
      <c r="E4883" s="1" t="s">
        <v>2156</v>
      </c>
      <c r="F4883" s="1" t="s">
        <v>8186</v>
      </c>
      <c r="G4883" s="1" t="s">
        <v>36</v>
      </c>
      <c r="H4883" s="1" t="s">
        <v>29</v>
      </c>
      <c r="I4883" s="1" t="str">
        <f ca="1">IFERROR(__xludf.DUMMYFUNCTION("GOOGLETRANSLATE(F4883, ""auto"", ""en"")
"),"The set included: 2 walkie-talkies, 6 pcs ""AAA"" branded (each with ""Midland"" written on it) batteries of 600 mAh each, charger for both walkie-talkies. This walkie-talkie is the undisputed leader in terms of price-quality ratio, for my money I got a s"&amp;"table connection up to 4.5 km in line of sight (in the city there are 300-500 meters of stable communication, depending on the buildings). Small, light - weighs 95 grams (with batteries).&amp;nbsp;")</f>
        <v>The set included: 2 walkie-talkies, 6 pcs "AAA" branded (each with "Midland" written on it) batteries of 600 mAh each, charger for both walkie-talkies. This walkie-talkie is the undisputed leader in terms of price-quality ratio, for my money I got a stable connection up to 4.5 km in line of sight (in the city there are 300-500 meters of stable communication, depending on the buildings). Small, light - weighs 95 grams (with batteries).&amp;nbsp;</v>
      </c>
    </row>
    <row r="4884" spans="1:9" x14ac:dyDescent="0.3">
      <c r="A4884" s="1" t="s">
        <v>211</v>
      </c>
      <c r="B4884" s="1" t="s">
        <v>410</v>
      </c>
      <c r="C4884" s="1" t="s">
        <v>122</v>
      </c>
      <c r="D4884" s="1" t="s">
        <v>8187</v>
      </c>
      <c r="E4884" s="1" t="s">
        <v>6937</v>
      </c>
      <c r="F4884" s="1" t="s">
        <v>8188</v>
      </c>
      <c r="G4884" s="1" t="s">
        <v>36</v>
      </c>
      <c r="H4884" s="1" t="s">
        <v>29</v>
      </c>
      <c r="I4884" s="1" t="str">
        <f ca="1">IFERROR(__xludf.DUMMYFUNCTION("GOOGLETRANSLATE(F4884, ""auto"", ""en"")
"),"It shaves no worse than regular razors like Mak3, etc., plus there are no consequences in the form of cuts. There is no irritation, and with foam the shaving experience is excellent.  I recommend it to everyone.")</f>
        <v>It shaves no worse than regular razors like Mak3, etc., plus there are no consequences in the form of cuts. There is no irritation, and with foam the shaving experience is excellent.  I recommend it to everyone.</v>
      </c>
    </row>
    <row r="4885" spans="1:9" x14ac:dyDescent="0.3">
      <c r="A4885" s="1" t="s">
        <v>211</v>
      </c>
      <c r="B4885" s="1" t="s">
        <v>212</v>
      </c>
      <c r="C4885" s="1" t="s">
        <v>69</v>
      </c>
      <c r="D4885" s="1" t="s">
        <v>166</v>
      </c>
      <c r="E4885" s="1" t="s">
        <v>1611</v>
      </c>
      <c r="F4885" s="1" t="s">
        <v>8189</v>
      </c>
      <c r="G4885" s="1" t="s">
        <v>36</v>
      </c>
      <c r="H4885" s="1" t="s">
        <v>29</v>
      </c>
      <c r="I4885" s="1" t="str">
        <f ca="1">IFERROR(__xludf.DUMMYFUNCTION("GOOGLETRANSLATE(F4885, ""auto"", ""en"")
"),"And I really like the set!!! I am a hairdresser myself, I understand a lot about such a product. I really bought it for personal use.")</f>
        <v>And I really like the set!!! I am a hairdresser myself, I understand a lot about such a product. I really bought it for personal use.</v>
      </c>
    </row>
    <row r="4886" spans="1:9" x14ac:dyDescent="0.3">
      <c r="A4886" s="1" t="s">
        <v>211</v>
      </c>
      <c r="B4886" s="1" t="s">
        <v>856</v>
      </c>
      <c r="C4886" s="1" t="s">
        <v>63</v>
      </c>
      <c r="D4886" s="1" t="s">
        <v>295</v>
      </c>
      <c r="E4886" s="1" t="s">
        <v>820</v>
      </c>
      <c r="F4886" s="1" t="s">
        <v>8190</v>
      </c>
      <c r="G4886" s="1" t="s">
        <v>36</v>
      </c>
      <c r="H4886" s="1" t="s">
        <v>29</v>
      </c>
      <c r="I4886" s="1" t="str">
        <f ca="1">IFERROR(__xludf.DUMMYFUNCTION("GOOGLETRANSLATE(F4886, ""auto"", ""en"")
"),"Great stuff, too bad. that I didn’t buy before. Easy to use, relaxes well, improves sleep. I recommended it to my sister, she is also happy. I add bath salt to the water and pour in cool water, the water warms up slightly, very pleasant. The size of the b"&amp;"ath is large, it’s convenient to move your feet and massage them. Great stuff.")</f>
        <v>Great stuff, too bad. that I didn’t buy before. Easy to use, relaxes well, improves sleep. I recommended it to my sister, she is also happy. I add bath salt to the water and pour in cool water, the water warms up slightly, very pleasant. The size of the bath is large, it’s convenient to move your feet and massage them. Great stuff.</v>
      </c>
    </row>
    <row r="4887" spans="1:9" x14ac:dyDescent="0.3">
      <c r="A4887" s="1" t="s">
        <v>37</v>
      </c>
      <c r="B4887" s="1" t="s">
        <v>38</v>
      </c>
      <c r="C4887" s="1" t="s">
        <v>39</v>
      </c>
      <c r="D4887" s="1" t="s">
        <v>3346</v>
      </c>
      <c r="E4887" s="1" t="s">
        <v>820</v>
      </c>
      <c r="F4887" s="1" t="s">
        <v>8191</v>
      </c>
      <c r="G4887" s="1" t="s">
        <v>36</v>
      </c>
      <c r="H4887" s="1" t="s">
        <v>29</v>
      </c>
      <c r="I4887" s="1" t="str">
        <f ca="1">IFERROR(__xludf.DUMMYFUNCTION("GOOGLETRANSLATE(F4887, ""auto"", ""en"")
"),"The device is certainly cool, I liked it. In principle, I don’t buy Nokia, I always only buy Sony and only folding phones, I like the design, but the speaker lets me down, it screams so loudly that sometimes during rock songs (Ramstein) it starts to wheez"&amp;"e like Bryan Adams. But the significant disadvantage is that when it lies on the bottom panel, the speaker is completely closed, you can’t hear it at all, I constantly miss calls. Before it was Sony The W710i has a special stand on the body so that you ca"&amp;"n hear it no matter how it’s lying down. And there’s also the disreputable charging connector: ((In general, this is the biggest minus in Sonya, dear dear “Jack” would be much more convenient and reliable. And so everything is fine, the functions are fine"&amp;". I don’t like it when they put too many functions into the phone, there’s a microwave, a blender, a blood sugar meter in urine, etc. :))")</f>
        <v>The device is certainly cool, I liked it. In principle, I don’t buy Nokia, I always only buy Sony and only folding phones, I like the design, but the speaker lets me down, it screams so loudly that sometimes during rock songs (Ramstein) it starts to wheeze like Bryan Adams. But the significant disadvantage is that when it lies on the bottom panel, the speaker is completely closed, you can’t hear it at all, I constantly miss calls. Before it was Sony The W710i has a special stand on the body so that you can hear it no matter how it’s lying down. And there’s also the disreputable charging connector: ((In general, this is the biggest minus in Sonya, dear dear “Jack” would be much more convenient and reliable. And so everything is fine, the functions are fine. I don’t like it when they put too many functions into the phone, there’s a microwave, a blender, a blood sugar meter in urine, etc. :))</v>
      </c>
    </row>
    <row r="4888" spans="1:9" x14ac:dyDescent="0.3">
      <c r="A4888" s="1" t="s">
        <v>9</v>
      </c>
      <c r="B4888" s="1" t="s">
        <v>137</v>
      </c>
      <c r="C4888" s="1" t="s">
        <v>290</v>
      </c>
      <c r="D4888" s="1" t="s">
        <v>64</v>
      </c>
      <c r="E4888" s="1" t="s">
        <v>8192</v>
      </c>
      <c r="F4888" s="1" t="s">
        <v>8193</v>
      </c>
      <c r="G4888" s="1" t="s">
        <v>49</v>
      </c>
      <c r="H4888" s="1" t="s">
        <v>16</v>
      </c>
      <c r="I4888" s="1" t="str">
        <f ca="1">IFERROR(__xludf.DUMMYFUNCTION("GOOGLETRANSLATE(F4888, ""auto"", ""en"")
"),"The hob is a total mess. Before that there was another hob 10 years ago. There were no problems. After installing this panel, the right handle of the gas supply regulator heats up and melts. It is impossible to use the right burner. There is very little s"&amp;"pace. You will never be able to use 4 burners. I am shocked by this hob!")</f>
        <v>The hob is a total mess. Before that there was another hob 10 years ago. There were no problems. After installing this panel, the right handle of the gas supply regulator heats up and melts. It is impossible to use the right burner. There is very little space. You will never be able to use 4 burners. I am shocked by this hob!</v>
      </c>
    </row>
    <row r="4889" spans="1:9" x14ac:dyDescent="0.3">
      <c r="A4889" s="1" t="s">
        <v>61</v>
      </c>
      <c r="B4889" s="1" t="s">
        <v>977</v>
      </c>
      <c r="C4889" s="1" t="s">
        <v>85</v>
      </c>
      <c r="D4889" s="1" t="s">
        <v>1008</v>
      </c>
      <c r="E4889" s="1" t="s">
        <v>8194</v>
      </c>
      <c r="F4889" s="1" t="s">
        <v>8195</v>
      </c>
      <c r="G4889" s="1" t="s">
        <v>36</v>
      </c>
      <c r="H4889" s="1" t="s">
        <v>29</v>
      </c>
      <c r="I4889" s="1" t="str">
        <f ca="1">IFERROR(__xludf.DUMMYFUNCTION("GOOGLETRANSLATE(F4889, ""auto"", ""en"")
"),"The blender is really good, it whips up cocktails in a minute, crushes ice quickly, makes baby purees perfectly, I’ve been using it for over a year now, I haven’t had any complaints, if finances allow, don’t hesitate to buy it")</f>
        <v>The blender is really good, it whips up cocktails in a minute, crushes ice quickly, makes baby purees perfectly, I’ve been using it for over a year now, I haven’t had any complaints, if finances allow, don’t hesitate to buy it</v>
      </c>
    </row>
    <row r="4890" spans="1:9" x14ac:dyDescent="0.3">
      <c r="A4890" s="1" t="s">
        <v>965</v>
      </c>
      <c r="B4890" s="1" t="s">
        <v>966</v>
      </c>
      <c r="C4890" s="1" t="s">
        <v>97</v>
      </c>
      <c r="D4890" s="1" t="s">
        <v>8196</v>
      </c>
      <c r="E4890" s="1" t="s">
        <v>750</v>
      </c>
      <c r="F4890" s="1" t="s">
        <v>8197</v>
      </c>
      <c r="G4890" s="1" t="s">
        <v>28</v>
      </c>
      <c r="H4890" s="1" t="s">
        <v>29</v>
      </c>
      <c r="I4890" s="1" t="str">
        <f ca="1">IFERROR(__xludf.DUMMYFUNCTION("GOOGLETRANSLATE(F4890, ""auto"", ""en"")
"),"The beepers are normal, but the SAB alarmed me with a rattling sound, similar to the sound of vibrating glass in a closed car, inside of which something rattles like a CLUB or TRANS! Not great, but normal for a computer AT A MEDIUM VOLUME LEVEL!")</f>
        <v>The beepers are normal, but the SAB alarmed me with a rattling sound, similar to the sound of vibrating glass in a closed car, inside of which something rattles like a CLUB or TRANS! Not great, but normal for a computer AT A MEDIUM VOLUME LEVEL!</v>
      </c>
    </row>
    <row r="4891" spans="1:9" x14ac:dyDescent="0.3">
      <c r="A4891" s="1" t="s">
        <v>30</v>
      </c>
      <c r="B4891" s="1" t="s">
        <v>50</v>
      </c>
      <c r="C4891" s="1" t="s">
        <v>32</v>
      </c>
      <c r="D4891" s="1" t="s">
        <v>8198</v>
      </c>
      <c r="E4891" s="1" t="s">
        <v>225</v>
      </c>
      <c r="F4891" s="1" t="s">
        <v>8199</v>
      </c>
      <c r="G4891" s="1" t="s">
        <v>28</v>
      </c>
      <c r="H4891" s="1" t="s">
        <v>29</v>
      </c>
      <c r="I4891" s="1" t="str">
        <f ca="1">IFERROR(__xludf.DUMMYFUNCTION("GOOGLETRANSLATE(F4891, ""auto"", ""en"")
"),"The USB inputs are very close.")</f>
        <v>The USB inputs are very close.</v>
      </c>
    </row>
    <row r="4892" spans="1:9" x14ac:dyDescent="0.3">
      <c r="A4892" s="1" t="s">
        <v>37</v>
      </c>
      <c r="B4892" s="1" t="s">
        <v>38</v>
      </c>
      <c r="C4892" s="1" t="s">
        <v>151</v>
      </c>
      <c r="D4892" s="1" t="s">
        <v>52</v>
      </c>
      <c r="E4892" s="1" t="s">
        <v>2352</v>
      </c>
      <c r="F4892" s="1" t="s">
        <v>8200</v>
      </c>
      <c r="G4892" s="1" t="s">
        <v>36</v>
      </c>
      <c r="H4892" s="1" t="s">
        <v>29</v>
      </c>
      <c r="I4892" s="1" t="str">
        <f ca="1">IFERROR(__xludf.DUMMYFUNCTION("GOOGLETRANSLATE(F4892, ""auto"", ""en"")
"),"The speaker wheezes at the highest volume.   The interface is excellent in my opinion. Switching and printing is convenient.  The case that comes with the kit doesn’t look very good at first glance, but it’s quite convenient.  It's inconvenient to unlock "&amp;"your phone.  It is very prudent to block the sensor during a conversation.  For some reason Opera didn't start for me. But maybe that's my problem.   In general, I'm pleased.")</f>
        <v>The speaker wheezes at the highest volume.   The interface is excellent in my opinion. Switching and printing is convenient.  The case that comes with the kit doesn’t look very good at first glance, but it’s quite convenient.  It's inconvenient to unlock your phone.  It is very prudent to block the sensor during a conversation.  For some reason Opera didn't start for me. But maybe that's my problem.   In general, I'm pleased.</v>
      </c>
    </row>
    <row r="4893" spans="1:9" x14ac:dyDescent="0.3">
      <c r="A4893" s="1" t="s">
        <v>37</v>
      </c>
      <c r="B4893" s="1" t="s">
        <v>355</v>
      </c>
      <c r="C4893" s="1" t="s">
        <v>356</v>
      </c>
      <c r="D4893" s="1" t="s">
        <v>335</v>
      </c>
      <c r="E4893" s="1" t="s">
        <v>1742</v>
      </c>
      <c r="F4893" s="1" t="s">
        <v>8201</v>
      </c>
      <c r="G4893" s="1" t="s">
        <v>36</v>
      </c>
      <c r="H4893" s="1" t="s">
        <v>29</v>
      </c>
      <c r="I4893" s="1" t="str">
        <f ca="1">IFERROR(__xludf.DUMMYFUNCTION("GOOGLETRANSLATE(F4893, ""auto"", ""en"")
"),"Super phone! I recently purchased it from M-video and am very, very pleased with it! Beautiful, functional, comfortable... Its advantages can be listed for a very long time. The only negative is the battery. It only lasts 2 days. And everything is great! "&amp;"And of course, the goods purchased from M-video are, as always, of high quality and have no complaints.")</f>
        <v>Super phone! I recently purchased it from M-video and am very, very pleased with it! Beautiful, functional, comfortable... Its advantages can be listed for a very long time. The only negative is the battery. It only lasts 2 days. And everything is great! And of course, the goods purchased from M-video are, as always, of high quality and have no complaints.</v>
      </c>
    </row>
    <row r="4894" spans="1:9" x14ac:dyDescent="0.3">
      <c r="A4894" s="1" t="s">
        <v>9</v>
      </c>
      <c r="B4894" s="1" t="s">
        <v>10</v>
      </c>
      <c r="C4894" s="1" t="s">
        <v>290</v>
      </c>
      <c r="D4894" s="1" t="s">
        <v>8202</v>
      </c>
      <c r="E4894" s="1" t="s">
        <v>3764</v>
      </c>
      <c r="F4894" s="1" t="s">
        <v>8203</v>
      </c>
      <c r="G4894" s="1" t="s">
        <v>36</v>
      </c>
      <c r="H4894" s="1" t="s">
        <v>29</v>
      </c>
      <c r="I4894" s="1" t="str">
        <f ca="1">IFERROR(__xludf.DUMMYFUNCTION("GOOGLETRANSLATE(F4894, ""auto"", ""en"")
"),"A small and very convenient hood, we bought it recently for my mother - so far it has not disappointed! Firstly, it is not the noisiest option, the speeds are easy to switch and the backlight illuminates the stove quite brightly and evenly. And secondly, "&amp;"it pulls strongly, after frying there is no smell of catering in the apartment) Well, I’m extremely pleased with the design - it’s so modern, neat, and perfectly complements the kitchen! I think that the quality and price correspond well to each other)")</f>
        <v>A small and very convenient hood, we bought it recently for my mother - so far it has not disappointed! Firstly, it is not the noisiest option, the speeds are easy to switch and the backlight illuminates the stove quite brightly and evenly. And secondly, it pulls strongly, after frying there is no smell of catering in the apartment) Well, I’m extremely pleased with the design - it’s so modern, neat, and perfectly complements the kitchen! I think that the quality and price correspond well to each other)</v>
      </c>
    </row>
    <row r="4895" spans="1:9" x14ac:dyDescent="0.3">
      <c r="A4895" s="1" t="s">
        <v>211</v>
      </c>
      <c r="B4895" s="1" t="s">
        <v>856</v>
      </c>
      <c r="C4895" s="1" t="s">
        <v>57</v>
      </c>
      <c r="D4895" s="1" t="s">
        <v>86</v>
      </c>
      <c r="E4895" s="1" t="s">
        <v>2838</v>
      </c>
      <c r="F4895" s="1" t="s">
        <v>8204</v>
      </c>
      <c r="G4895" s="1" t="s">
        <v>36</v>
      </c>
      <c r="H4895" s="1" t="s">
        <v>29</v>
      </c>
      <c r="I4895" s="1" t="str">
        <f ca="1">IFERROR(__xludf.DUMMYFUNCTION("GOOGLETRANSLATE(F4895, ""auto"", ""en"")
"),"It’s a good thing, I gave it to my wife, and we both use it))")</f>
        <v>It’s a good thing, I gave it to my wife, and we both use it))</v>
      </c>
    </row>
    <row r="4896" spans="1:9" x14ac:dyDescent="0.3">
      <c r="A4896" s="1" t="s">
        <v>17</v>
      </c>
      <c r="B4896" s="1" t="s">
        <v>18</v>
      </c>
      <c r="C4896" s="1" t="s">
        <v>243</v>
      </c>
      <c r="D4896" s="1" t="s">
        <v>8205</v>
      </c>
      <c r="E4896" s="1" t="s">
        <v>8206</v>
      </c>
      <c r="F4896" s="1" t="s">
        <v>8207</v>
      </c>
      <c r="G4896" s="1" t="s">
        <v>1580</v>
      </c>
      <c r="H4896" s="1" t="s">
        <v>29</v>
      </c>
      <c r="I4896" s="1" t="str">
        <f ca="1">IFERROR(__xludf.DUMMYFUNCTION("GOOGLETRANSLATE(F4896, ""auto"", ""en"")
"),"Reliable, small, inexpensive")</f>
        <v>Reliable, small, inexpensive</v>
      </c>
    </row>
    <row r="4897" spans="1:9" x14ac:dyDescent="0.3">
      <c r="A4897" s="1" t="s">
        <v>1823</v>
      </c>
      <c r="B4897" s="1" t="s">
        <v>1824</v>
      </c>
      <c r="C4897" s="1" t="s">
        <v>69</v>
      </c>
      <c r="D4897" s="1" t="s">
        <v>335</v>
      </c>
      <c r="E4897" s="1" t="s">
        <v>8208</v>
      </c>
      <c r="F4897" s="1" t="s">
        <v>8209</v>
      </c>
      <c r="G4897" s="1" t="s">
        <v>28</v>
      </c>
      <c r="H4897" s="1" t="s">
        <v>29</v>
      </c>
      <c r="I4897" s="1" t="str">
        <f ca="1">IFERROR(__xludf.DUMMYFUNCTION("GOOGLETRANSLATE(F4897, ""auto"", ""en"")
"),"Large board - not for small apartments. Exclusively for the steam generator, since there is no platform and socket for the iron. There is no shelf for ironed linen; it can be placed on a large platform for the generator. Plus - hangers for shirts - for th"&amp;"ose who wash and iron shirts every day) BOTTOM LINE - if you need a board for ironing, this is DEFINITELY not this option.")</f>
        <v>Large board - not for small apartments. Exclusively for the steam generator, since there is no platform and socket for the iron. There is no shelf for ironed linen; it can be placed on a large platform for the generator. Plus - hangers for shirts - for those who wash and iron shirts every day) BOTTOM LINE - if you need a board for ironing, this is DEFINITELY not this option.</v>
      </c>
    </row>
    <row r="4898" spans="1:9" x14ac:dyDescent="0.3">
      <c r="A4898" s="1" t="s">
        <v>61</v>
      </c>
      <c r="B4898" s="1" t="s">
        <v>318</v>
      </c>
      <c r="C4898" s="1" t="s">
        <v>246</v>
      </c>
      <c r="D4898" s="1" t="s">
        <v>64</v>
      </c>
      <c r="E4898" s="1" t="s">
        <v>932</v>
      </c>
      <c r="F4898" s="1" t="s">
        <v>8210</v>
      </c>
      <c r="G4898" s="1" t="s">
        <v>36</v>
      </c>
      <c r="H4898" s="1" t="s">
        <v>29</v>
      </c>
      <c r="I4898" s="1" t="str">
        <f ca="1">IFERROR(__xludf.DUMMYFUNCTION("GOOGLETRANSLATE(F4898, ""auto"", ""en"")
"),"We bought it for work, it’s a really good, comfortable kettle, it’s well worth the price. Some of us even bought one for themselves at home. We've been using it for about 6 months and no dark spots have appeared. Our department is quite happy with it. Wor"&amp;"k as long as possible, our hard worker!))))")</f>
        <v>We bought it for work, it’s a really good, comfortable kettle, it’s well worth the price. Some of us even bought one for themselves at home. We've been using it for about 6 months and no dark spots have appeared. Our department is quite happy with it. Work as long as possible, our hard worker!))))</v>
      </c>
    </row>
    <row r="4899" spans="1:9" x14ac:dyDescent="0.3">
      <c r="A4899" s="1" t="s">
        <v>30</v>
      </c>
      <c r="B4899" s="1" t="s">
        <v>50</v>
      </c>
      <c r="C4899" s="1" t="s">
        <v>377</v>
      </c>
      <c r="D4899" s="1" t="s">
        <v>2923</v>
      </c>
      <c r="E4899" s="1" t="s">
        <v>201</v>
      </c>
      <c r="F4899" s="1" t="s">
        <v>8211</v>
      </c>
      <c r="G4899" s="1" t="s">
        <v>36</v>
      </c>
      <c r="H4899" s="1" t="s">
        <v>29</v>
      </c>
      <c r="I4899" s="1" t="str">
        <f ca="1">IFERROR(__xludf.DUMMYFUNCTION("GOOGLETRANSLATE(F4899, ""auto"", ""en"")
"),"And if I download the counter-strike game onto this laptop, it won’t glitch??? When will I play it online??)))))))) Thanks in advance))))))))))))")</f>
        <v>And if I download the counter-strike game onto this laptop, it won’t glitch??? When will I play it online??)))))))) Thanks in advance))))))))))))</v>
      </c>
    </row>
    <row r="4900" spans="1:9" x14ac:dyDescent="0.3">
      <c r="A4900" s="1" t="s">
        <v>211</v>
      </c>
      <c r="B4900" s="1" t="s">
        <v>265</v>
      </c>
      <c r="C4900" s="1" t="s">
        <v>69</v>
      </c>
      <c r="D4900" s="1" t="s">
        <v>39</v>
      </c>
      <c r="E4900" s="1" t="s">
        <v>3166</v>
      </c>
      <c r="F4900" s="1" t="s">
        <v>8212</v>
      </c>
      <c r="G4900" s="1" t="s">
        <v>28</v>
      </c>
      <c r="H4900" s="1" t="s">
        <v>29</v>
      </c>
      <c r="I4900" s="1" t="str">
        <f ca="1">IFERROR(__xludf.DUMMYFUNCTION("GOOGLETRANSLATE(F4900, ""auto"", ""en"")
"),"I've been using this clipper for several years now, everything is great, only the attachment is broken, the rest is flawless.")</f>
        <v>I've been using this clipper for several years now, everything is great, only the attachment is broken, the rest is flawless.</v>
      </c>
    </row>
    <row r="4901" spans="1:9" x14ac:dyDescent="0.3">
      <c r="A4901" s="1" t="s">
        <v>149</v>
      </c>
      <c r="B4901" s="1" t="s">
        <v>155</v>
      </c>
      <c r="C4901" s="1" t="s">
        <v>151</v>
      </c>
      <c r="D4901" s="1" t="s">
        <v>208</v>
      </c>
      <c r="E4901" s="1" t="s">
        <v>1321</v>
      </c>
      <c r="F4901" s="1" t="s">
        <v>8213</v>
      </c>
      <c r="G4901" s="1" t="s">
        <v>28</v>
      </c>
      <c r="H4901" s="1" t="s">
        <v>29</v>
      </c>
      <c r="I4901" s="1" t="str">
        <f ca="1">IFERROR(__xludf.DUMMYFUNCTION("GOOGLETRANSLATE(F4901, ""auto"", ""en"")
"),"Before this vacuum cleaner there were two Samsung and LG. The control on the handle has become more convenient, the hose is longer, the tube is more thought out. The turbo brush has become better. The container is enough for two cleanings with a 3-room br"&amp;"ush. apartments. The filter has to be washed after four cleanings.  Get spare filters right away.  There are models with special filters that are not sold. So I took this one and don’t regret it.")</f>
        <v>Before this vacuum cleaner there were two Samsung and LG. The control on the handle has become more convenient, the hose is longer, the tube is more thought out. The turbo brush has become better. The container is enough for two cleanings with a 3-room brush. apartments. The filter has to be washed after four cleanings.  Get spare filters right away.  There are models with special filters that are not sold. So I took this one and don’t regret it.</v>
      </c>
    </row>
    <row r="4902" spans="1:9" x14ac:dyDescent="0.3">
      <c r="A4902" s="1" t="s">
        <v>1443</v>
      </c>
      <c r="B4902" s="1" t="s">
        <v>4684</v>
      </c>
      <c r="C4902" s="1" t="s">
        <v>97</v>
      </c>
      <c r="D4902" s="1" t="s">
        <v>1782</v>
      </c>
      <c r="E4902" s="1" t="s">
        <v>3573</v>
      </c>
      <c r="F4902" s="1" t="s">
        <v>8214</v>
      </c>
      <c r="G4902" s="1" t="s">
        <v>36</v>
      </c>
      <c r="H4902" s="1" t="s">
        <v>29</v>
      </c>
      <c r="I4902" s="1" t="str">
        <f ca="1">IFERROR(__xludf.DUMMYFUNCTION("GOOGLETRANSLATE(F4902, ""auto"", ""en"")
"),"good video cassette")</f>
        <v>good video cassette</v>
      </c>
    </row>
    <row r="4903" spans="1:9" x14ac:dyDescent="0.3">
      <c r="A4903" s="1" t="s">
        <v>67</v>
      </c>
      <c r="B4903" s="1" t="s">
        <v>68</v>
      </c>
      <c r="C4903" s="1" t="s">
        <v>381</v>
      </c>
      <c r="D4903" s="1" t="s">
        <v>565</v>
      </c>
      <c r="E4903" s="1" t="s">
        <v>3140</v>
      </c>
      <c r="F4903" s="1" t="s">
        <v>8215</v>
      </c>
      <c r="G4903" s="1" t="s">
        <v>36</v>
      </c>
      <c r="H4903" s="1" t="s">
        <v>29</v>
      </c>
      <c r="I4903" s="1" t="str">
        <f ca="1">IFERROR(__xludf.DUMMYFUNCTION("GOOGLETRANSLATE(F4903, ""auto"", ""en"")
"),"Excellent iron!!!  Before this, we used Roventa for 9 years, so after the next one we only went for Roventa)))))) everything is ironed perfectly, nothing ever stuck, although there are a lot of T-shirts and sweatshirts with rubberized designs and other de"&amp;"cor, I never even covered them with gauze - and that’s okay! I only use distilled water, so I don’t use the self-cleaning feature, but on the old one I had to because of hard water, I’m very happy with the purchase!!!")</f>
        <v>Excellent iron!!!  Before this, we used Roventa for 9 years, so after the next one we only went for Roventa)))))) everything is ironed perfectly, nothing ever stuck, although there are a lot of T-shirts and sweatshirts with rubberized designs and other decor, I never even covered them with gauze - and that’s okay! I only use distilled water, so I don’t use the self-cleaning feature, but on the old one I had to because of hard water, I’m very happy with the purchase!!!</v>
      </c>
    </row>
    <row r="4904" spans="1:9" x14ac:dyDescent="0.3">
      <c r="A4904" s="1" t="s">
        <v>61</v>
      </c>
      <c r="B4904" s="1" t="s">
        <v>180</v>
      </c>
      <c r="C4904" s="1" t="s">
        <v>74</v>
      </c>
      <c r="D4904" s="1" t="s">
        <v>420</v>
      </c>
      <c r="E4904" s="1" t="s">
        <v>5385</v>
      </c>
      <c r="F4904" s="1" t="s">
        <v>8216</v>
      </c>
      <c r="G4904" s="1" t="s">
        <v>36</v>
      </c>
      <c r="H4904" s="1" t="s">
        <v>29</v>
      </c>
      <c r="I4904" s="1" t="str">
        <f ca="1">IFERROR(__xludf.DUMMYFUNCTION("GOOGLETRANSLATE(F4904, ""auto"", ""en"")
"),"It took me a long time to choose a manufacturer, having in stock almost all the devices from the French manufacturer MOULINEX, which serve our kitchen and perform their functions flawlessly. Children prepare sandwiches on their own; cleaning the surface a"&amp;"fter frying is enough with two ordinary napkins. There is no timer with an auto-shut-off function, but these are minor things, because cooking only takes 2-3 minutes.")</f>
        <v>It took me a long time to choose a manufacturer, having in stock almost all the devices from the French manufacturer MOULINEX, which serve our kitchen and perform their functions flawlessly. Children prepare sandwiches on their own; cleaning the surface after frying is enough with two ordinary napkins. There is no timer with an auto-shut-off function, but these are minor things, because cooking only takes 2-3 minutes.</v>
      </c>
    </row>
    <row r="4905" spans="1:9" x14ac:dyDescent="0.3">
      <c r="A4905" s="1" t="s">
        <v>2087</v>
      </c>
      <c r="B4905" s="1" t="s">
        <v>2088</v>
      </c>
      <c r="C4905" s="1" t="s">
        <v>69</v>
      </c>
      <c r="D4905" s="1" t="s">
        <v>8217</v>
      </c>
      <c r="E4905" s="1" t="s">
        <v>4187</v>
      </c>
      <c r="F4905" s="1" t="s">
        <v>8218</v>
      </c>
      <c r="G4905" s="1" t="s">
        <v>28</v>
      </c>
      <c r="H4905" s="1" t="s">
        <v>29</v>
      </c>
      <c r="I4905" s="1" t="str">
        <f ca="1">IFERROR(__xludf.DUMMYFUNCTION("GOOGLETRANSLATE(F4905, ""auto"", ""en"")
"),"The description says that it plays .mkv, but it turned out to be something wrong with me, it says the format is not supported.  Someone has a manual on how to open public access via Lan, otherwise it either sees or doesn’t see, somehow crookedly.  And Wi-"&amp;"Fi will transmit where the coke is and how much is it??")</f>
        <v>The description says that it plays .mkv, but it turned out to be something wrong with me, it says the format is not supported.  Someone has a manual on how to open public access via Lan, otherwise it either sees or doesn’t see, somehow crookedly.  And Wi-Fi will transmit where the coke is and how much is it??</v>
      </c>
    </row>
    <row r="4906" spans="1:9" x14ac:dyDescent="0.3">
      <c r="A4906" s="1" t="s">
        <v>624</v>
      </c>
      <c r="B4906" s="1" t="s">
        <v>881</v>
      </c>
      <c r="C4906" s="1" t="s">
        <v>479</v>
      </c>
      <c r="D4906" s="1" t="s">
        <v>1092</v>
      </c>
      <c r="E4906" s="1" t="s">
        <v>1350</v>
      </c>
      <c r="F4906" s="1" t="s">
        <v>8219</v>
      </c>
      <c r="G4906" s="1" t="s">
        <v>36</v>
      </c>
      <c r="H4906" s="1" t="s">
        <v>29</v>
      </c>
      <c r="I4906" s="1" t="str">
        <f ca="1">IFERROR(__xludf.DUMMYFUNCTION("GOOGLETRANSLATE(F4906, ""auto"", ""en"")
"),"Very cool game. I liked it. And my brother too.")</f>
        <v>Very cool game. I liked it. And my brother too.</v>
      </c>
    </row>
    <row r="4907" spans="1:9" x14ac:dyDescent="0.3">
      <c r="A4907" s="1" t="s">
        <v>211</v>
      </c>
      <c r="B4907" s="1" t="s">
        <v>212</v>
      </c>
      <c r="C4907" s="1" t="s">
        <v>294</v>
      </c>
      <c r="D4907" s="1" t="s">
        <v>621</v>
      </c>
      <c r="E4907" s="1" t="s">
        <v>176</v>
      </c>
      <c r="F4907" s="1" t="s">
        <v>8220</v>
      </c>
      <c r="G4907" s="1" t="s">
        <v>36</v>
      </c>
      <c r="H4907" s="1" t="s">
        <v>29</v>
      </c>
      <c r="I4907" s="1" t="str">
        <f ca="1">IFERROR(__xludf.DUMMYFUNCTION("GOOGLETRANSLATE(F4907, ""auto"", ""en"")
"),"I highly recommend it, it’s a really good thing, I had 4 straighteners, both medium-priced and expensive and not very expensive, this is the best straightener, note that tourmaline is only in this straightener, and it makes the hair shiny, very easy to us"&amp;"e, I use a lot of foam for styling and nothing sticks at all, always like new!")</f>
        <v>I highly recommend it, it’s a really good thing, I had 4 straighteners, both medium-priced and expensive and not very expensive, this is the best straightener, note that tourmaline is only in this straightener, and it makes the hair shiny, very easy to use, I use a lot of foam for styling and nothing sticks at all, always like new!</v>
      </c>
    </row>
    <row r="4908" spans="1:9" x14ac:dyDescent="0.3">
      <c r="A4908" s="1" t="s">
        <v>61</v>
      </c>
      <c r="B4908" s="1" t="s">
        <v>726</v>
      </c>
      <c r="C4908" s="1" t="s">
        <v>146</v>
      </c>
      <c r="D4908" s="1" t="s">
        <v>295</v>
      </c>
      <c r="E4908" s="1" t="s">
        <v>2593</v>
      </c>
      <c r="F4908" s="1" t="s">
        <v>8221</v>
      </c>
      <c r="G4908" s="1" t="s">
        <v>36</v>
      </c>
      <c r="H4908" s="1" t="s">
        <v>29</v>
      </c>
      <c r="I4908" s="1" t="str">
        <f ca="1">IFERROR(__xludf.DUMMYFUNCTION("GOOGLETRANSLATE(F4908, ""auto"", ""en"")
"),"I have been using this bread maker for over 1 year. There are no complaints about the operation of the unit, but I would like to have a more compact model. I experimented with different flours: buckwheat, oatmeal, rye, millet - you won’t find such bread i"&amp;"n the store. For Easter we baked Easter cake according to a recipe from the Internet (it worked!)")</f>
        <v>I have been using this bread maker for over 1 year. There are no complaints about the operation of the unit, but I would like to have a more compact model. I experimented with different flours: buckwheat, oatmeal, rye, millet - you won’t find such bread in the store. For Easter we baked Easter cake according to a recipe from the Internet (it worked!)</v>
      </c>
    </row>
    <row r="4909" spans="1:9" x14ac:dyDescent="0.3">
      <c r="A4909" s="1" t="s">
        <v>811</v>
      </c>
      <c r="B4909" s="1" t="s">
        <v>4226</v>
      </c>
      <c r="C4909" s="1" t="s">
        <v>97</v>
      </c>
      <c r="D4909" s="1" t="s">
        <v>496</v>
      </c>
      <c r="E4909" s="1" t="s">
        <v>699</v>
      </c>
      <c r="F4909" s="1" t="s">
        <v>8222</v>
      </c>
      <c r="G4909" s="1" t="s">
        <v>36</v>
      </c>
      <c r="H4909" s="1" t="s">
        <v>29</v>
      </c>
      <c r="I4909" s="1" t="str">
        <f ca="1">IFERROR(__xludf.DUMMYFUNCTION("GOOGLETRANSLATE(F4909, ""auto"", ""en"")
"),"Excellent capacity! Approximately 1.5 times increases the operating life of the camera under the same conditions as with a regular battery. It is very important that the battery supports fast charging. I charge up to 100% in about an hour. This feature is"&amp;" useful for those who constantly shoot a lot of videos and don’t like to wait for a long time. The sizes are standard. There is no self-discharge. ")</f>
        <v xml:space="preserve">Excellent capacity! Approximately 1.5 times increases the operating life of the camera under the same conditions as with a regular battery. It is very important that the battery supports fast charging. I charge up to 100% in about an hour. This feature is useful for those who constantly shoot a lot of videos and don’t like to wait for a long time. The sizes are standard. There is no self-discharge. </v>
      </c>
    </row>
    <row r="4910" spans="1:9" x14ac:dyDescent="0.3">
      <c r="A4910" s="1" t="s">
        <v>43</v>
      </c>
      <c r="B4910" s="1" t="s">
        <v>1616</v>
      </c>
      <c r="C4910" s="1" t="s">
        <v>85</v>
      </c>
      <c r="D4910" s="1" t="s">
        <v>172</v>
      </c>
      <c r="E4910" s="1" t="s">
        <v>4618</v>
      </c>
      <c r="F4910" s="1" t="s">
        <v>8223</v>
      </c>
      <c r="G4910" s="1" t="s">
        <v>36</v>
      </c>
      <c r="H4910" s="1" t="s">
        <v>29</v>
      </c>
      <c r="I4910" s="1" t="str">
        <f ca="1">IFERROR(__xludf.DUMMYFUNCTION("GOOGLETRANSLATE(F4910, ""auto"", ""en"")
"),"reliable, cools well")</f>
        <v>reliable, cools well</v>
      </c>
    </row>
    <row r="4911" spans="1:9" x14ac:dyDescent="0.3">
      <c r="A4911" s="1" t="s">
        <v>37</v>
      </c>
      <c r="B4911" s="1" t="s">
        <v>536</v>
      </c>
      <c r="C4911" s="1" t="s">
        <v>189</v>
      </c>
      <c r="D4911" s="1" t="s">
        <v>568</v>
      </c>
      <c r="E4911" s="1" t="s">
        <v>2733</v>
      </c>
      <c r="F4911" s="1" t="s">
        <v>8224</v>
      </c>
      <c r="G4911" s="1" t="s">
        <v>36</v>
      </c>
      <c r="H4911" s="1" t="s">
        <v>29</v>
      </c>
      <c r="I4911" s="1" t="str">
        <f ca="1">IFERROR(__xludf.DUMMYFUNCTION("GOOGLETRANSLATE(F4911, ""auto"", ""en"")
"),"The richest set of supplies.  Suction cup for the windshield of the car, charging from the cigarette lighter - everything is included.  The box contains a disk with Navitel maps and 2 license keys: for the Navitel Navigator 3 program itself and for a deta"&amp;"iled map of the region. Updates from the Navitel website are going great. For car enthusiasts who want to kill two birds with one stone, this is an excellent choice.   It works fine on the 3G network from MTS. Surfing from Opera Mobile is fast. There are "&amp;"no complaints about the modem either. It saves you when you are away from your desktop PC. It’s a pity we’ve only been able to try out WI-FI and video calling so far. We don't have it yet. The device is functionally ahead of our Russian capabilities.  As "&amp;"a PDA, it's a completely normal device. Fully functional WM6.1 Of course, I would like more RAM.  The phone also copes well. Hard keyboard like on a regular mobile phone. Therefore, you don’t need to take out the stylus every time to make a call (unlike g"&amp;"lofish).  Cons: the charge only lasts for a day with active use, and the place where the stylus is inserted (the device is 3 months old) is already creaking, I’m afraid it will crumble soon.  In general - for 14,000 rubles. There is no other device like t"&amp;"his. Simply no. Either without 3G or without Navitel.")</f>
        <v>The richest set of supplies.  Suction cup for the windshield of the car, charging from the cigarette lighter - everything is included.  The box contains a disk with Navitel maps and 2 license keys: for the Navitel Navigator 3 program itself and for a detailed map of the region. Updates from the Navitel website are going great. For car enthusiasts who want to kill two birds with one stone, this is an excellent choice.   It works fine on the 3G network from MTS. Surfing from Opera Mobile is fast. There are no complaints about the modem either. It saves you when you are away from your desktop PC. It’s a pity we’ve only been able to try out WI-FI and video calling so far. We don't have it yet. The device is functionally ahead of our Russian capabilities.  As a PDA, it's a completely normal device. Fully functional WM6.1 Of course, I would like more RAM.  The phone also copes well. Hard keyboard like on a regular mobile phone. Therefore, you don’t need to take out the stylus every time to make a call (unlike glofish).  Cons: the charge only lasts for a day with active use, and the place where the stylus is inserted (the device is 3 months old) is already creaking, I’m afraid it will crumble soon.  In general - for 14,000 rubles. There is no other device like this. Simply no. Either without 3G or without Navitel.</v>
      </c>
    </row>
    <row r="4912" spans="1:9" x14ac:dyDescent="0.3">
      <c r="A4912" s="1" t="s">
        <v>43</v>
      </c>
      <c r="B4912" s="1" t="s">
        <v>502</v>
      </c>
      <c r="C4912" s="1" t="s">
        <v>122</v>
      </c>
      <c r="D4912" s="1" t="s">
        <v>172</v>
      </c>
      <c r="E4912" s="1" t="s">
        <v>1115</v>
      </c>
      <c r="F4912" s="1" t="s">
        <v>8225</v>
      </c>
      <c r="G4912" s="1" t="s">
        <v>36</v>
      </c>
      <c r="H4912" s="1" t="s">
        <v>29</v>
      </c>
      <c r="I4912" s="1" t="str">
        <f ca="1">IFERROR(__xludf.DUMMYFUNCTION("GOOGLETRANSLATE(F4912, ""auto"", ""en"")
"),"Great model. It works quietly and does not interfere with sleep. Cools well. The external unit hardly vibrates. There are no rubber bands included, but the master said that Panasonics don’t need them. The display on the remote control is really very small"&amp;" and without backlight. The installation was also taken from M.Video. They installed it in 3 hours, the craftsmen were competent, they did everything carefully, they told and explained everything.")</f>
        <v>Great model. It works quietly and does not interfere with sleep. Cools well. The external unit hardly vibrates. There are no rubber bands included, but the master said that Panasonics don’t need them. The display on the remote control is really very small and without backlight. The installation was also taken from M.Video. They installed it in 3 hours, the craftsmen were competent, they did everything carefully, they told and explained everything.</v>
      </c>
    </row>
    <row r="4913" spans="1:9" x14ac:dyDescent="0.3">
      <c r="A4913" s="1" t="s">
        <v>30</v>
      </c>
      <c r="B4913" s="1" t="s">
        <v>50</v>
      </c>
      <c r="C4913" s="1" t="s">
        <v>1003</v>
      </c>
      <c r="D4913" s="1" t="s">
        <v>152</v>
      </c>
      <c r="E4913" s="1" t="s">
        <v>1310</v>
      </c>
      <c r="F4913" s="1" t="s">
        <v>8226</v>
      </c>
      <c r="G4913" s="1" t="s">
        <v>28</v>
      </c>
      <c r="H4913" s="1" t="s">
        <v>29</v>
      </c>
      <c r="I4913" s="1" t="str">
        <f ca="1">IFERROR(__xludf.DUMMYFUNCTION("GOOGLETRANSLATE(F4913, ""auto"", ""en"")
"),"I bought this laptop yesterday, I'm happy as an elephant. Let me think about the processor and video card. It turned out that in the box there was a laptop with an HD 3200 video card, instead of an HD 4330. I thought they gave me the wrong box with the la"&amp;"ptop, but no, on the box it says 4330, but inside there is a 3200 :), surprise, however.  As for the case, I think the laptop is good: LED display, the top keys are very interestingly designed, they are all hot instead of f1, f2, f3..., and they themselve"&amp;"s will be turned on via “fn”. jxtym I like the power button located on the right, like a small glowing rhinestone :).  I'll go change it today, I hope there won't be any problems. Since I took this device and LCD together on credit.")</f>
        <v>I bought this laptop yesterday, I'm happy as an elephant. Let me think about the processor and video card. It turned out that in the box there was a laptop with an HD 3200 video card, instead of an HD 4330. I thought they gave me the wrong box with the laptop, but no, on the box it says 4330, but inside there is a 3200 :), surprise, however.  As for the case, I think the laptop is good: LED display, the top keys are very interestingly designed, they are all hot instead of f1, f2, f3..., and they themselves will be turned on via “fn”. jxtym I like the power button located on the right, like a small glowing rhinestone :).  I'll go change it today, I hope there won't be any problems. Since I took this device and LCD together on credit.</v>
      </c>
    </row>
    <row r="4914" spans="1:9" x14ac:dyDescent="0.3">
      <c r="A4914" s="1" t="s">
        <v>61</v>
      </c>
      <c r="B4914" s="1" t="s">
        <v>62</v>
      </c>
      <c r="C4914" s="1" t="s">
        <v>63</v>
      </c>
      <c r="D4914" s="1" t="s">
        <v>2336</v>
      </c>
      <c r="E4914" s="1" t="s">
        <v>608</v>
      </c>
      <c r="F4914" s="1" t="s">
        <v>8227</v>
      </c>
      <c r="G4914" s="1" t="s">
        <v>28</v>
      </c>
      <c r="H4914" s="1" t="s">
        <v>29</v>
      </c>
      <c r="I4914" s="1" t="str">
        <f ca="1">IFERROR(__xludf.DUMMYFUNCTION("GOOGLETRANSLATE(F4914, ""auto"", ""en"")
"),"Well, the main plus is, of course, the cubes!!! That’s why they took it, it copes with a bang, even the potatoes, which surprised me, I thought that I had overcooked it and it would be porridge. But still perfect cubes. And a large cup of vinaigrette in 5"&amp;" minutes, but then it takes longer to wash, so maybe just prepare a bucket right away... Because of this plus, I closed my eyes to everything else. Everything is kind of flimsy, the lid is a lock for the place where the blender is attached, and without it"&amp;", as I understand it, the equipment will not start, it seems very unreliable, it’s really scary to open, just like the bowl is attached, thin plastic, it seems that you press a little and that’s it... A fine grater is too fine, but it’s not particularly s"&amp;"uitable for rubbing, it’s not clear why it’s needed, a medium grater is really not enough, for me it’s better instead of a fine grater - a medium one. It cuts into slices normally, shreds well too, but it’s not clear why there are two options: a thin shre"&amp;"dder and an even thinner one... I really liked the disk for beating eggs and cream, I whipped the eggs instantly and elegantly, since I couldn’t even do it in 10 minutes with a whisk on a blender, but here it’s only 1 minute. I also tried shredding cabbag"&amp;"e on a shredder, shredding cabbage in 5 minutes. This technique is worth taking if you have a large family and you cook a lot, spin, chop, celebrate, etc. If you are a couple without children or a bachelor, then don’t expect to make your life easier, beca"&amp;"use cooking for one or two is not convenient, the bowl is too big, the knife doesn’t chop a small amount - everything scatters all over the walls (I have a blender with a small bowl and use a knife to chop up both herbs and carrots with onions for borscht"&amp;") The same thing with with graters, a small amount will simply scatter and smear on the walls, it will take longer to collect in a pile and wash. In general, I am satisfied with the package, I like that there is a citrus juicer, and nothing extra (since t"&amp;"here is already a blender). If quality and durability are important to you, then choose another Bosch model that is more expensive and more reliable.")</f>
        <v>Well, the main plus is, of course, the cubes!!! That’s why they took it, it copes with a bang, even the potatoes, which surprised me, I thought that I had overcooked it and it would be porridge. But still perfect cubes. And a large cup of vinaigrette in 5 minutes, but then it takes longer to wash, so maybe just prepare a bucket right away... Because of this plus, I closed my eyes to everything else. Everything is kind of flimsy, the lid is a lock for the place where the blender is attached, and without it, as I understand it, the equipment will not start, it seems very unreliable, it’s really scary to open, just like the bowl is attached, thin plastic, it seems that you press a little and that’s it... A fine grater is too fine, but it’s not particularly suitable for rubbing, it’s not clear why it’s needed, a medium grater is really not enough, for me it’s better instead of a fine grater - a medium one. It cuts into slices normally, shreds well too, but it’s not clear why there are two options: a thin shredder and an even thinner one... I really liked the disk for beating eggs and cream, I whipped the eggs instantly and elegantly, since I couldn’t even do it in 10 minutes with a whisk on a blender, but here it’s only 1 minute. I also tried shredding cabbage on a shredder, shredding cabbage in 5 minutes. This technique is worth taking if you have a large family and you cook a lot, spin, chop, celebrate, etc. If you are a couple without children or a bachelor, then don’t expect to make your life easier, because cooking for one or two is not convenient, the bowl is too big, the knife doesn’t chop a small amount - everything scatters all over the walls (I have a blender with a small bowl and use a knife to chop up both herbs and carrots with onions for borscht) The same thing with with graters, a small amount will simply scatter and smear on the walls, it will take longer to collect in a pile and wash. In general, I am satisfied with the package, I like that there is a citrus juicer, and nothing extra (since there is already a blender). If quality and durability are important to you, then choose another Bosch model that is more expensive and more reliable.</v>
      </c>
    </row>
    <row r="4915" spans="1:9" x14ac:dyDescent="0.3">
      <c r="A4915" s="1" t="s">
        <v>369</v>
      </c>
      <c r="B4915" s="1" t="s">
        <v>587</v>
      </c>
      <c r="C4915" s="1" t="s">
        <v>243</v>
      </c>
      <c r="D4915" s="1" t="s">
        <v>565</v>
      </c>
      <c r="E4915" s="1" t="s">
        <v>3397</v>
      </c>
      <c r="F4915" s="1" t="s">
        <v>8228</v>
      </c>
      <c r="G4915" s="1" t="s">
        <v>36</v>
      </c>
      <c r="H4915" s="1" t="s">
        <v>29</v>
      </c>
      <c r="I4915" s="1" t="str">
        <f ca="1">IFERROR(__xludf.DUMMYFUNCTION("GOOGLETRANSLATE(F4915, ""auto"", ""en"")
"),"Our family loves this stove! I bake every day - I wouldn’t say that “she bakes rather weakly.” It bakes super - you can adjust the temperature - you want it at 150, you want it at 220. There is a grill - we always grill chicken - it turns out very, very t"&amp;"asty! Stylish, beautiful, comfortable - yes, it (the Indesit stove) is my dream! Buy - don't hesitate! If I could give a rating of 5+, I would give it without a doubt!")</f>
        <v>Our family loves this stove! I bake every day - I wouldn’t say that “she bakes rather weakly.” It bakes super - you can adjust the temperature - you want it at 150, you want it at 220. There is a grill - we always grill chicken - it turns out very, very tasty! Stylish, beautiful, comfortable - yes, it (the Indesit stove) is my dream! Buy - don't hesitate! If I could give a rating of 5+, I would give it without a doubt!</v>
      </c>
    </row>
    <row r="4916" spans="1:9" x14ac:dyDescent="0.3">
      <c r="A4916" s="1" t="s">
        <v>169</v>
      </c>
      <c r="B4916" s="1" t="s">
        <v>170</v>
      </c>
      <c r="C4916" s="1" t="s">
        <v>193</v>
      </c>
      <c r="D4916" s="1" t="s">
        <v>8229</v>
      </c>
      <c r="E4916" s="1" t="s">
        <v>2680</v>
      </c>
      <c r="F4916" s="1" t="s">
        <v>8230</v>
      </c>
      <c r="G4916" s="1" t="s">
        <v>36</v>
      </c>
      <c r="H4916" s="1" t="s">
        <v>29</v>
      </c>
      <c r="I4916" s="1" t="str">
        <f ca="1">IFERROR(__xludf.DUMMYFUNCTION("GOOGLETRANSLATE(F4916, ""auto"", ""en"")
"),"The headphones are just super, the bass is just right! Take them all for this price; you won’t find anything better")</f>
        <v>The headphones are just super, the bass is just right! Take them all for this price; you won’t find anything better</v>
      </c>
    </row>
    <row r="4917" spans="1:9" x14ac:dyDescent="0.3">
      <c r="A4917" s="1" t="s">
        <v>120</v>
      </c>
      <c r="B4917" s="1" t="s">
        <v>834</v>
      </c>
      <c r="C4917" s="1" t="s">
        <v>151</v>
      </c>
      <c r="D4917" s="1" t="s">
        <v>2045</v>
      </c>
      <c r="E4917" s="1" t="s">
        <v>5800</v>
      </c>
      <c r="F4917" s="1" t="s">
        <v>8231</v>
      </c>
      <c r="G4917" s="1" t="s">
        <v>36</v>
      </c>
      <c r="H4917" s="1" t="s">
        <v>29</v>
      </c>
      <c r="I4917" s="1" t="str">
        <f ca="1">IFERROR(__xludf.DUMMYFUNCTION("GOOGLETRANSLATE(F4917, ""auto"", ""en"")
"),"Today (August 26, 2010) I bought this TV! I really like it because of the picture, the color rendition and its impressive size! Thing!!!!!!!!!!  I exchanged the 40-inch VIP for this one and I don’t regret it!!!!!!")</f>
        <v>Today (August 26, 2010) I bought this TV! I really like it because of the picture, the color rendition and its impressive size! Thing!!!!!!!!!!  I exchanged the 40-inch VIP for this one and I don’t regret it!!!!!!</v>
      </c>
    </row>
    <row r="4918" spans="1:9" x14ac:dyDescent="0.3">
      <c r="A4918" s="1" t="s">
        <v>149</v>
      </c>
      <c r="B4918" s="1" t="s">
        <v>155</v>
      </c>
      <c r="C4918" s="1" t="s">
        <v>159</v>
      </c>
      <c r="D4918" s="1" t="s">
        <v>1721</v>
      </c>
      <c r="E4918" s="1" t="s">
        <v>3542</v>
      </c>
      <c r="F4918" s="1" t="s">
        <v>8232</v>
      </c>
      <c r="G4918" s="1" t="s">
        <v>49</v>
      </c>
      <c r="H4918" s="1" t="s">
        <v>16</v>
      </c>
      <c r="I4918" s="1" t="str">
        <f ca="1">IFERROR(__xludf.DUMMYFUNCTION("GOOGLETRANSLATE(F4918, ""auto"", ""en"")
"),"Waste of money if you buy this vacuum cleaner.  Weak power, the filter quickly becomes clogged with dust, the need to wash the filter cup after two cleanings, an expensive filter located at the outlet. Completely disappointed!")</f>
        <v>Waste of money if you buy this vacuum cleaner.  Weak power, the filter quickly becomes clogged with dust, the need to wash the filter cup after two cleanings, an expensive filter located at the outlet. Completely disappointed!</v>
      </c>
    </row>
    <row r="4919" spans="1:9" x14ac:dyDescent="0.3">
      <c r="A4919" s="1" t="s">
        <v>211</v>
      </c>
      <c r="B4919" s="1" t="s">
        <v>212</v>
      </c>
      <c r="C4919" s="1" t="s">
        <v>381</v>
      </c>
      <c r="D4919" s="1" t="s">
        <v>75</v>
      </c>
      <c r="E4919" s="1" t="s">
        <v>2331</v>
      </c>
      <c r="F4919" s="1" t="s">
        <v>8233</v>
      </c>
      <c r="G4919" s="1" t="s">
        <v>36</v>
      </c>
      <c r="H4919" s="1" t="s">
        <v>29</v>
      </c>
      <c r="I4919" s="1" t="str">
        <f ca="1">IFERROR(__xludf.DUMMYFUNCTION("GOOGLETRANSLATE(F4919, ""auto"", ""en"")
"),"Great iron")</f>
        <v>Great iron</v>
      </c>
    </row>
    <row r="4920" spans="1:9" x14ac:dyDescent="0.3">
      <c r="A4920" s="1" t="s">
        <v>9</v>
      </c>
      <c r="B4920" s="1" t="s">
        <v>137</v>
      </c>
      <c r="C4920" s="1" t="s">
        <v>151</v>
      </c>
      <c r="D4920" s="1" t="s">
        <v>690</v>
      </c>
      <c r="E4920" s="1" t="s">
        <v>2994</v>
      </c>
      <c r="F4920" s="1" t="s">
        <v>8234</v>
      </c>
      <c r="G4920" s="1" t="s">
        <v>28</v>
      </c>
      <c r="H4920" s="1" t="s">
        <v>29</v>
      </c>
      <c r="I4920" s="1" t="str">
        <f ca="1">IFERROR(__xludf.DUMMYFUNCTION("GOOGLETRANSLATE(F4920, ""auto"", ""en"")
"),"Everything is good, I like the design - it’s a matter of taste, of course, it’s done well!     Regarding the handles - well, I don’t know - they haven’t tested it - you need to turn on the gas so that everything melts!   - we place large pots on the far b"&amp;"urners; the handles are intact - although it would be better if they were metal!    bought in April thanks")</f>
        <v>Everything is good, I like the design - it’s a matter of taste, of course, it’s done well!     Regarding the handles - well, I don’t know - they haven’t tested it - you need to turn on the gas so that everything melts!   - we place large pots on the far burners; the handles are intact - although it would be better if they were metal!    bought in April thanks</v>
      </c>
    </row>
    <row r="4921" spans="1:9" x14ac:dyDescent="0.3">
      <c r="A4921" s="1" t="s">
        <v>149</v>
      </c>
      <c r="B4921" s="1" t="s">
        <v>150</v>
      </c>
      <c r="C4921" s="1" t="s">
        <v>6732</v>
      </c>
      <c r="D4921" s="1" t="s">
        <v>102</v>
      </c>
      <c r="E4921" s="1" t="s">
        <v>5222</v>
      </c>
      <c r="F4921" s="1" t="s">
        <v>8235</v>
      </c>
      <c r="G4921" s="1" t="s">
        <v>36</v>
      </c>
      <c r="H4921" s="1" t="s">
        <v>29</v>
      </c>
      <c r="I4921" s="1" t="str">
        <f ca="1">IFERROR(__xludf.DUMMYFUNCTION("GOOGLETRANSLATE(F4921, ""auto"", ""en"")
"),"The vacuum cleaner is really not bad, it works great, and the controls on the handle are very convenient. The wife is very pleased.")</f>
        <v>The vacuum cleaner is really not bad, it works great, and the controls on the handle are very convenient. The wife is very pleased.</v>
      </c>
    </row>
    <row r="4922" spans="1:9" x14ac:dyDescent="0.3">
      <c r="A4922" s="1" t="s">
        <v>557</v>
      </c>
      <c r="B4922" s="1" t="s">
        <v>558</v>
      </c>
      <c r="C4922" s="1" t="s">
        <v>122</v>
      </c>
      <c r="D4922" s="1" t="s">
        <v>565</v>
      </c>
      <c r="E4922" s="1" t="s">
        <v>405</v>
      </c>
      <c r="F4922" s="1" t="s">
        <v>8236</v>
      </c>
      <c r="G4922" s="1" t="s">
        <v>36</v>
      </c>
      <c r="H4922" s="1" t="s">
        <v>29</v>
      </c>
      <c r="I4922" s="1" t="str">
        <f ca="1">IFERROR(__xludf.DUMMYFUNCTION("GOOGLETRANSLATE(F4922, ""auto"", ""en"")
"),"I bought this model two weeks ago, the phone is super, easy to use. The downside is that there is no keyboard backlight, but I don’t need it.")</f>
        <v>I bought this model two weeks ago, the phone is super, easy to use. The downside is that there is no keyboard backlight, but I don’t need it.</v>
      </c>
    </row>
    <row r="4923" spans="1:9" x14ac:dyDescent="0.3">
      <c r="A4923" s="1" t="s">
        <v>9</v>
      </c>
      <c r="B4923" s="1" t="s">
        <v>133</v>
      </c>
      <c r="C4923" s="1" t="s">
        <v>588</v>
      </c>
      <c r="D4923" s="1" t="s">
        <v>565</v>
      </c>
      <c r="E4923" s="1" t="s">
        <v>8237</v>
      </c>
      <c r="F4923" s="1" t="s">
        <v>8238</v>
      </c>
      <c r="G4923" s="1" t="s">
        <v>28</v>
      </c>
      <c r="H4923" s="1" t="s">
        <v>29</v>
      </c>
      <c r="I4923" s="1" t="str">
        <f ca="1">IFERROR(__xludf.DUMMYFUNCTION("GOOGLETRANSLATE(F4923, ""auto"", ""en"")
"),"There was a sticker stuck on the inside of the door. After removing it, a trace of glue remained on the glass. It is very difficult to remove the glue.")</f>
        <v>There was a sticker stuck on the inside of the door. After removing it, a trace of glue remained on the glass. It is very difficult to remove the glue.</v>
      </c>
    </row>
    <row r="4924" spans="1:9" x14ac:dyDescent="0.3">
      <c r="A4924" s="1" t="s">
        <v>17</v>
      </c>
      <c r="B4924" s="1" t="s">
        <v>325</v>
      </c>
      <c r="C4924" s="1" t="s">
        <v>326</v>
      </c>
      <c r="D4924" s="1" t="s">
        <v>1171</v>
      </c>
      <c r="E4924" s="1" t="s">
        <v>8239</v>
      </c>
      <c r="F4924" s="1" t="s">
        <v>8240</v>
      </c>
      <c r="G4924" s="1" t="s">
        <v>36</v>
      </c>
      <c r="H4924" s="1" t="s">
        <v>29</v>
      </c>
      <c r="I4924" s="1" t="str">
        <f ca="1">IFERROR(__xludf.DUMMYFUNCTION("GOOGLETRANSLATE(F4924, ""auto"", ""en"")
"),"I recently bought a car. It washes great! I like. Very light.")</f>
        <v>I recently bought a car. It washes great! I like. Very light.</v>
      </c>
    </row>
    <row r="4925" spans="1:9" x14ac:dyDescent="0.3">
      <c r="A4925" s="1" t="s">
        <v>211</v>
      </c>
      <c r="B4925" s="1" t="s">
        <v>212</v>
      </c>
      <c r="C4925" s="1" t="s">
        <v>381</v>
      </c>
      <c r="D4925" s="1" t="s">
        <v>8241</v>
      </c>
      <c r="E4925" s="1" t="s">
        <v>8242</v>
      </c>
      <c r="F4925" s="1" t="s">
        <v>8243</v>
      </c>
      <c r="G4925" s="1" t="s">
        <v>36</v>
      </c>
      <c r="H4925" s="1" t="s">
        <v>29</v>
      </c>
      <c r="I4925" s="1" t="str">
        <f ca="1">IFERROR(__xludf.DUMMYFUNCTION("GOOGLETRANSLATE(F4925, ""auto"", ""en"")
"),"For those who like to experiment with their hair, this hair dryer is just the thing! The nozzle rotates in both directions, which is very convenient. Suitable for both long and short hair. Ceramics are great!")</f>
        <v>For those who like to experiment with their hair, this hair dryer is just the thing! The nozzle rotates in both directions, which is very convenient. Suitable for both long and short hair. Ceramics are great!</v>
      </c>
    </row>
    <row r="4926" spans="1:9" x14ac:dyDescent="0.3">
      <c r="A4926" s="1" t="s">
        <v>120</v>
      </c>
      <c r="B4926" s="1" t="s">
        <v>196</v>
      </c>
      <c r="C4926" s="1" t="s">
        <v>151</v>
      </c>
      <c r="D4926" s="1" t="s">
        <v>1894</v>
      </c>
      <c r="E4926" s="1" t="s">
        <v>646</v>
      </c>
      <c r="F4926" s="1" t="s">
        <v>8244</v>
      </c>
      <c r="G4926" s="1" t="s">
        <v>28</v>
      </c>
      <c r="H4926" s="1" t="s">
        <v>29</v>
      </c>
      <c r="I4926" s="1" t="str">
        <f ca="1">IFERROR(__xludf.DUMMYFUNCTION("GOOGLETRANSLATE(F4926, ""auto"", ""en"")
"),"Not a bad model without frills. Everything is very simple, even simpler than we would like. Without a good antenna it is useless. The settings don't allow you to go wild. Well worth the money.")</f>
        <v>Not a bad model without frills. Everything is very simple, even simpler than we would like. Without a good antenna it is useless. The settings don't allow you to go wild. Well worth the money.</v>
      </c>
    </row>
    <row r="4927" spans="1:9" x14ac:dyDescent="0.3">
      <c r="A4927" s="1" t="s">
        <v>477</v>
      </c>
      <c r="B4927" s="1" t="s">
        <v>478</v>
      </c>
      <c r="C4927" s="1" t="s">
        <v>479</v>
      </c>
      <c r="D4927" s="1" t="s">
        <v>8245</v>
      </c>
      <c r="E4927" s="1" t="s">
        <v>443</v>
      </c>
      <c r="F4927" s="1" t="s">
        <v>8246</v>
      </c>
      <c r="G4927" s="1" t="s">
        <v>28</v>
      </c>
      <c r="H4927" s="1" t="s">
        <v>29</v>
      </c>
      <c r="I4927" s="1" t="str">
        <f ca="1">IFERROR(__xludf.DUMMYFUNCTION("GOOGLETRANSLATE(F4927, ""auto"", ""en"")
"),"If you buy Mafia II, then it’s a collector’s item, because of the useless Made Man Pack add-on at first glance...")</f>
        <v>If you buy Mafia II, then it’s a collector’s item, because of the useless Made Man Pack add-on at first glance...</v>
      </c>
    </row>
    <row r="4928" spans="1:9" x14ac:dyDescent="0.3">
      <c r="A4928" s="1" t="s">
        <v>30</v>
      </c>
      <c r="B4928" s="1" t="s">
        <v>50</v>
      </c>
      <c r="C4928" s="1" t="s">
        <v>1386</v>
      </c>
      <c r="D4928" s="1" t="s">
        <v>200</v>
      </c>
      <c r="E4928" s="1" t="s">
        <v>1756</v>
      </c>
      <c r="F4928" s="1" t="s">
        <v>8247</v>
      </c>
      <c r="G4928" s="1" t="s">
        <v>36</v>
      </c>
      <c r="H4928" s="1" t="s">
        <v>29</v>
      </c>
      <c r="I4928" s="1" t="str">
        <f ca="1">IFERROR(__xludf.DUMMYFUNCTION("GOOGLETRANSLATE(F4928, ""auto"", ""en"")
"),"I bought it 2 weeks ago for 9990r. I was pleasantly surprised by the inexpensive toy!!!p.s. wi-fi at macdonalds there is also an outlet)))")</f>
        <v>I bought it 2 weeks ago for 9990r. I was pleasantly surprised by the inexpensive toy!!!p.s. wi-fi at macdonalds there is also an outlet)))</v>
      </c>
    </row>
    <row r="4929" spans="1:9" x14ac:dyDescent="0.3">
      <c r="A4929" s="1" t="s">
        <v>9</v>
      </c>
      <c r="B4929" s="1" t="s">
        <v>23</v>
      </c>
      <c r="C4929" s="1" t="s">
        <v>134</v>
      </c>
      <c r="D4929" s="1" t="s">
        <v>52</v>
      </c>
      <c r="E4929" s="1" t="s">
        <v>7307</v>
      </c>
      <c r="F4929" s="1" t="s">
        <v>8248</v>
      </c>
      <c r="G4929" s="1" t="s">
        <v>36</v>
      </c>
      <c r="H4929" s="1" t="s">
        <v>29</v>
      </c>
      <c r="I4929" s="1" t="str">
        <f ca="1">IFERROR(__xludf.DUMMYFUNCTION("GOOGLETRANSLATE(F4929, ""auto"", ""en"")
"),"Very quiet operation, almost inaudible.")</f>
        <v>Very quiet operation, almost inaudible.</v>
      </c>
    </row>
    <row r="4930" spans="1:9" x14ac:dyDescent="0.3">
      <c r="A4930" s="1" t="s">
        <v>120</v>
      </c>
      <c r="B4930" s="1" t="s">
        <v>121</v>
      </c>
      <c r="C4930" s="1" t="s">
        <v>151</v>
      </c>
      <c r="D4930" s="1" t="s">
        <v>366</v>
      </c>
      <c r="E4930" s="1" t="s">
        <v>3872</v>
      </c>
      <c r="F4930" s="1" t="s">
        <v>8249</v>
      </c>
      <c r="G4930" s="1" t="s">
        <v>36</v>
      </c>
      <c r="H4930" s="1" t="s">
        <v>29</v>
      </c>
      <c r="I4930" s="1" t="str">
        <f ca="1">IFERROR(__xludf.DUMMYFUNCTION("GOOGLETRANSLATE(F4930, ""auto"", ""en"")
"),"I was pleased with the TV, it has a convenient menu and a clear, juicy picture. I advise you to change the firmware from the official website and connect to an external device using component and you will be happy.")</f>
        <v>I was pleased with the TV, it has a convenient menu and a clear, juicy picture. I advise you to change the firmware from the official website and connect to an external device using component and you will be happy.</v>
      </c>
    </row>
    <row r="4931" spans="1:9" x14ac:dyDescent="0.3">
      <c r="A4931" s="1" t="s">
        <v>206</v>
      </c>
      <c r="B4931" s="1" t="s">
        <v>207</v>
      </c>
      <c r="C4931" s="1" t="s">
        <v>45</v>
      </c>
      <c r="D4931" s="1" t="s">
        <v>8250</v>
      </c>
      <c r="E4931" s="1" t="s">
        <v>285</v>
      </c>
      <c r="F4931" s="1" t="s">
        <v>8251</v>
      </c>
      <c r="G4931" s="1" t="s">
        <v>36</v>
      </c>
      <c r="H4931" s="1" t="s">
        <v>29</v>
      </c>
      <c r="I4931" s="1" t="str">
        <f ca="1">IFERROR(__xludf.DUMMYFUNCTION("GOOGLETRANSLATE(F4931, ""auto"", ""en"")
"),"A very good sub for the money, and the amp is not weak. Everything is included in the kit. Plays great.")</f>
        <v>A very good sub for the money, and the amp is not weak. Everything is included in the kit. Plays great.</v>
      </c>
    </row>
    <row r="4932" spans="1:9" x14ac:dyDescent="0.3">
      <c r="A4932" s="1" t="s">
        <v>43</v>
      </c>
      <c r="B4932" s="1" t="s">
        <v>303</v>
      </c>
      <c r="C4932" s="1" t="s">
        <v>1721</v>
      </c>
      <c r="D4932" s="1" t="s">
        <v>2462</v>
      </c>
      <c r="E4932" s="1" t="s">
        <v>386</v>
      </c>
      <c r="F4932" s="1" t="s">
        <v>8252</v>
      </c>
      <c r="G4932" s="1" t="s">
        <v>49</v>
      </c>
      <c r="H4932" s="1" t="s">
        <v>16</v>
      </c>
      <c r="I4932" s="1" t="str">
        <f ca="1">IFERROR(__xludf.DUMMYFUNCTION("GOOGLETRANSLATE(F4932, ""auto"", ""en"")
"),"I worked for a week, filled the control unit with water, it turned out there was a leak in the seal of the heating element, an obvious defect during assembly. The quality control department at the factory during assembly works disgustingly.")</f>
        <v>I worked for a week, filled the control unit with water, it turned out there was a leak in the seal of the heating element, an obvious defect during assembly. The quality control department at the factory during assembly works disgustingly.</v>
      </c>
    </row>
    <row r="4933" spans="1:9" x14ac:dyDescent="0.3">
      <c r="A4933" s="1" t="s">
        <v>95</v>
      </c>
      <c r="B4933" s="1" t="s">
        <v>96</v>
      </c>
      <c r="C4933" s="1" t="s">
        <v>97</v>
      </c>
      <c r="D4933" s="1" t="s">
        <v>117</v>
      </c>
      <c r="E4933" s="1" t="s">
        <v>5951</v>
      </c>
      <c r="F4933" s="1" t="s">
        <v>8253</v>
      </c>
      <c r="G4933" s="1" t="s">
        <v>36</v>
      </c>
      <c r="H4933" s="1" t="s">
        <v>29</v>
      </c>
      <c r="I4933" s="1" t="str">
        <f ca="1">IFERROR(__xludf.DUMMYFUNCTION("GOOGLETRANSLATE(F4933, ""auto"", ""en"")
"),"Communication")</f>
        <v>Communication</v>
      </c>
    </row>
    <row r="4934" spans="1:9" x14ac:dyDescent="0.3">
      <c r="A4934" s="1" t="s">
        <v>61</v>
      </c>
      <c r="B4934" s="1" t="s">
        <v>318</v>
      </c>
      <c r="C4934" s="1" t="s">
        <v>85</v>
      </c>
      <c r="D4934" s="1" t="s">
        <v>471</v>
      </c>
      <c r="E4934" s="1" t="s">
        <v>2310</v>
      </c>
      <c r="F4934" s="1" t="s">
        <v>8254</v>
      </c>
      <c r="G4934" s="1" t="s">
        <v>49</v>
      </c>
      <c r="H4934" s="1" t="s">
        <v>16</v>
      </c>
      <c r="I4934" s="1" t="str">
        <f ca="1">IFERROR(__xludf.DUMMYFUNCTION("GOOGLETRANSLATE(F4934, ""auto"", ""en"")
"),"Bought for my mother as a birthday present. The consultants assured that the kettle was silent - this was the main criterion when choosing. They brought it home and made my mother happy. Not much time passed and our “golden” kettle began to make a noise w"&amp;"orse than the old one that had been in use for 3 years. We read, it seems in the instructions, that it was due to scale, although there wasn’t that much of it - we cleaned it - it didn’t help. We are going to return it, we don’t need such happiness.")</f>
        <v>Bought for my mother as a birthday present. The consultants assured that the kettle was silent - this was the main criterion when choosing. They brought it home and made my mother happy. Not much time passed and our “golden” kettle began to make a noise worse than the old one that had been in use for 3 years. We read, it seems in the instructions, that it was due to scale, although there wasn’t that much of it - we cleaned it - it didn’t help. We are going to return it, we don’t need such happiness.</v>
      </c>
    </row>
    <row r="4935" spans="1:9" x14ac:dyDescent="0.3">
      <c r="A4935" s="1" t="s">
        <v>37</v>
      </c>
      <c r="B4935" s="1" t="s">
        <v>536</v>
      </c>
      <c r="C4935" s="1" t="s">
        <v>32</v>
      </c>
      <c r="D4935" s="1" t="s">
        <v>8255</v>
      </c>
      <c r="E4935" s="1" t="s">
        <v>3080</v>
      </c>
      <c r="F4935" s="1" t="s">
        <v>8256</v>
      </c>
      <c r="G4935" s="1" t="s">
        <v>36</v>
      </c>
      <c r="H4935" s="1" t="s">
        <v>29</v>
      </c>
      <c r="I4935" s="1" t="str">
        <f ca="1">IFERROR(__xludf.DUMMYFUNCTION("GOOGLETRANSLATE(F4935, ""auto"", ""en"")
"),"keep me four, I bought it today, we’ll chase the little beast on the black...")</f>
        <v>keep me four, I bought it today, we’ll chase the little beast on the black...</v>
      </c>
    </row>
    <row r="4936" spans="1:9" x14ac:dyDescent="0.3">
      <c r="A4936" s="1" t="s">
        <v>61</v>
      </c>
      <c r="B4936" s="1" t="s">
        <v>726</v>
      </c>
      <c r="C4936" s="1" t="s">
        <v>85</v>
      </c>
      <c r="D4936" s="1" t="s">
        <v>8257</v>
      </c>
      <c r="E4936" s="1" t="s">
        <v>8258</v>
      </c>
      <c r="F4936" s="1" t="s">
        <v>8259</v>
      </c>
      <c r="G4936" s="1" t="s">
        <v>36</v>
      </c>
      <c r="H4936" s="1" t="s">
        <v>29</v>
      </c>
      <c r="I4936" s="1" t="str">
        <f ca="1">IFERROR(__xludf.DUMMYFUNCTION("GOOGLETRANSLATE(F4936, ""auto"", ""en"")
"),"I don’t know who is writing negative reviews here, she has no cons! We bought it and it worked the first time! The bread is excellent! It’s not even worth talking about the design, of course it’s 5+! I recommend it to everyone")</f>
        <v>I don’t know who is writing negative reviews here, she has no cons! We bought it and it worked the first time! The bread is excellent! It’s not even worth talking about the design, of course it’s 5+! I recommend it to everyone</v>
      </c>
    </row>
    <row r="4937" spans="1:9" x14ac:dyDescent="0.3">
      <c r="A4937" s="1" t="s">
        <v>55</v>
      </c>
      <c r="B4937" s="1" t="s">
        <v>184</v>
      </c>
      <c r="C4937" s="1" t="s">
        <v>57</v>
      </c>
      <c r="D4937" s="1" t="s">
        <v>8260</v>
      </c>
      <c r="E4937" s="1" t="s">
        <v>4182</v>
      </c>
      <c r="F4937" s="1" t="s">
        <v>8261</v>
      </c>
      <c r="G4937" s="1" t="s">
        <v>36</v>
      </c>
      <c r="H4937" s="1" t="s">
        <v>29</v>
      </c>
      <c r="I4937" s="1" t="str">
        <f ca="1">IFERROR(__xludf.DUMMYFUNCTION("GOOGLETRANSLATE(F4937, ""auto"", ""en"")
"),"Happy with the purchase, very good heater, small and compact. 30 meters is enough for our room, of course, we need to wait a little until it warms up :) It works quietly and without any foreign odors, the air quality does not deteriorate at all (usually s"&amp;"uch heaters noticeably dry it out). The air stream from it is quite powerful. At the same time, it is absolutely safe - if it accidentally falls, it will turn off immediately! So it’s a good option for a child’s room.. The combination of price and quality"&amp;" is very favorable in my opinion!")</f>
        <v>Happy with the purchase, very good heater, small and compact. 30 meters is enough for our room, of course, we need to wait a little until it warms up :) It works quietly and without any foreign odors, the air quality does not deteriorate at all (usually such heaters noticeably dry it out). The air stream from it is quite powerful. At the same time, it is absolutely safe - if it accidentally falls, it will turn off immediately! So it’s a good option for a child’s room.. The combination of price and quality is very favorable in my opinion!</v>
      </c>
    </row>
    <row r="4938" spans="1:9" x14ac:dyDescent="0.3">
      <c r="A4938" s="1" t="s">
        <v>211</v>
      </c>
      <c r="B4938" s="1" t="s">
        <v>265</v>
      </c>
      <c r="C4938" s="1" t="s">
        <v>1591</v>
      </c>
      <c r="D4938" s="1" t="s">
        <v>20</v>
      </c>
      <c r="E4938" s="1" t="s">
        <v>2455</v>
      </c>
      <c r="F4938" s="1" t="s">
        <v>8262</v>
      </c>
      <c r="G4938" s="1" t="s">
        <v>36</v>
      </c>
      <c r="H4938" s="1" t="s">
        <v>29</v>
      </c>
      <c r="I4938" s="1" t="str">
        <f ca="1">IFERROR(__xludf.DUMMYFUNCTION("GOOGLETRANSLATE(F4938, ""auto"", ""en"")
"),"I’ll say right away that the trimmer is not a bad and multifunctional, I use it to cut and shave myself. It is very easy to use, I shave with it leaving about 2mm of stubble, and there are no problems with the chin and above the lip, you can make a beauti"&amp;"ful and clear edge, it takes thick hair without any problems. I also have no complaints about the quality, it doesn’t get hot, doesn’t make noise and fits comfortably in the hand, what else is needed.")</f>
        <v>I’ll say right away that the trimmer is not a bad and multifunctional, I use it to cut and shave myself. It is very easy to use, I shave with it leaving about 2mm of stubble, and there are no problems with the chin and above the lip, you can make a beautiful and clear edge, it takes thick hair without any problems. I also have no complaints about the quality, it doesn’t get hot, doesn’t make noise and fits comfortably in the hand, what else is needed.</v>
      </c>
    </row>
    <row r="4939" spans="1:9" x14ac:dyDescent="0.3">
      <c r="A4939" s="1" t="s">
        <v>211</v>
      </c>
      <c r="B4939" s="1" t="s">
        <v>515</v>
      </c>
      <c r="C4939" s="1" t="s">
        <v>213</v>
      </c>
      <c r="D4939" s="1" t="s">
        <v>8263</v>
      </c>
      <c r="E4939" s="1" t="s">
        <v>4386</v>
      </c>
      <c r="F4939" s="1" t="s">
        <v>8264</v>
      </c>
      <c r="G4939" s="1" t="s">
        <v>36</v>
      </c>
      <c r="H4939" s="1" t="s">
        <v>29</v>
      </c>
      <c r="I4939" s="1" t="str">
        <f ca="1">IFERROR(__xludf.DUMMYFUNCTION("GOOGLETRANSLATE(F4939, ""auto"", ""en"")
"),"Easy to use, affordable price ")</f>
        <v xml:space="preserve">Easy to use, affordable price </v>
      </c>
    </row>
    <row r="4940" spans="1:9" x14ac:dyDescent="0.3">
      <c r="A4940" s="1" t="s">
        <v>37</v>
      </c>
      <c r="B4940" s="1" t="s">
        <v>1829</v>
      </c>
      <c r="C4940" s="1" t="s">
        <v>151</v>
      </c>
      <c r="D4940" s="1" t="s">
        <v>247</v>
      </c>
      <c r="E4940" s="1" t="s">
        <v>8265</v>
      </c>
      <c r="F4940" s="1" t="s">
        <v>8266</v>
      </c>
      <c r="G4940" s="1" t="s">
        <v>36</v>
      </c>
      <c r="H4940" s="1" t="s">
        <v>29</v>
      </c>
      <c r="I4940" s="1" t="str">
        <f ca="1">IFERROR(__xludf.DUMMYFUNCTION("GOOGLETRANSLATE(F4940, ""auto"", ""en"")
"),"The phone lives up to all expectations.... The camera is better than many cameras. The system is fast. Nothing freezes or slows down. I've been using the phone for a year now. I don't know any problems. And at this moment I wouldn’t trade it for any other")</f>
        <v>The phone lives up to all expectations.... The camera is better than many cameras. The system is fast. Nothing freezes or slows down. I've been using the phone for a year now. I don't know any problems. And at this moment I wouldn’t trade it for any other</v>
      </c>
    </row>
    <row r="4941" spans="1:9" x14ac:dyDescent="0.3">
      <c r="A4941" s="1" t="s">
        <v>120</v>
      </c>
      <c r="B4941" s="1" t="s">
        <v>121</v>
      </c>
      <c r="C4941" s="1" t="s">
        <v>97</v>
      </c>
      <c r="D4941" s="1" t="s">
        <v>2130</v>
      </c>
      <c r="E4941" s="1" t="s">
        <v>889</v>
      </c>
      <c r="F4941" s="1" t="s">
        <v>8267</v>
      </c>
      <c r="G4941" s="1" t="s">
        <v>36</v>
      </c>
      <c r="H4941" s="1" t="s">
        <v>29</v>
      </c>
      <c r="I4941" s="1" t="str">
        <f ca="1">IFERROR(__xludf.DUMMYFUNCTION("GOOGLETRANSLATE(F4941, ""auto"", ""en"")
"),"happy with TV. but for some reason the video does not show .. I read in the post to convert the AVI format to mpeg2. how to do this?")</f>
        <v>happy with TV. but for some reason the video does not show .. I read in the post to convert the AVI format to mpeg2. how to do this?</v>
      </c>
    </row>
    <row r="4942" spans="1:9" x14ac:dyDescent="0.3">
      <c r="A4942" s="1" t="s">
        <v>89</v>
      </c>
      <c r="B4942" s="1" t="s">
        <v>90</v>
      </c>
      <c r="C4942" s="1" t="s">
        <v>185</v>
      </c>
      <c r="D4942" s="1" t="s">
        <v>39</v>
      </c>
      <c r="E4942" s="1" t="s">
        <v>4051</v>
      </c>
      <c r="F4942" s="1" t="s">
        <v>8268</v>
      </c>
      <c r="G4942" s="1" t="s">
        <v>36</v>
      </c>
      <c r="H4942" s="1" t="s">
        <v>29</v>
      </c>
      <c r="I4942" s="1" t="str">
        <f ca="1">IFERROR(__xludf.DUMMYFUNCTION("GOOGLETRANSLATE(F4942, ""auto"", ""en"")
"),"I bought it a couple of weeks ago. The quality-price combination is beyond expectations. The dispenser is almost honest. There is no grounding plug (maybe due to static in the compartment, but I rather have an oily type of coffee) and the fact that, in my"&amp;" opinion, it is necessary to clean both under and inside too often. Judging by the reviews, the grinding is minimal and uniform.")</f>
        <v>I bought it a couple of weeks ago. The quality-price combination is beyond expectations. The dispenser is almost honest. There is no grounding plug (maybe due to static in the compartment, but I rather have an oily type of coffee) and the fact that, in my opinion, it is necessary to clean both under and inside too often. Judging by the reviews, the grinding is minimal and uniform.</v>
      </c>
    </row>
    <row r="4943" spans="1:9" x14ac:dyDescent="0.3">
      <c r="A4943" s="1" t="s">
        <v>95</v>
      </c>
      <c r="B4943" s="1" t="s">
        <v>648</v>
      </c>
      <c r="C4943" s="1" t="s">
        <v>97</v>
      </c>
      <c r="D4943" s="1" t="s">
        <v>729</v>
      </c>
      <c r="E4943" s="1" t="s">
        <v>4502</v>
      </c>
      <c r="F4943" s="1" t="s">
        <v>8269</v>
      </c>
      <c r="G4943" s="1" t="s">
        <v>36</v>
      </c>
      <c r="H4943" s="1" t="s">
        <v>29</v>
      </c>
      <c r="I4943" s="1" t="str">
        <f ca="1">IFERROR(__xludf.DUMMYFUNCTION("GOOGLETRANSLATE(F4943, ""auto"", ""en"")
"),"Cool thing, I play it every day.")</f>
        <v>Cool thing, I play it every day.</v>
      </c>
    </row>
    <row r="4944" spans="1:9" x14ac:dyDescent="0.3">
      <c r="A4944" s="1" t="s">
        <v>369</v>
      </c>
      <c r="B4944" s="1" t="s">
        <v>2480</v>
      </c>
      <c r="C4944" s="1" t="s">
        <v>453</v>
      </c>
      <c r="D4944" s="1" t="s">
        <v>81</v>
      </c>
      <c r="E4944" s="1" t="s">
        <v>755</v>
      </c>
      <c r="F4944" s="1" t="s">
        <v>8270</v>
      </c>
      <c r="G4944" s="1" t="s">
        <v>49</v>
      </c>
      <c r="H4944" s="1" t="s">
        <v>16</v>
      </c>
      <c r="I4944" s="1" t="str">
        <f ca="1">IFERROR(__xludf.DUMMYFUNCTION("GOOGLETRANSLATE(F4944, ""auto"", ""en"")
"),"I bought this about three years ago. After about two months, it began to live its own life, namely: the tiles turn on themselves, while the light indicators can either be on or off.  In general, I prepared food, and immediately from the network - as a rul"&amp;"e. But in general, she’s still alive.")</f>
        <v>I bought this about three years ago. After about two months, it began to live its own life, namely: the tiles turn on themselves, while the light indicators can either be on or off.  In general, I prepared food, and immediately from the network - as a rule. But in general, she’s still alive.</v>
      </c>
    </row>
    <row r="4945" spans="1:9" x14ac:dyDescent="0.3">
      <c r="A4945" s="1" t="s">
        <v>61</v>
      </c>
      <c r="B4945" s="1" t="s">
        <v>145</v>
      </c>
      <c r="C4945" s="1" t="s">
        <v>69</v>
      </c>
      <c r="D4945" s="1" t="s">
        <v>589</v>
      </c>
      <c r="E4945" s="1" t="s">
        <v>4245</v>
      </c>
      <c r="F4945" s="1" t="s">
        <v>8271</v>
      </c>
      <c r="G4945" s="1" t="s">
        <v>36</v>
      </c>
      <c r="H4945" s="1" t="s">
        <v>29</v>
      </c>
      <c r="I4945" s="1" t="str">
        <f ca="1">IFERROR(__xludf.DUMMYFUNCTION("GOOGLETRANSLATE(F4945, ""auto"", ""en"")
"),"I’ve been using it for a year, I’m very happy, and if you clean it with vinegar (as described in the instructions), it won’t squeak or blink.")</f>
        <v>I’ve been using it for a year, I’m very happy, and if you clean it with vinegar (as described in the instructions), it won’t squeak or blink.</v>
      </c>
    </row>
    <row r="4946" spans="1:9" x14ac:dyDescent="0.3">
      <c r="A4946" s="1" t="s">
        <v>206</v>
      </c>
      <c r="B4946" s="1" t="s">
        <v>1349</v>
      </c>
      <c r="C4946" s="1" t="s">
        <v>4219</v>
      </c>
      <c r="D4946" s="1" t="s">
        <v>139</v>
      </c>
      <c r="E4946" s="1" t="s">
        <v>597</v>
      </c>
      <c r="F4946" s="1" t="s">
        <v>8272</v>
      </c>
      <c r="G4946" s="1" t="s">
        <v>36</v>
      </c>
      <c r="H4946" s="1" t="s">
        <v>29</v>
      </c>
      <c r="I4946" s="1" t="str">
        <f ca="1">IFERROR(__xludf.DUMMYFUNCTION("GOOGLETRANSLATE(F4946, ""auto"", ""en"")
"),"Max. output power -45x4, scant instructions, TV only in Moscow, 2 week guarantee on exchange, good acoustics, many sound settings, perfect for watching clips and concerts on DVD!")</f>
        <v>Max. output power -45x4, scant instructions, TV only in Moscow, 2 week guarantee on exchange, good acoustics, many sound settings, perfect for watching clips and concerts on DVD!</v>
      </c>
    </row>
    <row r="4947" spans="1:9" x14ac:dyDescent="0.3">
      <c r="A4947" s="1" t="s">
        <v>78</v>
      </c>
      <c r="B4947" s="1" t="s">
        <v>79</v>
      </c>
      <c r="C4947" s="1" t="s">
        <v>1224</v>
      </c>
      <c r="D4947" s="1" t="s">
        <v>327</v>
      </c>
      <c r="E4947" s="1" t="s">
        <v>2531</v>
      </c>
      <c r="F4947" s="1" t="s">
        <v>8273</v>
      </c>
      <c r="G4947" s="1" t="s">
        <v>36</v>
      </c>
      <c r="H4947" s="1" t="s">
        <v>29</v>
      </c>
      <c r="I4947" s="1" t="str">
        <f ca="1">IFERROR(__xludf.DUMMYFUNCTION("GOOGLETRANSLATE(F4947, ""auto"", ""en"")
"),"After 12 years of intensive use, the microwave suddenly died. Naturally the question arose about buying a new one. After an unsuccessful purchase attempt in one online store, a raid was carried out on the stores of the main sellers of household appliances"&amp;". As they say, I liked this model at first sight. My wife really likes it. And we didn’t notice that the actual power does not correspond to the declared one, everything is fine with that. Spectacular, no-nonsense appearance, convenient controls, grill. T"&amp;"here was a small minus - fingerprints were visible on the black glass of the door. But it's glass! Very easily all traces are erased, and not a scratch (the old one was ordinary plastic, easily scratched).")</f>
        <v>After 12 years of intensive use, the microwave suddenly died. Naturally the question arose about buying a new one. After an unsuccessful purchase attempt in one online store, a raid was carried out on the stores of the main sellers of household appliances. As they say, I liked this model at first sight. My wife really likes it. And we didn’t notice that the actual power does not correspond to the declared one, everything is fine with that. Spectacular, no-nonsense appearance, convenient controls, grill. There was a small minus - fingerprints were visible on the black glass of the door. But it's glass! Very easily all traces are erased, and not a scratch (the old one was ordinary plastic, easily scratched).</v>
      </c>
    </row>
    <row r="4948" spans="1:9" x14ac:dyDescent="0.3">
      <c r="A4948" s="1" t="s">
        <v>17</v>
      </c>
      <c r="B4948" s="1" t="s">
        <v>18</v>
      </c>
      <c r="C4948" s="1" t="s">
        <v>63</v>
      </c>
      <c r="D4948" s="1" t="s">
        <v>8274</v>
      </c>
      <c r="E4948" s="1" t="s">
        <v>143</v>
      </c>
      <c r="F4948" s="1" t="s">
        <v>8275</v>
      </c>
      <c r="G4948" s="1" t="s">
        <v>36</v>
      </c>
      <c r="H4948" s="1" t="s">
        <v>29</v>
      </c>
      <c r="I4948" s="1" t="str">
        <f ca="1">IFERROR(__xludf.DUMMYFUNCTION("GOOGLETRANSLATE(F4948, ""auto"", ""en"")
"),"On mine - the country of origin is Germany. A simple machine, without a bunch of unnecessary options. I bought it on sale. I consider myself incredibly lucky to have purchased not Chinese plastic, but a normal German washing machine. Moreover, all the app"&amp;"liances in the house are Bosch!")</f>
        <v>On mine - the country of origin is Germany. A simple machine, without a bunch of unnecessary options. I bought it on sale. I consider myself incredibly lucky to have purchased not Chinese plastic, but a normal German washing machine. Moreover, all the appliances in the house are Bosch!</v>
      </c>
    </row>
    <row r="4949" spans="1:9" x14ac:dyDescent="0.3">
      <c r="A4949" s="1" t="s">
        <v>105</v>
      </c>
      <c r="B4949" s="1" t="s">
        <v>106</v>
      </c>
      <c r="C4949" s="1" t="s">
        <v>151</v>
      </c>
      <c r="D4949" s="1" t="s">
        <v>117</v>
      </c>
      <c r="E4949" s="1" t="s">
        <v>1401</v>
      </c>
      <c r="F4949" s="1" t="s">
        <v>8276</v>
      </c>
      <c r="G4949" s="1" t="s">
        <v>36</v>
      </c>
      <c r="H4949" s="1" t="s">
        <v>29</v>
      </c>
      <c r="I4949" s="1" t="str">
        <f ca="1">IFERROR(__xludf.DUMMYFUNCTION("GOOGLETRANSLATE(F4949, ""auto"", ""en"")
"),"Great player, great price, I recommend it to everyone, it comes with normal headphones, the sound is great, the player is just GREAT!!!")</f>
        <v>Great player, great price, I recommend it to everyone, it comes with normal headphones, the sound is great, the player is just GREAT!!!</v>
      </c>
    </row>
    <row r="4950" spans="1:9" x14ac:dyDescent="0.3">
      <c r="A4950" s="1" t="s">
        <v>120</v>
      </c>
      <c r="B4950" s="1" t="s">
        <v>121</v>
      </c>
      <c r="C4950" s="1" t="s">
        <v>151</v>
      </c>
      <c r="D4950" s="1" t="s">
        <v>139</v>
      </c>
      <c r="E4950" s="1" t="s">
        <v>794</v>
      </c>
      <c r="F4950" s="1" t="s">
        <v>8277</v>
      </c>
      <c r="G4950" s="1" t="s">
        <v>28</v>
      </c>
      <c r="H4950" s="1" t="s">
        <v>29</v>
      </c>
      <c r="I4950" s="1" t="str">
        <f ca="1">IFERROR(__xludf.DUMMYFUNCTION("GOOGLETRANSLATE(F4950, ""auto"", ""en"")
"),"You really need to look at the specifications on the manufacturer's website. There is a USB connector, but it only serves to update the TV’s software, which means that it does not play the promised mp3s and JPEGs from digital media.   I also consider the "&amp;"disadvantage that the TV turns on and off very loudly and there is no way to adjust the volume or turn it off completely. I also connected a Samsung DVD player with the Anynet function to it, but the cable was really a problem. Due to the inexpensive cabl"&amp;"e, the TV finds the player 1 time out of 5 attempts, and I consider the Anynet function itself useless, because when you want to turn off the player, the TV turns off and other misunderstandings.")</f>
        <v>You really need to look at the specifications on the manufacturer's website. There is a USB connector, but it only serves to update the TV’s software, which means that it does not play the promised mp3s and JPEGs from digital media.   I also consider the disadvantage that the TV turns on and off very loudly and there is no way to adjust the volume or turn it off completely. I also connected a Samsung DVD player with the Anynet function to it, but the cable was really a problem. Due to the inexpensive cable, the TV finds the player 1 time out of 5 attempts, and I consider the Anynet function itself useless, because when you want to turn off the player, the TV turns off and other misunderstandings.</v>
      </c>
    </row>
    <row r="4951" spans="1:9" x14ac:dyDescent="0.3">
      <c r="A4951" s="1" t="s">
        <v>120</v>
      </c>
      <c r="B4951" s="1" t="s">
        <v>126</v>
      </c>
      <c r="C4951" s="1" t="s">
        <v>122</v>
      </c>
      <c r="D4951" s="1" t="s">
        <v>139</v>
      </c>
      <c r="E4951" s="1" t="s">
        <v>675</v>
      </c>
      <c r="F4951" s="1" t="s">
        <v>8278</v>
      </c>
      <c r="G4951" s="1" t="s">
        <v>28</v>
      </c>
      <c r="H4951" s="1" t="s">
        <v>29</v>
      </c>
      <c r="I4951" s="1" t="str">
        <f ca="1">IFERROR(__xludf.DUMMYFUNCTION("GOOGLETRANSLATE(F4951, ""auto"", ""en"")
"),"I only used the TV for a couple of days, but the image quality and color rendition are excellent, thanks to the low resolution of 1024 by 768, the quality of analogue TV channels is excellent, you watch movies like from a DVD, explosions are generally sho"&amp;"wn perfectly, like in a movie theater. Unfortunately, the screen is really like a mirror, it glares a lot, and I have vision problems, so I was forced to change it. There is the same model with a special anti-reflective coating, it’s better to take it. I "&amp;"changed it to a 32-inch Philips Ambilight, from a distance of 4 meters it looks just fine, although the screen certainly seems tiny. Another minus is that on cable TV some channels were without sound, I don’t know what’s causing this.")</f>
        <v>I only used the TV for a couple of days, but the image quality and color rendition are excellent, thanks to the low resolution of 1024 by 768, the quality of analogue TV channels is excellent, you watch movies like from a DVD, explosions are generally shown perfectly, like in a movie theater. Unfortunately, the screen is really like a mirror, it glares a lot, and I have vision problems, so I was forced to change it. There is the same model with a special anti-reflective coating, it’s better to take it. I changed it to a 32-inch Philips Ambilight, from a distance of 4 meters it looks just fine, although the screen certainly seems tiny. Another minus is that on cable TV some channels were without sound, I don’t know what’s causing this.</v>
      </c>
    </row>
    <row r="4952" spans="1:9" x14ac:dyDescent="0.3">
      <c r="A4952" s="1" t="s">
        <v>61</v>
      </c>
      <c r="B4952" s="1" t="s">
        <v>318</v>
      </c>
      <c r="C4952" s="1" t="s">
        <v>246</v>
      </c>
      <c r="D4952" s="1" t="s">
        <v>75</v>
      </c>
      <c r="E4952" s="1" t="s">
        <v>4789</v>
      </c>
      <c r="F4952" s="1" t="s">
        <v>8279</v>
      </c>
      <c r="G4952" s="1" t="s">
        <v>36</v>
      </c>
      <c r="H4952" s="1" t="s">
        <v>29</v>
      </c>
      <c r="I4952" s="1" t="str">
        <f ca="1">IFERROR(__xludf.DUMMYFUNCTION("GOOGLETRANSLATE(F4952, ""auto"", ""en"")
"),"Price, quality, no plastic smell.")</f>
        <v>Price, quality, no plastic smell.</v>
      </c>
    </row>
    <row r="4953" spans="1:9" x14ac:dyDescent="0.3">
      <c r="A4953" s="1" t="s">
        <v>95</v>
      </c>
      <c r="B4953" s="1" t="s">
        <v>227</v>
      </c>
      <c r="C4953" s="1" t="s">
        <v>97</v>
      </c>
      <c r="D4953" s="1" t="s">
        <v>488</v>
      </c>
      <c r="E4953" s="1" t="s">
        <v>1432</v>
      </c>
      <c r="F4953" s="1" t="s">
        <v>8280</v>
      </c>
      <c r="G4953" s="1" t="s">
        <v>36</v>
      </c>
      <c r="H4953" s="1" t="s">
        <v>29</v>
      </c>
      <c r="I4953" s="1" t="str">
        <f ca="1">IFERROR(__xludf.DUMMYFUNCTION("GOOGLETRANSLATE(F4953, ""auto"", ""en"")
"),"I bought some recently..... full of joy)) the console is very powerful, and the graph is super... Take it, you won’t regret it)))")</f>
        <v>I bought some recently..... full of joy)) the console is very powerful, and the graph is super... Take it, you won’t regret it)))</v>
      </c>
    </row>
    <row r="4954" spans="1:9" x14ac:dyDescent="0.3">
      <c r="A4954" s="1" t="s">
        <v>61</v>
      </c>
      <c r="B4954" s="1" t="s">
        <v>73</v>
      </c>
      <c r="C4954" s="1" t="s">
        <v>122</v>
      </c>
      <c r="D4954" s="1" t="s">
        <v>172</v>
      </c>
      <c r="E4954" s="1" t="s">
        <v>4315</v>
      </c>
      <c r="F4954" s="1" t="s">
        <v>8281</v>
      </c>
      <c r="G4954" s="1" t="s">
        <v>36</v>
      </c>
      <c r="H4954" s="1" t="s">
        <v>29</v>
      </c>
      <c r="I4954" s="1" t="str">
        <f ca="1">IFERROR(__xludf.DUMMYFUNCTION("GOOGLETRANSLATE(F4954, ""auto"", ""en"")
"),"The meat grinder is excellent. My wife and I have been using a similar meat grinder for 6 years. For the New Year we decided to make a gift for the children and bought them a proven version. I am a mechanical engineer by training, and I can say that in te"&amp;"rms of price-quality criteria, and in terms of the overall design and materials used (all torque-transmitting parts are metal), this meat grinder has no equal. I recommend it to everyone.")</f>
        <v>The meat grinder is excellent. My wife and I have been using a similar meat grinder for 6 years. For the New Year we decided to make a gift for the children and bought them a proven version. I am a mechanical engineer by training, and I can say that in terms of price-quality criteria, and in terms of the overall design and materials used (all torque-transmitting parts are metal), this meat grinder has no equal. I recommend it to everyone.</v>
      </c>
    </row>
    <row r="4955" spans="1:9" x14ac:dyDescent="0.3">
      <c r="A4955" s="1" t="s">
        <v>206</v>
      </c>
      <c r="B4955" s="1" t="s">
        <v>261</v>
      </c>
      <c r="C4955" s="1" t="s">
        <v>45</v>
      </c>
      <c r="D4955" s="1" t="s">
        <v>729</v>
      </c>
      <c r="E4955" s="1" t="s">
        <v>2896</v>
      </c>
      <c r="F4955" s="1" t="s">
        <v>8282</v>
      </c>
      <c r="G4955" s="1" t="s">
        <v>15</v>
      </c>
      <c r="H4955" s="1" t="s">
        <v>16</v>
      </c>
      <c r="I4955" s="1" t="str">
        <f ca="1">IFERROR(__xludf.DUMMYFUNCTION("GOOGLETRANSLATE(F4955, ""auto"", ""en"")
"),"It’s a very bad thing, a lot of noise, the buttons are not informative, the body itself is bursting at the seams, the buttons are loose, in general I don’t recommend it.")</f>
        <v>It’s a very bad thing, a lot of noise, the buttons are not informative, the body itself is bursting at the seams, the buttons are loose, in general I don’t recommend it.</v>
      </c>
    </row>
    <row r="4956" spans="1:9" x14ac:dyDescent="0.3">
      <c r="A4956" s="1" t="s">
        <v>105</v>
      </c>
      <c r="B4956" s="1" t="s">
        <v>106</v>
      </c>
      <c r="C4956" s="1" t="s">
        <v>151</v>
      </c>
      <c r="D4956" s="1" t="s">
        <v>875</v>
      </c>
      <c r="E4956" s="1" t="s">
        <v>1225</v>
      </c>
      <c r="F4956" s="1" t="s">
        <v>8283</v>
      </c>
      <c r="G4956" s="1" t="s">
        <v>28</v>
      </c>
      <c r="H4956" s="1" t="s">
        <v>29</v>
      </c>
      <c r="I4956" s="1" t="str">
        <f ca="1">IFERROR(__xludf.DUMMYFUNCTION("GOOGLETRANSLATE(F4956, ""auto"", ""en"")
"),"I have the same one, only black. Overall I’m happy, better than the Sony NWZ-B142F (2Gb).  I liked the popcorn (or whatever it is), it is possible to adjust the equalizer yourself. The sound is of high quality, ready to produce good lows and highs. Period"&amp;"ically it upsets freezing, in two months it froze 3-5 times. Reboots with a needle.  As for the operating time, they didn’t deceive me. It works for about 15-20 hours. The basic headphones are normal, but it’s worth buying another one, because They broke "&amp;"after 2 months. IMHO for 1600 that’s it!")</f>
        <v>I have the same one, only black. Overall I’m happy, better than the Sony NWZ-B142F (2Gb).  I liked the popcorn (or whatever it is), it is possible to adjust the equalizer yourself. The sound is of high quality, ready to produce good lows and highs. Periodically it upsets freezing, in two months it froze 3-5 times. Reboots with a needle.  As for the operating time, they didn’t deceive me. It works for about 15-20 hours. The basic headphones are normal, but it’s worth buying another one, because They broke after 2 months. IMHO for 1600 that’s it!</v>
      </c>
    </row>
    <row r="4957" spans="1:9" x14ac:dyDescent="0.3">
      <c r="A4957" s="1" t="s">
        <v>43</v>
      </c>
      <c r="B4957" s="1" t="s">
        <v>44</v>
      </c>
      <c r="C4957" s="1" t="s">
        <v>101</v>
      </c>
      <c r="D4957" s="1" t="s">
        <v>308</v>
      </c>
      <c r="E4957" s="1" t="s">
        <v>8284</v>
      </c>
      <c r="F4957" s="1" t="s">
        <v>8285</v>
      </c>
      <c r="G4957" s="1" t="s">
        <v>36</v>
      </c>
      <c r="H4957" s="1" t="s">
        <v>29</v>
      </c>
      <c r="I4957" s="1" t="str">
        <f ca="1">IFERROR(__xludf.DUMMYFUNCTION("GOOGLETRANSLATE(F4957, ""auto"", ""en"")
"),"I had to quickly come up with an escape from the heat, because... There is no way to install an air conditioner at home, and in the 8th month of pregnancy it is simply unbearable to endure the heat of +35 at home. I looked at the most inexpensive option f"&amp;"rom more or less well-known brands - the choice fell on this fan.   When I bought it, three other people took this fan with me. so the model is very popular precisely because of its price. According to the consultant, 60 of these fans were sold in one day"&amp;".  I came home and assembled it myself, even without the help of a man. but assembly requires a Phillips screwdriver (luckily I had a screwdriver on hand). Otherwise, everything is simple and clear, even a pregnant woman can carry the box and assemble the"&amp;" fan herself. It’s normal to use, an ordinary fan, nothing special, it works quietly!")</f>
        <v>I had to quickly come up with an escape from the heat, because... There is no way to install an air conditioner at home, and in the 8th month of pregnancy it is simply unbearable to endure the heat of +35 at home. I looked at the most inexpensive option from more or less well-known brands - the choice fell on this fan.   When I bought it, three other people took this fan with me. so the model is very popular precisely because of its price. According to the consultant, 60 of these fans were sold in one day.  I came home and assembled it myself, even without the help of a man. but assembly requires a Phillips screwdriver (luckily I had a screwdriver on hand). Otherwise, everything is simple and clear, even a pregnant woman can carry the box and assemble the fan herself. It’s normal to use, an ordinary fan, nothing special, it works quietly!</v>
      </c>
    </row>
    <row r="4958" spans="1:9" x14ac:dyDescent="0.3">
      <c r="A4958" s="1" t="s">
        <v>61</v>
      </c>
      <c r="B4958" s="1" t="s">
        <v>318</v>
      </c>
      <c r="C4958" s="1" t="s">
        <v>57</v>
      </c>
      <c r="D4958" s="1" t="s">
        <v>64</v>
      </c>
      <c r="E4958" s="1" t="s">
        <v>4867</v>
      </c>
      <c r="F4958" s="1" t="s">
        <v>8286</v>
      </c>
      <c r="G4958" s="1" t="s">
        <v>36</v>
      </c>
      <c r="H4958" s="1" t="s">
        <v>29</v>
      </c>
      <c r="I4958" s="1" t="str">
        <f ca="1">IFERROR(__xludf.DUMMYFUNCTION("GOOGLETRANSLATE(F4958, ""auto"", ""en"")
"),"I really like it.")</f>
        <v>I really like it.</v>
      </c>
    </row>
    <row r="4959" spans="1:9" x14ac:dyDescent="0.3">
      <c r="A4959" s="1" t="s">
        <v>37</v>
      </c>
      <c r="B4959" s="1" t="s">
        <v>38</v>
      </c>
      <c r="C4959" s="1" t="s">
        <v>151</v>
      </c>
      <c r="D4959" s="1" t="s">
        <v>114</v>
      </c>
      <c r="E4959" s="1" t="s">
        <v>1339</v>
      </c>
      <c r="F4959" s="1" t="s">
        <v>8287</v>
      </c>
      <c r="G4959" s="1" t="s">
        <v>36</v>
      </c>
      <c r="H4959" s="1" t="s">
        <v>29</v>
      </c>
      <c r="I4959" s="1" t="str">
        <f ca="1">IFERROR(__xludf.DUMMYFUNCTION("GOOGLETRANSLATE(F4959, ""auto"", ""en"")
"),"Great phone!!! The images on the phone are great. I've been using it for 2 months. Impressions are excellent. Take it very good.")</f>
        <v>Great phone!!! The images on the phone are great. I've been using it for 2 months. Impressions are excellent. Take it very good.</v>
      </c>
    </row>
    <row r="4960" spans="1:9" x14ac:dyDescent="0.3">
      <c r="A4960" s="1" t="s">
        <v>238</v>
      </c>
      <c r="B4960" s="1" t="s">
        <v>276</v>
      </c>
      <c r="C4960" s="1" t="s">
        <v>885</v>
      </c>
      <c r="D4960" s="1" t="s">
        <v>295</v>
      </c>
      <c r="E4960" s="1" t="s">
        <v>7372</v>
      </c>
      <c r="F4960" s="1" t="s">
        <v>8288</v>
      </c>
      <c r="G4960" s="1" t="s">
        <v>36</v>
      </c>
      <c r="H4960" s="1" t="s">
        <v>29</v>
      </c>
      <c r="I4960" s="1" t="str">
        <f ca="1">IFERROR(__xludf.DUMMYFUNCTION("GOOGLETRANSLATE(F4960, ""auto"", ""en"")
"),"Excellent refrigerator, small in size, but very roomy, very quiet.")</f>
        <v>Excellent refrigerator, small in size, but very roomy, very quiet.</v>
      </c>
    </row>
    <row r="4961" spans="1:9" x14ac:dyDescent="0.3">
      <c r="A4961" s="1" t="s">
        <v>111</v>
      </c>
      <c r="B4961" s="1" t="s">
        <v>636</v>
      </c>
      <c r="C4961" s="1" t="s">
        <v>637</v>
      </c>
      <c r="D4961" s="1" t="s">
        <v>63</v>
      </c>
      <c r="E4961" s="1" t="s">
        <v>1553</v>
      </c>
      <c r="F4961" s="1" t="s">
        <v>8289</v>
      </c>
      <c r="G4961" s="1" t="s">
        <v>36</v>
      </c>
      <c r="H4961" s="1" t="s">
        <v>29</v>
      </c>
      <c r="I4961" s="1" t="str">
        <f ca="1">IFERROR(__xludf.DUMMYFUNCTION("GOOGLETRANSLATE(F4961, ""auto"", ""en"")
"),"I bought this thing for home, I didn’t expect much from it, but it turned out to be quite useful. The rain is predicted much more accurately than the media forecast, it’s a pity that it’s only 12 hours in advance. I was wrong literally a couple of times w"&amp;"hen I showed possible rain, but it didn’t happen. Shows temperature accurately. In general, I have not noticed any particular complaints, I recommend it.   In addition to time synchronization. I don’t need Moscow time at home (+4).  As already mentioned, "&amp;"an excellent gift option.")</f>
        <v>I bought this thing for home, I didn’t expect much from it, but it turned out to be quite useful. The rain is predicted much more accurately than the media forecast, it’s a pity that it’s only 12 hours in advance. I was wrong literally a couple of times when I showed possible rain, but it didn’t happen. Shows temperature accurately. In general, I have not noticed any particular complaints, I recommend it.   In addition to time synchronization. I don’t need Moscow time at home (+4).  As already mentioned, an excellent gift option.</v>
      </c>
    </row>
    <row r="4962" spans="1:9" x14ac:dyDescent="0.3">
      <c r="A4962" s="1" t="s">
        <v>211</v>
      </c>
      <c r="B4962" s="1" t="s">
        <v>212</v>
      </c>
      <c r="C4962" s="1" t="s">
        <v>294</v>
      </c>
      <c r="D4962" s="1" t="s">
        <v>1241</v>
      </c>
      <c r="E4962" s="1" t="s">
        <v>2258</v>
      </c>
      <c r="F4962" s="1" t="s">
        <v>8290</v>
      </c>
      <c r="G4962" s="1" t="s">
        <v>28</v>
      </c>
      <c r="H4962" s="1" t="s">
        <v>29</v>
      </c>
      <c r="I4962" s="1" t="str">
        <f ca="1">IFERROR(__xludf.DUMMYFUNCTION("GOOGLETRANSLATE(F4962, ""auto"", ""en"")
"),"I don’t really like it, I’ve been using it for almost 2 years, it doesn’t really burn my hair, but it tears terribly. The case is convenient, I take it with me on trips. Straightens normally. I don’t recommend it, if you have the money it’s better to buy "&amp;"another one.")</f>
        <v>I don’t really like it, I’ve been using it for almost 2 years, it doesn’t really burn my hair, but it tears terribly. The case is convenient, I take it with me on trips. Straightens normally. I don’t recommend it, if you have the money it’s better to buy another one.</v>
      </c>
    </row>
    <row r="4963" spans="1:9" x14ac:dyDescent="0.3">
      <c r="A4963" s="1" t="s">
        <v>624</v>
      </c>
      <c r="B4963" s="1" t="s">
        <v>625</v>
      </c>
      <c r="C4963" s="1" t="s">
        <v>479</v>
      </c>
      <c r="D4963" s="1" t="s">
        <v>345</v>
      </c>
      <c r="E4963" s="1" t="s">
        <v>2721</v>
      </c>
      <c r="F4963" s="1" t="s">
        <v>8291</v>
      </c>
      <c r="G4963" s="1" t="s">
        <v>28</v>
      </c>
      <c r="H4963" s="1" t="s">
        <v>29</v>
      </c>
      <c r="I4963" s="1" t="str">
        <f ca="1">IFERROR(__xludf.DUMMYFUNCTION("GOOGLETRANSLATE(F4963, ""auto"", ""en"")
"),"The game is very much for an amateur, because... when compared with hits such as BC2 and MW2, they are much inferior to them, but this is at first glance and having played online, in principle, you can wait out the time until the release of Black ops!!!")</f>
        <v>The game is very much for an amateur, because... when compared with hits such as BC2 and MW2, they are much inferior to them, but this is at first glance and having played online, in principle, you can wait out the time until the release of Black ops!!!</v>
      </c>
    </row>
    <row r="4964" spans="1:9" x14ac:dyDescent="0.3">
      <c r="A4964" s="1" t="s">
        <v>30</v>
      </c>
      <c r="B4964" s="1" t="s">
        <v>50</v>
      </c>
      <c r="C4964" s="1" t="s">
        <v>658</v>
      </c>
      <c r="D4964" s="1" t="s">
        <v>6640</v>
      </c>
      <c r="E4964" s="1" t="s">
        <v>3184</v>
      </c>
      <c r="F4964" s="1" t="s">
        <v>8292</v>
      </c>
      <c r="G4964" s="1" t="s">
        <v>15</v>
      </c>
      <c r="H4964" s="1" t="s">
        <v>16</v>
      </c>
      <c r="I4964" s="1" t="str">
        <f ca="1">IFERROR(__xludf.DUMMYFUNCTION("GOOGLETRANSLATE(F4964, ""auto"", ""en"")
"),"Expectations turned out to be unjustified.  Firstly: the biggest drawback is that it gets very hot (I have never encountered such heat transfer before). The video card turned out to be of old DDR technology (not DDR2). There are no multimedia buttons. Sec"&amp;"ondly: a very weak battery, on average only 1.5 hours (and at full load only 40 minutes).  Among the positive qualities: convenient design, I like how the keys work, the touchpad is a little uncomfortable, but it positions well, there are no different lig"&amp;"hts on the display (which are distracting). There is no HDMI, but there is Bluetooth and Firewire (IEEE1394).")</f>
        <v>Expectations turned out to be unjustified.  Firstly: the biggest drawback is that it gets very hot (I have never encountered such heat transfer before). The video card turned out to be of old DDR technology (not DDR2). There are no multimedia buttons. Secondly: a very weak battery, on average only 1.5 hours (and at full load only 40 minutes).  Among the positive qualities: convenient design, I like how the keys work, the touchpad is a little uncomfortable, but it positions well, there are no different lights on the display (which are distracting). There is no HDMI, but there is Bluetooth and Firewire (IEEE1394).</v>
      </c>
    </row>
    <row r="4965" spans="1:9" x14ac:dyDescent="0.3">
      <c r="A4965" s="1" t="s">
        <v>61</v>
      </c>
      <c r="B4965" s="1" t="s">
        <v>318</v>
      </c>
      <c r="C4965" s="1" t="s">
        <v>246</v>
      </c>
      <c r="D4965" s="1" t="s">
        <v>8293</v>
      </c>
      <c r="E4965" s="1" t="s">
        <v>3987</v>
      </c>
      <c r="F4965" s="1" t="s">
        <v>8294</v>
      </c>
      <c r="G4965" s="1" t="s">
        <v>36</v>
      </c>
      <c r="H4965" s="1" t="s">
        <v>29</v>
      </c>
      <c r="I4965" s="1" t="str">
        <f ca="1">IFERROR(__xludf.DUMMYFUNCTION("GOOGLETRANSLATE(F4965, ""auto"", ""en"")
"),"Great device! High-quality assembly, fits comfortably in the hand, wide filter.")</f>
        <v>Great device! High-quality assembly, fits comfortably in the hand, wide filter.</v>
      </c>
    </row>
    <row r="4966" spans="1:9" x14ac:dyDescent="0.3">
      <c r="A4966" s="1" t="s">
        <v>169</v>
      </c>
      <c r="B4966" s="1" t="s">
        <v>170</v>
      </c>
      <c r="C4966" s="1" t="s">
        <v>122</v>
      </c>
      <c r="D4966" s="1" t="s">
        <v>52</v>
      </c>
      <c r="E4966" s="1" t="s">
        <v>4818</v>
      </c>
      <c r="F4966" s="1" t="s">
        <v>8295</v>
      </c>
      <c r="G4966" s="1" t="s">
        <v>49</v>
      </c>
      <c r="H4966" s="1" t="s">
        <v>16</v>
      </c>
      <c r="I4966" s="1" t="str">
        <f ca="1">IFERROR(__xludf.DUMMYFUNCTION("GOOGLETRANSLATE(F4966, ""auto"", ""en"")
"),"There is no bass at all, some extraneous noise, I was not pleased with the headphones, it is better to take some kind of fisher in the same price range, they at least cut the bass normally.")</f>
        <v>There is no bass at all, some extraneous noise, I was not pleased with the headphones, it is better to take some kind of fisher in the same price range, they at least cut the bass normally.</v>
      </c>
    </row>
    <row r="4967" spans="1:9" x14ac:dyDescent="0.3">
      <c r="A4967" s="1" t="s">
        <v>61</v>
      </c>
      <c r="B4967" s="1" t="s">
        <v>145</v>
      </c>
      <c r="C4967" s="1" t="s">
        <v>146</v>
      </c>
      <c r="D4967" s="1" t="s">
        <v>64</v>
      </c>
      <c r="E4967" s="1" t="s">
        <v>8048</v>
      </c>
      <c r="F4967" s="1" t="s">
        <v>8296</v>
      </c>
      <c r="G4967" s="1" t="s">
        <v>28</v>
      </c>
      <c r="H4967" s="1" t="s">
        <v>29</v>
      </c>
      <c r="I4967" s="1" t="str">
        <f ca="1">IFERROR(__xludf.DUMMYFUNCTION("GOOGLETRANSLATE(F4967, ""auto"", ""en"")
"),"Universal, compact, lightweight")</f>
        <v>Universal, compact, lightweight</v>
      </c>
    </row>
    <row r="4968" spans="1:9" x14ac:dyDescent="0.3">
      <c r="A4968" s="1" t="s">
        <v>149</v>
      </c>
      <c r="B4968" s="1" t="s">
        <v>155</v>
      </c>
      <c r="C4968" s="1" t="s">
        <v>24</v>
      </c>
      <c r="D4968" s="1" t="s">
        <v>1431</v>
      </c>
      <c r="E4968" s="1" t="s">
        <v>8297</v>
      </c>
      <c r="F4968" s="1" t="s">
        <v>8298</v>
      </c>
      <c r="G4968" s="1" t="s">
        <v>36</v>
      </c>
      <c r="H4968" s="1" t="s">
        <v>29</v>
      </c>
      <c r="I4968" s="1" t="str">
        <f ca="1">IFERROR(__xludf.DUMMYFUNCTION("GOOGLETRANSLATE(F4968, ""auto"", ""en"")
"),"Bought in May 2014. We use it at least twice a week. The power is very pleasing!!! Maneuverable - any nooks and crannies can be easily navigated! The attachments are pleasantly pleasing. The turbo brush is a monster, in the good sense of the word. I stron"&amp;"gly recommend vacuuming mattresses with a turbo brush. I did not detect dust emissions from a working vacuum cleaner.  The container is easy to remove, just as easy to empty of dust and very easy to clean. Cleaning the filter itself is not a hassle. I can"&amp;" say from practice that the first 5-6 uses do not require washing the filter. The process of washing the filter itself is more like a game :).... I am happy with the vacuum cleaner, everyone is happy!!!")</f>
        <v>Bought in May 2014. We use it at least twice a week. The power is very pleasing!!! Maneuverable - any nooks and crannies can be easily navigated! The attachments are pleasantly pleasing. The turbo brush is a monster, in the good sense of the word. I strongly recommend vacuuming mattresses with a turbo brush. I did not detect dust emissions from a working vacuum cleaner.  The container is easy to remove, just as easy to empty of dust and very easy to clean. Cleaning the filter itself is not a hassle. I can say from practice that the first 5-6 uses do not require washing the filter. The process of washing the filter itself is more like a game :).... I am happy with the vacuum cleaner, everyone is happy!!!</v>
      </c>
    </row>
    <row r="4969" spans="1:9" x14ac:dyDescent="0.3">
      <c r="A4969" s="1" t="s">
        <v>37</v>
      </c>
      <c r="B4969" s="1" t="s">
        <v>38</v>
      </c>
      <c r="C4969" s="1" t="s">
        <v>151</v>
      </c>
      <c r="D4969" s="1" t="s">
        <v>172</v>
      </c>
      <c r="E4969" s="1" t="s">
        <v>2640</v>
      </c>
      <c r="F4969" s="1" t="s">
        <v>8299</v>
      </c>
      <c r="G4969" s="1" t="s">
        <v>28</v>
      </c>
      <c r="H4969" s="1" t="s">
        <v>29</v>
      </c>
      <c r="I4969" s="1" t="str">
        <f ca="1">IFERROR(__xludf.DUMMYFUNCTION("GOOGLETRANSLATE(F4969, ""auto"", ""en"")
"),"The phone is excellent, stylish design, but the downside is that there is no Russian in ICQ and Opera. What to do? That's why I took it.")</f>
        <v>The phone is excellent, stylish design, but the downside is that there is no Russian in ICQ and Opera. What to do? That's why I took it.</v>
      </c>
    </row>
    <row r="4970" spans="1:9" x14ac:dyDescent="0.3">
      <c r="A4970" s="1" t="s">
        <v>17</v>
      </c>
      <c r="B4970" s="1" t="s">
        <v>18</v>
      </c>
      <c r="C4970" s="1" t="s">
        <v>243</v>
      </c>
      <c r="D4970" s="1" t="s">
        <v>335</v>
      </c>
      <c r="E4970" s="1" t="s">
        <v>3769</v>
      </c>
      <c r="F4970" s="1" t="s">
        <v>8300</v>
      </c>
      <c r="G4970" s="1" t="s">
        <v>36</v>
      </c>
      <c r="H4970" s="1" t="s">
        <v>29</v>
      </c>
      <c r="I4970" s="1" t="str">
        <f ca="1">IFERROR(__xludf.DUMMYFUNCTION("GOOGLETRANSLATE(F4970, ""auto"", ""en"")
"),"I bought this and was not happy for long. A month later I had to invite a master. Changed the electrical module. It turns out they started making weaker electronics than before. We all rely on chance. And so, I like everything how it washes and spins. The"&amp;" knitwear does not wrinkle or tear and the indicators light up brightly.")</f>
        <v>I bought this and was not happy for long. A month later I had to invite a master. Changed the electrical module. It turns out they started making weaker electronics than before. We all rely on chance. And so, I like everything how it washes and spins. The knitwear does not wrinkle or tear and the indicators light up brightly.</v>
      </c>
    </row>
    <row r="4971" spans="1:9" x14ac:dyDescent="0.3">
      <c r="A4971" s="1" t="s">
        <v>17</v>
      </c>
      <c r="B4971" s="1" t="s">
        <v>18</v>
      </c>
      <c r="C4971" s="1" t="s">
        <v>24</v>
      </c>
      <c r="D4971" s="1" t="s">
        <v>308</v>
      </c>
      <c r="E4971" s="1" t="s">
        <v>1387</v>
      </c>
      <c r="F4971" s="1" t="s">
        <v>8301</v>
      </c>
      <c r="G4971" s="1" t="s">
        <v>36</v>
      </c>
      <c r="H4971" s="1" t="s">
        <v>29</v>
      </c>
      <c r="I4971" s="1" t="str">
        <f ca="1">IFERROR(__xludf.DUMMYFUNCTION("GOOGLETRANSLATE(F4971, ""auto"", ""en"")
"),"Very pleased! My machine is already a year old and no problems.")</f>
        <v>Very pleased! My machine is already a year old and no problems.</v>
      </c>
    </row>
    <row r="4972" spans="1:9" x14ac:dyDescent="0.3">
      <c r="A4972" s="1" t="s">
        <v>43</v>
      </c>
      <c r="B4972" s="1" t="s">
        <v>303</v>
      </c>
      <c r="C4972" s="1" t="s">
        <v>665</v>
      </c>
      <c r="D4972" s="1" t="s">
        <v>33</v>
      </c>
      <c r="E4972" s="1" t="s">
        <v>1971</v>
      </c>
      <c r="F4972" s="1" t="s">
        <v>8302</v>
      </c>
      <c r="G4972" s="1" t="s">
        <v>36</v>
      </c>
      <c r="H4972" s="1" t="s">
        <v>29</v>
      </c>
      <c r="I4972" s="1" t="str">
        <f ca="1">IFERROR(__xludf.DUMMYFUNCTION("GOOGLETRANSLATE(F4972, ""auto"", ""en"")
"),"An excellent water heater, almost like a boiler, heats the water quickly, doesn’t make any noise at all, the volume of water is universal, you can swim without rushing, 3-4 people easily... The “Moidodyr” is ideal for a family, I’ve been using it for 3 mo"&amp;"nths, no complaints and no drawbacks!!!")</f>
        <v>An excellent water heater, almost like a boiler, heats the water quickly, doesn’t make any noise at all, the volume of water is universal, you can swim without rushing, 3-4 people easily... The “Moidodyr” is ideal for a family, I’ve been using it for 3 months, no complaints and no drawbacks!!!</v>
      </c>
    </row>
    <row r="4973" spans="1:9" x14ac:dyDescent="0.3">
      <c r="A4973" s="1" t="s">
        <v>451</v>
      </c>
      <c r="B4973" s="1" t="s">
        <v>452</v>
      </c>
      <c r="C4973" s="1" t="s">
        <v>710</v>
      </c>
      <c r="D4973" s="1" t="s">
        <v>471</v>
      </c>
      <c r="E4973" s="1" t="s">
        <v>8265</v>
      </c>
      <c r="F4973" s="1" t="s">
        <v>8303</v>
      </c>
      <c r="G4973" s="1" t="s">
        <v>36</v>
      </c>
      <c r="H4973" s="1" t="s">
        <v>29</v>
      </c>
      <c r="I4973" s="1" t="str">
        <f ca="1">IFERROR(__xludf.DUMMYFUNCTION("GOOGLETRANSLATE(F4973, ""auto"", ""en"")
"),"I bought it with bonuses on my M.Video card a week ago. Does its job well. Clean smooth and practical. Things are like new. Runs on 2 AA batteries, not included. The only negative in my opinion is a bit noisy. But for this money I’m ready to put up with i"&amp;"t and pause the film when I’m cleaning things, because I can’t hear anything)")</f>
        <v>I bought it with bonuses on my M.Video card a week ago. Does its job well. Clean smooth and practical. Things are like new. Runs on 2 AA batteries, not included. The only negative in my opinion is a bit noisy. But for this money I’m ready to put up with it and pause the film when I’m cleaning things, because I can’t hear anything)</v>
      </c>
    </row>
    <row r="4974" spans="1:9" x14ac:dyDescent="0.3">
      <c r="A4974" s="1" t="s">
        <v>61</v>
      </c>
      <c r="B4974" s="1" t="s">
        <v>977</v>
      </c>
      <c r="C4974" s="1" t="s">
        <v>85</v>
      </c>
      <c r="D4974" s="1" t="s">
        <v>75</v>
      </c>
      <c r="E4974" s="1" t="s">
        <v>6426</v>
      </c>
      <c r="F4974" s="1" t="s">
        <v>8304</v>
      </c>
      <c r="G4974" s="1" t="s">
        <v>36</v>
      </c>
      <c r="H4974" s="1" t="s">
        <v>29</v>
      </c>
      <c r="I4974" s="1" t="str">
        <f ca="1">IFERROR(__xludf.DUMMYFUNCTION("GOOGLETRANSLATE(F4974, ""auto"", ""en"")
"),"Blender is just super!!!! We bought it last year, it gets the job done, the engine is quite powerful, it handles any meat, mixes, beats. We are very pleased with the purchase, the cocktails are simply amazing, the ice instantly turns into fluffy snow! The"&amp;" knife system allows you to mix products into a homogeneous mass efficiently and quickly. Easy to clean. In addition, he is very beautiful and stylish. Decorates the kitchen.")</f>
        <v>Blender is just super!!!! We bought it last year, it gets the job done, the engine is quite powerful, it handles any meat, mixes, beats. We are very pleased with the purchase, the cocktails are simply amazing, the ice instantly turns into fluffy snow! The knife system allows you to mix products into a homogeneous mass efficiently and quickly. Easy to clean. In addition, he is very beautiful and stylish. Decorates the kitchen.</v>
      </c>
    </row>
    <row r="4975" spans="1:9" x14ac:dyDescent="0.3">
      <c r="A4975" s="1" t="s">
        <v>61</v>
      </c>
      <c r="B4975" s="1" t="s">
        <v>977</v>
      </c>
      <c r="C4975" s="1" t="s">
        <v>246</v>
      </c>
      <c r="D4975" s="1" t="s">
        <v>5447</v>
      </c>
      <c r="E4975" s="1" t="s">
        <v>1756</v>
      </c>
      <c r="F4975" s="1" t="s">
        <v>8305</v>
      </c>
      <c r="G4975" s="1" t="s">
        <v>36</v>
      </c>
      <c r="H4975" s="1" t="s">
        <v>29</v>
      </c>
      <c r="I4975" s="1" t="str">
        <f ca="1">IFERROR(__xludf.DUMMYFUNCTION("GOOGLETRANSLATE(F4975, ""auto"", ""en"")
"),"Copes with all functions perfectly! It instantly grinds any vegetables, making preparing complex dishes much easier and more enjoyable! I really want to use this blender! The ergonomics are excellent, everything has been thought out by the manufacturer, p"&amp;"lus the power is appropriate. There is also a convenient wall mount, so this kitchen helper won’t take up much space!")</f>
        <v>Copes with all functions perfectly! It instantly grinds any vegetables, making preparing complex dishes much easier and more enjoyable! I really want to use this blender! The ergonomics are excellent, everything has been thought out by the manufacturer, plus the power is appropriate. There is also a convenient wall mount, so this kitchen helper won’t take up much space!</v>
      </c>
    </row>
    <row r="4976" spans="1:9" x14ac:dyDescent="0.3">
      <c r="A4976" s="1" t="s">
        <v>61</v>
      </c>
      <c r="B4976" s="1" t="s">
        <v>977</v>
      </c>
      <c r="C4976" s="1" t="s">
        <v>246</v>
      </c>
      <c r="D4976" s="1" t="s">
        <v>621</v>
      </c>
      <c r="E4976" s="1" t="s">
        <v>460</v>
      </c>
      <c r="F4976" s="1" t="s">
        <v>8306</v>
      </c>
      <c r="G4976" s="1" t="s">
        <v>36</v>
      </c>
      <c r="H4976" s="1" t="s">
        <v>29</v>
      </c>
      <c r="I4976" s="1" t="str">
        <f ca="1">IFERROR(__xludf.DUMMYFUNCTION("GOOGLETRANSLATE(F4976, ""auto"", ""en"")
"),"normal mixer, works properly. overall satisfied))))))))))))")</f>
        <v>normal mixer, works properly. overall satisfied))))))))))))</v>
      </c>
    </row>
    <row r="4977" spans="1:9" x14ac:dyDescent="0.3">
      <c r="A4977" s="1" t="s">
        <v>557</v>
      </c>
      <c r="B4977" s="1" t="s">
        <v>558</v>
      </c>
      <c r="C4977" s="1" t="s">
        <v>122</v>
      </c>
      <c r="D4977" s="1" t="s">
        <v>152</v>
      </c>
      <c r="E4977" s="1" t="s">
        <v>1287</v>
      </c>
      <c r="F4977" s="1" t="s">
        <v>8307</v>
      </c>
      <c r="G4977" s="1" t="s">
        <v>49</v>
      </c>
      <c r="H4977" s="1" t="s">
        <v>16</v>
      </c>
      <c r="I4977" s="1" t="str">
        <f ca="1">IFERROR(__xludf.DUMMYFUNCTION("GOOGLETRANSLATE(F4977, ""auto"", ""en"")
"),"Caller ID does not work on this phone (the service is enabled on the PBX). When calling mobile phones, a connection occurs, but nothing is heard. At the same time, money is somehow debited from the mobile phone (incoming call).")</f>
        <v>Caller ID does not work on this phone (the service is enabled on the PBX). When calling mobile phones, a connection occurs, but nothing is heard. At the same time, money is somehow debited from the mobile phone (incoming call).</v>
      </c>
    </row>
    <row r="4978" spans="1:9" x14ac:dyDescent="0.3">
      <c r="A4978" s="1" t="s">
        <v>111</v>
      </c>
      <c r="B4978" s="1" t="s">
        <v>112</v>
      </c>
      <c r="C4978" s="1" t="s">
        <v>113</v>
      </c>
      <c r="D4978" s="1" t="s">
        <v>208</v>
      </c>
      <c r="E4978" s="1" t="s">
        <v>666</v>
      </c>
      <c r="F4978" s="1" t="s">
        <v>8308</v>
      </c>
      <c r="G4978" s="1" t="s">
        <v>49</v>
      </c>
      <c r="H4978" s="1" t="s">
        <v>16</v>
      </c>
      <c r="I4978" s="1" t="str">
        <f ca="1">IFERROR(__xludf.DUMMYFUNCTION("GOOGLETRANSLATE(F4978, ""auto"", ""en"")
"),"Purchased on May 29, 2015. Burnt down on July 16, 2015.   My sister, about 10 years old, already has a Pilot brand surge protector. I myself have used other companies before. I was upset that after 1.5-2 years of operation they were burning. I thought, si"&amp;"nce my sister has been working for me for so long, I’ll buy myself the coveted Pilot. It wasn’t like that! The Pilot GL burned out after a month and a half of use while watching a video on a popular video hosting site. There were no power surges in the ne"&amp;"twork, since the protection of the other half of the apartment did not work, and there the refrigerator was turned on and the electronic clock was on; Only the machine that powers the part of the apartment with this surge protector failed. For now, instea"&amp;"d of the pilot, I installed an old Sven, who replaced it with this “miracle” due to the fact that the sockets on the Svens die over time, and judging by the dimness of the switch light of one of its sockets, it is slowly dying.  I highly do not recommend "&amp;"this company's products.")</f>
        <v>Purchased on May 29, 2015. Burnt down on July 16, 2015.   My sister, about 10 years old, already has a Pilot brand surge protector. I myself have used other companies before. I was upset that after 1.5-2 years of operation they were burning. I thought, since my sister has been working for me for so long, I’ll buy myself the coveted Pilot. It wasn’t like that! The Pilot GL burned out after a month and a half of use while watching a video on a popular video hosting site. There were no power surges in the network, since the protection of the other half of the apartment did not work, and there the refrigerator was turned on and the electronic clock was on; Only the machine that powers the part of the apartment with this surge protector failed. For now, instead of the pilot, I installed an old Sven, who replaced it with this “miracle” due to the fact that the sockets on the Svens die over time, and judging by the dimness of the switch light of one of its sockets, it is slowly dying.  I highly do not recommend this company's products.</v>
      </c>
    </row>
    <row r="4979" spans="1:9" x14ac:dyDescent="0.3">
      <c r="A4979" s="1" t="s">
        <v>149</v>
      </c>
      <c r="B4979" s="1" t="s">
        <v>423</v>
      </c>
      <c r="C4979" s="1" t="s">
        <v>424</v>
      </c>
      <c r="D4979" s="1" t="s">
        <v>319</v>
      </c>
      <c r="E4979" s="1" t="s">
        <v>8309</v>
      </c>
      <c r="F4979" s="1" t="s">
        <v>8310</v>
      </c>
      <c r="G4979" s="1" t="s">
        <v>36</v>
      </c>
      <c r="H4979" s="1" t="s">
        <v>29</v>
      </c>
      <c r="I4979" s="1" t="str">
        <f ca="1">IFERROR(__xludf.DUMMYFUNCTION("GOOGLETRANSLATE(F4979, ""auto"", ""en"")
"),"The next day after the purchase, I didn’t have time to fully evaluate my impressions since I bought it in the evening, but tested it in practice already at night, the result in the morning the entire floor in the house shines, the slippers squeak on the c"&amp;"lean floor, and the carpet has acquired a second youth, it seems that the floor under the carpet was washed along with the carpet, a kind of dry cleaning - laundry at home. I bought the last copy from the window; before that I looked at all the models of "&amp;"washing vacuum cleaners that were in the city stores and read reviews about all the washing vacuum cleaners and settled on the VAX V-020 TFR, it’s a pity that there was another such vacuum cleaner only in the neighboring city, otherwise I would have alrea"&amp;"dy known that you can buy it as a gift.&amp;nbsp;")</f>
        <v>The next day after the purchase, I didn’t have time to fully evaluate my impressions since I bought it in the evening, but tested it in practice already at night, the result in the morning the entire floor in the house shines, the slippers squeak on the clean floor, and the carpet has acquired a second youth, it seems that the floor under the carpet was washed along with the carpet, a kind of dry cleaning - laundry at home. I bought the last copy from the window; before that I looked at all the models of washing vacuum cleaners that were in the city stores and read reviews about all the washing vacuum cleaners and settled on the VAX V-020 TFR, it’s a pity that there was another such vacuum cleaner only in the neighboring city, otherwise I would have already known that you can buy it as a gift.&amp;nbsp;</v>
      </c>
    </row>
    <row r="4980" spans="1:9" x14ac:dyDescent="0.3">
      <c r="A4980" s="1" t="s">
        <v>9</v>
      </c>
      <c r="B4980" s="1" t="s">
        <v>133</v>
      </c>
      <c r="C4980" s="1" t="s">
        <v>466</v>
      </c>
      <c r="D4980" s="1" t="s">
        <v>1662</v>
      </c>
      <c r="E4980" s="1" t="s">
        <v>661</v>
      </c>
      <c r="F4980" s="1" t="s">
        <v>8311</v>
      </c>
      <c r="G4980" s="1" t="s">
        <v>36</v>
      </c>
      <c r="H4980" s="1" t="s">
        <v>29</v>
      </c>
      <c r="I4980" s="1" t="str">
        <f ca="1">IFERROR(__xludf.DUMMYFUNCTION("GOOGLETRANSLATE(F4980, ""auto"", ""en"")
"),"The oven is simply amazing! For example, after using a gas oven, I’m absolutely delighted with it! But I set the pies and forgot, just take them out when you’re ready. Buy it, you won’t regret it. We really like the CROWN panel too.")</f>
        <v>The oven is simply amazing! For example, after using a gas oven, I’m absolutely delighted with it! But I set the pies and forgot, just take them out when you’re ready. Buy it, you won’t regret it. We really like the CROWN panel too.</v>
      </c>
    </row>
    <row r="4981" spans="1:9" x14ac:dyDescent="0.3">
      <c r="A4981" s="1" t="s">
        <v>211</v>
      </c>
      <c r="B4981" s="1" t="s">
        <v>212</v>
      </c>
      <c r="C4981" s="1" t="s">
        <v>57</v>
      </c>
      <c r="D4981" s="1" t="s">
        <v>2122</v>
      </c>
      <c r="E4981" s="1" t="s">
        <v>4010</v>
      </c>
      <c r="F4981" s="1" t="s">
        <v>8312</v>
      </c>
      <c r="G4981" s="1" t="s">
        <v>36</v>
      </c>
      <c r="H4981" s="1" t="s">
        <v>29</v>
      </c>
      <c r="I4981" s="1" t="str">
        <f ca="1">IFERROR(__xludf.DUMMYFUNCTION("GOOGLETRANSLATE(F4981, ""auto"", ""en"")
"),"4. Well, admit it, who among us didn’t dream of Barbie-like curls as a child? And even at a more conscious age? But it turns out that you can also create a beautiful, voluminous hairstyle with messy curls in 10-15 minutes using curling irons. I liked thes"&amp;"e curling irons because they have a ceramic coating (which means minimal harm to the hair structure), two modes of operation, and convenient fastening of the cord on hinges - it prevents the wire from twisting (and remember how our mothers suffered with t"&amp;"his? I remember). And considering the price, the model can be called one of the most successful.")</f>
        <v>4. Well, admit it, who among us didn’t dream of Barbie-like curls as a child? And even at a more conscious age? But it turns out that you can also create a beautiful, voluminous hairstyle with messy curls in 10-15 minutes using curling irons. I liked these curling irons because they have a ceramic coating (which means minimal harm to the hair structure), two modes of operation, and convenient fastening of the cord on hinges - it prevents the wire from twisting (and remember how our mothers suffered with this? I remember). And considering the price, the model can be called one of the most successful.</v>
      </c>
    </row>
    <row r="4982" spans="1:9" x14ac:dyDescent="0.3">
      <c r="A4982" s="1" t="s">
        <v>624</v>
      </c>
      <c r="B4982" s="1" t="s">
        <v>625</v>
      </c>
      <c r="C4982" s="1" t="s">
        <v>479</v>
      </c>
      <c r="D4982" s="1" t="s">
        <v>3041</v>
      </c>
      <c r="E4982" s="1" t="s">
        <v>1190</v>
      </c>
      <c r="F4982" s="1" t="s">
        <v>8313</v>
      </c>
      <c r="G4982" s="1" t="s">
        <v>36</v>
      </c>
      <c r="H4982" s="1" t="s">
        <v>29</v>
      </c>
      <c r="I4982" s="1" t="str">
        <f ca="1">IFERROR(__xludf.DUMMYFUNCTION("GOOGLETRANSLATE(F4982, ""auto"", ""en"")
"),"I'll buy a ps3 just because of this game")</f>
        <v>I'll buy a ps3 just because of this game</v>
      </c>
    </row>
    <row r="4983" spans="1:9" x14ac:dyDescent="0.3">
      <c r="A4983" s="1" t="s">
        <v>30</v>
      </c>
      <c r="B4983" s="1" t="s">
        <v>31</v>
      </c>
      <c r="C4983" s="1" t="s">
        <v>365</v>
      </c>
      <c r="D4983" s="1" t="s">
        <v>152</v>
      </c>
      <c r="E4983" s="1" t="s">
        <v>594</v>
      </c>
      <c r="F4983" s="1" t="s">
        <v>8314</v>
      </c>
      <c r="G4983" s="1" t="s">
        <v>36</v>
      </c>
      <c r="H4983" s="1" t="s">
        <v>29</v>
      </c>
      <c r="I4983" s="1" t="str">
        <f ca="1">IFERROR(__xludf.DUMMYFUNCTION("GOOGLETRANSLATE(F4983, ""auto"", ""en"")
"),"Camp is ok, I bought it 5 months ago, now I’m playing and working, everything is fine, I advise you to buy it, don’t waste your money.")</f>
        <v>Camp is ok, I bought it 5 months ago, now I’m playing and working, everything is fine, I advise you to buy it, don’t waste your money.</v>
      </c>
    </row>
    <row r="4984" spans="1:9" x14ac:dyDescent="0.3">
      <c r="A4984" s="1" t="s">
        <v>9</v>
      </c>
      <c r="B4984" s="1" t="s">
        <v>137</v>
      </c>
      <c r="C4984" s="1" t="s">
        <v>138</v>
      </c>
      <c r="D4984" s="1" t="s">
        <v>102</v>
      </c>
      <c r="E4984" s="1" t="s">
        <v>4327</v>
      </c>
      <c r="F4984" s="1" t="s">
        <v>8315</v>
      </c>
      <c r="G4984" s="1" t="s">
        <v>36</v>
      </c>
      <c r="H4984" s="1" t="s">
        <v>29</v>
      </c>
      <c r="I4984" s="1" t="str">
        <f ca="1">IFERROR(__xludf.DUMMYFUNCTION("GOOGLETRANSLATE(F4984, ""auto"", ""en"")
"),"I really like the panel. heats up instantly. the food on this panel is very tasty")</f>
        <v>I really like the panel. heats up instantly. the food on this panel is very tasty</v>
      </c>
    </row>
    <row r="4985" spans="1:9" x14ac:dyDescent="0.3">
      <c r="A4985" s="1" t="s">
        <v>120</v>
      </c>
      <c r="B4985" s="1" t="s">
        <v>121</v>
      </c>
      <c r="C4985" s="1" t="s">
        <v>1677</v>
      </c>
      <c r="D4985" s="1" t="s">
        <v>185</v>
      </c>
      <c r="E4985" s="1" t="s">
        <v>822</v>
      </c>
      <c r="F4985" s="1" t="s">
        <v>8316</v>
      </c>
      <c r="G4985" s="1" t="s">
        <v>36</v>
      </c>
      <c r="H4985" s="1" t="s">
        <v>29</v>
      </c>
      <c r="I4985" s="1" t="str">
        <f ca="1">IFERROR(__xludf.DUMMYFUNCTION("GOOGLETRANSLATE(F4985, ""auto"", ""en"")
"),"I bought this device on May 21, 2010. I am more than satisfied with the purchase, the picture quality with USB is super, reads all video formats, nothing slows down!!! worthy device!!!")</f>
        <v>I bought this device on May 21, 2010. I am more than satisfied with the purchase, the picture quality with USB is super, reads all video formats, nothing slows down!!! worthy device!!!</v>
      </c>
    </row>
    <row r="4986" spans="1:9" x14ac:dyDescent="0.3">
      <c r="A4986" s="1" t="s">
        <v>43</v>
      </c>
      <c r="B4986" s="1" t="s">
        <v>303</v>
      </c>
      <c r="C4986" s="1" t="s">
        <v>220</v>
      </c>
      <c r="D4986" s="1" t="s">
        <v>12</v>
      </c>
      <c r="E4986" s="1" t="s">
        <v>8317</v>
      </c>
      <c r="F4986" s="1" t="s">
        <v>8318</v>
      </c>
      <c r="G4986" s="1" t="s">
        <v>49</v>
      </c>
      <c r="H4986" s="1" t="s">
        <v>16</v>
      </c>
      <c r="I4986" s="1" t="str">
        <f ca="1">IFERROR(__xludf.DUMMYFUNCTION("GOOGLETRANSLATE(F4986, ""auto"", ""en"")
"),"I repair it every 2 months, and the warranty ends in June. ON THE SOAP!")</f>
        <v>I repair it every 2 months, and the warranty ends in June. ON THE SOAP!</v>
      </c>
    </row>
    <row r="4987" spans="1:9" x14ac:dyDescent="0.3">
      <c r="A4987" s="1" t="s">
        <v>61</v>
      </c>
      <c r="B4987" s="1" t="s">
        <v>1126</v>
      </c>
      <c r="C4987" s="1" t="s">
        <v>57</v>
      </c>
      <c r="D4987" s="1" t="s">
        <v>568</v>
      </c>
      <c r="E4987" s="1" t="s">
        <v>5594</v>
      </c>
      <c r="F4987" s="1" t="s">
        <v>8319</v>
      </c>
      <c r="G4987" s="1" t="s">
        <v>36</v>
      </c>
      <c r="H4987" s="1" t="s">
        <v>29</v>
      </c>
      <c r="I4987" s="1" t="str">
        <f ca="1">IFERROR(__xludf.DUMMYFUNCTION("GOOGLETRANSLATE(F4987, ""auto"", ""en"")
"),"The scales are very compact, excellent design, the only accurate weighing, the only downside is cheap plastic.")</f>
        <v>The scales are very compact, excellent design, the only accurate weighing, the only downside is cheap plastic.</v>
      </c>
    </row>
    <row r="4988" spans="1:9" x14ac:dyDescent="0.3">
      <c r="A4988" s="1" t="s">
        <v>149</v>
      </c>
      <c r="B4988" s="1" t="s">
        <v>576</v>
      </c>
      <c r="C4988" s="1" t="s">
        <v>159</v>
      </c>
      <c r="D4988" s="1" t="s">
        <v>152</v>
      </c>
      <c r="E4988" s="1" t="s">
        <v>971</v>
      </c>
      <c r="F4988" s="1" t="s">
        <v>8320</v>
      </c>
      <c r="G4988" s="1" t="s">
        <v>28</v>
      </c>
      <c r="H4988" s="1" t="s">
        <v>29</v>
      </c>
      <c r="I4988" s="1" t="str">
        <f ca="1">IFERROR(__xludf.DUMMYFUNCTION("GOOGLETRANSLATE(F4988, ""auto"", ""en"")
"),"I've been using it for several days.  Advantages: really powerful and really quiet (although the noise level indicated on the website is incorrect, this model has a noise level of 71 dB, you can check it on the official Electrolux website, and the passpor"&amp;"t included a sheet indicating the noise level of 71 dB).   In addition, I liked the ease of use - a long cord (one outlet is enough to clean 3 rooms), auto. adjustable cord length (does not get tangled under your feet or under the wheels of the vacuum cle"&amp;"aner), a comfortable long handle and hose allow you to vacuum furniture at a height of two meters without lifting the vacuum cleaner from the floor, by the way, the not very heavy weight (just over 5 kg) and the presence of 2 handles for horizontal and ve"&amp;"rtical holding make cleaning even with a vacuum cleaner in your hand not tiring and comfortable.  Disadvantages: definitely the price (even taking into account the promotion - 6390 rubles is too much). There are good vacuum cleaners for 2.5 - 3 thousand. "&amp;"And dust collectors and filters, which will have to be changed quite often, are also not the cheapest from Electrolux. I also didn’t like the furniture nozzle, its bristles are very soft and every now and then it turns out that you are rubbing the furnitu"&amp;"re with a rubber tube, although this may be a matter of habit (after 17 years of using the Mulinex vacuum cleaner, I got used to a stiffer brush). By the way, after 3 times of use, the cloth pad near the gap on the floor nozzle came off, I had to go into "&amp;"the dust bin for it, and then glue it in place.  But overall, a good, comfortable vacuum cleaner if you can afford to spend more than 6 thousand on it.")</f>
        <v>I've been using it for several days.  Advantages: really powerful and really quiet (although the noise level indicated on the website is incorrect, this model has a noise level of 71 dB, you can check it on the official Electrolux website, and the passport included a sheet indicating the noise level of 71 dB).   In addition, I liked the ease of use - a long cord (one outlet is enough to clean 3 rooms), auto. adjustable cord length (does not get tangled under your feet or under the wheels of the vacuum cleaner), a comfortable long handle and hose allow you to vacuum furniture at a height of two meters without lifting the vacuum cleaner from the floor, by the way, the not very heavy weight (just over 5 kg) and the presence of 2 handles for horizontal and vertical holding make cleaning even with a vacuum cleaner in your hand not tiring and comfortable.  Disadvantages: definitely the price (even taking into account the promotion - 6390 rubles is too much). There are good vacuum cleaners for 2.5 - 3 thousand. And dust collectors and filters, which will have to be changed quite often, are also not the cheapest from Electrolux. I also didn’t like the furniture nozzle, its bristles are very soft and every now and then it turns out that you are rubbing the furniture with a rubber tube, although this may be a matter of habit (after 17 years of using the Mulinex vacuum cleaner, I got used to a stiffer brush). By the way, after 3 times of use, the cloth pad near the gap on the floor nozzle came off, I had to go into the dust bin for it, and then glue it in place.  But overall, a good, comfortable vacuum cleaner if you can afford to spend more than 6 thousand on it.</v>
      </c>
    </row>
    <row r="4989" spans="1:9" x14ac:dyDescent="0.3">
      <c r="A4989" s="1" t="s">
        <v>17</v>
      </c>
      <c r="B4989" s="1" t="s">
        <v>18</v>
      </c>
      <c r="C4989" s="1" t="s">
        <v>151</v>
      </c>
      <c r="D4989" s="1" t="s">
        <v>8321</v>
      </c>
      <c r="E4989" s="1" t="s">
        <v>1788</v>
      </c>
      <c r="F4989" s="1" t="s">
        <v>8322</v>
      </c>
      <c r="G4989" s="1" t="s">
        <v>36</v>
      </c>
      <c r="H4989" s="1" t="s">
        <v>29</v>
      </c>
      <c r="I4989" s="1" t="str">
        <f ca="1">IFERROR(__xludf.DUMMYFUNCTION("GOOGLETRANSLATE(F4989, ""auto"", ""en"")
"),"I’ve had the machine for six months, I’m very pleased!! The quality of the wash is excellent, a quick wash is very convenient, we hooked it up ourselves, it’s simple! Special thanks to the employees of the online store, they delivered it at the appointed "&amp;"time, unpacked it, checked everything, very polite staff, they said if you don’t like it they’ll come and pick it up within two weeks! The service in mvideo is excellent, we bought so many products, there were no problems, thank you!!!")</f>
        <v>I’ve had the machine for six months, I’m very pleased!! The quality of the wash is excellent, a quick wash is very convenient, we hooked it up ourselves, it’s simple! Special thanks to the employees of the online store, they delivered it at the appointed time, unpacked it, checked everything, very polite staff, they said if you don’t like it they’ll come and pick it up within two weeks! The service in mvideo is excellent, we bought so many products, there were no problems, thank you!!!</v>
      </c>
    </row>
    <row r="4990" spans="1:9" x14ac:dyDescent="0.3">
      <c r="A4990" s="1" t="s">
        <v>120</v>
      </c>
      <c r="B4990" s="1" t="s">
        <v>121</v>
      </c>
      <c r="C4990" s="1" t="s">
        <v>1677</v>
      </c>
      <c r="D4990" s="1" t="s">
        <v>247</v>
      </c>
      <c r="E4990" s="1" t="s">
        <v>1207</v>
      </c>
      <c r="F4990" s="1" t="s">
        <v>8323</v>
      </c>
      <c r="G4990" s="1" t="s">
        <v>36</v>
      </c>
      <c r="H4990" s="1" t="s">
        <v>29</v>
      </c>
      <c r="I4990" s="1" t="str">
        <f ca="1">IFERROR(__xludf.DUMMYFUNCTION("GOOGLETRANSLATE(F4990, ""auto"", ""en"")
"),"I've had my TV for 2 years now and I'm very happy with it. Is it possible to purchase a remote control for the same TV separately and at what price?")</f>
        <v>I've had my TV for 2 years now and I'm very happy with it. Is it possible to purchase a remote control for the same TV separately and at what price?</v>
      </c>
    </row>
    <row r="4991" spans="1:9" x14ac:dyDescent="0.3">
      <c r="A4991" s="1" t="s">
        <v>61</v>
      </c>
      <c r="B4991" s="1" t="s">
        <v>318</v>
      </c>
      <c r="C4991" s="1" t="s">
        <v>85</v>
      </c>
      <c r="D4991" s="1" t="s">
        <v>295</v>
      </c>
      <c r="E4991" s="1" t="s">
        <v>1345</v>
      </c>
      <c r="F4991" s="1" t="s">
        <v>8324</v>
      </c>
      <c r="G4991" s="1" t="s">
        <v>36</v>
      </c>
      <c r="H4991" s="1" t="s">
        <v>29</v>
      </c>
      <c r="I4991" s="1" t="str">
        <f ca="1">IFERROR(__xludf.DUMMYFUNCTION("GOOGLETRANSLATE(F4991, ""auto"", ""en"")
"),"Used for a couple of years. I'm happy with the kettle. Works fine. Heats water quickly. One minus is that it is noisy. And so there are no complaints.")</f>
        <v>Used for a couple of years. I'm happy with the kettle. Works fine. Heats water quickly. One minus is that it is noisy. And so there are no complaints.</v>
      </c>
    </row>
    <row r="4992" spans="1:9" x14ac:dyDescent="0.3">
      <c r="A4992" s="1" t="s">
        <v>206</v>
      </c>
      <c r="B4992" s="1" t="s">
        <v>1349</v>
      </c>
      <c r="C4992" s="1" t="s">
        <v>4219</v>
      </c>
      <c r="D4992" s="1" t="s">
        <v>33</v>
      </c>
      <c r="E4992" s="1" t="s">
        <v>3320</v>
      </c>
      <c r="F4992" s="1" t="s">
        <v>8325</v>
      </c>
      <c r="G4992" s="1" t="s">
        <v>28</v>
      </c>
      <c r="H4992" s="1" t="s">
        <v>29</v>
      </c>
      <c r="I4992" s="1" t="str">
        <f ca="1">IFERROR(__xludf.DUMMYFUNCTION("GOOGLETRANSLATE(F4992, ""auto"", ""en"")
"),"The radio is not bad. The menu is very well made. Nice decoration. But there are also disadvantages. The removable panel is very heavy. My DVD drive died after 10 days. Which is very sad, because... During this time I managed to like the radio tape record"&amp;"er. You can combat this by purchasing an additional Additional Service Certificate. Then if it comes up, you can always exchange it for another one :-)) For example, that’s what I did. Yes and more. For those who have a place for the radio tape recorder r"&amp;"ecessed into the dashboard, this will not work, because... the top part is not included in 1DIN")</f>
        <v>The radio is not bad. The menu is very well made. Nice decoration. But there are also disadvantages. The removable panel is very heavy. My DVD drive died after 10 days. Which is very sad, because... During this time I managed to like the radio tape recorder. You can combat this by purchasing an additional Additional Service Certificate. Then if it comes up, you can always exchange it for another one :-)) For example, that’s what I did. Yes and more. For those who have a place for the radio tape recorder recessed into the dashboard, this will not work, because... the top part is not included in 1DIN</v>
      </c>
    </row>
    <row r="4993" spans="1:9" x14ac:dyDescent="0.3">
      <c r="A4993" s="1" t="s">
        <v>211</v>
      </c>
      <c r="B4993" s="1" t="s">
        <v>410</v>
      </c>
      <c r="C4993" s="1" t="s">
        <v>213</v>
      </c>
      <c r="D4993" s="1" t="s">
        <v>102</v>
      </c>
      <c r="E4993" s="1" t="s">
        <v>2518</v>
      </c>
      <c r="F4993" s="1" t="s">
        <v>8326</v>
      </c>
      <c r="G4993" s="1" t="s">
        <v>36</v>
      </c>
      <c r="H4993" s="1" t="s">
        <v>29</v>
      </c>
      <c r="I4993" s="1" t="str">
        <f ca="1">IFERROR(__xludf.DUMMYFUNCTION("GOOGLETRANSLATE(F4993, ""auto"", ""en"")
"),"My first razor. I compared it with a huge number of razors from Braun, Philips, Panasonic, and read a lot of reviews. I decided to buy just such a model... and was not disappointed. The razor is not noisy, the vibration is not strong, and does not bother "&amp;"you. Shaves very clean, even with “non-standard” stubble growth. I am very pleased - the razor is SUPER.")</f>
        <v>My first razor. I compared it with a huge number of razors from Braun, Philips, Panasonic, and read a lot of reviews. I decided to buy just such a model... and was not disappointed. The razor is not noisy, the vibration is not strong, and does not bother you. Shaves very clean, even with “non-standard” stubble growth. I am very pleased - the razor is SUPER.</v>
      </c>
    </row>
    <row r="4994" spans="1:9" x14ac:dyDescent="0.3">
      <c r="A4994" s="1" t="s">
        <v>78</v>
      </c>
      <c r="B4994" s="1" t="s">
        <v>1163</v>
      </c>
      <c r="C4994" s="1" t="s">
        <v>1224</v>
      </c>
      <c r="D4994" s="1" t="s">
        <v>208</v>
      </c>
      <c r="E4994" s="1" t="s">
        <v>3454</v>
      </c>
      <c r="F4994" s="1" t="s">
        <v>8327</v>
      </c>
      <c r="G4994" s="1" t="s">
        <v>36</v>
      </c>
      <c r="H4994" s="1" t="s">
        <v>29</v>
      </c>
      <c r="I4994" s="1" t="str">
        <f ca="1">IFERROR(__xludf.DUMMYFUNCTION("GOOGLETRANSLATE(F4994, ""auto"", ""en"")
"),"I've been using this microwave for about a month. I bought it because it was the cheapest in the store at the moment. Classic stove. I was pleased with the quiet sound of the fan and table (I compare it with the previous Daewoo microwave).  Overall I'm ha"&amp;"ppy with the purchase.")</f>
        <v>I've been using this microwave for about a month. I bought it because it was the cheapest in the store at the moment. Classic stove. I was pleased with the quiet sound of the fan and table (I compare it with the previous Daewoo microwave).  Overall I'm happy with the purchase.</v>
      </c>
    </row>
    <row r="4995" spans="1:9" x14ac:dyDescent="0.3">
      <c r="A4995" s="1" t="s">
        <v>149</v>
      </c>
      <c r="B4995" s="1" t="s">
        <v>155</v>
      </c>
      <c r="C4995" s="1" t="s">
        <v>151</v>
      </c>
      <c r="D4995" s="1" t="s">
        <v>8328</v>
      </c>
      <c r="E4995" s="1" t="s">
        <v>1359</v>
      </c>
      <c r="F4995" s="1" t="s">
        <v>8329</v>
      </c>
      <c r="G4995" s="1" t="s">
        <v>36</v>
      </c>
      <c r="H4995" s="1" t="s">
        <v>29</v>
      </c>
      <c r="I4995" s="1" t="str">
        <f ca="1">IFERROR(__xludf.DUMMYFUNCTION("GOOGLETRANSLATE(F4995, ""auto"", ""en"")
"),"You know, I really liked this vacuum cleaner, it has excellent suction, but the fact that it collects a lot of dust, I consider this a “plus” and not a “minus” :) We took it with a special one. with a brush to collect hair! This is absolutely something, I"&amp;" collected everything I had and the carpet turned out like new! And they all hum, I don’t think anyone has gone deaf from it yet!!! Before that I had LG....it sucks so much that I don’t recommend this company to anyone! I always clean the filter and conta"&amp;"iner after each cleaning, so I haven’t noticed any inconvenience! I recommend it to everyone! Great vacuum cleaner! I have hired 2 more friends and everyone is happy!!!")</f>
        <v>You know, I really liked this vacuum cleaner, it has excellent suction, but the fact that it collects a lot of dust, I consider this a “plus” and not a “minus” :) We took it with a special one. with a brush to collect hair! This is absolutely something, I collected everything I had and the carpet turned out like new! And they all hum, I don’t think anyone has gone deaf from it yet!!! Before that I had LG....it sucks so much that I don’t recommend this company to anyone! I always clean the filter and container after each cleaning, so I haven’t noticed any inconvenience! I recommend it to everyone! Great vacuum cleaner! I have hired 2 more friends and everyone is happy!!!</v>
      </c>
    </row>
    <row r="4996" spans="1:9" x14ac:dyDescent="0.3">
      <c r="A4996" s="1" t="s">
        <v>61</v>
      </c>
      <c r="B4996" s="1" t="s">
        <v>224</v>
      </c>
      <c r="C4996" s="1" t="s">
        <v>85</v>
      </c>
      <c r="D4996" s="1" t="s">
        <v>2145</v>
      </c>
      <c r="E4996" s="1" t="s">
        <v>5215</v>
      </c>
      <c r="F4996" s="1" t="s">
        <v>8330</v>
      </c>
      <c r="G4996" s="1" t="s">
        <v>36</v>
      </c>
      <c r="H4996" s="1" t="s">
        <v>29</v>
      </c>
      <c r="I4996" s="1" t="str">
        <f ca="1">IFERROR(__xludf.DUMMYFUNCTION("GOOGLETRANSLATE(F4996, ""auto"", ""en"")
"),"I decided to change the SVShPP-301 Sadovaya and the choice fell on the Bork S700 - power 1300 watts, maximum speed 13000.5 speeds, smooth start, runs quietly and pleases the ear. I bought it 4 days ago and took it from the store to the dacha to test it. C"&amp;"ompared to Sadovaya, this is heaven and earth. 5 buckets of apples were stopped in one fell swoop just to throw out the pulp. I'm happy with the purchase, although it's a little expensive compared to other brands, but it's worth it. For some reason, other"&amp;" manufacturers do not report the minimum and maximum engine speeds, but only the power, strangely?, and the quality of the spin depends on them, I think so. In general, I bought what I wanted and I’m just crazy about it. Who doesn’t want a gimaroi, it’s b"&amp;"etter to pay extra and have a Bork of at least 700 models for finance.")</f>
        <v>I decided to change the SVShPP-301 Sadovaya and the choice fell on the Bork S700 - power 1300 watts, maximum speed 13000.5 speeds, smooth start, runs quietly and pleases the ear. I bought it 4 days ago and took it from the store to the dacha to test it. Compared to Sadovaya, this is heaven and earth. 5 buckets of apples were stopped in one fell swoop just to throw out the pulp. I'm happy with the purchase, although it's a little expensive compared to other brands, but it's worth it. For some reason, other manufacturers do not report the minimum and maximum engine speeds, but only the power, strangely?, and the quality of the spin depends on them, I think so. In general, I bought what I wanted and I’m just crazy about it. Who doesn’t want a gimaroi, it’s better to pay extra and have a Bork of at least 700 models for finance.</v>
      </c>
    </row>
    <row r="4997" spans="1:9" x14ac:dyDescent="0.3">
      <c r="A4997" s="1" t="s">
        <v>37</v>
      </c>
      <c r="B4997" s="1" t="s">
        <v>38</v>
      </c>
      <c r="C4997" s="1" t="s">
        <v>39</v>
      </c>
      <c r="D4997" s="1" t="s">
        <v>127</v>
      </c>
      <c r="E4997" s="1" t="s">
        <v>864</v>
      </c>
      <c r="F4997" s="1" t="s">
        <v>8331</v>
      </c>
      <c r="G4997" s="1" t="s">
        <v>28</v>
      </c>
      <c r="H4997" s="1" t="s">
        <v>29</v>
      </c>
      <c r="I4997" s="1" t="str">
        <f ca="1">IFERROR(__xludf.DUMMYFUNCTION("GOOGLETRANSLATE(F4997, ""auto"", ""en"")
"),"I've been using the phone for about a month.    I chose a phone that supports 3G networks with the obligatory presence of a “camera” on the front side of the phone for comfortable communication via a “video call”, costing up to 5,000 thousand rubles.    P"&amp;"ros: high-quality display that is easily readable in the sun, high-quality assembly of the case, not bad, fairly fast running firmware, convenient menu navigation, convenient Internet browser, almost accurately determines the location in the Google Maps a"&amp;"pplication.     There is only one minus, the dull sound of the speaker when talking.    Quite a decent (for that amount) phone with all the necessary options for comfortable communication on 3G networks.     I bought my phone in the silver version, but I "&amp;"recommend buying it better in red as the inscriptions on the buttons are easier to read in the light.")</f>
        <v>I've been using the phone for about a month.    I chose a phone that supports 3G networks with the obligatory presence of a “camera” on the front side of the phone for comfortable communication via a “video call”, costing up to 5,000 thousand rubles.    Pros: high-quality display that is easily readable in the sun, high-quality assembly of the case, not bad, fairly fast running firmware, convenient menu navigation, convenient Internet browser, almost accurately determines the location in the Google Maps application.     There is only one minus, the dull sound of the speaker when talking.    Quite a decent (for that amount) phone with all the necessary options for comfortable communication on 3G networks.     I bought my phone in the silver version, but I recommend buying it better in red as the inscriptions on the buttons are easier to read in the light.</v>
      </c>
    </row>
    <row r="4998" spans="1:9" x14ac:dyDescent="0.3">
      <c r="A4998" s="1" t="s">
        <v>211</v>
      </c>
      <c r="B4998" s="1" t="s">
        <v>410</v>
      </c>
      <c r="C4998" s="1" t="s">
        <v>69</v>
      </c>
      <c r="D4998" s="1" t="s">
        <v>172</v>
      </c>
      <c r="E4998" s="1" t="s">
        <v>2691</v>
      </c>
      <c r="F4998" s="1" t="s">
        <v>8332</v>
      </c>
      <c r="G4998" s="1" t="s">
        <v>36</v>
      </c>
      <c r="H4998" s="1" t="s">
        <v>29</v>
      </c>
      <c r="I4998" s="1" t="str">
        <f ca="1">IFERROR(__xludf.DUMMYFUNCTION("GOOGLETRANSLATE(F4998, ""auto"", ""en"")
"),"I've been using this razor for 2 months. Before this it was mesh, the difference is colossal. The first time I tried it dry, I didn’t particularly like it, I ran to the store for shaving foam, and that’s it, I just started getting pleasure from shaving) T"&amp;"he charge holds well, it lasts a long time, the trimmer included is also not bad.")</f>
        <v>I've been using this razor for 2 months. Before this it was mesh, the difference is colossal. The first time I tried it dry, I didn’t particularly like it, I ran to the store for shaving foam, and that’s it, I just started getting pleasure from shaving) The charge holds well, it lasts a long time, the trimmer included is also not bad.</v>
      </c>
    </row>
    <row r="4999" spans="1:9" x14ac:dyDescent="0.3">
      <c r="A4999" s="1" t="s">
        <v>624</v>
      </c>
      <c r="B4999" s="1" t="s">
        <v>625</v>
      </c>
      <c r="C4999" s="1" t="s">
        <v>479</v>
      </c>
      <c r="D4999" s="1" t="s">
        <v>152</v>
      </c>
      <c r="E4999" s="1" t="s">
        <v>1909</v>
      </c>
      <c r="F4999" s="1" t="s">
        <v>8333</v>
      </c>
      <c r="G4999" s="1" t="s">
        <v>36</v>
      </c>
      <c r="H4999" s="1" t="s">
        <v>29</v>
      </c>
      <c r="I4999" s="1" t="str">
        <f ca="1">IFERROR(__xludf.DUMMYFUNCTION("GOOGLETRANSLATE(F4999, ""auto"", ""en"")
"),"For those who already have EyePet (not Move Edition), just download the update on PSN (weighs about 2 GB) to play with Move. You need to launch such an update through the games menu (a separate icon will appear there), and not through the disk.    But in "&amp;"general, EyePet Movie Edition is more playable than its first version. A move is much more convenient than a “magic card”. Yes, and they added new free toys)")</f>
        <v>For those who already have EyePet (not Move Edition), just download the update on PSN (weighs about 2 GB) to play with Move. You need to launch such an update through the games menu (a separate icon will appear there), and not through the disk.    But in general, EyePet Movie Edition is more playable than its first version. A move is much more convenient than a “magic card”. Yes, and they added new free toys)</v>
      </c>
    </row>
    <row r="5000" spans="1:9" x14ac:dyDescent="0.3">
      <c r="A5000" s="1" t="s">
        <v>169</v>
      </c>
      <c r="B5000" s="1" t="s">
        <v>170</v>
      </c>
      <c r="C5000" s="1" t="s">
        <v>69</v>
      </c>
      <c r="D5000" s="1" t="s">
        <v>8334</v>
      </c>
      <c r="E5000" s="1" t="s">
        <v>1807</v>
      </c>
      <c r="F5000" s="1" t="s">
        <v>8335</v>
      </c>
      <c r="G5000" s="1" t="s">
        <v>36</v>
      </c>
      <c r="H5000" s="1" t="s">
        <v>29</v>
      </c>
      <c r="I5000" s="1" t="str">
        <f ca="1">IFERROR(__xludf.DUMMYFUNCTION("GOOGLETRANSLATE(F5000, ""auto"", ""en"")
"),"I bought them about 5 years ago. Super comfortable thing. I take a bath with them, wash the dishes, smoke with a glass of champagne on the balcony and everything with my favorite music!... No conflicts about my music lover with MC or anyone else, I turn i"&amp;"t on... and do whatever I want! I recommend!")</f>
        <v>I bought them about 5 years ago. Super comfortable thing. I take a bath with them, wash the dishes, smoke with a glass of champagne on the balcony and everything with my favorite music!... No conflicts about my music lover with MC or anyone else, I turn it on... and do whatever I want! I recommend!</v>
      </c>
    </row>
    <row r="5001" spans="1:9" x14ac:dyDescent="0.3">
      <c r="A5001" s="1" t="s">
        <v>37</v>
      </c>
      <c r="B5001" s="1" t="s">
        <v>38</v>
      </c>
      <c r="C5001" s="1" t="s">
        <v>39</v>
      </c>
      <c r="D5001" s="1" t="s">
        <v>456</v>
      </c>
      <c r="E5001" s="1" t="s">
        <v>2358</v>
      </c>
      <c r="F5001" s="1" t="s">
        <v>8336</v>
      </c>
      <c r="G5001" s="1" t="s">
        <v>36</v>
      </c>
      <c r="H5001" s="1" t="s">
        <v>29</v>
      </c>
      <c r="I5001" s="1" t="str">
        <f ca="1">IFERROR(__xludf.DUMMYFUNCTION("GOOGLETRANSLATE(F5001, ""auto"", ""en"")
"),"I've been using the phone for six months now, and there are no shortcomings! I really like it, easy to use! The phone works without freezing, the paint on the case does not peel off, there is enough charge! The sound quality and photos are excellent! Ligh"&amp;"tweight, compact phone! Happy with the purchase!")</f>
        <v>I've been using the phone for six months now, and there are no shortcomings! I really like it, easy to use! The phone works without freezing, the paint on the case does not peel off, there is enough charge! The sound quality and photos are excellent! Lightweight, compact phone! Happy with the purchase!</v>
      </c>
    </row>
    <row r="5002" spans="1:9" x14ac:dyDescent="0.3">
      <c r="A5002" s="1" t="s">
        <v>67</v>
      </c>
      <c r="B5002" s="1" t="s">
        <v>68</v>
      </c>
      <c r="C5002" s="1" t="s">
        <v>246</v>
      </c>
      <c r="D5002" s="1" t="s">
        <v>1744</v>
      </c>
      <c r="E5002" s="1" t="s">
        <v>2688</v>
      </c>
      <c r="F5002" s="1" t="s">
        <v>8337</v>
      </c>
      <c r="G5002" s="1" t="s">
        <v>36</v>
      </c>
      <c r="H5002" s="1" t="s">
        <v>29</v>
      </c>
      <c r="I5002" s="1" t="str">
        <f ca="1">IFERROR(__xludf.DUMMYFUNCTION("GOOGLETRANSLATE(F5002, ""auto"", ""en"")
"),"We doubted the purchase of this unit for a very long time, we looked at a lot of reviews and videos and still decided, because the price is not small. And we didn’t regret our choice for a minute. We have two small children in our family, we do laundry ev"&amp;"ery day, especially sheets, diapers, and duvet covers. But I no longer have the energy or time to iron, but with this iron the time for ironing is reduced significantly, and what a pleasure. Even my husband now asks me to iron my bed linen)))). We have a "&amp;"powerful Tefal iron, one of their latest innovations, but an iron with a steam generator is a completely different branch of development. We recommend it, you won’t regret it!!")</f>
        <v>We doubted the purchase of this unit for a very long time, we looked at a lot of reviews and videos and still decided, because the price is not small. And we didn’t regret our choice for a minute. We have two small children in our family, we do laundry every day, especially sheets, diapers, and duvet covers. But I no longer have the energy or time to iron, but with this iron the time for ironing is reduced significantly, and what a pleasure. Even my husband now asks me to iron my bed linen)))). We have a powerful Tefal iron, one of their latest innovations, but an iron with a steam generator is a completely different branch of development. We recommend it, you won’t regret it!!</v>
      </c>
    </row>
    <row r="5003" spans="1:9" x14ac:dyDescent="0.3">
      <c r="A5003" s="1" t="s">
        <v>61</v>
      </c>
      <c r="B5003" s="1" t="s">
        <v>318</v>
      </c>
      <c r="C5003" s="1" t="s">
        <v>1461</v>
      </c>
      <c r="D5003" s="1" t="s">
        <v>327</v>
      </c>
      <c r="E5003" s="1" t="s">
        <v>569</v>
      </c>
      <c r="F5003" s="1" t="s">
        <v>8338</v>
      </c>
      <c r="G5003" s="1" t="s">
        <v>49</v>
      </c>
      <c r="H5003" s="1" t="s">
        <v>16</v>
      </c>
      <c r="I5003" s="1" t="str">
        <f ca="1">IFERROR(__xludf.DUMMYFUNCTION("GOOGLETRANSLATE(F5003, ""auto"", ""en"")
"),"Bought for the office. Have been using it for over a year. It was just enough for a year, no more. After a year it started to smell like plastic. The plastic crumbles around the edges of the lid and filter, and then these small white plastic grains float "&amp;"in the cups. Then it has one “wonderful” feature of turning on spontaneously. Here people write that the kettle does not turn off after boiling, but with us, on the contrary, it is like a living thing - it turns on and heats the water itself. We do not re"&amp;"commend this kettle.")</f>
        <v>Bought for the office. Have been using it for over a year. It was just enough for a year, no more. After a year it started to smell like plastic. The plastic crumbles around the edges of the lid and filter, and then these small white plastic grains float in the cups. Then it has one “wonderful” feature of turning on spontaneously. Here people write that the kettle does not turn off after boiling, but with us, on the contrary, it is like a living thing - it turns on and heats the water itself. We do not recommend this kettle.</v>
      </c>
    </row>
    <row r="5004" spans="1:9" x14ac:dyDescent="0.3">
      <c r="A5004" s="1" t="s">
        <v>89</v>
      </c>
      <c r="B5004" s="1" t="s">
        <v>90</v>
      </c>
      <c r="C5004" s="1" t="s">
        <v>57</v>
      </c>
      <c r="D5004" s="1" t="s">
        <v>52</v>
      </c>
      <c r="E5004" s="1" t="s">
        <v>5537</v>
      </c>
      <c r="F5004" s="1" t="s">
        <v>8339</v>
      </c>
      <c r="G5004" s="1" t="s">
        <v>28</v>
      </c>
      <c r="H5004" s="1" t="s">
        <v>29</v>
      </c>
      <c r="I5004" s="1" t="str">
        <f ca="1">IFERROR(__xludf.DUMMYFUNCTION("GOOGLETRANSLATE(F5004, ""auto"", ""en"")
"),"Cheap and cheerful. It fulfills its function completely, but if we added 10-20% more engine speed and power, it would be a bestseller! When you want to grind finer, you just need to tilt it back and forth for the knife to speed up. It is easy to clean and"&amp;" ideally protects against injury during use, since if you do not put the lid on correctly and tightly, it simply will not turn on.")</f>
        <v>Cheap and cheerful. It fulfills its function completely, but if we added 10-20% more engine speed and power, it would be a bestseller! When you want to grind finer, you just need to tilt it back and forth for the knife to speed up. It is easy to clean and ideally protects against injury during use, since if you do not put the lid on correctly and tightly, it simply will not turn on.</v>
      </c>
    </row>
    <row r="5005" spans="1:9" x14ac:dyDescent="0.3">
      <c r="A5005" s="1" t="s">
        <v>78</v>
      </c>
      <c r="B5005" s="1" t="s">
        <v>79</v>
      </c>
      <c r="C5005" s="1" t="s">
        <v>80</v>
      </c>
      <c r="D5005" s="1" t="s">
        <v>171</v>
      </c>
      <c r="E5005" s="1" t="s">
        <v>543</v>
      </c>
      <c r="F5005" s="1" t="s">
        <v>8340</v>
      </c>
      <c r="G5005" s="1" t="s">
        <v>49</v>
      </c>
      <c r="H5005" s="1" t="s">
        <v>16</v>
      </c>
      <c r="I5005" s="1" t="str">
        <f ca="1">IFERROR(__xludf.DUMMYFUNCTION("GOOGLETRANSLATE(F5005, ""auto"", ""en"")
"),"I do not recommend this model. We bought it for the first time, connected it at home, it doesn’t turn on. We replaced it with the same model, it worked for 4 months and the control panel burned out. Cannot be replaced.")</f>
        <v>I do not recommend this model. We bought it for the first time, connected it at home, it doesn’t turn on. We replaced it with the same model, it worked for 4 months and the control panel burned out. Cannot be replaced.</v>
      </c>
    </row>
    <row r="5006" spans="1:9" x14ac:dyDescent="0.3">
      <c r="A5006" s="1" t="s">
        <v>17</v>
      </c>
      <c r="B5006" s="1" t="s">
        <v>18</v>
      </c>
      <c r="C5006" s="1" t="s">
        <v>80</v>
      </c>
      <c r="D5006" s="1" t="s">
        <v>774</v>
      </c>
      <c r="E5006" s="1" t="s">
        <v>1875</v>
      </c>
      <c r="F5006" s="1" t="s">
        <v>8341</v>
      </c>
      <c r="G5006" s="1" t="s">
        <v>36</v>
      </c>
      <c r="H5006" s="1" t="s">
        <v>29</v>
      </c>
      <c r="I5006" s="1" t="str">
        <f ca="1">IFERROR(__xludf.DUMMYFUNCTION("GOOGLETRANSLATE(F5006, ""auto"", ""en"")
"),"We bought this machine a few weeks ago! We really like it!!! The design is great, washes very well. But there is one thing. But we have a small child, our son, constantly presses all the buttons when the machine doesn’t wash, he really likes the music in "&amp;"it))))")</f>
        <v>We bought this machine a few weeks ago! We really like it!!! The design is great, washes very well. But there is one thing. But we have a small child, our son, constantly presses all the buttons when the machine doesn’t wash, he really likes the music in it))))</v>
      </c>
    </row>
    <row r="5007" spans="1:9" x14ac:dyDescent="0.3">
      <c r="A5007" s="1" t="s">
        <v>732</v>
      </c>
      <c r="B5007" s="1" t="s">
        <v>733</v>
      </c>
      <c r="C5007" s="1" t="s">
        <v>151</v>
      </c>
      <c r="D5007" s="1" t="s">
        <v>411</v>
      </c>
      <c r="E5007" s="1" t="s">
        <v>2341</v>
      </c>
      <c r="F5007" s="1" t="s">
        <v>8342</v>
      </c>
      <c r="G5007" s="1" t="s">
        <v>36</v>
      </c>
      <c r="H5007" s="1" t="s">
        <v>29</v>
      </c>
      <c r="I5007" s="1" t="str">
        <f ca="1">IFERROR(__xludf.DUMMYFUNCTION("GOOGLETRANSLATE(F5007, ""auto"", ""en"")
"),"The monitor is wonderful, the color rendition changes only when viewed from below, but I think few people look at the monitor from under the table. The only significant drawback in my opinion is the refresh rate of 60 Hz at a resolution of 1900x1200. Afte"&amp;"r 75 Hz on the previous monitor my eyes get tired. Here, 75 Hz is available at a resolution of 1280x1024 (4:3), which seems illogical to me for a widescreen monitor.   Perhaps it was worth waiting for the P2770 model.  My rating is 9/10.")</f>
        <v>The monitor is wonderful, the color rendition changes only when viewed from below, but I think few people look at the monitor from under the table. The only significant drawback in my opinion is the refresh rate of 60 Hz at a resolution of 1900x1200. After 75 Hz on the previous monitor my eyes get tired. Here, 75 Hz is available at a resolution of 1280x1024 (4:3), which seems illogical to me for a widescreen monitor.   Perhaps it was worth waiting for the P2770 model.  My rating is 9/10.</v>
      </c>
    </row>
    <row r="5008" spans="1:9" x14ac:dyDescent="0.3">
      <c r="A5008" s="1" t="s">
        <v>61</v>
      </c>
      <c r="B5008" s="1" t="s">
        <v>62</v>
      </c>
      <c r="C5008" s="1" t="s">
        <v>63</v>
      </c>
      <c r="D5008" s="1" t="s">
        <v>232</v>
      </c>
      <c r="E5008" s="1" t="s">
        <v>3151</v>
      </c>
      <c r="F5008" s="1" t="s">
        <v>8343</v>
      </c>
      <c r="G5008" s="1" t="s">
        <v>28</v>
      </c>
      <c r="H5008" s="1" t="s">
        <v>29</v>
      </c>
      <c r="I5008" s="1" t="str">
        <f ca="1">IFERROR(__xludf.DUMMYFUNCTION("GOOGLETRANSLATE(F5008, ""auto"", ""en"")
"),"Another attachment for cutting into larger cubes would also be nice. For example, 1.5x1.5 cm. Does anyone know where they can be ordered? Otherwise everything is fine. She is not suitable for those who want to play football with her, or for those with hoo"&amp;"k hands. For such purposes, there are stronger models that can withstand rough handling and beatings from strong hands. If it weren't for the lack of a medium grater, I would have given it a 5.")</f>
        <v>Another attachment for cutting into larger cubes would also be nice. For example, 1.5x1.5 cm. Does anyone know where they can be ordered? Otherwise everything is fine. She is not suitable for those who want to play football with her, or for those with hook hands. For such purposes, there are stronger models that can withstand rough handling and beatings from strong hands. If it weren't for the lack of a medium grater, I would have given it a 5.</v>
      </c>
    </row>
    <row r="5009" spans="1:9" x14ac:dyDescent="0.3">
      <c r="A5009" s="1" t="s">
        <v>30</v>
      </c>
      <c r="B5009" s="1" t="s">
        <v>31</v>
      </c>
      <c r="C5009" s="1" t="s">
        <v>32</v>
      </c>
      <c r="D5009" s="1" t="s">
        <v>742</v>
      </c>
      <c r="E5009" s="1" t="s">
        <v>251</v>
      </c>
      <c r="F5009" s="1" t="s">
        <v>8344</v>
      </c>
      <c r="G5009" s="1" t="s">
        <v>15</v>
      </c>
      <c r="H5009" s="1" t="s">
        <v>16</v>
      </c>
      <c r="I5009" s="1" t="str">
        <f ca="1">IFERROR(__xludf.DUMMYFUNCTION("GOOGLETRANSLATE(F5009, ""auto"", ""en"")
"),"asd (QWERT).. In this case, installing 64-bit Windows will not fix the problem.. They clearly told you that the hardware of the processor will not see 8 gigs..")</f>
        <v>asd (QWERT).. In this case, installing 64-bit Windows will not fix the problem.. They clearly told you that the hardware of the processor will not see 8 gigs..</v>
      </c>
    </row>
    <row r="5010" spans="1:9" x14ac:dyDescent="0.3">
      <c r="A5010" s="1" t="s">
        <v>120</v>
      </c>
      <c r="B5010" s="1" t="s">
        <v>121</v>
      </c>
      <c r="C5010" s="1" t="s">
        <v>97</v>
      </c>
      <c r="D5010" s="1" t="s">
        <v>3041</v>
      </c>
      <c r="E5010" s="1" t="s">
        <v>4502</v>
      </c>
      <c r="F5010" s="1" t="s">
        <v>8345</v>
      </c>
      <c r="G5010" s="1" t="s">
        <v>36</v>
      </c>
      <c r="H5010" s="1" t="s">
        <v>29</v>
      </c>
      <c r="I5010" s="1" t="str">
        <f ca="1">IFERROR(__xludf.DUMMYFUNCTION("GOOGLETRANSLATE(F5010, ""auto"", ""en"")
"),"The TV is excellent, the reception of analog channels is impressive even with a not very good antenna (I found 45 channels) + the presence of a digital tuner. It can also be used as a monitor: 1920x1080 works great and no HDMI cables are needed. There are"&amp;" some disadvantages, but they are very minor. I plan to take a second one like this for another room.")</f>
        <v>The TV is excellent, the reception of analog channels is impressive even with a not very good antenna (I found 45 channels) + the presence of a digital tuner. It can also be used as a monitor: 1920x1080 works great and no HDMI cables are needed. There are some disadvantages, but they are very minor. I plan to take a second one like this for another room.</v>
      </c>
    </row>
    <row r="5011" spans="1:9" x14ac:dyDescent="0.3">
      <c r="A5011" s="1" t="s">
        <v>852</v>
      </c>
      <c r="B5011" s="1" t="s">
        <v>853</v>
      </c>
      <c r="C5011" s="1" t="s">
        <v>356</v>
      </c>
      <c r="D5011" s="1" t="s">
        <v>8346</v>
      </c>
      <c r="E5011" s="1" t="s">
        <v>1988</v>
      </c>
      <c r="F5011" s="1" t="s">
        <v>8347</v>
      </c>
      <c r="G5011" s="1" t="s">
        <v>36</v>
      </c>
      <c r="H5011" s="1" t="s">
        <v>29</v>
      </c>
      <c r="I5011" s="1" t="str">
        <f ca="1">IFERROR(__xludf.DUMMYFUNCTION("GOOGLETRANSLATE(F5011, ""auto"", ""en"")
"),"I bought it recently! I don't regret it at all! Fast, powerful, compact, just like a real professional! Cons for me 2: a) the consultant program is not installed! b) I can’t install office in Russian, everything is in English!")</f>
        <v>I bought it recently! I don't regret it at all! Fast, powerful, compact, just like a real professional! Cons for me 2: a) the consultant program is not installed! b) I can’t install office in Russian, everything is in English!</v>
      </c>
    </row>
    <row r="5012" spans="1:9" x14ac:dyDescent="0.3">
      <c r="A5012" s="1" t="s">
        <v>17</v>
      </c>
      <c r="B5012" s="1" t="s">
        <v>18</v>
      </c>
      <c r="C5012" s="1" t="s">
        <v>19</v>
      </c>
      <c r="D5012" s="1" t="s">
        <v>172</v>
      </c>
      <c r="E5012" s="1" t="s">
        <v>3894</v>
      </c>
      <c r="F5012" s="1" t="s">
        <v>8348</v>
      </c>
      <c r="G5012" s="1" t="s">
        <v>36</v>
      </c>
      <c r="H5012" s="1" t="s">
        <v>29</v>
      </c>
      <c r="I5012" s="1" t="str">
        <f ca="1">IFERROR(__xludf.DUMMYFUNCTION("GOOGLETRANSLATE(F5012, ""auto"", ""en"")
"),"2 weeks flight is normal! It washes well, no complaints. If someone is not satisfied with the quality of the wash, buy normal powder or gel capsules. Gentlemen, whoever has noise, my advice to you is not to be lazy, take the level and set it properly. It "&amp;"washes quietly, the spin cycle is also ok. So don't worry...for the money it's a ok unit.")</f>
        <v>2 weeks flight is normal! It washes well, no complaints. If someone is not satisfied with the quality of the wash, buy normal powder or gel capsules. Gentlemen, whoever has noise, my advice to you is not to be lazy, take the level and set it properly. It washes quietly, the spin cycle is also ok. So don't worry...for the money it's a ok unit.</v>
      </c>
    </row>
    <row r="5013" spans="1:9" x14ac:dyDescent="0.3">
      <c r="A5013" s="1" t="s">
        <v>95</v>
      </c>
      <c r="B5013" s="1" t="s">
        <v>227</v>
      </c>
      <c r="C5013" s="1" t="s">
        <v>97</v>
      </c>
      <c r="D5013" s="1" t="s">
        <v>203</v>
      </c>
      <c r="E5013" s="1" t="s">
        <v>1457</v>
      </c>
      <c r="F5013" s="1" t="s">
        <v>8349</v>
      </c>
      <c r="G5013" s="1" t="s">
        <v>36</v>
      </c>
      <c r="H5013" s="1" t="s">
        <v>29</v>
      </c>
      <c r="I5013" s="1" t="str">
        <f ca="1">IFERROR(__xludf.DUMMYFUNCTION("GOOGLETRANSLATE(F5013, ""auto"", ""en"")
"),"Not bad, Slim with a 250GB hard drive plus Heavy Rain, this is profitable compared to the PS3 Slim 120Gb without games, and it’s even profitable, one game costs only 2500, but here the set costs only 16000. I advise you to buy it, the best console plus th"&amp;"e best game for this console. An excellent choice for those who don't yet have a PS3 but want to buy one.")</f>
        <v>Not bad, Slim with a 250GB hard drive plus Heavy Rain, this is profitable compared to the PS3 Slim 120Gb without games, and it’s even profitable, one game costs only 2500, but here the set costs only 16000. I advise you to buy it, the best console plus the best game for this console. An excellent choice for those who don't yet have a PS3 but want to buy one.</v>
      </c>
    </row>
    <row r="5014" spans="1:9" x14ac:dyDescent="0.3">
      <c r="A5014" s="1" t="s">
        <v>30</v>
      </c>
      <c r="B5014" s="1" t="s">
        <v>31</v>
      </c>
      <c r="C5014" s="1" t="s">
        <v>32</v>
      </c>
      <c r="D5014" s="1" t="s">
        <v>417</v>
      </c>
      <c r="E5014" s="1" t="s">
        <v>3184</v>
      </c>
      <c r="F5014" s="1" t="s">
        <v>8350</v>
      </c>
      <c r="G5014" s="1" t="s">
        <v>36</v>
      </c>
      <c r="H5014" s="1" t="s">
        <v>29</v>
      </c>
      <c r="I5014" s="1" t="str">
        <f ca="1">IFERROR(__xludf.DUMMYFUNCTION("GOOGLETRANSLATE(F5014, ""auto"", ""en"")
"),"I agree with everything said here. The system unit is assembled perfectly, nothing creaks or plays anywhere. I was very pleasantly surprised and at the same time upset by Vidyukha. The performance is excellent, but it gets so hot!!!  Because of this, the "&amp;"system unit periodically freezes. I installed an additional cooling radiator. Let's see how it all ends. And it's a very fast machine.")</f>
        <v>I agree with everything said here. The system unit is assembled perfectly, nothing creaks or plays anywhere. I was very pleasantly surprised and at the same time upset by Vidyukha. The performance is excellent, but it gets so hot!!!  Because of this, the system unit periodically freezes. I installed an additional cooling radiator. Let's see how it all ends. And it's a very fast machine.</v>
      </c>
    </row>
    <row r="5015" spans="1:9" x14ac:dyDescent="0.3">
      <c r="A5015" s="1" t="s">
        <v>211</v>
      </c>
      <c r="B5015" s="1" t="s">
        <v>212</v>
      </c>
      <c r="C5015" s="1" t="s">
        <v>381</v>
      </c>
      <c r="D5015" s="1" t="s">
        <v>308</v>
      </c>
      <c r="E5015" s="1" t="s">
        <v>2371</v>
      </c>
      <c r="F5015" s="1" t="s">
        <v>8351</v>
      </c>
      <c r="G5015" s="1" t="s">
        <v>36</v>
      </c>
      <c r="H5015" s="1" t="s">
        <v>29</v>
      </c>
      <c r="I5015" s="1" t="str">
        <f ca="1">IFERROR(__xludf.DUMMYFUNCTION("GOOGLETRANSLATE(F5015, ""auto"", ""en"")
"),"I really like it, I haven’t regretted a single day that I bought them. I have very curly hair, I wouldn’t say it’s thin, but 140-150 degrees is enough for me to straighten my hair. I'm happy.")</f>
        <v>I really like it, I haven’t regretted a single day that I bought them. I have very curly hair, I wouldn’t say it’s thin, but 140-150 degrees is enough for me to straighten my hair. I'm happy.</v>
      </c>
    </row>
    <row r="5016" spans="1:9" x14ac:dyDescent="0.3">
      <c r="A5016" s="1" t="s">
        <v>1823</v>
      </c>
      <c r="B5016" s="1" t="s">
        <v>1824</v>
      </c>
      <c r="C5016" s="1" t="s">
        <v>1825</v>
      </c>
      <c r="D5016" s="1" t="s">
        <v>12</v>
      </c>
      <c r="E5016" s="1" t="s">
        <v>8352</v>
      </c>
      <c r="F5016" s="1" t="s">
        <v>8353</v>
      </c>
      <c r="G5016" s="1" t="s">
        <v>15</v>
      </c>
      <c r="H5016" s="1" t="s">
        <v>16</v>
      </c>
      <c r="I5016" s="1" t="str">
        <f ca="1">IFERROR(__xludf.DUMMYFUNCTION("GOOGLETRANSLATE(F5016, ""auto"", ""en"")
"),"To be honest, we have been using this board for a long time, but every time we use it we remember all the worst words. The thing is that even with its considerable weight, the board wobbles very much, the holder-holder for folding/unfolding the board brok"&amp;"e after a week of use and now the board is held in the folded position only with the help of a cord wrapped around it. Nothing good can be said about the cover and the cotton lining underneath it either; it is not secured to the frame in any way, it const"&amp;"antly fidgets and gets confused.   I don’t recommend spending money on this copy, the quality is zero!")</f>
        <v>To be honest, we have been using this board for a long time, but every time we use it we remember all the worst words. The thing is that even with its considerable weight, the board wobbles very much, the holder-holder for folding/unfolding the board broke after a week of use and now the board is held in the folded position only with the help of a cord wrapped around it. Nothing good can be said about the cover and the cotton lining underneath it either; it is not secured to the frame in any way, it constantly fidgets and gets confused.   I don’t recommend spending money on this copy, the quality is zero!</v>
      </c>
    </row>
    <row r="5017" spans="1:9" x14ac:dyDescent="0.3">
      <c r="A5017" s="1" t="s">
        <v>43</v>
      </c>
      <c r="B5017" s="1" t="s">
        <v>1370</v>
      </c>
      <c r="C5017" s="1" t="s">
        <v>2137</v>
      </c>
      <c r="D5017" s="1" t="s">
        <v>208</v>
      </c>
      <c r="E5017" s="1" t="s">
        <v>1565</v>
      </c>
      <c r="F5017" s="1" t="s">
        <v>8354</v>
      </c>
      <c r="G5017" s="1" t="s">
        <v>36</v>
      </c>
      <c r="H5017" s="1" t="s">
        <v>29</v>
      </c>
      <c r="I5017" s="1" t="str">
        <f ca="1">IFERROR(__xludf.DUMMYFUNCTION("GOOGLETRANSLATE(F5017, ""auto"", ""en"")
"),"I bought it in the spring of 2010, during the hot water outage it proved to be more than worthy, 3Kv was called for both to rinse a one-year-old child and to allow an adult to take a full shower.  Unlike previous reviews, I had screws and dowels included,"&amp;" and the shower diffuser was undamaged. In general, the unit is very worthy for such a price.")</f>
        <v>I bought it in the spring of 2010, during the hot water outage it proved to be more than worthy, 3Kv was called for both to rinse a one-year-old child and to allow an adult to take a full shower.  Unlike previous reviews, I had screws and dowels included, and the shower diffuser was undamaged. In general, the unit is very worthy for such a price.</v>
      </c>
    </row>
    <row r="5018" spans="1:9" x14ac:dyDescent="0.3">
      <c r="A5018" s="1" t="s">
        <v>61</v>
      </c>
      <c r="B5018" s="1" t="s">
        <v>145</v>
      </c>
      <c r="C5018" s="1" t="s">
        <v>69</v>
      </c>
      <c r="D5018" s="1" t="s">
        <v>152</v>
      </c>
      <c r="E5018" s="1" t="s">
        <v>663</v>
      </c>
      <c r="F5018" s="1" t="s">
        <v>8355</v>
      </c>
      <c r="G5018" s="1" t="s">
        <v>36</v>
      </c>
      <c r="H5018" s="1" t="s">
        <v>29</v>
      </c>
      <c r="I5018" s="1" t="str">
        <f ca="1">IFERROR(__xludf.DUMMYFUNCTION("GOOGLETRANSLATE(F5018, ""auto"", ""en"")
"),"Compared to my previous steamer, it has become more convenient to wash the plastic tiers, since the holes are oval and wash out well. The advantage is that there is a “mesh” for seasonings, you can put whatever you want, the aroma will be not only in the "&amp;"product being prepared, but throughout the apartment, which I like.  The power of 900 W is enough to bake the most difficult meat.")</f>
        <v>Compared to my previous steamer, it has become more convenient to wash the plastic tiers, since the holes are oval and wash out well. The advantage is that there is a “mesh” for seasonings, you can put whatever you want, the aroma will be not only in the product being prepared, but throughout the apartment, which I like.  The power of 900 W is enough to bake the most difficult meat.</v>
      </c>
    </row>
    <row r="5019" spans="1:9" x14ac:dyDescent="0.3">
      <c r="A5019" s="1" t="s">
        <v>37</v>
      </c>
      <c r="B5019" s="1" t="s">
        <v>355</v>
      </c>
      <c r="C5019" s="1" t="s">
        <v>356</v>
      </c>
      <c r="D5019" s="1" t="s">
        <v>117</v>
      </c>
      <c r="E5019" s="1" t="s">
        <v>4486</v>
      </c>
      <c r="F5019" s="1" t="s">
        <v>8356</v>
      </c>
      <c r="G5019" s="1" t="s">
        <v>36</v>
      </c>
      <c r="H5019" s="1" t="s">
        <v>29</v>
      </c>
      <c r="I5019" s="1" t="str">
        <f ca="1">IFERROR(__xludf.DUMMYFUNCTION("GOOGLETRANSLATE(F5019, ""auto"", ""en"")
"),"Here it is, a new milestone in the history of the development of the ideal mobile phone. Apple, as always, was ahead of everyone, as they say, by a head at a time when its previous brainchild had just begun to catch up with the products of its competitors"&amp;". I don’t understand those who can say something bad about the products of this company, but at the same time I realize that there will always be Apple haters. The situation is the same as with Mac OS and Windows. Few people have tried the Mac, but many a"&amp;"re drooling, proving that “Winda” is the best in the world. (Just for example, Mr. Medvedev has a Macbook Pro of the latest generation, maybe this will at least tell Microsoft supporters something.) Let’s return to the topic - complaints about the “lack o"&amp;"f bluetooth” (I apologize, but at this moment I went for a long time, as they say, “under the table”), they completely blew me away. Friends! The iPhone has bluetooth, imagine, it even works, otherwise The fact that some people don’t bother to go to the “"&amp;"Settings” menu really upsets me. Camera? Why does a device of this class need a super-duper camera? Is that what things like that are bought for? (oh yes, I’ll explain to some “camera experts” that the quality of photos does not depend on the number of me"&amp;"gapixels, but on the optics, which is also absent as such in the WM devices you so love). My acquaintance with the iPhone began two years ago, when I was given 3G. I am pleased with the device in every way, iTunes is very convenient for storing video and "&amp;"audio libraries with subsequent synchronization with the iPhone/iPod. The AppStore is simply a fairy tale, even though the Russian part of it is still very poorly developed. Regarding the problem of overheating of 3Gs, yes, this exists, but my 3Gs, even a"&amp;"t maximum load, even if it gets very hot, no problems arise, the temperature does not rise so much that it is impossible to hold it in your hand.  P.S - after getting acquainted with Mac and iPhone, I realized that for me there is nothing better than Appl"&amp;"e technology in this area, I advise you to try it too, and only then, I apologize, throw mud at it.  P.S.S - I’m looking forward to June and the appearance of iPhone OS 4.0, then the “iPhone” will definitely be ideal for me (and at the same time the possi"&amp;"ble debut of the iPhone 4G)")</f>
        <v>Here it is, a new milestone in the history of the development of the ideal mobile phone. Apple, as always, was ahead of everyone, as they say, by a head at a time when its previous brainchild had just begun to catch up with the products of its competitors. I don’t understand those who can say something bad about the products of this company, but at the same time I realize that there will always be Apple haters. The situation is the same as with Mac OS and Windows. Few people have tried the Mac, but many are drooling, proving that “Winda” is the best in the world. (Just for example, Mr. Medvedev has a Macbook Pro of the latest generation, maybe this will at least tell Microsoft supporters something.) Let’s return to the topic - complaints about the “lack of bluetooth” (I apologize, but at this moment I went for a long time, as they say, “under the table”), they completely blew me away. Friends! The iPhone has bluetooth, imagine, it even works, otherwise The fact that some people don’t bother to go to the “Settings” menu really upsets me. Camera? Why does a device of this class need a super-duper camera? Is that what things like that are bought for? (oh yes, I’ll explain to some “camera experts” that the quality of photos does not depend on the number of megapixels, but on the optics, which is also absent as such in the WM devices you so love). My acquaintance with the iPhone began two years ago, when I was given 3G. I am pleased with the device in every way, iTunes is very convenient for storing video and audio libraries with subsequent synchronization with the iPhone/iPod. The AppStore is simply a fairy tale, even though the Russian part of it is still very poorly developed. Regarding the problem of overheating of 3Gs, yes, this exists, but my 3Gs, even at maximum load, even if it gets very hot, no problems arise, the temperature does not rise so much that it is impossible to hold it in your hand.  P.S - after getting acquainted with Mac and iPhone, I realized that for me there is nothing better than Apple technology in this area, I advise you to try it too, and only then, I apologize, throw mud at it.  P.S.S - I’m looking forward to June and the appearance of iPhone OS 4.0, then the “iPhone” will definitely be ideal for me (and at the same time the possible debut of the iPhone 4G)</v>
      </c>
    </row>
    <row r="5020" spans="1:9" x14ac:dyDescent="0.3">
      <c r="A5020" s="1" t="s">
        <v>169</v>
      </c>
      <c r="B5020" s="1" t="s">
        <v>170</v>
      </c>
      <c r="C5020" s="1" t="s">
        <v>193</v>
      </c>
      <c r="D5020" s="1" t="s">
        <v>335</v>
      </c>
      <c r="E5020" s="1" t="s">
        <v>1410</v>
      </c>
      <c r="F5020" s="1" t="s">
        <v>8357</v>
      </c>
      <c r="G5020" s="1" t="s">
        <v>1580</v>
      </c>
      <c r="H5020" s="1" t="s">
        <v>29</v>
      </c>
      <c r="I5020" s="1" t="str">
        <f ca="1">IFERROR(__xludf.DUMMYFUNCTION("GOOGLETRANSLATE(F5020, ""auto"", ""en"")
"),"Good loud clear sound, stays exactly on the ear, both with earbuds and without them")</f>
        <v>Good loud clear sound, stays exactly on the ear, both with earbuds and without them</v>
      </c>
    </row>
    <row r="5021" spans="1:9" x14ac:dyDescent="0.3">
      <c r="A5021" s="1" t="s">
        <v>61</v>
      </c>
      <c r="B5021" s="1" t="s">
        <v>224</v>
      </c>
      <c r="C5021" s="1" t="s">
        <v>85</v>
      </c>
      <c r="D5021" s="1" t="s">
        <v>5918</v>
      </c>
      <c r="E5021" s="1" t="s">
        <v>2354</v>
      </c>
      <c r="F5021" s="1" t="s">
        <v>8358</v>
      </c>
      <c r="G5021" s="1" t="s">
        <v>36</v>
      </c>
      <c r="H5021" s="1" t="s">
        <v>29</v>
      </c>
      <c r="I5021" s="1" t="str">
        <f ca="1">IFERROR(__xludf.DUMMYFUNCTION("GOOGLETRANSLATE(F5021, ""auto"", ""en"")
"),"I purchased the juicer with great pleasure, although the price is high, it took me a long time to decide on it, but now with confidence, I’ve been using it every day for almost six months, I can say that it justifies itself, not only pays for itself with "&amp;"natural juice, but also pleases with the benefits of vitamins it brings. I was pleased with the moment when she easily squeezed a small lime, now I am content with refreshing cocktails. I rate my choice as a 5 plus. Enjoy yourselves to your benefit.")</f>
        <v>I purchased the juicer with great pleasure, although the price is high, it took me a long time to decide on it, but now with confidence, I’ve been using it every day for almost six months, I can say that it justifies itself, not only pays for itself with natural juice, but also pleases with the benefits of vitamins it brings. I was pleased with the moment when she easily squeezed a small lime, now I am content with refreshing cocktails. I rate my choice as a 5 plus. Enjoy yourselves to your benefit.</v>
      </c>
    </row>
    <row r="5022" spans="1:9" x14ac:dyDescent="0.3">
      <c r="A5022" s="1" t="s">
        <v>120</v>
      </c>
      <c r="B5022" s="1" t="s">
        <v>121</v>
      </c>
      <c r="C5022" s="1" t="s">
        <v>80</v>
      </c>
      <c r="D5022" s="1" t="s">
        <v>1776</v>
      </c>
      <c r="E5022" s="1" t="s">
        <v>1909</v>
      </c>
      <c r="F5022" s="1" t="s">
        <v>8359</v>
      </c>
      <c r="G5022" s="1" t="s">
        <v>36</v>
      </c>
      <c r="H5022" s="1" t="s">
        <v>29</v>
      </c>
      <c r="I5022" s="1" t="str">
        <f ca="1">IFERROR(__xludf.DUMMYFUNCTION("GOOGLETRANSLATE(F5022, ""auto"", ""en"")
"),"The TV is just super, I bought it on October 28, 2010!!!  Set it up, SUPER sound and SUPER picture! PERFECTLY suits the interior!!! The style is value for money and I recommend it to EVERYONE!!!!!! I don’t understand how to Unblock USB, if anyone knows, w"&amp;"rite to crazy_Daniil@mail.ru")</f>
        <v>The TV is just super, I bought it on October 28, 2010!!!  Set it up, SUPER sound and SUPER picture! PERFECTLY suits the interior!!! The style is value for money and I recommend it to EVERYONE!!!!!! I don’t understand how to Unblock USB, if anyone knows, write to crazy_Daniil@mail.ru</v>
      </c>
    </row>
    <row r="5023" spans="1:9" x14ac:dyDescent="0.3">
      <c r="A5023" s="1" t="s">
        <v>17</v>
      </c>
      <c r="B5023" s="1" t="s">
        <v>18</v>
      </c>
      <c r="C5023" s="1" t="s">
        <v>243</v>
      </c>
      <c r="D5023" s="1" t="s">
        <v>52</v>
      </c>
      <c r="E5023" s="1" t="s">
        <v>5687</v>
      </c>
      <c r="F5023" s="1" t="s">
        <v>8360</v>
      </c>
      <c r="G5023" s="1" t="s">
        <v>15</v>
      </c>
      <c r="H5023" s="1" t="s">
        <v>16</v>
      </c>
      <c r="I5023" s="1" t="str">
        <f ca="1">IFERROR(__xludf.DUMMYFUNCTION("GOOGLETRANSLATE(F5023, ""auto"", ""en"")
"),"This is my third washing machine. All the previous ones were Indesit, I chose this model, besides, it is similar to my 2nd washing machine, only it is not narrow and has been working for the 6th year. The main problems the owners have are problems with op"&amp;"ening the powder tray and electrical problems: the program board is not connected or is missing, etc. Unfortunately, I ran into a second problem. On the 2nd wash, during the spin cycle, the screen began to flash over time until the end of the wash; on the"&amp;" 3rd wash, during the spin cycle, it went out completely :( Apparently the contact of the board has finally come off due to shaking. With the localization of production, the quality of the goods is significantly deteriorating. My first dear Indesit is sti"&amp;"ll working, although it is already 16 years old...")</f>
        <v>This is my third washing machine. All the previous ones were Indesit, I chose this model, besides, it is similar to my 2nd washing machine, only it is not narrow and has been working for the 6th year. The main problems the owners have are problems with opening the powder tray and electrical problems: the program board is not connected or is missing, etc. Unfortunately, I ran into a second problem. On the 2nd wash, during the spin cycle, the screen began to flash over time until the end of the wash; on the 3rd wash, during the spin cycle, it went out completely :( Apparently the contact of the board has finally come off due to shaking. With the localization of production, the quality of the goods is significantly deteriorating. My first dear Indesit is still working, although it is already 16 years old...</v>
      </c>
    </row>
    <row r="5024" spans="1:9" x14ac:dyDescent="0.3">
      <c r="A5024" s="1" t="s">
        <v>811</v>
      </c>
      <c r="B5024" s="1" t="s">
        <v>812</v>
      </c>
      <c r="C5024" s="1" t="s">
        <v>813</v>
      </c>
      <c r="D5024" s="1" t="s">
        <v>8361</v>
      </c>
      <c r="E5024" s="1" t="s">
        <v>6031</v>
      </c>
      <c r="F5024" s="1" t="s">
        <v>8362</v>
      </c>
      <c r="G5024" s="1" t="s">
        <v>36</v>
      </c>
      <c r="H5024" s="1" t="s">
        <v>29</v>
      </c>
      <c r="I5024" s="1" t="str">
        <f ca="1">IFERROR(__xludf.DUMMYFUNCTION("GOOGLETRANSLATE(F5024, ""auto"", ""en"")
"),"The tripod is simply amazing!  Durable, stable, can withstand heavy weight.   It is also convenient to use it when shooting video handheld - as a kind of stabilizer.")</f>
        <v>The tripod is simply amazing!  Durable, stable, can withstand heavy weight.   It is also convenient to use it when shooting video handheld - as a kind of stabilizer.</v>
      </c>
    </row>
    <row r="5025" spans="1:9" x14ac:dyDescent="0.3">
      <c r="A5025" s="1" t="s">
        <v>169</v>
      </c>
      <c r="B5025" s="1" t="s">
        <v>170</v>
      </c>
      <c r="C5025" s="1" t="s">
        <v>171</v>
      </c>
      <c r="D5025" s="1" t="s">
        <v>8363</v>
      </c>
      <c r="E5025" s="1" t="s">
        <v>1858</v>
      </c>
      <c r="F5025" s="1" t="s">
        <v>8364</v>
      </c>
      <c r="G5025" s="1" t="s">
        <v>36</v>
      </c>
      <c r="H5025" s="1" t="s">
        <v>29</v>
      </c>
      <c r="I5025" s="1" t="str">
        <f ca="1">IFERROR(__xludf.DUMMYFUNCTION("GOOGLETRANSLATE(F5025, ""auto"", ""en"")
"),"I bought this model a week ago.. And I was pleasantly surprised not only by the quality of the product but also by how they sound.. I recommend it to everyone. I really liked it.")</f>
        <v>I bought this model a week ago.. And I was pleasantly surprised not only by the quality of the product but also by how they sound.. I recommend it to everyone. I really liked it.</v>
      </c>
    </row>
    <row r="5026" spans="1:9" x14ac:dyDescent="0.3">
      <c r="A5026" s="1" t="s">
        <v>43</v>
      </c>
      <c r="B5026" s="1" t="s">
        <v>334</v>
      </c>
      <c r="C5026" s="1" t="s">
        <v>101</v>
      </c>
      <c r="D5026" s="1" t="s">
        <v>8365</v>
      </c>
      <c r="E5026" s="1" t="s">
        <v>8366</v>
      </c>
      <c r="F5026" s="1" t="s">
        <v>8367</v>
      </c>
      <c r="G5026" s="1" t="s">
        <v>36</v>
      </c>
      <c r="H5026" s="1" t="s">
        <v>29</v>
      </c>
      <c r="I5026" s="1" t="str">
        <f ca="1">IFERROR(__xludf.DUMMYFUNCTION("GOOGLETRANSLATE(F5026, ""auto"", ""en"")
"),"Advantages - does not heat up - does not make much noise - blows quite strongly for its parameters - price - the rest is in the specifications Disadvantages - the screw slows down until it turns completely to the right - there is no fastening for the embl"&amp;"em - there was 1 screw missing on the leg (maybe only for me) - no choice of colors Comment Overall, I’m happy with the purchase, I got it on sale")</f>
        <v>Advantages - does not heat up - does not make much noise - blows quite strongly for its parameters - price - the rest is in the specifications Disadvantages - the screw slows down until it turns completely to the right - there is no fastening for the emblem - there was 1 screw missing on the leg (maybe only for me) - no choice of colors Comment Overall, I’m happy with the purchase, I got it on sale</v>
      </c>
    </row>
    <row r="5027" spans="1:9" x14ac:dyDescent="0.3">
      <c r="A5027" s="1" t="s">
        <v>61</v>
      </c>
      <c r="B5027" s="1" t="s">
        <v>318</v>
      </c>
      <c r="C5027" s="1" t="s">
        <v>101</v>
      </c>
      <c r="D5027" s="1" t="s">
        <v>456</v>
      </c>
      <c r="E5027" s="1" t="s">
        <v>8368</v>
      </c>
      <c r="F5027" s="1" t="s">
        <v>8369</v>
      </c>
      <c r="G5027" s="1" t="s">
        <v>36</v>
      </c>
      <c r="H5027" s="1" t="s">
        <v>29</v>
      </c>
      <c r="I5027" s="1" t="str">
        <f ca="1">IFERROR(__xludf.DUMMYFUNCTION("GOOGLETRANSLATE(F5027, ""auto"", ""en"")
"),"Great kettle! It has been in service for 2 years. Beautiful lighting pleases the eye. Boils quickly. I bought it with bonuses, and this is doubly nice. Very pleased with the purchase.")</f>
        <v>Great kettle! It has been in service for 2 years. Beautiful lighting pleases the eye. Boils quickly. I bought it with bonuses, and this is doubly nice. Very pleased with the purchase.</v>
      </c>
    </row>
    <row r="5028" spans="1:9" x14ac:dyDescent="0.3">
      <c r="A5028" s="1" t="s">
        <v>61</v>
      </c>
      <c r="B5028" s="1" t="s">
        <v>726</v>
      </c>
      <c r="C5028" s="1" t="s">
        <v>146</v>
      </c>
      <c r="D5028" s="1" t="s">
        <v>64</v>
      </c>
      <c r="E5028" s="1" t="s">
        <v>2393</v>
      </c>
      <c r="F5028" s="1" t="s">
        <v>8370</v>
      </c>
      <c r="G5028" s="1" t="s">
        <v>36</v>
      </c>
      <c r="H5028" s="1" t="s">
        <v>29</v>
      </c>
      <c r="I5028" s="1" t="str">
        <f ca="1">IFERROR(__xludf.DUMMYFUNCTION("GOOGLETRANSLATE(F5028, ""auto"", ""en"")
"),"Excellent bread preparation")</f>
        <v>Excellent bread preparation</v>
      </c>
    </row>
    <row r="5029" spans="1:9" x14ac:dyDescent="0.3">
      <c r="A5029" s="1" t="s">
        <v>61</v>
      </c>
      <c r="B5029" s="1" t="s">
        <v>318</v>
      </c>
      <c r="C5029" s="1" t="s">
        <v>69</v>
      </c>
      <c r="D5029" s="1" t="s">
        <v>46</v>
      </c>
      <c r="E5029" s="1" t="s">
        <v>4818</v>
      </c>
      <c r="F5029" s="1" t="s">
        <v>8371</v>
      </c>
      <c r="G5029" s="1" t="s">
        <v>28</v>
      </c>
      <c r="H5029" s="1" t="s">
        <v>29</v>
      </c>
      <c r="I5029" s="1" t="str">
        <f ca="1">IFERROR(__xludf.DUMMYFUNCTION("GOOGLETRANSLATE(F5029, ""auto"", ""en"")
"),"In principle, the kettle is not bad. I had it for 2 years, after which it started leaking.")</f>
        <v>In principle, the kettle is not bad. I had it for 2 years, after which it started leaking.</v>
      </c>
    </row>
    <row r="5030" spans="1:9" x14ac:dyDescent="0.3">
      <c r="A5030" s="1" t="s">
        <v>67</v>
      </c>
      <c r="B5030" s="1" t="s">
        <v>68</v>
      </c>
      <c r="C5030" s="1" t="s">
        <v>1461</v>
      </c>
      <c r="D5030" s="1" t="s">
        <v>2923</v>
      </c>
      <c r="E5030" s="1" t="s">
        <v>3560</v>
      </c>
      <c r="F5030" s="1" t="s">
        <v>8372</v>
      </c>
      <c r="G5030" s="1" t="s">
        <v>15</v>
      </c>
      <c r="H5030" s="1" t="s">
        <v>16</v>
      </c>
      <c r="I5030" s="1" t="str">
        <f ca="1">IFERROR(__xludf.DUMMYFUNCTION("GOOGLETRANSLATE(F5030, ""auto"", ""en"")
"),"He lives a long time, already two years. It smells bad - that's a fact. But he has one problem. It doesn't smooth out well. The fabric seems to be smooth, but wrinkled.")</f>
        <v>He lives a long time, already two years. It smells bad - that's a fact. But he has one problem. It doesn't smooth out well. The fabric seems to be smooth, but wrinkled.</v>
      </c>
    </row>
    <row r="5031" spans="1:9" x14ac:dyDescent="0.3">
      <c r="A5031" s="1" t="s">
        <v>211</v>
      </c>
      <c r="B5031" s="1" t="s">
        <v>212</v>
      </c>
      <c r="C5031" s="1" t="s">
        <v>381</v>
      </c>
      <c r="D5031" s="1" t="s">
        <v>308</v>
      </c>
      <c r="E5031" s="1" t="s">
        <v>2033</v>
      </c>
      <c r="F5031" s="1" t="s">
        <v>8373</v>
      </c>
      <c r="G5031" s="1" t="s">
        <v>36</v>
      </c>
      <c r="H5031" s="1" t="s">
        <v>29</v>
      </c>
      <c r="I5031" s="1" t="str">
        <f ca="1">IFERROR(__xludf.DUMMYFUNCTION("GOOGLETRANSLATE(F5031, ""auto"", ""en"")
"),"Wonderful thing! And it straightens curly hair super and keeps volume. No need to run to salons for styling. I bought it three years ago and I want to buy another one. So this is an excellent hair dryer for both curly hair and medium to short hair lengths"&amp;". You just need to be able to lay it down, and that’s just skill.")</f>
        <v>Wonderful thing! And it straightens curly hair super and keeps volume. No need to run to salons for styling. I bought it three years ago and I want to buy another one. So this is an excellent hair dryer for both curly hair and medium to short hair lengths. You just need to be able to lay it down, and that’s just skill.</v>
      </c>
    </row>
    <row r="5032" spans="1:9" x14ac:dyDescent="0.3">
      <c r="A5032" s="1" t="s">
        <v>61</v>
      </c>
      <c r="B5032" s="1" t="s">
        <v>318</v>
      </c>
      <c r="C5032" s="1" t="s">
        <v>63</v>
      </c>
      <c r="D5032" s="1" t="s">
        <v>295</v>
      </c>
      <c r="E5032" s="1" t="s">
        <v>8374</v>
      </c>
      <c r="F5032" s="1" t="s">
        <v>8375</v>
      </c>
      <c r="G5032" s="1" t="s">
        <v>36</v>
      </c>
      <c r="H5032" s="1" t="s">
        <v>29</v>
      </c>
      <c r="I5032" s="1" t="str">
        <f ca="1">IFERROR(__xludf.DUMMYFUNCTION("GOOGLETRANSLATE(F5032, ""auto"", ""en"")
"),"So I wanted a red Bosch kitchen set: a kettle, a toaster, a coffee maker and that’s it!!! And the first exhibit in my kitchen appeared, a 1.7 liter kettle.. - For the first month, the boiling water had a plastic smell, which of course upset me! Over time,"&amp;" it disappeared. - The handle is made of matte plastic, it fits on only one side, and is comfortable. Scale appears like with all teapots, - It hasn’t broken after a year of use, it works very, very noisy!!  - Small volume for a family with a child (!), -"&amp;" I still haven’t gotten used to the switch and think about it every time. It works inside out: when you turn it on, you need to press the key down like a light switch in a room. To turn off, press the up key. Despite all the disadvantages, I am satisfied "&amp;"with it and use it with pleasure. I enjoy its appearance. Later I got a toaster of the same series from the Bosch brand. Now they work in unison and please the owner.")</f>
        <v>So I wanted a red Bosch kitchen set: a kettle, a toaster, a coffee maker and that’s it!!! And the first exhibit in my kitchen appeared, a 1.7 liter kettle.. - For the first month, the boiling water had a plastic smell, which of course upset me! Over time, it disappeared. - The handle is made of matte plastic, it fits on only one side, and is comfortable. Scale appears like with all teapots, - It hasn’t broken after a year of use, it works very, very noisy!!  - Small volume for a family with a child (!), - I still haven’t gotten used to the switch and think about it every time. It works inside out: when you turn it on, you need to press the key down like a light switch in a room. To turn off, press the up key. Despite all the disadvantages, I am satisfied with it and use it with pleasure. I enjoy its appearance. Later I got a toaster of the same series from the Bosch brand. Now they work in unison and please the owner.</v>
      </c>
    </row>
    <row r="5033" spans="1:9" x14ac:dyDescent="0.3">
      <c r="A5033" s="1" t="s">
        <v>732</v>
      </c>
      <c r="B5033" s="1" t="s">
        <v>733</v>
      </c>
      <c r="C5033" s="1" t="s">
        <v>80</v>
      </c>
      <c r="D5033" s="1" t="s">
        <v>171</v>
      </c>
      <c r="E5033" s="1" t="s">
        <v>540</v>
      </c>
      <c r="F5033" s="1" t="s">
        <v>8376</v>
      </c>
      <c r="G5033" s="1" t="s">
        <v>36</v>
      </c>
      <c r="H5033" s="1" t="s">
        <v>29</v>
      </c>
      <c r="I5033" s="1" t="str">
        <f ca="1">IFERROR(__xludf.DUMMYFUNCTION("GOOGLETRANSLATE(F5033, ""auto"", ""en"")
"),"An excellent monitor, they write the truth about the price-quality ratio)) Suitable for both films and modern games.")</f>
        <v>An excellent monitor, they write the truth about the price-quality ratio)) Suitable for both films and modern games.</v>
      </c>
    </row>
    <row r="5034" spans="1:9" x14ac:dyDescent="0.3">
      <c r="A5034" s="1" t="s">
        <v>89</v>
      </c>
      <c r="B5034" s="1" t="s">
        <v>90</v>
      </c>
      <c r="C5034" s="1" t="s">
        <v>57</v>
      </c>
      <c r="D5034" s="1" t="s">
        <v>240</v>
      </c>
      <c r="E5034" s="1" t="s">
        <v>2393</v>
      </c>
      <c r="F5034" s="1" t="s">
        <v>8377</v>
      </c>
      <c r="G5034" s="1" t="s">
        <v>36</v>
      </c>
      <c r="H5034" s="1" t="s">
        <v>29</v>
      </c>
      <c r="I5034" s="1" t="str">
        <f ca="1">IFERROR(__xludf.DUMMYFUNCTION("GOOGLETRANSLATE(F5034, ""auto"", ""en"")
"),"It can grind grains quickly and efficiently, I would be completely satisfied if it weren’t for a serious drawback")</f>
        <v>It can grind grains quickly and efficiently, I would be completely satisfied if it weren’t for a serious drawback</v>
      </c>
    </row>
    <row r="5035" spans="1:9" x14ac:dyDescent="0.3">
      <c r="A5035" s="1" t="s">
        <v>30</v>
      </c>
      <c r="B5035" s="1" t="s">
        <v>31</v>
      </c>
      <c r="C5035" s="1" t="s">
        <v>32</v>
      </c>
      <c r="D5035" s="1" t="s">
        <v>172</v>
      </c>
      <c r="E5035" s="1" t="s">
        <v>3073</v>
      </c>
      <c r="F5035" s="1" t="s">
        <v>8378</v>
      </c>
      <c r="G5035" s="1" t="s">
        <v>28</v>
      </c>
      <c r="H5035" s="1" t="s">
        <v>29</v>
      </c>
      <c r="I5035" s="1" t="str">
        <f ca="1">IFERROR(__xludf.DUMMYFUNCTION("GOOGLETRANSLATE(F5035, ""auto"", ""en"")
"),"I just bought the product and have not used it yet. The first impression is the flimsy design of the power buttons and the DVD drive eject buttons. How to do a mechanical reboot is not at all clear. The complete absence of accompanying documents in Russia"&amp;"n, and in foreign languages ​​only information about the warranty. I was pleased with Windows 7. I chose the product through an advertising campaign in the newspaper, I was seduced by the technical characteristics and price. And so the appearance is very "&amp;"original, the unusually small body is well made and impressive. Everything new is unusual, we’ll work on it and see. I recommend this product for its low price, good technical characteristics and original appearance.")</f>
        <v>I just bought the product and have not used it yet. The first impression is the flimsy design of the power buttons and the DVD drive eject buttons. How to do a mechanical reboot is not at all clear. The complete absence of accompanying documents in Russian, and in foreign languages ​​only information about the warranty. I was pleased with Windows 7. I chose the product through an advertising campaign in the newspaper, I was seduced by the technical characteristics and price. And so the appearance is very original, the unusually small body is well made and impressive. Everything new is unusual, we’ll work on it and see. I recommend this product for its low price, good technical characteristics and original appearance.</v>
      </c>
    </row>
    <row r="5036" spans="1:9" x14ac:dyDescent="0.3">
      <c r="A5036" s="1" t="s">
        <v>169</v>
      </c>
      <c r="B5036" s="1" t="s">
        <v>170</v>
      </c>
      <c r="C5036" s="1" t="s">
        <v>193</v>
      </c>
      <c r="D5036" s="1" t="s">
        <v>8379</v>
      </c>
      <c r="E5036" s="1" t="s">
        <v>889</v>
      </c>
      <c r="F5036" s="1" t="s">
        <v>8380</v>
      </c>
      <c r="G5036" s="1" t="s">
        <v>36</v>
      </c>
      <c r="H5036" s="1" t="s">
        <v>29</v>
      </c>
      <c r="I5036" s="1" t="str">
        <f ca="1">IFERROR(__xludf.DUMMYFUNCTION("GOOGLETRANSLATE(F5036, ""auto"", ""en"")
"),"Headphones are great! Juicy bass, highs are also at the level. Take it, I recommend it to everyone")</f>
        <v>Headphones are great! Juicy bass, highs are also at the level. Take it, I recommend it to everyone</v>
      </c>
    </row>
    <row r="5037" spans="1:9" x14ac:dyDescent="0.3">
      <c r="A5037" s="1" t="s">
        <v>211</v>
      </c>
      <c r="B5037" s="1" t="s">
        <v>856</v>
      </c>
      <c r="C5037" s="1" t="s">
        <v>57</v>
      </c>
      <c r="D5037" s="1" t="s">
        <v>1259</v>
      </c>
      <c r="E5037" s="1" t="s">
        <v>8381</v>
      </c>
      <c r="F5037" s="1" t="s">
        <v>8382</v>
      </c>
      <c r="G5037" s="1" t="s">
        <v>28</v>
      </c>
      <c r="H5037" s="1" t="s">
        <v>29</v>
      </c>
      <c r="I5037" s="1" t="str">
        <f ca="1">IFERROR(__xludf.DUMMYFUNCTION("GOOGLETRANSLATE(F5037, ""auto"", ""en"")
"),"relieves leg fatigue, vibration mode, blisters")</f>
        <v>relieves leg fatigue, vibration mode, blisters</v>
      </c>
    </row>
    <row r="5038" spans="1:9" x14ac:dyDescent="0.3">
      <c r="A5038" s="1" t="s">
        <v>61</v>
      </c>
      <c r="B5038" s="1" t="s">
        <v>145</v>
      </c>
      <c r="C5038" s="1" t="s">
        <v>85</v>
      </c>
      <c r="D5038" s="1" t="s">
        <v>8383</v>
      </c>
      <c r="E5038" s="1" t="s">
        <v>6366</v>
      </c>
      <c r="F5038" s="1" t="s">
        <v>8384</v>
      </c>
      <c r="G5038" s="1" t="s">
        <v>36</v>
      </c>
      <c r="H5038" s="1" t="s">
        <v>29</v>
      </c>
      <c r="I5038" s="1" t="str">
        <f ca="1">IFERROR(__xludf.DUMMYFUNCTION("GOOGLETRANSLATE(F5038, ""auto"", ""en"")
"),"My husband gave it to me 1.5 years ago. Three bowls, a limiter, a bowl for rice, the ability to cook eggs. Of course, a great thing - adding water, sound signals. Never glitched, nothing leaked, time was not lost, it keeps warming up according to the inst"&amp;"ructions, everything is collapsible, washes well. No problem.")</f>
        <v>My husband gave it to me 1.5 years ago. Three bowls, a limiter, a bowl for rice, the ability to cook eggs. Of course, a great thing - adding water, sound signals. Never glitched, nothing leaked, time was not lost, it keeps warming up according to the instructions, everything is collapsible, washes well. No problem.</v>
      </c>
    </row>
    <row r="5039" spans="1:9" x14ac:dyDescent="0.3">
      <c r="A5039" s="1" t="s">
        <v>811</v>
      </c>
      <c r="B5039" s="1" t="s">
        <v>812</v>
      </c>
      <c r="C5039" s="1" t="s">
        <v>813</v>
      </c>
      <c r="D5039" s="1" t="s">
        <v>114</v>
      </c>
      <c r="E5039" s="1" t="s">
        <v>1978</v>
      </c>
      <c r="F5039" s="1" t="s">
        <v>8385</v>
      </c>
      <c r="G5039" s="1" t="s">
        <v>15</v>
      </c>
      <c r="H5039" s="1" t="s">
        <v>16</v>
      </c>
      <c r="I5039" s="1" t="str">
        <f ca="1">IFERROR(__xludf.DUMMYFUNCTION("GOOGLETRANSLATE(F5039, ""auto"", ""en"")
"),"I have a tripod like this that I bought from you. Weak, unreliable build. My son uses it often. The locks may become unfastened under the load specified in the instructions. One even broke in a small part and had to be repaired. But even after that he ser"&amp;"ved for a week.&amp;nbsp;")</f>
        <v>I have a tripod like this that I bought from you. Weak, unreliable build. My son uses it often. The locks may become unfastened under the load specified in the instructions. One even broke in a small part and had to be repaired. But even after that he served for a week.&amp;nbsp;</v>
      </c>
    </row>
    <row r="5040" spans="1:9" x14ac:dyDescent="0.3">
      <c r="A5040" s="1" t="s">
        <v>17</v>
      </c>
      <c r="B5040" s="1" t="s">
        <v>18</v>
      </c>
      <c r="C5040" s="1" t="s">
        <v>151</v>
      </c>
      <c r="D5040" s="1" t="s">
        <v>2336</v>
      </c>
      <c r="E5040" s="1" t="s">
        <v>8386</v>
      </c>
      <c r="F5040" s="1" t="s">
        <v>8387</v>
      </c>
      <c r="G5040" s="1" t="s">
        <v>36</v>
      </c>
      <c r="H5040" s="1" t="s">
        <v>29</v>
      </c>
      <c r="I5040" s="1" t="str">
        <f ca="1">IFERROR(__xludf.DUMMYFUNCTION("GOOGLETRANSLATE(F5040, ""auto"", ""en"")
"),"I spent a long time reading reviews about washing machines and settled on Samsung. In terms of the ratio of volume, drum loading, spin (respectively, the quality of washing and spinning), and of course the price - I settled on this model - and did not reg"&amp;"ret it at all. Of course, it hums a little during the spin cycle - so you don’t need to set 1200 rpm. I’m glad that you can press pause and change the washing parameters. I tried to wash a large synthetic blanket, a pillow - there was no knocking, no bang"&amp;"ing, no I went through the whole cycle of failures - I managed it with 5. Thank you all for your feedback - I will continue to enjoy the new thing.")</f>
        <v>I spent a long time reading reviews about washing machines and settled on Samsung. In terms of the ratio of volume, drum loading, spin (respectively, the quality of washing and spinning), and of course the price - I settled on this model - and did not regret it at all. Of course, it hums a little during the spin cycle - so you don’t need to set 1200 rpm. I’m glad that you can press pause and change the washing parameters. I tried to wash a large synthetic blanket, a pillow - there was no knocking, no banging, no I went through the whole cycle of failures - I managed it with 5. Thank you all for your feedback - I will continue to enjoy the new thing.</v>
      </c>
    </row>
    <row r="5041" spans="1:9" x14ac:dyDescent="0.3">
      <c r="A5041" s="1" t="s">
        <v>211</v>
      </c>
      <c r="B5041" s="1" t="s">
        <v>265</v>
      </c>
      <c r="C5041" s="1" t="s">
        <v>381</v>
      </c>
      <c r="D5041" s="1" t="s">
        <v>280</v>
      </c>
      <c r="E5041" s="1" t="s">
        <v>4363</v>
      </c>
      <c r="F5041" s="1" t="s">
        <v>8388</v>
      </c>
      <c r="G5041" s="1" t="s">
        <v>49</v>
      </c>
      <c r="H5041" s="1" t="s">
        <v>16</v>
      </c>
      <c r="I5041" s="1" t="str">
        <f ca="1">IFERROR(__xludf.DUMMYFUNCTION("GOOGLETRANSLATE(F5041, ""auto"", ""en"")
"),"The car was a complete disappointment. Vibration is greater than permissible, with a 3 mm nozzle. pulls hair, while cutting off up to 1 mm. It’s better with other attachments, but the vibration kills all the advantages.  I do not recommend it to anyone!!!")</f>
        <v>The car was a complete disappointment. Vibration is greater than permissible, with a 3 mm nozzle. pulls hair, while cutting off up to 1 mm. It’s better with other attachments, but the vibration kills all the advantages.  I do not recommend it to anyone!!!</v>
      </c>
    </row>
    <row r="5042" spans="1:9" x14ac:dyDescent="0.3">
      <c r="A5042" s="1" t="s">
        <v>149</v>
      </c>
      <c r="B5042" s="1" t="s">
        <v>150</v>
      </c>
      <c r="C5042" s="1" t="s">
        <v>57</v>
      </c>
      <c r="D5042" s="1" t="s">
        <v>1659</v>
      </c>
      <c r="E5042" s="1" t="s">
        <v>1141</v>
      </c>
      <c r="F5042" s="1" t="s">
        <v>8389</v>
      </c>
      <c r="G5042" s="1" t="s">
        <v>28</v>
      </c>
      <c r="H5042" s="1" t="s">
        <v>29</v>
      </c>
      <c r="I5042" s="1" t="str">
        <f ca="1">IFERROR(__xludf.DUMMYFUNCTION("GOOGLETRANSLATE(F5042, ""auto"", ""en"")
"),"He worked for me for about 5 years and yesterday something broke in the motor. 90 watts is enough to thoroughly clean the interior, of course it’s not professional, you have to run it several times until it’s perfectly clean, but for me it’s quite enough."&amp;" I plugged it into the cigarette lighter while the engine was running - it works more powerfully. Pleased with the mass of small attachments for various niches and cavities and the long cord. The filter is also well thought out - with a protective mesh.")</f>
        <v>He worked for me for about 5 years and yesterday something broke in the motor. 90 watts is enough to thoroughly clean the interior, of course it’s not professional, you have to run it several times until it’s perfectly clean, but for me it’s quite enough. I plugged it into the cigarette lighter while the engine was running - it works more powerfully. Pleased with the mass of small attachments for various niches and cavities and the long cord. The filter is also well thought out - with a protective mesh.</v>
      </c>
    </row>
    <row r="5043" spans="1:9" x14ac:dyDescent="0.3">
      <c r="A5043" s="1" t="s">
        <v>37</v>
      </c>
      <c r="B5043" s="1" t="s">
        <v>536</v>
      </c>
      <c r="C5043" s="1" t="s">
        <v>32</v>
      </c>
      <c r="D5043" s="1" t="s">
        <v>33</v>
      </c>
      <c r="E5043" s="1" t="s">
        <v>391</v>
      </c>
      <c r="F5043" s="1" t="s">
        <v>8390</v>
      </c>
      <c r="G5043" s="1" t="s">
        <v>36</v>
      </c>
      <c r="H5043" s="1" t="s">
        <v>29</v>
      </c>
      <c r="I5043" s="1" t="str">
        <f ca="1">IFERROR(__xludf.DUMMYFUNCTION("GOOGLETRANSLATE(F5043, ""auto"", ""en"")
"),"I bought it in mid-April. Of course, not much time has passed, but the phone fully meets my requirements. The screen is large enough, it picks up satellites right away (my navigator didn’t catch it at that speed), it doesn’t slow down the Internet and loa"&amp;"ded all the sites I needed without any problems.  Great phone.")</f>
        <v>I bought it in mid-April. Of course, not much time has passed, but the phone fully meets my requirements. The screen is large enough, it picks up satellites right away (my navigator didn’t catch it at that speed), it doesn’t slow down the Internet and loaded all the sites I needed without any problems.  Great phone.</v>
      </c>
    </row>
    <row r="5044" spans="1:9" x14ac:dyDescent="0.3">
      <c r="A5044" s="1" t="s">
        <v>211</v>
      </c>
      <c r="B5044" s="1" t="s">
        <v>856</v>
      </c>
      <c r="C5044" s="1" t="s">
        <v>101</v>
      </c>
      <c r="D5044" s="1" t="s">
        <v>64</v>
      </c>
      <c r="E5044" s="1" t="s">
        <v>504</v>
      </c>
      <c r="F5044" s="1" t="s">
        <v>8391</v>
      </c>
      <c r="G5044" s="1" t="s">
        <v>28</v>
      </c>
      <c r="H5044" s="1" t="s">
        <v>29</v>
      </c>
      <c r="I5044" s="1" t="str">
        <f ca="1">IFERROR(__xludf.DUMMYFUNCTION("GOOGLETRANSLATE(F5044, ""auto"", ""en"")
"),"The replacement attachments on this massager do not rotate. Is this really how it should be or is it a marriage?")</f>
        <v>The replacement attachments on this massager do not rotate. Is this really how it should be or is it a marriage?</v>
      </c>
    </row>
    <row r="5045" spans="1:9" x14ac:dyDescent="0.3">
      <c r="A5045" s="1" t="s">
        <v>211</v>
      </c>
      <c r="B5045" s="1" t="s">
        <v>212</v>
      </c>
      <c r="C5045" s="1" t="s">
        <v>266</v>
      </c>
      <c r="D5045" s="1" t="s">
        <v>3253</v>
      </c>
      <c r="E5045" s="1" t="s">
        <v>330</v>
      </c>
      <c r="F5045" s="1" t="s">
        <v>8392</v>
      </c>
      <c r="G5045" s="1" t="s">
        <v>36</v>
      </c>
      <c r="H5045" s="1" t="s">
        <v>29</v>
      </c>
      <c r="I5045" s="1" t="str">
        <f ca="1">IFERROR(__xludf.DUMMYFUNCTION("GOOGLETRANSLATE(F5045, ""auto"", ""en"")
"),"I've been using these curlers for over a year. It is very convenient to create beautiful curls. True, it takes time for them to warm up well, but you curl your hair and go about your business. It is very convenient to use the included crabs; I have never "&amp;"used metal brackets, they are inconvenient. The style is held well when using curl products, even the next day there is a light wave. In general, I think that if possible, such a thing should be at hand!")</f>
        <v>I've been using these curlers for over a year. It is very convenient to create beautiful curls. True, it takes time for them to warm up well, but you curl your hair and go about your business. It is very convenient to use the included crabs; I have never used metal brackets, they are inconvenient. The style is held well when using curl products, even the next day there is a light wave. In general, I think that if possible, such a thing should be at hand!</v>
      </c>
    </row>
    <row r="5046" spans="1:9" x14ac:dyDescent="0.3">
      <c r="A5046" s="1" t="s">
        <v>149</v>
      </c>
      <c r="B5046" s="1" t="s">
        <v>150</v>
      </c>
      <c r="C5046" s="1" t="s">
        <v>314</v>
      </c>
      <c r="D5046" s="1" t="s">
        <v>521</v>
      </c>
      <c r="E5046" s="1" t="s">
        <v>1065</v>
      </c>
      <c r="F5046" s="1" t="s">
        <v>8393</v>
      </c>
      <c r="G5046" s="1" t="s">
        <v>36</v>
      </c>
      <c r="H5046" s="1" t="s">
        <v>29</v>
      </c>
      <c r="I5046" s="1" t="str">
        <f ca="1">IFERROR(__xludf.DUMMYFUNCTION("GOOGLETRANSLATE(F5046, ""auto"", ""en"")
"),"In January 2010 We bought this vacuum cleaner, we like everything, it vacuums perfectly.")</f>
        <v>In January 2010 We bought this vacuum cleaner, we like everything, it vacuums perfectly.</v>
      </c>
    </row>
    <row r="5047" spans="1:9" x14ac:dyDescent="0.3">
      <c r="A5047" s="1" t="s">
        <v>30</v>
      </c>
      <c r="B5047" s="1" t="s">
        <v>50</v>
      </c>
      <c r="C5047" s="1" t="s">
        <v>32</v>
      </c>
      <c r="D5047" s="1" t="s">
        <v>61</v>
      </c>
      <c r="E5047" s="1" t="s">
        <v>1497</v>
      </c>
      <c r="F5047" s="1" t="s">
        <v>8394</v>
      </c>
      <c r="G5047" s="1" t="s">
        <v>28</v>
      </c>
      <c r="H5047" s="1" t="s">
        <v>29</v>
      </c>
      <c r="I5047" s="1" t="str">
        <f ca="1">IFERROR(__xludf.DUMMYFUNCTION("GOOGLETRANSLATE(F5047, ""auto"", ""en"")
"),"A good laptop - the only negative is, of course, its surface of the lid, all prints are visible. You have to constantly wipe it - and so the price and quality are normal")</f>
        <v>A good laptop - the only negative is, of course, its surface of the lid, all prints are visible. You have to constantly wipe it - and so the price and quality are normal</v>
      </c>
    </row>
    <row r="5048" spans="1:9" x14ac:dyDescent="0.3">
      <c r="A5048" s="1" t="s">
        <v>211</v>
      </c>
      <c r="B5048" s="1" t="s">
        <v>212</v>
      </c>
      <c r="C5048" s="1" t="s">
        <v>745</v>
      </c>
      <c r="D5048" s="1" t="s">
        <v>58</v>
      </c>
      <c r="E5048" s="1" t="s">
        <v>1883</v>
      </c>
      <c r="F5048" s="1" t="s">
        <v>8395</v>
      </c>
      <c r="G5048" s="1" t="s">
        <v>36</v>
      </c>
      <c r="H5048" s="1" t="s">
        <v>29</v>
      </c>
      <c r="I5048" s="1" t="str">
        <f ca="1">IFERROR(__xludf.DUMMYFUNCTION("GOOGLETRANSLATE(F5048, ""auto"", ""en"")
"),"I ordered this hair dryer a week ago and am very pleased with the purchase. Because styling her hair has become much easier. Despite the fact that its cost is quite inexpensive, it copes with its functions perfectly. I would also like to note that the bru"&amp;"sh is very soft and pleasant to the touch, thanks to which it does not damage the hair.")</f>
        <v>I ordered this hair dryer a week ago and am very pleased with the purchase. Because styling her hair has become much easier. Despite the fact that its cost is quite inexpensive, it copes with its functions perfectly. I would also like to note that the brush is very soft and pleasant to the touch, thanks to which it does not damage the hair.</v>
      </c>
    </row>
    <row r="5049" spans="1:9" x14ac:dyDescent="0.3">
      <c r="A5049" s="1" t="s">
        <v>61</v>
      </c>
      <c r="B5049" s="1" t="s">
        <v>73</v>
      </c>
      <c r="C5049" s="1" t="s">
        <v>146</v>
      </c>
      <c r="D5049" s="1" t="s">
        <v>247</v>
      </c>
      <c r="E5049" s="1" t="s">
        <v>92</v>
      </c>
      <c r="F5049" s="1" t="s">
        <v>8396</v>
      </c>
      <c r="G5049" s="1" t="s">
        <v>36</v>
      </c>
      <c r="H5049" s="1" t="s">
        <v>29</v>
      </c>
      <c r="I5049" s="1" t="str">
        <f ca="1">IFERROR(__xludf.DUMMYFUNCTION("GOOGLETRANSLATE(F5049, ""auto"", ""en"")
"),"It chops meat and fish very quickly and efficiently.")</f>
        <v>It chops meat and fish very quickly and efficiently.</v>
      </c>
    </row>
    <row r="5050" spans="1:9" x14ac:dyDescent="0.3">
      <c r="A5050" s="1" t="s">
        <v>9</v>
      </c>
      <c r="B5050" s="1" t="s">
        <v>10</v>
      </c>
      <c r="C5050" s="1" t="s">
        <v>3091</v>
      </c>
      <c r="D5050" s="1" t="s">
        <v>474</v>
      </c>
      <c r="E5050" s="1" t="s">
        <v>1155</v>
      </c>
      <c r="F5050" s="1" t="s">
        <v>8397</v>
      </c>
      <c r="G5050" s="1" t="s">
        <v>36</v>
      </c>
      <c r="H5050" s="1" t="s">
        <v>29</v>
      </c>
      <c r="I5050" s="1" t="str">
        <f ca="1">IFERROR(__xludf.DUMMYFUNCTION("GOOGLETRANSLATE(F5050, ""auto"", ""en"")
"),"When purchasing, I noticed its shape; I like these hoods. They are comfortable and compact. I like the quality of its work, the air is drawn out quickly and unnoticed, meanwhile I am not bothered by odors and stuffiness during cooking. Of the three propos"&amp;"ed speeds, I used the last one only once, when I needed to cook before a birthday; the rest of the time I prefer the first two, they are not so powerful, and they are quite enough for everyday use. I liked the electronic control, it is very convenient and"&amp;" practical, it saves a lot of effort and time! The hood looks neat and is easy to clean. The filters are also quick and easy to clean. The lighting is well thought out, the surface of the stove is completely illuminated. The hood is not noisy and works qu"&amp;"ietly. Easy to install and mount on the wall. It looks nice and stylish, and while working, it also decorates the kitchen. The instructions are clear, I figured it out quickly.")</f>
        <v>When purchasing, I noticed its shape; I like these hoods. They are comfortable and compact. I like the quality of its work, the air is drawn out quickly and unnoticed, meanwhile I am not bothered by odors and stuffiness during cooking. Of the three proposed speeds, I used the last one only once, when I needed to cook before a birthday; the rest of the time I prefer the first two, they are not so powerful, and they are quite enough for everyday use. I liked the electronic control, it is very convenient and practical, it saves a lot of effort and time! The hood looks neat and is easy to clean. The filters are also quick and easy to clean. The lighting is well thought out, the surface of the stove is completely illuminated. The hood is not noisy and works quietly. Easy to install and mount on the wall. It looks nice and stylish, and while working, it also decorates the kitchen. The instructions are clear, I figured it out quickly.</v>
      </c>
    </row>
    <row r="5051" spans="1:9" x14ac:dyDescent="0.3">
      <c r="A5051" s="1" t="s">
        <v>149</v>
      </c>
      <c r="B5051" s="1" t="s">
        <v>423</v>
      </c>
      <c r="C5051" s="1" t="s">
        <v>424</v>
      </c>
      <c r="D5051" s="1" t="s">
        <v>295</v>
      </c>
      <c r="E5051" s="1" t="s">
        <v>1467</v>
      </c>
      <c r="F5051" s="1" t="s">
        <v>8398</v>
      </c>
      <c r="G5051" s="1" t="s">
        <v>36</v>
      </c>
      <c r="H5051" s="1" t="s">
        <v>29</v>
      </c>
      <c r="I5051" s="1" t="str">
        <f ca="1">IFERROR(__xludf.DUMMYFUNCTION("GOOGLETRANSLATE(F5051, ""auto"", ""en"")
"),"This is my first VAX vacuum cleaner, I spent a long time studying the reviews and finally decided to buy it. The impressions are only positive: - I washed an apartment of 98 m2 for 30 minutes, pouring water into the tank 2 times - the carpets are almost d"&amp;"ry, even sucks out all the sand from the rug in the hallway - the cork flooring is perfectly dry - the cord is long, very convenient, plugged into an outlet, and you don’t have to run around to switch it - very powerful, and therefore noisy (I haven’t see"&amp;"n a quiet and powerful one yet) - it’s quite easy to clean, it takes as much effort as to rinse a mop and a bucket (given that the water needs to be changed several times during the washing process).     I wouldn’t buy a vacuum cleaner for a 1-room apartm"&amp;"ent, it’s probably easier to use a mop. And for me the price-quality ratio is the best.")</f>
        <v>This is my first VAX vacuum cleaner, I spent a long time studying the reviews and finally decided to buy it. The impressions are only positive: - I washed an apartment of 98 m2 for 30 minutes, pouring water into the tank 2 times - the carpets are almost dry, even sucks out all the sand from the rug in the hallway - the cork flooring is perfectly dry - the cord is long, very convenient, plugged into an outlet, and you don’t have to run around to switch it - very powerful, and therefore noisy (I haven’t seen a quiet and powerful one yet) - it’s quite easy to clean, it takes as much effort as to rinse a mop and a bucket (given that the water needs to be changed several times during the washing process).     I wouldn’t buy a vacuum cleaner for a 1-room apartment, it’s probably easier to use a mop. And for me the price-quality ratio is the best.</v>
      </c>
    </row>
    <row r="5052" spans="1:9" x14ac:dyDescent="0.3">
      <c r="A5052" s="1" t="s">
        <v>95</v>
      </c>
      <c r="B5052" s="1" t="s">
        <v>227</v>
      </c>
      <c r="C5052" s="1" t="s">
        <v>97</v>
      </c>
      <c r="D5052" s="1" t="s">
        <v>208</v>
      </c>
      <c r="E5052" s="1" t="s">
        <v>1005</v>
      </c>
      <c r="F5052" s="1" t="s">
        <v>8399</v>
      </c>
      <c r="G5052" s="1" t="s">
        <v>28</v>
      </c>
      <c r="H5052" s="1" t="s">
        <v>29</v>
      </c>
      <c r="I5052" s="1" t="str">
        <f ca="1">IFERROR(__xludf.DUMMYFUNCTION("GOOGLETRANSLATE(F5052, ""auto"", ""en"")
"),"Everything is fine, only one problem: the disks are very expensive, and the console is super")</f>
        <v>Everything is fine, only one problem: the disks are very expensive, and the console is super</v>
      </c>
    </row>
    <row r="5053" spans="1:9" x14ac:dyDescent="0.3">
      <c r="A5053" s="1" t="s">
        <v>9</v>
      </c>
      <c r="B5053" s="1" t="s">
        <v>23</v>
      </c>
      <c r="C5053" s="1" t="s">
        <v>63</v>
      </c>
      <c r="D5053" s="1" t="s">
        <v>565</v>
      </c>
      <c r="E5053" s="1" t="s">
        <v>717</v>
      </c>
      <c r="F5053" s="1" t="s">
        <v>8400</v>
      </c>
      <c r="G5053" s="1" t="s">
        <v>36</v>
      </c>
      <c r="H5053" s="1" t="s">
        <v>29</v>
      </c>
      <c r="I5053" s="1" t="str">
        <f ca="1">IFERROR(__xludf.DUMMYFUNCTION("GOOGLETRANSLATE(F5053, ""auto"", ""en"")
"),"I bought it before the New Year 2010, an excellent thing, it really helped out during the holidays, there were a lot of guests and dishes, washing and drying were great!!! I advise you will not regret it")</f>
        <v>I bought it before the New Year 2010, an excellent thing, it really helped out during the holidays, there were a lot of guests and dishes, washing and drying were great!!! I advise you will not regret it</v>
      </c>
    </row>
    <row r="5054" spans="1:9" x14ac:dyDescent="0.3">
      <c r="A5054" s="1" t="s">
        <v>30</v>
      </c>
      <c r="B5054" s="1" t="s">
        <v>50</v>
      </c>
      <c r="C5054" s="1" t="s">
        <v>51</v>
      </c>
      <c r="D5054" s="1" t="s">
        <v>7408</v>
      </c>
      <c r="E5054" s="1" t="s">
        <v>5798</v>
      </c>
      <c r="F5054" s="1" t="s">
        <v>8401</v>
      </c>
      <c r="G5054" s="1" t="s">
        <v>15</v>
      </c>
      <c r="H5054" s="1" t="s">
        <v>16</v>
      </c>
      <c r="I5054" s="1" t="str">
        <f ca="1">IFERROR(__xludf.DUMMYFUNCTION("GOOGLETRANSLATE(F5054, ""auto"", ""en"")
"),"So I bought myself a car. Now I'm toiling with it, which really upset me, the model is excellent... but when I play games, for some reason I lose the video driver signal. This is how it happens: the whole screen is black, then it automatically restores th"&amp;"e system, but white squares similar to sparkles appear on the screen. Who knows, please help. Mmmm, another thing, when I bought it, 7 was missing, so I tried to reinstall the 3 pack on XP, it doesn’t work, it copies the files and then there’s an error wi"&amp;"th white and blue letters...")</f>
        <v>So I bought myself a car. Now I'm toiling with it, which really upset me, the model is excellent... but when I play games, for some reason I lose the video driver signal. This is how it happens: the whole screen is black, then it automatically restores the system, but white squares similar to sparkles appear on the screen. Who knows, please help. Mmmm, another thing, when I bought it, 7 was missing, so I tried to reinstall the 3 pack on XP, it doesn’t work, it copies the files and then there’s an error with white and blue letters...</v>
      </c>
    </row>
    <row r="5055" spans="1:9" x14ac:dyDescent="0.3">
      <c r="A5055" s="1" t="s">
        <v>78</v>
      </c>
      <c r="B5055" s="1" t="s">
        <v>1163</v>
      </c>
      <c r="C5055" s="1" t="s">
        <v>351</v>
      </c>
      <c r="D5055" s="1" t="s">
        <v>2462</v>
      </c>
      <c r="E5055" s="1" t="s">
        <v>2518</v>
      </c>
      <c r="F5055" s="1" t="s">
        <v>8402</v>
      </c>
      <c r="G5055" s="1" t="s">
        <v>28</v>
      </c>
      <c r="H5055" s="1" t="s">
        <v>29</v>
      </c>
      <c r="I5055" s="1" t="str">
        <f ca="1">IFERROR(__xludf.DUMMYFUNCTION("GOOGLETRANSLATE(F5055, ""auto"", ""en"")
"),"Not a bad budget stove! Easy to use and without any unnecessary bells and whistles. I recommend it.")</f>
        <v>Not a bad budget stove! Easy to use and without any unnecessary bells and whistles. I recommend it.</v>
      </c>
    </row>
    <row r="5056" spans="1:9" x14ac:dyDescent="0.3">
      <c r="A5056" s="1" t="s">
        <v>361</v>
      </c>
      <c r="B5056" s="1" t="s">
        <v>462</v>
      </c>
      <c r="C5056" s="1" t="s">
        <v>698</v>
      </c>
      <c r="D5056" s="1" t="s">
        <v>3375</v>
      </c>
      <c r="E5056" s="1" t="s">
        <v>7141</v>
      </c>
      <c r="F5056" s="1" t="s">
        <v>8403</v>
      </c>
      <c r="G5056" s="1" t="s">
        <v>36</v>
      </c>
      <c r="H5056" s="1" t="s">
        <v>29</v>
      </c>
      <c r="I5056" s="1" t="str">
        <f ca="1">IFERROR(__xludf.DUMMYFUNCTION("GOOGLETRANSLATE(F5056, ""auto"", ""en"")
"),"everything is fine only if you pour a lot of water (as my relatives do all the time) when pouring, the lid comes off and water pours into the glass and onto everything around it. I’m still too lazy to replace the filter, so we’ve been using the first one "&amp;"for about 4 months now. Not long ago I saw a small amount of carbon sediment in the water. To add water you need to remove the top cover and that’s it. Then the water slowly flows down passing through the filter, a good thing - we pour water from the tap,"&amp;" it passes through the filter and settles for a bit. I recommend it.")</f>
        <v>everything is fine only if you pour a lot of water (as my relatives do all the time) when pouring, the lid comes off and water pours into the glass and onto everything around it. I’m still too lazy to replace the filter, so we’ve been using the first one for about 4 months now. Not long ago I saw a small amount of carbon sediment in the water. To add water you need to remove the top cover and that’s it. Then the water slowly flows down passing through the filter, a good thing - we pour water from the tap, it passes through the filter and settles for a bit. I recommend it.</v>
      </c>
    </row>
    <row r="5057" spans="1:9" x14ac:dyDescent="0.3">
      <c r="A5057" s="1" t="s">
        <v>43</v>
      </c>
      <c r="B5057" s="1" t="s">
        <v>1370</v>
      </c>
      <c r="C5057" s="1" t="s">
        <v>2137</v>
      </c>
      <c r="D5057" s="1" t="s">
        <v>420</v>
      </c>
      <c r="E5057" s="1" t="s">
        <v>8404</v>
      </c>
      <c r="F5057" s="1" t="s">
        <v>8405</v>
      </c>
      <c r="G5057" s="1" t="s">
        <v>36</v>
      </c>
      <c r="H5057" s="1" t="s">
        <v>29</v>
      </c>
      <c r="I5057" s="1" t="str">
        <f ca="1">IFERROR(__xludf.DUMMYFUNCTION("GOOGLETRANSLATE(F5057, ""auto"", ""en"")
"),"The kit contains everything you need. The only negative is the short power cable (about a meter), otherwise everything is great! Exceeded all expectations.  The average pressure of warm water is perfect during the summer water outage, and this is a worthy"&amp;" replacement for heating water in buckets))) I also read somewhere that it was hung with double-sided tape so as not to drill into the wall, because... it is for temporary use. I haven’t tried it myself because... The water had not yet been turned off, I "&amp;"checked it and removed it.")</f>
        <v>The kit contains everything you need. The only negative is the short power cable (about a meter), otherwise everything is great! Exceeded all expectations.  The average pressure of warm water is perfect during the summer water outage, and this is a worthy replacement for heating water in buckets))) I also read somewhere that it was hung with double-sided tape so as not to drill into the wall, because... it is for temporary use. I haven’t tried it myself because... The water had not yet been turned off, I checked it and removed it.</v>
      </c>
    </row>
    <row r="5058" spans="1:9" x14ac:dyDescent="0.3">
      <c r="A5058" s="1" t="s">
        <v>55</v>
      </c>
      <c r="B5058" s="1" t="s">
        <v>56</v>
      </c>
      <c r="C5058" s="1" t="s">
        <v>85</v>
      </c>
      <c r="D5058" s="1" t="s">
        <v>2145</v>
      </c>
      <c r="E5058" s="1" t="s">
        <v>711</v>
      </c>
      <c r="F5058" s="1" t="s">
        <v>8406</v>
      </c>
      <c r="G5058" s="1" t="s">
        <v>49</v>
      </c>
      <c r="H5058" s="1" t="s">
        <v>16</v>
      </c>
      <c r="I5058" s="1" t="str">
        <f ca="1">IFERROR(__xludf.DUMMYFUNCTION("GOOGLETRANSLATE(F5058, ""auto"", ""en"")
"),"After 3-4 years, the humidifier began to leak quite heavily; a detailed examination revealed micro cracks in the area of ​​the ultrasonic plate. The service center said that the case is not supplied separately, the question arises: is it necessary to buy "&amp;"such an expensive one?")</f>
        <v>After 3-4 years, the humidifier began to leak quite heavily; a detailed examination revealed micro cracks in the area of ​​the ultrasonic plate. The service center said that the case is not supplied separately, the question arises: is it necessary to buy such an expensive one?</v>
      </c>
    </row>
    <row r="5059" spans="1:9" x14ac:dyDescent="0.3">
      <c r="A5059" s="1" t="s">
        <v>61</v>
      </c>
      <c r="B5059" s="1" t="s">
        <v>224</v>
      </c>
      <c r="C5059" s="1" t="s">
        <v>85</v>
      </c>
      <c r="D5059" s="1" t="s">
        <v>8407</v>
      </c>
      <c r="E5059" s="1" t="s">
        <v>4873</v>
      </c>
      <c r="F5059" s="1" t="s">
        <v>8408</v>
      </c>
      <c r="G5059" s="1" t="s">
        <v>36</v>
      </c>
      <c r="H5059" s="1" t="s">
        <v>29</v>
      </c>
      <c r="I5059" s="1" t="str">
        <f ca="1">IFERROR(__xludf.DUMMYFUNCTION("GOOGLETRANSLATE(F5059, ""auto"", ""en"")
"),"Great juicer!  You can squeeze juice from any vegetables and fruits! The most interesting thing is that the pulp that remains after preparing the juice is similar to plasticine; there is not the slightest sign of liquid in it! There is so much power that "&amp;"you can use this juicer on an industrial scale! And for the home it’s just a bomb, especially in the fall when there are enough vegetables and fruits!  I recommend this model to everyone!")</f>
        <v>Great juicer!  You can squeeze juice from any vegetables and fruits! The most interesting thing is that the pulp that remains after preparing the juice is similar to plasticine; there is not the slightest sign of liquid in it! There is so much power that you can use this juicer on an industrial scale! And for the home it’s just a bomb, especially in the fall when there are enough vegetables and fruits!  I recommend this model to everyone!</v>
      </c>
    </row>
    <row r="5060" spans="1:9" x14ac:dyDescent="0.3">
      <c r="A5060" s="1" t="s">
        <v>37</v>
      </c>
      <c r="B5060" s="1" t="s">
        <v>536</v>
      </c>
      <c r="C5060" s="1" t="s">
        <v>151</v>
      </c>
      <c r="D5060" s="1" t="s">
        <v>172</v>
      </c>
      <c r="E5060" s="1" t="s">
        <v>1682</v>
      </c>
      <c r="F5060" s="1" t="s">
        <v>8409</v>
      </c>
      <c r="G5060" s="1" t="s">
        <v>28</v>
      </c>
      <c r="H5060" s="1" t="s">
        <v>29</v>
      </c>
      <c r="I5060" s="1" t="str">
        <f ca="1">IFERROR(__xludf.DUMMYFUNCTION("GOOGLETRANSLATE(F5060, ""auto"", ""en"")
"),"I already left comments, and after using it for a long time I want to add: it’s convenient to carry it in your pocket, you just need to buy not a belt case, but with a carabiner - they don’t sell it in every store, you’ll have to run around, but I found i"&amp;"t and am satisfied, and without a case it’s not noticeable at all. Further, the quality of the photo video turned out to be better than it seemed at first and for me it completely easily replaces the camera, but video in HD quality is, of course, better t"&amp;"han anything else.  In a word, the phone is what you need.")</f>
        <v>I already left comments, and after using it for a long time I want to add: it’s convenient to carry it in your pocket, you just need to buy not a belt case, but with a carabiner - they don’t sell it in every store, you’ll have to run around, but I found it and am satisfied, and without a case it’s not noticeable at all. Further, the quality of the photo video turned out to be better than it seemed at first and for me it completely easily replaces the camera, but video in HD quality is, of course, better than anything else.  In a word, the phone is what you need.</v>
      </c>
    </row>
    <row r="5061" spans="1:9" x14ac:dyDescent="0.3">
      <c r="A5061" s="1" t="s">
        <v>61</v>
      </c>
      <c r="B5061" s="1" t="s">
        <v>318</v>
      </c>
      <c r="C5061" s="1" t="s">
        <v>1461</v>
      </c>
      <c r="D5061" s="1" t="s">
        <v>308</v>
      </c>
      <c r="E5061" s="1" t="s">
        <v>2994</v>
      </c>
      <c r="F5061" s="1" t="s">
        <v>8410</v>
      </c>
      <c r="G5061" s="1" t="s">
        <v>49</v>
      </c>
      <c r="H5061" s="1" t="s">
        <v>16</v>
      </c>
      <c r="I5061" s="1" t="str">
        <f ca="1">IFERROR(__xludf.DUMMYFUNCTION("GOOGLETRANSLATE(F5061, ""auto"", ""en"")
"),"I was forced to buy this device about a month ago, because a good kettle from a well-known Dutch brand, which had worked for more than 6 years, broke down. I was thinking about taking the same brand, but I saw this one and decided to save money, since I w"&amp;"as tight on money at the moment. Here we must pay tribute to two M-video consultants who tried to dissuade me from this idea and offer kettles of other brands (a little more expensive, by the way). What is the result: 1) The terrible plastic smell did not"&amp;" go away even after 15 boils (I counted). Moreover, the water acquires some kind of bitter taste. I have never brewed tea for myself using this kettle. It's kind of scary for your health.  2) It didn’t turn off several times. Since in one of these cases I"&amp;" was cooking in the kitchen, I specifically decided to see if it could still turn off? As it turned out, I didn’t even think about it. The water boiled and boiled away, in the end I couldn’t stand it and turned it off myself, afraid that a fire would star"&amp;"t.  3) On the 15th time, when I knew for sure that if this time the water stank of plastic, I would throw out the kettle, as if I had a presentiment, it suddenly... broke. Well, if it’s my fault that I poured water into it and pressed the button with the "&amp;"hope of getting boiling water... then I don’t know why this kettle was even created? To admire?  Moral: dear ladies and gentlemen, do not forget about the good old saying that the miser pays twice. A good kettle cannot cost less than 1000 rubles. But buyi"&amp;"ng a bad one and hoping that it will last a long time is naive. But this is my personal opinion. Perhaps you think differently. I just bought myself a kettle from a well-known German brand, fortunately there was (and maybe still is) a good discount on it,"&amp;" and no problems have arisen so far. And I don’t think it will happen.")</f>
        <v>I was forced to buy this device about a month ago, because a good kettle from a well-known Dutch brand, which had worked for more than 6 years, broke down. I was thinking about taking the same brand, but I saw this one and decided to save money, since I was tight on money at the moment. Here we must pay tribute to two M-video consultants who tried to dissuade me from this idea and offer kettles of other brands (a little more expensive, by the way). What is the result: 1) The terrible plastic smell did not go away even after 15 boils (I counted). Moreover, the water acquires some kind of bitter taste. I have never brewed tea for myself using this kettle. It's kind of scary for your health.  2) It didn’t turn off several times. Since in one of these cases I was cooking in the kitchen, I specifically decided to see if it could still turn off? As it turned out, I didn’t even think about it. The water boiled and boiled away, in the end I couldn’t stand it and turned it off myself, afraid that a fire would start.  3) On the 15th time, when I knew for sure that if this time the water stank of plastic, I would throw out the kettle, as if I had a presentiment, it suddenly... broke. Well, if it’s my fault that I poured water into it and pressed the button with the hope of getting boiling water... then I don’t know why this kettle was even created? To admire?  Moral: dear ladies and gentlemen, do not forget about the good old saying that the miser pays twice. A good kettle cannot cost less than 1000 rubles. But buying a bad one and hoping that it will last a long time is naive. But this is my personal opinion. Perhaps you think differently. I just bought myself a kettle from a well-known German brand, fortunately there was (and maybe still is) a good discount on it, and no problems have arisen so far. And I don’t think it will happen.</v>
      </c>
    </row>
    <row r="5062" spans="1:9" x14ac:dyDescent="0.3">
      <c r="A5062" s="1" t="s">
        <v>105</v>
      </c>
      <c r="B5062" s="1" t="s">
        <v>106</v>
      </c>
      <c r="C5062" s="1" t="s">
        <v>107</v>
      </c>
      <c r="D5062" s="1" t="s">
        <v>1124</v>
      </c>
      <c r="E5062" s="1" t="s">
        <v>3359</v>
      </c>
      <c r="F5062" s="1" t="s">
        <v>8411</v>
      </c>
      <c r="G5062" s="1" t="s">
        <v>36</v>
      </c>
      <c r="H5062" s="1" t="s">
        <v>29</v>
      </c>
      <c r="I5062" s="1" t="str">
        <f ca="1">IFERROR(__xludf.DUMMYFUNCTION("GOOGLETRANSLATE(F5062, ""auto"", ""en"")
"),"The headphone jack died, it worked for 2 weeks and that’s it, although the player is functioning normally, just no sound")</f>
        <v>The headphone jack died, it worked for 2 weeks and that’s it, although the player is functioning normally, just no sound</v>
      </c>
    </row>
    <row r="5063" spans="1:9" x14ac:dyDescent="0.3">
      <c r="A5063" s="1" t="s">
        <v>211</v>
      </c>
      <c r="B5063" s="1" t="s">
        <v>212</v>
      </c>
      <c r="C5063" s="1" t="s">
        <v>381</v>
      </c>
      <c r="D5063" s="1" t="s">
        <v>8412</v>
      </c>
      <c r="E5063" s="1" t="s">
        <v>4483</v>
      </c>
      <c r="F5063" s="1" t="s">
        <v>8413</v>
      </c>
      <c r="G5063" s="1" t="s">
        <v>36</v>
      </c>
      <c r="H5063" s="1" t="s">
        <v>29</v>
      </c>
      <c r="I5063" s="1" t="str">
        <f ca="1">IFERROR(__xludf.DUMMYFUNCTION("GOOGLETRANSLATE(F5063, ""auto"", ""en"")
"),"It took a long time to choose a hairdryer, just before the New Year, because the old one burned out. I read a lot of reviews, and also looked at many other different models, but settled on this one. Very good, narrow nozzle. The material from which the ha"&amp;"ir dryer itself is made is excellent and comfortable to hold in your hand. Personally, I didn’t have any problems with switching modes; nothing was accidentally switched, as some write. And most importantly, the hair dryer does not dry out your hair!!!!")</f>
        <v>It took a long time to choose a hairdryer, just before the New Year, because the old one burned out. I read a lot of reviews, and also looked at many other different models, but settled on this one. Very good, narrow nozzle. The material from which the hair dryer itself is made is excellent and comfortable to hold in your hand. Personally, I didn’t have any problems with switching modes; nothing was accidentally switched, as some write. And most importantly, the hair dryer does not dry out your hair!!!!</v>
      </c>
    </row>
    <row r="5064" spans="1:9" x14ac:dyDescent="0.3">
      <c r="A5064" s="1" t="s">
        <v>67</v>
      </c>
      <c r="B5064" s="1" t="s">
        <v>340</v>
      </c>
      <c r="C5064" s="1" t="s">
        <v>341</v>
      </c>
      <c r="D5064" s="1" t="s">
        <v>240</v>
      </c>
      <c r="E5064" s="1" t="s">
        <v>7952</v>
      </c>
      <c r="F5064" s="1" t="s">
        <v>8414</v>
      </c>
      <c r="G5064" s="1" t="s">
        <v>36</v>
      </c>
      <c r="H5064" s="1" t="s">
        <v>29</v>
      </c>
      <c r="I5064" s="1" t="str">
        <f ca="1">IFERROR(__xludf.DUMMYFUNCTION("GOOGLETRANSLATE(F5064, ""auto"", ""en"")
"),"I bought the car two weeks ago.  Easy to use and relatively quiet. I liked that you can sew on it both slowly and quickly (the pedal is smoothly adjustable). Of course, there are not many lines, but for me, a novice tailor, it is enough. I recommend it to"&amp;" anyone who needs a machine for home use.")</f>
        <v>I bought the car two weeks ago.  Easy to use and relatively quiet. I liked that you can sew on it both slowly and quickly (the pedal is smoothly adjustable). Of course, there are not many lines, but for me, a novice tailor, it is enough. I recommend it to anyone who needs a machine for home use.</v>
      </c>
    </row>
    <row r="5065" spans="1:9" x14ac:dyDescent="0.3">
      <c r="A5065" s="1" t="s">
        <v>61</v>
      </c>
      <c r="B5065" s="1" t="s">
        <v>318</v>
      </c>
      <c r="C5065" s="1" t="s">
        <v>69</v>
      </c>
      <c r="D5065" s="1" t="s">
        <v>521</v>
      </c>
      <c r="E5065" s="1" t="s">
        <v>2113</v>
      </c>
      <c r="F5065" s="1" t="s">
        <v>8415</v>
      </c>
      <c r="G5065" s="1" t="s">
        <v>36</v>
      </c>
      <c r="H5065" s="1" t="s">
        <v>29</v>
      </c>
      <c r="I5065" s="1" t="str">
        <f ca="1">IFERROR(__xludf.DUMMYFUNCTION("GOOGLETRANSLATE(F5065, ""auto"", ""en"")
"),"We bought a kettle back in the summer for the dacha. It served all summer without any complaints, we have a large family, and it was used mercilessly.")</f>
        <v>We bought a kettle back in the summer for the dacha. It served all summer without any complaints, we have a large family, and it was used mercilessly.</v>
      </c>
    </row>
    <row r="5066" spans="1:9" x14ac:dyDescent="0.3">
      <c r="A5066" s="1" t="s">
        <v>61</v>
      </c>
      <c r="B5066" s="1" t="s">
        <v>318</v>
      </c>
      <c r="C5066" s="1" t="s">
        <v>85</v>
      </c>
      <c r="D5066" s="1" t="s">
        <v>8416</v>
      </c>
      <c r="E5066" s="1" t="s">
        <v>7396</v>
      </c>
      <c r="F5066" s="1" t="s">
        <v>8417</v>
      </c>
      <c r="G5066" s="1" t="s">
        <v>36</v>
      </c>
      <c r="H5066" s="1" t="s">
        <v>29</v>
      </c>
      <c r="I5066" s="1" t="str">
        <f ca="1">IFERROR(__xludf.DUMMYFUNCTION("GOOGLETRANSLATE(F5066, ""auto"", ""en"")
"),"Stylish look, backlight, low noise")</f>
        <v>Stylish look, backlight, low noise</v>
      </c>
    </row>
    <row r="5067" spans="1:9" x14ac:dyDescent="0.3">
      <c r="A5067" s="1" t="s">
        <v>89</v>
      </c>
      <c r="B5067" s="1" t="s">
        <v>8418</v>
      </c>
      <c r="C5067" s="1" t="s">
        <v>61</v>
      </c>
      <c r="D5067" s="1" t="s">
        <v>8419</v>
      </c>
      <c r="E5067" s="1" t="s">
        <v>8420</v>
      </c>
      <c r="F5067" s="1" t="s">
        <v>8421</v>
      </c>
      <c r="G5067" s="1" t="s">
        <v>36</v>
      </c>
      <c r="H5067" s="1" t="s">
        <v>29</v>
      </c>
      <c r="I5067" s="1" t="str">
        <f ca="1">IFERROR(__xludf.DUMMYFUNCTION("GOOGLETRANSLATE(F5067, ""auto"", ""en"")
"),"Over time, plaque formed, I found information about cleaning products, and it turned out that there is a special product for my Jura brand - decalcification (cleaning) tablets. The tablets are effective, the scale disappeared quickly - one tablet was enou"&amp;"gh! 2 more left in stock!")</f>
        <v>Over time, plaque formed, I found information about cleaning products, and it turned out that there is a special product for my Jura brand - decalcification (cleaning) tablets. The tablets are effective, the scale disappeared quickly - one tablet was enough! 2 more left in stock!</v>
      </c>
    </row>
    <row r="5068" spans="1:9" x14ac:dyDescent="0.3">
      <c r="A5068" s="1" t="s">
        <v>55</v>
      </c>
      <c r="B5068" s="1" t="s">
        <v>56</v>
      </c>
      <c r="C5068" s="1" t="s">
        <v>3651</v>
      </c>
      <c r="D5068" s="1" t="s">
        <v>142</v>
      </c>
      <c r="E5068" s="1" t="s">
        <v>5244</v>
      </c>
      <c r="F5068" s="1" t="s">
        <v>8422</v>
      </c>
      <c r="G5068" s="1" t="s">
        <v>36</v>
      </c>
      <c r="H5068" s="1" t="s">
        <v>29</v>
      </c>
      <c r="I5068" s="1" t="str">
        <f ca="1">IFERROR(__xludf.DUMMYFUNCTION("GOOGLETRANSLATE(F5068, ""auto"", ""en"")
"),"It works quietly, sometimes gurgles, but it is not annoying and, moreover, it is not loud. For anyone interested, there is a residue from it, it appears once every two days on the TV, itself and CDs /on the side without a picture, if left on the table/. I"&amp;" have it on the chest of drawers 30cm from the mirrored dressing room. The mirrors are all clean. There is much less dust on the furniture, BUT it all settles on the floor. I was very afraid of the plaque, but it is minimal - you can brush it off with a c"&amp;"loth as you pass by. I'm very pleased with the purchase.")</f>
        <v>It works quietly, sometimes gurgles, but it is not annoying and, moreover, it is not loud. For anyone interested, there is a residue from it, it appears once every two days on the TV, itself and CDs /on the side without a picture, if left on the table/. I have it on the chest of drawers 30cm from the mirrored dressing room. The mirrors are all clean. There is much less dust on the furniture, BUT it all settles on the floor. I was very afraid of the plaque, but it is minimal - you can brush it off with a cloth as you pass by. I'm very pleased with the purchase.</v>
      </c>
    </row>
    <row r="5069" spans="1:9" x14ac:dyDescent="0.3">
      <c r="A5069" s="1" t="s">
        <v>149</v>
      </c>
      <c r="B5069" s="1" t="s">
        <v>155</v>
      </c>
      <c r="C5069" s="1" t="s">
        <v>24</v>
      </c>
      <c r="D5069" s="1" t="s">
        <v>64</v>
      </c>
      <c r="E5069" s="1" t="s">
        <v>8423</v>
      </c>
      <c r="F5069" s="1" t="s">
        <v>8424</v>
      </c>
      <c r="G5069" s="1" t="s">
        <v>49</v>
      </c>
      <c r="H5069" s="1" t="s">
        <v>16</v>
      </c>
      <c r="I5069" s="1" t="str">
        <f ca="1">IFERROR(__xludf.DUMMYFUNCTION("GOOGLETRANSLATE(F5069, ""auto"", ""en"")
"),"The suction is disgusting, it is difficult to clean the container (there is nothing to compare it to), the hose is very inconvenient - it gets twisted, the power cord is apparently for a room of 10 square meters, you constantly have to change sockets, the"&amp;" tube always falls out.")</f>
        <v>The suction is disgusting, it is difficult to clean the container (there is nothing to compare it to), the hose is very inconvenient - it gets twisted, the power cord is apparently for a room of 10 square meters, you constantly have to change sockets, the tube always falls out.</v>
      </c>
    </row>
    <row r="5070" spans="1:9" x14ac:dyDescent="0.3">
      <c r="A5070" s="1" t="s">
        <v>17</v>
      </c>
      <c r="B5070" s="1" t="s">
        <v>18</v>
      </c>
      <c r="C5070" s="1" t="s">
        <v>151</v>
      </c>
      <c r="D5070" s="1" t="s">
        <v>589</v>
      </c>
      <c r="E5070" s="1" t="s">
        <v>950</v>
      </c>
      <c r="F5070" s="1" t="s">
        <v>8425</v>
      </c>
      <c r="G5070" s="1" t="s">
        <v>36</v>
      </c>
      <c r="H5070" s="1" t="s">
        <v>29</v>
      </c>
      <c r="I5070" s="1" t="str">
        <f ca="1">IFERROR(__xludf.DUMMYFUNCTION("GOOGLETRANSLATE(F5070, ""auto"", ""en"")
"),"I spent a long time choosing a washing machine after my old one broke. I read reviews, recommendations, etc., etc. I settled on this model and have no regrets. Reasonable price, compact. As soon as I tried it, I realized that I was not mistaken. Not noisy"&amp;", when pressed, stands still (despite the fact that we did not take any legs, rugs, etc.) Convenient control. It rinses super well, everything is clean even with just 1 rinse. And the door closes. So pah pah can’t jinx it. I really like it. And thanks to "&amp;"everyone who previously left reviews, this was a great help in choosing.")</f>
        <v>I spent a long time choosing a washing machine after my old one broke. I read reviews, recommendations, etc., etc. I settled on this model and have no regrets. Reasonable price, compact. As soon as I tried it, I realized that I was not mistaken. Not noisy, when pressed, stands still (despite the fact that we did not take any legs, rugs, etc.) Convenient control. It rinses super well, everything is clean even with just 1 rinse. And the door closes. So pah pah can’t jinx it. I really like it. And thanks to everyone who previously left reviews, this was a great help in choosing.</v>
      </c>
    </row>
    <row r="5071" spans="1:9" x14ac:dyDescent="0.3">
      <c r="A5071" s="1" t="s">
        <v>61</v>
      </c>
      <c r="B5071" s="1" t="s">
        <v>977</v>
      </c>
      <c r="C5071" s="1" t="s">
        <v>74</v>
      </c>
      <c r="D5071" s="1" t="s">
        <v>1894</v>
      </c>
      <c r="E5071" s="1" t="s">
        <v>1929</v>
      </c>
      <c r="F5071" s="1" t="s">
        <v>8426</v>
      </c>
      <c r="G5071" s="1" t="s">
        <v>49</v>
      </c>
      <c r="H5071" s="1" t="s">
        <v>16</v>
      </c>
      <c r="I5071" s="1" t="str">
        <f ca="1">IFERROR(__xludf.DUMMYFUNCTION("GOOGLETRANSLATE(F5071, ""auto"", ""en"")
"),"I don't recommend it to anyone. The blender is not bad, but the glass is attached to the base with three thin plastic fasteners, which break with a bang. As soon as one cracks, the blender begins to leak. The new glass is sold only assembled at a price of"&amp;" 2/3 of the price of the blender. If you lift the blender by the handle of the glass, the fastenings can be broken. There is an ice crushing function. After the first use, the knives became as dull as felt boots. I don't recommend it to anyone.")</f>
        <v>I don't recommend it to anyone. The blender is not bad, but the glass is attached to the base with three thin plastic fasteners, which break with a bang. As soon as one cracks, the blender begins to leak. The new glass is sold only assembled at a price of 2/3 of the price of the blender. If you lift the blender by the handle of the glass, the fastenings can be broken. There is an ice crushing function. After the first use, the knives became as dull as felt boots. I don't recommend it to anyone.</v>
      </c>
    </row>
    <row r="5072" spans="1:9" x14ac:dyDescent="0.3">
      <c r="A5072" s="1" t="s">
        <v>61</v>
      </c>
      <c r="B5072" s="1" t="s">
        <v>318</v>
      </c>
      <c r="C5072" s="1" t="s">
        <v>246</v>
      </c>
      <c r="D5072" s="1" t="s">
        <v>39</v>
      </c>
      <c r="E5072" s="1" t="s">
        <v>367</v>
      </c>
      <c r="F5072" s="1" t="s">
        <v>8427</v>
      </c>
      <c r="G5072" s="1" t="s">
        <v>36</v>
      </c>
      <c r="H5072" s="1" t="s">
        <v>29</v>
      </c>
      <c r="I5072" s="1" t="str">
        <f ca="1">IFERROR(__xludf.DUMMYFUNCTION("GOOGLETRANSLATE(F5072, ""auto"", ""en"")
"),"We got our first Tefal kettle in 1996 and worked for 8 years without any complaints! This same kettle made in China worked for exactly half a year and started leaking :(")</f>
        <v>We got our first Tefal kettle in 1996 and worked for 8 years without any complaints! This same kettle made in China worked for exactly half a year and started leaking :(</v>
      </c>
    </row>
    <row r="5073" spans="1:9" x14ac:dyDescent="0.3">
      <c r="A5073" s="1" t="s">
        <v>17</v>
      </c>
      <c r="B5073" s="1" t="s">
        <v>18</v>
      </c>
      <c r="C5073" s="1" t="s">
        <v>243</v>
      </c>
      <c r="D5073" s="1" t="s">
        <v>385</v>
      </c>
      <c r="E5073" s="1" t="s">
        <v>475</v>
      </c>
      <c r="F5073" s="1" t="s">
        <v>8428</v>
      </c>
      <c r="G5073" s="1" t="s">
        <v>28</v>
      </c>
      <c r="H5073" s="1" t="s">
        <v>29</v>
      </c>
      <c r="I5073" s="1" t="str">
        <f ca="1">IFERROR(__xludf.DUMMYFUNCTION("GOOGLETRANSLATE(F5073, ""auto"", ""en"")
"),"The controls are simple, no frills.")</f>
        <v>The controls are simple, no frills.</v>
      </c>
    </row>
    <row r="5074" spans="1:9" x14ac:dyDescent="0.3">
      <c r="A5074" s="1" t="s">
        <v>61</v>
      </c>
      <c r="B5074" s="1" t="s">
        <v>977</v>
      </c>
      <c r="C5074" s="1" t="s">
        <v>213</v>
      </c>
      <c r="D5074" s="1" t="s">
        <v>565</v>
      </c>
      <c r="E5074" s="1" t="s">
        <v>832</v>
      </c>
      <c r="F5074" s="1" t="s">
        <v>8429</v>
      </c>
      <c r="G5074" s="1" t="s">
        <v>36</v>
      </c>
      <c r="H5074" s="1" t="s">
        <v>29</v>
      </c>
      <c r="I5074" s="1" t="str">
        <f ca="1">IFERROR(__xludf.DUMMYFUNCTION("GOOGLETRANSLATE(F5074, ""auto"", ""en"")
"),"Great stuff! I recommend it to everyone. True, I haven’t tried processing meat (then the meat grinder will be idle), but I’m very pleased!!!")</f>
        <v>Great stuff! I recommend it to everyone. True, I haven’t tried processing meat (then the meat grinder will be idle), but I’m very pleased!!!</v>
      </c>
    </row>
    <row r="5075" spans="1:9" x14ac:dyDescent="0.3">
      <c r="A5075" s="1" t="s">
        <v>30</v>
      </c>
      <c r="B5075" s="1" t="s">
        <v>50</v>
      </c>
      <c r="C5075" s="1" t="s">
        <v>32</v>
      </c>
      <c r="D5075" s="1" t="s">
        <v>75</v>
      </c>
      <c r="E5075" s="1" t="s">
        <v>994</v>
      </c>
      <c r="F5075" s="1" t="s">
        <v>8430</v>
      </c>
      <c r="G5075" s="1" t="s">
        <v>36</v>
      </c>
      <c r="H5075" s="1" t="s">
        <v>29</v>
      </c>
      <c r="I5075" s="1" t="str">
        <f ca="1">IFERROR(__xludf.DUMMYFUNCTION("GOOGLETRANSLATE(F5075, ""auto"", ""en"")
"),"I bought it and now I’m as happy as a cat with sour cream... Small, nimble, and how beautiful mmmm.... I gave my huge old laptop to my mother)))) Buy it, you won’t regret it")</f>
        <v>I bought it and now I’m as happy as a cat with sour cream... Small, nimble, and how beautiful mmmm.... I gave my huge old laptop to my mother)))) Buy it, you won’t regret it</v>
      </c>
    </row>
    <row r="5076" spans="1:9" x14ac:dyDescent="0.3">
      <c r="A5076" s="1" t="s">
        <v>149</v>
      </c>
      <c r="B5076" s="1" t="s">
        <v>423</v>
      </c>
      <c r="C5076" s="1" t="s">
        <v>548</v>
      </c>
      <c r="D5076" s="1" t="s">
        <v>8431</v>
      </c>
      <c r="E5076" s="1" t="s">
        <v>1212</v>
      </c>
      <c r="F5076" s="1" t="s">
        <v>8432</v>
      </c>
      <c r="G5076" s="1" t="s">
        <v>36</v>
      </c>
      <c r="H5076" s="1" t="s">
        <v>29</v>
      </c>
      <c r="I5076" s="1" t="str">
        <f ca="1">IFERROR(__xludf.DUMMYFUNCTION("GOOGLETRANSLATE(F5076, ""auto"", ""en"")
"),"I wrote above about weak traction. I take my words back. Deadly sucks. The twenty-year-old carpet was transformed beyond recognition - the pile rose, the colors became much brighter. When I read the instructions, I saw that the tank needed to be filled to"&amp;" the level on the BACK wall, but after looking hard, I couldn’t find it and filled it to the level on the side. Where does the traction come from here?!!! I hope my experience will be useful to someone.")</f>
        <v>I wrote above about weak traction. I take my words back. Deadly sucks. The twenty-year-old carpet was transformed beyond recognition - the pile rose, the colors became much brighter. When I read the instructions, I saw that the tank needed to be filled to the level on the BACK wall, but after looking hard, I couldn’t find it and filled it to the level on the side. Where does the traction come from here?!!! I hope my experience will be useful to someone.</v>
      </c>
    </row>
    <row r="5077" spans="1:9" x14ac:dyDescent="0.3">
      <c r="A5077" s="1" t="s">
        <v>211</v>
      </c>
      <c r="B5077" s="1" t="s">
        <v>384</v>
      </c>
      <c r="C5077" s="1" t="s">
        <v>63</v>
      </c>
      <c r="D5077" s="1" t="s">
        <v>308</v>
      </c>
      <c r="E5077" s="1" t="s">
        <v>2043</v>
      </c>
      <c r="F5077" s="1" t="s">
        <v>8433</v>
      </c>
      <c r="G5077" s="1" t="s">
        <v>49</v>
      </c>
      <c r="H5077" s="1" t="s">
        <v>16</v>
      </c>
      <c r="I5077" s="1" t="str">
        <f ca="1">IFERROR(__xludf.DUMMYFUNCTION("GOOGLETRANSLATE(F5077, ""auto"", ""en"")
"),"Fuzzy numbers! Half of it is not visible! Tried changing the battery, nothing changed. And the warranty is over(")</f>
        <v>Fuzzy numbers! Half of it is not visible! Tried changing the battery, nothing changed. And the warranty is over(</v>
      </c>
    </row>
    <row r="5078" spans="1:9" x14ac:dyDescent="0.3">
      <c r="A5078" s="1" t="s">
        <v>149</v>
      </c>
      <c r="B5078" s="1" t="s">
        <v>155</v>
      </c>
      <c r="C5078" s="1" t="s">
        <v>63</v>
      </c>
      <c r="D5078" s="1" t="s">
        <v>335</v>
      </c>
      <c r="E5078" s="1" t="s">
        <v>656</v>
      </c>
      <c r="F5078" s="1" t="s">
        <v>8434</v>
      </c>
      <c r="G5078" s="1" t="s">
        <v>36</v>
      </c>
      <c r="H5078" s="1" t="s">
        <v>29</v>
      </c>
      <c r="I5078" s="1" t="str">
        <f ca="1">IFERROR(__xludf.DUMMYFUNCTION("GOOGLETRANSLATE(F5078, ""auto"", ""en"")
"),"This is an excellent vacuum cleaner with a dust container, it suctions perfectly, it works quietly, people who write nonsense about filters - read the instructions, it is impossible to kill the filter mesh, if the red light comes on, then you just need to"&amp;" rinse it under a stream of water and that’s it, and then I do this about once every 4-5 months, the filter is a sponge of soap only once in 2 years of use, the hepa filter is generally snow-white until So far, I’m completely satisfied with the vacuum cle"&amp;"aner, don’t hesitate to buy it, after my previous Samsungs and LGs, I still can’t get enough of this assistant, I bought it once and forgot it, I don’t need to buy or change anything, and this is the only vacuum cleaner whose hose hasn’t broken or bent, a"&amp;"ll previous vacuum cleaners have broken or torn. Bosch is Bosch")</f>
        <v>This is an excellent vacuum cleaner with a dust container, it suctions perfectly, it works quietly, people who write nonsense about filters - read the instructions, it is impossible to kill the filter mesh, if the red light comes on, then you just need to rinse it under a stream of water and that’s it, and then I do this about once every 4-5 months, the filter is a sponge of soap only once in 2 years of use, the hepa filter is generally snow-white until So far, I’m completely satisfied with the vacuum cleaner, don’t hesitate to buy it, after my previous Samsungs and LGs, I still can’t get enough of this assistant, I bought it once and forgot it, I don’t need to buy or change anything, and this is the only vacuum cleaner whose hose hasn’t broken or bent, all previous vacuum cleaners have broken or torn. Bosch is Bosch</v>
      </c>
    </row>
    <row r="5079" spans="1:9" x14ac:dyDescent="0.3">
      <c r="A5079" s="1" t="s">
        <v>211</v>
      </c>
      <c r="B5079" s="1" t="s">
        <v>2818</v>
      </c>
      <c r="C5079" s="1" t="s">
        <v>213</v>
      </c>
      <c r="D5079" s="1" t="s">
        <v>420</v>
      </c>
      <c r="E5079" s="1" t="s">
        <v>1905</v>
      </c>
      <c r="F5079" s="1" t="s">
        <v>8435</v>
      </c>
      <c r="G5079" s="1" t="s">
        <v>36</v>
      </c>
      <c r="H5079" s="1" t="s">
        <v>29</v>
      </c>
      <c r="I5079" s="1" t="str">
        <f ca="1">IFERROR(__xludf.DUMMYFUNCTION("GOOGLETRANSLATE(F5079, ""auto"", ""en"")
"),"I’ve been using the Brown 1008 electric razor since 2000, and I haven’t seen a better product yet.")</f>
        <v>I’ve been using the Brown 1008 electric razor since 2000, and I haven’t seen a better product yet.</v>
      </c>
    </row>
    <row r="5080" spans="1:9" x14ac:dyDescent="0.3">
      <c r="A5080" s="1" t="s">
        <v>17</v>
      </c>
      <c r="B5080" s="1" t="s">
        <v>18</v>
      </c>
      <c r="C5080" s="1" t="s">
        <v>243</v>
      </c>
      <c r="D5080" s="1" t="s">
        <v>2293</v>
      </c>
      <c r="E5080" s="1" t="s">
        <v>4483</v>
      </c>
      <c r="F5080" s="1" t="s">
        <v>8436</v>
      </c>
      <c r="G5080" s="1" t="s">
        <v>15</v>
      </c>
      <c r="H5080" s="1" t="s">
        <v>16</v>
      </c>
      <c r="I5080" s="1" t="str">
        <f ca="1">IFERROR(__xludf.DUMMYFUNCTION("GOOGLETRANSLATE(F5080, ""auto"", ""en"")
"),"At the slightest voltage surge in the network, the power module has failed, the power module cannot be repaired, and replacing the module with a new one is tantamount to buying a new machine.")</f>
        <v>At the slightest voltage surge in the network, the power module has failed, the power module cannot be repaired, and replacing the module with a new one is tantamount to buying a new machine.</v>
      </c>
    </row>
    <row r="5081" spans="1:9" x14ac:dyDescent="0.3">
      <c r="A5081" s="1" t="s">
        <v>624</v>
      </c>
      <c r="B5081" s="1" t="s">
        <v>2107</v>
      </c>
      <c r="C5081" s="1" t="s">
        <v>479</v>
      </c>
      <c r="D5081" s="1" t="s">
        <v>8437</v>
      </c>
      <c r="E5081" s="1" t="s">
        <v>8438</v>
      </c>
      <c r="F5081" s="1" t="s">
        <v>8439</v>
      </c>
      <c r="G5081" s="1" t="s">
        <v>36</v>
      </c>
      <c r="H5081" s="1" t="s">
        <v>29</v>
      </c>
      <c r="I5081" s="1" t="str">
        <f ca="1">IFERROR(__xludf.DUMMYFUNCTION("GOOGLETRANSLATE(F5081, ""auto"", ""en"")
"),"The game definitely pleased me! First of all, ALAN WAKE captivates with its plot and atmosphere. Yes, the game was released 3 years late, and in some places the graphics do not seem beautiful, but as you get to know this game more and more deeply, you tur"&amp;"n a blind eye to all the shortcomings. It seems ideal to you, you are ready to go through it again and again. Like a zombie, you quickly rush home to launch WAKE on your X-box. The duration of the game is 20-25 hours and until the last second you are surp"&amp;"rised more and more by the plot twists. The amazing atmosphere of a small town with its own mysteries and secrets. The musical accompaniment and soundtracks merge with the game together. I would like to say a special word about the voice acting - it is En"&amp;"glish, but by the middle of the game you understand that not a single announcer or understudy could convey such an atmosphere as the announcer (the owner of an amazing and memorable voice) who voiced the wake. The rest of the understudies are just as good"&amp;"! I bought an X-box half a year ago for Gears of war, Halo, and of course Alan Wake. I recommend this game to everyone, it’s definitely worth it. You will get a lot of impressions, you will want to tell about the plot to all people of different ages. Ever"&amp;"y XBOX owner must play it. The game is great! 5 points!")</f>
        <v>The game definitely pleased me! First of all, ALAN WAKE captivates with its plot and atmosphere. Yes, the game was released 3 years late, and in some places the graphics do not seem beautiful, but as you get to know this game more and more deeply, you turn a blind eye to all the shortcomings. It seems ideal to you, you are ready to go through it again and again. Like a zombie, you quickly rush home to launch WAKE on your X-box. The duration of the game is 20-25 hours and until the last second you are surprised more and more by the plot twists. The amazing atmosphere of a small town with its own mysteries and secrets. The musical accompaniment and soundtracks merge with the game together. I would like to say a special word about the voice acting - it is English, but by the middle of the game you understand that not a single announcer or understudy could convey such an atmosphere as the announcer (the owner of an amazing and memorable voice) who voiced the wake. The rest of the understudies are just as good! I bought an X-box half a year ago for Gears of war, Halo, and of course Alan Wake. I recommend this game to everyone, it’s definitely worth it. You will get a lot of impressions, you will want to tell about the plot to all people of different ages. Every XBOX owner must play it. The game is great! 5 points!</v>
      </c>
    </row>
    <row r="5082" spans="1:9" x14ac:dyDescent="0.3">
      <c r="A5082" s="1" t="s">
        <v>149</v>
      </c>
      <c r="B5082" s="1" t="s">
        <v>155</v>
      </c>
      <c r="C5082" s="1" t="s">
        <v>151</v>
      </c>
      <c r="D5082" s="1" t="s">
        <v>1147</v>
      </c>
      <c r="E5082" s="1" t="s">
        <v>4157</v>
      </c>
      <c r="F5082" s="1" t="s">
        <v>8440</v>
      </c>
      <c r="G5082" s="1" t="s">
        <v>36</v>
      </c>
      <c r="H5082" s="1" t="s">
        <v>29</v>
      </c>
      <c r="I5082" s="1" t="str">
        <f ca="1">IFERROR(__xludf.DUMMYFUNCTION("GOOGLETRANSLATE(F5082, ""auto"", ""en"")
"),"Excellent vacuum cleaner for such a price!")</f>
        <v>Excellent vacuum cleaner for such a price!</v>
      </c>
    </row>
    <row r="5083" spans="1:9" x14ac:dyDescent="0.3">
      <c r="A5083" s="1" t="s">
        <v>61</v>
      </c>
      <c r="B5083" s="1" t="s">
        <v>318</v>
      </c>
      <c r="C5083" s="1" t="s">
        <v>4871</v>
      </c>
      <c r="D5083" s="1" t="s">
        <v>8441</v>
      </c>
      <c r="E5083" s="1" t="s">
        <v>661</v>
      </c>
      <c r="F5083" s="1" t="s">
        <v>8442</v>
      </c>
      <c r="G5083" s="1" t="s">
        <v>36</v>
      </c>
      <c r="H5083" s="1" t="s">
        <v>29</v>
      </c>
      <c r="I5083" s="1" t="str">
        <f ca="1">IFERROR(__xludf.DUMMYFUNCTION("GOOGLETRANSLATE(F5083, ""auto"", ""en"")
"),"We have been using it since January 2010. I really like it. There is always hot water 90 degrees (we didn’t use 60, 98 sometimes). For a family of three people, 5 liters is enough for 3-4 days. It is convenient to pour water in the evening and you can pou"&amp;"r it in the morning. Easy to clean. After the supplier changed bottled water to Diveyevo water, the scale completely disappeared. I recommend it.")</f>
        <v>We have been using it since January 2010. I really like it. There is always hot water 90 degrees (we didn’t use 60, 98 sometimes). For a family of three people, 5 liters is enough for 3-4 days. It is convenient to pour water in the evening and you can pour it in the morning. Easy to clean. After the supplier changed bottled water to Diveyevo water, the scale completely disappeared. I recommend it.</v>
      </c>
    </row>
    <row r="5084" spans="1:9" x14ac:dyDescent="0.3">
      <c r="A5084" s="1" t="s">
        <v>557</v>
      </c>
      <c r="B5084" s="1" t="s">
        <v>1977</v>
      </c>
      <c r="C5084" s="1" t="s">
        <v>369</v>
      </c>
      <c r="D5084" s="1" t="s">
        <v>2096</v>
      </c>
      <c r="E5084" s="1" t="s">
        <v>8443</v>
      </c>
      <c r="F5084" s="1" t="s">
        <v>8444</v>
      </c>
      <c r="G5084" s="1" t="s">
        <v>36</v>
      </c>
      <c r="H5084" s="1" t="s">
        <v>29</v>
      </c>
      <c r="I5084" s="1" t="str">
        <f ca="1">IFERROR(__xludf.DUMMYFUNCTION("GOOGLETRANSLATE(F5084, ""auto"", ""en"")
"),"An excellent device, does not distort the sound, does not require a connection to 220V, excellent audibility without background or noise in the handset. Special thanks to the consultants for their help in choosing.")</f>
        <v>An excellent device, does not distort the sound, does not require a connection to 220V, excellent audibility without background or noise in the handset. Special thanks to the consultants for their help in choosing.</v>
      </c>
    </row>
    <row r="5085" spans="1:9" x14ac:dyDescent="0.3">
      <c r="A5085" s="1" t="s">
        <v>61</v>
      </c>
      <c r="B5085" s="1" t="s">
        <v>224</v>
      </c>
      <c r="C5085" s="1" t="s">
        <v>314</v>
      </c>
      <c r="D5085" s="1" t="s">
        <v>152</v>
      </c>
      <c r="E5085" s="1" t="s">
        <v>688</v>
      </c>
      <c r="F5085" s="1" t="s">
        <v>8445</v>
      </c>
      <c r="G5085" s="1" t="s">
        <v>36</v>
      </c>
      <c r="H5085" s="1" t="s">
        <v>29</v>
      </c>
      <c r="I5085" s="1" t="str">
        <f ca="1">IFERROR(__xludf.DUMMYFUNCTION("GOOGLETRANSLATE(F5085, ""auto"", ""en"")
"),"An excellent juicer for small volumes of juice every day! Easy to disassemble, assemble and clean (only 3 parts), small and light, excellent design, good price. What else do you need to greet a new day with a glass of delicious natural juice!")</f>
        <v>An excellent juicer for small volumes of juice every day! Easy to disassemble, assemble and clean (only 3 parts), small and light, excellent design, good price. What else do you need to greet a new day with a glass of delicious natural juice!</v>
      </c>
    </row>
    <row r="5086" spans="1:9" x14ac:dyDescent="0.3">
      <c r="A5086" s="1" t="s">
        <v>61</v>
      </c>
      <c r="B5086" s="1" t="s">
        <v>180</v>
      </c>
      <c r="C5086" s="1" t="s">
        <v>85</v>
      </c>
      <c r="D5086" s="1" t="s">
        <v>172</v>
      </c>
      <c r="E5086" s="1" t="s">
        <v>6685</v>
      </c>
      <c r="F5086" s="1" t="s">
        <v>8446</v>
      </c>
      <c r="G5086" s="1" t="s">
        <v>36</v>
      </c>
      <c r="H5086" s="1" t="s">
        <v>29</v>
      </c>
      <c r="I5086" s="1" t="str">
        <f ca="1">IFERROR(__xludf.DUMMYFUNCTION("GOOGLETRANSLATE(F5086, ""auto"", ""en"")
"),"Quality option! Would recommend to everyone! I agree with Alexey from Orenburg - one-sided roasting is simply classy! The kids love it!)")</f>
        <v>Quality option! Would recommend to everyone! I agree with Alexey from Orenburg - one-sided roasting is simply classy! The kids love it!)</v>
      </c>
    </row>
    <row r="5087" spans="1:9" x14ac:dyDescent="0.3">
      <c r="A5087" s="1" t="s">
        <v>211</v>
      </c>
      <c r="B5087" s="1" t="s">
        <v>212</v>
      </c>
      <c r="C5087" s="1" t="s">
        <v>381</v>
      </c>
      <c r="D5087" s="1" t="s">
        <v>545</v>
      </c>
      <c r="E5087" s="1" t="s">
        <v>4990</v>
      </c>
      <c r="F5087" s="1" t="s">
        <v>8447</v>
      </c>
      <c r="G5087" s="1" t="s">
        <v>36</v>
      </c>
      <c r="H5087" s="1" t="s">
        <v>29</v>
      </c>
      <c r="I5087" s="1" t="str">
        <f ca="1">IFERROR(__xludf.DUMMYFUNCTION("GOOGLETRANSLATE(F5087, ""auto"", ""en"")
"),"Compact, powerful, reliable, price")</f>
        <v>Compact, powerful, reliable, price</v>
      </c>
    </row>
    <row r="5088" spans="1:9" x14ac:dyDescent="0.3">
      <c r="A5088" s="1" t="s">
        <v>37</v>
      </c>
      <c r="B5088" s="1" t="s">
        <v>38</v>
      </c>
      <c r="C5088" s="1" t="s">
        <v>163</v>
      </c>
      <c r="D5088" s="1" t="s">
        <v>2527</v>
      </c>
      <c r="E5088" s="1" t="s">
        <v>4603</v>
      </c>
      <c r="F5088" s="1" t="s">
        <v>8448</v>
      </c>
      <c r="G5088" s="1" t="s">
        <v>36</v>
      </c>
      <c r="H5088" s="1" t="s">
        <v>29</v>
      </c>
      <c r="I5088" s="1" t="str">
        <f ca="1">IFERROR(__xludf.DUMMYFUNCTION("GOOGLETRANSLATE(F5088, ""auto"", ""en"")
"),"The phone is very good, I like it))) in general I really like Nokia))")</f>
        <v>The phone is very good, I like it))) in general I really like Nokia))</v>
      </c>
    </row>
    <row r="5089" spans="1:9" x14ac:dyDescent="0.3">
      <c r="A5089" s="1" t="s">
        <v>67</v>
      </c>
      <c r="B5089" s="1" t="s">
        <v>68</v>
      </c>
      <c r="C5089" s="1" t="s">
        <v>381</v>
      </c>
      <c r="D5089" s="1" t="s">
        <v>565</v>
      </c>
      <c r="E5089" s="1" t="s">
        <v>5470</v>
      </c>
      <c r="F5089" s="1" t="s">
        <v>8449</v>
      </c>
      <c r="G5089" s="1" t="s">
        <v>36</v>
      </c>
      <c r="H5089" s="1" t="s">
        <v>29</v>
      </c>
      <c r="I5089" s="1" t="str">
        <f ca="1">IFERROR(__xludf.DUMMYFUNCTION("GOOGLETRANSLATE(F5089, ""auto"", ""en"")
"),"I've been wanting to have a travel iron for a long time, and I finally got one. Very convenient, both in size and in use. Heats up quickly, irons perfectly, the presence of a sharp spout is very convenient!")</f>
        <v>I've been wanting to have a travel iron for a long time, and I finally got one. Very convenient, both in size and in use. Heats up quickly, irons perfectly, the presence of a sharp spout is very convenient!</v>
      </c>
    </row>
    <row r="5090" spans="1:9" x14ac:dyDescent="0.3">
      <c r="A5090" s="1" t="s">
        <v>373</v>
      </c>
      <c r="B5090" s="1" t="s">
        <v>374</v>
      </c>
      <c r="C5090" s="1" t="s">
        <v>138</v>
      </c>
      <c r="D5090" s="1" t="s">
        <v>46</v>
      </c>
      <c r="E5090" s="1" t="s">
        <v>1450</v>
      </c>
      <c r="F5090" s="1" t="s">
        <v>8450</v>
      </c>
      <c r="G5090" s="1" t="s">
        <v>36</v>
      </c>
      <c r="H5090" s="1" t="s">
        <v>29</v>
      </c>
      <c r="I5090" s="1" t="str">
        <f ca="1">IFERROR(__xludf.DUMMYFUNCTION("GOOGLETRANSLATE(F5090, ""auto"", ""en"")
"),"The machine is excellent, dries perfectly and washes amazingly. The programs are all convenient and worthwhile. I hope it lasts longer.")</f>
        <v>The machine is excellent, dries perfectly and washes amazingly. The programs are all convenient and worthwhile. I hope it lasts longer.</v>
      </c>
    </row>
    <row r="5091" spans="1:9" x14ac:dyDescent="0.3">
      <c r="A5091" s="1" t="s">
        <v>120</v>
      </c>
      <c r="B5091" s="1" t="s">
        <v>256</v>
      </c>
      <c r="C5091" s="1" t="s">
        <v>151</v>
      </c>
      <c r="D5091" s="1" t="s">
        <v>152</v>
      </c>
      <c r="E5091" s="1" t="s">
        <v>2780</v>
      </c>
      <c r="F5091" s="1" t="s">
        <v>8451</v>
      </c>
      <c r="G5091" s="1" t="s">
        <v>28</v>
      </c>
      <c r="H5091" s="1" t="s">
        <v>29</v>
      </c>
      <c r="I5091" s="1" t="str">
        <f ca="1">IFERROR(__xludf.DUMMYFUNCTION("GOOGLETRANSLATE(F5091, ""auto"", ""en"")
"),"The TV works for 2 days, the menu is convenient and simple, before that I had a SONY KV, served faithfully for 20 years, retired, I hope Samsung will not disappoint. The first impression is good.  P.S.   Special thanks to M.vidio, everything was completed"&amp;" on time!")</f>
        <v>The TV works for 2 days, the menu is convenient and simple, before that I had a SONY KV, served faithfully for 20 years, retired, I hope Samsung will not disappoint. The first impression is good.  P.S.   Special thanks to M.vidio, everything was completed on time!</v>
      </c>
    </row>
    <row r="5092" spans="1:9" x14ac:dyDescent="0.3">
      <c r="A5092" s="1" t="s">
        <v>496</v>
      </c>
      <c r="B5092" s="1" t="s">
        <v>497</v>
      </c>
      <c r="C5092" s="1" t="s">
        <v>479</v>
      </c>
      <c r="D5092" s="1" t="s">
        <v>8452</v>
      </c>
      <c r="E5092" s="1" t="s">
        <v>4240</v>
      </c>
      <c r="F5092" s="1" t="s">
        <v>8453</v>
      </c>
      <c r="G5092" s="1" t="s">
        <v>28</v>
      </c>
      <c r="H5092" s="1" t="s">
        <v>29</v>
      </c>
      <c r="I5092" s="1" t="str">
        <f ca="1">IFERROR(__xludf.DUMMYFUNCTION("GOOGLETRANSLATE(F5092, ""auto"", ""en"")
"),"A large amount of interesting and necessary information. Written lucidly and clearly. It is perceived without difficulty.")</f>
        <v>A large amount of interesting and necessary information. Written lucidly and clearly. It is perceived without difficulty.</v>
      </c>
    </row>
    <row r="5093" spans="1:9" x14ac:dyDescent="0.3">
      <c r="A5093" s="1" t="s">
        <v>61</v>
      </c>
      <c r="B5093" s="1" t="s">
        <v>318</v>
      </c>
      <c r="C5093" s="1" t="s">
        <v>63</v>
      </c>
      <c r="D5093" s="1" t="s">
        <v>2573</v>
      </c>
      <c r="E5093" s="1" t="s">
        <v>1319</v>
      </c>
      <c r="F5093" s="1" t="s">
        <v>8454</v>
      </c>
      <c r="G5093" s="1" t="s">
        <v>28</v>
      </c>
      <c r="H5093" s="1" t="s">
        <v>29</v>
      </c>
      <c r="I5093" s="1" t="str">
        <f ca="1">IFERROR(__xludf.DUMMYFUNCTION("GOOGLETRANSLATE(F5093, ""auto"", ""en"")
"),"I really liked its design and I didn’t regret that I bought it.. the only thing is it’s big at 1.7 l, I live alone and I probably needed a small one at 1 l, well, I don’t regret it because the design is cool, and everyone really liked it")</f>
        <v>I really liked its design and I didn’t regret that I bought it.. the only thing is it’s big at 1.7 l, I live alone and I probably needed a small one at 1 l, well, I don’t regret it because the design is cool, and everyone really liked it</v>
      </c>
    </row>
    <row r="5094" spans="1:9" x14ac:dyDescent="0.3">
      <c r="A5094" s="1" t="s">
        <v>557</v>
      </c>
      <c r="B5094" s="1" t="s">
        <v>558</v>
      </c>
      <c r="C5094" s="1" t="s">
        <v>816</v>
      </c>
      <c r="D5094" s="1" t="s">
        <v>203</v>
      </c>
      <c r="E5094" s="1" t="s">
        <v>1723</v>
      </c>
      <c r="F5094" s="1" t="s">
        <v>8455</v>
      </c>
      <c r="G5094" s="1" t="s">
        <v>28</v>
      </c>
      <c r="H5094" s="1" t="s">
        <v>29</v>
      </c>
      <c r="I5094" s="1" t="str">
        <f ca="1">IFERROR(__xludf.DUMMYFUNCTION("GOOGLETRANSLATE(F5094, ""auto"", ""en"")
"),"Hi all!  The phone is good, although the melodies are of course so-so, but you can choose a more or less pleasant one. I liked that GAP was present, my radiotelephone from GE registered with the base without problems, now there is a pipe in each room, whi"&amp;"ch is very convenient. It’s convenient that there is an intercom, now you don’t have to yell from the kitchen into the back room to call, say, your nephew.")</f>
        <v>Hi all!  The phone is good, although the melodies are of course so-so, but you can choose a more or less pleasant one. I liked that GAP was present, my radiotelephone from GE registered with the base without problems, now there is a pipe in each room, which is very convenient. It’s convenient that there is an intercom, now you don’t have to yell from the kitchen into the back room to call, say, your nephew.</v>
      </c>
    </row>
    <row r="5095" spans="1:9" x14ac:dyDescent="0.3">
      <c r="A5095" s="1" t="s">
        <v>211</v>
      </c>
      <c r="B5095" s="1" t="s">
        <v>212</v>
      </c>
      <c r="C5095" s="1" t="s">
        <v>381</v>
      </c>
      <c r="D5095" s="1" t="s">
        <v>474</v>
      </c>
      <c r="E5095" s="1" t="s">
        <v>2063</v>
      </c>
      <c r="F5095" s="1" t="s">
        <v>8456</v>
      </c>
      <c r="G5095" s="1" t="s">
        <v>36</v>
      </c>
      <c r="H5095" s="1" t="s">
        <v>29</v>
      </c>
      <c r="I5095" s="1" t="str">
        <f ca="1">IFERROR(__xludf.DUMMYFUNCTION("GOOGLETRANSLATE(F5095, ""auto"", ""en"")
"),"The hair dryer is great! Inexpensive! Rating 5+. It worked for me for about 5 years, then it started to heat up. Well done Rowenta!")</f>
        <v>The hair dryer is great! Inexpensive! Rating 5+. It worked for me for about 5 years, then it started to heat up. Well done Rowenta!</v>
      </c>
    </row>
    <row r="5096" spans="1:9" x14ac:dyDescent="0.3">
      <c r="A5096" s="1" t="s">
        <v>37</v>
      </c>
      <c r="B5096" s="1" t="s">
        <v>536</v>
      </c>
      <c r="C5096" s="1" t="s">
        <v>189</v>
      </c>
      <c r="D5096" s="1" t="s">
        <v>8457</v>
      </c>
      <c r="E5096" s="1" t="s">
        <v>3233</v>
      </c>
      <c r="F5096" s="1" t="s">
        <v>8458</v>
      </c>
      <c r="G5096" s="1" t="s">
        <v>28</v>
      </c>
      <c r="H5096" s="1" t="s">
        <v>29</v>
      </c>
      <c r="I5096" s="1" t="str">
        <f ca="1">IFERROR(__xludf.DUMMYFUNCTION("GOOGLETRANSLATE(F5096, ""auto"", ""en"")
"),"Bought 08/09/2009. I've been waiting for him for a long time. All expectations were met, except for one thing: With the stated ROM of 256MB, the device writes that it has 97MB of memory. No matter how many other devices I looked at with the same amount of"&amp;" ROM, they all had it around 155MB. In Vologda M.Video no one could say anything intelligible. Another P565 has the same thing. Either the batch is defective with ROM = 128MB (although the box says 256), or Asus has been clever (I would like some clarific"&amp;"ation) Otherwise, the device is good, only very ascetic: there is no position sensor, no light sensor, no radio. Purely a workhorse, but very fast :). Made with high quality, the equipment is good. The only thing that upset me was the cover. Absolutely un"&amp;"suitable for use. It would be better to put the purse on the belt, as they did before. And the stylus is plastic, not usual.")</f>
        <v>Bought 08/09/2009. I've been waiting for him for a long time. All expectations were met, except for one thing: With the stated ROM of 256MB, the device writes that it has 97MB of memory. No matter how many other devices I looked at with the same amount of ROM, they all had it around 155MB. In Vologda M.Video no one could say anything intelligible. Another P565 has the same thing. Either the batch is defective with ROM = 128MB (although the box says 256), or Asus has been clever (I would like some clarification) Otherwise, the device is good, only very ascetic: there is no position sensor, no light sensor, no radio. Purely a workhorse, but very fast :). Made with high quality, the equipment is good. The only thing that upset me was the cover. Absolutely unsuitable for use. It would be better to put the purse on the belt, as they did before. And the stylus is plastic, not usual.</v>
      </c>
    </row>
    <row r="5097" spans="1:9" x14ac:dyDescent="0.3">
      <c r="A5097" s="1" t="s">
        <v>61</v>
      </c>
      <c r="B5097" s="1" t="s">
        <v>318</v>
      </c>
      <c r="C5097" s="1" t="s">
        <v>85</v>
      </c>
      <c r="D5097" s="1" t="s">
        <v>64</v>
      </c>
      <c r="E5097" s="1" t="s">
        <v>4573</v>
      </c>
      <c r="F5097" s="1" t="s">
        <v>8459</v>
      </c>
      <c r="G5097" s="1" t="s">
        <v>36</v>
      </c>
      <c r="H5097" s="1" t="s">
        <v>29</v>
      </c>
      <c r="I5097" s="1" t="str">
        <f ca="1">IFERROR(__xludf.DUMMYFUNCTION("GOOGLETRANSLATE(F5097, ""auto"", ""en"")
"),"We have been using the kettle for more than three years and none of the family members have had any complaints! To be honest, we bought it because we really liked the design, all our friends and comrades noticed it when they came to visit! In fact, it tur"&amp;"ned out that it works great!!! The functions of boiling water at different temperatures according to the types of tea also help a lot!!!! Previously, we didn’t even know that, for example, green tea does not need to be brewed in boiling water at 100 degre"&amp;"es :) In general, the price-quality ratio is perfect! I recommend it to everyone!!!!")</f>
        <v>We have been using the kettle for more than three years and none of the family members have had any complaints! To be honest, we bought it because we really liked the design, all our friends and comrades noticed it when they came to visit! In fact, it turned out that it works great!!! The functions of boiling water at different temperatures according to the types of tea also help a lot!!!! Previously, we didn’t even know that, for example, green tea does not need to be brewed in boiling water at 100 degrees :) In general, the price-quality ratio is perfect! I recommend it to everyone!!!!</v>
      </c>
    </row>
    <row r="5098" spans="1:9" x14ac:dyDescent="0.3">
      <c r="A5098" s="1" t="s">
        <v>9</v>
      </c>
      <c r="B5098" s="1" t="s">
        <v>23</v>
      </c>
      <c r="C5098" s="1" t="s">
        <v>159</v>
      </c>
      <c r="D5098" s="1" t="s">
        <v>308</v>
      </c>
      <c r="E5098" s="1" t="s">
        <v>1586</v>
      </c>
      <c r="F5098" s="1" t="s">
        <v>8460</v>
      </c>
      <c r="G5098" s="1" t="s">
        <v>36</v>
      </c>
      <c r="H5098" s="1" t="s">
        <v>29</v>
      </c>
      <c r="I5098" s="1" t="str">
        <f ca="1">IFERROR(__xludf.DUMMYFUNCTION("GOOGLETRANSLATE(F5098, ""auto"", ""en"")
"),"We bought the machine a week ago. I’m very happy! It hasn’t upset me in any way. It washes well, the glass is so good, it doesn’t make any noise. The most difficult thing for me was to arrange the dishes so that everything was washed. But this is not a pr"&amp;"oblem now - I learned! I don’t regret the purchase at all. I recommend it!")</f>
        <v>We bought the machine a week ago. I’m very happy! It hasn’t upset me in any way. It washes well, the glass is so good, it doesn’t make any noise. The most difficult thing for me was to arrange the dishes so that everything was washed. But this is not a problem now - I learned! I don’t regret the purchase at all. I recommend it!</v>
      </c>
    </row>
    <row r="5099" spans="1:9" x14ac:dyDescent="0.3">
      <c r="A5099" s="1" t="s">
        <v>1443</v>
      </c>
      <c r="B5099" s="1" t="s">
        <v>1444</v>
      </c>
      <c r="C5099" s="1" t="s">
        <v>1489</v>
      </c>
      <c r="D5099" s="1" t="s">
        <v>471</v>
      </c>
      <c r="E5099" s="1" t="s">
        <v>750</v>
      </c>
      <c r="F5099" s="1" t="s">
        <v>8461</v>
      </c>
      <c r="G5099" s="1" t="s">
        <v>36</v>
      </c>
      <c r="H5099" s="1" t="s">
        <v>29</v>
      </c>
      <c r="I5099" s="1" t="str">
        <f ca="1">IFERROR(__xludf.DUMMYFUNCTION("GOOGLETRANSLATE(F5099, ""auto"", ""en"")
"),"A convenient flash drive, I was pleased with the retractable connector - the cap does not get lost, which is always a problem for me... A good, positive model, good write/read speeds.")</f>
        <v>A convenient flash drive, I was pleased with the retractable connector - the cap does not get lost, which is always a problem for me... A good, positive model, good write/read speeds.</v>
      </c>
    </row>
    <row r="5100" spans="1:9" x14ac:dyDescent="0.3">
      <c r="A5100" s="1" t="s">
        <v>120</v>
      </c>
      <c r="B5100" s="1" t="s">
        <v>126</v>
      </c>
      <c r="C5100" s="1" t="s">
        <v>80</v>
      </c>
      <c r="D5100" s="1" t="s">
        <v>568</v>
      </c>
      <c r="E5100" s="1" t="s">
        <v>824</v>
      </c>
      <c r="F5100" s="1" t="s">
        <v>8462</v>
      </c>
      <c r="G5100" s="1" t="s">
        <v>36</v>
      </c>
      <c r="H5100" s="1" t="s">
        <v>29</v>
      </c>
      <c r="I5100" s="1" t="str">
        <f ca="1">IFERROR(__xludf.DUMMYFUNCTION("GOOGLETRANSLATE(F5100, ""auto"", ""en"")
"),"The TV is good, you might even say cool, I liked playing on it, the monitor is not even close. I have always dreamed of this, I have a question, who knows how to activate usb on it, please write in more detail, I think not only I will be interested. thank"&amp;"s in advance")</f>
        <v>The TV is good, you might even say cool, I liked playing on it, the monitor is not even close. I have always dreamed of this, I have a question, who knows how to activate usb on it, please write in more detail, I think not only I will be interested. thanks in advance</v>
      </c>
    </row>
    <row r="5101" spans="1:9" x14ac:dyDescent="0.3">
      <c r="A5101" s="1" t="s">
        <v>61</v>
      </c>
      <c r="B5101" s="1" t="s">
        <v>5714</v>
      </c>
      <c r="C5101" s="1" t="s">
        <v>314</v>
      </c>
      <c r="D5101" s="1" t="s">
        <v>139</v>
      </c>
      <c r="E5101" s="1" t="s">
        <v>2251</v>
      </c>
      <c r="F5101" s="1" t="s">
        <v>8463</v>
      </c>
      <c r="G5101" s="1" t="s">
        <v>36</v>
      </c>
      <c r="H5101" s="1" t="s">
        <v>29</v>
      </c>
      <c r="I5101" s="1" t="str">
        <f ca="1">IFERROR(__xludf.DUMMYFUNCTION("GOOGLETRANSLATE(F5101, ""auto"", ""en"")
"),"Excellent attachment, chops neatly and quickly, my wife is happy with both it and the device (Zelmer meat grinder) we’ve been using it for 1.5 years without any complaints (but we didn’t buy the meat grinder here)")</f>
        <v>Excellent attachment, chops neatly and quickly, my wife is happy with both it and the device (Zelmer meat grinder) we’ve been using it for 1.5 years without any complaints (but we didn’t buy the meat grinder here)</v>
      </c>
    </row>
    <row r="5102" spans="1:9" x14ac:dyDescent="0.3">
      <c r="A5102" s="1" t="s">
        <v>37</v>
      </c>
      <c r="B5102" s="1" t="s">
        <v>38</v>
      </c>
      <c r="C5102" s="1" t="s">
        <v>151</v>
      </c>
      <c r="D5102" s="1" t="s">
        <v>385</v>
      </c>
      <c r="E5102" s="1" t="s">
        <v>1826</v>
      </c>
      <c r="F5102" s="1" t="s">
        <v>8464</v>
      </c>
      <c r="G5102" s="1" t="s">
        <v>36</v>
      </c>
      <c r="H5102" s="1" t="s">
        <v>29</v>
      </c>
      <c r="I5102" s="1" t="str">
        <f ca="1">IFERROR(__xludf.DUMMYFUNCTION("GOOGLETRANSLATE(F5102, ""auto"", ""en"")
"),"I spent a long time choosing a phone for myself, but when I saw the Samsung GT-S5200, I didn’t look at others anymore! It's been almost a year now.  Excellent camera (autofocus, zoom, flash, panorama, video), good sound, stylish design, nice interface, an"&amp;"d all the necessary functions!  I didn’t find any flaws in it for myself. And PC Studio works in WinXp. And 10 games is not enough for a normal person!")</f>
        <v>I spent a long time choosing a phone for myself, but when I saw the Samsung GT-S5200, I didn’t look at others anymore! It's been almost a year now.  Excellent camera (autofocus, zoom, flash, panorama, video), good sound, stylish design, nice interface, and all the necessary functions!  I didn’t find any flaws in it for myself. And PC Studio works in WinXp. And 10 games is not enough for a normal person!</v>
      </c>
    </row>
    <row r="5103" spans="1:9" x14ac:dyDescent="0.3">
      <c r="A5103" s="1" t="s">
        <v>9</v>
      </c>
      <c r="B5103" s="1" t="s">
        <v>137</v>
      </c>
      <c r="C5103" s="1" t="s">
        <v>134</v>
      </c>
      <c r="D5103" s="1" t="s">
        <v>52</v>
      </c>
      <c r="E5103" s="1" t="s">
        <v>2202</v>
      </c>
      <c r="F5103" s="1" t="s">
        <v>8465</v>
      </c>
      <c r="G5103" s="1" t="s">
        <v>36</v>
      </c>
      <c r="H5103" s="1" t="s">
        <v>29</v>
      </c>
      <c r="I5103" s="1" t="str">
        <f ca="1">IFERROR(__xludf.DUMMYFUNCTION("GOOGLETRANSLATE(F5103, ""auto"", ""en"")
"),"Took at your own peril and risk. Since there is not a single review on the Internet, before this CANDI worked for 12 years. When choosing, I went through the entire Internet and went to all the stores better than BOSCH and SIEMENS, I didn’t find anything,"&amp;" it cleans very well, you don’t need any products, the burners are all different, everything works fine, the surface doesn’t get hot.")</f>
        <v>Took at your own peril and risk. Since there is not a single review on the Internet, before this CANDI worked for 12 years. When choosing, I went through the entire Internet and went to all the stores better than BOSCH and SIEMENS, I didn’t find anything, it cleans very well, you don’t need any products, the burners are all different, everything works fine, the surface doesn’t get hot.</v>
      </c>
    </row>
    <row r="5104" spans="1:9" x14ac:dyDescent="0.3">
      <c r="A5104" s="1" t="s">
        <v>149</v>
      </c>
      <c r="B5104" s="1" t="s">
        <v>423</v>
      </c>
      <c r="C5104" s="1" t="s">
        <v>314</v>
      </c>
      <c r="D5104" s="1" t="s">
        <v>39</v>
      </c>
      <c r="E5104" s="1" t="s">
        <v>8466</v>
      </c>
      <c r="F5104" s="1" t="s">
        <v>8467</v>
      </c>
      <c r="G5104" s="1" t="s">
        <v>49</v>
      </c>
      <c r="H5104" s="1" t="s">
        <v>16</v>
      </c>
      <c r="I5104" s="1" t="str">
        <f ca="1">IFERROR(__xludf.DUMMYFUNCTION("GOOGLETRANSLATE(F5104, ""auto"", ""en"")
"),"The vacuum cleaner operates until the first accidental entry of water into the motor. Protection against water getting into the engine does not work; the service center will not repair it under warranty if there are traces of water getting into the engine"&amp;". Don't look at the 4 year warranty. &amp;nbsp;The vacuum cleaner is disposable. The motor costs 3800 rubles. I don’t recommend buying, it’s a waste of money.")</f>
        <v>The vacuum cleaner operates until the first accidental entry of water into the motor. Protection against water getting into the engine does not work; the service center will not repair it under warranty if there are traces of water getting into the engine. Don't look at the 4 year warranty. &amp;nbsp;The vacuum cleaner is disposable. The motor costs 3800 rubles. I don’t recommend buying, it’s a waste of money.</v>
      </c>
    </row>
    <row r="5105" spans="1:9" x14ac:dyDescent="0.3">
      <c r="A5105" s="1" t="s">
        <v>149</v>
      </c>
      <c r="B5105" s="1" t="s">
        <v>150</v>
      </c>
      <c r="C5105" s="1" t="s">
        <v>57</v>
      </c>
      <c r="D5105" s="1" t="s">
        <v>8468</v>
      </c>
      <c r="E5105" s="1" t="s">
        <v>784</v>
      </c>
      <c r="F5105" s="1" t="s">
        <v>8469</v>
      </c>
      <c r="G5105" s="1" t="s">
        <v>36</v>
      </c>
      <c r="H5105" s="1" t="s">
        <v>29</v>
      </c>
      <c r="I5105" s="1" t="str">
        <f ca="1">IFERROR(__xludf.DUMMYFUNCTION("GOOGLETRANSLATE(F5105, ""auto"", ""en"")
"),"I bought it on Chongarsky in early July at a promotional price of 3990 rubles. The color and consistency of the water is similar to unfrozen jellied meat :) Assembly - China, on the bottom it says: “Made in PRC”, but that doesn’t matter. The filter lasts "&amp;"forever, no hassle with bags. The turbo brush is included again. Even if it looks a little cheap, it justifies itself 100%. I recommend it to everyone!!!")</f>
        <v>I bought it on Chongarsky in early July at a promotional price of 3990 rubles. The color and consistency of the water is similar to unfrozen jellied meat :) Assembly - China, on the bottom it says: “Made in PRC”, but that doesn’t matter. The filter lasts forever, no hassle with bags. The turbo brush is included again. Even if it looks a little cheap, it justifies itself 100%. I recommend it to everyone!!!</v>
      </c>
    </row>
    <row r="5106" spans="1:9" x14ac:dyDescent="0.3">
      <c r="A5106" s="1" t="s">
        <v>149</v>
      </c>
      <c r="B5106" s="1" t="s">
        <v>423</v>
      </c>
      <c r="C5106" s="1" t="s">
        <v>424</v>
      </c>
      <c r="D5106" s="1" t="s">
        <v>565</v>
      </c>
      <c r="E5106" s="1" t="s">
        <v>1401</v>
      </c>
      <c r="F5106" s="1" t="s">
        <v>8470</v>
      </c>
      <c r="G5106" s="1" t="s">
        <v>36</v>
      </c>
      <c r="H5106" s="1" t="s">
        <v>29</v>
      </c>
      <c r="I5106" s="1" t="str">
        <f ca="1">IFERROR(__xludf.DUMMYFUNCTION("GOOGLETRANSLATE(F5106, ""auto"", ""en"")
"),"We bought a vacuum cleaner a few months ago because we were installing light-colored carpet and there was a small child and a dog in the house. A real lifesaver. If paint is spilled or the dog is acting up, it can be assembled in a matter of minutes and, "&amp;"after a very high-quality cleaning, can be easily disassembled to wash it. Very powerful thing, the carpet is almost dry, unlike another brand of vacuum cleaner used by my brother. The only downside is the dimensions. But a good housewife will find where "&amp;"and what to hide. As for visual perception, this is not a vase to admire.")</f>
        <v>We bought a vacuum cleaner a few months ago because we were installing light-colored carpet and there was a small child and a dog in the house. A real lifesaver. If paint is spilled or the dog is acting up, it can be assembled in a matter of minutes and, after a very high-quality cleaning, can be easily disassembled to wash it. Very powerful thing, the carpet is almost dry, unlike another brand of vacuum cleaner used by my brother. The only downside is the dimensions. But a good housewife will find where and what to hide. As for visual perception, this is not a vase to admire.</v>
      </c>
    </row>
    <row r="5107" spans="1:9" x14ac:dyDescent="0.3">
      <c r="A5107" s="1" t="s">
        <v>149</v>
      </c>
      <c r="B5107" s="1" t="s">
        <v>150</v>
      </c>
      <c r="C5107" s="1" t="s">
        <v>151</v>
      </c>
      <c r="D5107" s="1" t="s">
        <v>102</v>
      </c>
      <c r="E5107" s="1" t="s">
        <v>1088</v>
      </c>
      <c r="F5107" s="1" t="s">
        <v>8471</v>
      </c>
      <c r="G5107" s="1" t="s">
        <v>36</v>
      </c>
      <c r="H5107" s="1" t="s">
        <v>29</v>
      </c>
      <c r="I5107" s="1" t="str">
        <f ca="1">IFERROR(__xludf.DUMMYFUNCTION("GOOGLETRANSLATE(F5107, ""auto"", ""en"")
"),"A good vacuum cleaner (less than a week of use so far)! Yes, it’s large, but it’s worth buying for large areas. It does its job perfectly, and most importantly, you can see the result with your own eyes. Another advantage of the water filter is that when "&amp;"removing dirt from the container, all sorts of rubbish does not fly into the air. I wouldn't say it's quiet, but it's tolerable. Many people complained about the flimsy connection between the hose and the vacuum cleaner, but I didn’t think so. After a 2-h"&amp;"our GENERAL HEPA cleaning, the filter remained clean, which indicates good wetting of small dust particles with water.")</f>
        <v>A good vacuum cleaner (less than a week of use so far)! Yes, it’s large, but it’s worth buying for large areas. It does its job perfectly, and most importantly, you can see the result with your own eyes. Another advantage of the water filter is that when removing dirt from the container, all sorts of rubbish does not fly into the air. I wouldn't say it's quiet, but it's tolerable. Many people complained about the flimsy connection between the hose and the vacuum cleaner, but I didn’t think so. After a 2-hour GENERAL HEPA cleaning, the filter remained clean, which indicates good wetting of small dust particles with water.</v>
      </c>
    </row>
    <row r="5108" spans="1:9" x14ac:dyDescent="0.3">
      <c r="A5108" s="1" t="s">
        <v>149</v>
      </c>
      <c r="B5108" s="1" t="s">
        <v>150</v>
      </c>
      <c r="C5108" s="1" t="s">
        <v>57</v>
      </c>
      <c r="D5108" s="1" t="s">
        <v>12</v>
      </c>
      <c r="E5108" s="1" t="s">
        <v>1943</v>
      </c>
      <c r="F5108" s="1" t="s">
        <v>8472</v>
      </c>
      <c r="G5108" s="1" t="s">
        <v>28</v>
      </c>
      <c r="H5108" s="1" t="s">
        <v>29</v>
      </c>
      <c r="I5108" s="1" t="str">
        <f ca="1">IFERROR(__xludf.DUMMYFUNCTION("GOOGLETRANSLATE(F5108, ""auto"", ""en"")
"),"Lots of attachments, long cord, compact and easy to use")</f>
        <v>Lots of attachments, long cord, compact and easy to use</v>
      </c>
    </row>
    <row r="5109" spans="1:9" x14ac:dyDescent="0.3">
      <c r="A5109" s="1" t="s">
        <v>206</v>
      </c>
      <c r="B5109" s="1" t="s">
        <v>2026</v>
      </c>
      <c r="C5109" s="1" t="s">
        <v>1771</v>
      </c>
      <c r="D5109" s="1" t="s">
        <v>3629</v>
      </c>
      <c r="E5109" s="1" t="s">
        <v>3794</v>
      </c>
      <c r="F5109" s="1" t="s">
        <v>8473</v>
      </c>
      <c r="G5109" s="1" t="s">
        <v>36</v>
      </c>
      <c r="H5109" s="1" t="s">
        <v>29</v>
      </c>
      <c r="I5109" s="1" t="str">
        <f ca="1">IFERROR(__xludf.DUMMYFUNCTION("GOOGLETRANSLATE(F5109, ""auto"", ""en"")
"),"It's a good radio, I've had it for a year now. In combination with the Pioneer speakers it sounds great. I record more than five thousand songs on DVD and she doesn’t even think about it. It also plays heavy video files without hesitation.")</f>
        <v>It's a good radio, I've had it for a year now. In combination with the Pioneer speakers it sounds great. I record more than five thousand songs on DVD and she doesn’t even think about it. It also plays heavy video files without hesitation.</v>
      </c>
    </row>
    <row r="5110" spans="1:9" x14ac:dyDescent="0.3">
      <c r="A5110" s="1" t="s">
        <v>624</v>
      </c>
      <c r="B5110" s="1" t="s">
        <v>881</v>
      </c>
      <c r="C5110" s="1" t="s">
        <v>479</v>
      </c>
      <c r="D5110" s="1" t="s">
        <v>987</v>
      </c>
      <c r="E5110" s="1" t="s">
        <v>3016</v>
      </c>
      <c r="F5110" s="1" t="s">
        <v>8474</v>
      </c>
      <c r="G5110" s="1" t="s">
        <v>36</v>
      </c>
      <c r="H5110" s="1" t="s">
        <v>29</v>
      </c>
      <c r="I5110" s="1" t="str">
        <f ca="1">IFERROR(__xludf.DUMMYFUNCTION("GOOGLETRANSLATE(F5110, ""auto"", ""en"")
"),"The game is very exciting, I remember playing it in 1st grade. The downside is that it's a little difficult to manage personnel, but otherwise the game is great")</f>
        <v>The game is very exciting, I remember playing it in 1st grade. The downside is that it's a little difficult to manage personnel, but otherwise the game is great</v>
      </c>
    </row>
    <row r="5111" spans="1:9" x14ac:dyDescent="0.3">
      <c r="A5111" s="1" t="s">
        <v>238</v>
      </c>
      <c r="B5111" s="1" t="s">
        <v>276</v>
      </c>
      <c r="C5111" s="1" t="s">
        <v>1677</v>
      </c>
      <c r="D5111" s="1" t="s">
        <v>75</v>
      </c>
      <c r="E5111" s="1" t="s">
        <v>1759</v>
      </c>
      <c r="F5111" s="1" t="s">
        <v>8475</v>
      </c>
      <c r="G5111" s="1" t="s">
        <v>36</v>
      </c>
      <c r="H5111" s="1" t="s">
        <v>29</v>
      </c>
      <c r="I5111" s="1" t="str">
        <f ca="1">IFERROR(__xludf.DUMMYFUNCTION("GOOGLETRANSLATE(F5111, ""auto"", ""en"")
"),"I bought a refrigerator 3 months ago. It took me a long time to choose, I am very pleased with my purchase, an excellent refrigerator in 100% quality and a wonderful external design. I hope it will last a long time. I recommend!")</f>
        <v>I bought a refrigerator 3 months ago. It took me a long time to choose, I am very pleased with my purchase, an excellent refrigerator in 100% quality and a wonderful external design. I hope it will last a long time. I recommend!</v>
      </c>
    </row>
    <row r="5112" spans="1:9" x14ac:dyDescent="0.3">
      <c r="A5112" s="1" t="s">
        <v>1119</v>
      </c>
      <c r="B5112" s="1" t="s">
        <v>1120</v>
      </c>
      <c r="C5112" s="1" t="s">
        <v>97</v>
      </c>
      <c r="D5112" s="1" t="s">
        <v>52</v>
      </c>
      <c r="E5112" s="1" t="s">
        <v>1228</v>
      </c>
      <c r="F5112" s="1" t="s">
        <v>8476</v>
      </c>
      <c r="G5112" s="1" t="s">
        <v>15</v>
      </c>
      <c r="H5112" s="1" t="s">
        <v>16</v>
      </c>
      <c r="I5112" s="1" t="str">
        <f ca="1">IFERROR(__xludf.DUMMYFUNCTION("GOOGLETRANSLATE(F5112, ""auto"", ""en"")
"),"Noise is very noticeable in the image even when viewed without recording.  Today the food should be exchanged for a similar one or returned.")</f>
        <v>Noise is very noticeable in the image even when viewed without recording.  Today the food should be exchanged for a similar one or returned.</v>
      </c>
    </row>
    <row r="5113" spans="1:9" x14ac:dyDescent="0.3">
      <c r="A5113" s="1" t="s">
        <v>61</v>
      </c>
      <c r="B5113" s="1" t="s">
        <v>318</v>
      </c>
      <c r="C5113" s="1" t="s">
        <v>69</v>
      </c>
      <c r="D5113" s="1" t="s">
        <v>305</v>
      </c>
      <c r="E5113" s="1" t="s">
        <v>4437</v>
      </c>
      <c r="F5113" s="1" t="s">
        <v>8477</v>
      </c>
      <c r="G5113" s="1" t="s">
        <v>36</v>
      </c>
      <c r="H5113" s="1" t="s">
        <v>29</v>
      </c>
      <c r="I5113" s="1" t="str">
        <f ca="1">IFERROR(__xludf.DUMMYFUNCTION("GOOGLETRANSLATE(F5113, ""auto"", ""en"")
"),"Cool kettle, we've been using it for 3 years. Keeps hot water for a long time and boils quickly! Never let me down.")</f>
        <v>Cool kettle, we've been using it for 3 years. Keeps hot water for a long time and boils quickly! Never let me down.</v>
      </c>
    </row>
    <row r="5114" spans="1:9" x14ac:dyDescent="0.3">
      <c r="A5114" s="1" t="s">
        <v>37</v>
      </c>
      <c r="B5114" s="1" t="s">
        <v>38</v>
      </c>
      <c r="C5114" s="1" t="s">
        <v>163</v>
      </c>
      <c r="D5114" s="1" t="s">
        <v>8478</v>
      </c>
      <c r="E5114" s="1" t="s">
        <v>3829</v>
      </c>
      <c r="F5114" s="1" t="s">
        <v>8479</v>
      </c>
      <c r="G5114" s="1" t="s">
        <v>36</v>
      </c>
      <c r="H5114" s="1" t="s">
        <v>29</v>
      </c>
      <c r="I5114" s="1" t="str">
        <f ca="1">IFERROR(__xludf.DUMMYFUNCTION("GOOGLETRANSLATE(F5114, ""auto"", ""en"")
"),"I bought the phone in December 09. Until now there have not been any comments about it. Voice control, excellent player, 2MP camera, interesting design, overall 5 points for the phone.  I recommend it to everyone, especially at this price.")</f>
        <v>I bought the phone in December 09. Until now there have not been any comments about it. Voice control, excellent player, 2MP camera, interesting design, overall 5 points for the phone.  I recommend it to everyone, especially at this price.</v>
      </c>
    </row>
    <row r="5115" spans="1:9" x14ac:dyDescent="0.3">
      <c r="A5115" s="1" t="s">
        <v>211</v>
      </c>
      <c r="B5115" s="1" t="s">
        <v>212</v>
      </c>
      <c r="C5115" s="1" t="s">
        <v>381</v>
      </c>
      <c r="D5115" s="1" t="s">
        <v>545</v>
      </c>
      <c r="E5115" s="1" t="s">
        <v>1816</v>
      </c>
      <c r="F5115" s="1" t="s">
        <v>8480</v>
      </c>
      <c r="G5115" s="1" t="s">
        <v>36</v>
      </c>
      <c r="H5115" s="1" t="s">
        <v>29</v>
      </c>
      <c r="I5115" s="1" t="str">
        <f ca="1">IFERROR(__xludf.DUMMYFUNCTION("GOOGLETRANSLATE(F5115, ""auto"", ""en"")
"),"Good hairdryer. I bought it for my mom for her birthday, she's been using it for about a year now. It dries hair of any length well: both my mother’s medium length and my long hair. Good power, convenient temperature and power switch - located on the side"&amp;" and do not switch during drying. The only small drawback is that the attachments do not rotate after being secured. And so - I haven’t caused any complaints the entire time. I recommend it.")</f>
        <v>Good hairdryer. I bought it for my mom for her birthday, she's been using it for about a year now. It dries hair of any length well: both my mother’s medium length and my long hair. Good power, convenient temperature and power switch - located on the side and do not switch during drying. The only small drawback is that the attachments do not rotate after being secured. And so - I haven’t caused any complaints the entire time. I recommend it.</v>
      </c>
    </row>
    <row r="5116" spans="1:9" x14ac:dyDescent="0.3">
      <c r="A5116" s="1" t="s">
        <v>811</v>
      </c>
      <c r="B5116" s="1" t="s">
        <v>1294</v>
      </c>
      <c r="C5116" s="1" t="s">
        <v>1295</v>
      </c>
      <c r="D5116" s="1" t="s">
        <v>8481</v>
      </c>
      <c r="E5116" s="1" t="s">
        <v>6907</v>
      </c>
      <c r="F5116" s="1" t="s">
        <v>8482</v>
      </c>
      <c r="G5116" s="1" t="s">
        <v>36</v>
      </c>
      <c r="H5116" s="1" t="s">
        <v>29</v>
      </c>
      <c r="I5116" s="1" t="str">
        <f ca="1">IFERROR(__xludf.DUMMYFUNCTION("GOOGLETRANSLATE(F5116, ""auto"", ""en"")
"),"Wonderful invention! I've been using these pencils for several years now, they clean lenses and filters just perfectly. The main thing is not to touch the pad with your fingers so as not to spoil it.")</f>
        <v>Wonderful invention! I've been using these pencils for several years now, they clean lenses and filters just perfectly. The main thing is not to touch the pad with your fingers so as not to spoil it.</v>
      </c>
    </row>
    <row r="5117" spans="1:9" x14ac:dyDescent="0.3">
      <c r="A5117" s="1" t="s">
        <v>211</v>
      </c>
      <c r="B5117" s="1" t="s">
        <v>789</v>
      </c>
      <c r="C5117" s="1" t="s">
        <v>3628</v>
      </c>
      <c r="D5117" s="1" t="s">
        <v>5918</v>
      </c>
      <c r="E5117" s="1" t="s">
        <v>8483</v>
      </c>
      <c r="F5117" s="1" t="s">
        <v>8484</v>
      </c>
      <c r="G5117" s="1" t="s">
        <v>36</v>
      </c>
      <c r="H5117" s="1" t="s">
        <v>29</v>
      </c>
      <c r="I5117" s="1" t="str">
        <f ca="1">IFERROR(__xludf.DUMMYFUNCTION("GOOGLETRANSLATE(F5117, ""auto"", ""en"")
"),"It’s not scary to trust the thermometer with water for the baby doll) And you can play with it, attract the attention of the bather so that he doesn’t burst into tears. In general, we took one for ourselves, and then gave it to friends - it’s inexpensive "&amp;"and useful and ideal as a gift.")</f>
        <v>It’s not scary to trust the thermometer with water for the baby doll) And you can play with it, attract the attention of the bather so that he doesn’t burst into tears. In general, we took one for ourselves, and then gave it to friends - it’s inexpensive and useful and ideal as a gift.</v>
      </c>
    </row>
    <row r="5118" spans="1:9" x14ac:dyDescent="0.3">
      <c r="A5118" s="1" t="s">
        <v>105</v>
      </c>
      <c r="B5118" s="1" t="s">
        <v>106</v>
      </c>
      <c r="C5118" s="1" t="s">
        <v>1209</v>
      </c>
      <c r="D5118" s="1" t="s">
        <v>565</v>
      </c>
      <c r="E5118" s="1" t="s">
        <v>4187</v>
      </c>
      <c r="F5118" s="1" t="s">
        <v>8485</v>
      </c>
      <c r="G5118" s="1" t="s">
        <v>28</v>
      </c>
      <c r="H5118" s="1" t="s">
        <v>29</v>
      </c>
      <c r="I5118" s="1" t="str">
        <f ca="1">IFERROR(__xludf.DUMMYFUNCTION("GOOGLETRANSLATE(F5118, ""auto"", ""en"")
"),"bought a month ago..very pleased...everything is super, the channels are of course poorly picked up, and there are not enough stations on the radio..but the sound is superb!!and the external speaker is good...but then suddenly it started freezing, I can’t"&amp;" understand why..I’m still using it today, if it keeps freezing in the pictures, then tomorrow I’ll go to the service center!!!mixed feelings..both joy from the purchase and disappointment from the problem that arose so soon")</f>
        <v>bought a month ago..very pleased...everything is super, the channels are of course poorly picked up, and there are not enough stations on the radio..but the sound is superb!!and the external speaker is good...but then suddenly it started freezing, I can’t understand why..I’m still using it today, if it keeps freezing in the pictures, then tomorrow I’ll go to the service center!!!mixed feelings..both joy from the purchase and disappointment from the problem that arose so soon</v>
      </c>
    </row>
    <row r="5119" spans="1:9" x14ac:dyDescent="0.3">
      <c r="A5119" s="1" t="s">
        <v>149</v>
      </c>
      <c r="B5119" s="1" t="s">
        <v>576</v>
      </c>
      <c r="C5119" s="1" t="s">
        <v>69</v>
      </c>
      <c r="D5119" s="1" t="s">
        <v>39</v>
      </c>
      <c r="E5119" s="1" t="s">
        <v>2876</v>
      </c>
      <c r="F5119" s="1" t="s">
        <v>8486</v>
      </c>
      <c r="G5119" s="1" t="s">
        <v>36</v>
      </c>
      <c r="H5119" s="1" t="s">
        <v>29</v>
      </c>
      <c r="I5119" s="1" t="str">
        <f ca="1">IFERROR(__xludf.DUMMYFUNCTION("GOOGLETRANSLATE(F5119, ""auto"", ""en"")
"),"Gorgeous vacuum cleaner! Quiet, and at the same time very powerful, maneuverable and compact. I wouldn't trade it for another model. Many of the models, even the more expensive ones, are no match for him.  I rarely change the bags, as they are quite bulky"&amp;".  If you have children, animals are an irreplaceable assistant who do not scare you with their noise and clean perfectly.")</f>
        <v>Gorgeous vacuum cleaner! Quiet, and at the same time very powerful, maneuverable and compact. I wouldn't trade it for another model. Many of the models, even the more expensive ones, are no match for him.  I rarely change the bags, as they are quite bulky.  If you have children, animals are an irreplaceable assistant who do not scare you with their noise and clean perfectly.</v>
      </c>
    </row>
    <row r="5120" spans="1:9" x14ac:dyDescent="0.3">
      <c r="A5120" s="1" t="s">
        <v>30</v>
      </c>
      <c r="B5120" s="1" t="s">
        <v>50</v>
      </c>
      <c r="C5120" s="1" t="s">
        <v>694</v>
      </c>
      <c r="D5120" s="1" t="s">
        <v>4902</v>
      </c>
      <c r="E5120" s="1" t="s">
        <v>750</v>
      </c>
      <c r="F5120" s="1" t="s">
        <v>8487</v>
      </c>
      <c r="G5120" s="1" t="s">
        <v>36</v>
      </c>
      <c r="H5120" s="1" t="s">
        <v>29</v>
      </c>
      <c r="I5120" s="1" t="str">
        <f ca="1">IFERROR(__xludf.DUMMYFUNCTION("GOOGLETRANSLATE(F5120, ""auto"", ""en"")
"),"I bought it for my son (6 years old), he is delighted, everything works as advertised, the battery lasts a long time, it works silently, the keyboard is very comfortable, my husband suggests immediately buying a mouse for it, the child is against it (afte"&amp;"r a regular computer, he is interested in working on a touchpad).")</f>
        <v>I bought it for my son (6 years old), he is delighted, everything works as advertised, the battery lasts a long time, it works silently, the keyboard is very comfortable, my husband suggests immediately buying a mouse for it, the child is against it (after a regular computer, he is interested in working on a touchpad).</v>
      </c>
    </row>
    <row r="5121" spans="1:9" x14ac:dyDescent="0.3">
      <c r="A5121" s="1" t="s">
        <v>557</v>
      </c>
      <c r="B5121" s="1" t="s">
        <v>558</v>
      </c>
      <c r="C5121" s="1" t="s">
        <v>122</v>
      </c>
      <c r="D5121" s="1" t="s">
        <v>295</v>
      </c>
      <c r="E5121" s="1" t="s">
        <v>8488</v>
      </c>
      <c r="F5121" s="1" t="s">
        <v>8489</v>
      </c>
      <c r="G5121" s="1" t="s">
        <v>28</v>
      </c>
      <c r="H5121" s="1" t="s">
        <v>29</v>
      </c>
      <c r="I5121" s="1" t="str">
        <f ca="1">IFERROR(__xludf.DUMMYFUNCTION("GOOGLETRANSLATE(F5121, ""auto"", ""en"")
"),"Great model! It's been almost a year since we purchased it. Have already been dropped hard a couple of times and no failures! The sound is great. The ringtone is wonderful. The batteries are standard. The only drawback is that the button panel is not back"&amp;"lit.")</f>
        <v>Great model! It's been almost a year since we purchased it. Have already been dropped hard a couple of times and no failures! The sound is great. The ringtone is wonderful. The batteries are standard. The only drawback is that the button panel is not backlit.</v>
      </c>
    </row>
    <row r="5122" spans="1:9" x14ac:dyDescent="0.3">
      <c r="A5122" s="1" t="s">
        <v>37</v>
      </c>
      <c r="B5122" s="1" t="s">
        <v>1829</v>
      </c>
      <c r="C5122" s="1" t="s">
        <v>151</v>
      </c>
      <c r="D5122" s="1" t="s">
        <v>8490</v>
      </c>
      <c r="E5122" s="1" t="s">
        <v>6215</v>
      </c>
      <c r="F5122" s="1" t="s">
        <v>8491</v>
      </c>
      <c r="G5122" s="1" t="s">
        <v>36</v>
      </c>
      <c r="H5122" s="1" t="s">
        <v>29</v>
      </c>
      <c r="I5122" s="1" t="str">
        <f ca="1">IFERROR(__xludf.DUMMYFUNCTION("GOOGLETRANSLATE(F5122, ""auto"", ""en"")
"),"I liked the appearance of this device. And with further use, it will also have its own functionality. You need to set it up and then enjoy it. Internet, memory card, movies, photos - everything is super. At a high level of use it did not last less than 16"&amp;" hours. You need to understand and study what you are buying. Any technique requires mastering!!! This will always be the case.")</f>
        <v>I liked the appearance of this device. And with further use, it will also have its own functionality. You need to set it up and then enjoy it. Internet, memory card, movies, photos - everything is super. At a high level of use it did not last less than 16 hours. You need to understand and study what you are buying. Any technique requires mastering!!! This will always be the case.</v>
      </c>
    </row>
    <row r="5123" spans="1:9" x14ac:dyDescent="0.3">
      <c r="A5123" s="1" t="s">
        <v>105</v>
      </c>
      <c r="B5123" s="1" t="s">
        <v>106</v>
      </c>
      <c r="C5123" s="1" t="s">
        <v>1921</v>
      </c>
      <c r="D5123" s="1" t="s">
        <v>52</v>
      </c>
      <c r="E5123" s="1" t="s">
        <v>2265</v>
      </c>
      <c r="F5123" s="1" t="s">
        <v>8492</v>
      </c>
      <c r="G5123" s="1" t="s">
        <v>28</v>
      </c>
      <c r="H5123" s="1" t="s">
        <v>29</v>
      </c>
      <c r="I5123" s="1" t="str">
        <f ca="1">IFERROR(__xludf.DUMMYFUNCTION("GOOGLETRANSLATE(F5123, ""auto"", ""en"")
"),"I've been using the player for about a month. I bought it because of its autonomy - no charging or cable needed to connect to a computer. Rarely was it all at hand at the same time. The headphones included in the kit go straight into the firebox - they ar"&amp;"e only suitable for testing functionality. During use, it turned out that the buttons only work when the backlight is on (not a word in the instructions). So with one click the backlight turns on, and then everything else. When connecting to a computer, i"&amp;"t turned out that HOLD blocks not only the buttons, but also the recording memory (not a word in the instructions). The tiny display makes it difficult to see and select anything. Basically I'm happy with the player's performance. For its price the player"&amp;" is very good. I recommend it.")</f>
        <v>I've been using the player for about a month. I bought it because of its autonomy - no charging or cable needed to connect to a computer. Rarely was it all at hand at the same time. The headphones included in the kit go straight into the firebox - they are only suitable for testing functionality. During use, it turned out that the buttons only work when the backlight is on (not a word in the instructions). So with one click the backlight turns on, and then everything else. When connecting to a computer, it turned out that HOLD blocks not only the buttons, but also the recording memory (not a word in the instructions). The tiny display makes it difficult to see and select anything. Basically I'm happy with the player's performance. For its price the player is very good. I recommend it.</v>
      </c>
    </row>
    <row r="5124" spans="1:9" x14ac:dyDescent="0.3">
      <c r="A5124" s="1" t="s">
        <v>149</v>
      </c>
      <c r="B5124" s="1" t="s">
        <v>155</v>
      </c>
      <c r="C5124" s="1" t="s">
        <v>63</v>
      </c>
      <c r="D5124" s="1" t="s">
        <v>8493</v>
      </c>
      <c r="E5124" s="1" t="s">
        <v>8494</v>
      </c>
      <c r="F5124" s="1" t="s">
        <v>8495</v>
      </c>
      <c r="G5124" s="1" t="s">
        <v>36</v>
      </c>
      <c r="H5124" s="1" t="s">
        <v>29</v>
      </c>
      <c r="I5124" s="1" t="str">
        <f ca="1">IFERROR(__xludf.DUMMYFUNCTION("GOOGLETRANSLATE(F5124, ""auto"", ""en"")
"),"Normal vacuum cleaner. He vacuums a car, an apartment, and even a cat! Whoever complains probably got a fake")</f>
        <v>Normal vacuum cleaner. He vacuums a car, an apartment, and even a cat! Whoever complains probably got a fake</v>
      </c>
    </row>
    <row r="5125" spans="1:9" x14ac:dyDescent="0.3">
      <c r="A5125" s="1" t="s">
        <v>105</v>
      </c>
      <c r="B5125" s="1" t="s">
        <v>106</v>
      </c>
      <c r="C5125" s="1" t="s">
        <v>1209</v>
      </c>
      <c r="D5125" s="1" t="s">
        <v>1776</v>
      </c>
      <c r="E5125" s="1" t="s">
        <v>1181</v>
      </c>
      <c r="F5125" s="1" t="s">
        <v>8496</v>
      </c>
      <c r="G5125" s="1" t="s">
        <v>28</v>
      </c>
      <c r="H5125" s="1" t="s">
        <v>29</v>
      </c>
      <c r="I5125" s="1" t="str">
        <f ca="1">IFERROR(__xludf.DUMMYFUNCTION("GOOGLETRANSLATE(F5125, ""auto"", ""en"")
"),"I really liked it and bought it right away! A great gadget for hiking and long trips. It catches TV very well, but it’s not very convenient that the buttons are not backlit. Sometimes, after “communicating” with the iPhone, you want to poke at the screen!"&amp;" It's a shame that it's not touch sensitive. Good TV and video quality, but the screen is a bit small. These shortcomings have been eliminated in a more modern version of the Explay T35TV player")</f>
        <v>I really liked it and bought it right away! A great gadget for hiking and long trips. It catches TV very well, but it’s not very convenient that the buttons are not backlit. Sometimes, after “communicating” with the iPhone, you want to poke at the screen! It's a shame that it's not touch sensitive. Good TV and video quality, but the screen is a bit small. These shortcomings have been eliminated in a more modern version of the Explay T35TV player</v>
      </c>
    </row>
    <row r="5126" spans="1:9" x14ac:dyDescent="0.3">
      <c r="A5126" s="1" t="s">
        <v>211</v>
      </c>
      <c r="B5126" s="1" t="s">
        <v>212</v>
      </c>
      <c r="C5126" s="1" t="s">
        <v>294</v>
      </c>
      <c r="D5126" s="1" t="s">
        <v>1055</v>
      </c>
      <c r="E5126" s="1" t="s">
        <v>353</v>
      </c>
      <c r="F5126" s="1" t="s">
        <v>8497</v>
      </c>
      <c r="G5126" s="1" t="s">
        <v>36</v>
      </c>
      <c r="H5126" s="1" t="s">
        <v>29</v>
      </c>
      <c r="I5126" s="1" t="str">
        <f ca="1">IFERROR(__xludf.DUMMYFUNCTION("GOOGLETRANSLATE(F5126, ""auto"", ""en"")
"),"I just straighten out my bangs, I’m happy with the result. A very convenient thing is a heat-resistant case; I put the straightener on it to cool.  There have never been any cases of accidental shutdown when touching the on/off button.")</f>
        <v>I just straighten out my bangs, I’m happy with the result. A very convenient thing is a heat-resistant case; I put the straightener on it to cool.  There have never been any cases of accidental shutdown when touching the on/off button.</v>
      </c>
    </row>
    <row r="5127" spans="1:9" x14ac:dyDescent="0.3">
      <c r="A5127" s="1" t="s">
        <v>211</v>
      </c>
      <c r="B5127" s="1" t="s">
        <v>410</v>
      </c>
      <c r="C5127" s="1" t="s">
        <v>213</v>
      </c>
      <c r="D5127" s="1" t="s">
        <v>152</v>
      </c>
      <c r="E5127" s="1" t="s">
        <v>5193</v>
      </c>
      <c r="F5127" s="1" t="s">
        <v>8498</v>
      </c>
      <c r="G5127" s="1" t="s">
        <v>36</v>
      </c>
      <c r="H5127" s="1" t="s">
        <v>29</v>
      </c>
      <c r="I5127" s="1" t="str">
        <f ca="1">IFERROR(__xludf.DUMMYFUNCTION("GOOGLETRANSLATE(F5127, ""auto"", ""en"")
"),"Excellent quality electric razor. The main advantage is a clean and painless shave without “pulling out” stubble on all areas of the skin. Moreover, the size of the bristles is not important. The design is very well thought out by the developers. The razo"&amp;"r is not heavy - the hand does not get tired. It fits well and does not slip out. The case is sealed - does not allow water to pass through. On the body there is a trimmer for shaving temples and neck. The movable shaving unit is equipped with three float"&amp;"ing heads - this allows the razor to follow the curves of the face and neck. The shaving process from this is beyond praise. The razor can be cleaned either under running water or with the included brush. There is also a case. I recommend it to everyone.")</f>
        <v>Excellent quality electric razor. The main advantage is a clean and painless shave without “pulling out” stubble on all areas of the skin. Moreover, the size of the bristles is not important. The design is very well thought out by the developers. The razor is not heavy - the hand does not get tired. It fits well and does not slip out. The case is sealed - does not allow water to pass through. On the body there is a trimmer for shaving temples and neck. The movable shaving unit is equipped with three floating heads - this allows the razor to follow the curves of the face and neck. The shaving process from this is beyond praise. The razor can be cleaned either under running water or with the included brush. There is also a case. I recommend it to everyone.</v>
      </c>
    </row>
    <row r="5128" spans="1:9" x14ac:dyDescent="0.3">
      <c r="A5128" s="1" t="s">
        <v>30</v>
      </c>
      <c r="B5128" s="1" t="s">
        <v>50</v>
      </c>
      <c r="C5128" s="1" t="s">
        <v>32</v>
      </c>
      <c r="D5128" s="1" t="s">
        <v>39</v>
      </c>
      <c r="E5128" s="1" t="s">
        <v>1682</v>
      </c>
      <c r="F5128" s="1" t="s">
        <v>8499</v>
      </c>
      <c r="G5128" s="1" t="s">
        <v>36</v>
      </c>
      <c r="H5128" s="1" t="s">
        <v>29</v>
      </c>
      <c r="I5128" s="1" t="str">
        <f ca="1">IFERROR(__xludf.DUMMYFUNCTION("GOOGLETRANSLATE(F5128, ""auto"", ""en"")
"),"The laptop itself is very good both in price and speed. But the seven is 64-bit, so not all programs work stably. And so very smart.  There is no blue tooth, but there is wifi.")</f>
        <v>The laptop itself is very good both in price and speed. But the seven is 64-bit, so not all programs work stably. And so very smart.  There is no blue tooth, but there is wifi.</v>
      </c>
    </row>
    <row r="5129" spans="1:9" x14ac:dyDescent="0.3">
      <c r="A5129" s="1" t="s">
        <v>624</v>
      </c>
      <c r="B5129" s="1" t="s">
        <v>625</v>
      </c>
      <c r="C5129" s="1" t="s">
        <v>479</v>
      </c>
      <c r="D5129" s="1" t="s">
        <v>52</v>
      </c>
      <c r="E5129" s="1" t="s">
        <v>2596</v>
      </c>
      <c r="F5129" s="1" t="s">
        <v>8500</v>
      </c>
      <c r="G5129" s="1" t="s">
        <v>36</v>
      </c>
      <c r="H5129" s="1" t="s">
        <v>29</v>
      </c>
      <c r="I5129" s="1" t="str">
        <f ca="1">IFERROR(__xludf.DUMMYFUNCTION("GOOGLETRANSLATE(F5129, ""auto"", ""en"")
"),"The game I bought the PS3 for. It was a bit difficult at first, but over time I increased the level of difficulty. And when I went online, I realized that I was so far from perfection. In short, the game is cool, a real simulator. The only negative is tha"&amp;"t it is in English, but this is not critical... it won’t take long to figure it out.")</f>
        <v>The game I bought the PS3 for. It was a bit difficult at first, but over time I increased the level of difficulty. And when I went online, I realized that I was so far from perfection. In short, the game is cool, a real simulator. The only negative is that it is in English, but this is not critical... it won’t take long to figure it out.</v>
      </c>
    </row>
    <row r="5130" spans="1:9" x14ac:dyDescent="0.3">
      <c r="A5130" s="1" t="s">
        <v>9</v>
      </c>
      <c r="B5130" s="1" t="s">
        <v>133</v>
      </c>
      <c r="C5130" s="1" t="s">
        <v>290</v>
      </c>
      <c r="D5130" s="1" t="s">
        <v>5491</v>
      </c>
      <c r="E5130" s="1" t="s">
        <v>590</v>
      </c>
      <c r="F5130" s="1" t="s">
        <v>8501</v>
      </c>
      <c r="G5130" s="1" t="s">
        <v>28</v>
      </c>
      <c r="H5130" s="1" t="s">
        <v>29</v>
      </c>
      <c r="I5130" s="1" t="str">
        <f ca="1">IFERROR(__xludf.DUMMYFUNCTION("GOOGLETRANSLATE(F5130, ""auto"", ""en"")
"),"Pros: appearance, the handle looks especially good. there is no emphasis on it, but smooth lines.  -mechanical child-proof latch, which prevents the door from being opened even when not in use.  -there is a steam cleaning function, but I don’t know how it"&amp;" will cope with heavy contamination.  Cons - there is no indication on the screen other than the clock, alarm clock and setting the start and shutdown time, and you need to select from the menu which indication you want to see on the menu at the moment (s"&amp;"hows one thing, the time, or something else).   -The shutdown timer also doesn’t show the time after how long you need to turn it off, but you need to indicate the exact time when the oven turns off (hours, minutes), which seemed inconvenient to me.   -an"&amp;"d when the oven was delivered to me, they informed me that this manufacturer had tempered glass installed in the oven, i.e. if you hit the glass, it will immediately break into smithereens (I hope that we will not encounter this during operation).")</f>
        <v>Pros: appearance, the handle looks especially good. there is no emphasis on it, but smooth lines.  -mechanical child-proof latch, which prevents the door from being opened even when not in use.  -there is a steam cleaning function, but I don’t know how it will cope with heavy contamination.  Cons - there is no indication on the screen other than the clock, alarm clock and setting the start and shutdown time, and you need to select from the menu which indication you want to see on the menu at the moment (shows one thing, the time, or something else).   -The shutdown timer also doesn’t show the time after how long you need to turn it off, but you need to indicate the exact time when the oven turns off (hours, minutes), which seemed inconvenient to me.   -and when the oven was delivered to me, they informed me that this manufacturer had tempered glass installed in the oven, i.e. if you hit the glass, it will immediately break into smithereens (I hope that we will not encounter this during operation).</v>
      </c>
    </row>
    <row r="5131" spans="1:9" x14ac:dyDescent="0.3">
      <c r="A5131" s="1" t="s">
        <v>89</v>
      </c>
      <c r="B5131" s="1" t="s">
        <v>90</v>
      </c>
      <c r="C5131" s="1" t="s">
        <v>57</v>
      </c>
      <c r="D5131" s="1" t="s">
        <v>52</v>
      </c>
      <c r="E5131" s="1" t="s">
        <v>3111</v>
      </c>
      <c r="F5131" s="1" t="s">
        <v>8502</v>
      </c>
      <c r="G5131" s="1" t="s">
        <v>15</v>
      </c>
      <c r="H5131" s="1" t="s">
        <v>16</v>
      </c>
      <c r="I5131" s="1" t="str">
        <f ca="1">IFERROR(__xludf.DUMMYFUNCTION("GOOGLETRANSLATE(F5131, ""auto"", ""en"")
"),"It is difficult to control the grinding, since everything sticks to the walls, and as a result the grinding is very coarse. When washing, water gets into the cord collection tray, and it is not possible to wipe there; as a result, moisture accumulates, wh"&amp;"ich is not good. I'm not happy, I'll go return it tomorrow.")</f>
        <v>It is difficult to control the grinding, since everything sticks to the walls, and as a result the grinding is very coarse. When washing, water gets into the cord collection tray, and it is not possible to wipe there; as a result, moisture accumulates, which is not good. I'm not happy, I'll go return it tomorrow.</v>
      </c>
    </row>
    <row r="5132" spans="1:9" x14ac:dyDescent="0.3">
      <c r="A5132" s="1" t="s">
        <v>30</v>
      </c>
      <c r="B5132" s="1" t="s">
        <v>31</v>
      </c>
      <c r="C5132" s="1" t="s">
        <v>32</v>
      </c>
      <c r="D5132" s="1" t="s">
        <v>8503</v>
      </c>
      <c r="E5132" s="1" t="s">
        <v>7270</v>
      </c>
      <c r="F5132" s="1" t="s">
        <v>8504</v>
      </c>
      <c r="G5132" s="1" t="s">
        <v>36</v>
      </c>
      <c r="H5132" s="1" t="s">
        <v>29</v>
      </c>
      <c r="I5132" s="1" t="str">
        <f ca="1">IFERROR(__xludf.DUMMYFUNCTION("GOOGLETRANSLATE(F5132, ""auto"", ""en"")
"),"XP is easy to install on this computer - all the wood comes from the Aspire X3810 from the manufacturer's website!    http://www.acer.ru/acer/service.do?LanguageISOCtxParam=ru&amp;miu10einu24.current.attN2B2F2EEF=907&amp;sp=page15e&amp;ctx 2.c2att1=21&amp;miu10ekcond13.a"&amp;"ttN2B2F2EEF=907&amp;CountryISOCtxParam=RU&amp;ctx1g.c2att92=411&amp;ctx1.att21k=1&amp;CRC=391229961 I've been using it for almost six months - NOT A SINGLE failure, I'm happy as an elephant!    True, I came with an atishka 4370.")</f>
        <v>XP is easy to install on this computer - all the wood comes from the Aspire X3810 from the manufacturer's website!    http://www.acer.ru/acer/service.do?LanguageISOCtxParam=ru&amp;miu10einu24.current.attN2B2F2EEF=907&amp;sp=page15e&amp;ctx 2.c2att1=21&amp;miu10ekcond13.attN2B2F2EEF=907&amp;CountryISOCtxParam=RU&amp;ctx1g.c2att92=411&amp;ctx1.att21k=1&amp;CRC=391229961 I've been using it for almost six months - NOT A SINGLE failure, I'm happy as an elephant!    True, I came with an atishka 4370.</v>
      </c>
    </row>
    <row r="5133" spans="1:9" x14ac:dyDescent="0.3">
      <c r="A5133" s="1" t="s">
        <v>78</v>
      </c>
      <c r="B5133" s="1" t="s">
        <v>79</v>
      </c>
      <c r="C5133" s="1" t="s">
        <v>351</v>
      </c>
      <c r="D5133" s="1" t="s">
        <v>58</v>
      </c>
      <c r="E5133" s="1" t="s">
        <v>8317</v>
      </c>
      <c r="F5133" s="1" t="s">
        <v>8505</v>
      </c>
      <c r="G5133" s="1" t="s">
        <v>49</v>
      </c>
      <c r="H5133" s="1" t="s">
        <v>16</v>
      </c>
      <c r="I5133" s="1" t="str">
        <f ca="1">IFERROR(__xludf.DUMMYFUNCTION("GOOGLETRANSLATE(F5133, ""auto"", ""en"")
"),"We chose this model primarily because of the design, I was looking for a silver color and with a handle, and of course it fit the price range. Initially I was confused by the Supra company, but decided to take a chance. Well, in vain. Initially it heated "&amp;"very weakly, but nothing was set for a longer time. After 4 months, it stopped heating altogether, time passes, the plate is spinning, everything works, but everything is cold! Sometimes it still warmed up if you left it for about 15 minutes. As a result,"&amp;" after a week of torment, smoke came out of the chamber and there was a terrible smell of plastic. They decided that we had had enough of the bullying and took us to the service center. There, from our words, they determined the reason and told us to wait"&amp;" 3 weeks for the part, but they waited 5 weeks. The result is this: they issued a certificate stating that it cannot be repaired. We’ll take it to the store to change it, but we don’t know which one, so as not to get into trouble again. Of course, I under"&amp;"stand that no one is insured, but this is about horror! Don't buy!")</f>
        <v>We chose this model primarily because of the design, I was looking for a silver color and with a handle, and of course it fit the price range. Initially I was confused by the Supra company, but decided to take a chance. Well, in vain. Initially it heated very weakly, but nothing was set for a longer time. After 4 months, it stopped heating altogether, time passes, the plate is spinning, everything works, but everything is cold! Sometimes it still warmed up if you left it for about 15 minutes. As a result, after a week of torment, smoke came out of the chamber and there was a terrible smell of plastic. They decided that we had had enough of the bullying and took us to the service center. There, from our words, they determined the reason and told us to wait 3 weeks for the part, but they waited 5 weeks. The result is this: they issued a certificate stating that it cannot be repaired. We’ll take it to the store to change it, but we don’t know which one, so as not to get into trouble again. Of course, I understand that no one is insured, but this is about horror! Don't buy!</v>
      </c>
    </row>
    <row r="5134" spans="1:9" x14ac:dyDescent="0.3">
      <c r="A5134" s="1" t="s">
        <v>211</v>
      </c>
      <c r="B5134" s="1" t="s">
        <v>410</v>
      </c>
      <c r="C5134" s="1" t="s">
        <v>122</v>
      </c>
      <c r="D5134" s="1" t="s">
        <v>86</v>
      </c>
      <c r="E5134" s="1" t="s">
        <v>2298</v>
      </c>
      <c r="F5134" s="1" t="s">
        <v>8506</v>
      </c>
      <c r="G5134" s="1" t="s">
        <v>36</v>
      </c>
      <c r="H5134" s="1" t="s">
        <v>29</v>
      </c>
      <c r="I5134" s="1" t="str">
        <f ca="1">IFERROR(__xludf.DUMMYFUNCTION("GOOGLETRANSLATE(F5134, ""auto"", ""en"")
"),"I used to use a machine, then I decided to buy a razor, because the cassettes for the machine are not cheap. I bought it and don’t regret it. It works very quietly, unlike others, it’s a pleasure to shave. But there is a drawback, in some places you have "&amp;"to shave longer, but this is nonsense. It shaves as if using a machine. Very satisfied, the rating is five plus. I recommend it to everyone, you won’t regret it!")</f>
        <v>I used to use a machine, then I decided to buy a razor, because the cassettes for the machine are not cheap. I bought it and don’t regret it. It works very quietly, unlike others, it’s a pleasure to shave. But there is a drawback, in some places you have to shave longer, but this is nonsense. It shaves as if using a machine. Very satisfied, the rating is five plus. I recommend it to everyone, you won’t regret it!</v>
      </c>
    </row>
    <row r="5135" spans="1:9" x14ac:dyDescent="0.3">
      <c r="A5135" s="1" t="s">
        <v>61</v>
      </c>
      <c r="B5135" s="1" t="s">
        <v>318</v>
      </c>
      <c r="C5135" s="1" t="s">
        <v>74</v>
      </c>
      <c r="D5135" s="1" t="s">
        <v>8507</v>
      </c>
      <c r="E5135" s="1" t="s">
        <v>1139</v>
      </c>
      <c r="F5135" s="1" t="s">
        <v>8508</v>
      </c>
      <c r="G5135" s="1" t="s">
        <v>49</v>
      </c>
      <c r="H5135" s="1" t="s">
        <v>16</v>
      </c>
      <c r="I5135" s="1" t="str">
        <f ca="1">IFERROR(__xludf.DUMMYFUNCTION("GOOGLETRANSLATE(F5135, ""auto"", ""en"")
"),"I had such a kettle at home and at work...both after half a year began to leak...and every day it got stronger and stronger...I don’t know what the reason is...but it leaks heavily and straight onto the tray...in general, I had to throw out both kettles.."&amp;".to avoid....")</f>
        <v>I had such a kettle at home and at work...both after half a year began to leak...and every day it got stronger and stronger...I don’t know what the reason is...but it leaks heavily and straight onto the tray...in general, I had to throw out both kettles...to avoid....</v>
      </c>
    </row>
    <row r="5136" spans="1:9" x14ac:dyDescent="0.3">
      <c r="A5136" s="1" t="s">
        <v>149</v>
      </c>
      <c r="B5136" s="1" t="s">
        <v>155</v>
      </c>
      <c r="C5136" s="1" t="s">
        <v>151</v>
      </c>
      <c r="D5136" s="1" t="s">
        <v>33</v>
      </c>
      <c r="E5136" s="1" t="s">
        <v>4259</v>
      </c>
      <c r="F5136" s="1" t="s">
        <v>8509</v>
      </c>
      <c r="G5136" s="1" t="s">
        <v>94</v>
      </c>
      <c r="H5136" s="1" t="s">
        <v>29</v>
      </c>
      <c r="I5136" s="1" t="str">
        <f ca="1">IFERROR(__xludf.DUMMYFUNCTION("GOOGLETRANSLATE(F5136, ""auto"", ""en"")
"),"The price corresponds to the quality.")</f>
        <v>The price corresponds to the quality.</v>
      </c>
    </row>
    <row r="5137" spans="1:9" x14ac:dyDescent="0.3">
      <c r="A5137" s="1" t="s">
        <v>30</v>
      </c>
      <c r="B5137" s="1" t="s">
        <v>50</v>
      </c>
      <c r="C5137" s="1" t="s">
        <v>1003</v>
      </c>
      <c r="D5137" s="1" t="s">
        <v>8510</v>
      </c>
      <c r="E5137" s="1" t="s">
        <v>2735</v>
      </c>
      <c r="F5137" s="1" t="s">
        <v>8511</v>
      </c>
      <c r="G5137" s="1" t="s">
        <v>36</v>
      </c>
      <c r="H5137" s="1" t="s">
        <v>29</v>
      </c>
      <c r="I5137" s="1" t="str">
        <f ca="1">IFERROR(__xludf.DUMMYFUNCTION("GOOGLETRANSLATE(F5137, ""auto"", ""en"")
"),"The laptop is super, the video is at a good level (NFS shift flies at high settings), there is a minus - it is Vista, but this is not a problem because there is RECOVERY, and of course AMD is a great heater))), but even at 75 degrees there is no hint of b"&amp;"rakes. And the battery is of course rather weak, but for me this does not matter, because... I almost always work from the network.")</f>
        <v>The laptop is super, the video is at a good level (NFS shift flies at high settings), there is a minus - it is Vista, but this is not a problem because there is RECOVERY, and of course AMD is a great heater))), but even at 75 degrees there is no hint of brakes. And the battery is of course rather weak, but for me this does not matter, because... I almost always work from the network.</v>
      </c>
    </row>
    <row r="5138" spans="1:9" x14ac:dyDescent="0.3">
      <c r="A5138" s="1" t="s">
        <v>361</v>
      </c>
      <c r="B5138" s="1" t="s">
        <v>2555</v>
      </c>
      <c r="C5138" s="1" t="s">
        <v>4871</v>
      </c>
      <c r="D5138" s="1" t="s">
        <v>172</v>
      </c>
      <c r="E5138" s="1" t="s">
        <v>1423</v>
      </c>
      <c r="F5138" s="1" t="s">
        <v>8512</v>
      </c>
      <c r="G5138" s="1" t="s">
        <v>36</v>
      </c>
      <c r="H5138" s="1" t="s">
        <v>29</v>
      </c>
      <c r="I5138" s="1" t="str">
        <f ca="1">IFERROR(__xludf.DUMMYFUNCTION("GOOGLETRANSLATE(F5138, ""auto"", ""en"")
"),"I’ve been using a 2 liter one for 4 years and bought another 1.5 liter one. High quality and really cool thermos. hot by the end of 1 day, and this is very important). This is especially true in the winter, or just any exit, going towards the sea, forest,"&amp;" etc. outdoors.")</f>
        <v>I’ve been using a 2 liter one for 4 years and bought another 1.5 liter one. High quality and really cool thermos. hot by the end of 1 day, and this is very important). This is especially true in the winter, or just any exit, going towards the sea, forest, etc. outdoors.</v>
      </c>
    </row>
    <row r="5139" spans="1:9" x14ac:dyDescent="0.3">
      <c r="A5139" s="1" t="s">
        <v>211</v>
      </c>
      <c r="B5139" s="1" t="s">
        <v>410</v>
      </c>
      <c r="C5139" s="1" t="s">
        <v>122</v>
      </c>
      <c r="D5139" s="1" t="s">
        <v>4065</v>
      </c>
      <c r="E5139" s="1" t="s">
        <v>8513</v>
      </c>
      <c r="F5139" s="1" t="s">
        <v>8514</v>
      </c>
      <c r="G5139" s="1" t="s">
        <v>36</v>
      </c>
      <c r="H5139" s="1" t="s">
        <v>29</v>
      </c>
      <c r="I5139" s="1" t="str">
        <f ca="1">IFERROR(__xludf.DUMMYFUNCTION("GOOGLETRANSLATE(F5139, ""auto"", ""en"")
"),"Shaves like a machine only longer ")</f>
        <v xml:space="preserve">Shaves like a machine only longer </v>
      </c>
    </row>
    <row r="5140" spans="1:9" x14ac:dyDescent="0.3">
      <c r="A5140" s="1" t="s">
        <v>361</v>
      </c>
      <c r="B5140" s="1" t="s">
        <v>2555</v>
      </c>
      <c r="C5140" s="1" t="s">
        <v>875</v>
      </c>
      <c r="D5140" s="1" t="s">
        <v>7832</v>
      </c>
      <c r="E5140" s="1" t="s">
        <v>400</v>
      </c>
      <c r="F5140" s="1" t="s">
        <v>8515</v>
      </c>
      <c r="G5140" s="1" t="s">
        <v>36</v>
      </c>
      <c r="H5140" s="1" t="s">
        <v>29</v>
      </c>
      <c r="I5140" s="1" t="str">
        <f ca="1">IFERROR(__xludf.DUMMYFUNCTION("GOOGLETRANSLATE(F5140, ""auto"", ""en"")
"),"In principle, the thermos is not bad, but the plastic mugs do not inspire hope, and leak due to a bad lid-latch.  For this price you can safely take it.")</f>
        <v>In principle, the thermos is not bad, but the plastic mugs do not inspire hope, and leak due to a bad lid-latch.  For this price you can safely take it.</v>
      </c>
    </row>
    <row r="5141" spans="1:9" x14ac:dyDescent="0.3">
      <c r="A5141" s="1" t="s">
        <v>37</v>
      </c>
      <c r="B5141" s="1" t="s">
        <v>38</v>
      </c>
      <c r="C5141" s="1" t="s">
        <v>163</v>
      </c>
      <c r="D5141" s="1" t="s">
        <v>39</v>
      </c>
      <c r="E5141" s="1" t="s">
        <v>1723</v>
      </c>
      <c r="F5141" s="1" t="s">
        <v>8516</v>
      </c>
      <c r="G5141" s="1" t="s">
        <v>36</v>
      </c>
      <c r="H5141" s="1" t="s">
        <v>29</v>
      </c>
      <c r="I5141" s="1" t="str">
        <f ca="1">IFERROR(__xludf.DUMMYFUNCTION("GOOGLETRANSLATE(F5141, ""auto"", ""en"")
"),"The phone is of excellent quality, excellent style, the volume of melodies is good, the ability to set MP3 for calls, alarms and SMS, the built-in memory is not enough, but melodies for SMS and alarms can be set by pointing to the memory card. The battery"&amp;" is of excellent quality and holds a charge well. The camera is of average quality, but recording photos and videos depends only on the settings. Just a great model")</f>
        <v>The phone is of excellent quality, excellent style, the volume of melodies is good, the ability to set MP3 for calls, alarms and SMS, the built-in memory is not enough, but melodies for SMS and alarms can be set by pointing to the memory card. The battery is of excellent quality and holds a charge well. The camera is of average quality, but recording photos and videos depends only on the settings. Just a great model</v>
      </c>
    </row>
    <row r="5142" spans="1:9" x14ac:dyDescent="0.3">
      <c r="A5142" s="1" t="s">
        <v>67</v>
      </c>
      <c r="B5142" s="1" t="s">
        <v>68</v>
      </c>
      <c r="C5142" s="1" t="s">
        <v>101</v>
      </c>
      <c r="D5142" s="1" t="s">
        <v>335</v>
      </c>
      <c r="E5142" s="1" t="s">
        <v>5086</v>
      </c>
      <c r="F5142" s="1" t="s">
        <v>8517</v>
      </c>
      <c r="G5142" s="1" t="s">
        <v>28</v>
      </c>
      <c r="H5142" s="1" t="s">
        <v>29</v>
      </c>
      <c r="I5142" s="1" t="str">
        <f ca="1">IFERROR(__xludf.DUMMYFUNCTION("GOOGLETRANSLATE(F5142, ""auto"", ""en"")
"),"The iron is good for the price. Overdried items cannot be ironed without steaming, but it irons and steams well. It doesn’t smell like plastic, but you shouldn’t leave water in it after finishing work, it will leak out.")</f>
        <v>The iron is good for the price. Overdried items cannot be ironed without steaming, but it irons and steams well. It doesn’t smell like plastic, but you shouldn’t leave water in it after finishing work, it will leak out.</v>
      </c>
    </row>
    <row r="5143" spans="1:9" x14ac:dyDescent="0.3">
      <c r="A5143" s="1" t="s">
        <v>211</v>
      </c>
      <c r="B5143" s="1" t="s">
        <v>856</v>
      </c>
      <c r="C5143" s="1" t="s">
        <v>57</v>
      </c>
      <c r="D5143" s="1" t="s">
        <v>308</v>
      </c>
      <c r="E5143" s="1" t="s">
        <v>1298</v>
      </c>
      <c r="F5143" s="1" t="s">
        <v>8518</v>
      </c>
      <c r="G5143" s="1" t="s">
        <v>28</v>
      </c>
      <c r="H5143" s="1" t="s">
        <v>29</v>
      </c>
      <c r="I5143" s="1" t="str">
        <f ca="1">IFERROR(__xludf.DUMMYFUNCTION("GOOGLETRANSLATE(F5143, ""auto"", ""en"")
"),"Gave me a bath for my birthday, I've already used it 4 times. My job is physically demanding, I'm constantly on my feet. By evening, my legs are buzzing and I want to relax. The bath saves. I pour some hot water and turn on the bubbles. A lot of positive "&amp;"emotions and relaxing, of course)). I read that there is temperature maintenance, but it is not maintained, there aren’t even any heaters. I read that you can pour decoctions only by first straining them so that the air supply holes do not become clogged."&amp;" You can also treat your legs with decoctions. So the thing is not useless if you use it! I recommend))")</f>
        <v>Gave me a bath for my birthday, I've already used it 4 times. My job is physically demanding, I'm constantly on my feet. By evening, my legs are buzzing and I want to relax. The bath saves. I pour some hot water and turn on the bubbles. A lot of positive emotions and relaxing, of course)). I read that there is temperature maintenance, but it is not maintained, there aren’t even any heaters. I read that you can pour decoctions only by first straining them so that the air supply holes do not become clogged. You can also treat your legs with decoctions. So the thing is not useless if you use it! I recommend))</v>
      </c>
    </row>
    <row r="5144" spans="1:9" x14ac:dyDescent="0.3">
      <c r="A5144" s="1" t="s">
        <v>1443</v>
      </c>
      <c r="B5144" s="1" t="s">
        <v>1444</v>
      </c>
      <c r="C5144" s="1" t="s">
        <v>1489</v>
      </c>
      <c r="D5144" s="1" t="s">
        <v>8519</v>
      </c>
      <c r="E5144" s="1" t="s">
        <v>8520</v>
      </c>
      <c r="F5144" s="1" t="s">
        <v>8521</v>
      </c>
      <c r="G5144" s="1" t="s">
        <v>36</v>
      </c>
      <c r="H5144" s="1" t="s">
        <v>29</v>
      </c>
      <c r="I5144" s="1" t="str">
        <f ca="1">IFERROR(__xludf.DUMMYFUNCTION("GOOGLETRANSLATE(F5144, ""auto"", ""en"")
"),"Flash drives of this brand are really good, I agree, of course, that the speed is low, but for such a price it was to be expected; I didn’t use this flash drive for long, because... It was stolen from me, but before it, the 2 GB flash drive lasted 6 years"&amp;"; if it weren’t for the mechanical impact, it would still be in use. I give preference exclusively to this company, I plan to buy 32GB. I realize that you will have to wait a lot to download a good movie, but I’m not ready to overpay")</f>
        <v>Flash drives of this brand are really good, I agree, of course, that the speed is low, but for such a price it was to be expected; I didn’t use this flash drive for long, because... It was stolen from me, but before it, the 2 GB flash drive lasted 6 years; if it weren’t for the mechanical impact, it would still be in use. I give preference exclusively to this company, I plan to buy 32GB. I realize that you will have to wait a lot to download a good movie, but I’m not ready to overpay</v>
      </c>
    </row>
    <row r="5145" spans="1:9" x14ac:dyDescent="0.3">
      <c r="A5145" s="1" t="s">
        <v>120</v>
      </c>
      <c r="B5145" s="1" t="s">
        <v>196</v>
      </c>
      <c r="C5145" s="1" t="s">
        <v>151</v>
      </c>
      <c r="D5145" s="1" t="s">
        <v>52</v>
      </c>
      <c r="E5145" s="1" t="s">
        <v>4972</v>
      </c>
      <c r="F5145" s="1" t="s">
        <v>8522</v>
      </c>
      <c r="G5145" s="1" t="s">
        <v>36</v>
      </c>
      <c r="H5145" s="1" t="s">
        <v>29</v>
      </c>
      <c r="I5145" s="1" t="str">
        <f ca="1">IFERROR(__xludf.DUMMYFUNCTION("GOOGLETRANSLATE(F5145, ""auto"", ""en"")
"),"I’ve been using the TV for the 4th day, at the moment I’m happy with everything. Having read the reviews below, I DO NOT agree that the sound is not very good! For this TV, the sound is good, especially when you turn on the SRS TruSurround HD function, it"&amp;" becomes deeper in sound, so to speak. (P.S but this is my personal opinion) The rattling of the speakers has also not yet been noticed. As for the picture quality, everything is excellent here! The quality of over-the-air channels (I have Tricolor TV) I "&amp;"rate it 3+. In general, a very, very good TV for your money! :)")</f>
        <v>I’ve been using the TV for the 4th day, at the moment I’m happy with everything. Having read the reviews below, I DO NOT agree that the sound is not very good! For this TV, the sound is good, especially when you turn on the SRS TruSurround HD function, it becomes deeper in sound, so to speak. (P.S but this is my personal opinion) The rattling of the speakers has also not yet been noticed. As for the picture quality, everything is excellent here! The quality of over-the-air channels (I have Tricolor TV) I rate it 3+. In general, a very, very good TV for your money! :)</v>
      </c>
    </row>
    <row r="5146" spans="1:9" x14ac:dyDescent="0.3">
      <c r="A5146" s="1" t="s">
        <v>61</v>
      </c>
      <c r="B5146" s="1" t="s">
        <v>318</v>
      </c>
      <c r="C5146" s="1" t="s">
        <v>57</v>
      </c>
      <c r="D5146" s="1" t="s">
        <v>295</v>
      </c>
      <c r="E5146" s="1" t="s">
        <v>187</v>
      </c>
      <c r="F5146" s="1" t="s">
        <v>8523</v>
      </c>
      <c r="G5146" s="1" t="s">
        <v>36</v>
      </c>
      <c r="H5146" s="1" t="s">
        <v>29</v>
      </c>
      <c r="I5146" s="1" t="str">
        <f ca="1">IFERROR(__xludf.DUMMYFUNCTION("GOOGLETRANSLATE(F5146, ""auto"", ""en"")
"),"I bought this kettle yesterday and liked the design. When checking, I saw this backlight, cool, very unusual for a teapot! I hope it will make me happy.")</f>
        <v>I bought this kettle yesterday and liked the design. When checking, I saw this backlight, cool, very unusual for a teapot! I hope it will make me happy.</v>
      </c>
    </row>
    <row r="5147" spans="1:9" x14ac:dyDescent="0.3">
      <c r="A5147" s="1" t="s">
        <v>211</v>
      </c>
      <c r="B5147" s="1" t="s">
        <v>601</v>
      </c>
      <c r="C5147" s="1" t="s">
        <v>602</v>
      </c>
      <c r="D5147" s="1" t="s">
        <v>81</v>
      </c>
      <c r="E5147" s="1" t="s">
        <v>6116</v>
      </c>
      <c r="F5147" s="1" t="s">
        <v>8524</v>
      </c>
      <c r="G5147" s="1" t="s">
        <v>36</v>
      </c>
      <c r="H5147" s="1" t="s">
        <v>29</v>
      </c>
      <c r="I5147" s="1" t="str">
        <f ca="1">IFERROR(__xludf.DUMMYFUNCTION("GOOGLETRANSLATE(F5147, ""auto"", ""en"")
"),"It is very convenient to have 2 nozzles. Easy to replace. Nice design.")</f>
        <v>It is very convenient to have 2 nozzles. Easy to replace. Nice design.</v>
      </c>
    </row>
    <row r="5148" spans="1:9" x14ac:dyDescent="0.3">
      <c r="A5148" s="1" t="s">
        <v>211</v>
      </c>
      <c r="B5148" s="1" t="s">
        <v>410</v>
      </c>
      <c r="C5148" s="1" t="s">
        <v>69</v>
      </c>
      <c r="D5148" s="1" t="s">
        <v>1055</v>
      </c>
      <c r="E5148" s="1" t="s">
        <v>1039</v>
      </c>
      <c r="F5148" s="1" t="s">
        <v>8525</v>
      </c>
      <c r="G5148" s="1" t="s">
        <v>36</v>
      </c>
      <c r="H5148" s="1" t="s">
        <v>29</v>
      </c>
      <c r="I5148" s="1" t="str">
        <f ca="1">IFERROR(__xludf.DUMMYFUNCTION("GOOGLETRANSLATE(F5148, ""auto"", ""en"")
"),"Excellent quality...gave it to a young man for his birthday...(I was sooooo pleased)")</f>
        <v>Excellent quality...gave it to a young man for his birthday...(I was sooooo pleased)</v>
      </c>
    </row>
    <row r="5149" spans="1:9" x14ac:dyDescent="0.3">
      <c r="A5149" s="1" t="s">
        <v>61</v>
      </c>
      <c r="B5149" s="1" t="s">
        <v>224</v>
      </c>
      <c r="C5149" s="1" t="s">
        <v>85</v>
      </c>
      <c r="D5149" s="1" t="s">
        <v>280</v>
      </c>
      <c r="E5149" s="1" t="s">
        <v>3504</v>
      </c>
      <c r="F5149" s="1" t="s">
        <v>8526</v>
      </c>
      <c r="G5149" s="1" t="s">
        <v>36</v>
      </c>
      <c r="H5149" s="1" t="s">
        <v>29</v>
      </c>
      <c r="I5149" s="1" t="str">
        <f ca="1">IFERROR(__xludf.DUMMYFUNCTION("GOOGLETRANSLATE(F5149, ""auto"", ""en"")
"),"Made of iron, can reap juice for a long time, high quality, transparent juice")</f>
        <v>Made of iron, can reap juice for a long time, high quality, transparent juice</v>
      </c>
    </row>
    <row r="5150" spans="1:9" x14ac:dyDescent="0.3">
      <c r="A5150" s="1" t="s">
        <v>211</v>
      </c>
      <c r="B5150" s="1" t="s">
        <v>515</v>
      </c>
      <c r="C5150" s="1" t="s">
        <v>213</v>
      </c>
      <c r="D5150" s="1" t="s">
        <v>5437</v>
      </c>
      <c r="E5150" s="1" t="s">
        <v>4929</v>
      </c>
      <c r="F5150" s="1" t="s">
        <v>8527</v>
      </c>
      <c r="G5150" s="1" t="s">
        <v>15</v>
      </c>
      <c r="H5150" s="1" t="s">
        <v>16</v>
      </c>
      <c r="I5150" s="1" t="str">
        <f ca="1">IFERROR(__xludf.DUMMYFUNCTION("GOOGLETRANSLATE(F5150, ""auto"", ""en"")
"),"there was a loud cracking sound when working and stopped cutting hair and started chewing it")</f>
        <v>there was a loud cracking sound when working and stopped cutting hair and started chewing it</v>
      </c>
    </row>
    <row r="5151" spans="1:9" x14ac:dyDescent="0.3">
      <c r="A5151" s="1" t="s">
        <v>67</v>
      </c>
      <c r="B5151" s="1" t="s">
        <v>68</v>
      </c>
      <c r="C5151" s="1" t="s">
        <v>246</v>
      </c>
      <c r="D5151" s="1" t="s">
        <v>8528</v>
      </c>
      <c r="E5151" s="1" t="s">
        <v>8529</v>
      </c>
      <c r="F5151" s="1" t="s">
        <v>8530</v>
      </c>
      <c r="G5151" s="1" t="s">
        <v>36</v>
      </c>
      <c r="H5151" s="1" t="s">
        <v>29</v>
      </c>
      <c r="I5151" s="1" t="str">
        <f ca="1">IFERROR(__xludf.DUMMYFUNCTION("GOOGLETRANSLATE(F5151, ""auto"", ""en"")
"),"The perfect option for everything! The price is worth it! Irons everything perfectly! Vertical steaming is generally super, when ironing things you don’t have to fuss for a long time, in general it’s quick and convenient!")</f>
        <v>The perfect option for everything! The price is worth it! Irons everything perfectly! Vertical steaming is generally super, when ironing things you don’t have to fuss for a long time, in general it’s quick and convenient!</v>
      </c>
    </row>
    <row r="5152" spans="1:9" x14ac:dyDescent="0.3">
      <c r="A5152" s="1" t="s">
        <v>95</v>
      </c>
      <c r="B5152" s="1" t="s">
        <v>227</v>
      </c>
      <c r="C5152" s="1" t="s">
        <v>97</v>
      </c>
      <c r="D5152" s="1" t="s">
        <v>114</v>
      </c>
      <c r="E5152" s="1" t="s">
        <v>248</v>
      </c>
      <c r="F5152" s="1" t="s">
        <v>8531</v>
      </c>
      <c r="G5152" s="1" t="s">
        <v>36</v>
      </c>
      <c r="H5152" s="1" t="s">
        <v>29</v>
      </c>
      <c r="I5152" s="1" t="str">
        <f ca="1">IFERROR(__xludf.DUMMYFUNCTION("GOOGLETRANSLATE(F5152, ""auto"", ""en"")
"),"The console is great! I didn't buy it myself either. My parents also bought it, but I'm happy! I was glad that the movie set was included. Mov is absolutely a super thing! Not enough games? This is easy to fix! I have now subscribed to playstation plus. N"&amp;"ow I download games (in total you can download 10 games for PS3 and 4 for PS Vita) for free.")</f>
        <v>The console is great! I didn't buy it myself either. My parents also bought it, but I'm happy! I was glad that the movie set was included. Mov is absolutely a super thing! Not enough games? This is easy to fix! I have now subscribed to playstation plus. Now I download games (in total you can download 10 games for PS3 and 4 for PS Vita) for free.</v>
      </c>
    </row>
    <row r="5153" spans="1:9" x14ac:dyDescent="0.3">
      <c r="A5153" s="1" t="s">
        <v>211</v>
      </c>
      <c r="B5153" s="1" t="s">
        <v>265</v>
      </c>
      <c r="C5153" s="1" t="s">
        <v>69</v>
      </c>
      <c r="D5153" s="1" t="s">
        <v>8532</v>
      </c>
      <c r="E5153" s="1" t="s">
        <v>8529</v>
      </c>
      <c r="F5153" s="1" t="s">
        <v>8533</v>
      </c>
      <c r="G5153" s="1" t="s">
        <v>36</v>
      </c>
      <c r="H5153" s="1" t="s">
        <v>29</v>
      </c>
      <c r="I5153" s="1" t="str">
        <f ca="1">IFERROR(__xludf.DUMMYFUNCTION("GOOGLETRANSLATE(F5153, ""auto"", ""en"")
"),"I've been getting my hair cut for 6 years now, with virtually no complaints. The attachment is alive. The battery holds a couple of haircuts. Recently, however, the adapter was dropped and one of the plug pins broke off. Judging by the reviews, nothing be"&amp;"tter has appeared on sale. I'll have to buy it :)")</f>
        <v>I've been getting my hair cut for 6 years now, with virtually no complaints. The attachment is alive. The battery holds a couple of haircuts. Recently, however, the adapter was dropped and one of the plug pins broke off. Judging by the reviews, nothing better has appeared on sale. I'll have to buy it :)</v>
      </c>
    </row>
    <row r="5154" spans="1:9" x14ac:dyDescent="0.3">
      <c r="A5154" s="1" t="s">
        <v>61</v>
      </c>
      <c r="B5154" s="1" t="s">
        <v>977</v>
      </c>
      <c r="C5154" s="1" t="s">
        <v>85</v>
      </c>
      <c r="D5154" s="1" t="s">
        <v>8534</v>
      </c>
      <c r="E5154" s="1" t="s">
        <v>8535</v>
      </c>
      <c r="F5154" s="1" t="s">
        <v>8536</v>
      </c>
      <c r="G5154" s="1" t="s">
        <v>36</v>
      </c>
      <c r="H5154" s="1" t="s">
        <v>29</v>
      </c>
      <c r="I5154" s="1" t="str">
        <f ca="1">IFERROR(__xludf.DUMMYFUNCTION("GOOGLETRANSLATE(F5154, ""auto"", ""en"")
"),"I bought this mixer a month ago. There is only one minus - it’s not very possible to beat one egg white only if you lift the mixer bowl during the process. 5 year warranty, I also liked that it has such serious additional attachments - heavy and effective"&amp;"!! and the pastry chef attachment is something!   Now I prepare shortbread dough in it in 5 minutes. Mom prepares dough for dumplings and dumplings only with it, using a hook attachment")</f>
        <v>I bought this mixer a month ago. There is only one minus - it’s not very possible to beat one egg white only if you lift the mixer bowl during the process. 5 year warranty, I also liked that it has such serious additional attachments - heavy and effective!! and the pastry chef attachment is something!   Now I prepare shortbread dough in it in 5 minutes. Mom prepares dough for dumplings and dumplings only with it, using a hook attachment</v>
      </c>
    </row>
    <row r="5155" spans="1:9" x14ac:dyDescent="0.3">
      <c r="A5155" s="1" t="s">
        <v>89</v>
      </c>
      <c r="B5155" s="1" t="s">
        <v>231</v>
      </c>
      <c r="C5155" s="1" t="s">
        <v>185</v>
      </c>
      <c r="D5155" s="1" t="s">
        <v>565</v>
      </c>
      <c r="E5155" s="1" t="s">
        <v>8537</v>
      </c>
      <c r="F5155" s="1" t="s">
        <v>8538</v>
      </c>
      <c r="G5155" s="1" t="s">
        <v>36</v>
      </c>
      <c r="H5155" s="1" t="s">
        <v>29</v>
      </c>
      <c r="I5155" s="1" t="str">
        <f ca="1">IFERROR(__xludf.DUMMYFUNCTION("GOOGLETRANSLATE(F5155, ""auto"", ""en"")
"),"We've been using the coffee machine for a week. There are no complaints. Easy to use, aromatic coffee with foam. I recommend it. The quality exceeds the price!!!")</f>
        <v>We've been using the coffee machine for a week. There are no complaints. Easy to use, aromatic coffee with foam. I recommend it. The quality exceeds the price!!!</v>
      </c>
    </row>
    <row r="5156" spans="1:9" x14ac:dyDescent="0.3">
      <c r="A5156" s="1" t="s">
        <v>496</v>
      </c>
      <c r="B5156" s="1" t="s">
        <v>497</v>
      </c>
      <c r="C5156" s="1" t="s">
        <v>8539</v>
      </c>
      <c r="D5156" s="1" t="s">
        <v>172</v>
      </c>
      <c r="E5156" s="1" t="s">
        <v>727</v>
      </c>
      <c r="F5156" s="1" t="s">
        <v>8540</v>
      </c>
      <c r="G5156" s="1" t="s">
        <v>28</v>
      </c>
      <c r="H5156" s="1" t="s">
        <v>29</v>
      </c>
      <c r="I5156" s="1" t="str">
        <f ca="1">IFERROR(__xludf.DUMMYFUNCTION("GOOGLETRANSLATE(F5156, ""auto"", ""en"")
"),"Not a bad antivirus!  You will have to work with the firewall: -blocks all networks by default;  -is not friendly with programs that use a peer-to-peer protocol.  Conclusion: The antivirus is good, use a firewall from another manufacturer!")</f>
        <v>Not a bad antivirus!  You will have to work with the firewall: -blocks all networks by default;  -is not friendly with programs that use a peer-to-peer protocol.  Conclusion: The antivirus is good, use a firewall from another manufacturer!</v>
      </c>
    </row>
    <row r="5157" spans="1:9" x14ac:dyDescent="0.3">
      <c r="A5157" s="1" t="s">
        <v>238</v>
      </c>
      <c r="B5157" s="1" t="s">
        <v>276</v>
      </c>
      <c r="C5157" s="1" t="s">
        <v>277</v>
      </c>
      <c r="D5157" s="1" t="s">
        <v>114</v>
      </c>
      <c r="E5157" s="1" t="s">
        <v>4434</v>
      </c>
      <c r="F5157" s="1" t="s">
        <v>8541</v>
      </c>
      <c r="G5157" s="1" t="s">
        <v>36</v>
      </c>
      <c r="H5157" s="1" t="s">
        <v>29</v>
      </c>
      <c r="I5157" s="1" t="str">
        <f ca="1">IFERROR(__xludf.DUMMYFUNCTION("GOOGLETRANSLATE(F5157, ""auto"", ""en"")
"),"price, energy consumption class, ")</f>
        <v xml:space="preserve">price, energy consumption class, </v>
      </c>
    </row>
    <row r="5158" spans="1:9" x14ac:dyDescent="0.3">
      <c r="A5158" s="1" t="s">
        <v>37</v>
      </c>
      <c r="B5158" s="1" t="s">
        <v>38</v>
      </c>
      <c r="C5158" s="1" t="s">
        <v>39</v>
      </c>
      <c r="D5158" s="1" t="s">
        <v>172</v>
      </c>
      <c r="E5158" s="1" t="s">
        <v>4578</v>
      </c>
      <c r="F5158" s="1" t="s">
        <v>8542</v>
      </c>
      <c r="G5158" s="1" t="s">
        <v>36</v>
      </c>
      <c r="H5158" s="1" t="s">
        <v>29</v>
      </c>
      <c r="I5158" s="1" t="str">
        <f ca="1">IFERROR(__xludf.DUMMYFUNCTION("GOOGLETRANSLATE(F5158, ""auto"", ""en"")
"),"I bought the phone a year ago. During all this time, only one glitch appeared, but then disappeared - the “8” button stuck. And the phone is simply super, among direct competitors from Nokia - XpressMusic is very different in volume and sound quality. The"&amp;" package is excellent, there is everything you need: cord, charger and headset.")</f>
        <v>I bought the phone a year ago. During all this time, only one glitch appeared, but then disappeared - the “8” button stuck. And the phone is simply super, among direct competitors from Nokia - XpressMusic is very different in volume and sound quality. The package is excellent, there is everything you need: cord, charger and headset.</v>
      </c>
    </row>
    <row r="5159" spans="1:9" x14ac:dyDescent="0.3">
      <c r="A5159" s="1" t="s">
        <v>61</v>
      </c>
      <c r="B5159" s="1" t="s">
        <v>73</v>
      </c>
      <c r="C5159" s="1" t="s">
        <v>122</v>
      </c>
      <c r="D5159" s="1" t="s">
        <v>152</v>
      </c>
      <c r="E5159" s="1" t="s">
        <v>6907</v>
      </c>
      <c r="F5159" s="1" t="s">
        <v>8543</v>
      </c>
      <c r="G5159" s="1" t="s">
        <v>36</v>
      </c>
      <c r="H5159" s="1" t="s">
        <v>29</v>
      </c>
      <c r="I5159" s="1" t="str">
        <f ca="1">IFERROR(__xludf.DUMMYFUNCTION("GOOGLETRANSLATE(F5159, ""auto"", ""en"")
"),"After a long and painful choice between a huge number of different models, I settled on this particular meat grinder, and did not regret it after the purchase! Yes, it looks simple, without any frills or rich equipment, but it is reliable and productive! "&amp;"The powerful shank of the auger for the hexagon looks very convincing! I didn’t expect such speed - just serve the meat! The device is truly created for high-quality meat cutting! I recommend!")</f>
        <v>After a long and painful choice between a huge number of different models, I settled on this particular meat grinder, and did not regret it after the purchase! Yes, it looks simple, without any frills or rich equipment, but it is reliable and productive! The powerful shank of the auger for the hexagon looks very convincing! I didn’t expect such speed - just serve the meat! The device is truly created for high-quality meat cutting! I recommend!</v>
      </c>
    </row>
    <row r="5160" spans="1:9" x14ac:dyDescent="0.3">
      <c r="A5160" s="1" t="s">
        <v>30</v>
      </c>
      <c r="B5160" s="1" t="s">
        <v>31</v>
      </c>
      <c r="C5160" s="1" t="s">
        <v>365</v>
      </c>
      <c r="D5160" s="1" t="s">
        <v>86</v>
      </c>
      <c r="E5160" s="1" t="s">
        <v>2215</v>
      </c>
      <c r="F5160" s="1" t="s">
        <v>8544</v>
      </c>
      <c r="G5160" s="1" t="s">
        <v>36</v>
      </c>
      <c r="H5160" s="1" t="s">
        <v>29</v>
      </c>
      <c r="I5160" s="1" t="str">
        <f ca="1">IFERROR(__xludf.DUMMYFUNCTION("GOOGLETRANSLATE(F5160, ""auto"", ""en"")
"),"Excellent computer, very pleased with this configuration! I installed Windows 7 and everything works great! Games just fly!")</f>
        <v>Excellent computer, very pleased with this configuration! I installed Windows 7 and everything works great! Games just fly!</v>
      </c>
    </row>
    <row r="5161" spans="1:9" x14ac:dyDescent="0.3">
      <c r="A5161" s="1" t="s">
        <v>61</v>
      </c>
      <c r="B5161" s="1" t="s">
        <v>318</v>
      </c>
      <c r="C5161" s="1" t="s">
        <v>57</v>
      </c>
      <c r="D5161" s="1" t="s">
        <v>8545</v>
      </c>
      <c r="E5161" s="1" t="s">
        <v>8546</v>
      </c>
      <c r="F5161" s="1" t="s">
        <v>8547</v>
      </c>
      <c r="G5161" s="1" t="s">
        <v>36</v>
      </c>
      <c r="H5161" s="1" t="s">
        <v>29</v>
      </c>
      <c r="I5161" s="1" t="str">
        <f ca="1">IFERROR(__xludf.DUMMYFUNCTION("GOOGLETRANSLATE(F5161, ""auto"", ""en"")
"),"It works quietly, makes a pleasant ringing sound when turned off, no plastic smell, the lid opens well, you can wash the inside by hand, closes tightly without any crunches or squeaks, overall 100 points")</f>
        <v>It works quietly, makes a pleasant ringing sound when turned off, no plastic smell, the lid opens well, you can wash the inside by hand, closes tightly without any crunches or squeaks, overall 100 points</v>
      </c>
    </row>
    <row r="5162" spans="1:9" x14ac:dyDescent="0.3">
      <c r="A5162" s="1" t="s">
        <v>965</v>
      </c>
      <c r="B5162" s="1" t="s">
        <v>966</v>
      </c>
      <c r="C5162" s="1" t="s">
        <v>967</v>
      </c>
      <c r="D5162" s="1" t="s">
        <v>1391</v>
      </c>
      <c r="E5162" s="1" t="s">
        <v>1410</v>
      </c>
      <c r="F5162" s="1" t="s">
        <v>2268</v>
      </c>
      <c r="G5162" s="1" t="s">
        <v>36</v>
      </c>
      <c r="H5162" s="1" t="s">
        <v>29</v>
      </c>
      <c r="I5162" s="1" t="str">
        <f ca="1">IFERROR(__xludf.DUMMYFUNCTION("GOOGLETRANSLATE(F5162, ""auto"", ""en"")
"),"No")</f>
        <v>No</v>
      </c>
    </row>
    <row r="5163" spans="1:9" x14ac:dyDescent="0.3">
      <c r="A5163" s="1" t="s">
        <v>61</v>
      </c>
      <c r="B5163" s="1" t="s">
        <v>726</v>
      </c>
      <c r="C5163" s="1" t="s">
        <v>146</v>
      </c>
      <c r="D5163" s="1" t="s">
        <v>12</v>
      </c>
      <c r="E5163" s="1" t="s">
        <v>1012</v>
      </c>
      <c r="F5163" s="1" t="s">
        <v>8548</v>
      </c>
      <c r="G5163" s="1" t="s">
        <v>36</v>
      </c>
      <c r="H5163" s="1" t="s">
        <v>29</v>
      </c>
      <c r="I5163" s="1" t="str">
        <f ca="1">IFERROR(__xludf.DUMMYFUNCTION("GOOGLETRANSLATE(F5163, ""auto"", ""en"")
"),"An excellent model, the bread turns out great, however, not a single recipe from the included book was useful, or the bread did not turn out. I recommend the website hlebopechka.ru to everyone - you will find many recipes there.  Today I made jam in it. C"&amp;"omfortable.")</f>
        <v>An excellent model, the bread turns out great, however, not a single recipe from the included book was useful, or the bread did not turn out. I recommend the website hlebopechka.ru to everyone - you will find many recipes there.  Today I made jam in it. Comfortable.</v>
      </c>
    </row>
    <row r="5164" spans="1:9" x14ac:dyDescent="0.3">
      <c r="A5164" s="1" t="s">
        <v>120</v>
      </c>
      <c r="B5164" s="1" t="s">
        <v>121</v>
      </c>
      <c r="C5164" s="1" t="s">
        <v>97</v>
      </c>
      <c r="D5164" s="1" t="s">
        <v>232</v>
      </c>
      <c r="E5164" s="1" t="s">
        <v>5126</v>
      </c>
      <c r="F5164" s="1" t="s">
        <v>8549</v>
      </c>
      <c r="G5164" s="1" t="s">
        <v>36</v>
      </c>
      <c r="H5164" s="1" t="s">
        <v>29</v>
      </c>
      <c r="I5164" s="1" t="str">
        <f ca="1">IFERROR(__xludf.DUMMYFUNCTION("GOOGLETRANSLATE(F5164, ""auto"", ""en"")
"),"The TV is wonderful. I recommend it to those who are looking for a quality item. There are a lot of advantages, the most important is an excellent image, pleasing to the eye from any distance. There were no “analogues” lying around. I didn't notice any co"&amp;"ns. Everything makes me happy.")</f>
        <v>The TV is wonderful. I recommend it to those who are looking for a quality item. There are a lot of advantages, the most important is an excellent image, pleasing to the eye from any distance. There were no “analogues” lying around. I didn't notice any cons. Everything makes me happy.</v>
      </c>
    </row>
    <row r="5165" spans="1:9" x14ac:dyDescent="0.3">
      <c r="A5165" s="1" t="s">
        <v>169</v>
      </c>
      <c r="B5165" s="1" t="s">
        <v>170</v>
      </c>
      <c r="C5165" s="1" t="s">
        <v>122</v>
      </c>
      <c r="D5165" s="1" t="s">
        <v>8550</v>
      </c>
      <c r="E5165" s="1" t="s">
        <v>285</v>
      </c>
      <c r="F5165" s="1" t="s">
        <v>8551</v>
      </c>
      <c r="G5165" s="1" t="s">
        <v>49</v>
      </c>
      <c r="H5165" s="1" t="s">
        <v>16</v>
      </c>
      <c r="I5165" s="1" t="str">
        <f ca="1">IFERROR(__xludf.DUMMYFUNCTION("GOOGLETRANSLATE(F5165, ""auto"", ""en"")
"),"The plastic earpieces are so poorly made that after 20 minutes they begin to “cut” the ears.")</f>
        <v>The plastic earpieces are so poorly made that after 20 minutes they begin to “cut” the ears.</v>
      </c>
    </row>
    <row r="5166" spans="1:9" x14ac:dyDescent="0.3">
      <c r="A5166" s="1" t="s">
        <v>61</v>
      </c>
      <c r="B5166" s="1" t="s">
        <v>1126</v>
      </c>
      <c r="C5166" s="1" t="s">
        <v>246</v>
      </c>
      <c r="D5166" s="1" t="s">
        <v>565</v>
      </c>
      <c r="E5166" s="1" t="s">
        <v>8552</v>
      </c>
      <c r="F5166" s="1" t="s">
        <v>8553</v>
      </c>
      <c r="G5166" s="1" t="s">
        <v>36</v>
      </c>
      <c r="H5166" s="1" t="s">
        <v>29</v>
      </c>
      <c r="I5166" s="1" t="str">
        <f ca="1">IFERROR(__xludf.DUMMYFUNCTION("GOOGLETRANSLATE(F5166, ""auto"", ""en"")
"),"In April 2012, I bought myself a bread machine. I immediately bought a Tefal BC5060B1 scale. At first my husband grumbled that they were expensive, but when I started using them, he understood. that I got excited. Libra is just lovely. This is my first el"&amp;"ectronic scale. I can't imagine how I managed without them before. I use them to weigh everything I need, not just flour when I bake bread. I am very pleased with my choice. Weigh accurately. The battery has not been replaced since the date of purchase (i"&amp;"t will be a year in April).")</f>
        <v>In April 2012, I bought myself a bread machine. I immediately bought a Tefal BC5060B1 scale. At first my husband grumbled that they were expensive, but when I started using them, he understood. that I got excited. Libra is just lovely. This is my first electronic scale. I can't imagine how I managed without them before. I use them to weigh everything I need, not just flour when I bake bread. I am very pleased with my choice. Weigh accurately. The battery has not been replaced since the date of purchase (it will be a year in April).</v>
      </c>
    </row>
    <row r="5167" spans="1:9" x14ac:dyDescent="0.3">
      <c r="A5167" s="1" t="s">
        <v>61</v>
      </c>
      <c r="B5167" s="1" t="s">
        <v>224</v>
      </c>
      <c r="C5167" s="1" t="s">
        <v>74</v>
      </c>
      <c r="D5167" s="1" t="s">
        <v>742</v>
      </c>
      <c r="E5167" s="1" t="s">
        <v>1773</v>
      </c>
      <c r="F5167" s="1" t="s">
        <v>8554</v>
      </c>
      <c r="G5167" s="1" t="s">
        <v>36</v>
      </c>
      <c r="H5167" s="1" t="s">
        <v>29</v>
      </c>
      <c r="I5167" s="1" t="str">
        <f ca="1">IFERROR(__xludf.DUMMYFUNCTION("GOOGLETRANSLATE(F5167, ""auto"", ""en"")
"),"Excellent juicer, the consultant was afraid that he was squeezing poorly, he didn’t listen to him and did the right thing! From 2 apples (medium size, fits without cutting) a glass of juice!")</f>
        <v>Excellent juicer, the consultant was afraid that he was squeezing poorly, he didn’t listen to him and did the right thing! From 2 apples (medium size, fits without cutting) a glass of juice!</v>
      </c>
    </row>
    <row r="5168" spans="1:9" x14ac:dyDescent="0.3">
      <c r="A5168" s="1" t="s">
        <v>624</v>
      </c>
      <c r="B5168" s="1" t="s">
        <v>625</v>
      </c>
      <c r="C5168" s="1" t="s">
        <v>479</v>
      </c>
      <c r="D5168" s="1" t="s">
        <v>8555</v>
      </c>
      <c r="E5168" s="1" t="s">
        <v>2131</v>
      </c>
      <c r="F5168" s="1" t="s">
        <v>8556</v>
      </c>
      <c r="G5168" s="1" t="s">
        <v>36</v>
      </c>
      <c r="H5168" s="1" t="s">
        <v>29</v>
      </c>
      <c r="I5168" s="1" t="str">
        <f ca="1">IFERROR(__xludf.DUMMYFUNCTION("GOOGLETRANSLATE(F5168, ""auto"", ""en"")
"),"Are you a fan of Westerns? Do you like the GTA series, or at least the latest of its representatives? Don't you have the opportunity to travel back a hundred years, to the US-Mexico border, buy a revolver and become a free hunter for fortune? Then congrat"&amp;"ulations - you should like this game!  From its engine ancestor (GTA4), the game received a beautiful shell and a big world. From its parents at Rockstar San Diego, the game got a bunch of different personalities (that's right, not NPCs), a lot of enterta"&amp;"ining (in some way) situations, and a truly living world!  Oh yes, the game also has good multiplayer, but this is so, by the way, because even simple horse rides across the sandy Mexican plains are a pleasure for a true lover of those places and times.")</f>
        <v>Are you a fan of Westerns? Do you like the GTA series, or at least the latest of its representatives? Don't you have the opportunity to travel back a hundred years, to the US-Mexico border, buy a revolver and become a free hunter for fortune? Then congratulations - you should like this game!  From its engine ancestor (GTA4), the game received a beautiful shell and a big world. From its parents at Rockstar San Diego, the game got a bunch of different personalities (that's right, not NPCs), a lot of entertaining (in some way) situations, and a truly living world!  Oh yes, the game also has good multiplayer, but this is so, by the way, because even simple horse rides across the sandy Mexican plains are a pleasure for a true lover of those places and times.</v>
      </c>
    </row>
    <row r="5169" spans="1:9" x14ac:dyDescent="0.3">
      <c r="A5169" s="1" t="s">
        <v>477</v>
      </c>
      <c r="B5169" s="1" t="s">
        <v>478</v>
      </c>
      <c r="C5169" s="1" t="s">
        <v>479</v>
      </c>
      <c r="D5169" s="1" t="s">
        <v>2923</v>
      </c>
      <c r="E5169" s="1" t="s">
        <v>1275</v>
      </c>
      <c r="F5169" s="1" t="s">
        <v>8557</v>
      </c>
      <c r="G5169" s="1" t="s">
        <v>36</v>
      </c>
      <c r="H5169" s="1" t="s">
        <v>29</v>
      </c>
      <c r="I5169" s="1" t="str">
        <f ca="1">IFERROR(__xludf.DUMMYFUNCTION("GOOGLETRANSLATE(F5169, ""auto"", ""en"")
"),"The best action game in PC history.")</f>
        <v>The best action game in PC history.</v>
      </c>
    </row>
    <row r="5170" spans="1:9" x14ac:dyDescent="0.3">
      <c r="A5170" s="1" t="s">
        <v>37</v>
      </c>
      <c r="B5170" s="1" t="s">
        <v>1829</v>
      </c>
      <c r="C5170" s="1" t="s">
        <v>151</v>
      </c>
      <c r="D5170" s="1" t="s">
        <v>20</v>
      </c>
      <c r="E5170" s="1" t="s">
        <v>8558</v>
      </c>
      <c r="F5170" s="1" t="s">
        <v>8559</v>
      </c>
      <c r="G5170" s="1" t="s">
        <v>36</v>
      </c>
      <c r="H5170" s="1" t="s">
        <v>29</v>
      </c>
      <c r="I5170" s="1" t="str">
        <f ca="1">IFERROR(__xludf.DUMMYFUNCTION("GOOGLETRANSLATE(F5170, ""auto"", ""en"")
"),"It has temperature sensors and an infrared port (you can always turn off the TV (any TV at that)), I also really liked his gestures, for example, if someone calls, simply by waving his hand or saying one word, he accepts the call and puts it on speakerpho"&amp;"ne. It shows the picture on the screen very high quality, very high performance, it is so fast that not a single application lags for me!!!")</f>
        <v>It has temperature sensors and an infrared port (you can always turn off the TV (any TV at that)), I also really liked his gestures, for example, if someone calls, simply by waving his hand or saying one word, he accepts the call and puts it on speakerphone. It shows the picture on the screen very high quality, very high performance, it is so fast that not a single application lags for me!!!</v>
      </c>
    </row>
    <row r="5171" spans="1:9" x14ac:dyDescent="0.3">
      <c r="A5171" s="1" t="s">
        <v>61</v>
      </c>
      <c r="B5171" s="1" t="s">
        <v>73</v>
      </c>
      <c r="C5171" s="1" t="s">
        <v>146</v>
      </c>
      <c r="D5171" s="1" t="s">
        <v>152</v>
      </c>
      <c r="E5171" s="1" t="s">
        <v>3861</v>
      </c>
      <c r="F5171" s="1" t="s">
        <v>8560</v>
      </c>
      <c r="G5171" s="1" t="s">
        <v>36</v>
      </c>
      <c r="H5171" s="1" t="s">
        <v>29</v>
      </c>
      <c r="I5171" s="1" t="str">
        <f ca="1">IFERROR(__xludf.DUMMYFUNCTION("GOOGLETRANSLATE(F5171, ""auto"", ""en"")
"),"Gorgeous meat grinder! All connections are made of metal. Any meat, even with veins, turns out with a bang. Thanks to the seller for the advice.")</f>
        <v>Gorgeous meat grinder! All connections are made of metal. Any meat, even with veins, turns out with a bang. Thanks to the seller for the advice.</v>
      </c>
    </row>
    <row r="5172" spans="1:9" x14ac:dyDescent="0.3">
      <c r="A5172" s="1" t="s">
        <v>519</v>
      </c>
      <c r="B5172" s="1" t="s">
        <v>3291</v>
      </c>
      <c r="C5172" s="1" t="s">
        <v>246</v>
      </c>
      <c r="D5172" s="1" t="s">
        <v>8561</v>
      </c>
      <c r="E5172" s="1" t="s">
        <v>26</v>
      </c>
      <c r="F5172" s="1" t="s">
        <v>8562</v>
      </c>
      <c r="G5172" s="1" t="s">
        <v>49</v>
      </c>
      <c r="H5172" s="1" t="s">
        <v>16</v>
      </c>
      <c r="I5172" s="1" t="str">
        <f ca="1">IFERROR(__xludf.DUMMYFUNCTION("GOOGLETRANSLATE(F5172, ""auto"", ""en"")
"),"After 6 months, the non-stick coating began to peel off (on glass ceramics)")</f>
        <v>After 6 months, the non-stick coating began to peel off (on glass ceramics)</v>
      </c>
    </row>
    <row r="5173" spans="1:9" x14ac:dyDescent="0.3">
      <c r="A5173" s="1" t="s">
        <v>120</v>
      </c>
      <c r="B5173" s="1" t="s">
        <v>196</v>
      </c>
      <c r="C5173" s="1" t="s">
        <v>658</v>
      </c>
      <c r="D5173" s="1" t="s">
        <v>139</v>
      </c>
      <c r="E5173" s="1" t="s">
        <v>800</v>
      </c>
      <c r="F5173" s="1" t="s">
        <v>8563</v>
      </c>
      <c r="G5173" s="1" t="s">
        <v>36</v>
      </c>
      <c r="H5173" s="1" t="s">
        <v>29</v>
      </c>
      <c r="I5173" s="1" t="str">
        <f ca="1">IFERROR(__xludf.DUMMYFUNCTION("GOOGLETRANSLATE(F5173, ""auto"", ""en"")
"),"Excellent TV, I play on PS3 - the picture is great, there are many selections of display modes: games, movies, etc. etc. but I use them more often.")</f>
        <v>Excellent TV, I play on PS3 - the picture is great, there are many selections of display modes: games, movies, etc. etc. but I use them more often.</v>
      </c>
    </row>
    <row r="5174" spans="1:9" x14ac:dyDescent="0.3">
      <c r="A5174" s="1" t="s">
        <v>43</v>
      </c>
      <c r="B5174" s="1" t="s">
        <v>303</v>
      </c>
      <c r="C5174" s="1" t="s">
        <v>665</v>
      </c>
      <c r="D5174" s="1" t="s">
        <v>592</v>
      </c>
      <c r="E5174" s="1" t="s">
        <v>769</v>
      </c>
      <c r="F5174" s="1" t="s">
        <v>8564</v>
      </c>
      <c r="G5174" s="1" t="s">
        <v>49</v>
      </c>
      <c r="H5174" s="1" t="s">
        <v>16</v>
      </c>
      <c r="I5174" s="1" t="str">
        <f ca="1">IFERROR(__xludf.DUMMYFUNCTION("GOOGLETRANSLATE(F5174, ""auto"", ""en"")
"),"It worked for about a year and stopped heating the water, this is the second water heater of this brand, you will have to buy another one.")</f>
        <v>It worked for about a year and stopped heating the water, this is the second water heater of this brand, you will have to buy another one.</v>
      </c>
    </row>
    <row r="5175" spans="1:9" x14ac:dyDescent="0.3">
      <c r="A5175" s="1" t="s">
        <v>169</v>
      </c>
      <c r="B5175" s="1" t="s">
        <v>170</v>
      </c>
      <c r="C5175" s="1" t="s">
        <v>97</v>
      </c>
      <c r="D5175" s="1" t="s">
        <v>8565</v>
      </c>
      <c r="E5175" s="1" t="s">
        <v>2733</v>
      </c>
      <c r="F5175" s="1" t="s">
        <v>8566</v>
      </c>
      <c r="G5175" s="1" t="s">
        <v>36</v>
      </c>
      <c r="H5175" s="1" t="s">
        <v>29</v>
      </c>
      <c r="I5175" s="1" t="str">
        <f ca="1">IFERROR(__xludf.DUMMYFUNCTION("GOOGLETRANSLATE(F5175, ""auto"", ""en"")
"),"Good sound quality. They honestly work out their frequency characteristics. The lows are clear without any wheezing from overload. The tops are at a high level. Very pleased. Thanks to the consultants of the Balashikha store.")</f>
        <v>Good sound quality. They honestly work out their frequency characteristics. The lows are clear without any wheezing from overload. The tops are at a high level. Very pleased. Thanks to the consultants of the Balashikha store.</v>
      </c>
    </row>
    <row r="5176" spans="1:9" x14ac:dyDescent="0.3">
      <c r="A5176" s="1" t="s">
        <v>61</v>
      </c>
      <c r="B5176" s="1" t="s">
        <v>318</v>
      </c>
      <c r="C5176" s="1" t="s">
        <v>85</v>
      </c>
      <c r="D5176" s="1" t="s">
        <v>8567</v>
      </c>
      <c r="E5176" s="1" t="s">
        <v>1446</v>
      </c>
      <c r="F5176" s="1" t="s">
        <v>8568</v>
      </c>
      <c r="G5176" s="1" t="s">
        <v>36</v>
      </c>
      <c r="H5176" s="1" t="s">
        <v>29</v>
      </c>
      <c r="I5176" s="1" t="str">
        <f ca="1">IFERROR(__xludf.DUMMYFUNCTION("GOOGLETRANSLATE(F5176, ""auto"", ""en"")
"),"People, I brought the exact same miracle kettle only in black color 9 years ago from Germany but with the name Gastroback, when I saw it with the name Bork I was surprised and then I started scouring the Internet and found this: It turns out that the Gast"&amp;"roback company tried to conquer the Russian market back in the 90s, but with that name it didn’t take root in Russia, and now we see their products with the name Bork, what can I say about the kettle: it’s been working for 9 years.  True, the basket was t"&amp;"hrown out about 3 years ago, scale forms only on the elevator, well, on this stick on which the basket rides, the kettle is excellent.")</f>
        <v>People, I brought the exact same miracle kettle only in black color 9 years ago from Germany but with the name Gastroback, when I saw it with the name Bork I was surprised and then I started scouring the Internet and found this: It turns out that the Gastroback company tried to conquer the Russian market back in the 90s, but with that name it didn’t take root in Russia, and now we see their products with the name Bork, what can I say about the kettle: it’s been working for 9 years.  True, the basket was thrown out about 3 years ago, scale forms only on the elevator, well, on this stick on which the basket rides, the kettle is excellent.</v>
      </c>
    </row>
    <row r="5177" spans="1:9" x14ac:dyDescent="0.3">
      <c r="A5177" s="1" t="s">
        <v>67</v>
      </c>
      <c r="B5177" s="1" t="s">
        <v>68</v>
      </c>
      <c r="C5177" s="1" t="s">
        <v>101</v>
      </c>
      <c r="D5177" s="1" t="s">
        <v>46</v>
      </c>
      <c r="E5177" s="1" t="s">
        <v>8569</v>
      </c>
      <c r="F5177" s="1" t="s">
        <v>8570</v>
      </c>
      <c r="G5177" s="1" t="s">
        <v>36</v>
      </c>
      <c r="H5177" s="1" t="s">
        <v>29</v>
      </c>
      <c r="I5177" s="1" t="str">
        <f ca="1">IFERROR(__xludf.DUMMYFUNCTION("GOOGLETRANSLATE(F5177, ""auto"", ""en"")
"),"Just right for the roads!")</f>
        <v>Just right for the roads!</v>
      </c>
    </row>
    <row r="5178" spans="1:9" x14ac:dyDescent="0.3">
      <c r="A5178" s="1" t="s">
        <v>61</v>
      </c>
      <c r="B5178" s="1" t="s">
        <v>1727</v>
      </c>
      <c r="C5178" s="1" t="s">
        <v>122</v>
      </c>
      <c r="D5178" s="1" t="s">
        <v>1483</v>
      </c>
      <c r="E5178" s="1" t="s">
        <v>3073</v>
      </c>
      <c r="F5178" s="1" t="s">
        <v>8571</v>
      </c>
      <c r="G5178" s="1" t="s">
        <v>36</v>
      </c>
      <c r="H5178" s="1" t="s">
        <v>29</v>
      </c>
      <c r="I5178" s="1" t="str">
        <f ca="1">IFERROR(__xludf.DUMMYFUNCTION("GOOGLETRANSLATE(F5178, ""auto"", ""en"")
"),"I've been using this thing for 1 year now. In principle, everything is super-stewed potatoes, rice with meat... The only thing I don’t like is the smell after these dishes - it hardly dissipates. You want to make charlotte, but you open the lid and feel t"&amp;"hat the smell has not gone away. The pie is delicious (and it smells like pie), but you can still smell from the pan...")</f>
        <v>I've been using this thing for 1 year now. In principle, everything is super-stewed potatoes, rice with meat... The only thing I don’t like is the smell after these dishes - it hardly dissipates. You want to make charlotte, but you open the lid and feel that the smell has not gone away. The pie is delicious (and it smells like pie), but you can still smell from the pan...</v>
      </c>
    </row>
    <row r="5179" spans="1:9" x14ac:dyDescent="0.3">
      <c r="A5179" s="1" t="s">
        <v>17</v>
      </c>
      <c r="B5179" s="1" t="s">
        <v>18</v>
      </c>
      <c r="C5179" s="1" t="s">
        <v>19</v>
      </c>
      <c r="D5179" s="1" t="s">
        <v>1055</v>
      </c>
      <c r="E5179" s="1" t="s">
        <v>8423</v>
      </c>
      <c r="F5179" s="1" t="s">
        <v>8572</v>
      </c>
      <c r="G5179" s="1" t="s">
        <v>28</v>
      </c>
      <c r="H5179" s="1" t="s">
        <v>29</v>
      </c>
      <c r="I5179" s="1" t="str">
        <f ca="1">IFERROR(__xludf.DUMMYFUNCTION("GOOGLETRANSLATE(F5179, ""auto"", ""en"")
"),"We bought the machine 2 months ago. I rate the quality of washing as 5, but there were problems with the powder - it doesn’t wash off completely, it lies in a lump, at first I opened it and put it away during the washing process so that when rinsing it wo"&amp;"uldn’t get into the drum. Then I tried liquid powder, but I had to add an additional rinse. I poured a teaspoon, but with each subsequent rinse the foam became more and more more. I got the impression that the powder got stuck somewhere on the way to the "&amp;"drum and came out only when rinsing. I suffered like this for a week, after washing I rinsed things by hand and at the same time soap stains remained on the surface of the water. In the end I found this solution: I pour the washing gel into the drum, or r"&amp;"ather on these plastic things inside the drum, they do not allow it to flow inside. The result is that everything is rinsed perfectly, I checked it a couple of times basin. But otherwise I like the machine, although I don’t use all the modes - some modes "&amp;"last 3 hours, during which time it seems to me that things will very quickly become unusable. I wash on a quick wash (40-50 minutes) and the delicate mode. Eco wash is generally a useless mode for me - what can be washed in cold water?")</f>
        <v>We bought the machine 2 months ago. I rate the quality of washing as 5, but there were problems with the powder - it doesn’t wash off completely, it lies in a lump, at first I opened it and put it away during the washing process so that when rinsing it wouldn’t get into the drum. Then I tried liquid powder, but I had to add an additional rinse. I poured a teaspoon, but with each subsequent rinse the foam became more and more more. I got the impression that the powder got stuck somewhere on the way to the drum and came out only when rinsing. I suffered like this for a week, after washing I rinsed things by hand and at the same time soap stains remained on the surface of the water. In the end I found this solution: I pour the washing gel into the drum, or rather on these plastic things inside the drum, they do not allow it to flow inside. The result is that everything is rinsed perfectly, I checked it a couple of times basin. But otherwise I like the machine, although I don’t use all the modes - some modes last 3 hours, during which time it seems to me that things will very quickly become unusable. I wash on a quick wash (40-50 minutes) and the delicate mode. Eco wash is generally a useless mode for me - what can be washed in cold water?</v>
      </c>
    </row>
    <row r="5180" spans="1:9" x14ac:dyDescent="0.3">
      <c r="A5180" s="1" t="s">
        <v>9</v>
      </c>
      <c r="B5180" s="1" t="s">
        <v>23</v>
      </c>
      <c r="C5180" s="1" t="s">
        <v>134</v>
      </c>
      <c r="D5180" s="1" t="s">
        <v>2296</v>
      </c>
      <c r="E5180" s="1" t="s">
        <v>8573</v>
      </c>
      <c r="F5180" s="1" t="s">
        <v>8574</v>
      </c>
      <c r="G5180" s="1" t="s">
        <v>1580</v>
      </c>
      <c r="H5180" s="1" t="s">
        <v>29</v>
      </c>
      <c r="I5180" s="1" t="str">
        <f ca="1">IFERROR(__xludf.DUMMYFUNCTION("GOOGLETRANSLATE(F5180, ""auto"", ""en"")
"),"For the price it doesn't wash badly, ")</f>
        <v xml:space="preserve">For the price it doesn't wash badly, </v>
      </c>
    </row>
    <row r="5181" spans="1:9" x14ac:dyDescent="0.3">
      <c r="A5181" s="1" t="s">
        <v>30</v>
      </c>
      <c r="B5181" s="1" t="s">
        <v>50</v>
      </c>
      <c r="C5181" s="1" t="s">
        <v>32</v>
      </c>
      <c r="D5181" s="1" t="s">
        <v>8575</v>
      </c>
      <c r="E5181" s="1" t="s">
        <v>820</v>
      </c>
      <c r="F5181" s="1" t="s">
        <v>8576</v>
      </c>
      <c r="G5181" s="1" t="s">
        <v>36</v>
      </c>
      <c r="H5181" s="1" t="s">
        <v>29</v>
      </c>
      <c r="I5181" s="1" t="str">
        <f ca="1">IFERROR(__xludf.DUMMYFUNCTION("GOOGLETRANSLATE(F5181, ""auto"", ""en"")
"),"The car is gorgeous, you won’t regret it, in his price he included everything he could and even more")</f>
        <v>The car is gorgeous, you won’t regret it, in his price he included everything he could and even more</v>
      </c>
    </row>
    <row r="5182" spans="1:9" x14ac:dyDescent="0.3">
      <c r="A5182" s="1" t="s">
        <v>37</v>
      </c>
      <c r="B5182" s="1" t="s">
        <v>38</v>
      </c>
      <c r="C5182" s="1" t="s">
        <v>163</v>
      </c>
      <c r="D5182" s="1" t="s">
        <v>39</v>
      </c>
      <c r="E5182" s="1" t="s">
        <v>3567</v>
      </c>
      <c r="F5182" s="1" t="s">
        <v>8577</v>
      </c>
      <c r="G5182" s="1" t="s">
        <v>49</v>
      </c>
      <c r="H5182" s="1" t="s">
        <v>16</v>
      </c>
      <c r="I5182" s="1" t="str">
        <f ca="1">IFERROR(__xludf.DUMMYFUNCTION("GOOGLETRANSLATE(F5182, ""auto"", ""en"")
"),"The only negative of this phone is the unreliability of the SIM card connector, i.e. If you inserted a SIM card for the first time, it is better not to remove it, because the connector is thin and when replacing a SIM card with a slightly thicker one, the"&amp;" contacts on the SIM card receiver of the phone can break (and usually break), after which naturally the phone does not see the SIM card(")</f>
        <v>The only negative of this phone is the unreliability of the SIM card connector, i.e. If you inserted a SIM card for the first time, it is better not to remove it, because the connector is thin and when replacing a SIM card with a slightly thicker one, the contacts on the SIM card receiver of the phone can break (and usually break), after which naturally the phone does not see the SIM card(</v>
      </c>
    </row>
    <row r="5183" spans="1:9" x14ac:dyDescent="0.3">
      <c r="A5183" s="1" t="s">
        <v>9</v>
      </c>
      <c r="B5183" s="1" t="s">
        <v>4242</v>
      </c>
      <c r="C5183" s="1" t="s">
        <v>240</v>
      </c>
      <c r="D5183" s="1" t="s">
        <v>8578</v>
      </c>
      <c r="E5183" s="1" t="s">
        <v>2459</v>
      </c>
      <c r="F5183" s="1" t="s">
        <v>8579</v>
      </c>
      <c r="G5183" s="1" t="s">
        <v>36</v>
      </c>
      <c r="H5183" s="1" t="s">
        <v>29</v>
      </c>
      <c r="I5183" s="1" t="str">
        <f ca="1">IFERROR(__xludf.DUMMYFUNCTION("GOOGLETRANSLATE(F5183, ""auto"", ""en"")
"),"We decided to renovate the kitchen and make sure that all such appliances were built-in, including a refrigerator and a separate freezer. We bought everything from liebherr, satisfied with the price + volume + super freezing mode + easy electronic control"&amp;". When the power is turned off, you also don’t have to worry about food, the freezer works for another + 32 hours. Inside there are 4 convenient drawers that fit fruits, vegetables, fish, and meat, nothing gets spoiled. ")</f>
        <v xml:space="preserve">We decided to renovate the kitchen and make sure that all such appliances were built-in, including a refrigerator and a separate freezer. We bought everything from liebherr, satisfied with the price + volume + super freezing mode + easy electronic control. When the power is turned off, you also don’t have to worry about food, the freezer works for another + 32 hours. Inside there are 4 convenient drawers that fit fruits, vegetables, fish, and meat, nothing gets spoiled. </v>
      </c>
    </row>
    <row r="5184" spans="1:9" x14ac:dyDescent="0.3">
      <c r="A5184" s="1" t="s">
        <v>89</v>
      </c>
      <c r="B5184" s="1" t="s">
        <v>231</v>
      </c>
      <c r="C5184" s="1" t="s">
        <v>185</v>
      </c>
      <c r="D5184" s="1" t="s">
        <v>139</v>
      </c>
      <c r="E5184" s="1" t="s">
        <v>1408</v>
      </c>
      <c r="F5184" s="1" t="s">
        <v>8580</v>
      </c>
      <c r="G5184" s="1" t="s">
        <v>36</v>
      </c>
      <c r="H5184" s="1" t="s">
        <v>29</v>
      </c>
      <c r="I5184" s="1" t="str">
        <f ca="1">IFERROR(__xludf.DUMMYFUNCTION("GOOGLETRANSLATE(F5184, ""auto"", ""en"")
"),"Ease of maintenance and ease of use.")</f>
        <v>Ease of maintenance and ease of use.</v>
      </c>
    </row>
    <row r="5185" spans="1:9" x14ac:dyDescent="0.3">
      <c r="A5185" s="1" t="s">
        <v>61</v>
      </c>
      <c r="B5185" s="1" t="s">
        <v>145</v>
      </c>
      <c r="C5185" s="1" t="s">
        <v>63</v>
      </c>
      <c r="D5185" s="1" t="s">
        <v>1506</v>
      </c>
      <c r="E5185" s="1" t="s">
        <v>6007</v>
      </c>
      <c r="F5185" s="1" t="s">
        <v>8581</v>
      </c>
      <c r="G5185" s="1" t="s">
        <v>36</v>
      </c>
      <c r="H5185" s="1" t="s">
        <v>29</v>
      </c>
      <c r="I5185" s="1" t="str">
        <f ca="1">IFERROR(__xludf.DUMMYFUNCTION("GOOGLETRANSLATE(F5185, ""auto"", ""en"")
"),"I have been using this chopper for a long time, it works well, chops onions and other vegetables well, and you can mix the ingredients for minced meat. If you need to beat a lot of liquid, then it is better to take a model with a larger bowl.")</f>
        <v>I have been using this chopper for a long time, it works well, chops onions and other vegetables well, and you can mix the ingredients for minced meat. If you need to beat a lot of liquid, then it is better to take a model with a larger bowl.</v>
      </c>
    </row>
    <row r="5186" spans="1:9" x14ac:dyDescent="0.3">
      <c r="A5186" s="1" t="s">
        <v>211</v>
      </c>
      <c r="B5186" s="1" t="s">
        <v>384</v>
      </c>
      <c r="C5186" s="1" t="s">
        <v>246</v>
      </c>
      <c r="D5186" s="1" t="s">
        <v>483</v>
      </c>
      <c r="E5186" s="1" t="s">
        <v>1332</v>
      </c>
      <c r="F5186" s="1" t="s">
        <v>8582</v>
      </c>
      <c r="G5186" s="1" t="s">
        <v>36</v>
      </c>
      <c r="H5186" s="1" t="s">
        <v>29</v>
      </c>
      <c r="I5186" s="1" t="str">
        <f ca="1">IFERROR(__xludf.DUMMYFUNCTION("GOOGLETRANSLATE(F5186, ""auto"", ""en"")
"),"Magnificent scales.   Thanks to the presence of a support platform, the exact weight is always shown. Activated by a light touch on the platform. Everything about them makes me happy.   Before this I bought a Vitek VT-1973 scale. On linoleum there was an "&amp;"error of up to 10 kg; they need a very hard surface. And in general they were annoying with their work. I went and exchanged them for these.   Magnificent scales.")</f>
        <v>Magnificent scales.   Thanks to the presence of a support platform, the exact weight is always shown. Activated by a light touch on the platform. Everything about them makes me happy.   Before this I bought a Vitek VT-1973 scale. On linoleum there was an error of up to 10 kg; they need a very hard surface. And in general they were annoying with their work. I went and exchanged them for these.   Magnificent scales.</v>
      </c>
    </row>
    <row r="5187" spans="1:9" x14ac:dyDescent="0.3">
      <c r="A5187" s="1" t="s">
        <v>206</v>
      </c>
      <c r="B5187" s="1" t="s">
        <v>1349</v>
      </c>
      <c r="C5187" s="1" t="s">
        <v>262</v>
      </c>
      <c r="D5187" s="1" t="s">
        <v>280</v>
      </c>
      <c r="E5187" s="1" t="s">
        <v>800</v>
      </c>
      <c r="F5187" s="1" t="s">
        <v>8583</v>
      </c>
      <c r="G5187" s="1" t="s">
        <v>28</v>
      </c>
      <c r="H5187" s="1" t="s">
        <v>29</v>
      </c>
      <c r="I5187" s="1" t="str">
        <f ca="1">IFERROR(__xludf.DUMMYFUNCTION("GOOGLETRANSLATE(F5187, ""auto"", ""en"")
"),"I’ve been using it for a month and a half and, in principle, I’m happy... everything works except the remote control (too lazy to go change it, I bought it in another city), and the microphone is frankly weak... and it’s a COOL radio, the sound produces a"&amp;"wesome)) I recommend it to everyone!!!")</f>
        <v>I’ve been using it for a month and a half and, in principle, I’m happy... everything works except the remote control (too lazy to go change it, I bought it in another city), and the microphone is frankly weak... and it’s a COOL radio, the sound produces awesome)) I recommend it to everyone!!!</v>
      </c>
    </row>
    <row r="5188" spans="1:9" x14ac:dyDescent="0.3">
      <c r="A5188" s="1" t="s">
        <v>206</v>
      </c>
      <c r="B5188" s="1" t="s">
        <v>261</v>
      </c>
      <c r="C5188" s="1" t="s">
        <v>262</v>
      </c>
      <c r="D5188" s="1" t="s">
        <v>305</v>
      </c>
      <c r="E5188" s="1" t="s">
        <v>8584</v>
      </c>
      <c r="F5188" s="1" t="s">
        <v>8585</v>
      </c>
      <c r="G5188" s="1" t="s">
        <v>36</v>
      </c>
      <c r="H5188" s="1" t="s">
        <v>29</v>
      </c>
      <c r="I5188" s="1" t="str">
        <f ca="1">IFERROR(__xludf.DUMMYFUNCTION("GOOGLETRANSLATE(F5188, ""auto"", ""en"")
"),"Thing! My headlights stopped flashing under the bass! The sub stopped choking at high volume! And it seems that he began to play even more powerfully! I'm very pleased with the purchase!")</f>
        <v>Thing! My headlights stopped flashing under the bass! The sub stopped choking at high volume! And it seems that he began to play even more powerfully! I'm very pleased with the purchase!</v>
      </c>
    </row>
    <row r="5189" spans="1:9" x14ac:dyDescent="0.3">
      <c r="A5189" s="1" t="s">
        <v>37</v>
      </c>
      <c r="B5189" s="1" t="s">
        <v>38</v>
      </c>
      <c r="C5189" s="1" t="s">
        <v>163</v>
      </c>
      <c r="D5189" s="1" t="s">
        <v>8586</v>
      </c>
      <c r="E5189" s="1" t="s">
        <v>3080</v>
      </c>
      <c r="F5189" s="1" t="s">
        <v>8587</v>
      </c>
      <c r="G5189" s="1" t="s">
        <v>36</v>
      </c>
      <c r="H5189" s="1" t="s">
        <v>29</v>
      </c>
      <c r="I5189" s="1" t="str">
        <f ca="1">IFERROR(__xludf.DUMMYFUNCTION("GOOGLETRANSLATE(F5189, ""auto"", ""en"")
"),"cool phone bought for 3999 easily supports 8gb flash drive")</f>
        <v>cool phone bought for 3999 easily supports 8gb flash drive</v>
      </c>
    </row>
    <row r="5190" spans="1:9" x14ac:dyDescent="0.3">
      <c r="A5190" s="1" t="s">
        <v>61</v>
      </c>
      <c r="B5190" s="1" t="s">
        <v>318</v>
      </c>
      <c r="C5190" s="1" t="s">
        <v>246</v>
      </c>
      <c r="D5190" s="1" t="s">
        <v>247</v>
      </c>
      <c r="E5190" s="1" t="s">
        <v>469</v>
      </c>
      <c r="F5190" s="1" t="s">
        <v>8588</v>
      </c>
      <c r="G5190" s="1" t="s">
        <v>49</v>
      </c>
      <c r="H5190" s="1" t="s">
        <v>16</v>
      </c>
      <c r="I5190" s="1" t="str">
        <f ca="1">IFERROR(__xludf.DUMMYFUNCTION("GOOGLETRANSLATE(F5190, ""auto"", ""en"")
"),"It broke down very quickly ;(")</f>
        <v>It broke down very quickly ;(</v>
      </c>
    </row>
    <row r="5191" spans="1:9" x14ac:dyDescent="0.3">
      <c r="A5191" s="1" t="s">
        <v>89</v>
      </c>
      <c r="B5191" s="1" t="s">
        <v>231</v>
      </c>
      <c r="C5191" s="1" t="s">
        <v>185</v>
      </c>
      <c r="D5191" s="1" t="s">
        <v>33</v>
      </c>
      <c r="E5191" s="1" t="s">
        <v>6832</v>
      </c>
      <c r="F5191" s="1" t="s">
        <v>8589</v>
      </c>
      <c r="G5191" s="1" t="s">
        <v>36</v>
      </c>
      <c r="H5191" s="1" t="s">
        <v>29</v>
      </c>
      <c r="I5191" s="1" t="str">
        <f ca="1">IFERROR(__xludf.DUMMYFUNCTION("GOOGLETRANSLATE(F5191, ""auto"", ""en"")
"),"It’s an excellent model, I didn’t see any point in buying it more expensive, it brews coffee quickly and tasty, making cappuccino doesn’t cause any problems either. I recommend it to everyone!!!")</f>
        <v>It’s an excellent model, I didn’t see any point in buying it more expensive, it brews coffee quickly and tasty, making cappuccino doesn’t cause any problems either. I recommend it to everyone!!!</v>
      </c>
    </row>
    <row r="5192" spans="1:9" x14ac:dyDescent="0.3">
      <c r="A5192" s="1" t="s">
        <v>61</v>
      </c>
      <c r="B5192" s="1" t="s">
        <v>318</v>
      </c>
      <c r="C5192" s="1" t="s">
        <v>85</v>
      </c>
      <c r="D5192" s="1" t="s">
        <v>102</v>
      </c>
      <c r="E5192" s="1" t="s">
        <v>1849</v>
      </c>
      <c r="F5192" s="1" t="s">
        <v>8590</v>
      </c>
      <c r="G5192" s="1" t="s">
        <v>49</v>
      </c>
      <c r="H5192" s="1" t="s">
        <v>16</v>
      </c>
      <c r="I5192" s="1" t="str">
        <f ca="1">IFERROR(__xludf.DUMMYFUNCTION("GOOGLETRANSLATE(F5192, ""auto"", ""en"")
"),"Pros: - looks beautiful Cons - defective We bought it and decided to check it in the service area without leaving the store - it turned out that the lid opens after 3-4 attempts, when you press the button with force, if you don’t press hard, it doesn’t op"&amp;"en at all - clicks at idle and that’s it, we returned it.")</f>
        <v>Pros: - looks beautiful Cons - defective We bought it and decided to check it in the service area without leaving the store - it turned out that the lid opens after 3-4 attempts, when you press the button with force, if you don’t press hard, it doesn’t open at all - clicks at idle and that’s it, we returned it.</v>
      </c>
    </row>
    <row r="5193" spans="1:9" x14ac:dyDescent="0.3">
      <c r="A5193" s="1" t="s">
        <v>61</v>
      </c>
      <c r="B5193" s="1" t="s">
        <v>318</v>
      </c>
      <c r="C5193" s="1" t="s">
        <v>63</v>
      </c>
      <c r="D5193" s="1" t="s">
        <v>305</v>
      </c>
      <c r="E5193" s="1" t="s">
        <v>8591</v>
      </c>
      <c r="F5193" s="1" t="s">
        <v>8592</v>
      </c>
      <c r="G5193" s="1" t="s">
        <v>15</v>
      </c>
      <c r="H5193" s="1" t="s">
        <v>16</v>
      </c>
      <c r="I5193" s="1" t="str">
        <f ca="1">IFERROR(__xludf.DUMMYFUNCTION("GOOGLETRANSLATE(F5193, ""auto"", ""en"")
"),"The kettle is very bad, leaked after a year. For the money the quality should be better. Disappointed")</f>
        <v>The kettle is very bad, leaked after a year. For the money the quality should be better. Disappointed</v>
      </c>
    </row>
    <row r="5194" spans="1:9" x14ac:dyDescent="0.3">
      <c r="A5194" s="1" t="s">
        <v>111</v>
      </c>
      <c r="B5194" s="1" t="s">
        <v>636</v>
      </c>
      <c r="C5194" s="1" t="s">
        <v>637</v>
      </c>
      <c r="D5194" s="1" t="s">
        <v>8593</v>
      </c>
      <c r="E5194" s="1" t="s">
        <v>1450</v>
      </c>
      <c r="F5194" s="1" t="s">
        <v>8594</v>
      </c>
      <c r="G5194" s="1" t="s">
        <v>36</v>
      </c>
      <c r="H5194" s="1" t="s">
        <v>29</v>
      </c>
      <c r="I5194" s="1" t="str">
        <f ca="1">IFERROR(__xludf.DUMMYFUNCTION("GOOGLETRANSLATE(F5194, ""auto"", ""en"")
"),"better not at 25, but at 25.4. And if you set the measurement in millibars, then it will be 0.75.")</f>
        <v>better not at 25, but at 25.4. And if you set the measurement in millibars, then it will be 0.75.</v>
      </c>
    </row>
    <row r="5195" spans="1:9" x14ac:dyDescent="0.3">
      <c r="A5195" s="1" t="s">
        <v>211</v>
      </c>
      <c r="B5195" s="1" t="s">
        <v>515</v>
      </c>
      <c r="C5195" s="1" t="s">
        <v>69</v>
      </c>
      <c r="D5195" s="1" t="s">
        <v>75</v>
      </c>
      <c r="E5195" s="1" t="s">
        <v>2733</v>
      </c>
      <c r="F5195" s="1" t="s">
        <v>8595</v>
      </c>
      <c r="G5195" s="1" t="s">
        <v>36</v>
      </c>
      <c r="H5195" s="1" t="s">
        <v>29</v>
      </c>
      <c r="I5195" s="1" t="str">
        <f ca="1">IFERROR(__xludf.DUMMYFUNCTION("GOOGLETRANSLATE(F5195, ""auto"", ""en"")
"),"Super thing!!! Expensive, but great!!! I love him!")</f>
        <v>Super thing!!! Expensive, but great!!! I love him!</v>
      </c>
    </row>
    <row r="5196" spans="1:9" x14ac:dyDescent="0.3">
      <c r="A5196" s="1" t="s">
        <v>120</v>
      </c>
      <c r="B5196" s="1" t="s">
        <v>196</v>
      </c>
      <c r="C5196" s="1" t="s">
        <v>69</v>
      </c>
      <c r="D5196" s="1" t="s">
        <v>139</v>
      </c>
      <c r="E5196" s="1" t="s">
        <v>2677</v>
      </c>
      <c r="F5196" s="1" t="s">
        <v>8596</v>
      </c>
      <c r="G5196" s="1" t="s">
        <v>28</v>
      </c>
      <c r="H5196" s="1" t="s">
        <v>29</v>
      </c>
      <c r="I5196" s="1" t="str">
        <f ca="1">IFERROR(__xludf.DUMMYFUNCTION("GOOGLETRANSLATE(F5196, ""auto"", ""en"")
"),"To the review ""dienperm"" - in fact, he should not read the video. The official website clearly states that it can only read JPEG images and MP3 music. I bought it myself the other day, I’ll definitely leave another review after a while.")</f>
        <v>To the review "dienperm" - in fact, he should not read the video. The official website clearly states that it can only read JPEG images and MP3 music. I bought it myself the other day, I’ll definitely leave another review after a while.</v>
      </c>
    </row>
    <row r="5197" spans="1:9" x14ac:dyDescent="0.3">
      <c r="A5197" s="1" t="s">
        <v>61</v>
      </c>
      <c r="B5197" s="1" t="s">
        <v>62</v>
      </c>
      <c r="C5197" s="1" t="s">
        <v>246</v>
      </c>
      <c r="D5197" s="1" t="s">
        <v>39</v>
      </c>
      <c r="E5197" s="1" t="s">
        <v>2231</v>
      </c>
      <c r="F5197" s="1" t="s">
        <v>8597</v>
      </c>
      <c r="G5197" s="1" t="s">
        <v>49</v>
      </c>
      <c r="H5197" s="1" t="s">
        <v>16</v>
      </c>
      <c r="I5197" s="1" t="str">
        <f ca="1">IFERROR(__xludf.DUMMYFUNCTION("GOOGLETRANSLATE(F5197, ""auto"", ""en"")
"),"The seller turned it on in the store, it seemed to work. My wife and I arrived home. No matter what they did, the combine would not turn on. I'll go get a refund.")</f>
        <v>The seller turned it on in the store, it seemed to work. My wife and I arrived home. No matter what they did, the combine would not turn on. I'll go get a refund.</v>
      </c>
    </row>
    <row r="5198" spans="1:9" x14ac:dyDescent="0.3">
      <c r="A5198" s="1" t="s">
        <v>37</v>
      </c>
      <c r="B5198" s="1" t="s">
        <v>536</v>
      </c>
      <c r="C5198" s="1" t="s">
        <v>537</v>
      </c>
      <c r="D5198" s="1" t="s">
        <v>152</v>
      </c>
      <c r="E5198" s="1" t="s">
        <v>491</v>
      </c>
      <c r="F5198" s="1" t="s">
        <v>8598</v>
      </c>
      <c r="G5198" s="1" t="s">
        <v>36</v>
      </c>
      <c r="H5198" s="1" t="s">
        <v>29</v>
      </c>
      <c r="I5198" s="1" t="str">
        <f ca="1">IFERROR(__xludf.DUMMYFUNCTION("GOOGLETRANSLATE(F5198, ""auto"", ""en"")
"),"I bought it two weeks ago... An excellent communicator, many functions, easy entry of letters even without a stylus. Everything is SUPER!!! The advantages cannot be described (a lot has been said in previous reviews, I confirm everything) One minus is the"&amp;" battery. But there is a way out: in standby mode, turn off Wi-Fi, GPS, 3G, i.e. when not in use... and to quickly enable these functions, use the created widgets on one of the desktops. This will help extend the battery life by 2-3 days!!!!")</f>
        <v>I bought it two weeks ago... An excellent communicator, many functions, easy entry of letters even without a stylus. Everything is SUPER!!! The advantages cannot be described (a lot has been said in previous reviews, I confirm everything) One minus is the battery. But there is a way out: in standby mode, turn off Wi-Fi, GPS, 3G, i.e. when not in use... and to quickly enable these functions, use the created widgets on one of the desktops. This will help extend the battery life by 2-3 days!!!!</v>
      </c>
    </row>
    <row r="5199" spans="1:9" x14ac:dyDescent="0.3">
      <c r="A5199" s="1" t="s">
        <v>120</v>
      </c>
      <c r="B5199" s="1" t="s">
        <v>126</v>
      </c>
      <c r="C5199" s="1" t="s">
        <v>122</v>
      </c>
      <c r="D5199" s="1" t="s">
        <v>5066</v>
      </c>
      <c r="E5199" s="1" t="s">
        <v>498</v>
      </c>
      <c r="F5199" s="1" t="s">
        <v>8599</v>
      </c>
      <c r="G5199" s="1" t="s">
        <v>36</v>
      </c>
      <c r="H5199" s="1" t="s">
        <v>29</v>
      </c>
      <c r="I5199" s="1" t="str">
        <f ca="1">IFERROR(__xludf.DUMMYFUNCTION("GOOGLETRANSLATE(F5199, ""auto"", ""en"")
"),"I needed a TV that could watch movies and show regular TV (not satellite) well - there was no goal or means to buy several TVs)) but the old one was broken, and of course I wanted a big screen. I noticed this thing: the higher the screen resolution, the w"&amp;"orse the regular channels show. Therefore, I took it with this resolution of 1024x768, and I am quite pleased with the quality when watching movies on DVD. I still can’t afford Blu-ray quality films, I can download the maximum from the network, but there "&amp;"are plenty of DVDs, and I like everything, there are no dissatisfied ones. In short, it satisfied me in all respects, which I’m actually happy about :)")</f>
        <v>I needed a TV that could watch movies and show regular TV (not satellite) well - there was no goal or means to buy several TVs)) but the old one was broken, and of course I wanted a big screen. I noticed this thing: the higher the screen resolution, the worse the regular channels show. Therefore, I took it with this resolution of 1024x768, and I am quite pleased with the quality when watching movies on DVD. I still can’t afford Blu-ray quality films, I can download the maximum from the network, but there are plenty of DVDs, and I like everything, there are no dissatisfied ones. In short, it satisfied me in all respects, which I’m actually happy about :)</v>
      </c>
    </row>
    <row r="5200" spans="1:9" x14ac:dyDescent="0.3">
      <c r="A5200" s="1" t="s">
        <v>211</v>
      </c>
      <c r="B5200" s="1" t="s">
        <v>212</v>
      </c>
      <c r="C5200" s="1" t="s">
        <v>294</v>
      </c>
      <c r="D5200" s="1" t="s">
        <v>142</v>
      </c>
      <c r="E5200" s="1" t="s">
        <v>1816</v>
      </c>
      <c r="F5200" s="1" t="s">
        <v>8600</v>
      </c>
      <c r="G5200" s="1" t="s">
        <v>36</v>
      </c>
      <c r="H5200" s="1" t="s">
        <v>29</v>
      </c>
      <c r="I5200" s="1" t="str">
        <f ca="1">IFERROR(__xludf.DUMMYFUNCTION("GOOGLETRANSLATE(F5200, ""auto"", ""en"")
"),"Girls, buying this curling iron will definitely not disappoint you!  How picky I am... The curling iron heats up quickly and well, curls SOFTLY, quickly, is easy to use, comfortable to hold, and the tip with a cord that moves will prevent tangling in the "&amp;"cord. What can we say about the surprise in the form of a bag-case in which you can store a curling iron... I haven’t seen such a good combination of price and quality for a long time.")</f>
        <v>Girls, buying this curling iron will definitely not disappoint you!  How picky I am... The curling iron heats up quickly and well, curls SOFTLY, quickly, is easy to use, comfortable to hold, and the tip with a cord that moves will prevent tangling in the cord. What can we say about the surprise in the form of a bag-case in which you can store a curling iron... I haven’t seen such a good combination of price and quality for a long time.</v>
      </c>
    </row>
    <row r="5201" spans="1:9" x14ac:dyDescent="0.3">
      <c r="A5201" s="1" t="s">
        <v>61</v>
      </c>
      <c r="B5201" s="1" t="s">
        <v>73</v>
      </c>
      <c r="C5201" s="1" t="s">
        <v>85</v>
      </c>
      <c r="D5201" s="1" t="s">
        <v>420</v>
      </c>
      <c r="E5201" s="1" t="s">
        <v>8601</v>
      </c>
      <c r="F5201" s="1" t="s">
        <v>8602</v>
      </c>
      <c r="G5201" s="1" t="s">
        <v>36</v>
      </c>
      <c r="H5201" s="1" t="s">
        <v>29</v>
      </c>
      <c r="I5201" s="1" t="str">
        <f ca="1">IFERROR(__xludf.DUMMYFUNCTION("GOOGLETRANSLATE(F5201, ""auto"", ""en"")
"),"It twists and cuts everything perfectly, the mince is perfect even from the most stringy elk meat. The meat grinder is excellent.")</f>
        <v>It twists and cuts everything perfectly, the mince is perfect even from the most stringy elk meat. The meat grinder is excellent.</v>
      </c>
    </row>
    <row r="5202" spans="1:9" x14ac:dyDescent="0.3">
      <c r="A5202" s="1" t="s">
        <v>361</v>
      </c>
      <c r="B5202" s="1" t="s">
        <v>2555</v>
      </c>
      <c r="C5202" s="1" t="s">
        <v>4871</v>
      </c>
      <c r="D5202" s="1" t="s">
        <v>8603</v>
      </c>
      <c r="E5202" s="1" t="s">
        <v>8604</v>
      </c>
      <c r="F5202" s="1" t="s">
        <v>413</v>
      </c>
      <c r="G5202" s="1" t="s">
        <v>49</v>
      </c>
      <c r="H5202" s="1" t="s">
        <v>16</v>
      </c>
      <c r="I5202" s="1" t="str">
        <f ca="1">IFERROR(__xludf.DUMMYFUNCTION("GOOGLETRANSLATE(F5202, ""auto"", ""en"")
"),"No")</f>
        <v>No</v>
      </c>
    </row>
    <row r="5203" spans="1:9" x14ac:dyDescent="0.3">
      <c r="A5203" s="1" t="s">
        <v>149</v>
      </c>
      <c r="B5203" s="1" t="s">
        <v>155</v>
      </c>
      <c r="C5203" s="1" t="s">
        <v>151</v>
      </c>
      <c r="D5203" s="1" t="s">
        <v>438</v>
      </c>
      <c r="E5203" s="1" t="s">
        <v>8605</v>
      </c>
      <c r="F5203" s="1" t="s">
        <v>8606</v>
      </c>
      <c r="G5203" s="1" t="s">
        <v>36</v>
      </c>
      <c r="H5203" s="1" t="s">
        <v>29</v>
      </c>
      <c r="I5203" s="1" t="str">
        <f ca="1">IFERROR(__xludf.DUMMYFUNCTION("GOOGLETRANSLATE(F5203, ""auto"", ""en"")
"),"We bought a vacuum cleaner 3 months ago and are very pleased. They also bought a turbo brush for it, so there’s no price for it at all!!! I recommend him to everyone.")</f>
        <v>We bought a vacuum cleaner 3 months ago and are very pleased. They also bought a turbo brush for it, so there’s no price for it at all!!! I recommend him to everyone.</v>
      </c>
    </row>
    <row r="5204" spans="1:9" x14ac:dyDescent="0.3">
      <c r="A5204" s="1" t="s">
        <v>30</v>
      </c>
      <c r="B5204" s="1" t="s">
        <v>50</v>
      </c>
      <c r="C5204" s="1" t="s">
        <v>1003</v>
      </c>
      <c r="D5204" s="1" t="s">
        <v>152</v>
      </c>
      <c r="E5204" s="1" t="s">
        <v>5073</v>
      </c>
      <c r="F5204" s="1" t="s">
        <v>8607</v>
      </c>
      <c r="G5204" s="1" t="s">
        <v>36</v>
      </c>
      <c r="H5204" s="1" t="s">
        <v>29</v>
      </c>
      <c r="I5204" s="1" t="str">
        <f ca="1">IFERROR(__xludf.DUMMYFUNCTION("GOOGLETRANSLATE(F5204, ""auto"", ""en"")
"),"People, can someone tell me how long the battery charge lasts?")</f>
        <v>People, can someone tell me how long the battery charge lasts?</v>
      </c>
    </row>
    <row r="5205" spans="1:9" x14ac:dyDescent="0.3">
      <c r="A5205" s="1" t="s">
        <v>149</v>
      </c>
      <c r="B5205" s="1" t="s">
        <v>150</v>
      </c>
      <c r="C5205" s="1" t="s">
        <v>314</v>
      </c>
      <c r="D5205" s="1" t="s">
        <v>127</v>
      </c>
      <c r="E5205" s="1" t="s">
        <v>1751</v>
      </c>
      <c r="F5205" s="1" t="s">
        <v>8608</v>
      </c>
      <c r="G5205" s="1" t="s">
        <v>28</v>
      </c>
      <c r="H5205" s="1" t="s">
        <v>29</v>
      </c>
      <c r="I5205" s="1" t="str">
        <f ca="1">IFERROR(__xludf.DUMMYFUNCTION("GOOGLETRANSLATE(F5205, ""auto"", ""en"")
"),"I have been using this vacuum cleaner for 6 years now. I also bought it under the ""Bork"" brand. It collects dust well and does not smell like a vacuum cleaner. At home, if you have a dog with a lot of fur, the vacuum cleaner can handle it easily.  Of th"&amp;"e minuses: the cord has become difficult to retract, you have to pull it out again and direct it.   The main thing is not to pour too much water into the tank.")</f>
        <v>I have been using this vacuum cleaner for 6 years now. I also bought it under the "Bork" brand. It collects dust well and does not smell like a vacuum cleaner. At home, if you have a dog with a lot of fur, the vacuum cleaner can handle it easily.  Of the minuses: the cord has become difficult to retract, you have to pull it out again and direct it.   The main thing is not to pour too much water into the tank.</v>
      </c>
    </row>
    <row r="5206" spans="1:9" x14ac:dyDescent="0.3">
      <c r="A5206" s="1" t="s">
        <v>61</v>
      </c>
      <c r="B5206" s="1" t="s">
        <v>977</v>
      </c>
      <c r="C5206" s="1" t="s">
        <v>85</v>
      </c>
      <c r="D5206" s="1" t="s">
        <v>8609</v>
      </c>
      <c r="E5206" s="1" t="s">
        <v>1682</v>
      </c>
      <c r="F5206" s="1" t="s">
        <v>8610</v>
      </c>
      <c r="G5206" s="1" t="s">
        <v>28</v>
      </c>
      <c r="H5206" s="1" t="s">
        <v>29</v>
      </c>
      <c r="I5206" s="1" t="str">
        <f ca="1">IFERROR(__xludf.DUMMYFUNCTION("GOOGLETRANSLATE(F5206, ""auto"", ""en"")
"),"The blender is good and beautiful, but the blade block broke, they couldn’t fix it under warranty, they returned the money. True, the experts said that bork usually does not break. Now I'm still looking for the same model ;)")</f>
        <v>The blender is good and beautiful, but the blade block broke, they couldn’t fix it under warranty, they returned the money. True, the experts said that bork usually does not break. Now I'm still looking for the same model ;)</v>
      </c>
    </row>
    <row r="5207" spans="1:9" x14ac:dyDescent="0.3">
      <c r="A5207" s="1" t="s">
        <v>105</v>
      </c>
      <c r="B5207" s="1" t="s">
        <v>106</v>
      </c>
      <c r="C5207" s="1" t="s">
        <v>97</v>
      </c>
      <c r="D5207" s="1" t="s">
        <v>280</v>
      </c>
      <c r="E5207" s="1" t="s">
        <v>4176</v>
      </c>
      <c r="F5207" s="1" t="s">
        <v>8611</v>
      </c>
      <c r="G5207" s="1" t="s">
        <v>36</v>
      </c>
      <c r="H5207" s="1" t="s">
        <v>29</v>
      </c>
      <c r="I5207" s="1" t="str">
        <f ca="1">IFERROR(__xludf.DUMMYFUNCTION("GOOGLETRANSLATE(F5207, ""auto"", ""en"")
"),"Yesterday I purchased this model... I immediately changed the headphones to other Sony ones. It works great for me with sp3, fast and precise. The screen gets scratched very quickly, so you need to immediately buy a film or case. The music sounds very goo"&amp;"d. The video also plays very clearly, but this mainly depends on the quality of the video itself)) It’s a pity that you can’t delete files directly from the player. As for playlists, I didn’t understand how to make them at all... But in general it’s a goo"&amp;"d thing, I don’t regret it!")</f>
        <v>Yesterday I purchased this model... I immediately changed the headphones to other Sony ones. It works great for me with sp3, fast and precise. The screen gets scratched very quickly, so you need to immediately buy a film or case. The music sounds very good. The video also plays very clearly, but this mainly depends on the quality of the video itself)) It’s a pity that you can’t delete files directly from the player. As for playlists, I didn’t understand how to make them at all... But in general it’s a good thing, I don’t regret it!</v>
      </c>
    </row>
    <row r="5208" spans="1:9" x14ac:dyDescent="0.3">
      <c r="A5208" s="1" t="s">
        <v>61</v>
      </c>
      <c r="B5208" s="1" t="s">
        <v>1727</v>
      </c>
      <c r="C5208" s="1" t="s">
        <v>122</v>
      </c>
      <c r="D5208" s="1" t="s">
        <v>474</v>
      </c>
      <c r="E5208" s="1" t="s">
        <v>367</v>
      </c>
      <c r="F5208" s="1" t="s">
        <v>8612</v>
      </c>
      <c r="G5208" s="1" t="s">
        <v>36</v>
      </c>
      <c r="H5208" s="1" t="s">
        <v>29</v>
      </c>
      <c r="I5208" s="1" t="str">
        <f ca="1">IFERROR(__xludf.DUMMYFUNCTION("GOOGLETRANSLATE(F5208, ""auto"", ""en"")
"),"Magic pot!!! I’ve been using it for a week and I like it. And the valve really needs to be washed and then there won’t be any foreign odors. Buy it, you won't regret it.")</f>
        <v>Magic pot!!! I’ve been using it for a week and I like it. And the valve really needs to be washed and then there won’t be any foreign odors. Buy it, you won't regret it.</v>
      </c>
    </row>
    <row r="5209" spans="1:9" x14ac:dyDescent="0.3">
      <c r="A5209" s="1" t="s">
        <v>37</v>
      </c>
      <c r="B5209" s="1" t="s">
        <v>38</v>
      </c>
      <c r="C5209" s="1" t="s">
        <v>151</v>
      </c>
      <c r="D5209" s="1" t="s">
        <v>1055</v>
      </c>
      <c r="E5209" s="1" t="s">
        <v>777</v>
      </c>
      <c r="F5209" s="1" t="s">
        <v>8613</v>
      </c>
      <c r="G5209" s="1" t="s">
        <v>36</v>
      </c>
      <c r="H5209" s="1" t="s">
        <v>29</v>
      </c>
      <c r="I5209" s="1" t="str">
        <f ca="1">IFERROR(__xludf.DUMMYFUNCTION("GOOGLETRANSLATE(F5209, ""auto"", ""en"")
"),"I've been using the phone for 3 months. I noticed only one significant drawback - it takes a long time to respond to a call, you press answer and wait another 4-5 seconds until you can hear the interlocutor(((but even here I found salvation - rebooting th"&amp;"e phone! It helps quite a lot. And yet, this is rather a drawback, but it doesn’t annoy me in any way - it “thinks” for a long time when unlocking... Well, the headset is uncomfortable for my ears, I just took other headphones!!!! Otherwise, a very good p"&amp;"hone!!!! If the listed shortcomings don’t bother you, then I recommend this phone!")</f>
        <v>I've been using the phone for 3 months. I noticed only one significant drawback - it takes a long time to respond to a call, you press answer and wait another 4-5 seconds until you can hear the interlocutor(((but even here I found salvation - rebooting the phone! It helps quite a lot. And yet, this is rather a drawback, but it doesn’t annoy me in any way - it “thinks” for a long time when unlocking... Well, the headset is uncomfortable for my ears, I just took other headphones!!!! Otherwise, a very good phone!!!! If the listed shortcomings don’t bother you, then I recommend this phone!</v>
      </c>
    </row>
    <row r="5210" spans="1:9" x14ac:dyDescent="0.3">
      <c r="A5210" s="1" t="s">
        <v>61</v>
      </c>
      <c r="B5210" s="1" t="s">
        <v>318</v>
      </c>
      <c r="C5210" s="1" t="s">
        <v>57</v>
      </c>
      <c r="D5210" s="1" t="s">
        <v>2122</v>
      </c>
      <c r="E5210" s="1" t="s">
        <v>1428</v>
      </c>
      <c r="F5210" s="1" t="s">
        <v>8614</v>
      </c>
      <c r="G5210" s="1" t="s">
        <v>36</v>
      </c>
      <c r="H5210" s="1" t="s">
        <v>29</v>
      </c>
      <c r="I5210" s="1" t="str">
        <f ca="1">IFERROR(__xludf.DUMMYFUNCTION("GOOGLETRANSLATE(F5210, ""auto"", ""en"")
"),"I wanted a glass teapot just like this, round in shape. With a volume of 1.7 liters it looks quite compact and neat. And overall beautiful. The water heats up instantly, and in terms of safety, everything is also at the highest level. It looks very impres"&amp;"sive when it boils. Almost no scale forms on the walls. Easy to clean. The heating element has a non-stick coating. The element itself is hidden, located under the bottom, so it is completely invisible. I tried to remember the shortcomings, but I couldn’t"&amp;". I don’t even know what to complain about. The price is also good. Therefore, I only found pros and no cons.")</f>
        <v>I wanted a glass teapot just like this, round in shape. With a volume of 1.7 liters it looks quite compact and neat. And overall beautiful. The water heats up instantly, and in terms of safety, everything is also at the highest level. It looks very impressive when it boils. Almost no scale forms on the walls. Easy to clean. The heating element has a non-stick coating. The element itself is hidden, located under the bottom, so it is completely invisible. I tried to remember the shortcomings, but I couldn’t. I don’t even know what to complain about. The price is also good. Therefore, I only found pros and no cons.</v>
      </c>
    </row>
    <row r="5211" spans="1:9" x14ac:dyDescent="0.3">
      <c r="A5211" s="1" t="s">
        <v>61</v>
      </c>
      <c r="B5211" s="1" t="s">
        <v>318</v>
      </c>
      <c r="C5211" s="1" t="s">
        <v>101</v>
      </c>
      <c r="D5211" s="1" t="s">
        <v>8615</v>
      </c>
      <c r="E5211" s="1" t="s">
        <v>386</v>
      </c>
      <c r="F5211" s="1" t="s">
        <v>8616</v>
      </c>
      <c r="G5211" s="1" t="s">
        <v>49</v>
      </c>
      <c r="H5211" s="1" t="s">
        <v>16</v>
      </c>
      <c r="I5211" s="1" t="str">
        <f ca="1">IFERROR(__xludf.DUMMYFUNCTION("GOOGLETRANSLATE(F5211, ""auto"", ""en"")
"),"We bought 2 of these kettles, as a result, after a month, one started to drip, and the button on the other one failed - it’s a complete MISS!!! I think that there are shortcomings in the model itself, don’t buy it. And in general, we have a vacuum cleaner"&amp;" and a Scarlett mixer - they are Super!!!")</f>
        <v>We bought 2 of these kettles, as a result, after a month, one started to drip, and the button on the other one failed - it’s a complete MISS!!! I think that there are shortcomings in the model itself, don’t buy it. And in general, we have a vacuum cleaner and a Scarlett mixer - they are Super!!!</v>
      </c>
    </row>
    <row r="5212" spans="1:9" x14ac:dyDescent="0.3">
      <c r="A5212" s="1" t="s">
        <v>61</v>
      </c>
      <c r="B5212" s="1" t="s">
        <v>318</v>
      </c>
      <c r="C5212" s="1" t="s">
        <v>101</v>
      </c>
      <c r="D5212" s="1" t="s">
        <v>32</v>
      </c>
      <c r="E5212" s="1" t="s">
        <v>7833</v>
      </c>
      <c r="F5212" s="1" t="s">
        <v>8617</v>
      </c>
      <c r="G5212" s="1" t="s">
        <v>36</v>
      </c>
      <c r="H5212" s="1" t="s">
        <v>29</v>
      </c>
      <c r="I5212" s="1" t="str">
        <f ca="1">IFERROR(__xludf.DUMMYFUNCTION("GOOGLETRANSLATE(F5212, ""auto"", ""en"")
"),"Was purchased more than two years ago. Since then, it has been turned off only for washing and wiping, during departure. The smell of plastic disappeared after two boilings (the first with citric acid). Very convenient - boiling water is always at hand, j"&amp;"ust pour it! I sewed an additional shirt cover: it turns on the heating less often (again, saving money) and looks much more cozy. Just a member of the family))) +) Economical, trouble-free. Easy to clean. Three ways to supply boiling water.  -) There is "&amp;"no shutdown button on the case; if necessary, turn it off only from the outlet.")</f>
        <v>Was purchased more than two years ago. Since then, it has been turned off only for washing and wiping, during departure. The smell of plastic disappeared after two boilings (the first with citric acid). Very convenient - boiling water is always at hand, just pour it! I sewed an additional shirt cover: it turns on the heating less often (again, saving money) and looks much more cozy. Just a member of the family))) +) Economical, trouble-free. Easy to clean. Three ways to supply boiling water.  -) There is no shutdown button on the case; if necessary, turn it off only from the outlet.</v>
      </c>
    </row>
    <row r="5213" spans="1:9" x14ac:dyDescent="0.3">
      <c r="A5213" s="1" t="s">
        <v>149</v>
      </c>
      <c r="B5213" s="1" t="s">
        <v>423</v>
      </c>
      <c r="C5213" s="1" t="s">
        <v>424</v>
      </c>
      <c r="D5213" s="1" t="s">
        <v>8618</v>
      </c>
      <c r="E5213" s="1" t="s">
        <v>5032</v>
      </c>
      <c r="F5213" s="1" t="s">
        <v>8619</v>
      </c>
      <c r="G5213" s="1" t="s">
        <v>15</v>
      </c>
      <c r="H5213" s="1" t="s">
        <v>16</v>
      </c>
      <c r="I5213" s="1" t="str">
        <f ca="1">IFERROR(__xludf.DUMMYFUNCTION("GOOGLETRANSLATE(F5213, ""auto"", ""en"")
"),"We bought a vacuum cleaner on sale, I thought we would save 50%. It turned out the other way around. A very bad vacuum cleaner, the hose constantly falls out, it makes a lot of noise, the top part comes off, it’s not convenient to use. After the so-called"&amp;" carpet washing, I go over it with a rag, a lot of hair and threads remain, it only collects dust, but all the debris remains. I do not recommend anyone to take it!!!")</f>
        <v>We bought a vacuum cleaner on sale, I thought we would save 50%. It turned out the other way around. A very bad vacuum cleaner, the hose constantly falls out, it makes a lot of noise, the top part comes off, it’s not convenient to use. After the so-called carpet washing, I go over it with a rag, a lot of hair and threads remain, it only collects dust, but all the debris remains. I do not recommend anyone to take it!!!</v>
      </c>
    </row>
    <row r="5214" spans="1:9" x14ac:dyDescent="0.3">
      <c r="A5214" s="1" t="s">
        <v>37</v>
      </c>
      <c r="B5214" s="1" t="s">
        <v>355</v>
      </c>
      <c r="C5214" s="1" t="s">
        <v>356</v>
      </c>
      <c r="D5214" s="1" t="s">
        <v>8539</v>
      </c>
      <c r="E5214" s="1" t="s">
        <v>841</v>
      </c>
      <c r="F5214" s="1" t="s">
        <v>8620</v>
      </c>
      <c r="G5214" s="1" t="s">
        <v>36</v>
      </c>
      <c r="H5214" s="1" t="s">
        <v>29</v>
      </c>
      <c r="I5214" s="1" t="str">
        <f ca="1">IFERROR(__xludf.DUMMYFUNCTION("GOOGLETRANSLATE(F5214, ""auto"", ""en"")
"),"Anyone who has tried apple at least once will never want to touch anything else! the delight cannot be expressed in words! This is such the highest quality, sound, video. color rendition. I even printed a photo, better than my 10 pixel photo!!")</f>
        <v>Anyone who has tried apple at least once will never want to touch anything else! the delight cannot be expressed in words! This is such the highest quality, sound, video. color rendition. I even printed a photo, better than my 10 pixel photo!!</v>
      </c>
    </row>
    <row r="5215" spans="1:9" x14ac:dyDescent="0.3">
      <c r="A5215" s="1" t="s">
        <v>55</v>
      </c>
      <c r="B5215" s="1" t="s">
        <v>184</v>
      </c>
      <c r="C5215" s="1" t="s">
        <v>185</v>
      </c>
      <c r="D5215" s="1" t="s">
        <v>240</v>
      </c>
      <c r="E5215" s="1" t="s">
        <v>580</v>
      </c>
      <c r="F5215" s="1" t="s">
        <v>8621</v>
      </c>
      <c r="G5215" s="1" t="s">
        <v>28</v>
      </c>
      <c r="H5215" s="1" t="s">
        <v>29</v>
      </c>
      <c r="I5215" s="1" t="str">
        <f ca="1">IFERROR(__xludf.DUMMYFUNCTION("GOOGLETRANSLATE(F5215, ""auto"", ""en"")
"),"Heats up the room quickly. The smell disappeared after 10 minutes. The thermostat is really sophisticated, and it’s a very decent fan heater. Satisfied with the work, little noise.")</f>
        <v>Heats up the room quickly. The smell disappeared after 10 minutes. The thermostat is really sophisticated, and it’s a very decent fan heater. Satisfied with the work, little noise.</v>
      </c>
    </row>
    <row r="5216" spans="1:9" x14ac:dyDescent="0.3">
      <c r="A5216" s="1" t="s">
        <v>105</v>
      </c>
      <c r="B5216" s="1" t="s">
        <v>106</v>
      </c>
      <c r="C5216" s="1" t="s">
        <v>1209</v>
      </c>
      <c r="D5216" s="1" t="s">
        <v>2220</v>
      </c>
      <c r="E5216" s="1" t="s">
        <v>1756</v>
      </c>
      <c r="F5216" s="1" t="s">
        <v>8622</v>
      </c>
      <c r="G5216" s="1" t="s">
        <v>28</v>
      </c>
      <c r="H5216" s="1" t="s">
        <v>29</v>
      </c>
      <c r="I5216" s="1" t="str">
        <f ca="1">IFERROR(__xludf.DUMMYFUNCTION("GOOGLETRANSLATE(F5216, ""auto"", ""en"")
"),"An excellent player for those who do not need bells and whistles, it simply plays music perfectly and a huge plus, which was mentioned above for a long time of operation) I recommend it to everyone)")</f>
        <v>An excellent player for those who do not need bells and whistles, it simply plays music perfectly and a huge plus, which was mentioned above for a long time of operation) I recommend it to everyone)</v>
      </c>
    </row>
    <row r="5217" spans="1:9" x14ac:dyDescent="0.3">
      <c r="A5217" s="1" t="s">
        <v>105</v>
      </c>
      <c r="B5217" s="1" t="s">
        <v>106</v>
      </c>
      <c r="C5217" s="1" t="s">
        <v>1209</v>
      </c>
      <c r="D5217" s="1" t="s">
        <v>86</v>
      </c>
      <c r="E5217" s="1" t="s">
        <v>320</v>
      </c>
      <c r="F5217" s="1" t="s">
        <v>8623</v>
      </c>
      <c r="G5217" s="1" t="s">
        <v>36</v>
      </c>
      <c r="H5217" s="1" t="s">
        <v>29</v>
      </c>
      <c r="I5217" s="1" t="str">
        <f ca="1">IFERROR(__xludf.DUMMYFUNCTION("GOOGLETRANSLATE(F5217, ""auto"", ""en"")
"),"I bought this player three months ago and am still satisfied to this day! The charger was included, there are no complaints about the headphone jack, the sound and video are excellent! The only negative is that the buttons are not very convenient!")</f>
        <v>I bought this player three months ago and am still satisfied to this day! The charger was included, there are no complaints about the headphone jack, the sound and video are excellent! The only negative is that the buttons are not very convenient!</v>
      </c>
    </row>
    <row r="5218" spans="1:9" x14ac:dyDescent="0.3">
      <c r="A5218" s="1" t="s">
        <v>477</v>
      </c>
      <c r="B5218" s="1" t="s">
        <v>478</v>
      </c>
      <c r="C5218" s="1" t="s">
        <v>479</v>
      </c>
      <c r="D5218" s="1" t="s">
        <v>17</v>
      </c>
      <c r="E5218" s="1" t="s">
        <v>8624</v>
      </c>
      <c r="F5218" s="1" t="s">
        <v>8625</v>
      </c>
      <c r="G5218" s="1" t="s">
        <v>36</v>
      </c>
      <c r="H5218" s="1" t="s">
        <v>29</v>
      </c>
      <c r="I5218" s="1" t="str">
        <f ca="1">IFERROR(__xludf.DUMMYFUNCTION("GOOGLETRANSLATE(F5218, ""auto"", ""en"")
"),"I'm very glad! The game is a legend! I don't regret it one bit! Take it for everyone!")</f>
        <v>I'm very glad! The game is a legend! I don't regret it one bit! Take it for everyone!</v>
      </c>
    </row>
    <row r="5219" spans="1:9" x14ac:dyDescent="0.3">
      <c r="A5219" s="1" t="s">
        <v>8626</v>
      </c>
      <c r="B5219" s="1" t="s">
        <v>8627</v>
      </c>
      <c r="C5219" s="1" t="s">
        <v>1003</v>
      </c>
      <c r="D5219" s="1" t="s">
        <v>282</v>
      </c>
      <c r="E5219" s="1" t="s">
        <v>5102</v>
      </c>
      <c r="F5219" s="1" t="s">
        <v>8628</v>
      </c>
      <c r="G5219" s="1" t="s">
        <v>36</v>
      </c>
      <c r="H5219" s="1" t="s">
        <v>29</v>
      </c>
      <c r="I5219" s="1" t="str">
        <f ca="1">IFERROR(__xludf.DUMMYFUNCTION("GOOGLETRANSLATE(F5219, ""auto"", ""en"")
"),"The HP Color LaserJet Pro CP5225DN color laser printer has both color and monochrome printing capabilities. The resolution for both types of printing is 600 x 600 dpi at 20 ppm. The device is equipped with a digital display for displaying various informat"&amp;"ion and navigating the menu. The printer can work with computers running all current operating systems, namely: Windows (Server 2003, Vista, 7, 8, 10), Mac OS (X 10.3 and higher) and Linux. Everything you need to get started is included (4 cartridges, sof"&amp;"tware and USB cable).")</f>
        <v>The HP Color LaserJet Pro CP5225DN color laser printer has both color and monochrome printing capabilities. The resolution for both types of printing is 600 x 600 dpi at 20 ppm. The device is equipped with a digital display for displaying various information and navigating the menu. The printer can work with computers running all current operating systems, namely: Windows (Server 2003, Vista, 7, 8, 10), Mac OS (X 10.3 and higher) and Linux. Everything you need to get started is included (4 cartridges, software and USB cable).</v>
      </c>
    </row>
    <row r="5220" spans="1:9" x14ac:dyDescent="0.3">
      <c r="A5220" s="1" t="s">
        <v>111</v>
      </c>
      <c r="B5220" s="1" t="s">
        <v>112</v>
      </c>
      <c r="C5220" s="1" t="s">
        <v>113</v>
      </c>
      <c r="D5220" s="1" t="s">
        <v>232</v>
      </c>
      <c r="E5220" s="1" t="s">
        <v>580</v>
      </c>
      <c r="F5220" s="1" t="s">
        <v>8629</v>
      </c>
      <c r="G5220" s="1" t="s">
        <v>28</v>
      </c>
      <c r="H5220" s="1" t="s">
        <v>29</v>
      </c>
      <c r="I5220" s="1" t="str">
        <f ca="1">IFERROR(__xludf.DUMMYFUNCTION("GOOGLETRANSLATE(F5220, ""auto"", ""en"")
"),"It's been running for three years.   Of the minuses, after a shutdown, independent or unexpected, the automatic voltage measurement system starts every other time. That is, sometimes voltage appears, the blue light comes on and nothing happens. Then you t"&amp;"urn off the key, turn it on again and the voltage measurement begins (an additional light blinks).    The build quality is excellent. The computer began to freeze less often. If freezes do occur, they are not so critical; Alt+Ctrl+Del copes quite well.  T"&amp;"here are still no analogues that save you from overvoltage for that kind of money, so in general you can take it.")</f>
        <v>It's been running for three years.   Of the minuses, after a shutdown, independent or unexpected, the automatic voltage measurement system starts every other time. That is, sometimes voltage appears, the blue light comes on and nothing happens. Then you turn off the key, turn it on again and the voltage measurement begins (an additional light blinks).    The build quality is excellent. The computer began to freeze less often. If freezes do occur, they are not so critical; Alt+Ctrl+Del copes quite well.  There are still no analogues that save you from overvoltage for that kind of money, so in general you can take it.</v>
      </c>
    </row>
    <row r="5221" spans="1:9" x14ac:dyDescent="0.3">
      <c r="A5221" s="1" t="s">
        <v>1174</v>
      </c>
      <c r="B5221" s="1" t="s">
        <v>1175</v>
      </c>
      <c r="C5221" s="1" t="s">
        <v>356</v>
      </c>
      <c r="D5221" s="1" t="s">
        <v>208</v>
      </c>
      <c r="E5221" s="1" t="s">
        <v>6012</v>
      </c>
      <c r="F5221" s="1" t="s">
        <v>8630</v>
      </c>
      <c r="G5221" s="1" t="s">
        <v>28</v>
      </c>
      <c r="H5221" s="1" t="s">
        <v>29</v>
      </c>
      <c r="I5221" s="1" t="str">
        <f ca="1">IFERROR(__xludf.DUMMYFUNCTION("GOOGLETRANSLATE(F5221, ""auto"", ""en"")
"),"Yesterday I bought an iPod, these headphones came with it. The headphones are just great! I have Philips headphones, costing about 500 rubles. They are clearly losing to Apple, although I thought they were good. Apple's sound is superb, the bass is excell"&amp;"ent, I haven't heard better headphones yet, I wouldn't even say that about the Shankhizers, I also have those. I tested it on an old Nexx mp3 and iPod. They are worth listening to.")</f>
        <v>Yesterday I bought an iPod, these headphones came with it. The headphones are just great! I have Philips headphones, costing about 500 rubles. They are clearly losing to Apple, although I thought they were good. Apple's sound is superb, the bass is excellent, I haven't heard better headphones yet, I wouldn't even say that about the Shankhizers, I also have those. I tested it on an old Nexx mp3 and iPod. They are worth listening to.</v>
      </c>
    </row>
    <row r="5222" spans="1:9" x14ac:dyDescent="0.3">
      <c r="A5222" s="1" t="s">
        <v>30</v>
      </c>
      <c r="B5222" s="1" t="s">
        <v>50</v>
      </c>
      <c r="C5222" s="1" t="s">
        <v>51</v>
      </c>
      <c r="D5222" s="1" t="s">
        <v>152</v>
      </c>
      <c r="E5222" s="1" t="s">
        <v>2215</v>
      </c>
      <c r="F5222" s="1" t="s">
        <v>8631</v>
      </c>
      <c r="G5222" s="1" t="s">
        <v>36</v>
      </c>
      <c r="H5222" s="1" t="s">
        <v>29</v>
      </c>
      <c r="I5222" s="1" t="str">
        <f ca="1">IFERROR(__xludf.DUMMYFUNCTION("GOOGLETRANSLATE(F5222, ""auto"", ""en"")
"),"The price is more than 20,000 - psychologically high for a transitional netbook-laptop model, because there is no DVDROM. I really like the model.  I wanted a netbook, but the 10-11-inch screen is too small for letters and therefore not good for the eyes."&amp;" I started looking for 13 inch ones - I think this note is the best among 13 inch ones.   The battery holds up normally - I haven’t discharged it to zero yet, but with minimal load it will last 8 hours. In movie watching mode, it stood for 1 hour 20 minut"&amp;"es - the battery forecast was 5 hours 37 minutes. At the end of the film it was 4 hours 20 minutes. This laptop has 2 video cards - one built-in from Intel, the second discrete ATI HD4330 512mb (for games or what?) It switches between them to save energy."&amp;" I haven't tried to launch the games yet. WEB - the camera is beyond praise - the color rendition is excellent. The built-in microphone is quite sensitive for Skype. The touchpad can be turned off with a button so that you don't accidentally touch it when"&amp;" entering a large amount of text.  The WiFi receiver is working fine.  I didn't particularly notice any shortcomings. Here are the small ones: - the cover is glossy, greasy marks remain from hands - 3 USB ports are not enough - if you want to connect a ke"&amp;"yboard, mouse, and external drive, then there is no connector for a USB flash drive... - there is no optical sound connector, although it is in the sound controller settings panel.  - in energy saving mode the frequency does not decrease - in all modes 14"&amp;"00 MHz")</f>
        <v>The price is more than 20,000 - psychologically high for a transitional netbook-laptop model, because there is no DVDROM. I really like the model.  I wanted a netbook, but the 10-11-inch screen is too small for letters and therefore not good for the eyes. I started looking for 13 inch ones - I think this note is the best among 13 inch ones.   The battery holds up normally - I haven’t discharged it to zero yet, but with minimal load it will last 8 hours. In movie watching mode, it stood for 1 hour 20 minutes - the battery forecast was 5 hours 37 minutes. At the end of the film it was 4 hours 20 minutes. This laptop has 2 video cards - one built-in from Intel, the second discrete ATI HD4330 512mb (for games or what?) It switches between them to save energy. I haven't tried to launch the games yet. WEB - the camera is beyond praise - the color rendition is excellent. The built-in microphone is quite sensitive for Skype. The touchpad can be turned off with a button so that you don't accidentally touch it when entering a large amount of text.  The WiFi receiver is working fine.  I didn't particularly notice any shortcomings. Here are the small ones: - the cover is glossy, greasy marks remain from hands - 3 USB ports are not enough - if you want to connect a keyboard, mouse, and external drive, then there is no connector for a USB flash drive... - there is no optical sound connector, although it is in the sound controller settings panel.  - in energy saving mode the frequency does not decrease - in all modes 1400 MHz</v>
      </c>
    </row>
    <row r="5223" spans="1:9" x14ac:dyDescent="0.3">
      <c r="A5223" s="1" t="s">
        <v>43</v>
      </c>
      <c r="B5223" s="1" t="s">
        <v>1370</v>
      </c>
      <c r="C5223" s="1" t="s">
        <v>2137</v>
      </c>
      <c r="D5223" s="1" t="s">
        <v>456</v>
      </c>
      <c r="E5223" s="1" t="s">
        <v>8404</v>
      </c>
      <c r="F5223" s="1" t="s">
        <v>8632</v>
      </c>
      <c r="G5223" s="1" t="s">
        <v>36</v>
      </c>
      <c r="H5223" s="1" t="s">
        <v>29</v>
      </c>
      <c r="I5223" s="1" t="str">
        <f ca="1">IFERROR(__xludf.DUMMYFUNCTION("GOOGLETRANSLATE(F5223, ""auto"", ""en"")
"),"Today we turned off the hot water, immediately sat down to read reviews on all instantaneous water heaters, settled on Atmore))) and did not regret it, at first we were afraid to install it ourselves, because... We are not friendly with electrical applian"&amp;"ces and any grounding, but we were afraid in vain. Installation was easy, I had to drill 2 holes for the heater and 2 for the shower mount. First, we installed 2 rings on the shower head, but the water temperature seemed cool, so we stopped at one ring an"&amp;"d specifically measured the temperature of 39 degrees. In general, not only was the price pleasing, but the quality was generally brilliant, although after reading the reviews we were worried that it would only be enough to wash the dishes, but we are del"&amp;"ighted and do not regret our choice one bit. Pah-pah-pah, the main thing now is that this miracle device lasts a long time.")</f>
        <v>Today we turned off the hot water, immediately sat down to read reviews on all instantaneous water heaters, settled on Atmore))) and did not regret it, at first we were afraid to install it ourselves, because... We are not friendly with electrical appliances and any grounding, but we were afraid in vain. Installation was easy, I had to drill 2 holes for the heater and 2 for the shower mount. First, we installed 2 rings on the shower head, but the water temperature seemed cool, so we stopped at one ring and specifically measured the temperature of 39 degrees. In general, not only was the price pleasing, but the quality was generally brilliant, although after reading the reviews we were worried that it would only be enough to wash the dishes, but we are delighted and do not regret our choice one bit. Pah-pah-pah, the main thing now is that this miracle device lasts a long time.</v>
      </c>
    </row>
    <row r="5224" spans="1:9" x14ac:dyDescent="0.3">
      <c r="A5224" s="1" t="s">
        <v>811</v>
      </c>
      <c r="B5224" s="1" t="s">
        <v>1599</v>
      </c>
      <c r="C5224" s="1" t="s">
        <v>3051</v>
      </c>
      <c r="D5224" s="1" t="s">
        <v>8633</v>
      </c>
      <c r="E5224" s="1" t="s">
        <v>3254</v>
      </c>
      <c r="F5224" s="1" t="s">
        <v>8634</v>
      </c>
      <c r="G5224" s="1" t="s">
        <v>28</v>
      </c>
      <c r="H5224" s="1" t="s">
        <v>29</v>
      </c>
      <c r="I5224" s="1" t="str">
        <f ca="1">IFERROR(__xludf.DUMMYFUNCTION("GOOGLETRANSLATE(F5224, ""auto"", ""en"")
"),"Very good photo backpack! &amp;nbsp;Advantages: durable, well-protected case, separate compartment for a laptop, plenty of pockets for small items, straps for attaching a tripod. Convenient access to the camera. In addition to the camera, the main compartment"&amp;" can store up to 8 accessories, such as lenses, flashes, etc. Easy! Among the shortcomings, I would like to note the following: - Lack of special pockets for memory cards; - Lack of a protective case (the main drawback for me); - Minor restrictions when t"&amp;"ransforming the main compartment: the ability to move the partitions is minimal, but the compartments can be combined by removing the partitions.")</f>
        <v>Very good photo backpack! &amp;nbsp;Advantages: durable, well-protected case, separate compartment for a laptop, plenty of pockets for small items, straps for attaching a tripod. Convenient access to the camera. In addition to the camera, the main compartment can store up to 8 accessories, such as lenses, flashes, etc. Easy! Among the shortcomings, I would like to note the following: - Lack of special pockets for memory cards; - Lack of a protective case (the main drawback for me); - Minor restrictions when transforming the main compartment: the ability to move the partitions is minimal, but the compartments can be combined by removing the partitions.</v>
      </c>
    </row>
    <row r="5225" spans="1:9" x14ac:dyDescent="0.3">
      <c r="A5225" s="1" t="s">
        <v>369</v>
      </c>
      <c r="B5225" s="1" t="s">
        <v>587</v>
      </c>
      <c r="C5225" s="1" t="s">
        <v>138</v>
      </c>
      <c r="D5225" s="1" t="s">
        <v>114</v>
      </c>
      <c r="E5225" s="1" t="s">
        <v>8635</v>
      </c>
      <c r="F5225" s="1" t="s">
        <v>8636</v>
      </c>
      <c r="G5225" s="1" t="s">
        <v>36</v>
      </c>
      <c r="H5225" s="1" t="s">
        <v>29</v>
      </c>
      <c r="I5225" s="1" t="str">
        <f ca="1">IFERROR(__xludf.DUMMYFUNCTION("GOOGLETRANSLATE(F5225, ""auto"", ""en"")
"),"Reliable, simple stove. There are no special bells and whistles in it. I bought one for my dacha on sale. I'm not complaining. If you are not some kind of chef, then it will suit you 100%. There were no breakdowns. It is convenient to wash. There were no "&amp;"problems with the installation. I installed it myself, read everything on the Internet. No problem at all.")</f>
        <v>Reliable, simple stove. There are no special bells and whistles in it. I bought one for my dacha on sale. I'm not complaining. If you are not some kind of chef, then it will suit you 100%. There were no breakdowns. It is convenient to wash. There were no problems with the installation. I installed it myself, read everything on the Internet. No problem at all.</v>
      </c>
    </row>
    <row r="5226" spans="1:9" x14ac:dyDescent="0.3">
      <c r="A5226" s="1" t="s">
        <v>43</v>
      </c>
      <c r="B5226" s="1" t="s">
        <v>44</v>
      </c>
      <c r="C5226" s="1" t="s">
        <v>101</v>
      </c>
      <c r="D5226" s="1" t="s">
        <v>81</v>
      </c>
      <c r="E5226" s="1" t="s">
        <v>3979</v>
      </c>
      <c r="F5226" s="1" t="s">
        <v>8637</v>
      </c>
      <c r="G5226" s="1" t="s">
        <v>36</v>
      </c>
      <c r="H5226" s="1" t="s">
        <v>29</v>
      </c>
      <c r="I5226" s="1" t="str">
        <f ca="1">IFERROR(__xludf.DUMMYFUNCTION("GOOGLETRANSLATE(F5226, ""auto"", ""en"")
"),"I purchased it less than a week ago. Exceeded all my expectations: more than good airflow, except for 1 speed and I don’t use it, but there are 3 of them. It’s quite simple and easy to assemble. Low noise. There is night lighting (although I don’t underst"&amp;"and why such attention is constantly paid to it - is it really possible to jump up at night and run into a fan 1.5 meters high))))) The price is just super. Easy. The fan blades are in a protective housing that closes securely - neither your children nor "&amp;"you will get hurt. Of the minuses, I can probably only note the overly lightweight stand, which is made of a thin tin, unable to hold the fan if you push it a little, but when you remember the price, this doesn’t even seem like a minus)). Fans with a stab"&amp;"le stand made of denser metal are more expensive, and the airflow is sometimes worse than that of this model, and they are much noisier. In a word, I recommend it to everyone.")</f>
        <v>I purchased it less than a week ago. Exceeded all my expectations: more than good airflow, except for 1 speed and I don’t use it, but there are 3 of them. It’s quite simple and easy to assemble. Low noise. There is night lighting (although I don’t understand why such attention is constantly paid to it - is it really possible to jump up at night and run into a fan 1.5 meters high))))) The price is just super. Easy. The fan blades are in a protective housing that closes securely - neither your children nor you will get hurt. Of the minuses, I can probably only note the overly lightweight stand, which is made of a thin tin, unable to hold the fan if you push it a little, but when you remember the price, this doesn’t even seem like a minus)). Fans with a stable stand made of denser metal are more expensive, and the airflow is sometimes worse than that of this model, and they are much noisier. In a word, I recommend it to everyone.</v>
      </c>
    </row>
    <row r="5227" spans="1:9" x14ac:dyDescent="0.3">
      <c r="A5227" s="1" t="s">
        <v>206</v>
      </c>
      <c r="B5227" s="1" t="s">
        <v>1253</v>
      </c>
      <c r="C5227" s="1" t="s">
        <v>1254</v>
      </c>
      <c r="D5227" s="1" t="s">
        <v>208</v>
      </c>
      <c r="E5227" s="1" t="s">
        <v>5211</v>
      </c>
      <c r="F5227" s="1" t="s">
        <v>8638</v>
      </c>
      <c r="G5227" s="1" t="s">
        <v>15</v>
      </c>
      <c r="H5227" s="1" t="s">
        <v>16</v>
      </c>
      <c r="I5227" s="1" t="str">
        <f ca="1">IFERROR(__xludf.DUMMYFUNCTION("GOOGLETRANSLATE(F5227, ""auto"", ""en"")
"),"Walkie-talkie for entertainment and nothing more. She served with me for six months. 1 of the two radios began to make a terrible noise. An autopsy showed that all contacts were oxidized and rusted. In general, there is no moisture protection. For your in"&amp;"formation, I did not wear it in the rain. I just brought it into the house from the cold one time. I do not recommend it to hunters and fishermen.")</f>
        <v>Walkie-talkie for entertainment and nothing more. She served with me for six months. 1 of the two radios began to make a terrible noise. An autopsy showed that all contacts were oxidized and rusted. In general, there is no moisture protection. For your information, I did not wear it in the rain. I just brought it into the house from the cold one time. I do not recommend it to hunters and fishermen.</v>
      </c>
    </row>
    <row r="5228" spans="1:9" x14ac:dyDescent="0.3">
      <c r="A5228" s="1" t="s">
        <v>61</v>
      </c>
      <c r="B5228" s="1" t="s">
        <v>977</v>
      </c>
      <c r="C5228" s="1" t="s">
        <v>63</v>
      </c>
      <c r="D5228" s="1" t="s">
        <v>1329</v>
      </c>
      <c r="E5228" s="1" t="s">
        <v>1553</v>
      </c>
      <c r="F5228" s="1" t="s">
        <v>8639</v>
      </c>
      <c r="G5228" s="1" t="s">
        <v>36</v>
      </c>
      <c r="H5228" s="1" t="s">
        <v>29</v>
      </c>
      <c r="I5228" s="1" t="str">
        <f ca="1">IFERROR(__xludf.DUMMYFUNCTION("GOOGLETRANSLATE(F5228, ""auto"", ""en"")
"),"Great brand item, I use it every day. and my wife likes it too.")</f>
        <v>Great brand item, I use it every day. and my wife likes it too.</v>
      </c>
    </row>
    <row r="5229" spans="1:9" x14ac:dyDescent="0.3">
      <c r="A5229" s="1" t="s">
        <v>61</v>
      </c>
      <c r="B5229" s="1" t="s">
        <v>318</v>
      </c>
      <c r="C5229" s="1" t="s">
        <v>146</v>
      </c>
      <c r="D5229" s="1" t="s">
        <v>305</v>
      </c>
      <c r="E5229" s="1" t="s">
        <v>386</v>
      </c>
      <c r="F5229" s="1" t="s">
        <v>8640</v>
      </c>
      <c r="G5229" s="1" t="s">
        <v>49</v>
      </c>
      <c r="H5229" s="1" t="s">
        <v>16</v>
      </c>
      <c r="I5229" s="1" t="str">
        <f ca="1">IFERROR(__xludf.DUMMYFUNCTION("GOOGLETRANSLATE(F5229, ""auto"", ""en"")
"),"The kettle worked for 10 days, all this time the water smelled of pharmaceutical medicines, the stand also gets very hot and emits a plastic smell; The metal case is not convenient to use - there is a high risk of burns, especially for children. I had to "&amp;"return it and took another model in plastic, although I originally wanted metal.")</f>
        <v>The kettle worked for 10 days, all this time the water smelled of pharmaceutical medicines, the stand also gets very hot and emits a plastic smell; The metal case is not convenient to use - there is a high risk of burns, especially for children. I had to return it and took another model in plastic, although I originally wanted metal.</v>
      </c>
    </row>
    <row r="5230" spans="1:9" x14ac:dyDescent="0.3">
      <c r="A5230" s="1" t="s">
        <v>9</v>
      </c>
      <c r="B5230" s="1" t="s">
        <v>10</v>
      </c>
      <c r="C5230" s="1" t="s">
        <v>407</v>
      </c>
      <c r="D5230" s="1" t="s">
        <v>6865</v>
      </c>
      <c r="E5230" s="1" t="s">
        <v>1901</v>
      </c>
      <c r="F5230" s="1" t="s">
        <v>8641</v>
      </c>
      <c r="G5230" s="1" t="s">
        <v>36</v>
      </c>
      <c r="H5230" s="1" t="s">
        <v>29</v>
      </c>
      <c r="I5230" s="1" t="str">
        <f ca="1">IFERROR(__xludf.DUMMYFUNCTION("GOOGLETRANSLATE(F5230, ""auto"", ""en"")
"),"We've been using it for 3 months now. There are no limits to happiness! We use it mainly at speed 1, because even with it everything is sucked in). It's very quiet, which is nice. But at speed 3 (if something burns we turn it on) you can’t watch a movie a"&amp;"nd it becomes a bit noisy. The glass canopy is easy to clean. And the grease filter was washed by hand (it’s difficult to wash the grease off) But as a hood, it fulfills its function 200%! I recommend it to everyone!")</f>
        <v>We've been using it for 3 months now. There are no limits to happiness! We use it mainly at speed 1, because even with it everything is sucked in). It's very quiet, which is nice. But at speed 3 (if something burns we turn it on) you can’t watch a movie and it becomes a bit noisy. The glass canopy is easy to clean. And the grease filter was washed by hand (it’s difficult to wash the grease off) But as a hood, it fulfills its function 200%! I recommend it to everyone!</v>
      </c>
    </row>
    <row r="5231" spans="1:9" x14ac:dyDescent="0.3">
      <c r="A5231" s="1" t="s">
        <v>238</v>
      </c>
      <c r="B5231" s="1" t="s">
        <v>239</v>
      </c>
      <c r="C5231" s="1" t="s">
        <v>240</v>
      </c>
      <c r="D5231" s="1" t="s">
        <v>2771</v>
      </c>
      <c r="E5231" s="1" t="s">
        <v>1332</v>
      </c>
      <c r="F5231" s="1" t="s">
        <v>8642</v>
      </c>
      <c r="G5231" s="1" t="s">
        <v>28</v>
      </c>
      <c r="H5231" s="1" t="s">
        <v>29</v>
      </c>
      <c r="I5231" s="1" t="str">
        <f ca="1">IFERROR(__xludf.DUMMYFUNCTION("GOOGLETRANSLATE(F5231, ""auto"", ""en"")
"),"While I'm figuring it out, offhand the simple controls turned out to be not too easy. Very complicated instructions. Very little and poorly written. The freezer is excellent, the refrigerator compartment is also without question... But in biofresh the tem"&amp;"perature is set, but not recorded... Today in M-Video on Krasnoarmeyskaya they suggested how else you can try. But this is not in the instructions.")</f>
        <v>While I'm figuring it out, offhand the simple controls turned out to be not too easy. Very complicated instructions. Very little and poorly written. The freezer is excellent, the refrigerator compartment is also without question... But in biofresh the temperature is set, but not recorded... Today in M-Video on Krasnoarmeyskaya they suggested how else you can try. But this is not in the instructions.</v>
      </c>
    </row>
    <row r="5232" spans="1:9" x14ac:dyDescent="0.3">
      <c r="A5232" s="1" t="s">
        <v>1443</v>
      </c>
      <c r="B5232" s="1" t="s">
        <v>1444</v>
      </c>
      <c r="C5232" s="1" t="s">
        <v>1445</v>
      </c>
      <c r="D5232" s="1" t="s">
        <v>39</v>
      </c>
      <c r="E5232" s="1" t="s">
        <v>8643</v>
      </c>
      <c r="F5232" s="1" t="s">
        <v>8644</v>
      </c>
      <c r="G5232" s="1" t="s">
        <v>36</v>
      </c>
      <c r="H5232" s="1" t="s">
        <v>29</v>
      </c>
      <c r="I5232" s="1" t="str">
        <f ca="1">IFERROR(__xludf.DUMMYFUNCTION("GOOGLETRANSLATE(F5232, ""auto"", ""en"")
"),"A trusted manufacturer with a 5-year warranty. Flash drives from this manufacturer last much longer for me. I liked the characteristics that have a good effect on the price-quality ratio. The design is certainly not advanced, but it is proven; remove the "&amp;"plug and no cap or lid will be lost.")</f>
        <v>A trusted manufacturer with a 5-year warranty. Flash drives from this manufacturer last much longer for me. I liked the characteristics that have a good effect on the price-quality ratio. The design is certainly not advanced, but it is proven; remove the plug and no cap or lid will be lost.</v>
      </c>
    </row>
    <row r="5233" spans="1:9" x14ac:dyDescent="0.3">
      <c r="A5233" s="1" t="s">
        <v>55</v>
      </c>
      <c r="B5233" s="1" t="s">
        <v>752</v>
      </c>
      <c r="C5233" s="1" t="s">
        <v>185</v>
      </c>
      <c r="D5233" s="1" t="s">
        <v>3525</v>
      </c>
      <c r="E5233" s="1" t="s">
        <v>1982</v>
      </c>
      <c r="F5233" s="1" t="s">
        <v>8645</v>
      </c>
      <c r="G5233" s="1" t="s">
        <v>36</v>
      </c>
      <c r="H5233" s="1" t="s">
        <v>29</v>
      </c>
      <c r="I5233" s="1" t="str">
        <f ca="1">IFERROR(__xludf.DUMMYFUNCTION("GOOGLETRANSLATE(F5233, ""auto"", ""en"")
"),"Great radiator. Heats up quickly and maintains the desired room temperature. Energy saving and optimal heating time. Does not dry out or consume oxygen, the De Longhi TRD 0820 radiator is a good choice for everyone who values ​​quality and reliability!!!!")</f>
        <v>Great radiator. Heats up quickly and maintains the desired room temperature. Energy saving and optimal heating time. Does not dry out or consume oxygen, the De Longhi TRD 0820 radiator is a good choice for everyone who values ​​quality and reliability!!!!</v>
      </c>
    </row>
    <row r="5234" spans="1:9" x14ac:dyDescent="0.3">
      <c r="A5234" s="1" t="s">
        <v>2087</v>
      </c>
      <c r="B5234" s="1" t="s">
        <v>2088</v>
      </c>
      <c r="C5234" s="1" t="s">
        <v>97</v>
      </c>
      <c r="D5234" s="1" t="s">
        <v>39</v>
      </c>
      <c r="E5234" s="1" t="s">
        <v>750</v>
      </c>
      <c r="F5234" s="1" t="s">
        <v>8646</v>
      </c>
      <c r="G5234" s="1" t="s">
        <v>36</v>
      </c>
      <c r="H5234" s="1" t="s">
        <v>29</v>
      </c>
      <c r="I5234" s="1" t="str">
        <f ca="1">IFERROR(__xludf.DUMMYFUNCTION("GOOGLETRANSLATE(F5234, ""auto"", ""en"")
"),"A very decent player for the money. Let's not forget that the price category is budget. The only negative for the entire period of operation: the absence of a drive eject button on the remote control. Everything else is just a plus: gorgeous picture, wond"&amp;"erful sound (although we must honestly admit to ourselves, SONY never fought for world domination in music), fast loading of the disc being played, build quality, and, in addition, very decent playback of licensed DVDs.   To sum it up: a chic, high-qualit"&amp;"y player in its price category.")</f>
        <v>A very decent player for the money. Let's not forget that the price category is budget. The only negative for the entire period of operation: the absence of a drive eject button on the remote control. Everything else is just a plus: gorgeous picture, wonderful sound (although we must honestly admit to ourselves, SONY never fought for world domination in music), fast loading of the disc being played, build quality, and, in addition, very decent playback of licensed DVDs.   To sum it up: a chic, high-quality player in its price category.</v>
      </c>
    </row>
    <row r="5235" spans="1:9" x14ac:dyDescent="0.3">
      <c r="A5235" s="1" t="s">
        <v>30</v>
      </c>
      <c r="B5235" s="1" t="s">
        <v>31</v>
      </c>
      <c r="C5235" s="1" t="s">
        <v>32</v>
      </c>
      <c r="D5235" s="1" t="s">
        <v>2462</v>
      </c>
      <c r="E5235" s="1" t="s">
        <v>4606</v>
      </c>
      <c r="F5235" s="1" t="s">
        <v>8647</v>
      </c>
      <c r="G5235" s="1" t="s">
        <v>49</v>
      </c>
      <c r="H5235" s="1" t="s">
        <v>16</v>
      </c>
      <c r="I5235" s="1" t="str">
        <f ca="1">IFERROR(__xludf.DUMMYFUNCTION("GOOGLETRANSLATE(F5235, ""auto"", ""en"")
"),"I bought this tractor.....So what???  I had a third stump before this, and it was better and faster, although the speed was 880Hz!!! The video card died on the third day, but according to the documents there were 2 operational ones, but only 1 inside!!! I"&amp;"n general, don't take it.")</f>
        <v>I bought this tractor.....So what???  I had a third stump before this, and it was better and faster, although the speed was 880Hz!!! The video card died on the third day, but according to the documents there were 2 operational ones, but only 1 inside!!! In general, don't take it.</v>
      </c>
    </row>
    <row r="5236" spans="1:9" x14ac:dyDescent="0.3">
      <c r="A5236" s="1" t="s">
        <v>211</v>
      </c>
      <c r="B5236" s="1" t="s">
        <v>212</v>
      </c>
      <c r="C5236" s="1" t="s">
        <v>381</v>
      </c>
      <c r="D5236" s="1" t="s">
        <v>295</v>
      </c>
      <c r="E5236" s="1" t="s">
        <v>8648</v>
      </c>
      <c r="F5236" s="1" t="s">
        <v>8649</v>
      </c>
      <c r="G5236" s="1" t="s">
        <v>49</v>
      </c>
      <c r="H5236" s="1" t="s">
        <v>16</v>
      </c>
      <c r="I5236" s="1" t="str">
        <f ca="1">IFERROR(__xludf.DUMMYFUNCTION("GOOGLETRANSLATE(F5236, ""auto"", ""en"")
"),"I bought it a long time ago, but I hardly use it. It heats up weakly, almost doesn’t curl my hair (despite the fact that I have wavy hair), after an hour a light wave (that’s all these curling irons are capable of) straightens. Alas. I don't recommend it.")</f>
        <v>I bought it a long time ago, but I hardly use it. It heats up weakly, almost doesn’t curl my hair (despite the fact that I have wavy hair), after an hour a light wave (that’s all these curling irons are capable of) straightens. Alas. I don't recommend it.</v>
      </c>
    </row>
    <row r="5237" spans="1:9" x14ac:dyDescent="0.3">
      <c r="A5237" s="1" t="s">
        <v>61</v>
      </c>
      <c r="B5237" s="1" t="s">
        <v>224</v>
      </c>
      <c r="C5237" s="1" t="s">
        <v>74</v>
      </c>
      <c r="D5237" s="1" t="s">
        <v>3407</v>
      </c>
      <c r="E5237" s="1" t="s">
        <v>124</v>
      </c>
      <c r="F5237" s="1" t="s">
        <v>8650</v>
      </c>
      <c r="G5237" s="1" t="s">
        <v>36</v>
      </c>
      <c r="H5237" s="1" t="s">
        <v>29</v>
      </c>
      <c r="I5237" s="1" t="str">
        <f ca="1">IFERROR(__xludf.DUMMYFUNCTION("GOOGLETRANSLATE(F5237, ""auto"", ""en"")
"),"My husband gave me a juicer from Moulinex, AWESOME!!!!! everything is so great. It squeezes out apples in seconds, and also squeezes out pomegranate really well, and I put kiwi directly with the peel, it turns out great. JUST AWESOME!!!!!")</f>
        <v>My husband gave me a juicer from Moulinex, AWESOME!!!!! everything is so great. It squeezes out apples in seconds, and also squeezes out pomegranate really well, and I put kiwi directly with the peel, it turns out great. JUST AWESOME!!!!!</v>
      </c>
    </row>
    <row r="5238" spans="1:9" x14ac:dyDescent="0.3">
      <c r="A5238" s="1" t="s">
        <v>37</v>
      </c>
      <c r="B5238" s="1" t="s">
        <v>536</v>
      </c>
      <c r="C5238" s="1" t="s">
        <v>32</v>
      </c>
      <c r="D5238" s="1" t="s">
        <v>186</v>
      </c>
      <c r="E5238" s="1" t="s">
        <v>1811</v>
      </c>
      <c r="F5238" s="1" t="s">
        <v>8651</v>
      </c>
      <c r="G5238" s="1" t="s">
        <v>36</v>
      </c>
      <c r="H5238" s="1" t="s">
        <v>29</v>
      </c>
      <c r="I5238" s="1" t="str">
        <f ca="1">IFERROR(__xludf.DUMMYFUNCTION("GOOGLETRANSLATE(F5238, ""auto"", ""en"")
"),"I bought one 3 days ago =) everything is fine) everything flies) it’s a pity that OS 1.6 could have been done on 2.2)) there are a lot of advantages) cons - the battery is rather weak, OS 1.6) the rest is ONE BIG PLUS)")</f>
        <v>I bought one 3 days ago =) everything is fine) everything flies) it’s a pity that OS 1.6 could have been done on 2.2)) there are a lot of advantages) cons - the battery is rather weak, OS 1.6) the rest is ONE BIG PLUS)</v>
      </c>
    </row>
    <row r="5239" spans="1:9" x14ac:dyDescent="0.3">
      <c r="A5239" s="1" t="s">
        <v>211</v>
      </c>
      <c r="B5239" s="1" t="s">
        <v>212</v>
      </c>
      <c r="C5239" s="1" t="s">
        <v>381</v>
      </c>
      <c r="D5239" s="1" t="s">
        <v>474</v>
      </c>
      <c r="E5239" s="1" t="s">
        <v>1452</v>
      </c>
      <c r="F5239" s="1" t="s">
        <v>8652</v>
      </c>
      <c r="G5239" s="1" t="s">
        <v>28</v>
      </c>
      <c r="H5239" s="1" t="s">
        <v>29</v>
      </c>
      <c r="I5239" s="1" t="str">
        <f ca="1">IFERROR(__xludf.DUMMYFUNCTION("GOOGLETRANSLATE(F5239, ""auto"", ""en"")
"),"Rowenta PH 230 is a good hair dryer. The buttons are not very conveniently located, but over time I got used to it. A convenient attachment with which you can easily straighten your hair. Overall, I liked it. I recommend it.")</f>
        <v>Rowenta PH 230 is a good hair dryer. The buttons are not very conveniently located, but over time I got used to it. A convenient attachment with which you can easily straighten your hair. Overall, I liked it. I recommend it.</v>
      </c>
    </row>
    <row r="5240" spans="1:9" x14ac:dyDescent="0.3">
      <c r="A5240" s="1" t="s">
        <v>120</v>
      </c>
      <c r="B5240" s="1" t="s">
        <v>126</v>
      </c>
      <c r="C5240" s="1" t="s">
        <v>151</v>
      </c>
      <c r="D5240" s="1" t="s">
        <v>8653</v>
      </c>
      <c r="E5240" s="1" t="s">
        <v>2853</v>
      </c>
      <c r="F5240" s="1" t="s">
        <v>8654</v>
      </c>
      <c r="G5240" s="1" t="s">
        <v>36</v>
      </c>
      <c r="H5240" s="1" t="s">
        <v>29</v>
      </c>
      <c r="I5240" s="1" t="str">
        <f ca="1">IFERROR(__xludf.DUMMYFUNCTION("GOOGLETRANSLATE(F5240, ""auto"", ""en"")
"),"The TV was needed to watch movies (HD rips, etc.). I’m not interested in regular TV, because I don’t watch it.  The choice was between the Toshiba 42 AV635 DR LCD and this model. Having looked at the dynamics, the quality of films, and terrestrial televis"&amp;"ion, I immediately realized that I would not take the LCD. And the static does not scare me. (Moreover, these are not those days, there is an anti-burn-in system). I am very pleased with the purchase.")</f>
        <v>The TV was needed to watch movies (HD rips, etc.). I’m not interested in regular TV, because I don’t watch it.  The choice was between the Toshiba 42 AV635 DR LCD and this model. Having looked at the dynamics, the quality of films, and terrestrial television, I immediately realized that I would not take the LCD. And the static does not scare me. (Moreover, these are not those days, there is an anti-burn-in system). I am very pleased with the purchase.</v>
      </c>
    </row>
    <row r="5241" spans="1:9" x14ac:dyDescent="0.3">
      <c r="A5241" s="1" t="s">
        <v>95</v>
      </c>
      <c r="B5241" s="1" t="s">
        <v>486</v>
      </c>
      <c r="C5241" s="1" t="s">
        <v>487</v>
      </c>
      <c r="D5241" s="1" t="s">
        <v>695</v>
      </c>
      <c r="E5241" s="1" t="s">
        <v>1955</v>
      </c>
      <c r="F5241" s="1" t="s">
        <v>8655</v>
      </c>
      <c r="G5241" s="1" t="s">
        <v>36</v>
      </c>
      <c r="H5241" s="1" t="s">
        <v>29</v>
      </c>
      <c r="I5241" s="1" t="str">
        <f ca="1">IFERROR(__xludf.DUMMYFUNCTION("GOOGLETRANSLATE(F5241, ""auto"", ""en"")
"),"I bought it last Saturday, I really liked it, I recommend it to everyone.")</f>
        <v>I bought it last Saturday, I really liked it, I recommend it to everyone.</v>
      </c>
    </row>
    <row r="5242" spans="1:9" x14ac:dyDescent="0.3">
      <c r="A5242" s="1" t="s">
        <v>211</v>
      </c>
      <c r="B5242" s="1" t="s">
        <v>410</v>
      </c>
      <c r="C5242" s="1" t="s">
        <v>57</v>
      </c>
      <c r="D5242" s="1" t="s">
        <v>33</v>
      </c>
      <c r="E5242" s="1" t="s">
        <v>214</v>
      </c>
      <c r="F5242" s="1" t="s">
        <v>8656</v>
      </c>
      <c r="G5242" s="1" t="s">
        <v>28</v>
      </c>
      <c r="H5242" s="1" t="s">
        <v>29</v>
      </c>
      <c r="I5242" s="1" t="str">
        <f ca="1">IFERROR(__xludf.DUMMYFUNCTION("GOOGLETRANSLATE(F5242, ""auto"", ""en"")
"),"The razor is very good, of course there are some shortcomings, but these are minor things. It shaves normally, even well... As for the trimmer, it's not very good, it's rather bad. And so, in principle, I’m happy, for the money, I think it’s quite normal."&amp;".. My rating is 4...")</f>
        <v>The razor is very good, of course there are some shortcomings, but these are minor things. It shaves normally, even well... As for the trimmer, it's not very good, it's rather bad. And so, in principle, I’m happy, for the money, I think it’s quite normal... My rating is 4...</v>
      </c>
    </row>
    <row r="5243" spans="1:9" x14ac:dyDescent="0.3">
      <c r="A5243" s="1" t="s">
        <v>61</v>
      </c>
      <c r="B5243" s="1" t="s">
        <v>318</v>
      </c>
      <c r="C5243" s="1" t="s">
        <v>213</v>
      </c>
      <c r="D5243" s="1" t="s">
        <v>8657</v>
      </c>
      <c r="E5243" s="1" t="s">
        <v>8658</v>
      </c>
      <c r="F5243" s="1" t="s">
        <v>8659</v>
      </c>
      <c r="G5243" s="1" t="s">
        <v>36</v>
      </c>
      <c r="H5243" s="1" t="s">
        <v>29</v>
      </c>
      <c r="I5243" s="1" t="str">
        <f ca="1">IFERROR(__xludf.DUMMYFUNCTION("GOOGLETRANSLATE(F5243, ""auto"", ""en"")
"),"Really great kettle. Friends hired me to work. Works like a clock. And they advised me!!! Plus great design!")</f>
        <v>Really great kettle. Friends hired me to work. Works like a clock. And they advised me!!! Plus great design!</v>
      </c>
    </row>
    <row r="5244" spans="1:9" x14ac:dyDescent="0.3">
      <c r="A5244" s="1" t="s">
        <v>149</v>
      </c>
      <c r="B5244" s="1" t="s">
        <v>576</v>
      </c>
      <c r="C5244" s="1" t="s">
        <v>151</v>
      </c>
      <c r="D5244" s="1" t="s">
        <v>1681</v>
      </c>
      <c r="E5244" s="1" t="s">
        <v>4187</v>
      </c>
      <c r="F5244" s="1" t="s">
        <v>8660</v>
      </c>
      <c r="G5244" s="1" t="s">
        <v>36</v>
      </c>
      <c r="H5244" s="1" t="s">
        <v>29</v>
      </c>
      <c r="I5244" s="1" t="str">
        <f ca="1">IFERROR(__xludf.DUMMYFUNCTION("GOOGLETRANSLATE(F5244, ""auto"", ""en"")
"),"Excellent vacuum cleaner for this price. At first I wanted to take it without a dust collector, with a washable filter, but it turned out that the reviews about inexpensive models are not very good. So this one is a real find. Yes, it makes noise, but it "&amp;"sucks))) Of course there are disadvantages - lack of power adjustment and a plastic pipe, but still there are many more advantages than disadvantages.")</f>
        <v>Excellent vacuum cleaner for this price. At first I wanted to take it without a dust collector, with a washable filter, but it turned out that the reviews about inexpensive models are not very good. So this one is a real find. Yes, it makes noise, but it sucks))) Of course there are disadvantages - lack of power adjustment and a plastic pipe, but still there are many more advantages than disadvantages.</v>
      </c>
    </row>
    <row r="5245" spans="1:9" x14ac:dyDescent="0.3">
      <c r="A5245" s="1" t="s">
        <v>61</v>
      </c>
      <c r="B5245" s="1" t="s">
        <v>224</v>
      </c>
      <c r="C5245" s="1" t="s">
        <v>85</v>
      </c>
      <c r="D5245" s="1" t="s">
        <v>39</v>
      </c>
      <c r="E5245" s="1" t="s">
        <v>8661</v>
      </c>
      <c r="F5245" s="1" t="s">
        <v>8662</v>
      </c>
      <c r="G5245" s="1" t="s">
        <v>15</v>
      </c>
      <c r="H5245" s="1" t="s">
        <v>16</v>
      </c>
      <c r="I5245" s="1" t="str">
        <f ca="1">IFERROR(__xludf.DUMMYFUNCTION("GOOGLETRANSLATE(F5245, ""auto"", ""en"")
"),"Bought in Kaluga in M-Video 08/08/16. The store said that the juice flows quickly, the pulp is dry, it can work for a long time without stopping. As a result, the pulp is wet, the centrifuge constantly gets clogged, and after 40 minutes of operation the b"&amp;"ody became very hot and we smelled a strong smell of burnt windings. We are not happy with the purchase, for that kind of money you can buy 2 cheaper juicers and they will work no worse than this one!!!")</f>
        <v>Bought in Kaluga in M-Video 08/08/16. The store said that the juice flows quickly, the pulp is dry, it can work for a long time without stopping. As a result, the pulp is wet, the centrifuge constantly gets clogged, and after 40 minutes of operation the body became very hot and we smelled a strong smell of burnt windings. We are not happy with the purchase, for that kind of money you can buy 2 cheaper juicers and they will work no worse than this one!!!</v>
      </c>
    </row>
    <row r="5246" spans="1:9" x14ac:dyDescent="0.3">
      <c r="A5246" s="1" t="s">
        <v>105</v>
      </c>
      <c r="B5246" s="1" t="s">
        <v>106</v>
      </c>
      <c r="C5246" s="1" t="s">
        <v>1209</v>
      </c>
      <c r="D5246" s="1" t="s">
        <v>52</v>
      </c>
      <c r="E5246" s="1" t="s">
        <v>405</v>
      </c>
      <c r="F5246" s="1" t="s">
        <v>8663</v>
      </c>
      <c r="G5246" s="1" t="s">
        <v>36</v>
      </c>
      <c r="H5246" s="1" t="s">
        <v>29</v>
      </c>
      <c r="I5246" s="1" t="str">
        <f ca="1">IFERROR(__xludf.DUMMYFUNCTION("GOOGLETRANSLATE(F5246, ""auto"", ""en"")
"),"Yes, a normal player, there is more talk than there really is some kind of problem")</f>
        <v>Yes, a normal player, there is more talk than there really is some kind of problem</v>
      </c>
    </row>
    <row r="5247" spans="1:9" x14ac:dyDescent="0.3">
      <c r="A5247" s="1" t="s">
        <v>120</v>
      </c>
      <c r="B5247" s="1" t="s">
        <v>121</v>
      </c>
      <c r="C5247" s="1" t="s">
        <v>658</v>
      </c>
      <c r="D5247" s="1" t="s">
        <v>411</v>
      </c>
      <c r="E5247" s="1" t="s">
        <v>3147</v>
      </c>
      <c r="F5247" s="1" t="s">
        <v>8664</v>
      </c>
      <c r="G5247" s="1" t="s">
        <v>36</v>
      </c>
      <c r="H5247" s="1" t="s">
        <v>29</v>
      </c>
      <c r="I5247" s="1" t="str">
        <f ca="1">IFERROR(__xludf.DUMMYFUNCTION("GOOGLETRANSLATE(F5247, ""auto"", ""en"")
"),"An excellent TV for those who don’t want to overpay for bells and whistles you don’t need. The main advantage is that it picks up the analog signal very well (a regular antenna).      - Price (I bought it for 15990) - Channels switch quickly, about 0.5 se"&amp;"conds.   - Convenient remote control. Small, only everything you need, with convenient buttons.   - Does not distort the picture, there are no stretched faces (if you set the image format normally).   - The settings are extremely simple.    Nitpicking: Wh"&amp;"en selecting a channel, a delay has been introduced for pressing a two-digit channel. Therefore, if you need channel 0-9, you get a pause.     Good picture and good sound.  I recommend it to anyone who doesn’t need more.")</f>
        <v>An excellent TV for those who don’t want to overpay for bells and whistles you don’t need. The main advantage is that it picks up the analog signal very well (a regular antenna).      - Price (I bought it for 15990) - Channels switch quickly, about 0.5 seconds.   - Convenient remote control. Small, only everything you need, with convenient buttons.   - Does not distort the picture, there are no stretched faces (if you set the image format normally).   - The settings are extremely simple.    Nitpicking: When selecting a channel, a delay has been introduced for pressing a two-digit channel. Therefore, if you need channel 0-9, you get a pause.     Good picture and good sound.  I recommend it to anyone who doesn’t need more.</v>
      </c>
    </row>
    <row r="5248" spans="1:9" x14ac:dyDescent="0.3">
      <c r="A5248" s="1" t="s">
        <v>61</v>
      </c>
      <c r="B5248" s="1" t="s">
        <v>73</v>
      </c>
      <c r="C5248" s="1" t="s">
        <v>85</v>
      </c>
      <c r="D5248" s="1" t="s">
        <v>295</v>
      </c>
      <c r="E5248" s="1" t="s">
        <v>4157</v>
      </c>
      <c r="F5248" s="1" t="s">
        <v>8665</v>
      </c>
      <c r="G5248" s="1" t="s">
        <v>36</v>
      </c>
      <c r="H5248" s="1" t="s">
        <v>29</v>
      </c>
      <c r="I5248" s="1" t="str">
        <f ca="1">IFERROR(__xludf.DUMMYFUNCTION("GOOGLETRANSLATE(F5248, ""auto"", ""en"")
"),"Fire meat grinder!!! works very quietly compared to others. The auger connections are metal, 2 speeds, reverse, motor protection, the wire folds into it, very convenient and beautiful.")</f>
        <v>Fire meat grinder!!! works very quietly compared to others. The auger connections are metal, 2 speeds, reverse, motor protection, the wire folds into it, very convenient and beautiful.</v>
      </c>
    </row>
    <row r="5249" spans="1:9" x14ac:dyDescent="0.3">
      <c r="A5249" s="1" t="s">
        <v>61</v>
      </c>
      <c r="B5249" s="1" t="s">
        <v>224</v>
      </c>
      <c r="C5249" s="1" t="s">
        <v>85</v>
      </c>
      <c r="D5249" s="1" t="s">
        <v>521</v>
      </c>
      <c r="E5249" s="1" t="s">
        <v>2804</v>
      </c>
      <c r="F5249" s="1" t="s">
        <v>8666</v>
      </c>
      <c r="G5249" s="1" t="s">
        <v>28</v>
      </c>
      <c r="H5249" s="1" t="s">
        <v>29</v>
      </c>
      <c r="I5249" s="1" t="str">
        <f ca="1">IFERROR(__xludf.DUMMYFUNCTION("GOOGLETRANSLATE(F5249, ""auto"", ""en"")
"),"Excellent juicer. 1 liter of juice in 2 minutes and then 5 minutes for washing (rinse 3 elements with water, clean the mesh with the brush included in the kit). A regular plastic bag fits perfectly over the pulp container, all the garbage is there! Of cou"&amp;"rse, I won’t say that the pulp is perfectly dry, but if you count on 2 glasses of juice, then the losses are unnoticeable! And when after 1-1.5 kg. The apple mesh becomes clogged, you can simply skip 1-2 glasses of warm water (according to the instruction"&amp;"s) and continue using it! We were pleased with the purchase!")</f>
        <v>Excellent juicer. 1 liter of juice in 2 minutes and then 5 minutes for washing (rinse 3 elements with water, clean the mesh with the brush included in the kit). A regular plastic bag fits perfectly over the pulp container, all the garbage is there! Of course, I won’t say that the pulp is perfectly dry, but if you count on 2 glasses of juice, then the losses are unnoticeable! And when after 1-1.5 kg. The apple mesh becomes clogged, you can simply skip 1-2 glasses of warm water (according to the instructions) and continue using it! We were pleased with the purchase!</v>
      </c>
    </row>
    <row r="5250" spans="1:9" x14ac:dyDescent="0.3">
      <c r="A5250" s="1" t="s">
        <v>67</v>
      </c>
      <c r="B5250" s="1" t="s">
        <v>68</v>
      </c>
      <c r="C5250" s="1" t="s">
        <v>246</v>
      </c>
      <c r="D5250" s="1" t="s">
        <v>8667</v>
      </c>
      <c r="E5250" s="1" t="s">
        <v>1084</v>
      </c>
      <c r="F5250" s="1" t="s">
        <v>8668</v>
      </c>
      <c r="G5250" s="1" t="s">
        <v>36</v>
      </c>
      <c r="H5250" s="1" t="s">
        <v>29</v>
      </c>
      <c r="I5250" s="1" t="str">
        <f ca="1">IFERROR(__xludf.DUMMYFUNCTION("GOOGLETRANSLATE(F5250, ""auto"", ""en"")
"),"The iron is great!! very happy with the purchase! I recommend it to everyone!")</f>
        <v>The iron is great!! very happy with the purchase! I recommend it to everyone!</v>
      </c>
    </row>
    <row r="5251" spans="1:9" x14ac:dyDescent="0.3">
      <c r="A5251" s="1" t="s">
        <v>9</v>
      </c>
      <c r="B5251" s="1" t="s">
        <v>10</v>
      </c>
      <c r="C5251" s="1" t="s">
        <v>407</v>
      </c>
      <c r="D5251" s="1" t="s">
        <v>8669</v>
      </c>
      <c r="E5251" s="1" t="s">
        <v>6971</v>
      </c>
      <c r="F5251" s="1" t="s">
        <v>8670</v>
      </c>
      <c r="G5251" s="1" t="s">
        <v>28</v>
      </c>
      <c r="H5251" s="1" t="s">
        <v>29</v>
      </c>
      <c r="I5251" s="1" t="str">
        <f ca="1">IFERROR(__xludf.DUMMYFUNCTION("GOOGLETRANSLATE(F5251, ""auto"", ""en"")
"),"I was very pleased with the size and design, since the kitchen is small, which is a plus. The output is rather weak (for smokers), you have to turn on mode 3, it seems like we are on an airplane (very noisy). When cooking, mode 1 is enough, there is no sm"&amp;"ell of food left. Overall, for this price the hood is good. But since I chose it specifically to remove the smell of cigarette smoke, I wasn’t very happy with it, although I also chose it based on reviews. Therefore 4 stars)")</f>
        <v>I was very pleased with the size and design, since the kitchen is small, which is a plus. The output is rather weak (for smokers), you have to turn on mode 3, it seems like we are on an airplane (very noisy). When cooking, mode 1 is enough, there is no smell of food left. Overall, for this price the hood is good. But since I chose it specifically to remove the smell of cigarette smoke, I wasn’t very happy with it, although I also chose it based on reviews. Therefore 4 stars)</v>
      </c>
    </row>
    <row r="5252" spans="1:9" x14ac:dyDescent="0.3">
      <c r="A5252" s="1" t="s">
        <v>120</v>
      </c>
      <c r="B5252" s="1" t="s">
        <v>196</v>
      </c>
      <c r="C5252" s="1" t="s">
        <v>80</v>
      </c>
      <c r="D5252" s="1" t="s">
        <v>20</v>
      </c>
      <c r="E5252" s="1" t="s">
        <v>859</v>
      </c>
      <c r="F5252" s="1" t="s">
        <v>8671</v>
      </c>
      <c r="G5252" s="1" t="s">
        <v>28</v>
      </c>
      <c r="H5252" s="1" t="s">
        <v>29</v>
      </c>
      <c r="I5252" s="1" t="str">
        <f ca="1">IFERROR(__xludf.DUMMYFUNCTION("GOOGLETRANSLATE(F5252, ""auto"", ""en"")
"),"It's been in use for about 3 months now. In principle, I'm satisfied, good picture. Many useful settings, such as True Motion. I didn’t eat the 35 gig mkv’shka. It also reacts poorly to control from the remote control (rather, this is a feature of the mod"&amp;"el). It also works well as a second monitor.")</f>
        <v>It's been in use for about 3 months now. In principle, I'm satisfied, good picture. Many useful settings, such as True Motion. I didn’t eat the 35 gig mkv’shka. It also reacts poorly to control from the remote control (rather, this is a feature of the model). It also works well as a second monitor.</v>
      </c>
    </row>
    <row r="5253" spans="1:9" x14ac:dyDescent="0.3">
      <c r="A5253" s="1" t="s">
        <v>120</v>
      </c>
      <c r="B5253" s="1" t="s">
        <v>196</v>
      </c>
      <c r="C5253" s="1" t="s">
        <v>69</v>
      </c>
      <c r="D5253" s="1" t="s">
        <v>335</v>
      </c>
      <c r="E5253" s="1" t="s">
        <v>628</v>
      </c>
      <c r="F5253" s="1" t="s">
        <v>8672</v>
      </c>
      <c r="G5253" s="1" t="s">
        <v>15</v>
      </c>
      <c r="H5253" s="1" t="s">
        <v>16</v>
      </c>
      <c r="I5253" s="1" t="str">
        <f ca="1">IFERROR(__xludf.DUMMYFUNCTION("GOOGLETRANSLATE(F5253, ""auto"", ""en"")
"),"But for us it broke and 3 months have not passed.... The image just stupidly disappears, the sound remains.  The warranty is only for replacement of spare parts, but I don’t really want such a TV. The warranty will end in a year and problems with it will "&amp;"start again.")</f>
        <v>But for us it broke and 3 months have not passed.... The image just stupidly disappears, the sound remains.  The warranty is only for replacement of spare parts, but I don’t really want such a TV. The warranty will end in a year and problems with it will start again.</v>
      </c>
    </row>
    <row r="5254" spans="1:9" x14ac:dyDescent="0.3">
      <c r="A5254" s="1" t="s">
        <v>30</v>
      </c>
      <c r="B5254" s="1" t="s">
        <v>50</v>
      </c>
      <c r="C5254" s="1" t="s">
        <v>32</v>
      </c>
      <c r="D5254" s="1" t="s">
        <v>8673</v>
      </c>
      <c r="E5254" s="1" t="s">
        <v>2535</v>
      </c>
      <c r="F5254" s="1" t="s">
        <v>8674</v>
      </c>
      <c r="G5254" s="1" t="s">
        <v>36</v>
      </c>
      <c r="H5254" s="1" t="s">
        <v>29</v>
      </c>
      <c r="I5254" s="1" t="str">
        <f ca="1">IFERROR(__xludf.DUMMYFUNCTION("GOOGLETRANSLATE(F5254, ""auto"", ""en"")
"),"Great laptop, no doubt!")</f>
        <v>Great laptop, no doubt!</v>
      </c>
    </row>
    <row r="5255" spans="1:9" x14ac:dyDescent="0.3">
      <c r="A5255" s="1" t="s">
        <v>89</v>
      </c>
      <c r="B5255" s="1" t="s">
        <v>231</v>
      </c>
      <c r="C5255" s="1" t="s">
        <v>63</v>
      </c>
      <c r="D5255" s="1" t="s">
        <v>308</v>
      </c>
      <c r="E5255" s="1" t="s">
        <v>8675</v>
      </c>
      <c r="F5255" s="1" t="s">
        <v>8676</v>
      </c>
      <c r="G5255" s="1" t="s">
        <v>36</v>
      </c>
      <c r="H5255" s="1" t="s">
        <v>29</v>
      </c>
      <c r="I5255" s="1" t="str">
        <f ca="1">IFERROR(__xludf.DUMMYFUNCTION("GOOGLETRANSLATE(F5255, ""auto"", ""en"")
"),"If you put in good coffee and do the cleaning on time, then no problems will arise. She has been at work (1.5 years), so she works a lot and often, there have never been any problems. And if it did break, then I think this happens with any equipment, it’s"&amp;" just bad luck.")</f>
        <v>If you put in good coffee and do the cleaning on time, then no problems will arise. She has been at work (1.5 years), so she works a lot and often, there have never been any problems. And if it did break, then I think this happens with any equipment, it’s just bad luck.</v>
      </c>
    </row>
    <row r="5256" spans="1:9" x14ac:dyDescent="0.3">
      <c r="A5256" s="1" t="s">
        <v>30</v>
      </c>
      <c r="B5256" s="1" t="s">
        <v>31</v>
      </c>
      <c r="C5256" s="1" t="s">
        <v>32</v>
      </c>
      <c r="D5256" s="1" t="s">
        <v>1476</v>
      </c>
      <c r="E5256" s="1" t="s">
        <v>1406</v>
      </c>
      <c r="F5256" s="1" t="s">
        <v>8677</v>
      </c>
      <c r="G5256" s="1" t="s">
        <v>49</v>
      </c>
      <c r="H5256" s="1" t="s">
        <v>16</v>
      </c>
      <c r="I5256" s="1" t="str">
        <f ca="1">IFERROR(__xludf.DUMMYFUNCTION("GOOGLETRANSLATE(F5256, ""auto"", ""en"")
"),"I can’t understand why the manufacturer put a gt120 here when it was possible to install a more powerful video card, I have no doubt this system will “chew” any picture, but it will “chew” it, I apologize, choking. The processor is set to the highest leve"&amp;"l, the RAM configuration is also excellent, but the video card confuses me, well, after reading what even the “NVD people” themselves write about it, I can’t decide to buy it. 100% of the fact that you will have to buy the 9th generation g, but will it fi"&amp;"t there? and even if it does, firstly, the power supply will not allow it to work 100%, and secondly, the air circulation in the system will drop to 35% airflow, maybe I’m wrong, please help with advice.")</f>
        <v>I can’t understand why the manufacturer put a gt120 here when it was possible to install a more powerful video card, I have no doubt this system will “chew” any picture, but it will “chew” it, I apologize, choking. The processor is set to the highest level, the RAM configuration is also excellent, but the video card confuses me, well, after reading what even the “NVD people” themselves write about it, I can’t decide to buy it. 100% of the fact that you will have to buy the 9th generation g, but will it fit there? and even if it does, firstly, the power supply will not allow it to work 100%, and secondly, the air circulation in the system will drop to 35% airflow, maybe I’m wrong, please help with advice.</v>
      </c>
    </row>
    <row r="5257" spans="1:9" x14ac:dyDescent="0.3">
      <c r="A5257" s="1" t="s">
        <v>169</v>
      </c>
      <c r="B5257" s="1" t="s">
        <v>170</v>
      </c>
      <c r="C5257" s="1" t="s">
        <v>122</v>
      </c>
      <c r="D5257" s="1" t="s">
        <v>8678</v>
      </c>
      <c r="E5257" s="1" t="s">
        <v>3444</v>
      </c>
      <c r="F5257" s="1" t="s">
        <v>8679</v>
      </c>
      <c r="G5257" s="1" t="s">
        <v>28</v>
      </c>
      <c r="H5257" s="1" t="s">
        <v>29</v>
      </c>
      <c r="I5257" s="1" t="str">
        <f ca="1">IFERROR(__xludf.DUMMYFUNCTION("GOOGLETRANSLATE(F5257, ""auto"", ""en"")
"),"They served for almost 5 years. Everything was fine, except for the rubber bands flying off into my ears. And I had to buy spare parts and glue them on. Apparently, she didn’t spare the glue and one of the headphones stopped working (This is a sad story a"&amp;"nd an inglorious end to my headphones. Oh yes, sometimes there were some whistles in the left earphone. But apparently it was a temporary clouding. But then they seemed to cost more, or is it just my imagination...")</f>
        <v>They served for almost 5 years. Everything was fine, except for the rubber bands flying off into my ears. And I had to buy spare parts and glue them on. Apparently, she didn’t spare the glue and one of the headphones stopped working (This is a sad story and an inglorious end to my headphones. Oh yes, sometimes there were some whistles in the left earphone. But apparently it was a temporary clouding. But then they seemed to cost more, or is it just my imagination...</v>
      </c>
    </row>
    <row r="5258" spans="1:9" x14ac:dyDescent="0.3">
      <c r="A5258" s="1" t="s">
        <v>9</v>
      </c>
      <c r="B5258" s="1" t="s">
        <v>10</v>
      </c>
      <c r="C5258" s="1" t="s">
        <v>466</v>
      </c>
      <c r="D5258" s="1" t="s">
        <v>295</v>
      </c>
      <c r="E5258" s="1" t="s">
        <v>8680</v>
      </c>
      <c r="F5258" s="1" t="s">
        <v>413</v>
      </c>
      <c r="G5258" s="1" t="s">
        <v>49</v>
      </c>
      <c r="H5258" s="1" t="s">
        <v>16</v>
      </c>
      <c r="I5258" s="1" t="str">
        <f ca="1">IFERROR(__xludf.DUMMYFUNCTION("GOOGLETRANSLATE(F5258, ""auto"", ""en"")
"),"No")</f>
        <v>No</v>
      </c>
    </row>
    <row r="5259" spans="1:9" x14ac:dyDescent="0.3">
      <c r="A5259" s="1" t="s">
        <v>477</v>
      </c>
      <c r="B5259" s="1" t="s">
        <v>478</v>
      </c>
      <c r="C5259" s="1" t="s">
        <v>479</v>
      </c>
      <c r="D5259" s="1" t="s">
        <v>8681</v>
      </c>
      <c r="E5259" s="1" t="s">
        <v>118</v>
      </c>
      <c r="F5259" s="1" t="s">
        <v>8682</v>
      </c>
      <c r="G5259" s="1" t="s">
        <v>36</v>
      </c>
      <c r="H5259" s="1" t="s">
        <v>29</v>
      </c>
      <c r="I5259" s="1" t="str">
        <f ca="1">IFERROR(__xludf.DUMMYFUNCTION("GOOGLETRANSLATE(F5259, ""auto"", ""en"")
"),"Thank you so much for bringing this game to our city. I have been waiting for a long time for it to appear somewhere. And I express my deepest gratitude for opening a store in our city. With the advent of M.Video, we got the opportunity to purchase licens"&amp;"ed discs (before that they were in small quantities, and very rarely).")</f>
        <v>Thank you so much for bringing this game to our city. I have been waiting for a long time for it to appear somewhere. And I express my deepest gratitude for opening a store in our city. With the advent of M.Video, we got the opportunity to purchase licensed discs (before that they were in small quantities, and very rarely).</v>
      </c>
    </row>
    <row r="5260" spans="1:9" x14ac:dyDescent="0.3">
      <c r="A5260" s="1" t="s">
        <v>111</v>
      </c>
      <c r="B5260" s="1" t="s">
        <v>636</v>
      </c>
      <c r="C5260" s="1" t="s">
        <v>637</v>
      </c>
      <c r="D5260" s="1" t="s">
        <v>280</v>
      </c>
      <c r="E5260" s="1" t="s">
        <v>8683</v>
      </c>
      <c r="F5260" s="1" t="s">
        <v>8684</v>
      </c>
      <c r="G5260" s="1" t="s">
        <v>36</v>
      </c>
      <c r="H5260" s="1" t="s">
        <v>29</v>
      </c>
      <c r="I5260" s="1" t="str">
        <f ca="1">IFERROR(__xludf.DUMMYFUNCTION("GOOGLETRANSLATE(F5260, ""auto"", ""en"")
"),"We have been using it for about 4-5 years and have never regretted our purchase.  Quality item. I recommend!  The only drawback is that the pressure is not in mm of mercury, but in other bourgeois units of measurement to choose from.")</f>
        <v>We have been using it for about 4-5 years and have never regretted our purchase.  Quality item. I recommend!  The only drawback is that the pressure is not in mm of mercury, but in other bourgeois units of measurement to choose from.</v>
      </c>
    </row>
    <row r="5261" spans="1:9" x14ac:dyDescent="0.3">
      <c r="A5261" s="1" t="s">
        <v>95</v>
      </c>
      <c r="B5261" s="1" t="s">
        <v>227</v>
      </c>
      <c r="C5261" s="1" t="s">
        <v>97</v>
      </c>
      <c r="D5261" s="1" t="s">
        <v>305</v>
      </c>
      <c r="E5261" s="1" t="s">
        <v>2215</v>
      </c>
      <c r="F5261" s="1" t="s">
        <v>8685</v>
      </c>
      <c r="G5261" s="1" t="s">
        <v>36</v>
      </c>
      <c r="H5261" s="1" t="s">
        <v>29</v>
      </c>
      <c r="I5261" s="1" t="str">
        <f ca="1">IFERROR(__xludf.DUMMYFUNCTION("GOOGLETRANSLATE(F5261, ""auto"", ""en"")
"),"I bought the console on the 10th of this month, what can I say since the 1st Sony, a lot of time has passed and Sony turned out to be a cool thing, I checked it, everything works. The new firmware 3.01 was installed with Teken 6, everything seems to be fi"&amp;"ne. I’ll give it to my son on December 31st, then we’ll test it. The only thing I can say is that now you need to buy PLASMA, otherwise not ICE. The inscriptions are too small and almost unreadable, but in general the prefix is, of course, Super.")</f>
        <v>I bought the console on the 10th of this month, what can I say since the 1st Sony, a lot of time has passed and Sony turned out to be a cool thing, I checked it, everything works. The new firmware 3.01 was installed with Teken 6, everything seems to be fine. I’ll give it to my son on December 31st, then we’ll test it. The only thing I can say is that now you need to buy PLASMA, otherwise not ICE. The inscriptions are too small and almost unreadable, but in general the prefix is, of course, Super.</v>
      </c>
    </row>
    <row r="5262" spans="1:9" x14ac:dyDescent="0.3">
      <c r="A5262" s="1" t="s">
        <v>30</v>
      </c>
      <c r="B5262" s="1" t="s">
        <v>31</v>
      </c>
      <c r="C5262" s="1" t="s">
        <v>32</v>
      </c>
      <c r="D5262" s="1" t="s">
        <v>152</v>
      </c>
      <c r="E5262" s="1" t="s">
        <v>2333</v>
      </c>
      <c r="F5262" s="1" t="s">
        <v>8686</v>
      </c>
      <c r="G5262" s="1" t="s">
        <v>36</v>
      </c>
      <c r="H5262" s="1" t="s">
        <v>29</v>
      </c>
      <c r="I5262" s="1" t="str">
        <f ca="1">IFERROR(__xludf.DUMMYFUNCTION("GOOGLETRANSLATE(F5262, ""auto"", ""en"")
"),"I spent a very long time choosing a computer at a price of 20,000 to 30,000. So far I’ve settled on this. I’ll save up a little, buy it and report back, the parameters suit me, I advise you to buy it. I give a strong five.")</f>
        <v>I spent a very long time choosing a computer at a price of 20,000 to 30,000. So far I’ve settled on this. I’ll save up a little, buy it and report back, the parameters suit me, I advise you to buy it. I give a strong five.</v>
      </c>
    </row>
    <row r="5263" spans="1:9" x14ac:dyDescent="0.3">
      <c r="A5263" s="1" t="s">
        <v>37</v>
      </c>
      <c r="B5263" s="1" t="s">
        <v>536</v>
      </c>
      <c r="C5263" s="1" t="s">
        <v>32</v>
      </c>
      <c r="D5263" s="1" t="s">
        <v>891</v>
      </c>
      <c r="E5263" s="1" t="s">
        <v>1432</v>
      </c>
      <c r="F5263" s="1" t="s">
        <v>8687</v>
      </c>
      <c r="G5263" s="1" t="s">
        <v>36</v>
      </c>
      <c r="H5263" s="1" t="s">
        <v>29</v>
      </c>
      <c r="I5263" s="1" t="str">
        <f ca="1">IFERROR(__xludf.DUMMYFUNCTION("GOOGLETRANSLATE(F5263, ""auto"", ""en"")
"),"Simply a great device! Everything flies! There is an official OS update to 2.1 (according to rumors, up to 2.2 is being prepared!) The battery lasts for two to three days! There's a lot of software! In general, you won’t regret it!")</f>
        <v>Simply a great device! Everything flies! There is an official OS update to 2.1 (according to rumors, up to 2.2 is being prepared!) The battery lasts for two to three days! There's a lot of software! In general, you won’t regret it!</v>
      </c>
    </row>
    <row r="5264" spans="1:9" x14ac:dyDescent="0.3">
      <c r="A5264" s="1" t="s">
        <v>211</v>
      </c>
      <c r="B5264" s="1" t="s">
        <v>789</v>
      </c>
      <c r="C5264" s="1" t="s">
        <v>69</v>
      </c>
      <c r="D5264" s="1" t="s">
        <v>568</v>
      </c>
      <c r="E5264" s="1" t="s">
        <v>8688</v>
      </c>
      <c r="F5264" s="1" t="s">
        <v>8689</v>
      </c>
      <c r="G5264" s="1" t="s">
        <v>36</v>
      </c>
      <c r="H5264" s="1" t="s">
        <v>29</v>
      </c>
      <c r="I5264" s="1" t="str">
        <f ca="1">IFERROR(__xludf.DUMMYFUNCTION("GOOGLETRANSLATE(F5264, ""auto"", ""en"")
"),"Yesterday we bought this Baby Monitor. The connection is decent - you can go to the store while the child is sleeping. I can hear everything perfectly. The only drawback is that the menu is not in Russian. Two-way communication is like a walkie-talkie. (Y"&amp;"ou can answer the child something in your own voice. We spent a month thinking about whether to buy a baby monitor or not - Now we don’t regret it at all.")</f>
        <v>Yesterday we bought this Baby Monitor. The connection is decent - you can go to the store while the child is sleeping. I can hear everything perfectly. The only drawback is that the menu is not in Russian. Two-way communication is like a walkie-talkie. (You can answer the child something in your own voice. We spent a month thinking about whether to buy a baby monitor or not - Now we don’t regret it at all.</v>
      </c>
    </row>
    <row r="5265" spans="1:9" x14ac:dyDescent="0.3">
      <c r="A5265" s="1" t="s">
        <v>169</v>
      </c>
      <c r="B5265" s="1" t="s">
        <v>170</v>
      </c>
      <c r="C5265" s="1" t="s">
        <v>193</v>
      </c>
      <c r="D5265" s="1" t="s">
        <v>7879</v>
      </c>
      <c r="E5265" s="1" t="s">
        <v>427</v>
      </c>
      <c r="F5265" s="1" t="s">
        <v>8690</v>
      </c>
      <c r="G5265" s="1" t="s">
        <v>36</v>
      </c>
      <c r="H5265" s="1" t="s">
        <v>29</v>
      </c>
      <c r="I5265" s="1" t="str">
        <f ca="1">IFERROR(__xludf.DUMMYFUNCTION("GOOGLETRANSLATE(F5265, ""auto"", ""en"")
"),"Excellent sound compared with 202, 201, Philips SHP2700, Sony MDR-XD100. Philips, Sony 201 was eliminated immediately. 202-liked. And then the seller advised me to listen to the 150s. I spent a long time tinkering with the 202 vc 150 until I came across a"&amp;" composition with rich, detailed bass - and I realized that the 150s are better. I took the 150s, although they press a little, and somehow on the temples and not on the ears themselves, but what a sound!!! juicy bass, detailed highs, but without protrudi"&amp;"ng “clicking”. I came home and turned on my favorite compositions - orchestral jazz, swing, blues, mambo, rock - just amazing! Sound insulation from the outside world is complete. Yes, another minus is that your ears sweat quickly. Thanks to the consultan"&amp;"ts for letting me listen to everything and suggesting this model.")</f>
        <v>Excellent sound compared with 202, 201, Philips SHP2700, Sony MDR-XD100. Philips, Sony 201 was eliminated immediately. 202-liked. And then the seller advised me to listen to the 150s. I spent a long time tinkering with the 202 vc 150 until I came across a composition with rich, detailed bass - and I realized that the 150s are better. I took the 150s, although they press a little, and somehow on the temples and not on the ears themselves, but what a sound!!! juicy bass, detailed highs, but without protruding “clicking”. I came home and turned on my favorite compositions - orchestral jazz, swing, blues, mambo, rock - just amazing! Sound insulation from the outside world is complete. Yes, another minus is that your ears sweat quickly. Thanks to the consultants for letting me listen to everything and suggesting this model.</v>
      </c>
    </row>
    <row r="5266" spans="1:9" x14ac:dyDescent="0.3">
      <c r="A5266" s="1" t="s">
        <v>43</v>
      </c>
      <c r="B5266" s="1" t="s">
        <v>219</v>
      </c>
      <c r="C5266" s="1" t="s">
        <v>665</v>
      </c>
      <c r="D5266" s="1" t="s">
        <v>139</v>
      </c>
      <c r="E5266" s="1" t="s">
        <v>8691</v>
      </c>
      <c r="F5266" s="1" t="s">
        <v>8692</v>
      </c>
      <c r="G5266" s="1" t="s">
        <v>28</v>
      </c>
      <c r="H5266" s="1" t="s">
        <v>29</v>
      </c>
      <c r="I5266" s="1" t="str">
        <f ca="1">IFERROR(__xludf.DUMMYFUNCTION("GOOGLETRANSLATE(F5266, ""auto"", ""en"")
"),"+ Installed quickly, heats well, in the kitchen as a backup source of hot water. - It started dripping after warming up from the hot water outlet fitting (it’s plastic). I'll change it to metal, and then we'll see how it works. And so, in principle, it’s "&amp;"normal for that kind of money.")</f>
        <v>+ Installed quickly, heats well, in the kitchen as a backup source of hot water. - It started dripping after warming up from the hot water outlet fitting (it’s plastic). I'll change it to metal, and then we'll see how it works. And so, in principle, it’s normal for that kind of money.</v>
      </c>
    </row>
    <row r="5267" spans="1:9" x14ac:dyDescent="0.3">
      <c r="A5267" s="1" t="s">
        <v>37</v>
      </c>
      <c r="B5267" s="1" t="s">
        <v>38</v>
      </c>
      <c r="C5267" s="1" t="s">
        <v>151</v>
      </c>
      <c r="D5267" s="1" t="s">
        <v>8693</v>
      </c>
      <c r="E5267" s="1" t="s">
        <v>8694</v>
      </c>
      <c r="F5267" s="1" t="s">
        <v>8695</v>
      </c>
      <c r="G5267" s="1" t="s">
        <v>15</v>
      </c>
      <c r="H5267" s="1" t="s">
        <v>16</v>
      </c>
      <c r="I5267" s="1" t="str">
        <f ca="1">IFERROR(__xludf.DUMMYFUNCTION("GOOGLETRANSLATE(F5267, ""auto"", ""en"")
"),"After a year of using this model, a problem arose. The phone froze tightly after a call or an alarm clock. We took it in for repair three times, it didn’t help, we had to return it to the store. Either the Samsung itself was g..., or we came across a copy"&amp;" like this.")</f>
        <v>After a year of using this model, a problem arose. The phone froze tightly after a call or an alarm clock. We took it in for repair three times, it didn’t help, we had to return it to the store. Either the Samsung itself was g..., or we came across a copy like this.</v>
      </c>
    </row>
    <row r="5268" spans="1:9" x14ac:dyDescent="0.3">
      <c r="A5268" s="1" t="s">
        <v>55</v>
      </c>
      <c r="B5268" s="1" t="s">
        <v>56</v>
      </c>
      <c r="C5268" s="1" t="s">
        <v>1373</v>
      </c>
      <c r="D5268" s="1" t="s">
        <v>208</v>
      </c>
      <c r="E5268" s="1" t="s">
        <v>2118</v>
      </c>
      <c r="F5268" s="1" t="s">
        <v>8696</v>
      </c>
      <c r="G5268" s="1" t="s">
        <v>36</v>
      </c>
      <c r="H5268" s="1" t="s">
        <v>29</v>
      </c>
      <c r="I5268" s="1" t="str">
        <f ca="1">IFERROR(__xludf.DUMMYFUNCTION("GOOGLETRANSLATE(F5268, ""auto"", ""en"")
"),"Bought in December 2013 due to the birth of a child. It took a long time to choose - this model won because it had a discount of 1000 rubles)) At home we quickly figured out the controls. Pros: large water capacity, high power and area coverage (our bedro"&amp;"om is 30 m2 - in 2 hours the humidity reaches 38, which is quite comfortable for a person). No white scale or sediment!!! The kit even includes a cleaning brush and a nozzle for directing the steam flow. There is an alarm for the water level and the clean"&amp;"liness of the device. Cons: after a week the light \Clean the membrane\ came on - they cleaned it in every possible way - it didn’t help. It doesn’t affect work in any way, so we smiled and accepted it. The main problem is that it is not easy to maintain "&amp;"due to its overall dimensions. To get water, you need to turn it over. To do it back with 6.5 liters without spilling, you have to be superman)) I advise you to take it.")</f>
        <v>Bought in December 2013 due to the birth of a child. It took a long time to choose - this model won because it had a discount of 1000 rubles)) At home we quickly figured out the controls. Pros: large water capacity, high power and area coverage (our bedroom is 30 m2 - in 2 hours the humidity reaches 38, which is quite comfortable for a person). No white scale or sediment!!! The kit even includes a cleaning brush and a nozzle for directing the steam flow. There is an alarm for the water level and the cleanliness of the device. Cons: after a week the light \Clean the membrane\ came on - they cleaned it in every possible way - it didn’t help. It doesn’t affect work in any way, so we smiled and accepted it. The main problem is that it is not easy to maintain due to its overall dimensions. To get water, you need to turn it over. To do it back with 6.5 liters without spilling, you have to be superman)) I advise you to take it.</v>
      </c>
    </row>
    <row r="5269" spans="1:9" x14ac:dyDescent="0.3">
      <c r="A5269" s="1" t="s">
        <v>43</v>
      </c>
      <c r="B5269" s="1" t="s">
        <v>502</v>
      </c>
      <c r="C5269" s="1" t="s">
        <v>151</v>
      </c>
      <c r="D5269" s="1" t="s">
        <v>305</v>
      </c>
      <c r="E5269" s="1" t="s">
        <v>460</v>
      </c>
      <c r="F5269" s="1" t="s">
        <v>8697</v>
      </c>
      <c r="G5269" s="1" t="s">
        <v>36</v>
      </c>
      <c r="H5269" s="1" t="s">
        <v>29</v>
      </c>
      <c r="I5269" s="1" t="str">
        <f ca="1">IFERROR(__xludf.DUMMYFUNCTION("GOOGLETRANSLATE(F5269, ""auto"", ""en"")
"),"Cools instantly.  For 12 m2, perhaps, excess power.    At first it stank a little for some unknown reason (apparently there were microbes inside), but the heating mode for a couple of hours, and then the fan mode solved the problem.    Overall a great sys"&amp;"tem.")</f>
        <v>Cools instantly.  For 12 m2, perhaps, excess power.    At first it stank a little for some unknown reason (apparently there were microbes inside), but the heating mode for a couple of hours, and then the fan mode solved the problem.    Overall a great system.</v>
      </c>
    </row>
    <row r="5270" spans="1:9" x14ac:dyDescent="0.3">
      <c r="A5270" s="1" t="s">
        <v>149</v>
      </c>
      <c r="B5270" s="1" t="s">
        <v>155</v>
      </c>
      <c r="C5270" s="1" t="s">
        <v>1187</v>
      </c>
      <c r="D5270" s="1" t="s">
        <v>8698</v>
      </c>
      <c r="E5270" s="1" t="s">
        <v>1454</v>
      </c>
      <c r="F5270" s="1" t="s">
        <v>8699</v>
      </c>
      <c r="G5270" s="1" t="s">
        <v>36</v>
      </c>
      <c r="H5270" s="1" t="s">
        <v>29</v>
      </c>
      <c r="I5270" s="1" t="str">
        <f ca="1">IFERROR(__xludf.DUMMYFUNCTION("GOOGLETRANSLATE(F5270, ""auto"", ""en"")
"),"I bought it yesterday and vacuumed the room right away. Simple, convenient, nothing superfluous. Excellent design, simply cosmic. A little expensive, of course, but a lot of positive emotions... Cleaning turns from a boring task into entertainment.")</f>
        <v>I bought it yesterday and vacuumed the room right away. Simple, convenient, nothing superfluous. Excellent design, simply cosmic. A little expensive, of course, but a lot of positive emotions... Cleaning turns from a boring task into entertainment.</v>
      </c>
    </row>
    <row r="5271" spans="1:9" x14ac:dyDescent="0.3">
      <c r="A5271" s="1" t="s">
        <v>149</v>
      </c>
      <c r="B5271" s="1" t="s">
        <v>423</v>
      </c>
      <c r="C5271" s="1" t="s">
        <v>314</v>
      </c>
      <c r="D5271" s="1" t="s">
        <v>39</v>
      </c>
      <c r="E5271" s="1" t="s">
        <v>1490</v>
      </c>
      <c r="F5271" s="1" t="s">
        <v>8700</v>
      </c>
      <c r="G5271" s="1" t="s">
        <v>28</v>
      </c>
      <c r="H5271" s="1" t="s">
        <v>29</v>
      </c>
      <c r="I5271" s="1" t="str">
        <f ca="1">IFERROR(__xludf.DUMMYFUNCTION("GOOGLETRANSLATE(F5271, ""auto"", ""en"")
"),"powerful ")</f>
        <v xml:space="preserve">powerful </v>
      </c>
    </row>
    <row r="5272" spans="1:9" x14ac:dyDescent="0.3">
      <c r="A5272" s="1" t="s">
        <v>120</v>
      </c>
      <c r="B5272" s="1" t="s">
        <v>121</v>
      </c>
      <c r="C5272" s="1" t="s">
        <v>80</v>
      </c>
      <c r="D5272" s="1" t="s">
        <v>305</v>
      </c>
      <c r="E5272" s="1" t="s">
        <v>2298</v>
      </c>
      <c r="F5272" s="1" t="s">
        <v>8701</v>
      </c>
      <c r="G5272" s="1" t="s">
        <v>49</v>
      </c>
      <c r="H5272" s="1" t="s">
        <v>16</v>
      </c>
      <c r="I5272" s="1" t="str">
        <f ca="1">IFERROR(__xludf.DUMMYFUNCTION("GOOGLETRANSLATE(F5272, ""auto"", ""en"")
"),"The TV is generally not bad, but it does not have USB, although stores loudly say the opposite. There is an entrance for service purposes only. Let's go change it.")</f>
        <v>The TV is generally not bad, but it does not have USB, although stores loudly say the opposite. There is an entrance for service purposes only. Let's go change it.</v>
      </c>
    </row>
    <row r="5273" spans="1:9" x14ac:dyDescent="0.3">
      <c r="A5273" s="1" t="s">
        <v>965</v>
      </c>
      <c r="B5273" s="1" t="s">
        <v>966</v>
      </c>
      <c r="C5273" s="1" t="s">
        <v>2149</v>
      </c>
      <c r="D5273" s="1" t="s">
        <v>152</v>
      </c>
      <c r="E5273" s="1" t="s">
        <v>5800</v>
      </c>
      <c r="F5273" s="1" t="s">
        <v>8702</v>
      </c>
      <c r="G5273" s="1" t="s">
        <v>36</v>
      </c>
      <c r="H5273" s="1" t="s">
        <v>29</v>
      </c>
      <c r="I5273" s="1" t="str">
        <f ca="1">IFERROR(__xludf.DUMMYFUNCTION("GOOGLETRANSLATE(F5273, ""auto"", ""en"")
"),"Excellent speakers for the money! The bass is excellent! The high frequencies are a little worse, but it’s almost unnoticeable. The sound is amazing when watching movies! I’ve been using it for the second week and am completely satisfied. Now you need to "&amp;"look for a good sound card to fully realize the full potential of your speakers!")</f>
        <v>Excellent speakers for the money! The bass is excellent! The high frequencies are a little worse, but it’s almost unnoticeable. The sound is amazing when watching movies! I’ve been using it for the second week and am completely satisfied. Now you need to look for a good sound card to fully realize the full potential of your speakers!</v>
      </c>
    </row>
    <row r="5274" spans="1:9" x14ac:dyDescent="0.3">
      <c r="A5274" s="1" t="s">
        <v>105</v>
      </c>
      <c r="B5274" s="1" t="s">
        <v>106</v>
      </c>
      <c r="C5274" s="1" t="s">
        <v>1209</v>
      </c>
      <c r="D5274" s="1" t="s">
        <v>8703</v>
      </c>
      <c r="E5274" s="1" t="s">
        <v>841</v>
      </c>
      <c r="F5274" s="1" t="s">
        <v>8704</v>
      </c>
      <c r="G5274" s="1" t="s">
        <v>28</v>
      </c>
      <c r="H5274" s="1" t="s">
        <v>29</v>
      </c>
      <c r="I5274" s="1" t="str">
        <f ca="1">IFERROR(__xludf.DUMMYFUNCTION("GOOGLETRANSLATE(F5274, ""auto"", ""en"")
"),"Very good player. I bought it 1.5 years ago and am still happy with it. The sound quality is excellent, the menu is convenient, and the headphones haven’t broken the whole time))), it’s never glitched, and the buttons work well, even in cold weather. But "&amp;"there were still problems, a year later the headphone jack broke, but after the repair everything began to work perfectly))))")</f>
        <v>Very good player. I bought it 1.5 years ago and am still happy with it. The sound quality is excellent, the menu is convenient, and the headphones haven’t broken the whole time))), it’s never glitched, and the buttons work well, even in cold weather. But there were still problems, a year later the headphone jack broke, but after the repair everything began to work perfectly))))</v>
      </c>
    </row>
    <row r="5275" spans="1:9" x14ac:dyDescent="0.3">
      <c r="A5275" s="1" t="s">
        <v>206</v>
      </c>
      <c r="B5275" s="1" t="s">
        <v>207</v>
      </c>
      <c r="C5275" s="1" t="s">
        <v>262</v>
      </c>
      <c r="D5275" s="1" t="s">
        <v>1917</v>
      </c>
      <c r="E5275" s="1" t="s">
        <v>2358</v>
      </c>
      <c r="F5275" s="1" t="s">
        <v>8705</v>
      </c>
      <c r="G5275" s="1" t="s">
        <v>49</v>
      </c>
      <c r="H5275" s="1" t="s">
        <v>16</v>
      </c>
      <c r="I5275" s="1" t="str">
        <f ca="1">IFERROR(__xludf.DUMMYFUNCTION("GOOGLETRANSLATE(F5275, ""auto"", ""en"")
"),"Plays completely like crap. The body is not durable and comes apart quickly at the seams. The diffuser burst. We took the second speaker and put out exactly 500 watts. got burned, although they wrote 1000 watts maximum")</f>
        <v>Plays completely like crap. The body is not durable and comes apart quickly at the seams. The diffuser burst. We took the second speaker and put out exactly 500 watts. got burned, although they wrote 1000 watts maximum</v>
      </c>
    </row>
    <row r="5276" spans="1:9" x14ac:dyDescent="0.3">
      <c r="A5276" s="1" t="s">
        <v>61</v>
      </c>
      <c r="B5276" s="1" t="s">
        <v>73</v>
      </c>
      <c r="C5276" s="1" t="s">
        <v>146</v>
      </c>
      <c r="D5276" s="1" t="s">
        <v>8706</v>
      </c>
      <c r="E5276" s="1" t="s">
        <v>379</v>
      </c>
      <c r="F5276" s="1" t="s">
        <v>8707</v>
      </c>
      <c r="G5276" s="1" t="s">
        <v>49</v>
      </c>
      <c r="H5276" s="1" t="s">
        <v>16</v>
      </c>
      <c r="I5276" s="1" t="str">
        <f ca="1">IFERROR(__xludf.DUMMYFUNCTION("GOOGLETRANSLATE(F5276, ""auto"", ""en"")
"),"Bought it, seemed to work well. It just worked very loudly, but after six months it stopped turning the meat, although the noise persisted. a gear flew off and was lost, but there are no such things in workshops....")</f>
        <v>Bought it, seemed to work well. It just worked very loudly, but after six months it stopped turning the meat, although the noise persisted. a gear flew off and was lost, but there are no such things in workshops....</v>
      </c>
    </row>
    <row r="5277" spans="1:9" x14ac:dyDescent="0.3">
      <c r="A5277" s="1" t="s">
        <v>206</v>
      </c>
      <c r="B5277" s="1" t="s">
        <v>1349</v>
      </c>
      <c r="C5277" s="1" t="s">
        <v>4219</v>
      </c>
      <c r="D5277" s="1" t="s">
        <v>589</v>
      </c>
      <c r="E5277" s="1" t="s">
        <v>1955</v>
      </c>
      <c r="F5277" s="1" t="s">
        <v>8708</v>
      </c>
      <c r="G5277" s="1" t="s">
        <v>15</v>
      </c>
      <c r="H5277" s="1" t="s">
        <v>16</v>
      </c>
      <c r="I5277" s="1" t="str">
        <f ca="1">IFERROR(__xludf.DUMMYFUNCTION("GOOGLETRANSLATE(F5277, ""auto"", ""en"")
"),"Bought in January, nonsense. It's buggy, it constantly presses buttons and beeps.")</f>
        <v>Bought in January, nonsense. It's buggy, it constantly presses buttons and beeps.</v>
      </c>
    </row>
    <row r="5278" spans="1:9" x14ac:dyDescent="0.3">
      <c r="A5278" s="1" t="s">
        <v>451</v>
      </c>
      <c r="B5278" s="1" t="s">
        <v>452</v>
      </c>
      <c r="C5278" s="1" t="s">
        <v>453</v>
      </c>
      <c r="D5278" s="1" t="s">
        <v>589</v>
      </c>
      <c r="E5278" s="1" t="s">
        <v>7855</v>
      </c>
      <c r="F5278" s="1" t="s">
        <v>8709</v>
      </c>
      <c r="G5278" s="1" t="s">
        <v>36</v>
      </c>
      <c r="H5278" s="1" t="s">
        <v>29</v>
      </c>
      <c r="I5278" s="1" t="str">
        <f ca="1">IFERROR(__xludf.DUMMYFUNCTION("GOOGLETRANSLATE(F5278, ""auto"", ""en"")
"),"It's a good machine, it's been working for a year now. It does its job perfectly!!!")</f>
        <v>It's a good machine, it's been working for a year now. It does its job perfectly!!!</v>
      </c>
    </row>
    <row r="5279" spans="1:9" x14ac:dyDescent="0.3">
      <c r="A5279" s="1" t="s">
        <v>43</v>
      </c>
      <c r="B5279" s="1" t="s">
        <v>303</v>
      </c>
      <c r="C5279" s="1" t="s">
        <v>665</v>
      </c>
      <c r="D5279" s="1" t="s">
        <v>305</v>
      </c>
      <c r="E5279" s="1" t="s">
        <v>580</v>
      </c>
      <c r="F5279" s="1" t="s">
        <v>8710</v>
      </c>
      <c r="G5279" s="1" t="s">
        <v>36</v>
      </c>
      <c r="H5279" s="1" t="s">
        <v>29</v>
      </c>
      <c r="I5279" s="1" t="str">
        <f ca="1">IFERROR(__xludf.DUMMYFUNCTION("GOOGLETRANSLATE(F5279, ""auto"", ""en"")
"),"I confirm. A very decent heater. Initially I wanted 80 liters, but when I saw its size in real life, I realized that it would get in the way when placed above the toilet (~40 cm in diameter). I used it in the summer of 2011 during the period when hot wate"&amp;"r was turned off in the apartment for 2 weeks. For a family of 4 people there is more than enough to take an evening shower. I recommend it.")</f>
        <v>I confirm. A very decent heater. Initially I wanted 80 liters, but when I saw its size in real life, I realized that it would get in the way when placed above the toilet (~40 cm in diameter). I used it in the summer of 2011 during the period when hot water was turned off in the apartment for 2 weeks. For a family of 4 people there is more than enough to take an evening shower. I recommend it.</v>
      </c>
    </row>
    <row r="5280" spans="1:9" x14ac:dyDescent="0.3">
      <c r="A5280" s="1" t="s">
        <v>30</v>
      </c>
      <c r="B5280" s="1" t="s">
        <v>50</v>
      </c>
      <c r="C5280" s="1" t="s">
        <v>694</v>
      </c>
      <c r="D5280" s="1" t="s">
        <v>327</v>
      </c>
      <c r="E5280" s="1" t="s">
        <v>2518</v>
      </c>
      <c r="F5280" s="1" t="s">
        <v>8711</v>
      </c>
      <c r="G5280" s="1" t="s">
        <v>36</v>
      </c>
      <c r="H5280" s="1" t="s">
        <v>29</v>
      </c>
      <c r="I5280" s="1" t="str">
        <f ca="1">IFERROR(__xludf.DUMMYFUNCTION("GOOGLETRANSLATE(F5280, ""auto"", ""en"")
"),"I bought this laptop two months ago, after which it was tested by Prototype, Batman, NFS Shift - at maximum settings, as well as GTA4 on “medium” I also did not notice any heating or other nuances of the case, except for the glossy plastic near the keyboa"&amp;"rd.  I advise everyone who has bought and is planning to buy this machine to reinstall the OS and reflash the BIOS, the difference is noticeable right away. I recommend this laptop to everyone who is interested in the price/quality ratio.")</f>
        <v>I bought this laptop two months ago, after which it was tested by Prototype, Batman, NFS Shift - at maximum settings, as well as GTA4 on “medium” I also did not notice any heating or other nuances of the case, except for the glossy plastic near the keyboard.  I advise everyone who has bought and is planning to buy this machine to reinstall the OS and reflash the BIOS, the difference is noticeable right away. I recommend this laptop to everyone who is interested in the price/quality ratio.</v>
      </c>
    </row>
    <row r="5281" spans="1:9" x14ac:dyDescent="0.3">
      <c r="A5281" s="1" t="s">
        <v>67</v>
      </c>
      <c r="B5281" s="1" t="s">
        <v>68</v>
      </c>
      <c r="C5281" s="1" t="s">
        <v>246</v>
      </c>
      <c r="D5281" s="1" t="s">
        <v>8712</v>
      </c>
      <c r="E5281" s="1" t="s">
        <v>750</v>
      </c>
      <c r="F5281" s="1" t="s">
        <v>8713</v>
      </c>
      <c r="G5281" s="1" t="s">
        <v>36</v>
      </c>
      <c r="H5281" s="1" t="s">
        <v>29</v>
      </c>
      <c r="I5281" s="1" t="str">
        <f ca="1">IFERROR(__xludf.DUMMYFUNCTION("GOOGLETRANSLATE(F5281, ""auto"", ""en"")
"),"I've been using this for over a year now. no problems with the iron. The cord could have been made longer, but everything is fine as it is.")</f>
        <v>I've been using this for over a year now. no problems with the iron. The cord could have been made longer, but everything is fine as it is.</v>
      </c>
    </row>
    <row r="5282" spans="1:9" x14ac:dyDescent="0.3">
      <c r="A5282" s="1" t="s">
        <v>211</v>
      </c>
      <c r="B5282" s="1" t="s">
        <v>212</v>
      </c>
      <c r="C5282" s="1" t="s">
        <v>381</v>
      </c>
      <c r="D5282" s="1" t="s">
        <v>5447</v>
      </c>
      <c r="E5282" s="1" t="s">
        <v>8714</v>
      </c>
      <c r="F5282" s="1" t="s">
        <v>8715</v>
      </c>
      <c r="G5282" s="1" t="s">
        <v>49</v>
      </c>
      <c r="H5282" s="1" t="s">
        <v>16</v>
      </c>
      <c r="I5282" s="1" t="str">
        <f ca="1">IFERROR(__xludf.DUMMYFUNCTION("GOOGLETRANSLATE(F5282, ""auto"", ""en"")
"),"I bought it recently, I have thick hair, I thought it would be the perfect head of curls. But: 1) the tongs take a very long time to heat up 2) they don’t turn anything. I was disappointed.")</f>
        <v>I bought it recently, I have thick hair, I thought it would be the perfect head of curls. But: 1) the tongs take a very long time to heat up 2) they don’t turn anything. I was disappointed.</v>
      </c>
    </row>
    <row r="5283" spans="1:9" x14ac:dyDescent="0.3">
      <c r="A5283" s="1" t="s">
        <v>61</v>
      </c>
      <c r="B5283" s="1" t="s">
        <v>224</v>
      </c>
      <c r="C5283" s="1" t="s">
        <v>74</v>
      </c>
      <c r="D5283" s="1" t="s">
        <v>8716</v>
      </c>
      <c r="E5283" s="1" t="s">
        <v>1565</v>
      </c>
      <c r="F5283" s="1" t="s">
        <v>8717</v>
      </c>
      <c r="G5283" s="1" t="s">
        <v>28</v>
      </c>
      <c r="H5283" s="1" t="s">
        <v>29</v>
      </c>
      <c r="I5283" s="1" t="str">
        <f ca="1">IFERROR(__xludf.DUMMYFUNCTION("GOOGLETRANSLATE(F5283, ""auto"", ""en"")
"),"I chose a powerful, productive juicer to cope with tons of apples brought from the dacha. I decided on this one.    Pros: the most powerful and productive juicer for its price. A whole apple, along with its seeds and stem, disappears faster than you can t"&amp;"ake the pusher.    Cons: wet pulp. A glass of carrot juice takes about a kilogram of carrots. You can squeeze out the pulp by hand and press another half a glass.    Verdict: Do not buy this juicer under any circumstances if you need to squeeze out a glas"&amp;"s every morning: you will be bothered to take it out, and then wash it and put it back. But if the task is to get rid of a large number of vegetables or fruits, when efficiency is no longer so important, then this, on the contrary, is a good choice.")</f>
        <v>I chose a powerful, productive juicer to cope with tons of apples brought from the dacha. I decided on this one.    Pros: the most powerful and productive juicer for its price. A whole apple, along with its seeds and stem, disappears faster than you can take the pusher.    Cons: wet pulp. A glass of carrot juice takes about a kilogram of carrots. You can squeeze out the pulp by hand and press another half a glass.    Verdict: Do not buy this juicer under any circumstances if you need to squeeze out a glass every morning: you will be bothered to take it out, and then wash it and put it back. But if the task is to get rid of a large number of vegetables or fruits, when efficiency is no longer so important, then this, on the contrary, is a good choice.</v>
      </c>
    </row>
    <row r="5284" spans="1:9" x14ac:dyDescent="0.3">
      <c r="A5284" s="1" t="s">
        <v>9</v>
      </c>
      <c r="B5284" s="1" t="s">
        <v>10</v>
      </c>
      <c r="C5284" s="1" t="s">
        <v>407</v>
      </c>
      <c r="D5284" s="1" t="s">
        <v>152</v>
      </c>
      <c r="E5284" s="1" t="s">
        <v>8718</v>
      </c>
      <c r="F5284" s="1" t="s">
        <v>8719</v>
      </c>
      <c r="G5284" s="1" t="s">
        <v>36</v>
      </c>
      <c r="H5284" s="1" t="s">
        <v>29</v>
      </c>
      <c r="I5284" s="1" t="str">
        <f ca="1">IFERROR(__xludf.DUMMYFUNCTION("GOOGLETRANSLATE(F5284, ""auto"", ""en"")
"),"Excellent hood, copes 120%. I bought it 2 years ago. I glued small foam rubber to the flaps of the check valve, then they close softly and there is no plastic knock. Because The hood was powerful and we had to install a non-return valve in the bathroom, o"&amp;"therwise all the aromas of France would go from there to the kitchen.")</f>
        <v>Excellent hood, copes 120%. I bought it 2 years ago. I glued small foam rubber to the flaps of the check valve, then they close softly and there is no plastic knock. Because The hood was powerful and we had to install a non-return valve in the bathroom, otherwise all the aromas of France would go from there to the kitchen.</v>
      </c>
    </row>
    <row r="5285" spans="1:9" x14ac:dyDescent="0.3">
      <c r="A5285" s="1" t="s">
        <v>120</v>
      </c>
      <c r="B5285" s="1" t="s">
        <v>196</v>
      </c>
      <c r="C5285" s="1" t="s">
        <v>69</v>
      </c>
      <c r="D5285" s="1" t="s">
        <v>139</v>
      </c>
      <c r="E5285" s="1" t="s">
        <v>3637</v>
      </c>
      <c r="F5285" s="1" t="s">
        <v>8720</v>
      </c>
      <c r="G5285" s="1" t="s">
        <v>36</v>
      </c>
      <c r="H5285" s="1" t="s">
        <v>29</v>
      </c>
      <c r="I5285" s="1" t="str">
        <f ca="1">IFERROR(__xludf.DUMMYFUNCTION("GOOGLETRANSLATE(F5285, ""auto"", ""en"")
"),"An excellent residential complex, although due to its absence in our motor city, I had to go 400 miles to get it.   Like TV with an analog signal, it has a lot of cheap competitors, since the quality of the signal does not allow you to evaluate its advant"&amp;"ages.  As a TV for DVD, it’s excellent, but again, regular DVDs, even licensed ones, won’t show the highlights.  TV with Blue-ray with Hurray!!!))) The quality is in front of you, but more expensive Philips models can show more, honestly, with a slight su"&amp;"periority for our eyes.    And finally, for PC, X-box, Sony Playstation - Excellent!!!)) A minimum response of 3 seconds and an excellent picture will allow you to appreciate this.      P.S. And don't forget about discounts.  Special thanks to M-Video, Sa"&amp;"ratov, 3rd Dachnaya, TV.")</f>
        <v>An excellent residential complex, although due to its absence in our motor city, I had to go 400 miles to get it.   Like TV with an analog signal, it has a lot of cheap competitors, since the quality of the signal does not allow you to evaluate its advantages.  As a TV for DVD, it’s excellent, but again, regular DVDs, even licensed ones, won’t show the highlights.  TV with Blue-ray with Hurray!!!))) The quality is in front of you, but more expensive Philips models can show more, honestly, with a slight superiority for our eyes.    And finally, for PC, X-box, Sony Playstation - Excellent!!!)) A minimum response of 3 seconds and an excellent picture will allow you to appreciate this.      P.S. And don't forget about discounts.  Special thanks to M-Video, Saratov, 3rd Dachnaya, TV.</v>
      </c>
    </row>
    <row r="5286" spans="1:9" x14ac:dyDescent="0.3">
      <c r="A5286" s="1" t="s">
        <v>149</v>
      </c>
      <c r="B5286" s="1" t="s">
        <v>150</v>
      </c>
      <c r="C5286" s="1" t="s">
        <v>57</v>
      </c>
      <c r="D5286" s="1" t="s">
        <v>411</v>
      </c>
      <c r="E5286" s="1" t="s">
        <v>498</v>
      </c>
      <c r="F5286" s="1" t="s">
        <v>8721</v>
      </c>
      <c r="G5286" s="1" t="s">
        <v>36</v>
      </c>
      <c r="H5286" s="1" t="s">
        <v>29</v>
      </c>
      <c r="I5286" s="1" t="str">
        <f ca="1">IFERROR(__xludf.DUMMYFUNCTION("GOOGLETRANSLATE(F5286, ""auto"", ""en"")
"),"1833 - just SUPER!!!             Thanks to the creators!!!  I wish there were more honest household appliances. This vacuum cleaner is for those who do not want to constantly spend time and money on buying replacement HEPP filters and bags. If you are rea"&amp;"dy to wash the dust container after each cleaning, 1833 is for you, if not, then choose a vacuum cleaner of a different type of dust filtration and stock up on expensive consumables “for the rest of your life” - you simply won’t find them tomorrow.  A lit"&amp;"tle advice - washing the HEPP filter 1833 is not necessary, and may even be harmful. Shake the microscopic amount of dust that settles on it into the sink by tapping the filter on its edge.  Half a year of such operation showed that the HEPP filter 1833 i"&amp;"s eternal.  Purchased in Voronezh October 2009")</f>
        <v>1833 - just SUPER!!!             Thanks to the creators!!!  I wish there were more honest household appliances. This vacuum cleaner is for those who do not want to constantly spend time and money on buying replacement HEPP filters and bags. If you are ready to wash the dust container after each cleaning, 1833 is for you, if not, then choose a vacuum cleaner of a different type of dust filtration and stock up on expensive consumables “for the rest of your life” - you simply won’t find them tomorrow.  A little advice - washing the HEPP filter 1833 is not necessary, and may even be harmful. Shake the microscopic amount of dust that settles on it into the sink by tapping the filter on its edge.  Half a year of such operation showed that the HEPP filter 1833 is eternal.  Purchased in Voronezh October 2009</v>
      </c>
    </row>
    <row r="5287" spans="1:9" x14ac:dyDescent="0.3">
      <c r="A5287" s="1" t="s">
        <v>30</v>
      </c>
      <c r="B5287" s="1" t="s">
        <v>50</v>
      </c>
      <c r="C5287" s="1" t="s">
        <v>694</v>
      </c>
      <c r="D5287" s="1" t="s">
        <v>8722</v>
      </c>
      <c r="E5287" s="1" t="s">
        <v>1988</v>
      </c>
      <c r="F5287" s="1" t="s">
        <v>8723</v>
      </c>
      <c r="G5287" s="1" t="s">
        <v>36</v>
      </c>
      <c r="H5287" s="1" t="s">
        <v>29</v>
      </c>
      <c r="I5287" s="1" t="str">
        <f ca="1">IFERROR(__xludf.DUMMYFUNCTION("GOOGLETRANSLATE(F5287, ""auto"", ""en"")
"),"Just keep in mind that it doesn't have a CD drive! At some point this can be very important. And so - a super car for such a price")</f>
        <v>Just keep in mind that it doesn't have a CD drive! At some point this can be very important. And so - a super car for such a price</v>
      </c>
    </row>
    <row r="5288" spans="1:9" x14ac:dyDescent="0.3">
      <c r="A5288" s="1" t="s">
        <v>149</v>
      </c>
      <c r="B5288" s="1" t="s">
        <v>155</v>
      </c>
      <c r="C5288" s="1" t="s">
        <v>101</v>
      </c>
      <c r="D5288" s="1" t="s">
        <v>8724</v>
      </c>
      <c r="E5288" s="1" t="s">
        <v>2120</v>
      </c>
      <c r="F5288" s="1" t="s">
        <v>8725</v>
      </c>
      <c r="G5288" s="1" t="s">
        <v>36</v>
      </c>
      <c r="H5288" s="1" t="s">
        <v>29</v>
      </c>
      <c r="I5288" s="1" t="str">
        <f ca="1">IFERROR(__xludf.DUMMYFUNCTION("GOOGLETRANSLATE(F5288, ""auto"", ""en"")
"),"I recently purchased Scarlett SC-281 Red and am very pleased. Cleans well, lightweight, washes well, inexpensive. In stores they said that a normal vacuum cleaner costs from 5 thousand rubles. I didn't regret not buying the expensive one.")</f>
        <v>I recently purchased Scarlett SC-281 Red and am very pleased. Cleans well, lightweight, washes well, inexpensive. In stores they said that a normal vacuum cleaner costs from 5 thousand rubles. I didn't regret not buying the expensive one.</v>
      </c>
    </row>
    <row r="5289" spans="1:9" x14ac:dyDescent="0.3">
      <c r="A5289" s="1" t="s">
        <v>149</v>
      </c>
      <c r="B5289" s="1" t="s">
        <v>576</v>
      </c>
      <c r="C5289" s="1" t="s">
        <v>996</v>
      </c>
      <c r="D5289" s="1" t="s">
        <v>86</v>
      </c>
      <c r="E5289" s="1" t="s">
        <v>1494</v>
      </c>
      <c r="F5289" s="1" t="s">
        <v>8726</v>
      </c>
      <c r="G5289" s="1" t="s">
        <v>36</v>
      </c>
      <c r="H5289" s="1" t="s">
        <v>29</v>
      </c>
      <c r="I5289" s="1" t="str">
        <f ca="1">IFERROR(__xludf.DUMMYFUNCTION("GOOGLETRANSLATE(F5289, ""auto"", ""en"")
"),"A normal unit, I bought the car to vacuum clean. Performs all its functions normally, small size, lightweight. I've used it 20 times and haven't found any problems yet.")</f>
        <v>A normal unit, I bought the car to vacuum clean. Performs all its functions normally, small size, lightweight. I've used it 20 times and haven't found any problems yet.</v>
      </c>
    </row>
    <row r="5290" spans="1:9" x14ac:dyDescent="0.3">
      <c r="A5290" s="1" t="s">
        <v>61</v>
      </c>
      <c r="B5290" s="1" t="s">
        <v>62</v>
      </c>
      <c r="C5290" s="1" t="s">
        <v>146</v>
      </c>
      <c r="D5290" s="1" t="s">
        <v>127</v>
      </c>
      <c r="E5290" s="1" t="s">
        <v>1265</v>
      </c>
      <c r="F5290" s="1" t="s">
        <v>8727</v>
      </c>
      <c r="G5290" s="1" t="s">
        <v>36</v>
      </c>
      <c r="H5290" s="1" t="s">
        <v>29</v>
      </c>
      <c r="I5290" s="1" t="str">
        <f ca="1">IFERROR(__xludf.DUMMYFUNCTION("GOOGLETRANSLATE(F5290, ""auto"", ""en"")
"),"Beautiful, stylish design and many functions! The best compact blender. There are a bunch of attachments for graters and shredders, including a glass one! Blender and full-fledged juicer! The best for your money! I recommend it to everyone!")</f>
        <v>Beautiful, stylish design and many functions! The best compact blender. There are a bunch of attachments for graters and shredders, including a glass one! Blender and full-fledged juicer! The best for your money! I recommend it to everyone!</v>
      </c>
    </row>
    <row r="5291" spans="1:9" x14ac:dyDescent="0.3">
      <c r="A5291" s="1" t="s">
        <v>67</v>
      </c>
      <c r="B5291" s="1" t="s">
        <v>68</v>
      </c>
      <c r="C5291" s="1" t="s">
        <v>85</v>
      </c>
      <c r="D5291" s="1" t="s">
        <v>592</v>
      </c>
      <c r="E5291" s="1" t="s">
        <v>6337</v>
      </c>
      <c r="F5291" s="1" t="s">
        <v>8728</v>
      </c>
      <c r="G5291" s="1" t="s">
        <v>36</v>
      </c>
      <c r="H5291" s="1" t="s">
        <v>29</v>
      </c>
      <c r="I5291" s="1" t="str">
        <f ca="1">IFERROR(__xludf.DUMMYFUNCTION("GOOGLETRANSLATE(F5291, ""auto"", ""en"")
"),"Comfortable, powerful, floats well =)")</f>
        <v>Comfortable, powerful, floats well =)</v>
      </c>
    </row>
    <row r="5292" spans="1:9" x14ac:dyDescent="0.3">
      <c r="A5292" s="1" t="s">
        <v>61</v>
      </c>
      <c r="B5292" s="1" t="s">
        <v>145</v>
      </c>
      <c r="C5292" s="1" t="s">
        <v>246</v>
      </c>
      <c r="D5292" s="1" t="s">
        <v>240</v>
      </c>
      <c r="E5292" s="1" t="s">
        <v>2582</v>
      </c>
      <c r="F5292" s="1" t="s">
        <v>8729</v>
      </c>
      <c r="G5292" s="1" t="s">
        <v>49</v>
      </c>
      <c r="H5292" s="1" t="s">
        <v>16</v>
      </c>
      <c r="I5292" s="1" t="str">
        <f ca="1">IFERROR(__xludf.DUMMYFUNCTION("GOOGLETRANSLATE(F5292, ""auto"", ""en"")
"),"This yogurt maker was our worst purchase. She and I suffered a lot, tried to make yogurt, bought different starters, but the yogurt never turned out, the whey separated.   We had to buy a kitchen thermometer and it turned out that the yogurt maker overhea"&amp;"ted terribly, up to 50 degrees. Naturally, milk containing bacteria curdles.  We tried to put napkins and wooden planks under the jars, but still the temperature is off the charts and you definitely won’t get “live” yogurt. After all, for normal ripening "&amp;"the temperature should be 40-43 degrees.  I read different opinions on this matter on the forums, and it turned out that this is a problem for all yogurt makers. People get out of the situation by buying a thermostat.")</f>
        <v>This yogurt maker was our worst purchase. She and I suffered a lot, tried to make yogurt, bought different starters, but the yogurt never turned out, the whey separated.   We had to buy a kitchen thermometer and it turned out that the yogurt maker overheated terribly, up to 50 degrees. Naturally, milk containing bacteria curdles.  We tried to put napkins and wooden planks under the jars, but still the temperature is off the charts and you definitely won’t get “live” yogurt. After all, for normal ripening the temperature should be 40-43 degrees.  I read different opinions on this matter on the forums, and it turned out that this is a problem for all yogurt makers. People get out of the situation by buying a thermostat.</v>
      </c>
    </row>
    <row r="5293" spans="1:9" x14ac:dyDescent="0.3">
      <c r="A5293" s="1" t="s">
        <v>61</v>
      </c>
      <c r="B5293" s="1" t="s">
        <v>145</v>
      </c>
      <c r="C5293" s="1" t="s">
        <v>45</v>
      </c>
      <c r="D5293" s="1" t="s">
        <v>8730</v>
      </c>
      <c r="E5293" s="1" t="s">
        <v>5767</v>
      </c>
      <c r="F5293" s="1" t="s">
        <v>8731</v>
      </c>
      <c r="G5293" s="1" t="s">
        <v>49</v>
      </c>
      <c r="H5293" s="1" t="s">
        <v>16</v>
      </c>
      <c r="I5293" s="1" t="str">
        <f ca="1">IFERROR(__xludf.DUMMYFUNCTION("GOOGLETRANSLATE(F5293, ""auto"", ""en"")
"),"Well, complete nonsense, nothing good, the chicken is dry, the rest of the meat is even more so, but I’m generally silent about baking pies, it’s hard to wash, it’s generally impossible to wash the lid clean, because it’s impossible to do it while it’s ho"&amp;"t, it just takes up space.")</f>
        <v>Well, complete nonsense, nothing good, the chicken is dry, the rest of the meat is even more so, but I’m generally silent about baking pies, it’s hard to wash, it’s generally impossible to wash the lid clean, because it’s impossible to do it while it’s hot, it just takes up space.</v>
      </c>
    </row>
    <row r="5294" spans="1:9" x14ac:dyDescent="0.3">
      <c r="A5294" s="1" t="s">
        <v>206</v>
      </c>
      <c r="B5294" s="1" t="s">
        <v>1349</v>
      </c>
      <c r="C5294" s="1" t="s">
        <v>351</v>
      </c>
      <c r="D5294" s="1" t="s">
        <v>8732</v>
      </c>
      <c r="E5294" s="1" t="s">
        <v>1056</v>
      </c>
      <c r="F5294" s="1" t="s">
        <v>8733</v>
      </c>
      <c r="G5294" s="1" t="s">
        <v>49</v>
      </c>
      <c r="H5294" s="1" t="s">
        <v>16</v>
      </c>
      <c r="I5294" s="1" t="str">
        <f ca="1">IFERROR(__xludf.DUMMYFUNCTION("GOOGLETRANSLATE(F5294, ""auto"", ""en"")
"),"Firstly, there is no night mode, which is why the bright light from the radio hits your eyes, secondly, it’s glitchy and you don’t listen to the control panel, thirdly, the sound in the radio is a separate state, it either appears or disappears at will! A"&amp;"nd there are many, many more mistakes, but they are almost more significant, so I think that this review will not lie here for long. It's up to you to choose! I will most likely change it to something more reliable!")</f>
        <v>Firstly, there is no night mode, which is why the bright light from the radio hits your eyes, secondly, it’s glitchy and you don’t listen to the control panel, thirdly, the sound in the radio is a separate state, it either appears or disappears at will! And there are many, many more mistakes, but they are almost more significant, so I think that this review will not lie here for long. It's up to you to choose! I will most likely change it to something more reliable!</v>
      </c>
    </row>
    <row r="5295" spans="1:9" x14ac:dyDescent="0.3">
      <c r="A5295" s="1" t="s">
        <v>361</v>
      </c>
      <c r="B5295" s="1" t="s">
        <v>462</v>
      </c>
      <c r="C5295" s="1" t="s">
        <v>463</v>
      </c>
      <c r="D5295" s="1" t="s">
        <v>1890</v>
      </c>
      <c r="E5295" s="1" t="s">
        <v>1285</v>
      </c>
      <c r="F5295" s="1" t="s">
        <v>8734</v>
      </c>
      <c r="G5295" s="1" t="s">
        <v>36</v>
      </c>
      <c r="H5295" s="1" t="s">
        <v>29</v>
      </c>
      <c r="I5295" s="1" t="str">
        <f ca="1">IFERROR(__xludf.DUMMYFUNCTION("GOOGLETRANSLATE(F5295, ""auto"", ""en"")
"),"Quality")</f>
        <v>Quality</v>
      </c>
    </row>
    <row r="5296" spans="1:9" x14ac:dyDescent="0.3">
      <c r="A5296" s="1" t="s">
        <v>30</v>
      </c>
      <c r="B5296" s="1" t="s">
        <v>31</v>
      </c>
      <c r="C5296" s="1" t="s">
        <v>32</v>
      </c>
      <c r="D5296" s="1" t="s">
        <v>86</v>
      </c>
      <c r="E5296" s="1" t="s">
        <v>8735</v>
      </c>
      <c r="F5296" s="1" t="s">
        <v>8736</v>
      </c>
      <c r="G5296" s="1" t="s">
        <v>36</v>
      </c>
      <c r="H5296" s="1" t="s">
        <v>29</v>
      </c>
      <c r="I5296" s="1" t="str">
        <f ca="1">IFERROR(__xludf.DUMMYFUNCTION("GOOGLETRANSLATE(F5296, ""auto"", ""en"")
"),"I bought it a month ago, no problems so far. As for the heating of the processor, its processor is “energy-saving”, i.e. the critical temperature is higher than normal.")</f>
        <v>I bought it a month ago, no problems so far. As for the heating of the processor, its processor is “energy-saving”, i.e. the critical temperature is higher than normal.</v>
      </c>
    </row>
    <row r="5297" spans="1:9" x14ac:dyDescent="0.3">
      <c r="A5297" s="1" t="s">
        <v>105</v>
      </c>
      <c r="B5297" s="1" t="s">
        <v>106</v>
      </c>
      <c r="C5297" s="1" t="s">
        <v>107</v>
      </c>
      <c r="D5297" s="1" t="s">
        <v>8737</v>
      </c>
      <c r="E5297" s="1" t="s">
        <v>3095</v>
      </c>
      <c r="F5297" s="1" t="s">
        <v>8738</v>
      </c>
      <c r="G5297" s="1" t="s">
        <v>36</v>
      </c>
      <c r="H5297" s="1" t="s">
        <v>29</v>
      </c>
      <c r="I5297" s="1" t="str">
        <f ca="1">IFERROR(__xludf.DUMMYFUNCTION("GOOGLETRANSLATE(F5297, ""auto"", ""en"")
"),"For some reason I only have avi video sound..(doesn’t show the image at all. Please tell me what resolution to convert to and what program to use) I will be very grateful.")</f>
        <v>For some reason I only have avi video sound..(doesn’t show the image at all. Please tell me what resolution to convert to and what program to use) I will be very grateful.</v>
      </c>
    </row>
    <row r="5298" spans="1:9" x14ac:dyDescent="0.3">
      <c r="A5298" s="1" t="s">
        <v>369</v>
      </c>
      <c r="B5298" s="1" t="s">
        <v>2480</v>
      </c>
      <c r="C5298" s="1" t="s">
        <v>453</v>
      </c>
      <c r="D5298" s="1" t="s">
        <v>326</v>
      </c>
      <c r="E5298" s="1" t="s">
        <v>6971</v>
      </c>
      <c r="F5298" s="1" t="s">
        <v>8739</v>
      </c>
      <c r="G5298" s="1" t="s">
        <v>15</v>
      </c>
      <c r="H5298" s="1" t="s">
        <v>16</v>
      </c>
      <c r="I5298" s="1" t="str">
        <f ca="1">IFERROR(__xludf.DUMMYFUNCTION("GOOGLETRANSLATE(F5298, ""auto"", ""en"")
"),"comfortable, compact. But only for heating because... If you cook constantly, then after 10-15 approaches you will definitely burn a large panel and you will cook pasta on a small one for an hour and a half. I wouldn't buy it a second time.")</f>
        <v>comfortable, compact. But only for heating because... If you cook constantly, then after 10-15 approaches you will definitely burn a large panel and you will cook pasta on a small one for an hour and a half. I wouldn't buy it a second time.</v>
      </c>
    </row>
    <row r="5299" spans="1:9" x14ac:dyDescent="0.3">
      <c r="A5299" s="1" t="s">
        <v>120</v>
      </c>
      <c r="B5299" s="1" t="s">
        <v>126</v>
      </c>
      <c r="C5299" s="1" t="s">
        <v>151</v>
      </c>
      <c r="D5299" s="1" t="s">
        <v>8740</v>
      </c>
      <c r="E5299" s="1" t="s">
        <v>198</v>
      </c>
      <c r="F5299" s="1" t="s">
        <v>8741</v>
      </c>
      <c r="G5299" s="1" t="s">
        <v>28</v>
      </c>
      <c r="H5299" s="1" t="s">
        <v>29</v>
      </c>
      <c r="I5299" s="1" t="str">
        <f ca="1">IFERROR(__xludf.DUMMYFUNCTION("GOOGLETRANSLATE(F5299, ""auto"", ""en"")
"),"The TV is not bad at all, the picture is excellent! The only negative when increasing the light of the cell (transfer to dynamic mode) is the noise of the transformers increases, the TV turns on by itself like many other models!")</f>
        <v>The TV is not bad at all, the picture is excellent! The only negative when increasing the light of the cell (transfer to dynamic mode) is the noise of the transformers increases, the TV turns on by itself like many other models!</v>
      </c>
    </row>
    <row r="5300" spans="1:9" x14ac:dyDescent="0.3">
      <c r="A5300" s="1" t="s">
        <v>61</v>
      </c>
      <c r="B5300" s="1" t="s">
        <v>318</v>
      </c>
      <c r="C5300" s="1" t="s">
        <v>246</v>
      </c>
      <c r="D5300" s="1" t="s">
        <v>102</v>
      </c>
      <c r="E5300" s="1" t="s">
        <v>8742</v>
      </c>
      <c r="F5300" s="1" t="s">
        <v>8743</v>
      </c>
      <c r="G5300" s="1" t="s">
        <v>36</v>
      </c>
      <c r="H5300" s="1" t="s">
        <v>29</v>
      </c>
      <c r="I5300" s="1" t="str">
        <f ca="1">IFERROR(__xludf.DUMMYFUNCTION("GOOGLETRANSLATE(F5300, ""auto"", ""en"")
"),"The kettle is great! Loud - yes, but it heats up quickly and has never failed. Regarding the comments about “red spots” on the heating element I can say that you need to boil more than a liter of water, then there will be no stains")</f>
        <v>The kettle is great! Loud - yes, but it heats up quickly and has never failed. Regarding the comments about “red spots” on the heating element I can say that you need to boil more than a liter of water, then there will be no stains</v>
      </c>
    </row>
    <row r="5301" spans="1:9" x14ac:dyDescent="0.3">
      <c r="A5301" s="1" t="s">
        <v>211</v>
      </c>
      <c r="B5301" s="1" t="s">
        <v>410</v>
      </c>
      <c r="C5301" s="1" t="s">
        <v>122</v>
      </c>
      <c r="D5301" s="1" t="s">
        <v>1121</v>
      </c>
      <c r="E5301" s="1" t="s">
        <v>8744</v>
      </c>
      <c r="F5301" s="1" t="s">
        <v>8745</v>
      </c>
      <c r="G5301" s="1" t="s">
        <v>49</v>
      </c>
      <c r="H5301" s="1" t="s">
        <v>16</v>
      </c>
      <c r="I5301" s="1" t="str">
        <f ca="1">IFERROR(__xludf.DUMMYFUNCTION("GOOGLETRANSLATE(F5301, ""auto"", ""en"")
"),"I don’t recommend it to anyone! I've been using it for 2 months. I spend a lot of time, but then I still clean it up with the machine. The razor does not shave and does not show the charge level. Not practical even for home use. It takes a long time to ch"&amp;"arge (8 hours). I feel sorry for the money of my grandchildren, who gave it to me for my anniversary.")</f>
        <v>I don’t recommend it to anyone! I've been using it for 2 months. I spend a lot of time, but then I still clean it up with the machine. The razor does not shave and does not show the charge level. Not practical even for home use. It takes a long time to charge (8 hours). I feel sorry for the money of my grandchildren, who gave it to me for my anniversary.</v>
      </c>
    </row>
    <row r="5302" spans="1:9" x14ac:dyDescent="0.3">
      <c r="A5302" s="1" t="s">
        <v>211</v>
      </c>
      <c r="B5302" s="1" t="s">
        <v>410</v>
      </c>
      <c r="C5302" s="1" t="s">
        <v>57</v>
      </c>
      <c r="D5302" s="1" t="s">
        <v>81</v>
      </c>
      <c r="E5302" s="1" t="s">
        <v>2540</v>
      </c>
      <c r="F5302" s="1" t="s">
        <v>8746</v>
      </c>
      <c r="G5302" s="1" t="s">
        <v>36</v>
      </c>
      <c r="H5302" s="1" t="s">
        <v>29</v>
      </c>
      <c r="I5302" s="1" t="str">
        <f ca="1">IFERROR(__xludf.DUMMYFUNCTION("GOOGLETRANSLATE(F5302, ""auto"", ""en"")
"),"Very good razor. Lightweight, comfortable to hold, elegant design. I have been using it daily for 6 months. I charge it once every 6 days. Very close shave, I constantly trim my mustache and temples. No complaints. No irritation. For that kind of money, i"&amp;"t's simply a gift.")</f>
        <v>Very good razor. Lightweight, comfortable to hold, elegant design. I have been using it daily for 6 months. I charge it once every 6 days. Very close shave, I constantly trim my mustache and temples. No complaints. No irritation. For that kind of money, it's simply a gift.</v>
      </c>
    </row>
    <row r="5303" spans="1:9" x14ac:dyDescent="0.3">
      <c r="A5303" s="1" t="s">
        <v>169</v>
      </c>
      <c r="B5303" s="1" t="s">
        <v>170</v>
      </c>
      <c r="C5303" s="1" t="s">
        <v>193</v>
      </c>
      <c r="D5303" s="1" t="s">
        <v>81</v>
      </c>
      <c r="E5303" s="1" t="s">
        <v>2702</v>
      </c>
      <c r="F5303" s="1" t="s">
        <v>8747</v>
      </c>
      <c r="G5303" s="1" t="s">
        <v>36</v>
      </c>
      <c r="H5303" s="1" t="s">
        <v>29</v>
      </c>
      <c r="I5303" s="1" t="str">
        <f ca="1">IFERROR(__xludf.DUMMYFUNCTION("GOOGLETRANSLATE(F5303, ""auto"", ""en"")
"),"I liked the good headphones, the bass is normal and the highs")</f>
        <v>I liked the good headphones, the bass is normal and the highs</v>
      </c>
    </row>
    <row r="5304" spans="1:9" x14ac:dyDescent="0.3">
      <c r="A5304" s="1" t="s">
        <v>17</v>
      </c>
      <c r="B5304" s="1" t="s">
        <v>18</v>
      </c>
      <c r="C5304" s="1" t="s">
        <v>243</v>
      </c>
      <c r="D5304" s="1" t="s">
        <v>247</v>
      </c>
      <c r="E5304" s="1" t="s">
        <v>8748</v>
      </c>
      <c r="F5304" s="1" t="s">
        <v>8749</v>
      </c>
      <c r="G5304" s="1" t="s">
        <v>94</v>
      </c>
      <c r="H5304" s="1" t="s">
        <v>29</v>
      </c>
      <c r="I5304" s="1" t="str">
        <f ca="1">IFERROR(__xludf.DUMMYFUNCTION("GOOGLETRANSLATE(F5304, ""auto"", ""en"")
"),"I'm using it for the second month. The quality of washing is excellent, but things wrinkle a lot. There is no “no folds” mode. Clear interface. Compact, I was pleased with the build quality, number of programs and appearance. During washing the noise leve"&amp;"l is low, while spinning and pumping out water it is noisy (but I’m comparing it with expensive models, so I’m probably being picky). Overall, I am satisfied with the price-quality ratio. I gave it a 4 for reliability, since I haven't been using it for lo"&amp;"ng.")</f>
        <v>I'm using it for the second month. The quality of washing is excellent, but things wrinkle a lot. There is no “no folds” mode. Clear interface. Compact, I was pleased with the build quality, number of programs and appearance. During washing the noise level is low, while spinning and pumping out water it is noisy (but I’m comparing it with expensive models, so I’m probably being picky). Overall, I am satisfied with the price-quality ratio. I gave it a 4 for reliability, since I haven't been using it for long.</v>
      </c>
    </row>
    <row r="5305" spans="1:9" x14ac:dyDescent="0.3">
      <c r="A5305" s="1" t="s">
        <v>37</v>
      </c>
      <c r="B5305" s="1" t="s">
        <v>38</v>
      </c>
      <c r="C5305" s="1" t="s">
        <v>69</v>
      </c>
      <c r="D5305" s="1" t="s">
        <v>8750</v>
      </c>
      <c r="E5305" s="1" t="s">
        <v>2514</v>
      </c>
      <c r="F5305" s="1" t="s">
        <v>8751</v>
      </c>
      <c r="G5305" s="1" t="s">
        <v>36</v>
      </c>
      <c r="H5305" s="1" t="s">
        <v>29</v>
      </c>
      <c r="I5305" s="1" t="str">
        <f ca="1">IFERROR(__xludf.DUMMYFUNCTION("GOOGLETRANSLATE(F5305, ""auto"", ""en"")
"),"This is a wonderful phone. Excellent replacement for an MP3 player, the sound quality, with high-quality headphones, is excellent! Excellent speaker, conversations can be heard perfectly. The menu is a bit inconvenient, but I quickly got used to it. The m"&amp;"ost important plus is that it can be powered by a regular AA battery. The battery worked for me for two days, considering that I listened to music and talked for about 5 hours a day. I recommend it to everyone!")</f>
        <v>This is a wonderful phone. Excellent replacement for an MP3 player, the sound quality, with high-quality headphones, is excellent! Excellent speaker, conversations can be heard perfectly. The menu is a bit inconvenient, but I quickly got used to it. The most important plus is that it can be powered by a regular AA battery. The battery worked for me for two days, considering that I listened to music and talked for about 5 hours a day. I recommend it to everyone!</v>
      </c>
    </row>
    <row r="5306" spans="1:9" x14ac:dyDescent="0.3">
      <c r="A5306" s="1" t="s">
        <v>61</v>
      </c>
      <c r="B5306" s="1" t="s">
        <v>224</v>
      </c>
      <c r="C5306" s="1" t="s">
        <v>246</v>
      </c>
      <c r="D5306" s="1" t="s">
        <v>922</v>
      </c>
      <c r="E5306" s="1" t="s">
        <v>4394</v>
      </c>
      <c r="F5306" s="1" t="s">
        <v>8752</v>
      </c>
      <c r="G5306" s="1" t="s">
        <v>36</v>
      </c>
      <c r="H5306" s="1" t="s">
        <v>29</v>
      </c>
      <c r="I5306" s="1" t="str">
        <f ca="1">IFERROR(__xludf.DUMMYFUNCTION("GOOGLETRANSLATE(F5306, ""auto"", ""en"")
"),"The juicer is excellent. Powerful, easy to clean, small and cheap. One grapefruit makes a glass of juice, yummy.")</f>
        <v>The juicer is excellent. Powerful, easy to clean, small and cheap. One grapefruit makes a glass of juice, yummy.</v>
      </c>
    </row>
    <row r="5307" spans="1:9" x14ac:dyDescent="0.3">
      <c r="A5307" s="1" t="s">
        <v>111</v>
      </c>
      <c r="B5307" s="1" t="s">
        <v>636</v>
      </c>
      <c r="C5307" s="1" t="s">
        <v>637</v>
      </c>
      <c r="D5307" s="1" t="s">
        <v>548</v>
      </c>
      <c r="E5307" s="1" t="s">
        <v>2486</v>
      </c>
      <c r="F5307" s="1" t="s">
        <v>8753</v>
      </c>
      <c r="G5307" s="1" t="s">
        <v>28</v>
      </c>
      <c r="H5307" s="1" t="s">
        <v>29</v>
      </c>
      <c r="I5307" s="1" t="str">
        <f ca="1">IFERROR(__xludf.DUMMYFUNCTION("GOOGLETRANSLATE(F5307, ""auto"", ""en"")
"),"I bought it yesterday specifically as a thermometer. But I still don’t understand how to properly set the clock. It seems that I configured it correctly in the evening, but in the morning at 8 o’clock it shows 3. Apparently, it was synchronized with unkno"&amp;"wn things. The instructions are completely useless. But as a thermometer it's fine. The only thing that is not clear is where to hang the external sensor in an apartment building and how. While standing on the balcony.")</f>
        <v>I bought it yesterday specifically as a thermometer. But I still don’t understand how to properly set the clock. It seems that I configured it correctly in the evening, but in the morning at 8 o’clock it shows 3. Apparently, it was synchronized with unknown things. The instructions are completely useless. But as a thermometer it's fine. The only thing that is not clear is where to hang the external sensor in an apartment building and how. While standing on the balcony.</v>
      </c>
    </row>
    <row r="5308" spans="1:9" x14ac:dyDescent="0.3">
      <c r="A5308" s="1" t="s">
        <v>30</v>
      </c>
      <c r="B5308" s="1" t="s">
        <v>50</v>
      </c>
      <c r="C5308" s="1" t="s">
        <v>1003</v>
      </c>
      <c r="D5308" s="1" t="s">
        <v>682</v>
      </c>
      <c r="E5308" s="1" t="s">
        <v>971</v>
      </c>
      <c r="F5308" s="1" t="s">
        <v>8754</v>
      </c>
      <c r="G5308" s="1" t="s">
        <v>28</v>
      </c>
      <c r="H5308" s="1" t="s">
        <v>29</v>
      </c>
      <c r="I5308" s="1" t="str">
        <f ca="1">IFERROR(__xludf.DUMMYFUNCTION("GOOGLETRANSLATE(F5308, ""auto"", ""en"")
"),"I recently bought this laptop, I didn’t have much time to look at it completely... but overall it doesn’t disappoint me in any way. only the brightness leaves much to be desired. For me, he has already become family, I hope he will not disappoint!!!")</f>
        <v>I recently bought this laptop, I didn’t have much time to look at it completely... but overall it doesn’t disappoint me in any way. only the brightness leaves much to be desired. For me, he has already become family, I hope he will not disappoint!!!</v>
      </c>
    </row>
    <row r="5309" spans="1:9" x14ac:dyDescent="0.3">
      <c r="A5309" s="1" t="s">
        <v>624</v>
      </c>
      <c r="B5309" s="1" t="s">
        <v>625</v>
      </c>
      <c r="C5309" s="1" t="s">
        <v>479</v>
      </c>
      <c r="D5309" s="1" t="s">
        <v>33</v>
      </c>
      <c r="E5309" s="1" t="s">
        <v>386</v>
      </c>
      <c r="F5309" s="1" t="s">
        <v>8755</v>
      </c>
      <c r="G5309" s="1" t="s">
        <v>36</v>
      </c>
      <c r="H5309" s="1" t="s">
        <v>29</v>
      </c>
      <c r="I5309" s="1" t="str">
        <f ca="1">IFERROR(__xludf.DUMMYFUNCTION("GOOGLETRANSLATE(F5309, ""auto"", ""en"")
"),"I really liked the game. The graphics were simply amazing. The plot of the game is incomparable! I never managed to predict the course of events in the game!")</f>
        <v>I really liked the game. The graphics were simply amazing. The plot of the game is incomparable! I never managed to predict the course of events in the game!</v>
      </c>
    </row>
    <row r="5310" spans="1:9" x14ac:dyDescent="0.3">
      <c r="A5310" s="1" t="s">
        <v>95</v>
      </c>
      <c r="B5310" s="1" t="s">
        <v>648</v>
      </c>
      <c r="C5310" s="1" t="s">
        <v>97</v>
      </c>
      <c r="D5310" s="1" t="s">
        <v>8756</v>
      </c>
      <c r="E5310" s="1" t="s">
        <v>2442</v>
      </c>
      <c r="F5310" s="1" t="s">
        <v>8757</v>
      </c>
      <c r="G5310" s="1" t="s">
        <v>36</v>
      </c>
      <c r="H5310" s="1" t="s">
        <v>29</v>
      </c>
      <c r="I5310" s="1" t="str">
        <f ca="1">IFERROR(__xludf.DUMMYFUNCTION("GOOGLETRANSLATE(F5310, ""auto"", ""en"")
"),"I think the console is simply brilliant! Now I'll just show the pros and cons. Pros first. + Slider (good, like on Nokia) + Stitched. +Convenient (I held both consoles in my hands) +Really portable! (Fits in your pocket, not a bag, very light) +16 GB. bui"&amp;"lt-in memory. + of course the price. And now the disadvantages - Fragile (or maybe durable, those who left reviews have their own opinion) - Built-in battery (for me this is not a minus) Take a psp go!")</f>
        <v>I think the console is simply brilliant! Now I'll just show the pros and cons. Pros first. + Slider (good, like on Nokia) + Stitched. +Convenient (I held both consoles in my hands) +Really portable! (Fits in your pocket, not a bag, very light) +16 GB. built-in memory. + of course the price. And now the disadvantages - Fragile (or maybe durable, those who left reviews have their own opinion) - Built-in battery (for me this is not a minus) Take a psp go!</v>
      </c>
    </row>
    <row r="5311" spans="1:9" x14ac:dyDescent="0.3">
      <c r="A5311" s="1" t="s">
        <v>2087</v>
      </c>
      <c r="B5311" s="1" t="s">
        <v>2088</v>
      </c>
      <c r="C5311" s="1" t="s">
        <v>80</v>
      </c>
      <c r="D5311" s="1" t="s">
        <v>8758</v>
      </c>
      <c r="E5311" s="1" t="s">
        <v>2677</v>
      </c>
      <c r="F5311" s="1" t="s">
        <v>8759</v>
      </c>
      <c r="G5311" s="1" t="s">
        <v>28</v>
      </c>
      <c r="H5311" s="1" t="s">
        <v>29</v>
      </c>
      <c r="I5311" s="1" t="str">
        <f ca="1">IFERROR(__xludf.DUMMYFUNCTION("GOOGLETRANSLATE(F5311, ""auto"", ""en"")
"),"I bought it... reads basically everything, downloads the firmware itself via Ethernet... the only annoying thing is that it does not accept hard drives with the NTFS file system via USB... a 120GB screw formatted in FAT32 can be seen and played from it wi"&amp;"thout problems... but I would like NTFS so that the BDRips are not cut into pieces of 4 gigs, maybe it will be in the wake of the firmware...")</f>
        <v>I bought it... reads basically everything, downloads the firmware itself via Ethernet... the only annoying thing is that it does not accept hard drives with the NTFS file system via USB... a 120GB screw formatted in FAT32 can be seen and played from it without problems... but I would like NTFS so that the BDRips are not cut into pieces of 4 gigs, maybe it will be in the wake of the firmware...</v>
      </c>
    </row>
    <row r="5312" spans="1:9" x14ac:dyDescent="0.3">
      <c r="A5312" s="1" t="s">
        <v>78</v>
      </c>
      <c r="B5312" s="1" t="s">
        <v>1163</v>
      </c>
      <c r="C5312" s="1" t="s">
        <v>80</v>
      </c>
      <c r="D5312" s="1" t="s">
        <v>64</v>
      </c>
      <c r="E5312" s="1" t="s">
        <v>1700</v>
      </c>
      <c r="F5312" s="1" t="s">
        <v>8760</v>
      </c>
      <c r="G5312" s="1" t="s">
        <v>36</v>
      </c>
      <c r="H5312" s="1" t="s">
        <v>29</v>
      </c>
      <c r="I5312" s="1" t="str">
        <f ca="1">IFERROR(__xludf.DUMMYFUNCTION("GOOGLETRANSLATE(F5312, ""auto"", ""en"")
"),"Bought this to reheat and defrost. Copes with the functions. A little noisy, but the noise is not annoying. We've been using it for 2 months, no complaints so far.")</f>
        <v>Bought this to reheat and defrost. Copes with the functions. A little noisy, but the noise is not annoying. We've been using it for 2 months, no complaints so far.</v>
      </c>
    </row>
    <row r="5313" spans="1:9" x14ac:dyDescent="0.3">
      <c r="A5313" s="1" t="s">
        <v>120</v>
      </c>
      <c r="B5313" s="1" t="s">
        <v>196</v>
      </c>
      <c r="C5313" s="1" t="s">
        <v>80</v>
      </c>
      <c r="D5313" s="1" t="s">
        <v>8761</v>
      </c>
      <c r="E5313" s="1" t="s">
        <v>484</v>
      </c>
      <c r="F5313" s="1" t="s">
        <v>8762</v>
      </c>
      <c r="G5313" s="1" t="s">
        <v>36</v>
      </c>
      <c r="H5313" s="1" t="s">
        <v>29</v>
      </c>
      <c r="I5313" s="1" t="str">
        <f ca="1">IFERROR(__xludf.DUMMYFUNCTION("GOOGLETRANSLATE(F5313, ""auto"", ""en"")
"),"The TV is great. Just don’t frighten users with the word “flashing”, the correct word is “activation”. To activate the ability to play video from a flash drive on this TV, you just need to go to the service menu, and the safest way to achieve this is to u"&amp;"se any communicator with a hickey or a pair of LEDs")</f>
        <v>The TV is great. Just don’t frighten users with the word “flashing”, the correct word is “activation”. To activate the ability to play video from a flash drive on this TV, you just need to go to the service menu, and the safest way to achieve this is to use any communicator with a hickey or a pair of LEDs</v>
      </c>
    </row>
    <row r="5314" spans="1:9" x14ac:dyDescent="0.3">
      <c r="A5314" s="1" t="s">
        <v>61</v>
      </c>
      <c r="B5314" s="1" t="s">
        <v>62</v>
      </c>
      <c r="C5314" s="1" t="s">
        <v>146</v>
      </c>
      <c r="D5314" s="1" t="s">
        <v>114</v>
      </c>
      <c r="E5314" s="1" t="s">
        <v>6007</v>
      </c>
      <c r="F5314" s="1" t="s">
        <v>8763</v>
      </c>
      <c r="G5314" s="1" t="s">
        <v>36</v>
      </c>
      <c r="H5314" s="1" t="s">
        <v>29</v>
      </c>
      <c r="I5314" s="1" t="str">
        <f ca="1">IFERROR(__xludf.DUMMYFUNCTION("GOOGLETRANSLATE(F5314, ""auto"", ""en"")
"),"I really liked the combine. I bought it for making cocktails. It whips perfectly. The girl often grates carrots on salad, it turns out quickly and very tasty. For your money, an ideal option with a good set of attachments.")</f>
        <v>I really liked the combine. I bought it for making cocktails. It whips perfectly. The girl often grates carrots on salad, it turns out quickly and very tasty. For your money, an ideal option with a good set of attachments.</v>
      </c>
    </row>
    <row r="5315" spans="1:9" x14ac:dyDescent="0.3">
      <c r="A5315" s="1" t="s">
        <v>61</v>
      </c>
      <c r="B5315" s="1" t="s">
        <v>318</v>
      </c>
      <c r="C5315" s="1" t="s">
        <v>1461</v>
      </c>
      <c r="D5315" s="1" t="s">
        <v>247</v>
      </c>
      <c r="E5315" s="1" t="s">
        <v>1868</v>
      </c>
      <c r="F5315" s="1" t="s">
        <v>8764</v>
      </c>
      <c r="G5315" s="1" t="s">
        <v>15</v>
      </c>
      <c r="H5315" s="1" t="s">
        <v>16</v>
      </c>
      <c r="I5315" s="1" t="str">
        <f ca="1">IFERROR(__xludf.DUMMYFUNCTION("GOOGLETRANSLATE(F5315, ""auto"", ""en"")
"),"The kettle was purchased 7 DAYS ago, and has already stopped turning itself off.")</f>
        <v>The kettle was purchased 7 DAYS ago, and has already stopped turning itself off.</v>
      </c>
    </row>
    <row r="5316" spans="1:9" x14ac:dyDescent="0.3">
      <c r="A5316" s="1" t="s">
        <v>37</v>
      </c>
      <c r="B5316" s="1" t="s">
        <v>38</v>
      </c>
      <c r="C5316" s="1" t="s">
        <v>163</v>
      </c>
      <c r="D5316" s="1" t="s">
        <v>8096</v>
      </c>
      <c r="E5316" s="1" t="s">
        <v>606</v>
      </c>
      <c r="F5316" s="1" t="s">
        <v>8765</v>
      </c>
      <c r="G5316" s="1" t="s">
        <v>36</v>
      </c>
      <c r="H5316" s="1" t="s">
        <v>29</v>
      </c>
      <c r="I5316" s="1" t="str">
        <f ca="1">IFERROR(__xludf.DUMMYFUNCTION("GOOGLETRANSLATE(F5316, ""auto"", ""en"")
"),"Very good phone. I had a Nokia 5130c-2, it’s a pity that it was stolen, I used it constantly for 9 months - games, music, the Internet... I’m surprised how it lasted so long :-) and everything is fine, it justified itself 100 times.")</f>
        <v>Very good phone. I had a Nokia 5130c-2, it’s a pity that it was stolen, I used it constantly for 9 months - games, music, the Internet... I’m surprised how it lasted so long :-) and everything is fine, it justified itself 100 times.</v>
      </c>
    </row>
    <row r="5317" spans="1:9" x14ac:dyDescent="0.3">
      <c r="A5317" s="1" t="s">
        <v>9</v>
      </c>
      <c r="B5317" s="1" t="s">
        <v>10</v>
      </c>
      <c r="C5317" s="1" t="s">
        <v>407</v>
      </c>
      <c r="D5317" s="1" t="s">
        <v>8766</v>
      </c>
      <c r="E5317" s="1" t="s">
        <v>3084</v>
      </c>
      <c r="F5317" s="1" t="s">
        <v>8767</v>
      </c>
      <c r="G5317" s="1" t="s">
        <v>36</v>
      </c>
      <c r="H5317" s="1" t="s">
        <v>29</v>
      </c>
      <c r="I5317" s="1" t="str">
        <f ca="1">IFERROR(__xludf.DUMMYFUNCTION("GOOGLETRANSLATE(F5317, ""auto"", ""en"")
"),"excellent hood! I don’t have a door in the kitchen and before the whole smell was in the room, but with this hood you can’t even hear the smell of onions when frying, there is no soot on the cabinets! excellent hood! I recommend it!")</f>
        <v>excellent hood! I don’t have a door in the kitchen and before the whole smell was in the room, but with this hood you can’t even hear the smell of onions when frying, there is no soot on the cabinets! excellent hood! I recommend it!</v>
      </c>
    </row>
    <row r="5318" spans="1:9" x14ac:dyDescent="0.3">
      <c r="A5318" s="1" t="s">
        <v>37</v>
      </c>
      <c r="B5318" s="1" t="s">
        <v>38</v>
      </c>
      <c r="C5318" s="1" t="s">
        <v>39</v>
      </c>
      <c r="D5318" s="1" t="s">
        <v>1241</v>
      </c>
      <c r="E5318" s="1" t="s">
        <v>5091</v>
      </c>
      <c r="F5318" s="1" t="s">
        <v>8768</v>
      </c>
      <c r="G5318" s="1" t="s">
        <v>36</v>
      </c>
      <c r="H5318" s="1" t="s">
        <v>29</v>
      </c>
      <c r="I5318" s="1" t="str">
        <f ca="1">IFERROR(__xludf.DUMMYFUNCTION("GOOGLETRANSLATE(F5318, ""auto"", ""en"")
"),"Just yesterday he was with me! The phone is just great! To be honest, when I bought it I was expecting less, but in reality it’s just super!!  Yesterday it was stolen from me =((I loved it very much. The phone is just super, take it. You definitely won’t "&amp;"regret it, by the way the phone is very convenient for left-handed people!! Which is a rarity!")</f>
        <v>Just yesterday he was with me! The phone is just great! To be honest, when I bought it I was expecting less, but in reality it’s just super!!  Yesterday it was stolen from me =((I loved it very much. The phone is just super, take it. You definitely won’t regret it, by the way the phone is very convenient for left-handed people!! Which is a rarity!</v>
      </c>
    </row>
    <row r="5319" spans="1:9" x14ac:dyDescent="0.3">
      <c r="A5319" s="1" t="s">
        <v>211</v>
      </c>
      <c r="B5319" s="1" t="s">
        <v>212</v>
      </c>
      <c r="C5319" s="1" t="s">
        <v>213</v>
      </c>
      <c r="D5319" s="1" t="s">
        <v>335</v>
      </c>
      <c r="E5319" s="1" t="s">
        <v>1623</v>
      </c>
      <c r="F5319" s="1" t="s">
        <v>8769</v>
      </c>
      <c r="G5319" s="1" t="s">
        <v>36</v>
      </c>
      <c r="H5319" s="1" t="s">
        <v>29</v>
      </c>
      <c r="I5319" s="1" t="str">
        <f ca="1">IFERROR(__xludf.DUMMYFUNCTION("GOOGLETRANSLATE(F5319, ""auto"", ""en"")
"),"I’ve been using it for 5 years now, I’m very pleased, my hands don’t get tired of it, you use it like a comb. The only thing is that today, when I turned it on, very hot air immediately began to flow in - like boiling water, I don’t know what this is conn"&amp;"ected with...")</f>
        <v>I’ve been using it for 5 years now, I’m very pleased, my hands don’t get tired of it, you use it like a comb. The only thing is that today, when I turned it on, very hot air immediately began to flow in - like boiling water, I don’t know what this is connected with...</v>
      </c>
    </row>
    <row r="5320" spans="1:9" x14ac:dyDescent="0.3">
      <c r="A5320" s="1" t="s">
        <v>67</v>
      </c>
      <c r="B5320" s="1" t="s">
        <v>68</v>
      </c>
      <c r="C5320" s="1" t="s">
        <v>246</v>
      </c>
      <c r="D5320" s="1" t="s">
        <v>589</v>
      </c>
      <c r="E5320" s="1" t="s">
        <v>8770</v>
      </c>
      <c r="F5320" s="1" t="s">
        <v>8771</v>
      </c>
      <c r="G5320" s="1" t="s">
        <v>49</v>
      </c>
      <c r="H5320" s="1" t="s">
        <v>16</v>
      </c>
      <c r="I5320" s="1" t="str">
        <f ca="1">IFERROR(__xludf.DUMMYFUNCTION("GOOGLETRANSLATE(F5320, ""auto"", ""en"")
"),"I’ve been using the iron for more than a year...during this time I cleaned it several times, everything constantly sticks, the sole seemed cool at first, until I ironed my black cotton trousers and ruined it...I went to buy a pencil for cleaning the iron "&amp;"with my last money...then it was the same with the duvet cover! Now I need a new iron (((and I know for sure! I definitely won’t buy it again with such a sole!!! and I had already overpaid so much that it was easier to just buy the most expensive iron...")</f>
        <v>I’ve been using the iron for more than a year...during this time I cleaned it several times, everything constantly sticks, the sole seemed cool at first, until I ironed my black cotton trousers and ruined it...I went to buy a pencil for cleaning the iron with my last money...then it was the same with the duvet cover! Now I need a new iron (((and I know for sure! I definitely won’t buy it again with such a sole!!! and I had already overpaid so much that it was easier to just buy the most expensive iron...</v>
      </c>
    </row>
    <row r="5321" spans="1:9" x14ac:dyDescent="0.3">
      <c r="A5321" s="1" t="s">
        <v>61</v>
      </c>
      <c r="B5321" s="1" t="s">
        <v>1727</v>
      </c>
      <c r="C5321" s="1" t="s">
        <v>122</v>
      </c>
      <c r="D5321" s="1" t="s">
        <v>247</v>
      </c>
      <c r="E5321" s="1" t="s">
        <v>2557</v>
      </c>
      <c r="F5321" s="1" t="s">
        <v>8772</v>
      </c>
      <c r="G5321" s="1" t="s">
        <v>36</v>
      </c>
      <c r="H5321" s="1" t="s">
        <v>29</v>
      </c>
      <c r="I5321" s="1" t="str">
        <f ca="1">IFERROR(__xludf.DUMMYFUNCTION("GOOGLETRANSLATE(F5321, ""auto"", ""en"")
"),"Very good kitchen helper! Biscuits turn out especially well, fluffy and fragrant. The pilaf is also very tasty. Rice to grain. If someone doesn’t get pilaf, you need to choose the right rice. Thanks to the cartoon, my husband learned to cook - he makes ri"&amp;"ce porridge in it. Steamed cutlets with garlic - delicious!")</f>
        <v>Very good kitchen helper! Biscuits turn out especially well, fluffy and fragrant. The pilaf is also very tasty. Rice to grain. If someone doesn’t get pilaf, you need to choose the right rice. Thanks to the cartoon, my husband learned to cook - he makes rice porridge in it. Steamed cutlets with garlic - delicious!</v>
      </c>
    </row>
    <row r="5322" spans="1:9" x14ac:dyDescent="0.3">
      <c r="A5322" s="1" t="s">
        <v>120</v>
      </c>
      <c r="B5322" s="1" t="s">
        <v>121</v>
      </c>
      <c r="C5322" s="1" t="s">
        <v>80</v>
      </c>
      <c r="D5322" s="1" t="s">
        <v>8773</v>
      </c>
      <c r="E5322" s="1" t="s">
        <v>4929</v>
      </c>
      <c r="F5322" s="1" t="s">
        <v>8774</v>
      </c>
      <c r="G5322" s="1" t="s">
        <v>28</v>
      </c>
      <c r="H5322" s="1" t="s">
        <v>29</v>
      </c>
      <c r="I5322" s="1" t="str">
        <f ca="1">IFERROR(__xludf.DUMMYFUNCTION("GOOGLETRANSLATE(F5322, ""auto"", ""en"")
"),"Not a bad TV for little money.   Of the minuses: 1. The DVD drive does not seem to support DivX and Mpeg formats;  2. USB is present but only for service purposes;  3. somewhat mumbling sound.  4. Russia is not mentioned in the instructions about DVB broa"&amp;"dcasting (built-in digital television receiver) But otherwise it’s just super!")</f>
        <v>Not a bad TV for little money.   Of the minuses: 1. The DVD drive does not seem to support DivX and Mpeg formats;  2. USB is present but only for service purposes;  3. somewhat mumbling sound.  4. Russia is not mentioned in the instructions about DVB broadcasting (built-in digital television receiver) But otherwise it’s just super!</v>
      </c>
    </row>
    <row r="5323" spans="1:9" x14ac:dyDescent="0.3">
      <c r="A5323" s="1" t="s">
        <v>61</v>
      </c>
      <c r="B5323" s="1" t="s">
        <v>977</v>
      </c>
      <c r="C5323" s="1" t="s">
        <v>213</v>
      </c>
      <c r="D5323" s="1" t="s">
        <v>378</v>
      </c>
      <c r="E5323" s="1" t="s">
        <v>2365</v>
      </c>
      <c r="F5323" s="1" t="s">
        <v>8775</v>
      </c>
      <c r="G5323" s="1" t="s">
        <v>36</v>
      </c>
      <c r="H5323" s="1" t="s">
        <v>29</v>
      </c>
      <c r="I5323" s="1" t="str">
        <f ca="1">IFERROR(__xludf.DUMMYFUNCTION("GOOGLETRANSLATE(F5323, ""auto"", ""en"")
"),"Blender is great! I bought it over a year ago and it came with a wall mount and a lid for the glass!!! An indispensable item for preparing baby food!")</f>
        <v>Blender is great! I bought it over a year ago and it came with a wall mount and a lid for the glass!!! An indispensable item for preparing baby food!</v>
      </c>
    </row>
    <row r="5324" spans="1:9" x14ac:dyDescent="0.3">
      <c r="A5324" s="1" t="s">
        <v>61</v>
      </c>
      <c r="B5324" s="1" t="s">
        <v>318</v>
      </c>
      <c r="C5324" s="1" t="s">
        <v>85</v>
      </c>
      <c r="D5324" s="1" t="s">
        <v>8776</v>
      </c>
      <c r="E5324" s="1" t="s">
        <v>1883</v>
      </c>
      <c r="F5324" s="1" t="s">
        <v>8777</v>
      </c>
      <c r="G5324" s="1" t="s">
        <v>36</v>
      </c>
      <c r="H5324" s="1" t="s">
        <v>29</v>
      </c>
      <c r="I5324" s="1" t="str">
        <f ca="1">IFERROR(__xludf.DUMMYFUNCTION("GOOGLETRANSLATE(F5324, ""auto"", ""en"")
"),"Great design, price=quality")</f>
        <v>Great design, price=quality</v>
      </c>
    </row>
    <row r="5325" spans="1:9" x14ac:dyDescent="0.3">
      <c r="A5325" s="1" t="s">
        <v>105</v>
      </c>
      <c r="B5325" s="1" t="s">
        <v>106</v>
      </c>
      <c r="C5325" s="1" t="s">
        <v>69</v>
      </c>
      <c r="D5325" s="1" t="s">
        <v>420</v>
      </c>
      <c r="E5325" s="1" t="s">
        <v>1275</v>
      </c>
      <c r="F5325" s="1" t="s">
        <v>8778</v>
      </c>
      <c r="G5325" s="1" t="s">
        <v>36</v>
      </c>
      <c r="H5325" s="1" t="s">
        <v>29</v>
      </c>
      <c r="I5325" s="1" t="str">
        <f ca="1">IFERROR(__xludf.DUMMYFUNCTION("GOOGLETRANSLATE(F5325, ""auto"", ""en"")
"),"The gadget itself is not bad and has everything you need. Only there is not a big minus for those who choose a louder player, it plays a little quietly!!  And so, if you compare price/quality/style, you can give it a solid 5!")</f>
        <v>The gadget itself is not bad and has everything you need. Only there is not a big minus for those who choose a louder player, it plays a little quietly!!  And so, if you compare price/quality/style, you can give it a solid 5!</v>
      </c>
    </row>
    <row r="5326" spans="1:9" x14ac:dyDescent="0.3">
      <c r="A5326" s="1" t="s">
        <v>211</v>
      </c>
      <c r="B5326" s="1" t="s">
        <v>212</v>
      </c>
      <c r="C5326" s="1" t="s">
        <v>294</v>
      </c>
      <c r="D5326" s="1" t="s">
        <v>8779</v>
      </c>
      <c r="E5326" s="1" t="s">
        <v>1467</v>
      </c>
      <c r="F5326" s="1" t="s">
        <v>8780</v>
      </c>
      <c r="G5326" s="1" t="s">
        <v>36</v>
      </c>
      <c r="H5326" s="1" t="s">
        <v>29</v>
      </c>
      <c r="I5326" s="1" t="str">
        <f ca="1">IFERROR(__xludf.DUMMYFUNCTION("GOOGLETRANSLATE(F5326, ""auto"", ""en"")
"),"I've been using this hair dryer for 5 years, today I was apparently tired and refused to dry me. I'm going to go buy a new one just like it. I'm very pleased with them. The hair really does not electrolyze, the size and weight are comfortable, the rubberi"&amp;"zed handle fits comfortably in the hand. The price-quality ratio is ideal.")</f>
        <v>I've been using this hair dryer for 5 years, today I was apparently tired and refused to dry me. I'm going to go buy a new one just like it. I'm very pleased with them. The hair really does not electrolyze, the size and weight are comfortable, the rubberized handle fits comfortably in the hand. The price-quality ratio is ideal.</v>
      </c>
    </row>
    <row r="5327" spans="1:9" x14ac:dyDescent="0.3">
      <c r="A5327" s="1" t="s">
        <v>55</v>
      </c>
      <c r="B5327" s="1" t="s">
        <v>56</v>
      </c>
      <c r="C5327" s="1" t="s">
        <v>1373</v>
      </c>
      <c r="D5327" s="1" t="s">
        <v>456</v>
      </c>
      <c r="E5327" s="1" t="s">
        <v>7286</v>
      </c>
      <c r="F5327" s="1" t="s">
        <v>8781</v>
      </c>
      <c r="G5327" s="1" t="s">
        <v>28</v>
      </c>
      <c r="H5327" s="1" t="s">
        <v>29</v>
      </c>
      <c r="I5327" s="1" t="str">
        <f ca="1">IFERROR(__xludf.DUMMYFUNCTION("GOOGLETRANSLATE(F5327, ""auto"", ""en"")
"),"The humidifier is good. Quite convenient and easy to use. It doesn't make much noise and doesn't bother you at night. The reservoir lasts for 8 hours. It works for 4 months without any complaints. The main thing is to remember to clean it to extend its se"&amp;"rvice life.  The only negative is that it is not enough for an area of ​​60 sq.m. Maximum - for 25-30 sq.m. For my 54 sq.m. the maximum humidity rose to 35% in winter, and this was overnight. All batteries are turned off, at home it’s 21 degrees. At night"&amp;" we direct the “stream” directly onto the bed.  Summary: A very useful thing. Obvious advantages - the skin does not dry out, nothing dries out in the nose and it is very easy to tolerate ARVI. Especially if there is a child in the house. I also recommend"&amp;" giving a humidifier to the kindergarten your child attends.")</f>
        <v>The humidifier is good. Quite convenient and easy to use. It doesn't make much noise and doesn't bother you at night. The reservoir lasts for 8 hours. It works for 4 months without any complaints. The main thing is to remember to clean it to extend its service life.  The only negative is that it is not enough for an area of ​​60 sq.m. Maximum - for 25-30 sq.m. For my 54 sq.m. the maximum humidity rose to 35% in winter, and this was overnight. All batteries are turned off, at home it’s 21 degrees. At night we direct the “stream” directly onto the bed.  Summary: A very useful thing. Obvious advantages - the skin does not dry out, nothing dries out in the nose and it is very easy to tolerate ARVI. Especially if there is a child in the house. I also recommend giving a humidifier to the kindergarten your child attends.</v>
      </c>
    </row>
    <row r="5328" spans="1:9" x14ac:dyDescent="0.3">
      <c r="A5328" s="1" t="s">
        <v>624</v>
      </c>
      <c r="B5328" s="1" t="s">
        <v>625</v>
      </c>
      <c r="C5328" s="1" t="s">
        <v>479</v>
      </c>
      <c r="D5328" s="1" t="s">
        <v>305</v>
      </c>
      <c r="E5328" s="1" t="s">
        <v>8584</v>
      </c>
      <c r="F5328" s="1" t="s">
        <v>8782</v>
      </c>
      <c r="G5328" s="1" t="s">
        <v>36</v>
      </c>
      <c r="H5328" s="1" t="s">
        <v>29</v>
      </c>
      <c r="I5328" s="1" t="str">
        <f ca="1">IFERROR(__xludf.DUMMYFUNCTION("GOOGLETRANSLATE(F5328, ""auto"", ""en"")
"),"Great shooter, great story, great dialogue, great level design, wonderful graphics, incredible production, attention to detail. You can talk about Uncharted 2 for several hours without remembering a single negative. Even in 2012, this is one of the best a"&amp;"dventures of the last decade and should be in the collection of every game lover. The only thing that disappointed me was the small book that came with the disc. It was not compiled, printed and translated in the best way. But in any case, this has nothin"&amp;"g to do with the game - everything is fine there. 11/10")</f>
        <v>Great shooter, great story, great dialogue, great level design, wonderful graphics, incredible production, attention to detail. You can talk about Uncharted 2 for several hours without remembering a single negative. Even in 2012, this is one of the best adventures of the last decade and should be in the collection of every game lover. The only thing that disappointed me was the small book that came with the disc. It was not compiled, printed and translated in the best way. But in any case, this has nothing to do with the game - everything is fine there. 11/10</v>
      </c>
    </row>
    <row r="5329" spans="1:9" x14ac:dyDescent="0.3">
      <c r="A5329" s="1" t="s">
        <v>9</v>
      </c>
      <c r="B5329" s="1" t="s">
        <v>10</v>
      </c>
      <c r="C5329" s="1" t="s">
        <v>407</v>
      </c>
      <c r="D5329" s="1" t="s">
        <v>81</v>
      </c>
      <c r="E5329" s="1" t="s">
        <v>661</v>
      </c>
      <c r="F5329" s="1" t="s">
        <v>8783</v>
      </c>
      <c r="G5329" s="1" t="s">
        <v>28</v>
      </c>
      <c r="H5329" s="1" t="s">
        <v>29</v>
      </c>
      <c r="I5329" s="1" t="str">
        <f ca="1">IFERROR(__xludf.DUMMYFUNCTION("GOOGLETRANSLATE(F5329, ""auto"", ""en"")
"),"The hood is good, the design is strict and beautiful. You don’t have to wipe it down as often as glass counterparts. However, there are some problems...the clock is in a hurry...10 minutes a week...go change it...there's a lot of hemorrhoids, but it's ann"&amp;"oying to constantly fail")</f>
        <v>The hood is good, the design is strict and beautiful. You don’t have to wipe it down as often as glass counterparts. However, there are some problems...the clock is in a hurry...10 minutes a week...go change it...there's a lot of hemorrhoids, but it's annoying to constantly fail</v>
      </c>
    </row>
    <row r="5330" spans="1:9" x14ac:dyDescent="0.3">
      <c r="A5330" s="1" t="s">
        <v>169</v>
      </c>
      <c r="B5330" s="1" t="s">
        <v>170</v>
      </c>
      <c r="C5330" s="1" t="s">
        <v>122</v>
      </c>
      <c r="D5330" s="1" t="s">
        <v>52</v>
      </c>
      <c r="E5330" s="1" t="s">
        <v>8784</v>
      </c>
      <c r="F5330" s="1" t="s">
        <v>8785</v>
      </c>
      <c r="G5330" s="1" t="s">
        <v>28</v>
      </c>
      <c r="H5330" s="1" t="s">
        <v>29</v>
      </c>
      <c r="I5330" s="1" t="str">
        <f ca="1">IFERROR(__xludf.DUMMYFUNCTION("GOOGLETRANSLATE(F5330, ""auto"", ""en"")
"),"For this money you shouldn't expect super sound from them. I bought them as standbys and they play quite normally, it's not for super sound. Nothing more than duty ears...if you want cooler, pay more.")</f>
        <v>For this money you shouldn't expect super sound from them. I bought them as standbys and they play quite normally, it's not for super sound. Nothing more than duty ears...if you want cooler, pay more.</v>
      </c>
    </row>
    <row r="5331" spans="1:9" x14ac:dyDescent="0.3">
      <c r="A5331" s="1" t="s">
        <v>120</v>
      </c>
      <c r="B5331" s="1" t="s">
        <v>196</v>
      </c>
      <c r="C5331" s="1" t="s">
        <v>80</v>
      </c>
      <c r="D5331" s="1" t="s">
        <v>8786</v>
      </c>
      <c r="E5331" s="1" t="s">
        <v>2348</v>
      </c>
      <c r="F5331" s="1" t="s">
        <v>8787</v>
      </c>
      <c r="G5331" s="1" t="s">
        <v>28</v>
      </c>
      <c r="H5331" s="1" t="s">
        <v>29</v>
      </c>
      <c r="I5331" s="1" t="str">
        <f ca="1">IFERROR(__xludf.DUMMYFUNCTION("GOOGLETRANSLATE(F5331, ""auto"", ""en"")
"),"about unlocking a USB TV, turning into a multimedia player when unlocked, the warranty on the TV no longer works!!!    there are several ways 1- firmware 3.15 unlocking USB - firmware 3.55 (there is a risk of killing the firmware, if you kill it, don’t wo"&amp;"rry, even a dead TV can be repaired yourself, there is information about this on the Internet (even if it doesn’t turn on the black screen)) 2- using the remote control and the setup menu (don’t go into it) press either 7 or 9 or fav until it offers the f"&amp;"irmware (press about 7 times) and the service menu will come out (it doesn’t work on all TVs, not all have firmware 3.15) 3- using an LED is the safest, no risk of burning the TV’s firmware!!!  1. Download to your computer the “sound” files for LEDs kindl"&amp;"y posted on the ixbt.com forum by kind people. From the downloaded archive we only need “serv-ok-ok.mp3” or “serv-ok-ok.Wav”.   2. Find an IR diode (for example, from an old TV remote control or buy it at the radio market), take two wires and screw them t"&amp;"o the legs of the LED. We connect the other ends of the wires to the sound source. I connected the wires coming from the active computer speaker to the second speaker to the plug. We perform all manipulations with the speakers turned off.   3. We carry th"&amp;"e TV to the computer (well, or vice versa). We reduce the sound of the player on the computer to zero. Turn on the speakers. We throw the audio file (""serv-ok-ok.mp3"" or ""serv-ok-ok.Wav"") into the computer player and set it to play cyclically.   We di"&amp;"rect the IR diode to the IR receiver of the TV and slowly increase the volume.   4. A password entry window appears on the TV. We put the IR diode aside - we no longer need it. Enter the password ""0000"" from the TV remote control. We get to the EZ ADJUS"&amp;"T menu.   5. Open ONLY the Tool Option3 section. Use the right arrow to change ONLY two values: EMF (JPEG, MP3) --- 1. Divx --- HD.   WE DON'T CHANGE ANYTHING ELSE!   Press the “Return/Exit” button on the remote control. Turn off and turn on the TV.")</f>
        <v>about unlocking a USB TV, turning into a multimedia player when unlocked, the warranty on the TV no longer works!!!    there are several ways 1- firmware 3.15 unlocking USB - firmware 3.55 (there is a risk of killing the firmware, if you kill it, don’t worry, even a dead TV can be repaired yourself, there is information about this on the Internet (even if it doesn’t turn on the black screen)) 2- using the remote control and the setup menu (don’t go into it) press either 7 or 9 or fav until it offers the firmware (press about 7 times) and the service menu will come out (it doesn’t work on all TVs, not all have firmware 3.15) 3- using an LED is the safest, no risk of burning the TV’s firmware!!!  1. Download to your computer the “sound” files for LEDs kindly posted on the ixbt.com forum by kind people. From the downloaded archive we only need “serv-ok-ok.mp3” or “serv-ok-ok.Wav”.   2. Find an IR diode (for example, from an old TV remote control or buy it at the radio market), take two wires and screw them to the legs of the LED. We connect the other ends of the wires to the sound source. I connected the wires coming from the active computer speaker to the second speaker to the plug. We perform all manipulations with the speakers turned off.   3. We carry the TV to the computer (well, or vice versa). We reduce the sound of the player on the computer to zero. Turn on the speakers. We throw the audio file ("serv-ok-ok.mp3" or "serv-ok-ok.Wav") into the computer player and set it to play cyclically.   We direct the IR diode to the IR receiver of the TV and slowly increase the volume.   4. A password entry window appears on the TV. We put the IR diode aside - we no longer need it. Enter the password "0000" from the TV remote control. We get to the EZ ADJUST menu.   5. Open ONLY the Tool Option3 section. Use the right arrow to change ONLY two values: EMF (JPEG, MP3) --- 1. Divx --- HD.   WE DON'T CHANGE ANYTHING ELSE!   Press the “Return/Exit” button on the remote control. Turn off and turn on the TV.</v>
      </c>
    </row>
    <row r="5332" spans="1:9" x14ac:dyDescent="0.3">
      <c r="A5332" s="1" t="s">
        <v>61</v>
      </c>
      <c r="B5332" s="1" t="s">
        <v>726</v>
      </c>
      <c r="C5332" s="1" t="s">
        <v>122</v>
      </c>
      <c r="D5332" s="1" t="s">
        <v>240</v>
      </c>
      <c r="E5332" s="1" t="s">
        <v>3542</v>
      </c>
      <c r="F5332" s="1" t="s">
        <v>8788</v>
      </c>
      <c r="G5332" s="1" t="s">
        <v>36</v>
      </c>
      <c r="H5332" s="1" t="s">
        <v>29</v>
      </c>
      <c r="I5332" s="1" t="str">
        <f ca="1">IFERROR(__xludf.DUMMYFUNCTION("GOOGLETRANSLATE(F5332, ""auto"", ""en"")
"),"I am very pleased with the stove. I bake bread, knead yeast dough and dumplings for dumplings. After this, store-bought bread is not an option, just your own homemade bread, super. Sometimes it creaks when kneading, but these are the features of this mode"&amp;"l and the bucket must be placed correctly. I am very happy with the purchase!!!!")</f>
        <v>I am very pleased with the stove. I bake bread, knead yeast dough and dumplings for dumplings. After this, store-bought bread is not an option, just your own homemade bread, super. Sometimes it creaks when kneading, but these are the features of this model and the bucket must be placed correctly. I am very happy with the purchase!!!!</v>
      </c>
    </row>
    <row r="5333" spans="1:9" x14ac:dyDescent="0.3">
      <c r="A5333" s="1" t="s">
        <v>95</v>
      </c>
      <c r="B5333" s="1" t="s">
        <v>227</v>
      </c>
      <c r="C5333" s="1" t="s">
        <v>97</v>
      </c>
      <c r="D5333" s="1" t="s">
        <v>1121</v>
      </c>
      <c r="E5333" s="1" t="s">
        <v>2882</v>
      </c>
      <c r="F5333" s="1" t="s">
        <v>8789</v>
      </c>
      <c r="G5333" s="1" t="s">
        <v>36</v>
      </c>
      <c r="H5333" s="1" t="s">
        <v>29</v>
      </c>
      <c r="I5333" s="1" t="str">
        <f ca="1">IFERROR(__xludf.DUMMYFUNCTION("GOOGLETRANSLATE(F5333, ""auto"", ""en"")
"),"Cool console!!! I RECOMMEND EVERYONE TO BUY!!!")</f>
        <v>Cool console!!! I RECOMMEND EVERYONE TO BUY!!!</v>
      </c>
    </row>
    <row r="5334" spans="1:9" x14ac:dyDescent="0.3">
      <c r="A5334" s="1" t="s">
        <v>206</v>
      </c>
      <c r="B5334" s="1" t="s">
        <v>261</v>
      </c>
      <c r="C5334" s="1" t="s">
        <v>107</v>
      </c>
      <c r="D5334" s="1" t="s">
        <v>305</v>
      </c>
      <c r="E5334" s="1" t="s">
        <v>1221</v>
      </c>
      <c r="F5334" s="1" t="s">
        <v>8790</v>
      </c>
      <c r="G5334" s="1" t="s">
        <v>36</v>
      </c>
      <c r="H5334" s="1" t="s">
        <v>29</v>
      </c>
      <c r="I5334" s="1" t="str">
        <f ca="1">IFERROR(__xludf.DUMMYFUNCTION("GOOGLETRANSLATE(F5334, ""auto"", ""en"")
"),"I really liked the sound quality, almost like from a CD! and signal-to-noise ratio. There is a built-in equalizer! Convenient remote control included :)")</f>
        <v>I really liked the sound quality, almost like from a CD! and signal-to-noise ratio. There is a built-in equalizer! Convenient remote control included :)</v>
      </c>
    </row>
    <row r="5335" spans="1:9" x14ac:dyDescent="0.3">
      <c r="A5335" s="1" t="s">
        <v>206</v>
      </c>
      <c r="B5335" s="1" t="s">
        <v>1349</v>
      </c>
      <c r="C5335" s="1" t="s">
        <v>351</v>
      </c>
      <c r="D5335" s="1" t="s">
        <v>1681</v>
      </c>
      <c r="E5335" s="1" t="s">
        <v>254</v>
      </c>
      <c r="F5335" s="1" t="s">
        <v>8791</v>
      </c>
      <c r="G5335" s="1" t="s">
        <v>36</v>
      </c>
      <c r="H5335" s="1" t="s">
        <v>29</v>
      </c>
      <c r="I5335" s="1" t="str">
        <f ca="1">IFERROR(__xludf.DUMMYFUNCTION("GOOGLETRANSLATE(F5335, ""auto"", ""en"")
"),"For me, the main thing is that it reads flash drives and ESD cards! I hardly watch DVDs, but sometimes it comes in handy. I didn’t notice any particular shortcomings.")</f>
        <v>For me, the main thing is that it reads flash drives and ESD cards! I hardly watch DVDs, but sometimes it comes in handy. I didn’t notice any particular shortcomings.</v>
      </c>
    </row>
    <row r="5336" spans="1:9" x14ac:dyDescent="0.3">
      <c r="A5336" s="1" t="s">
        <v>30</v>
      </c>
      <c r="B5336" s="1" t="s">
        <v>50</v>
      </c>
      <c r="C5336" s="1" t="s">
        <v>189</v>
      </c>
      <c r="D5336" s="1" t="s">
        <v>232</v>
      </c>
      <c r="E5336" s="1" t="s">
        <v>1811</v>
      </c>
      <c r="F5336" s="1" t="s">
        <v>8792</v>
      </c>
      <c r="G5336" s="1" t="s">
        <v>28</v>
      </c>
      <c r="H5336" s="1" t="s">
        <v>29</v>
      </c>
      <c r="I5336" s="1" t="str">
        <f ca="1">IFERROR(__xludf.DUMMYFUNCTION("GOOGLETRANSLATE(F5336, ""auto"", ""en"")
"),"My opinion is that the laptop is the golden mean. There are some downsides, but also some upsides. The big minus is the soilability. The second disadvantage is the gaps between the keys, they seem small, but debris gets in there and is not easy to remove."&amp;" In principle, these are all its disadvantages, but there are undoubtedly more advantages. These include quiet operation and good picture quality and ease of use. The model, of course, will not be able to handle modern games, but for those who play toys t"&amp;"hat are not too sophisticated, it will come in handy.")</f>
        <v>My opinion is that the laptop is the golden mean. There are some downsides, but also some upsides. The big minus is the soilability. The second disadvantage is the gaps between the keys, they seem small, but debris gets in there and is not easy to remove. In principle, these are all its disadvantages, but there are undoubtedly more advantages. These include quiet operation and good picture quality and ease of use. The model, of course, will not be able to handle modern games, but for those who play toys that are not too sophisticated, it will come in handy.</v>
      </c>
    </row>
    <row r="5337" spans="1:9" x14ac:dyDescent="0.3">
      <c r="A5337" s="1" t="s">
        <v>61</v>
      </c>
      <c r="B5337" s="1" t="s">
        <v>145</v>
      </c>
      <c r="C5337" s="1" t="s">
        <v>57</v>
      </c>
      <c r="D5337" s="1" t="s">
        <v>1506</v>
      </c>
      <c r="E5337" s="1" t="s">
        <v>8793</v>
      </c>
      <c r="F5337" s="1" t="s">
        <v>8794</v>
      </c>
      <c r="G5337" s="1" t="s">
        <v>36</v>
      </c>
      <c r="H5337" s="1" t="s">
        <v>29</v>
      </c>
      <c r="I5337" s="1" t="str">
        <f ca="1">IFERROR(__xludf.DUMMYFUNCTION("GOOGLETRANSLATE(F5337, ""auto"", ""en"")
"),"We bought the latter from the display, thanks to the positive reviews on the site. We were very pleased)). Yes, it’s small, but you don’t need a lot of oil and it’s not at all difficult to make potatoes in several batches. Just lovely!! We immediately bro"&amp;"ught it and tried it out! Very satisfied! It’s convenient that it’s not large in size, you can put it anywhere - it fits everywhere. I recommend)).")</f>
        <v>We bought the latter from the display, thanks to the positive reviews on the site. We were very pleased)). Yes, it’s small, but you don’t need a lot of oil and it’s not at all difficult to make potatoes in several batches. Just lovely!! We immediately brought it and tried it out! Very satisfied! It’s convenient that it’s not large in size, you can put it anywhere - it fits everywhere. I recommend)).</v>
      </c>
    </row>
    <row r="5338" spans="1:9" x14ac:dyDescent="0.3">
      <c r="A5338" s="1" t="s">
        <v>61</v>
      </c>
      <c r="B5338" s="1" t="s">
        <v>318</v>
      </c>
      <c r="C5338" s="1" t="s">
        <v>101</v>
      </c>
      <c r="D5338" s="1" t="s">
        <v>8795</v>
      </c>
      <c r="E5338" s="1" t="s">
        <v>330</v>
      </c>
      <c r="F5338" s="1" t="s">
        <v>8796</v>
      </c>
      <c r="G5338" s="1" t="s">
        <v>49</v>
      </c>
      <c r="H5338" s="1" t="s">
        <v>16</v>
      </c>
      <c r="I5338" s="1" t="str">
        <f ca="1">IFERROR(__xludf.DUMMYFUNCTION("GOOGLETRANSLATE(F5338, ""auto"", ""en"")
"),"I used this device for a year, used it every day, that’s what it exists for... the contacts melted))")</f>
        <v>I used this device for a year, used it every day, that’s what it exists for... the contacts melted))</v>
      </c>
    </row>
    <row r="5339" spans="1:9" x14ac:dyDescent="0.3">
      <c r="A5339" s="1" t="s">
        <v>373</v>
      </c>
      <c r="B5339" s="1" t="s">
        <v>374</v>
      </c>
      <c r="C5339" s="1" t="s">
        <v>134</v>
      </c>
      <c r="D5339" s="1" t="s">
        <v>295</v>
      </c>
      <c r="E5339" s="1" t="s">
        <v>1811</v>
      </c>
      <c r="F5339" s="1" t="s">
        <v>8797</v>
      </c>
      <c r="G5339" s="1" t="s">
        <v>36</v>
      </c>
      <c r="H5339" s="1" t="s">
        <v>29</v>
      </c>
      <c r="I5339" s="1" t="str">
        <f ca="1">IFERROR(__xludf.DUMMYFUNCTION("GOOGLETRANSLATE(F5339, ""auto"", ""en"")
"),"Very good reviews, and most importantly useful, just one question, can I use the tablets? I'm going to buy this machine, I hope there will be a discount on it. Thanks everyone.")</f>
        <v>Very good reviews, and most importantly useful, just one question, can I use the tablets? I'm going to buy this machine, I hope there will be a discount on it. Thanks everyone.</v>
      </c>
    </row>
    <row r="5340" spans="1:9" x14ac:dyDescent="0.3">
      <c r="A5340" s="1" t="s">
        <v>811</v>
      </c>
      <c r="B5340" s="1" t="s">
        <v>1294</v>
      </c>
      <c r="C5340" s="1" t="s">
        <v>1295</v>
      </c>
      <c r="D5340" s="1" t="s">
        <v>6172</v>
      </c>
      <c r="E5340" s="1" t="s">
        <v>614</v>
      </c>
      <c r="F5340" s="1" t="s">
        <v>8798</v>
      </c>
      <c r="G5340" s="1" t="s">
        <v>36</v>
      </c>
      <c r="H5340" s="1" t="s">
        <v>29</v>
      </c>
      <c r="I5340" s="1" t="str">
        <f ca="1">IFERROR(__xludf.DUMMYFUNCTION("GOOGLETRANSLATE(F5340, ""auto"", ""en"")
"),"GREAT Lenspen LP-1!!!!!! Does his job EXCELLENTLY!!! I recommend it to everyone!!!")</f>
        <v>GREAT Lenspen LP-1!!!!!! Does his job EXCELLENTLY!!! I recommend it to everyone!!!</v>
      </c>
    </row>
    <row r="5341" spans="1:9" x14ac:dyDescent="0.3">
      <c r="A5341" s="1" t="s">
        <v>61</v>
      </c>
      <c r="B5341" s="1" t="s">
        <v>318</v>
      </c>
      <c r="C5341" s="1" t="s">
        <v>85</v>
      </c>
      <c r="D5341" s="1" t="s">
        <v>420</v>
      </c>
      <c r="E5341" s="1" t="s">
        <v>1410</v>
      </c>
      <c r="F5341" s="1" t="s">
        <v>8799</v>
      </c>
      <c r="G5341" s="1" t="s">
        <v>36</v>
      </c>
      <c r="H5341" s="1" t="s">
        <v>29</v>
      </c>
      <c r="I5341" s="1" t="str">
        <f ca="1">IFERROR(__xludf.DUMMYFUNCTION("GOOGLETRANSLATE(F5341, ""auto"", ""en"")
"),"It worked without problems for 8 years.")</f>
        <v>It worked without problems for 8 years.</v>
      </c>
    </row>
    <row r="5342" spans="1:9" x14ac:dyDescent="0.3">
      <c r="A5342" s="1" t="s">
        <v>61</v>
      </c>
      <c r="B5342" s="1" t="s">
        <v>73</v>
      </c>
      <c r="C5342" s="1" t="s">
        <v>146</v>
      </c>
      <c r="D5342" s="1" t="s">
        <v>1506</v>
      </c>
      <c r="E5342" s="1" t="s">
        <v>236</v>
      </c>
      <c r="F5342" s="1" t="s">
        <v>8800</v>
      </c>
      <c r="G5342" s="1" t="s">
        <v>49</v>
      </c>
      <c r="H5342" s="1" t="s">
        <v>16</v>
      </c>
      <c r="I5342" s="1" t="str">
        <f ca="1">IFERROR(__xludf.DUMMYFUNCTION("GOOGLETRANSLATE(F5342, ""auto"", ""en"")
"),"The first two uses everything was fine, but there was just a lot of noise from it. The third time, the meat went well, but when I scrolled through the piece of bread at the end, the auger stopped working and made an even louder noise. That's it, Kenwood!")</f>
        <v>The first two uses everything was fine, but there was just a lot of noise from it. The third time, the meat went well, but when I scrolled through the piece of bread at the end, the auger stopped working and made an even louder noise. That's it, Kenwood!</v>
      </c>
    </row>
    <row r="5343" spans="1:9" x14ac:dyDescent="0.3">
      <c r="A5343" s="1" t="s">
        <v>61</v>
      </c>
      <c r="B5343" s="1" t="s">
        <v>318</v>
      </c>
      <c r="C5343" s="1" t="s">
        <v>69</v>
      </c>
      <c r="D5343" s="1" t="s">
        <v>247</v>
      </c>
      <c r="E5343" s="1" t="s">
        <v>8801</v>
      </c>
      <c r="F5343" s="1" t="s">
        <v>8802</v>
      </c>
      <c r="G5343" s="1" t="s">
        <v>36</v>
      </c>
      <c r="H5343" s="1" t="s">
        <v>29</v>
      </c>
      <c r="I5343" s="1" t="str">
        <f ca="1">IFERROR(__xludf.DUMMYFUNCTION("GOOGLETRANSLATE(F5343, ""auto"", ""en"")
"),"the kettle is very good")</f>
        <v>the kettle is very good</v>
      </c>
    </row>
    <row r="5344" spans="1:9" x14ac:dyDescent="0.3">
      <c r="A5344" s="1" t="s">
        <v>211</v>
      </c>
      <c r="B5344" s="1" t="s">
        <v>410</v>
      </c>
      <c r="C5344" s="1" t="s">
        <v>122</v>
      </c>
      <c r="D5344" s="1" t="s">
        <v>172</v>
      </c>
      <c r="E5344" s="1" t="s">
        <v>8803</v>
      </c>
      <c r="F5344" s="1" t="s">
        <v>8804</v>
      </c>
      <c r="G5344" s="1" t="s">
        <v>28</v>
      </c>
      <c r="H5344" s="1" t="s">
        <v>29</v>
      </c>
      <c r="I5344" s="1" t="str">
        <f ca="1">IFERROR(__xludf.DUMMYFUNCTION("GOOGLETRANSLATE(F5344, ""auto"", ""en"")
"),"I bought it today on sale. The razor is super for the money, shaves perfectly and quickly. There is a drawback - you cannot shave while plugged in.")</f>
        <v>I bought it today on sale. The razor is super for the money, shaves perfectly and quickly. There is a drawback - you cannot shave while plugged in.</v>
      </c>
    </row>
    <row r="5345" spans="1:9" x14ac:dyDescent="0.3">
      <c r="A5345" s="1" t="s">
        <v>67</v>
      </c>
      <c r="B5345" s="1" t="s">
        <v>68</v>
      </c>
      <c r="C5345" s="1" t="s">
        <v>69</v>
      </c>
      <c r="D5345" s="1" t="s">
        <v>8805</v>
      </c>
      <c r="E5345" s="1" t="s">
        <v>1623</v>
      </c>
      <c r="F5345" s="1" t="s">
        <v>8806</v>
      </c>
      <c r="G5345" s="1" t="s">
        <v>36</v>
      </c>
      <c r="H5345" s="1" t="s">
        <v>29</v>
      </c>
      <c r="I5345" s="1" t="str">
        <f ca="1">IFERROR(__xludf.DUMMYFUNCTION("GOOGLETRANSLATE(F5345, ""auto"", ""en"")
"),"very good iron, I'm satisfied")</f>
        <v>very good iron, I'm satisfied</v>
      </c>
    </row>
    <row r="5346" spans="1:9" x14ac:dyDescent="0.3">
      <c r="A5346" s="1" t="s">
        <v>211</v>
      </c>
      <c r="B5346" s="1" t="s">
        <v>515</v>
      </c>
      <c r="C5346" s="1" t="s">
        <v>213</v>
      </c>
      <c r="D5346" s="1" t="s">
        <v>134</v>
      </c>
      <c r="E5346" s="1" t="s">
        <v>1016</v>
      </c>
      <c r="F5346" s="1" t="s">
        <v>8807</v>
      </c>
      <c r="G5346" s="1" t="s">
        <v>36</v>
      </c>
      <c r="H5346" s="1" t="s">
        <v>29</v>
      </c>
      <c r="I5346" s="1" t="str">
        <f ca="1">IFERROR(__xludf.DUMMYFUNCTION("GOOGLETRANSLATE(F5346, ""auto"", ""en"")
"),"The set includes an attachment for the bikini area and armpits. Excellent epilator removes even short hairs")</f>
        <v>The set includes an attachment for the bikini area and armpits. Excellent epilator removes even short hairs</v>
      </c>
    </row>
    <row r="5347" spans="1:9" x14ac:dyDescent="0.3">
      <c r="A5347" s="1" t="s">
        <v>37</v>
      </c>
      <c r="B5347" s="1" t="s">
        <v>38</v>
      </c>
      <c r="C5347" s="1" t="s">
        <v>69</v>
      </c>
      <c r="D5347" s="1" t="s">
        <v>39</v>
      </c>
      <c r="E5347" s="1" t="s">
        <v>1275</v>
      </c>
      <c r="F5347" s="1" t="s">
        <v>8808</v>
      </c>
      <c r="G5347" s="1" t="s">
        <v>36</v>
      </c>
      <c r="H5347" s="1" t="s">
        <v>29</v>
      </c>
      <c r="I5347" s="1" t="str">
        <f ca="1">IFERROR(__xludf.DUMMYFUNCTION("GOOGLETRANSLATE(F5347, ""auto"", ""en"")
"),"I bought it 3 weeks ago. The battery has not yet been charged and it shows half. The reception/transmission quality is excellent. Also pleasing is the 2GB flash card. I connected it as a modem to my laptop without any problems.   The downside is a very as"&amp;"cetic menu. Java and MMS are not of interest, so I give it a solid 5. If you need a high-quality and reliable connection, take it, you won’t regret it.")</f>
        <v>I bought it 3 weeks ago. The battery has not yet been charged and it shows half. The reception/transmission quality is excellent. Also pleasing is the 2GB flash card. I connected it as a modem to my laptop without any problems.   The downside is a very ascetic menu. Java and MMS are not of interest, so I give it a solid 5. If you need a high-quality and reliable connection, take it, you won’t regret it.</v>
      </c>
    </row>
    <row r="5348" spans="1:9" x14ac:dyDescent="0.3">
      <c r="A5348" s="1" t="s">
        <v>30</v>
      </c>
      <c r="B5348" s="1" t="s">
        <v>50</v>
      </c>
      <c r="C5348" s="1" t="s">
        <v>1386</v>
      </c>
      <c r="D5348" s="1" t="s">
        <v>8809</v>
      </c>
      <c r="E5348" s="1" t="s">
        <v>225</v>
      </c>
      <c r="F5348" s="1" t="s">
        <v>8810</v>
      </c>
      <c r="G5348" s="1" t="s">
        <v>28</v>
      </c>
      <c r="H5348" s="1" t="s">
        <v>29</v>
      </c>
      <c r="I5348" s="1" t="str">
        <f ca="1">IFERROR(__xludf.DUMMYFUNCTION("GOOGLETRANSLATE(F5348, ""auto"", ""en"")
"),"I will repeat the disadvantages: the lack of a microphone and the fact that there are only 2 USB sockets. I added one more 32-bit maximum operating system, now the web camera does not work, and the games are not full screen. Do you need help? Anyone who h"&amp;"as encountered this can provide a link to the firewood.")</f>
        <v>I will repeat the disadvantages: the lack of a microphone and the fact that there are only 2 USB sockets. I added one more 32-bit maximum operating system, now the web camera does not work, and the games are not full screen. Do you need help? Anyone who has encountered this can provide a link to the firewood.</v>
      </c>
    </row>
    <row r="5349" spans="1:9" x14ac:dyDescent="0.3">
      <c r="A5349" s="1" t="s">
        <v>37</v>
      </c>
      <c r="B5349" s="1" t="s">
        <v>536</v>
      </c>
      <c r="C5349" s="1" t="s">
        <v>1419</v>
      </c>
      <c r="D5349" s="1" t="s">
        <v>1391</v>
      </c>
      <c r="E5349" s="1" t="s">
        <v>21</v>
      </c>
      <c r="F5349" s="1" t="s">
        <v>8811</v>
      </c>
      <c r="G5349" s="1" t="s">
        <v>15</v>
      </c>
      <c r="H5349" s="1" t="s">
        <v>16</v>
      </c>
      <c r="I5349" s="1" t="str">
        <f ca="1">IFERROR(__xludf.DUMMYFUNCTION("GOOGLETRANSLATE(F5349, ""auto"", ""en"")
"),"Cons.  1) What killed me was that on the second day, when I turned on the camera, the image transmitted by the camera became all blue-green striped in the brighter parts of the image, and when shooting it shows a black screen, it is impossible to open the"&amp;" saved photo.  2) As for the camera itself, when it was working, it was very slow.  Although I can’t really call it a minus, I only need it there to get into the phone. Enter a photo book of subscribers, and occasionally photograph some moments (if you do"&amp;"n’t have a camera at hand).  3) On the first day, 3 dead pixels appeared on the screen, located nearby closer to the upper left corner.    Tomorrow I’ll go to return it for exchange (in the hope that I’ll get a non-defective copy, if the second one “crack"&amp;"s”, I’ll return the money, because in m.video there are no normal devices on Windows up to 12-13k (neither HTC nor Samsung, which by the way for some reason don’t exist at all... just rovers) Among the advantages, I can note the following: 1) Quite a fast"&amp;" device, in terms of performance on the same level as samsung witu.  2) 8GB flash drive included.  3) On this same flash drive there is a licensed mobile shell and Autosputnik City+ with maps of regions to choose from (Krasnodar is fully detailed - with h"&amp;"ouse numbers) 4) The touch is quite sensitive, better than that of witu, but the screen itself is worse.  5) Operating time under load is comparable to witu.")</f>
        <v>Cons.  1) What killed me was that on the second day, when I turned on the camera, the image transmitted by the camera became all blue-green striped in the brighter parts of the image, and when shooting it shows a black screen, it is impossible to open the saved photo.  2) As for the camera itself, when it was working, it was very slow.  Although I can’t really call it a minus, I only need it there to get into the phone. Enter a photo book of subscribers, and occasionally photograph some moments (if you don’t have a camera at hand).  3) On the first day, 3 dead pixels appeared on the screen, located nearby closer to the upper left corner.    Tomorrow I’ll go to return it for exchange (in the hope that I’ll get a non-defective copy, if the second one “cracks”, I’ll return the money, because in m.video there are no normal devices on Windows up to 12-13k (neither HTC nor Samsung, which by the way for some reason don’t exist at all... just rovers) Among the advantages, I can note the following: 1) Quite a fast device, in terms of performance on the same level as samsung witu.  2) 8GB flash drive included.  3) On this same flash drive there is a licensed mobile shell and Autosputnik City+ with maps of regions to choose from (Krasnodar is fully detailed - with house numbers) 4) The touch is quite sensitive, better than that of witu, but the screen itself is worse.  5) Operating time under load is comparable to witu.</v>
      </c>
    </row>
    <row r="5350" spans="1:9" x14ac:dyDescent="0.3">
      <c r="A5350" s="1" t="s">
        <v>477</v>
      </c>
      <c r="B5350" s="1" t="s">
        <v>478</v>
      </c>
      <c r="C5350" s="1" t="s">
        <v>479</v>
      </c>
      <c r="D5350" s="1" t="s">
        <v>7283</v>
      </c>
      <c r="E5350" s="1" t="s">
        <v>285</v>
      </c>
      <c r="F5350" s="1" t="s">
        <v>8812</v>
      </c>
      <c r="G5350" s="1" t="s">
        <v>36</v>
      </c>
      <c r="H5350" s="1" t="s">
        <v>29</v>
      </c>
      <c r="I5350" s="1" t="str">
        <f ca="1">IFERROR(__xludf.DUMMYFUNCTION("GOOGLETRANSLATE(F5350, ""auto"", ""en"")
"),"Cool game! I recommend it to everyone! Blizzard did a great job.")</f>
        <v>Cool game! I recommend it to everyone! Blizzard did a great job.</v>
      </c>
    </row>
    <row r="5351" spans="1:9" x14ac:dyDescent="0.3">
      <c r="A5351" s="1" t="s">
        <v>37</v>
      </c>
      <c r="B5351" s="1" t="s">
        <v>536</v>
      </c>
      <c r="C5351" s="1" t="s">
        <v>39</v>
      </c>
      <c r="D5351" s="1" t="s">
        <v>548</v>
      </c>
      <c r="E5351" s="1" t="s">
        <v>7219</v>
      </c>
      <c r="F5351" s="1" t="s">
        <v>8813</v>
      </c>
      <c r="G5351" s="1" t="s">
        <v>36</v>
      </c>
      <c r="H5351" s="1" t="s">
        <v>29</v>
      </c>
      <c r="I5351" s="1" t="str">
        <f ca="1">IFERROR(__xludf.DUMMYFUNCTION("GOOGLETRANSLATE(F5351, ""auto"", ""en"")
"),"I strongly disagree with the previous review. The phone is just great. The sensor works clearly, does not glitch, the sound is very clear, although the menu is a little inconvenient and there are no standard games =(. The camera is generally great, the ma"&amp;"trix allows you to take pictures with a very high resolution. The kit includes a tripod and an adapter, little things, but nice. So I advise everyone to take it.")</f>
        <v>I strongly disagree with the previous review. The phone is just great. The sensor works clearly, does not glitch, the sound is very clear, although the menu is a little inconvenient and there are no standard games =(. The camera is generally great, the matrix allows you to take pictures with a very high resolution. The kit includes a tripod and an adapter, little things, but nice. So I advise everyone to take it.</v>
      </c>
    </row>
    <row r="5352" spans="1:9" x14ac:dyDescent="0.3">
      <c r="A5352" s="1" t="s">
        <v>89</v>
      </c>
      <c r="B5352" s="1" t="s">
        <v>231</v>
      </c>
      <c r="C5352" s="1" t="s">
        <v>1072</v>
      </c>
      <c r="D5352" s="1" t="s">
        <v>319</v>
      </c>
      <c r="E5352" s="1" t="s">
        <v>8814</v>
      </c>
      <c r="F5352" s="1" t="s">
        <v>8815</v>
      </c>
      <c r="G5352" s="1" t="s">
        <v>49</v>
      </c>
      <c r="H5352" s="1" t="s">
        <v>16</v>
      </c>
      <c r="I5352" s="1" t="str">
        <f ca="1">IFERROR(__xludf.DUMMYFUNCTION("GOOGLETRANSLATE(F5352, ""auto"", ""en"")
"),"It works very loudly, the coffee is not tasty, unless it is coffee. SAECO used to be great machines!!!")</f>
        <v>It works very loudly, the coffee is not tasty, unless it is coffee. SAECO used to be great machines!!!</v>
      </c>
    </row>
    <row r="5353" spans="1:9" x14ac:dyDescent="0.3">
      <c r="A5353" s="1" t="s">
        <v>61</v>
      </c>
      <c r="B5353" s="1" t="s">
        <v>224</v>
      </c>
      <c r="C5353" s="1" t="s">
        <v>314</v>
      </c>
      <c r="D5353" s="1" t="s">
        <v>545</v>
      </c>
      <c r="E5353" s="1" t="s">
        <v>421</v>
      </c>
      <c r="F5353" s="1" t="s">
        <v>8816</v>
      </c>
      <c r="G5353" s="1" t="s">
        <v>36</v>
      </c>
      <c r="H5353" s="1" t="s">
        <v>29</v>
      </c>
      <c r="I5353" s="1" t="str">
        <f ca="1">IFERROR(__xludf.DUMMYFUNCTION("GOOGLETRANSLATE(F5353, ""auto"", ""en"")
"),"Great little juicer for every day use. Instead of coffee, there is now fresh juice every morning. It is easy and quick to clean, the cake is quite dry. I'm very pleased. One minus is that the cord does not wind up.")</f>
        <v>Great little juicer for every day use. Instead of coffee, there is now fresh juice every morning. It is easy and quick to clean, the cake is quite dry. I'm very pleased. One minus is that the cord does not wind up.</v>
      </c>
    </row>
    <row r="5354" spans="1:9" x14ac:dyDescent="0.3">
      <c r="A5354" s="1" t="s">
        <v>211</v>
      </c>
      <c r="B5354" s="1" t="s">
        <v>265</v>
      </c>
      <c r="C5354" s="1" t="s">
        <v>69</v>
      </c>
      <c r="D5354" s="1" t="s">
        <v>366</v>
      </c>
      <c r="E5354" s="1" t="s">
        <v>5585</v>
      </c>
      <c r="F5354" s="1" t="s">
        <v>8817</v>
      </c>
      <c r="G5354" s="1" t="s">
        <v>36</v>
      </c>
      <c r="H5354" s="1" t="s">
        <v>29</v>
      </c>
      <c r="I5354" s="1" t="str">
        <f ca="1">IFERROR(__xludf.DUMMYFUNCTION("GOOGLETRANSLATE(F5354, ""auto"", ""en"")
"),"Great machine. Convenient telescopic attachments, length and battery charge indicator. No wire gets in the way. Lightweight and fits well in the hand. It pays for itself in six months! There are only positive emotions from working with her!")</f>
        <v>Great machine. Convenient telescopic attachments, length and battery charge indicator. No wire gets in the way. Lightweight and fits well in the hand. It pays for itself in six months! There are only positive emotions from working with her!</v>
      </c>
    </row>
    <row r="5355" spans="1:9" x14ac:dyDescent="0.3">
      <c r="A5355" s="1" t="s">
        <v>211</v>
      </c>
      <c r="B5355" s="1" t="s">
        <v>265</v>
      </c>
      <c r="C5355" s="1" t="s">
        <v>69</v>
      </c>
      <c r="D5355" s="1" t="s">
        <v>171</v>
      </c>
      <c r="E5355" s="1" t="s">
        <v>4892</v>
      </c>
      <c r="F5355" s="1" t="s">
        <v>8818</v>
      </c>
      <c r="G5355" s="1" t="s">
        <v>36</v>
      </c>
      <c r="H5355" s="1" t="s">
        <v>29</v>
      </c>
      <c r="I5355" s="1" t="str">
        <f ca="1">IFERROR(__xludf.DUMMYFUNCTION("GOOGLETRANSLATE(F5355, ""auto"", ""en"")
"),"I bought it a long time ago for cutting under the nozzle before military training at the institute. Since then I have increased my skills and have been cutting my own hair for 7 years now (once or twice a month). 7 years old and the car is like new. The n"&amp;"ozzle just needs to be replaced - a couple of plastic teeth broke after 5 years of use.")</f>
        <v>I bought it a long time ago for cutting under the nozzle before military training at the institute. Since then I have increased my skills and have been cutting my own hair for 7 years now (once or twice a month). 7 years old and the car is like new. The nozzle just needs to be replaced - a couple of plastic teeth broke after 5 years of use.</v>
      </c>
    </row>
    <row r="5356" spans="1:9" x14ac:dyDescent="0.3">
      <c r="A5356" s="1" t="s">
        <v>61</v>
      </c>
      <c r="B5356" s="1" t="s">
        <v>62</v>
      </c>
      <c r="C5356" s="1" t="s">
        <v>246</v>
      </c>
      <c r="D5356" s="1" t="s">
        <v>2764</v>
      </c>
      <c r="E5356" s="1" t="s">
        <v>4311</v>
      </c>
      <c r="F5356" s="1" t="s">
        <v>8819</v>
      </c>
      <c r="G5356" s="1" t="s">
        <v>28</v>
      </c>
      <c r="H5356" s="1" t="s">
        <v>29</v>
      </c>
      <c r="I5356" s="1" t="str">
        <f ca="1">IFERROR(__xludf.DUMMYFUNCTION("GOOGLETRANSLATE(F5356, ""auto"", ""en"")
"),"As a first experience for a young family, I think it’s just right. Average, grinds frozen berries in a blender, kneads a soft dough (a little bit, because the volume of the bowl is small), a grater/shredder - in my opinion, too small - a stew, for example"&amp;", cannot be made - it will be porridge, and not suitable for first courses.  The distance from the disk to the lid is large - there are a lot of unused vegetables in this space. Well, in terms of weight, it is very light. It shakes a lot when working, the"&amp;" suction cups don't help much.  I've been using it for about a year and I can't say anything bad about the quality. But I can’t say much good either. I am planning to buy a combine with more attachments and a power of at least 900 W.")</f>
        <v>As a first experience for a young family, I think it’s just right. Average, grinds frozen berries in a blender, kneads a soft dough (a little bit, because the volume of the bowl is small), a grater/shredder - in my opinion, too small - a stew, for example, cannot be made - it will be porridge, and not suitable for first courses.  The distance from the disk to the lid is large - there are a lot of unused vegetables in this space. Well, in terms of weight, it is very light. It shakes a lot when working, the suction cups don't help much.  I've been using it for about a year and I can't say anything bad about the quality. But I can’t say much good either. I am planning to buy a combine with more attachments and a power of at least 900 W.</v>
      </c>
    </row>
    <row r="5357" spans="1:9" x14ac:dyDescent="0.3">
      <c r="A5357" s="1" t="s">
        <v>61</v>
      </c>
      <c r="B5357" s="1" t="s">
        <v>318</v>
      </c>
      <c r="C5357" s="1" t="s">
        <v>57</v>
      </c>
      <c r="D5357" s="1" t="s">
        <v>33</v>
      </c>
      <c r="E5357" s="1" t="s">
        <v>1723</v>
      </c>
      <c r="F5357" s="1" t="s">
        <v>8820</v>
      </c>
      <c r="G5357" s="1" t="s">
        <v>28</v>
      </c>
      <c r="H5357" s="1" t="s">
        <v>29</v>
      </c>
      <c r="I5357" s="1" t="str">
        <f ca="1">IFERROR(__xludf.DUMMYFUNCTION("GOOGLETRANSLATE(F5357, ""auto"", ""en"")
"),"The kettle is excellent, the only drawback is its operation noise, which is too loud in my opinion, well, this is compensated by its price :) and in general, in my opinion, this is a disease of Vitek kettles, since before this there was also a Vitek of an"&amp;" older and younger model, it was also noisy.    Otherwise, there are no complaints, after six months of use I am quite happy with this kettle, hence the solid 4.")</f>
        <v>The kettle is excellent, the only drawback is its operation noise, which is too loud in my opinion, well, this is compensated by its price :) and in general, in my opinion, this is a disease of Vitek kettles, since before this there was also a Vitek of an older and younger model, it was also noisy.    Otherwise, there are no complaints, after six months of use I am quite happy with this kettle, hence the solid 4.</v>
      </c>
    </row>
    <row r="5358" spans="1:9" x14ac:dyDescent="0.3">
      <c r="A5358" s="1" t="s">
        <v>61</v>
      </c>
      <c r="B5358" s="1" t="s">
        <v>434</v>
      </c>
      <c r="C5358" s="1" t="s">
        <v>101</v>
      </c>
      <c r="D5358" s="1" t="s">
        <v>385</v>
      </c>
      <c r="E5358" s="1" t="s">
        <v>5775</v>
      </c>
      <c r="F5358" s="1" t="s">
        <v>8821</v>
      </c>
      <c r="G5358" s="1" t="s">
        <v>36</v>
      </c>
      <c r="H5358" s="1" t="s">
        <v>29</v>
      </c>
      <c r="I5358" s="1" t="str">
        <f ca="1">IFERROR(__xludf.DUMMYFUNCTION("GOOGLETRANSLATE(F5358, ""auto"", ""en"")
"),"I bought it primarily to cook for my child, because... Cooking 2 vegetable biscuits or one small omelette in a large main oven is somehow not very good. And I didn’t regret it. It is small inside and out, heats up very quickly and cools down quickly. Inex"&amp;"pensive. The child will grow up, it’s not a pity to give it or send it to the country.")</f>
        <v>I bought it primarily to cook for my child, because... Cooking 2 vegetable biscuits or one small omelette in a large main oven is somehow not very good. And I didn’t regret it. It is small inside and out, heats up very quickly and cools down quickly. Inexpensive. The child will grow up, it’s not a pity to give it or send it to the country.</v>
      </c>
    </row>
    <row r="5359" spans="1:9" x14ac:dyDescent="0.3">
      <c r="A5359" s="1" t="s">
        <v>37</v>
      </c>
      <c r="B5359" s="1" t="s">
        <v>536</v>
      </c>
      <c r="C5359" s="1" t="s">
        <v>39</v>
      </c>
      <c r="D5359" s="1" t="s">
        <v>39</v>
      </c>
      <c r="E5359" s="1" t="s">
        <v>140</v>
      </c>
      <c r="F5359" s="1" t="s">
        <v>8822</v>
      </c>
      <c r="G5359" s="1" t="s">
        <v>36</v>
      </c>
      <c r="H5359" s="1" t="s">
        <v>29</v>
      </c>
      <c r="I5359" s="1" t="str">
        <f ca="1">IFERROR(__xludf.DUMMYFUNCTION("GOOGLETRANSLATE(F5359, ""auto"", ""en"")
"),"I personally am satisfied with my PDA. The system running WM6.1 copes with its task very well. 3G, 3.5G, HSDPA/HSUPA are also important. The screen size is satisfactory. I've been using it for six months and during that time there have been only a few err"&amp;"ors.")</f>
        <v>I personally am satisfied with my PDA. The system running WM6.1 copes with its task very well. 3G, 3.5G, HSDPA/HSUPA are also important. The screen size is satisfactory. I've been using it for six months and during that time there have been only a few errors.</v>
      </c>
    </row>
    <row r="5360" spans="1:9" x14ac:dyDescent="0.3">
      <c r="A5360" s="1" t="s">
        <v>282</v>
      </c>
      <c r="B5360" s="1" t="s">
        <v>283</v>
      </c>
      <c r="C5360" s="1" t="s">
        <v>284</v>
      </c>
      <c r="D5360" s="1" t="s">
        <v>8823</v>
      </c>
      <c r="E5360" s="1" t="s">
        <v>511</v>
      </c>
      <c r="F5360" s="1" t="s">
        <v>8824</v>
      </c>
      <c r="G5360" s="1" t="s">
        <v>36</v>
      </c>
      <c r="H5360" s="1" t="s">
        <v>29</v>
      </c>
      <c r="I5360" s="1" t="str">
        <f ca="1">IFERROR(__xludf.DUMMYFUNCTION("GOOGLETRANSLATE(F5360, ""auto"", ""en"")
"),"I bought a DVD of excellent quality without defects for 169 rubles license. I went to the special version and really liked it. There are a lot of new episodes!")</f>
        <v>I bought a DVD of excellent quality without defects for 169 rubles license. I went to the special version and really liked it. There are a lot of new episodes!</v>
      </c>
    </row>
    <row r="5361" spans="1:9" x14ac:dyDescent="0.3">
      <c r="A5361" s="1" t="s">
        <v>149</v>
      </c>
      <c r="B5361" s="1" t="s">
        <v>423</v>
      </c>
      <c r="C5361" s="1" t="s">
        <v>314</v>
      </c>
      <c r="D5361" s="1" t="s">
        <v>139</v>
      </c>
      <c r="E5361" s="1" t="s">
        <v>2453</v>
      </c>
      <c r="F5361" s="1" t="s">
        <v>8825</v>
      </c>
      <c r="G5361" s="1" t="s">
        <v>36</v>
      </c>
      <c r="H5361" s="1" t="s">
        <v>29</v>
      </c>
      <c r="I5361" s="1" t="str">
        <f ca="1">IFERROR(__xludf.DUMMYFUNCTION("GOOGLETRANSLATE(F5361, ""auto"", ""en"")
"),"Excellent power even in ECO mode, dust does not return to the house through the aquafilter, Very comfortable handle and brushes. Lots of brushes for everything! Lots of ways to clean any surface. Very light and convenient for a washing vacuum cleaner. Dim"&amp;"ensions are normal. Ease of use on an intuitive level!!! 4 YEAR WARRANTY!!! Very easy to wash!!! All filters are very easy to remove and wash. At this price it’s just a golden vacuum cleaner!!!")</f>
        <v>Excellent power even in ECO mode, dust does not return to the house through the aquafilter, Very comfortable handle and brushes. Lots of brushes for everything! Lots of ways to clean any surface. Very light and convenient for a washing vacuum cleaner. Dimensions are normal. Ease of use on an intuitive level!!! 4 YEAR WARRANTY!!! Very easy to wash!!! All filters are very easy to remove and wash. At this price it’s just a golden vacuum cleaner!!!</v>
      </c>
    </row>
    <row r="5362" spans="1:9" x14ac:dyDescent="0.3">
      <c r="A5362" s="1" t="s">
        <v>37</v>
      </c>
      <c r="B5362" s="1" t="s">
        <v>355</v>
      </c>
      <c r="C5362" s="1" t="s">
        <v>356</v>
      </c>
      <c r="D5362" s="1" t="s">
        <v>1008</v>
      </c>
      <c r="E5362" s="1" t="s">
        <v>3867</v>
      </c>
      <c r="F5362" s="1" t="s">
        <v>8826</v>
      </c>
      <c r="G5362" s="1" t="s">
        <v>36</v>
      </c>
      <c r="H5362" s="1" t="s">
        <v>29</v>
      </c>
      <c r="I5362" s="1" t="str">
        <f ca="1">IFERROR(__xludf.DUMMYFUNCTION("GOOGLETRANSLATE(F5362, ""auto"", ""en"")
"),"Apparently Roman is one of those who did not manage to buy an AppleFon, so he sits and disputes the facts.  One indisputable fact (as a former owner of a WM communicator): In AppleFon, in order to get new features and functions, you don’t need to buy a ne"&amp;"w communicator (of course, I mean software), while manufacturers of WM devices strictly tie the OS to the device (the firmware is not considered custom).    P.S.&gt; Is anyone exchanging via bluetooth right now? I thought everyone had been using mail for a l"&amp;"ong time")</f>
        <v>Apparently Roman is one of those who did not manage to buy an AppleFon, so he sits and disputes the facts.  One indisputable fact (as a former owner of a WM communicator): In AppleFon, in order to get new features and functions, you don’t need to buy a new communicator (of course, I mean software), while manufacturers of WM devices strictly tie the OS to the device (the firmware is not considered custom).    P.S.&gt; Is anyone exchanging via bluetooth right now? I thought everyone had been using mail for a long time</v>
      </c>
    </row>
    <row r="5363" spans="1:9" x14ac:dyDescent="0.3">
      <c r="A5363" s="1" t="s">
        <v>211</v>
      </c>
      <c r="B5363" s="1" t="s">
        <v>410</v>
      </c>
      <c r="C5363" s="1" t="s">
        <v>69</v>
      </c>
      <c r="D5363" s="1" t="s">
        <v>8827</v>
      </c>
      <c r="E5363" s="1" t="s">
        <v>1448</v>
      </c>
      <c r="F5363" s="1" t="s">
        <v>8828</v>
      </c>
      <c r="G5363" s="1" t="s">
        <v>28</v>
      </c>
      <c r="H5363" s="1" t="s">
        <v>29</v>
      </c>
      <c r="I5363" s="1" t="str">
        <f ca="1">IFERROR(__xludf.DUMMYFUNCTION("GOOGLETRANSLATE(F5363, ""auto"", ""en"")
"),"I've been using it for a year. bites a little. sometimes he misses and shaves off what he missed with reluctance. shaves pretty well. It is better to use lotion after shaving. The razor is convenient to take on the road and use at home from 220V.  I got t"&amp;"he impression of a reliable thing.")</f>
        <v>I've been using it for a year. bites a little. sometimes he misses and shaves off what he missed with reluctance. shaves pretty well. It is better to use lotion after shaving. The razor is convenient to take on the road and use at home from 220V.  I got the impression of a reliable thing.</v>
      </c>
    </row>
    <row r="5364" spans="1:9" x14ac:dyDescent="0.3">
      <c r="A5364" s="1" t="s">
        <v>211</v>
      </c>
      <c r="B5364" s="1" t="s">
        <v>212</v>
      </c>
      <c r="C5364" s="1" t="s">
        <v>294</v>
      </c>
      <c r="D5364" s="1" t="s">
        <v>32</v>
      </c>
      <c r="E5364" s="1" t="s">
        <v>1167</v>
      </c>
      <c r="F5364" s="1" t="s">
        <v>8829</v>
      </c>
      <c r="G5364" s="1" t="s">
        <v>36</v>
      </c>
      <c r="H5364" s="1" t="s">
        <v>29</v>
      </c>
      <c r="I5364" s="1" t="str">
        <f ca="1">IFERROR(__xludf.DUMMYFUNCTION("GOOGLETRANSLATE(F5364, ""auto"", ""en"")
"),"The best of Remington. Worth the money.")</f>
        <v>The best of Remington. Worth the money.</v>
      </c>
    </row>
    <row r="5365" spans="1:9" x14ac:dyDescent="0.3">
      <c r="A5365" s="1" t="s">
        <v>17</v>
      </c>
      <c r="B5365" s="1" t="s">
        <v>18</v>
      </c>
      <c r="C5365" s="1" t="s">
        <v>63</v>
      </c>
      <c r="D5365" s="1" t="s">
        <v>81</v>
      </c>
      <c r="E5365" s="1" t="s">
        <v>543</v>
      </c>
      <c r="F5365" s="1" t="s">
        <v>8830</v>
      </c>
      <c r="G5365" s="1" t="s">
        <v>36</v>
      </c>
      <c r="H5365" s="1" t="s">
        <v>29</v>
      </c>
      <c r="I5365" s="1" t="str">
        <f ca="1">IFERROR(__xludf.DUMMYFUNCTION("GOOGLETRANSLATE(F5365, ""auto"", ""en"")
"),"This is our first washing machine, we have been using it for half a year and are very pleased. We mainly bought it because it was made in Germany, it washes well, wrings out excellently, there is little noise, and it consumes very little energy.")</f>
        <v>This is our first washing machine, we have been using it for half a year and are very pleased. We mainly bought it because it was made in Germany, it washes well, wrings out excellently, there is little noise, and it consumes very little energy.</v>
      </c>
    </row>
    <row r="5366" spans="1:9" x14ac:dyDescent="0.3">
      <c r="A5366" s="1" t="s">
        <v>496</v>
      </c>
      <c r="B5366" s="1" t="s">
        <v>497</v>
      </c>
      <c r="C5366" s="1" t="s">
        <v>8831</v>
      </c>
      <c r="D5366" s="1" t="s">
        <v>295</v>
      </c>
      <c r="E5366" s="1" t="s">
        <v>4152</v>
      </c>
      <c r="F5366" s="1" t="s">
        <v>8832</v>
      </c>
      <c r="G5366" s="1" t="s">
        <v>15</v>
      </c>
      <c r="H5366" s="1" t="s">
        <v>16</v>
      </c>
      <c r="I5366" s="1" t="str">
        <f ca="1">IFERROR(__xludf.DUMMYFUNCTION("GOOGLETRANSLATE(F5366, ""auto"", ""en"")
"),"I bought it last year and was horrified; it only catches 1 out of 5 viruses. It can’t even recognize a bona fide Trojan.")</f>
        <v>I bought it last year and was horrified; it only catches 1 out of 5 viruses. It can’t even recognize a bona fide Trojan.</v>
      </c>
    </row>
    <row r="5367" spans="1:9" x14ac:dyDescent="0.3">
      <c r="A5367" s="1" t="s">
        <v>17</v>
      </c>
      <c r="B5367" s="1" t="s">
        <v>18</v>
      </c>
      <c r="C5367" s="1" t="s">
        <v>243</v>
      </c>
      <c r="D5367" s="1" t="s">
        <v>592</v>
      </c>
      <c r="E5367" s="1" t="s">
        <v>8833</v>
      </c>
      <c r="F5367" s="1" t="s">
        <v>8834</v>
      </c>
      <c r="G5367" s="1" t="s">
        <v>36</v>
      </c>
      <c r="H5367" s="1" t="s">
        <v>29</v>
      </c>
      <c r="I5367" s="1" t="str">
        <f ca="1">IFERROR(__xludf.DUMMYFUNCTION("GOOGLETRANSLATE(F5367, ""auto"", ""en"")
"),"Very pleased, thank you")</f>
        <v>Very pleased, thank you</v>
      </c>
    </row>
    <row r="5368" spans="1:9" x14ac:dyDescent="0.3">
      <c r="A5368" s="1" t="s">
        <v>37</v>
      </c>
      <c r="B5368" s="1" t="s">
        <v>1829</v>
      </c>
      <c r="C5368" s="1" t="s">
        <v>151</v>
      </c>
      <c r="D5368" s="1" t="s">
        <v>8835</v>
      </c>
      <c r="E5368" s="1" t="s">
        <v>8836</v>
      </c>
      <c r="F5368" s="1" t="s">
        <v>8837</v>
      </c>
      <c r="G5368" s="1" t="s">
        <v>28</v>
      </c>
      <c r="H5368" s="1" t="s">
        <v>29</v>
      </c>
      <c r="I5368" s="1" t="str">
        <f ca="1">IFERROR(__xludf.DUMMYFUNCTION("GOOGLETRANSLATE(F5368, ""auto"", ""en"")
"),"It's a good phone, but... It gets very hot in games, after 3 months of use the battery is swollen, so you can't really play games (why then these two processors with 4 cores...). Overall the phone is good")</f>
        <v>It's a good phone, but... It gets very hot in games, after 3 months of use the battery is swollen, so you can't really play games (why then these two processors with 4 cores...). Overall the phone is good</v>
      </c>
    </row>
    <row r="5369" spans="1:9" x14ac:dyDescent="0.3">
      <c r="A5369" s="1" t="s">
        <v>149</v>
      </c>
      <c r="B5369" s="1" t="s">
        <v>150</v>
      </c>
      <c r="C5369" s="1" t="s">
        <v>151</v>
      </c>
      <c r="D5369" s="1" t="s">
        <v>152</v>
      </c>
      <c r="E5369" s="1" t="s">
        <v>580</v>
      </c>
      <c r="F5369" s="1" t="s">
        <v>8838</v>
      </c>
      <c r="G5369" s="1" t="s">
        <v>36</v>
      </c>
      <c r="H5369" s="1" t="s">
        <v>29</v>
      </c>
      <c r="I5369" s="1" t="str">
        <f ca="1">IFERROR(__xludf.DUMMYFUNCTION("GOOGLETRANSLATE(F5369, ""auto"", ""en"")
"),"Excellent vacuum cleaner. The aquafilter does not pollute the air with the smell of hot dust. No dust bags. What is heavy and large is an advantage (it holds more water, so the water performs cleaning functions longer - you don’t wash the floors with one "&amp;"liter of water!). The power with fewer watts compared to bag vacuum cleaners is quite sufficient, since the water filter does not take power away from the motor, unlike the bag. At first I didn’t want to overpay for IR control (I looked at a simpler Samsu"&amp;"ng), but after working, I was convinced how convenient it is - you don’t have to run to switch to the case. Cord winding works (for those who know how to use it). In general, I am satisfied and recommend it.")</f>
        <v>Excellent vacuum cleaner. The aquafilter does not pollute the air with the smell of hot dust. No dust bags. What is heavy and large is an advantage (it holds more water, so the water performs cleaning functions longer - you don’t wash the floors with one liter of water!). The power with fewer watts compared to bag vacuum cleaners is quite sufficient, since the water filter does not take power away from the motor, unlike the bag. At first I didn’t want to overpay for IR control (I looked at a simpler Samsung), but after working, I was convinced how convenient it is - you don’t have to run to switch to the case. Cord winding works (for those who know how to use it). In general, I am satisfied and recommend it.</v>
      </c>
    </row>
    <row r="5370" spans="1:9" x14ac:dyDescent="0.3">
      <c r="A5370" s="1" t="s">
        <v>732</v>
      </c>
      <c r="B5370" s="1" t="s">
        <v>733</v>
      </c>
      <c r="C5370" s="1" t="s">
        <v>80</v>
      </c>
      <c r="D5370" s="1" t="s">
        <v>8839</v>
      </c>
      <c r="E5370" s="1" t="s">
        <v>634</v>
      </c>
      <c r="F5370" s="1" t="s">
        <v>8840</v>
      </c>
      <c r="G5370" s="1" t="s">
        <v>36</v>
      </c>
      <c r="H5370" s="1" t="s">
        <v>29</v>
      </c>
      <c r="I5370" s="1" t="str">
        <f ca="1">IFERROR(__xludf.DUMMYFUNCTION("GOOGLETRANSLATE(F5370, ""auto"", ""en"")
"),"Well, what can we say, everyone has already said everything, I can only join them in their words, the monitor is really cool, high quality and not expensive. (and a small advertisement like this..) - So if YOU want a 22"" FullHD monitor, believe everyone "&amp;"who writes here - this is the best choice!")</f>
        <v>Well, what can we say, everyone has already said everything, I can only join them in their words, the monitor is really cool, high quality and not expensive. (and a small advertisement like this..) - So if YOU want a 22" FullHD monitor, believe everyone who writes here - this is the best choice!</v>
      </c>
    </row>
    <row r="5371" spans="1:9" x14ac:dyDescent="0.3">
      <c r="A5371" s="1" t="s">
        <v>111</v>
      </c>
      <c r="B5371" s="1" t="s">
        <v>298</v>
      </c>
      <c r="C5371" s="1" t="s">
        <v>299</v>
      </c>
      <c r="D5371" s="1" t="s">
        <v>75</v>
      </c>
      <c r="E5371" s="1" t="s">
        <v>5882</v>
      </c>
      <c r="F5371" s="1" t="s">
        <v>8841</v>
      </c>
      <c r="G5371" s="1" t="s">
        <v>36</v>
      </c>
      <c r="H5371" s="1" t="s">
        <v>29</v>
      </c>
      <c r="I5371" s="1" t="str">
        <f ca="1">IFERROR(__xludf.DUMMYFUNCTION("GOOGLETRANSLATE(F5371, ""auto"", ""en"")
"),"I bought the simplest dryer for the occasion, I don’t use it every day, but when necessary. It takes about 5 hours to thoroughly dry women's boots. But it consumes almost no energy, so this is not a problem. The main thing is not to leave it overnight! Th"&amp;"e only thing I would add is some kind of operation indicator - so as not to forget to turn it off")</f>
        <v>I bought the simplest dryer for the occasion, I don’t use it every day, but when necessary. It takes about 5 hours to thoroughly dry women's boots. But it consumes almost no energy, so this is not a problem. The main thing is not to leave it overnight! The only thing I would add is some kind of operation indicator - so as not to forget to turn it off</v>
      </c>
    </row>
    <row r="5372" spans="1:9" x14ac:dyDescent="0.3">
      <c r="A5372" s="1" t="s">
        <v>211</v>
      </c>
      <c r="B5372" s="1" t="s">
        <v>899</v>
      </c>
      <c r="C5372" s="1" t="s">
        <v>213</v>
      </c>
      <c r="D5372" s="1" t="s">
        <v>247</v>
      </c>
      <c r="E5372" s="1" t="s">
        <v>8842</v>
      </c>
      <c r="F5372" s="1" t="s">
        <v>8843</v>
      </c>
      <c r="G5372" s="1" t="s">
        <v>36</v>
      </c>
      <c r="H5372" s="1" t="s">
        <v>29</v>
      </c>
      <c r="I5372" s="1" t="str">
        <f ca="1">IFERROR(__xludf.DUMMYFUNCTION("GOOGLETRANSLATE(F5372, ""auto"", ""en"")
"),"quality work, good equipment.")</f>
        <v>quality work, good equipment.</v>
      </c>
    </row>
    <row r="5373" spans="1:9" x14ac:dyDescent="0.3">
      <c r="A5373" s="1" t="s">
        <v>120</v>
      </c>
      <c r="B5373" s="1" t="s">
        <v>121</v>
      </c>
      <c r="C5373" s="1" t="s">
        <v>97</v>
      </c>
      <c r="D5373" s="1" t="s">
        <v>8844</v>
      </c>
      <c r="E5373" s="1" t="s">
        <v>800</v>
      </c>
      <c r="F5373" s="1" t="s">
        <v>8845</v>
      </c>
      <c r="G5373" s="1" t="s">
        <v>36</v>
      </c>
      <c r="H5373" s="1" t="s">
        <v>29</v>
      </c>
      <c r="I5373" s="1" t="str">
        <f ca="1">IFERROR(__xludf.DUMMYFUNCTION("GOOGLETRANSLATE(F5373, ""auto"", ""en"")
"),"Quite a high quality matrix. Very bright screen and decent grayscale. Many image and sound settings, with the ability to edit ready-made profiles, separate settings for each input signal. Loud, clear sound. The tuner copes well with receiving over-the-air"&amp;" TV, the quality of the channels is at least very good. The DVD is of excellent quality, connected via a component. When connecting a PC, I used a 3-meter copper VGA cable, set the picture resolution to 1360x768 60Hz, watched HD movies - the quality was e"&amp;"xcellent. Convenient menu. Serious strict design.")</f>
        <v>Quite a high quality matrix. Very bright screen and decent grayscale. Many image and sound settings, with the ability to edit ready-made profiles, separate settings for each input signal. Loud, clear sound. The tuner copes well with receiving over-the-air TV, the quality of the channels is at least very good. The DVD is of excellent quality, connected via a component. When connecting a PC, I used a 3-meter copper VGA cable, set the picture resolution to 1360x768 60Hz, watched HD movies - the quality was excellent. Convenient menu. Serious strict design.</v>
      </c>
    </row>
    <row r="5374" spans="1:9" x14ac:dyDescent="0.3">
      <c r="A5374" s="1" t="s">
        <v>61</v>
      </c>
      <c r="B5374" s="1" t="s">
        <v>318</v>
      </c>
      <c r="C5374" s="1" t="s">
        <v>69</v>
      </c>
      <c r="D5374" s="1" t="s">
        <v>52</v>
      </c>
      <c r="E5374" s="1" t="s">
        <v>1517</v>
      </c>
      <c r="F5374" s="1" t="s">
        <v>8846</v>
      </c>
      <c r="G5374" s="1" t="s">
        <v>36</v>
      </c>
      <c r="H5374" s="1" t="s">
        <v>29</v>
      </c>
      <c r="I5374" s="1" t="str">
        <f ca="1">IFERROR(__xludf.DUMMYFUNCTION("GOOGLETRANSLATE(F5374, ""auto"", ""en"")
"),"Gifted by friends when they came to visit!!!! It's been two years now, it works just 5+")</f>
        <v>Gifted by friends when they came to visit!!!! It's been two years now, it works just 5+</v>
      </c>
    </row>
    <row r="5375" spans="1:9" x14ac:dyDescent="0.3">
      <c r="A5375" s="1" t="s">
        <v>61</v>
      </c>
      <c r="B5375" s="1" t="s">
        <v>5714</v>
      </c>
      <c r="C5375" s="1" t="s">
        <v>146</v>
      </c>
      <c r="D5375" s="1" t="s">
        <v>8847</v>
      </c>
      <c r="E5375" s="1" t="s">
        <v>1179</v>
      </c>
      <c r="F5375" s="1" t="s">
        <v>8848</v>
      </c>
      <c r="G5375" s="1" t="s">
        <v>36</v>
      </c>
      <c r="H5375" s="1" t="s">
        <v>29</v>
      </c>
      <c r="I5375" s="1" t="str">
        <f ca="1">IFERROR(__xludf.DUMMYFUNCTION("GOOGLETRANSLATE(F5375, ""auto"", ""en"")
"),"I just sat on my Kenwood Major, I was a little worried whether it would fit, but everything is fine - the manufacturer really didn’t deceive me with the description)) It is of high quality, made of strong material, and the hole for the fruit is quite wide"&amp;", small apples can be thrown in whole, which is extremely convenient, it saves time on slicing)) The package includes a full set of necessary things, including a liter cup for juice, a spatula, even a brush to clean the pulp! For this price, it’s a good o"&amp;"ption, now I please my family with fresh juices all year round, no need to spend money on fresh juices in a cafe))")</f>
        <v>I just sat on my Kenwood Major, I was a little worried whether it would fit, but everything is fine - the manufacturer really didn’t deceive me with the description)) It is of high quality, made of strong material, and the hole for the fruit is quite wide, small apples can be thrown in whole, which is extremely convenient, it saves time on slicing)) The package includes a full set of necessary things, including a liter cup for juice, a spatula, even a brush to clean the pulp! For this price, it’s a good option, now I please my family with fresh juices all year round, no need to spend money on fresh juices in a cafe))</v>
      </c>
    </row>
    <row r="5376" spans="1:9" x14ac:dyDescent="0.3">
      <c r="A5376" s="1" t="s">
        <v>95</v>
      </c>
      <c r="B5376" s="1" t="s">
        <v>648</v>
      </c>
      <c r="C5376" s="1" t="s">
        <v>97</v>
      </c>
      <c r="D5376" s="1" t="s">
        <v>565</v>
      </c>
      <c r="E5376" s="1" t="s">
        <v>1312</v>
      </c>
      <c r="F5376" s="1" t="s">
        <v>8849</v>
      </c>
      <c r="G5376" s="1" t="s">
        <v>36</v>
      </c>
      <c r="H5376" s="1" t="s">
        <v>29</v>
      </c>
      <c r="I5376" s="1" t="str">
        <f ca="1">IFERROR(__xludf.DUMMYFUNCTION("GOOGLETRANSLATE(F5376, ""auto"", ""en"")
"),"We are very glad that we bought this console for our son, we bought it for his 4th birthday. Now the child is growing, and the console is growing with him: we buy games more difficult, we have mastered new functions: we download music, movies. I recommend"&amp;" this to everyone: if you need to keep your child occupied in the car, on the plane, or in general. We really liked the games: Toy Story, racing, Lego (any).")</f>
        <v>We are very glad that we bought this console for our son, we bought it for his 4th birthday. Now the child is growing, and the console is growing with him: we buy games more difficult, we have mastered new functions: we download music, movies. I recommend this to everyone: if you need to keep your child occupied in the car, on the plane, or in general. We really liked the games: Toy Story, racing, Lego (any).</v>
      </c>
    </row>
    <row r="5377" spans="1:9" x14ac:dyDescent="0.3">
      <c r="A5377" s="1" t="s">
        <v>238</v>
      </c>
      <c r="B5377" s="1" t="s">
        <v>239</v>
      </c>
      <c r="C5377" s="1" t="s">
        <v>240</v>
      </c>
      <c r="D5377" s="1" t="s">
        <v>2771</v>
      </c>
      <c r="E5377" s="1" t="s">
        <v>491</v>
      </c>
      <c r="F5377" s="1" t="s">
        <v>8850</v>
      </c>
      <c r="G5377" s="1" t="s">
        <v>28</v>
      </c>
      <c r="H5377" s="1" t="s">
        <v>29</v>
      </c>
      <c r="I5377" s="1" t="str">
        <f ca="1">IFERROR(__xludf.DUMMYFUNCTION("GOOGLETRANSLATE(F5377, ""auto"", ""en"")
"),"Pay attention to how the temperature is set in the Bio-Fresh chamber!! From b1-b5 0 degrees is automatically set. Celsius, b6-b9 will be one degree of heat. This is not written anywhere. The seller from Krasnoarmeyskaya Alexey found this out somewhere on "&amp;"the forums and told me by phone. Gratitude and respect for such attitude towards clients!!! Unfortunately, I don’t know the last name.")</f>
        <v>Pay attention to how the temperature is set in the Bio-Fresh chamber!! From b1-b5 0 degrees is automatically set. Celsius, b6-b9 will be one degree of heat. This is not written anywhere. The seller from Krasnoarmeyskaya Alexey found this out somewhere on the forums and told me by phone. Gratitude and respect for such attitude towards clients!!! Unfortunately, I don’t know the last name.</v>
      </c>
    </row>
    <row r="5378" spans="1:9" x14ac:dyDescent="0.3">
      <c r="A5378" s="1" t="s">
        <v>206</v>
      </c>
      <c r="B5378" s="1" t="s">
        <v>207</v>
      </c>
      <c r="C5378" s="1" t="s">
        <v>351</v>
      </c>
      <c r="D5378" s="1" t="s">
        <v>86</v>
      </c>
      <c r="E5378" s="1" t="s">
        <v>3692</v>
      </c>
      <c r="F5378" s="1" t="s">
        <v>2268</v>
      </c>
      <c r="G5378" s="1" t="s">
        <v>49</v>
      </c>
      <c r="H5378" s="1" t="s">
        <v>16</v>
      </c>
      <c r="I5378" s="1" t="str">
        <f ca="1">IFERROR(__xludf.DUMMYFUNCTION("GOOGLETRANSLATE(F5378, ""auto"", ""en"")
"),"No")</f>
        <v>No</v>
      </c>
    </row>
    <row r="5379" spans="1:9" x14ac:dyDescent="0.3">
      <c r="A5379" s="1" t="s">
        <v>78</v>
      </c>
      <c r="B5379" s="1" t="s">
        <v>1163</v>
      </c>
      <c r="C5379" s="1" t="s">
        <v>1224</v>
      </c>
      <c r="D5379" s="1" t="s">
        <v>295</v>
      </c>
      <c r="E5379" s="1" t="s">
        <v>4421</v>
      </c>
      <c r="F5379" s="1" t="s">
        <v>8851</v>
      </c>
      <c r="G5379" s="1" t="s">
        <v>36</v>
      </c>
      <c r="H5379" s="1" t="s">
        <v>29</v>
      </c>
      <c r="I5379" s="1" t="str">
        <f ca="1">IFERROR(__xludf.DUMMYFUNCTION("GOOGLETRANSLATE(F5379, ""auto"", ""en"")
"),"I bought it six months ago just to heat up food, because... On an electric stove you always miss the moment when you need to turn it off, especially in the morning. 100% satisfied, without any bells and whistles. The only negative: the stove is white, and"&amp;" the power cord is black...")</f>
        <v>I bought it six months ago just to heat up food, because... On an electric stove you always miss the moment when you need to turn it off, especially in the morning. 100% satisfied, without any bells and whistles. The only negative: the stove is white, and the power cord is black...</v>
      </c>
    </row>
    <row r="5380" spans="1:9" x14ac:dyDescent="0.3">
      <c r="A5380" s="1" t="s">
        <v>17</v>
      </c>
      <c r="B5380" s="1" t="s">
        <v>18</v>
      </c>
      <c r="C5380" s="1" t="s">
        <v>19</v>
      </c>
      <c r="D5380" s="1" t="s">
        <v>922</v>
      </c>
      <c r="E5380" s="1" t="s">
        <v>8237</v>
      </c>
      <c r="F5380" s="1" t="s">
        <v>8852</v>
      </c>
      <c r="G5380" s="1" t="s">
        <v>49</v>
      </c>
      <c r="H5380" s="1" t="s">
        <v>16</v>
      </c>
      <c r="I5380" s="1" t="str">
        <f ca="1">IFERROR(__xludf.DUMMYFUNCTION("GOOGLETRANSLATE(F5380, ""auto"", ""en"")
"),"Terrible machine!!!! After washing, water remains in the drum between the rubber bands, there is constant dampness in the powder compartment!!!! Very noisy! I do not recommend buying a machine from this series!")</f>
        <v>Terrible machine!!!! After washing, water remains in the drum between the rubber bands, there is constant dampness in the powder compartment!!!! Very noisy! I do not recommend buying a machine from this series!</v>
      </c>
    </row>
    <row r="5381" spans="1:9" x14ac:dyDescent="0.3">
      <c r="A5381" s="1" t="s">
        <v>120</v>
      </c>
      <c r="B5381" s="1" t="s">
        <v>126</v>
      </c>
      <c r="C5381" s="1" t="s">
        <v>80</v>
      </c>
      <c r="D5381" s="1" t="s">
        <v>52</v>
      </c>
      <c r="E5381" s="1" t="s">
        <v>3494</v>
      </c>
      <c r="F5381" s="1" t="s">
        <v>8853</v>
      </c>
      <c r="G5381" s="1" t="s">
        <v>36</v>
      </c>
      <c r="H5381" s="1" t="s">
        <v>29</v>
      </c>
      <c r="I5381" s="1" t="str">
        <f ca="1">IFERROR(__xludf.DUMMYFUNCTION("GOOGLETRANSLATE(F5381, ""auto"", ""en"")
"),"Really great TV, the colors are much brighter than on my old Samsung LCD. Convenient menu, and unlike the previous post, I can play avi perfectly from a flash drive and even from a connected HTC communicator. For the money it's simply the best.")</f>
        <v>Really great TV, the colors are much brighter than on my old Samsung LCD. Convenient menu, and unlike the previous post, I can play avi perfectly from a flash drive and even from a connected HTC communicator. For the money it's simply the best.</v>
      </c>
    </row>
    <row r="5382" spans="1:9" x14ac:dyDescent="0.3">
      <c r="A5382" s="1" t="s">
        <v>61</v>
      </c>
      <c r="B5382" s="1" t="s">
        <v>180</v>
      </c>
      <c r="C5382" s="1" t="s">
        <v>74</v>
      </c>
      <c r="D5382" s="1" t="s">
        <v>8854</v>
      </c>
      <c r="E5382" s="1" t="s">
        <v>8855</v>
      </c>
      <c r="F5382" s="1" t="s">
        <v>8856</v>
      </c>
      <c r="G5382" s="1" t="s">
        <v>36</v>
      </c>
      <c r="H5382" s="1" t="s">
        <v>29</v>
      </c>
      <c r="I5382" s="1" t="str">
        <f ca="1">IFERROR(__xludf.DUMMYFUNCTION("GOOGLETRANSLATE(F5382, ""auto"", ""en"")
"),"Good, high quality sandwich maker. When buying it, my husband doubted its necessity, but now we can’t do without it. We were choosing between two models from this manufacturer; I was most worried about the fastenings - the plastic latch looks very unrelia"&amp;"ble. In fact, all the parts turned out to be strong and reliable, you just need to handle the equipment carefully. We mostly prepare hot sandwiches; we don’t bother with pies and puff pastries. The light indicators work properly, but after the sandwich is"&amp;" ready, you need to keep it inside for another minute to form a crust. An indispensable thing for those who are in a hurry in the morning.")</f>
        <v>Good, high quality sandwich maker. When buying it, my husband doubted its necessity, but now we can’t do without it. We were choosing between two models from this manufacturer; I was most worried about the fastenings - the plastic latch looks very unreliable. In fact, all the parts turned out to be strong and reliable, you just need to handle the equipment carefully. We mostly prepare hot sandwiches; we don’t bother with pies and puff pastries. The light indicators work properly, but after the sandwich is ready, you need to keep it inside for another minute to form a crust. An indispensable thing for those who are in a hurry in the morning.</v>
      </c>
    </row>
    <row r="5383" spans="1:9" x14ac:dyDescent="0.3">
      <c r="A5383" s="1" t="s">
        <v>67</v>
      </c>
      <c r="B5383" s="1" t="s">
        <v>68</v>
      </c>
      <c r="C5383" s="1" t="s">
        <v>69</v>
      </c>
      <c r="D5383" s="1" t="s">
        <v>8857</v>
      </c>
      <c r="E5383" s="1" t="s">
        <v>2593</v>
      </c>
      <c r="F5383" s="1" t="s">
        <v>8858</v>
      </c>
      <c r="G5383" s="1" t="s">
        <v>36</v>
      </c>
      <c r="H5383" s="1" t="s">
        <v>29</v>
      </c>
      <c r="I5383" s="1" t="str">
        <f ca="1">IFERROR(__xludf.DUMMYFUNCTION("GOOGLETRANSLATE(F5383, ""auto"", ""en"")
"),"10.22.2010 Tatyana (N. Novgorod) ""...I expected more from vertical steam, it would inject something there without even wincing...no effect from this blow was found. Therefore, ironing curtains in vertical mode is not suitable))"" - Initially, vertical st"&amp;"eaming for this model is only from the spout, this is indicated on the iron itself!!! This had to be taken into account when purchasing. And I really don’t understand people who take SOOO long to choose an iron...(((And the iron is actually cool)")</f>
        <v>10.22.2010 Tatyana (N. Novgorod) "...I expected more from vertical steam, it would inject something there without even wincing...no effect from this blow was found. Therefore, ironing curtains in vertical mode is not suitable))" - Initially, vertical steaming for this model is only from the spout, this is indicated on the iron itself!!! This had to be taken into account when purchasing. And I really don’t understand people who take SOOO long to choose an iron...(((And the iron is actually cool)</v>
      </c>
    </row>
    <row r="5384" spans="1:9" x14ac:dyDescent="0.3">
      <c r="A5384" s="1" t="s">
        <v>37</v>
      </c>
      <c r="B5384" s="1" t="s">
        <v>38</v>
      </c>
      <c r="C5384" s="1" t="s">
        <v>39</v>
      </c>
      <c r="D5384" s="1" t="s">
        <v>8859</v>
      </c>
      <c r="E5384" s="1" t="s">
        <v>2271</v>
      </c>
      <c r="F5384" s="1" t="s">
        <v>8860</v>
      </c>
      <c r="G5384" s="1" t="s">
        <v>28</v>
      </c>
      <c r="H5384" s="1" t="s">
        <v>29</v>
      </c>
      <c r="I5384" s="1" t="str">
        <f ca="1">IFERROR(__xludf.DUMMYFUNCTION("GOOGLETRANSLATE(F5384, ""auto"", ""en"")
"),"Sonyericsson C510 is a normal phone, the camera is good, the photos come out great, during its 8-9 months of use it froze twice when making a call, did not respond to any of the buttons at all, and once when turned on. The buttons are comfortable, the des"&amp;"ign is wonderful, everything suits me, it’s a good phone, the only drawback for me personally is the special software for working with a computer, unlike Nokia. +4")</f>
        <v>Sonyericsson C510 is a normal phone, the camera is good, the photos come out great, during its 8-9 months of use it froze twice when making a call, did not respond to any of the buttons at all, and once when turned on. The buttons are comfortable, the design is wonderful, everything suits me, it’s a good phone, the only drawback for me personally is the special software for working with a computer, unlike Nokia. +4</v>
      </c>
    </row>
    <row r="5385" spans="1:9" x14ac:dyDescent="0.3">
      <c r="A5385" s="1" t="s">
        <v>211</v>
      </c>
      <c r="B5385" s="1" t="s">
        <v>856</v>
      </c>
      <c r="C5385" s="1" t="s">
        <v>57</v>
      </c>
      <c r="D5385" s="1" t="s">
        <v>8861</v>
      </c>
      <c r="E5385" s="1" t="s">
        <v>5270</v>
      </c>
      <c r="F5385" s="1" t="s">
        <v>8862</v>
      </c>
      <c r="G5385" s="1" t="s">
        <v>36</v>
      </c>
      <c r="H5385" s="1" t="s">
        <v>29</v>
      </c>
      <c r="I5385" s="1" t="str">
        <f ca="1">IFERROR(__xludf.DUMMYFUNCTION("GOOGLETRANSLATE(F5385, ""auto"", ""en"")
"),"Yes, cool set! I recommend it to everyone! The attachments do not wear off at all. The consultant said that they are coated with sapphire. I use it for myself and my friends all the time. It works silently, everything is very convenient.")</f>
        <v>Yes, cool set! I recommend it to everyone! The attachments do not wear off at all. The consultant said that they are coated with sapphire. I use it for myself and my friends all the time. It works silently, everything is very convenient.</v>
      </c>
    </row>
    <row r="5386" spans="1:9" x14ac:dyDescent="0.3">
      <c r="A5386" s="1" t="s">
        <v>211</v>
      </c>
      <c r="B5386" s="1" t="s">
        <v>2818</v>
      </c>
      <c r="C5386" s="1" t="s">
        <v>213</v>
      </c>
      <c r="D5386" s="1" t="s">
        <v>39</v>
      </c>
      <c r="E5386" s="1" t="s">
        <v>288</v>
      </c>
      <c r="F5386" s="1" t="s">
        <v>8863</v>
      </c>
      <c r="G5386" s="1" t="s">
        <v>36</v>
      </c>
      <c r="H5386" s="1" t="s">
        <v>29</v>
      </c>
      <c r="I5386" s="1" t="str">
        <f ca="1">IFERROR(__xludf.DUMMYFUNCTION("GOOGLETRANSLATE(F5386, ""auto"", ""en"")
"),"This foil and cutting unit are suitable for 7000 series models, I have a 7630 razor, and everything fits. It’s just that earlier the packaging said 7000/4000 series.")</f>
        <v>This foil and cutting unit are suitable for 7000 series models, I have a 7630 razor, and everything fits. It’s just that earlier the packaging said 7000/4000 series.</v>
      </c>
    </row>
    <row r="5387" spans="1:9" x14ac:dyDescent="0.3">
      <c r="A5387" s="1" t="s">
        <v>37</v>
      </c>
      <c r="B5387" s="1" t="s">
        <v>536</v>
      </c>
      <c r="C5387" s="1" t="s">
        <v>1419</v>
      </c>
      <c r="D5387" s="1" t="s">
        <v>2145</v>
      </c>
      <c r="E5387" s="1" t="s">
        <v>2733</v>
      </c>
      <c r="F5387" s="1" t="s">
        <v>8864</v>
      </c>
      <c r="G5387" s="1" t="s">
        <v>28</v>
      </c>
      <c r="H5387" s="1" t="s">
        <v>29</v>
      </c>
      <c r="I5387" s="1" t="str">
        <f ca="1">IFERROR(__xludf.DUMMYFUNCTION("GOOGLETRANSLATE(F5387, ""auto"", ""en"")
"),"I've been using the communicator for almost a year now and have almost no complaints. After four falls, the stylus just started to fall out, but these are minor things.   Battery life is approximately 3-4 days. The camera is another minus, very disappoint"&amp;"ing. But this communicator has more pros than cons. Writing a message without a stylus is not a problem; it is not difficult to write with your finger. The sound quality is almost excellent.  Rover PC X7 is a good choice; you will only be pleased with the"&amp;" quality of its work.")</f>
        <v>I've been using the communicator for almost a year now and have almost no complaints. After four falls, the stylus just started to fall out, but these are minor things.   Battery life is approximately 3-4 days. The camera is another minus, very disappointing. But this communicator has more pros than cons. Writing a message without a stylus is not a problem; it is not difficult to write with your finger. The sound quality is almost excellent.  Rover PC X7 is a good choice; you will only be pleased with the quality of its work.</v>
      </c>
    </row>
    <row r="5388" spans="1:9" x14ac:dyDescent="0.3">
      <c r="A5388" s="1" t="s">
        <v>89</v>
      </c>
      <c r="B5388" s="1" t="s">
        <v>90</v>
      </c>
      <c r="C5388" s="1" t="s">
        <v>101</v>
      </c>
      <c r="D5388" s="1" t="s">
        <v>240</v>
      </c>
      <c r="E5388" s="1" t="s">
        <v>8865</v>
      </c>
      <c r="F5388" s="1" t="s">
        <v>8866</v>
      </c>
      <c r="G5388" s="1" t="s">
        <v>28</v>
      </c>
      <c r="H5388" s="1" t="s">
        <v>29</v>
      </c>
      <c r="I5388" s="1" t="str">
        <f ca="1">IFERROR(__xludf.DUMMYFUNCTION("GOOGLETRANSLATE(F5388, ""auto"", ""en"")
"),"Such a futuristic capsule with beneficial properties! I bought it out of envy for a friend who had the same one. I didn’t regret it)")</f>
        <v>Such a futuristic capsule with beneficial properties! I bought it out of envy for a friend who had the same one. I didn’t regret it)</v>
      </c>
    </row>
    <row r="5389" spans="1:9" x14ac:dyDescent="0.3">
      <c r="A5389" s="1" t="s">
        <v>43</v>
      </c>
      <c r="B5389" s="1" t="s">
        <v>219</v>
      </c>
      <c r="C5389" s="1" t="s">
        <v>665</v>
      </c>
      <c r="D5389" s="1" t="s">
        <v>545</v>
      </c>
      <c r="E5389" s="1" t="s">
        <v>8867</v>
      </c>
      <c r="F5389" s="1" t="s">
        <v>8868</v>
      </c>
      <c r="G5389" s="1" t="s">
        <v>36</v>
      </c>
      <c r="H5389" s="1" t="s">
        <v>29</v>
      </c>
      <c r="I5389" s="1" t="str">
        <f ca="1">IFERROR(__xludf.DUMMYFUNCTION("GOOGLETRANSLATE(F5389, ""auto"", ""en"")
"),"An excellent option for a summer residence) worked all summer. The water heats up very quickly. We installed it ourselves, my husband said it was simple)")</f>
        <v>An excellent option for a summer residence) worked all summer. The water heats up very quickly. We installed it ourselves, my husband said it was simple)</v>
      </c>
    </row>
    <row r="5390" spans="1:9" x14ac:dyDescent="0.3">
      <c r="A5390" s="1" t="s">
        <v>61</v>
      </c>
      <c r="B5390" s="1" t="s">
        <v>318</v>
      </c>
      <c r="C5390" s="1" t="s">
        <v>246</v>
      </c>
      <c r="D5390" s="1" t="s">
        <v>1416</v>
      </c>
      <c r="E5390" s="1" t="s">
        <v>1115</v>
      </c>
      <c r="F5390" s="1" t="s">
        <v>8869</v>
      </c>
      <c r="G5390" s="1" t="s">
        <v>49</v>
      </c>
      <c r="H5390" s="1" t="s">
        <v>16</v>
      </c>
      <c r="I5390" s="1" t="str">
        <f ca="1">IFERROR(__xludf.DUMMYFUNCTION("GOOGLETRANSLATE(F5390, ""auto"", ""en"")
"),"after two weeks of use it became covered with gray spots on a yellow background, nothing can remove it...")</f>
        <v>after two weeks of use it became covered with gray spots on a yellow background, nothing can remove it...</v>
      </c>
    </row>
    <row r="5391" spans="1:9" x14ac:dyDescent="0.3">
      <c r="A5391" s="1" t="s">
        <v>61</v>
      </c>
      <c r="B5391" s="1" t="s">
        <v>977</v>
      </c>
      <c r="C5391" s="1" t="s">
        <v>246</v>
      </c>
      <c r="D5391" s="1" t="s">
        <v>987</v>
      </c>
      <c r="E5391" s="1" t="s">
        <v>1044</v>
      </c>
      <c r="F5391" s="1" t="s">
        <v>8870</v>
      </c>
      <c r="G5391" s="1" t="s">
        <v>15</v>
      </c>
      <c r="H5391" s="1" t="s">
        <v>16</v>
      </c>
      <c r="I5391" s="1" t="str">
        <f ca="1">IFERROR(__xludf.DUMMYFUNCTION("GOOGLETRANSLATE(F5391, ""auto"", ""en"")
"),"I used it for a little over a year, - the plastic parts wear out quickly, - the whisk began to scroll and scream terribly after 2 months; and the rod on the submersible part came off completely after a year. A glass with sharp blades is extremely impracti"&amp;"cal in the sense that when working, food and liquids get into its hollow lid through the holes and it is impossible to clean them out.")</f>
        <v>I used it for a little over a year, - the plastic parts wear out quickly, - the whisk began to scroll and scream terribly after 2 months; and the rod on the submersible part came off completely after a year. A glass with sharp blades is extremely impractical in the sense that when working, food and liquids get into its hollow lid through the holes and it is impossible to clean them out.</v>
      </c>
    </row>
    <row r="5392" spans="1:9" x14ac:dyDescent="0.3">
      <c r="A5392" s="1" t="s">
        <v>211</v>
      </c>
      <c r="B5392" s="1" t="s">
        <v>410</v>
      </c>
      <c r="C5392" s="1" t="s">
        <v>69</v>
      </c>
      <c r="D5392" s="1" t="s">
        <v>8871</v>
      </c>
      <c r="E5392" s="1" t="s">
        <v>6021</v>
      </c>
      <c r="F5392" s="1" t="s">
        <v>8872</v>
      </c>
      <c r="G5392" s="1" t="s">
        <v>36</v>
      </c>
      <c r="H5392" s="1" t="s">
        <v>29</v>
      </c>
      <c r="I5392" s="1" t="str">
        <f ca="1">IFERROR(__xludf.DUMMYFUNCTION("GOOGLETRANSLATE(F5392, ""auto"", ""en"")
"),"A very unusual feeling from shaving using lotion... The razor is very different from its predecessors (even the sound is subtle and pleasant) Good shaving quality... Very simple cleaning process (by immersing it in water)... The skin after shaving is abso"&amp;"lutely calm (it feels like you haven't shaved at all)... I highly recommend...")</f>
        <v>A very unusual feeling from shaving using lotion... The razor is very different from its predecessors (even the sound is subtle and pleasant) Good shaving quality... Very simple cleaning process (by immersing it in water)... The skin after shaving is absolutely calm (it feels like you haven't shaved at all)... I highly recommend...</v>
      </c>
    </row>
    <row r="5393" spans="1:9" x14ac:dyDescent="0.3">
      <c r="A5393" s="1" t="s">
        <v>61</v>
      </c>
      <c r="B5393" s="1" t="s">
        <v>318</v>
      </c>
      <c r="C5393" s="1" t="s">
        <v>745</v>
      </c>
      <c r="D5393" s="1" t="s">
        <v>589</v>
      </c>
      <c r="E5393" s="1" t="s">
        <v>6096</v>
      </c>
      <c r="F5393" s="1" t="s">
        <v>8873</v>
      </c>
      <c r="G5393" s="1" t="s">
        <v>28</v>
      </c>
      <c r="H5393" s="1" t="s">
        <v>29</v>
      </c>
      <c r="I5393" s="1" t="str">
        <f ca="1">IFERROR(__xludf.DUMMYFUNCTION("GOOGLETRANSLATE(F5393, ""auto"", ""en"")
"),"Convenient, not big, boils normally, no smell, beautiful lighting (blue when at rest, red when boiling)")</f>
        <v>Convenient, not big, boils normally, no smell, beautiful lighting (blue when at rest, red when boiling)</v>
      </c>
    </row>
    <row r="5394" spans="1:9" x14ac:dyDescent="0.3">
      <c r="A5394" s="1" t="s">
        <v>61</v>
      </c>
      <c r="B5394" s="1" t="s">
        <v>318</v>
      </c>
      <c r="C5394" s="1" t="s">
        <v>2840</v>
      </c>
      <c r="D5394" s="1" t="s">
        <v>1055</v>
      </c>
      <c r="E5394" s="1" t="s">
        <v>3903</v>
      </c>
      <c r="F5394" s="1" t="s">
        <v>8874</v>
      </c>
      <c r="G5394" s="1" t="s">
        <v>36</v>
      </c>
      <c r="H5394" s="1" t="s">
        <v>29</v>
      </c>
      <c r="I5394" s="1" t="str">
        <f ca="1">IFERROR(__xludf.DUMMYFUNCTION("GOOGLETRANSLATE(F5394, ""auto"", ""en"")
"),"I bought this kettle in March 2013 as a gift. Very pleased. The kettle is great! Beautiful, easy to use, environmentally friendly, silent, it came with two small cups.")</f>
        <v>I bought this kettle in March 2013 as a gift. Very pleased. The kettle is great! Beautiful, easy to use, environmentally friendly, silent, it came with two small cups.</v>
      </c>
    </row>
    <row r="5395" spans="1:9" x14ac:dyDescent="0.3">
      <c r="A5395" s="1" t="s">
        <v>519</v>
      </c>
      <c r="B5395" s="1" t="s">
        <v>3212</v>
      </c>
      <c r="C5395" s="1" t="s">
        <v>561</v>
      </c>
      <c r="D5395" s="1" t="s">
        <v>308</v>
      </c>
      <c r="E5395" s="1" t="s">
        <v>241</v>
      </c>
      <c r="F5395" s="1" t="s">
        <v>8875</v>
      </c>
      <c r="G5395" s="1" t="s">
        <v>15</v>
      </c>
      <c r="H5395" s="1" t="s">
        <v>16</v>
      </c>
      <c r="I5395" s="1" t="str">
        <f ca="1">IFERROR(__xludf.DUMMYFUNCTION("GOOGLETRANSLATE(F5395, ""auto"", ""en"")
"),"The first ten to fifteen times of using this form are pure delight and surprise. The finished casseroles popped out of the pan on their own. The form itself just needed to be rinsed with hot water. And then the coating began to peel off and the shape stop"&amp;"ped pleasing. Pieces of coating on the finished product, rust... The mold is in the trash!")</f>
        <v>The first ten to fifteen times of using this form are pure delight and surprise. The finished casseroles popped out of the pan on their own. The form itself just needed to be rinsed with hot water. And then the coating began to peel off and the shape stopped pleasing. Pieces of coating on the finished product, rust... The mold is in the trash!</v>
      </c>
    </row>
    <row r="5396" spans="1:9" x14ac:dyDescent="0.3">
      <c r="A5396" s="1" t="s">
        <v>557</v>
      </c>
      <c r="B5396" s="1" t="s">
        <v>558</v>
      </c>
      <c r="C5396" s="1" t="s">
        <v>816</v>
      </c>
      <c r="D5396" s="1" t="s">
        <v>127</v>
      </c>
      <c r="E5396" s="1" t="s">
        <v>2338</v>
      </c>
      <c r="F5396" s="1" t="s">
        <v>8876</v>
      </c>
      <c r="G5396" s="1" t="s">
        <v>49</v>
      </c>
      <c r="H5396" s="1" t="s">
        <v>16</v>
      </c>
      <c r="I5396" s="1" t="str">
        <f ca="1">IFERROR(__xludf.DUMMYFUNCTION("GOOGLETRANSLATE(F5396, ""auto"", ""en"")
"),"+ many functions and a color display - a buggy model, Caller ID works every once in a while, and it is not clear on what principle it works - if you turn off the call on the base, Caller ID does not work, and the base has standard mono melodies, and when "&amp;"there is an incoming call, the handset rings so-so, and the base also plays another melody out of tune, it hurts your hearing - the clock goes wrong, once a day it goes back exactly an hour. In general, I took it back, more negativity than pleasure from t"&amp;"he purchase.")</f>
        <v>+ many functions and a color display - a buggy model, Caller ID works every once in a while, and it is not clear on what principle it works - if you turn off the call on the base, Caller ID does not work, and the base has standard mono melodies, and when there is an incoming call, the handset rings so-so, and the base also plays another melody out of tune, it hurts your hearing - the clock goes wrong, once a day it goes back exactly an hour. In general, I took it back, more negativity than pleasure from the purchase.</v>
      </c>
    </row>
    <row r="5397" spans="1:9" x14ac:dyDescent="0.3">
      <c r="A5397" s="1" t="s">
        <v>17</v>
      </c>
      <c r="B5397" s="1" t="s">
        <v>325</v>
      </c>
      <c r="C5397" s="1" t="s">
        <v>326</v>
      </c>
      <c r="D5397" s="1" t="s">
        <v>589</v>
      </c>
      <c r="E5397" s="1" t="s">
        <v>8877</v>
      </c>
      <c r="F5397" s="1" t="s">
        <v>8878</v>
      </c>
      <c r="G5397" s="1" t="s">
        <v>36</v>
      </c>
      <c r="H5397" s="1" t="s">
        <v>29</v>
      </c>
      <c r="I5397" s="1" t="str">
        <f ca="1">IFERROR(__xludf.DUMMYFUNCTION("GOOGLETRANSLATE(F5397, ""auto"", ""en"")
"),"1. Almost weightless - weighs only 7 kg. 2. In 3 minutes of washing the effect is better than in 1 hour 45 minutes in a machine (Zanussi); and the maximum 15 minutes for which the timer is designed are probably needed for washing very dirty laundry withou"&amp;"t powder. 3. You can wash at least one handkerchief - you don’t have to accumulate kilograms to start the machine.")</f>
        <v>1. Almost weightless - weighs only 7 kg. 2. In 3 minutes of washing the effect is better than in 1 hour 45 minutes in a machine (Zanussi); and the maximum 15 minutes for which the timer is designed are probably needed for washing very dirty laundry without powder. 3. You can wash at least one handkerchief - you don’t have to accumulate kilograms to start the machine.</v>
      </c>
    </row>
    <row r="5398" spans="1:9" x14ac:dyDescent="0.3">
      <c r="A5398" s="1" t="s">
        <v>67</v>
      </c>
      <c r="B5398" s="1" t="s">
        <v>68</v>
      </c>
      <c r="C5398" s="1" t="s">
        <v>381</v>
      </c>
      <c r="D5398" s="1" t="s">
        <v>940</v>
      </c>
      <c r="E5398" s="1" t="s">
        <v>2529</v>
      </c>
      <c r="F5398" s="1" t="s">
        <v>8879</v>
      </c>
      <c r="G5398" s="1" t="s">
        <v>36</v>
      </c>
      <c r="H5398" s="1" t="s">
        <v>29</v>
      </c>
      <c r="I5398" s="1" t="str">
        <f ca="1">IFERROR(__xludf.DUMMYFUNCTION("GOOGLETRANSLATE(F5398, ""auto"", ""en"")
"),"Great iron. A little heavy, but you get used to it quickly.")</f>
        <v>Great iron. A little heavy, but you get used to it quickly.</v>
      </c>
    </row>
    <row r="5399" spans="1:9" x14ac:dyDescent="0.3">
      <c r="A5399" s="1" t="s">
        <v>61</v>
      </c>
      <c r="B5399" s="1" t="s">
        <v>726</v>
      </c>
      <c r="C5399" s="1" t="s">
        <v>74</v>
      </c>
      <c r="D5399" s="1" t="s">
        <v>471</v>
      </c>
      <c r="E5399" s="1" t="s">
        <v>717</v>
      </c>
      <c r="F5399" s="1" t="s">
        <v>8880</v>
      </c>
      <c r="G5399" s="1" t="s">
        <v>36</v>
      </c>
      <c r="H5399" s="1" t="s">
        <v>29</v>
      </c>
      <c r="I5399" s="1" t="str">
        <f ca="1">IFERROR(__xludf.DUMMYFUNCTION("GOOGLETRANSLATE(F5399, ""auto"", ""en"")
"),"I really liked it, I bake almost always, I downloaded a lot of recipes from the Internet, I always make something new. I think that such a thing cannot get boring! I recommend! As for the crust, if it doesn’t bake, you need to add a little more sugar. I a"&amp;"lready try everything by eye, but at first I was freaking out - nothing worked.")</f>
        <v>I really liked it, I bake almost always, I downloaded a lot of recipes from the Internet, I always make something new. I think that such a thing cannot get boring! I recommend! As for the crust, if it doesn’t bake, you need to add a little more sugar. I already try everything by eye, but at first I was freaking out - nothing worked.</v>
      </c>
    </row>
    <row r="5400" spans="1:9" x14ac:dyDescent="0.3">
      <c r="A5400" s="1" t="s">
        <v>149</v>
      </c>
      <c r="B5400" s="1" t="s">
        <v>155</v>
      </c>
      <c r="C5400" s="1" t="s">
        <v>185</v>
      </c>
      <c r="D5400" s="1" t="s">
        <v>152</v>
      </c>
      <c r="E5400" s="1" t="s">
        <v>271</v>
      </c>
      <c r="F5400" s="1" t="s">
        <v>8881</v>
      </c>
      <c r="G5400" s="1" t="s">
        <v>28</v>
      </c>
      <c r="H5400" s="1" t="s">
        <v>29</v>
      </c>
      <c r="I5400" s="1" t="str">
        <f ca="1">IFERROR(__xludf.DUMMYFUNCTION("GOOGLETRANSLATE(F5400, ""auto"", ""en"")
"),"It’s good for everyone, it’s powerful, but there is one drawback: the filter gets clogged with fine dust very quickly and you have to disassemble it and clean it after each use. And I’m very pleased with the vacuum cleaner.")</f>
        <v>It’s good for everyone, it’s powerful, but there is one drawback: the filter gets clogged with fine dust very quickly and you have to disassemble it and clean it after each use. And I’m very pleased with the vacuum cleaner.</v>
      </c>
    </row>
    <row r="5401" spans="1:9" x14ac:dyDescent="0.3">
      <c r="A5401" s="1" t="s">
        <v>149</v>
      </c>
      <c r="B5401" s="1" t="s">
        <v>150</v>
      </c>
      <c r="C5401" s="1" t="s">
        <v>85</v>
      </c>
      <c r="D5401" s="1" t="s">
        <v>152</v>
      </c>
      <c r="E5401" s="1" t="s">
        <v>115</v>
      </c>
      <c r="F5401" s="1" t="s">
        <v>8882</v>
      </c>
      <c r="G5401" s="1" t="s">
        <v>36</v>
      </c>
      <c r="H5401" s="1" t="s">
        <v>29</v>
      </c>
      <c r="I5401" s="1" t="str">
        <f ca="1">IFERROR(__xludf.DUMMYFUNCTION("GOOGLETRANSLATE(F5401, ""auto"", ""en"")
"),"Great item, completely satisfied! Functionality, ease of use, compactness and power combine all these qualities into a relatively small vacuum cleaner.   Rating 5+! Of course, made in Germany)")</f>
        <v>Great item, completely satisfied! Functionality, ease of use, compactness and power combine all these qualities into a relatively small vacuum cleaner.   Rating 5+! Of course, made in Germany)</v>
      </c>
    </row>
    <row r="5402" spans="1:9" x14ac:dyDescent="0.3">
      <c r="A5402" s="1" t="s">
        <v>78</v>
      </c>
      <c r="B5402" s="1" t="s">
        <v>79</v>
      </c>
      <c r="C5402" s="1" t="s">
        <v>257</v>
      </c>
      <c r="D5402" s="1" t="s">
        <v>117</v>
      </c>
      <c r="E5402" s="1" t="s">
        <v>8883</v>
      </c>
      <c r="F5402" s="1" t="s">
        <v>8884</v>
      </c>
      <c r="G5402" s="1" t="s">
        <v>36</v>
      </c>
      <c r="H5402" s="1" t="s">
        <v>29</v>
      </c>
      <c r="I5402" s="1" t="str">
        <f ca="1">IFERROR(__xludf.DUMMYFUNCTION("GOOGLETRANSLATE(F5402, ""auto"", ""en"")
"),"I have been using a microwave oven for over 5 years!")</f>
        <v>I have been using a microwave oven for over 5 years!</v>
      </c>
    </row>
    <row r="5403" spans="1:9" x14ac:dyDescent="0.3">
      <c r="A5403" s="1" t="s">
        <v>37</v>
      </c>
      <c r="B5403" s="1" t="s">
        <v>536</v>
      </c>
      <c r="C5403" s="1" t="s">
        <v>32</v>
      </c>
      <c r="D5403" s="1" t="s">
        <v>8885</v>
      </c>
      <c r="E5403" s="1" t="s">
        <v>1654</v>
      </c>
      <c r="F5403" s="1" t="s">
        <v>8886</v>
      </c>
      <c r="G5403" s="1" t="s">
        <v>36</v>
      </c>
      <c r="H5403" s="1" t="s">
        <v>29</v>
      </c>
      <c r="I5403" s="1" t="str">
        <f ca="1">IFERROR(__xludf.DUMMYFUNCTION("GOOGLETRANSLATE(F5403, ""auto"", ""en"")
"),"I agree with the previous speaker 250%. Everything happens from crooked hands. They pick up some instruments and, without understanding them, begin to complain. Buy yourself a phone for 500 rubles and everything will be fine. will call and talk. I agree t"&amp;"hat WM is for those who like to dig deeper, but that’s what the Internet was invented for. Buy communicators.")</f>
        <v>I agree with the previous speaker 250%. Everything happens from crooked hands. They pick up some instruments and, without understanding them, begin to complain. Buy yourself a phone for 500 rubles and everything will be fine. will call and talk. I agree that WM is for those who like to dig deeper, but that’s what the Internet was invented for. Buy communicators.</v>
      </c>
    </row>
    <row r="5404" spans="1:9" x14ac:dyDescent="0.3">
      <c r="A5404" s="1" t="s">
        <v>206</v>
      </c>
      <c r="B5404" s="1" t="s">
        <v>1349</v>
      </c>
      <c r="C5404" s="1" t="s">
        <v>351</v>
      </c>
      <c r="D5404" s="1" t="s">
        <v>568</v>
      </c>
      <c r="E5404" s="1" t="s">
        <v>4363</v>
      </c>
      <c r="F5404" s="1" t="s">
        <v>8887</v>
      </c>
      <c r="G5404" s="1" t="s">
        <v>28</v>
      </c>
      <c r="H5404" s="1" t="s">
        <v>29</v>
      </c>
      <c r="I5404" s="1" t="str">
        <f ca="1">IFERROR(__xludf.DUMMYFUNCTION("GOOGLETRANSLATE(F5404, ""auto"", ""en"")
"),"Quite a normal radio. I’ve been using it for more than six months now, problems arise only with listening to music from an external flash drive: sometimes it freezes, it seems to me that it’s due to poor contact of the USB cable with the tape recorder (I "&amp;"use a 4GB flash drive). Everything reads disks. I'm quite pleased with the sound quality, with my amplifier, subwoofer and JBL rear speakers (connected from the amp) it sounds just super. Regarding video: DVD reads everything, the problem is with other fo"&amp;"rmats, I only read AVI.")</f>
        <v>Quite a normal radio. I’ve been using it for more than six months now, problems arise only with listening to music from an external flash drive: sometimes it freezes, it seems to me that it’s due to poor contact of the USB cable with the tape recorder (I use a 4GB flash drive). Everything reads disks. I'm quite pleased with the sound quality, with my amplifier, subwoofer and JBL rear speakers (connected from the amp) it sounds just super. Regarding video: DVD reads everything, the problem is with other formats, I only read AVI.</v>
      </c>
    </row>
    <row r="5405" spans="1:9" x14ac:dyDescent="0.3">
      <c r="A5405" s="1" t="s">
        <v>113</v>
      </c>
      <c r="B5405" s="1" t="s">
        <v>1251</v>
      </c>
      <c r="C5405" s="1" t="s">
        <v>122</v>
      </c>
      <c r="D5405" s="1" t="s">
        <v>86</v>
      </c>
      <c r="E5405" s="1" t="s">
        <v>1401</v>
      </c>
      <c r="F5405" s="1" t="s">
        <v>8888</v>
      </c>
      <c r="G5405" s="1" t="s">
        <v>36</v>
      </c>
      <c r="H5405" s="1" t="s">
        <v>29</v>
      </c>
      <c r="I5405" s="1" t="str">
        <f ca="1">IFERROR(__xludf.DUMMYFUNCTION("GOOGLETRANSLATE(F5405, ""auto"", ""en"")
"),"Today I became the owner of this digital camera! Everything about it makes me happy, the quality of the pictures is excellent, it takes excellent pictures in the dark!!! As for the different photography modes, there are plenty of them! But for beginner """&amp;"paparazzi"" it is better to set the automatic setting. There is also an intelligent setting, which itself selects the scene that it considers necessary to select (that is, night, portrait, landscape, etc.)... But I was just not pleased with the cover of t"&amp;"he flash drive compartment, there is a gap. That is, if you lightly touch this cover with a casual movement, it opens. I don’t know if it’s my camera that’s defective, but I’m thinking of going to the store and asking for another camera! As a result, I ca"&amp;"n say that this camera is an excellent solution for beginners. And Panasonic is a serious company!!!")</f>
        <v>Today I became the owner of this digital camera! Everything about it makes me happy, the quality of the pictures is excellent, it takes excellent pictures in the dark!!! As for the different photography modes, there are plenty of them! But for beginner "paparazzi" it is better to set the automatic setting. There is also an intelligent setting, which itself selects the scene that it considers necessary to select (that is, night, portrait, landscape, etc.)... But I was just not pleased with the cover of the flash drive compartment, there is a gap. That is, if you lightly touch this cover with a casual movement, it opens. I don’t know if it’s my camera that’s defective, but I’m thinking of going to the store and asking for another camera! As a result, I can say that this camera is an excellent solution for beginners. And Panasonic is a serious company!!!</v>
      </c>
    </row>
    <row r="5406" spans="1:9" x14ac:dyDescent="0.3">
      <c r="A5406" s="1" t="s">
        <v>120</v>
      </c>
      <c r="B5406" s="1" t="s">
        <v>121</v>
      </c>
      <c r="C5406" s="1" t="s">
        <v>151</v>
      </c>
      <c r="D5406" s="1" t="s">
        <v>2217</v>
      </c>
      <c r="E5406" s="1" t="s">
        <v>1992</v>
      </c>
      <c r="F5406" s="1" t="s">
        <v>8889</v>
      </c>
      <c r="G5406" s="1" t="s">
        <v>36</v>
      </c>
      <c r="H5406" s="1" t="s">
        <v>29</v>
      </c>
      <c r="I5406" s="1" t="str">
        <f ca="1">IFERROR(__xludf.DUMMYFUNCTION("GOOGLETRANSLATE(F5406, ""auto"", ""en"")
"),"I had a similar experience...I advise you to check the cable for breaks or the stability of the connection to the TV or laptop. Otherwise, the TV even shows through VGA with excellent HD resolution. I recommend it to everyone.")</f>
        <v>I had a similar experience...I advise you to check the cable for breaks or the stability of the connection to the TV or laptop. Otherwise, the TV even shows through VGA with excellent HD resolution. I recommend it to everyone.</v>
      </c>
    </row>
    <row r="5407" spans="1:9" x14ac:dyDescent="0.3">
      <c r="A5407" s="1" t="s">
        <v>61</v>
      </c>
      <c r="B5407" s="1" t="s">
        <v>977</v>
      </c>
      <c r="C5407" s="1" t="s">
        <v>69</v>
      </c>
      <c r="D5407" s="1" t="s">
        <v>1055</v>
      </c>
      <c r="E5407" s="1" t="s">
        <v>5013</v>
      </c>
      <c r="F5407" s="1" t="s">
        <v>8890</v>
      </c>
      <c r="G5407" s="1" t="s">
        <v>36</v>
      </c>
      <c r="H5407" s="1" t="s">
        <v>29</v>
      </c>
      <c r="I5407" s="1" t="str">
        <f ca="1">IFERROR(__xludf.DUMMYFUNCTION("GOOGLETRANSLATE(F5407, ""auto"", ""en"")
"),"I’ve wanted and dreamed about a blender for a very long time, my husband and I carefully approached the choice, and plus, a friend who works in a store wouldn’t give bad advice, it works like a charm, I’m very pleased. I recommend this model!!!")</f>
        <v>I’ve wanted and dreamed about a blender for a very long time, my husband and I carefully approached the choice, and plus, a friend who works in a store wouldn’t give bad advice, it works like a charm, I’m very pleased. I recommend this model!!!</v>
      </c>
    </row>
    <row r="5408" spans="1:9" x14ac:dyDescent="0.3">
      <c r="A5408" s="1" t="s">
        <v>105</v>
      </c>
      <c r="B5408" s="1" t="s">
        <v>106</v>
      </c>
      <c r="C5408" s="1" t="s">
        <v>151</v>
      </c>
      <c r="D5408" s="1" t="s">
        <v>5122</v>
      </c>
      <c r="E5408" s="1" t="s">
        <v>1012</v>
      </c>
      <c r="F5408" s="1" t="s">
        <v>8891</v>
      </c>
      <c r="G5408" s="1" t="s">
        <v>36</v>
      </c>
      <c r="H5408" s="1" t="s">
        <v>29</v>
      </c>
      <c r="I5408" s="1" t="str">
        <f ca="1">IFERROR(__xludf.DUMMYFUNCTION("GOOGLETRANSLATE(F5408, ""auto"", ""en"")
"),"Excellent Mp3. I've been using it for a year now.")</f>
        <v>Excellent Mp3. I've been using it for a year now.</v>
      </c>
    </row>
    <row r="5409" spans="1:9" x14ac:dyDescent="0.3">
      <c r="A5409" s="1" t="s">
        <v>30</v>
      </c>
      <c r="B5409" s="1" t="s">
        <v>50</v>
      </c>
      <c r="C5409" s="1" t="s">
        <v>1003</v>
      </c>
      <c r="D5409" s="1" t="s">
        <v>565</v>
      </c>
      <c r="E5409" s="1" t="s">
        <v>1723</v>
      </c>
      <c r="F5409" s="1" t="s">
        <v>8892</v>
      </c>
      <c r="G5409" s="1" t="s">
        <v>36</v>
      </c>
      <c r="H5409" s="1" t="s">
        <v>29</v>
      </c>
      <c r="I5409" s="1" t="str">
        <f ca="1">IFERROR(__xludf.DUMMYFUNCTION("GOOGLETRANSLATE(F5409, ""auto"", ""en"")
"),"I bought a laptop today! I’m just delighted with its versatility!!! Let’s see how it works in the future!")</f>
        <v>I bought a laptop today! I’m just delighted with its versatility!!! Let’s see how it works in the future!</v>
      </c>
    </row>
    <row r="5410" spans="1:9" x14ac:dyDescent="0.3">
      <c r="A5410" s="1" t="s">
        <v>113</v>
      </c>
      <c r="B5410" s="1" t="s">
        <v>1251</v>
      </c>
      <c r="C5410" s="1" t="s">
        <v>151</v>
      </c>
      <c r="D5410" s="1" t="s">
        <v>8893</v>
      </c>
      <c r="E5410" s="1" t="s">
        <v>920</v>
      </c>
      <c r="F5410" s="1" t="s">
        <v>8894</v>
      </c>
      <c r="G5410" s="1" t="s">
        <v>36</v>
      </c>
      <c r="H5410" s="1" t="s">
        <v>29</v>
      </c>
      <c r="I5410" s="1" t="str">
        <f ca="1">IFERROR(__xludf.DUMMYFUNCTION("GOOGLETRANSLATE(F5410, ""auto"", ""en"")
"),"There was no charger included xD. And such a good camera!")</f>
        <v>There was no charger included xD. And such a good camera!</v>
      </c>
    </row>
    <row r="5411" spans="1:9" x14ac:dyDescent="0.3">
      <c r="A5411" s="1" t="s">
        <v>30</v>
      </c>
      <c r="B5411" s="1" t="s">
        <v>50</v>
      </c>
      <c r="C5411" s="1" t="s">
        <v>51</v>
      </c>
      <c r="D5411" s="1" t="s">
        <v>1581</v>
      </c>
      <c r="E5411" s="1" t="s">
        <v>1886</v>
      </c>
      <c r="F5411" s="1" t="s">
        <v>8895</v>
      </c>
      <c r="G5411" s="1" t="s">
        <v>36</v>
      </c>
      <c r="H5411" s="1" t="s">
        <v>29</v>
      </c>
      <c r="I5411" s="1" t="str">
        <f ca="1">IFERROR(__xludf.DUMMYFUNCTION("GOOGLETRANSLATE(F5411, ""auto"", ""en"")
"),"An excellent laptop for the money. I've been using it for a week, I'm happy with everything. The games are going great. Crisis Warhead at the native resolution of 1600x900, without anti-aliasing, for the most part runs well at high settings, with virtuall"&amp;"y no lag. In 3D Mark06 scores 7400 points. Almost no noise and does not get hot. The screen is not great, but it suits you, what do you want for that kind of money, even expensive laptops have screens that are not much better, and “classmates” often have "&amp;"worse screens. There were troubles with the operation of the touch buttons, everything was solved without problems by reinstalling the drivers taken from the official PB website. I recommend it to everyone as a replacement for a desktop computer.")</f>
        <v>An excellent laptop for the money. I've been using it for a week, I'm happy with everything. The games are going great. Crisis Warhead at the native resolution of 1600x900, without anti-aliasing, for the most part runs well at high settings, with virtually no lag. In 3D Mark06 scores 7400 points. Almost no noise and does not get hot. The screen is not great, but it suits you, what do you want for that kind of money, even expensive laptops have screens that are not much better, and “classmates” often have worse screens. There were troubles with the operation of the touch buttons, everything was solved without problems by reinstalling the drivers taken from the official PB website. I recommend it to everyone as a replacement for a desktop computer.</v>
      </c>
    </row>
    <row r="5412" spans="1:9" x14ac:dyDescent="0.3">
      <c r="A5412" s="1" t="s">
        <v>211</v>
      </c>
      <c r="B5412" s="1" t="s">
        <v>2818</v>
      </c>
      <c r="C5412" s="1" t="s">
        <v>213</v>
      </c>
      <c r="D5412" s="1" t="s">
        <v>152</v>
      </c>
      <c r="E5412" s="1" t="s">
        <v>8896</v>
      </c>
      <c r="F5412" s="1" t="s">
        <v>8897</v>
      </c>
      <c r="G5412" s="1" t="s">
        <v>36</v>
      </c>
      <c r="H5412" s="1" t="s">
        <v>29</v>
      </c>
      <c r="I5412" s="1" t="str">
        <f ca="1">IFERROR(__xludf.DUMMYFUNCTION("GOOGLETRANSLATE(F5412, ""auto"", ""en"")
"),"Shaves perfectly, without irritation. An excellent option for a business trip. But for some reason there are no consumables (cutting unit) in the store?")</f>
        <v>Shaves perfectly, without irritation. An excellent option for a business trip. But for some reason there are no consumables (cutting unit) in the store?</v>
      </c>
    </row>
    <row r="5413" spans="1:9" x14ac:dyDescent="0.3">
      <c r="A5413" s="1" t="s">
        <v>43</v>
      </c>
      <c r="B5413" s="1" t="s">
        <v>334</v>
      </c>
      <c r="C5413" s="1" t="s">
        <v>101</v>
      </c>
      <c r="D5413" s="1" t="s">
        <v>171</v>
      </c>
      <c r="E5413" s="1" t="s">
        <v>2298</v>
      </c>
      <c r="F5413" s="1" t="s">
        <v>8898</v>
      </c>
      <c r="G5413" s="1" t="s">
        <v>36</v>
      </c>
      <c r="H5413" s="1" t="s">
        <v>29</v>
      </c>
      <c r="I5413" s="1" t="str">
        <f ca="1">IFERROR(__xludf.DUMMYFUNCTION("GOOGLETRANSLATE(F5413, ""auto"", ""en"")
"),"I bought it yesterday, put it at work in front of my desk, the air flows great and doesn’t even make noise, the price is justified, but you can throw off 150 rubles, but I’m so happy")</f>
        <v>I bought it yesterday, put it at work in front of my desk, the air flows great and doesn’t even make noise, the price is justified, but you can throw off 150 rubles, but I’m so happy</v>
      </c>
    </row>
    <row r="5414" spans="1:9" x14ac:dyDescent="0.3">
      <c r="A5414" s="1" t="s">
        <v>17</v>
      </c>
      <c r="B5414" s="1" t="s">
        <v>18</v>
      </c>
      <c r="C5414" s="1" t="s">
        <v>24</v>
      </c>
      <c r="D5414" s="1" t="s">
        <v>1152</v>
      </c>
      <c r="E5414" s="1" t="s">
        <v>1267</v>
      </c>
      <c r="F5414" s="1" t="s">
        <v>8899</v>
      </c>
      <c r="G5414" s="1" t="s">
        <v>49</v>
      </c>
      <c r="H5414" s="1" t="s">
        <v>16</v>
      </c>
      <c r="I5414" s="1" t="str">
        <f ca="1">IFERROR(__xludf.DUMMYFUNCTION("GOOGLETRANSLATE(F5414, ""auto"", ""en"")
"),"Bought it today. Everything seems to be fine, but for some reason the heating of the water cannot be felt through the glass. The glass remained cold, even though the temperature was set to 60 degrees.")</f>
        <v>Bought it today. Everything seems to be fine, but for some reason the heating of the water cannot be felt through the glass. The glass remained cold, even though the temperature was set to 60 degrees.</v>
      </c>
    </row>
    <row r="5415" spans="1:9" x14ac:dyDescent="0.3">
      <c r="A5415" s="1" t="s">
        <v>206</v>
      </c>
      <c r="B5415" s="1" t="s">
        <v>1253</v>
      </c>
      <c r="C5415" s="1" t="s">
        <v>4464</v>
      </c>
      <c r="D5415" s="1" t="s">
        <v>4132</v>
      </c>
      <c r="E5415" s="1" t="s">
        <v>3634</v>
      </c>
      <c r="F5415" s="1" t="s">
        <v>8900</v>
      </c>
      <c r="G5415" s="1" t="s">
        <v>36</v>
      </c>
      <c r="H5415" s="1" t="s">
        <v>29</v>
      </c>
      <c r="I5415" s="1" t="str">
        <f ca="1">IFERROR(__xludf.DUMMYFUNCTION("GOOGLETRANSLATE(F5415, ""auto"", ""en"")
"),"The radio is good. Pros - clear sound, volume and range. I recommend it to everyone! (Read the instructions first)")</f>
        <v>The radio is good. Pros - clear sound, volume and range. I recommend it to everyone! (Read the instructions first)</v>
      </c>
    </row>
    <row r="5416" spans="1:9" x14ac:dyDescent="0.3">
      <c r="A5416" s="1" t="s">
        <v>238</v>
      </c>
      <c r="B5416" s="1" t="s">
        <v>276</v>
      </c>
      <c r="C5416" s="1" t="s">
        <v>5118</v>
      </c>
      <c r="D5416" s="1" t="s">
        <v>565</v>
      </c>
      <c r="E5416" s="1" t="s">
        <v>405</v>
      </c>
      <c r="F5416" s="1" t="s">
        <v>8901</v>
      </c>
      <c r="G5416" s="1" t="s">
        <v>36</v>
      </c>
      <c r="H5416" s="1" t="s">
        <v>29</v>
      </c>
      <c r="I5416" s="1" t="str">
        <f ca="1">IFERROR(__xludf.DUMMYFUNCTION("GOOGLETRANSLATE(F5416, ""auto"", ""en"")
"),"Bought the freezer in June, works great, quietly, so far so good...")</f>
        <v>Bought the freezer in June, works great, quietly, so far so good...</v>
      </c>
    </row>
    <row r="5417" spans="1:9" x14ac:dyDescent="0.3">
      <c r="A5417" s="1" t="s">
        <v>30</v>
      </c>
      <c r="B5417" s="1" t="s">
        <v>50</v>
      </c>
      <c r="C5417" s="1" t="s">
        <v>1386</v>
      </c>
      <c r="D5417" s="1" t="s">
        <v>8902</v>
      </c>
      <c r="E5417" s="1" t="s">
        <v>397</v>
      </c>
      <c r="F5417" s="1" t="s">
        <v>8903</v>
      </c>
      <c r="G5417" s="1" t="s">
        <v>28</v>
      </c>
      <c r="H5417" s="1" t="s">
        <v>29</v>
      </c>
      <c r="I5417" s="1" t="str">
        <f ca="1">IFERROR(__xludf.DUMMYFUNCTION("GOOGLETRANSLATE(F5417, ""auto"", ""en"")
"),"Of course, 120, the disk capacity is indicated, not the free space on it. Because Vista 40GB is used for recovery files and backup. They write about this everywhere, and it is quite reasonable. Change your device and you will get 160 GB (disk capacity). B"&amp;"ut there won't be any whist there anymore ;)")</f>
        <v>Of course, 120, the disk capacity is indicated, not the free space on it. Because Vista 40GB is used for recovery files and backup. They write about this everywhere, and it is quite reasonable. Change your device and you will get 160 GB (disk capacity). But there won't be any whist there anymore ;)</v>
      </c>
    </row>
    <row r="5418" spans="1:9" x14ac:dyDescent="0.3">
      <c r="A5418" s="1" t="s">
        <v>78</v>
      </c>
      <c r="B5418" s="1" t="s">
        <v>79</v>
      </c>
      <c r="C5418" s="1" t="s">
        <v>1224</v>
      </c>
      <c r="D5418" s="1" t="s">
        <v>327</v>
      </c>
      <c r="E5418" s="1" t="s">
        <v>2721</v>
      </c>
      <c r="F5418" s="1" t="s">
        <v>8904</v>
      </c>
      <c r="G5418" s="1" t="s">
        <v>28</v>
      </c>
      <c r="H5418" s="1" t="s">
        <v>29</v>
      </c>
      <c r="I5418" s="1" t="str">
        <f ca="1">IFERROR(__xludf.DUMMYFUNCTION("GOOGLETRANSLATE(F5418, ""auto"", ""en"")
"),"We bought this microwave because everyone in the family liked its appearance. In addition, 23 liters for little money.  Overall the oven is not bad. The noise level is low. In any case, there is something to compare with, not the first, and two days befor"&amp;"e the purchase there was an attempt to purchase a microwave from another manufacturer through an online store (it made noise like a tractor).  After two days of use, no shortcomings were discovered, the controls are clear. The power seems to be okay, so I"&amp;" don’t know.  The only negative is that the grill is not quartz, but a heating element, which seems to be outdated. But this is an insignificant drawback.  Let's see how he proves himself further. I give it a solid four.")</f>
        <v>We bought this microwave because everyone in the family liked its appearance. In addition, 23 liters for little money.  Overall the oven is not bad. The noise level is low. In any case, there is something to compare with, not the first, and two days before the purchase there was an attempt to purchase a microwave from another manufacturer through an online store (it made noise like a tractor).  After two days of use, no shortcomings were discovered, the controls are clear. The power seems to be okay, so I don’t know.  The only negative is that the grill is not quartz, but a heating element, which seems to be outdated. But this is an insignificant drawback.  Let's see how he proves himself further. I give it a solid four.</v>
      </c>
    </row>
    <row r="5419" spans="1:9" x14ac:dyDescent="0.3">
      <c r="A5419" s="1" t="s">
        <v>169</v>
      </c>
      <c r="B5419" s="1" t="s">
        <v>170</v>
      </c>
      <c r="C5419" s="1" t="s">
        <v>69</v>
      </c>
      <c r="D5419" s="1" t="s">
        <v>20</v>
      </c>
      <c r="E5419" s="1" t="s">
        <v>610</v>
      </c>
      <c r="F5419" s="1" t="s">
        <v>8905</v>
      </c>
      <c r="G5419" s="1" t="s">
        <v>15</v>
      </c>
      <c r="H5419" s="1" t="s">
        <v>16</v>
      </c>
      <c r="I5419" s="1" t="str">
        <f ca="1">IFERROR(__xludf.DUMMYFUNCTION("GOOGLETRANSLATE(F5419, ""auto"", ""en"")
"),"The quality of the headphones was excellent. Loud sound, and this was the main thing for me. But after a month and a half they refused to work. Well, they refused... If they were inserted 1/3 into the connector, then they worked. And if it was to the full"&amp;"est, then it would be nonsense. Naturally I lost the receipt.")</f>
        <v>The quality of the headphones was excellent. Loud sound, and this was the main thing for me. But after a month and a half they refused to work. Well, they refused... If they were inserted 1/3 into the connector, then they worked. And if it was to the fullest, then it would be nonsense. Naturally I lost the receipt.</v>
      </c>
    </row>
    <row r="5420" spans="1:9" x14ac:dyDescent="0.3">
      <c r="A5420" s="1" t="s">
        <v>120</v>
      </c>
      <c r="B5420" s="1" t="s">
        <v>256</v>
      </c>
      <c r="C5420" s="1" t="s">
        <v>32</v>
      </c>
      <c r="D5420" s="1" t="s">
        <v>102</v>
      </c>
      <c r="E5420" s="1" t="s">
        <v>1452</v>
      </c>
      <c r="F5420" s="1" t="s">
        <v>8906</v>
      </c>
      <c r="G5420" s="1" t="s">
        <v>36</v>
      </c>
      <c r="H5420" s="1" t="s">
        <v>29</v>
      </c>
      <c r="I5420" s="1" t="str">
        <f ca="1">IFERROR(__xludf.DUMMYFUNCTION("GOOGLETRANSLATE(F5420, ""auto"", ""en"")
"),"I bought this TV two months ago for the dacha. Unfortunately, it cost a little more back then((. I immediately liked the design and price. Of the TVs presented on the shelf, it had the thinnest frame and screen resolution of 16:10 - better for our broadca"&amp;"st. I installed it at the dacha, so far it works fine, even despite small power surges. It’s convenient that you can use it as a monitor. When I bought it, I compared the picture at home with the Toshiba 22 SLD2, which hangs in the bedroom. Acer showed it"&amp;"self to be the best in the picture sides (lack of light around the perimeter and a better viewing angle) In general, I recommend it! The company is well-known, the quality is at the level of the Koreans, the price is noticeably lower.")</f>
        <v>I bought this TV two months ago for the dacha. Unfortunately, it cost a little more back then((. I immediately liked the design and price. Of the TVs presented on the shelf, it had the thinnest frame and screen resolution of 16:10 - better for our broadcast. I installed it at the dacha, so far it works fine, even despite small power surges. It’s convenient that you can use it as a monitor. When I bought it, I compared the picture at home with the Toshiba 22 SLD2, which hangs in the bedroom. Acer showed itself to be the best in the picture sides (lack of light around the perimeter and a better viewing angle) In general, I recommend it! The company is well-known, the quality is at the level of the Koreans, the price is noticeably lower.</v>
      </c>
    </row>
    <row r="5421" spans="1:9" x14ac:dyDescent="0.3">
      <c r="A5421" s="1" t="s">
        <v>206</v>
      </c>
      <c r="B5421" s="1" t="s">
        <v>261</v>
      </c>
      <c r="C5421" s="1" t="s">
        <v>262</v>
      </c>
      <c r="D5421" s="1" t="s">
        <v>186</v>
      </c>
      <c r="E5421" s="1" t="s">
        <v>491</v>
      </c>
      <c r="F5421" s="1" t="s">
        <v>8907</v>
      </c>
      <c r="G5421" s="1" t="s">
        <v>36</v>
      </c>
      <c r="H5421" s="1" t="s">
        <v>29</v>
      </c>
      <c r="I5421" s="1" t="str">
        <f ca="1">IFERROR(__xludf.DUMMYFUNCTION("GOOGLETRANSLATE(F5421, ""auto"", ""en"")
"),"Excellent cable, I advise you to take it.")</f>
        <v>Excellent cable, I advise you to take it.</v>
      </c>
    </row>
    <row r="5422" spans="1:9" x14ac:dyDescent="0.3">
      <c r="A5422" s="1" t="s">
        <v>9</v>
      </c>
      <c r="B5422" s="1" t="s">
        <v>10</v>
      </c>
      <c r="C5422" s="1" t="s">
        <v>466</v>
      </c>
      <c r="D5422" s="1" t="s">
        <v>8908</v>
      </c>
      <c r="E5422" s="1" t="s">
        <v>1912</v>
      </c>
      <c r="F5422" s="1" t="s">
        <v>8909</v>
      </c>
      <c r="G5422" s="1" t="s">
        <v>36</v>
      </c>
      <c r="H5422" s="1" t="s">
        <v>29</v>
      </c>
      <c r="I5422" s="1" t="str">
        <f ca="1">IFERROR(__xludf.DUMMYFUNCTION("GOOGLETRANSLATE(F5422, ""auto"", ""en"")
"),"For me, this is a pretty good hood. And the backlight is bright.  Of course it makes noise, but how could it be otherwise if it sucks air from the kitchen? It’s impossible to do this silently) By the way, at first speed it’s generally quite noisy. The thi"&amp;"ng is that if something is really being actively fried or steamed in the kitchen, and even with a strong smell, then of course the first speed cannot cope. But on the third it creates a very noticeable thrust. Well, of course it makes more noise. But I do"&amp;"n’t see any problem in this, since usually the need for third speed is not too long. So I think that in terms of work it is normal, like most hoods. Because of the design, I have never seen such a beautiful hood on anyone else. It really matched my beige "&amp;"kitchen set in tone and overall the beauty turned out to be incredible, just like the kitchen now looks like in a glossy advertising magazine!")</f>
        <v>For me, this is a pretty good hood. And the backlight is bright.  Of course it makes noise, but how could it be otherwise if it sucks air from the kitchen? It’s impossible to do this silently) By the way, at first speed it’s generally quite noisy. The thing is that if something is really being actively fried or steamed in the kitchen, and even with a strong smell, then of course the first speed cannot cope. But on the third it creates a very noticeable thrust. Well, of course it makes more noise. But I don’t see any problem in this, since usually the need for third speed is not too long. So I think that in terms of work it is normal, like most hoods. Because of the design, I have never seen such a beautiful hood on anyone else. It really matched my beige kitchen set in tone and overall the beauty turned out to be incredible, just like the kitchen now looks like in a glossy advertising magazine!</v>
      </c>
    </row>
    <row r="5423" spans="1:9" x14ac:dyDescent="0.3">
      <c r="A5423" s="1" t="s">
        <v>43</v>
      </c>
      <c r="B5423" s="1" t="s">
        <v>334</v>
      </c>
      <c r="C5423" s="1" t="s">
        <v>101</v>
      </c>
      <c r="D5423" s="1" t="s">
        <v>171</v>
      </c>
      <c r="E5423" s="1" t="s">
        <v>7242</v>
      </c>
      <c r="F5423" s="1" t="s">
        <v>8910</v>
      </c>
      <c r="G5423" s="1" t="s">
        <v>36</v>
      </c>
      <c r="H5423" s="1" t="s">
        <v>29</v>
      </c>
      <c r="I5423" s="1" t="str">
        <f ca="1">IFERROR(__xludf.DUMMYFUNCTION("GOOGLETRANSLATE(F5423, ""auto"", ""en"")
"),"I had to go all the way to VEGAS to buy this fan from the west of Moscow (the rest were only in the Moscow region), but I don’t regret it. Quiet and powerful, super airflow! Compact and cute. Outwardly, it is not the same as in the photo, much more stylis"&amp;"h and fresh in appearance. At this price it is very rare. Compared to the Bork P510, which simply hums with “hardware” straight into the brain, it’s simply lovely!")</f>
        <v>I had to go all the way to VEGAS to buy this fan from the west of Moscow (the rest were only in the Moscow region), but I don’t regret it. Quiet and powerful, super airflow! Compact and cute. Outwardly, it is not the same as in the photo, much more stylish and fresh in appearance. At this price it is very rare. Compared to the Bork P510, which simply hums with “hardware” straight into the brain, it’s simply lovely!</v>
      </c>
    </row>
    <row r="5424" spans="1:9" x14ac:dyDescent="0.3">
      <c r="A5424" s="1" t="s">
        <v>120</v>
      </c>
      <c r="B5424" s="1" t="s">
        <v>121</v>
      </c>
      <c r="C5424" s="1" t="s">
        <v>97</v>
      </c>
      <c r="D5424" s="1" t="s">
        <v>411</v>
      </c>
      <c r="E5424" s="1" t="s">
        <v>128</v>
      </c>
      <c r="F5424" s="1" t="s">
        <v>8911</v>
      </c>
      <c r="G5424" s="1" t="s">
        <v>28</v>
      </c>
      <c r="H5424" s="1" t="s">
        <v>29</v>
      </c>
      <c r="I5424" s="1" t="str">
        <f ca="1">IFERROR(__xludf.DUMMYFUNCTION("GOOGLETRANSLATE(F5424, ""auto"", ""en"")
"),"I really liked the TV. The menu is especially conveniently thought out.  There is only a minus: the noise reduction is sometimes reset, or rather visually, it is not, and when you go to the image settings, you see that the noise reduction is off. And if i"&amp;"n the speaker sound settings you set the audio system instead of the TV speakers, then it is also constantly reset to the TV speakers. It takes a long time to rewind movies from a flash drive with a capacity of more than 2 GB and takes a long time to unpa"&amp;"use them after watching TV and returning to the movie.")</f>
        <v>I really liked the TV. The menu is especially conveniently thought out.  There is only a minus: the noise reduction is sometimes reset, or rather visually, it is not, and when you go to the image settings, you see that the noise reduction is off. And if in the speaker sound settings you set the audio system instead of the TV speakers, then it is also constantly reset to the TV speakers. It takes a long time to rewind movies from a flash drive with a capacity of more than 2 GB and takes a long time to unpause them after watching TV and returning to the movie.</v>
      </c>
    </row>
    <row r="5425" spans="1:9" x14ac:dyDescent="0.3">
      <c r="A5425" s="1" t="s">
        <v>105</v>
      </c>
      <c r="B5425" s="1" t="s">
        <v>106</v>
      </c>
      <c r="C5425" s="1" t="s">
        <v>1209</v>
      </c>
      <c r="D5425" s="1" t="s">
        <v>896</v>
      </c>
      <c r="E5425" s="1" t="s">
        <v>1866</v>
      </c>
      <c r="F5425" s="1" t="s">
        <v>8912</v>
      </c>
      <c r="G5425" s="1" t="s">
        <v>36</v>
      </c>
      <c r="H5425" s="1" t="s">
        <v>29</v>
      </c>
      <c r="I5425" s="1" t="str">
        <f ca="1">IFERROR(__xludf.DUMMYFUNCTION("GOOGLETRANSLATE(F5425, ""auto"", ""en"")
"),"Gave it for my birthday, overall great, but after a week it didn’t turn on, I thought it was dead, I charged it, no changes!  The repair was done - there is a button on it under the connector for the key fob, if you press it with a toothpick, it will rebo"&amp;"ot and there are no problems, the files are not deleted!!! The TV is slow but you can catch it.  You can’t fit more than one movie, but there are plenty of books! When I bought it, several works were downloaded, including “Anna Karenina”, which has 8-some"&amp;"thing thousand pages!  In general, it’s just super, and there are some leftovers everywhere!")</f>
        <v>Gave it for my birthday, overall great, but after a week it didn’t turn on, I thought it was dead, I charged it, no changes!  The repair was done - there is a button on it under the connector for the key fob, if you press it with a toothpick, it will reboot and there are no problems, the files are not deleted!!! The TV is slow but you can catch it.  You can’t fit more than one movie, but there are plenty of books! When I bought it, several works were downloaded, including “Anna Karenina”, which has 8-something thousand pages!  In general, it’s just super, and there are some leftovers everywhere!</v>
      </c>
    </row>
    <row r="5426" spans="1:9" x14ac:dyDescent="0.3">
      <c r="A5426" s="1" t="s">
        <v>43</v>
      </c>
      <c r="B5426" s="1" t="s">
        <v>502</v>
      </c>
      <c r="C5426" s="1" t="s">
        <v>151</v>
      </c>
      <c r="D5426" s="1" t="s">
        <v>366</v>
      </c>
      <c r="E5426" s="1" t="s">
        <v>4424</v>
      </c>
      <c r="F5426" s="1" t="s">
        <v>8913</v>
      </c>
      <c r="G5426" s="1" t="s">
        <v>28</v>
      </c>
      <c r="H5426" s="1" t="s">
        <v>29</v>
      </c>
      <c r="I5426" s="1" t="str">
        <f ca="1">IFERROR(__xludf.DUMMYFUNCTION("GOOGLETRANSLATE(F5426, ""auto"", ""en"")
"),"The indoor unit has no complaints. quiet. the outer one vibrates a little, but no one hears it except me. ) everything works smoothly. If you need to cool a room up to 30 meters in area and don’t need any fancy functions, but need to quickly and quietly c"&amp;"ool/heat the room, buy it with confidence.     One of the minuses is the sound of switching on and off the candy - the same. In early Samsung models, you could tell by the sound whether the candy was turned on or off. Now there’s just a dull “peak” when t"&amp;"urning on/off.")</f>
        <v>The indoor unit has no complaints. quiet. the outer one vibrates a little, but no one hears it except me. ) everything works smoothly. If you need to cool a room up to 30 meters in area and don’t need any fancy functions, but need to quickly and quietly cool/heat the room, buy it with confidence.     One of the minuses is the sound of switching on and off the candy - the same. In early Samsung models, you could tell by the sound whether the candy was turned on or off. Now there’s just a dull “peak” when turning on/off.</v>
      </c>
    </row>
    <row r="5427" spans="1:9" x14ac:dyDescent="0.3">
      <c r="A5427" s="1" t="s">
        <v>89</v>
      </c>
      <c r="B5427" s="1" t="s">
        <v>1106</v>
      </c>
      <c r="C5427" s="1" t="s">
        <v>63</v>
      </c>
      <c r="D5427" s="1" t="s">
        <v>653</v>
      </c>
      <c r="E5427" s="1" t="s">
        <v>5461</v>
      </c>
      <c r="F5427" s="1" t="s">
        <v>8914</v>
      </c>
      <c r="G5427" s="1" t="s">
        <v>36</v>
      </c>
      <c r="H5427" s="1" t="s">
        <v>29</v>
      </c>
      <c r="I5427" s="1" t="str">
        <f ca="1">IFERROR(__xludf.DUMMYFUNCTION("GOOGLETRANSLATE(F5427, ""auto"", ""en"")
"),"My husband bought me this coffee maker a year ago. I just can't get enough of her. In the evening I pour 2 cups of water and 2 spoons of coffee. And in the morning I turn it on and go wash. While I’m doing my business and the coffee is ready))) I’ve used "&amp;"different coffees and everything always turns out delicious.")</f>
        <v>My husband bought me this coffee maker a year ago. I just can't get enough of her. In the evening I pour 2 cups of water and 2 spoons of coffee. And in the morning I turn it on and go wash. While I’m doing my business and the coffee is ready))) I’ve used different coffees and everything always turns out delicious.</v>
      </c>
    </row>
    <row r="5428" spans="1:9" x14ac:dyDescent="0.3">
      <c r="A5428" s="1" t="s">
        <v>17</v>
      </c>
      <c r="B5428" s="1" t="s">
        <v>18</v>
      </c>
      <c r="C5428" s="1" t="s">
        <v>19</v>
      </c>
      <c r="D5428" s="1" t="s">
        <v>295</v>
      </c>
      <c r="E5428" s="1" t="s">
        <v>386</v>
      </c>
      <c r="F5428" s="1" t="s">
        <v>8915</v>
      </c>
      <c r="G5428" s="1" t="s">
        <v>15</v>
      </c>
      <c r="H5428" s="1" t="s">
        <v>16</v>
      </c>
      <c r="I5428" s="1" t="str">
        <f ca="1">IFERROR(__xludf.DUMMYFUNCTION("GOOGLETRANSLATE(F5428, ""auto"", ""en"")
"),"The machine reset the programs and, as a result, after 2.5 years of intensive work (how could it be otherwise if the family consists of 4 people, 2 of them are small children) stopped working altogether. The craftsmen suggested sending it to a landfill, b"&amp;"ecause... repairs will cost more than buying a new one. In my opinion, it exhausted its resource too quickly. I don't recommend it!")</f>
        <v>The machine reset the programs and, as a result, after 2.5 years of intensive work (how could it be otherwise if the family consists of 4 people, 2 of them are small children) stopped working altogether. The craftsmen suggested sending it to a landfill, because... repairs will cost more than buying a new one. In my opinion, it exhausted its resource too quickly. I don't recommend it!</v>
      </c>
    </row>
    <row r="5429" spans="1:9" x14ac:dyDescent="0.3">
      <c r="A5429" s="1" t="s">
        <v>37</v>
      </c>
      <c r="B5429" s="1" t="s">
        <v>38</v>
      </c>
      <c r="C5429" s="1" t="s">
        <v>151</v>
      </c>
      <c r="D5429" s="1" t="s">
        <v>589</v>
      </c>
      <c r="E5429" s="1" t="s">
        <v>5195</v>
      </c>
      <c r="F5429" s="1" t="s">
        <v>8916</v>
      </c>
      <c r="G5429" s="1" t="s">
        <v>36</v>
      </c>
      <c r="H5429" s="1" t="s">
        <v>29</v>
      </c>
      <c r="I5429" s="1" t="str">
        <f ca="1">IFERROR(__xludf.DUMMYFUNCTION("GOOGLETRANSLATE(F5429, ""auto"", ""en"")
"),"I'm going to buy this phone))) I read the comments and was not at all disappointed))) I always take a very long time to make decisions... and now: I've been scouring the net for days now, looking for a phone FOR ME. Samsung S5230 Star and S5560 made it to"&amp;" the finals. I decided to go with S5560. I'll go buy it one of these days. I hope that this device will not disappoint me))))")</f>
        <v>I'm going to buy this phone))) I read the comments and was not at all disappointed))) I always take a very long time to make decisions... and now: I've been scouring the net for days now, looking for a phone FOR ME. Samsung S5230 Star and S5560 made it to the finals. I decided to go with S5560. I'll go buy it one of these days. I hope that this device will not disappoint me))))</v>
      </c>
    </row>
    <row r="5430" spans="1:9" x14ac:dyDescent="0.3">
      <c r="A5430" s="1" t="s">
        <v>67</v>
      </c>
      <c r="B5430" s="1" t="s">
        <v>340</v>
      </c>
      <c r="C5430" s="1" t="s">
        <v>1634</v>
      </c>
      <c r="D5430" s="1" t="s">
        <v>6528</v>
      </c>
      <c r="E5430" s="1" t="s">
        <v>7240</v>
      </c>
      <c r="F5430" s="1" t="s">
        <v>8917</v>
      </c>
      <c r="G5430" s="1" t="s">
        <v>36</v>
      </c>
      <c r="H5430" s="1" t="s">
        <v>29</v>
      </c>
      <c r="I5430" s="1" t="str">
        <f ca="1">IFERROR(__xludf.DUMMYFUNCTION("GOOGLETRANSLATE(F5430, ""auto"", ""en"")
"),"Lots of functional stitches (enough for the “inexperienced”), the information in the instructions is clearly presented, easy to use, quite powerful (seams 4-5 layers of linen), light in weight.")</f>
        <v>Lots of functional stitches (enough for the “inexperienced”), the information in the instructions is clearly presented, easy to use, quite powerful (seams 4-5 layers of linen), light in weight.</v>
      </c>
    </row>
    <row r="5431" spans="1:9" x14ac:dyDescent="0.3">
      <c r="A5431" s="1" t="s">
        <v>67</v>
      </c>
      <c r="B5431" s="1" t="s">
        <v>340</v>
      </c>
      <c r="C5431" s="1" t="s">
        <v>341</v>
      </c>
      <c r="D5431" s="1" t="s">
        <v>589</v>
      </c>
      <c r="E5431" s="1" t="s">
        <v>8918</v>
      </c>
      <c r="F5431" s="1" t="s">
        <v>8919</v>
      </c>
      <c r="G5431" s="1" t="s">
        <v>28</v>
      </c>
      <c r="H5431" s="1" t="s">
        <v>29</v>
      </c>
      <c r="I5431" s="1" t="str">
        <f ca="1">IFERROR(__xludf.DUMMYFUNCTION("GOOGLETRANSLATE(F5431, ""auto"", ""en"")
"),"The machine is already three years old, six months later the power connector broke, my husband fixed it, I didn’t call for service, sometimes I tapped periodically, but now the part that is responsible for tying the upper and lower loops has broken, now I"&amp;"’m looking for the part, I can’t find it anywhere, it’s a pity for the machine, even if there are some disadvantages, but I like its functionality and how it sews, it takes all the fabrics.")</f>
        <v>The machine is already three years old, six months later the power connector broke, my husband fixed it, I didn’t call for service, sometimes I tapped periodically, but now the part that is responsible for tying the upper and lower loops has broken, now I’m looking for the part, I can’t find it anywhere, it’s a pity for the machine, even if there are some disadvantages, but I like its functionality and how it sews, it takes all the fabrics.</v>
      </c>
    </row>
    <row r="5432" spans="1:9" x14ac:dyDescent="0.3">
      <c r="A5432" s="1" t="s">
        <v>477</v>
      </c>
      <c r="B5432" s="1" t="s">
        <v>478</v>
      </c>
      <c r="C5432" s="1" t="s">
        <v>479</v>
      </c>
      <c r="D5432" s="1" t="s">
        <v>52</v>
      </c>
      <c r="E5432" s="1" t="s">
        <v>2310</v>
      </c>
      <c r="F5432" s="1" t="s">
        <v>8920</v>
      </c>
      <c r="G5432" s="1" t="s">
        <v>36</v>
      </c>
      <c r="H5432" s="1" t="s">
        <v>29</v>
      </c>
      <c r="I5432" s="1" t="str">
        <f ca="1">IFERROR(__xludf.DUMMYFUNCTION("GOOGLETRANSLATE(F5432, ""auto"", ""en"")
"),"As a fan of the Star Wars setting, Star Wars: The Force Unleashed delighted me. I waited a long time for its appearance on PC, but it was worth it... Stunning graphics (at least for PC), exciting and unpredictable plot, great animation to say the least (u"&amp;"sing the “euphoria” technology known to us from GTA IV)... But when all this merges on the screen, and you engage in battle with imperial infantry, run up to them at great speed, lift one into the air and throw to the side, hit another with lightning, you"&amp;" break one of the outer windows of the imperial ship with some box, and everyone else is sucked into outer space (drooling while I’m telling you all this)... Sorry, but unable to withstand such stress, I take the disk and insert it into the drive... May t"&amp;"he Force be with you...")</f>
        <v>As a fan of the Star Wars setting, Star Wars: The Force Unleashed delighted me. I waited a long time for its appearance on PC, but it was worth it... Stunning graphics (at least for PC), exciting and unpredictable plot, great animation to say the least (using the “euphoria” technology known to us from GTA IV)... But when all this merges on the screen, and you engage in battle with imperial infantry, run up to them at great speed, lift one into the air and throw to the side, hit another with lightning, you break one of the outer windows of the imperial ship with some box, and everyone else is sucked into outer space (drooling while I’m telling you all this)... Sorry, but unable to withstand such stress, I take the disk and insert it into the drive... May the Force be with you...</v>
      </c>
    </row>
    <row r="5433" spans="1:9" x14ac:dyDescent="0.3">
      <c r="A5433" s="1" t="s">
        <v>37</v>
      </c>
      <c r="B5433" s="1" t="s">
        <v>536</v>
      </c>
      <c r="C5433" s="1" t="s">
        <v>39</v>
      </c>
      <c r="D5433" s="1" t="s">
        <v>39</v>
      </c>
      <c r="E5433" s="1" t="s">
        <v>3095</v>
      </c>
      <c r="F5433" s="1" t="s">
        <v>8921</v>
      </c>
      <c r="G5433" s="1" t="s">
        <v>36</v>
      </c>
      <c r="H5433" s="1" t="s">
        <v>29</v>
      </c>
      <c r="I5433" s="1" t="str">
        <f ca="1">IFERROR(__xludf.DUMMYFUNCTION("GOOGLETRANSLATE(F5433, ""auto"", ""en"")
"),"The device became excellent after updating to WM 6.5.3. Compared to what happened before - heaven and earth. Whoever bought it, I advise you to update to software version R3AA035, it already has WM 6.5.3.")</f>
        <v>The device became excellent after updating to WM 6.5.3. Compared to what happened before - heaven and earth. Whoever bought it, I advise you to update to software version R3AA035, it already has WM 6.5.3.</v>
      </c>
    </row>
    <row r="5434" spans="1:9" x14ac:dyDescent="0.3">
      <c r="A5434" s="1" t="s">
        <v>557</v>
      </c>
      <c r="B5434" s="1" t="s">
        <v>558</v>
      </c>
      <c r="C5434" s="1" t="s">
        <v>122</v>
      </c>
      <c r="D5434" s="1" t="s">
        <v>64</v>
      </c>
      <c r="E5434" s="1" t="s">
        <v>8922</v>
      </c>
      <c r="F5434" s="1" t="s">
        <v>8923</v>
      </c>
      <c r="G5434" s="1" t="s">
        <v>15</v>
      </c>
      <c r="H5434" s="1" t="s">
        <v>16</v>
      </c>
      <c r="I5434" s="1" t="str">
        <f ca="1">IFERROR(__xludf.DUMMYFUNCTION("GOOGLETRANSLATE(F5434, ""auto"", ""en"")
"),"No button lock. There is no sound signal if someone left a message on the answering machine in your absence. Only worked for 2 years")</f>
        <v>No button lock. There is no sound signal if someone left a message on the answering machine in your absence. Only worked for 2 years</v>
      </c>
    </row>
    <row r="5435" spans="1:9" x14ac:dyDescent="0.3">
      <c r="A5435" s="1" t="s">
        <v>105</v>
      </c>
      <c r="B5435" s="1" t="s">
        <v>106</v>
      </c>
      <c r="C5435" s="1" t="s">
        <v>1209</v>
      </c>
      <c r="D5435" s="1" t="s">
        <v>2250</v>
      </c>
      <c r="E5435" s="1" t="s">
        <v>1586</v>
      </c>
      <c r="F5435" s="1" t="s">
        <v>8924</v>
      </c>
      <c r="G5435" s="1" t="s">
        <v>49</v>
      </c>
      <c r="H5435" s="1" t="s">
        <v>16</v>
      </c>
      <c r="I5435" s="1" t="str">
        <f ca="1">IFERROR(__xludf.DUMMYFUNCTION("GOOGLETRANSLATE(F5435, ""auto"", ""en"")
"),"She became its owner and at first she walked around happy. But after 2 months the rewind button broke; I had to send it in for repairs, but they returned it only after 2 weeks. After another 3 months, the sound in the headphones began to disappear (I thou"&amp;"ght it might be the headphones, I changed 3 of them, but the same problem). And again I sent it for repair, they returned it again after 2 weeks. After 6 months it malfunctioned when connecting to a computer, and again it was repaired (after 1 day the war"&amp;"ranty expired - we had to hurry). And they returned again after 2 weeks. Everything worked fine BUT the headphone jack broke again. Now it lies and gathers dust. I'm switching to Samsung.  Conclusion: in 1 year it was repaired 3 times (this does not count"&amp;" minor glitches). Just a lot of problems.")</f>
        <v>She became its owner and at first she walked around happy. But after 2 months the rewind button broke; I had to send it in for repairs, but they returned it only after 2 weeks. After another 3 months, the sound in the headphones began to disappear (I thought it might be the headphones, I changed 3 of them, but the same problem). And again I sent it for repair, they returned it again after 2 weeks. After 6 months it malfunctioned when connecting to a computer, and again it was repaired (after 1 day the warranty expired - we had to hurry). And they returned again after 2 weeks. Everything worked fine BUT the headphone jack broke again. Now it lies and gathers dust. I'm switching to Samsung.  Conclusion: in 1 year it was repaired 3 times (this does not count minor glitches). Just a lot of problems.</v>
      </c>
    </row>
    <row r="5436" spans="1:9" x14ac:dyDescent="0.3">
      <c r="A5436" s="1" t="s">
        <v>37</v>
      </c>
      <c r="B5436" s="1" t="s">
        <v>38</v>
      </c>
      <c r="C5436" s="1" t="s">
        <v>163</v>
      </c>
      <c r="D5436" s="1" t="s">
        <v>521</v>
      </c>
      <c r="E5436" s="1" t="s">
        <v>2746</v>
      </c>
      <c r="F5436" s="1" t="s">
        <v>8925</v>
      </c>
      <c r="G5436" s="1" t="s">
        <v>28</v>
      </c>
      <c r="H5436" s="1" t="s">
        <v>29</v>
      </c>
      <c r="I5436" s="1" t="str">
        <f ca="1">IFERROR(__xludf.DUMMYFUNCTION("GOOGLETRANSLATE(F5436, ""auto"", ""en"")
"),"Good phone with good sound. The radio and player are wonderful. I'm pleased with the external speaker. It fully justifies its purpose for listening to music.  I was surprised by the poor quality of the video and photo - unclear outline and distorted color"&amp;"s (especially indoors).")</f>
        <v>Good phone with good sound. The radio and player are wonderful. I'm pleased with the external speaker. It fully justifies its purpose for listening to music.  I was surprised by the poor quality of the video and photo - unclear outline and distorted colors (especially indoors).</v>
      </c>
    </row>
    <row r="5437" spans="1:9" x14ac:dyDescent="0.3">
      <c r="A5437" s="1" t="s">
        <v>55</v>
      </c>
      <c r="B5437" s="1" t="s">
        <v>56</v>
      </c>
      <c r="C5437" s="1" t="s">
        <v>85</v>
      </c>
      <c r="D5437" s="1" t="s">
        <v>39</v>
      </c>
      <c r="E5437" s="1" t="s">
        <v>1345</v>
      </c>
      <c r="F5437" s="1" t="s">
        <v>8926</v>
      </c>
      <c r="G5437" s="1" t="s">
        <v>49</v>
      </c>
      <c r="H5437" s="1" t="s">
        <v>16</v>
      </c>
      <c r="I5437" s="1" t="str">
        <f ca="1">IFERROR(__xludf.DUMMYFUNCTION("GOOGLETRANSLATE(F5437, ""auto"", ""en"")
"),"Ultrasonic humidifiers must be filled with demineralized water to avoid the appearance of white deposits.")</f>
        <v>Ultrasonic humidifiers must be filled with demineralized water to avoid the appearance of white deposits.</v>
      </c>
    </row>
    <row r="5438" spans="1:9" x14ac:dyDescent="0.3">
      <c r="A5438" s="1" t="s">
        <v>519</v>
      </c>
      <c r="B5438" s="1" t="s">
        <v>3088</v>
      </c>
      <c r="C5438" s="1" t="s">
        <v>246</v>
      </c>
      <c r="D5438" s="1" t="s">
        <v>471</v>
      </c>
      <c r="E5438" s="1" t="s">
        <v>76</v>
      </c>
      <c r="F5438" s="1" t="s">
        <v>8927</v>
      </c>
      <c r="G5438" s="1" t="s">
        <v>15</v>
      </c>
      <c r="H5438" s="1" t="s">
        <v>16</v>
      </c>
      <c r="I5438" s="1" t="str">
        <f ca="1">IFERROR(__xludf.DUMMYFUNCTION("GOOGLETRANSLATE(F5438, ""auto"", ""en"")
"),"Disgusting frying pan! a couple of months after starting to use the glass ceramics, the bottom became deformed. In fact, it only touches the surface of the burner with the very center of the bottom.")</f>
        <v>Disgusting frying pan! a couple of months after starting to use the glass ceramics, the bottom became deformed. In fact, it only touches the surface of the burner with the very center of the bottom.</v>
      </c>
    </row>
    <row r="5439" spans="1:9" x14ac:dyDescent="0.3">
      <c r="A5439" s="1" t="s">
        <v>105</v>
      </c>
      <c r="B5439" s="1" t="s">
        <v>106</v>
      </c>
      <c r="C5439" s="1" t="s">
        <v>1209</v>
      </c>
      <c r="D5439" s="1" t="s">
        <v>6277</v>
      </c>
      <c r="E5439" s="1" t="s">
        <v>481</v>
      </c>
      <c r="F5439" s="1" t="s">
        <v>8928</v>
      </c>
      <c r="G5439" s="1" t="s">
        <v>36</v>
      </c>
      <c r="H5439" s="1" t="s">
        <v>29</v>
      </c>
      <c r="I5439" s="1" t="str">
        <f ca="1">IFERROR(__xludf.DUMMYFUNCTION("GOOGLETRANSLATE(F5439, ""auto"", ""en"")
"),"Dear Evgeniy, We have all the details. We recommend that you once again contact the authorized Exploy service center and insistently demand that you fill out an application for this part; the service center will be obliged to accept it. If you are still r"&amp;"efused, we ask you to contact us by calling the support service +7(495)649–62–66, we will help you.")</f>
        <v>Dear Evgeniy, We have all the details. We recommend that you once again contact the authorized Exploy service center and insistently demand that you fill out an application for this part; the service center will be obliged to accept it. If you are still refused, we ask you to contact us by calling the support service +7(495)649–62–66, we will help you.</v>
      </c>
    </row>
    <row r="5440" spans="1:9" x14ac:dyDescent="0.3">
      <c r="A5440" s="1" t="s">
        <v>9</v>
      </c>
      <c r="B5440" s="1" t="s">
        <v>23</v>
      </c>
      <c r="C5440" s="1" t="s">
        <v>24</v>
      </c>
      <c r="D5440" s="1" t="s">
        <v>25</v>
      </c>
      <c r="E5440" s="1" t="s">
        <v>2380</v>
      </c>
      <c r="F5440" s="1" t="s">
        <v>8929</v>
      </c>
      <c r="G5440" s="1" t="s">
        <v>36</v>
      </c>
      <c r="H5440" s="1" t="s">
        <v>29</v>
      </c>
      <c r="I5440" s="1" t="str">
        <f ca="1">IFERROR(__xludf.DUMMYFUNCTION("GOOGLETRANSLATE(F5440, ""auto"", ""en"")
"),"That's it, I figured it out! I laid out the dishes as written in the recommendations, and everything was washed and dried well! Great machine, very pleased!")</f>
        <v>That's it, I figured it out! I laid out the dishes as written in the recommendations, and everything was washed and dried well! Great machine, very pleased!</v>
      </c>
    </row>
    <row r="5441" spans="1:9" x14ac:dyDescent="0.3">
      <c r="A5441" s="1" t="s">
        <v>120</v>
      </c>
      <c r="B5441" s="1" t="s">
        <v>126</v>
      </c>
      <c r="C5441" s="1" t="s">
        <v>80</v>
      </c>
      <c r="D5441" s="1" t="s">
        <v>411</v>
      </c>
      <c r="E5441" s="1" t="s">
        <v>2298</v>
      </c>
      <c r="F5441" s="1" t="s">
        <v>8930</v>
      </c>
      <c r="G5441" s="1" t="s">
        <v>36</v>
      </c>
      <c r="H5441" s="1" t="s">
        <v>29</v>
      </c>
      <c r="I5441" s="1" t="str">
        <f ca="1">IFERROR(__xludf.DUMMYFUNCTION("GOOGLETRANSLATE(F5441, ""auto"", ""en"")
"),"I was unsure whether to take it or not, but judging by the reviews, I think the TV is good, especially for that kind of money and with such a diagonal!!! Who has such a TV, tell me the image quality is very different from FullHD???")</f>
        <v>I was unsure whether to take it or not, but judging by the reviews, I think the TV is good, especially for that kind of money and with such a diagonal!!! Who has such a TV, tell me the image quality is very different from FullHD???</v>
      </c>
    </row>
    <row r="5442" spans="1:9" x14ac:dyDescent="0.3">
      <c r="A5442" s="1" t="s">
        <v>61</v>
      </c>
      <c r="B5442" s="1" t="s">
        <v>318</v>
      </c>
      <c r="C5442" s="1" t="s">
        <v>57</v>
      </c>
      <c r="D5442" s="1" t="s">
        <v>411</v>
      </c>
      <c r="E5442" s="1" t="s">
        <v>6971</v>
      </c>
      <c r="F5442" s="1" t="s">
        <v>8931</v>
      </c>
      <c r="G5442" s="1" t="s">
        <v>36</v>
      </c>
      <c r="H5442" s="1" t="s">
        <v>29</v>
      </c>
      <c r="I5442" s="1" t="str">
        <f ca="1">IFERROR(__xludf.DUMMYFUNCTION("GOOGLETRANSLATE(F5442, ""auto"", ""en"")
"),"good kettle for good money, interesting design, heats up quickly, I don’t regret the purchase, I was happy with everything")</f>
        <v>good kettle for good money, interesting design, heats up quickly, I don’t regret the purchase, I was happy with everything</v>
      </c>
    </row>
    <row r="5443" spans="1:9" x14ac:dyDescent="0.3">
      <c r="A5443" s="1" t="s">
        <v>17</v>
      </c>
      <c r="B5443" s="1" t="s">
        <v>18</v>
      </c>
      <c r="C5443" s="1" t="s">
        <v>243</v>
      </c>
      <c r="D5443" s="1" t="s">
        <v>1890</v>
      </c>
      <c r="E5443" s="1" t="s">
        <v>8932</v>
      </c>
      <c r="F5443" s="1" t="s">
        <v>8933</v>
      </c>
      <c r="G5443" s="1" t="s">
        <v>36</v>
      </c>
      <c r="H5443" s="1" t="s">
        <v>29</v>
      </c>
      <c r="I5443" s="1" t="str">
        <f ca="1">IFERROR(__xludf.DUMMYFUNCTION("GOOGLETRANSLATE(F5443, ""auto"", ""en"")
"),"We bought this machine 3 years ago, it works perfectly, without interruptions. I went through 4 moves from apartment to apartment, because... We live in a rented apartment, it takes up little space and is very compact. When installed correctly there is no"&amp;" vibration or noise. A very inexpensive car, 100% quality. We installed it ourselves, there are many different functions, for example, washing for 30 minutes at 30 degrees, it washes quickly and efficiently.")</f>
        <v>We bought this machine 3 years ago, it works perfectly, without interruptions. I went through 4 moves from apartment to apartment, because... We live in a rented apartment, it takes up little space and is very compact. When installed correctly there is no vibration or noise. A very inexpensive car, 100% quality. We installed it ourselves, there are many different functions, for example, washing for 30 minutes at 30 degrees, it washes quickly and efficiently.</v>
      </c>
    </row>
    <row r="5444" spans="1:9" x14ac:dyDescent="0.3">
      <c r="A5444" s="1" t="s">
        <v>211</v>
      </c>
      <c r="B5444" s="1" t="s">
        <v>515</v>
      </c>
      <c r="C5444" s="1" t="s">
        <v>213</v>
      </c>
      <c r="D5444" s="1" t="s">
        <v>4136</v>
      </c>
      <c r="E5444" s="1" t="s">
        <v>883</v>
      </c>
      <c r="F5444" s="1" t="s">
        <v>8934</v>
      </c>
      <c r="G5444" s="1" t="s">
        <v>36</v>
      </c>
      <c r="H5444" s="1" t="s">
        <v>29</v>
      </c>
      <c r="I5444" s="1" t="str">
        <f ca="1">IFERROR(__xludf.DUMMYFUNCTION("GOOGLETRANSLATE(F5444, ""auto"", ""en"")
"),"Hello everyone. I bought a Brown 1170 epilator today. I tried it right away. I was very pleased. I thought it would hurt, but it turned out it stung slightly. It’s easy to use. There are no unnecessary bells and whistles.")</f>
        <v>Hello everyone. I bought a Brown 1170 epilator today. I tried it right away. I was very pleased. I thought it would hurt, but it turned out it stung slightly. It’s easy to use. There are no unnecessary bells and whistles.</v>
      </c>
    </row>
    <row r="5445" spans="1:9" x14ac:dyDescent="0.3">
      <c r="A5445" s="1" t="s">
        <v>169</v>
      </c>
      <c r="B5445" s="1" t="s">
        <v>170</v>
      </c>
      <c r="C5445" s="1" t="s">
        <v>97</v>
      </c>
      <c r="D5445" s="1" t="s">
        <v>39</v>
      </c>
      <c r="E5445" s="1" t="s">
        <v>4152</v>
      </c>
      <c r="F5445" s="1" t="s">
        <v>8935</v>
      </c>
      <c r="G5445" s="1" t="s">
        <v>36</v>
      </c>
      <c r="H5445" s="1" t="s">
        <v>29</v>
      </c>
      <c r="I5445" s="1" t="str">
        <f ca="1">IFERROR(__xludf.DUMMYFUNCTION("GOOGLETRANSLATE(F5445, ""auto"", ""en"")
"),"I bought these headphones for the third time, I had some in stock. as in previous times, there are no problems: the ears sound equally loud, do not rustle, do not rattle, the ear pads are in place, there is a clear bass, everything is fine!")</f>
        <v>I bought these headphones for the third time, I had some in stock. as in previous times, there are no problems: the ears sound equally loud, do not rustle, do not rattle, the ear pads are in place, there is a clear bass, everything is fine!</v>
      </c>
    </row>
    <row r="5446" spans="1:9" x14ac:dyDescent="0.3">
      <c r="A5446" s="1" t="s">
        <v>67</v>
      </c>
      <c r="B5446" s="1" t="s">
        <v>68</v>
      </c>
      <c r="C5446" s="1" t="s">
        <v>246</v>
      </c>
      <c r="D5446" s="1" t="s">
        <v>621</v>
      </c>
      <c r="E5446" s="1" t="s">
        <v>722</v>
      </c>
      <c r="F5446" s="1" t="s">
        <v>8936</v>
      </c>
      <c r="G5446" s="1" t="s">
        <v>49</v>
      </c>
      <c r="H5446" s="1" t="s">
        <v>16</v>
      </c>
      <c r="I5446" s="1" t="str">
        <f ca="1">IFERROR(__xludf.DUMMYFUNCTION("GOOGLETRANSLATE(F5446, ""auto"", ""en"")
"),"They gave me a steam generator for my anniversary... I used it for three months with great pleasure, but then I had to return it to the store, the steam supply stopped, and the iron began spitting out water instead of steam. It never returned from repair,"&amp;" I never found out the reason for the breakdown, I returned the money, I’ll take a steam generator of a different brand.")</f>
        <v>They gave me a steam generator for my anniversary... I used it for three months with great pleasure, but then I had to return it to the store, the steam supply stopped, and the iron began spitting out water instead of steam. It never returned from repair, I never found out the reason for the breakdown, I returned the money, I’ll take a steam generator of a different brand.</v>
      </c>
    </row>
    <row r="5447" spans="1:9" x14ac:dyDescent="0.3">
      <c r="A5447" s="1" t="s">
        <v>120</v>
      </c>
      <c r="B5447" s="1" t="s">
        <v>121</v>
      </c>
      <c r="C5447" s="1" t="s">
        <v>151</v>
      </c>
      <c r="D5447" s="1" t="s">
        <v>411</v>
      </c>
      <c r="E5447" s="1" t="s">
        <v>4327</v>
      </c>
      <c r="F5447" s="1" t="s">
        <v>8937</v>
      </c>
      <c r="G5447" s="1" t="s">
        <v>36</v>
      </c>
      <c r="H5447" s="1" t="s">
        <v>29</v>
      </c>
      <c r="I5447" s="1" t="str">
        <f ca="1">IFERROR(__xludf.DUMMYFUNCTION("GOOGLETRANSLATE(F5447, ""auto"", ""en"")
"),"Great TV! I took it 4 months ago and I still can’t get enough of it :) But in the service menu (on the remote control powerON-&gt;Info-&gt;Menu -&gt;Mute-&gt;PowerON) I still haven’t found these options...")</f>
        <v>Great TV! I took it 4 months ago and I still can’t get enough of it :) But in the service menu (on the remote control powerON-&gt;Info-&gt;Menu -&gt;Mute-&gt;PowerON) I still haven’t found these options...</v>
      </c>
    </row>
    <row r="5448" spans="1:9" x14ac:dyDescent="0.3">
      <c r="A5448" s="1" t="s">
        <v>811</v>
      </c>
      <c r="B5448" s="1" t="s">
        <v>812</v>
      </c>
      <c r="C5448" s="1" t="s">
        <v>813</v>
      </c>
      <c r="D5448" s="1" t="s">
        <v>474</v>
      </c>
      <c r="E5448" s="1" t="s">
        <v>7342</v>
      </c>
      <c r="F5448" s="1" t="s">
        <v>8938</v>
      </c>
      <c r="G5448" s="1" t="s">
        <v>36</v>
      </c>
      <c r="H5448" s="1" t="s">
        <v>29</v>
      </c>
      <c r="I5448" s="1" t="str">
        <f ca="1">IFERROR(__xludf.DUMMYFUNCTION("GOOGLETRANSLATE(F5448, ""auto"", ""en"")
"),"Good quality tripod. The quality is really good. Pleasant to the touch, durable, stylish. The head rotates smoothly. Soft couplings are a very nice bonus; you don’t have to touch bare metal in the cold. The included case is a huge plus. Overall, I'm extre"&amp;"mely pleased with the purchase. Thanks again m-video!")</f>
        <v>Good quality tripod. The quality is really good. Pleasant to the touch, durable, stylish. The head rotates smoothly. Soft couplings are a very nice bonus; you don’t have to touch bare metal in the cold. The included case is a huge plus. Overall, I'm extremely pleased with the purchase. Thanks again m-video!</v>
      </c>
    </row>
    <row r="5449" spans="1:9" x14ac:dyDescent="0.3">
      <c r="A5449" s="1" t="s">
        <v>149</v>
      </c>
      <c r="B5449" s="1" t="s">
        <v>423</v>
      </c>
      <c r="C5449" s="1" t="s">
        <v>424</v>
      </c>
      <c r="D5449" s="1" t="s">
        <v>545</v>
      </c>
      <c r="E5449" s="1" t="s">
        <v>6832</v>
      </c>
      <c r="F5449" s="1" t="s">
        <v>8939</v>
      </c>
      <c r="G5449" s="1" t="s">
        <v>36</v>
      </c>
      <c r="H5449" s="1" t="s">
        <v>29</v>
      </c>
      <c r="I5449" s="1" t="str">
        <f ca="1">IFERROR(__xludf.DUMMYFUNCTION("GOOGLETRANSLATE(F5449, ""auto"", ""en"")
"),"We've been using it for almost a year now. My lifesaver and assistant in the house) after building a house and renovating it, I washed our black tiles of 150 square meters without a single stain. I think I would still wash off the lime with a rag)) Now I "&amp;"use it as a washing vacuum cleaner not as often as at first, but once a month for sure. The rest of the time I vacuum the whole house and then either use a steam mop, or even more quickly, wipe it with a regular mop. There are no carpets, and there is no "&amp;"need to wash the sofas either. But once at my mother’s house they washed the sofa with it, and it even removed traces of brilliant green from the fabric!! A little noisy, but it doesn’t annoy me at all, because... the more powerful, the noisier, but it is"&amp;" quite powerful, there is something to compare it with... for 150 square meters I add water twice and pour out 8 liters of dirty water once. It is easy to clean, there are no foreign odors)) We haven’t gotten around to buying an aquafilter yet, in general"&amp;" there is no need. I also got it on sale - ridiculous money for such a unit. I really like that you don’t need to clean it after dry cleaning, I threw out the bag and put a new one in, great. One package lasts for two months. Nothing has broken yet, but I"&amp;" handle equipment very carefully. I'm happy with the purchase.")</f>
        <v>We've been using it for almost a year now. My lifesaver and assistant in the house) after building a house and renovating it, I washed our black tiles of 150 square meters without a single stain. I think I would still wash off the lime with a rag)) Now I use it as a washing vacuum cleaner not as often as at first, but once a month for sure. The rest of the time I vacuum the whole house and then either use a steam mop, or even more quickly, wipe it with a regular mop. There are no carpets, and there is no need to wash the sofas either. But once at my mother’s house they washed the sofa with it, and it even removed traces of brilliant green from the fabric!! A little noisy, but it doesn’t annoy me at all, because... the more powerful, the noisier, but it is quite powerful, there is something to compare it with... for 150 square meters I add water twice and pour out 8 liters of dirty water once. It is easy to clean, there are no foreign odors)) We haven’t gotten around to buying an aquafilter yet, in general there is no need. I also got it on sale - ridiculous money for such a unit. I really like that you don’t need to clean it after dry cleaning, I threw out the bag and put a new one in, great. One package lasts for two months. Nothing has broken yet, but I handle equipment very carefully. I'm happy with the purchase.</v>
      </c>
    </row>
    <row r="5450" spans="1:9" x14ac:dyDescent="0.3">
      <c r="A5450" s="1" t="s">
        <v>61</v>
      </c>
      <c r="B5450" s="1" t="s">
        <v>318</v>
      </c>
      <c r="C5450" s="1" t="s">
        <v>69</v>
      </c>
      <c r="D5450" s="1" t="s">
        <v>8940</v>
      </c>
      <c r="E5450" s="1" t="s">
        <v>8941</v>
      </c>
      <c r="F5450" s="1" t="s">
        <v>8942</v>
      </c>
      <c r="G5450" s="1" t="s">
        <v>49</v>
      </c>
      <c r="H5450" s="1" t="s">
        <v>16</v>
      </c>
      <c r="I5450" s="1" t="str">
        <f ca="1">IFERROR(__xludf.DUMMYFUNCTION("GOOGLETRANSLATE(F5450, ""auto"", ""en"")
"),"My husband and I bought this kettle at Akiya and were extremely dissatisfied. Everything seemed to be good, but just like the others, it started leaking after 3 months of use.")</f>
        <v>My husband and I bought this kettle at Akiya and were extremely dissatisfied. Everything seemed to be good, but just like the others, it started leaking after 3 months of use.</v>
      </c>
    </row>
    <row r="5451" spans="1:9" x14ac:dyDescent="0.3">
      <c r="A5451" s="1" t="s">
        <v>9</v>
      </c>
      <c r="B5451" s="1" t="s">
        <v>10</v>
      </c>
      <c r="C5451" s="1" t="s">
        <v>11</v>
      </c>
      <c r="D5451" s="1" t="s">
        <v>308</v>
      </c>
      <c r="E5451" s="1" t="s">
        <v>1167</v>
      </c>
      <c r="F5451" s="1" t="s">
        <v>8943</v>
      </c>
      <c r="G5451" s="1" t="s">
        <v>49</v>
      </c>
      <c r="H5451" s="1" t="s">
        <v>16</v>
      </c>
      <c r="I5451" s="1" t="str">
        <f ca="1">IFERROR(__xludf.DUMMYFUNCTION("GOOGLETRANSLATE(F5451, ""auto"", ""en"")
"),"The hood broke on the second day of use, the warranty period had expired because we bought it a long time ago and the apartment was undergoing long-term renovations. We called about ten companies that repair household appliances and no one wants to take o"&amp;"n it. It’s unclear what to do now.")</f>
        <v>The hood broke on the second day of use, the warranty period had expired because we bought it a long time ago and the apartment was undergoing long-term renovations. We called about ten companies that repair household appliances and no one wants to take on it. It’s unclear what to do now.</v>
      </c>
    </row>
    <row r="5452" spans="1:9" x14ac:dyDescent="0.3">
      <c r="A5452" s="1" t="s">
        <v>1443</v>
      </c>
      <c r="B5452" s="1" t="s">
        <v>4684</v>
      </c>
      <c r="C5452" s="1" t="s">
        <v>97</v>
      </c>
      <c r="D5452" s="1" t="s">
        <v>8944</v>
      </c>
      <c r="E5452" s="1" t="s">
        <v>8945</v>
      </c>
      <c r="F5452" s="1" t="s">
        <v>8946</v>
      </c>
      <c r="G5452" s="1" t="s">
        <v>36</v>
      </c>
      <c r="H5452" s="1" t="s">
        <v>29</v>
      </c>
      <c r="I5452" s="1" t="str">
        <f ca="1">IFERROR(__xludf.DUMMYFUNCTION("GOOGLETRANSLATE(F5452, ""auto"", ""en"")
"),"A video is being recorded on it, which means everything is fine; It's good that they still sell mini Divi")</f>
        <v>A video is being recorded on it, which means everything is fine; It's good that they still sell mini Divi</v>
      </c>
    </row>
    <row r="5453" spans="1:9" x14ac:dyDescent="0.3">
      <c r="A5453" s="1" t="s">
        <v>30</v>
      </c>
      <c r="B5453" s="1" t="s">
        <v>50</v>
      </c>
      <c r="C5453" s="1" t="s">
        <v>32</v>
      </c>
      <c r="D5453" s="1" t="s">
        <v>3326</v>
      </c>
      <c r="E5453" s="1" t="s">
        <v>750</v>
      </c>
      <c r="F5453" s="1" t="s">
        <v>8947</v>
      </c>
      <c r="G5453" s="1" t="s">
        <v>36</v>
      </c>
      <c r="H5453" s="1" t="s">
        <v>29</v>
      </c>
      <c r="I5453" s="1" t="str">
        <f ca="1">IFERROR(__xludf.DUMMYFUNCTION("GOOGLETRANSLATE(F5453, ""auto"", ""en"")
"),"hi all! Along the way, there is no ventilation on the back cover... I don’t have one there either...")</f>
        <v>hi all! Along the way, there is no ventilation on the back cover... I don’t have one there either...</v>
      </c>
    </row>
    <row r="5454" spans="1:9" x14ac:dyDescent="0.3">
      <c r="A5454" s="1" t="s">
        <v>149</v>
      </c>
      <c r="B5454" s="1" t="s">
        <v>155</v>
      </c>
      <c r="C5454" s="1" t="s">
        <v>1187</v>
      </c>
      <c r="D5454" s="1" t="s">
        <v>280</v>
      </c>
      <c r="E5454" s="1" t="s">
        <v>2323</v>
      </c>
      <c r="F5454" s="1" t="s">
        <v>8948</v>
      </c>
      <c r="G5454" s="1" t="s">
        <v>49</v>
      </c>
      <c r="H5454" s="1" t="s">
        <v>16</v>
      </c>
      <c r="I5454" s="1" t="str">
        <f ca="1">IFERROR(__xludf.DUMMYFUNCTION("GOOGLETRANSLATE(F5454, ""auto"", ""en"")
"),"Not a good choice!!! You need to take a cleaning lady in the kit. Low power, brushes are electrified, high price = 5 good vacuum cleaners!!!")</f>
        <v>Not a good choice!!! You need to take a cleaning lady in the kit. Low power, brushes are electrified, high price = 5 good vacuum cleaners!!!</v>
      </c>
    </row>
    <row r="5455" spans="1:9" x14ac:dyDescent="0.3">
      <c r="A5455" s="1" t="s">
        <v>30</v>
      </c>
      <c r="B5455" s="1" t="s">
        <v>31</v>
      </c>
      <c r="C5455" s="1" t="s">
        <v>32</v>
      </c>
      <c r="D5455" s="1" t="s">
        <v>8949</v>
      </c>
      <c r="E5455" s="1" t="s">
        <v>1494</v>
      </c>
      <c r="F5455" s="1" t="s">
        <v>8950</v>
      </c>
      <c r="G5455" s="1" t="s">
        <v>49</v>
      </c>
      <c r="H5455" s="1" t="s">
        <v>16</v>
      </c>
      <c r="I5455" s="1" t="str">
        <f ca="1">IFERROR(__xludf.DUMMYFUNCTION("GOOGLETRANSLATE(F5455, ""auto"", ""en"")
"),"the system unit is complete garbage, why Q8300 8 gigs of RAM, 4 will have a lot of vidyuha very weak, if it were 285 it would be cool, but this is weak especially since 2 gigs are just for fun, the power supply is weak, at least 600 watts would be install"&amp;"ed, the operating system is 32 bits, it only sees 3200MB of RAM, hard 16 megabits is not enough for 640 gigs you need 32 mb")</f>
        <v>the system unit is complete garbage, why Q8300 8 gigs of RAM, 4 will have a lot of vidyuha very weak, if it were 285 it would be cool, but this is weak especially since 2 gigs are just for fun, the power supply is weak, at least 600 watts would be installed, the operating system is 32 bits, it only sees 3200MB of RAM, hard 16 megabits is not enough for 640 gigs you need 32 mb</v>
      </c>
    </row>
    <row r="5456" spans="1:9" x14ac:dyDescent="0.3">
      <c r="A5456" s="1" t="s">
        <v>43</v>
      </c>
      <c r="B5456" s="1" t="s">
        <v>303</v>
      </c>
      <c r="C5456" s="1" t="s">
        <v>220</v>
      </c>
      <c r="D5456" s="1" t="s">
        <v>3293</v>
      </c>
      <c r="E5456" s="1" t="s">
        <v>8951</v>
      </c>
      <c r="F5456" s="1" t="s">
        <v>413</v>
      </c>
      <c r="G5456" s="1" t="s">
        <v>49</v>
      </c>
      <c r="H5456" s="1" t="s">
        <v>16</v>
      </c>
      <c r="I5456" s="1" t="str">
        <f ca="1">IFERROR(__xludf.DUMMYFUNCTION("GOOGLETRANSLATE(F5456, ""auto"", ""en"")
"),"No")</f>
        <v>No</v>
      </c>
    </row>
    <row r="5457" spans="1:9" x14ac:dyDescent="0.3">
      <c r="A5457" s="1" t="s">
        <v>206</v>
      </c>
      <c r="B5457" s="1" t="s">
        <v>1253</v>
      </c>
      <c r="C5457" s="1" t="s">
        <v>1254</v>
      </c>
      <c r="D5457" s="1" t="s">
        <v>139</v>
      </c>
      <c r="E5457" s="1" t="s">
        <v>8952</v>
      </c>
      <c r="F5457" s="1" t="s">
        <v>8953</v>
      </c>
      <c r="G5457" s="1" t="s">
        <v>36</v>
      </c>
      <c r="H5457" s="1" t="s">
        <v>29</v>
      </c>
      <c r="I5457" s="1" t="str">
        <f ca="1">IFERROR(__xludf.DUMMYFUNCTION("GOOGLETRANSLATE(F5457, ""auto"", ""en"")
"),"Simply super!!!")</f>
        <v>Simply super!!!</v>
      </c>
    </row>
    <row r="5458" spans="1:9" x14ac:dyDescent="0.3">
      <c r="A5458" s="1" t="s">
        <v>37</v>
      </c>
      <c r="B5458" s="1" t="s">
        <v>38</v>
      </c>
      <c r="C5458" s="1" t="s">
        <v>151</v>
      </c>
      <c r="D5458" s="1" t="s">
        <v>86</v>
      </c>
      <c r="E5458" s="1" t="s">
        <v>5963</v>
      </c>
      <c r="F5458" s="1" t="s">
        <v>8954</v>
      </c>
      <c r="G5458" s="1" t="s">
        <v>36</v>
      </c>
      <c r="H5458" s="1" t="s">
        <v>29</v>
      </c>
      <c r="I5458" s="1" t="str">
        <f ca="1">IFERROR(__xludf.DUMMYFUNCTION("GOOGLETRANSLATE(F5458, ""auto"", ""en"")
"),"The phone is excellent, I have been using it for two years and it has never let me down. Metallic color. I don’t regret at all that I purchased this particular model.")</f>
        <v>The phone is excellent, I have been using it for two years and it has never let me down. Metallic color. I don’t regret at all that I purchased this particular model.</v>
      </c>
    </row>
    <row r="5459" spans="1:9" x14ac:dyDescent="0.3">
      <c r="A5459" s="1" t="s">
        <v>169</v>
      </c>
      <c r="B5459" s="1" t="s">
        <v>170</v>
      </c>
      <c r="C5459" s="1" t="s">
        <v>97</v>
      </c>
      <c r="D5459" s="1" t="s">
        <v>596</v>
      </c>
      <c r="E5459" s="1" t="s">
        <v>2557</v>
      </c>
      <c r="F5459" s="1" t="s">
        <v>8955</v>
      </c>
      <c r="G5459" s="1" t="s">
        <v>15</v>
      </c>
      <c r="H5459" s="1" t="s">
        <v>16</v>
      </c>
      <c r="I5459" s="1" t="str">
        <f ca="1">IFERROR(__xludf.DUMMYFUNCTION("GOOGLETRANSLATE(F5459, ""auto"", ""en"")
"),"Well, what can I say about this product.. At first everything was pretty good, but then I began to notice shortcomings. Here are some of them: in the cold, the wires become wooden, and friction creates noise in the ears. Very inconvenient. After half a ye"&amp;"ar, the wire near the earphone cracked completely, and the earphone stopped working. Well... I took it apart, re-soldered it, and sort of smelled it. After another month, the sound became quieter. In general, I didn’t like this model, well, maybe because "&amp;"I’ve been using it for a year, although I don’t know. Maybe along with their expiration date, their service life has also expired. Another disadvantage is the assembly.")</f>
        <v>Well, what can I say about this product.. At first everything was pretty good, but then I began to notice shortcomings. Here are some of them: in the cold, the wires become wooden, and friction creates noise in the ears. Very inconvenient. After half a year, the wire near the earphone cracked completely, and the earphone stopped working. Well... I took it apart, re-soldered it, and sort of smelled it. After another month, the sound became quieter. In general, I didn’t like this model, well, maybe because I’ve been using it for a year, although I don’t know. Maybe along with their expiration date, their service life has also expired. Another disadvantage is the assembly.</v>
      </c>
    </row>
    <row r="5460" spans="1:9" x14ac:dyDescent="0.3">
      <c r="A5460" s="1" t="s">
        <v>169</v>
      </c>
      <c r="B5460" s="1" t="s">
        <v>170</v>
      </c>
      <c r="C5460" s="1" t="s">
        <v>193</v>
      </c>
      <c r="D5460" s="1" t="s">
        <v>8956</v>
      </c>
      <c r="E5460" s="1" t="s">
        <v>3313</v>
      </c>
      <c r="F5460" s="1" t="s">
        <v>8957</v>
      </c>
      <c r="G5460" s="1" t="s">
        <v>36</v>
      </c>
      <c r="H5460" s="1" t="s">
        <v>29</v>
      </c>
      <c r="I5460" s="1" t="str">
        <f ca="1">IFERROR(__xludf.DUMMYFUNCTION("GOOGLETRANSLATE(F5460, ""auto"", ""en"")
"),"They are simply excellent, I bought them today, I couldn’t be happier.")</f>
        <v>They are simply excellent, I bought them today, I couldn’t be happier.</v>
      </c>
    </row>
    <row r="5461" spans="1:9" x14ac:dyDescent="0.3">
      <c r="A5461" s="1" t="s">
        <v>89</v>
      </c>
      <c r="B5461" s="1" t="s">
        <v>231</v>
      </c>
      <c r="C5461" s="1" t="s">
        <v>1072</v>
      </c>
      <c r="D5461" s="1" t="s">
        <v>3820</v>
      </c>
      <c r="E5461" s="1" t="s">
        <v>4231</v>
      </c>
      <c r="F5461" s="1" t="s">
        <v>8958</v>
      </c>
      <c r="G5461" s="1" t="s">
        <v>36</v>
      </c>
      <c r="H5461" s="1" t="s">
        <v>29</v>
      </c>
      <c r="I5461" s="1" t="str">
        <f ca="1">IFERROR(__xludf.DUMMYFUNCTION("GOOGLETRANSLATE(F5461, ""auto"", ""en"")
"),"We bought such a coffee machine a few months ago, the price is very reasonable, and at the same time the coffee is excellent, not inferior to the drinks in coffee shops. easy to use and fits into our kitchen due to its small size")</f>
        <v>We bought such a coffee machine a few months ago, the price is very reasonable, and at the same time the coffee is excellent, not inferior to the drinks in coffee shops. easy to use and fits into our kitchen due to its small size</v>
      </c>
    </row>
    <row r="5462" spans="1:9" x14ac:dyDescent="0.3">
      <c r="A5462" s="1" t="s">
        <v>211</v>
      </c>
      <c r="B5462" s="1" t="s">
        <v>212</v>
      </c>
      <c r="C5462" s="1" t="s">
        <v>69</v>
      </c>
      <c r="D5462" s="1" t="s">
        <v>3253</v>
      </c>
      <c r="E5462" s="1" t="s">
        <v>5307</v>
      </c>
      <c r="F5462" s="1" t="s">
        <v>8959</v>
      </c>
      <c r="G5462" s="1" t="s">
        <v>49</v>
      </c>
      <c r="H5462" s="1" t="s">
        <v>16</v>
      </c>
      <c r="I5462" s="1" t="str">
        <f ca="1">IFERROR(__xludf.DUMMYFUNCTION("GOOGLETRANSLATE(F5462, ""auto"", ""en"")
"),"The whole impression was spoiled by the clamps, I thought that the reviews about these clamps were nothing more than inability to use, but they unbend and become larger than the curlers, as they can clamp. Now I know for sure - this is cheap Chinese bulls"&amp;"hit.")</f>
        <v>The whole impression was spoiled by the clamps, I thought that the reviews about these clamps were nothing more than inability to use, but they unbend and become larger than the curlers, as they can clamp. Now I know for sure - this is cheap Chinese bullshit.</v>
      </c>
    </row>
    <row r="5463" spans="1:9" x14ac:dyDescent="0.3">
      <c r="A5463" s="1" t="s">
        <v>149</v>
      </c>
      <c r="B5463" s="1" t="s">
        <v>155</v>
      </c>
      <c r="C5463" s="1" t="s">
        <v>24</v>
      </c>
      <c r="D5463" s="1" t="s">
        <v>102</v>
      </c>
      <c r="E5463" s="1" t="s">
        <v>1767</v>
      </c>
      <c r="F5463" s="1" t="s">
        <v>8960</v>
      </c>
      <c r="G5463" s="1" t="s">
        <v>49</v>
      </c>
      <c r="H5463" s="1" t="s">
        <v>16</v>
      </c>
      <c r="I5463" s="1" t="str">
        <f ca="1">IFERROR(__xludf.DUMMYFUNCTION("GOOGLETRANSLATE(F5463, ""auto"", ""en"")
"),"The vacuum cleaner works, but you can’t buy a filter for it anywhere, thank you mvideo.")</f>
        <v>The vacuum cleaner works, but you can’t buy a filter for it anywhere, thank you mvideo.</v>
      </c>
    </row>
    <row r="5464" spans="1:9" x14ac:dyDescent="0.3">
      <c r="A5464" s="1" t="s">
        <v>37</v>
      </c>
      <c r="B5464" s="1" t="s">
        <v>38</v>
      </c>
      <c r="C5464" s="1" t="s">
        <v>163</v>
      </c>
      <c r="D5464" s="1" t="s">
        <v>474</v>
      </c>
      <c r="E5464" s="1" t="s">
        <v>3771</v>
      </c>
      <c r="F5464" s="1" t="s">
        <v>8961</v>
      </c>
      <c r="G5464" s="1" t="s">
        <v>36</v>
      </c>
      <c r="H5464" s="1" t="s">
        <v>29</v>
      </c>
      <c r="I5464" s="1" t="str">
        <f ca="1">IFERROR(__xludf.DUMMYFUNCTION("GOOGLETRANSLATE(F5464, ""auto"", ""en"")
"),"I bought this phone a year ago. I’m very pleased with it, I was pleased with the work without any failures. It broke two weeks ago, but it was my fault - water got in. Under warranty, it was done in three days, they replaced the screen and some kind of bo"&amp;"ard, now everything is great again!!))) ICQ works constantly, the player-charging stable for two days. The volume is excellent, there are no brakes. and in general, an excellent phone))")</f>
        <v>I bought this phone a year ago. I’m very pleased with it, I was pleased with the work without any failures. It broke two weeks ago, but it was my fault - water got in. Under warranty, it was done in three days, they replaced the screen and some kind of board, now everything is great again!!))) ICQ works constantly, the player-charging stable for two days. The volume is excellent, there are no brakes. and in general, an excellent phone))</v>
      </c>
    </row>
    <row r="5465" spans="1:9" x14ac:dyDescent="0.3">
      <c r="A5465" s="1" t="s">
        <v>149</v>
      </c>
      <c r="B5465" s="1" t="s">
        <v>423</v>
      </c>
      <c r="C5465" s="1" t="s">
        <v>531</v>
      </c>
      <c r="D5465" s="1" t="s">
        <v>247</v>
      </c>
      <c r="E5465" s="1" t="s">
        <v>2815</v>
      </c>
      <c r="F5465" s="1" t="s">
        <v>8962</v>
      </c>
      <c r="G5465" s="1" t="s">
        <v>36</v>
      </c>
      <c r="H5465" s="1" t="s">
        <v>29</v>
      </c>
      <c r="I5465" s="1" t="str">
        <f ca="1">IFERROR(__xludf.DUMMYFUNCTION("GOOGLETRANSLATE(F5465, ""auto"", ""en"")
"),"We bought a vacuum cleaner 2 weeks ago, it took us a long time to choose. I did dry cleaning 4-5 times - great, once I did wet cleaning, also great. When I decided to do wet cleaning again, it broke. I can’t say what this is due to - a manufacturer’s defe"&amp;"ct, or a poor quality product, or we were just unlucky, but it cleans well. And the fact that it takes a long time to wash is not true. After dry cleaning - 5 minutes, after wet cleaning - maximum min. 15. Now we will buy a new vacuum cleaner and probably"&amp;" the same model again.")</f>
        <v>We bought a vacuum cleaner 2 weeks ago, it took us a long time to choose. I did dry cleaning 4-5 times - great, once I did wet cleaning, also great. When I decided to do wet cleaning again, it broke. I can’t say what this is due to - a manufacturer’s defect, or a poor quality product, or we were just unlucky, but it cleans well. And the fact that it takes a long time to wash is not true. After dry cleaning - 5 minutes, after wet cleaning - maximum min. 15. Now we will buy a new vacuum cleaner and probably the same model again.</v>
      </c>
    </row>
    <row r="5466" spans="1:9" x14ac:dyDescent="0.3">
      <c r="A5466" s="1" t="s">
        <v>149</v>
      </c>
      <c r="B5466" s="1" t="s">
        <v>423</v>
      </c>
      <c r="C5466" s="1" t="s">
        <v>314</v>
      </c>
      <c r="D5466" s="1" t="s">
        <v>8963</v>
      </c>
      <c r="E5466" s="1" t="s">
        <v>7095</v>
      </c>
      <c r="F5466" s="1" t="s">
        <v>8964</v>
      </c>
      <c r="G5466" s="1" t="s">
        <v>36</v>
      </c>
      <c r="H5466" s="1" t="s">
        <v>29</v>
      </c>
      <c r="I5466" s="1" t="str">
        <f ca="1">IFERROR(__xludf.DUMMYFUNCTION("GOOGLETRANSLATE(F5466, ""auto"", ""en"")
"),"The carpets were washed beautifully, after which they were barely damp, and at room temperature they dried completely in 2-3 hours. Very happy with the purchase!")</f>
        <v>The carpets were washed beautifully, after which they were barely damp, and at room temperature they dried completely in 2-3 hours. Very happy with the purchase!</v>
      </c>
    </row>
    <row r="5467" spans="1:9" x14ac:dyDescent="0.3">
      <c r="A5467" s="1" t="s">
        <v>477</v>
      </c>
      <c r="B5467" s="1" t="s">
        <v>478</v>
      </c>
      <c r="C5467" s="1" t="s">
        <v>479</v>
      </c>
      <c r="D5467" s="1" t="s">
        <v>8965</v>
      </c>
      <c r="E5467" s="1" t="s">
        <v>886</v>
      </c>
      <c r="F5467" s="1" t="s">
        <v>8966</v>
      </c>
      <c r="G5467" s="1" t="s">
        <v>36</v>
      </c>
      <c r="H5467" s="1" t="s">
        <v>29</v>
      </c>
      <c r="I5467" s="1" t="str">
        <f ca="1">IFERROR(__xludf.DUMMYFUNCTION("GOOGLETRANSLATE(F5467, ""auto"", ""en"")
"),"Well, since the multiplayer was not a success, I don’t see the point in buying a license, because you can download a pirated version from the Internet and go through the company")</f>
        <v>Well, since the multiplayer was not a success, I don’t see the point in buying a license, because you can download a pirated version from the Internet and go through the company</v>
      </c>
    </row>
    <row r="5468" spans="1:9" x14ac:dyDescent="0.3">
      <c r="A5468" s="1" t="s">
        <v>211</v>
      </c>
      <c r="B5468" s="1" t="s">
        <v>212</v>
      </c>
      <c r="C5468" s="1" t="s">
        <v>745</v>
      </c>
      <c r="D5468" s="1" t="s">
        <v>653</v>
      </c>
      <c r="E5468" s="1" t="s">
        <v>7615</v>
      </c>
      <c r="F5468" s="1" t="s">
        <v>8967</v>
      </c>
      <c r="G5468" s="1" t="s">
        <v>49</v>
      </c>
      <c r="H5468" s="1" t="s">
        <v>16</v>
      </c>
      <c r="I5468" s="1" t="str">
        <f ca="1">IFERROR(__xludf.DUMMYFUNCTION("GOOGLETRANSLATE(F5468, ""auto"", ""en"")
"),"There are no advantages! Of the minuses: 1) chewed my hair and burned it, in the area of ​​the grille where the cord comes out!!!  2) modes 1 and 2 are no different, rather weak, and mode 3 immediately blows strongly 3) I burned my fingers when I held the"&amp;" tip of the hairdryer. Plastic and metal get very hot. In a word, Chinese trash.")</f>
        <v>There are no advantages! Of the minuses: 1) chewed my hair and burned it, in the area of ​​the grille where the cord comes out!!!  2) modes 1 and 2 are no different, rather weak, and mode 3 immediately blows strongly 3) I burned my fingers when I held the tip of the hairdryer. Plastic and metal get very hot. In a word, Chinese trash.</v>
      </c>
    </row>
    <row r="5469" spans="1:9" x14ac:dyDescent="0.3">
      <c r="A5469" s="1" t="s">
        <v>17</v>
      </c>
      <c r="B5469" s="1" t="s">
        <v>18</v>
      </c>
      <c r="C5469" s="1" t="s">
        <v>243</v>
      </c>
      <c r="D5469" s="1" t="s">
        <v>52</v>
      </c>
      <c r="E5469" s="1" t="s">
        <v>3999</v>
      </c>
      <c r="F5469" s="1" t="s">
        <v>8968</v>
      </c>
      <c r="G5469" s="1" t="s">
        <v>28</v>
      </c>
      <c r="H5469" s="1" t="s">
        <v>29</v>
      </c>
      <c r="I5469" s="1" t="str">
        <f ca="1">IFERROR(__xludf.DUMMYFUNCTION("GOOGLETRANSLATE(F5469, ""auto"", ""en"")
"),"On your website the maximum spin speed is 1000 rpm, but in fact this model has a speed of 800 rpm, and model 5105 has a speed of 1000 rpm.")</f>
        <v>On your website the maximum spin speed is 1000 rpm, but in fact this model has a speed of 800 rpm, and model 5105 has a speed of 1000 rpm.</v>
      </c>
    </row>
    <row r="5470" spans="1:9" x14ac:dyDescent="0.3">
      <c r="A5470" s="1" t="s">
        <v>67</v>
      </c>
      <c r="B5470" s="1" t="s">
        <v>340</v>
      </c>
      <c r="C5470" s="1" t="s">
        <v>341</v>
      </c>
      <c r="D5470" s="1" t="s">
        <v>295</v>
      </c>
      <c r="E5470" s="1" t="s">
        <v>1861</v>
      </c>
      <c r="F5470" s="1" t="s">
        <v>8969</v>
      </c>
      <c r="G5470" s="1" t="s">
        <v>36</v>
      </c>
      <c r="H5470" s="1" t="s">
        <v>29</v>
      </c>
      <c r="I5470" s="1" t="str">
        <f ca="1">IFERROR(__xludf.DUMMYFUNCTION("GOOGLETRANSLATE(F5470, ""auto"", ""en"")
"),"Lightweight. Handles heavy fabrics.")</f>
        <v>Lightweight. Handles heavy fabrics.</v>
      </c>
    </row>
    <row r="5471" spans="1:9" x14ac:dyDescent="0.3">
      <c r="A5471" s="1" t="s">
        <v>61</v>
      </c>
      <c r="B5471" s="1" t="s">
        <v>1727</v>
      </c>
      <c r="C5471" s="1" t="s">
        <v>122</v>
      </c>
      <c r="D5471" s="1" t="s">
        <v>521</v>
      </c>
      <c r="E5471" s="1" t="s">
        <v>8970</v>
      </c>
      <c r="F5471" s="1" t="s">
        <v>8971</v>
      </c>
      <c r="G5471" s="1" t="s">
        <v>15</v>
      </c>
      <c r="H5471" s="1" t="s">
        <v>16</v>
      </c>
      <c r="I5471" s="1" t="str">
        <f ca="1">IFERROR(__xludf.DUMMYFUNCTION("GOOGLETRANSLATE(F5471, ""auto"", ""en"")
"),"A small, compact and attractive multi-cooker has a huge insoluble problem: an overly long cooking process, be it stewed potatoes (the most problematic of all modes, since the cooking time during stewing can reach up to 3.5 hours or even longer, and this, "&amp;"if you please, is not the case at all) or baking in the same mode, in addition to being long, the dough inside always remains raw and not baked inside, and the crust the bottom is pretty burnt, although at the same time the top of the pie remains pale and"&amp;" unappetizing, far from what we are used to seeing when taking out a baking sheet with a fragrant pie from the oven.")</f>
        <v>A small, compact and attractive multi-cooker has a huge insoluble problem: an overly long cooking process, be it stewed potatoes (the most problematic of all modes, since the cooking time during stewing can reach up to 3.5 hours or even longer, and this, if you please, is not the case at all) or baking in the same mode, in addition to being long, the dough inside always remains raw and not baked inside, and the crust the bottom is pretty burnt, although at the same time the top of the pie remains pale and unappetizing, far from what we are used to seeing when taking out a baking sheet with a fragrant pie from the oven.</v>
      </c>
    </row>
    <row r="5472" spans="1:9" x14ac:dyDescent="0.3">
      <c r="A5472" s="1" t="s">
        <v>37</v>
      </c>
      <c r="B5472" s="1" t="s">
        <v>38</v>
      </c>
      <c r="C5472" s="1" t="s">
        <v>151</v>
      </c>
      <c r="D5472" s="1" t="s">
        <v>139</v>
      </c>
      <c r="E5472" s="1" t="s">
        <v>1975</v>
      </c>
      <c r="F5472" s="1" t="s">
        <v>8972</v>
      </c>
      <c r="G5472" s="1" t="s">
        <v>36</v>
      </c>
      <c r="H5472" s="1" t="s">
        <v>29</v>
      </c>
      <c r="I5472" s="1" t="str">
        <f ca="1">IFERROR(__xludf.DUMMYFUNCTION("GOOGLETRANSLATE(F5472, ""auto"", ""en"")
"),"I took it as a second one to my Nokia N82 just the day before yesterday and already fell in love, although at first glance it didn’t seem like much. The phone is tiny, but made of very high quality, the back cover is even mostly metal, the connection hold"&amp;"s well, the call volume is at the level, the volume during a conversation remains at 2 levels, the screen is small but bright, the weight is tiny, the old Nokia next to it seems like a huge bandura. I don’t know how long the battery lasts, but it claims q"&amp;"uite a decent amount of time. For that kind of money, such a phone number is simply a gift. Before this, as a second phone, there was a MegaFon branded one, which they sell for 1100 at a special price, and that’s plus 100 rubles per SIM card, so you can’t"&amp;" even compare, not to mention the fact that the MegaFon one is only locked to a megaphone.")</f>
        <v>I took it as a second one to my Nokia N82 just the day before yesterday and already fell in love, although at first glance it didn’t seem like much. The phone is tiny, but made of very high quality, the back cover is even mostly metal, the connection holds well, the call volume is at the level, the volume during a conversation remains at 2 levels, the screen is small but bright, the weight is tiny, the old Nokia next to it seems like a huge bandura. I don’t know how long the battery lasts, but it claims quite a decent amount of time. For that kind of money, such a phone number is simply a gift. Before this, as a second phone, there was a MegaFon branded one, which they sell for 1100 at a special price, and that’s plus 100 rubles per SIM card, so you can’t even compare, not to mention the fact that the MegaFon one is only locked to a megaphone.</v>
      </c>
    </row>
    <row r="5473" spans="1:9" x14ac:dyDescent="0.3">
      <c r="A5473" s="1" t="s">
        <v>9</v>
      </c>
      <c r="B5473" s="1" t="s">
        <v>10</v>
      </c>
      <c r="C5473" s="1" t="s">
        <v>407</v>
      </c>
      <c r="D5473" s="1" t="s">
        <v>1890</v>
      </c>
      <c r="E5473" s="1" t="s">
        <v>4750</v>
      </c>
      <c r="F5473" s="1" t="s">
        <v>8973</v>
      </c>
      <c r="G5473" s="1" t="s">
        <v>36</v>
      </c>
      <c r="H5473" s="1" t="s">
        <v>29</v>
      </c>
      <c r="I5473" s="1" t="str">
        <f ca="1">IFERROR(__xludf.DUMMYFUNCTION("GOOGLETRANSLATE(F5473, ""auto"", ""en"")
"),"The hood is gorgeous. Works great and looks very stylish. Does not require special care. I recommend it to everyone.")</f>
        <v>The hood is gorgeous. Works great and looks very stylish. Does not require special care. I recommend it to everyone.</v>
      </c>
    </row>
    <row r="5474" spans="1:9" x14ac:dyDescent="0.3">
      <c r="A5474" s="1" t="s">
        <v>811</v>
      </c>
      <c r="B5474" s="1" t="s">
        <v>1294</v>
      </c>
      <c r="C5474" s="1" t="s">
        <v>1295</v>
      </c>
      <c r="D5474" s="1" t="s">
        <v>5864</v>
      </c>
      <c r="E5474" s="1" t="s">
        <v>7463</v>
      </c>
      <c r="F5474" s="1" t="s">
        <v>8974</v>
      </c>
      <c r="G5474" s="1" t="s">
        <v>36</v>
      </c>
      <c r="H5474" s="1" t="s">
        <v>29</v>
      </c>
      <c r="I5474" s="1" t="str">
        <f ca="1">IFERROR(__xludf.DUMMYFUNCTION("GOOGLETRANSLATE(F5474, ""auto"", ""en"")
"),"The lenses of modern lenses are coated with a brightening coating, which can be easily damaged by wiping with a regular cloth, so you shouldn’t skimp even on something as simple as cleaning lenses.")</f>
        <v>The lenses of modern lenses are coated with a brightening coating, which can be easily damaged by wiping with a regular cloth, so you shouldn’t skimp even on something as simple as cleaning lenses.</v>
      </c>
    </row>
    <row r="5475" spans="1:9" x14ac:dyDescent="0.3">
      <c r="A5475" s="1" t="s">
        <v>111</v>
      </c>
      <c r="B5475" s="1" t="s">
        <v>636</v>
      </c>
      <c r="C5475" s="1" t="s">
        <v>2610</v>
      </c>
      <c r="D5475" s="1" t="s">
        <v>12</v>
      </c>
      <c r="E5475" s="1" t="s">
        <v>4421</v>
      </c>
      <c r="F5475" s="1" t="s">
        <v>8975</v>
      </c>
      <c r="G5475" s="1" t="s">
        <v>36</v>
      </c>
      <c r="H5475" s="1" t="s">
        <v>29</v>
      </c>
      <c r="I5475" s="1" t="str">
        <f ca="1">IFERROR(__xludf.DUMMYFUNCTION("GOOGLETRANSLATE(F5475, ""auto"", ""en"")
"),"This is so lovely. I'm delighted! smart technology. he also measures the temperature, and keeps a calendar, and .. HOW IT GLOWS! I'm talking about projection!!! this is something magical! for lovers of comfort and new technologies - just the thing! everyt"&amp;"hing is just gorgeous. There were no breakdowns during the year of service!")</f>
        <v>This is so lovely. I'm delighted! smart technology. he also measures the temperature, and keeps a calendar, and .. HOW IT GLOWS! I'm talking about projection!!! this is something magical! for lovers of comfort and new technologies - just the thing! everything is just gorgeous. There were no breakdowns during the year of service!</v>
      </c>
    </row>
    <row r="5476" spans="1:9" x14ac:dyDescent="0.3">
      <c r="A5476" s="1" t="s">
        <v>30</v>
      </c>
      <c r="B5476" s="1" t="s">
        <v>31</v>
      </c>
      <c r="C5476" s="1" t="s">
        <v>365</v>
      </c>
      <c r="D5476" s="1" t="s">
        <v>39</v>
      </c>
      <c r="E5476" s="1" t="s">
        <v>2146</v>
      </c>
      <c r="F5476" s="1" t="s">
        <v>8976</v>
      </c>
      <c r="G5476" s="1" t="s">
        <v>36</v>
      </c>
      <c r="H5476" s="1" t="s">
        <v>29</v>
      </c>
      <c r="I5476" s="1" t="str">
        <f ca="1">IFERROR(__xludf.DUMMYFUNCTION("GOOGLETRANSLATE(F5476, ""auto"", ""en"")
"),"I bought it in March and I’m using it... and I really like it, although I had Windows 7 Home Basic, but I changed it to 7 Ultimate, and everything is fine, so far I’m not complaining)))")</f>
        <v>I bought it in March and I’m using it... and I really like it, although I had Windows 7 Home Basic, but I changed it to 7 Ultimate, and everything is fine, so far I’m not complaining)))</v>
      </c>
    </row>
    <row r="5477" spans="1:9" x14ac:dyDescent="0.3">
      <c r="A5477" s="1" t="s">
        <v>55</v>
      </c>
      <c r="B5477" s="1" t="s">
        <v>56</v>
      </c>
      <c r="C5477" s="1" t="s">
        <v>57</v>
      </c>
      <c r="D5477" s="1" t="s">
        <v>8977</v>
      </c>
      <c r="E5477" s="1" t="s">
        <v>2038</v>
      </c>
      <c r="F5477" s="1" t="s">
        <v>8978</v>
      </c>
      <c r="G5477" s="1" t="s">
        <v>36</v>
      </c>
      <c r="H5477" s="1" t="s">
        <v>29</v>
      </c>
      <c r="I5477" s="1" t="str">
        <f ca="1">IFERROR(__xludf.DUMMYFUNCTION("GOOGLETRANSLATE(F5477, ""auto"", ""en"")
"),"We bought it in November 2010, we are happy... It works without interruption (only for drawing water) - and there are 5 liters of water, enough for 12 hours. It's easy to breathe - the flowers like it. Only from the ionizer fine dust settles on the TV and"&amp;" around it, the glass (it is attracted, I don’t know, maybe it’s harmful?) you have to constantly wipe it off, but we don’t regret it)))) And, by the way, it turns off if there is no water!!!")</f>
        <v>We bought it in November 2010, we are happy... It works without interruption (only for drawing water) - and there are 5 liters of water, enough for 12 hours. It's easy to breathe - the flowers like it. Only from the ionizer fine dust settles on the TV and around it, the glass (it is attracted, I don’t know, maybe it’s harmful?) you have to constantly wipe it off, but we don’t regret it)))) And, by the way, it turns off if there is no water!!!</v>
      </c>
    </row>
    <row r="5478" spans="1:9" x14ac:dyDescent="0.3">
      <c r="A5478" s="1" t="s">
        <v>55</v>
      </c>
      <c r="B5478" s="1" t="s">
        <v>56</v>
      </c>
      <c r="C5478" s="1" t="s">
        <v>57</v>
      </c>
      <c r="D5478" s="1" t="s">
        <v>308</v>
      </c>
      <c r="E5478" s="1" t="s">
        <v>1474</v>
      </c>
      <c r="F5478" s="1" t="s">
        <v>8979</v>
      </c>
      <c r="G5478" s="1" t="s">
        <v>36</v>
      </c>
      <c r="H5478" s="1" t="s">
        <v>29</v>
      </c>
      <c r="I5478" s="1" t="str">
        <f ca="1">IFERROR(__xludf.DUMMYFUNCTION("GOOGLETRANSLATE(F5478, ""auto"", ""en"")
"),"A wonderful moisturizer. The power is excellent, designed for 24 m2, enough for a large room. You can set the regulators so that it moisturizes effectively and there are no puddles on the floor. The buzzing and bright backlight can sometimes be annoying, "&amp;"but with regular use you can get used to it. But you can breathe normally; without a humidifier, in winter our humidity is 30%, and sometimes even less. Only Vitek saves.  I also like the large water tank; when working all night at medium power, there is "&amp;"enough water until the morning.   There was one thing I didn’t really like: upon receipt, the rubber band was assembled incorrectly in the filter and immediately began to leak. But someone here wrote about this in the reviews, so they pulled out the rubbe"&amp;"r band, put it in properly, nothing leaks.")</f>
        <v>A wonderful moisturizer. The power is excellent, designed for 24 m2, enough for a large room. You can set the regulators so that it moisturizes effectively and there are no puddles on the floor. The buzzing and bright backlight can sometimes be annoying, but with regular use you can get used to it. But you can breathe normally; without a humidifier, in winter our humidity is 30%, and sometimes even less. Only Vitek saves.  I also like the large water tank; when working all night at medium power, there is enough water until the morning.   There was one thing I didn’t really like: upon receipt, the rubber band was assembled incorrectly in the filter and immediately began to leak. But someone here wrote about this in the reviews, so they pulled out the rubber band, put it in properly, nothing leaks.</v>
      </c>
    </row>
    <row r="5479" spans="1:9" x14ac:dyDescent="0.3">
      <c r="A5479" s="1" t="s">
        <v>61</v>
      </c>
      <c r="B5479" s="1" t="s">
        <v>318</v>
      </c>
      <c r="C5479" s="1" t="s">
        <v>101</v>
      </c>
      <c r="D5479" s="1" t="s">
        <v>75</v>
      </c>
      <c r="E5479" s="1" t="s">
        <v>3095</v>
      </c>
      <c r="F5479" s="1" t="s">
        <v>8980</v>
      </c>
      <c r="G5479" s="1" t="s">
        <v>15</v>
      </c>
      <c r="H5479" s="1" t="s">
        <v>16</v>
      </c>
      <c r="I5479" s="1" t="str">
        <f ca="1">IFERROR(__xludf.DUMMYFUNCTION("GOOGLETRANSLATE(F5479, ""auto"", ""en"")
"),"The kettle looks very nice in appearance, it boils quickly, but that’s about all the advantages. The kettle stopped turning off a month after use, it was repaired... after about another month the button began to stick, now you can’t turn it on or off, you"&amp;" have to find the right position to make it work and quickly remove it from the stand when it boils.")</f>
        <v>The kettle looks very nice in appearance, it boils quickly, but that’s about all the advantages. The kettle stopped turning off a month after use, it was repaired... after about another month the button began to stick, now you can’t turn it on or off, you have to find the right position to make it work and quickly remove it from the stand when it boils.</v>
      </c>
    </row>
    <row r="5480" spans="1:9" x14ac:dyDescent="0.3">
      <c r="A5480" s="1" t="s">
        <v>43</v>
      </c>
      <c r="B5480" s="1" t="s">
        <v>502</v>
      </c>
      <c r="C5480" s="1" t="s">
        <v>151</v>
      </c>
      <c r="D5480" s="1" t="s">
        <v>39</v>
      </c>
      <c r="E5480" s="1" t="s">
        <v>2333</v>
      </c>
      <c r="F5480" s="1" t="s">
        <v>8981</v>
      </c>
      <c r="G5480" s="1" t="s">
        <v>36</v>
      </c>
      <c r="H5480" s="1" t="s">
        <v>29</v>
      </c>
      <c r="I5480" s="1" t="str">
        <f ca="1">IFERROR(__xludf.DUMMYFUNCTION("GOOGLETRANSLATE(F5480, ""auto"", ""en"")
"),"Acceptable noise, fast cooling, although they wanted to cool 2 rooms = 30 m2, it didn’t work out, but 19 m2 is enough for the hall.")</f>
        <v>Acceptable noise, fast cooling, although they wanted to cool 2 rooms = 30 m2, it didn’t work out, but 19 m2 is enough for the hall.</v>
      </c>
    </row>
    <row r="5481" spans="1:9" x14ac:dyDescent="0.3">
      <c r="A5481" s="1" t="s">
        <v>811</v>
      </c>
      <c r="B5481" s="1" t="s">
        <v>812</v>
      </c>
      <c r="C5481" s="1" t="s">
        <v>813</v>
      </c>
      <c r="D5481" s="1" t="s">
        <v>208</v>
      </c>
      <c r="E5481" s="1" t="s">
        <v>6357</v>
      </c>
      <c r="F5481" s="1" t="s">
        <v>413</v>
      </c>
      <c r="G5481" s="1" t="s">
        <v>49</v>
      </c>
      <c r="H5481" s="1" t="s">
        <v>16</v>
      </c>
      <c r="I5481" s="1" t="str">
        <f ca="1">IFERROR(__xludf.DUMMYFUNCTION("GOOGLETRANSLATE(F5481, ""auto"", ""en"")
"),"No")</f>
        <v>No</v>
      </c>
    </row>
    <row r="5482" spans="1:9" x14ac:dyDescent="0.3">
      <c r="A5482" s="1" t="s">
        <v>61</v>
      </c>
      <c r="B5482" s="1" t="s">
        <v>62</v>
      </c>
      <c r="C5482" s="1" t="s">
        <v>63</v>
      </c>
      <c r="D5482" s="1" t="s">
        <v>64</v>
      </c>
      <c r="E5482" s="1" t="s">
        <v>1651</v>
      </c>
      <c r="F5482" s="1" t="s">
        <v>8982</v>
      </c>
      <c r="G5482" s="1" t="s">
        <v>36</v>
      </c>
      <c r="H5482" s="1" t="s">
        <v>29</v>
      </c>
      <c r="I5482" s="1" t="str">
        <f ca="1">IFERROR(__xludf.DUMMYFUNCTION("GOOGLETRANSLATE(F5482, ""auto"", ""en"")
"),"This food processor is my main friend and assistant in the kitchen! I recommend it to everyone. The main thing that I noted for myself is that it effectively performs all the stated functions: it perfectly kneads dough, makes purees, cocktails, fermenting"&amp;" cabbage is no longer a problem - just have time to serve it for shredding. And what kind of cubes it produces... Even, cube to cube. Now about the cons. Basically, I use only the mixing bowl (i.e., without a mixer) and often during operation the protecti"&amp;"ve cover for the mixer drive comes off. As a result, it stops because... believes that the structure is not fully assembled. But in general I can say that I am very pleased and this small problem is easily solved.")</f>
        <v>This food processor is my main friend and assistant in the kitchen! I recommend it to everyone. The main thing that I noted for myself is that it effectively performs all the stated functions: it perfectly kneads dough, makes purees, cocktails, fermenting cabbage is no longer a problem - just have time to serve it for shredding. And what kind of cubes it produces... Even, cube to cube. Now about the cons. Basically, I use only the mixing bowl (i.e., without a mixer) and often during operation the protective cover for the mixer drive comes off. As a result, it stops because... believes that the structure is not fully assembled. But in general I can say that I am very pleased and this small problem is easily solved.</v>
      </c>
    </row>
    <row r="5483" spans="1:9" x14ac:dyDescent="0.3">
      <c r="A5483" s="1" t="s">
        <v>120</v>
      </c>
      <c r="B5483" s="1" t="s">
        <v>121</v>
      </c>
      <c r="C5483" s="1" t="s">
        <v>97</v>
      </c>
      <c r="D5483" s="1" t="s">
        <v>8983</v>
      </c>
      <c r="E5483" s="1" t="s">
        <v>5800</v>
      </c>
      <c r="F5483" s="1" t="s">
        <v>8984</v>
      </c>
      <c r="G5483" s="1" t="s">
        <v>36</v>
      </c>
      <c r="H5483" s="1" t="s">
        <v>29</v>
      </c>
      <c r="I5483" s="1" t="str">
        <f ca="1">IFERROR(__xludf.DUMMYFUNCTION("GOOGLETRANSLATE(F5483, ""auto"", ""en"")
"),"The TV is super, I recommend it to everyone, the picture is very high quality, and Sony TVs in general!!!!")</f>
        <v>The TV is super, I recommend it to everyone, the picture is very high quality, and Sony TVs in general!!!!</v>
      </c>
    </row>
    <row r="5484" spans="1:9" x14ac:dyDescent="0.3">
      <c r="A5484" s="1" t="s">
        <v>211</v>
      </c>
      <c r="B5484" s="1" t="s">
        <v>212</v>
      </c>
      <c r="C5484" s="1" t="s">
        <v>63</v>
      </c>
      <c r="D5484" s="1" t="s">
        <v>75</v>
      </c>
      <c r="E5484" s="1" t="s">
        <v>8317</v>
      </c>
      <c r="F5484" s="1" t="s">
        <v>8985</v>
      </c>
      <c r="G5484" s="1" t="s">
        <v>15</v>
      </c>
      <c r="H5484" s="1" t="s">
        <v>16</v>
      </c>
      <c r="I5484" s="1" t="str">
        <f ca="1">IFERROR(__xludf.DUMMYFUNCTION("GOOGLETRANSLATE(F5484, ""auto"", ""en"")
"),"Suitable only for drying and for laying on approximately a square. For those who have long hair (below the shoulders) and thick hair, it is better to look at another option. I only use it for drying after the pool.")</f>
        <v>Suitable only for drying and for laying on approximately a square. For those who have long hair (below the shoulders) and thick hair, it is better to look at another option. I only use it for drying after the pool.</v>
      </c>
    </row>
    <row r="5485" spans="1:9" x14ac:dyDescent="0.3">
      <c r="A5485" s="1" t="s">
        <v>169</v>
      </c>
      <c r="B5485" s="1" t="s">
        <v>170</v>
      </c>
      <c r="C5485" s="1" t="s">
        <v>122</v>
      </c>
      <c r="D5485" s="1" t="s">
        <v>411</v>
      </c>
      <c r="E5485" s="1" t="s">
        <v>7925</v>
      </c>
      <c r="F5485" s="1" t="s">
        <v>8986</v>
      </c>
      <c r="G5485" s="1" t="s">
        <v>28</v>
      </c>
      <c r="H5485" s="1" t="s">
        <v>29</v>
      </c>
      <c r="I5485" s="1" t="str">
        <f ca="1">IFERROR(__xludf.DUMMYFUNCTION("GOOGLETRANSLATE(F5485, ""auto"", ""en"")
"),"The sound is great, the price is ridiculous! They worked faithfully for about half a year, then the sound began to subside and the bass disappeared (the membrane probably began to die), apparently that’s why the price is appropriate... I’ll take the same "&amp;"ones!")</f>
        <v>The sound is great, the price is ridiculous! They worked faithfully for about half a year, then the sound began to subside and the bass disappeared (the membrane probably began to die), apparently that’s why the price is appropriate... I’ll take the same ones!</v>
      </c>
    </row>
    <row r="5486" spans="1:9" x14ac:dyDescent="0.3">
      <c r="A5486" s="1" t="s">
        <v>211</v>
      </c>
      <c r="B5486" s="1" t="s">
        <v>212</v>
      </c>
      <c r="C5486" s="1" t="s">
        <v>381</v>
      </c>
      <c r="D5486" s="1" t="s">
        <v>1483</v>
      </c>
      <c r="E5486" s="1" t="s">
        <v>5951</v>
      </c>
      <c r="F5486" s="1" t="s">
        <v>8987</v>
      </c>
      <c r="G5486" s="1" t="s">
        <v>94</v>
      </c>
      <c r="H5486" s="1" t="s">
        <v>29</v>
      </c>
      <c r="I5486" s="1" t="str">
        <f ca="1">IFERROR(__xludf.DUMMYFUNCTION("GOOGLETRANSLATE(F5486, ""auto"", ""en"")
"),"Good hairdryer. Small size.")</f>
        <v>Good hairdryer. Small size.</v>
      </c>
    </row>
    <row r="5487" spans="1:9" x14ac:dyDescent="0.3">
      <c r="A5487" s="1" t="s">
        <v>120</v>
      </c>
      <c r="B5487" s="1" t="s">
        <v>126</v>
      </c>
      <c r="C5487" s="1" t="s">
        <v>151</v>
      </c>
      <c r="D5487" s="1" t="s">
        <v>411</v>
      </c>
      <c r="E5487" s="1" t="s">
        <v>2050</v>
      </c>
      <c r="F5487" s="1" t="s">
        <v>8988</v>
      </c>
      <c r="G5487" s="1" t="s">
        <v>36</v>
      </c>
      <c r="H5487" s="1" t="s">
        <v>29</v>
      </c>
      <c r="I5487" s="1" t="str">
        <f ca="1">IFERROR(__xludf.DUMMYFUNCTION("GOOGLETRANSLATE(F5487, ""auto"", ""en"")
"),"The device is good for the money, but the top part and the antenna input get very hot (I don’t know if this is normal or not) but everything works great :)))")</f>
        <v>The device is good for the money, but the top part and the antenna input get very hot (I don’t know if this is normal or not) but everything works great :)))</v>
      </c>
    </row>
    <row r="5488" spans="1:9" x14ac:dyDescent="0.3">
      <c r="A5488" s="1" t="s">
        <v>120</v>
      </c>
      <c r="B5488" s="1" t="s">
        <v>126</v>
      </c>
      <c r="C5488" s="1" t="s">
        <v>80</v>
      </c>
      <c r="D5488" s="1" t="s">
        <v>203</v>
      </c>
      <c r="E5488" s="1" t="s">
        <v>1723</v>
      </c>
      <c r="F5488" s="1" t="s">
        <v>8989</v>
      </c>
      <c r="G5488" s="1" t="s">
        <v>28</v>
      </c>
      <c r="H5488" s="1" t="s">
        <v>29</v>
      </c>
      <c r="I5488" s="1" t="str">
        <f ca="1">IFERROR(__xludf.DUMMYFUNCTION("GOOGLETRANSLATE(F5488, ""auto"", ""en"")
"),"I have been using the previous modification (LG PC52) for a year and a half.    Among the advantages: 1. I compared the image from the antenna signal of the Philips 9 series (also 32"") and this inexpensive plasma. I bought the plasma, although I was fina"&amp;"ncially ready for Philips. The plasma does not have the effect of a ""plasticine picture"", there are no parasitic artifacts generated by the Full HD LCD processor, minimal picture noise, because the matrix size is just SD. I could not look at the LCD pic"&amp;"ture without tears. 2. Very good Panorama mode (stretching 4:3 to 16:9) Among the disadvantages: 1. After a long viewing of NTV, a trace of the channel logo disappears. Once I watched it for half a day, the trace disappeared for 3 days. Apparently, the pa"&amp;"nel itself is quite low-cost, because on expensive Panasonic and Pioneer this effect is much less pronounced. planned HD (NTV-Plus HD, Blue Ray player, HD rips, etc.), then the TV will not work. But if you plan to use only SD (antenna and DVD), then I sim"&amp;"ply did not find a better option. That is, I was mentally ready for the Philips 9 series (according to reviews, the over-the-air antenna shows better than other LCDs). But after comparing the picture “live” (in M-Video all TVs transmit the same signal), I"&amp;" deliberately bought this plasma.    And looking at the price of the TV, you can close your eyes to disadvantage 1.")</f>
        <v>I have been using the previous modification (LG PC52) for a year and a half.    Among the advantages: 1. I compared the image from the antenna signal of the Philips 9 series (also 32") and this inexpensive plasma. I bought the plasma, although I was financially ready for Philips. The plasma does not have the effect of a "plasticine picture", there are no parasitic artifacts generated by the Full HD LCD processor, minimal picture noise, because the matrix size is just SD. I could not look at the LCD picture without tears. 2. Very good Panorama mode (stretching 4:3 to 16:9) Among the disadvantages: 1. After a long viewing of NTV, a trace of the channel logo disappears. Once I watched it for half a day, the trace disappeared for 3 days. Apparently, the panel itself is quite low-cost, because on expensive Panasonic and Pioneer this effect is much less pronounced. planned HD (NTV-Plus HD, Blue Ray player, HD rips, etc.), then the TV will not work. But if you plan to use only SD (antenna and DVD), then I simply did not find a better option. That is, I was mentally ready for the Philips 9 series (according to reviews, the over-the-air antenna shows better than other LCDs). But after comparing the picture “live” (in M-Video all TVs transmit the same signal), I deliberately bought this plasma.    And looking at the price of the TV, you can close your eyes to disadvantage 1.</v>
      </c>
    </row>
    <row r="5489" spans="1:9" x14ac:dyDescent="0.3">
      <c r="A5489" s="1" t="s">
        <v>17</v>
      </c>
      <c r="B5489" s="1" t="s">
        <v>18</v>
      </c>
      <c r="C5489" s="1" t="s">
        <v>243</v>
      </c>
      <c r="D5489" s="1" t="s">
        <v>385</v>
      </c>
      <c r="E5489" s="1" t="s">
        <v>1504</v>
      </c>
      <c r="F5489" s="1" t="s">
        <v>8990</v>
      </c>
      <c r="G5489" s="1" t="s">
        <v>36</v>
      </c>
      <c r="H5489" s="1" t="s">
        <v>29</v>
      </c>
      <c r="I5489" s="1" t="str">
        <f ca="1">IFERROR(__xludf.DUMMYFUNCTION("GOOGLETRANSLATE(F5489, ""auto"", ""en"")
"),"I've been doing laundry for over a month now and have no complaints about the machine. It washes quickly, the only thing is when you turn on the time saving mode, then you have to use an additional rinse. And the machine is very good and affordable")</f>
        <v>I've been doing laundry for over a month now and have no complaints about the machine. It washes quickly, the only thing is when you turn on the time saving mode, then you have to use an additional rinse. And the machine is very good and affordable</v>
      </c>
    </row>
    <row r="5490" spans="1:9" x14ac:dyDescent="0.3">
      <c r="A5490" s="1" t="s">
        <v>37</v>
      </c>
      <c r="B5490" s="1" t="s">
        <v>536</v>
      </c>
      <c r="C5490" s="1" t="s">
        <v>1419</v>
      </c>
      <c r="D5490" s="1" t="s">
        <v>152</v>
      </c>
      <c r="E5490" s="1" t="s">
        <v>631</v>
      </c>
      <c r="F5490" s="1" t="s">
        <v>8991</v>
      </c>
      <c r="G5490" s="1" t="s">
        <v>28</v>
      </c>
      <c r="H5490" s="1" t="s">
        <v>29</v>
      </c>
      <c r="I5490" s="1" t="str">
        <f ca="1">IFERROR(__xludf.DUMMYFUNCTION("GOOGLETRANSLATE(F5490, ""auto"", ""en"")
"),"I took the device six months ago. They tried to dissuade me, like the rover is far from the best manufacturer, but I didn’t listen. :) And he did the right thing. There are no complaints. Works stably. The axle has never fallen off, it doesn’t slow down, "&amp;"the cover doesn’t fall off, the stylus also holds well and there are no problems with calibration either, I actually can’t imagine what needs to be done to make it fall apart like that. I've already dropped it several times and drowned it once in a heavy "&amp;"downpour.  The downside is the camera, but I’m not an amateur photographer, this quality is enough for a phone; for normal pictures there is a normal camera.  BUT! So far, I have not encountered the need to buy a battery, a screen and/or anything else for"&amp;" it. I hope I don’t have to (I’ll sell it faster)")</f>
        <v>I took the device six months ago. They tried to dissuade me, like the rover is far from the best manufacturer, but I didn’t listen. :) And he did the right thing. There are no complaints. Works stably. The axle has never fallen off, it doesn’t slow down, the cover doesn’t fall off, the stylus also holds well and there are no problems with calibration either, I actually can’t imagine what needs to be done to make it fall apart like that. I've already dropped it several times and drowned it once in a heavy downpour.  The downside is the camera, but I’m not an amateur photographer, this quality is enough for a phone; for normal pictures there is a normal camera.  BUT! So far, I have not encountered the need to buy a battery, a screen and/or anything else for it. I hope I don’t have to (I’ll sell it faster)</v>
      </c>
    </row>
    <row r="5491" spans="1:9" x14ac:dyDescent="0.3">
      <c r="A5491" s="1" t="s">
        <v>30</v>
      </c>
      <c r="B5491" s="1" t="s">
        <v>50</v>
      </c>
      <c r="C5491" s="1" t="s">
        <v>32</v>
      </c>
      <c r="D5491" s="1" t="s">
        <v>8992</v>
      </c>
      <c r="E5491" s="1" t="s">
        <v>784</v>
      </c>
      <c r="F5491" s="1" t="s">
        <v>8993</v>
      </c>
      <c r="G5491" s="1" t="s">
        <v>36</v>
      </c>
      <c r="H5491" s="1" t="s">
        <v>29</v>
      </c>
      <c r="I5491" s="1" t="str">
        <f ca="1">IFERROR(__xludf.DUMMYFUNCTION("GOOGLETRANSLATE(F5491, ""auto"", ""en"")
"),"It's good in the sense that it's very powerful.  There are a lot of programs, and everything works fine except for games: I don’t know why?! But the GTA 4 game was slightly logged for me, a little bit, but it’s still a shame.    I also like the Audio DJ, "&amp;"it’s a cool thing.    The screen is super)) But what’s annoying is that when you unplug the cable from the socket, it starts making such terrible sounds and changes something in itself that you regret that you pulled out the cable.))) I was pleased that t"&amp;"here are many different inputs (Uvisby, etc.))) ____________ But what’s a little disappointing is that it’s a bit heavy and not nimble....")</f>
        <v>It's good in the sense that it's very powerful.  There are a lot of programs, and everything works fine except for games: I don’t know why?! But the GTA 4 game was slightly logged for me, a little bit, but it’s still a shame.    I also like the Audio DJ, it’s a cool thing.    The screen is super)) But what’s annoying is that when you unplug the cable from the socket, it starts making such terrible sounds and changes something in itself that you regret that you pulled out the cable.))) I was pleased that there are many different inputs (Uvisby, etc.))) ____________ But what’s a little disappointing is that it’s a bit heavy and not nimble....</v>
      </c>
    </row>
    <row r="5492" spans="1:9" x14ac:dyDescent="0.3">
      <c r="A5492" s="1" t="s">
        <v>95</v>
      </c>
      <c r="B5492" s="1" t="s">
        <v>96</v>
      </c>
      <c r="C5492" s="1" t="s">
        <v>97</v>
      </c>
      <c r="D5492" s="1" t="s">
        <v>3508</v>
      </c>
      <c r="E5492" s="1" t="s">
        <v>543</v>
      </c>
      <c r="F5492" s="1" t="s">
        <v>8994</v>
      </c>
      <c r="G5492" s="1" t="s">
        <v>36</v>
      </c>
      <c r="H5492" s="1" t="s">
        <v>29</v>
      </c>
      <c r="I5492" s="1" t="str">
        <f ca="1">IFERROR(__xludf.DUMMYFUNCTION("GOOGLETRANSLATE(F5492, ""auto"", ""en"")
"),"I think it has firmware 3.30 or 6.30 and the console is good and the Internet browser is wonderful, well, in general the console is 5+")</f>
        <v>I think it has firmware 3.30 or 6.30 and the console is good and the Internet browser is wonderful, well, in general the console is 5+</v>
      </c>
    </row>
    <row r="5493" spans="1:9" x14ac:dyDescent="0.3">
      <c r="A5493" s="1" t="s">
        <v>61</v>
      </c>
      <c r="B5493" s="1" t="s">
        <v>180</v>
      </c>
      <c r="C5493" s="1" t="s">
        <v>246</v>
      </c>
      <c r="D5493" s="1" t="s">
        <v>545</v>
      </c>
      <c r="E5493" s="1" t="s">
        <v>3269</v>
      </c>
      <c r="F5493" s="1" t="s">
        <v>8995</v>
      </c>
      <c r="G5493" s="1" t="s">
        <v>36</v>
      </c>
      <c r="H5493" s="1" t="s">
        <v>29</v>
      </c>
      <c r="I5493" s="1" t="str">
        <f ca="1">IFERROR(__xludf.DUMMYFUNCTION("GOOGLETRANSLATE(F5493, ""auto"", ""en"")
"),"It has been working for more than a year, it has fully earned its price. Toasts perfectly. You can put the buns on top on special stands - it’s also very tasty! Always turn it off after use. We recommend!!!")</f>
        <v>It has been working for more than a year, it has fully earned its price. Toasts perfectly. You can put the buns on top on special stands - it’s also very tasty! Always turn it off after use. We recommend!!!</v>
      </c>
    </row>
    <row r="5494" spans="1:9" x14ac:dyDescent="0.3">
      <c r="A5494" s="1" t="s">
        <v>206</v>
      </c>
      <c r="B5494" s="1" t="s">
        <v>207</v>
      </c>
      <c r="C5494" s="1" t="s">
        <v>152</v>
      </c>
      <c r="D5494" s="1" t="s">
        <v>8996</v>
      </c>
      <c r="E5494" s="1" t="s">
        <v>2540</v>
      </c>
      <c r="F5494" s="1" t="s">
        <v>8997</v>
      </c>
      <c r="G5494" s="1" t="s">
        <v>36</v>
      </c>
      <c r="H5494" s="1" t="s">
        <v>29</v>
      </c>
      <c r="I5494" s="1" t="str">
        <f ca="1">IFERROR(__xludf.DUMMYFUNCTION("GOOGLETRANSLATE(F5494, ""auto"", ""en"")
"),"Excellent speakers!!!!!!!!!! I put it in the center console on the Nexia, a good addition to the 16 in the doors and to the ovals in the rear shelf. Worth the money.")</f>
        <v>Excellent speakers!!!!!!!!!! I put it in the center console on the Nexia, a good addition to the 16 in the doors and to the ovals in the rear shelf. Worth the money.</v>
      </c>
    </row>
    <row r="5495" spans="1:9" x14ac:dyDescent="0.3">
      <c r="A5495" s="1" t="s">
        <v>67</v>
      </c>
      <c r="B5495" s="1" t="s">
        <v>68</v>
      </c>
      <c r="C5495" s="1" t="s">
        <v>246</v>
      </c>
      <c r="D5495" s="1" t="s">
        <v>247</v>
      </c>
      <c r="E5495" s="1" t="s">
        <v>580</v>
      </c>
      <c r="F5495" s="1" t="s">
        <v>8998</v>
      </c>
      <c r="G5495" s="1" t="s">
        <v>28</v>
      </c>
      <c r="H5495" s="1" t="s">
        <v>29</v>
      </c>
      <c r="I5495" s="1" t="str">
        <f ca="1">IFERROR(__xludf.DUMMYFUNCTION("GOOGLETRANSLATE(F5495, ""auto"", ""en"")
"),"We needed an inexpensive steam iron. I doubted the sole, because... the display case was completely scratched. I've been using it for 5 months now. One shallow but disturbing scratch appeared. I don’t put it on the sole, but it’s stored anywhere, maybe a "&amp;"child accidentally played with it. I like the quality of ironing, the turbo shock is normal, the sole glides perfectly. The handle is a little unergonomic, because... There is no rubber pad and the palm can still feel the seams between the parts of the ha"&amp;"ndle. But these are minor things. I don’t really drain the water if it remains, I’ve never cleaned it, I just use filtered water, although the instructions say not to, but for some reason I can’t raise my hand to pour it from the tap.")</f>
        <v>We needed an inexpensive steam iron. I doubted the sole, because... the display case was completely scratched. I've been using it for 5 months now. One shallow but disturbing scratch appeared. I don’t put it on the sole, but it’s stored anywhere, maybe a child accidentally played with it. I like the quality of ironing, the turbo shock is normal, the sole glides perfectly. The handle is a little unergonomic, because... There is no rubber pad and the palm can still feel the seams between the parts of the handle. But these are minor things. I don’t really drain the water if it remains, I’ve never cleaned it, I just use filtered water, although the instructions say not to, but for some reason I can’t raise my hand to pour it from the tap.</v>
      </c>
    </row>
    <row r="5496" spans="1:9" x14ac:dyDescent="0.3">
      <c r="A5496" s="1" t="s">
        <v>369</v>
      </c>
      <c r="B5496" s="1" t="s">
        <v>587</v>
      </c>
      <c r="C5496" s="1" t="s">
        <v>588</v>
      </c>
      <c r="D5496" s="1" t="s">
        <v>1456</v>
      </c>
      <c r="E5496" s="1" t="s">
        <v>8999</v>
      </c>
      <c r="F5496" s="1" t="s">
        <v>9000</v>
      </c>
      <c r="G5496" s="1" t="s">
        <v>28</v>
      </c>
      <c r="H5496" s="1" t="s">
        <v>29</v>
      </c>
      <c r="I5496" s="1" t="str">
        <f ca="1">IFERROR(__xludf.DUMMYFUNCTION("GOOGLETRANSLATE(F5496, ""auto"", ""en"")
"),"Stainless steel, enameled surface, easy to clean. I recommend it. The quality is decent.")</f>
        <v>Stainless steel, enameled surface, easy to clean. I recommend it. The quality is decent.</v>
      </c>
    </row>
    <row r="5497" spans="1:9" x14ac:dyDescent="0.3">
      <c r="A5497" s="1" t="s">
        <v>30</v>
      </c>
      <c r="B5497" s="1" t="s">
        <v>50</v>
      </c>
      <c r="C5497" s="1" t="s">
        <v>32</v>
      </c>
      <c r="D5497" s="1" t="s">
        <v>9001</v>
      </c>
      <c r="E5497" s="1" t="s">
        <v>4875</v>
      </c>
      <c r="F5497" s="1" t="s">
        <v>9002</v>
      </c>
      <c r="G5497" s="1" t="s">
        <v>36</v>
      </c>
      <c r="H5497" s="1" t="s">
        <v>29</v>
      </c>
      <c r="I5497" s="1" t="str">
        <f ca="1">IFERROR(__xludf.DUMMYFUNCTION("GOOGLETRANSLATE(F5497, ""auto"", ""en"")
"),"Guys, what is the fundamental difference between this model and the Acer AS 8943G-728G1.28TWi??")</f>
        <v>Guys, what is the fundamental difference between this model and the Acer AS 8943G-728G1.28TWi??</v>
      </c>
    </row>
    <row r="5498" spans="1:9" x14ac:dyDescent="0.3">
      <c r="A5498" s="1" t="s">
        <v>211</v>
      </c>
      <c r="B5498" s="1" t="s">
        <v>212</v>
      </c>
      <c r="C5498" s="1" t="s">
        <v>213</v>
      </c>
      <c r="D5498" s="1" t="s">
        <v>295</v>
      </c>
      <c r="E5498" s="1" t="s">
        <v>1931</v>
      </c>
      <c r="F5498" s="1" t="s">
        <v>9003</v>
      </c>
      <c r="G5498" s="1" t="s">
        <v>28</v>
      </c>
      <c r="H5498" s="1" t="s">
        <v>29</v>
      </c>
      <c r="I5498" s="1" t="str">
        <f ca="1">IFERROR(__xludf.DUMMYFUNCTION("GOOGLETRANSLATE(F5498, ""auto"", ""en"")
"),"Same story. It worked for a year and began to overheat. After repair it served me for another 3 years. Then it started to warm up again and turn off. The service center said: “It can no longer be repaired, buy a new one.” It's a shame, because... the thin"&amp;"g is convenient.")</f>
        <v>Same story. It worked for a year and began to overheat. After repair it served me for another 3 years. Then it started to warm up again and turn off. The service center said: “It can no longer be repaired, buy a new one.” It's a shame, because... the thing is convenient.</v>
      </c>
    </row>
    <row r="5499" spans="1:9" x14ac:dyDescent="0.3">
      <c r="A5499" s="1" t="s">
        <v>61</v>
      </c>
      <c r="B5499" s="1" t="s">
        <v>318</v>
      </c>
      <c r="C5499" s="1" t="s">
        <v>101</v>
      </c>
      <c r="D5499" s="1" t="s">
        <v>420</v>
      </c>
      <c r="E5499" s="1" t="s">
        <v>405</v>
      </c>
      <c r="F5499" s="1" t="s">
        <v>9004</v>
      </c>
      <c r="G5499" s="1" t="s">
        <v>36</v>
      </c>
      <c r="H5499" s="1" t="s">
        <v>29</v>
      </c>
      <c r="I5499" s="1" t="str">
        <f ca="1">IFERROR(__xludf.DUMMYFUNCTION("GOOGLETRANSLATE(F5499, ""auto"", ""en"")
"),"A kettle (Soviet) burned out at work; this one turned out to be the cheapest of the line. The spout is comfortable, there is no foreign smell, it boils quickly and the decibels are normal. The stand is comfortable, but the cord is short. 2l. - excellent, "&amp;"for everything at once.")</f>
        <v>A kettle (Soviet) burned out at work; this one turned out to be the cheapest of the line. The spout is comfortable, there is no foreign smell, it boils quickly and the decibels are normal. The stand is comfortable, but the cord is short. 2l. - excellent, for everything at once.</v>
      </c>
    </row>
    <row r="5500" spans="1:9" x14ac:dyDescent="0.3">
      <c r="A5500" s="1" t="s">
        <v>120</v>
      </c>
      <c r="B5500" s="1" t="s">
        <v>126</v>
      </c>
      <c r="C5500" s="1" t="s">
        <v>151</v>
      </c>
      <c r="D5500" s="1" t="s">
        <v>5522</v>
      </c>
      <c r="E5500" s="1" t="s">
        <v>2806</v>
      </c>
      <c r="F5500" s="1" t="s">
        <v>9005</v>
      </c>
      <c r="G5500" s="1" t="s">
        <v>28</v>
      </c>
      <c r="H5500" s="1" t="s">
        <v>29</v>
      </c>
      <c r="I5500" s="1" t="str">
        <f ca="1">IFERROR(__xludf.DUMMYFUNCTION("GOOGLETRANSLATE(F5500, ""auto"", ""en"")
"),"The sensitivity of the buttons on the TV itself is poor and it is difficult to operate. Sometimes it turns on itself for a while in standby mode. Otherwise satisfied.")</f>
        <v>The sensitivity of the buttons on the TV itself is poor and it is difficult to operate. Sometimes it turns on itself for a while in standby mode. Otherwise satisfied.</v>
      </c>
    </row>
    <row r="5501" spans="1:9" x14ac:dyDescent="0.3">
      <c r="A5501" s="1" t="s">
        <v>30</v>
      </c>
      <c r="B5501" s="1" t="s">
        <v>50</v>
      </c>
      <c r="C5501" s="1" t="s">
        <v>694</v>
      </c>
      <c r="D5501" s="1" t="s">
        <v>385</v>
      </c>
      <c r="E5501" s="1" t="s">
        <v>1275</v>
      </c>
      <c r="F5501" s="1" t="s">
        <v>9006</v>
      </c>
      <c r="G5501" s="1" t="s">
        <v>28</v>
      </c>
      <c r="H5501" s="1" t="s">
        <v>29</v>
      </c>
      <c r="I5501" s="1" t="str">
        <f ca="1">IFERROR(__xludf.DUMMYFUNCTION("GOOGLETRANSLATE(F5501, ""auto"", ""en"")
"),"I bought this netbook in January. the next day the system crashed. I took it back and replaced it with a new one. I reinstalled the system and partitioned the disks correctly. The downside of this netbook is that it slows down horribly when playing some H"&amp;"D movies above a resolution of 1080*900. It’s clearly better not to install games on it. And in principle, a good netbook for such a price. The netbook deserves a rating of 4!")</f>
        <v>I bought this netbook in January. the next day the system crashed. I took it back and replaced it with a new one. I reinstalled the system and partitioned the disks correctly. The downside of this netbook is that it slows down horribly when playing some HD movies above a resolution of 1080*900. It’s clearly better not to install games on it. And in principle, a good netbook for such a price. The netbook deserves a rating of 4!</v>
      </c>
    </row>
    <row r="5502" spans="1:9" x14ac:dyDescent="0.3">
      <c r="A5502" s="1" t="s">
        <v>169</v>
      </c>
      <c r="B5502" s="1" t="s">
        <v>170</v>
      </c>
      <c r="C5502" s="1" t="s">
        <v>171</v>
      </c>
      <c r="D5502" s="1" t="s">
        <v>52</v>
      </c>
      <c r="E5502" s="1" t="s">
        <v>1332</v>
      </c>
      <c r="F5502" s="1" t="s">
        <v>9007</v>
      </c>
      <c r="G5502" s="1" t="s">
        <v>49</v>
      </c>
      <c r="H5502" s="1" t="s">
        <v>16</v>
      </c>
      <c r="I5502" s="1" t="str">
        <f ca="1">IFERROR(__xludf.DUMMYFUNCTION("GOOGLETRANSLATE(F5502, ""auto"", ""en"")
"),"I bought these headphones at the end of May, good headphones, good sound, good bass. However, some time passed, the wire stretched out, in the place where the wire forks. I went and exchanged them for similar ones. As it turned out later, these headphones"&amp;" were a pure fake, they were completely different from the ones I bought earlier, the only similarity was the design of these headphones. This is how I later distinguished them. Firstly, I immediately noticed that their body was plastic when it should hav"&amp;"e been made of aluminum. Secondly, on the headphones themselves, unlike the previous ones, the Fischer logo is barely readable and poorly printed. Thirdly, instead of aluminum engraving on the ends of the headphones, shiny paint is applied. Fourthly, the "&amp;"sound quality was terrible, it felt like the sound was coming from somewhere behind a blank wall. Fifthly, the packaging was also different from the previous one, it was noticeably smaller than the previous one, and the packaging was poorly printed. the d"&amp;"escription, well, the color of the packaging was greenish, when I think the original ones were pale yellow.   So, be careful when choosing headphones.")</f>
        <v>I bought these headphones at the end of May, good headphones, good sound, good bass. However, some time passed, the wire stretched out, in the place where the wire forks. I went and exchanged them for similar ones. As it turned out later, these headphones were a pure fake, they were completely different from the ones I bought earlier, the only similarity was the design of these headphones. This is how I later distinguished them. Firstly, I immediately noticed that their body was plastic when it should have been made of aluminum. Secondly, on the headphones themselves, unlike the previous ones, the Fischer logo is barely readable and poorly printed. Thirdly, instead of aluminum engraving on the ends of the headphones, shiny paint is applied. Fourthly, the sound quality was terrible, it felt like the sound was coming from somewhere behind a blank wall. Fifthly, the packaging was also different from the previous one, it was noticeably smaller than the previous one, and the packaging was poorly printed. the description, well, the color of the packaging was greenish, when I think the original ones were pale yellow.   So, be careful when choosing headphones.</v>
      </c>
    </row>
    <row r="5503" spans="1:9" x14ac:dyDescent="0.3">
      <c r="A5503" s="1" t="s">
        <v>206</v>
      </c>
      <c r="B5503" s="1" t="s">
        <v>207</v>
      </c>
      <c r="C5503" s="1" t="s">
        <v>262</v>
      </c>
      <c r="D5503" s="1" t="s">
        <v>9008</v>
      </c>
      <c r="E5503" s="1" t="s">
        <v>1565</v>
      </c>
      <c r="F5503" s="1" t="s">
        <v>9009</v>
      </c>
      <c r="G5503" s="1" t="s">
        <v>36</v>
      </c>
      <c r="H5503" s="1" t="s">
        <v>29</v>
      </c>
      <c r="I5503" s="1" t="str">
        <f ca="1">IFERROR(__xludf.DUMMYFUNCTION("GOOGLETRANSLATE(F5503, ""auto"", ""en"")
"),"awesome device")</f>
        <v>awesome device</v>
      </c>
    </row>
    <row r="5504" spans="1:9" x14ac:dyDescent="0.3">
      <c r="A5504" s="1" t="s">
        <v>43</v>
      </c>
      <c r="B5504" s="1" t="s">
        <v>1370</v>
      </c>
      <c r="C5504" s="1" t="s">
        <v>2137</v>
      </c>
      <c r="D5504" s="1" t="s">
        <v>39</v>
      </c>
      <c r="E5504" s="1" t="s">
        <v>9010</v>
      </c>
      <c r="F5504" s="1" t="s">
        <v>9011</v>
      </c>
      <c r="G5504" s="1" t="s">
        <v>36</v>
      </c>
      <c r="H5504" s="1" t="s">
        <v>29</v>
      </c>
      <c r="I5504" s="1" t="str">
        <f ca="1">IFERROR(__xludf.DUMMYFUNCTION("GOOGLETRANSLATE(F5504, ""auto"", ""en"")
"),"I bought it today, for the money I’m happy with everything, the water is a little higher than warm with medium pressure, it’s okay to rinse in the summer. There is a medicine smell and it smells a little when heated.")</f>
        <v>I bought it today, for the money I’m happy with everything, the water is a little higher than warm with medium pressure, it’s okay to rinse in the summer. There is a medicine smell and it smells a little when heated.</v>
      </c>
    </row>
    <row r="5505" spans="1:9" x14ac:dyDescent="0.3">
      <c r="A5505" s="1" t="s">
        <v>89</v>
      </c>
      <c r="B5505" s="1" t="s">
        <v>231</v>
      </c>
      <c r="C5505" s="1" t="s">
        <v>185</v>
      </c>
      <c r="D5505" s="1" t="s">
        <v>86</v>
      </c>
      <c r="E5505" s="1" t="s">
        <v>3545</v>
      </c>
      <c r="F5505" s="1" t="s">
        <v>9012</v>
      </c>
      <c r="G5505" s="1" t="s">
        <v>36</v>
      </c>
      <c r="H5505" s="1" t="s">
        <v>29</v>
      </c>
      <c r="I5505" s="1" t="str">
        <f ca="1">IFERROR(__xludf.DUMMYFUNCTION("GOOGLETRANSLATE(F5505, ""auto"", ""en"")
"),"Best value for money ")</f>
        <v xml:space="preserve">Best value for money </v>
      </c>
    </row>
    <row r="5506" spans="1:9" x14ac:dyDescent="0.3">
      <c r="A5506" s="1" t="s">
        <v>9</v>
      </c>
      <c r="B5506" s="1" t="s">
        <v>10</v>
      </c>
      <c r="C5506" s="1" t="s">
        <v>3091</v>
      </c>
      <c r="D5506" s="1" t="s">
        <v>9013</v>
      </c>
      <c r="E5506" s="1" t="s">
        <v>2482</v>
      </c>
      <c r="F5506" s="1" t="s">
        <v>9014</v>
      </c>
      <c r="G5506" s="1" t="s">
        <v>36</v>
      </c>
      <c r="H5506" s="1" t="s">
        <v>29</v>
      </c>
      <c r="I5506" s="1" t="str">
        <f ca="1">IFERROR(__xludf.DUMMYFUNCTION("GOOGLETRANSLATE(F5506, ""auto"", ""en"")
"),"This hood immediately attracted my attention, because it is made in such a way that in a home interior it will do its job discreetly, without attracting attention.  This built-in model is installed in my wall cabinet above the cooktop.   Only the front pa"&amp;"nel is visible, which controls the operation of the hood. In order for the motor to turn on and the outflow of warm air to begin, it is necessary to push the panel itself forward. By pushing it back, the hood turns off - comfortably done) At the moment of"&amp;" its activation, the hood picks up the speed set earlier and removes air in the same mode. There is also a metal washable filter installed and there is the possibility of installing a carbon filter - everything is thought out)")</f>
        <v>This hood immediately attracted my attention, because it is made in such a way that in a home interior it will do its job discreetly, without attracting attention.  This built-in model is installed in my wall cabinet above the cooktop.   Only the front panel is visible, which controls the operation of the hood. In order for the motor to turn on and the outflow of warm air to begin, it is necessary to push the panel itself forward. By pushing it back, the hood turns off - comfortably done) At the moment of its activation, the hood picks up the speed set earlier and removes air in the same mode. There is also a metal washable filter installed and there is the possibility of installing a carbon filter - everything is thought out)</v>
      </c>
    </row>
    <row r="5507" spans="1:9" x14ac:dyDescent="0.3">
      <c r="A5507" s="1" t="s">
        <v>89</v>
      </c>
      <c r="B5507" s="1" t="s">
        <v>90</v>
      </c>
      <c r="C5507" s="1" t="s">
        <v>185</v>
      </c>
      <c r="D5507" s="1" t="s">
        <v>456</v>
      </c>
      <c r="E5507" s="1" t="s">
        <v>3747</v>
      </c>
      <c r="F5507" s="1" t="s">
        <v>9015</v>
      </c>
      <c r="G5507" s="1" t="s">
        <v>36</v>
      </c>
      <c r="H5507" s="1" t="s">
        <v>29</v>
      </c>
      <c r="I5507" s="1" t="str">
        <f ca="1">IFERROR(__xludf.DUMMYFUNCTION("GOOGLETRANSLATE(F5507, ""auto"", ""en"")
"),"Great coffee grinder! The coffee does not burn out, the taste is revealed more fully. Grinding is uniform and fast. I'm very pleased. The main thing is not to touch the inside. They took it out once, then with difficulty putting everything back in place.")</f>
        <v>Great coffee grinder! The coffee does not burn out, the taste is revealed more fully. Grinding is uniform and fast. I'm very pleased. The main thing is not to touch the inside. They took it out once, then with difficulty putting everything back in place.</v>
      </c>
    </row>
    <row r="5508" spans="1:9" x14ac:dyDescent="0.3">
      <c r="A5508" s="1" t="s">
        <v>61</v>
      </c>
      <c r="B5508" s="1" t="s">
        <v>318</v>
      </c>
      <c r="C5508" s="1" t="s">
        <v>45</v>
      </c>
      <c r="D5508" s="1" t="s">
        <v>621</v>
      </c>
      <c r="E5508" s="1" t="s">
        <v>4933</v>
      </c>
      <c r="F5508" s="1" t="s">
        <v>9016</v>
      </c>
      <c r="G5508" s="1" t="s">
        <v>49</v>
      </c>
      <c r="H5508" s="1" t="s">
        <v>16</v>
      </c>
      <c r="I5508" s="1" t="str">
        <f ca="1">IFERROR(__xludf.DUMMYFUNCTION("GOOGLETRANSLATE(F5508, ""auto"", ""en"")
"),"I read the reviews. Many people warned that the kettle was leaking. I didn't listen. After 1.5 months I left for permanent residence in the trash heap.")</f>
        <v>I read the reviews. Many people warned that the kettle was leaking. I didn't listen. After 1.5 months I left for permanent residence in the trash heap.</v>
      </c>
    </row>
    <row r="5509" spans="1:9" x14ac:dyDescent="0.3">
      <c r="A5509" s="1" t="s">
        <v>67</v>
      </c>
      <c r="B5509" s="1" t="s">
        <v>68</v>
      </c>
      <c r="C5509" s="1" t="s">
        <v>246</v>
      </c>
      <c r="D5509" s="1" t="s">
        <v>75</v>
      </c>
      <c r="E5509" s="1" t="s">
        <v>386</v>
      </c>
      <c r="F5509" s="1" t="s">
        <v>9017</v>
      </c>
      <c r="G5509" s="1" t="s">
        <v>49</v>
      </c>
      <c r="H5509" s="1" t="s">
        <v>16</v>
      </c>
      <c r="I5509" s="1" t="str">
        <f ca="1">IFERROR(__xludf.DUMMYFUNCTION("GOOGLETRANSLATE(F5509, ""auto"", ""en"")
"),"This iron was given to me....at first I used it and I liked it, but then it just started to irritate me =)) You pour water into it, but there is nothing to close it...so it fell on its side and the water poured out. I used tap water, and the scale remains"&amp;" on things (not immediately, of course, after a year or so.... well, it’s probably natural water is like that) and things acquire an unpleasant smell after ironing. So leaving water in the iron is not an option; you have to pour it out constantly. Used fo"&amp;"r 3 years.")</f>
        <v>This iron was given to me....at first I used it and I liked it, but then it just started to irritate me =)) You pour water into it, but there is nothing to close it...so it fell on its side and the water poured out. I used tap water, and the scale remains on things (not immediately, of course, after a year or so.... well, it’s probably natural water is like that) and things acquire an unpleasant smell after ironing. So leaving water in the iron is not an option; you have to pour it out constantly. Used for 3 years.</v>
      </c>
    </row>
    <row r="5510" spans="1:9" x14ac:dyDescent="0.3">
      <c r="A5510" s="1" t="s">
        <v>105</v>
      </c>
      <c r="B5510" s="1" t="s">
        <v>106</v>
      </c>
      <c r="C5510" s="1" t="s">
        <v>1921</v>
      </c>
      <c r="D5510" s="1" t="s">
        <v>9018</v>
      </c>
      <c r="E5510" s="1" t="s">
        <v>1864</v>
      </c>
      <c r="F5510" s="1" t="s">
        <v>9019</v>
      </c>
      <c r="G5510" s="1" t="s">
        <v>36</v>
      </c>
      <c r="H5510" s="1" t="s">
        <v>29</v>
      </c>
      <c r="I5510" s="1" t="str">
        <f ca="1">IFERROR(__xludf.DUMMYFUNCTION("GOOGLETRANSLATE(F5510, ""auto"", ""en"")
"),"This player has a keyboard lock.  The player is good! :) I've been using it for a year now...")</f>
        <v>This player has a keyboard lock.  The player is good! :) I've been using it for a year now...</v>
      </c>
    </row>
    <row r="5511" spans="1:9" x14ac:dyDescent="0.3">
      <c r="A5511" s="1" t="s">
        <v>557</v>
      </c>
      <c r="B5511" s="1" t="s">
        <v>558</v>
      </c>
      <c r="C5511" s="1" t="s">
        <v>122</v>
      </c>
      <c r="D5511" s="1" t="s">
        <v>4281</v>
      </c>
      <c r="E5511" s="1" t="s">
        <v>4789</v>
      </c>
      <c r="F5511" s="1" t="s">
        <v>9020</v>
      </c>
      <c r="G5511" s="1" t="s">
        <v>36</v>
      </c>
      <c r="H5511" s="1" t="s">
        <v>29</v>
      </c>
      <c r="I5511" s="1" t="str">
        <f ca="1">IFERROR(__xludf.DUMMYFUNCTION("GOOGLETRANSLATE(F5511, ""auto"", ""en"")
"),"The price corresponds to the quality")</f>
        <v>The price corresponds to the quality</v>
      </c>
    </row>
    <row r="5512" spans="1:9" x14ac:dyDescent="0.3">
      <c r="A5512" s="1" t="s">
        <v>43</v>
      </c>
      <c r="B5512" s="1" t="s">
        <v>1616</v>
      </c>
      <c r="C5512" s="1" t="s">
        <v>1138</v>
      </c>
      <c r="D5512" s="1" t="s">
        <v>411</v>
      </c>
      <c r="E5512" s="1" t="s">
        <v>9021</v>
      </c>
      <c r="F5512" s="1" t="s">
        <v>9022</v>
      </c>
      <c r="G5512" s="1" t="s">
        <v>28</v>
      </c>
      <c r="H5512" s="1" t="s">
        <v>29</v>
      </c>
      <c r="I5512" s="1" t="str">
        <f ca="1">IFERROR(__xludf.DUMMYFUNCTION("GOOGLETRANSLATE(F5512, ""auto"", ""en"")
"),"It worked almost 24/7 for the whole month and didn’t break down, but I had to clean the air filter (an error light came on).")</f>
        <v>It worked almost 24/7 for the whole month and didn’t break down, but I had to clean the air filter (an error light came on).</v>
      </c>
    </row>
    <row r="5513" spans="1:9" x14ac:dyDescent="0.3">
      <c r="A5513" s="1" t="s">
        <v>55</v>
      </c>
      <c r="B5513" s="1" t="s">
        <v>56</v>
      </c>
      <c r="C5513" s="1" t="s">
        <v>85</v>
      </c>
      <c r="D5513" s="1" t="s">
        <v>75</v>
      </c>
      <c r="E5513" s="1" t="s">
        <v>2506</v>
      </c>
      <c r="F5513" s="1" t="s">
        <v>9023</v>
      </c>
      <c r="G5513" s="1" t="s">
        <v>36</v>
      </c>
      <c r="H5513" s="1" t="s">
        <v>29</v>
      </c>
      <c r="I5513" s="1" t="str">
        <f ca="1">IFERROR(__xludf.DUMMYFUNCTION("GOOGLETRANSLATE(F5513, ""auto"", ""en"")
"),"I purchased this humidifier about six months ago. Great! Stylish and compact design, really low noise. Quality of humidification: easily moisturizes up to 50-60%, I have 22 square meters, the humidifier copes well, the humidity rises very quickly. As for "&amp;"the white residue, if you don’t regret it and fill it with good, clean drinking water, there won’t be any residue. I’m very pleased with the purchase.")</f>
        <v>I purchased this humidifier about six months ago. Great! Stylish and compact design, really low noise. Quality of humidification: easily moisturizes up to 50-60%, I have 22 square meters, the humidifier copes well, the humidity rises very quickly. As for the white residue, if you don’t regret it and fill it with good, clean drinking water, there won’t be any residue. I’m very pleased with the purchase.</v>
      </c>
    </row>
    <row r="5514" spans="1:9" x14ac:dyDescent="0.3">
      <c r="A5514" s="1" t="s">
        <v>1174</v>
      </c>
      <c r="B5514" s="1" t="s">
        <v>1175</v>
      </c>
      <c r="C5514" s="1" t="s">
        <v>356</v>
      </c>
      <c r="D5514" s="1" t="s">
        <v>39</v>
      </c>
      <c r="E5514" s="1" t="s">
        <v>449</v>
      </c>
      <c r="F5514" s="1" t="s">
        <v>9024</v>
      </c>
      <c r="G5514" s="1" t="s">
        <v>15</v>
      </c>
      <c r="H5514" s="1" t="s">
        <v>16</v>
      </c>
      <c r="I5514" s="1" t="str">
        <f ca="1">IFERROR(__xludf.DUMMYFUNCTION("GOOGLETRANSLATE(F5514, ""auto"", ""en"")
"),"For those included in the player package, they are nothing (with an iPod Classic 160gb), but for 2500 rubles, who needs them? The sound is terrible. For this money you can buy cool Sennheiser earplugs.")</f>
        <v>For those included in the player package, they are nothing (with an iPod Classic 160gb), but for 2500 rubles, who needs them? The sound is terrible. For this money you can buy cool Sennheiser earplugs.</v>
      </c>
    </row>
    <row r="5515" spans="1:9" x14ac:dyDescent="0.3">
      <c r="A5515" s="1" t="s">
        <v>206</v>
      </c>
      <c r="B5515" s="1" t="s">
        <v>207</v>
      </c>
      <c r="C5515" s="1" t="s">
        <v>97</v>
      </c>
      <c r="D5515" s="1" t="s">
        <v>39</v>
      </c>
      <c r="E5515" s="1" t="s">
        <v>1203</v>
      </c>
      <c r="F5515" s="1" t="s">
        <v>9025</v>
      </c>
      <c r="G5515" s="1" t="s">
        <v>36</v>
      </c>
      <c r="H5515" s="1" t="s">
        <v>29</v>
      </c>
      <c r="I5515" s="1" t="str">
        <f ca="1">IFERROR(__xludf.DUMMYFUNCTION("GOOGLETRANSLATE(F5515, ""auto"", ""en"")
"),"I bought this buffet, I was completely satisfied, it pumps normally, but there’s something knocking there, it’s all bullshit, when buying this sub, just be careful the rubber around the diffuser must be hard, for me it was hard after half a year, then the"&amp;" car was kicked out. The diffuser itself, when you put pressure on it with your hand, it’s very difficult to fall through, in other words, when it’s turned off, it shouldn’t be able to walk")</f>
        <v>I bought this buffet, I was completely satisfied, it pumps normally, but there’s something knocking there, it’s all bullshit, when buying this sub, just be careful the rubber around the diffuser must be hard, for me it was hard after half a year, then the car was kicked out. The diffuser itself, when you put pressure on it with your hand, it’s very difficult to fall through, in other words, when it’s turned off, it shouldn’t be able to walk</v>
      </c>
    </row>
    <row r="5516" spans="1:9" x14ac:dyDescent="0.3">
      <c r="A5516" s="1" t="s">
        <v>211</v>
      </c>
      <c r="B5516" s="1" t="s">
        <v>212</v>
      </c>
      <c r="C5516" s="1" t="s">
        <v>69</v>
      </c>
      <c r="D5516" s="1" t="s">
        <v>471</v>
      </c>
      <c r="E5516" s="1" t="s">
        <v>1282</v>
      </c>
      <c r="F5516" s="1" t="s">
        <v>9026</v>
      </c>
      <c r="G5516" s="1" t="s">
        <v>36</v>
      </c>
      <c r="H5516" s="1" t="s">
        <v>29</v>
      </c>
      <c r="I5516" s="1" t="str">
        <f ca="1">IFERROR(__xludf.DUMMYFUNCTION("GOOGLETRANSLATE(F5516, ""auto"", ""en"")
"),"Fine grille with screws. Does not catch hair")</f>
        <v>Fine grille with screws. Does not catch hair</v>
      </c>
    </row>
    <row r="5517" spans="1:9" x14ac:dyDescent="0.3">
      <c r="A5517" s="1" t="s">
        <v>206</v>
      </c>
      <c r="B5517" s="1" t="s">
        <v>1349</v>
      </c>
      <c r="C5517" s="1" t="s">
        <v>351</v>
      </c>
      <c r="D5517" s="1" t="s">
        <v>9027</v>
      </c>
      <c r="E5517" s="1" t="s">
        <v>1576</v>
      </c>
      <c r="F5517" s="1" t="s">
        <v>9028</v>
      </c>
      <c r="G5517" s="1" t="s">
        <v>15</v>
      </c>
      <c r="H5517" s="1" t="s">
        <v>16</v>
      </c>
      <c r="I5517" s="1" t="str">
        <f ca="1">IFERROR(__xludf.DUMMYFUNCTION("GOOGLETRANSLATE(F5517, ""auto"", ""en"")
"),"Extremely inconvenient interface.  I understand a 16GB USB flash drive, but it takes a long time to read, it doesn’t understand Russian file names, it doesn’t know about the existence of subfolders: it writes all the folders into one long, long sheet, it "&amp;"takes a very long time to click the remote control, and it also doesn’t understand folder/file names of more than 8 characters.")</f>
        <v>Extremely inconvenient interface.  I understand a 16GB USB flash drive, but it takes a long time to read, it doesn’t understand Russian file names, it doesn’t know about the existence of subfolders: it writes all the folders into one long, long sheet, it takes a very long time to click the remote control, and it also doesn’t understand folder/file names of more than 8 characters.</v>
      </c>
    </row>
    <row r="5518" spans="1:9" x14ac:dyDescent="0.3">
      <c r="A5518" s="1" t="s">
        <v>43</v>
      </c>
      <c r="B5518" s="1" t="s">
        <v>303</v>
      </c>
      <c r="C5518" s="1" t="s">
        <v>304</v>
      </c>
      <c r="D5518" s="1" t="s">
        <v>592</v>
      </c>
      <c r="E5518" s="1" t="s">
        <v>395</v>
      </c>
      <c r="F5518" s="1" t="s">
        <v>9029</v>
      </c>
      <c r="G5518" s="1" t="s">
        <v>49</v>
      </c>
      <c r="H5518" s="1" t="s">
        <v>16</v>
      </c>
      <c r="I5518" s="1" t="str">
        <f ca="1">IFERROR(__xludf.DUMMYFUNCTION("GOOGLETRANSLATE(F5518, ""auto"", ""en"")
"),"Quiet horror! The water doesn’t just flow in a stream, but in a full-flowing river! I don’t recommend it to anyone!")</f>
        <v>Quiet horror! The water doesn’t just flow in a stream, but in a full-flowing river! I don’t recommend it to anyone!</v>
      </c>
    </row>
    <row r="5519" spans="1:9" x14ac:dyDescent="0.3">
      <c r="A5519" s="1" t="s">
        <v>169</v>
      </c>
      <c r="B5519" s="1" t="s">
        <v>170</v>
      </c>
      <c r="C5519" s="1" t="s">
        <v>122</v>
      </c>
      <c r="D5519" s="1" t="s">
        <v>152</v>
      </c>
      <c r="E5519" s="1" t="s">
        <v>5213</v>
      </c>
      <c r="F5519" s="1" t="s">
        <v>9030</v>
      </c>
      <c r="G5519" s="1" t="s">
        <v>36</v>
      </c>
      <c r="H5519" s="1" t="s">
        <v>29</v>
      </c>
      <c r="I5519" s="1" t="str">
        <f ca="1">IFERROR(__xludf.DUMMYFUNCTION("GOOGLETRANSLATE(F5519, ""auto"", ""en"")
"),"I was pleased with the headphones. The frequency range is decent, the volume is normal. We worked faithfully for a year. Then the left channel died, followed by the right one. The only negative is the thin wire. This is actually why they died.")</f>
        <v>I was pleased with the headphones. The frequency range is decent, the volume is normal. We worked faithfully for a year. Then the left channel died, followed by the right one. The only negative is the thin wire. This is actually why they died.</v>
      </c>
    </row>
    <row r="5520" spans="1:9" x14ac:dyDescent="0.3">
      <c r="A5520" s="1" t="s">
        <v>149</v>
      </c>
      <c r="B5520" s="1" t="s">
        <v>423</v>
      </c>
      <c r="C5520" s="1" t="s">
        <v>80</v>
      </c>
      <c r="D5520" s="1" t="s">
        <v>9031</v>
      </c>
      <c r="E5520" s="1" t="s">
        <v>585</v>
      </c>
      <c r="F5520" s="1" t="s">
        <v>9032</v>
      </c>
      <c r="G5520" s="1" t="s">
        <v>36</v>
      </c>
      <c r="H5520" s="1" t="s">
        <v>29</v>
      </c>
      <c r="I5520" s="1" t="str">
        <f ca="1">IFERROR(__xludf.DUMMYFUNCTION("GOOGLETRANSLATE(F5520, ""auto"", ""en"")
"),"LG is a reliable and proven brand...everything works effectively and flawlessly. I'm happy with the unit.")</f>
        <v>LG is a reliable and proven brand...everything works effectively and flawlessly. I'm happy with the unit.</v>
      </c>
    </row>
    <row r="5521" spans="1:9" x14ac:dyDescent="0.3">
      <c r="A5521" s="1" t="s">
        <v>624</v>
      </c>
      <c r="B5521" s="1" t="s">
        <v>625</v>
      </c>
      <c r="C5521" s="1" t="s">
        <v>479</v>
      </c>
      <c r="D5521" s="1" t="s">
        <v>9033</v>
      </c>
      <c r="E5521" s="1" t="s">
        <v>1280</v>
      </c>
      <c r="F5521" s="1" t="s">
        <v>9034</v>
      </c>
      <c r="G5521" s="1" t="s">
        <v>36</v>
      </c>
      <c r="H5521" s="1" t="s">
        <v>29</v>
      </c>
      <c r="I5521" s="1" t="str">
        <f ca="1">IFERROR(__xludf.DUMMYFUNCTION("GOOGLETRANSLATE(F5521, ""auto"", ""en"")
"),"The best slasher of the year. If you have a PS3 and don't have God of War, then you're missing out!  P.S. It’s just great that she appeared in Novokuznetsk!!!")</f>
        <v>The best slasher of the year. If you have a PS3 and don't have God of War, then you're missing out!  P.S. It’s just great that she appeared in Novokuznetsk!!!</v>
      </c>
    </row>
    <row r="5522" spans="1:9" x14ac:dyDescent="0.3">
      <c r="A5522" s="1" t="s">
        <v>17</v>
      </c>
      <c r="B5522" s="1" t="s">
        <v>18</v>
      </c>
      <c r="C5522" s="1" t="s">
        <v>243</v>
      </c>
      <c r="D5522" s="1" t="s">
        <v>9035</v>
      </c>
      <c r="E5522" s="1" t="s">
        <v>4732</v>
      </c>
      <c r="F5522" s="1" t="s">
        <v>9036</v>
      </c>
      <c r="G5522" s="1" t="s">
        <v>36</v>
      </c>
      <c r="H5522" s="1" t="s">
        <v>29</v>
      </c>
      <c r="I5522" s="1" t="str">
        <f ca="1">IFERROR(__xludf.DUMMYFUNCTION("GOOGLETRANSLATE(F5522, ""auto"", ""en"")
"),"Served for 4 years. :( A strong cracking sound appeared. The result is that the bearings are covered. The tank is cast, sealed, not repairable. Repair by cutting the tank from the Kulibins, from 5 thousand rubles. I’m going to buy a new washing machine.")</f>
        <v>Served for 4 years. :( A strong cracking sound appeared. The result is that the bearings are covered. The tank is cast, sealed, not repairable. Repair by cutting the tank from the Kulibins, from 5 thousand rubles. I’m going to buy a new washing machine.</v>
      </c>
    </row>
    <row r="5523" spans="1:9" x14ac:dyDescent="0.3">
      <c r="A5523" s="1" t="s">
        <v>89</v>
      </c>
      <c r="B5523" s="1" t="s">
        <v>90</v>
      </c>
      <c r="C5523" s="1" t="s">
        <v>745</v>
      </c>
      <c r="D5523" s="1" t="s">
        <v>3253</v>
      </c>
      <c r="E5523" s="1" t="s">
        <v>9037</v>
      </c>
      <c r="F5523" s="1" t="s">
        <v>9038</v>
      </c>
      <c r="G5523" s="1" t="s">
        <v>36</v>
      </c>
      <c r="H5523" s="1" t="s">
        <v>29</v>
      </c>
      <c r="I5523" s="1" t="str">
        <f ca="1">IFERROR(__xludf.DUMMYFUNCTION("GOOGLETRANSLATE(F5523, ""auto"", ""en"")
"),"The Polaris coffee grinder is very easy to use, I bought it mainly to grind coffee beans, but you can also use it to make powdered sugar from granulated sugar and grind cereals. The coffee grinder is very easy to use, it has one button and you need to pre"&amp;"ss it until the product that is being ground is ready. It has an optimal load of about a handful.")</f>
        <v>The Polaris coffee grinder is very easy to use, I bought it mainly to grind coffee beans, but you can also use it to make powdered sugar from granulated sugar and grind cereals. The coffee grinder is very easy to use, it has one button and you need to press it until the product that is being ground is ready. It has an optimal load of about a handful.</v>
      </c>
    </row>
    <row r="5524" spans="1:9" x14ac:dyDescent="0.3">
      <c r="A5524" s="1" t="s">
        <v>30</v>
      </c>
      <c r="B5524" s="1" t="s">
        <v>50</v>
      </c>
      <c r="C5524" s="1" t="s">
        <v>151</v>
      </c>
      <c r="D5524" s="1" t="s">
        <v>1152</v>
      </c>
      <c r="E5524" s="1" t="s">
        <v>917</v>
      </c>
      <c r="F5524" s="1" t="s">
        <v>9039</v>
      </c>
      <c r="G5524" s="1" t="s">
        <v>36</v>
      </c>
      <c r="H5524" s="1" t="s">
        <v>29</v>
      </c>
      <c r="I5524" s="1" t="str">
        <f ca="1">IFERROR(__xludf.DUMMYFUNCTION("GOOGLETRANSLATE(F5524, ""auto"", ""en"")
"),"I bought this laptop relatively recently, so far I can’t be more pleased, it’s a very reliable thing for not the most money. thanks to the store for the discount.")</f>
        <v>I bought this laptop relatively recently, so far I can’t be more pleased, it’s a very reliable thing for not the most money. thanks to the store for the discount.</v>
      </c>
    </row>
    <row r="5525" spans="1:9" x14ac:dyDescent="0.3">
      <c r="A5525" s="1" t="s">
        <v>67</v>
      </c>
      <c r="B5525" s="1" t="s">
        <v>68</v>
      </c>
      <c r="C5525" s="1" t="s">
        <v>69</v>
      </c>
      <c r="D5525" s="1" t="s">
        <v>9040</v>
      </c>
      <c r="E5525" s="1" t="s">
        <v>9041</v>
      </c>
      <c r="F5525" s="1" t="s">
        <v>9042</v>
      </c>
      <c r="G5525" s="1" t="s">
        <v>36</v>
      </c>
      <c r="H5525" s="1" t="s">
        <v>29</v>
      </c>
      <c r="I5525" s="1" t="str">
        <f ca="1">IFERROR(__xludf.DUMMYFUNCTION("GOOGLETRANSLATE(F5525, ""auto"", ""en"")
"),"We bought a couple of irons from M-Video and eventually returned them (the return was carried out without swearing, which we were very happy about and even surprised by)... We settled on this model and are very pleased. The only problem: at full power wit"&amp;"h maximum steam supply, I constantly run for water, but this is a plus - everything is ironed quickly and easily without any complaints.")</f>
        <v>We bought a couple of irons from M-Video and eventually returned them (the return was carried out without swearing, which we were very happy about and even surprised by)... We settled on this model and are very pleased. The only problem: at full power with maximum steam supply, I constantly run for water, but this is a plus - everything is ironed quickly and easily without any complaints.</v>
      </c>
    </row>
    <row r="5526" spans="1:9" x14ac:dyDescent="0.3">
      <c r="A5526" s="1" t="s">
        <v>9</v>
      </c>
      <c r="B5526" s="1" t="s">
        <v>23</v>
      </c>
      <c r="C5526" s="1" t="s">
        <v>466</v>
      </c>
      <c r="D5526" s="1" t="s">
        <v>75</v>
      </c>
      <c r="E5526" s="1" t="s">
        <v>2059</v>
      </c>
      <c r="F5526" s="1" t="s">
        <v>9043</v>
      </c>
      <c r="G5526" s="1" t="s">
        <v>36</v>
      </c>
      <c r="H5526" s="1" t="s">
        <v>29</v>
      </c>
      <c r="I5526" s="1" t="str">
        <f ca="1">IFERROR(__xludf.DUMMYFUNCTION("GOOGLETRANSLATE(F5526, ""auto"", ""en"")
"),"Delighted with my baby. It fits perfectly in a small kitchen, it cleans just brilliantly, the main thing is to use good products and not 3in1 tablets, which absolutely cannot be used for this model. Not silent, but not horror-horror either.")</f>
        <v>Delighted with my baby. It fits perfectly in a small kitchen, it cleans just brilliantly, the main thing is to use good products and not 3in1 tablets, which absolutely cannot be used for this model. Not silent, but not horror-horror either.</v>
      </c>
    </row>
    <row r="5527" spans="1:9" x14ac:dyDescent="0.3">
      <c r="A5527" s="1" t="s">
        <v>89</v>
      </c>
      <c r="B5527" s="1" t="s">
        <v>231</v>
      </c>
      <c r="C5527" s="1" t="s">
        <v>1072</v>
      </c>
      <c r="D5527" s="1" t="s">
        <v>565</v>
      </c>
      <c r="E5527" s="1" t="s">
        <v>1879</v>
      </c>
      <c r="F5527" s="1" t="s">
        <v>9044</v>
      </c>
      <c r="G5527" s="1" t="s">
        <v>49</v>
      </c>
      <c r="H5527" s="1" t="s">
        <v>16</v>
      </c>
      <c r="I5527" s="1" t="str">
        <f ca="1">IFERROR(__xludf.DUMMYFUNCTION("GOOGLETRANSLATE(F5527, ""auto"", ""en"")
"),"We bought it a year ago. During this year, repairs were carried out twice, each time the screen broke, without which operation is not possible!!!!!!!! It's good that you took the certificate!!!!")</f>
        <v>We bought it a year ago. During this year, repairs were carried out twice, each time the screen broke, without which operation is not possible!!!!!!!! It's good that you took the certificate!!!!</v>
      </c>
    </row>
    <row r="5528" spans="1:9" x14ac:dyDescent="0.3">
      <c r="A5528" s="1" t="s">
        <v>61</v>
      </c>
      <c r="B5528" s="1" t="s">
        <v>318</v>
      </c>
      <c r="C5528" s="1" t="s">
        <v>213</v>
      </c>
      <c r="D5528" s="1" t="s">
        <v>3273</v>
      </c>
      <c r="E5528" s="1" t="s">
        <v>4780</v>
      </c>
      <c r="F5528" s="1" t="s">
        <v>9045</v>
      </c>
      <c r="G5528" s="1" t="s">
        <v>36</v>
      </c>
      <c r="H5528" s="1" t="s">
        <v>29</v>
      </c>
      <c r="I5528" s="1" t="str">
        <f ca="1">IFERROR(__xludf.DUMMYFUNCTION("GOOGLETRANSLATE(F5528, ""auto"", ""en"")
"),"Excellent kettle. It served for 8 years and didn’t break, I just wanted a new one. The new one lasted 5 months. I'm thinking about buying Braun again")</f>
        <v>Excellent kettle. It served for 8 years and didn’t break, I just wanted a new one. The new one lasted 5 months. I'm thinking about buying Braun again</v>
      </c>
    </row>
    <row r="5529" spans="1:9" x14ac:dyDescent="0.3">
      <c r="A5529" s="1" t="s">
        <v>120</v>
      </c>
      <c r="B5529" s="1" t="s">
        <v>126</v>
      </c>
      <c r="C5529" s="1" t="s">
        <v>122</v>
      </c>
      <c r="D5529" s="1" t="s">
        <v>2122</v>
      </c>
      <c r="E5529" s="1" t="s">
        <v>1376</v>
      </c>
      <c r="F5529" s="1" t="s">
        <v>9046</v>
      </c>
      <c r="G5529" s="1" t="s">
        <v>36</v>
      </c>
      <c r="H5529" s="1" t="s">
        <v>29</v>
      </c>
      <c r="I5529" s="1" t="str">
        <f ca="1">IFERROR(__xludf.DUMMYFUNCTION("GOOGLETRANSLATE(F5529, ""auto"", ""en"")
"),"An excellent model, it suited our interior very well; we were looking for a TV in a light case. The image quality is excellent, especially when you put on something Disney for your son, you just sit next to them and watch it. I don’t even want to watch an"&amp;"ything on a regular TV.")</f>
        <v>An excellent model, it suited our interior very well; we were looking for a TV in a light case. The image quality is excellent, especially when you put on something Disney for your son, you just sit next to them and watch it. I don’t even want to watch anything on a regular TV.</v>
      </c>
    </row>
    <row r="5530" spans="1:9" x14ac:dyDescent="0.3">
      <c r="A5530" s="1" t="s">
        <v>30</v>
      </c>
      <c r="B5530" s="1" t="s">
        <v>50</v>
      </c>
      <c r="C5530" s="1" t="s">
        <v>2550</v>
      </c>
      <c r="D5530" s="1" t="s">
        <v>7879</v>
      </c>
      <c r="E5530" s="1" t="s">
        <v>1167</v>
      </c>
      <c r="F5530" s="1" t="s">
        <v>9047</v>
      </c>
      <c r="G5530" s="1" t="s">
        <v>28</v>
      </c>
      <c r="H5530" s="1" t="s">
        <v>29</v>
      </c>
      <c r="I5530" s="1" t="str">
        <f ca="1">IFERROR(__xludf.DUMMYFUNCTION("GOOGLETRANSLATE(F5530, ""auto"", ""en"")
"),"A good choice for the money.  I confirm, weak battery. The charge lasts for 2.5-3 hours.  There is no blue tooth in model 021RU.  Overall satisfied.")</f>
        <v>A good choice for the money.  I confirm, weak battery. The charge lasts for 2.5-3 hours.  There is no blue tooth in model 021RU.  Overall satisfied.</v>
      </c>
    </row>
    <row r="5531" spans="1:9" x14ac:dyDescent="0.3">
      <c r="A5531" s="1" t="s">
        <v>211</v>
      </c>
      <c r="B5531" s="1" t="s">
        <v>856</v>
      </c>
      <c r="C5531" s="1" t="s">
        <v>57</v>
      </c>
      <c r="D5531" s="1" t="s">
        <v>592</v>
      </c>
      <c r="E5531" s="1" t="s">
        <v>5561</v>
      </c>
      <c r="F5531" s="1" t="s">
        <v>9048</v>
      </c>
      <c r="G5531" s="1" t="s">
        <v>36</v>
      </c>
      <c r="H5531" s="1" t="s">
        <v>29</v>
      </c>
      <c r="I5531" s="1" t="str">
        <f ca="1">IFERROR(__xludf.DUMMYFUNCTION("GOOGLETRANSLATE(F5531, ""auto"", ""en"")
"),"I might never have bought it myself, but it was given to me as a birthday gift last year. I tried it in practice - now I don’t even know how I struggled with trimmed manicure before. Sapphire-coated attachments, by the way, are also suitable for pedicures"&amp;". There are a lot of attachments, but there are no extra or unnecessary ones - I use them all.  Very nice appearance. The overall case is large in volume, but this is necessary to accommodate the drying fan. I often go on business trips, so I found a solu"&amp;"tion - I take the device itself, attachments and adapter with me on trips separately - it can work directly from the mains (if you need to charge the battery, it seems to only be done from the base). Without an adapter, one charge is enough for me two to "&amp;"three times. I've had enough. A convenient thing is that the nozzles move in both directions + at different speeds.")</f>
        <v>I might never have bought it myself, but it was given to me as a birthday gift last year. I tried it in practice - now I don’t even know how I struggled with trimmed manicure before. Sapphire-coated attachments, by the way, are also suitable for pedicures. There are a lot of attachments, but there are no extra or unnecessary ones - I use them all.  Very nice appearance. The overall case is large in volume, but this is necessary to accommodate the drying fan. I often go on business trips, so I found a solution - I take the device itself, attachments and adapter with me on trips separately - it can work directly from the mains (if you need to charge the battery, it seems to only be done from the base). Without an adapter, one charge is enough for me two to three times. I've had enough. A convenient thing is that the nozzles move in both directions + at different speeds.</v>
      </c>
    </row>
    <row r="5532" spans="1:9" x14ac:dyDescent="0.3">
      <c r="A5532" s="1" t="s">
        <v>37</v>
      </c>
      <c r="B5532" s="1" t="s">
        <v>536</v>
      </c>
      <c r="C5532" s="1" t="s">
        <v>32</v>
      </c>
      <c r="D5532" s="1" t="s">
        <v>9049</v>
      </c>
      <c r="E5532" s="1" t="s">
        <v>1172</v>
      </c>
      <c r="F5532" s="1" t="s">
        <v>9050</v>
      </c>
      <c r="G5532" s="1" t="s">
        <v>36</v>
      </c>
      <c r="H5532" s="1" t="s">
        <v>29</v>
      </c>
      <c r="I5532" s="1" t="str">
        <f ca="1">IFERROR(__xludf.DUMMYFUNCTION("GOOGLETRANSLATE(F5532, ""auto"", ""en"")
"),"It’s a good device and most importantly reliable, I’ve been using it for 2 days, there have been no problems or freezes, the OS is simply cool and Acer has provided everything you need to get started, it has everything, take it, you won’t regret it")</f>
        <v>It’s a good device and most importantly reliable, I’ve been using it for 2 days, there have been no problems or freezes, the OS is simply cool and Acer has provided everything you need to get started, it has everything, take it, you won’t regret it</v>
      </c>
    </row>
    <row r="5533" spans="1:9" x14ac:dyDescent="0.3">
      <c r="A5533" s="1" t="s">
        <v>1174</v>
      </c>
      <c r="B5533" s="1" t="s">
        <v>1175</v>
      </c>
      <c r="C5533" s="1" t="s">
        <v>356</v>
      </c>
      <c r="D5533" s="1" t="s">
        <v>9051</v>
      </c>
      <c r="E5533" s="1" t="s">
        <v>1201</v>
      </c>
      <c r="F5533" s="1" t="s">
        <v>9052</v>
      </c>
      <c r="G5533" s="1" t="s">
        <v>28</v>
      </c>
      <c r="H5533" s="1" t="s">
        <v>29</v>
      </c>
      <c r="I5533" s="1" t="str">
        <f ca="1">IFERROR(__xludf.DUMMYFUNCTION("GOOGLETRANSLATE(F5533, ""auto"", ""en"")
"),"The ears are quite decent for the price.")</f>
        <v>The ears are quite decent for the price.</v>
      </c>
    </row>
    <row r="5534" spans="1:9" x14ac:dyDescent="0.3">
      <c r="A5534" s="1" t="s">
        <v>211</v>
      </c>
      <c r="B5534" s="1" t="s">
        <v>265</v>
      </c>
      <c r="C5534" s="1" t="s">
        <v>1591</v>
      </c>
      <c r="D5534" s="1" t="s">
        <v>280</v>
      </c>
      <c r="E5534" s="1" t="s">
        <v>9053</v>
      </c>
      <c r="F5534" s="1" t="s">
        <v>9054</v>
      </c>
      <c r="G5534" s="1" t="s">
        <v>49</v>
      </c>
      <c r="H5534" s="1" t="s">
        <v>16</v>
      </c>
      <c r="I5534" s="1" t="str">
        <f ca="1">IFERROR(__xludf.DUMMYFUNCTION("GOOGLETRANSLATE(F5534, ""auto"", ""en"")
"),"I can’t think of a worse trimmer; the attachments don’t hold well and sometimes come off while cutting. The attachments for selecting hair length are made so that it is almost impossible to choose the length; everything is cut to approximately 3 mm. I don"&amp;"'t recommend this model to anyone.")</f>
        <v>I can’t think of a worse trimmer; the attachments don’t hold well and sometimes come off while cutting. The attachments for selecting hair length are made so that it is almost impossible to choose the length; everything is cut to approximately 3 mm. I don't recommend this model to anyone.</v>
      </c>
    </row>
    <row r="5535" spans="1:9" x14ac:dyDescent="0.3">
      <c r="A5535" s="1" t="s">
        <v>211</v>
      </c>
      <c r="B5535" s="1" t="s">
        <v>212</v>
      </c>
      <c r="C5535" s="1" t="s">
        <v>381</v>
      </c>
      <c r="D5535" s="1" t="s">
        <v>308</v>
      </c>
      <c r="E5535" s="1" t="s">
        <v>864</v>
      </c>
      <c r="F5535" s="1" t="s">
        <v>9055</v>
      </c>
      <c r="G5535" s="1" t="s">
        <v>28</v>
      </c>
      <c r="H5535" s="1" t="s">
        <v>29</v>
      </c>
      <c r="I5535" s="1" t="str">
        <f ca="1">IFERROR(__xludf.DUMMYFUNCTION("GOOGLETRANSLATE(F5535, ""auto"", ""en"")
"),"Great straightener! It took me a long time to choose, I was confused by the price, I was a little sorry for the money. But it straightens perfectly! And finally my hair stopped electrifying! I straighten it just 180 degrees, and I’m very happy!!!!")</f>
        <v>Great straightener! It took me a long time to choose, I was confused by the price, I was a little sorry for the money. But it straightens perfectly! And finally my hair stopped electrifying! I straighten it just 180 degrees, and I’m very happy!!!!</v>
      </c>
    </row>
    <row r="5536" spans="1:9" x14ac:dyDescent="0.3">
      <c r="A5536" s="1" t="s">
        <v>557</v>
      </c>
      <c r="B5536" s="1" t="s">
        <v>558</v>
      </c>
      <c r="C5536" s="1" t="s">
        <v>122</v>
      </c>
      <c r="D5536" s="1" t="s">
        <v>420</v>
      </c>
      <c r="E5536" s="1" t="s">
        <v>1086</v>
      </c>
      <c r="F5536" s="1" t="s">
        <v>9056</v>
      </c>
      <c r="G5536" s="1" t="s">
        <v>36</v>
      </c>
      <c r="H5536" s="1" t="s">
        <v>29</v>
      </c>
      <c r="I5536" s="1" t="str">
        <f ca="1">IFERROR(__xludf.DUMMYFUNCTION("GOOGLETRANSLATE(F5536, ""auto"", ""en"")
"),"I’ve been using the phone for 1 year. There are no problems in using it. It’s especially nice that a certain number is spoken by Caller and if you don’t answer, the voice message is recorded. You can also listen to it at any time and from any phone by cal"&amp;"ling your own, if you dial a 3-digit code after the answering machine beeps.")</f>
        <v>I’ve been using the phone for 1 year. There are no problems in using it. It’s especially nice that a certain number is spoken by Caller and if you don’t answer, the voice message is recorded. You can also listen to it at any time and from any phone by calling your own, if you dial a 3-digit code after the answering machine beeps.</v>
      </c>
    </row>
    <row r="5537" spans="1:9" x14ac:dyDescent="0.3">
      <c r="A5537" s="1" t="s">
        <v>95</v>
      </c>
      <c r="B5537" s="1" t="s">
        <v>648</v>
      </c>
      <c r="C5537" s="1" t="s">
        <v>97</v>
      </c>
      <c r="D5537" s="1" t="s">
        <v>8250</v>
      </c>
      <c r="E5537" s="1" t="s">
        <v>285</v>
      </c>
      <c r="F5537" s="1" t="s">
        <v>9057</v>
      </c>
      <c r="G5537" s="1" t="s">
        <v>36</v>
      </c>
      <c r="H5537" s="1" t="s">
        <v>29</v>
      </c>
      <c r="I5537" s="1" t="str">
        <f ca="1">IFERROR(__xludf.DUMMYFUNCTION("GOOGLETRANSLATE(F5537, ""auto"", ""en"")
"),"Well, the characteristics are simply super, I will definitely buy it for myself and recommend it to others")</f>
        <v>Well, the characteristics are simply super, I will definitely buy it for myself and recommend it to others</v>
      </c>
    </row>
    <row r="5538" spans="1:9" x14ac:dyDescent="0.3">
      <c r="A5538" s="1" t="s">
        <v>89</v>
      </c>
      <c r="B5538" s="1" t="s">
        <v>1106</v>
      </c>
      <c r="C5538" s="1" t="s">
        <v>74</v>
      </c>
      <c r="D5538" s="1" t="s">
        <v>565</v>
      </c>
      <c r="E5538" s="1" t="s">
        <v>9058</v>
      </c>
      <c r="F5538" s="1" t="s">
        <v>9059</v>
      </c>
      <c r="G5538" s="1" t="s">
        <v>36</v>
      </c>
      <c r="H5538" s="1" t="s">
        <v>29</v>
      </c>
      <c r="I5538" s="1" t="str">
        <f ca="1">IFERROR(__xludf.DUMMYFUNCTION("GOOGLETRANSLATE(F5538, ""auto"", ""en"")
"),"I bought a coffee maker 3 months ago for my office at work. Brews coffee quickly and conveniently. Until you press the switch button, it is in heating mode, so during the working day I always have hot, ready-made coffee. Very pleased with the purchase, co"&amp;"nsistent with the price and quality.")</f>
        <v>I bought a coffee maker 3 months ago for my office at work. Brews coffee quickly and conveniently. Until you press the switch button, it is in heating mode, so during the working day I always have hot, ready-made coffee. Very pleased with the purchase, consistent with the price and quality.</v>
      </c>
    </row>
    <row r="5539" spans="1:9" x14ac:dyDescent="0.3">
      <c r="A5539" s="1" t="s">
        <v>67</v>
      </c>
      <c r="B5539" s="1" t="s">
        <v>68</v>
      </c>
      <c r="C5539" s="1" t="s">
        <v>381</v>
      </c>
      <c r="D5539" s="1" t="s">
        <v>142</v>
      </c>
      <c r="E5539" s="1" t="s">
        <v>9060</v>
      </c>
      <c r="F5539" s="1" t="s">
        <v>9061</v>
      </c>
      <c r="G5539" s="1" t="s">
        <v>36</v>
      </c>
      <c r="H5539" s="1" t="s">
        <v>29</v>
      </c>
      <c r="I5539" s="1" t="str">
        <f ca="1">IFERROR(__xludf.DUMMYFUNCTION("GOOGLETRANSLATE(F5539, ""auto"", ""en"")
"),"I bought this iron for my son, he went to study in Moscow. I specifically chose one that had a sharp nose, a burst of steam, was light and easy to use. So far he seems to be coping with the difficulties.")</f>
        <v>I bought this iron for my son, he went to study in Moscow. I specifically chose one that had a sharp nose, a burst of steam, was light and easy to use. So far he seems to be coping with the difficulties.</v>
      </c>
    </row>
    <row r="5540" spans="1:9" x14ac:dyDescent="0.3">
      <c r="A5540" s="1" t="s">
        <v>211</v>
      </c>
      <c r="B5540" s="1" t="s">
        <v>212</v>
      </c>
      <c r="C5540" s="1" t="s">
        <v>745</v>
      </c>
      <c r="D5540" s="1" t="s">
        <v>896</v>
      </c>
      <c r="E5540" s="1" t="s">
        <v>4235</v>
      </c>
      <c r="F5540" s="1" t="s">
        <v>9062</v>
      </c>
      <c r="G5540" s="1" t="s">
        <v>28</v>
      </c>
      <c r="H5540" s="1" t="s">
        <v>29</v>
      </c>
      <c r="I5540" s="1" t="str">
        <f ca="1">IFERROR(__xludf.DUMMYFUNCTION("GOOGLETRANSLATE(F5540, ""auto"", ""en"")
"),"The hairdryer is like a hairdryer, with a convenient attachment. In two years of trouble-free operation, only the cord was broken somewhere. We fixed the cord and it continues to work. Made from cheap plastic. But the price, the price! Its main advantage."&amp;" Those who want a professional branded hair dryer for that kind of money, pass by so that they don’t write their disappointments in reviews later.")</f>
        <v>The hairdryer is like a hairdryer, with a convenient attachment. In two years of trouble-free operation, only the cord was broken somewhere. We fixed the cord and it continues to work. Made from cheap plastic. But the price, the price! Its main advantage. Those who want a professional branded hair dryer for that kind of money, pass by so that they don’t write their disappointments in reviews later.</v>
      </c>
    </row>
    <row r="5541" spans="1:9" x14ac:dyDescent="0.3">
      <c r="A5541" s="1" t="s">
        <v>67</v>
      </c>
      <c r="B5541" s="1" t="s">
        <v>68</v>
      </c>
      <c r="C5541" s="1" t="s">
        <v>1835</v>
      </c>
      <c r="D5541" s="1" t="s">
        <v>3253</v>
      </c>
      <c r="E5541" s="1" t="s">
        <v>481</v>
      </c>
      <c r="F5541" s="1" t="s">
        <v>9063</v>
      </c>
      <c r="G5541" s="1" t="s">
        <v>36</v>
      </c>
      <c r="H5541" s="1" t="s">
        <v>29</v>
      </c>
      <c r="I5541" s="1" t="str">
        <f ca="1">IFERROR(__xludf.DUMMYFUNCTION("GOOGLETRANSLATE(F5541, ""auto"", ""en"")
"),"My husband doesn't like it when I iron clothes because he gets very tired. And I decided to buy me this car for my birthday! She's amazing, girls! You just press one button and that’s it - she irons everything for you! The only bad thing is that it doesn’"&amp;"t stack on shelves in the closet. I'm very pleased! Now I have more time to relax! And I'm happy! I can spend more time with my friends and communicate on VKontakte!")</f>
        <v>My husband doesn't like it when I iron clothes because he gets very tired. And I decided to buy me this car for my birthday! She's amazing, girls! You just press one button and that’s it - she irons everything for you! The only bad thing is that it doesn’t stack on shelves in the closet. I'm very pleased! Now I have more time to relax! And I'm happy! I can spend more time with my friends and communicate on VKontakte!</v>
      </c>
    </row>
    <row r="5542" spans="1:9" x14ac:dyDescent="0.3">
      <c r="A5542" s="1" t="s">
        <v>61</v>
      </c>
      <c r="B5542" s="1" t="s">
        <v>73</v>
      </c>
      <c r="C5542" s="1" t="s">
        <v>74</v>
      </c>
      <c r="D5542" s="1" t="s">
        <v>39</v>
      </c>
      <c r="E5542" s="1" t="s">
        <v>2896</v>
      </c>
      <c r="F5542" s="1" t="s">
        <v>9064</v>
      </c>
      <c r="G5542" s="1" t="s">
        <v>15</v>
      </c>
      <c r="H5542" s="1" t="s">
        <v>16</v>
      </c>
      <c r="I5542" s="1" t="str">
        <f ca="1">IFERROR(__xludf.DUMMYFUNCTION("GOOGLETRANSLATE(F5542, ""auto"", ""en"")
"),"What can I say? In this technique, EVERYTHING is decided by a pair of KNIVES, but here the knives... What's the use of power if you have to unscrew everything after 15 seconds. Tenderloin twists!!! Panasonic's ancestors had this technology.")</f>
        <v>What can I say? In this technique, EVERYTHING is decided by a pair of KNIVES, but here the knives... What's the use of power if you have to unscrew everything after 15 seconds. Tenderloin twists!!! Panasonic's ancestors had this technology.</v>
      </c>
    </row>
    <row r="5543" spans="1:9" x14ac:dyDescent="0.3">
      <c r="A5543" s="1" t="s">
        <v>211</v>
      </c>
      <c r="B5543" s="1" t="s">
        <v>856</v>
      </c>
      <c r="C5543" s="1" t="s">
        <v>57</v>
      </c>
      <c r="D5543" s="1" t="s">
        <v>690</v>
      </c>
      <c r="E5543" s="1" t="s">
        <v>2380</v>
      </c>
      <c r="F5543" s="1" t="s">
        <v>9065</v>
      </c>
      <c r="G5543" s="1" t="s">
        <v>36</v>
      </c>
      <c r="H5543" s="1" t="s">
        <v>29</v>
      </c>
      <c r="I5543" s="1" t="str">
        <f ca="1">IFERROR(__xludf.DUMMYFUNCTION("GOOGLETRANSLATE(F5543, ""auto"", ""en"")
"),"It’s quite a useful thing, I use it at home when I’m sitting at the computer, it’s relaxing.    Keep in mind that long massage is harmful, the norm is 20 minutes per day, consult your doctor.")</f>
        <v>It’s quite a useful thing, I use it at home when I’m sitting at the computer, it’s relaxing.    Keep in mind that long massage is harmful, the norm is 20 minutes per day, consult your doctor.</v>
      </c>
    </row>
    <row r="5544" spans="1:9" x14ac:dyDescent="0.3">
      <c r="A5544" s="1" t="s">
        <v>120</v>
      </c>
      <c r="B5544" s="1" t="s">
        <v>121</v>
      </c>
      <c r="C5544" s="1" t="s">
        <v>122</v>
      </c>
      <c r="D5544" s="1" t="s">
        <v>9066</v>
      </c>
      <c r="E5544" s="1" t="s">
        <v>3469</v>
      </c>
      <c r="F5544" s="1" t="s">
        <v>9067</v>
      </c>
      <c r="G5544" s="1" t="s">
        <v>36</v>
      </c>
      <c r="H5544" s="1" t="s">
        <v>29</v>
      </c>
      <c r="I5544" s="1" t="str">
        <f ca="1">IFERROR(__xludf.DUMMYFUNCTION("GOOGLETRANSLATE(F5544, ""auto"", ""en"")
"),"An excellent TV, the setup is quite simple, the image quality is very pleasing, a good, clear picture, without any distortion. Watching a movie is very pleasant, you connect your computer and enjoy watching it. The sound is also good, I’ve been using it f"&amp;"or a short time, so far I like it, I hope it will last a long time.")</f>
        <v>An excellent TV, the setup is quite simple, the image quality is very pleasing, a good, clear picture, without any distortion. Watching a movie is very pleasant, you connect your computer and enjoy watching it. The sound is also good, I’ve been using it for a short time, so far I like it, I hope it will last a long time.</v>
      </c>
    </row>
    <row r="5545" spans="1:9" x14ac:dyDescent="0.3">
      <c r="A5545" s="1" t="s">
        <v>67</v>
      </c>
      <c r="B5545" s="1" t="s">
        <v>68</v>
      </c>
      <c r="C5545" s="1" t="s">
        <v>69</v>
      </c>
      <c r="D5545" s="1" t="s">
        <v>166</v>
      </c>
      <c r="E5545" s="1" t="s">
        <v>8584</v>
      </c>
      <c r="F5545" s="1" t="s">
        <v>9068</v>
      </c>
      <c r="G5545" s="1" t="s">
        <v>36</v>
      </c>
      <c r="H5545" s="1" t="s">
        <v>29</v>
      </c>
      <c r="I5545" s="1" t="str">
        <f ca="1">IFERROR(__xludf.DUMMYFUNCTION("GOOGLETRANSLATE(F5545, ""auto"", ""en"")
"),"Great iron! We bought it at the end of 2007 (though not in Russia) - it still works great! About the cleaning system, I can say that after turning it on, a noticeable layer of sand remains on the ironing board (it seems very much). We use this function qu"&amp;"ite often, maybe that’s why it works.")</f>
        <v>Great iron! We bought it at the end of 2007 (though not in Russia) - it still works great! About the cleaning system, I can say that after turning it on, a noticeable layer of sand remains on the ironing board (it seems very much). We use this function quite often, maybe that’s why it works.</v>
      </c>
    </row>
    <row r="5546" spans="1:9" x14ac:dyDescent="0.3">
      <c r="A5546" s="1" t="s">
        <v>169</v>
      </c>
      <c r="B5546" s="1" t="s">
        <v>170</v>
      </c>
      <c r="C5546" s="1" t="s">
        <v>193</v>
      </c>
      <c r="D5546" s="1" t="s">
        <v>33</v>
      </c>
      <c r="E5546" s="1" t="s">
        <v>400</v>
      </c>
      <c r="F5546" s="1" t="s">
        <v>9069</v>
      </c>
      <c r="G5546" s="1" t="s">
        <v>36</v>
      </c>
      <c r="H5546" s="1" t="s">
        <v>29</v>
      </c>
      <c r="I5546" s="1" t="str">
        <f ca="1">IFERROR(__xludf.DUMMYFUNCTION("GOOGLETRANSLATE(F5546, ""auto"", ""en"")
"),"I highly recommend these excellent headphones, I tested them on my Nokia 2700 classic, the bass is good, the sound is very loud, it’s scary to turn the volume to maximum, it really hurts my ears))). They really eat up energy and the plug needs to be handl"&amp;"ed with care, it’s very gentle.")</f>
        <v>I highly recommend these excellent headphones, I tested them on my Nokia 2700 classic, the bass is good, the sound is very loud, it’s scary to turn the volume to maximum, it really hurts my ears))). They really eat up energy and the plug needs to be handled with care, it’s very gentle.</v>
      </c>
    </row>
    <row r="5547" spans="1:9" x14ac:dyDescent="0.3">
      <c r="A5547" s="1" t="s">
        <v>1443</v>
      </c>
      <c r="B5547" s="1" t="s">
        <v>1444</v>
      </c>
      <c r="C5547" s="1" t="s">
        <v>1489</v>
      </c>
      <c r="D5547" s="1" t="s">
        <v>521</v>
      </c>
      <c r="E5547" s="1" t="s">
        <v>4512</v>
      </c>
      <c r="F5547" s="1" t="s">
        <v>9070</v>
      </c>
      <c r="G5547" s="1" t="s">
        <v>36</v>
      </c>
      <c r="H5547" s="1" t="s">
        <v>29</v>
      </c>
      <c r="I5547" s="1" t="str">
        <f ca="1">IFERROR(__xludf.DUMMYFUNCTION("GOOGLETRANSLATE(F5547, ""auto"", ""en"")
"),"Comfortable, stylish, works well")</f>
        <v>Comfortable, stylish, works well</v>
      </c>
    </row>
    <row r="5548" spans="1:9" x14ac:dyDescent="0.3">
      <c r="A5548" s="1" t="s">
        <v>61</v>
      </c>
      <c r="B5548" s="1" t="s">
        <v>318</v>
      </c>
      <c r="C5548" s="1" t="s">
        <v>85</v>
      </c>
      <c r="D5548" s="1" t="s">
        <v>9071</v>
      </c>
      <c r="E5548" s="1" t="s">
        <v>1866</v>
      </c>
      <c r="F5548" s="1" t="s">
        <v>9072</v>
      </c>
      <c r="G5548" s="1" t="s">
        <v>49</v>
      </c>
      <c r="H5548" s="1" t="s">
        <v>16</v>
      </c>
      <c r="I5548" s="1" t="str">
        <f ca="1">IFERROR(__xludf.DUMMYFUNCTION("GOOGLETRANSLATE(F5548, ""auto"", ""en"")
"),"After 6 months it stopped turning off automatically.  The kettle broke after 10 months of use (the heaters burned out). Cannot be repaired.  Expensive, noisy, but beautiful))) don’t buy it.")</f>
        <v>After 6 months it stopped turning off automatically.  The kettle broke after 10 months of use (the heaters burned out). Cannot be repaired.  Expensive, noisy, but beautiful))) don’t buy it.</v>
      </c>
    </row>
    <row r="5549" spans="1:9" x14ac:dyDescent="0.3">
      <c r="A5549" s="1" t="s">
        <v>211</v>
      </c>
      <c r="B5549" s="1" t="s">
        <v>265</v>
      </c>
      <c r="C5549" s="1" t="s">
        <v>1591</v>
      </c>
      <c r="D5549" s="1" t="s">
        <v>4132</v>
      </c>
      <c r="E5549" s="1" t="s">
        <v>9073</v>
      </c>
      <c r="F5549" s="1" t="s">
        <v>9074</v>
      </c>
      <c r="G5549" s="1" t="s">
        <v>36</v>
      </c>
      <c r="H5549" s="1" t="s">
        <v>29</v>
      </c>
      <c r="I5549" s="1" t="str">
        <f ca="1">IFERROR(__xludf.DUMMYFUNCTION("GOOGLETRANSLATE(F5549, ""auto"", ""en"")
"),"The trimmer is universal, when the store offered it, I thought about buying it. At home I consulted with my wife, read the reviews, and finally bought it here. I’ve been wearing a beard for a while now, I went to the salon twice to have it trimmed and sha"&amp;"ped. And now I can completely take care of my beard at home, I’m glad that this model was offered to me. Complete self-care at home. I’ll say a few words about the quality: it cuts well, the attachments for hair are removable, there are separate ones for "&amp;"the beard and mustache, and there is also an attachment for cutting the nose. I haven’t found any cons yet, I’ve been using it for 4 months.")</f>
        <v>The trimmer is universal, when the store offered it, I thought about buying it. At home I consulted with my wife, read the reviews, and finally bought it here. I’ve been wearing a beard for a while now, I went to the salon twice to have it trimmed and shaped. And now I can completely take care of my beard at home, I’m glad that this model was offered to me. Complete self-care at home. I’ll say a few words about the quality: it cuts well, the attachments for hair are removable, there are separate ones for the beard and mustache, and there is also an attachment for cutting the nose. I haven’t found any cons yet, I’ve been using it for 4 months.</v>
      </c>
    </row>
    <row r="5550" spans="1:9" x14ac:dyDescent="0.3">
      <c r="A5550" s="1" t="s">
        <v>61</v>
      </c>
      <c r="B5550" s="1" t="s">
        <v>318</v>
      </c>
      <c r="C5550" s="1" t="s">
        <v>57</v>
      </c>
      <c r="D5550" s="1" t="s">
        <v>1004</v>
      </c>
      <c r="E5550" s="1" t="s">
        <v>1784</v>
      </c>
      <c r="F5550" s="1" t="s">
        <v>9075</v>
      </c>
      <c r="G5550" s="1" t="s">
        <v>28</v>
      </c>
      <c r="H5550" s="1" t="s">
        <v>29</v>
      </c>
      <c r="I5550" s="1" t="str">
        <f ca="1">IFERROR(__xludf.DUMMYFUNCTION("GOOGLETRANSLATE(F5550, ""auto"", ""en"")
"),"It is made of high quality, both plastic and metal, the design is beautiful, there is a pleasant neon lighting at the switch lever, it does not make any noise, you can’t hear it turning off. Among the shortcomings, I will note the narrow neck of the water"&amp;" fill - it is inconvenient to bring it to the tap and the fill level is hard to see.")</f>
        <v>It is made of high quality, both plastic and metal, the design is beautiful, there is a pleasant neon lighting at the switch lever, it does not make any noise, you can’t hear it turning off. Among the shortcomings, I will note the narrow neck of the water fill - it is inconvenient to bring it to the tap and the fill level is hard to see.</v>
      </c>
    </row>
    <row r="5551" spans="1:9" x14ac:dyDescent="0.3">
      <c r="A5551" s="1" t="s">
        <v>78</v>
      </c>
      <c r="B5551" s="1" t="s">
        <v>493</v>
      </c>
      <c r="C5551" s="1" t="s">
        <v>122</v>
      </c>
      <c r="D5551" s="1" t="s">
        <v>9076</v>
      </c>
      <c r="E5551" s="1" t="s">
        <v>2702</v>
      </c>
      <c r="F5551" s="1" t="s">
        <v>9077</v>
      </c>
      <c r="G5551" s="1" t="s">
        <v>36</v>
      </c>
      <c r="H5551" s="1" t="s">
        <v>29</v>
      </c>
      <c r="I5551" s="1" t="str">
        <f ca="1">IFERROR(__xludf.DUMMYFUNCTION("GOOGLETRANSLATE(F5551, ""auto"", ""en"")
"),"Very good microwave and oven, I liked its functions and ease of control!")</f>
        <v>Very good microwave and oven, I liked its functions and ease of control!</v>
      </c>
    </row>
    <row r="5552" spans="1:9" x14ac:dyDescent="0.3">
      <c r="A5552" s="1" t="s">
        <v>211</v>
      </c>
      <c r="B5552" s="1" t="s">
        <v>212</v>
      </c>
      <c r="C5552" s="1" t="s">
        <v>294</v>
      </c>
      <c r="D5552" s="1" t="s">
        <v>75</v>
      </c>
      <c r="E5552" s="1" t="s">
        <v>3794</v>
      </c>
      <c r="F5552" s="1" t="s">
        <v>9078</v>
      </c>
      <c r="G5552" s="1" t="s">
        <v>36</v>
      </c>
      <c r="H5552" s="1" t="s">
        <v>29</v>
      </c>
      <c r="I5552" s="1" t="str">
        <f ca="1">IFERROR(__xludf.DUMMYFUNCTION("GOOGLETRANSLATE(F5552, ""auto"", ""en"")
"),"I’ve been using the curling iron for three years now, there are zero flaws, I’m very happy, my hair doesn’t split or burn, I recommend it to everyone!!!")</f>
        <v>I’ve been using the curling iron for three years now, there are zero flaws, I’m very happy, my hair doesn’t split or burn, I recommend it to everyone!!!</v>
      </c>
    </row>
    <row r="5553" spans="1:9" x14ac:dyDescent="0.3">
      <c r="A5553" s="1" t="s">
        <v>149</v>
      </c>
      <c r="B5553" s="1" t="s">
        <v>150</v>
      </c>
      <c r="C5553" s="1" t="s">
        <v>2016</v>
      </c>
      <c r="D5553" s="1" t="s">
        <v>232</v>
      </c>
      <c r="E5553" s="1" t="s">
        <v>3038</v>
      </c>
      <c r="F5553" s="1" t="s">
        <v>9079</v>
      </c>
      <c r="G5553" s="1" t="s">
        <v>36</v>
      </c>
      <c r="H5553" s="1" t="s">
        <v>29</v>
      </c>
      <c r="I5553" s="1" t="str">
        <f ca="1">IFERROR(__xludf.DUMMYFUNCTION("GOOGLETRANSLATE(F5553, ""auto"", ""en"")
"),"Excellent performance Ease of use Good equipment Essentially this is a cyclonic mini vacuum cleaner powered by a cigarette lighter. Much more convenient than classic car vacuum cleaners. The corrugated hose is flexible and allows you to reach any nooks an"&amp;"d crannies in the cabin. And the included attachments do their job perfectly. The wide nozzle can be used with or without a brush. Very convenient! And the presence of a narrow nozzle is generally excellent!  The cyclonic design allows you to quickly and "&amp;"conveniently get rid of debris.  The power of the vacuum cleaner is quite enough. I was very worried before the purchase that it wouldn’t be very good. But he even exceeded my expectations.  In a word, I am very pleased with the purchase. I didn’t think t"&amp;"hat cleaning the salon would bring me pleasure.")</f>
        <v>Excellent performance Ease of use Good equipment Essentially this is a cyclonic mini vacuum cleaner powered by a cigarette lighter. Much more convenient than classic car vacuum cleaners. The corrugated hose is flexible and allows you to reach any nooks and crannies in the cabin. And the included attachments do their job perfectly. The wide nozzle can be used with or without a brush. Very convenient! And the presence of a narrow nozzle is generally excellent!  The cyclonic design allows you to quickly and conveniently get rid of debris.  The power of the vacuum cleaner is quite enough. I was very worried before the purchase that it wouldn’t be very good. But he even exceeded my expectations.  In a word, I am very pleased with the purchase. I didn’t think that cleaning the salon would bring me pleasure.</v>
      </c>
    </row>
    <row r="5554" spans="1:9" x14ac:dyDescent="0.3">
      <c r="A5554" s="1" t="s">
        <v>61</v>
      </c>
      <c r="B5554" s="1" t="s">
        <v>977</v>
      </c>
      <c r="C5554" s="1" t="s">
        <v>69</v>
      </c>
      <c r="D5554" s="1" t="s">
        <v>64</v>
      </c>
      <c r="E5554" s="1" t="s">
        <v>1529</v>
      </c>
      <c r="F5554" s="1" t="s">
        <v>9080</v>
      </c>
      <c r="G5554" s="1" t="s">
        <v>49</v>
      </c>
      <c r="H5554" s="1" t="s">
        <v>16</v>
      </c>
      <c r="I5554" s="1" t="str">
        <f ca="1">IFERROR(__xludf.DUMMYFUNCTION("GOOGLETRANSLATE(F5554, ""auto"", ""en"")
"),"The biggest disadvantage is its terrible roar. I was whipping everything for a milkshake and almost went deaf, the child crawled under the pillow out of fright. So imagine how you can beat harder products. I’m already silent about ice. Noisy, smells like "&amp;"plastic when running. Exclusively for whipping light products.")</f>
        <v>The biggest disadvantage is its terrible roar. I was whipping everything for a milkshake and almost went deaf, the child crawled under the pillow out of fright. So imagine how you can beat harder products. I’m already silent about ice. Noisy, smells like plastic when running. Exclusively for whipping light products.</v>
      </c>
    </row>
    <row r="5555" spans="1:9" x14ac:dyDescent="0.3">
      <c r="A5555" s="1" t="s">
        <v>61</v>
      </c>
      <c r="B5555" s="1" t="s">
        <v>977</v>
      </c>
      <c r="C5555" s="1" t="s">
        <v>85</v>
      </c>
      <c r="D5555" s="1" t="s">
        <v>32</v>
      </c>
      <c r="E5555" s="1" t="s">
        <v>1285</v>
      </c>
      <c r="F5555" s="1" t="s">
        <v>9081</v>
      </c>
      <c r="G5555" s="1" t="s">
        <v>36</v>
      </c>
      <c r="H5555" s="1" t="s">
        <v>29</v>
      </c>
      <c r="I5555" s="1" t="str">
        <f ca="1">IFERROR(__xludf.DUMMYFUNCTION("GOOGLETRANSLATE(F5555, ""auto"", ""en"")
"),"My Bork E800 mixer is almost a year old. I consider it one of my most successful purchases. Kneading almost any dough with it is not a problem thanks to the large number of different modes and attachments, the Pastry Attachment is especially pleasing - it"&amp;" produces excellent shortcrust pastry and fluffy mashed potatoes. The mixer bowl is spacious, and it works quite quietly, despite its power. It is assembled with high quality, looks stylish, is pleasant to hold in your hands and is a pleasure to use. It’s"&amp;" worth the money, I can’t imagine preparing baked goods, various purees and sauces without it! It is indispensable in my kitchen and I hope it will serve me for a long time!")</f>
        <v>My Bork E800 mixer is almost a year old. I consider it one of my most successful purchases. Kneading almost any dough with it is not a problem thanks to the large number of different modes and attachments, the Pastry Attachment is especially pleasing - it produces excellent shortcrust pastry and fluffy mashed potatoes. The mixer bowl is spacious, and it works quite quietly, despite its power. It is assembled with high quality, looks stylish, is pleasant to hold in your hands and is a pleasure to use. It’s worth the money, I can’t imagine preparing baked goods, various purees and sauces without it! It is indispensable in my kitchen and I hope it will serve me for a long time!</v>
      </c>
    </row>
    <row r="5556" spans="1:9" x14ac:dyDescent="0.3">
      <c r="A5556" s="1" t="s">
        <v>369</v>
      </c>
      <c r="B5556" s="1" t="s">
        <v>2480</v>
      </c>
      <c r="C5556" s="1" t="s">
        <v>453</v>
      </c>
      <c r="D5556" s="1" t="s">
        <v>2336</v>
      </c>
      <c r="E5556" s="1" t="s">
        <v>9082</v>
      </c>
      <c r="F5556" s="1" t="s">
        <v>9083</v>
      </c>
      <c r="G5556" s="1" t="s">
        <v>36</v>
      </c>
      <c r="H5556" s="1" t="s">
        <v>29</v>
      </c>
      <c r="I5556" s="1" t="str">
        <f ca="1">IFERROR(__xludf.DUMMYFUNCTION("GOOGLETRANSLATE(F5556, ""auto"", ""en"")
"),"The tile is not bad. I updated all the cookware to induction. We live in an honest house in the summer and the tiles are a big help. I recommend it to everyone. Works great.")</f>
        <v>The tile is not bad. I updated all the cookware to induction. We live in an honest house in the summer and the tiles are a big help. I recommend it to everyone. Works great.</v>
      </c>
    </row>
    <row r="5557" spans="1:9" x14ac:dyDescent="0.3">
      <c r="A5557" s="1" t="s">
        <v>61</v>
      </c>
      <c r="B5557" s="1" t="s">
        <v>318</v>
      </c>
      <c r="C5557" s="1" t="s">
        <v>213</v>
      </c>
      <c r="D5557" s="1" t="s">
        <v>658</v>
      </c>
      <c r="E5557" s="1" t="s">
        <v>1660</v>
      </c>
      <c r="F5557" s="1" t="s">
        <v>9084</v>
      </c>
      <c r="G5557" s="1" t="s">
        <v>36</v>
      </c>
      <c r="H5557" s="1" t="s">
        <v>29</v>
      </c>
      <c r="I5557" s="1" t="str">
        <f ca="1">IFERROR(__xludf.DUMMYFUNCTION("GOOGLETRANSLATE(F5557, ""auto"", ""en"")
"),"I recently bought this kettle. I liked that it is lightweight and the handle is very comfortable. Doesn't smell like plastic.")</f>
        <v>I recently bought this kettle. I liked that it is lightweight and the handle is very comfortable. Doesn't smell like plastic.</v>
      </c>
    </row>
    <row r="5558" spans="1:9" x14ac:dyDescent="0.3">
      <c r="A5558" s="1" t="s">
        <v>17</v>
      </c>
      <c r="B5558" s="1" t="s">
        <v>18</v>
      </c>
      <c r="C5558" s="1" t="s">
        <v>5293</v>
      </c>
      <c r="D5558" s="1" t="s">
        <v>64</v>
      </c>
      <c r="E5558" s="1" t="s">
        <v>7715</v>
      </c>
      <c r="F5558" s="1" t="s">
        <v>9085</v>
      </c>
      <c r="G5558" s="1" t="s">
        <v>36</v>
      </c>
      <c r="H5558" s="1" t="s">
        <v>29</v>
      </c>
      <c r="I5558" s="1" t="str">
        <f ca="1">IFERROR(__xludf.DUMMYFUNCTION("GOOGLETRANSLATE(F5558, ""auto"", ""en"")
"),"I completely disagree with Mr. Predator.   My car works flawlessly, it's a pleasure. Doesn't tear anything, doesn't jump. To listen to you, you will be horrified, you have collected all the worst things.")</f>
        <v>I completely disagree with Mr. Predator.   My car works flawlessly, it's a pleasure. Doesn't tear anything, doesn't jump. To listen to you, you will be horrified, you have collected all the worst things.</v>
      </c>
    </row>
    <row r="5559" spans="1:9" x14ac:dyDescent="0.3">
      <c r="A5559" s="1" t="s">
        <v>61</v>
      </c>
      <c r="B5559" s="1" t="s">
        <v>1727</v>
      </c>
      <c r="C5559" s="1" t="s">
        <v>122</v>
      </c>
      <c r="D5559" s="1" t="s">
        <v>592</v>
      </c>
      <c r="E5559" s="1" t="s">
        <v>1228</v>
      </c>
      <c r="F5559" s="1" t="s">
        <v>9086</v>
      </c>
      <c r="G5559" s="1" t="s">
        <v>36</v>
      </c>
      <c r="H5559" s="1" t="s">
        <v>29</v>
      </c>
      <c r="I5559" s="1" t="str">
        <f ca="1">IFERROR(__xludf.DUMMYFUNCTION("GOOGLETRANSLATE(F5559, ""auto"", ""en"")
"),"Wonderful thing! completely replaces the stove! And he fries and cooks and bakes pies! You can also use it as a steamer! And nothing sticks or burns! I love her! And in order to avoid the smell of the dish you cooked later, you just need to wash the steam"&amp;" release valve and everything will be fine! :)")</f>
        <v>Wonderful thing! completely replaces the stove! And he fries and cooks and bakes pies! You can also use it as a steamer! And nothing sticks or burns! I love her! And in order to avoid the smell of the dish you cooked later, you just need to wash the steam release valve and everything will be fine! :)</v>
      </c>
    </row>
    <row r="5560" spans="1:9" x14ac:dyDescent="0.3">
      <c r="A5560" s="1" t="s">
        <v>1174</v>
      </c>
      <c r="B5560" s="1" t="s">
        <v>1175</v>
      </c>
      <c r="C5560" s="1" t="s">
        <v>1176</v>
      </c>
      <c r="D5560" s="1" t="s">
        <v>9087</v>
      </c>
      <c r="E5560" s="1" t="s">
        <v>1219</v>
      </c>
      <c r="F5560" s="1" t="s">
        <v>9088</v>
      </c>
      <c r="G5560" s="1" t="s">
        <v>28</v>
      </c>
      <c r="H5560" s="1" t="s">
        <v>29</v>
      </c>
      <c r="I5560" s="1" t="str">
        <f ca="1">IFERROR(__xludf.DUMMYFUNCTION("GOOGLETRANSLATE(F5560, ""auto"", ""en"")
"),"I purchased this product the other day.  I will note the disadvantages: 1) It gets dirty, dust particles are an eyesore. 2) It’s not very convenient to type text on the edges of the display, it sticks out a lot.  3) Inconvenient to wipe the screen.  Pros:"&amp;" 1) Price.  2) Quality of material.  3) Connectors for buttons")</f>
        <v>I purchased this product the other day.  I will note the disadvantages: 1) It gets dirty, dust particles are an eyesore. 2) It’s not very convenient to type text on the edges of the display, it sticks out a lot.  3) Inconvenient to wipe the screen.  Pros: 1) Price.  2) Quality of material.  3) Connectors for buttons</v>
      </c>
    </row>
    <row r="5561" spans="1:9" x14ac:dyDescent="0.3">
      <c r="A5561" s="1" t="s">
        <v>17</v>
      </c>
      <c r="B5561" s="1" t="s">
        <v>18</v>
      </c>
      <c r="C5561" s="1" t="s">
        <v>19</v>
      </c>
      <c r="D5561" s="1" t="s">
        <v>64</v>
      </c>
      <c r="E5561" s="1" t="s">
        <v>1099</v>
      </c>
      <c r="F5561" s="1" t="s">
        <v>9089</v>
      </c>
      <c r="G5561" s="1" t="s">
        <v>49</v>
      </c>
      <c r="H5561" s="1" t="s">
        <v>16</v>
      </c>
      <c r="I5561" s="1" t="str">
        <f ca="1">IFERROR(__xludf.DUMMYFUNCTION("GOOGLETRANSLATE(F5561, ""auto"", ""en"")
"),"The machine worked, washed well, did not make noise, but for exactly 1.5 years. A bearing and something else fell off. The master advised not to buy cars from this company, because... they break very often.")</f>
        <v>The machine worked, washed well, did not make noise, but for exactly 1.5 years. A bearing and something else fell off. The master advised not to buy cars from this company, because... they break very often.</v>
      </c>
    </row>
    <row r="5562" spans="1:9" x14ac:dyDescent="0.3">
      <c r="A5562" s="1" t="s">
        <v>61</v>
      </c>
      <c r="B5562" s="1" t="s">
        <v>145</v>
      </c>
      <c r="C5562" s="1" t="s">
        <v>246</v>
      </c>
      <c r="D5562" s="1" t="s">
        <v>9090</v>
      </c>
      <c r="E5562" s="1" t="s">
        <v>2358</v>
      </c>
      <c r="F5562" s="1" t="s">
        <v>9091</v>
      </c>
      <c r="G5562" s="1" t="s">
        <v>36</v>
      </c>
      <c r="H5562" s="1" t="s">
        <v>29</v>
      </c>
      <c r="I5562" s="1" t="str">
        <f ca="1">IFERROR(__xludf.DUMMYFUNCTION("GOOGLETRANSLATE(F5562, ""auto"", ""en"")
"),"Yesterday we became the happy owners of this yogurt maker. For some reason, my wife chose it; she liked the square one more than the round one, and she liked the country of manufacture (France) better.  Prepare yogurt according to instructions. Everything"&amp;" is very simple and it turned out great! 125 ml of store-bought live yoghurt, locally produced, was diluted to a homogeneous mass in one liter of 3.2% milk. Everything was from the refrigerator, cold. We poured it into measuring cups, put it in a yogurt m"&amp;"aker, didn’t even add any fruit additives, 10 hours and we got a magical product. Sufficiently thick, smooth, delicious yogurt. It just melts in your mouth. Super! We are very pleased! We recommend it to everyone.")</f>
        <v>Yesterday we became the happy owners of this yogurt maker. For some reason, my wife chose it; she liked the square one more than the round one, and she liked the country of manufacture (France) better.  Prepare yogurt according to instructions. Everything is very simple and it turned out great! 125 ml of store-bought live yoghurt, locally produced, was diluted to a homogeneous mass in one liter of 3.2% milk. Everything was from the refrigerator, cold. We poured it into measuring cups, put it in a yogurt maker, didn’t even add any fruit additives, 10 hours and we got a magical product. Sufficiently thick, smooth, delicious yogurt. It just melts in your mouth. Super! We are very pleased! We recommend it to everyone.</v>
      </c>
    </row>
    <row r="5563" spans="1:9" x14ac:dyDescent="0.3">
      <c r="A5563" s="1" t="s">
        <v>105</v>
      </c>
      <c r="B5563" s="1" t="s">
        <v>106</v>
      </c>
      <c r="C5563" s="1" t="s">
        <v>107</v>
      </c>
      <c r="D5563" s="1" t="s">
        <v>113</v>
      </c>
      <c r="E5563" s="1" t="s">
        <v>6437</v>
      </c>
      <c r="F5563" s="1" t="s">
        <v>9092</v>
      </c>
      <c r="G5563" s="1" t="s">
        <v>36</v>
      </c>
      <c r="H5563" s="1" t="s">
        <v>29</v>
      </c>
      <c r="I5563" s="1" t="str">
        <f ca="1">IFERROR(__xludf.DUMMYFUNCTION("GOOGLETRANSLATE(F5563, ""auto"", ""en"")
"),"I really like the player. I didn't have any breakdowns. The sound is great. Shake switching turns off automatically when the player is locked. Very convenient. The sensor works well. Ignore the bad reviews and buy with confidence)")</f>
        <v>I really like the player. I didn't have any breakdowns. The sound is great. Shake switching turns off automatically when the player is locked. Very convenient. The sensor works well. Ignore the bad reviews and buy with confidence)</v>
      </c>
    </row>
    <row r="5564" spans="1:9" x14ac:dyDescent="0.3">
      <c r="A5564" s="1" t="s">
        <v>105</v>
      </c>
      <c r="B5564" s="1" t="s">
        <v>106</v>
      </c>
      <c r="C5564" s="1" t="s">
        <v>1419</v>
      </c>
      <c r="D5564" s="1" t="s">
        <v>327</v>
      </c>
      <c r="E5564" s="1" t="s">
        <v>2341</v>
      </c>
      <c r="F5564" s="1" t="s">
        <v>9093</v>
      </c>
      <c r="G5564" s="1" t="s">
        <v>36</v>
      </c>
      <c r="H5564" s="1" t="s">
        <v>29</v>
      </c>
      <c r="I5564" s="1" t="str">
        <f ca="1">IFERROR(__xludf.DUMMYFUNCTION("GOOGLETRANSLATE(F5564, ""auto"", ""en"")
"),"A very good device. I'm happy. The only thing is that the menu is a little different from what it is here in the 3D view, and when moving between levels the menu slows down a little. But otherwise, just excellent) Standard headphones are not very good, bu"&amp;"t if you use something more expensive instead, the sound is amazing :)")</f>
        <v>A very good device. I'm happy. The only thing is that the menu is a little different from what it is here in the 3D view, and when moving between levels the menu slows down a little. But otherwise, just excellent) Standard headphones are not very good, but if you use something more expensive instead, the sound is amazing :)</v>
      </c>
    </row>
    <row r="5565" spans="1:9" x14ac:dyDescent="0.3">
      <c r="A5565" s="1" t="s">
        <v>30</v>
      </c>
      <c r="B5565" s="1" t="s">
        <v>31</v>
      </c>
      <c r="C5565" s="1" t="s">
        <v>32</v>
      </c>
      <c r="D5565" s="1" t="s">
        <v>280</v>
      </c>
      <c r="E5565" s="1" t="s">
        <v>3002</v>
      </c>
      <c r="F5565" s="1" t="s">
        <v>9094</v>
      </c>
      <c r="G5565" s="1" t="s">
        <v>28</v>
      </c>
      <c r="H5565" s="1" t="s">
        <v>29</v>
      </c>
      <c r="I5565" s="1" t="str">
        <f ca="1">IFERROR(__xludf.DUMMYFUNCTION("GOOGLETRANSLATE(F5565, ""auto"", ""en"")
"),"For anyone whose wifi is cracking, I recommend purchasing an external usb wifi and disabling the internal one. I was pleased that normally encoded pro-logic is transmitted to the headphones, so by connecting the output from the headphones to a music cente"&amp;"r that has a pro-logic decoder, we get correctly distributed sound over five speakers and a sub (not pseudo). Works without glitches with TOSHIBA 42"" LCD TV via HDMI")</f>
        <v>For anyone whose wifi is cracking, I recommend purchasing an external usb wifi and disabling the internal one. I was pleased that normally encoded pro-logic is transmitted to the headphones, so by connecting the output from the headphones to a music center that has a pro-logic decoder, we get correctly distributed sound over five speakers and a sub (not pseudo). Works without glitches with TOSHIBA 42" LCD TV via HDMI</v>
      </c>
    </row>
    <row r="5566" spans="1:9" x14ac:dyDescent="0.3">
      <c r="A5566" s="1" t="s">
        <v>120</v>
      </c>
      <c r="B5566" s="1" t="s">
        <v>126</v>
      </c>
      <c r="C5566" s="1" t="s">
        <v>122</v>
      </c>
      <c r="D5566" s="1" t="s">
        <v>345</v>
      </c>
      <c r="E5566" s="1" t="s">
        <v>2569</v>
      </c>
      <c r="F5566" s="1" t="s">
        <v>9095</v>
      </c>
      <c r="G5566" s="1" t="s">
        <v>36</v>
      </c>
      <c r="H5566" s="1" t="s">
        <v>29</v>
      </c>
      <c r="I5566" s="1" t="str">
        <f ca="1">IFERROR(__xludf.DUMMYFUNCTION("GOOGLETRANSLATE(F5566, ""auto"", ""en"")
"),"The TV is five years old, nothing has ever broken, even a child dropped it, everything works perfectly, there is only one problem, the HDMI sockets are broken. Everything else works without problems.")</f>
        <v>The TV is five years old, nothing has ever broken, even a child dropped it, everything works perfectly, there is only one problem, the HDMI sockets are broken. Everything else works without problems.</v>
      </c>
    </row>
    <row r="5567" spans="1:9" x14ac:dyDescent="0.3">
      <c r="A5567" s="1" t="s">
        <v>30</v>
      </c>
      <c r="B5567" s="1" t="s">
        <v>50</v>
      </c>
      <c r="C5567" s="1" t="s">
        <v>51</v>
      </c>
      <c r="D5567" s="1" t="s">
        <v>20</v>
      </c>
      <c r="E5567" s="1" t="s">
        <v>734</v>
      </c>
      <c r="F5567" s="1" t="s">
        <v>9096</v>
      </c>
      <c r="G5567" s="1" t="s">
        <v>36</v>
      </c>
      <c r="H5567" s="1" t="s">
        <v>29</v>
      </c>
      <c r="I5567" s="1" t="str">
        <f ca="1">IFERROR(__xludf.DUMMYFUNCTION("GOOGLETRANSLATE(F5567, ""auto"", ""en"")
"),"I bought a laptop)) Rating 6+ I didn’t regret it.  Reads discs quickly, memory exchange between the computer and the hard drive is very fast. According to the computer, the system is rated 5!!!  Game Call of duty 6 (very powerful) Let's go!  I'm glad as e"&amp;"ver!")</f>
        <v>I bought a laptop)) Rating 6+ I didn’t regret it.  Reads discs quickly, memory exchange between the computer and the hard drive is very fast. According to the computer, the system is rated 5!!!  Game Call of duty 6 (very powerful) Let's go!  I'm glad as ever!</v>
      </c>
    </row>
    <row r="5568" spans="1:9" x14ac:dyDescent="0.3">
      <c r="A5568" s="1" t="s">
        <v>149</v>
      </c>
      <c r="B5568" s="1" t="s">
        <v>155</v>
      </c>
      <c r="C5568" s="1" t="s">
        <v>151</v>
      </c>
      <c r="D5568" s="1" t="s">
        <v>305</v>
      </c>
      <c r="E5568" s="1" t="s">
        <v>9097</v>
      </c>
      <c r="F5568" s="1" t="s">
        <v>9098</v>
      </c>
      <c r="G5568" s="1" t="s">
        <v>36</v>
      </c>
      <c r="H5568" s="1" t="s">
        <v>29</v>
      </c>
      <c r="I5568" s="1" t="str">
        <f ca="1">IFERROR(__xludf.DUMMYFUNCTION("GOOGLETRANSLATE(F5568, ""auto"", ""en"")
"),"The best product of 2016 for me is the Samsung sc4760 vacuum cleaner. For a long time I was looking for a model with good technical data and at an affordable price, since with the advent of my son there was an urgent need for the cleanest possible cleanin"&amp;"g.   Cyclone filter 2 l. ideal for the amount of waste in a 2-room apartment.  Several stages of air purification will not leave even the most fastidious cleaner indifferent - the sofa turns into a new one! (Like the carpet...) A telescopic tube with adju"&amp;"stable motor power allows you to quickly remove a cat, a curtain, a sock from the brush... or whatever else you might get caught during the admiring cleaning with the Samsung sc4760 vacuum cleaner.  There is enough power for everything, this baby can lift"&amp;" linoleum! At the same time, the vacuum cleaner does not hurt the ears and does not wake up my three-month-old son.   The garbage container and filters force you to be a dirt researcher - it seems that you could write an entire dissertation on the variety"&amp;" of dust particles and specks in the apartment. But I’m glad that all this is easy and convenient to wash.    In addition, the promotion allowed us to save the family budget, and the purchase became doubly joyful. Thanks M.video! You really “care”...")</f>
        <v>The best product of 2016 for me is the Samsung sc4760 vacuum cleaner. For a long time I was looking for a model with good technical data and at an affordable price, since with the advent of my son there was an urgent need for the cleanest possible cleaning.   Cyclone filter 2 l. ideal for the amount of waste in a 2-room apartment.  Several stages of air purification will not leave even the most fastidious cleaner indifferent - the sofa turns into a new one! (Like the carpet...) A telescopic tube with adjustable motor power allows you to quickly remove a cat, a curtain, a sock from the brush... or whatever else you might get caught during the admiring cleaning with the Samsung sc4760 vacuum cleaner.  There is enough power for everything, this baby can lift linoleum! At the same time, the vacuum cleaner does not hurt the ears and does not wake up my three-month-old son.   The garbage container and filters force you to be a dirt researcher - it seems that you could write an entire dissertation on the variety of dust particles and specks in the apartment. But I’m glad that all this is easy and convenient to wash.    In addition, the promotion allowed us to save the family budget, and the purchase became doubly joyful. Thanks M.video! You really “care”...</v>
      </c>
    </row>
    <row r="5569" spans="1:9" x14ac:dyDescent="0.3">
      <c r="A5569" s="1" t="s">
        <v>111</v>
      </c>
      <c r="B5569" s="1" t="s">
        <v>298</v>
      </c>
      <c r="C5569" s="1" t="s">
        <v>299</v>
      </c>
      <c r="D5569" s="1" t="s">
        <v>3375</v>
      </c>
      <c r="E5569" s="1" t="s">
        <v>9099</v>
      </c>
      <c r="F5569" s="1" t="s">
        <v>9100</v>
      </c>
      <c r="G5569" s="1" t="s">
        <v>28</v>
      </c>
      <c r="H5569" s="1" t="s">
        <v>29</v>
      </c>
      <c r="I5569" s="1" t="str">
        <f ca="1">IFERROR(__xludf.DUMMYFUNCTION("GOOGLETRANSLATE(F5569, ""auto"", ""en"")
"),"I have such a thing! I bought it because we used to have such large metal ones, probably still Soviet, they heated with a bang, but here the plastic seems to take away the heat, but it still works and heats up, it works for its price, small compact ones, "&amp;"you can take it with you on a long journey in cold weather, there is no smell of plastic when heated, maybe I would like it to heat up a little faster, but in general this is not important.")</f>
        <v>I have such a thing! I bought it because we used to have such large metal ones, probably still Soviet, they heated with a bang, but here the plastic seems to take away the heat, but it still works and heats up, it works for its price, small compact ones, you can take it with you on a long journey in cold weather, there is no smell of plastic when heated, maybe I would like it to heat up a little faster, but in general this is not important.</v>
      </c>
    </row>
    <row r="5570" spans="1:9" x14ac:dyDescent="0.3">
      <c r="A5570" s="1" t="s">
        <v>17</v>
      </c>
      <c r="B5570" s="1" t="s">
        <v>18</v>
      </c>
      <c r="C5570" s="1" t="s">
        <v>80</v>
      </c>
      <c r="D5570" s="1" t="s">
        <v>86</v>
      </c>
      <c r="E5570" s="1" t="s">
        <v>9101</v>
      </c>
      <c r="F5570" s="1" t="s">
        <v>9102</v>
      </c>
      <c r="G5570" s="1" t="s">
        <v>28</v>
      </c>
      <c r="H5570" s="1" t="s">
        <v>29</v>
      </c>
      <c r="I5570" s="1" t="str">
        <f ca="1">IFERROR(__xludf.DUMMYFUNCTION("GOOGLETRANSLATE(F5570, ""auto"", ""en"")
"),"there are many advantages")</f>
        <v>there are many advantages</v>
      </c>
    </row>
    <row r="5571" spans="1:9" x14ac:dyDescent="0.3">
      <c r="A5571" s="1" t="s">
        <v>149</v>
      </c>
      <c r="B5571" s="1" t="s">
        <v>155</v>
      </c>
      <c r="C5571" s="1" t="s">
        <v>80</v>
      </c>
      <c r="D5571" s="1" t="s">
        <v>52</v>
      </c>
      <c r="E5571" s="1" t="s">
        <v>5798</v>
      </c>
      <c r="F5571" s="1" t="s">
        <v>9103</v>
      </c>
      <c r="G5571" s="1" t="s">
        <v>28</v>
      </c>
      <c r="H5571" s="1" t="s">
        <v>29</v>
      </c>
      <c r="I5571" s="1" t="str">
        <f ca="1">IFERROR(__xludf.DUMMYFUNCTION("GOOGLETRANSLATE(F5571, ""auto"", ""en"")
"),"I bought it at a promotion, chose it based on price, in principle, LG equipment is not bad. When cleaning, I liked the high suction power; after one cleaning of 2 apartments, the container did not clog (or maybe there was not so much dirt in the apartment"&amp;"). It is necessary to get used to the somewhat heavy brush (included), and the need to make noticeable efforts to change the direction of its movement. It is better to store additional brushes separately, and not attach them to the tube, as provided by th"&amp;"e manufacturer - when cleaning, if you hit an obstacle with them (and this always happens), they fall out, and you have to constantly pick them up. The cord is long (11 m), enough for the whole apartment. Overall good.")</f>
        <v>I bought it at a promotion, chose it based on price, in principle, LG equipment is not bad. When cleaning, I liked the high suction power; after one cleaning of 2 apartments, the container did not clog (or maybe there was not so much dirt in the apartment). It is necessary to get used to the somewhat heavy brush (included), and the need to make noticeable efforts to change the direction of its movement. It is better to store additional brushes separately, and not attach them to the tube, as provided by the manufacturer - when cleaning, if you hit an obstacle with them (and this always happens), they fall out, and you have to constantly pick them up. The cord is long (11 m), enough for the whole apartment. Overall good.</v>
      </c>
    </row>
    <row r="5572" spans="1:9" x14ac:dyDescent="0.3">
      <c r="A5572" s="1" t="s">
        <v>149</v>
      </c>
      <c r="B5572" s="1" t="s">
        <v>155</v>
      </c>
      <c r="C5572" s="1" t="s">
        <v>159</v>
      </c>
      <c r="D5572" s="1" t="s">
        <v>305</v>
      </c>
      <c r="E5572" s="1" t="s">
        <v>750</v>
      </c>
      <c r="F5572" s="1" t="s">
        <v>9104</v>
      </c>
      <c r="G5572" s="1" t="s">
        <v>36</v>
      </c>
      <c r="H5572" s="1" t="s">
        <v>29</v>
      </c>
      <c r="I5572" s="1" t="str">
        <f ca="1">IFERROR(__xludf.DUMMYFUNCTION("GOOGLETRANSLATE(F5572, ""auto"", ""en"")
"),"First impressions - everything is just super! It runs quietly and pulls well even at low speed.")</f>
        <v>First impressions - everything is just super! It runs quietly and pulls well even at low speed.</v>
      </c>
    </row>
    <row r="5573" spans="1:9" x14ac:dyDescent="0.3">
      <c r="A5573" s="1" t="s">
        <v>37</v>
      </c>
      <c r="B5573" s="1" t="s">
        <v>536</v>
      </c>
      <c r="C5573" s="1" t="s">
        <v>151</v>
      </c>
      <c r="D5573" s="1" t="s">
        <v>9105</v>
      </c>
      <c r="E5573" s="1" t="s">
        <v>3184</v>
      </c>
      <c r="F5573" s="1" t="s">
        <v>9106</v>
      </c>
      <c r="G5573" s="1" t="s">
        <v>36</v>
      </c>
      <c r="H5573" s="1" t="s">
        <v>29</v>
      </c>
      <c r="I5573" s="1" t="str">
        <f ca="1">IFERROR(__xludf.DUMMYFUNCTION("GOOGLETRANSLATE(F5573, ""auto"", ""en"")
"),"I've been using it for 3 months and everything is great! The battery runs out due to the old software that was originally installed on the phone! change the firmware and voila the battery lives 2-3 times longer")</f>
        <v>I've been using it for 3 months and everything is great! The battery runs out due to the old software that was originally installed on the phone! change the firmware and voila the battery lives 2-3 times longer</v>
      </c>
    </row>
    <row r="5574" spans="1:9" x14ac:dyDescent="0.3">
      <c r="A5574" s="1" t="s">
        <v>17</v>
      </c>
      <c r="B5574" s="1" t="s">
        <v>18</v>
      </c>
      <c r="C5574" s="1" t="s">
        <v>277</v>
      </c>
      <c r="D5574" s="1" t="s">
        <v>565</v>
      </c>
      <c r="E5574" s="1" t="s">
        <v>3600</v>
      </c>
      <c r="F5574" s="1" t="s">
        <v>9107</v>
      </c>
      <c r="G5574" s="1" t="s">
        <v>36</v>
      </c>
      <c r="H5574" s="1" t="s">
        <v>29</v>
      </c>
      <c r="I5574" s="1" t="str">
        <f ca="1">IFERROR(__xludf.DUMMYFUNCTION("GOOGLETRANSLATE(F5574, ""auto"", ""en"")
"),"The machine is excellent, I didn’t notice anything about the volume, it works great.  One minus: he thinks for a long time.  But, in principle, for the money, I'm happy.")</f>
        <v>The machine is excellent, I didn’t notice anything about the volume, it works great.  One minus: he thinks for a long time.  But, in principle, for the money, I'm happy.</v>
      </c>
    </row>
    <row r="5575" spans="1:9" x14ac:dyDescent="0.3">
      <c r="A5575" s="1" t="s">
        <v>105</v>
      </c>
      <c r="B5575" s="1" t="s">
        <v>106</v>
      </c>
      <c r="C5575" s="1" t="s">
        <v>151</v>
      </c>
      <c r="D5575" s="1" t="s">
        <v>5431</v>
      </c>
      <c r="E5575" s="1" t="s">
        <v>3203</v>
      </c>
      <c r="F5575" s="1" t="s">
        <v>9108</v>
      </c>
      <c r="G5575" s="1" t="s">
        <v>36</v>
      </c>
      <c r="H5575" s="1" t="s">
        <v>29</v>
      </c>
      <c r="I5575" s="1" t="str">
        <f ca="1">IFERROR(__xludf.DUMMYFUNCTION("GOOGLETRANSLATE(F5575, ""auto"", ""en"")
"),"I have had an MP3 Flash 2 GB Samsung YP-U5QB (2Gb) Black player for about 3 months, and all this time every day I tried to check all the functions at maximum, i.e. I listened to music at maximum (30), retuned the radio stations and all other functions man"&amp;"y times every day, dropped it on the floor within reasonable limits and pressed the buttons hard, and so on, in a word - WITHSTANDED ALL MY TORTURE. I don’t know what will happen next, but I won’t torture the player anymore, because I’m convinced that the"&amp;" player works perfectly. Defects happen everywhere, that’s why there is a guarantee.")</f>
        <v>I have had an MP3 Flash 2 GB Samsung YP-U5QB (2Gb) Black player for about 3 months, and all this time every day I tried to check all the functions at maximum, i.e. I listened to music at maximum (30), retuned the radio stations and all other functions many times every day, dropped it on the floor within reasonable limits and pressed the buttons hard, and so on, in a word - WITHSTANDED ALL MY TORTURE. I don’t know what will happen next, but I won’t torture the player anymore, because I’m convinced that the player works perfectly. Defects happen everywhere, that’s why there is a guarantee.</v>
      </c>
    </row>
    <row r="5576" spans="1:9" x14ac:dyDescent="0.3">
      <c r="A5576" s="1" t="s">
        <v>43</v>
      </c>
      <c r="B5576" s="1" t="s">
        <v>502</v>
      </c>
      <c r="C5576" s="1" t="s">
        <v>1627</v>
      </c>
      <c r="D5576" s="1" t="s">
        <v>152</v>
      </c>
      <c r="E5576" s="1" t="s">
        <v>6200</v>
      </c>
      <c r="F5576" s="1" t="s">
        <v>9109</v>
      </c>
      <c r="G5576" s="1" t="s">
        <v>36</v>
      </c>
      <c r="H5576" s="1" t="s">
        <v>29</v>
      </c>
      <c r="I5576" s="1" t="str">
        <f ca="1">IFERROR(__xludf.DUMMYFUNCTION("GOOGLETRANSLATE(F5576, ""auto"", ""en"")
"),"I bought a Daikin FTYN35GXV1B/RYN35GXV1B from Mvideo for a promotion. Installation at our expense. Upon purchase, they gave a coupon for free installation in 1 month. I brought the Conder home and called the installer company. They said they would come in"&amp;" 2 days. They came, installed it in 3 hours, paid extra for an additional 2 meters of pipe + extra. hole 1500 rub. The installers did everything well. The condenser is working fine. The outdoor unit is very noisy (installed behind the loggia), but with th"&amp;"e loggia closed everything is OK.")</f>
        <v>I bought a Daikin FTYN35GXV1B/RYN35GXV1B from Mvideo for a promotion. Installation at our expense. Upon purchase, they gave a coupon for free installation in 1 month. I brought the Conder home and called the installer company. They said they would come in 2 days. They came, installed it in 3 hours, paid extra for an additional 2 meters of pipe + extra. hole 1500 rub. The installers did everything well. The condenser is working fine. The outdoor unit is very noisy (installed behind the loggia), but with the loggia closed everything is OK.</v>
      </c>
    </row>
    <row r="5577" spans="1:9" x14ac:dyDescent="0.3">
      <c r="A5577" s="1" t="s">
        <v>61</v>
      </c>
      <c r="B5577" s="1" t="s">
        <v>318</v>
      </c>
      <c r="C5577" s="1" t="s">
        <v>213</v>
      </c>
      <c r="D5577" s="1" t="s">
        <v>75</v>
      </c>
      <c r="E5577" s="1" t="s">
        <v>2468</v>
      </c>
      <c r="F5577" s="1" t="s">
        <v>9110</v>
      </c>
      <c r="G5577" s="1" t="s">
        <v>36</v>
      </c>
      <c r="H5577" s="1" t="s">
        <v>29</v>
      </c>
      <c r="I5577" s="1" t="str">
        <f ca="1">IFERROR(__xludf.DUMMYFUNCTION("GOOGLETRANSLATE(F5577, ""auto"", ""en"")
"),"I really like this kettle. Recently fell on the floor, so even if something cracked (although it was not empty) - everything is in perfect order. The lid was inserted into the grooves and works as if nothing had happened.")</f>
        <v>I really like this kettle. Recently fell on the floor, so even if something cracked (although it was not empty) - everything is in perfect order. The lid was inserted into the grooves and works as if nothing had happened.</v>
      </c>
    </row>
    <row r="5578" spans="1:9" x14ac:dyDescent="0.3">
      <c r="A5578" s="1" t="s">
        <v>238</v>
      </c>
      <c r="B5578" s="1" t="s">
        <v>239</v>
      </c>
      <c r="C5578" s="1" t="s">
        <v>151</v>
      </c>
      <c r="D5578" s="1" t="s">
        <v>52</v>
      </c>
      <c r="E5578" s="1" t="s">
        <v>3829</v>
      </c>
      <c r="F5578" s="1" t="s">
        <v>9111</v>
      </c>
      <c r="G5578" s="1" t="s">
        <v>36</v>
      </c>
      <c r="H5578" s="1" t="s">
        <v>29</v>
      </c>
      <c r="I5578" s="1" t="str">
        <f ca="1">IFERROR(__xludf.DUMMYFUNCTION("GOOGLETRANSLATE(F5578, ""auto"", ""en"")
"),"Magnificent device!  I bought it and have never regretted it! His wife couldn't be happier with him! The space inside is endless, the shelves in the doors are huge, it works quietly, it’s very convenient that the doors open like in a closet! The volume is"&amp;" the same as 2 regular refrigerators, but takes up less space! I don’t see any disadvantages, only advantages, buy it - you won’t regret it.")</f>
        <v>Magnificent device!  I bought it and have never regretted it! His wife couldn't be happier with him! The space inside is endless, the shelves in the doors are huge, it works quietly, it’s very convenient that the doors open like in a closet! The volume is the same as 2 regular refrigerators, but takes up less space! I don’t see any disadvantages, only advantages, buy it - you won’t regret it.</v>
      </c>
    </row>
    <row r="5579" spans="1:9" x14ac:dyDescent="0.3">
      <c r="A5579" s="1" t="s">
        <v>120</v>
      </c>
      <c r="B5579" s="1" t="s">
        <v>121</v>
      </c>
      <c r="C5579" s="1" t="s">
        <v>151</v>
      </c>
      <c r="D5579" s="1" t="s">
        <v>565</v>
      </c>
      <c r="E5579" s="1" t="s">
        <v>2565</v>
      </c>
      <c r="F5579" s="1" t="s">
        <v>9112</v>
      </c>
      <c r="G5579" s="1" t="s">
        <v>28</v>
      </c>
      <c r="H5579" s="1" t="s">
        <v>29</v>
      </c>
      <c r="I5579" s="1" t="str">
        <f ca="1">IFERROR(__xludf.DUMMYFUNCTION("GOOGLETRANSLATE(F5579, ""auto"", ""en"")
"),"Hello, can you please tell me how to turn off the sound when turning the TV on and off? I looked through the entire manual book, but I still couldn’t find it. I would be very grateful if you could tell me. But in general, I’m happy with the TV. Best regar"&amp;"ds.")</f>
        <v>Hello, can you please tell me how to turn off the sound when turning the TV on and off? I looked through the entire manual book, but I still couldn’t find it. I would be very grateful if you could tell me. But in general, I’m happy with the TV. Best regards.</v>
      </c>
    </row>
    <row r="5580" spans="1:9" x14ac:dyDescent="0.3">
      <c r="A5580" s="1" t="s">
        <v>61</v>
      </c>
      <c r="B5580" s="1" t="s">
        <v>318</v>
      </c>
      <c r="C5580" s="1" t="s">
        <v>146</v>
      </c>
      <c r="D5580" s="1" t="s">
        <v>127</v>
      </c>
      <c r="E5580" s="1" t="s">
        <v>176</v>
      </c>
      <c r="F5580" s="1" t="s">
        <v>9113</v>
      </c>
      <c r="G5580" s="1" t="s">
        <v>36</v>
      </c>
      <c r="H5580" s="1" t="s">
        <v>29</v>
      </c>
      <c r="I5580" s="1" t="str">
        <f ca="1">IFERROR(__xludf.DUMMYFUNCTION("GOOGLETRANSLATE(F5580, ""auto"", ""en"")
"),"Great compact kettle! Constantly helps out on business trips, on vacation, in the hospital. Conveniently, the set includes two cups + spoons that fit inside the kettle during transportation.")</f>
        <v>Great compact kettle! Constantly helps out on business trips, on vacation, in the hospital. Conveniently, the set includes two cups + spoons that fit inside the kettle during transportation.</v>
      </c>
    </row>
    <row r="5581" spans="1:9" x14ac:dyDescent="0.3">
      <c r="A5581" s="1" t="s">
        <v>37</v>
      </c>
      <c r="B5581" s="1" t="s">
        <v>38</v>
      </c>
      <c r="C5581" s="1" t="s">
        <v>163</v>
      </c>
      <c r="D5581" s="1" t="s">
        <v>305</v>
      </c>
      <c r="E5581" s="1" t="s">
        <v>1384</v>
      </c>
      <c r="F5581" s="1" t="s">
        <v>9114</v>
      </c>
      <c r="G5581" s="1" t="s">
        <v>36</v>
      </c>
      <c r="H5581" s="1" t="s">
        <v>29</v>
      </c>
      <c r="I5581" s="1" t="str">
        <f ca="1">IFERROR(__xludf.DUMMYFUNCTION("GOOGLETRANSLATE(F5581, ""auto"", ""en"")
"),"I've had this phone for a year and a half now and have never regretted buying it. Flash memory supports not 2GB, but 4GB, I haven’t tried it again. The only thing is that with such a large flash drive the camera and the “gallery” menu section freeze. And "&amp;"everything is fine. And more! It was announced that the device supports MP4, I tried it - there was sound, but no image. There are suspicions that if you re-encode the video into the required format, then everything will work.     In general, for such a p"&amp;"rice it’s not a bad phone. (and I took it for ~7000).")</f>
        <v>I've had this phone for a year and a half now and have never regretted buying it. Flash memory supports not 2GB, but 4GB, I haven’t tried it again. The only thing is that with such a large flash drive the camera and the “gallery” menu section freeze. And everything is fine. And more! It was announced that the device supports MP4, I tried it - there was sound, but no image. There are suspicions that if you re-encode the video into the required format, then everything will work.     In general, for such a price it’s not a bad phone. (and I took it for ~7000).</v>
      </c>
    </row>
    <row r="5582" spans="1:9" x14ac:dyDescent="0.3">
      <c r="A5582" s="1" t="s">
        <v>149</v>
      </c>
      <c r="B5582" s="1" t="s">
        <v>155</v>
      </c>
      <c r="C5582" s="1" t="s">
        <v>151</v>
      </c>
      <c r="D5582" s="1" t="s">
        <v>9115</v>
      </c>
      <c r="E5582" s="1" t="s">
        <v>1467</v>
      </c>
      <c r="F5582" s="1" t="s">
        <v>9116</v>
      </c>
      <c r="G5582" s="1" t="s">
        <v>36</v>
      </c>
      <c r="H5582" s="1" t="s">
        <v>29</v>
      </c>
      <c r="I5582" s="1" t="str">
        <f ca="1">IFERROR(__xludf.DUMMYFUNCTION("GOOGLETRANSLATE(F5582, ""auto"", ""en"")
"),"The budget was limited; my wife and I bought this vacuum cleaner. We have been using it for a couple of years, 2-3 times a week, 2-room apartment 63 sq. m. m. I wash the filters (original ones) about once a week, they are still alive and look great. They "&amp;"collect dust and debris perfectly. An excellent choice for a small budget.")</f>
        <v>The budget was limited; my wife and I bought this vacuum cleaner. We have been using it for a couple of years, 2-3 times a week, 2-room apartment 63 sq. m. m. I wash the filters (original ones) about once a week, they are still alive and look great. They collect dust and debris perfectly. An excellent choice for a small budget.</v>
      </c>
    </row>
    <row r="5583" spans="1:9" x14ac:dyDescent="0.3">
      <c r="A5583" s="1" t="s">
        <v>211</v>
      </c>
      <c r="B5583" s="1" t="s">
        <v>212</v>
      </c>
      <c r="C5583" s="1" t="s">
        <v>69</v>
      </c>
      <c r="D5583" s="1" t="s">
        <v>75</v>
      </c>
      <c r="E5583" s="1" t="s">
        <v>638</v>
      </c>
      <c r="F5583" s="1" t="s">
        <v>9117</v>
      </c>
      <c r="G5583" s="1" t="s">
        <v>36</v>
      </c>
      <c r="H5583" s="1" t="s">
        <v>29</v>
      </c>
      <c r="I5583" s="1" t="str">
        <f ca="1">IFERROR(__xludf.DUMMYFUNCTION("GOOGLETRANSLATE(F5583, ""auto"", ""en"")
"),"Yesterday I bought a hair dryer, the consultant advertised it well. Today, when drying my hair, I noted that the hairdryer is quite comfortable, not heavy, the buttons are easy to switch, and the blue light does not bother my eyes in any way (as they wrot"&amp;"e earlier). Quiet, dried on second speed at medium temperature. Quite comfortable temperature for hair and head. I can’t say anything about the ionization effect yet. Since I've only dried it once so far. I'm glad that there is a cold air button. Overall,"&amp;" I'm happy with the purchase for the price. There is a balance between price and quality. I didn't find any downsides. I recommend it for use at home.")</f>
        <v>Yesterday I bought a hair dryer, the consultant advertised it well. Today, when drying my hair, I noted that the hairdryer is quite comfortable, not heavy, the buttons are easy to switch, and the blue light does not bother my eyes in any way (as they wrote earlier). Quiet, dried on second speed at medium temperature. Quite comfortable temperature for hair and head. I can’t say anything about the ionization effect yet. Since I've only dried it once so far. I'm glad that there is a cold air button. Overall, I'm happy with the purchase for the price. There is a balance between price and quality. I didn't find any downsides. I recommend it for use at home.</v>
      </c>
    </row>
    <row r="5584" spans="1:9" x14ac:dyDescent="0.3">
      <c r="A5584" s="1" t="s">
        <v>9</v>
      </c>
      <c r="B5584" s="1" t="s">
        <v>10</v>
      </c>
      <c r="C5584" s="1" t="s">
        <v>466</v>
      </c>
      <c r="D5584" s="1" t="s">
        <v>305</v>
      </c>
      <c r="E5584" s="1" t="s">
        <v>3504</v>
      </c>
      <c r="F5584" s="1" t="s">
        <v>9118</v>
      </c>
      <c r="G5584" s="1" t="s">
        <v>36</v>
      </c>
      <c r="H5584" s="1" t="s">
        <v>29</v>
      </c>
      <c r="I5584" s="1" t="str">
        <f ca="1">IFERROR(__xludf.DUMMYFUNCTION("GOOGLETRANSLATE(F5584, ""auto"", ""en"")
"),"design, reliability, quiet operation, excellent draw, good lighting")</f>
        <v>design, reliability, quiet operation, excellent draw, good lighting</v>
      </c>
    </row>
    <row r="5585" spans="1:9" x14ac:dyDescent="0.3">
      <c r="A5585" s="1" t="s">
        <v>43</v>
      </c>
      <c r="B5585" s="1" t="s">
        <v>44</v>
      </c>
      <c r="C5585" s="1" t="s">
        <v>45</v>
      </c>
      <c r="D5585" s="1" t="s">
        <v>19</v>
      </c>
      <c r="E5585" s="1" t="s">
        <v>128</v>
      </c>
      <c r="F5585" s="1" t="s">
        <v>9119</v>
      </c>
      <c r="G5585" s="1" t="s">
        <v>36</v>
      </c>
      <c r="H5585" s="1" t="s">
        <v>29</v>
      </c>
      <c r="I5585" s="1" t="str">
        <f ca="1">IFERROR(__xludf.DUMMYFUNCTION("GOOGLETRANSLATE(F5585, ""auto"", ""en"")
"),"Forgot to specify 2D mode and backlight. It works quietly, does not vibrate and the first speed is enough, and then the “turbo” starts! :)) I am 100% satisfied. Cheap and cheerful.")</f>
        <v>Forgot to specify 2D mode and backlight. It works quietly, does not vibrate and the first speed is enough, and then the “turbo” starts! :)) I am 100% satisfied. Cheap and cheerful.</v>
      </c>
    </row>
    <row r="5586" spans="1:9" x14ac:dyDescent="0.3">
      <c r="A5586" s="1" t="s">
        <v>211</v>
      </c>
      <c r="B5586" s="1" t="s">
        <v>410</v>
      </c>
      <c r="C5586" s="1" t="s">
        <v>122</v>
      </c>
      <c r="D5586" s="1" t="s">
        <v>305</v>
      </c>
      <c r="E5586" s="1" t="s">
        <v>2845</v>
      </c>
      <c r="F5586" s="1" t="s">
        <v>9120</v>
      </c>
      <c r="G5586" s="1" t="s">
        <v>36</v>
      </c>
      <c r="H5586" s="1" t="s">
        <v>29</v>
      </c>
      <c r="I5586" s="1" t="str">
        <f ca="1">IFERROR(__xludf.DUMMYFUNCTION("GOOGLETRANSLATE(F5586, ""auto"", ""en"")
"),"This is an amazing razor! I've been using it for 8 years!!! It's time to change the blades, but even now it shaves well, the razor is trouble-free, and the charge lasts for a very long time! 100% recommend.")</f>
        <v>This is an amazing razor! I've been using it for 8 years!!! It's time to change the blades, but even now it shaves well, the razor is trouble-free, and the charge lasts for a very long time! 100% recommend.</v>
      </c>
    </row>
    <row r="5587" spans="1:9" x14ac:dyDescent="0.3">
      <c r="A5587" s="1" t="s">
        <v>61</v>
      </c>
      <c r="B5587" s="1" t="s">
        <v>145</v>
      </c>
      <c r="C5587" s="1" t="s">
        <v>74</v>
      </c>
      <c r="D5587" s="1" t="s">
        <v>565</v>
      </c>
      <c r="E5587" s="1" t="s">
        <v>9121</v>
      </c>
      <c r="F5587" s="1" t="s">
        <v>9122</v>
      </c>
      <c r="G5587" s="1" t="s">
        <v>36</v>
      </c>
      <c r="H5587" s="1" t="s">
        <v>29</v>
      </c>
      <c r="I5587" s="1" t="str">
        <f ca="1">IFERROR(__xludf.DUMMYFUNCTION("GOOGLETRANSLATE(F5587, ""auto"", ""en"")
"),"Cool yogurt maker. Very convenient jars. The yogurt turns out to be of high quality. I bought an expensive one from another company and gave this one away, now I regret it.")</f>
        <v>Cool yogurt maker. Very convenient jars. The yogurt turns out to be of high quality. I bought an expensive one from another company and gave this one away, now I regret it.</v>
      </c>
    </row>
    <row r="5588" spans="1:9" x14ac:dyDescent="0.3">
      <c r="A5588" s="1" t="s">
        <v>55</v>
      </c>
      <c r="B5588" s="1" t="s">
        <v>84</v>
      </c>
      <c r="C5588" s="1" t="s">
        <v>85</v>
      </c>
      <c r="D5588" s="1" t="s">
        <v>139</v>
      </c>
      <c r="E5588" s="1" t="s">
        <v>3186</v>
      </c>
      <c r="F5588" s="1" t="s">
        <v>9123</v>
      </c>
      <c r="G5588" s="1" t="s">
        <v>36</v>
      </c>
      <c r="H5588" s="1" t="s">
        <v>29</v>
      </c>
      <c r="I5588" s="1" t="str">
        <f ca="1">IFERROR(__xludf.DUMMYFUNCTION("GOOGLETRANSLATE(F5588, ""auto"", ""en"")
"),"Really moisturizes and cleanses. I didn't expect such an effect. I don’t understand how we lived without him)) the temperature in the room dropped to 24 degrees")</f>
        <v>Really moisturizes and cleanses. I didn't expect such an effect. I don’t understand how we lived without him)) the temperature in the room dropped to 24 degrees</v>
      </c>
    </row>
    <row r="5589" spans="1:9" x14ac:dyDescent="0.3">
      <c r="A5589" s="1" t="s">
        <v>61</v>
      </c>
      <c r="B5589" s="1" t="s">
        <v>1727</v>
      </c>
      <c r="C5589" s="1" t="s">
        <v>122</v>
      </c>
      <c r="D5589" s="1" t="s">
        <v>46</v>
      </c>
      <c r="E5589" s="1" t="s">
        <v>6989</v>
      </c>
      <c r="F5589" s="1" t="s">
        <v>9124</v>
      </c>
      <c r="G5589" s="1" t="s">
        <v>36</v>
      </c>
      <c r="H5589" s="1" t="s">
        <v>29</v>
      </c>
      <c r="I5589" s="1" t="str">
        <f ca="1">IFERROR(__xludf.DUMMYFUNCTION("GOOGLETRANSLATE(F5589, ""auto"", ""en"")
"),"Super Thing!!! Time saving!! I came home from work, loaded it with food items and she cooks food there by herself!! Meanwhile, you mind your own business!! Super! I even mastered baking!")</f>
        <v>Super Thing!!! Time saving!! I came home from work, loaded it with food items and she cooks food there by herself!! Meanwhile, you mind your own business!! Super! I even mastered baking!</v>
      </c>
    </row>
    <row r="5590" spans="1:9" x14ac:dyDescent="0.3">
      <c r="A5590" s="1" t="s">
        <v>61</v>
      </c>
      <c r="B5590" s="1" t="s">
        <v>434</v>
      </c>
      <c r="C5590" s="1" t="s">
        <v>101</v>
      </c>
      <c r="D5590" s="1" t="s">
        <v>86</v>
      </c>
      <c r="E5590" s="1" t="s">
        <v>1866</v>
      </c>
      <c r="F5590" s="1" t="s">
        <v>9125</v>
      </c>
      <c r="G5590" s="1" t="s">
        <v>49</v>
      </c>
      <c r="H5590" s="1" t="s">
        <v>16</v>
      </c>
      <c r="I5590" s="1" t="str">
        <f ca="1">IFERROR(__xludf.DUMMYFUNCTION("GOOGLETRANSLATE(F5590, ""auto"", ""en"")
"),"I purchased this stove in March 2011. The device works, in principle, not bad, but the quality of assembly and execution leaves much to be desired. About a couple of weeks after the start of use (used 5-6 times), the oven door handle fell off. I was shock"&amp;"ed simply by the quality of the product. I had to glue it back with superglue.")</f>
        <v>I purchased this stove in March 2011. The device works, in principle, not bad, but the quality of assembly and execution leaves much to be desired. About a couple of weeks after the start of use (used 5-6 times), the oven door handle fell off. I was shocked simply by the quality of the product. I had to glue it back with superglue.</v>
      </c>
    </row>
    <row r="5591" spans="1:9" x14ac:dyDescent="0.3">
      <c r="A5591" s="1" t="s">
        <v>37</v>
      </c>
      <c r="B5591" s="1" t="s">
        <v>536</v>
      </c>
      <c r="C5591" s="1" t="s">
        <v>151</v>
      </c>
      <c r="D5591" s="1" t="s">
        <v>934</v>
      </c>
      <c r="E5591" s="1" t="s">
        <v>864</v>
      </c>
      <c r="F5591" s="1" t="s">
        <v>9126</v>
      </c>
      <c r="G5591" s="1" t="s">
        <v>36</v>
      </c>
      <c r="H5591" s="1" t="s">
        <v>29</v>
      </c>
      <c r="I5591" s="1" t="str">
        <f ca="1">IFERROR(__xludf.DUMMYFUNCTION("GOOGLETRANSLATE(F5591, ""auto"", ""en"")
"),"The phone is wonderful, easy to use. I'm happy with everything. What pleased me most was the fact that after falling from the fourth floor, there were 2 scratches on it and the flash glass was cracked, the phone works properly, so I recommend it to everyo"&amp;"ne =)))")</f>
        <v>The phone is wonderful, easy to use. I'm happy with everything. What pleased me most was the fact that after falling from the fourth floor, there were 2 scratches on it and the flash glass was cracked, the phone works properly, so I recommend it to everyone =)))</v>
      </c>
    </row>
    <row r="5592" spans="1:9" x14ac:dyDescent="0.3">
      <c r="A5592" s="1" t="s">
        <v>30</v>
      </c>
      <c r="B5592" s="1" t="s">
        <v>50</v>
      </c>
      <c r="C5592" s="1" t="s">
        <v>1003</v>
      </c>
      <c r="D5592" s="1" t="s">
        <v>64</v>
      </c>
      <c r="E5592" s="1" t="s">
        <v>3775</v>
      </c>
      <c r="F5592" s="1" t="s">
        <v>9127</v>
      </c>
      <c r="G5592" s="1" t="s">
        <v>36</v>
      </c>
      <c r="H5592" s="1" t="s">
        <v>29</v>
      </c>
      <c r="I5592" s="1" t="str">
        <f ca="1">IFERROR(__xludf.DUMMYFUNCTION("GOOGLETRANSLATE(F5592, ""auto"", ""en"")
"),"Everything is fine except the system. It’s better to reinstall, otherwise it will torment you with its long thinking and problems with installing many programs. If you use it on the Internet, the battery lasts 3 - 3.5 hours, I haven’t tried it in games. T"&amp;"he laptop reads memory cards quickly and the sound is good. Normal keyboard, it doesn’t bother me personally. It's a good machine, you just need to handle it carefully, the plastic on the lid is a bit thin and bends.")</f>
        <v>Everything is fine except the system. It’s better to reinstall, otherwise it will torment you with its long thinking and problems with installing many programs. If you use it on the Internet, the battery lasts 3 - 3.5 hours, I haven’t tried it in games. The laptop reads memory cards quickly and the sound is good. Normal keyboard, it doesn’t bother me personally. It's a good machine, you just need to handle it carefully, the plastic on the lid is a bit thin and bends.</v>
      </c>
    </row>
    <row r="5593" spans="1:9" x14ac:dyDescent="0.3">
      <c r="A5593" s="1" t="s">
        <v>624</v>
      </c>
      <c r="B5593" s="1" t="s">
        <v>625</v>
      </c>
      <c r="C5593" s="1" t="s">
        <v>479</v>
      </c>
      <c r="D5593" s="1" t="s">
        <v>2873</v>
      </c>
      <c r="E5593" s="1" t="s">
        <v>1044</v>
      </c>
      <c r="F5593" s="1" t="s">
        <v>9128</v>
      </c>
      <c r="G5593" s="1" t="s">
        <v>36</v>
      </c>
      <c r="H5593" s="1" t="s">
        <v>29</v>
      </c>
      <c r="I5593" s="1" t="str">
        <f ca="1">IFERROR(__xludf.DUMMYFUNCTION("GOOGLETRANSLATE(F5593, ""auto"", ""en"")
"),"I'm happy with the purchase. But! There is an error in the description. The language of the game is English! (not very critical - you can figure it out) I play with my brother in co-op on the same console. It's more interesting this way. In order to spend"&amp;" time killing zombies alone or with a friend, I recommend it to everyone.")</f>
        <v>I'm happy with the purchase. But! There is an error in the description. The language of the game is English! (not very critical - you can figure it out) I play with my brother in co-op on the same console. It's more interesting this way. In order to spend time killing zombies alone or with a friend, I recommend it to everyone.</v>
      </c>
    </row>
    <row r="5594" spans="1:9" x14ac:dyDescent="0.3">
      <c r="A5594" s="1" t="s">
        <v>373</v>
      </c>
      <c r="B5594" s="1" t="s">
        <v>374</v>
      </c>
      <c r="C5594" s="1" t="s">
        <v>19</v>
      </c>
      <c r="D5594" s="1" t="s">
        <v>896</v>
      </c>
      <c r="E5594" s="1" t="s">
        <v>3300</v>
      </c>
      <c r="F5594" s="1" t="s">
        <v>9129</v>
      </c>
      <c r="G5594" s="1" t="s">
        <v>36</v>
      </c>
      <c r="H5594" s="1" t="s">
        <v>29</v>
      </c>
      <c r="I5594" s="1" t="str">
        <f ca="1">IFERROR(__xludf.DUMMYFUNCTION("GOOGLETRANSLATE(F5594, ""auto"", ""en"")
"),"We've been together with this assistant for more than two years, installing it ourselves under the countertop. During the entire period of operation, there were no complaints. The quality of washing is excellent (I only use tablets), the dishes are of cou"&amp;"rse not always perfectly dry, but not critical.")</f>
        <v>We've been together with this assistant for more than two years, installing it ourselves under the countertop. During the entire period of operation, there were no complaints. The quality of washing is excellent (I only use tablets), the dishes are of course not always perfectly dry, but not critical.</v>
      </c>
    </row>
    <row r="5595" spans="1:9" x14ac:dyDescent="0.3">
      <c r="A5595" s="1" t="s">
        <v>67</v>
      </c>
      <c r="B5595" s="1" t="s">
        <v>68</v>
      </c>
      <c r="C5595" s="1" t="s">
        <v>246</v>
      </c>
      <c r="D5595" s="1" t="s">
        <v>9130</v>
      </c>
      <c r="E5595" s="1" t="s">
        <v>2535</v>
      </c>
      <c r="F5595" s="1" t="s">
        <v>9131</v>
      </c>
      <c r="G5595" s="1" t="s">
        <v>36</v>
      </c>
      <c r="H5595" s="1" t="s">
        <v>29</v>
      </c>
      <c r="I5595" s="1" t="str">
        <f ca="1">IFERROR(__xludf.DUMMYFUNCTION("GOOGLETRANSLATE(F5595, ""auto"", ""en"")
"),"Three months with me. Powerful, beautiful, comfortable to hold, ready to use (heats up) quickly, great steam, this TEFAL has made IRONING a pleasure for me!!!!!")</f>
        <v>Three months with me. Powerful, beautiful, comfortable to hold, ready to use (heats up) quickly, great steam, this TEFAL has made IRONING a pleasure for me!!!!!</v>
      </c>
    </row>
    <row r="5596" spans="1:9" x14ac:dyDescent="0.3">
      <c r="A5596" s="1" t="s">
        <v>43</v>
      </c>
      <c r="B5596" s="1" t="s">
        <v>502</v>
      </c>
      <c r="C5596" s="1" t="s">
        <v>159</v>
      </c>
      <c r="D5596" s="1" t="s">
        <v>9132</v>
      </c>
      <c r="E5596" s="1" t="s">
        <v>4608</v>
      </c>
      <c r="F5596" s="1" t="s">
        <v>9133</v>
      </c>
      <c r="G5596" s="1" t="s">
        <v>36</v>
      </c>
      <c r="H5596" s="1" t="s">
        <v>29</v>
      </c>
      <c r="I5596" s="1" t="str">
        <f ca="1">IFERROR(__xludf.DUMMYFUNCTION("GOOGLETRANSLATE(F5596, ""auto"", ""en"")
"),"My apartment is partly a studio; I took out some of the walls and combined the hall, living room and kitchen. Especially in this space in the summer there is not enough coolness and freshness, fortunately the bedroom faces the shady side and there is almo"&amp;"st always comfort there. The air conditioner is installed in the hall, it blows in the direction from the front door, in 10 minutes you can reach the set temperature, the air does not have cold layers, spreads quickly and evenly over the entire area, does"&amp;" not have an unpleasant odor even after a long pause in operation, moreover, it filters the air. Color information display. There is an option for auto-cleaning and defrosting the indoor/outdoor units (this air conditioner can be turned on during initial "&amp;"frosts). Commendable quality of production and performance.")</f>
        <v>My apartment is partly a studio; I took out some of the walls and combined the hall, living room and kitchen. Especially in this space in the summer there is not enough coolness and freshness, fortunately the bedroom faces the shady side and there is almost always comfort there. The air conditioner is installed in the hall, it blows in the direction from the front door, in 10 minutes you can reach the set temperature, the air does not have cold layers, spreads quickly and evenly over the entire area, does not have an unpleasant odor even after a long pause in operation, moreover, it filters the air. Color information display. There is an option for auto-cleaning and defrosting the indoor/outdoor units (this air conditioner can be turned on during initial frosts). Commendable quality of production and performance.</v>
      </c>
    </row>
    <row r="5597" spans="1:9" x14ac:dyDescent="0.3">
      <c r="A5597" s="1" t="s">
        <v>211</v>
      </c>
      <c r="B5597" s="1" t="s">
        <v>384</v>
      </c>
      <c r="C5597" s="1" t="s">
        <v>57</v>
      </c>
      <c r="D5597" s="1" t="s">
        <v>690</v>
      </c>
      <c r="E5597" s="1" t="s">
        <v>386</v>
      </c>
      <c r="F5597" s="1" t="s">
        <v>9134</v>
      </c>
      <c r="G5597" s="1" t="s">
        <v>49</v>
      </c>
      <c r="H5597" s="1" t="s">
        <v>16</v>
      </c>
      <c r="I5597" s="1" t="str">
        <f ca="1">IFERROR(__xludf.DUMMYFUNCTION("GOOGLETRANSLATE(F5597, ""auto"", ""en"")
"),"When purchasing, the seller said that among the cheap options, Vitek is the best. However, as it turned out, this is also not the best option. The displayed weight depends on how you step on the scale, the difference is up to 2 kg. It’s not clear why make"&amp;" scales with an error of 100g if there is such a difference?!  I'll go change it.")</f>
        <v>When purchasing, the seller said that among the cheap options, Vitek is the best. However, as it turned out, this is also not the best option. The displayed weight depends on how you step on the scale, the difference is up to 2 kg. It’s not clear why make scales with an error of 100g if there is such a difference?!  I'll go change it.</v>
      </c>
    </row>
    <row r="5598" spans="1:9" x14ac:dyDescent="0.3">
      <c r="A5598" s="1" t="s">
        <v>37</v>
      </c>
      <c r="B5598" s="1" t="s">
        <v>536</v>
      </c>
      <c r="C5598" s="1" t="s">
        <v>163</v>
      </c>
      <c r="D5598" s="1" t="s">
        <v>327</v>
      </c>
      <c r="E5598" s="1" t="s">
        <v>1586</v>
      </c>
      <c r="F5598" s="1" t="s">
        <v>9135</v>
      </c>
      <c r="G5598" s="1" t="s">
        <v>49</v>
      </c>
      <c r="H5598" s="1" t="s">
        <v>16</v>
      </c>
      <c r="I5598" s="1" t="str">
        <f ca="1">IFERROR(__xludf.DUMMYFUNCTION("GOOGLETRANSLATE(F5598, ""auto"", ""en"")
"),"Same problem 3 times!  The phone does not charge the battery! Although the display shows charging.  I took it in for service 2 times and they sent the phone to Moscow and repaired it under warranty. Something was seriously changing there, but the “what” w"&amp;"as hidden from me by the service department. Moreover, the phone was lying around in the service for a month!   Today the phone died for the 3rd time!!!!  With the same symptoms!  The warranty has expired! Apparently you will have to repair it at your own"&amp;" expense!  Thank you NOKIA for the “wonderful” phone!")</f>
        <v>Same problem 3 times!  The phone does not charge the battery! Although the display shows charging.  I took it in for service 2 times and they sent the phone to Moscow and repaired it under warranty. Something was seriously changing there, but the “what” was hidden from me by the service department. Moreover, the phone was lying around in the service for a month!   Today the phone died for the 3rd time!!!!  With the same symptoms!  The warranty has expired! Apparently you will have to repair it at your own expense!  Thank you NOKIA for the “wonderful” phone!</v>
      </c>
    </row>
    <row r="5599" spans="1:9" x14ac:dyDescent="0.3">
      <c r="A5599" s="1" t="s">
        <v>61</v>
      </c>
      <c r="B5599" s="1" t="s">
        <v>73</v>
      </c>
      <c r="C5599" s="1" t="s">
        <v>85</v>
      </c>
      <c r="D5599" s="1" t="s">
        <v>102</v>
      </c>
      <c r="E5599" s="1" t="s">
        <v>1181</v>
      </c>
      <c r="F5599" s="1" t="s">
        <v>9136</v>
      </c>
      <c r="G5599" s="1" t="s">
        <v>36</v>
      </c>
      <c r="H5599" s="1" t="s">
        <v>29</v>
      </c>
      <c r="I5599" s="1" t="str">
        <f ca="1">IFERROR(__xludf.DUMMYFUNCTION("GOOGLETRANSLATE(F5599, ""auto"", ""en"")
"),"In the summer of 2008, I bought a BORK MG RNP 1215 WT electric meat grinder. Decent quality at an optimal price. I had no problems with it during the entire time of use, as with all BORK equipment.")</f>
        <v>In the summer of 2008, I bought a BORK MG RNP 1215 WT electric meat grinder. Decent quality at an optimal price. I had no problems with it during the entire time of use, as with all BORK equipment.</v>
      </c>
    </row>
    <row r="5600" spans="1:9" x14ac:dyDescent="0.3">
      <c r="A5600" s="1" t="s">
        <v>37</v>
      </c>
      <c r="B5600" s="1" t="s">
        <v>536</v>
      </c>
      <c r="C5600" s="1" t="s">
        <v>537</v>
      </c>
      <c r="D5600" s="1" t="s">
        <v>232</v>
      </c>
      <c r="E5600" s="1" t="s">
        <v>2432</v>
      </c>
      <c r="F5600" s="1" t="s">
        <v>9137</v>
      </c>
      <c r="G5600" s="1" t="s">
        <v>36</v>
      </c>
      <c r="H5600" s="1" t="s">
        <v>29</v>
      </c>
      <c r="I5600" s="1" t="str">
        <f ca="1">IFERROR(__xludf.DUMMYFUNCTION("GOOGLETRANSLATE(F5600, ""auto"", ""en"")
"),"I've been using it for half a year. I downloaded Windows 6.5 and updated without problems. The device is very fast, the battery is rather weak, but the body is thin and very stylish. The navigator works great. Wi-Fi goes far enough. Lots of default applic"&amp;"ations, VERY convenient HTC Sense shell interface. In general, thoughts aside, save up the money and be sure to take it!!! I highly recommend it.")</f>
        <v>I've been using it for half a year. I downloaded Windows 6.5 and updated without problems. The device is very fast, the battery is rather weak, but the body is thin and very stylish. The navigator works great. Wi-Fi goes far enough. Lots of default applications, VERY convenient HTC Sense shell interface. In general, thoughts aside, save up the money and be sure to take it!!! I highly recommend it.</v>
      </c>
    </row>
    <row r="5601" spans="1:9" x14ac:dyDescent="0.3">
      <c r="A5601" s="1" t="s">
        <v>477</v>
      </c>
      <c r="B5601" s="1" t="s">
        <v>478</v>
      </c>
      <c r="C5601" s="1" t="s">
        <v>479</v>
      </c>
      <c r="D5601" s="1" t="s">
        <v>1036</v>
      </c>
      <c r="E5601" s="1" t="s">
        <v>320</v>
      </c>
      <c r="F5601" s="1" t="s">
        <v>9138</v>
      </c>
      <c r="G5601" s="1" t="s">
        <v>36</v>
      </c>
      <c r="H5601" s="1" t="s">
        <v>29</v>
      </c>
      <c r="I5601" s="1" t="str">
        <f ca="1">IFERROR(__xludf.DUMMYFUNCTION("GOOGLETRANSLATE(F5601, ""auto"", ""en"")
"),"Before buying this game, I advise you to get powerful hardware in your computer, otherwise half the fun from the game will be lost. The plot is not strong. The graphics are great. Who can - update the game to patch 1.9, download improved textures from the"&amp;" official website of the game, etc. Then the game will become even more interesting. The sound and music in the game are not bad. The network mode still needs some work, but it’s better than in the first Crysis.")</f>
        <v>Before buying this game, I advise you to get powerful hardware in your computer, otherwise half the fun from the game will be lost. The plot is not strong. The graphics are great. Who can - update the game to patch 1.9, download improved textures from the official website of the game, etc. Then the game will become even more interesting. The sound and music in the game are not bad. The network mode still needs some work, but it’s better than in the first Crysis.</v>
      </c>
    </row>
    <row r="5602" spans="1:9" x14ac:dyDescent="0.3">
      <c r="A5602" s="1" t="s">
        <v>169</v>
      </c>
      <c r="B5602" s="1" t="s">
        <v>170</v>
      </c>
      <c r="C5602" s="1" t="s">
        <v>69</v>
      </c>
      <c r="D5602" s="1" t="s">
        <v>305</v>
      </c>
      <c r="E5602" s="1" t="s">
        <v>543</v>
      </c>
      <c r="F5602" s="1" t="s">
        <v>9139</v>
      </c>
      <c r="G5602" s="1" t="s">
        <v>49</v>
      </c>
      <c r="H5602" s="1" t="s">
        <v>16</v>
      </c>
      <c r="I5602" s="1" t="str">
        <f ca="1">IFERROR(__xludf.DUMMYFUNCTION("GOOGLETRANSLATE(F5602, ""auto"", ""en"")
"),"I’ll probably be the first user here who doesn’t work in M.Video)))) So I’ll say it like it is... Thank you very much for these headphones. Having purchased them, literally in the second week of listening to music in them, I started having pain in my ear "&amp;"cavity, the plastic headband squeezes the headphones so hard that literally after 2 hours of listening to music in them, I just started to knock in the weights (apparently this is what the manufacturers intended to enhance the bass). In a word, thank you "&amp;"very much M.Video!!! Otolaryngologists will never be left without work....")</f>
        <v>I’ll probably be the first user here who doesn’t work in M.Video)))) So I’ll say it like it is... Thank you very much for these headphones. Having purchased them, literally in the second week of listening to music in them, I started having pain in my ear cavity, the plastic headband squeezes the headphones so hard that literally after 2 hours of listening to music in them, I just started to knock in the weights (apparently this is what the manufacturers intended to enhance the bass). In a word, thank you very much M.Video!!! Otolaryngologists will never be left without work....</v>
      </c>
    </row>
    <row r="5603" spans="1:9" x14ac:dyDescent="0.3">
      <c r="A5603" s="1" t="s">
        <v>211</v>
      </c>
      <c r="B5603" s="1" t="s">
        <v>265</v>
      </c>
      <c r="C5603" s="1" t="s">
        <v>1591</v>
      </c>
      <c r="D5603" s="1" t="s">
        <v>9140</v>
      </c>
      <c r="E5603" s="1" t="s">
        <v>4980</v>
      </c>
      <c r="F5603" s="1" t="s">
        <v>9141</v>
      </c>
      <c r="G5603" s="1" t="s">
        <v>49</v>
      </c>
      <c r="H5603" s="1" t="s">
        <v>16</v>
      </c>
      <c r="I5603" s="1" t="str">
        <f ca="1">IFERROR(__xludf.DUMMYFUNCTION("GOOGLETRANSLATE(F5603, ""auto"", ""en"")
"),"A very terrible machine, I don’t recommend buying it, I’m not happy, the battery doesn’t hold, it only works for 10 minutes and then takes 16 hours to charge")</f>
        <v>A very terrible machine, I don’t recommend buying it, I’m not happy, the battery doesn’t hold, it only works for 10 minutes and then takes 16 hours to charge</v>
      </c>
    </row>
    <row r="5604" spans="1:9" x14ac:dyDescent="0.3">
      <c r="A5604" s="1" t="s">
        <v>113</v>
      </c>
      <c r="B5604" s="1" t="s">
        <v>1251</v>
      </c>
      <c r="C5604" s="1" t="s">
        <v>151</v>
      </c>
      <c r="D5604" s="1" t="s">
        <v>885</v>
      </c>
      <c r="E5604" s="1" t="s">
        <v>817</v>
      </c>
      <c r="F5604" s="1" t="s">
        <v>9142</v>
      </c>
      <c r="G5604" s="1" t="s">
        <v>36</v>
      </c>
      <c r="H5604" s="1" t="s">
        <v>29</v>
      </c>
      <c r="I5604" s="1" t="str">
        <f ca="1">IFERROR(__xludf.DUMMYFUNCTION("GOOGLETRANSLATE(F5604, ""auto"", ""en"")
"),"Did the lack of video output kill you? The camera connects to the TV via mini USB, the one behind the rubber plug!")</f>
        <v>Did the lack of video output kill you? The camera connects to the TV via mini USB, the one behind the rubber plug!</v>
      </c>
    </row>
    <row r="5605" spans="1:9" x14ac:dyDescent="0.3">
      <c r="A5605" s="1" t="s">
        <v>17</v>
      </c>
      <c r="B5605" s="1" t="s">
        <v>18</v>
      </c>
      <c r="C5605" s="1" t="s">
        <v>134</v>
      </c>
      <c r="D5605" s="1" t="s">
        <v>319</v>
      </c>
      <c r="E5605" s="1" t="s">
        <v>1801</v>
      </c>
      <c r="F5605" s="1" t="s">
        <v>9143</v>
      </c>
      <c r="G5605" s="1" t="s">
        <v>49</v>
      </c>
      <c r="H5605" s="1" t="s">
        <v>16</v>
      </c>
      <c r="I5605" s="1" t="str">
        <f ca="1">IFERROR(__xludf.DUMMYFUNCTION("GOOGLETRANSLATE(F5605, ""auto"", ""en"")
"),"It's been in use for a month and for some reason the edge of the rubber seal has already torn, it's so thin and delicate, it's just unclear how it can serve for a long time. I'm not happy with the machine.")</f>
        <v>It's been in use for a month and for some reason the edge of the rubber seal has already torn, it's so thin and delicate, it's just unclear how it can serve for a long time. I'm not happy with the machine.</v>
      </c>
    </row>
    <row r="5606" spans="1:9" x14ac:dyDescent="0.3">
      <c r="A5606" s="1" t="s">
        <v>55</v>
      </c>
      <c r="B5606" s="1" t="s">
        <v>9144</v>
      </c>
      <c r="C5606" s="1" t="s">
        <v>3856</v>
      </c>
      <c r="D5606" s="1" t="s">
        <v>9145</v>
      </c>
      <c r="E5606" s="1" t="s">
        <v>699</v>
      </c>
      <c r="F5606" s="1" t="s">
        <v>9146</v>
      </c>
      <c r="G5606" s="1" t="s">
        <v>36</v>
      </c>
      <c r="H5606" s="1" t="s">
        <v>29</v>
      </c>
      <c r="I5606" s="1" t="str">
        <f ca="1">IFERROR(__xludf.DUMMYFUNCTION("GOOGLETRANSLATE(F5606, ""auto"", ""en"")
"),"Animal. It heats up the room in which it is located very quickly. And if you close the windows everywhere, then the entire apartment is heated normally. And what a beautiful one. It seems to me that with such a fireplace any room becomes cozy and lived-in"&amp;". It has two operating modes. So it doesn’t necessarily suit the steam room. You can simply warm up even on a cool summer evening. The kmin has wheels. So even I can move it a meter with a jumping cap and 40 kg in weight.")</f>
        <v>Animal. It heats up the room in which it is located very quickly. And if you close the windows everywhere, then the entire apartment is heated normally. And what a beautiful one. It seems to me that with such a fireplace any room becomes cozy and lived-in. It has two operating modes. So it doesn’t necessarily suit the steam room. You can simply warm up even on a cool summer evening. The kmin has wheels. So even I can move it a meter with a jumping cap and 40 kg in weight.</v>
      </c>
    </row>
    <row r="5607" spans="1:9" x14ac:dyDescent="0.3">
      <c r="A5607" s="1" t="s">
        <v>211</v>
      </c>
      <c r="B5607" s="1" t="s">
        <v>410</v>
      </c>
      <c r="C5607" s="1" t="s">
        <v>69</v>
      </c>
      <c r="D5607" s="1" t="s">
        <v>280</v>
      </c>
      <c r="E5607" s="1" t="s">
        <v>1623</v>
      </c>
      <c r="F5607" s="1" t="s">
        <v>9147</v>
      </c>
      <c r="G5607" s="1" t="s">
        <v>36</v>
      </c>
      <c r="H5607" s="1" t="s">
        <v>29</v>
      </c>
      <c r="I5607" s="1" t="str">
        <f ca="1">IFERROR(__xludf.DUMMYFUNCTION("GOOGLETRANSLATE(F5607, ""auto"", ""en"")
"),"An excellent razor, shaves well, I charge it once every 2 months, and the charging time is about 15-20 minutes. I've been using it for 2 years now.")</f>
        <v>An excellent razor, shaves well, I charge it once every 2 months, and the charging time is about 15-20 minutes. I've been using it for 2 years now.</v>
      </c>
    </row>
    <row r="5608" spans="1:9" x14ac:dyDescent="0.3">
      <c r="A5608" s="1" t="s">
        <v>557</v>
      </c>
      <c r="B5608" s="1" t="s">
        <v>558</v>
      </c>
      <c r="C5608" s="1" t="s">
        <v>122</v>
      </c>
      <c r="D5608" s="1" t="s">
        <v>1171</v>
      </c>
      <c r="E5608" s="1" t="s">
        <v>9148</v>
      </c>
      <c r="F5608" s="1" t="s">
        <v>9149</v>
      </c>
      <c r="G5608" s="1" t="s">
        <v>15</v>
      </c>
      <c r="H5608" s="1" t="s">
        <v>16</v>
      </c>
      <c r="I5608" s="1" t="str">
        <f ca="1">IFERROR(__xludf.DUMMYFUNCTION("GOOGLETRANSLATE(F5608, ""auto"", ""en"")
"),"I expected much better. There was a similar phone, now there is no such model, I took this one, thinking that there were no differences. There are no complaints about the sound quality yet. Disadvantages: 1. there is nothing to choose from for ringtones ("&amp;"when I read this in other reviews, I was surprised, but in this case there is really a very meager selection of melodies, all very simple, at the level of a classic ringtone); 2. The speakerphone cannot be turned off during a conversation. 3. Very small i"&amp;"nscriptions on the screen and the screen itself is quite small compared to my previous device; 4. When there is an incoming call and you pick up the handset on another device, this one does not stop ringing for a long time, and when talking on another dev"&amp;"ice on the handset you hear “the connection is established.” In general, it works somehow crookedly.")</f>
        <v>I expected much better. There was a similar phone, now there is no such model, I took this one, thinking that there were no differences. There are no complaints about the sound quality yet. Disadvantages: 1. there is nothing to choose from for ringtones (when I read this in other reviews, I was surprised, but in this case there is really a very meager selection of melodies, all very simple, at the level of a classic ringtone); 2. The speakerphone cannot be turned off during a conversation. 3. Very small inscriptions on the screen and the screen itself is quite small compared to my previous device; 4. When there is an incoming call and you pick up the handset on another device, this one does not stop ringing for a long time, and when talking on another device on the handset you hear “the connection is established.” In general, it works somehow crookedly.</v>
      </c>
    </row>
    <row r="5609" spans="1:9" x14ac:dyDescent="0.3">
      <c r="A5609" s="1" t="s">
        <v>477</v>
      </c>
      <c r="B5609" s="1" t="s">
        <v>478</v>
      </c>
      <c r="C5609" s="1" t="s">
        <v>479</v>
      </c>
      <c r="D5609" s="1" t="s">
        <v>86</v>
      </c>
      <c r="E5609" s="1" t="s">
        <v>1723</v>
      </c>
      <c r="F5609" s="1" t="s">
        <v>9150</v>
      </c>
      <c r="G5609" s="1" t="s">
        <v>36</v>
      </c>
      <c r="H5609" s="1" t="s">
        <v>29</v>
      </c>
      <c r="I5609" s="1" t="str">
        <f ca="1">IFERROR(__xludf.DUMMYFUNCTION("GOOGLETRANSLATE(F5609, ""auto"", ""en"")
"),"Hurricane action, stunning cinematography.  A must play for those who haven't done so yet)")</f>
        <v>Hurricane action, stunning cinematography.  A must play for those who haven't done so yet)</v>
      </c>
    </row>
    <row r="5610" spans="1:9" x14ac:dyDescent="0.3">
      <c r="A5610" s="1" t="s">
        <v>17</v>
      </c>
      <c r="B5610" s="1" t="s">
        <v>18</v>
      </c>
      <c r="C5610" s="1" t="s">
        <v>24</v>
      </c>
      <c r="D5610" s="1" t="s">
        <v>39</v>
      </c>
      <c r="E5610" s="1" t="s">
        <v>201</v>
      </c>
      <c r="F5610" s="1" t="s">
        <v>9151</v>
      </c>
      <c r="G5610" s="1" t="s">
        <v>36</v>
      </c>
      <c r="H5610" s="1" t="s">
        <v>29</v>
      </c>
      <c r="I5610" s="1" t="str">
        <f ca="1">IFERROR(__xludf.DUMMYFUNCTION("GOOGLETRANSLATE(F5610, ""auto"", ""en"")
"),"I spent a long time choosing a machine - the first purchase for which I analyzed the entire market for machines in the price range of 5-15 tr. I settled on the Zanussi brand, a subsidiary of Electrolux, which did not fit into this segment.      I ended up"&amp;" buying this machine for RUR 8,500 on sale.     First impressions - quiet operation, ease of control (only one regulator), absence of vibrations. It seems that 3.5 kg of loading is not enough - but if you consider that it is necessary to separate white an"&amp;"d colored, then this size is enough for an ordinary family of 2-3 people, rather than constantly spinning a large drum with an incomplete load.      I wash at no higher than 60 degrees and reduce the speed to 700 - although it can go as high as 1000 (I’m "&amp;"afraid for my clothes). The laundry comes out slightly damp. There are no complaints about the quality of washing either - everything is great.     No deficiencies found.     Conclusion - a very good, reliable washing machine without unnecessary bells and"&amp;" whistles like a touch screen, LCD screen, dryers, etc., etc., especially for such a price. I'm very pleased with the purchase.")</f>
        <v>I spent a long time choosing a machine - the first purchase for which I analyzed the entire market for machines in the price range of 5-15 tr. I settled on the Zanussi brand, a subsidiary of Electrolux, which did not fit into this segment.      I ended up buying this machine for RUR 8,500 on sale.     First impressions - quiet operation, ease of control (only one regulator), absence of vibrations. It seems that 3.5 kg of loading is not enough - but if you consider that it is necessary to separate white and colored, then this size is enough for an ordinary family of 2-3 people, rather than constantly spinning a large drum with an incomplete load.      I wash at no higher than 60 degrees and reduce the speed to 700 - although it can go as high as 1000 (I’m afraid for my clothes). The laundry comes out slightly damp. There are no complaints about the quality of washing either - everything is great.     No deficiencies found.     Conclusion - a very good, reliable washing machine without unnecessary bells and whistles like a touch screen, LCD screen, dryers, etc., etc., especially for such a price. I'm very pleased with the purchase.</v>
      </c>
    </row>
    <row r="5611" spans="1:9" x14ac:dyDescent="0.3">
      <c r="A5611" s="1" t="s">
        <v>9</v>
      </c>
      <c r="B5611" s="1" t="s">
        <v>10</v>
      </c>
      <c r="C5611" s="1" t="s">
        <v>407</v>
      </c>
      <c r="D5611" s="1" t="s">
        <v>81</v>
      </c>
      <c r="E5611" s="1" t="s">
        <v>1978</v>
      </c>
      <c r="F5611" s="1" t="s">
        <v>9152</v>
      </c>
      <c r="G5611" s="1" t="s">
        <v>49</v>
      </c>
      <c r="H5611" s="1" t="s">
        <v>16</v>
      </c>
      <c r="I5611" s="1" t="str">
        <f ca="1">IFERROR(__xludf.DUMMYFUNCTION("GOOGLETRANSLATE(F5611, ""auto"", ""en"")
"),"I've been using the hood for less than a month. Everything was fine, until one fine day the decorative glass literally broke into a million small fragments and scattered throughout the kitchen. Miraculously, no one was around at that moment; there were de"&amp;"ep scratches from the glass on the kitchen countertop. The installation was carried out exactly according to the attached instructions, during the “explosion” The rear right burner was working in minimum mode. Threw money down the drain. If you do not tak"&amp;"e this fact into account, then the hood is excellent, buy it!&amp;nbsp;")</f>
        <v>I've been using the hood for less than a month. Everything was fine, until one fine day the decorative glass literally broke into a million small fragments and scattered throughout the kitchen. Miraculously, no one was around at that moment; there were deep scratches from the glass on the kitchen countertop. The installation was carried out exactly according to the attached instructions, during the “explosion” The rear right burner was working in minimum mode. Threw money down the drain. If you do not take this fact into account, then the hood is excellent, buy it!&amp;nbsp;</v>
      </c>
    </row>
    <row r="5612" spans="1:9" x14ac:dyDescent="0.3">
      <c r="A5612" s="1" t="s">
        <v>211</v>
      </c>
      <c r="B5612" s="1" t="s">
        <v>515</v>
      </c>
      <c r="C5612" s="1" t="s">
        <v>69</v>
      </c>
      <c r="D5612" s="1" t="s">
        <v>474</v>
      </c>
      <c r="E5612" s="1" t="s">
        <v>7872</v>
      </c>
      <c r="F5612" s="1" t="s">
        <v>9153</v>
      </c>
      <c r="G5612" s="1" t="s">
        <v>36</v>
      </c>
      <c r="H5612" s="1" t="s">
        <v>29</v>
      </c>
      <c r="I5612" s="1" t="str">
        <f ca="1">IFERROR(__xludf.DUMMYFUNCTION("GOOGLETRANSLATE(F5612, ""auto"", ""en"")
"),"I’ve liked it for a long time, I bought it 7-8 years ago, but the design has changed, but the other day the cord started to act up. Girls, believe me, you won’t find anything better, even among expensive models, I’ve tried others, they grab much less. Now"&amp;" I'll take it again. I think it served very well and for a long time.")</f>
        <v>I’ve liked it for a long time, I bought it 7-8 years ago, but the design has changed, but the other day the cord started to act up. Girls, believe me, you won’t find anything better, even among expensive models, I’ve tried others, they grab much less. Now I'll take it again. I think it served very well and for a long time.</v>
      </c>
    </row>
    <row r="5613" spans="1:9" x14ac:dyDescent="0.3">
      <c r="A5613" s="1" t="s">
        <v>169</v>
      </c>
      <c r="B5613" s="1" t="s">
        <v>170</v>
      </c>
      <c r="C5613" s="1" t="s">
        <v>69</v>
      </c>
      <c r="D5613" s="1" t="s">
        <v>9154</v>
      </c>
      <c r="E5613" s="1" t="s">
        <v>2769</v>
      </c>
      <c r="F5613" s="1" t="s">
        <v>9155</v>
      </c>
      <c r="G5613" s="1" t="s">
        <v>36</v>
      </c>
      <c r="H5613" s="1" t="s">
        <v>29</v>
      </c>
      <c r="I5613" s="1" t="str">
        <f ca="1">IFERROR(__xludf.DUMMYFUNCTION("GOOGLETRANSLATE(F5613, ""auto"", ""en"")
"),"Excellent headphones for the player and computer! The sound is high quality!")</f>
        <v>Excellent headphones for the player and computer! The sound is high quality!</v>
      </c>
    </row>
    <row r="5614" spans="1:9" x14ac:dyDescent="0.3">
      <c r="A5614" s="1" t="s">
        <v>624</v>
      </c>
      <c r="B5614" s="1" t="s">
        <v>2107</v>
      </c>
      <c r="C5614" s="1" t="s">
        <v>479</v>
      </c>
      <c r="D5614" s="1" t="s">
        <v>695</v>
      </c>
      <c r="E5614" s="1" t="s">
        <v>2853</v>
      </c>
      <c r="F5614" s="1" t="s">
        <v>9156</v>
      </c>
      <c r="G5614" s="1" t="s">
        <v>36</v>
      </c>
      <c r="H5614" s="1" t="s">
        <v>29</v>
      </c>
      <c r="I5614" s="1" t="str">
        <f ca="1">IFERROR(__xludf.DUMMYFUNCTION("GOOGLETRANSLATE(F5614, ""auto"", ""en"")
"),"The game is simply gorgeous. Rockstar made GTA in the Wild West! And even though the Western is no longer such a popular genre, RDR is worth playing! Now I’m saving up money for it, because I recently bought an equally good game Alan Wake!")</f>
        <v>The game is simply gorgeous. Rockstar made GTA in the Wild West! And even though the Western is no longer such a popular genre, RDR is worth playing! Now I’m saving up money for it, because I recently bought an equally good game Alan Wake!</v>
      </c>
    </row>
    <row r="5615" spans="1:9" x14ac:dyDescent="0.3">
      <c r="A5615" s="1" t="s">
        <v>169</v>
      </c>
      <c r="B5615" s="1" t="s">
        <v>170</v>
      </c>
      <c r="C5615" s="1" t="s">
        <v>69</v>
      </c>
      <c r="D5615" s="1" t="s">
        <v>33</v>
      </c>
      <c r="E5615" s="1" t="s">
        <v>53</v>
      </c>
      <c r="F5615" s="1" t="s">
        <v>9157</v>
      </c>
      <c r="G5615" s="1" t="s">
        <v>36</v>
      </c>
      <c r="H5615" s="1" t="s">
        <v>29</v>
      </c>
      <c r="I5615" s="1" t="str">
        <f ca="1">IFERROR(__xludf.DUMMYFUNCTION("GOOGLETRANSLATE(F5615, ""auto"", ""en"")
"),"the best ears I've ever had, before purchasing I read a lot of reviews on the internet, and as in one of the reviews I was also mostly inclined towards the Philips SHP2000 and Sennheiser hd 201, I listened to it in the store, there seemed to be no differe"&amp;"nce in sound, and the price was noticeably better :) the headphones themselves are very comfortable, the ear pads are soft, the turn of the “burdocks” is huge, the wire is thick, but overall the ears are light, I really liked them :)")</f>
        <v>the best ears I've ever had, before purchasing I read a lot of reviews on the internet, and as in one of the reviews I was also mostly inclined towards the Philips SHP2000 and Sennheiser hd 201, I listened to it in the store, there seemed to be no difference in sound, and the price was noticeably better :) the headphones themselves are very comfortable, the ear pads are soft, the turn of the “burdocks” is huge, the wire is thick, but overall the ears are light, I really liked them :)</v>
      </c>
    </row>
    <row r="5616" spans="1:9" x14ac:dyDescent="0.3">
      <c r="A5616" s="1" t="s">
        <v>61</v>
      </c>
      <c r="B5616" s="1" t="s">
        <v>318</v>
      </c>
      <c r="C5616" s="1" t="s">
        <v>63</v>
      </c>
      <c r="D5616" s="1" t="s">
        <v>308</v>
      </c>
      <c r="E5616" s="1" t="s">
        <v>1669</v>
      </c>
      <c r="F5616" s="1" t="s">
        <v>9158</v>
      </c>
      <c r="G5616" s="1" t="s">
        <v>15</v>
      </c>
      <c r="H5616" s="1" t="s">
        <v>16</v>
      </c>
      <c r="I5616" s="1" t="str">
        <f ca="1">IFERROR(__xludf.DUMMYFUNCTION("GOOGLETRANSLATE(F5616, ""auto"", ""en"")
"),"I’ve been using it for three years now - it boils well and nothing has become deformed, but it pours huge amounts of boiling water past the mug, regardless of the amount of water contained in the kettle. More precisely, if there is 0.5 liters in the kettl"&amp;"e, then with good skill you can get by without scalded feet, but if there is more water, you need to pour it with an outstretched hand, rags do not help. I haven’t changed it yet only because I usually boil it little by little and often. But I definitely "&amp;"won’t buy this one again.")</f>
        <v>I’ve been using it for three years now - it boils well and nothing has become deformed, but it pours huge amounts of boiling water past the mug, regardless of the amount of water contained in the kettle. More precisely, if there is 0.5 liters in the kettle, then with good skill you can get by without scalded feet, but if there is more water, you need to pour it with an outstretched hand, rags do not help. I haven’t changed it yet only because I usually boil it little by little and often. But I definitely won’t buy this one again.</v>
      </c>
    </row>
    <row r="5617" spans="1:9" x14ac:dyDescent="0.3">
      <c r="A5617" s="1" t="s">
        <v>120</v>
      </c>
      <c r="B5617" s="1" t="s">
        <v>126</v>
      </c>
      <c r="C5617" s="1" t="s">
        <v>80</v>
      </c>
      <c r="D5617" s="1" t="s">
        <v>20</v>
      </c>
      <c r="E5617" s="1" t="s">
        <v>191</v>
      </c>
      <c r="F5617" s="1" t="s">
        <v>9159</v>
      </c>
      <c r="G5617" s="1" t="s">
        <v>36</v>
      </c>
      <c r="H5617" s="1" t="s">
        <v>29</v>
      </c>
      <c r="I5617" s="1" t="str">
        <f ca="1">IFERROR(__xludf.DUMMYFUNCTION("GOOGLETRANSLATE(F5617, ""auto"", ""en"")
"),"A good TV for the money... I was pleased with the quality, I thought it would be worse... I watch it at home from the sofa from a distance of 4 meters - EXCELLENT! At first I thought about what diagonal to take, either 42"" or 50"" and still took 50"" and"&amp;" did not regret it.... I have cable TV at home, all the channels show great quality, although I had to struggle with the setup, but all the channels are in their places (the first is on the first, the second is on the second, etc.) Take it, you won’t regr"&amp;"et it")</f>
        <v>A good TV for the money... I was pleased with the quality, I thought it would be worse... I watch it at home from the sofa from a distance of 4 meters - EXCELLENT! At first I thought about what diagonal to take, either 42" or 50" and still took 50" and did not regret it.... I have cable TV at home, all the channels show great quality, although I had to struggle with the setup, but all the channels are in their places (the first is on the first, the second is on the second, etc.) Take it, you won’t regret it</v>
      </c>
    </row>
    <row r="5618" spans="1:9" x14ac:dyDescent="0.3">
      <c r="A5618" s="1" t="s">
        <v>61</v>
      </c>
      <c r="B5618" s="1" t="s">
        <v>318</v>
      </c>
      <c r="C5618" s="1" t="s">
        <v>213</v>
      </c>
      <c r="D5618" s="1" t="s">
        <v>4433</v>
      </c>
      <c r="E5618" s="1" t="s">
        <v>1586</v>
      </c>
      <c r="F5618" s="1" t="s">
        <v>9160</v>
      </c>
      <c r="G5618" s="1" t="s">
        <v>36</v>
      </c>
      <c r="H5618" s="1" t="s">
        <v>29</v>
      </c>
      <c r="I5618" s="1" t="str">
        <f ca="1">IFERROR(__xludf.DUMMYFUNCTION("GOOGLETRANSLATE(F5618, ""auto"", ""en"")
"),"We came to the store and hesitated for a long time, choosing between this kettle and another. Expectations were met and the design is very beautiful, pleasant to look at and drink tea!")</f>
        <v>We came to the store and hesitated for a long time, choosing between this kettle and another. Expectations were met and the design is very beautiful, pleasant to look at and drink tea!</v>
      </c>
    </row>
    <row r="5619" spans="1:9" x14ac:dyDescent="0.3">
      <c r="A5619" s="1" t="s">
        <v>37</v>
      </c>
      <c r="B5619" s="1" t="s">
        <v>355</v>
      </c>
      <c r="C5619" s="1" t="s">
        <v>356</v>
      </c>
      <c r="D5619" s="1" t="s">
        <v>102</v>
      </c>
      <c r="E5619" s="1" t="s">
        <v>2150</v>
      </c>
      <c r="F5619" s="1" t="s">
        <v>9161</v>
      </c>
      <c r="G5619" s="1" t="s">
        <v>49</v>
      </c>
      <c r="H5619" s="1" t="s">
        <v>16</v>
      </c>
      <c r="I5619" s="1" t="str">
        <f ca="1">IFERROR(__xludf.DUMMYFUNCTION("GOOGLETRANSLATE(F5619, ""auto"", ""en"")
"),"the most useless thing is buggy, unrealistically there is no defect, I submitted the camera for quality control, I’m terribly disappointed.")</f>
        <v>the most useless thing is buggy, unrealistically there is no defect, I submitted the camera for quality control, I’m terribly disappointed.</v>
      </c>
    </row>
    <row r="5620" spans="1:9" x14ac:dyDescent="0.3">
      <c r="A5620" s="1" t="s">
        <v>89</v>
      </c>
      <c r="B5620" s="1" t="s">
        <v>90</v>
      </c>
      <c r="C5620" s="1" t="s">
        <v>185</v>
      </c>
      <c r="D5620" s="1" t="s">
        <v>2122</v>
      </c>
      <c r="E5620" s="1" t="s">
        <v>836</v>
      </c>
      <c r="F5620" s="1" t="s">
        <v>9162</v>
      </c>
      <c r="G5620" s="1" t="s">
        <v>36</v>
      </c>
      <c r="H5620" s="1" t="s">
        <v>29</v>
      </c>
      <c r="I5620" s="1" t="str">
        <f ca="1">IFERROR(__xludf.DUMMYFUNCTION("GOOGLETRANSLATE(F5620, ""auto"", ""en"")
"),"Great coffee grinder, I've been using it for a year now. Grinds quickly and efficiently, regardless of the amount of coffee.")</f>
        <v>Great coffee grinder, I've been using it for a year now. Grinds quickly and efficiently, regardless of the amount of coffee.</v>
      </c>
    </row>
    <row r="5621" spans="1:9" x14ac:dyDescent="0.3">
      <c r="A5621" s="1" t="s">
        <v>9</v>
      </c>
      <c r="B5621" s="1" t="s">
        <v>137</v>
      </c>
      <c r="C5621" s="1" t="s">
        <v>63</v>
      </c>
      <c r="D5621" s="1" t="s">
        <v>9163</v>
      </c>
      <c r="E5621" s="1" t="s">
        <v>9164</v>
      </c>
      <c r="F5621" s="1" t="s">
        <v>9165</v>
      </c>
      <c r="G5621" s="1" t="s">
        <v>36</v>
      </c>
      <c r="H5621" s="1" t="s">
        <v>29</v>
      </c>
      <c r="I5621" s="1" t="str">
        <f ca="1">IFERROR(__xludf.DUMMYFUNCTION("GOOGLETRANSLATE(F5621, ""auto"", ""en"")
"),"The stove was bought as a gift for my mother, it was important, first of all, the quality of the glass ceramics, otherwise a lot is written on the Internet about the disadvantages of this coating, they say that scratches immediately appear and the appeara"&amp;"nce of it deteriorates quickly. But so far, after three months of daily use, everything is pah-pah normal, my mother is very happy and constantly praises it))) The burners heat up very quickly to the desired temperature, the heat spreads evenly over the e"&amp;"ntire surface of the burner, and not just along the edges or in the center, like many models from the line of standard electrics. Plus, the power is easily adjusted using the sensor; it is located in the front, not on the side, which is very convenient. I"&amp;" installed it myself, there were no difficulties at all, there are clearly written instructions in the box. Well, it is much easier to clean than initially expected, white stains from dishes can be removed with ordinary rags, and so can burnt food. In a w"&amp;"ord, a good purchase!")</f>
        <v>The stove was bought as a gift for my mother, it was important, first of all, the quality of the glass ceramics, otherwise a lot is written on the Internet about the disadvantages of this coating, they say that scratches immediately appear and the appearance of it deteriorates quickly. But so far, after three months of daily use, everything is pah-pah normal, my mother is very happy and constantly praises it))) The burners heat up very quickly to the desired temperature, the heat spreads evenly over the entire surface of the burner, and not just along the edges or in the center, like many models from the line of standard electrics. Plus, the power is easily adjusted using the sensor; it is located in the front, not on the side, which is very convenient. I installed it myself, there were no difficulties at all, there are clearly written instructions in the box. Well, it is much easier to clean than initially expected, white stains from dishes can be removed with ordinary rags, and so can burnt food. In a word, a good purchase!</v>
      </c>
    </row>
    <row r="5622" spans="1:9" x14ac:dyDescent="0.3">
      <c r="A5622" s="1" t="s">
        <v>61</v>
      </c>
      <c r="B5622" s="1" t="s">
        <v>318</v>
      </c>
      <c r="C5622" s="1" t="s">
        <v>246</v>
      </c>
      <c r="D5622" s="1" t="s">
        <v>139</v>
      </c>
      <c r="E5622" s="1" t="s">
        <v>998</v>
      </c>
      <c r="F5622" s="1" t="s">
        <v>9166</v>
      </c>
      <c r="G5622" s="1" t="s">
        <v>36</v>
      </c>
      <c r="H5622" s="1" t="s">
        <v>29</v>
      </c>
      <c r="I5622" s="1" t="str">
        <f ca="1">IFERROR(__xludf.DUMMYFUNCTION("GOOGLETRANSLATE(F5622, ""auto"", ""en"")
"),"I really like the kettle. We’ve been thinking about buying it for a long time, there are a lot of advantages, and the lid is on a spring so that it doesn’t close when you pour water, and in general the hole for water itself is quite wide and it’s very con"&amp;"venient to wash the kettle from the inside, even with two hands.  With the previous Siemens Special Edition there were problems with this, and it is very easy to clean, but it’s just a little confusing that the regulator turns very easily, practically doe"&amp;"s not lock at all, unlike the exact same kettle standing on the display case.   Although this is also not at all annoying. The kettle is really quite quiet, of course there is a moment when it is going to turn off the TV, but this is literally 5-10 second"&amp;"s.   It is very easy to put on a stand, again unlike Siemens (which, by the way, is one and a half times more expensive) / And also, when you set the regulator to maximum, it boils much longer than other kettles before turning off.")</f>
        <v>I really like the kettle. We’ve been thinking about buying it for a long time, there are a lot of advantages, and the lid is on a spring so that it doesn’t close when you pour water, and in general the hole for water itself is quite wide and it’s very convenient to wash the kettle from the inside, even with two hands.  With the previous Siemens Special Edition there were problems with this, and it is very easy to clean, but it’s just a little confusing that the regulator turns very easily, practically does not lock at all, unlike the exact same kettle standing on the display case.   Although this is also not at all annoying. The kettle is really quite quiet, of course there is a moment when it is going to turn off the TV, but this is literally 5-10 seconds.   It is very easy to put on a stand, again unlike Siemens (which, by the way, is one and a half times more expensive) / And also, when you set the regulator to maximum, it boils much longer than other kettles before turning off.</v>
      </c>
    </row>
    <row r="5623" spans="1:9" x14ac:dyDescent="0.3">
      <c r="A5623" s="1" t="s">
        <v>67</v>
      </c>
      <c r="B5623" s="1" t="s">
        <v>68</v>
      </c>
      <c r="C5623" s="1" t="s">
        <v>381</v>
      </c>
      <c r="D5623" s="1" t="s">
        <v>9167</v>
      </c>
      <c r="E5623" s="1" t="s">
        <v>6891</v>
      </c>
      <c r="F5623" s="1" t="s">
        <v>9168</v>
      </c>
      <c r="G5623" s="1" t="s">
        <v>36</v>
      </c>
      <c r="H5623" s="1" t="s">
        <v>29</v>
      </c>
      <c r="I5623" s="1" t="str">
        <f ca="1">IFERROR(__xludf.DUMMYFUNCTION("GOOGLETRANSLATE(F5623, ""auto"", ""en"")
"),"The iron is very compact, it is very convenient that the handle folds, a sharp spout, vertical steaming, it heats up instantly. In general, this item is irreplaceable for vacation and for home! I recommend it, you won’t regret it!")</f>
        <v>The iron is very compact, it is very convenient that the handle folds, a sharp spout, vertical steaming, it heats up instantly. In general, this item is irreplaceable for vacation and for home! I recommend it, you won’t regret it!</v>
      </c>
    </row>
    <row r="5624" spans="1:9" x14ac:dyDescent="0.3">
      <c r="A5624" s="1" t="s">
        <v>149</v>
      </c>
      <c r="B5624" s="1" t="s">
        <v>576</v>
      </c>
      <c r="C5624" s="1" t="s">
        <v>69</v>
      </c>
      <c r="D5624" s="1" t="s">
        <v>335</v>
      </c>
      <c r="E5624" s="1" t="s">
        <v>1228</v>
      </c>
      <c r="F5624" s="1" t="s">
        <v>9169</v>
      </c>
      <c r="G5624" s="1" t="s">
        <v>36</v>
      </c>
      <c r="H5624" s="1" t="s">
        <v>29</v>
      </c>
      <c r="I5624" s="1" t="str">
        <f ca="1">IFERROR(__xludf.DUMMYFUNCTION("GOOGLETRANSLATE(F5624, ""auto"", ""en"")
"),"Great vacuum cleaner! Powerful, cute, excellent brush, removes the bag carefully. Cleaning is a pleasure for them! The only mistake in the description is that the length of the power cord is not 9m, but 7m... But this is quite enough.")</f>
        <v>Great vacuum cleaner! Powerful, cute, excellent brush, removes the bag carefully. Cleaning is a pleasure for them! The only mistake in the description is that the length of the power cord is not 9m, but 7m... But this is quite enough.</v>
      </c>
    </row>
    <row r="5625" spans="1:9" x14ac:dyDescent="0.3">
      <c r="A5625" s="1" t="s">
        <v>206</v>
      </c>
      <c r="B5625" s="1" t="s">
        <v>207</v>
      </c>
      <c r="C5625" s="1" t="s">
        <v>262</v>
      </c>
      <c r="D5625" s="1" t="s">
        <v>305</v>
      </c>
      <c r="E5625" s="1" t="s">
        <v>708</v>
      </c>
      <c r="F5625" s="1" t="s">
        <v>9170</v>
      </c>
      <c r="G5625" s="1" t="s">
        <v>28</v>
      </c>
      <c r="H5625" s="1" t="s">
        <v>29</v>
      </c>
      <c r="I5625" s="1" t="str">
        <f ca="1">IFERROR(__xludf.DUMMYFUNCTION("GOOGLETRANSLATE(F5625, ""auto"", ""en"")
"),"not a bad sub. if you also plug in a fazik, then the sound comes out at a decent volume. for the money it plays out 100%")</f>
        <v>not a bad sub. if you also plug in a fazik, then the sound comes out at a decent volume. for the money it plays out 100%</v>
      </c>
    </row>
    <row r="5626" spans="1:9" x14ac:dyDescent="0.3">
      <c r="A5626" s="1" t="s">
        <v>105</v>
      </c>
      <c r="B5626" s="1" t="s">
        <v>106</v>
      </c>
      <c r="C5626" s="1" t="s">
        <v>97</v>
      </c>
      <c r="D5626" s="1" t="s">
        <v>305</v>
      </c>
      <c r="E5626" s="1" t="s">
        <v>2323</v>
      </c>
      <c r="F5626" s="1" t="s">
        <v>9171</v>
      </c>
      <c r="G5626" s="1" t="s">
        <v>36</v>
      </c>
      <c r="H5626" s="1" t="s">
        <v>29</v>
      </c>
      <c r="I5626" s="1" t="str">
        <f ca="1">IFERROR(__xludf.DUMMYFUNCTION("GOOGLETRANSLATE(F5626, ""auto"", ""en"")
"),"The player is excellent! The sound is great!  The battery lasts 33 hours on a single charge under the following conditions: 1. The battery will return to normal mode after 4-5 full charges and discharges 2. It is necessary to charge when the battery is co"&amp;"mpletely discharged with an external charger with an output voltage of 4.5-5 volts and a power of 1000mAh.  Charging time - 2 hours 30 minutes (important, before charging you need to turn off the device by pressing and holding the option button. Next you "&amp;"need to plug the charger into the device socket. The screen will light up (i.e. the player will turn on again). Charging will begin. You need to press and hold the option button again so that the player turns off completely again. The charging will contin"&amp;"ue, but with the device turned off. This way the battery will gain its full power (while charging When the device is turned on, the battery will be superficially charged and the operating time will be significantly reduced). In order for the player to wor"&amp;"k for 33 hours on a single battery charge, the file format must be MP3, the bitrate is 128kbs (no more). The bitrate quality is constant. In the device menu, set the following parameters: 1. Enable the sound limiting system (AVLS), then the sound volume w"&amp;"ill not exceed 13 divisions 2. Set the screen brightness to minimum ""1"" 3. Disable the equalizer (click “no” in the menu) 4. Disable the “Dynamic normalization” function 5. Disable the “Clear stereo” function 6. Disable the screen saver-clock function. "&amp;"   If the above parameters are observed, the player will work for 33 hours in playback mode of music files.")</f>
        <v>The player is excellent! The sound is great!  The battery lasts 33 hours on a single charge under the following conditions: 1. The battery will return to normal mode after 4-5 full charges and discharges 2. It is necessary to charge when the battery is completely discharged with an external charger with an output voltage of 4.5-5 volts and a power of 1000mAh.  Charging time - 2 hours 30 minutes (important, before charging you need to turn off the device by pressing and holding the option button. Next you need to plug the charger into the device socket. The screen will light up (i.e. the player will turn on again). Charging will begin. You need to press and hold the option button again so that the player turns off completely again. The charging will continue, but with the device turned off. This way the battery will gain its full power (while charging When the device is turned on, the battery will be superficially charged and the operating time will be significantly reduced). In order for the player to work for 33 hours on a single battery charge, the file format must be MP3, the bitrate is 128kbs (no more). The bitrate quality is constant. In the device menu, set the following parameters: 1. Enable the sound limiting system (AVLS), then the sound volume will not exceed 13 divisions 2. Set the screen brightness to minimum "1" 3. Disable the equalizer (click “no” in the menu) 4. Disable the “Dynamic normalization” function 5. Disable the “Clear stereo” function 6. Disable the screen saver-clock function.    If the above parameters are observed, the player will work for 33 hours in playback mode of music files.</v>
      </c>
    </row>
    <row r="5627" spans="1:9" x14ac:dyDescent="0.3">
      <c r="A5627" s="1" t="s">
        <v>61</v>
      </c>
      <c r="B5627" s="1" t="s">
        <v>180</v>
      </c>
      <c r="C5627" s="1" t="s">
        <v>57</v>
      </c>
      <c r="D5627" s="1" t="s">
        <v>81</v>
      </c>
      <c r="E5627" s="1" t="s">
        <v>6424</v>
      </c>
      <c r="F5627" s="1" t="s">
        <v>9172</v>
      </c>
      <c r="G5627" s="1" t="s">
        <v>15</v>
      </c>
      <c r="H5627" s="1" t="s">
        <v>16</v>
      </c>
      <c r="I5627" s="1" t="str">
        <f ca="1">IFERROR(__xludf.DUMMYFUNCTION("GOOGLETRANSLATE(F5627, ""auto"", ""en"")
"),"To be honest, I didn’t see the benefit of this box, which only takes up space. It just dries it out and that’s it, no golden crust or aroma. And then I had to run it in mode 7 3 times. I don't recommend it.")</f>
        <v>To be honest, I didn’t see the benefit of this box, which only takes up space. It just dries it out and that’s it, no golden crust or aroma. And then I had to run it in mode 7 3 times. I don't recommend it.</v>
      </c>
    </row>
    <row r="5628" spans="1:9" x14ac:dyDescent="0.3">
      <c r="A5628" s="1" t="s">
        <v>55</v>
      </c>
      <c r="B5628" s="1" t="s">
        <v>56</v>
      </c>
      <c r="C5628" s="1" t="s">
        <v>85</v>
      </c>
      <c r="D5628" s="1" t="s">
        <v>247</v>
      </c>
      <c r="E5628" s="1" t="s">
        <v>3114</v>
      </c>
      <c r="F5628" s="1" t="s">
        <v>9173</v>
      </c>
      <c r="G5628" s="1" t="s">
        <v>36</v>
      </c>
      <c r="H5628" s="1" t="s">
        <v>29</v>
      </c>
      <c r="I5628" s="1" t="str">
        <f ca="1">IFERROR(__xludf.DUMMYFUNCTION("GOOGLETRANSLATE(F5628, ""auto"", ""en"")
"),"Large coverage area (compared to others) and a simple interface, stylish design and a wide selection of modes.  It requires virtually no maintenance (just change the filter periodically), it works whether at home, in the laboratory or in the office for we"&amp;"ar and tear and for several years there are no complaints. He does his job quietly, efficiently and beautifully). Everyone is drawn to the column of steam")</f>
        <v>Large coverage area (compared to others) and a simple interface, stylish design and a wide selection of modes.  It requires virtually no maintenance (just change the filter periodically), it works whether at home, in the laboratory or in the office for wear and tear and for several years there are no complaints. He does his job quietly, efficiently and beautifully). Everyone is drawn to the column of steam</v>
      </c>
    </row>
    <row r="5629" spans="1:9" x14ac:dyDescent="0.3">
      <c r="A5629" s="1" t="s">
        <v>17</v>
      </c>
      <c r="B5629" s="1" t="s">
        <v>18</v>
      </c>
      <c r="C5629" s="1" t="s">
        <v>277</v>
      </c>
      <c r="D5629" s="1" t="s">
        <v>545</v>
      </c>
      <c r="E5629" s="1" t="s">
        <v>1012</v>
      </c>
      <c r="F5629" s="1" t="s">
        <v>9174</v>
      </c>
      <c r="G5629" s="1" t="s">
        <v>28</v>
      </c>
      <c r="H5629" s="1" t="s">
        <v>29</v>
      </c>
      <c r="I5629" s="1" t="str">
        <f ca="1">IFERROR(__xludf.DUMMYFUNCTION("GOOGLETRANSLATE(F5629, ""auto"", ""en"")
"),"It's been working for the second month. I wouldn’t jinx it, but I think this is a normal machine. Especially for its price. There are, of course, small drawbacks: the upper tray closed only with force and the drum door must be lifted up when closing, and "&amp;"even after some modes there remains water in the central compartment to load the air conditioner. BUT for its price these are trifles. If financial resources are limited, it is quite possible to take it.")</f>
        <v>It's been working for the second month. I wouldn’t jinx it, but I think this is a normal machine. Especially for its price. There are, of course, small drawbacks: the upper tray closed only with force and the drum door must be lifted up when closing, and even after some modes there remains water in the central compartment to load the air conditioner. BUT for its price these are trifles. If financial resources are limited, it is quite possible to take it.</v>
      </c>
    </row>
    <row r="5630" spans="1:9" x14ac:dyDescent="0.3">
      <c r="A5630" s="1" t="s">
        <v>61</v>
      </c>
      <c r="B5630" s="1" t="s">
        <v>224</v>
      </c>
      <c r="C5630" s="1" t="s">
        <v>246</v>
      </c>
      <c r="D5630" s="1" t="s">
        <v>471</v>
      </c>
      <c r="E5630" s="1" t="s">
        <v>1690</v>
      </c>
      <c r="F5630" s="1" t="s">
        <v>9175</v>
      </c>
      <c r="G5630" s="1" t="s">
        <v>36</v>
      </c>
      <c r="H5630" s="1" t="s">
        <v>29</v>
      </c>
      <c r="I5630" s="1" t="str">
        <f ca="1">IFERROR(__xludf.DUMMYFUNCTION("GOOGLETRANSLATE(F5630, ""auto"", ""en"")
"),"Eh, Tefal! You really think about us!  A couple of years ago, it was, however, 2 times cheaper. We bought it as a gift. And now I decided to give it to my husband as a birthday gift. The quality of the unit is excellent, everything was done wisely, nothin"&amp;"g superfluous. Of all the brands, I prefer the Tefal squeezer.")</f>
        <v>Eh, Tefal! You really think about us!  A couple of years ago, it was, however, 2 times cheaper. We bought it as a gift. And now I decided to give it to my husband as a birthday gift. The quality of the unit is excellent, everything was done wisely, nothing superfluous. Of all the brands, I prefer the Tefal squeezer.</v>
      </c>
    </row>
    <row r="5631" spans="1:9" x14ac:dyDescent="0.3">
      <c r="A5631" s="1" t="s">
        <v>361</v>
      </c>
      <c r="B5631" s="1" t="s">
        <v>1077</v>
      </c>
      <c r="C5631" s="1" t="s">
        <v>2143</v>
      </c>
      <c r="D5631" s="1" t="s">
        <v>75</v>
      </c>
      <c r="E5631" s="1" t="s">
        <v>1070</v>
      </c>
      <c r="F5631" s="1" t="s">
        <v>9176</v>
      </c>
      <c r="G5631" s="1" t="s">
        <v>49</v>
      </c>
      <c r="H5631" s="1" t="s">
        <v>16</v>
      </c>
      <c r="I5631" s="1" t="str">
        <f ca="1">IFERROR(__xludf.DUMMYFUNCTION("GOOGLETRANSLATE(F5631, ""auto"", ""en"")
"),"This kettle lasted exactly a year and a month, I bought it as a gift, some rust-type spots appeared on the bottom after boiling the water three times, and the other day, when I put the kettle on gas, it squeezed out the lid when heated up and jumped off t"&amp;"he stove and fell with boiling water onto the floor, after all this it cooled down, I poured the water again and set it to heat, when the water boiled and I wanted to pour boiling water into a glass, I discovered that it was there no, but the bottom has r"&amp;"isen so that I’m just in shock, the teapot only pleases the eye with its beauty, but the quality is poor.")</f>
        <v>This kettle lasted exactly a year and a month, I bought it as a gift, some rust-type spots appeared on the bottom after boiling the water three times, and the other day, when I put the kettle on gas, it squeezed out the lid when heated up and jumped off the stove and fell with boiling water onto the floor, after all this it cooled down, I poured the water again and set it to heat, when the water boiled and I wanted to pour boiling water into a glass, I discovered that it was there no, but the bottom has risen so that I’m just in shock, the teapot only pleases the eye with its beauty, but the quality is poor.</v>
      </c>
    </row>
    <row r="5632" spans="1:9" x14ac:dyDescent="0.3">
      <c r="A5632" s="1" t="s">
        <v>369</v>
      </c>
      <c r="B5632" s="1" t="s">
        <v>2480</v>
      </c>
      <c r="C5632" s="1" t="s">
        <v>453</v>
      </c>
      <c r="D5632" s="1" t="s">
        <v>9177</v>
      </c>
      <c r="E5632" s="1" t="s">
        <v>3390</v>
      </c>
      <c r="F5632" s="1" t="s">
        <v>9178</v>
      </c>
      <c r="G5632" s="1" t="s">
        <v>49</v>
      </c>
      <c r="H5632" s="1" t="s">
        <v>16</v>
      </c>
      <c r="I5632" s="1" t="str">
        <f ca="1">IFERROR(__xludf.DUMMYFUNCTION("GOOGLETRANSLATE(F5632, ""auto"", ""en"")
"),"I am extremely disappointed with this electric stove. I used it for its intended purpose and in accordance with the instruction manual. But it stopped working on the fourth day of use.")</f>
        <v>I am extremely disappointed with this electric stove. I used it for its intended purpose and in accordance with the instruction manual. But it stopped working on the fourth day of use.</v>
      </c>
    </row>
    <row r="5633" spans="1:9" x14ac:dyDescent="0.3">
      <c r="A5633" s="1" t="s">
        <v>61</v>
      </c>
      <c r="B5633" s="1" t="s">
        <v>62</v>
      </c>
      <c r="C5633" s="1" t="s">
        <v>63</v>
      </c>
      <c r="D5633" s="1" t="s">
        <v>1776</v>
      </c>
      <c r="E5633" s="1" t="s">
        <v>1122</v>
      </c>
      <c r="F5633" s="1" t="s">
        <v>9179</v>
      </c>
      <c r="G5633" s="1" t="s">
        <v>15</v>
      </c>
      <c r="H5633" s="1" t="s">
        <v>16</v>
      </c>
      <c r="I5633" s="1" t="str">
        <f ca="1">IFERROR(__xludf.DUMMYFUNCTION("GOOGLETRANSLATE(F5633, ""auto"", ""en"")
"),"The combine really disappointed us. When we turned on the combine, we realized all its disadvantages: 1) It makes a lot of noise (Philips is much better in this regard) 2) When the free nozzle is on, the combine starts to shake wildly 3) To put on any dis"&amp;"k, you need to remove one more part, you need to put on and then just put on the disk. But then it all needs to be washed and washing it all is very dreary (too many parts)")</f>
        <v>The combine really disappointed us. When we turned on the combine, we realized all its disadvantages: 1) It makes a lot of noise (Philips is much better in this regard) 2) When the free nozzle is on, the combine starts to shake wildly 3) To put on any disk, you need to remove one more part, you need to put on and then just put on the disk. But then it all needs to be washed and washing it all is very dreary (too many parts)</v>
      </c>
    </row>
    <row r="5634" spans="1:9" x14ac:dyDescent="0.3">
      <c r="A5634" s="1" t="s">
        <v>30</v>
      </c>
      <c r="B5634" s="1" t="s">
        <v>50</v>
      </c>
      <c r="C5634" s="1" t="s">
        <v>694</v>
      </c>
      <c r="D5634" s="1" t="s">
        <v>172</v>
      </c>
      <c r="E5634" s="1" t="s">
        <v>2146</v>
      </c>
      <c r="F5634" s="1" t="s">
        <v>9180</v>
      </c>
      <c r="G5634" s="1" t="s">
        <v>28</v>
      </c>
      <c r="H5634" s="1" t="s">
        <v>29</v>
      </c>
      <c r="I5634" s="1" t="str">
        <f ca="1">IFERROR(__xludf.DUMMYFUNCTION("GOOGLETRANSLATE(F5634, ""auto"", ""en"")
"),"The beech is good, it looks beautiful. But the native operating system just sucks, I had to tear it down on the first day of purchase and install xp from a flash drive. Works great on xp.    I didn’t like the small touchpad, it’s uncomfortable to work on."&amp;" In terms of performance, the beech is rather weak for games.    It’s not difficult to find drivers for it, just search on Google.    Bluetooth, Wi-Fi, eta, everything works great. The battery is massive, but it is made in such a way that it serves as a s"&amp;"tand for the laptop.    Overall for the price this is the best I've found")</f>
        <v>The beech is good, it looks beautiful. But the native operating system just sucks, I had to tear it down on the first day of purchase and install xp from a flash drive. Works great on xp.    I didn’t like the small touchpad, it’s uncomfortable to work on. In terms of performance, the beech is rather weak for games.    It’s not difficult to find drivers for it, just search on Google.    Bluetooth, Wi-Fi, eta, everything works great. The battery is massive, but it is made in such a way that it serves as a stand for the laptop.    Overall for the price this is the best I've found</v>
      </c>
    </row>
    <row r="5635" spans="1:9" x14ac:dyDescent="0.3">
      <c r="A5635" s="1" t="s">
        <v>557</v>
      </c>
      <c r="B5635" s="1" t="s">
        <v>558</v>
      </c>
      <c r="C5635" s="1" t="s">
        <v>122</v>
      </c>
      <c r="D5635" s="1" t="s">
        <v>4281</v>
      </c>
      <c r="E5635" s="1" t="s">
        <v>661</v>
      </c>
      <c r="F5635" s="1" t="s">
        <v>9181</v>
      </c>
      <c r="G5635" s="1" t="s">
        <v>36</v>
      </c>
      <c r="H5635" s="1" t="s">
        <v>29</v>
      </c>
      <c r="I5635" s="1" t="str">
        <f ca="1">IFERROR(__xludf.DUMMYFUNCTION("GOOGLETRANSLATE(F5635, ""auto"", ""en"")
"),"The handset is excellent, easy to use, caller ID works, setup is simple, the design is beautiful, the price is reasonable, in general everything is great! I’m satisfied - I recommend it!")</f>
        <v>The handset is excellent, easy to use, caller ID works, setup is simple, the design is beautiful, the price is reasonable, in general everything is great! I’m satisfied - I recommend it!</v>
      </c>
    </row>
    <row r="5636" spans="1:9" x14ac:dyDescent="0.3">
      <c r="A5636" s="1" t="s">
        <v>67</v>
      </c>
      <c r="B5636" s="1" t="s">
        <v>68</v>
      </c>
      <c r="C5636" s="1" t="s">
        <v>246</v>
      </c>
      <c r="D5636" s="1" t="s">
        <v>75</v>
      </c>
      <c r="E5636" s="1" t="s">
        <v>484</v>
      </c>
      <c r="F5636" s="1" t="s">
        <v>9182</v>
      </c>
      <c r="G5636" s="1" t="s">
        <v>36</v>
      </c>
      <c r="H5636" s="1" t="s">
        <v>29</v>
      </c>
      <c r="I5636" s="1" t="str">
        <f ca="1">IFERROR(__xludf.DUMMYFUNCTION("GOOGLETRANSLATE(F5636, ""auto"", ""en"")
"),"Thanks for the advice, Pavel. But the fact is that I always pour filtered water into the iron, unfortunately, it doesn’t help. Store salespeople advise keeping the iron filter rod in vinegar or citric acid for a little while. Let's hope that at least this"&amp;" will help my iron get rid of scale.")</f>
        <v>Thanks for the advice, Pavel. But the fact is that I always pour filtered water into the iron, unfortunately, it doesn’t help. Store salespeople advise keeping the iron filter rod in vinegar or citric acid for a little while. Let's hope that at least this will help my iron get rid of scale.</v>
      </c>
    </row>
    <row r="5637" spans="1:9" x14ac:dyDescent="0.3">
      <c r="A5637" s="1" t="s">
        <v>61</v>
      </c>
      <c r="B5637" s="1" t="s">
        <v>318</v>
      </c>
      <c r="C5637" s="1" t="s">
        <v>85</v>
      </c>
      <c r="D5637" s="1" t="s">
        <v>52</v>
      </c>
      <c r="E5637" s="1" t="s">
        <v>222</v>
      </c>
      <c r="F5637" s="1" t="s">
        <v>9183</v>
      </c>
      <c r="G5637" s="1" t="s">
        <v>36</v>
      </c>
      <c r="H5637" s="1" t="s">
        <v>29</v>
      </c>
      <c r="I5637" s="1" t="str">
        <f ca="1">IFERROR(__xludf.DUMMYFUNCTION("GOOGLETRANSLATE(F5637, ""auto"", ""en"")
"),"Silent boiling technology.")</f>
        <v>Silent boiling technology.</v>
      </c>
    </row>
    <row r="5638" spans="1:9" x14ac:dyDescent="0.3">
      <c r="A5638" s="1" t="s">
        <v>61</v>
      </c>
      <c r="B5638" s="1" t="s">
        <v>62</v>
      </c>
      <c r="C5638" s="1" t="s">
        <v>63</v>
      </c>
      <c r="D5638" s="1" t="s">
        <v>335</v>
      </c>
      <c r="E5638" s="1" t="s">
        <v>357</v>
      </c>
      <c r="F5638" s="1" t="s">
        <v>9184</v>
      </c>
      <c r="G5638" s="1" t="s">
        <v>36</v>
      </c>
      <c r="H5638" s="1" t="s">
        <v>29</v>
      </c>
      <c r="I5638" s="1" t="str">
        <f ca="1">IFERROR(__xludf.DUMMYFUNCTION("GOOGLETRANSLATE(F5638, ""auto"", ""en"")
"),"Great stuff! The combine is fully equipped - it can do almost everything! Except it doesn’t cut into cubes - this new product is available in another model. But it does cut into cubes.    The only thing is to be careful with the gear that turns the attach"&amp;"ments, many people break it. Therefore, do not press the food onto the nozzle with the pusher, just hold it lightly so that it does not jump out.")</f>
        <v>Great stuff! The combine is fully equipped - it can do almost everything! Except it doesn’t cut into cubes - this new product is available in another model. But it does cut into cubes.    The only thing is to be careful with the gear that turns the attachments, many people break it. Therefore, do not press the food onto the nozzle with the pusher, just hold it lightly so that it does not jump out.</v>
      </c>
    </row>
    <row r="5639" spans="1:9" x14ac:dyDescent="0.3">
      <c r="A5639" s="1" t="s">
        <v>477</v>
      </c>
      <c r="B5639" s="1" t="s">
        <v>478</v>
      </c>
      <c r="C5639" s="1" t="s">
        <v>479</v>
      </c>
      <c r="D5639" s="1" t="s">
        <v>9185</v>
      </c>
      <c r="E5639" s="1" t="s">
        <v>1654</v>
      </c>
      <c r="F5639" s="1" t="s">
        <v>9186</v>
      </c>
      <c r="G5639" s="1" t="s">
        <v>36</v>
      </c>
      <c r="H5639" s="1" t="s">
        <v>29</v>
      </c>
      <c r="I5639" s="1" t="str">
        <f ca="1">IFERROR(__xludf.DUMMYFUNCTION("GOOGLETRANSLATE(F5639, ""auto"", ""en"")
"),"Perhaps the best multiplayer game of 2010 and the battlefield series. I advise everyone to buy without hesitation.")</f>
        <v>Perhaps the best multiplayer game of 2010 and the battlefield series. I advise everyone to buy without hesitation.</v>
      </c>
    </row>
    <row r="5640" spans="1:9" x14ac:dyDescent="0.3">
      <c r="A5640" s="1" t="s">
        <v>30</v>
      </c>
      <c r="B5640" s="1" t="s">
        <v>50</v>
      </c>
      <c r="C5640" s="1" t="s">
        <v>377</v>
      </c>
      <c r="D5640" s="1" t="s">
        <v>172</v>
      </c>
      <c r="E5640" s="1" t="s">
        <v>3730</v>
      </c>
      <c r="F5640" s="1" t="s">
        <v>9187</v>
      </c>
      <c r="G5640" s="1" t="s">
        <v>36</v>
      </c>
      <c r="H5640" s="1" t="s">
        <v>29</v>
      </c>
      <c r="I5640" s="1" t="str">
        <f ca="1">IFERROR(__xludf.DUMMYFUNCTION("GOOGLETRANSLATE(F5640, ""auto"", ""en"")
"),"The laptop is very good, but I don’t understand how the microphone is turned on for online calls. There is an image, I can hear my interlocutor, but he can’t hear me. Tell me what to do?")</f>
        <v>The laptop is very good, but I don’t understand how the microphone is turned on for online calls. There is an image, I can hear my interlocutor, but he can’t hear me. Tell me what to do?</v>
      </c>
    </row>
    <row r="5641" spans="1:9" x14ac:dyDescent="0.3">
      <c r="A5641" s="1" t="s">
        <v>61</v>
      </c>
      <c r="B5641" s="1" t="s">
        <v>318</v>
      </c>
      <c r="C5641" s="1" t="s">
        <v>69</v>
      </c>
      <c r="D5641" s="1" t="s">
        <v>2573</v>
      </c>
      <c r="E5641" s="1" t="s">
        <v>3313</v>
      </c>
      <c r="F5641" s="1" t="s">
        <v>9188</v>
      </c>
      <c r="G5641" s="1" t="s">
        <v>28</v>
      </c>
      <c r="H5641" s="1" t="s">
        <v>29</v>
      </c>
      <c r="I5641" s="1" t="str">
        <f ca="1">IFERROR(__xludf.DUMMYFUNCTION("GOOGLETRANSLATE(F5641, ""auto"", ""en"")
"),"I worked faithfully for 4 years. Unfortunately, the water level indicator leaked.")</f>
        <v>I worked faithfully for 4 years. Unfortunately, the water level indicator leaked.</v>
      </c>
    </row>
    <row r="5642" spans="1:9" x14ac:dyDescent="0.3">
      <c r="A5642" s="1" t="s">
        <v>95</v>
      </c>
      <c r="B5642" s="1" t="s">
        <v>227</v>
      </c>
      <c r="C5642" s="1" t="s">
        <v>97</v>
      </c>
      <c r="D5642" s="1" t="s">
        <v>122</v>
      </c>
      <c r="E5642" s="1" t="s">
        <v>3359</v>
      </c>
      <c r="F5642" s="1" t="s">
        <v>9189</v>
      </c>
      <c r="G5642" s="1" t="s">
        <v>36</v>
      </c>
      <c r="H5642" s="1" t="s">
        <v>29</v>
      </c>
      <c r="I5642" s="1" t="str">
        <f ca="1">IFERROR(__xludf.DUMMYFUNCTION("GOOGLETRANSLATE(F5642, ""auto"", ""en"")
"),"One of the best consoles of the current generation with a 250 GB hard drive. and God of war 3 included!    I bought it 2 weeks ago. Glad everything is fine, it works quickly and quietly.")</f>
        <v>One of the best consoles of the current generation with a 250 GB hard drive. and God of war 3 included!    I bought it 2 weeks ago. Glad everything is fine, it works quickly and quietly.</v>
      </c>
    </row>
    <row r="5643" spans="1:9" x14ac:dyDescent="0.3">
      <c r="A5643" s="1" t="s">
        <v>477</v>
      </c>
      <c r="B5643" s="1" t="s">
        <v>478</v>
      </c>
      <c r="C5643" s="1" t="s">
        <v>479</v>
      </c>
      <c r="D5643" s="1" t="s">
        <v>366</v>
      </c>
      <c r="E5643" s="1" t="s">
        <v>2593</v>
      </c>
      <c r="F5643" s="1" t="s">
        <v>9190</v>
      </c>
      <c r="G5643" s="1" t="s">
        <v>28</v>
      </c>
      <c r="H5643" s="1" t="s">
        <v>29</v>
      </c>
      <c r="I5643" s="1" t="str">
        <f ca="1">IFERROR(__xludf.DUMMYFUNCTION("GOOGLETRANSLATE(F5643, ""auto"", ""en"")
"),"For company 5 for multiplayer 2!  The game is great, but only for a one-time playthrough. The graphics and physics are superb! A very interesting game, I ran through it in one go in a day! I recommend the game is good!")</f>
        <v>For company 5 for multiplayer 2!  The game is great, but only for a one-time playthrough. The graphics and physics are superb! A very interesting game, I ran through it in one go in a day! I recommend the game is good!</v>
      </c>
    </row>
    <row r="5644" spans="1:9" x14ac:dyDescent="0.3">
      <c r="A5644" s="1" t="s">
        <v>61</v>
      </c>
      <c r="B5644" s="1" t="s">
        <v>145</v>
      </c>
      <c r="C5644" s="1" t="s">
        <v>57</v>
      </c>
      <c r="D5644" s="1" t="s">
        <v>280</v>
      </c>
      <c r="E5644" s="1" t="s">
        <v>397</v>
      </c>
      <c r="F5644" s="1" t="s">
        <v>9191</v>
      </c>
      <c r="G5644" s="1" t="s">
        <v>36</v>
      </c>
      <c r="H5644" s="1" t="s">
        <v>29</v>
      </c>
      <c r="I5644" s="1" t="str">
        <f ca="1">IFERROR(__xludf.DUMMYFUNCTION("GOOGLETRANSLATE(F5644, ""auto"", ""en"")
"),"This deep fryer is a great combination of price and quality!  Convenient, easy to use.    Beautiful ladies will be surprised by the fact that it weighs much less, unlike others like it, and you can easily carry it home yourself :)) Buy it - you won’t regr"&amp;"et it!!!")</f>
        <v>This deep fryer is a great combination of price and quality!  Convenient, easy to use.    Beautiful ladies will be surprised by the fact that it weighs much less, unlike others like it, and you can easily carry it home yourself :)) Buy it - you won’t regret it!!!</v>
      </c>
    </row>
    <row r="5645" spans="1:9" x14ac:dyDescent="0.3">
      <c r="A5645" s="1" t="s">
        <v>61</v>
      </c>
      <c r="B5645" s="1" t="s">
        <v>224</v>
      </c>
      <c r="C5645" s="1" t="s">
        <v>314</v>
      </c>
      <c r="D5645" s="1" t="s">
        <v>52</v>
      </c>
      <c r="E5645" s="1" t="s">
        <v>1099</v>
      </c>
      <c r="F5645" s="1" t="s">
        <v>9192</v>
      </c>
      <c r="G5645" s="1" t="s">
        <v>36</v>
      </c>
      <c r="H5645" s="1" t="s">
        <v>29</v>
      </c>
      <c r="I5645" s="1" t="str">
        <f ca="1">IFERROR(__xludf.DUMMYFUNCTION("GOOGLETRANSLATE(F5645, ""auto"", ""en"")
"),"Amazing juicer. I’ve only been using it recently, but as soon as I bought it I squeezed out apples, carrots, and tangerines. Presses with a bang, the cake is dry. For the money it's just an amazing device! It's a little noisy, but I don't mind it because "&amp;"the juice comes out great. I would also highlight the production in Poland as a plus.   Take it, you won't regret it. 2-year warranty (this is also a hint that the device is amazing.")</f>
        <v>Amazing juicer. I’ve only been using it recently, but as soon as I bought it I squeezed out apples, carrots, and tangerines. Presses with a bang, the cake is dry. For the money it's just an amazing device! It's a little noisy, but I don't mind it because the juice comes out great. I would also highlight the production in Poland as a plus.   Take it, you won't regret it. 2-year warranty (this is also a hint that the device is amazing.</v>
      </c>
    </row>
    <row r="5646" spans="1:9" x14ac:dyDescent="0.3">
      <c r="A5646" s="1" t="s">
        <v>37</v>
      </c>
      <c r="B5646" s="1" t="s">
        <v>536</v>
      </c>
      <c r="C5646" s="1" t="s">
        <v>32</v>
      </c>
      <c r="D5646" s="1" t="s">
        <v>2873</v>
      </c>
      <c r="E5646" s="1" t="s">
        <v>1122</v>
      </c>
      <c r="F5646" s="1" t="s">
        <v>9193</v>
      </c>
      <c r="G5646" s="1" t="s">
        <v>15</v>
      </c>
      <c r="H5646" s="1" t="s">
        <v>16</v>
      </c>
      <c r="I5646" s="1" t="str">
        <f ca="1">IFERROR(__xludf.DUMMYFUNCTION("GOOGLETRANSLATE(F5646, ""auto"", ""en"")
"),"super but there is not enough android for it")</f>
        <v>super but there is not enough android for it</v>
      </c>
    </row>
    <row r="5647" spans="1:9" x14ac:dyDescent="0.3">
      <c r="A5647" s="1" t="s">
        <v>55</v>
      </c>
      <c r="B5647" s="1" t="s">
        <v>84</v>
      </c>
      <c r="C5647" s="1" t="s">
        <v>85</v>
      </c>
      <c r="D5647" s="1" t="s">
        <v>9194</v>
      </c>
      <c r="E5647" s="1" t="s">
        <v>3621</v>
      </c>
      <c r="F5647" s="1" t="s">
        <v>9195</v>
      </c>
      <c r="G5647" s="1" t="s">
        <v>28</v>
      </c>
      <c r="H5647" s="1" t="s">
        <v>29</v>
      </c>
      <c r="I5647" s="1" t="str">
        <f ca="1">IFERROR(__xludf.DUMMYFUNCTION("GOOGLETRANSLATE(F5647, ""auto"", ""en"")
"),"Large capacity for water. Intuitive control and use. Warm steam function.")</f>
        <v>Large capacity for water. Intuitive control and use. Warm steam function.</v>
      </c>
    </row>
    <row r="5648" spans="1:9" x14ac:dyDescent="0.3">
      <c r="A5648" s="1" t="s">
        <v>169</v>
      </c>
      <c r="B5648" s="1" t="s">
        <v>170</v>
      </c>
      <c r="C5648" s="1" t="s">
        <v>97</v>
      </c>
      <c r="D5648" s="1" t="s">
        <v>114</v>
      </c>
      <c r="E5648" s="1" t="s">
        <v>3494</v>
      </c>
      <c r="F5648" s="1" t="s">
        <v>9196</v>
      </c>
      <c r="G5648" s="1" t="s">
        <v>36</v>
      </c>
      <c r="H5648" s="1" t="s">
        <v>29</v>
      </c>
      <c r="I5648" s="1" t="str">
        <f ca="1">IFERROR(__xludf.DUMMYFUNCTION("GOOGLETRANSLATE(F5648, ""auto"", ""en"")
"),"And I like headphones! I listen to different music at work. The main thing for me is not volume, but quality!  Deep, voluminous bass, frantically flowing from ear to ear stereo. Tops, bottoms, work out all the little things.  I like...")</f>
        <v>And I like headphones! I listen to different music at work. The main thing for me is not volume, but quality!  Deep, voluminous bass, frantically flowing from ear to ear stereo. Tops, bottoms, work out all the little things.  I like...</v>
      </c>
    </row>
    <row r="5649" spans="1:9" x14ac:dyDescent="0.3">
      <c r="A5649" s="1" t="s">
        <v>37</v>
      </c>
      <c r="B5649" s="1" t="s">
        <v>38</v>
      </c>
      <c r="C5649" s="1" t="s">
        <v>163</v>
      </c>
      <c r="D5649" s="1" t="s">
        <v>52</v>
      </c>
      <c r="E5649" s="1" t="s">
        <v>7219</v>
      </c>
      <c r="F5649" s="1" t="s">
        <v>9197</v>
      </c>
      <c r="G5649" s="1" t="s">
        <v>36</v>
      </c>
      <c r="H5649" s="1" t="s">
        <v>29</v>
      </c>
      <c r="I5649" s="1" t="str">
        <f ca="1">IFERROR(__xludf.DUMMYFUNCTION("GOOGLETRANSLATE(F5649, ""auto"", ""en"")
"),"The phone is great.   Pros: excellent sound, good camera, Opera mini, compact, high-quality display.   Cons: fragile case, after several falls a corner broke off, one side button stopped working; buttons are too small, it takes a long time to get used to;"&amp;" weak vibration.  In general, the price/quality ratio is ideal.")</f>
        <v>The phone is great.   Pros: excellent sound, good camera, Opera mini, compact, high-quality display.   Cons: fragile case, after several falls a corner broke off, one side button stopped working; buttons are too small, it takes a long time to get used to; weak vibration.  In general, the price/quality ratio is ideal.</v>
      </c>
    </row>
    <row r="5650" spans="1:9" x14ac:dyDescent="0.3">
      <c r="A5650" s="1" t="s">
        <v>120</v>
      </c>
      <c r="B5650" s="1" t="s">
        <v>196</v>
      </c>
      <c r="C5650" s="1" t="s">
        <v>658</v>
      </c>
      <c r="D5650" s="1" t="s">
        <v>633</v>
      </c>
      <c r="E5650" s="1" t="s">
        <v>3472</v>
      </c>
      <c r="F5650" s="1" t="s">
        <v>9198</v>
      </c>
      <c r="G5650" s="1" t="s">
        <v>36</v>
      </c>
      <c r="H5650" s="1" t="s">
        <v>29</v>
      </c>
      <c r="I5650" s="1" t="str">
        <f ca="1">IFERROR(__xludf.DUMMYFUNCTION("GOOGLETRANSLATE(F5650, ""auto"", ""en"")
"),"Yesterday I bought this TV. I can’t take my eyes off it! People, what a Sung, Phillips and so on..... (the image on them is very stretched. It’s impossible to choose a format to watch normally). Toshiba is Toshiba! No one can keep up with Japan. I recomme"&amp;"nd it to everyone!!!")</f>
        <v>Yesterday I bought this TV. I can’t take my eyes off it! People, what a Sung, Phillips and so on..... (the image on them is very stretched. It’s impossible to choose a format to watch normally). Toshiba is Toshiba! No one can keep up with Japan. I recommend it to everyone!!!</v>
      </c>
    </row>
    <row r="5651" spans="1:9" x14ac:dyDescent="0.3">
      <c r="A5651" s="1" t="s">
        <v>55</v>
      </c>
      <c r="B5651" s="1" t="s">
        <v>56</v>
      </c>
      <c r="C5651" s="1" t="s">
        <v>3651</v>
      </c>
      <c r="D5651" s="1" t="s">
        <v>152</v>
      </c>
      <c r="E5651" s="1" t="s">
        <v>5985</v>
      </c>
      <c r="F5651" s="1" t="s">
        <v>9199</v>
      </c>
      <c r="G5651" s="1" t="s">
        <v>36</v>
      </c>
      <c r="H5651" s="1" t="s">
        <v>29</v>
      </c>
      <c r="I5651" s="1" t="str">
        <f ca="1">IFERROR(__xludf.DUMMYFUNCTION("GOOGLETRANSLATE(F5651, ""auto"", ""en"")
"),"We purchased this model a month ago, it makes me happy for the entire amount spent))) The air really humidifies, as much as needed - at night we set it to 50-55, as soon as the set humidity reaches the set level, it automatically turns off, when the room "&amp;"“dries out” by at least a percentage, it turns on itself - the built-in hygrometer. His readings are correct - they checked it with a station that works like a clock))) The water container is large, which was important when choosing a humidifier, pouring "&amp;"water is not super convenient, but the skill comes with practice))) There is a warm steam function, but I don’t understand its usefulness yet, with cold steam the room is more pleasant and fresh, for a small child it’s just the thing, and we adults really"&amp;" sleep better.   There is no white residue either on the furniture or near the device itself; I suspect that after all, the Ag filter is doing its “clean” job (there is something to compare with, in the experience of using two humidifiers of a lower price"&amp;" category). We fill the water directly from the tap without any filters or other attachments or gadgets - there is a filter, let it work itself out.   The controls are simple, intuitively clear what is responsible for what. It doesn’t make noise at night,"&amp;" occasionally gurgles quietly to itself, but you notice it when you can’t sleep))) If someone considers this humidifier to be loud, then the matter is not clean - contact the service, something is wrong with it. As a summary, this is a good quality humidi"&amp;"fier, not the cheapest, but works as it should. I will recommend it.")</f>
        <v>We purchased this model a month ago, it makes me happy for the entire amount spent))) The air really humidifies, as much as needed - at night we set it to 50-55, as soon as the set humidity reaches the set level, it automatically turns off, when the room “dries out” by at least a percentage, it turns on itself - the built-in hygrometer. His readings are correct - they checked it with a station that works like a clock))) The water container is large, which was important when choosing a humidifier, pouring water is not super convenient, but the skill comes with practice))) There is a warm steam function, but I don’t understand its usefulness yet, with cold steam the room is more pleasant and fresh, for a small child it’s just the thing, and we adults really sleep better.   There is no white residue either on the furniture or near the device itself; I suspect that after all, the Ag filter is doing its “clean” job (there is something to compare with, in the experience of using two humidifiers of a lower price category). We fill the water directly from the tap without any filters or other attachments or gadgets - there is a filter, let it work itself out.   The controls are simple, intuitively clear what is responsible for what. It doesn’t make noise at night, occasionally gurgles quietly to itself, but you notice it when you can’t sleep))) If someone considers this humidifier to be loud, then the matter is not clean - contact the service, something is wrong with it. As a summary, this is a good quality humidifier, not the cheapest, but works as it should. I will recommend it.</v>
      </c>
    </row>
    <row r="5652" spans="1:9" x14ac:dyDescent="0.3">
      <c r="A5652" s="1" t="s">
        <v>149</v>
      </c>
      <c r="B5652" s="1" t="s">
        <v>423</v>
      </c>
      <c r="C5652" s="1" t="s">
        <v>531</v>
      </c>
      <c r="D5652" s="1" t="s">
        <v>32</v>
      </c>
      <c r="E5652" s="1" t="s">
        <v>932</v>
      </c>
      <c r="F5652" s="1" t="s">
        <v>9200</v>
      </c>
      <c r="G5652" s="1" t="s">
        <v>49</v>
      </c>
      <c r="H5652" s="1" t="s">
        <v>16</v>
      </c>
      <c r="I5652" s="1" t="str">
        <f ca="1">IFERROR(__xludf.DUMMYFUNCTION("GOOGLETRANSLATE(F5652, ""auto"", ""en"")
"),"Terrible vacuum cleaner, I don’t recommend anyone to buy it!!! Filters become clogged very quickly and then cannot be found. And in the end, it completely fell apart (the plastic crumbled abruptly after 1.5 years), it’s a great pity for the money spent on"&amp;" it!!!")</f>
        <v>Terrible vacuum cleaner, I don’t recommend anyone to buy it!!! Filters become clogged very quickly and then cannot be found. And in the end, it completely fell apart (the plastic crumbled abruptly after 1.5 years), it’s a great pity for the money spent on it!!!</v>
      </c>
    </row>
    <row r="5653" spans="1:9" x14ac:dyDescent="0.3">
      <c r="A5653" s="1" t="s">
        <v>17</v>
      </c>
      <c r="B5653" s="1" t="s">
        <v>18</v>
      </c>
      <c r="C5653" s="1" t="s">
        <v>19</v>
      </c>
      <c r="D5653" s="1" t="s">
        <v>172</v>
      </c>
      <c r="E5653" s="1" t="s">
        <v>2677</v>
      </c>
      <c r="F5653" s="1" t="s">
        <v>9201</v>
      </c>
      <c r="G5653" s="1" t="s">
        <v>36</v>
      </c>
      <c r="H5653" s="1" t="s">
        <v>29</v>
      </c>
      <c r="I5653" s="1" t="str">
        <f ca="1">IFERROR(__xludf.DUMMYFUNCTION("GOOGLETRANSLATE(F5653, ""auto"", ""en"")
"),"I’ve been using the machine for over a year now - it washes amazingly, provided I use normal powder (respect to Yuri on this issue)!  Plus - quiet operation!!!, there is something to compare with, especially with the last narrow Zanussi, which worked pass"&amp;"ably for 6 years, washing poorly and trying to move to another corner of the bathroom when the spin speed was increased :-)) I advise you to buy it, a real Italian machine with quiet operation and good washing quality for the money (it’s a pity that when "&amp;"I bought it a year ago the price tag was AAAM much higher) P.S.: about the service of this manufacturer - in the warranty book in Moscow 12 services are listed!!!  and if something, God forbid, breaks, I personally won’t sit and wait for a part in one pla"&amp;"ce for 3 weeks, I’ll call another :-) Those who look for will always find!!!")</f>
        <v>I’ve been using the machine for over a year now - it washes amazingly, provided I use normal powder (respect to Yuri on this issue)!  Plus - quiet operation!!!, there is something to compare with, especially with the last narrow Zanussi, which worked passably for 6 years, washing poorly and trying to move to another corner of the bathroom when the spin speed was increased :-)) I advise you to buy it, a real Italian machine with quiet operation and good washing quality for the money (it’s a pity that when I bought it a year ago the price tag was AAAM much higher) P.S.: about the service of this manufacturer - in the warranty book in Moscow 12 services are listed!!!  and if something, God forbid, breaks, I personally won’t sit and wait for a part in one place for 3 weeks, I’ll call another :-) Those who look for will always find!!!</v>
      </c>
    </row>
    <row r="5654" spans="1:9" x14ac:dyDescent="0.3">
      <c r="A5654" s="1" t="s">
        <v>89</v>
      </c>
      <c r="B5654" s="1" t="s">
        <v>90</v>
      </c>
      <c r="C5654" s="1" t="s">
        <v>185</v>
      </c>
      <c r="D5654" s="1" t="s">
        <v>305</v>
      </c>
      <c r="E5654" s="1" t="s">
        <v>2486</v>
      </c>
      <c r="F5654" s="1" t="s">
        <v>9202</v>
      </c>
      <c r="G5654" s="1" t="s">
        <v>36</v>
      </c>
      <c r="H5654" s="1" t="s">
        <v>29</v>
      </c>
      <c r="I5654" s="1" t="str">
        <f ca="1">IFERROR(__xludf.DUMMYFUNCTION("GOOGLETRANSLATE(F5654, ""auto"", ""en"")
"),"We bought a coffee grinder today and were very pleased with it, it grinds very quickly and efficiently, I recommend it.")</f>
        <v>We bought a coffee grinder today and were very pleased with it, it grinds very quickly and efficiently, I recommend it.</v>
      </c>
    </row>
    <row r="5655" spans="1:9" x14ac:dyDescent="0.3">
      <c r="A5655" s="1" t="s">
        <v>61</v>
      </c>
      <c r="B5655" s="1" t="s">
        <v>224</v>
      </c>
      <c r="C5655" s="1" t="s">
        <v>101</v>
      </c>
      <c r="D5655" s="1" t="s">
        <v>9203</v>
      </c>
      <c r="E5655" s="1" t="s">
        <v>2265</v>
      </c>
      <c r="F5655" s="1" t="s">
        <v>9204</v>
      </c>
      <c r="G5655" s="1" t="s">
        <v>28</v>
      </c>
      <c r="H5655" s="1" t="s">
        <v>29</v>
      </c>
      <c r="I5655" s="1" t="str">
        <f ca="1">IFERROR(__xludf.DUMMYFUNCTION("GOOGLETRANSLATE(F5655, ""auto"", ""en"")
"),"It's too loud (noisy-growls)")</f>
        <v>It's too loud (noisy-growls)</v>
      </c>
    </row>
    <row r="5656" spans="1:9" x14ac:dyDescent="0.3">
      <c r="A5656" s="1" t="s">
        <v>55</v>
      </c>
      <c r="B5656" s="1" t="s">
        <v>84</v>
      </c>
      <c r="C5656" s="1" t="s">
        <v>85</v>
      </c>
      <c r="D5656" s="1" t="s">
        <v>280</v>
      </c>
      <c r="E5656" s="1" t="s">
        <v>2577</v>
      </c>
      <c r="F5656" s="1" t="s">
        <v>9205</v>
      </c>
      <c r="G5656" s="1" t="s">
        <v>36</v>
      </c>
      <c r="H5656" s="1" t="s">
        <v>29</v>
      </c>
      <c r="I5656" s="1" t="str">
        <f ca="1">IFERROR(__xludf.DUMMYFUNCTION("GOOGLETRANSLATE(F5656, ""auto"", ""en"")
"),"Good afternoon So I managed to become the proud owner of this miracle product, which simply saved me from terrible allergy attacks! I have already tried a bunch of other cleansers and moisturizers, but none of them gave such results! And special thanks to"&amp;" the excellent consultants at M.video who helped me choose it!")</f>
        <v>Good afternoon So I managed to become the proud owner of this miracle product, which simply saved me from terrible allergy attacks! I have already tried a bunch of other cleansers and moisturizers, but none of them gave such results! And special thanks to the excellent consultants at M.video who helped me choose it!</v>
      </c>
    </row>
    <row r="5657" spans="1:9" x14ac:dyDescent="0.3">
      <c r="A5657" s="1" t="s">
        <v>37</v>
      </c>
      <c r="B5657" s="1" t="s">
        <v>536</v>
      </c>
      <c r="C5657" s="1" t="s">
        <v>32</v>
      </c>
      <c r="D5657" s="1" t="s">
        <v>545</v>
      </c>
      <c r="E5657" s="1" t="s">
        <v>3567</v>
      </c>
      <c r="F5657" s="1" t="s">
        <v>9206</v>
      </c>
      <c r="G5657" s="1" t="s">
        <v>36</v>
      </c>
      <c r="H5657" s="1" t="s">
        <v>29</v>
      </c>
      <c r="I5657" s="1" t="str">
        <f ca="1">IFERROR(__xludf.DUMMYFUNCTION("GOOGLETRANSLATE(F5657, ""auto"", ""en"")
"),"An excellent model, everything works right away, GPRS doesn’t slow down, everything works quickly, I haven’t left it for two days, the battery doesn’t run out, I watched a video, surfed the net through it, launched several applications at once, everything"&amp;" works with a bang. The first day I was not very happy, but it seems that I fall in love with it more and more every day))) There is enough software on the Internet for it, all convenient applications can be downloaded on the market installed directly on "&amp;"the device, there are free and paid applications, I have not had to use paid ones yet, there are more than enough free ones. Excellent resolution video for a communicator. I really like the Qwerty keyboard, it’s very convenient to surf the net, it works g"&amp;"reat and most importantly it’s fast via Wi-Fi. In two words, the model is super. I recommend it to everyone.")</f>
        <v>An excellent model, everything works right away, GPRS doesn’t slow down, everything works quickly, I haven’t left it for two days, the battery doesn’t run out, I watched a video, surfed the net through it, launched several applications at once, everything works with a bang. The first day I was not very happy, but it seems that I fall in love with it more and more every day))) There is enough software on the Internet for it, all convenient applications can be downloaded on the market installed directly on the device, there are free and paid applications, I have not had to use paid ones yet, there are more than enough free ones. Excellent resolution video for a communicator. I really like the Qwerty keyboard, it’s very convenient to surf the net, it works great and most importantly it’s fast via Wi-Fi. In two words, the model is super. I recommend it to everyone.</v>
      </c>
    </row>
    <row r="5658" spans="1:9" x14ac:dyDescent="0.3">
      <c r="A5658" s="1" t="s">
        <v>61</v>
      </c>
      <c r="B5658" s="1" t="s">
        <v>224</v>
      </c>
      <c r="C5658" s="1" t="s">
        <v>314</v>
      </c>
      <c r="D5658" s="1" t="s">
        <v>9207</v>
      </c>
      <c r="E5658" s="1" t="s">
        <v>6469</v>
      </c>
      <c r="F5658" s="1" t="s">
        <v>9208</v>
      </c>
      <c r="G5658" s="1" t="s">
        <v>36</v>
      </c>
      <c r="H5658" s="1" t="s">
        <v>29</v>
      </c>
      <c r="I5658" s="1" t="str">
        <f ca="1">IFERROR(__xludf.DUMMYFUNCTION("GOOGLETRANSLATE(F5658, ""auto"", ""en"")
"),"I’ve been using it for the second month, I squeeze three glasses of carrots and celery a day... It works great (the main thing is not to put too much pressure on the top of the lid), it’s easy to clean. I got the same one for my mom on March 8th)))")</f>
        <v>I’ve been using it for the second month, I squeeze three glasses of carrots and celery a day... It works great (the main thing is not to put too much pressure on the top of the lid), it’s easy to clean. I got the same one for my mom on March 8th)))</v>
      </c>
    </row>
    <row r="5659" spans="1:9" x14ac:dyDescent="0.3">
      <c r="A5659" s="1" t="s">
        <v>67</v>
      </c>
      <c r="B5659" s="1" t="s">
        <v>68</v>
      </c>
      <c r="C5659" s="1" t="s">
        <v>246</v>
      </c>
      <c r="D5659" s="1" t="s">
        <v>1747</v>
      </c>
      <c r="E5659" s="1" t="s">
        <v>386</v>
      </c>
      <c r="F5659" s="1" t="s">
        <v>9209</v>
      </c>
      <c r="G5659" s="1" t="s">
        <v>36</v>
      </c>
      <c r="H5659" s="1" t="s">
        <v>29</v>
      </c>
      <c r="I5659" s="1" t="str">
        <f ca="1">IFERROR(__xludf.DUMMYFUNCTION("GOOGLETRANSLATE(F5659, ""auto"", ""en"")
"),"I've been using Tefal irons for many years now and I'm very, very satisfied! A new model came out with the world's first self-cleaning sole, I bought it and stroked it. I'm happy! For anyone who has not used irons from this company, I highly recommend it,"&amp;" you won’t regret it!!!")</f>
        <v>I've been using Tefal irons for many years now and I'm very, very satisfied! A new model came out with the world's first self-cleaning sole, I bought it and stroked it. I'm happy! For anyone who has not used irons from this company, I highly recommend it, you won’t regret it!!!</v>
      </c>
    </row>
    <row r="5660" spans="1:9" x14ac:dyDescent="0.3">
      <c r="A5660" s="1" t="s">
        <v>30</v>
      </c>
      <c r="B5660" s="1" t="s">
        <v>50</v>
      </c>
      <c r="C5660" s="1" t="s">
        <v>51</v>
      </c>
      <c r="D5660" s="1" t="s">
        <v>305</v>
      </c>
      <c r="E5660" s="1" t="s">
        <v>2512</v>
      </c>
      <c r="F5660" s="1" t="s">
        <v>9210</v>
      </c>
      <c r="G5660" s="1" t="s">
        <v>28</v>
      </c>
      <c r="H5660" s="1" t="s">
        <v>29</v>
      </c>
      <c r="I5660" s="1" t="str">
        <f ca="1">IFERROR(__xludf.DUMMYFUNCTION("GOOGLETRANSLATE(F5660, ""auto"", ""en"")
"),"mmm... What do you mean by second HDD?")</f>
        <v>mmm... What do you mean by second HDD?</v>
      </c>
    </row>
    <row r="5661" spans="1:9" x14ac:dyDescent="0.3">
      <c r="A5661" s="1" t="s">
        <v>811</v>
      </c>
      <c r="B5661" s="1" t="s">
        <v>4226</v>
      </c>
      <c r="C5661" s="1" t="s">
        <v>97</v>
      </c>
      <c r="D5661" s="1" t="s">
        <v>8740</v>
      </c>
      <c r="E5661" s="1" t="s">
        <v>597</v>
      </c>
      <c r="F5661" s="1" t="s">
        <v>9211</v>
      </c>
      <c r="G5661" s="1" t="s">
        <v>36</v>
      </c>
      <c r="H5661" s="1" t="s">
        <v>29</v>
      </c>
      <c r="I5661" s="1" t="str">
        <f ca="1">IFERROR(__xludf.DUMMYFUNCTION("GOOGLETRANSLATE(F5661, ""auto"", ""en"")
"),"An ordinary battery. I think it’s no different from others. The original will work for a long time (I have it for more than a year) - no problem!")</f>
        <v>An ordinary battery. I think it’s no different from others. The original will work for a long time (I have it for more than a year) - no problem!</v>
      </c>
    </row>
    <row r="5662" spans="1:9" x14ac:dyDescent="0.3">
      <c r="A5662" s="1" t="s">
        <v>17</v>
      </c>
      <c r="B5662" s="1" t="s">
        <v>18</v>
      </c>
      <c r="C5662" s="1" t="s">
        <v>134</v>
      </c>
      <c r="D5662" s="1" t="s">
        <v>152</v>
      </c>
      <c r="E5662" s="1" t="s">
        <v>1005</v>
      </c>
      <c r="F5662" s="1" t="s">
        <v>9212</v>
      </c>
      <c r="G5662" s="1" t="s">
        <v>28</v>
      </c>
      <c r="H5662" s="1" t="s">
        <v>29</v>
      </c>
      <c r="I5662" s="1" t="str">
        <f ca="1">IFERROR(__xludf.DUMMYFUNCTION("GOOGLETRANSLATE(F5662, ""auto"", ""en"")
"),"A good machine, especially at a discount. I bought it in April. The family has two small children, so they do laundry almost every day and more than once. Just recently it glitched a little - when I pressed the buttons, it skipped to the desired program, "&amp;"so I had to catch it several times. It's a small thing, but still annoying. Now everything is gone, perhaps it was due to extreme heat or humidity, who knows. Before that, she was an Indesit for 9 years and still works at the dacha. I didn't find much dif"&amp;"ference in noise. My friends have a Samsung WF-F861 (wouldn't be mistaken with the model), it's much louder")</f>
        <v>A good machine, especially at a discount. I bought it in April. The family has two small children, so they do laundry almost every day and more than once. Just recently it glitched a little - when I pressed the buttons, it skipped to the desired program, so I had to catch it several times. It's a small thing, but still annoying. Now everything is gone, perhaps it was due to extreme heat or humidity, who knows. Before that, she was an Indesit for 9 years and still works at the dacha. I didn't find much difference in noise. My friends have a Samsung WF-F861 (wouldn't be mistaken with the model), it's much louder</v>
      </c>
    </row>
    <row r="5663" spans="1:9" x14ac:dyDescent="0.3">
      <c r="A5663" s="1" t="s">
        <v>37</v>
      </c>
      <c r="B5663" s="1" t="s">
        <v>38</v>
      </c>
      <c r="C5663" s="1" t="s">
        <v>39</v>
      </c>
      <c r="D5663" s="1" t="s">
        <v>52</v>
      </c>
      <c r="E5663" s="1" t="s">
        <v>2866</v>
      </c>
      <c r="F5663" s="1" t="s">
        <v>9213</v>
      </c>
      <c r="G5663" s="1" t="s">
        <v>36</v>
      </c>
      <c r="H5663" s="1" t="s">
        <v>29</v>
      </c>
      <c r="I5663" s="1" t="str">
        <f ca="1">IFERROR(__xludf.DUMMYFUNCTION("GOOGLETRANSLATE(F5663, ""auto"", ""en"")
"),"I can say that I bought it, bought it and did not regret it! Great phone! The sound is simply amazing! Nice interface, speaking about the design of the case, it undoubtedly deserves all the praise! Excellent photo quality, in my opinion, better than the N"&amp;"73! In general, take it and you won’t regret it!")</f>
        <v>I can say that I bought it, bought it and did not regret it! Great phone! The sound is simply amazing! Nice interface, speaking about the design of the case, it undoubtedly deserves all the praise! Excellent photo quality, in my opinion, better than the N73! In general, take it and you won’t regret it!</v>
      </c>
    </row>
    <row r="5664" spans="1:9" x14ac:dyDescent="0.3">
      <c r="A5664" s="1" t="s">
        <v>61</v>
      </c>
      <c r="B5664" s="1" t="s">
        <v>224</v>
      </c>
      <c r="C5664" s="1" t="s">
        <v>314</v>
      </c>
      <c r="D5664" s="1" t="s">
        <v>1567</v>
      </c>
      <c r="E5664" s="1" t="s">
        <v>386</v>
      </c>
      <c r="F5664" s="1" t="s">
        <v>9214</v>
      </c>
      <c r="G5664" s="1" t="s">
        <v>36</v>
      </c>
      <c r="H5664" s="1" t="s">
        <v>29</v>
      </c>
      <c r="I5664" s="1" t="str">
        <f ca="1">IFERROR(__xludf.DUMMYFUNCTION("GOOGLETRANSLATE(F5664, ""auto"", ""en"")
"),"Today I bought a Zelmer 377 juicer. I bought it and immediately skipped the carrots - it squeezes out perfectly! The cake is almost DRY!!! I'll try it out throughout the summer and then report back.  Among the disadvantages is one speed (simply amazing!),"&amp;" it is quite difficult to clean the strainer, but the manufacturer warns about this in the instructions and suggests washing it (!!!) immediately after use. I adapted a toothbrush for this - you drop a drop of fairy on the bristles and gently rub it over "&amp;"the strainer - it washes off perfectly! Another disadvantage is that it is a little noisy, the manufacturer claims -87dB, but if you have a small family, then it’s quite normal. No more shortcomings! Now there are more advantages, so I give it a positive "&amp;"rating!  Advantages: - low price - about 40 EUROS, - assembly in Poland, - 2-year warranty (who knows, maybe you won’t need it?!), - very, very compact, won’t take up much space in the kitchen, - relatively easy to clean with running water, except for the"&amp;" strainer - it’s better to rub it additionally with a brush, - eats only 200 watts, - the pulp is dry, the taste of the juice is very delicious, the size is ideal for a family of 3-4 people.  I am not an employee of this company, so I write objectively as"&amp;" it is. I will be glad if my review helps you make the RIGHT CHOICE!")</f>
        <v>Today I bought a Zelmer 377 juicer. I bought it and immediately skipped the carrots - it squeezes out perfectly! The cake is almost DRY!!! I'll try it out throughout the summer and then report back.  Among the disadvantages is one speed (simply amazing!), it is quite difficult to clean the strainer, but the manufacturer warns about this in the instructions and suggests washing it (!!!) immediately after use. I adapted a toothbrush for this - you drop a drop of fairy on the bristles and gently rub it over the strainer - it washes off perfectly! Another disadvantage is that it is a little noisy, the manufacturer claims -87dB, but if you have a small family, then it’s quite normal. No more shortcomings! Now there are more advantages, so I give it a positive rating!  Advantages: - low price - about 40 EUROS, - assembly in Poland, - 2-year warranty (who knows, maybe you won’t need it?!), - very, very compact, won’t take up much space in the kitchen, - relatively easy to clean with running water, except for the strainer - it’s better to rub it additionally with a brush, - eats only 200 watts, - the pulp is dry, the taste of the juice is very delicious, the size is ideal for a family of 3-4 people.  I am not an employee of this company, so I write objectively as it is. I will be glad if my review helps you make the RIGHT CHOICE!</v>
      </c>
    </row>
    <row r="5665" spans="1:9" x14ac:dyDescent="0.3">
      <c r="A5665" s="1" t="s">
        <v>95</v>
      </c>
      <c r="B5665" s="1" t="s">
        <v>227</v>
      </c>
      <c r="C5665" s="1" t="s">
        <v>97</v>
      </c>
      <c r="D5665" s="1" t="s">
        <v>9215</v>
      </c>
      <c r="E5665" s="1" t="s">
        <v>3637</v>
      </c>
      <c r="F5665" s="1" t="s">
        <v>9216</v>
      </c>
      <c r="G5665" s="1" t="s">
        <v>36</v>
      </c>
      <c r="H5665" s="1" t="s">
        <v>29</v>
      </c>
      <c r="I5665" s="1" t="str">
        <f ca="1">IFERROR(__xludf.DUMMYFUNCTION("GOOGLETRANSLATE(F5665, ""auto"", ""en"")
"),"SOUP!!!!")</f>
        <v>SOUP!!!!</v>
      </c>
    </row>
    <row r="5666" spans="1:9" x14ac:dyDescent="0.3">
      <c r="A5666" s="1" t="s">
        <v>30</v>
      </c>
      <c r="B5666" s="1" t="s">
        <v>50</v>
      </c>
      <c r="C5666" s="1" t="s">
        <v>694</v>
      </c>
      <c r="D5666" s="1" t="s">
        <v>9217</v>
      </c>
      <c r="E5666" s="1" t="s">
        <v>2265</v>
      </c>
      <c r="F5666" s="1" t="s">
        <v>9218</v>
      </c>
      <c r="G5666" s="1" t="s">
        <v>28</v>
      </c>
      <c r="H5666" s="1" t="s">
        <v>29</v>
      </c>
      <c r="I5666" s="1" t="str">
        <f ca="1">IFERROR(__xludf.DUMMYFUNCTION("GOOGLETRANSLATE(F5666, ""auto"", ""en"")
"),"To Masha and Arthur: Windows 7 Starter actually doesn’t allow you to change the desktop background.")</f>
        <v>To Masha and Arthur: Windows 7 Starter actually doesn’t allow you to change the desktop background.</v>
      </c>
    </row>
    <row r="5667" spans="1:9" x14ac:dyDescent="0.3">
      <c r="A5667" s="1" t="s">
        <v>9</v>
      </c>
      <c r="B5667" s="1" t="s">
        <v>133</v>
      </c>
      <c r="C5667" s="1" t="s">
        <v>290</v>
      </c>
      <c r="D5667" s="1" t="s">
        <v>474</v>
      </c>
      <c r="E5667" s="1" t="s">
        <v>1070</v>
      </c>
      <c r="F5667" s="1" t="s">
        <v>9219</v>
      </c>
      <c r="G5667" s="1" t="s">
        <v>28</v>
      </c>
      <c r="H5667" s="1" t="s">
        <v>29</v>
      </c>
      <c r="I5667" s="1" t="str">
        <f ca="1">IFERROR(__xludf.DUMMYFUNCTION("GOOGLETRANSLATE(F5667, ""auto"", ""en"")
"),"I've been using it for less than a month. Pies and casseroles turn out quickly, rosy and airy. It cooks well on all sides. Minus: it is very noisy, and the fasteners of the baking sheets and grill rattle.")</f>
        <v>I've been using it for less than a month. Pies and casseroles turn out quickly, rosy and airy. It cooks well on all sides. Minus: it is very noisy, and the fasteners of the baking sheets and grill rattle.</v>
      </c>
    </row>
    <row r="5668" spans="1:9" x14ac:dyDescent="0.3">
      <c r="A5668" s="1" t="s">
        <v>95</v>
      </c>
      <c r="B5668" s="1" t="s">
        <v>227</v>
      </c>
      <c r="C5668" s="1" t="s">
        <v>97</v>
      </c>
      <c r="D5668" s="1" t="s">
        <v>20</v>
      </c>
      <c r="E5668" s="1" t="s">
        <v>1986</v>
      </c>
      <c r="F5668" s="1" t="s">
        <v>9220</v>
      </c>
      <c r="G5668" s="1" t="s">
        <v>36</v>
      </c>
      <c r="H5668" s="1" t="s">
        <v>29</v>
      </c>
      <c r="I5668" s="1" t="str">
        <f ca="1">IFERROR(__xludf.DUMMYFUNCTION("GOOGLETRANSLATE(F5668, ""auto"", ""en"")
"),"I bought the console and I’ve been playing well for a week, there’s no glitches or lags, and everything plays great with the movie. In general, I am pleased with the set-top box, I advise you to buy everything)))")</f>
        <v>I bought the console and I’ve been playing well for a week, there’s no glitches or lags, and everything plays great with the movie. In general, I am pleased with the set-top box, I advise you to buy everything)))</v>
      </c>
    </row>
    <row r="5669" spans="1:9" x14ac:dyDescent="0.3">
      <c r="A5669" s="1" t="s">
        <v>624</v>
      </c>
      <c r="B5669" s="1" t="s">
        <v>625</v>
      </c>
      <c r="C5669" s="1" t="s">
        <v>479</v>
      </c>
      <c r="D5669" s="1" t="s">
        <v>203</v>
      </c>
      <c r="E5669" s="1" t="s">
        <v>2131</v>
      </c>
      <c r="F5669" s="1" t="s">
        <v>9221</v>
      </c>
      <c r="G5669" s="1" t="s">
        <v>36</v>
      </c>
      <c r="H5669" s="1" t="s">
        <v>29</v>
      </c>
      <c r="I5669" s="1" t="str">
        <f ca="1">IFERROR(__xludf.DUMMYFUNCTION("GOOGLETRANSLATE(F5669, ""auto"", ""en"")
"),"The game is just super, I watched a lot of reviews, I think the game is worth buying, although the picture differs from the boxed version for the worse.")</f>
        <v>The game is just super, I watched a lot of reviews, I think the game is worth buying, although the picture differs from the boxed version for the worse.</v>
      </c>
    </row>
    <row r="5670" spans="1:9" x14ac:dyDescent="0.3">
      <c r="A5670" s="1" t="s">
        <v>67</v>
      </c>
      <c r="B5670" s="1" t="s">
        <v>68</v>
      </c>
      <c r="C5670" s="1" t="s">
        <v>381</v>
      </c>
      <c r="D5670" s="1" t="s">
        <v>1506</v>
      </c>
      <c r="E5670" s="1" t="s">
        <v>1219</v>
      </c>
      <c r="F5670" s="1" t="s">
        <v>9222</v>
      </c>
      <c r="G5670" s="1" t="s">
        <v>15</v>
      </c>
      <c r="H5670" s="1" t="s">
        <v>16</v>
      </c>
      <c r="I5670" s="1" t="str">
        <f ca="1">IFERROR(__xludf.DUMMYFUNCTION("GOOGLETRANSLATE(F5670, ""auto"", ""en"")
"),"As we bought the joy knew no bounds! Six months later it stopped heating up, they sent it to a service center, waited 1.5 months, they gave a conclusion that it could not be repaired. The electronics were broken. Now they changed them to Philips with the "&amp;"same electronics, Let's see!!!")</f>
        <v>As we bought the joy knew no bounds! Six months later it stopped heating up, they sent it to a service center, waited 1.5 months, they gave a conclusion that it could not be repaired. The electronics were broken. Now they changed them to Philips with the same electronics, Let's see!!!</v>
      </c>
    </row>
    <row r="5671" spans="1:9" x14ac:dyDescent="0.3">
      <c r="A5671" s="1" t="s">
        <v>89</v>
      </c>
      <c r="B5671" s="1" t="s">
        <v>90</v>
      </c>
      <c r="C5671" s="1" t="s">
        <v>745</v>
      </c>
      <c r="D5671" s="1" t="s">
        <v>8132</v>
      </c>
      <c r="E5671" s="1" t="s">
        <v>3433</v>
      </c>
      <c r="F5671" s="1" t="s">
        <v>9223</v>
      </c>
      <c r="G5671" s="1" t="s">
        <v>1580</v>
      </c>
      <c r="H5671" s="1" t="s">
        <v>29</v>
      </c>
      <c r="I5671" s="1" t="str">
        <f ca="1">IFERROR(__xludf.DUMMYFUNCTION("GOOGLETRANSLATE(F5671, ""auto"", ""en"")
"),"I recommend it to all lovers of real coffee. I'm tired of drinking this dissolved slurry, which they also call ""coffee"". The coffee grinder is very simple, without any unnecessary bells and whistles that you don’t use. but for which you pay extra. Quite"&amp;" powerful, grinds grains to the desired state. The loading volume is enough to prepare a drink for four people.")</f>
        <v>I recommend it to all lovers of real coffee. I'm tired of drinking this dissolved slurry, which they also call "coffee". The coffee grinder is very simple, without any unnecessary bells and whistles that you don’t use. but for which you pay extra. Quite powerful, grinds grains to the desired state. The loading volume is enough to prepare a drink for four people.</v>
      </c>
    </row>
    <row r="5672" spans="1:9" x14ac:dyDescent="0.3">
      <c r="A5672" s="1" t="s">
        <v>37</v>
      </c>
      <c r="B5672" s="1" t="s">
        <v>38</v>
      </c>
      <c r="C5672" s="1" t="s">
        <v>163</v>
      </c>
      <c r="D5672" s="1" t="s">
        <v>2217</v>
      </c>
      <c r="E5672" s="1" t="s">
        <v>1221</v>
      </c>
      <c r="F5672" s="1" t="s">
        <v>9224</v>
      </c>
      <c r="G5672" s="1" t="s">
        <v>28</v>
      </c>
      <c r="H5672" s="1" t="s">
        <v>29</v>
      </c>
      <c r="I5672" s="1" t="str">
        <f ca="1">IFERROR(__xludf.DUMMYFUNCTION("GOOGLETRANSLATE(F5672, ""auto"", ""en"")
"),"The screen is juicy, the buttons are not very convenient, but you get used to it. The only minus is the slowdown when navigating the menu, that is, you press a key and in a split second it switches, not a very pleasant thing for me personally, and the spe"&amp;"akerphone is also poorly implemented, you can hear some extraneous noises, but otherwise it’s normal! A solid 4 for him!")</f>
        <v>The screen is juicy, the buttons are not very convenient, but you get used to it. The only minus is the slowdown when navigating the menu, that is, you press a key and in a split second it switches, not a very pleasant thing for me personally, and the speakerphone is also poorly implemented, you can hear some extraneous noises, but otherwise it’s normal! A solid 4 for him!</v>
      </c>
    </row>
    <row r="5673" spans="1:9" x14ac:dyDescent="0.3">
      <c r="A5673" s="1" t="s">
        <v>17</v>
      </c>
      <c r="B5673" s="1" t="s">
        <v>18</v>
      </c>
      <c r="C5673" s="1" t="s">
        <v>277</v>
      </c>
      <c r="D5673" s="1" t="s">
        <v>295</v>
      </c>
      <c r="E5673" s="1" t="s">
        <v>1955</v>
      </c>
      <c r="F5673" s="1" t="s">
        <v>9225</v>
      </c>
      <c r="G5673" s="1" t="s">
        <v>36</v>
      </c>
      <c r="H5673" s="1" t="s">
        <v>29</v>
      </c>
      <c r="I5673" s="1" t="str">
        <f ca="1">IFERROR(__xludf.DUMMYFUNCTION("GOOGLETRANSLATE(F5673, ""auto"", ""en"")
"),"We bought it two months ago, we wash it often because we have a small child. Very happy!")</f>
        <v>We bought it two months ago, we wash it often because we have a small child. Very happy!</v>
      </c>
    </row>
    <row r="5674" spans="1:9" x14ac:dyDescent="0.3">
      <c r="A5674" s="1" t="s">
        <v>9</v>
      </c>
      <c r="B5674" s="1" t="s">
        <v>10</v>
      </c>
      <c r="C5674" s="1" t="s">
        <v>3091</v>
      </c>
      <c r="D5674" s="1" t="s">
        <v>420</v>
      </c>
      <c r="E5674" s="1" t="s">
        <v>233</v>
      </c>
      <c r="F5674" s="1" t="s">
        <v>9226</v>
      </c>
      <c r="G5674" s="1" t="s">
        <v>28</v>
      </c>
      <c r="H5674" s="1" t="s">
        <v>29</v>
      </c>
      <c r="I5674" s="1" t="str">
        <f ca="1">IFERROR(__xludf.DUMMYFUNCTION("GOOGLETRANSLATE(F5674, ""auto"", ""en"")
"),"Good hood, wide visor, excellent traction, but somewhat noisy.")</f>
        <v>Good hood, wide visor, excellent traction, but somewhat noisy.</v>
      </c>
    </row>
    <row r="5675" spans="1:9" x14ac:dyDescent="0.3">
      <c r="A5675" s="1" t="s">
        <v>17</v>
      </c>
      <c r="B5675" s="1" t="s">
        <v>18</v>
      </c>
      <c r="C5675" s="1" t="s">
        <v>19</v>
      </c>
      <c r="D5675" s="1" t="s">
        <v>127</v>
      </c>
      <c r="E5675" s="1" t="s">
        <v>491</v>
      </c>
      <c r="F5675" s="1" t="s">
        <v>9227</v>
      </c>
      <c r="G5675" s="1" t="s">
        <v>28</v>
      </c>
      <c r="H5675" s="1" t="s">
        <v>29</v>
      </c>
      <c r="I5675" s="1" t="str">
        <f ca="1">IFERROR(__xludf.DUMMYFUNCTION("GOOGLETRANSLATE(F5675, ""auto"", ""en"")
"),"I chose a washing machine for quite some time. And when I chose this model, I did not regret my choice. The most important advantage of this model is that it erases absolutely silently. When I started it for the first time, at first it seemed to me that i"&amp;"t was not working, the drum rotated so silently. Also, the large volume of the drum allows you to wash very large items (plaid, blanket, etc.). In general, my wife and I are very pleased.")</f>
        <v>I chose a washing machine for quite some time. And when I chose this model, I did not regret my choice. The most important advantage of this model is that it erases absolutely silently. When I started it for the first time, at first it seemed to me that it was not working, the drum rotated so silently. Also, the large volume of the drum allows you to wash very large items (plaid, blanket, etc.). In general, my wife and I are very pleased.</v>
      </c>
    </row>
    <row r="5676" spans="1:9" x14ac:dyDescent="0.3">
      <c r="A5676" s="1" t="s">
        <v>61</v>
      </c>
      <c r="B5676" s="1" t="s">
        <v>224</v>
      </c>
      <c r="C5676" s="1" t="s">
        <v>85</v>
      </c>
      <c r="D5676" s="1" t="s">
        <v>86</v>
      </c>
      <c r="E5676" s="1" t="s">
        <v>397</v>
      </c>
      <c r="F5676" s="1" t="s">
        <v>9228</v>
      </c>
      <c r="G5676" s="1" t="s">
        <v>49</v>
      </c>
      <c r="H5676" s="1" t="s">
        <v>16</v>
      </c>
      <c r="I5676" s="1" t="str">
        <f ca="1">IFERROR(__xludf.DUMMYFUNCTION("GOOGLETRANSLATE(F5676, ""auto"", ""en"")
"),"It squeezes well, but during the spin cycle the plastic cap on the neck bursts due to the powerful release of fruit residues. The service center said that the warranty only applies to the engine, and this part is just a consumable item (costs about 3 thou"&amp;"sand rubles). Aren't Bork juices too expensive? By the way, they don't talk about this in the store.")</f>
        <v>It squeezes well, but during the spin cycle the plastic cap on the neck bursts due to the powerful release of fruit residues. The service center said that the warranty only applies to the engine, and this part is just a consumable item (costs about 3 thousand rubles). Aren't Bork juices too expensive? By the way, they don't talk about this in the store.</v>
      </c>
    </row>
    <row r="5677" spans="1:9" x14ac:dyDescent="0.3">
      <c r="A5677" s="1" t="s">
        <v>17</v>
      </c>
      <c r="B5677" s="1" t="s">
        <v>18</v>
      </c>
      <c r="C5677" s="1" t="s">
        <v>665</v>
      </c>
      <c r="D5677" s="1" t="s">
        <v>9229</v>
      </c>
      <c r="E5677" s="1" t="s">
        <v>1907</v>
      </c>
      <c r="F5677" s="1" t="s">
        <v>9230</v>
      </c>
      <c r="G5677" s="1" t="s">
        <v>28</v>
      </c>
      <c r="H5677" s="1" t="s">
        <v>29</v>
      </c>
      <c r="I5677" s="1" t="str">
        <f ca="1">IFERROR(__xludf.DUMMYFUNCTION("GOOGLETRANSLATE(F5677, ""auto"", ""en"")
"),"I have been using the machine for 4 months. Plus - the color is silver, it fits into the kitchen like it belongs to. There are enough programs, 15min, 25min, etc. It washes well and wrings well too. I washed everything from silk to sofa bedspreads. No com"&amp;"plaints. Yes, it may be noisy when draining and spinning, but only at 1000 and 1200 rpm, but for that kind of money you can turn a blind eye to this. Overall a good economical option.")</f>
        <v>I have been using the machine for 4 months. Plus - the color is silver, it fits into the kitchen like it belongs to. There are enough programs, 15min, 25min, etc. It washes well and wrings well too. I washed everything from silk to sofa bedspreads. No complaints. Yes, it may be noisy when draining and spinning, but only at 1000 and 1200 rpm, but for that kind of money you can turn a blind eye to this. Overall a good economical option.</v>
      </c>
    </row>
    <row r="5678" spans="1:9" x14ac:dyDescent="0.3">
      <c r="A5678" s="1" t="s">
        <v>149</v>
      </c>
      <c r="B5678" s="1" t="s">
        <v>155</v>
      </c>
      <c r="C5678" s="1" t="s">
        <v>151</v>
      </c>
      <c r="D5678" s="1" t="s">
        <v>9231</v>
      </c>
      <c r="E5678" s="1" t="s">
        <v>3461</v>
      </c>
      <c r="F5678" s="1" t="s">
        <v>9232</v>
      </c>
      <c r="G5678" s="1" t="s">
        <v>36</v>
      </c>
      <c r="H5678" s="1" t="s">
        <v>29</v>
      </c>
      <c r="I5678" s="1" t="str">
        <f ca="1">IFERROR(__xludf.DUMMYFUNCTION("GOOGLETRANSLATE(F5678, ""auto"", ""en"")
"),"I don’t understand those who write that you need to clean it after every room. If you have one room - 100 sq. m. or vacuum once a month, then maybe so, I have a three-room apartment, after all the rooms, the balcony and the corridor are only 70-80% filled"&amp;". A good vacuum cleaner, it cleans up to the last century’s dust) Just don’t forget to wash the filter, it’s not difficult.")</f>
        <v>I don’t understand those who write that you need to clean it after every room. If you have one room - 100 sq. m. or vacuum once a month, then maybe so, I have a three-room apartment, after all the rooms, the balcony and the corridor are only 70-80% filled. A good vacuum cleaner, it cleans up to the last century’s dust) Just don’t forget to wash the filter, it’s not difficult.</v>
      </c>
    </row>
    <row r="5679" spans="1:9" x14ac:dyDescent="0.3">
      <c r="A5679" s="1" t="s">
        <v>17</v>
      </c>
      <c r="B5679" s="1" t="s">
        <v>18</v>
      </c>
      <c r="C5679" s="1" t="s">
        <v>885</v>
      </c>
      <c r="D5679" s="1" t="s">
        <v>39</v>
      </c>
      <c r="E5679" s="1" t="s">
        <v>1359</v>
      </c>
      <c r="F5679" s="1" t="s">
        <v>9233</v>
      </c>
      <c r="G5679" s="1" t="s">
        <v>36</v>
      </c>
      <c r="H5679" s="1" t="s">
        <v>29</v>
      </c>
      <c r="I5679" s="1" t="str">
        <f ca="1">IFERROR(__xludf.DUMMYFUNCTION("GOOGLETRANSLATE(F5679, ""auto"", ""en"")
"),"The car is very good, narrow. At the same time it washes quietly and very well.  There were minor problems with level installation on the floor, but solely due to the quality of the floor.  I recommend it, it's a good model.")</f>
        <v>The car is very good, narrow. At the same time it washes quietly and very well.  There were minor problems with level installation on the floor, but solely due to the quality of the floor.  I recommend it, it's a good model.</v>
      </c>
    </row>
    <row r="5680" spans="1:9" x14ac:dyDescent="0.3">
      <c r="A5680" s="1" t="s">
        <v>732</v>
      </c>
      <c r="B5680" s="1" t="s">
        <v>733</v>
      </c>
      <c r="C5680" s="1" t="s">
        <v>1680</v>
      </c>
      <c r="D5680" s="1" t="s">
        <v>411</v>
      </c>
      <c r="E5680" s="1" t="s">
        <v>2126</v>
      </c>
      <c r="F5680" s="1" t="s">
        <v>9234</v>
      </c>
      <c r="G5680" s="1" t="s">
        <v>36</v>
      </c>
      <c r="H5680" s="1" t="s">
        <v>29</v>
      </c>
      <c r="I5680" s="1" t="str">
        <f ca="1">IFERROR(__xludf.DUMMYFUNCTION("GOOGLETRANSLATE(F5680, ""auto"", ""en"")
"),"On May 15, I went to Krasnoarmeyskaya with the goal of choosing another monitor for my home (it was old) - with a convex screen... I chose among the “19” inch ones, called the consultants one by one with the task of finding out from them which monitor was"&amp;" better to take (Philips? Samsung? ViewSonic? LG...) They all unanimously said that it was better to take the LCD monitor “19” ViewSonic VX1940w-4 Because only it has a resolution of 1680x1050 pixels (HD Ready). And the rest are 1360x768 pixels, which is "&amp;"the minimum resolution for “19” inch monitors.  When I came home I realized that I had taken a very GOOD MONITOR!!! The image quality is excellent, thanks for the advice!!!")</f>
        <v>On May 15, I went to Krasnoarmeyskaya with the goal of choosing another monitor for my home (it was old) - with a convex screen... I chose among the “19” inch ones, called the consultants one by one with the task of finding out from them which monitor was better to take (Philips? Samsung? ViewSonic? LG...) They all unanimously said that it was better to take the LCD monitor “19” ViewSonic VX1940w-4 Because only it has a resolution of 1680x1050 pixels (HD Ready). And the rest are 1360x768 pixels, which is the minimum resolution for “19” inch monitors.  When I came home I realized that I had taken a very GOOD MONITOR!!! The image quality is excellent, thanks for the advice!!!</v>
      </c>
    </row>
    <row r="5681" spans="1:9" x14ac:dyDescent="0.3">
      <c r="A5681" s="1" t="s">
        <v>149</v>
      </c>
      <c r="B5681" s="1" t="s">
        <v>155</v>
      </c>
      <c r="C5681" s="1" t="s">
        <v>80</v>
      </c>
      <c r="D5681" s="1" t="s">
        <v>232</v>
      </c>
      <c r="E5681" s="1" t="s">
        <v>500</v>
      </c>
      <c r="F5681" s="1" t="s">
        <v>9235</v>
      </c>
      <c r="G5681" s="1" t="s">
        <v>36</v>
      </c>
      <c r="H5681" s="1" t="s">
        <v>29</v>
      </c>
      <c r="I5681" s="1" t="str">
        <f ca="1">IFERROR(__xludf.DUMMYFUNCTION("GOOGLETRANSLATE(F5681, ""auto"", ""en"")
"),"I liked it. If the container gets clogged, just shake out the dust and wash it afterwards. The filter is also easy to clean.")</f>
        <v>I liked it. If the container gets clogged, just shake out the dust and wash it afterwards. The filter is also easy to clean.</v>
      </c>
    </row>
    <row r="5682" spans="1:9" x14ac:dyDescent="0.3">
      <c r="A5682" s="1" t="s">
        <v>61</v>
      </c>
      <c r="B5682" s="1" t="s">
        <v>318</v>
      </c>
      <c r="C5682" s="1" t="s">
        <v>101</v>
      </c>
      <c r="D5682" s="1" t="s">
        <v>308</v>
      </c>
      <c r="E5682" s="1" t="s">
        <v>9236</v>
      </c>
      <c r="F5682" s="1" t="s">
        <v>9237</v>
      </c>
      <c r="G5682" s="1" t="s">
        <v>36</v>
      </c>
      <c r="H5682" s="1" t="s">
        <v>29</v>
      </c>
      <c r="I5682" s="1" t="str">
        <f ca="1">IFERROR(__xludf.DUMMYFUNCTION("GOOGLETRANSLATE(F5682, ""auto"", ""en"")
"),"I have been using this kettle for 4 years. There are no problems.")</f>
        <v>I have been using this kettle for 4 years. There are no problems.</v>
      </c>
    </row>
    <row r="5683" spans="1:9" x14ac:dyDescent="0.3">
      <c r="A5683" s="1" t="s">
        <v>89</v>
      </c>
      <c r="B5683" s="1" t="s">
        <v>231</v>
      </c>
      <c r="C5683" s="1" t="s">
        <v>185</v>
      </c>
      <c r="D5683" s="1" t="s">
        <v>305</v>
      </c>
      <c r="E5683" s="1" t="s">
        <v>4474</v>
      </c>
      <c r="F5683" s="1" t="s">
        <v>9238</v>
      </c>
      <c r="G5683" s="1" t="s">
        <v>28</v>
      </c>
      <c r="H5683" s="1" t="s">
        <v>29</v>
      </c>
      <c r="I5683" s="1" t="str">
        <f ca="1">IFERROR(__xludf.DUMMYFUNCTION("GOOGLETRANSLATE(F5683, ""auto"", ""en"")
"),"Good budget model. There is only one drawback - it is noisy. It is clear that when grinding there is no escape from the sounds, but pouring boiling water could have been a little quieter. What kind of processes occur during shutdown (including auto shutdo"&amp;"wn) is a mystery, probably something inside it is washed, and also with a fairly loud growl (and with auto shutdown, this also happens quite unexpectedly).    It is also unclear the purpose of the flimsy foil plate on the top right; in theory, it should b"&amp;"e for heating cups - but it doesn’t heat up, it only collects dust in the corners.    But in general - I recommend it, for the money it’s a very good option.")</f>
        <v>Good budget model. There is only one drawback - it is noisy. It is clear that when grinding there is no escape from the sounds, but pouring boiling water could have been a little quieter. What kind of processes occur during shutdown (including auto shutdown) is a mystery, probably something inside it is washed, and also with a fairly loud growl (and with auto shutdown, this also happens quite unexpectedly).    It is also unclear the purpose of the flimsy foil plate on the top right; in theory, it should be for heating cups - but it doesn’t heat up, it only collects dust in the corners.    But in general - I recommend it, for the money it’s a very good option.</v>
      </c>
    </row>
    <row r="5684" spans="1:9" x14ac:dyDescent="0.3">
      <c r="A5684" s="1" t="s">
        <v>105</v>
      </c>
      <c r="B5684" s="1" t="s">
        <v>106</v>
      </c>
      <c r="C5684" s="1" t="s">
        <v>107</v>
      </c>
      <c r="D5684" s="1" t="s">
        <v>280</v>
      </c>
      <c r="E5684" s="1" t="s">
        <v>53</v>
      </c>
      <c r="F5684" s="1" t="s">
        <v>9239</v>
      </c>
      <c r="G5684" s="1" t="s">
        <v>15</v>
      </c>
      <c r="H5684" s="1" t="s">
        <v>16</v>
      </c>
      <c r="I5684" s="1" t="str">
        <f ca="1">IFERROR(__xludf.DUMMYFUNCTION("GOOGLETRANSLATE(F5684, ""auto"", ""en"")
"),"I came... I felt it... I was disappointed... Yes, it’s really a drag, as you turn on the music, it’s better to put it down and just listen because... if you try to do something while listening besides the brakes, glitches in playback are noticeable - free"&amp;"zing of the music (apparently the processor is rather weak) But nothing... Beautiful, a lot of memory and can be expanded... The player is not for everyone, I don’t really care...")</f>
        <v>I came... I felt it... I was disappointed... Yes, it’s really a drag, as you turn on the music, it’s better to put it down and just listen because... if you try to do something while listening besides the brakes, glitches in playback are noticeable - freezing of the music (apparently the processor is rather weak) But nothing... Beautiful, a lot of memory and can be expanded... The player is not for everyone, I don’t really care...</v>
      </c>
    </row>
    <row r="5685" spans="1:9" x14ac:dyDescent="0.3">
      <c r="A5685" s="1" t="s">
        <v>211</v>
      </c>
      <c r="B5685" s="1" t="s">
        <v>212</v>
      </c>
      <c r="C5685" s="1" t="s">
        <v>294</v>
      </c>
      <c r="D5685" s="1" t="s">
        <v>9240</v>
      </c>
      <c r="E5685" s="1" t="s">
        <v>1858</v>
      </c>
      <c r="F5685" s="1" t="s">
        <v>9241</v>
      </c>
      <c r="G5685" s="1" t="s">
        <v>36</v>
      </c>
      <c r="H5685" s="1" t="s">
        <v>29</v>
      </c>
      <c r="I5685" s="1" t="str">
        <f ca="1">IFERROR(__xludf.DUMMYFUNCTION("GOOGLETRANSLATE(F5685, ""auto"", ""en"")
"),"Excellent straightener, hair does not deteriorate.  I borrowed it from a friend and decided to buy the same one.  I recommend it, you won't regret it.")</f>
        <v>Excellent straightener, hair does not deteriorate.  I borrowed it from a friend and decided to buy the same one.  I recommend it, you won't regret it.</v>
      </c>
    </row>
    <row r="5686" spans="1:9" x14ac:dyDescent="0.3">
      <c r="A5686" s="1" t="s">
        <v>61</v>
      </c>
      <c r="B5686" s="1" t="s">
        <v>224</v>
      </c>
      <c r="C5686" s="1" t="s">
        <v>246</v>
      </c>
      <c r="D5686" s="1" t="s">
        <v>305</v>
      </c>
      <c r="E5686" s="1" t="s">
        <v>7973</v>
      </c>
      <c r="F5686" s="1" t="s">
        <v>9242</v>
      </c>
      <c r="G5686" s="1" t="s">
        <v>36</v>
      </c>
      <c r="H5686" s="1" t="s">
        <v>29</v>
      </c>
      <c r="I5686" s="1" t="str">
        <f ca="1">IFERROR(__xludf.DUMMYFUNCTION("GOOGLETRANSLATE(F5686, ""auto"", ""en"")
"),"I took this juicer and did not regret it. Good build quality. It is easy to disassemble and wash, the engine power is enough for the eyes. I recommend it to everyone.")</f>
        <v>I took this juicer and did not regret it. Good build quality. It is easy to disassemble and wash, the engine power is enough for the eyes. I recommend it to everyone.</v>
      </c>
    </row>
    <row r="5687" spans="1:9" x14ac:dyDescent="0.3">
      <c r="A5687" s="1" t="s">
        <v>373</v>
      </c>
      <c r="B5687" s="1" t="s">
        <v>374</v>
      </c>
      <c r="C5687" s="1" t="s">
        <v>159</v>
      </c>
      <c r="D5687" s="1" t="s">
        <v>327</v>
      </c>
      <c r="E5687" s="1" t="s">
        <v>4428</v>
      </c>
      <c r="F5687" s="1" t="s">
        <v>9243</v>
      </c>
      <c r="G5687" s="1" t="s">
        <v>36</v>
      </c>
      <c r="H5687" s="1" t="s">
        <v>29</v>
      </c>
      <c r="I5687" s="1" t="str">
        <f ca="1">IFERROR(__xludf.DUMMYFUNCTION("GOOGLETRANSLATE(F5687, ""auto"", ""en"")
"),"I like the car.  Pros: 1. it washes everything, and with each wash the dishes look “like they came from a store” - this is surprising at first.  2. The controls are very simple - a wheel and three buttons (I was specially looking for such a model so that "&amp;"there were no mechanical buttons) 3. Indication - you know exactly when the program will finish washing.    Cons: 1. After drying, water may remain in the recesses of the dishes, for whom this is critical, look for a turbo dryer - although this function w"&amp;"ill significantly increase electricity consumption.  2. Still, it is small for a family of 5 or more people. After a good dinner, not all the dishes fit because of the pots and pans with lids.  Summary: I recommend it for a family of up to 5 people - this"&amp;" is just a super unit.  This is true about 9 sets, provided that there is not a single pot or frying pan, which is unrealistic in Russia.")</f>
        <v>I like the car.  Pros: 1. it washes everything, and with each wash the dishes look “like they came from a store” - this is surprising at first.  2. The controls are very simple - a wheel and three buttons (I was specially looking for such a model so that there were no mechanical buttons) 3. Indication - you know exactly when the program will finish washing.    Cons: 1. After drying, water may remain in the recesses of the dishes, for whom this is critical, look for a turbo dryer - although this function will significantly increase electricity consumption.  2. Still, it is small for a family of 5 or more people. After a good dinner, not all the dishes fit because of the pots and pans with lids.  Summary: I recommend it for a family of up to 5 people - this is just a super unit.  This is true about 9 sets, provided that there is not a single pot or frying pan, which is unrealistic in Russia.</v>
      </c>
    </row>
    <row r="5688" spans="1:9" x14ac:dyDescent="0.3">
      <c r="A5688" s="1" t="s">
        <v>17</v>
      </c>
      <c r="B5688" s="1" t="s">
        <v>18</v>
      </c>
      <c r="C5688" s="1" t="s">
        <v>243</v>
      </c>
      <c r="D5688" s="1" t="s">
        <v>232</v>
      </c>
      <c r="E5688" s="1" t="s">
        <v>1129</v>
      </c>
      <c r="F5688" s="1" t="s">
        <v>9244</v>
      </c>
      <c r="G5688" s="1" t="s">
        <v>28</v>
      </c>
      <c r="H5688" s="1" t="s">
        <v>29</v>
      </c>
      <c r="I5688" s="1" t="str">
        <f ca="1">IFERROR(__xludf.DUMMYFUNCTION("GOOGLETRANSLATE(F5688, ""auto"", ""en"")
"),"The machine is good and has been working for 4 years, no complaints. There is only one drawback in the synthetic mode: after washing it stops, you need to go and press again to drain the water and spin out the laundry.")</f>
        <v>The machine is good and has been working for 4 years, no complaints. There is only one drawback in the synthetic mode: after washing it stops, you need to go and press again to drain the water and spin out the laundry.</v>
      </c>
    </row>
    <row r="5689" spans="1:9" x14ac:dyDescent="0.3">
      <c r="A5689" s="1" t="s">
        <v>111</v>
      </c>
      <c r="B5689" s="1" t="s">
        <v>636</v>
      </c>
      <c r="C5689" s="1" t="s">
        <v>637</v>
      </c>
      <c r="D5689" s="1" t="s">
        <v>9245</v>
      </c>
      <c r="E5689" s="1" t="s">
        <v>1275</v>
      </c>
      <c r="F5689" s="1" t="s">
        <v>9246</v>
      </c>
      <c r="G5689" s="1" t="s">
        <v>28</v>
      </c>
      <c r="H5689" s="1" t="s">
        <v>29</v>
      </c>
      <c r="I5689" s="1" t="str">
        <f ca="1">IFERROR(__xludf.DUMMYFUNCTION("GOOGLETRANSLATE(F5689, ""auto"", ""en"")
"),"As for the pressure in inches, I agree that it’s not convenient, but for some reason the instructions say that it should be shown in millimeters?! The forecast works quite accurately, it is 85% accurate. Whatever it is for the money, this is the best that"&amp;" can be found with such a set of functions, I don’t regret buying it.")</f>
        <v>As for the pressure in inches, I agree that it’s not convenient, but for some reason the instructions say that it should be shown in millimeters?! The forecast works quite accurately, it is 85% accurate. Whatever it is for the money, this is the best that can be found with such a set of functions, I don’t regret buying it.</v>
      </c>
    </row>
    <row r="5690" spans="1:9" x14ac:dyDescent="0.3">
      <c r="A5690" s="1" t="s">
        <v>30</v>
      </c>
      <c r="B5690" s="1" t="s">
        <v>50</v>
      </c>
      <c r="C5690" s="1" t="s">
        <v>658</v>
      </c>
      <c r="D5690" s="1" t="s">
        <v>102</v>
      </c>
      <c r="E5690" s="1" t="s">
        <v>4327</v>
      </c>
      <c r="F5690" s="1" t="s">
        <v>9247</v>
      </c>
      <c r="G5690" s="1" t="s">
        <v>36</v>
      </c>
      <c r="H5690" s="1" t="s">
        <v>29</v>
      </c>
      <c r="I5690" s="1" t="str">
        <f ca="1">IFERROR(__xludf.DUMMYFUNCTION("GOOGLETRANSLATE(F5690, ""auto"", ""en"")
"),"An excellent laptop in its class. For a month of work it has never let me down.")</f>
        <v>An excellent laptop in its class. For a month of work it has never let me down.</v>
      </c>
    </row>
    <row r="5691" spans="1:9" x14ac:dyDescent="0.3">
      <c r="A5691" s="1" t="s">
        <v>30</v>
      </c>
      <c r="B5691" s="1" t="s">
        <v>50</v>
      </c>
      <c r="C5691" s="1" t="s">
        <v>32</v>
      </c>
      <c r="D5691" s="1" t="s">
        <v>39</v>
      </c>
      <c r="E5691" s="1" t="s">
        <v>2215</v>
      </c>
      <c r="F5691" s="1" t="s">
        <v>9248</v>
      </c>
      <c r="G5691" s="1" t="s">
        <v>28</v>
      </c>
      <c r="H5691" s="1" t="s">
        <v>29</v>
      </c>
      <c r="I5691" s="1" t="str">
        <f ca="1">IFERROR(__xludf.DUMMYFUNCTION("GOOGLETRANSLATE(F5691, ""auto"", ""en"")
"),"I already left a review about this book on December 6, 2009, but 2 weeks after the purchase I want to leave another review! During the two weeks that I had him, I literally had to sit and work with him for several days. I didn’t immediately notice one fea"&amp;"ture: EVEN WHEN YOU SITT FOR 10 HOURS IN A ROW, YOUR EYES DON’T HURT, YOU DON’T HAVE THE INDICATION TO Squint OR TURN AWAY, there was a problem of this nature with the old beech tree.    My score went up to 4+!")</f>
        <v>I already left a review about this book on December 6, 2009, but 2 weeks after the purchase I want to leave another review! During the two weeks that I had him, I literally had to sit and work with him for several days. I didn’t immediately notice one feature: EVEN WHEN YOU SITT FOR 10 HOURS IN A ROW, YOUR EYES DON’T HURT, YOU DON’T HAVE THE INDICATION TO Squint OR TURN AWAY, there was a problem of this nature with the old beech tree.    My score went up to 4+!</v>
      </c>
    </row>
    <row r="5692" spans="1:9" x14ac:dyDescent="0.3">
      <c r="A5692" s="1" t="s">
        <v>149</v>
      </c>
      <c r="B5692" s="1" t="s">
        <v>423</v>
      </c>
      <c r="C5692" s="1" t="s">
        <v>314</v>
      </c>
      <c r="D5692" s="1" t="s">
        <v>548</v>
      </c>
      <c r="E5692" s="1" t="s">
        <v>2333</v>
      </c>
      <c r="F5692" s="1" t="s">
        <v>9249</v>
      </c>
      <c r="G5692" s="1" t="s">
        <v>36</v>
      </c>
      <c r="H5692" s="1" t="s">
        <v>29</v>
      </c>
      <c r="I5692" s="1" t="str">
        <f ca="1">IFERROR(__xludf.DUMMYFUNCTION("GOOGLETRANSLATE(F5692, ""auto"", ""en"")
"),"Today I bought a vacuum cleaner 919.0 SP and immediately went into action! Wet cleaning + carpet washing. People, what do we breathe??? I was shocked... (my wife constantly cleaned and vacuumed with an old bag vacuum cleaner) how much dirt there was. The "&amp;"carpets, if not from the store, look almost like new after cleaning. It collects water well. There is enough power. As for washing it after cleaning, I’ll tell you 5-10 minutes and that’s it. The main thing is that you take out all the dirty parts of the "&amp;"vacuum cleaner and wash it to your health. Overall, I'm very pleased with the purchase so far. I RECOMMEND an excellent device.")</f>
        <v>Today I bought a vacuum cleaner 919.0 SP and immediately went into action! Wet cleaning + carpet washing. People, what do we breathe??? I was shocked... (my wife constantly cleaned and vacuumed with an old bag vacuum cleaner) how much dirt there was. The carpets, if not from the store, look almost like new after cleaning. It collects water well. There is enough power. As for washing it after cleaning, I’ll tell you 5-10 minutes and that’s it. The main thing is that you take out all the dirty parts of the vacuum cleaner and wash it to your health. Overall, I'm very pleased with the purchase so far. I RECOMMEND an excellent device.</v>
      </c>
    </row>
    <row r="5693" spans="1:9" x14ac:dyDescent="0.3">
      <c r="A5693" s="1" t="s">
        <v>149</v>
      </c>
      <c r="B5693" s="1" t="s">
        <v>155</v>
      </c>
      <c r="C5693" s="1" t="s">
        <v>80</v>
      </c>
      <c r="D5693" s="1" t="s">
        <v>1662</v>
      </c>
      <c r="E5693" s="1" t="s">
        <v>1065</v>
      </c>
      <c r="F5693" s="1" t="s">
        <v>9250</v>
      </c>
      <c r="G5693" s="1" t="s">
        <v>49</v>
      </c>
      <c r="H5693" s="1" t="s">
        <v>16</v>
      </c>
      <c r="I5693" s="1" t="str">
        <f ca="1">IFERROR(__xludf.DUMMYFUNCTION("GOOGLETRANSLATE(F5693, ""auto"", ""en"")
"),"I recently bought a vacuum cleaner LG V-C7B73NT! People don't buy this vacuum cleaner! The filter gets clogged after one use, there is no power regulator either on the body or on the handle! It doesn’t suck at all, even when you wash the filter! The glass"&amp;" doesn’t fit tightly, but I insert it correctly, with a click! That’s why the suction air goes half out! Actually, I’m purchasing an LG vacuum cleaner for the second time! The first one didn’t live with the bag for even a year! After the repair, it worked"&amp;" for another six months! And that’s it, the engine burned out! And in general, it was such a hemorrhoid just to insert this bag! Now, through bitter experience, I definitely won’t buy an LG vacuum cleaner! I’m completely upset! Now cleaning with this vacu"&amp;"um cleaner has turned into hard labor! And I really feel sorry for the money and nerves spent!")</f>
        <v>I recently bought a vacuum cleaner LG V-C7B73NT! People don't buy this vacuum cleaner! The filter gets clogged after one use, there is no power regulator either on the body or on the handle! It doesn’t suck at all, even when you wash the filter! The glass doesn’t fit tightly, but I insert it correctly, with a click! That’s why the suction air goes half out! Actually, I’m purchasing an LG vacuum cleaner for the second time! The first one didn’t live with the bag for even a year! After the repair, it worked for another six months! And that’s it, the engine burned out! And in general, it was such a hemorrhoid just to insert this bag! Now, through bitter experience, I definitely won’t buy an LG vacuum cleaner! I’m completely upset! Now cleaning with this vacuum cleaner has turned into hard labor! And I really feel sorry for the money and nerves spent!</v>
      </c>
    </row>
    <row r="5694" spans="1:9" x14ac:dyDescent="0.3">
      <c r="A5694" s="1" t="s">
        <v>61</v>
      </c>
      <c r="B5694" s="1" t="s">
        <v>73</v>
      </c>
      <c r="C5694" s="1" t="s">
        <v>146</v>
      </c>
      <c r="D5694" s="1" t="s">
        <v>12</v>
      </c>
      <c r="E5694" s="1" t="s">
        <v>994</v>
      </c>
      <c r="F5694" s="1" t="s">
        <v>9251</v>
      </c>
      <c r="G5694" s="1" t="s">
        <v>36</v>
      </c>
      <c r="H5694" s="1" t="s">
        <v>29</v>
      </c>
      <c r="I5694" s="1" t="str">
        <f ca="1">IFERROR(__xludf.DUMMYFUNCTION("GOOGLETRANSLATE(F5694, ""auto"", ""en"")
"),"The meat grinder is simply a miracle. The meat turns perfectly.   Like most Russians..at first they assembled it without looking at the instructions) as a result, they put the knife in the wrong place and suffered for about half an hour, trying to twist a"&amp;" couple of kilos of meat...in the end...barely, but she withstood this torment. We looked at the instructions, rearranged the knives and voila.... it worked like a bulldozer... it doesn’t get embarrassed at the sight of the veins. Works great!   Compared "&amp;"to our food processor, there is not much noise.")</f>
        <v>The meat grinder is simply a miracle. The meat turns perfectly.   Like most Russians..at first they assembled it without looking at the instructions) as a result, they put the knife in the wrong place and suffered for about half an hour, trying to twist a couple of kilos of meat...in the end...barely, but she withstood this torment. We looked at the instructions, rearranged the knives and voila.... it worked like a bulldozer... it doesn’t get embarrassed at the sight of the veins. Works great!   Compared to our food processor, there is not much noise.</v>
      </c>
    </row>
    <row r="5695" spans="1:9" x14ac:dyDescent="0.3">
      <c r="A5695" s="1" t="s">
        <v>149</v>
      </c>
      <c r="B5695" s="1" t="s">
        <v>155</v>
      </c>
      <c r="C5695" s="1" t="s">
        <v>159</v>
      </c>
      <c r="D5695" s="1" t="s">
        <v>152</v>
      </c>
      <c r="E5695" s="1" t="s">
        <v>1875</v>
      </c>
      <c r="F5695" s="1" t="s">
        <v>9252</v>
      </c>
      <c r="G5695" s="1" t="s">
        <v>36</v>
      </c>
      <c r="H5695" s="1" t="s">
        <v>29</v>
      </c>
      <c r="I5695" s="1" t="str">
        <f ca="1">IFERROR(__xludf.DUMMYFUNCTION("GOOGLETRANSLATE(F5695, ""auto"", ""en"")
"),"I bought this vacuum cleaner for 4,500 rubles. I was choosing between the Samsung SC-6570/SC-4350 and the Zanussi ZANS750, but still chose the Electrolux, because I liked it better with the shape of the dust container and its appearance is very attractive"&amp;" + washable HEPA filter H12. As was said below, one side of the container opens very tightly, but this does not interfere with washing the container; as for the engine output filter cover, it opens tightly, and there is no need to climb there often; at fu"&amp;"ll power, the noise it makes is quite acceptable to me, I usually vacuum at 60% power (this is quite enough), when the container is almost full, the suction power drops and therefore the power knob on the vacuum cleaner has to be turned closer to 100%, wh"&amp;"ich means faster heating and higher power consumption (2100 W, after all) + a plastic smell appears. The nozzle for floors and carpets is not very convenient: it cannot be vacuumed in hard-to-reach places. I feel how the attachment point of the vacuum cle"&amp;"aner tube and hose (hose-handle-tube of the vacuum cleaner) bends if you apply a little force to the handle during operation. In conclusion, I want to say that the vacuum cleaner is the best choice in the price category of 4000-4500 rubles, but not 6000 r"&amp;"ubles!")</f>
        <v>I bought this vacuum cleaner for 4,500 rubles. I was choosing between the Samsung SC-6570/SC-4350 and the Zanussi ZANS750, but still chose the Electrolux, because I liked it better with the shape of the dust container and its appearance is very attractive + washable HEPA filter H12. As was said below, one side of the container opens very tightly, but this does not interfere with washing the container; as for the engine output filter cover, it opens tightly, and there is no need to climb there often; at full power, the noise it makes is quite acceptable to me, I usually vacuum at 60% power (this is quite enough), when the container is almost full, the suction power drops and therefore the power knob on the vacuum cleaner has to be turned closer to 100%, which means faster heating and higher power consumption (2100 W, after all) + a plastic smell appears. The nozzle for floors and carpets is not very convenient: it cannot be vacuumed in hard-to-reach places. I feel how the attachment point of the vacuum cleaner tube and hose (hose-handle-tube of the vacuum cleaner) bends if you apply a little force to the handle during operation. In conclusion, I want to say that the vacuum cleaner is the best choice in the price category of 4000-4500 rubles, but not 6000 rubles!</v>
      </c>
    </row>
    <row r="5696" spans="1:9" x14ac:dyDescent="0.3">
      <c r="A5696" s="1" t="s">
        <v>37</v>
      </c>
      <c r="B5696" s="1" t="s">
        <v>38</v>
      </c>
      <c r="C5696" s="1" t="s">
        <v>151</v>
      </c>
      <c r="D5696" s="1" t="s">
        <v>171</v>
      </c>
      <c r="E5696" s="1" t="s">
        <v>3550</v>
      </c>
      <c r="F5696" s="1" t="s">
        <v>9253</v>
      </c>
      <c r="G5696" s="1" t="s">
        <v>28</v>
      </c>
      <c r="H5696" s="1" t="s">
        <v>29</v>
      </c>
      <c r="I5696" s="1" t="str">
        <f ca="1">IFERROR(__xludf.DUMMYFUNCTION("GOOGLETRANSLATE(F5696, ""auto"", ""en"")
"),"A very good phone for work!!!  Pros:) - simultaneous work with 2 SIM cards is very convenient - small size and weight - presence of all necessary functions - charging lasts for 2-3 days (I talk quite a lot) - basic customization of all functions (I didn’t"&amp;" even open the instructions) - loud and high-quality speaker Cons: ( - poor color rendition of the screen - very mediocre camera (it would be better if the manufacturer invested this money in the screen) - when removed from A bluetooth headset from the ph"&amp;"one zone does not always connect it back when entering the zone - there is no cord and software included in the package. Overall, I recommend it. A very good phone for the money!!!")</f>
        <v>A very good phone for work!!!  Pros:) - simultaneous work with 2 SIM cards is very convenient - small size and weight - presence of all necessary functions - charging lasts for 2-3 days (I talk quite a lot) - basic customization of all functions (I didn’t even open the instructions) - loud and high-quality speaker Cons: ( - poor color rendition of the screen - very mediocre camera (it would be better if the manufacturer invested this money in the screen) - when removed from A bluetooth headset from the phone zone does not always connect it back when entering the zone - there is no cord and software included in the package. Overall, I recommend it. A very good phone for the money!!!</v>
      </c>
    </row>
    <row r="5697" spans="1:9" x14ac:dyDescent="0.3">
      <c r="A5697" s="1" t="s">
        <v>61</v>
      </c>
      <c r="B5697" s="1" t="s">
        <v>977</v>
      </c>
      <c r="C5697" s="1" t="s">
        <v>246</v>
      </c>
      <c r="D5697" s="1" t="s">
        <v>442</v>
      </c>
      <c r="E5697" s="1" t="s">
        <v>5081</v>
      </c>
      <c r="F5697" s="1" t="s">
        <v>9254</v>
      </c>
      <c r="G5697" s="1" t="s">
        <v>36</v>
      </c>
      <c r="H5697" s="1" t="s">
        <v>29</v>
      </c>
      <c r="I5697" s="1" t="str">
        <f ca="1">IFERROR(__xludf.DUMMYFUNCTION("GOOGLETRANSLATE(F5697, ""auto"", ""en"")
"),"Very light, quiet, enough power to knead any dough, I recommend it")</f>
        <v>Very light, quiet, enough power to knead any dough, I recommend it</v>
      </c>
    </row>
    <row r="5698" spans="1:9" x14ac:dyDescent="0.3">
      <c r="A5698" s="1" t="s">
        <v>211</v>
      </c>
      <c r="B5698" s="1" t="s">
        <v>515</v>
      </c>
      <c r="C5698" s="1" t="s">
        <v>69</v>
      </c>
      <c r="D5698" s="1" t="s">
        <v>1506</v>
      </c>
      <c r="E5698" s="1" t="s">
        <v>1347</v>
      </c>
      <c r="F5698" s="1" t="s">
        <v>9255</v>
      </c>
      <c r="G5698" s="1" t="s">
        <v>49</v>
      </c>
      <c r="H5698" s="1" t="s">
        <v>16</v>
      </c>
      <c r="I5698" s="1" t="str">
        <f ca="1">IFERROR(__xludf.DUMMYFUNCTION("GOOGLETRANSLATE(F5698, ""auto"", ""en"")
"),"It's junk, not an epilator. Some kind of trimmer. It doesn't tear out hairs by the roots, but mows them down! Non-anatomical design of the working surface, lost centimeters of skin. I rarely leave reviews, but I don’t have the strength to remain silent.")</f>
        <v>It's junk, not an epilator. Some kind of trimmer. It doesn't tear out hairs by the roots, but mows them down! Non-anatomical design of the working surface, lost centimeters of skin. I rarely leave reviews, but I don’t have the strength to remain silent.</v>
      </c>
    </row>
    <row r="5699" spans="1:9" x14ac:dyDescent="0.3">
      <c r="A5699" s="1" t="s">
        <v>30</v>
      </c>
      <c r="B5699" s="1" t="s">
        <v>50</v>
      </c>
      <c r="C5699" s="1" t="s">
        <v>32</v>
      </c>
      <c r="D5699" s="1" t="s">
        <v>52</v>
      </c>
      <c r="E5699" s="1" t="s">
        <v>430</v>
      </c>
      <c r="F5699" s="1" t="s">
        <v>9256</v>
      </c>
      <c r="G5699" s="1" t="s">
        <v>28</v>
      </c>
      <c r="H5699" s="1" t="s">
        <v>29</v>
      </c>
      <c r="I5699" s="1" t="str">
        <f ca="1">IFERROR(__xludf.DUMMYFUNCTION("GOOGLETRANSLATE(F5699, ""auto"", ""en"")
"),"I liked the device, but the right speaker died ((((")</f>
        <v>I liked the device, but the right speaker died ((((</v>
      </c>
    </row>
    <row r="5700" spans="1:9" x14ac:dyDescent="0.3">
      <c r="A5700" s="1" t="s">
        <v>61</v>
      </c>
      <c r="B5700" s="1" t="s">
        <v>318</v>
      </c>
      <c r="C5700" s="1" t="s">
        <v>745</v>
      </c>
      <c r="D5700" s="1" t="s">
        <v>2764</v>
      </c>
      <c r="E5700" s="1" t="s">
        <v>6484</v>
      </c>
      <c r="F5700" s="1" t="s">
        <v>9257</v>
      </c>
      <c r="G5700" s="1" t="s">
        <v>15</v>
      </c>
      <c r="H5700" s="1" t="s">
        <v>16</v>
      </c>
      <c r="I5700" s="1" t="str">
        <f ca="1">IFERROR(__xludf.DUMMYFUNCTION("GOOGLETRANSLATE(F5700, ""auto"", ""en"")
"),"When brand new is good")</f>
        <v>When brand new is good</v>
      </c>
    </row>
    <row r="5701" spans="1:9" x14ac:dyDescent="0.3">
      <c r="A5701" s="1" t="s">
        <v>30</v>
      </c>
      <c r="B5701" s="1" t="s">
        <v>50</v>
      </c>
      <c r="C5701" s="1" t="s">
        <v>32</v>
      </c>
      <c r="D5701" s="1" t="s">
        <v>308</v>
      </c>
      <c r="E5701" s="1" t="s">
        <v>849</v>
      </c>
      <c r="F5701" s="1" t="s">
        <v>9258</v>
      </c>
      <c r="G5701" s="1" t="s">
        <v>36</v>
      </c>
      <c r="H5701" s="1" t="s">
        <v>29</v>
      </c>
      <c r="I5701" s="1" t="str">
        <f ca="1">IFERROR(__xludf.DUMMYFUNCTION("GOOGLETRANSLATE(F5701, ""auto"", ""en"")
"),"Great model!!! No problems with the Internet! All parameters are at their best!")</f>
        <v>Great model!!! No problems with the Internet! All parameters are at their best!</v>
      </c>
    </row>
    <row r="5702" spans="1:9" x14ac:dyDescent="0.3">
      <c r="A5702" s="1" t="s">
        <v>17</v>
      </c>
      <c r="B5702" s="1" t="s">
        <v>18</v>
      </c>
      <c r="C5702" s="1" t="s">
        <v>243</v>
      </c>
      <c r="D5702" s="1" t="s">
        <v>8431</v>
      </c>
      <c r="E5702" s="1" t="s">
        <v>2742</v>
      </c>
      <c r="F5702" s="1" t="s">
        <v>9259</v>
      </c>
      <c r="G5702" s="1" t="s">
        <v>36</v>
      </c>
      <c r="H5702" s="1" t="s">
        <v>29</v>
      </c>
      <c r="I5702" s="1" t="str">
        <f ca="1">IFERROR(__xludf.DUMMYFUNCTION("GOOGLETRANSLATE(F5702, ""auto"", ""en"")
"),"For 3 years we used a large machine weighing as much as 8 kg. But it was using an unrealistically large amount of water, so we decided to change it to something more economical. We are a family of 3 people, and from our own experience we realized that we "&amp;"don’t need a large load. It didn't take long to choose. We settled on indesite. This is a well-known brand of household appliances. This model has everything I wanted - a 4 kg load capacity, a bunch of different programs and simple controls. In terms of s"&amp;"avings, it is probably impossible to come up with something better. Here you can adjust the washing time, reduce water and light consumption, but it is better to save on slightly dirty laundry, otherwise nothing will be washed. I would also like to write "&amp;"about the whitening regime. A very useful thing. I had several towels that turned yellow over time. It’s a shame to throw it away or on rags. After 2 washes using Bleaching, the towels became noticeably fresher; you still need to choose the right bleach. "&amp;"I use Vanish. The machine works quite quietly, it hums only during the spin cycle, we have the machine in the bathroom, so there is no particular discomfort, and we only run it during the day. Cleans a full set of bed linen in one load. We have been using"&amp;" the machine for 2 months. No problems yet.")</f>
        <v>For 3 years we used a large machine weighing as much as 8 kg. But it was using an unrealistically large amount of water, so we decided to change it to something more economical. We are a family of 3 people, and from our own experience we realized that we don’t need a large load. It didn't take long to choose. We settled on indesite. This is a well-known brand of household appliances. This model has everything I wanted - a 4 kg load capacity, a bunch of different programs and simple controls. In terms of savings, it is probably impossible to come up with something better. Here you can adjust the washing time, reduce water and light consumption, but it is better to save on slightly dirty laundry, otherwise nothing will be washed. I would also like to write about the whitening regime. A very useful thing. I had several towels that turned yellow over time. It’s a shame to throw it away or on rags. After 2 washes using Bleaching, the towels became noticeably fresher; you still need to choose the right bleach. I use Vanish. The machine works quite quietly, it hums only during the spin cycle, we have the machine in the bathroom, so there is no particular discomfort, and we only run it during the day. Cleans a full set of bed linen in one load. We have been using the machine for 2 months. No problems yet.</v>
      </c>
    </row>
    <row r="5703" spans="1:9" x14ac:dyDescent="0.3">
      <c r="A5703" s="1" t="s">
        <v>61</v>
      </c>
      <c r="B5703" s="1" t="s">
        <v>318</v>
      </c>
      <c r="C5703" s="1" t="s">
        <v>85</v>
      </c>
      <c r="D5703" s="1" t="s">
        <v>9260</v>
      </c>
      <c r="E5703" s="1" t="s">
        <v>454</v>
      </c>
      <c r="F5703" s="1" t="s">
        <v>9261</v>
      </c>
      <c r="G5703" s="1" t="s">
        <v>36</v>
      </c>
      <c r="H5703" s="1" t="s">
        <v>29</v>
      </c>
      <c r="I5703" s="1" t="str">
        <f ca="1">IFERROR(__xludf.DUMMYFUNCTION("GOOGLETRANSLATE(F5703, ""auto"", ""en"")
"),"long-lived, has a water level indicator, design")</f>
        <v>long-lived, has a water level indicator, design</v>
      </c>
    </row>
    <row r="5704" spans="1:9" x14ac:dyDescent="0.3">
      <c r="A5704" s="1" t="s">
        <v>282</v>
      </c>
      <c r="B5704" s="1" t="s">
        <v>806</v>
      </c>
      <c r="C5704" s="1" t="s">
        <v>284</v>
      </c>
      <c r="D5704" s="1" t="s">
        <v>6206</v>
      </c>
      <c r="E5704" s="1" t="s">
        <v>2571</v>
      </c>
      <c r="F5704" s="1" t="s">
        <v>9262</v>
      </c>
      <c r="G5704" s="1" t="s">
        <v>36</v>
      </c>
      <c r="H5704" s="1" t="s">
        <v>29</v>
      </c>
      <c r="I5704" s="1" t="str">
        <f ca="1">IFERROR(__xludf.DUMMYFUNCTION("GOOGLETRANSLATE(F5704, ""auto"", ""en"")
"),"Yesterday I purchased the long-awaited film for my collection - ""Predator"" on BD! The quality is simply SUPER, considering how old the film is - 23 years!!! The sound is simply a MASTERPIECE, if of course you play the original track))) But the Russian t"&amp;"rack is not bad, unlike the DVD release!!! I got great satisfaction from watching it!!! I advise everyone to buy it!!! The price for such quality is simply ridiculous!!!    Sincerely, Arseniy Vladimirovich Spiridonov")</f>
        <v>Yesterday I purchased the long-awaited film for my collection - "Predator" on BD! The quality is simply SUPER, considering how old the film is - 23 years!!! The sound is simply a MASTERPIECE, if of course you play the original track))) But the Russian track is not bad, unlike the DVD release!!! I got great satisfaction from watching it!!! I advise everyone to buy it!!! The price for such quality is simply ridiculous!!!    Sincerely, Arseniy Vladimirovich Spiridonov</v>
      </c>
    </row>
    <row r="5705" spans="1:9" x14ac:dyDescent="0.3">
      <c r="A5705" s="1" t="s">
        <v>61</v>
      </c>
      <c r="B5705" s="1" t="s">
        <v>224</v>
      </c>
      <c r="C5705" s="1" t="s">
        <v>85</v>
      </c>
      <c r="D5705" s="1" t="s">
        <v>9263</v>
      </c>
      <c r="E5705" s="1" t="s">
        <v>1978</v>
      </c>
      <c r="F5705" s="1" t="s">
        <v>9264</v>
      </c>
      <c r="G5705" s="1" t="s">
        <v>36</v>
      </c>
      <c r="H5705" s="1" t="s">
        <v>29</v>
      </c>
      <c r="I5705" s="1" t="str">
        <f ca="1">IFERROR(__xludf.DUMMYFUNCTION("GOOGLETRANSLATE(F5705, ""auto"", ""en"")
"),"Stylish design, metal body. Very easy to clean by hand, although it can also be washed in the dishwasher. Powerful engine and easy extraction of any citrus fruit. Cool device. When purchasing, there were doubts whether it was worth taking, but it is premi"&amp;"um class and premium class in Africa. I tried it and now I don’t regret it one bit!")</f>
        <v>Stylish design, metal body. Very easy to clean by hand, although it can also be washed in the dishwasher. Powerful engine and easy extraction of any citrus fruit. Cool device. When purchasing, there were doubts whether it was worth taking, but it is premium class and premium class in Africa. I tried it and now I don’t regret it one bit!</v>
      </c>
    </row>
    <row r="5706" spans="1:9" x14ac:dyDescent="0.3">
      <c r="A5706" s="1" t="s">
        <v>67</v>
      </c>
      <c r="B5706" s="1" t="s">
        <v>340</v>
      </c>
      <c r="C5706" s="1" t="s">
        <v>341</v>
      </c>
      <c r="D5706" s="1" t="s">
        <v>2771</v>
      </c>
      <c r="E5706" s="1" t="s">
        <v>543</v>
      </c>
      <c r="F5706" s="1" t="s">
        <v>9265</v>
      </c>
      <c r="G5706" s="1" t="s">
        <v>36</v>
      </c>
      <c r="H5706" s="1" t="s">
        <v>29</v>
      </c>
      <c r="I5706" s="1" t="str">
        <f ca="1">IFERROR(__xludf.DUMMYFUNCTION("GOOGLETRANSLATE(F5706, ""auto"", ""en"")
"),"More than a year ago I bought an Astrolux-150 sewing machine. I bought the simplest one: 2 lines (straight and zigzig). I get a lot of pleasure: it doesn’t knock, but “buzzes”, the movement is soft. I sew a lot, but almost like most people, I use 2 lines "&amp;"(I have a separate overlock stitch). I wouldn’t change my “asterisk” for anything.")</f>
        <v>More than a year ago I bought an Astrolux-150 sewing machine. I bought the simplest one: 2 lines (straight and zigzig). I get a lot of pleasure: it doesn’t knock, but “buzzes”, the movement is soft. I sew a lot, but almost like most people, I use 2 lines (I have a separate overlock stitch). I wouldn’t change my “asterisk” for anything.</v>
      </c>
    </row>
    <row r="5707" spans="1:9" x14ac:dyDescent="0.3">
      <c r="A5707" s="1" t="s">
        <v>211</v>
      </c>
      <c r="B5707" s="1" t="s">
        <v>212</v>
      </c>
      <c r="C5707" s="1" t="s">
        <v>213</v>
      </c>
      <c r="D5707" s="1" t="s">
        <v>2573</v>
      </c>
      <c r="E5707" s="1" t="s">
        <v>2383</v>
      </c>
      <c r="F5707" s="1" t="s">
        <v>9266</v>
      </c>
      <c r="G5707" s="1" t="s">
        <v>28</v>
      </c>
      <c r="H5707" s="1" t="s">
        <v>29</v>
      </c>
      <c r="I5707" s="1" t="str">
        <f ca="1">IFERROR(__xludf.DUMMYFUNCTION("GOOGLETRANSLATE(F5707, ""auto"", ""en"")
"),"Very good hairdryer. Used it for 5 years. There was one breakdown - hair got wrapped around the motor rotor. My husband had to take it apart and clean it. The renovation was successful. Then the fastening of the nozzles broke. My husband also fixed it (al"&amp;"though he installed one attachment forever, it was no longer possible to change). It broke down the other day - the motor won't turn. I will exchange it for the same one. I will take into account operating errors!")</f>
        <v>Very good hairdryer. Used it for 5 years. There was one breakdown - hair got wrapped around the motor rotor. My husband had to take it apart and clean it. The renovation was successful. Then the fastening of the nozzles broke. My husband also fixed it (although he installed one attachment forever, it was no longer possible to change). It broke down the other day - the motor won't turn. I will exchange it for the same one. I will take into account operating errors!</v>
      </c>
    </row>
    <row r="5708" spans="1:9" x14ac:dyDescent="0.3">
      <c r="A5708" s="1" t="s">
        <v>211</v>
      </c>
      <c r="B5708" s="1" t="s">
        <v>265</v>
      </c>
      <c r="C5708" s="1" t="s">
        <v>57</v>
      </c>
      <c r="D5708" s="1" t="s">
        <v>471</v>
      </c>
      <c r="E5708" s="1" t="s">
        <v>65</v>
      </c>
      <c r="F5708" s="1" t="s">
        <v>9267</v>
      </c>
      <c r="G5708" s="1" t="s">
        <v>49</v>
      </c>
      <c r="H5708" s="1" t="s">
        <v>16</v>
      </c>
      <c r="I5708" s="1" t="str">
        <f ca="1">IFERROR(__xludf.DUMMYFUNCTION("GOOGLETRANSLATE(F5708, ""auto"", ""en"")
"),"Just terrible, not a machine, the stingy pays twice!!!! I'M SURE. They also refuse to change or return the money.")</f>
        <v>Just terrible, not a machine, the stingy pays twice!!!! I'M SURE. They also refuse to change or return the money.</v>
      </c>
    </row>
    <row r="5709" spans="1:9" x14ac:dyDescent="0.3">
      <c r="A5709" s="1" t="s">
        <v>17</v>
      </c>
      <c r="B5709" s="1" t="s">
        <v>325</v>
      </c>
      <c r="C5709" s="1" t="s">
        <v>326</v>
      </c>
      <c r="D5709" s="1" t="s">
        <v>653</v>
      </c>
      <c r="E5709" s="1" t="s">
        <v>1730</v>
      </c>
      <c r="F5709" s="1" t="s">
        <v>9268</v>
      </c>
      <c r="G5709" s="1" t="s">
        <v>36</v>
      </c>
      <c r="H5709" s="1" t="s">
        <v>29</v>
      </c>
      <c r="I5709" s="1" t="str">
        <f ca="1">IFERROR(__xludf.DUMMYFUNCTION("GOOGLETRANSLATE(F5709, ""auto"", ""en"")
"),"I bought this machine as soon as our child was born, for washing children's clothes. The item is comfortable, the washing quality is good. Convenient to wash diapers and onesies.")</f>
        <v>I bought this machine as soon as our child was born, for washing children's clothes. The item is comfortable, the washing quality is good. Convenient to wash diapers and onesies.</v>
      </c>
    </row>
    <row r="5710" spans="1:9" x14ac:dyDescent="0.3">
      <c r="A5710" s="1" t="s">
        <v>17</v>
      </c>
      <c r="B5710" s="1" t="s">
        <v>18</v>
      </c>
      <c r="C5710" s="1" t="s">
        <v>19</v>
      </c>
      <c r="D5710" s="1" t="s">
        <v>1008</v>
      </c>
      <c r="E5710" s="1" t="s">
        <v>1423</v>
      </c>
      <c r="F5710" s="1" t="s">
        <v>9269</v>
      </c>
      <c r="G5710" s="1" t="s">
        <v>36</v>
      </c>
      <c r="H5710" s="1" t="s">
        <v>29</v>
      </c>
      <c r="I5710" s="1" t="str">
        <f ca="1">IFERROR(__xludf.DUMMYFUNCTION("GOOGLETRANSLATE(F5710, ""auto"", ""en"")
"),"Reliability, price, two types of quick wash for 15-30 minutes (not every expensive washing machine has such functions)")</f>
        <v>Reliability, price, two types of quick wash for 15-30 minutes (not every expensive washing machine has such functions)</v>
      </c>
    </row>
    <row r="5711" spans="1:9" x14ac:dyDescent="0.3">
      <c r="A5711" s="1" t="s">
        <v>61</v>
      </c>
      <c r="B5711" s="1" t="s">
        <v>434</v>
      </c>
      <c r="C5711" s="1" t="s">
        <v>185</v>
      </c>
      <c r="D5711" s="1" t="s">
        <v>345</v>
      </c>
      <c r="E5711" s="1" t="s">
        <v>2011</v>
      </c>
      <c r="F5711" s="1" t="s">
        <v>9270</v>
      </c>
      <c r="G5711" s="1" t="s">
        <v>36</v>
      </c>
      <c r="H5711" s="1" t="s">
        <v>29</v>
      </c>
      <c r="I5711" s="1" t="str">
        <f ca="1">IFERROR(__xludf.DUMMYFUNCTION("GOOGLETRANSLATE(F5711, ""auto"", ""en"")
"),"We bought this stove the second time around. The first time, the seller dissuaded me due to the lack of convection in this model, saying that it was a large toaster and it would not be possible to cook anything. We decided not to take it, to think about i"&amp;"t. Then we decided to take it from another store and were very pleased! Everything is prepared, baked, baked, fish, potatoes, muffins and pies!!!")</f>
        <v>We bought this stove the second time around. The first time, the seller dissuaded me due to the lack of convection in this model, saying that it was a large toaster and it would not be possible to cook anything. We decided not to take it, to think about it. Then we decided to take it from another store and were very pleased! Everything is prepared, baked, baked, fish, potatoes, muffins and pies!!!</v>
      </c>
    </row>
    <row r="5712" spans="1:9" x14ac:dyDescent="0.3">
      <c r="A5712" s="1" t="s">
        <v>17</v>
      </c>
      <c r="B5712" s="1" t="s">
        <v>18</v>
      </c>
      <c r="C5712" s="1" t="s">
        <v>243</v>
      </c>
      <c r="D5712" s="1" t="s">
        <v>12</v>
      </c>
      <c r="E5712" s="1" t="s">
        <v>1273</v>
      </c>
      <c r="F5712" s="1" t="s">
        <v>9271</v>
      </c>
      <c r="G5712" s="1" t="s">
        <v>28</v>
      </c>
      <c r="H5712" s="1" t="s">
        <v>29</v>
      </c>
      <c r="I5712" s="1" t="str">
        <f ca="1">IFERROR(__xludf.DUMMYFUNCTION("GOOGLETRANSLATE(F5712, ""auto"", ""en"")
"),"I have this Russian-assembled car. just connected, started the first wash. It seems to work without any glitches. I discovered one bug: in order to get to the casing (what is located at the very bottom of the machine, where, in theory, all the buttons and"&amp;" coins fall out), you need to remove the front panel, as written in the instructions, using a screwdriver, but it turned out that you just PICK IT OUT with this screwdriver. In my opinion, this is a complete disgrace, like everything else in Russia, with "&amp;"the help of a hammer and some mother))) Please tell me how this panel is removed in Italian-made cars?")</f>
        <v>I have this Russian-assembled car. just connected, started the first wash. It seems to work without any glitches. I discovered one bug: in order to get to the casing (what is located at the very bottom of the machine, where, in theory, all the buttons and coins fall out), you need to remove the front panel, as written in the instructions, using a screwdriver, but it turned out that you just PICK IT OUT with this screwdriver. In my opinion, this is a complete disgrace, like everything else in Russia, with the help of a hammer and some mother))) Please tell me how this panel is removed in Italian-made cars?</v>
      </c>
    </row>
    <row r="5713" spans="1:9" x14ac:dyDescent="0.3">
      <c r="A5713" s="1" t="s">
        <v>811</v>
      </c>
      <c r="B5713" s="1" t="s">
        <v>1712</v>
      </c>
      <c r="C5713" s="1" t="s">
        <v>1645</v>
      </c>
      <c r="D5713" s="1" t="s">
        <v>102</v>
      </c>
      <c r="E5713" s="1" t="s">
        <v>1457</v>
      </c>
      <c r="F5713" s="1" t="s">
        <v>9272</v>
      </c>
      <c r="G5713" s="1" t="s">
        <v>36</v>
      </c>
      <c r="H5713" s="1" t="s">
        <v>29</v>
      </c>
      <c r="I5713" s="1" t="str">
        <f ca="1">IFERROR(__xludf.DUMMYFUNCTION("GOOGLETRANSLATE(F5713, ""auto"", ""en"")
"),"I bought this frame, I’m satisfied, I updated the firmware to (v. 8.26) despite everything written above, then I immediately did a “reset”. The frame “seems” to freeze, in fact, the demo mode just turns on if a memory card with photos is not inserted, but"&amp;" with the card it loads instantly, you just have to wait a little. With the new firmware the frame works faster! Excellent price/quality ratio!")</f>
        <v>I bought this frame, I’m satisfied, I updated the firmware to (v. 8.26) despite everything written above, then I immediately did a “reset”. The frame “seems” to freeze, in fact, the demo mode just turns on if a memory card with photos is not inserted, but with the card it loads instantly, you just have to wait a little. With the new firmware the frame works faster! Excellent price/quality ratio!</v>
      </c>
    </row>
    <row r="5714" spans="1:9" x14ac:dyDescent="0.3">
      <c r="A5714" s="1" t="s">
        <v>61</v>
      </c>
      <c r="B5714" s="1" t="s">
        <v>73</v>
      </c>
      <c r="C5714" s="1" t="s">
        <v>146</v>
      </c>
      <c r="D5714" s="1" t="s">
        <v>548</v>
      </c>
      <c r="E5714" s="1" t="s">
        <v>670</v>
      </c>
      <c r="F5714" s="1" t="s">
        <v>9273</v>
      </c>
      <c r="G5714" s="1" t="s">
        <v>36</v>
      </c>
      <c r="H5714" s="1" t="s">
        <v>29</v>
      </c>
      <c r="I5714" s="1" t="str">
        <f ca="1">IFERROR(__xludf.DUMMYFUNCTION("GOOGLETRANSLATE(F5714, ""auto"", ""en"")
"),"We chose a meat grinder for the family with special care! Make sure that all connections are metal, that the knife is good, and that reverse is a must. This meat grinder won everyone. Is it noisy? during those 5-7 minutes you don’t feel it working, it’s m"&amp;"etal, naturally it’s a little noisier than plastic. What I read here about knives is that these are forged knives, they must be sharpened. Initially, there is no point in selling them sharpened. I grind at idle, starting the meat grinder without meat - no"&amp;" problems, just less effort! In general, in my opinion, it is a clear leader on the market!")</f>
        <v>We chose a meat grinder for the family with special care! Make sure that all connections are metal, that the knife is good, and that reverse is a must. This meat grinder won everyone. Is it noisy? during those 5-7 minutes you don’t feel it working, it’s metal, naturally it’s a little noisier than plastic. What I read here about knives is that these are forged knives, they must be sharpened. Initially, there is no point in selling them sharpened. I grind at idle, starting the meat grinder without meat - no problems, just less effort! In general, in my opinion, it is a clear leader on the market!</v>
      </c>
    </row>
    <row r="5715" spans="1:9" x14ac:dyDescent="0.3">
      <c r="A5715" s="1" t="s">
        <v>30</v>
      </c>
      <c r="B5715" s="1" t="s">
        <v>50</v>
      </c>
      <c r="C5715" s="1" t="s">
        <v>1003</v>
      </c>
      <c r="D5715" s="1" t="s">
        <v>52</v>
      </c>
      <c r="E5715" s="1" t="s">
        <v>1310</v>
      </c>
      <c r="F5715" s="1" t="s">
        <v>9274</v>
      </c>
      <c r="G5715" s="1" t="s">
        <v>36</v>
      </c>
      <c r="H5715" s="1" t="s">
        <v>29</v>
      </c>
      <c r="I5715" s="1" t="str">
        <f ca="1">IFERROR(__xludf.DUMMYFUNCTION("GOOGLETRANSLATE(F5715, ""auto"", ""en"")
"),"I bought it 2 days ago, the laptop is just super, very happy!!!")</f>
        <v>I bought it 2 days ago, the laptop is just super, very happy!!!</v>
      </c>
    </row>
    <row r="5716" spans="1:9" x14ac:dyDescent="0.3">
      <c r="A5716" s="1" t="s">
        <v>37</v>
      </c>
      <c r="B5716" s="1" t="s">
        <v>38</v>
      </c>
      <c r="C5716" s="1" t="s">
        <v>151</v>
      </c>
      <c r="D5716" s="1" t="s">
        <v>9275</v>
      </c>
      <c r="E5716" s="1" t="s">
        <v>5947</v>
      </c>
      <c r="F5716" s="1" t="s">
        <v>9276</v>
      </c>
      <c r="G5716" s="1" t="s">
        <v>28</v>
      </c>
      <c r="H5716" s="1" t="s">
        <v>29</v>
      </c>
      <c r="I5716" s="1" t="str">
        <f ca="1">IFERROR(__xludf.DUMMYFUNCTION("GOOGLETRANSLATE(F5716, ""auto"", ""en"")
"),"I became the proud owner of this phone. I emphasize, happy. The phone is beautiful, elegant, excellent sound, especially with headphones, picks up and tunes the radio well, bluetooth works great, the playlist is updated automatically, which allows us to c"&amp;"all it a player phone.  Disadvantages - it tries to register its games at the first launch, bad browser (cannot display even the simplest pages).")</f>
        <v>I became the proud owner of this phone. I emphasize, happy. The phone is beautiful, elegant, excellent sound, especially with headphones, picks up and tunes the radio well, bluetooth works great, the playlist is updated automatically, which allows us to call it a player phone.  Disadvantages - it tries to register its games at the first launch, bad browser (cannot display even the simplest pages).</v>
      </c>
    </row>
    <row r="5717" spans="1:9" x14ac:dyDescent="0.3">
      <c r="A5717" s="1" t="s">
        <v>17</v>
      </c>
      <c r="B5717" s="1" t="s">
        <v>18</v>
      </c>
      <c r="C5717" s="1" t="s">
        <v>277</v>
      </c>
      <c r="D5717" s="1" t="s">
        <v>232</v>
      </c>
      <c r="E5717" s="1" t="s">
        <v>3771</v>
      </c>
      <c r="F5717" s="1" t="s">
        <v>9277</v>
      </c>
      <c r="G5717" s="1" t="s">
        <v>28</v>
      </c>
      <c r="H5717" s="1" t="s">
        <v>29</v>
      </c>
      <c r="I5717" s="1" t="str">
        <f ca="1">IFERROR(__xludf.DUMMYFUNCTION("GOOGLETRANSLATE(F5717, ""auto"", ""en"")
"),"I didn't notice much noise. And it stands in my toilet - it doesn’t bother anyone. To be honest, I don’t understand how you can forget to add a spin - the program automatically contains all the necessary stages.  That's what concerns the control elements "&amp;"- they are kind of flimsy. After my old zanussi, it seems that something is about to break off. This also applies to the door: the plastic locking hook does not inspire confidence. And in general the castle (again after Zanussi) is very short-lived.  Furt"&amp;"her, although in advertising (LG it seems) a large hatch is presented as a benefit, in reality it is not so. That is, on the one hand, it has become more convenient to remove duvet covers, but on the other hand, children’s small things are most often wash"&amp;"ed. When you load it up to full capacity (and there are three children, so this happens often), something constantly falls out.    In general, I don’t know how long it will last, but considering that I bought the machine at a super sale price (7990 I thin"&amp;"k), for now the device is on my own money.")</f>
        <v>I didn't notice much noise. And it stands in my toilet - it doesn’t bother anyone. To be honest, I don’t understand how you can forget to add a spin - the program automatically contains all the necessary stages.  That's what concerns the control elements - they are kind of flimsy. After my old zanussi, it seems that something is about to break off. This also applies to the door: the plastic locking hook does not inspire confidence. And in general the castle (again after Zanussi) is very short-lived.  Further, although in advertising (LG it seems) a large hatch is presented as a benefit, in reality it is not so. That is, on the one hand, it has become more convenient to remove duvet covers, but on the other hand, children’s small things are most often washed. When you load it up to full capacity (and there are three children, so this happens often), something constantly falls out.    In general, I don’t know how long it will last, but considering that I bought the machine at a super sale price (7990 I think), for now the device is on my own money.</v>
      </c>
    </row>
    <row r="5718" spans="1:9" x14ac:dyDescent="0.3">
      <c r="A5718" s="1" t="s">
        <v>111</v>
      </c>
      <c r="B5718" s="1" t="s">
        <v>112</v>
      </c>
      <c r="C5718" s="1" t="s">
        <v>1176</v>
      </c>
      <c r="D5718" s="1" t="s">
        <v>305</v>
      </c>
      <c r="E5718" s="1" t="s">
        <v>9278</v>
      </c>
      <c r="F5718" s="1" t="s">
        <v>9279</v>
      </c>
      <c r="G5718" s="1" t="s">
        <v>49</v>
      </c>
      <c r="H5718" s="1" t="s">
        <v>16</v>
      </c>
      <c r="I5718" s="1" t="str">
        <f ca="1">IFERROR(__xludf.DUMMYFUNCTION("GOOGLETRANSLATE(F5718, ""auto"", ""en"")
"),"The filter is absolutely useless. During any power surge, all switched off equipment turns off.")</f>
        <v>The filter is absolutely useless. During any power surge, all switched off equipment turns off.</v>
      </c>
    </row>
    <row r="5719" spans="1:9" x14ac:dyDescent="0.3">
      <c r="A5719" s="1" t="s">
        <v>852</v>
      </c>
      <c r="B5719" s="1" t="s">
        <v>853</v>
      </c>
      <c r="C5719" s="1" t="s">
        <v>356</v>
      </c>
      <c r="D5719" s="1" t="s">
        <v>807</v>
      </c>
      <c r="E5719" s="1" t="s">
        <v>1228</v>
      </c>
      <c r="F5719" s="1" t="s">
        <v>9280</v>
      </c>
      <c r="G5719" s="1" t="s">
        <v>36</v>
      </c>
      <c r="H5719" s="1" t="s">
        <v>29</v>
      </c>
      <c r="I5719" s="1" t="str">
        <f ca="1">IFERROR(__xludf.DUMMYFUNCTION("GOOGLETRANSLATE(F5719, ""auto"", ""en"")
"),"I was pleasantly surprised that the laptop came with the new Mac OS X Snow Leopard 10.6.   The documentation is weak, but it describes how to change the hard drive and memory. Therefore, those who have their hands in order do not necessarily have to overp"&amp;"ay for a more expensive option.")</f>
        <v>I was pleasantly surprised that the laptop came with the new Mac OS X Snow Leopard 10.6.   The documentation is weak, but it describes how to change the hard drive and memory. Therefore, those who have their hands in order do not necessarily have to overpay for a more expensive option.</v>
      </c>
    </row>
    <row r="5720" spans="1:9" x14ac:dyDescent="0.3">
      <c r="A5720" s="1" t="s">
        <v>30</v>
      </c>
      <c r="B5720" s="1" t="s">
        <v>50</v>
      </c>
      <c r="C5720" s="1" t="s">
        <v>694</v>
      </c>
      <c r="D5720" s="1" t="s">
        <v>9281</v>
      </c>
      <c r="E5720" s="1" t="s">
        <v>779</v>
      </c>
      <c r="F5720" s="1" t="s">
        <v>9282</v>
      </c>
      <c r="G5720" s="1" t="s">
        <v>36</v>
      </c>
      <c r="H5720" s="1" t="s">
        <v>29</v>
      </c>
      <c r="I5720" s="1" t="str">
        <f ca="1">IFERROR(__xludf.DUMMYFUNCTION("GOOGLETRANSLATE(F5720, ""auto"", ""en"")
"),"Hello everyone! I spent a long time choosing a laptop as a gift for my girlfriend and in the end I chose Lenovo!!! Judging by the reviews, I was right, let's see it in action... tomorrow I'm waiting for the courier with it)))")</f>
        <v>Hello everyone! I spent a long time choosing a laptop as a gift for my girlfriend and in the end I chose Lenovo!!! Judging by the reviews, I was right, let's see it in action... tomorrow I'm waiting for the courier with it)))</v>
      </c>
    </row>
    <row r="5721" spans="1:9" x14ac:dyDescent="0.3">
      <c r="A5721" s="1" t="s">
        <v>37</v>
      </c>
      <c r="B5721" s="1" t="s">
        <v>536</v>
      </c>
      <c r="C5721" s="1" t="s">
        <v>32</v>
      </c>
      <c r="D5721" s="1" t="s">
        <v>366</v>
      </c>
      <c r="E5721" s="1" t="s">
        <v>2120</v>
      </c>
      <c r="F5721" s="1" t="s">
        <v>9283</v>
      </c>
      <c r="G5721" s="1" t="s">
        <v>36</v>
      </c>
      <c r="H5721" s="1" t="s">
        <v>29</v>
      </c>
      <c r="I5721" s="1" t="str">
        <f ca="1">IFERROR(__xludf.DUMMYFUNCTION("GOOGLETRANSLATE(F5721, ""auto"", ""en"")
"),"class device, fast and reliable, take it and they will envy you")</f>
        <v>class device, fast and reliable, take it and they will envy you</v>
      </c>
    </row>
    <row r="5722" spans="1:9" x14ac:dyDescent="0.3">
      <c r="A5722" s="1" t="s">
        <v>61</v>
      </c>
      <c r="B5722" s="1" t="s">
        <v>318</v>
      </c>
      <c r="C5722" s="1" t="s">
        <v>246</v>
      </c>
      <c r="D5722" s="1" t="s">
        <v>438</v>
      </c>
      <c r="E5722" s="1" t="s">
        <v>594</v>
      </c>
      <c r="F5722" s="1" t="s">
        <v>9284</v>
      </c>
      <c r="G5722" s="1" t="s">
        <v>36</v>
      </c>
      <c r="H5722" s="1" t="s">
        <v>29</v>
      </c>
      <c r="I5722" s="1" t="str">
        <f ca="1">IFERROR(__xludf.DUMMYFUNCTION("GOOGLETRANSLATE(F5722, ""auto"", ""en"")
"),"I bought Tefal Justine teapots for RUB 1,290. and Philips HD 4659/04 for 1690 rubles. yourself and your parents. Philips makes noise like an airplane, although it costs more, after 2 months I had to change a NEW socket (it burned out), but Tefal works qui"&amp;"etly and boils water quickly. I was very pleased.")</f>
        <v>I bought Tefal Justine teapots for RUB 1,290. and Philips HD 4659/04 for 1690 rubles. yourself and your parents. Philips makes noise like an airplane, although it costs more, after 2 months I had to change a NEW socket (it burned out), but Tefal works quietly and boils water quickly. I was very pleased.</v>
      </c>
    </row>
    <row r="5723" spans="1:9" x14ac:dyDescent="0.3">
      <c r="A5723" s="1" t="s">
        <v>624</v>
      </c>
      <c r="B5723" s="1" t="s">
        <v>625</v>
      </c>
      <c r="C5723" s="1" t="s">
        <v>479</v>
      </c>
      <c r="D5723" s="1" t="s">
        <v>4988</v>
      </c>
      <c r="E5723" s="1" t="s">
        <v>956</v>
      </c>
      <c r="F5723" s="1" t="s">
        <v>9285</v>
      </c>
      <c r="G5723" s="1" t="s">
        <v>36</v>
      </c>
      <c r="H5723" s="1" t="s">
        <v>29</v>
      </c>
      <c r="I5723" s="1" t="str">
        <f ca="1">IFERROR(__xludf.DUMMYFUNCTION("GOOGLETRANSLATE(F5723, ""auto"", ""en"")
"),"The game is cool!... but it has moved away from the horror genre and is more reminiscent of Gears of War, but in some places it is scarier). But the game is 10 out of 10")</f>
        <v>The game is cool!... but it has moved away from the horror genre and is more reminiscent of Gears of War, but in some places it is scarier). But the game is 10 out of 10</v>
      </c>
    </row>
    <row r="5724" spans="1:9" x14ac:dyDescent="0.3">
      <c r="A5724" s="1" t="s">
        <v>17</v>
      </c>
      <c r="B5724" s="1" t="s">
        <v>18</v>
      </c>
      <c r="C5724" s="1" t="s">
        <v>80</v>
      </c>
      <c r="D5724" s="1" t="s">
        <v>20</v>
      </c>
      <c r="E5724" s="1" t="s">
        <v>2531</v>
      </c>
      <c r="F5724" s="1" t="s">
        <v>9286</v>
      </c>
      <c r="G5724" s="1" t="s">
        <v>36</v>
      </c>
      <c r="H5724" s="1" t="s">
        <v>29</v>
      </c>
      <c r="I5724" s="1" t="str">
        <f ca="1">IFERROR(__xludf.DUMMYFUNCTION("GOOGLETRANSLATE(F5724, ""auto"", ""en"")
"),"I came for it on 10/08/10 and they were all sold out, I didn’t have time.  I'm waiting for delivery.  I think ours assembled the washing machine normally, of course I would like a Korean LG one.")</f>
        <v>I came for it on 10/08/10 and they were all sold out, I didn’t have time.  I'm waiting for delivery.  I think ours assembled the washing machine normally, of course I would like a Korean LG one.</v>
      </c>
    </row>
    <row r="5725" spans="1:9" x14ac:dyDescent="0.3">
      <c r="A5725" s="1" t="s">
        <v>55</v>
      </c>
      <c r="B5725" s="1" t="s">
        <v>184</v>
      </c>
      <c r="C5725" s="1" t="s">
        <v>45</v>
      </c>
      <c r="D5725" s="1" t="s">
        <v>521</v>
      </c>
      <c r="E5725" s="1" t="s">
        <v>1946</v>
      </c>
      <c r="F5725" s="1" t="s">
        <v>9287</v>
      </c>
      <c r="G5725" s="1" t="s">
        <v>49</v>
      </c>
      <c r="H5725" s="1" t="s">
        <v>16</v>
      </c>
      <c r="I5725" s="1" t="str">
        <f ca="1">IFERROR(__xludf.DUMMYFUNCTION("GOOGLETRANSLATE(F5725, ""auto"", ""en"")
"),"It heats really well, it’s very noisy, it feels like a mini tractor is working in the apartment, it worked for 7 days and broke down. They changed it without any problems.")</f>
        <v>It heats really well, it’s very noisy, it feels like a mini tractor is working in the apartment, it worked for 7 days and broke down. They changed it without any problems.</v>
      </c>
    </row>
    <row r="5726" spans="1:9" x14ac:dyDescent="0.3">
      <c r="A5726" s="1" t="s">
        <v>111</v>
      </c>
      <c r="B5726" s="1" t="s">
        <v>636</v>
      </c>
      <c r="C5726" s="1" t="s">
        <v>637</v>
      </c>
      <c r="D5726" s="1" t="s">
        <v>9288</v>
      </c>
      <c r="E5726" s="1" t="s">
        <v>2120</v>
      </c>
      <c r="F5726" s="1" t="s">
        <v>9289</v>
      </c>
      <c r="G5726" s="1" t="s">
        <v>36</v>
      </c>
      <c r="H5726" s="1" t="s">
        <v>29</v>
      </c>
      <c r="I5726" s="1" t="str">
        <f ca="1">IFERROR(__xludf.DUMMYFUNCTION("GOOGLETRANSLATE(F5726, ""auto"", ""en"")
"),"I compared the temperature readings by placing the device with the sensor next to it. The readings are the same both when measured in the room and when taken outside. This means it works well. As for the weather forecast, I don’t know yet. There was no wa"&amp;"y. So far I'm happy with the purchase.")</f>
        <v>I compared the temperature readings by placing the device with the sensor next to it. The readings are the same both when measured in the room and when taken outside. This means it works well. As for the weather forecast, I don’t know yet. There was no way. So far I'm happy with the purchase.</v>
      </c>
    </row>
    <row r="5727" spans="1:9" x14ac:dyDescent="0.3">
      <c r="A5727" s="1" t="s">
        <v>211</v>
      </c>
      <c r="B5727" s="1" t="s">
        <v>265</v>
      </c>
      <c r="C5727" s="1" t="s">
        <v>1591</v>
      </c>
      <c r="D5727" s="1" t="s">
        <v>352</v>
      </c>
      <c r="E5727" s="1" t="s">
        <v>6289</v>
      </c>
      <c r="F5727" s="1" t="s">
        <v>9290</v>
      </c>
      <c r="G5727" s="1" t="s">
        <v>36</v>
      </c>
      <c r="H5727" s="1" t="s">
        <v>29</v>
      </c>
      <c r="I5727" s="1" t="str">
        <f ca="1">IFERROR(__xludf.DUMMYFUNCTION("GOOGLETRANSLATE(F5727, ""auto"", ""en"")
"),"The nozzle must be removed correctly. I broke one due to lack of experience, but then I figured it out. Press on the sides and remove.")</f>
        <v>The nozzle must be removed correctly. I broke one due to lack of experience, but then I figured it out. Press on the sides and remove.</v>
      </c>
    </row>
    <row r="5728" spans="1:9" x14ac:dyDescent="0.3">
      <c r="A5728" s="1" t="s">
        <v>369</v>
      </c>
      <c r="B5728" s="1" t="s">
        <v>587</v>
      </c>
      <c r="C5728" s="1" t="s">
        <v>63</v>
      </c>
      <c r="D5728" s="1" t="s">
        <v>247</v>
      </c>
      <c r="E5728" s="1" t="s">
        <v>2063</v>
      </c>
      <c r="F5728" s="1" t="s">
        <v>9291</v>
      </c>
      <c r="G5728" s="1" t="s">
        <v>36</v>
      </c>
      <c r="H5728" s="1" t="s">
        <v>29</v>
      </c>
      <c r="I5728" s="1" t="str">
        <f ca="1">IFERROR(__xludf.DUMMYFUNCTION("GOOGLETRANSLATE(F5728, ""auto"", ""en"")
"),"An excellent oven, when we bought it we didn’t pay attention to the fact that the oven was electric, but when we saw it at home... we were upset, but when we tried it out, we were even happy, the oven is super!!! A bunch of modes, bakes evenly on all side"&amp;"s and without a burnt crust. In a word, I recommend it to everyone!!!")</f>
        <v>An excellent oven, when we bought it we didn’t pay attention to the fact that the oven was electric, but when we saw it at home... we were upset, but when we tried it out, we were even happy, the oven is super!!! A bunch of modes, bakes evenly on all sides and without a burnt crust. In a word, I recommend it to everyone!!!</v>
      </c>
    </row>
    <row r="5729" spans="1:9" x14ac:dyDescent="0.3">
      <c r="A5729" s="1" t="s">
        <v>61</v>
      </c>
      <c r="B5729" s="1" t="s">
        <v>145</v>
      </c>
      <c r="C5729" s="1" t="s">
        <v>1981</v>
      </c>
      <c r="D5729" s="1" t="s">
        <v>20</v>
      </c>
      <c r="E5729" s="1" t="s">
        <v>472</v>
      </c>
      <c r="F5729" s="1" t="s">
        <v>9292</v>
      </c>
      <c r="G5729" s="1" t="s">
        <v>36</v>
      </c>
      <c r="H5729" s="1" t="s">
        <v>29</v>
      </c>
      <c r="I5729" s="1" t="str">
        <f ca="1">IFERROR(__xludf.DUMMYFUNCTION("GOOGLETRANSLATE(F5729, ""auto"", ""en"")
"),"Pros: boiling eggs is easy and convenient - pour water, press a button, and wait until it beeps. Afterwards everything is easy and quick to clean. Much more convenient than cooking in a saucepan. The only downside is ergonomics: the switch is flimsy and i"&amp;"nconveniently located. There is no convenient way to wrap the cord. Too shrill and continuous signal of readiness. It makes sense to look at other models, but if this is the only one available, then you shouldn’t refuse to buy.")</f>
        <v>Pros: boiling eggs is easy and convenient - pour water, press a button, and wait until it beeps. Afterwards everything is easy and quick to clean. Much more convenient than cooking in a saucepan. The only downside is ergonomics: the switch is flimsy and inconveniently located. There is no convenient way to wrap the cord. Too shrill and continuous signal of readiness. It makes sense to look at other models, but if this is the only one available, then you shouldn’t refuse to buy.</v>
      </c>
    </row>
    <row r="5730" spans="1:9" x14ac:dyDescent="0.3">
      <c r="A5730" s="1" t="s">
        <v>211</v>
      </c>
      <c r="B5730" s="1" t="s">
        <v>856</v>
      </c>
      <c r="C5730" s="1" t="s">
        <v>57</v>
      </c>
      <c r="D5730" s="1" t="s">
        <v>247</v>
      </c>
      <c r="E5730" s="1" t="s">
        <v>8842</v>
      </c>
      <c r="F5730" s="1" t="s">
        <v>9293</v>
      </c>
      <c r="G5730" s="1" t="s">
        <v>49</v>
      </c>
      <c r="H5730" s="1" t="s">
        <v>16</v>
      </c>
      <c r="I5730" s="1" t="str">
        <f ca="1">IFERROR(__xludf.DUMMYFUNCTION("GOOGLETRANSLATE(F5730, ""auto"", ""en"")
"),"It worked well for probably 3 months, I use it once every 3 weeks. Now when I turn it on, it works, sometimes stronger, sometimes weaker, the machine decides this itself and heats up very quickly. There is not enough power for a pedicure. The operation is"&amp;" not affected by whether the machine is connected to the network or not. It's better to buy something else, it doesn't perform its functions")</f>
        <v>It worked well for probably 3 months, I use it once every 3 weeks. Now when I turn it on, it works, sometimes stronger, sometimes weaker, the machine decides this itself and heats up very quickly. There is not enough power for a pedicure. The operation is not affected by whether the machine is connected to the network or not. It's better to buy something else, it doesn't perform its functions</v>
      </c>
    </row>
    <row r="5731" spans="1:9" x14ac:dyDescent="0.3">
      <c r="A5731" s="1" t="s">
        <v>61</v>
      </c>
      <c r="B5731" s="1" t="s">
        <v>224</v>
      </c>
      <c r="C5731" s="1" t="s">
        <v>213</v>
      </c>
      <c r="D5731" s="1" t="s">
        <v>335</v>
      </c>
      <c r="E5731" s="1" t="s">
        <v>1794</v>
      </c>
      <c r="F5731" s="1" t="s">
        <v>9294</v>
      </c>
      <c r="G5731" s="1" t="s">
        <v>28</v>
      </c>
      <c r="H5731" s="1" t="s">
        <v>29</v>
      </c>
      <c r="I5731" s="1" t="str">
        <f ca="1">IFERROR(__xludf.DUMMYFUNCTION("GOOGLETRANSLATE(F5731, ""auto"", ""en"")
"),"Compact, ")</f>
        <v xml:space="preserve">Compact, </v>
      </c>
    </row>
    <row r="5732" spans="1:9" x14ac:dyDescent="0.3">
      <c r="A5732" s="1" t="s">
        <v>169</v>
      </c>
      <c r="B5732" s="1" t="s">
        <v>170</v>
      </c>
      <c r="C5732" s="1" t="s">
        <v>97</v>
      </c>
      <c r="D5732" s="1" t="s">
        <v>9295</v>
      </c>
      <c r="E5732" s="1" t="s">
        <v>3469</v>
      </c>
      <c r="F5732" s="1" t="s">
        <v>9296</v>
      </c>
      <c r="G5732" s="1" t="s">
        <v>28</v>
      </c>
      <c r="H5732" s="1" t="s">
        <v>29</v>
      </c>
      <c r="I5732" s="1" t="str">
        <f ca="1">IFERROR(__xludf.DUMMYFUNCTION("GOOGLETRANSLATE(F5732, ""auto"", ""en"")
"),"I bought this model today, came home, read the reviews - I was a little upset, but after the tests my mood lifted, I tested it on rock music, trance and pop, the sound is clear, there is no complete sound insulation, but I think this is for the better) so"&amp;" you can walk around the house and do something. They don’t interfere with my head, I’ve been wearing it for 4 hours now and I don’t feel any discomfort, overall I’m happy with the purchase")</f>
        <v>I bought this model today, came home, read the reviews - I was a little upset, but after the tests my mood lifted, I tested it on rock music, trance and pop, the sound is clear, there is no complete sound insulation, but I think this is for the better) so you can walk around the house and do something. They don’t interfere with my head, I’ve been wearing it for 4 hours now and I don’t feel any discomfort, overall I’m happy with the purchase</v>
      </c>
    </row>
    <row r="5733" spans="1:9" x14ac:dyDescent="0.3">
      <c r="A5733" s="1" t="s">
        <v>211</v>
      </c>
      <c r="B5733" s="1" t="s">
        <v>212</v>
      </c>
      <c r="C5733" s="1" t="s">
        <v>294</v>
      </c>
      <c r="D5733" s="1" t="s">
        <v>471</v>
      </c>
      <c r="E5733" s="1" t="s">
        <v>1792</v>
      </c>
      <c r="F5733" s="1" t="s">
        <v>9297</v>
      </c>
      <c r="G5733" s="1" t="s">
        <v>36</v>
      </c>
      <c r="H5733" s="1" t="s">
        <v>29</v>
      </c>
      <c r="I5733" s="1" t="str">
        <f ca="1">IFERROR(__xludf.DUMMYFUNCTION("GOOGLETRANSLATE(F5733, ""auto"", ""en"")
"),"My husband gave me a straightener from this brand on March 8th, I am very pleased - my hair is smooth and well-groomed. It straightens quickly and glides easily through the hair.")</f>
        <v>My husband gave me a straightener from this brand on March 8th, I am very pleased - my hair is smooth and well-groomed. It straightens quickly and glides easily through the hair.</v>
      </c>
    </row>
    <row r="5734" spans="1:9" x14ac:dyDescent="0.3">
      <c r="A5734" s="1" t="s">
        <v>61</v>
      </c>
      <c r="B5734" s="1" t="s">
        <v>73</v>
      </c>
      <c r="C5734" s="1" t="s">
        <v>146</v>
      </c>
      <c r="D5734" s="1" t="s">
        <v>1506</v>
      </c>
      <c r="E5734" s="1" t="s">
        <v>7043</v>
      </c>
      <c r="F5734" s="1" t="s">
        <v>9298</v>
      </c>
      <c r="G5734" s="1" t="s">
        <v>36</v>
      </c>
      <c r="H5734" s="1" t="s">
        <v>29</v>
      </c>
      <c r="I5734" s="1" t="str">
        <f ca="1">IFERROR(__xludf.DUMMYFUNCTION("GOOGLETRANSLATE(F5734, ""auto"", ""en"")
"),"I bought a combine. Meat grinder and vegetable cutter. She booed and didn’t regret it. Very good thing. The meat flew by, I didn’t even have time to push it through. Turned on reverse. Then I scrolled through all the rest to the end. There was not a bit o"&amp;"f meat left inside. I chopped vegetables. Onion. I chopped everything. And for cutlets, and for soup, and for the second side dish. Very convenient. I want to try making turkey sausages. I already feel that everyone will be delighted. I recommend it.")</f>
        <v>I bought a combine. Meat grinder and vegetable cutter. She booed and didn’t regret it. Very good thing. The meat flew by, I didn’t even have time to push it through. Turned on reverse. Then I scrolled through all the rest to the end. There was not a bit of meat left inside. I chopped vegetables. Onion. I chopped everything. And for cutlets, and for soup, and for the second side dish. Very convenient. I want to try making turkey sausages. I already feel that everyone will be delighted. I recommend it.</v>
      </c>
    </row>
    <row r="5735" spans="1:9" x14ac:dyDescent="0.3">
      <c r="A5735" s="1" t="s">
        <v>61</v>
      </c>
      <c r="B5735" s="1" t="s">
        <v>180</v>
      </c>
      <c r="C5735" s="1" t="s">
        <v>101</v>
      </c>
      <c r="D5735" s="1" t="s">
        <v>335</v>
      </c>
      <c r="E5735" s="1" t="s">
        <v>9299</v>
      </c>
      <c r="F5735" s="1" t="s">
        <v>9300</v>
      </c>
      <c r="G5735" s="1" t="s">
        <v>36</v>
      </c>
      <c r="H5735" s="1" t="s">
        <v>29</v>
      </c>
      <c r="I5735" s="1" t="str">
        <f ca="1">IFERROR(__xludf.DUMMYFUNCTION("GOOGLETRANSLATE(F5735, ""auto"", ""en"")
"),"Does its job without any problems")</f>
        <v>Does its job without any problems</v>
      </c>
    </row>
    <row r="5736" spans="1:9" x14ac:dyDescent="0.3">
      <c r="A5736" s="1" t="s">
        <v>55</v>
      </c>
      <c r="B5736" s="1" t="s">
        <v>56</v>
      </c>
      <c r="C5736" s="1" t="s">
        <v>3651</v>
      </c>
      <c r="D5736" s="1" t="s">
        <v>565</v>
      </c>
      <c r="E5736" s="1" t="s">
        <v>8952</v>
      </c>
      <c r="F5736" s="1" t="s">
        <v>9301</v>
      </c>
      <c r="G5736" s="1" t="s">
        <v>36</v>
      </c>
      <c r="H5736" s="1" t="s">
        <v>29</v>
      </c>
      <c r="I5736" s="1" t="str">
        <f ca="1">IFERROR(__xludf.DUMMYFUNCTION("GOOGLETRANSLATE(F5736, ""auto"", ""en"")
"),"My husband and I liked it - the only inconvenience is that you can’t put a larger bottle of water - it drops to 0.8 liters. maximum, or better yet 0.5, as the instructions say. The air is well humidified - it is easier to breathe - fresher. The noise leve"&amp;"l is low, I am a light sleeper, but with the humidifier running I easily fall asleep. The bluish backlight is pleasantly pleasing, and when the water runs out, the red light turns on. Handbag included. AND ALSO - IMPORTANT DETAIL! NO NEED TO BUY FILTERS, "&amp;"as in other models - cleaned with a brush, cat. comes included. And in our small room it took up very little space!")</f>
        <v>My husband and I liked it - the only inconvenience is that you can’t put a larger bottle of water - it drops to 0.8 liters. maximum, or better yet 0.5, as the instructions say. The air is well humidified - it is easier to breathe - fresher. The noise level is low, I am a light sleeper, but with the humidifier running I easily fall asleep. The bluish backlight is pleasantly pleasing, and when the water runs out, the red light turns on. Handbag included. AND ALSO - IMPORTANT DETAIL! NO NEED TO BUY FILTERS, as in other models - cleaned with a brush, cat. comes included. And in our small room it took up very little space!</v>
      </c>
    </row>
    <row r="5737" spans="1:9" x14ac:dyDescent="0.3">
      <c r="A5737" s="1" t="s">
        <v>61</v>
      </c>
      <c r="B5737" s="1" t="s">
        <v>224</v>
      </c>
      <c r="C5737" s="1" t="s">
        <v>85</v>
      </c>
      <c r="D5737" s="1" t="s">
        <v>2595</v>
      </c>
      <c r="E5737" s="1" t="s">
        <v>225</v>
      </c>
      <c r="F5737" s="1" t="s">
        <v>9302</v>
      </c>
      <c r="G5737" s="1" t="s">
        <v>36</v>
      </c>
      <c r="H5737" s="1" t="s">
        <v>29</v>
      </c>
      <c r="I5737" s="1" t="str">
        <f ca="1">IFERROR(__xludf.DUMMYFUNCTION("GOOGLETRANSLATE(F5737, ""auto"", ""en"")
"),"Yesterday we bought this juicer and tried it right away. In principle, it squeezes out normally, then I checked the cake and the juice does not flow from it at all. The cake is like plasticine, all pressed, you can hardly squeeze any more juice out of it."&amp;" Let's see how it behaves further in operation.  And there is a brush for washing the filter, which is not indicated in the description.")</f>
        <v>Yesterday we bought this juicer and tried it right away. In principle, it squeezes out normally, then I checked the cake and the juice does not flow from it at all. The cake is like plasticine, all pressed, you can hardly squeeze any more juice out of it. Let's see how it behaves further in operation.  And there is a brush for washing the filter, which is not indicated in the description.</v>
      </c>
    </row>
    <row r="5738" spans="1:9" x14ac:dyDescent="0.3">
      <c r="A5738" s="1" t="s">
        <v>373</v>
      </c>
      <c r="B5738" s="1" t="s">
        <v>374</v>
      </c>
      <c r="C5738" s="1" t="s">
        <v>19</v>
      </c>
      <c r="D5738" s="1" t="s">
        <v>52</v>
      </c>
      <c r="E5738" s="1" t="s">
        <v>1115</v>
      </c>
      <c r="F5738" s="1" t="s">
        <v>9303</v>
      </c>
      <c r="G5738" s="1" t="s">
        <v>36</v>
      </c>
      <c r="H5738" s="1" t="s">
        <v>29</v>
      </c>
      <c r="I5738" s="1" t="str">
        <f ca="1">IFERROR(__xludf.DUMMYFUNCTION("GOOGLETRANSLATE(F5738, ""auto"", ""en"")
"),"I gave it to my wife and she couldn’t be happier, it cleans with a bang, it’s just superb. I recommend")</f>
        <v>I gave it to my wife and she couldn’t be happier, it cleans with a bang, it’s just superb. I recommend</v>
      </c>
    </row>
    <row r="5739" spans="1:9" x14ac:dyDescent="0.3">
      <c r="A5739" s="1" t="s">
        <v>105</v>
      </c>
      <c r="B5739" s="1" t="s">
        <v>106</v>
      </c>
      <c r="C5739" s="1" t="s">
        <v>1921</v>
      </c>
      <c r="D5739" s="1" t="s">
        <v>181</v>
      </c>
      <c r="E5739" s="1" t="s">
        <v>1359</v>
      </c>
      <c r="F5739" s="1" t="s">
        <v>9304</v>
      </c>
      <c r="G5739" s="1" t="s">
        <v>15</v>
      </c>
      <c r="H5739" s="1" t="s">
        <v>16</v>
      </c>
      <c r="I5739" s="1" t="str">
        <f ca="1">IFERROR(__xludf.DUMMYFUNCTION("GOOGLETRANSLATE(F5739, ""auto"", ""en"")
"),"It worked immediately sluggishly, inconvenient controls, the voice recorder does not record the first sound recording, only from the second. A month has passed, somehow it’s somehow glitched, there are no viruses. The good news is that it works for a long"&amp;" time and you can add it to your favorites.")</f>
        <v>It worked immediately sluggishly, inconvenient controls, the voice recorder does not record the first sound recording, only from the second. A month has passed, somehow it’s somehow glitched, there are no viruses. The good news is that it works for a long time and you can add it to your favorites.</v>
      </c>
    </row>
    <row r="5740" spans="1:9" x14ac:dyDescent="0.3">
      <c r="A5740" s="1" t="s">
        <v>149</v>
      </c>
      <c r="B5740" s="1" t="s">
        <v>155</v>
      </c>
      <c r="C5740" s="1" t="s">
        <v>24</v>
      </c>
      <c r="D5740" s="1" t="s">
        <v>232</v>
      </c>
      <c r="E5740" s="1" t="s">
        <v>634</v>
      </c>
      <c r="F5740" s="1" t="s">
        <v>9305</v>
      </c>
      <c r="G5740" s="1" t="s">
        <v>36</v>
      </c>
      <c r="H5740" s="1" t="s">
        <v>29</v>
      </c>
      <c r="I5740" s="1" t="str">
        <f ca="1">IFERROR(__xludf.DUMMYFUNCTION("GOOGLETRANSLATE(F5740, ""auto"", ""en"")
"),"Hello! I bought a vacuum cleaner 2.5 years ago. Everything is convenient, everything works, the filters are durable and easy to clean.")</f>
        <v>Hello! I bought a vacuum cleaner 2.5 years ago. Everything is convenient, everything works, the filters are durable and easy to clean.</v>
      </c>
    </row>
    <row r="5741" spans="1:9" x14ac:dyDescent="0.3">
      <c r="A5741" s="1" t="s">
        <v>238</v>
      </c>
      <c r="B5741" s="1" t="s">
        <v>276</v>
      </c>
      <c r="C5741" s="1" t="s">
        <v>277</v>
      </c>
      <c r="D5741" s="1" t="s">
        <v>1188</v>
      </c>
      <c r="E5741" s="1" t="s">
        <v>566</v>
      </c>
      <c r="F5741" s="1" t="s">
        <v>9306</v>
      </c>
      <c r="G5741" s="1" t="s">
        <v>28</v>
      </c>
      <c r="H5741" s="1" t="s">
        <v>29</v>
      </c>
      <c r="I5741" s="1" t="str">
        <f ca="1">IFERROR(__xludf.DUMMYFUNCTION("GOOGLETRANSLATE(F5741, ""auto"", ""en"")
"),"The refrigerator is normal!) Good for bachelor apartments, used by 1-2 people. The freezer is spacious, but not huge; easy; cute; everything is easy to clean; I was pleased with the stand for the egg =)) The noiselessness is of course nonsense, the hiss i"&amp;"s sensitive))) I liked the service when ordering online.")</f>
        <v>The refrigerator is normal!) Good for bachelor apartments, used by 1-2 people. The freezer is spacious, but not huge; easy; cute; everything is easy to clean; I was pleased with the stand for the egg =)) The noiselessness is of course nonsense, the hiss is sensitive))) I liked the service when ordering online.</v>
      </c>
    </row>
    <row r="5742" spans="1:9" x14ac:dyDescent="0.3">
      <c r="A5742" s="1" t="s">
        <v>61</v>
      </c>
      <c r="B5742" s="1" t="s">
        <v>977</v>
      </c>
      <c r="C5742" s="1" t="s">
        <v>69</v>
      </c>
      <c r="D5742" s="1" t="s">
        <v>545</v>
      </c>
      <c r="E5742" s="1" t="s">
        <v>617</v>
      </c>
      <c r="F5742" s="1" t="s">
        <v>9307</v>
      </c>
      <c r="G5742" s="1" t="s">
        <v>36</v>
      </c>
      <c r="H5742" s="1" t="s">
        <v>29</v>
      </c>
      <c r="I5742" s="1" t="str">
        <f ca="1">IFERROR(__xludf.DUMMYFUNCTION("GOOGLETRANSLATE(F5742, ""auto"", ""en"")
"),"I bought a blender about 10 years ago. I'm very pleased. I used it constantly for the first 4 years. I made puree for children, minced meat. For the remaining 6 years, I definitely use it 4-5 times a month. I make cocktails, mashed potatoes, minced chicke"&amp;"n and beef (need to be cut into small pieces, a little at a time). A very necessary thing in the kitchen. Convenient, takes up little space. Very pleased with the purchase. I have never regretted it. )))")</f>
        <v>I bought a blender about 10 years ago. I'm very pleased. I used it constantly for the first 4 years. I made puree for children, minced meat. For the remaining 6 years, I definitely use it 4-5 times a month. I make cocktails, mashed potatoes, minced chicken and beef (need to be cut into small pieces, a little at a time). A very necessary thing in the kitchen. Convenient, takes up little space. Very pleased with the purchase. I have never regretted it. )))</v>
      </c>
    </row>
    <row r="5743" spans="1:9" x14ac:dyDescent="0.3">
      <c r="A5743" s="1" t="s">
        <v>61</v>
      </c>
      <c r="B5743" s="1" t="s">
        <v>145</v>
      </c>
      <c r="C5743" s="1" t="s">
        <v>246</v>
      </c>
      <c r="D5743" s="1" t="s">
        <v>142</v>
      </c>
      <c r="E5743" s="1" t="s">
        <v>9308</v>
      </c>
      <c r="F5743" s="1" t="s">
        <v>9309</v>
      </c>
      <c r="G5743" s="1" t="s">
        <v>28</v>
      </c>
      <c r="H5743" s="1" t="s">
        <v>29</v>
      </c>
      <c r="I5743" s="1" t="str">
        <f ca="1">IFERROR(__xludf.DUMMYFUNCTION("GOOGLETRANSLATE(F5743, ""auto"", ""en"")
"),"I bought myself this yogurt maker. Everything is fine with it, the only thing is that if the jar breaks, it is difficult to find a replacement, since the jars themselves are narrow, and baby food jars only appear on the corners (I think this is its only d"&amp;"isadvantage). The fact that it turns off the heating itself is convenient. And it doesn’t overheat anything, you just need to keep an eye on the yogurt, and when it thickens, immediately remove the jars and that’s it. In reality, it ferments quickly, in a"&amp;"bout 4 hours on average, the bacteria are all alive (I made acedophilic yogurt, it stretched like threads, which means the acedophilic bacteria are alive in it). Whey appears only when the yogurt is simply over-tempered, which is logical. I don’t know why"&amp;" people attach thermostats to it, put towels and boards in it, in my opinion this is not necessary at all. And the quality of yogurt also directly depends on the quality of the starter :)")</f>
        <v>I bought myself this yogurt maker. Everything is fine with it, the only thing is that if the jar breaks, it is difficult to find a replacement, since the jars themselves are narrow, and baby food jars only appear on the corners (I think this is its only disadvantage). The fact that it turns off the heating itself is convenient. And it doesn’t overheat anything, you just need to keep an eye on the yogurt, and when it thickens, immediately remove the jars and that’s it. In reality, it ferments quickly, in about 4 hours on average, the bacteria are all alive (I made acedophilic yogurt, it stretched like threads, which means the acedophilic bacteria are alive in it). Whey appears only when the yogurt is simply over-tempered, which is logical. I don’t know why people attach thermostats to it, put towels and boards in it, in my opinion this is not necessary at all. And the quality of yogurt also directly depends on the quality of the starter :)</v>
      </c>
    </row>
    <row r="5744" spans="1:9" x14ac:dyDescent="0.3">
      <c r="A5744" s="1" t="s">
        <v>43</v>
      </c>
      <c r="B5744" s="1" t="s">
        <v>334</v>
      </c>
      <c r="C5744" s="1" t="s">
        <v>101</v>
      </c>
      <c r="D5744" s="1" t="s">
        <v>345</v>
      </c>
      <c r="E5744" s="1" t="s">
        <v>2313</v>
      </c>
      <c r="F5744" s="1" t="s">
        <v>9310</v>
      </c>
      <c r="G5744" s="1" t="s">
        <v>36</v>
      </c>
      <c r="H5744" s="1" t="s">
        <v>29</v>
      </c>
      <c r="I5744" s="1" t="str">
        <f ca="1">IFERROR(__xludf.DUMMYFUNCTION("GOOGLETRANSLATE(F5744, ""auto"", ""en"")
"),"I bought this fan in May, for the last week it has been running 12-16 hours a day, it works great, overall I’m happy, except that it’s a little noisy...")</f>
        <v>I bought this fan in May, for the last week it has been running 12-16 hours a day, it works great, overall I’m happy, except that it’s a little noisy...</v>
      </c>
    </row>
    <row r="5745" spans="1:9" x14ac:dyDescent="0.3">
      <c r="A5745" s="1" t="s">
        <v>477</v>
      </c>
      <c r="B5745" s="1" t="s">
        <v>478</v>
      </c>
      <c r="C5745" s="1" t="s">
        <v>479</v>
      </c>
      <c r="D5745" s="1" t="s">
        <v>411</v>
      </c>
      <c r="E5745" s="1" t="s">
        <v>2525</v>
      </c>
      <c r="F5745" s="1" t="s">
        <v>9311</v>
      </c>
      <c r="G5745" s="1" t="s">
        <v>36</v>
      </c>
      <c r="H5745" s="1" t="s">
        <v>29</v>
      </c>
      <c r="I5745" s="1" t="str">
        <f ca="1">IFERROR(__xludf.DUMMYFUNCTION("GOOGLETRANSLATE(F5745, ""auto"", ""en"")
"),"The game is good!  P.S. it would be nice if it went on sale in our city (Cherepovets)")</f>
        <v>The game is good!  P.S. it would be nice if it went on sale in our city (Cherepovets)</v>
      </c>
    </row>
    <row r="5746" spans="1:9" x14ac:dyDescent="0.3">
      <c r="A5746" s="1" t="s">
        <v>9</v>
      </c>
      <c r="B5746" s="1" t="s">
        <v>137</v>
      </c>
      <c r="C5746" s="1" t="s">
        <v>870</v>
      </c>
      <c r="D5746" s="1" t="s">
        <v>52</v>
      </c>
      <c r="E5746" s="1" t="s">
        <v>787</v>
      </c>
      <c r="F5746" s="1" t="s">
        <v>9312</v>
      </c>
      <c r="G5746" s="1" t="s">
        <v>36</v>
      </c>
      <c r="H5746" s="1" t="s">
        <v>29</v>
      </c>
      <c r="I5746" s="1" t="str">
        <f ca="1">IFERROR(__xludf.DUMMYFUNCTION("GOOGLETRANSLATE(F5746, ""auto"", ""en"")
"),"I bought this hob and was very pleased! I was pleased not only with the price-quality ratio, but also with the functionality and design. It has all the same features as more expensive models. Another important fact is that the color matches the tabletop v"&amp;"ery well and looks like a monolith. Super.")</f>
        <v>I bought this hob and was very pleased! I was pleased not only with the price-quality ratio, but also with the functionality and design. It has all the same features as more expensive models. Another important fact is that the color matches the tabletop very well and looks like a monolith. Super.</v>
      </c>
    </row>
    <row r="5747" spans="1:9" x14ac:dyDescent="0.3">
      <c r="A5747" s="1" t="s">
        <v>211</v>
      </c>
      <c r="B5747" s="1" t="s">
        <v>601</v>
      </c>
      <c r="C5747" s="1" t="s">
        <v>602</v>
      </c>
      <c r="D5747" s="1" t="s">
        <v>208</v>
      </c>
      <c r="E5747" s="1" t="s">
        <v>9313</v>
      </c>
      <c r="F5747" s="1" t="s">
        <v>9314</v>
      </c>
      <c r="G5747" s="1" t="s">
        <v>36</v>
      </c>
      <c r="H5747" s="1" t="s">
        <v>29</v>
      </c>
      <c r="I5747" s="1" t="str">
        <f ca="1">IFERROR(__xludf.DUMMYFUNCTION("GOOGLETRANSLATE(F5747, ""auto"", ""en"")
"),"I had one filling that wasn’t placed very well; everything between my teeth got stuck because of it. This nozzle really cleans everything better.")</f>
        <v>I had one filling that wasn’t placed very well; everything between my teeth got stuck because of it. This nozzle really cleans everything better.</v>
      </c>
    </row>
    <row r="5748" spans="1:9" x14ac:dyDescent="0.3">
      <c r="A5748" s="1" t="s">
        <v>61</v>
      </c>
      <c r="B5748" s="1" t="s">
        <v>62</v>
      </c>
      <c r="C5748" s="1" t="s">
        <v>63</v>
      </c>
      <c r="D5748" s="1" t="s">
        <v>327</v>
      </c>
      <c r="E5748" s="1" t="s">
        <v>3769</v>
      </c>
      <c r="F5748" s="1" t="s">
        <v>9315</v>
      </c>
      <c r="G5748" s="1" t="s">
        <v>28</v>
      </c>
      <c r="H5748" s="1" t="s">
        <v>29</v>
      </c>
      <c r="I5748" s="1" t="str">
        <f ca="1">IFERROR(__xludf.DUMMYFUNCTION("GOOGLETRANSLATE(F5748, ""auto"", ""en"")
"),"A very good combine. I've been using it for more than six months. The cocktails turn out great. We make salads in 5 minutes, when previously we spent at least 10 minutes. Squeeze citrus juice into half a kick. It doesn't cut into cubes. :( But if you find"&amp;" an attachment for cubes, then it will do this. Another plus, there is a container where you can put all the knives and attachments. There is only one drawback. It does not make a juicer for hard things. Although it is written that it squeezes juice out o"&amp;"f apples and carrots. It has a lot of power, but in my opinion 700-800 W is enough. If you have a choice between Bosch MCM 5529RU and Bosch MCM 5540, take Bosch MCM 5529RU, it is more practical.")</f>
        <v>A very good combine. I've been using it for more than six months. The cocktails turn out great. We make salads in 5 minutes, when previously we spent at least 10 minutes. Squeeze citrus juice into half a kick. It doesn't cut into cubes. :( But if you find an attachment for cubes, then it will do this. Another plus, there is a container where you can put all the knives and attachments. There is only one drawback. It does not make a juicer for hard things. Although it is written that it squeezes juice out of apples and carrots. It has a lot of power, but in my opinion 700-800 W is enough. If you have a choice between Bosch MCM 5529RU and Bosch MCM 5540, take Bosch MCM 5529RU, it is more practical.</v>
      </c>
    </row>
    <row r="5749" spans="1:9" x14ac:dyDescent="0.3">
      <c r="A5749" s="1" t="s">
        <v>61</v>
      </c>
      <c r="B5749" s="1" t="s">
        <v>73</v>
      </c>
      <c r="C5749" s="1" t="s">
        <v>146</v>
      </c>
      <c r="D5749" s="1" t="s">
        <v>9316</v>
      </c>
      <c r="E5749" s="1" t="s">
        <v>5849</v>
      </c>
      <c r="F5749" s="1" t="s">
        <v>9317</v>
      </c>
      <c r="G5749" s="1" t="s">
        <v>36</v>
      </c>
      <c r="H5749" s="1" t="s">
        <v>29</v>
      </c>
      <c r="I5749" s="1" t="str">
        <f ca="1">IFERROR(__xludf.DUMMYFUNCTION("GOOGLETRANSLATE(F5749, ""auto"", ""en"")
"),"I bought a meat grinder. The wife is happy, she spins everything. I really liked the grater attachments.   Thanks for the advice consultant.")</f>
        <v>I bought a meat grinder. The wife is happy, she spins everything. I really liked the grater attachments.   Thanks for the advice consultant.</v>
      </c>
    </row>
    <row r="5750" spans="1:9" x14ac:dyDescent="0.3">
      <c r="A5750" s="1" t="s">
        <v>17</v>
      </c>
      <c r="B5750" s="1" t="s">
        <v>18</v>
      </c>
      <c r="C5750" s="1" t="s">
        <v>19</v>
      </c>
      <c r="D5750" s="1" t="s">
        <v>232</v>
      </c>
      <c r="E5750" s="1" t="s">
        <v>1319</v>
      </c>
      <c r="F5750" s="1" t="s">
        <v>9318</v>
      </c>
      <c r="G5750" s="1" t="s">
        <v>15</v>
      </c>
      <c r="H5750" s="1" t="s">
        <v>16</v>
      </c>
      <c r="I5750" s="1" t="str">
        <f ca="1">IFERROR(__xludf.DUMMYFUNCTION("GOOGLETRANSLATE(F5750, ""auto"", ""en"")
"),"In this model, the process noise of the engine when revving up is clearly audible when the bath door is closed. I do not recommend placing the machine in the kitchen.")</f>
        <v>In this model, the process noise of the engine when revving up is clearly audible when the bath door is closed. I do not recommend placing the machine in the kitchen.</v>
      </c>
    </row>
    <row r="5751" spans="1:9" x14ac:dyDescent="0.3">
      <c r="A5751" s="1" t="s">
        <v>211</v>
      </c>
      <c r="B5751" s="1" t="s">
        <v>899</v>
      </c>
      <c r="C5751" s="1" t="s">
        <v>213</v>
      </c>
      <c r="D5751" s="1" t="s">
        <v>102</v>
      </c>
      <c r="E5751" s="1" t="s">
        <v>1129</v>
      </c>
      <c r="F5751" s="1" t="s">
        <v>9319</v>
      </c>
      <c r="G5751" s="1" t="s">
        <v>36</v>
      </c>
      <c r="H5751" s="1" t="s">
        <v>29</v>
      </c>
      <c r="I5751" s="1" t="str">
        <f ca="1">IFERROR(__xludf.DUMMYFUNCTION("GOOGLETRANSLATE(F5751, ""auto"", ""en"")
"),"The brush is excellent, cleans 10/10. True, you need to get used to the vibration and toothpaste flying around if you don’t use it carefully. Overall great! Easiest to manage and maintain. The price for this is simply ridiculous!!! Take it, you won’t regr"&amp;"et it!")</f>
        <v>The brush is excellent, cleans 10/10. True, you need to get used to the vibration and toothpaste flying around if you don’t use it carefully. Overall great! Easiest to manage and maintain. The price for this is simply ridiculous!!! Take it, you won’t regret it!</v>
      </c>
    </row>
    <row r="5752" spans="1:9" x14ac:dyDescent="0.3">
      <c r="A5752" s="1" t="s">
        <v>120</v>
      </c>
      <c r="B5752" s="1" t="s">
        <v>126</v>
      </c>
      <c r="C5752" s="1" t="s">
        <v>151</v>
      </c>
      <c r="D5752" s="1" t="s">
        <v>152</v>
      </c>
      <c r="E5752" s="1" t="s">
        <v>631</v>
      </c>
      <c r="F5752" s="1" t="s">
        <v>9320</v>
      </c>
      <c r="G5752" s="1" t="s">
        <v>36</v>
      </c>
      <c r="H5752" s="1" t="s">
        <v>29</v>
      </c>
      <c r="I5752" s="1" t="str">
        <f ca="1">IFERROR(__xludf.DUMMYFUNCTION("GOOGLETRANSLATE(F5752, ""auto"", ""en"")
"),"The problem of burnout of boards and ports on plasmas was described somewhere. I remember that connecting “on the go” leads to this. That is, before connecting the computer via cable, you need to disconnect everything from the network!")</f>
        <v>The problem of burnout of boards and ports on plasmas was described somewhere. I remember that connecting “on the go” leads to this. That is, before connecting the computer via cable, you need to disconnect everything from the network!</v>
      </c>
    </row>
    <row r="5753" spans="1:9" x14ac:dyDescent="0.3">
      <c r="A5753" s="1" t="s">
        <v>211</v>
      </c>
      <c r="B5753" s="1" t="s">
        <v>265</v>
      </c>
      <c r="C5753" s="1" t="s">
        <v>57</v>
      </c>
      <c r="D5753" s="1" t="s">
        <v>742</v>
      </c>
      <c r="E5753" s="1" t="s">
        <v>1448</v>
      </c>
      <c r="F5753" s="1" t="s">
        <v>9321</v>
      </c>
      <c r="G5753" s="1" t="s">
        <v>15</v>
      </c>
      <c r="H5753" s="1" t="s">
        <v>16</v>
      </c>
      <c r="I5753" s="1" t="str">
        <f ca="1">IFERROR(__xludf.DUMMYFUNCTION("GOOGLETRANSLATE(F5753, ""auto"", ""en"")
"),"Uncomfortable. Somewhat bulky, heavy, noisy.")</f>
        <v>Uncomfortable. Somewhat bulky, heavy, noisy.</v>
      </c>
    </row>
    <row r="5754" spans="1:9" x14ac:dyDescent="0.3">
      <c r="A5754" s="1" t="s">
        <v>9</v>
      </c>
      <c r="B5754" s="1" t="s">
        <v>137</v>
      </c>
      <c r="C5754" s="1" t="s">
        <v>63</v>
      </c>
      <c r="D5754" s="1" t="s">
        <v>327</v>
      </c>
      <c r="E5754" s="1" t="s">
        <v>7460</v>
      </c>
      <c r="F5754" s="1" t="s">
        <v>9322</v>
      </c>
      <c r="G5754" s="1" t="s">
        <v>36</v>
      </c>
      <c r="H5754" s="1" t="s">
        <v>29</v>
      </c>
      <c r="I5754" s="1" t="str">
        <f ca="1">IFERROR(__xludf.DUMMYFUNCTION("GOOGLETRANSLATE(F5754, ""auto"", ""en"")
"),"I've been using it for about 8 years. Everything is fine, only the inscriptions on the panel have been erased.")</f>
        <v>I've been using it for about 8 years. Everything is fine, only the inscriptions on the panel have been erased.</v>
      </c>
    </row>
    <row r="5755" spans="1:9" x14ac:dyDescent="0.3">
      <c r="A5755" s="1" t="s">
        <v>120</v>
      </c>
      <c r="B5755" s="1" t="s">
        <v>121</v>
      </c>
      <c r="C5755" s="1" t="s">
        <v>80</v>
      </c>
      <c r="D5755" s="1" t="s">
        <v>9323</v>
      </c>
      <c r="E5755" s="1" t="s">
        <v>956</v>
      </c>
      <c r="F5755" s="1" t="s">
        <v>9324</v>
      </c>
      <c r="G5755" s="1" t="s">
        <v>28</v>
      </c>
      <c r="H5755" s="1" t="s">
        <v>29</v>
      </c>
      <c r="I5755" s="1" t="str">
        <f ca="1">IFERROR(__xludf.DUMMYFUNCTION("GOOGLETRANSLATE(F5755, ""auto"", ""en"")
"),"The telly is great. I bought it and am happy. Using two IR diodes, I entered the service menu and corrected it to read a USB flash drive. Don't be afraid, everything works fine. By the way, the firmware version is 3.65 and therefore I chose the method wit"&amp;"h 2 IR diodes.")</f>
        <v>The telly is great. I bought it and am happy. Using two IR diodes, I entered the service menu and corrected it to read a USB flash drive. Don't be afraid, everything works fine. By the way, the firmware version is 3.65 and therefore I chose the method with 2 IR diodes.</v>
      </c>
    </row>
    <row r="5756" spans="1:9" x14ac:dyDescent="0.3">
      <c r="A5756" s="1" t="s">
        <v>211</v>
      </c>
      <c r="B5756" s="1" t="s">
        <v>384</v>
      </c>
      <c r="C5756" s="1" t="s">
        <v>246</v>
      </c>
      <c r="D5756" s="1" t="s">
        <v>474</v>
      </c>
      <c r="E5756" s="1" t="s">
        <v>1129</v>
      </c>
      <c r="F5756" s="1" t="s">
        <v>9325</v>
      </c>
      <c r="G5756" s="1" t="s">
        <v>49</v>
      </c>
      <c r="H5756" s="1" t="s">
        <v>16</v>
      </c>
      <c r="I5756" s="1" t="str">
        <f ca="1">IFERROR(__xludf.DUMMYFUNCTION("GOOGLETRANSLATE(F5756, ""auto"", ""en"")
"),"The scales are very bad (((I bought them 4 days ago. The very next day I wanted to go and take them, but I got very sick. At first they didn’t turn on at all...then they “drived” -+ 7 kg!!!! When I picked up a 2-liter bottle... they showed + 4 kg!!! Nothi"&amp;"ng, an error of 100 grams!!! I check it every day because I have nothing to do))) all TVKs drive!!! Not scales, but a nightmare!!!!!! DO NOT BUY!!!")</f>
        <v>The scales are very bad (((I bought them 4 days ago. The very next day I wanted to go and take them, but I got very sick. At first they didn’t turn on at all...then they “drived” -+ 7 kg!!!! When I picked up a 2-liter bottle... they showed + 4 kg!!! Nothing, an error of 100 grams!!! I check it every day because I have nothing to do))) all TVKs drive!!! Not scales, but a nightmare!!!!!! DO NOT BUY!!!</v>
      </c>
    </row>
    <row r="5757" spans="1:9" x14ac:dyDescent="0.3">
      <c r="A5757" s="1" t="s">
        <v>211</v>
      </c>
      <c r="B5757" s="1" t="s">
        <v>515</v>
      </c>
      <c r="C5757" s="1" t="s">
        <v>213</v>
      </c>
      <c r="D5757" s="1" t="s">
        <v>151</v>
      </c>
      <c r="E5757" s="1" t="s">
        <v>755</v>
      </c>
      <c r="F5757" s="1" t="s">
        <v>9326</v>
      </c>
      <c r="G5757" s="1" t="s">
        <v>36</v>
      </c>
      <c r="H5757" s="1" t="s">
        <v>29</v>
      </c>
      <c r="I5757" s="1" t="str">
        <f ca="1">IFERROR(__xludf.DUMMYFUNCTION("GOOGLETRANSLATE(F5757, ""auto"", ""en"")
"),"A completely acceptable device for its price, without unnecessary bells and whistles and at an affordable price. I started my acquaintance with epilators with Braun SilkEpil 1 1170. The device is not large, the size of a palm, the body is white, there are"&amp;" pimples on the back side that prevent it from slipping out of your hands during operation.   It does not have a battery, it works from an outlet, the cord is about 3 meters.   There is only one operating speed, but it is enough.   It removes hair well, a"&amp;"t first it was not very pleasant, but now I’m used to it and the pain has been reduced to a minimum. The nozzle can be easily removed after use and cleaned with a brush. Convenient to store, takes up little space.   An excellent assistant in the fight aga"&amp;"inst unwanted vegetation for many years.")</f>
        <v>A completely acceptable device for its price, without unnecessary bells and whistles and at an affordable price. I started my acquaintance with epilators with Braun SilkEpil 1 1170. The device is not large, the size of a palm, the body is white, there are pimples on the back side that prevent it from slipping out of your hands during operation.   It does not have a battery, it works from an outlet, the cord is about 3 meters.   There is only one operating speed, but it is enough.   It removes hair well, at first it was not very pleasant, but now I’m used to it and the pain has been reduced to a minimum. The nozzle can be easily removed after use and cleaned with a brush. Convenient to store, takes up little space.   An excellent assistant in the fight against unwanted vegetation for many years.</v>
      </c>
    </row>
    <row r="5758" spans="1:9" x14ac:dyDescent="0.3">
      <c r="A5758" s="1" t="s">
        <v>111</v>
      </c>
      <c r="B5758" s="1" t="s">
        <v>636</v>
      </c>
      <c r="C5758" s="1" t="s">
        <v>637</v>
      </c>
      <c r="D5758" s="1" t="s">
        <v>9327</v>
      </c>
      <c r="E5758" s="1" t="s">
        <v>6608</v>
      </c>
      <c r="F5758" s="1" t="s">
        <v>9328</v>
      </c>
      <c r="G5758" s="1" t="s">
        <v>28</v>
      </c>
      <c r="H5758" s="1" t="s">
        <v>29</v>
      </c>
      <c r="I5758" s="1" t="str">
        <f ca="1">IFERROR(__xludf.DUMMYFUNCTION("GOOGLETRANSLATE(F5758, ""auto"", ""en"")
"),"Got it for points. If there was an assortment here, I would choose a solution that was fresher and more functional (the model became outdated in three or four years). Pros: Design - glass panel, comes in two colors to choose from, thin body, as a result -"&amp;" convenient wall mounting, large icons are easily recognized, batteries included. Quite accurate readings from the remote temperature sensor. I hung a remote sensor under the window in the hallway. When leaving home, you can inquire about the forecast for"&amp;" the day. Cons: Poor functionality (no history of temperature/humidity measurements, no display of pressure changes), very, very slow sensors, both the main module and the remote one. It takes more than half an hour to measure the temperature. No display "&amp;"backlight.")</f>
        <v>Got it for points. If there was an assortment here, I would choose a solution that was fresher and more functional (the model became outdated in three or four years). Pros: Design - glass panel, comes in two colors to choose from, thin body, as a result - convenient wall mounting, large icons are easily recognized, batteries included. Quite accurate readings from the remote temperature sensor. I hung a remote sensor under the window in the hallway. When leaving home, you can inquire about the forecast for the day. Cons: Poor functionality (no history of temperature/humidity measurements, no display of pressure changes), very, very slow sensors, both the main module and the remote one. It takes more than half an hour to measure the temperature. No display backlight.</v>
      </c>
    </row>
    <row r="5759" spans="1:9" x14ac:dyDescent="0.3">
      <c r="A5759" s="1" t="s">
        <v>37</v>
      </c>
      <c r="B5759" s="1" t="s">
        <v>38</v>
      </c>
      <c r="C5759" s="1" t="s">
        <v>39</v>
      </c>
      <c r="D5759" s="1" t="s">
        <v>39</v>
      </c>
      <c r="E5759" s="1" t="s">
        <v>1167</v>
      </c>
      <c r="F5759" s="1" t="s">
        <v>9329</v>
      </c>
      <c r="G5759" s="1" t="s">
        <v>49</v>
      </c>
      <c r="H5759" s="1" t="s">
        <v>16</v>
      </c>
      <c r="I5759" s="1" t="str">
        <f ca="1">IFERROR(__xludf.DUMMYFUNCTION("GOOGLETRANSLATE(F5759, ""auto"", ""en"")
"),"I became the owner of this phone. It looks good at first glance, but upon closer inspection you notice that the back cover is plastic and comes off slightly; the bell is not very loud. After studying the phone system itself, disadvantages are revealed. Ja"&amp;"va is not transmitted over bluetooth, so anyone who wants to transfer some applications will need a computer. The speakers play very quietly, especially the alarm clock, which is surprising from the overall sound. He does not accept topics and it is impos"&amp;"sible to put others except relatives. Setting up the Internet itself for Java applications was a dead end since it had to be configured separately from the general Internet settings. The function of the buttons is also confusing. People complain about fai"&amp;"lures of this phone on the forums. I don't recommend taking it if you don't want problems. The price does not correspond to the quality.")</f>
        <v>I became the owner of this phone. It looks good at first glance, but upon closer inspection you notice that the back cover is plastic and comes off slightly; the bell is not very loud. After studying the phone system itself, disadvantages are revealed. Java is not transmitted over bluetooth, so anyone who wants to transfer some applications will need a computer. The speakers play very quietly, especially the alarm clock, which is surprising from the overall sound. He does not accept topics and it is impossible to put others except relatives. Setting up the Internet itself for Java applications was a dead end since it had to be configured separately from the general Internet settings. The function of the buttons is also confusing. People complain about failures of this phone on the forums. I don't recommend taking it if you don't want problems. The price does not correspond to the quality.</v>
      </c>
    </row>
    <row r="5760" spans="1:9" x14ac:dyDescent="0.3">
      <c r="A5760" s="1" t="s">
        <v>61</v>
      </c>
      <c r="B5760" s="1" t="s">
        <v>318</v>
      </c>
      <c r="C5760" s="1" t="s">
        <v>1461</v>
      </c>
      <c r="D5760" s="1" t="s">
        <v>12</v>
      </c>
      <c r="E5760" s="1" t="s">
        <v>3128</v>
      </c>
      <c r="F5760" s="1" t="s">
        <v>9330</v>
      </c>
      <c r="G5760" s="1" t="s">
        <v>28</v>
      </c>
      <c r="H5760" s="1" t="s">
        <v>29</v>
      </c>
      <c r="I5760" s="1" t="str">
        <f ca="1">IFERROR(__xludf.DUMMYFUNCTION("GOOGLETRANSLATE(F5760, ""auto"", ""en"")
"),"We borrowed a kettle for a while. Works for 3 months. There is no reason to replace it yet. Doesn't smell like plastic. I was pleasantly surprised by the quality of the inexpensive kettle.")</f>
        <v>We borrowed a kettle for a while. Works for 3 months. There is no reason to replace it yet. Doesn't smell like plastic. I was pleasantly surprised by the quality of the inexpensive kettle.</v>
      </c>
    </row>
    <row r="5761" spans="1:9" x14ac:dyDescent="0.3">
      <c r="A5761" s="1" t="s">
        <v>105</v>
      </c>
      <c r="B5761" s="1" t="s">
        <v>106</v>
      </c>
      <c r="C5761" s="1" t="s">
        <v>151</v>
      </c>
      <c r="D5761" s="1" t="s">
        <v>295</v>
      </c>
      <c r="E5761" s="1" t="s">
        <v>5947</v>
      </c>
      <c r="F5761" s="1" t="s">
        <v>9331</v>
      </c>
      <c r="G5761" s="1" t="s">
        <v>36</v>
      </c>
      <c r="H5761" s="1" t="s">
        <v>29</v>
      </c>
      <c r="I5761" s="1" t="str">
        <f ca="1">IFERROR(__xludf.DUMMYFUNCTION("GOOGLETRANSLATE(F5761, ""auto"", ""en"")
"),"excellent model, comfortable.")</f>
        <v>excellent model, comfortable.</v>
      </c>
    </row>
    <row r="5762" spans="1:9" x14ac:dyDescent="0.3">
      <c r="A5762" s="1" t="s">
        <v>9</v>
      </c>
      <c r="B5762" s="1" t="s">
        <v>23</v>
      </c>
      <c r="C5762" s="1" t="s">
        <v>63</v>
      </c>
      <c r="D5762" s="1" t="s">
        <v>295</v>
      </c>
      <c r="E5762" s="1" t="s">
        <v>3095</v>
      </c>
      <c r="F5762" s="1" t="s">
        <v>9332</v>
      </c>
      <c r="G5762" s="1" t="s">
        <v>49</v>
      </c>
      <c r="H5762" s="1" t="s">
        <v>16</v>
      </c>
      <c r="I5762" s="1" t="str">
        <f ca="1">IFERROR(__xludf.DUMMYFUNCTION("GOOGLETRANSLATE(F5762, ""auto"", ""en"")
"),"Don't buy this machine, it doesn't clean very well. Moreover, almost immediately the selection of programs began to act up, but only one of them produced soap, and after 1.5 years the pump broke down. There is no point in buying an expensive car if they a"&amp;"ll break down the same way, it is better to opt for a cheaper model.")</f>
        <v>Don't buy this machine, it doesn't clean very well. Moreover, almost immediately the selection of programs began to act up, but only one of them produced soap, and after 1.5 years the pump broke down. There is no point in buying an expensive car if they all break down the same way, it is better to opt for a cheaper model.</v>
      </c>
    </row>
    <row r="5763" spans="1:9" x14ac:dyDescent="0.3">
      <c r="A5763" s="1" t="s">
        <v>211</v>
      </c>
      <c r="B5763" s="1" t="s">
        <v>515</v>
      </c>
      <c r="C5763" s="1" t="s">
        <v>69</v>
      </c>
      <c r="D5763" s="1" t="s">
        <v>7704</v>
      </c>
      <c r="E5763" s="1" t="s">
        <v>5046</v>
      </c>
      <c r="F5763" s="1" t="s">
        <v>9333</v>
      </c>
      <c r="G5763" s="1" t="s">
        <v>36</v>
      </c>
      <c r="H5763" s="1" t="s">
        <v>29</v>
      </c>
      <c r="I5763" s="1" t="str">
        <f ca="1">IFERROR(__xludf.DUMMYFUNCTION("GOOGLETRANSLATE(F5763, ""auto"", ""en"")
"),"The epilator is excellent. The pain is tolerable. Everything is smooth and clean. I recommend it.")</f>
        <v>The epilator is excellent. The pain is tolerable. Everything is smooth and clean. I recommend it.</v>
      </c>
    </row>
    <row r="5764" spans="1:9" x14ac:dyDescent="0.3">
      <c r="A5764" s="1" t="s">
        <v>557</v>
      </c>
      <c r="B5764" s="1" t="s">
        <v>558</v>
      </c>
      <c r="C5764" s="1" t="s">
        <v>122</v>
      </c>
      <c r="D5764" s="1" t="s">
        <v>1092</v>
      </c>
      <c r="E5764" s="1" t="s">
        <v>475</v>
      </c>
      <c r="F5764" s="1" t="s">
        <v>9334</v>
      </c>
      <c r="G5764" s="1" t="s">
        <v>28</v>
      </c>
      <c r="H5764" s="1" t="s">
        <v>29</v>
      </c>
      <c r="I5764" s="1" t="str">
        <f ca="1">IFERROR(__xludf.DUMMYFUNCTION("GOOGLETRANSLATE(F5764, ""auto"", ""en"")
"),"We've only been using it for a month. So far the flight is normal. It's good that the charge level is shown on the display. You won't be caught off guard by a low battery. If it were not for the disadvantages that I wrote about, then it would be an excell"&amp;"ent device. I don't consider the lack of keyboard backlight to be a minus. Rather, it would be a nice addition.    Cute, the bell is loud enough, although it could be a little louder (I have reduced hearing). The sound quality during conversations is exce"&amp;"llent. A good display with a backlight that is pleasant to the eye, displaying the level of the received signal and the remaining battery charge.    The main disadvantage is the very cumbersome procedure of transferring a call to another handset. We don’t"&amp;" use it at all because of its confusion. It’s easier to come and pass the phone from hand to hand. Previously, Panasonics had a clear and understandable INT button, after pressing which you had to enter the number of the handset to which the transfer was "&amp;"being made. But the program writers are itching to “update” everything and make it cooler in their opinion. It turned out the other way around. Multibase is not supported. The DECT protocol is crooked - the handsets regularly “fall off” from the base for "&amp;"a short time. So you only have to use them with the native base.")</f>
        <v>We've only been using it for a month. So far the flight is normal. It's good that the charge level is shown on the display. You won't be caught off guard by a low battery. If it were not for the disadvantages that I wrote about, then it would be an excellent device. I don't consider the lack of keyboard backlight to be a minus. Rather, it would be a nice addition.    Cute, the bell is loud enough, although it could be a little louder (I have reduced hearing). The sound quality during conversations is excellent. A good display with a backlight that is pleasant to the eye, displaying the level of the received signal and the remaining battery charge.    The main disadvantage is the very cumbersome procedure of transferring a call to another handset. We don’t use it at all because of its confusion. It’s easier to come and pass the phone from hand to hand. Previously, Panasonics had a clear and understandable INT button, after pressing which you had to enter the number of the handset to which the transfer was being made. But the program writers are itching to “update” everything and make it cooler in their opinion. It turned out the other way around. Multibase is not supported. The DECT protocol is crooked - the handsets regularly “fall off” from the base for a short time. So you only have to use them with the native base.</v>
      </c>
    </row>
    <row r="5765" spans="1:9" x14ac:dyDescent="0.3">
      <c r="A5765" s="1" t="s">
        <v>78</v>
      </c>
      <c r="B5765" s="1" t="s">
        <v>493</v>
      </c>
      <c r="C5765" s="1" t="s">
        <v>122</v>
      </c>
      <c r="D5765" s="1" t="s">
        <v>247</v>
      </c>
      <c r="E5765" s="1" t="s">
        <v>2815</v>
      </c>
      <c r="F5765" s="1" t="s">
        <v>9335</v>
      </c>
      <c r="G5765" s="1" t="s">
        <v>36</v>
      </c>
      <c r="H5765" s="1" t="s">
        <v>29</v>
      </c>
      <c r="I5765" s="1" t="str">
        <f ca="1">IFERROR(__xludf.DUMMYFUNCTION("GOOGLETRANSLATE(F5765, ""auto"", ""en"")
"),"A very good stove, it has been working for several years now. It’s easy to operate, but the bottom doesn’t bake, otherwise everything is great.")</f>
        <v>A very good stove, it has been working for several years now. It’s easy to operate, but the bottom doesn’t bake, otherwise everything is great.</v>
      </c>
    </row>
    <row r="5766" spans="1:9" x14ac:dyDescent="0.3">
      <c r="A5766" s="1" t="s">
        <v>37</v>
      </c>
      <c r="B5766" s="1" t="s">
        <v>536</v>
      </c>
      <c r="C5766" s="1" t="s">
        <v>32</v>
      </c>
      <c r="D5766" s="1" t="s">
        <v>548</v>
      </c>
      <c r="E5766" s="1" t="s">
        <v>594</v>
      </c>
      <c r="F5766" s="1" t="s">
        <v>9336</v>
      </c>
      <c r="G5766" s="1" t="s">
        <v>15</v>
      </c>
      <c r="H5766" s="1" t="s">
        <v>16</v>
      </c>
      <c r="I5766" s="1" t="str">
        <f ca="1">IFERROR(__xludf.DUMMYFUNCTION("GOOGLETRANSLATE(F5766, ""auto"", ""en"")
"),"I'm happy with the device. Despite its constant glitches in the Windows Mobile OS. There are many programs for it that are almost free and not at all necessary. It's a cool navigator so you won't get lost. I took photos at sea and they turned out terrible"&amp;", poor color rendition. The boss called from work, but he didn’t call, he was in a case. Cool thing.")</f>
        <v>I'm happy with the device. Despite its constant glitches in the Windows Mobile OS. There are many programs for it that are almost free and not at all necessary. It's a cool navigator so you won't get lost. I took photos at sea and they turned out terrible, poor color rendition. The boss called from work, but he didn’t call, he was in a case. Cool thing.</v>
      </c>
    </row>
    <row r="5767" spans="1:9" x14ac:dyDescent="0.3">
      <c r="A5767" s="1" t="s">
        <v>113</v>
      </c>
      <c r="B5767" s="1" t="s">
        <v>1251</v>
      </c>
      <c r="C5767" s="1" t="s">
        <v>122</v>
      </c>
      <c r="D5767" s="1" t="s">
        <v>345</v>
      </c>
      <c r="E5767" s="1" t="s">
        <v>6012</v>
      </c>
      <c r="F5767" s="1" t="s">
        <v>9337</v>
      </c>
      <c r="G5767" s="1" t="s">
        <v>28</v>
      </c>
      <c r="H5767" s="1" t="s">
        <v>29</v>
      </c>
      <c r="I5767" s="1" t="str">
        <f ca="1">IFERROR(__xludf.DUMMYFUNCTION("GOOGLETRANSLATE(F5767, ""auto"", ""en"")
"),"It’s not a bad camera, it’s quite easy to understand its functions, the pictures are good, if the hands don’t shake during shooting. The video is also very good for a camera, quite high quality, the sound is normal.  Unfortunately, there was no AV cable i"&amp;"ncluded. It’s not particularly needed, but somehow it’s a little offensive.")</f>
        <v>It’s not a bad camera, it’s quite easy to understand its functions, the pictures are good, if the hands don’t shake during shooting. The video is also very good for a camera, quite high quality, the sound is normal.  Unfortunately, there was no AV cable included. It’s not particularly needed, but somehow it’s a little offensive.</v>
      </c>
    </row>
    <row r="5768" spans="1:9" x14ac:dyDescent="0.3">
      <c r="A5768" s="1" t="s">
        <v>9</v>
      </c>
      <c r="B5768" s="1" t="s">
        <v>10</v>
      </c>
      <c r="C5768" s="1" t="s">
        <v>407</v>
      </c>
      <c r="D5768" s="1" t="s">
        <v>653</v>
      </c>
      <c r="E5768" s="1" t="s">
        <v>5173</v>
      </c>
      <c r="F5768" s="1" t="s">
        <v>9338</v>
      </c>
      <c r="G5768" s="1" t="s">
        <v>36</v>
      </c>
      <c r="H5768" s="1" t="s">
        <v>29</v>
      </c>
      <c r="I5768" s="1" t="str">
        <f ca="1">IFERROR(__xludf.DUMMYFUNCTION("GOOGLETRANSLATE(F5768, ""auto"", ""en"")
"),"I really like it!!! quiet! stylish! comfortable!!! I recommend it to everyone!!! I read reviews about glass, explosions.... but I bought it and don’t regret it!!!! great purchase!!!!!")</f>
        <v>I really like it!!! quiet! stylish! comfortable!!! I recommend it to everyone!!! I read reviews about glass, explosions.... but I bought it and don’t regret it!!!! great purchase!!!!!</v>
      </c>
    </row>
    <row r="5769" spans="1:9" x14ac:dyDescent="0.3">
      <c r="A5769" s="1" t="s">
        <v>169</v>
      </c>
      <c r="B5769" s="1" t="s">
        <v>170</v>
      </c>
      <c r="C5769" s="1" t="s">
        <v>69</v>
      </c>
      <c r="D5769" s="1" t="s">
        <v>545</v>
      </c>
      <c r="E5769" s="1" t="s">
        <v>3794</v>
      </c>
      <c r="F5769" s="1" t="s">
        <v>9339</v>
      </c>
      <c r="G5769" s="1" t="s">
        <v>36</v>
      </c>
      <c r="H5769" s="1" t="s">
        <v>29</v>
      </c>
      <c r="I5769" s="1" t="str">
        <f ca="1">IFERROR(__xludf.DUMMYFUNCTION("GOOGLETRANSLATE(F5769, ""auto"", ""en"")
"),"Headphones, in my case, are connected to the computer. I've been using them for more than 3 years. I'm happy because... You can’t find anything better for the money, and you shouldn’t! The batteries last for a long time (in my case, 6-10 days, while I sit"&amp;" at the computer for 2-3 hours a day). Naturally, these are not radio headphones, so it is necessary that the infrared port be in direct line of sight (sound will not penetrate through obstacles). Personally, everything is great for me, but the fact that "&amp;"the light interferes (I have more than enough devices using light bulbs) is nonsense, believe me!")</f>
        <v>Headphones, in my case, are connected to the computer. I've been using them for more than 3 years. I'm happy because... You can’t find anything better for the money, and you shouldn’t! The batteries last for a long time (in my case, 6-10 days, while I sit at the computer for 2-3 hours a day). Naturally, these are not radio headphones, so it is necessary that the infrared port be in direct line of sight (sound will not penetrate through obstacles). Personally, everything is great for me, but the fact that the light interferes (I have more than enough devices using light bulbs) is nonsense, believe me!</v>
      </c>
    </row>
    <row r="5770" spans="1:9" x14ac:dyDescent="0.3">
      <c r="A5770" s="1" t="s">
        <v>9</v>
      </c>
      <c r="B5770" s="1" t="s">
        <v>10</v>
      </c>
      <c r="C5770" s="1" t="s">
        <v>466</v>
      </c>
      <c r="D5770" s="1" t="s">
        <v>203</v>
      </c>
      <c r="E5770" s="1" t="s">
        <v>6180</v>
      </c>
      <c r="F5770" s="1" t="s">
        <v>9340</v>
      </c>
      <c r="G5770" s="1" t="s">
        <v>36</v>
      </c>
      <c r="H5770" s="1" t="s">
        <v>29</v>
      </c>
      <c r="I5770" s="1" t="str">
        <f ca="1">IFERROR(__xludf.DUMMYFUNCTION("GOOGLETRANSLATE(F5770, ""auto"", ""en"")
"),"1) The functionality is good for the money. Made with high quality compared to others. 2) I didn’t like the appearance, I would like to improve it.")</f>
        <v>1) The functionality is good for the money. Made with high quality compared to others. 2) I didn’t like the appearance, I would like to improve it.</v>
      </c>
    </row>
    <row r="5771" spans="1:9" x14ac:dyDescent="0.3">
      <c r="A5771" s="1" t="s">
        <v>9</v>
      </c>
      <c r="B5771" s="1" t="s">
        <v>10</v>
      </c>
      <c r="C5771" s="1" t="s">
        <v>407</v>
      </c>
      <c r="D5771" s="1" t="s">
        <v>327</v>
      </c>
      <c r="E5771" s="1" t="s">
        <v>594</v>
      </c>
      <c r="F5771" s="1" t="s">
        <v>9341</v>
      </c>
      <c r="G5771" s="1" t="s">
        <v>36</v>
      </c>
      <c r="H5771" s="1" t="s">
        <v>29</v>
      </c>
      <c r="I5771" s="1" t="str">
        <f ca="1">IFERROR(__xludf.DUMMYFUNCTION("GOOGLETRANSLATE(F5771, ""auto"", ""en"")
"),"I wouldn't say that the hood is very quiet. But it blows really well, the kit included a 100mm fitting, I bought a 120mm metal fitting and a 120mm metal corrugation, the larger cross-section has less resistance. fitting for sealant to the hood itself. It "&amp;"blows very well despite the fact that there are 2 90 degree angles in the corrugation. Even at 1st speed.     It was made clumsily, the metal was flimsy, the back guide was initially bent and the bottom cover was hanging loose, I had to bend it myself.   "&amp;"  The price makes me happy, I thought it would be worse. I bought it for the kitchen in Khrushchev.")</f>
        <v>I wouldn't say that the hood is very quiet. But it blows really well, the kit included a 100mm fitting, I bought a 120mm metal fitting and a 120mm metal corrugation, the larger cross-section has less resistance. fitting for sealant to the hood itself. It blows very well despite the fact that there are 2 90 degree angles in the corrugation. Even at 1st speed.     It was made clumsily, the metal was flimsy, the back guide was initially bent and the bottom cover was hanging loose, I had to bend it myself.     The price makes me happy, I thought it would be worse. I bought it for the kitchen in Khrushchev.</v>
      </c>
    </row>
    <row r="5772" spans="1:9" x14ac:dyDescent="0.3">
      <c r="A5772" s="1" t="s">
        <v>9</v>
      </c>
      <c r="B5772" s="1" t="s">
        <v>10</v>
      </c>
      <c r="C5772" s="1" t="s">
        <v>407</v>
      </c>
      <c r="D5772" s="1" t="s">
        <v>5031</v>
      </c>
      <c r="E5772" s="1" t="s">
        <v>3712</v>
      </c>
      <c r="F5772" s="1" t="s">
        <v>9342</v>
      </c>
      <c r="G5772" s="1" t="s">
        <v>15</v>
      </c>
      <c r="H5772" s="1" t="s">
        <v>16</v>
      </c>
      <c r="I5772" s="1" t="str">
        <f ca="1">IFERROR(__xludf.DUMMYFUNCTION("GOOGLETRANSLATE(F5772, ""auto"", ""en"")
"),"The hood is beautiful and modern. But there are many BUTs: 1) during installation, my husband was exhausted, it was very difficult to climb 2) it turns on automatically. At first you might think that this is a plus, BUT when you sleep and it turns on by i"&amp;"tself, you realize that it’s nothing good. And there were a lot of such cases. One day we returned home from work, and she was working, and it was unknown how long it lasted. 3) the sensor does not always turn off.")</f>
        <v>The hood is beautiful and modern. But there are many BUTs: 1) during installation, my husband was exhausted, it was very difficult to climb 2) it turns on automatically. At first you might think that this is a plus, BUT when you sleep and it turns on by itself, you realize that it’s nothing good. And there were a lot of such cases. One day we returned home from work, and she was working, and it was unknown how long it lasted. 3) the sensor does not always turn off.</v>
      </c>
    </row>
    <row r="5773" spans="1:9" x14ac:dyDescent="0.3">
      <c r="A5773" s="1" t="s">
        <v>149</v>
      </c>
      <c r="B5773" s="1" t="s">
        <v>155</v>
      </c>
      <c r="C5773" s="1" t="s">
        <v>151</v>
      </c>
      <c r="D5773" s="1" t="s">
        <v>474</v>
      </c>
      <c r="E5773" s="1" t="s">
        <v>6098</v>
      </c>
      <c r="F5773" s="1" t="s">
        <v>9343</v>
      </c>
      <c r="G5773" s="1" t="s">
        <v>36</v>
      </c>
      <c r="H5773" s="1" t="s">
        <v>29</v>
      </c>
      <c r="I5773" s="1" t="str">
        <f ca="1">IFERROR(__xludf.DUMMYFUNCTION("GOOGLETRANSLATE(F5773, ""auto"", ""en"")
"),"Yesterday I purchased this device. Just great. I'm delighted. A very powerful vacuum cleaner. It seems like I clean every day, but there is so much dust and dirt in the container.  I was a little confused by the fact that there is no on/off button on the "&amp;"body of the vacuum cleaner. Control on the handle (on, off, power adjustment).   I ordered it here - in the online store. The color is not the same as in the photo. Dark burgundy. It looks very nice.")</f>
        <v>Yesterday I purchased this device. Just great. I'm delighted. A very powerful vacuum cleaner. It seems like I clean every day, but there is so much dust and dirt in the container.  I was a little confused by the fact that there is no on/off button on the body of the vacuum cleaner. Control on the handle (on, off, power adjustment).   I ordered it here - in the online store. The color is not the same as in the photo. Dark burgundy. It looks very nice.</v>
      </c>
    </row>
    <row r="5774" spans="1:9" x14ac:dyDescent="0.3">
      <c r="A5774" s="1" t="s">
        <v>30</v>
      </c>
      <c r="B5774" s="1" t="s">
        <v>50</v>
      </c>
      <c r="C5774" s="1" t="s">
        <v>51</v>
      </c>
      <c r="D5774" s="1" t="s">
        <v>9203</v>
      </c>
      <c r="E5774" s="1" t="s">
        <v>1773</v>
      </c>
      <c r="F5774" s="1" t="s">
        <v>9344</v>
      </c>
      <c r="G5774" s="1" t="s">
        <v>36</v>
      </c>
      <c r="H5774" s="1" t="s">
        <v>29</v>
      </c>
      <c r="I5774" s="1" t="str">
        <f ca="1">IFERROR(__xludf.DUMMYFUNCTION("GOOGLETRANSLATE(F5774, ""auto"", ""en"")
"),"Does anyone know how to split the screw into several sections, something just doesn’t work")</f>
        <v>Does anyone know how to split the screw into several sections, something just doesn’t work</v>
      </c>
    </row>
    <row r="5775" spans="1:9" x14ac:dyDescent="0.3">
      <c r="A5775" s="1" t="s">
        <v>61</v>
      </c>
      <c r="B5775" s="1" t="s">
        <v>318</v>
      </c>
      <c r="C5775" s="1" t="s">
        <v>146</v>
      </c>
      <c r="D5775" s="1" t="s">
        <v>39</v>
      </c>
      <c r="E5775" s="1" t="s">
        <v>3454</v>
      </c>
      <c r="F5775" s="1" t="s">
        <v>9345</v>
      </c>
      <c r="G5775" s="1" t="s">
        <v>36</v>
      </c>
      <c r="H5775" s="1" t="s">
        <v>29</v>
      </c>
      <c r="I5775" s="1" t="str">
        <f ca="1">IFERROR(__xludf.DUMMYFUNCTION("GOOGLETRANSLATE(F5775, ""auto"", ""en"")
"),"A wonderful kettle for the money. Strict design. Good quality plastic. Convenient anti-slip pad on the handle.")</f>
        <v>A wonderful kettle for the money. Strict design. Good quality plastic. Convenient anti-slip pad on the handle.</v>
      </c>
    </row>
    <row r="5776" spans="1:9" x14ac:dyDescent="0.3">
      <c r="A5776" s="1" t="s">
        <v>17</v>
      </c>
      <c r="B5776" s="1" t="s">
        <v>18</v>
      </c>
      <c r="C5776" s="1" t="s">
        <v>290</v>
      </c>
      <c r="D5776" s="1" t="s">
        <v>1400</v>
      </c>
      <c r="E5776" s="1" t="s">
        <v>688</v>
      </c>
      <c r="F5776" s="1" t="s">
        <v>9346</v>
      </c>
      <c r="G5776" s="1" t="s">
        <v>28</v>
      </c>
      <c r="H5776" s="1" t="s">
        <v>29</v>
      </c>
      <c r="I5776" s="1" t="str">
        <f ca="1">IFERROR(__xludf.DUMMYFUNCTION("GOOGLETRANSLATE(F5776, ""auto"", ""en"")
"),"It washes normally, the pump is a little noisy, and I didn’t like that the relay constantly clicks when the engine reverse is activated, they could have added electronic control. And the transport protection is too tricky - it’s difficult to put the pins "&amp;"back.")</f>
        <v>It washes normally, the pump is a little noisy, and I didn’t like that the relay constantly clicks when the engine reverse is activated, they could have added electronic control. And the transport protection is too tricky - it’s difficult to put the pins back.</v>
      </c>
    </row>
    <row r="5777" spans="1:9" x14ac:dyDescent="0.3">
      <c r="A5777" s="1" t="s">
        <v>37</v>
      </c>
      <c r="B5777" s="1" t="s">
        <v>38</v>
      </c>
      <c r="C5777" s="1" t="s">
        <v>163</v>
      </c>
      <c r="D5777" s="1" t="s">
        <v>1459</v>
      </c>
      <c r="E5777" s="1" t="s">
        <v>529</v>
      </c>
      <c r="F5777" s="1" t="s">
        <v>9347</v>
      </c>
      <c r="G5777" s="1" t="s">
        <v>28</v>
      </c>
      <c r="H5777" s="1" t="s">
        <v>29</v>
      </c>
      <c r="I5777" s="1" t="str">
        <f ca="1">IFERROR(__xludf.DUMMYFUNCTION("GOOGLETRANSLATE(F5777, ""auto"", ""en"")
"),"The phone is good, I bought it a long time ago, now it’s on the shelf =) I never took it for repairs, there were problems with the 8GB memory card, I had to install 4GB.  The downside is the back cover, after several falls it stopped holding calmly and fe"&amp;"ll right out of my hands.  The case saved the day, but overall the phone is good.")</f>
        <v>The phone is good, I bought it a long time ago, now it’s on the shelf =) I never took it for repairs, there were problems with the 8GB memory card, I had to install 4GB.  The downside is the back cover, after several falls it stopped holding calmly and fell right out of my hands.  The case saved the day, but overall the phone is good.</v>
      </c>
    </row>
    <row r="5778" spans="1:9" x14ac:dyDescent="0.3">
      <c r="A5778" s="1" t="s">
        <v>61</v>
      </c>
      <c r="B5778" s="1" t="s">
        <v>224</v>
      </c>
      <c r="C5778" s="1" t="s">
        <v>85</v>
      </c>
      <c r="D5778" s="1" t="s">
        <v>9348</v>
      </c>
      <c r="E5778" s="1" t="s">
        <v>9349</v>
      </c>
      <c r="F5778" s="1" t="s">
        <v>9350</v>
      </c>
      <c r="G5778" s="1" t="s">
        <v>36</v>
      </c>
      <c r="H5778" s="1" t="s">
        <v>29</v>
      </c>
      <c r="I5778" s="1" t="str">
        <f ca="1">IFERROR(__xludf.DUMMYFUNCTION("GOOGLETRANSLATE(F5778, ""auto"", ""en"")
"),"We have been using this unit for a little over a year. We use it almost every day - we prepare a glass of juice for 3 people, and we also serve it to guests. I'm glad it's convenient: you don't need to cut fruits and vegetables. Juices were made from pear"&amp;"s, apples, kiwis, carrots, beets, citrus fruits, grapes - everything comes out instantly and without problems. Yes, there is foam, and the banana juice did not come out, but this does not upset us. We are glad that it reliably does its job even after a ye"&amp;"ar as on the first day. If you prepare juice in large volumes, there is a hitch with the volume of the bowl - you need to stop and empty it. Well, for daily use it’s just a favorite thing (by the way, thanks to a special brush it’s convenient to wash the "&amp;"mesh). I recommend")</f>
        <v>We have been using this unit for a little over a year. We use it almost every day - we prepare a glass of juice for 3 people, and we also serve it to guests. I'm glad it's convenient: you don't need to cut fruits and vegetables. Juices were made from pears, apples, kiwis, carrots, beets, citrus fruits, grapes - everything comes out instantly and without problems. Yes, there is foam, and the banana juice did not come out, but this does not upset us. We are glad that it reliably does its job even after a year as on the first day. If you prepare juice in large volumes, there is a hitch with the volume of the bowl - you need to stop and empty it. Well, for daily use it’s just a favorite thing (by the way, thanks to a special brush it’s convenient to wash the mesh). I recommend</v>
      </c>
    </row>
    <row r="5779" spans="1:9" x14ac:dyDescent="0.3">
      <c r="A5779" s="1" t="s">
        <v>30</v>
      </c>
      <c r="B5779" s="1" t="s">
        <v>31</v>
      </c>
      <c r="C5779" s="1" t="s">
        <v>365</v>
      </c>
      <c r="D5779" s="1" t="s">
        <v>81</v>
      </c>
      <c r="E5779" s="1" t="s">
        <v>3359</v>
      </c>
      <c r="F5779" s="1" t="s">
        <v>9351</v>
      </c>
      <c r="G5779" s="1" t="s">
        <v>28</v>
      </c>
      <c r="H5779" s="1" t="s">
        <v>29</v>
      </c>
      <c r="I5779" s="1" t="str">
        <f ca="1">IFERROR(__xludf.DUMMYFUNCTION("GOOGLETRANSLATE(F5779, ""auto"", ""en"")
"),"nice car, I took it for study, now I decided to put on a video, I don’t know how. Who knows how to disable the built-in one and whether it should be disabled at all, write if possible. I will be very grateful")</f>
        <v>nice car, I took it for study, now I decided to put on a video, I don’t know how. Who knows how to disable the built-in one and whether it should be disabled at all, write if possible. I will be very grateful</v>
      </c>
    </row>
    <row r="5780" spans="1:9" x14ac:dyDescent="0.3">
      <c r="A5780" s="1" t="s">
        <v>1443</v>
      </c>
      <c r="B5780" s="1" t="s">
        <v>1444</v>
      </c>
      <c r="C5780" s="1" t="s">
        <v>1489</v>
      </c>
      <c r="D5780" s="1" t="s">
        <v>1036</v>
      </c>
      <c r="E5780" s="1" t="s">
        <v>985</v>
      </c>
      <c r="F5780" s="1" t="s">
        <v>9352</v>
      </c>
      <c r="G5780" s="1" t="s">
        <v>36</v>
      </c>
      <c r="H5780" s="1" t="s">
        <v>29</v>
      </c>
      <c r="I5780" s="1" t="str">
        <f ca="1">IFERROR(__xludf.DUMMYFUNCTION("GOOGLETRANSLATE(F5780, ""auto"", ""en"")
"),"Cool flash drive, all my flash drives are Kingston. I've been using it for years and never had any problems with it. The speed is moderate, but, you see, the price is not at all exorbitant. As for me, the price is quite consistent with the quality. And th"&amp;"e quality here is really excellent.")</f>
        <v>Cool flash drive, all my flash drives are Kingston. I've been using it for years and never had any problems with it. The speed is moderate, but, you see, the price is not at all exorbitant. As for me, the price is quite consistent with the quality. And the quality here is really excellent.</v>
      </c>
    </row>
    <row r="5781" spans="1:9" x14ac:dyDescent="0.3">
      <c r="A5781" s="1" t="s">
        <v>30</v>
      </c>
      <c r="B5781" s="1" t="s">
        <v>50</v>
      </c>
      <c r="C5781" s="1" t="s">
        <v>51</v>
      </c>
      <c r="D5781" s="1" t="s">
        <v>1933</v>
      </c>
      <c r="E5781" s="1" t="s">
        <v>1649</v>
      </c>
      <c r="F5781" s="1" t="s">
        <v>9353</v>
      </c>
      <c r="G5781" s="1" t="s">
        <v>28</v>
      </c>
      <c r="H5781" s="1" t="s">
        <v>29</v>
      </c>
      <c r="I5781" s="1" t="str">
        <f ca="1">IFERROR(__xludf.DUMMYFUNCTION("GOOGLETRANSLATE(F5781, ""auto"", ""en"")
"),"I was on a business trip in Moscow, so I regret that I didn’t buy this machine (laptop). I didn’t have enough money, I hope I’ll take it on my next visit.")</f>
        <v>I was on a business trip in Moscow, so I regret that I didn’t buy this machine (laptop). I didn’t have enough money, I hope I’ll take it on my next visit.</v>
      </c>
    </row>
    <row r="5782" spans="1:9" x14ac:dyDescent="0.3">
      <c r="A5782" s="1" t="s">
        <v>67</v>
      </c>
      <c r="B5782" s="1" t="s">
        <v>68</v>
      </c>
      <c r="C5782" s="1" t="s">
        <v>69</v>
      </c>
      <c r="D5782" s="1" t="s">
        <v>171</v>
      </c>
      <c r="E5782" s="1" t="s">
        <v>2512</v>
      </c>
      <c r="F5782" s="1" t="s">
        <v>9354</v>
      </c>
      <c r="G5782" s="1" t="s">
        <v>36</v>
      </c>
      <c r="H5782" s="1" t="s">
        <v>29</v>
      </c>
      <c r="I5782" s="1" t="str">
        <f ca="1">IFERROR(__xludf.DUMMYFUNCTION("GOOGLETRANSLATE(F5782, ""auto"", ""en"")
"),"I bought it 3 years ago and have never regretted it. I recommend!")</f>
        <v>I bought it 3 years ago and have never regretted it. I recommend!</v>
      </c>
    </row>
    <row r="5783" spans="1:9" x14ac:dyDescent="0.3">
      <c r="A5783" s="1" t="s">
        <v>37</v>
      </c>
      <c r="B5783" s="1" t="s">
        <v>536</v>
      </c>
      <c r="C5783" s="1" t="s">
        <v>151</v>
      </c>
      <c r="D5783" s="1" t="s">
        <v>9355</v>
      </c>
      <c r="E5783" s="1" t="s">
        <v>2502</v>
      </c>
      <c r="F5783" s="1" t="s">
        <v>9356</v>
      </c>
      <c r="G5783" s="1" t="s">
        <v>49</v>
      </c>
      <c r="H5783" s="1" t="s">
        <v>16</v>
      </c>
      <c r="I5783" s="1" t="str">
        <f ca="1">IFERROR(__xludf.DUMMYFUNCTION("GOOGLETRANSLATE(F5783, ""auto"", ""en"")
"),"I bought the phone half a year ago, of course I was very disappointed, for that price they could have put in more gadgets!!!!!! For me, of course, money is not a problem, but I expected more!!!! Now I'm thinking of buying a Nokia H9000, I hope I won't be "&amp;"disappointed!!!!")</f>
        <v>I bought the phone half a year ago, of course I was very disappointed, for that price they could have put in more gadgets!!!!!! For me, of course, money is not a problem, but I expected more!!!! Now I'm thinking of buying a Nokia H9000, I hope I won't be disappointed!!!!</v>
      </c>
    </row>
    <row r="5784" spans="1:9" x14ac:dyDescent="0.3">
      <c r="A5784" s="1" t="s">
        <v>169</v>
      </c>
      <c r="B5784" s="1" t="s">
        <v>170</v>
      </c>
      <c r="C5784" s="1" t="s">
        <v>171</v>
      </c>
      <c r="D5784" s="1" t="s">
        <v>139</v>
      </c>
      <c r="E5784" s="1" t="s">
        <v>1992</v>
      </c>
      <c r="F5784" s="1" t="s">
        <v>9357</v>
      </c>
      <c r="G5784" s="1" t="s">
        <v>49</v>
      </c>
      <c r="H5784" s="1" t="s">
        <v>16</v>
      </c>
      <c r="I5784" s="1" t="str">
        <f ca="1">IFERROR(__xludf.DUMMYFUNCTION("GOOGLETRANSLATE(F5784, ""auto"", ""en"")
"),"Do not take it under any circumstances!  First the fastening cord came off, then the ear fastenings broke!  I didn't even last a week")</f>
        <v>Do not take it under any circumstances!  First the fastening cord came off, then the ear fastenings broke!  I didn't even last a week</v>
      </c>
    </row>
    <row r="5785" spans="1:9" x14ac:dyDescent="0.3">
      <c r="A5785" s="1" t="s">
        <v>30</v>
      </c>
      <c r="B5785" s="1" t="s">
        <v>50</v>
      </c>
      <c r="C5785" s="1" t="s">
        <v>189</v>
      </c>
      <c r="D5785" s="1" t="s">
        <v>695</v>
      </c>
      <c r="E5785" s="1" t="s">
        <v>717</v>
      </c>
      <c r="F5785" s="1" t="s">
        <v>9358</v>
      </c>
      <c r="G5785" s="1" t="s">
        <v>28</v>
      </c>
      <c r="H5785" s="1" t="s">
        <v>29</v>
      </c>
      <c r="I5785" s="1" t="str">
        <f ca="1">IFERROR(__xludf.DUMMYFUNCTION("GOOGLETRANSLATE(F5785, ""auto"", ""en"")
"),"I bought this model for the New Year, I’m happy with everything and even the M300 processor is not that weak in relation to the video card and the system as a whole. The only negative is that I still can’t update W7 Home Basic, it gives an error, Microsof"&amp;"t support is silent, I’m waiting for a response from ASUS.")</f>
        <v>I bought this model for the New Year, I’m happy with everything and even the M300 processor is not that weak in relation to the video card and the system as a whole. The only negative is that I still can’t update W7 Home Basic, it gives an error, Microsoft support is silent, I’m waiting for a response from ASUS.</v>
      </c>
    </row>
    <row r="5786" spans="1:9" x14ac:dyDescent="0.3">
      <c r="A5786" s="1" t="s">
        <v>149</v>
      </c>
      <c r="B5786" s="1" t="s">
        <v>155</v>
      </c>
      <c r="C5786" s="1" t="s">
        <v>24</v>
      </c>
      <c r="D5786" s="1" t="s">
        <v>385</v>
      </c>
      <c r="E5786" s="1" t="s">
        <v>8691</v>
      </c>
      <c r="F5786" s="1" t="s">
        <v>9359</v>
      </c>
      <c r="G5786" s="1" t="s">
        <v>49</v>
      </c>
      <c r="H5786" s="1" t="s">
        <v>16</v>
      </c>
      <c r="I5786" s="1" t="str">
        <f ca="1">IFERROR(__xludf.DUMMYFUNCTION("GOOGLETRANSLATE(F5786, ""auto"", ""en"")
"),"The container has to be shaken out after each room, because the suction power drops. Cleaning the filter is terrible. After a year of use, the plastic tube broke.")</f>
        <v>The container has to be shaken out after each room, because the suction power drops. Cleaning the filter is terrible. After a year of use, the plastic tube broke.</v>
      </c>
    </row>
    <row r="5787" spans="1:9" x14ac:dyDescent="0.3">
      <c r="A5787" s="1" t="s">
        <v>120</v>
      </c>
      <c r="B5787" s="1" t="s">
        <v>126</v>
      </c>
      <c r="C5787" s="1" t="s">
        <v>122</v>
      </c>
      <c r="D5787" s="1" t="s">
        <v>9360</v>
      </c>
      <c r="E5787" s="1" t="s">
        <v>4578</v>
      </c>
      <c r="F5787" s="1" t="s">
        <v>9361</v>
      </c>
      <c r="G5787" s="1" t="s">
        <v>28</v>
      </c>
      <c r="H5787" s="1" t="s">
        <v>29</v>
      </c>
      <c r="I5787" s="1" t="str">
        <f ca="1">IFERROR(__xludf.DUMMYFUNCTION("GOOGLETRANSLATE(F5787, ""auto"", ""en"")
"),"It’s a really good TV, don’t let the price bother you. The resolution is certainly not the highest, up to 1024 by 768, but the quality doesn’t suffer from this, the picture is uniform and has good detail.  The front speakers are certainly not cool, in gen"&amp;"eral the built-in sound, a striking example is laptops, is, to put it mildly, not good. Although this is for me, in principle, these acoustics are normal for undemanding people. But I love cool sound, so I purchased a separate system.  The menu is in Russ"&amp;"ian, there is SD, there is a freeze frame. Very good functionality for an inexpensive price)")</f>
        <v>It’s a really good TV, don’t let the price bother you. The resolution is certainly not the highest, up to 1024 by 768, but the quality doesn’t suffer from this, the picture is uniform and has good detail.  The front speakers are certainly not cool, in general the built-in sound, a striking example is laptops, is, to put it mildly, not good. Although this is for me, in principle, these acoustics are normal for undemanding people. But I love cool sound, so I purchased a separate system.  The menu is in Russian, there is SD, there is a freeze frame. Very good functionality for an inexpensive price)</v>
      </c>
    </row>
    <row r="5788" spans="1:9" x14ac:dyDescent="0.3">
      <c r="A5788" s="1" t="s">
        <v>369</v>
      </c>
      <c r="B5788" s="1" t="s">
        <v>370</v>
      </c>
      <c r="C5788" s="1" t="s">
        <v>63</v>
      </c>
      <c r="D5788" s="1" t="s">
        <v>592</v>
      </c>
      <c r="E5788" s="1" t="s">
        <v>4919</v>
      </c>
      <c r="F5788" s="1" t="s">
        <v>9362</v>
      </c>
      <c r="G5788" s="1" t="s">
        <v>36</v>
      </c>
      <c r="H5788" s="1" t="s">
        <v>29</v>
      </c>
      <c r="I5788" s="1" t="str">
        <f ca="1">IFERROR(__xludf.DUMMYFUNCTION("GOOGLETRANSLATE(F5788, ""auto"", ""en"")
"),"I've been using this stove for 2 years, everything is great!!!")</f>
        <v>I've been using this stove for 2 years, everything is great!!!</v>
      </c>
    </row>
    <row r="5789" spans="1:9" x14ac:dyDescent="0.3">
      <c r="A5789" s="1" t="s">
        <v>120</v>
      </c>
      <c r="B5789" s="1" t="s">
        <v>126</v>
      </c>
      <c r="C5789" s="1" t="s">
        <v>122</v>
      </c>
      <c r="D5789" s="1" t="s">
        <v>1776</v>
      </c>
      <c r="E5789" s="1" t="s">
        <v>1319</v>
      </c>
      <c r="F5789" s="1" t="s">
        <v>9363</v>
      </c>
      <c r="G5789" s="1" t="s">
        <v>36</v>
      </c>
      <c r="H5789" s="1" t="s">
        <v>29</v>
      </c>
      <c r="I5789" s="1" t="str">
        <f ca="1">IFERROR(__xludf.DUMMYFUNCTION("GOOGLETRANSLATE(F5789, ""auto"", ""en"")
"),"To a potential buyer (Novokuznetsk): If the room is darkened, at least with the help of fabric blinds, and the panel does not look directly at the window and other light sources, then the lack of anti-glare does not interfere with viewing and the buzz doe"&amp;"s not break, from personal experience.")</f>
        <v>To a potential buyer (Novokuznetsk): If the room is darkened, at least with the help of fabric blinds, and the panel does not look directly at the window and other light sources, then the lack of anti-glare does not interfere with viewing and the buzz does not break, from personal experience.</v>
      </c>
    </row>
    <row r="5790" spans="1:9" x14ac:dyDescent="0.3">
      <c r="A5790" s="1" t="s">
        <v>211</v>
      </c>
      <c r="B5790" s="1" t="s">
        <v>265</v>
      </c>
      <c r="C5790" s="1" t="s">
        <v>122</v>
      </c>
      <c r="D5790" s="1" t="s">
        <v>6118</v>
      </c>
      <c r="E5790" s="1" t="s">
        <v>8483</v>
      </c>
      <c r="F5790" s="1" t="s">
        <v>9364</v>
      </c>
      <c r="G5790" s="1" t="s">
        <v>36</v>
      </c>
      <c r="H5790" s="1" t="s">
        <v>29</v>
      </c>
      <c r="I5790" s="1" t="str">
        <f ca="1">IFERROR(__xludf.DUMMYFUNCTION("GOOGLETRANSLATE(F5790, ""auto"", ""en"")
"),"In my opinion, this is a very advantageous type of hair clipper - after all, the combination of quality from Panasonic with a favorable price, it would be a sin to pass up such a model. I bought it and have been using it for six months now, there were no "&amp;"interferences in my work, I was satisfied. It cuts well, evenly, if you get the hang of it, of course. You can easily rinse the knives under water, which is very convenient. The attachments are comfortable and high quality. In general, the machine is comf"&amp;"ortable to hold in your hand, the material is such that nothing slips and holds tightly. There is also a built-in trimmer. I usually charge it at night, but then I can use it for up to an hour in total - I’ve never had any problems with the battery. Overa"&amp;"ll I’m satisfied, I keep it in the original case, fortunately it comes with a special oil for lubrication.")</f>
        <v>In my opinion, this is a very advantageous type of hair clipper - after all, the combination of quality from Panasonic with a favorable price, it would be a sin to pass up such a model. I bought it and have been using it for six months now, there were no interferences in my work, I was satisfied. It cuts well, evenly, if you get the hang of it, of course. You can easily rinse the knives under water, which is very convenient. The attachments are comfortable and high quality. In general, the machine is comfortable to hold in your hand, the material is such that nothing slips and holds tightly. There is also a built-in trimmer. I usually charge it at night, but then I can use it for up to an hour in total - I’ve never had any problems with the battery. Overall I’m satisfied, I keep it in the original case, fortunately it comes with a special oil for lubrication.</v>
      </c>
    </row>
    <row r="5791" spans="1:9" x14ac:dyDescent="0.3">
      <c r="A5791" s="1" t="s">
        <v>30</v>
      </c>
      <c r="B5791" s="1" t="s">
        <v>50</v>
      </c>
      <c r="C5791" s="1" t="s">
        <v>1003</v>
      </c>
      <c r="D5791" s="1" t="s">
        <v>934</v>
      </c>
      <c r="E5791" s="1" t="s">
        <v>622</v>
      </c>
      <c r="F5791" s="1" t="s">
        <v>9365</v>
      </c>
      <c r="G5791" s="1" t="s">
        <v>28</v>
      </c>
      <c r="H5791" s="1" t="s">
        <v>29</v>
      </c>
      <c r="I5791" s="1" t="str">
        <f ca="1">IFERROR(__xludf.DUMMYFUNCTION("GOOGLETRANSLATE(F5791, ""auto"", ""en"")
"),"As for the battery, I can say that the charge lasts for 5 hours with constant use.")</f>
        <v>As for the battery, I can say that the charge lasts for 5 hours with constant use.</v>
      </c>
    </row>
    <row r="5792" spans="1:9" x14ac:dyDescent="0.3">
      <c r="A5792" s="1" t="s">
        <v>211</v>
      </c>
      <c r="B5792" s="1" t="s">
        <v>265</v>
      </c>
      <c r="C5792" s="1" t="s">
        <v>266</v>
      </c>
      <c r="D5792" s="1" t="s">
        <v>1431</v>
      </c>
      <c r="E5792" s="1" t="s">
        <v>6031</v>
      </c>
      <c r="F5792" s="1" t="s">
        <v>9366</v>
      </c>
      <c r="G5792" s="1" t="s">
        <v>36</v>
      </c>
      <c r="H5792" s="1" t="s">
        <v>29</v>
      </c>
      <c r="I5792" s="1" t="str">
        <f ca="1">IFERROR(__xludf.DUMMYFUNCTION("GOOGLETRANSLATE(F5792, ""auto"", ""en"")
"),"Great machine! It works flawlessly. Easy to clean, easy to rinse. 100% easy to use")</f>
        <v>Great machine! It works flawlessly. Easy to clean, easy to rinse. 100% easy to use</v>
      </c>
    </row>
    <row r="5793" spans="1:9" x14ac:dyDescent="0.3">
      <c r="A5793" s="1" t="s">
        <v>9</v>
      </c>
      <c r="B5793" s="1" t="s">
        <v>10</v>
      </c>
      <c r="C5793" s="1" t="s">
        <v>466</v>
      </c>
      <c r="D5793" s="1" t="s">
        <v>305</v>
      </c>
      <c r="E5793" s="1" t="s">
        <v>9367</v>
      </c>
      <c r="F5793" s="1" t="s">
        <v>9368</v>
      </c>
      <c r="G5793" s="1" t="s">
        <v>15</v>
      </c>
      <c r="H5793" s="1" t="s">
        <v>16</v>
      </c>
      <c r="I5793" s="1" t="str">
        <f ca="1">IFERROR(__xludf.DUMMYFUNCTION("GOOGLETRANSLATE(F5793, ""auto"", ""en"")
"),"purchased in the fall of 2011 died in the fall of 2014 everything is absolutely the same as they wrote earlier: wear of the bushing (closest to the impeller) -&gt; hum -&gt; grinding -&gt; stupor cleaning and lubrication in this case helps for a day or two... then"&amp;" for half a day or a day... and then it doesn’t help at all in the service there are spare parts only for the motor ($100) and the motor assembled with the impeller ($150)... no bushings)))")</f>
        <v>purchased in the fall of 2011 died in the fall of 2014 everything is absolutely the same as they wrote earlier: wear of the bushing (closest to the impeller) -&gt; hum -&gt; grinding -&gt; stupor cleaning and lubrication in this case helps for a day or two... then for half a day or a day... and then it doesn’t help at all in the service there are spare parts only for the motor ($100) and the motor assembled with the impeller ($150)... no bushings)))</v>
      </c>
    </row>
    <row r="5794" spans="1:9" x14ac:dyDescent="0.3">
      <c r="A5794" s="1" t="s">
        <v>37</v>
      </c>
      <c r="B5794" s="1" t="s">
        <v>38</v>
      </c>
      <c r="C5794" s="1" t="s">
        <v>151</v>
      </c>
      <c r="D5794" s="1" t="s">
        <v>1416</v>
      </c>
      <c r="E5794" s="1" t="s">
        <v>3999</v>
      </c>
      <c r="F5794" s="1" t="s">
        <v>9369</v>
      </c>
      <c r="G5794" s="1" t="s">
        <v>36</v>
      </c>
      <c r="H5794" s="1" t="s">
        <v>29</v>
      </c>
      <c r="I5794" s="1" t="str">
        <f ca="1">IFERROR(__xludf.DUMMYFUNCTION("GOOGLETRANSLATE(F5794, ""auto"", ""en"")
"),"The phone is just great, for such a price it’s amazing, I’ve been using it for 2 months and I’m very happy with the menu, I’m used to the fly b700, but it broke - it’s a great replacement.")</f>
        <v>The phone is just great, for such a price it’s amazing, I’ve been using it for 2 months and I’m very happy with the menu, I’m used to the fly b700, but it broke - it’s a great replacement.</v>
      </c>
    </row>
    <row r="5795" spans="1:9" x14ac:dyDescent="0.3">
      <c r="A5795" s="1" t="s">
        <v>61</v>
      </c>
      <c r="B5795" s="1" t="s">
        <v>318</v>
      </c>
      <c r="C5795" s="1" t="s">
        <v>69</v>
      </c>
      <c r="D5795" s="1" t="s">
        <v>308</v>
      </c>
      <c r="E5795" s="1" t="s">
        <v>1723</v>
      </c>
      <c r="F5795" s="1" t="s">
        <v>9370</v>
      </c>
      <c r="G5795" s="1" t="s">
        <v>28</v>
      </c>
      <c r="H5795" s="1" t="s">
        <v>29</v>
      </c>
      <c r="I5795" s="1" t="str">
        <f ca="1">IFERROR(__xludf.DUMMYFUNCTION("GOOGLETRANSLATE(F5795, ""auto"", ""en"")
"),"It seems that everything is not bad, it’s been almost 3 years of use and no complaints. But the noise made when heating the water finishes it off. My previous tefal kettle made much less noise, although it was spiral, maybe that’s the whole point...")</f>
        <v>It seems that everything is not bad, it’s been almost 3 years of use and no complaints. But the noise made when heating the water finishes it off. My previous tefal kettle made much less noise, although it was spiral, maybe that’s the whole point...</v>
      </c>
    </row>
    <row r="5796" spans="1:9" x14ac:dyDescent="0.3">
      <c r="A5796" s="1" t="s">
        <v>120</v>
      </c>
      <c r="B5796" s="1" t="s">
        <v>196</v>
      </c>
      <c r="C5796" s="1" t="s">
        <v>69</v>
      </c>
      <c r="D5796" s="1" t="s">
        <v>52</v>
      </c>
      <c r="E5796" s="1" t="s">
        <v>427</v>
      </c>
      <c r="F5796" s="1" t="s">
        <v>9371</v>
      </c>
      <c r="G5796" s="1" t="s">
        <v>36</v>
      </c>
      <c r="H5796" s="1" t="s">
        <v>29</v>
      </c>
      <c r="I5796" s="1" t="str">
        <f ca="1">IFERROR(__xludf.DUMMYFUNCTION("GOOGLETRANSLATE(F5796, ""auto"", ""en"")
"),"Purchased from M-Video in early February. Connected to a computer via an HDMI cable, resolution 1920x1080 pixels (FullHD). The picture is juicy and “live”, a 22"" computer monitor does not look good after an LCD. Everything is read from a flash drive, but"&amp;" movies are a little slow (perhaps the firmware version needs to be updated). HDTV and Blue-ray movies look great, I have already watched a couple of dozen films. The design of the TV is stylish and fits well into the interior of the apartment. The 42"" d"&amp;"iagonal became a bit small after some time of use, 47"" (50"") would have been just right, but this amateur  On TV broadcasting (I hardly watch TV channels), so I can only say that it shows well, without interference or noise. The sound on the TV also des"&amp;"erves praise.  Price - quality, satisfied with the TV!")</f>
        <v>Purchased from M-Video in early February. Connected to a computer via an HDMI cable, resolution 1920x1080 pixels (FullHD). The picture is juicy and “live”, a 22" computer monitor does not look good after an LCD. Everything is read from a flash drive, but movies are a little slow (perhaps the firmware version needs to be updated). HDTV and Blue-ray movies look great, I have already watched a couple of dozen films. The design of the TV is stylish and fits well into the interior of the apartment. The 42" diagonal became a bit small after some time of use, 47" (50") would have been just right, but this amateur  On TV broadcasting (I hardly watch TV channels), so I can only say that it shows well, without interference or noise. The sound on the TV also deserves praise.  Price - quality, satisfied with the TV!</v>
      </c>
    </row>
    <row r="5797" spans="1:9" x14ac:dyDescent="0.3">
      <c r="A5797" s="1" t="s">
        <v>17</v>
      </c>
      <c r="B5797" s="1" t="s">
        <v>18</v>
      </c>
      <c r="C5797" s="1" t="s">
        <v>80</v>
      </c>
      <c r="D5797" s="1" t="s">
        <v>146</v>
      </c>
      <c r="E5797" s="1" t="s">
        <v>3906</v>
      </c>
      <c r="F5797" s="1" t="s">
        <v>9372</v>
      </c>
      <c r="G5797" s="1" t="s">
        <v>28</v>
      </c>
      <c r="H5797" s="1" t="s">
        <v>29</v>
      </c>
      <c r="I5797" s="1" t="str">
        <f ca="1">IFERROR(__xludf.DUMMYFUNCTION("GOOGLETRANSLATE(F5797, ""auto"", ""en"")
"),"The machine is good, the service life of the washing machine is seven years, that’s how long it will work for you))))")</f>
        <v>The machine is good, the service life of the washing machine is seven years, that’s how long it will work for you))))</v>
      </c>
    </row>
    <row r="5798" spans="1:9" x14ac:dyDescent="0.3">
      <c r="A5798" s="1" t="s">
        <v>37</v>
      </c>
      <c r="B5798" s="1" t="s">
        <v>536</v>
      </c>
      <c r="C5798" s="1" t="s">
        <v>1419</v>
      </c>
      <c r="D5798" s="1" t="s">
        <v>172</v>
      </c>
      <c r="E5798" s="1" t="s">
        <v>1682</v>
      </c>
      <c r="F5798" s="1" t="s">
        <v>9373</v>
      </c>
      <c r="G5798" s="1" t="s">
        <v>36</v>
      </c>
      <c r="H5798" s="1" t="s">
        <v>29</v>
      </c>
      <c r="I5798" s="1" t="str">
        <f ca="1">IFERROR(__xludf.DUMMYFUNCTION("GOOGLETRANSLATE(F5798, ""auto"", ""en"")
"),"First communicator to use. I bought it a month ago, no problems so far. A huge plus for the price.  For that kind of money, you simply cannot find such a device. Let's support the domestic manufacturer :-)")</f>
        <v>First communicator to use. I bought it a month ago, no problems so far. A huge plus for the price.  For that kind of money, you simply cannot find such a device. Let's support the domestic manufacturer :-)</v>
      </c>
    </row>
    <row r="5799" spans="1:9" x14ac:dyDescent="0.3">
      <c r="A5799" s="1" t="s">
        <v>169</v>
      </c>
      <c r="B5799" s="1" t="s">
        <v>170</v>
      </c>
      <c r="C5799" s="1" t="s">
        <v>122</v>
      </c>
      <c r="D5799" s="1" t="s">
        <v>1851</v>
      </c>
      <c r="E5799" s="1" t="s">
        <v>1426</v>
      </c>
      <c r="F5799" s="1" t="s">
        <v>9374</v>
      </c>
      <c r="G5799" s="1" t="s">
        <v>36</v>
      </c>
      <c r="H5799" s="1" t="s">
        <v>29</v>
      </c>
      <c r="I5799" s="1" t="str">
        <f ca="1">IFERROR(__xludf.DUMMYFUNCTION("GOOGLETRANSLATE(F5799, ""auto"", ""en"")
"),"Everything is clear! No noise! Excellent headphones, enough bass) 8 points out of 10) I recommend, you won’t regret it!")</f>
        <v>Everything is clear! No noise! Excellent headphones, enough bass) 8 points out of 10) I recommend, you won’t regret it!</v>
      </c>
    </row>
    <row r="5800" spans="1:9" x14ac:dyDescent="0.3">
      <c r="A5800" s="1" t="s">
        <v>9</v>
      </c>
      <c r="B5800" s="1" t="s">
        <v>133</v>
      </c>
      <c r="C5800" s="1" t="s">
        <v>870</v>
      </c>
      <c r="D5800" s="1" t="s">
        <v>545</v>
      </c>
      <c r="E5800" s="1" t="s">
        <v>6636</v>
      </c>
      <c r="F5800" s="1" t="s">
        <v>9375</v>
      </c>
      <c r="G5800" s="1" t="s">
        <v>15</v>
      </c>
      <c r="H5800" s="1" t="s">
        <v>16</v>
      </c>
      <c r="I5800" s="1" t="str">
        <f ca="1">IFERROR(__xludf.DUMMYFUNCTION("GOOGLETRANSLATE(F5800, ""auto"", ""en"")
"),"The description says that: Overall dimensions (H*W*D) 595*595*564 mm Niche size (H*W*D) 600*560*550 mm How can the niche width be 56 cm if the oven width is 59.5 cm?")</f>
        <v>The description says that: Overall dimensions (H*W*D) 595*595*564 mm Niche size (H*W*D) 600*560*550 mm How can the niche width be 56 cm if the oven width is 59.5 cm?</v>
      </c>
    </row>
    <row r="5801" spans="1:9" x14ac:dyDescent="0.3">
      <c r="A5801" s="1" t="s">
        <v>149</v>
      </c>
      <c r="B5801" s="1" t="s">
        <v>423</v>
      </c>
      <c r="C5801" s="1" t="s">
        <v>314</v>
      </c>
      <c r="D5801" s="1" t="s">
        <v>295</v>
      </c>
      <c r="E5801" s="1" t="s">
        <v>1167</v>
      </c>
      <c r="F5801" s="1" t="s">
        <v>9376</v>
      </c>
      <c r="G5801" s="1" t="s">
        <v>36</v>
      </c>
      <c r="H5801" s="1" t="s">
        <v>29</v>
      </c>
      <c r="I5801" s="1" t="str">
        <f ca="1">IFERROR(__xludf.DUMMYFUNCTION("GOOGLETRANSLATE(F5801, ""auto"", ""en"")
"),"We bought a vacuum cleaner and immediately decided to enjoy the purchase, read the instructions, filled it with water (by the way, it turned out to be strange that the volume of the water tank is 6 liters, but you only need to fill it up to 1.5 liters), a"&amp;"nd indeed, at high power, the carpet sticks to the brush, which makes it difficult to easily move back and forth, so you have to move the brush, if possible, only in one direction - towards yourself - it’s more convenient!   We vacuumed - we were pleased "&amp;"with the result, since there is a dog in the house, all the hair from the carpet easily ended up inside the tank. True, if you are accustomed to the telescopic tube on which the power adjustment is located, then when you pick up this telescopic tube, your"&amp;" finger will involuntarily slide over the valve, which opens the hole in this tube. You have to get used to this.   I really liked that the air coming out of the vacuum cleaner is clean, since the dust is in the water, which is very good for those who are"&amp;" prone to allergies and who have small children. The only drawback of this vacuum cleaner is that it does not have a device for attaching the telescopic tube to the vacuum cleaner, so storing it assembled is not convenient, since the tube lies nearby on t"&amp;"he floor, you have to constantly disconnect it from the vacuum cleaner.   Yes, after another week of use, the wheels on the main brush fell off (they are not firmly attached there), but you can vacuum without them, it seems to me that it has become even e"&amp;"asier to vacuum. But overall, we really liked it - I recommend it!")</f>
        <v>We bought a vacuum cleaner and immediately decided to enjoy the purchase, read the instructions, filled it with water (by the way, it turned out to be strange that the volume of the water tank is 6 liters, but you only need to fill it up to 1.5 liters), and indeed, at high power, the carpet sticks to the brush, which makes it difficult to easily move back and forth, so you have to move the brush, if possible, only in one direction - towards yourself - it’s more convenient!   We vacuumed - we were pleased with the result, since there is a dog in the house, all the hair from the carpet easily ended up inside the tank. True, if you are accustomed to the telescopic tube on which the power adjustment is located, then when you pick up this telescopic tube, your finger will involuntarily slide over the valve, which opens the hole in this tube. You have to get used to this.   I really liked that the air coming out of the vacuum cleaner is clean, since the dust is in the water, which is very good for those who are prone to allergies and who have small children. The only drawback of this vacuum cleaner is that it does not have a device for attaching the telescopic tube to the vacuum cleaner, so storing it assembled is not convenient, since the tube lies nearby on the floor, you have to constantly disconnect it from the vacuum cleaner.   Yes, after another week of use, the wheels on the main brush fell off (they are not firmly attached there), but you can vacuum without them, it seems to me that it has become even easier to vacuum. But overall, we really liked it - I recommend it!</v>
      </c>
    </row>
    <row r="5802" spans="1:9" x14ac:dyDescent="0.3">
      <c r="A5802" s="1" t="s">
        <v>149</v>
      </c>
      <c r="B5802" s="1" t="s">
        <v>423</v>
      </c>
      <c r="C5802" s="1" t="s">
        <v>314</v>
      </c>
      <c r="D5802" s="1" t="s">
        <v>305</v>
      </c>
      <c r="E5802" s="1" t="s">
        <v>9377</v>
      </c>
      <c r="F5802" s="1" t="s">
        <v>9378</v>
      </c>
      <c r="G5802" s="1" t="s">
        <v>49</v>
      </c>
      <c r="H5802" s="1" t="s">
        <v>16</v>
      </c>
      <c r="I5802" s="1" t="str">
        <f ca="1">IFERROR(__xludf.DUMMYFUNCTION("GOOGLETRANSLATE(F5802, ""auto"", ""en"")
"),"I bought a ZELMER vacuum cleaner for my small office. I have a 36 m2 carpet, and this thing needs to be washed accordingly, because the traffic is decent both in winter and in summer. The cleaning lady suffers with this disgusting monster on wheels 2 time"&amp;"s a week!!! In the first week, all the water spray nozzles clogged, we bought new ones for crazy money for pitiful plastic masks and still clogged! The water supply tube is bent and twisted; it is not convenient to move it with water. Absolutely not suita"&amp;"ble for wet cleaning. It cleans poorly, practically does not spray water, the design is not reliable, the pipes are covered with rust. We replaced 8 nozzles and again they all barely drip. A year later the water supply pump broke down. I'm thinking about "&amp;"buying a new one. If anyone needs it, I’ll give it to you for a piece price for spare parts!!!")</f>
        <v>I bought a ZELMER vacuum cleaner for my small office. I have a 36 m2 carpet, and this thing needs to be washed accordingly, because the traffic is decent both in winter and in summer. The cleaning lady suffers with this disgusting monster on wheels 2 times a week!!! In the first week, all the water spray nozzles clogged, we bought new ones for crazy money for pitiful plastic masks and still clogged! The water supply tube is bent and twisted; it is not convenient to move it with water. Absolutely not suitable for wet cleaning. It cleans poorly, practically does not spray water, the design is not reliable, the pipes are covered with rust. We replaced 8 nozzles and again they all barely drip. A year later the water supply pump broke down. I'm thinking about buying a new one. If anyone needs it, I’ll give it to you for a piece price for spare parts!!!</v>
      </c>
    </row>
    <row r="5803" spans="1:9" x14ac:dyDescent="0.3">
      <c r="A5803" s="1" t="s">
        <v>211</v>
      </c>
      <c r="B5803" s="1" t="s">
        <v>515</v>
      </c>
      <c r="C5803" s="1" t="s">
        <v>213</v>
      </c>
      <c r="D5803" s="1" t="s">
        <v>9379</v>
      </c>
      <c r="E5803" s="1" t="s">
        <v>670</v>
      </c>
      <c r="F5803" s="1" t="s">
        <v>9380</v>
      </c>
      <c r="G5803" s="1" t="s">
        <v>36</v>
      </c>
      <c r="H5803" s="1" t="s">
        <v>29</v>
      </c>
      <c r="I5803" s="1" t="str">
        <f ca="1">IFERROR(__xludf.DUMMYFUNCTION("GOOGLETRANSLATE(F5803, ""auto"", ""en"")
"),"I have been using this epilator for 6 years and have never had any problems with it. The Braun SilkEpil 1 1170 model copes well with its main task; the legs look smooth and well-groomed. The kit does not include any additional attachments, but I don’t nee"&amp;"d them; there is a convenient brush for cleaning. The epilator has one speed and one main head with 20 small tweezers, which can be used to remove unwanted hair on the legs, bikini area and armpits. The whole process used to take about 30-40 minutes, I us"&amp;"ed the epilator 1-2 times a week, after a few years I spend only 15-20 minutes and repeat the procedure 1-2 times a month. When hair grows, there is no “stubble” effect, the hairs are softer and grow slower. To prevent ingrown hairs, I use a body scrub. A"&amp;" good and reliable model for reasonable money. For those who like to save money, this model is for you!")</f>
        <v>I have been using this epilator for 6 years and have never had any problems with it. The Braun SilkEpil 1 1170 model copes well with its main task; the legs look smooth and well-groomed. The kit does not include any additional attachments, but I don’t need them; there is a convenient brush for cleaning. The epilator has one speed and one main head with 20 small tweezers, which can be used to remove unwanted hair on the legs, bikini area and armpits. The whole process used to take about 30-40 minutes, I used the epilator 1-2 times a week, after a few years I spend only 15-20 minutes and repeat the procedure 1-2 times a month. When hair grows, there is no “stubble” effect, the hairs are softer and grow slower. To prevent ingrown hairs, I use a body scrub. A good and reliable model for reasonable money. For those who like to save money, this model is for you!</v>
      </c>
    </row>
    <row r="5804" spans="1:9" x14ac:dyDescent="0.3">
      <c r="A5804" s="1" t="s">
        <v>61</v>
      </c>
      <c r="B5804" s="1" t="s">
        <v>318</v>
      </c>
      <c r="C5804" s="1" t="s">
        <v>101</v>
      </c>
      <c r="D5804" s="1" t="s">
        <v>3253</v>
      </c>
      <c r="E5804" s="1" t="s">
        <v>1376</v>
      </c>
      <c r="F5804" s="1" t="s">
        <v>9381</v>
      </c>
      <c r="G5804" s="1" t="s">
        <v>28</v>
      </c>
      <c r="H5804" s="1" t="s">
        <v>29</v>
      </c>
      <c r="I5804" s="1" t="str">
        <f ca="1">IFERROR(__xludf.DUMMYFUNCTION("GOOGLETRANSLATE(F5804, ""auto"", ""en"")
"),"What surprised me about the kettle were the plastic plugs inside. The spout for supplying water seemed small, but surprisingly, the water did not spill when pouring. But overall I'm satisfied.")</f>
        <v>What surprised me about the kettle were the plastic plugs inside. The spout for supplying water seemed small, but surprisingly, the water did not spill when pouring. But overall I'm satisfied.</v>
      </c>
    </row>
    <row r="5805" spans="1:9" x14ac:dyDescent="0.3">
      <c r="A5805" s="1" t="s">
        <v>37</v>
      </c>
      <c r="B5805" s="1" t="s">
        <v>38</v>
      </c>
      <c r="C5805" s="1" t="s">
        <v>163</v>
      </c>
      <c r="D5805" s="1" t="s">
        <v>682</v>
      </c>
      <c r="E5805" s="1" t="s">
        <v>3044</v>
      </c>
      <c r="F5805" s="1" t="s">
        <v>9382</v>
      </c>
      <c r="G5805" s="1" t="s">
        <v>36</v>
      </c>
      <c r="H5805" s="1" t="s">
        <v>29</v>
      </c>
      <c r="I5805" s="1" t="str">
        <f ca="1">IFERROR(__xludf.DUMMYFUNCTION("GOOGLETRANSLATE(F5805, ""auto"", ""en"")
"),"I've been using this phone for over a year.   Very good volume. The keys are comfortable.   The menu is simple and clear. Removing the keypad lock is a bit of a pain. The charge lasts for several days.  The photos come out good, the video is also good.   "&amp;"You shouldn’t expect super-quality photos and videos from any mobile phone, or even from a communicator (my husband’s NTS) compared to devices specially designed for photo and video.")</f>
        <v>I've been using this phone for over a year.   Very good volume. The keys are comfortable.   The menu is simple and clear. Removing the keypad lock is a bit of a pain. The charge lasts for several days.  The photos come out good, the video is also good.   You shouldn’t expect super-quality photos and videos from any mobile phone, or even from a communicator (my husband’s NTS) compared to devices specially designed for photo and video.</v>
      </c>
    </row>
    <row r="5806" spans="1:9" x14ac:dyDescent="0.3">
      <c r="A5806" s="1" t="s">
        <v>37</v>
      </c>
      <c r="B5806" s="1" t="s">
        <v>536</v>
      </c>
      <c r="C5806" s="1" t="s">
        <v>32</v>
      </c>
      <c r="D5806" s="1" t="s">
        <v>4109</v>
      </c>
      <c r="E5806" s="1" t="s">
        <v>1122</v>
      </c>
      <c r="F5806" s="1" t="s">
        <v>9383</v>
      </c>
      <c r="G5806" s="1" t="s">
        <v>15</v>
      </c>
      <c r="H5806" s="1" t="s">
        <v>16</v>
      </c>
      <c r="I5806" s="1" t="str">
        <f ca="1">IFERROR(__xludf.DUMMYFUNCTION("GOOGLETRANSLATE(F5806, ""auto"", ""en"")
"),"The device requires improvement. Why is there no continuation of this line of devices? After all, it is good for everyone and is suitable for Internet lovers. It lacks a new design and a good desktop GUI. Aker doesn’t customize much for the user, and this"&amp;" is their omission. Few free programs come with firmware. The device is reliable without glitches and without problems, and if they appear, there is a reset button and reinstallation of the entire firmware directly from the communicator. Take it, don't he"&amp;"sitate, it's worth it.")</f>
        <v>The device requires improvement. Why is there no continuation of this line of devices? After all, it is good for everyone and is suitable for Internet lovers. It lacks a new design and a good desktop GUI. Aker doesn’t customize much for the user, and this is their omission. Few free programs come with firmware. The device is reliable without glitches and without problems, and if they appear, there is a reset button and reinstallation of the entire firmware directly from the communicator. Take it, don't hesitate, it's worth it.</v>
      </c>
    </row>
    <row r="5807" spans="1:9" x14ac:dyDescent="0.3">
      <c r="A5807" s="1" t="s">
        <v>149</v>
      </c>
      <c r="B5807" s="1" t="s">
        <v>576</v>
      </c>
      <c r="C5807" s="1" t="s">
        <v>151</v>
      </c>
      <c r="D5807" s="1" t="s">
        <v>52</v>
      </c>
      <c r="E5807" s="1" t="s">
        <v>285</v>
      </c>
      <c r="F5807" s="1" t="s">
        <v>9384</v>
      </c>
      <c r="G5807" s="1" t="s">
        <v>36</v>
      </c>
      <c r="H5807" s="1" t="s">
        <v>29</v>
      </c>
      <c r="I5807" s="1" t="str">
        <f ca="1">IFERROR(__xludf.DUMMYFUNCTION("GOOGLETRANSLATE(F5807, ""auto"", ""en"")
"),"Excellent traction. Convenient access to the bag, unlike Vitka. The filters are simple, but they are also easy to wash, unlike Bosch with a plastic dust container (oh, I’m tired of cleaning fine filters). There is no power adjustment, but why is it needed"&amp;"? On the same Bosch, the regulator is always in the “economy” position, and this is generally about 900 watts! Everything about this Samsung is done well. The plastic is high quality. In general, just a normal vacuum cleaner. A+ design.")</f>
        <v>Excellent traction. Convenient access to the bag, unlike Vitka. The filters are simple, but they are also easy to wash, unlike Bosch with a plastic dust container (oh, I’m tired of cleaning fine filters). There is no power adjustment, but why is it needed? On the same Bosch, the regulator is always in the “economy” position, and this is generally about 900 watts! Everything about this Samsung is done well. The plastic is high quality. In general, just a normal vacuum cleaner. A+ design.</v>
      </c>
    </row>
    <row r="5808" spans="1:9" x14ac:dyDescent="0.3">
      <c r="A5808" s="1" t="s">
        <v>211</v>
      </c>
      <c r="B5808" s="1" t="s">
        <v>265</v>
      </c>
      <c r="C5808" s="1" t="s">
        <v>57</v>
      </c>
      <c r="D5808" s="1" t="s">
        <v>916</v>
      </c>
      <c r="E5808" s="1" t="s">
        <v>2271</v>
      </c>
      <c r="F5808" s="1" t="s">
        <v>9385</v>
      </c>
      <c r="G5808" s="1" t="s">
        <v>36</v>
      </c>
      <c r="H5808" s="1" t="s">
        <v>29</v>
      </c>
      <c r="I5808" s="1" t="str">
        <f ca="1">IFERROR(__xludf.DUMMYFUNCTION("GOOGLETRANSLATE(F5808, ""auto"", ""en"")
"),"It cuts perfectly, does not tear hair and is not loud.")</f>
        <v>It cuts perfectly, does not tear hair and is not loud.</v>
      </c>
    </row>
    <row r="5809" spans="1:9" x14ac:dyDescent="0.3">
      <c r="A5809" s="1" t="s">
        <v>43</v>
      </c>
      <c r="B5809" s="1" t="s">
        <v>219</v>
      </c>
      <c r="C5809" s="1" t="s">
        <v>220</v>
      </c>
      <c r="D5809" s="1" t="s">
        <v>9386</v>
      </c>
      <c r="E5809" s="1" t="s">
        <v>4171</v>
      </c>
      <c r="F5809" s="1" t="s">
        <v>9387</v>
      </c>
      <c r="G5809" s="1" t="s">
        <v>36</v>
      </c>
      <c r="H5809" s="1" t="s">
        <v>29</v>
      </c>
      <c r="I5809" s="1" t="str">
        <f ca="1">IFERROR(__xludf.DUMMYFUNCTION("GOOGLETRANSLATE(F5809, ""auto"", ""en"")
"),"Very simple installation if you do everything according to the instructions; keeps warm for a long time; convenient temperature control")</f>
        <v>Very simple installation if you do everything according to the instructions; keeps warm for a long time; convenient temperature control</v>
      </c>
    </row>
    <row r="5810" spans="1:9" x14ac:dyDescent="0.3">
      <c r="A5810" s="1" t="s">
        <v>149</v>
      </c>
      <c r="B5810" s="1" t="s">
        <v>155</v>
      </c>
      <c r="C5810" s="1" t="s">
        <v>63</v>
      </c>
      <c r="D5810" s="1" t="s">
        <v>589</v>
      </c>
      <c r="E5810" s="1" t="s">
        <v>2341</v>
      </c>
      <c r="F5810" s="1" t="s">
        <v>9388</v>
      </c>
      <c r="G5810" s="1" t="s">
        <v>28</v>
      </c>
      <c r="H5810" s="1" t="s">
        <v>29</v>
      </c>
      <c r="I5810" s="1" t="str">
        <f ca="1">IFERROR(__xludf.DUMMYFUNCTION("GOOGLETRANSLATE(F5810, ""auto"", ""en"")
"),"The vacuum cleaner is good, but there are not 5 attachments. I counted only 3(((")</f>
        <v>The vacuum cleaner is good, but there are not 5 attachments. I counted only 3(((</v>
      </c>
    </row>
    <row r="5811" spans="1:9" x14ac:dyDescent="0.3">
      <c r="A5811" s="1" t="s">
        <v>120</v>
      </c>
      <c r="B5811" s="1" t="s">
        <v>121</v>
      </c>
      <c r="C5811" s="1" t="s">
        <v>151</v>
      </c>
      <c r="D5811" s="1" t="s">
        <v>152</v>
      </c>
      <c r="E5811" s="1" t="s">
        <v>53</v>
      </c>
      <c r="F5811" s="1" t="s">
        <v>9389</v>
      </c>
      <c r="G5811" s="1" t="s">
        <v>36</v>
      </c>
      <c r="H5811" s="1" t="s">
        <v>29</v>
      </c>
      <c r="I5811" s="1" t="str">
        <f ca="1">IFERROR(__xludf.DUMMYFUNCTION("GOOGLETRANSLATE(F5811, ""auto"", ""en"")
"),"I bought the TV yesterday. The image is excellent. I connected it to my laptop and watched the video in FULL HD format - it’s just super. The picture from DVD is also excellent, albeit with a lower resolution. I was afraid that the quality of the broadcas"&amp;"t channels would not be very good, but I was pleasantly surprised when I tuned in. The image, of course, is not of digital quality and certainly not FULL HD, but I was pleased, since the interference that was present on the old SONY 25"" CRT has disappear"&amp;"ed, the picture is clean, without interference, the colors are rich and not blurred. The sound is also excellent, does not mumble, and even at low volume levels, it is clear and clean. Lots of all kinds of connectors, for all occasions. In general, an exc"&amp;"ellent LCD TV. I recommend it.")</f>
        <v>I bought the TV yesterday. The image is excellent. I connected it to my laptop and watched the video in FULL HD format - it’s just super. The picture from DVD is also excellent, albeit with a lower resolution. I was afraid that the quality of the broadcast channels would not be very good, but I was pleasantly surprised when I tuned in. The image, of course, is not of digital quality and certainly not FULL HD, but I was pleased, since the interference that was present on the old SONY 25" CRT has disappeared, the picture is clean, without interference, the colors are rich and not blurred. The sound is also excellent, does not mumble, and even at low volume levels, it is clear and clean. Lots of all kinds of connectors, for all occasions. In general, an excellent LCD TV. I recommend it.</v>
      </c>
    </row>
    <row r="5812" spans="1:9" x14ac:dyDescent="0.3">
      <c r="A5812" s="1" t="s">
        <v>89</v>
      </c>
      <c r="B5812" s="1" t="s">
        <v>1106</v>
      </c>
      <c r="C5812" s="1" t="s">
        <v>63</v>
      </c>
      <c r="D5812" s="1" t="s">
        <v>127</v>
      </c>
      <c r="E5812" s="1" t="s">
        <v>9390</v>
      </c>
      <c r="F5812" s="1" t="s">
        <v>9391</v>
      </c>
      <c r="G5812" s="1" t="s">
        <v>36</v>
      </c>
      <c r="H5812" s="1" t="s">
        <v>29</v>
      </c>
      <c r="I5812" s="1" t="str">
        <f ca="1">IFERROR(__xludf.DUMMYFUNCTION("GOOGLETRANSLATE(F5812, ""auto"", ""en"")
"),"Excellent device! 2 years of daily use, works like a clock, I recommend it to everyone.  One of the minuses is the lack of an external water level sensor (inconvenient).")</f>
        <v>Excellent device! 2 years of daily use, works like a clock, I recommend it to everyone.  One of the minuses is the lack of an external water level sensor (inconvenient).</v>
      </c>
    </row>
    <row r="5813" spans="1:9" x14ac:dyDescent="0.3">
      <c r="A5813" s="1" t="s">
        <v>9</v>
      </c>
      <c r="B5813" s="1" t="s">
        <v>137</v>
      </c>
      <c r="C5813" s="1" t="s">
        <v>159</v>
      </c>
      <c r="D5813" s="1" t="s">
        <v>52</v>
      </c>
      <c r="E5813" s="1" t="s">
        <v>9392</v>
      </c>
      <c r="F5813" s="1" t="s">
        <v>9393</v>
      </c>
      <c r="G5813" s="1" t="s">
        <v>36</v>
      </c>
      <c r="H5813" s="1" t="s">
        <v>29</v>
      </c>
      <c r="I5813" s="1" t="str">
        <f ca="1">IFERROR(__xludf.DUMMYFUNCTION("GOOGLETRANSLATE(F5813, ""auto"", ""en"")
"),"Pros: - I installed it myself, everything is very simply and clearly described;  - looks stylish, especially when using a burner with a triple divider;  - the location of the burners is good, because... if the burner with a triple divider is brought to th"&amp;"e foreground, the handles will get very hot;  - cast iron grate of two halves.  Of the minuses: - you will have to change the nozzles (available in the kit, see the instructions for markings), because otherwise, the power of the burners will be even lower"&amp;", but to replace them you need a specific socket wrench size 7.")</f>
        <v>Pros: - I installed it myself, everything is very simply and clearly described;  - looks stylish, especially when using a burner with a triple divider;  - the location of the burners is good, because... if the burner with a triple divider is brought to the foreground, the handles will get very hot;  - cast iron grate of two halves.  Of the minuses: - you will have to change the nozzles (available in the kit, see the instructions for markings), because otherwise, the power of the burners will be even lower, but to replace them you need a specific socket wrench size 7.</v>
      </c>
    </row>
    <row r="5814" spans="1:9" x14ac:dyDescent="0.3">
      <c r="A5814" s="1" t="s">
        <v>149</v>
      </c>
      <c r="B5814" s="1" t="s">
        <v>576</v>
      </c>
      <c r="C5814" s="1" t="s">
        <v>151</v>
      </c>
      <c r="D5814" s="1" t="s">
        <v>308</v>
      </c>
      <c r="E5814" s="1" t="s">
        <v>1682</v>
      </c>
      <c r="F5814" s="1" t="s">
        <v>9394</v>
      </c>
      <c r="G5814" s="1" t="s">
        <v>28</v>
      </c>
      <c r="H5814" s="1" t="s">
        <v>29</v>
      </c>
      <c r="I5814" s="1" t="str">
        <f ca="1">IFERROR(__xludf.DUMMYFUNCTION("GOOGLETRANSLATE(F5814, ""auto"", ""en"")
"),"A good vacuum cleaner, the only negative is that there is no furniture brush, which was disappointing.")</f>
        <v>A good vacuum cleaner, the only negative is that there is no furniture brush, which was disappointing.</v>
      </c>
    </row>
    <row r="5815" spans="1:9" x14ac:dyDescent="0.3">
      <c r="A5815" s="1" t="s">
        <v>17</v>
      </c>
      <c r="B5815" s="1" t="s">
        <v>18</v>
      </c>
      <c r="C5815" s="1" t="s">
        <v>138</v>
      </c>
      <c r="D5815" s="1" t="s">
        <v>75</v>
      </c>
      <c r="E5815" s="1" t="s">
        <v>1219</v>
      </c>
      <c r="F5815" s="1" t="s">
        <v>9395</v>
      </c>
      <c r="G5815" s="1" t="s">
        <v>36</v>
      </c>
      <c r="H5815" s="1" t="s">
        <v>29</v>
      </c>
      <c r="I5815" s="1" t="str">
        <f ca="1">IFERROR(__xludf.DUMMYFUNCTION("GOOGLETRANSLATE(F5815, ""auto"", ""en"")
"),"I've been doing laundry with this machine for 8 months without any problems.")</f>
        <v>I've been doing laundry with this machine for 8 months without any problems.</v>
      </c>
    </row>
    <row r="5816" spans="1:9" x14ac:dyDescent="0.3">
      <c r="A5816" s="1" t="s">
        <v>61</v>
      </c>
      <c r="B5816" s="1" t="s">
        <v>318</v>
      </c>
      <c r="C5816" s="1" t="s">
        <v>101</v>
      </c>
      <c r="D5816" s="1" t="s">
        <v>565</v>
      </c>
      <c r="E5816" s="1" t="s">
        <v>4342</v>
      </c>
      <c r="F5816" s="1" t="s">
        <v>9396</v>
      </c>
      <c r="G5816" s="1" t="s">
        <v>36</v>
      </c>
      <c r="H5816" s="1" t="s">
        <v>29</v>
      </c>
      <c r="I5816" s="1" t="str">
        <f ca="1">IFERROR(__xludf.DUMMYFUNCTION("GOOGLETRANSLATE(F5816, ""auto"", ""en"")
"),"This thermopot has been working for me for 2 years. Everything is fine! At first the water had a plastic smell, but then it disappeared. These 3 liters are enough for us for a day. In the evening I add new water, so in the morning you can have a quick bre"&amp;"akfast. You can use the button to turn on boiling, and if you add cold water, it turns on automatically. It happened a couple of times that it started to turn on the boil on its own. I descaled it and it works fine again. We fill it with filtered water, b"&amp;"ut scale still slowly forms. The main thing is to clean it on time and not to neglect it. I also want to buy one for the dacha.")</f>
        <v>This thermopot has been working for me for 2 years. Everything is fine! At first the water had a plastic smell, but then it disappeared. These 3 liters are enough for us for a day. In the evening I add new water, so in the morning you can have a quick breakfast. You can use the button to turn on boiling, and if you add cold water, it turns on automatically. It happened a couple of times that it started to turn on the boil on its own. I descaled it and it works fine again. We fill it with filtered water, but scale still slowly forms. The main thing is to clean it on time and not to neglect it. I also want to buy one for the dacha.</v>
      </c>
    </row>
    <row r="5817" spans="1:9" x14ac:dyDescent="0.3">
      <c r="A5817" s="1" t="s">
        <v>1443</v>
      </c>
      <c r="B5817" s="1" t="s">
        <v>1444</v>
      </c>
      <c r="C5817" s="1" t="s">
        <v>1445</v>
      </c>
      <c r="D5817" s="1" t="s">
        <v>305</v>
      </c>
      <c r="E5817" s="1" t="s">
        <v>3422</v>
      </c>
      <c r="F5817" s="1" t="s">
        <v>9397</v>
      </c>
      <c r="G5817" s="1" t="s">
        <v>36</v>
      </c>
      <c r="H5817" s="1" t="s">
        <v>29</v>
      </c>
      <c r="I5817" s="1" t="str">
        <f ca="1">IFERROR(__xludf.DUMMYFUNCTION("GOOGLETRANSLATE(F5817, ""auto"", ""en"")
"),"volume, looks good, color matches")</f>
        <v>volume, looks good, color matches</v>
      </c>
    </row>
    <row r="5818" spans="1:9" x14ac:dyDescent="0.3">
      <c r="A5818" s="1" t="s">
        <v>211</v>
      </c>
      <c r="B5818" s="1" t="s">
        <v>384</v>
      </c>
      <c r="C5818" s="1" t="s">
        <v>101</v>
      </c>
      <c r="D5818" s="1" t="s">
        <v>247</v>
      </c>
      <c r="E5818" s="1" t="s">
        <v>3600</v>
      </c>
      <c r="F5818" s="1" t="s">
        <v>9398</v>
      </c>
      <c r="G5818" s="1" t="s">
        <v>15</v>
      </c>
      <c r="H5818" s="1" t="s">
        <v>16</v>
      </c>
      <c r="I5818" s="1" t="str">
        <f ca="1">IFERROR(__xludf.DUMMYFUNCTION("GOOGLETRANSLATE(F5818, ""auto"", ""en"")
"),"I've been using the scales for about a year, but since the original battery (that came with the scales) died, I've gotten tired of changing batteries. I took all kinds of them, both inexpensive and expensive ones at 400-600 tenge apiece - they still sat d"&amp;"own quickly. Previously, when the battery ran low, the scales used some symbols to tell me about it on the display. Lately they just started going out without warning. And now they stopped turning on altogether.  I regret that I didn’t buy mechanical ones"&amp;". Personally, I only got on my nerves with this electronics and transferred money to endless batteries. I don't even want to fix them. ((((((((")</f>
        <v>I've been using the scales for about a year, but since the original battery (that came with the scales) died, I've gotten tired of changing batteries. I took all kinds of them, both inexpensive and expensive ones at 400-600 tenge apiece - they still sat down quickly. Previously, when the battery ran low, the scales used some symbols to tell me about it on the display. Lately they just started going out without warning. And now they stopped turning on altogether.  I regret that I didn’t buy mechanical ones. Personally, I only got on my nerves with this electronics and transferred money to endless batteries. I don't even want to fix them. ((((((((</v>
      </c>
    </row>
    <row r="5819" spans="1:9" x14ac:dyDescent="0.3">
      <c r="A5819" s="1" t="s">
        <v>120</v>
      </c>
      <c r="B5819" s="1" t="s">
        <v>126</v>
      </c>
      <c r="C5819" s="1" t="s">
        <v>122</v>
      </c>
      <c r="D5819" s="1" t="s">
        <v>9399</v>
      </c>
      <c r="E5819" s="1" t="s">
        <v>53</v>
      </c>
      <c r="F5819" s="1" t="s">
        <v>9400</v>
      </c>
      <c r="G5819" s="1" t="s">
        <v>36</v>
      </c>
      <c r="H5819" s="1" t="s">
        <v>29</v>
      </c>
      <c r="I5819" s="1" t="str">
        <f ca="1">IFERROR(__xludf.DUMMYFUNCTION("GOOGLETRANSLATE(F5819, ""auto"", ""en"")
"),"The TV is simply excellent, the price and quality matches!!!! Thanks in general to all M-video!!!! We are satisfied with all the products we purchased from you!!!!       p.s. - Timur (Novosibirsk) change the modes from auto to any other mode, because... I"&amp;"t's on auto so it selects the mode for each channel.")</f>
        <v>The TV is simply excellent, the price and quality matches!!!! Thanks in general to all M-video!!!! We are satisfied with all the products we purchased from you!!!!       p.s. - Timur (Novosibirsk) change the modes from auto to any other mode, because... It's on auto so it selects the mode for each channel.</v>
      </c>
    </row>
    <row r="5820" spans="1:9" x14ac:dyDescent="0.3">
      <c r="A5820" s="1" t="s">
        <v>30</v>
      </c>
      <c r="B5820" s="1" t="s">
        <v>50</v>
      </c>
      <c r="C5820" s="1" t="s">
        <v>1386</v>
      </c>
      <c r="D5820" s="1" t="s">
        <v>373</v>
      </c>
      <c r="E5820" s="1" t="s">
        <v>734</v>
      </c>
      <c r="F5820" s="1" t="s">
        <v>9401</v>
      </c>
      <c r="G5820" s="1" t="s">
        <v>28</v>
      </c>
      <c r="H5820" s="1" t="s">
        <v>29</v>
      </c>
      <c r="I5820" s="1" t="str">
        <f ca="1">IFERROR(__xludf.DUMMYFUNCTION("GOOGLETRANSLATE(F5820, ""auto"", ""en"")
"),"Pros: 15.6 screen, strict design, normal processor. Cons: letters on buttons are hard to see, lack of bluetooth, only 2 USB connectors, lack of a built-in camera. But overall I’m satisfied (since the price-quality ratio is 100%).")</f>
        <v>Pros: 15.6 screen, strict design, normal processor. Cons: letters on buttons are hard to see, lack of bluetooth, only 2 USB connectors, lack of a built-in camera. But overall I’m satisfied (since the price-quality ratio is 100%).</v>
      </c>
    </row>
    <row r="5821" spans="1:9" x14ac:dyDescent="0.3">
      <c r="A5821" s="1" t="s">
        <v>238</v>
      </c>
      <c r="B5821" s="1" t="s">
        <v>239</v>
      </c>
      <c r="C5821" s="1" t="s">
        <v>151</v>
      </c>
      <c r="D5821" s="1" t="s">
        <v>9402</v>
      </c>
      <c r="E5821" s="1" t="s">
        <v>9403</v>
      </c>
      <c r="F5821" s="1" t="s">
        <v>9404</v>
      </c>
      <c r="G5821" s="1" t="s">
        <v>36</v>
      </c>
      <c r="H5821" s="1" t="s">
        <v>29</v>
      </c>
      <c r="I5821" s="1" t="str">
        <f ca="1">IFERROR(__xludf.DUMMYFUNCTION("GOOGLETRANSLATE(F5821, ""auto"", ""en"")
"),"superfridge. bought it, we're crazy happy. Summer is ahead and everything will fit into it - fruits and mineral water, ice cream. The doors were removed by themselves. took 15 minutes. Everything is written in the instructions.")</f>
        <v>superfridge. bought it, we're crazy happy. Summer is ahead and everything will fit into it - fruits and mineral water, ice cream. The doors were removed by themselves. took 15 minutes. Everything is written in the instructions.</v>
      </c>
    </row>
    <row r="5822" spans="1:9" x14ac:dyDescent="0.3">
      <c r="A5822" s="1" t="s">
        <v>282</v>
      </c>
      <c r="B5822" s="1" t="s">
        <v>806</v>
      </c>
      <c r="C5822" s="1" t="s">
        <v>284</v>
      </c>
      <c r="D5822" s="1" t="s">
        <v>9405</v>
      </c>
      <c r="E5822" s="1" t="s">
        <v>597</v>
      </c>
      <c r="F5822" s="1" t="s">
        <v>9406</v>
      </c>
      <c r="G5822" s="1" t="s">
        <v>36</v>
      </c>
      <c r="H5822" s="1" t="s">
        <v>29</v>
      </c>
      <c r="I5822" s="1" t="str">
        <f ca="1">IFERROR(__xludf.DUMMYFUNCTION("GOOGLETRANSLATE(F5822, ""auto"", ""en"")
"),"The first domestic film with DTS-HD 7.1 sound!")</f>
        <v>The first domestic film with DTS-HD 7.1 sound!</v>
      </c>
    </row>
    <row r="5823" spans="1:9" x14ac:dyDescent="0.3">
      <c r="A5823" s="1" t="s">
        <v>89</v>
      </c>
      <c r="B5823" s="1" t="s">
        <v>231</v>
      </c>
      <c r="C5823" s="1" t="s">
        <v>185</v>
      </c>
      <c r="D5823" s="1" t="s">
        <v>295</v>
      </c>
      <c r="E5823" s="1" t="s">
        <v>4925</v>
      </c>
      <c r="F5823" s="1" t="s">
        <v>9407</v>
      </c>
      <c r="G5823" s="1" t="s">
        <v>36</v>
      </c>
      <c r="H5823" s="1" t="s">
        <v>29</v>
      </c>
      <c r="I5823" s="1" t="str">
        <f ca="1">IFERROR(__xludf.DUMMYFUNCTION("GOOGLETRANSLATE(F5823, ""auto"", ""en"")
"),"Everything is easy and simple")</f>
        <v>Everything is easy and simple</v>
      </c>
    </row>
    <row r="5824" spans="1:9" x14ac:dyDescent="0.3">
      <c r="A5824" s="1" t="s">
        <v>78</v>
      </c>
      <c r="B5824" s="1" t="s">
        <v>79</v>
      </c>
      <c r="C5824" s="1" t="s">
        <v>80</v>
      </c>
      <c r="D5824" s="1" t="s">
        <v>896</v>
      </c>
      <c r="E5824" s="1" t="s">
        <v>6618</v>
      </c>
      <c r="F5824" s="1" t="s">
        <v>9408</v>
      </c>
      <c r="G5824" s="1" t="s">
        <v>36</v>
      </c>
      <c r="H5824" s="1" t="s">
        <v>29</v>
      </c>
      <c r="I5824" s="1" t="str">
        <f ca="1">IFERROR(__xludf.DUMMYFUNCTION("GOOGLETRANSLATE(F5824, ""auto"", ""en"")
"),"The best microwave. There are two in a family. One is more than two years old, the other is more than a year old. There were no complaints. Used daily. The buttons are convenient. And it was chosen without a sensor, and there are few such models anymore. "&amp;"Rating 5+")</f>
        <v>The best microwave. There are two in a family. One is more than two years old, the other is more than a year old. There were no complaints. Used daily. The buttons are convenient. And it was chosen without a sensor, and there are few such models anymore. Rating 5+</v>
      </c>
    </row>
    <row r="5825" spans="1:9" x14ac:dyDescent="0.3">
      <c r="A5825" s="1" t="s">
        <v>61</v>
      </c>
      <c r="B5825" s="1" t="s">
        <v>224</v>
      </c>
      <c r="C5825" s="1" t="s">
        <v>57</v>
      </c>
      <c r="D5825" s="1" t="s">
        <v>690</v>
      </c>
      <c r="E5825" s="1" t="s">
        <v>1079</v>
      </c>
      <c r="F5825" s="1" t="s">
        <v>9409</v>
      </c>
      <c r="G5825" s="1" t="s">
        <v>36</v>
      </c>
      <c r="H5825" s="1" t="s">
        <v>29</v>
      </c>
      <c r="I5825" s="1" t="str">
        <f ca="1">IFERROR(__xludf.DUMMYFUNCTION("GOOGLETRANSLATE(F5825, ""auto"", ""en"")
"),"We've been using it for a year and a half, it works great, it washes quickly. You can even make juice from pomegranates!")</f>
        <v>We've been using it for a year and a half, it works great, it washes quickly. You can even make juice from pomegranates!</v>
      </c>
    </row>
    <row r="5826" spans="1:9" x14ac:dyDescent="0.3">
      <c r="A5826" s="1" t="s">
        <v>61</v>
      </c>
      <c r="B5826" s="1" t="s">
        <v>977</v>
      </c>
      <c r="C5826" s="1" t="s">
        <v>69</v>
      </c>
      <c r="D5826" s="1" t="s">
        <v>1506</v>
      </c>
      <c r="E5826" s="1" t="s">
        <v>9021</v>
      </c>
      <c r="F5826" s="1" t="s">
        <v>9410</v>
      </c>
      <c r="G5826" s="1" t="s">
        <v>49</v>
      </c>
      <c r="H5826" s="1" t="s">
        <v>16</v>
      </c>
      <c r="I5826" s="1" t="str">
        <f ca="1">IFERROR(__xludf.DUMMYFUNCTION("GOOGLETRANSLATE(F5826, ""auto"", ""en"")
"),"I bought it in March. I used it very rarely, I cut carrots about 6-7 times, but yesterday it literally fell apart - some kind of plastic thing fell off where the nozzle goes. I'll take it back to the store.")</f>
        <v>I bought it in March. I used it very rarely, I cut carrots about 6-7 times, but yesterday it literally fell apart - some kind of plastic thing fell off where the nozzle goes. I'll take it back to the store.</v>
      </c>
    </row>
    <row r="5827" spans="1:9" x14ac:dyDescent="0.3">
      <c r="A5827" s="1" t="s">
        <v>43</v>
      </c>
      <c r="B5827" s="1" t="s">
        <v>1616</v>
      </c>
      <c r="C5827" s="1" t="s">
        <v>185</v>
      </c>
      <c r="D5827" s="1" t="s">
        <v>1659</v>
      </c>
      <c r="E5827" s="1" t="s">
        <v>1982</v>
      </c>
      <c r="F5827" s="1" t="s">
        <v>9411</v>
      </c>
      <c r="G5827" s="1" t="s">
        <v>36</v>
      </c>
      <c r="H5827" s="1" t="s">
        <v>29</v>
      </c>
      <c r="I5827" s="1" t="str">
        <f ca="1">IFERROR(__xludf.DUMMYFUNCTION("GOOGLETRANSLATE(F5827, ""auto"", ""en"")
"),"Advantages: small size, condensate recirculation, control panel, fast cooling. Disadvantages: none. Comment: A very good air conditioner is simply a savior on hot days, it works properly, the condensate practically does not need to be drained, it cools in"&amp;"stantly!")</f>
        <v>Advantages: small size, condensate recirculation, control panel, fast cooling. Disadvantages: none. Comment: A very good air conditioner is simply a savior on hot days, it works properly, the condensate practically does not need to be drained, it cools instantly!</v>
      </c>
    </row>
    <row r="5828" spans="1:9" x14ac:dyDescent="0.3">
      <c r="A5828" s="1" t="s">
        <v>149</v>
      </c>
      <c r="B5828" s="1" t="s">
        <v>423</v>
      </c>
      <c r="C5828" s="1" t="s">
        <v>548</v>
      </c>
      <c r="D5828" s="1" t="s">
        <v>9412</v>
      </c>
      <c r="E5828" s="1" t="s">
        <v>4483</v>
      </c>
      <c r="F5828" s="1" t="s">
        <v>9413</v>
      </c>
      <c r="G5828" s="1" t="s">
        <v>49</v>
      </c>
      <c r="H5828" s="1" t="s">
        <v>16</v>
      </c>
      <c r="I5828" s="1" t="str">
        <f ca="1">IFERROR(__xludf.DUMMYFUNCTION("GOOGLETRANSLATE(F5828, ""auto"", ""en"")
"),"The vacuum cleaner is bad. The quality of plastic pipes and everything is low. Not worth the money. I've been using it for 8 months. Every time only with bad words.")</f>
        <v>The vacuum cleaner is bad. The quality of plastic pipes and everything is low. Not worth the money. I've been using it for 8 months. Every time only with bad words.</v>
      </c>
    </row>
    <row r="5829" spans="1:9" x14ac:dyDescent="0.3">
      <c r="A5829" s="1" t="s">
        <v>211</v>
      </c>
      <c r="B5829" s="1" t="s">
        <v>515</v>
      </c>
      <c r="C5829" s="1" t="s">
        <v>213</v>
      </c>
      <c r="D5829" s="1" t="s">
        <v>9414</v>
      </c>
      <c r="E5829" s="1" t="s">
        <v>3225</v>
      </c>
      <c r="F5829" s="1" t="s">
        <v>9415</v>
      </c>
      <c r="G5829" s="1" t="s">
        <v>36</v>
      </c>
      <c r="H5829" s="1" t="s">
        <v>29</v>
      </c>
      <c r="I5829" s="1" t="str">
        <f ca="1">IFERROR(__xludf.DUMMYFUNCTION("GOOGLETRANSLATE(F5829, ""auto"", ""en"")
"),"Great item for hard to reach places! If you need to trim anything, it’s good for the face and bikini line. I have an older model. I've been using it for 4 years now. Super! Very pleased!")</f>
        <v>Great item for hard to reach places! If you need to trim anything, it’s good for the face and bikini line. I have an older model. I've been using it for 4 years now. Super! Very pleased!</v>
      </c>
    </row>
    <row r="5830" spans="1:9" x14ac:dyDescent="0.3">
      <c r="A5830" s="1" t="s">
        <v>369</v>
      </c>
      <c r="B5830" s="1" t="s">
        <v>587</v>
      </c>
      <c r="C5830" s="1" t="s">
        <v>290</v>
      </c>
      <c r="D5830" s="1" t="s">
        <v>127</v>
      </c>
      <c r="E5830" s="1" t="s">
        <v>2484</v>
      </c>
      <c r="F5830" s="1" t="s">
        <v>9416</v>
      </c>
      <c r="G5830" s="1" t="s">
        <v>15</v>
      </c>
      <c r="H5830" s="1" t="s">
        <v>16</v>
      </c>
      <c r="I5830" s="1" t="str">
        <f ca="1">IFERROR(__xludf.DUMMYFUNCTION("GOOGLETRANSLATE(F5830, ""auto"", ""en"")
"),"I have a similar problem, I don’t recommend this model to anyone! We are now waiting for a replacement.")</f>
        <v>I have a similar problem, I don’t recommend this model to anyone! We are now waiting for a replacement.</v>
      </c>
    </row>
    <row r="5831" spans="1:9" x14ac:dyDescent="0.3">
      <c r="A5831" s="1" t="s">
        <v>9</v>
      </c>
      <c r="B5831" s="1" t="s">
        <v>10</v>
      </c>
      <c r="C5831" s="1" t="s">
        <v>466</v>
      </c>
      <c r="D5831" s="1" t="s">
        <v>64</v>
      </c>
      <c r="E5831" s="1" t="s">
        <v>4129</v>
      </c>
      <c r="F5831" s="1" t="s">
        <v>9417</v>
      </c>
      <c r="G5831" s="1" t="s">
        <v>36</v>
      </c>
      <c r="H5831" s="1" t="s">
        <v>29</v>
      </c>
      <c r="I5831" s="1" t="str">
        <f ca="1">IFERROR(__xludf.DUMMYFUNCTION("GOOGLETRANSLATE(F5831, ""auto"", ""en"")
"),"We purchased the hood back in the summer. We use the “recirculation” mode until the filter has even been changed, although about six months have already passed. As a tip for others, after finishing cooking, leave the hood in operating mode for another cou"&amp;"ple of minutes so that the filter is blown with fresh air and it dries out a little. Due to this it will last longer.  It pulls very well, no odors spread throughout the apartment. Moisture is also absorbed well. A little noisy, but this applies to all ho"&amp;"ods, so I wouldn’t call it a minus.   I rate it a solid five. Very happy with the purchase.")</f>
        <v>We purchased the hood back in the summer. We use the “recirculation” mode until the filter has even been changed, although about six months have already passed. As a tip for others, after finishing cooking, leave the hood in operating mode for another couple of minutes so that the filter is blown with fresh air and it dries out a little. Due to this it will last longer.  It pulls very well, no odors spread throughout the apartment. Moisture is also absorbed well. A little noisy, but this applies to all hoods, so I wouldn’t call it a minus.   I rate it a solid five. Very happy with the purchase.</v>
      </c>
    </row>
    <row r="5832" spans="1:9" x14ac:dyDescent="0.3">
      <c r="A5832" s="1" t="s">
        <v>206</v>
      </c>
      <c r="B5832" s="1" t="s">
        <v>1253</v>
      </c>
      <c r="C5832" s="1" t="s">
        <v>1254</v>
      </c>
      <c r="D5832" s="1" t="s">
        <v>152</v>
      </c>
      <c r="E5832" s="1" t="s">
        <v>9418</v>
      </c>
      <c r="F5832" s="1" t="s">
        <v>9419</v>
      </c>
      <c r="G5832" s="1" t="s">
        <v>36</v>
      </c>
      <c r="H5832" s="1" t="s">
        <v>29</v>
      </c>
      <c r="I5832" s="1" t="str">
        <f ca="1">IFERROR(__xludf.DUMMYFUNCTION("GOOGLETRANSLATE(F5832, ""auto"", ""en"")
"),"Covers 4 km with small slopes and forest, charging lasts for 1-1.5 days, depending on how often you communicate (the batteries included in the kit are not powerful, you shouldn’t expect much from them) I used the walkie-talkie in the drizzling rain while "&amp;"fishing, dropped it a couple of times, but it’s still alive. I've been using the walkie-talkie for about a year, I'm happy with the device. As for the price-to-quality ratio, I'd give it 4+.")</f>
        <v>Covers 4 km with small slopes and forest, charging lasts for 1-1.5 days, depending on how often you communicate (the batteries included in the kit are not powerful, you shouldn’t expect much from them) I used the walkie-talkie in the drizzling rain while fishing, dropped it a couple of times, but it’s still alive. I've been using the walkie-talkie for about a year, I'm happy with the device. As for the price-to-quality ratio, I'd give it 4+.</v>
      </c>
    </row>
    <row r="5833" spans="1:9" x14ac:dyDescent="0.3">
      <c r="A5833" s="1" t="s">
        <v>169</v>
      </c>
      <c r="B5833" s="1" t="s">
        <v>170</v>
      </c>
      <c r="C5833" s="1" t="s">
        <v>122</v>
      </c>
      <c r="D5833" s="1" t="s">
        <v>152</v>
      </c>
      <c r="E5833" s="1" t="s">
        <v>209</v>
      </c>
      <c r="F5833" s="1" t="s">
        <v>9420</v>
      </c>
      <c r="G5833" s="1" t="s">
        <v>36</v>
      </c>
      <c r="H5833" s="1" t="s">
        <v>29</v>
      </c>
      <c r="I5833" s="1" t="str">
        <f ca="1">IFERROR(__xludf.DUMMYFUNCTION("GOOGLETRANSLATE(F5833, ""auto"", ""en"")
"),"I've been using it for 1.5 years now, no problems have been identified. The bass is top notch. Quite strong: daily use - the wires are normal, no foreign signs are observed. If only the price hadn’t gone up, I’d buy it for 650r also on M-Video")</f>
        <v>I've been using it for 1.5 years now, no problems have been identified. The bass is top notch. Quite strong: daily use - the wires are normal, no foreign signs are observed. If only the price hadn’t gone up, I’d buy it for 650r also on M-Video</v>
      </c>
    </row>
    <row r="5834" spans="1:9" x14ac:dyDescent="0.3">
      <c r="A5834" s="1" t="s">
        <v>55</v>
      </c>
      <c r="B5834" s="1" t="s">
        <v>184</v>
      </c>
      <c r="C5834" s="1" t="s">
        <v>45</v>
      </c>
      <c r="D5834" s="1" t="s">
        <v>589</v>
      </c>
      <c r="E5834" s="1" t="s">
        <v>9421</v>
      </c>
      <c r="F5834" s="1" t="s">
        <v>9422</v>
      </c>
      <c r="G5834" s="1" t="s">
        <v>28</v>
      </c>
      <c r="H5834" s="1" t="s">
        <v>29</v>
      </c>
      <c r="I5834" s="1" t="str">
        <f ca="1">IFERROR(__xludf.DUMMYFUNCTION("GOOGLETRANSLATE(F5834, ""auto"", ""en"")
"),"I bought it a long time ago (maybe 2-3 years ago), so I don’t remember now about the smell, maybe initially there was a smell, but now there’s definitely no smell. Maybe, of course, I’m not so sensitive to odors, but guests came several times, and there w"&amp;"ere no complaints about the smell either. I was completely satisfied when using it at the dacha this fall. It warms up the room quickly, it’s quiet, it could work all night without being disturbed.. There are no complaints about it) I would still use it a"&amp;"nd use it if the heating element hadn’t broken after falling(")</f>
        <v>I bought it a long time ago (maybe 2-3 years ago), so I don’t remember now about the smell, maybe initially there was a smell, but now there’s definitely no smell. Maybe, of course, I’m not so sensitive to odors, but guests came several times, and there were no complaints about the smell either. I was completely satisfied when using it at the dacha this fall. It warms up the room quickly, it’s quiet, it could work all night without being disturbed.. There are no complaints about it) I would still use it and use it if the heating element hadn’t broken after falling(</v>
      </c>
    </row>
    <row r="5835" spans="1:9" x14ac:dyDescent="0.3">
      <c r="A5835" s="1" t="s">
        <v>211</v>
      </c>
      <c r="B5835" s="1" t="s">
        <v>212</v>
      </c>
      <c r="C5835" s="1" t="s">
        <v>294</v>
      </c>
      <c r="D5835" s="1" t="s">
        <v>9423</v>
      </c>
      <c r="E5835" s="1" t="s">
        <v>1467</v>
      </c>
      <c r="F5835" s="1" t="s">
        <v>9424</v>
      </c>
      <c r="G5835" s="1" t="s">
        <v>28</v>
      </c>
      <c r="H5835" s="1" t="s">
        <v>29</v>
      </c>
      <c r="I5835" s="1" t="str">
        <f ca="1">IFERROR(__xludf.DUMMYFUNCTION("GOOGLETRANSLATE(F5835, ""auto"", ""en"")
"),"I’ve been using it for 4 months - no complaints so far, it straightens my hair really well and doesn’t snag.  Unless at the very minimum temperature - for some reason it is, well, VERY hot. I don’t even use the regulator - if it fries like that at the low"&amp;"est, there will probably be flames coming from the hair? This is very strange.")</f>
        <v>I’ve been using it for 4 months - no complaints so far, it straightens my hair really well and doesn’t snag.  Unless at the very minimum temperature - for some reason it is, well, VERY hot. I don’t even use the regulator - if it fries like that at the lowest, there will probably be flames coming from the hair? This is very strange.</v>
      </c>
    </row>
    <row r="5836" spans="1:9" x14ac:dyDescent="0.3">
      <c r="A5836" s="1" t="s">
        <v>211</v>
      </c>
      <c r="B5836" s="1" t="s">
        <v>212</v>
      </c>
      <c r="C5836" s="1" t="s">
        <v>69</v>
      </c>
      <c r="D5836" s="1" t="s">
        <v>172</v>
      </c>
      <c r="E5836" s="1" t="s">
        <v>3918</v>
      </c>
      <c r="F5836" s="1" t="s">
        <v>9425</v>
      </c>
      <c r="G5836" s="1" t="s">
        <v>49</v>
      </c>
      <c r="H5836" s="1" t="s">
        <v>16</v>
      </c>
      <c r="I5836" s="1" t="str">
        <f ca="1">IFERROR(__xludf.DUMMYFUNCTION("GOOGLETRANSLATE(F5836, ""auto"", ""en"")
"),"I bought electric curlers for my wife as a gift. The gift didn't work out, the curlers don't hold, they constantly unwind, the curl lasts about 15 minutes, no more. Another thing to collect dust on the shelf. It’s impossible to use, it’s a shame to throw "&amp;"it away.")</f>
        <v>I bought electric curlers for my wife as a gift. The gift didn't work out, the curlers don't hold, they constantly unwind, the curl lasts about 15 minutes, no more. Another thing to collect dust on the shelf. It’s impossible to use, it’s a shame to throw it away.</v>
      </c>
    </row>
    <row r="5837" spans="1:9" x14ac:dyDescent="0.3">
      <c r="A5837" s="1" t="s">
        <v>17</v>
      </c>
      <c r="B5837" s="1" t="s">
        <v>18</v>
      </c>
      <c r="C5837" s="1" t="s">
        <v>885</v>
      </c>
      <c r="D5837" s="1" t="s">
        <v>1021</v>
      </c>
      <c r="E5837" s="1" t="s">
        <v>2231</v>
      </c>
      <c r="F5837" s="1" t="s">
        <v>9426</v>
      </c>
      <c r="G5837" s="1" t="s">
        <v>36</v>
      </c>
      <c r="H5837" s="1" t="s">
        <v>29</v>
      </c>
      <c r="I5837" s="1" t="str">
        <f ca="1">IFERROR(__xludf.DUMMYFUNCTION("GOOGLETRANSLATE(F5837, ""auto"", ""en"")
"),"We've been using it for the second year, it works properly, we're happy with everything!")</f>
        <v>We've been using it for the second year, it works properly, we're happy with everything!</v>
      </c>
    </row>
    <row r="5838" spans="1:9" x14ac:dyDescent="0.3">
      <c r="A5838" s="1" t="s">
        <v>477</v>
      </c>
      <c r="B5838" s="1" t="s">
        <v>478</v>
      </c>
      <c r="C5838" s="1" t="s">
        <v>479</v>
      </c>
      <c r="D5838" s="1" t="s">
        <v>172</v>
      </c>
      <c r="E5838" s="1" t="s">
        <v>194</v>
      </c>
      <c r="F5838" s="1" t="s">
        <v>9427</v>
      </c>
      <c r="G5838" s="1" t="s">
        <v>15</v>
      </c>
      <c r="H5838" s="1" t="s">
        <v>16</v>
      </c>
      <c r="I5838" s="1" t="str">
        <f ca="1">IFERROR(__xludf.DUMMYFUNCTION("GOOGLETRANSLATE(F5838, ""auto"", ""en"")
"),"The game runs at high frame rates even on high graphics quality. But there are downsides. There are too many videos in the game, and if you skip them, the game will be half as long. Although anti-aliasing is enabled in the settings, it does not produce re"&amp;"sults - the contours are not smooth even at a resolution of 1920x1080. And besides, in the game a lot of attention is paid not to crime, but to the 18+ direction. There are too many Playboys and girls in videos")</f>
        <v>The game runs at high frame rates even on high graphics quality. But there are downsides. There are too many videos in the game, and if you skip them, the game will be half as long. Although anti-aliasing is enabled in the settings, it does not produce results - the contours are not smooth even at a resolution of 1920x1080. And besides, in the game a lot of attention is paid not to crime, but to the 18+ direction. There are too many Playboys and girls in videos</v>
      </c>
    </row>
    <row r="5839" spans="1:9" x14ac:dyDescent="0.3">
      <c r="A5839" s="1" t="s">
        <v>206</v>
      </c>
      <c r="B5839" s="1" t="s">
        <v>1253</v>
      </c>
      <c r="C5839" s="1" t="s">
        <v>4464</v>
      </c>
      <c r="D5839" s="1" t="s">
        <v>305</v>
      </c>
      <c r="E5839" s="1" t="s">
        <v>7839</v>
      </c>
      <c r="F5839" s="1" t="s">
        <v>9428</v>
      </c>
      <c r="G5839" s="1" t="s">
        <v>28</v>
      </c>
      <c r="H5839" s="1" t="s">
        <v>29</v>
      </c>
      <c r="I5839" s="1" t="str">
        <f ca="1">IFERROR(__xludf.DUMMYFUNCTION("GOOGLETRANSLATE(F5839, ""auto"", ""en"")
"),"I bought walkie-talkies for my children for hiking. I read the reviews from the beginning. The bad comments scared me a little. But I bought it anyway and was not disappointed. For the money it works fine. The sound quality is clearly intelligible, the vo"&amp;"lume is slightly below average. The setting buttons are a little tedious because they are too soft. It is better to set up radios at home according to the instructions.")</f>
        <v>I bought walkie-talkies for my children for hiking. I read the reviews from the beginning. The bad comments scared me a little. But I bought it anyway and was not disappointed. For the money it works fine. The sound quality is clearly intelligible, the volume is slightly below average. The setting buttons are a little tedious because they are too soft. It is better to set up radios at home according to the instructions.</v>
      </c>
    </row>
    <row r="5840" spans="1:9" x14ac:dyDescent="0.3">
      <c r="A5840" s="1" t="s">
        <v>211</v>
      </c>
      <c r="B5840" s="1" t="s">
        <v>265</v>
      </c>
      <c r="C5840" s="1" t="s">
        <v>57</v>
      </c>
      <c r="D5840" s="1" t="s">
        <v>280</v>
      </c>
      <c r="E5840" s="1" t="s">
        <v>2030</v>
      </c>
      <c r="F5840" s="1" t="s">
        <v>9429</v>
      </c>
      <c r="G5840" s="1" t="s">
        <v>36</v>
      </c>
      <c r="H5840" s="1" t="s">
        <v>29</v>
      </c>
      <c r="I5840" s="1" t="str">
        <f ca="1">IFERROR(__xludf.DUMMYFUNCTION("GOOGLETRANSLATE(F5840, ""auto"", ""en"")
"),"The machine is made with high quality. For some reason the 6mm nozzle is slightly loose. Compared to the Philips for 690, it will be heavier. Apparently they didn’t skimp on the winding and the engine. Doesn't tear hair (on the beard), no complaints.")</f>
        <v>The machine is made with high quality. For some reason the 6mm nozzle is slightly loose. Compared to the Philips for 690, it will be heavier. Apparently they didn’t skimp on the winding and the engine. Doesn't tear hair (on the beard), no complaints.</v>
      </c>
    </row>
    <row r="5841" spans="1:9" x14ac:dyDescent="0.3">
      <c r="A5841" s="1" t="s">
        <v>17</v>
      </c>
      <c r="B5841" s="1" t="s">
        <v>18</v>
      </c>
      <c r="C5841" s="1" t="s">
        <v>159</v>
      </c>
      <c r="D5841" s="1" t="s">
        <v>247</v>
      </c>
      <c r="E5841" s="1" t="s">
        <v>9430</v>
      </c>
      <c r="F5841" s="1" t="s">
        <v>9431</v>
      </c>
      <c r="G5841" s="1" t="s">
        <v>36</v>
      </c>
      <c r="H5841" s="1" t="s">
        <v>29</v>
      </c>
      <c r="I5841" s="1" t="str">
        <f ca="1">IFERROR(__xludf.DUMMYFUNCTION("GOOGLETRANSLATE(F5841, ""auto"", ""en"")
"),"I am also writing so that others do not step on the same rake. There are 3 transportation bolts, the top one is the largest. Be sure to remove the red one too (I thought it was a plug or gasket). So it’s just 5 cm long, plastic, and the drum knocks on it "&amp;"during the spin cycle. I deleted everything. You can hardly hear the car!!! I recommend buying!!!")</f>
        <v>I am also writing so that others do not step on the same rake. There are 3 transportation bolts, the top one is the largest. Be sure to remove the red one too (I thought it was a plug or gasket). So it’s just 5 cm long, plastic, and the drum knocks on it during the spin cycle. I deleted everything. You can hardly hear the car!!! I recommend buying!!!</v>
      </c>
    </row>
    <row r="5842" spans="1:9" x14ac:dyDescent="0.3">
      <c r="A5842" s="1" t="s">
        <v>61</v>
      </c>
      <c r="B5842" s="1" t="s">
        <v>62</v>
      </c>
      <c r="C5842" s="1" t="s">
        <v>63</v>
      </c>
      <c r="D5842" s="1" t="s">
        <v>75</v>
      </c>
      <c r="E5842" s="1" t="s">
        <v>1155</v>
      </c>
      <c r="F5842" s="1" t="s">
        <v>9432</v>
      </c>
      <c r="G5842" s="1" t="s">
        <v>28</v>
      </c>
      <c r="H5842" s="1" t="s">
        <v>29</v>
      </c>
      <c r="I5842" s="1" t="str">
        <f ca="1">IFERROR(__xludf.DUMMYFUNCTION("GOOGLETRANSLATE(F5842, ""auto"", ""en"")
"),"the disadvantages are the absence of a medium grater, it is noisy, the food remains under the lid, in general, you can still suffer as much as possible) of the advantages: it cuts well, the cubes are super (but it’s also a hassle in that you have to take "&amp;"everything apart and push the product into the grate, everything crumbles and falls by) cocktails are also good, the only thing that is not clear is the other attachments, but you need to figure it out, there’s not much in the instructions that I understa"&amp;"nd")</f>
        <v>the disadvantages are the absence of a medium grater, it is noisy, the food remains under the lid, in general, you can still suffer as much as possible) of the advantages: it cuts well, the cubes are super (but it’s also a hassle in that you have to take everything apart and push the product into the grate, everything crumbles and falls by) cocktails are also good, the only thing that is not clear is the other attachments, but you need to figure it out, there’s not much in the instructions that I understand</v>
      </c>
    </row>
    <row r="5843" spans="1:9" x14ac:dyDescent="0.3">
      <c r="A5843" s="1" t="s">
        <v>149</v>
      </c>
      <c r="B5843" s="1" t="s">
        <v>423</v>
      </c>
      <c r="C5843" s="1" t="s">
        <v>80</v>
      </c>
      <c r="D5843" s="1" t="s">
        <v>46</v>
      </c>
      <c r="E5843" s="1" t="s">
        <v>2565</v>
      </c>
      <c r="F5843" s="1" t="s">
        <v>9433</v>
      </c>
      <c r="G5843" s="1" t="s">
        <v>36</v>
      </c>
      <c r="H5843" s="1" t="s">
        <v>29</v>
      </c>
      <c r="I5843" s="1" t="str">
        <f ca="1">IFERROR(__xludf.DUMMYFUNCTION("GOOGLETRANSLATE(F5843, ""auto"", ""en"")
"),"Cleaning vacuum cleaner, cool. I bought it a year ago and am very pleased.")</f>
        <v>Cleaning vacuum cleaner, cool. I bought it a year ago and am very pleased.</v>
      </c>
    </row>
    <row r="5844" spans="1:9" x14ac:dyDescent="0.3">
      <c r="A5844" s="1" t="s">
        <v>30</v>
      </c>
      <c r="B5844" s="1" t="s">
        <v>50</v>
      </c>
      <c r="C5844" s="1" t="s">
        <v>32</v>
      </c>
      <c r="D5844" s="1" t="s">
        <v>345</v>
      </c>
      <c r="E5844" s="1" t="s">
        <v>2280</v>
      </c>
      <c r="F5844" s="1" t="s">
        <v>9434</v>
      </c>
      <c r="G5844" s="1" t="s">
        <v>36</v>
      </c>
      <c r="H5844" s="1" t="s">
        <v>29</v>
      </c>
      <c r="I5844" s="1" t="str">
        <f ca="1">IFERROR(__xludf.DUMMYFUNCTION("GOOGLETRANSLATE(F5844, ""auto"", ""en"")
"),"BigGuy (Vladikavkaz) - if a hard drive gives 5.9 points, this does not mean that it is slow, IT SPINS AT FULL, A HARD DRIVE WITH MORE THAN 5.9 POINTS IS NOT YES!!!!    For me, the laptop is gorgeous, a laptop with cooler hardware, hmmm, is very difficult "&amp;"to find.  8 gigs of RAM, 1280 gigs of memory, video card... Well, there’s nothing better... NO!   At the moment - NO!!!")</f>
        <v>BigGuy (Vladikavkaz) - if a hard drive gives 5.9 points, this does not mean that it is slow, IT SPINS AT FULL, A HARD DRIVE WITH MORE THAN 5.9 POINTS IS NOT YES!!!!    For me, the laptop is gorgeous, a laptop with cooler hardware, hmmm, is very difficult to find.  8 gigs of RAM, 1280 gigs of memory, video card... Well, there’s nothing better... NO!   At the moment - NO!!!</v>
      </c>
    </row>
    <row r="5845" spans="1:9" x14ac:dyDescent="0.3">
      <c r="A5845" s="1" t="s">
        <v>211</v>
      </c>
      <c r="B5845" s="1" t="s">
        <v>212</v>
      </c>
      <c r="C5845" s="1" t="s">
        <v>57</v>
      </c>
      <c r="D5845" s="1" t="s">
        <v>1940</v>
      </c>
      <c r="E5845" s="1" t="s">
        <v>124</v>
      </c>
      <c r="F5845" s="1" t="s">
        <v>9435</v>
      </c>
      <c r="G5845" s="1" t="s">
        <v>28</v>
      </c>
      <c r="H5845" s="1" t="s">
        <v>29</v>
      </c>
      <c r="I5845" s="1" t="str">
        <f ca="1">IFERROR(__xludf.DUMMYFUNCTION("GOOGLETRANSLATE(F5845, ""auto"", ""en"")
"),"I've been using this hairdryer for about 5 years and have no complaints. Doesn’t overheat when drying for a long time (I have long hair). I don’t really use the diffuser attachment. The volume does not last after styling, and the effect of wet hair is so-"&amp;"so. Overall a good hairdryer.")</f>
        <v>I've been using this hairdryer for about 5 years and have no complaints. Doesn’t overheat when drying for a long time (I have long hair). I don’t really use the diffuser attachment. The volume does not last after styling, and the effect of wet hair is so-so. Overall a good hairdryer.</v>
      </c>
    </row>
    <row r="5846" spans="1:9" x14ac:dyDescent="0.3">
      <c r="A5846" s="1" t="s">
        <v>61</v>
      </c>
      <c r="B5846" s="1" t="s">
        <v>318</v>
      </c>
      <c r="C5846" s="1" t="s">
        <v>69</v>
      </c>
      <c r="D5846" s="1" t="s">
        <v>1917</v>
      </c>
      <c r="E5846" s="1" t="s">
        <v>886</v>
      </c>
      <c r="F5846" s="1" t="s">
        <v>9436</v>
      </c>
      <c r="G5846" s="1" t="s">
        <v>15</v>
      </c>
      <c r="H5846" s="1" t="s">
        <v>16</v>
      </c>
      <c r="I5846" s="1" t="str">
        <f ca="1">IFERROR(__xludf.DUMMYFUNCTION("GOOGLETRANSLATE(F5846, ""auto"", ""en"")
"),"we bought the kettle on April 17, now it’s July 8... scale has come out at the junction of the lower and upper parts of the kettle, it’s leaking, that is, I’ll go change it, but it was okay, really very noisy and didn’t seem to bring the water to a boil, "&amp;"you drink tea and it’s cold...")</f>
        <v>we bought the kettle on April 17, now it’s July 8... scale has come out at the junction of the lower and upper parts of the kettle, it’s leaking, that is, I’ll go change it, but it was okay, really very noisy and didn’t seem to bring the water to a boil, you drink tea and it’s cold...</v>
      </c>
    </row>
    <row r="5847" spans="1:9" x14ac:dyDescent="0.3">
      <c r="A5847" s="1" t="s">
        <v>206</v>
      </c>
      <c r="B5847" s="1" t="s">
        <v>207</v>
      </c>
      <c r="C5847" s="1" t="s">
        <v>97</v>
      </c>
      <c r="D5847" s="1" t="s">
        <v>127</v>
      </c>
      <c r="E5847" s="1" t="s">
        <v>1236</v>
      </c>
      <c r="F5847" s="1" t="s">
        <v>9437</v>
      </c>
      <c r="G5847" s="1" t="s">
        <v>36</v>
      </c>
      <c r="H5847" s="1" t="s">
        <v>29</v>
      </c>
      <c r="I5847" s="1" t="str">
        <f ca="1">IFERROR(__xludf.DUMMYFUNCTION("GOOGLETRANSLATE(F5847, ""auto"", ""en"")
"),"I bought it a month ago, put it in a sedan, it pumps very well, the sound remains clear only in the car, it doesn’t play on the street. I’m very pleased. And in terms of sound quality, a lot depends on the settings of the amplifier, it’s better to trust p"&amp;"rofessionals and select high-quality discs. But you can tune it to any music.")</f>
        <v>I bought it a month ago, put it in a sedan, it pumps very well, the sound remains clear only in the car, it doesn’t play on the street. I’m very pleased. And in terms of sound quality, a lot depends on the settings of the amplifier, it’s better to trust professionals and select high-quality discs. But you can tune it to any music.</v>
      </c>
    </row>
    <row r="5848" spans="1:9" x14ac:dyDescent="0.3">
      <c r="A5848" s="1" t="s">
        <v>211</v>
      </c>
      <c r="B5848" s="1" t="s">
        <v>384</v>
      </c>
      <c r="C5848" s="1" t="s">
        <v>101</v>
      </c>
      <c r="D5848" s="1" t="s">
        <v>139</v>
      </c>
      <c r="E5848" s="1" t="s">
        <v>484</v>
      </c>
      <c r="F5848" s="1" t="s">
        <v>9438</v>
      </c>
      <c r="G5848" s="1" t="s">
        <v>28</v>
      </c>
      <c r="H5848" s="1" t="s">
        <v>29</v>
      </c>
      <c r="I5848" s="1" t="str">
        <f ca="1">IFERROR(__xludf.DUMMYFUNCTION("GOOGLETRANSLATE(F5848, ""auto"", ""en"")
"),"Everything is fine with me, the division value is 100g, I bought it from Mvideo, I’m happy with the scales, they are the cheapest among electronic scales, and they don’t lie, the error really seems to be 100g. In summary: simple, reliable, they don’t lie,"&amp;" the dial works well, doesn’t dull, and most importantly, they’re cheap, I recommend them!  First I bought a scale from the Martha company (I don’t think I’m confusing it) in another store, so I had to return it, they just lied, the PPC showed either 75.6"&amp;" or 73, but it was 77.1")</f>
        <v>Everything is fine with me, the division value is 100g, I bought it from Mvideo, I’m happy with the scales, they are the cheapest among electronic scales, and they don’t lie, the error really seems to be 100g. In summary: simple, reliable, they don’t lie, the dial works well, doesn’t dull, and most importantly, they’re cheap, I recommend them!  First I bought a scale from the Martha company (I don’t think I’m confusing it) in another store, so I had to return it, they just lied, the PPC showed either 75.6 or 73, but it was 77.1</v>
      </c>
    </row>
    <row r="5849" spans="1:9" x14ac:dyDescent="0.3">
      <c r="A5849" s="1" t="s">
        <v>211</v>
      </c>
      <c r="B5849" s="1" t="s">
        <v>265</v>
      </c>
      <c r="C5849" s="1" t="s">
        <v>69</v>
      </c>
      <c r="D5849" s="1" t="s">
        <v>139</v>
      </c>
      <c r="E5849" s="1" t="s">
        <v>661</v>
      </c>
      <c r="F5849" s="1" t="s">
        <v>9439</v>
      </c>
      <c r="G5849" s="1" t="s">
        <v>36</v>
      </c>
      <c r="H5849" s="1" t="s">
        <v>29</v>
      </c>
      <c r="I5849" s="1" t="str">
        <f ca="1">IFERROR(__xludf.DUMMYFUNCTION("GOOGLETRANSLATE(F5849, ""auto"", ""en"")
"),"The machine is good, in general it shaves well and cleanly, but you need to go over one place several times so as not to leave single hairs...plus a large number of attachments...it takes a couple of minutes to wash under running water...ideal for use at "&amp;"home..")</f>
        <v>The machine is good, in general it shaves well and cleanly, but you need to go over one place several times so as not to leave single hairs...plus a large number of attachments...it takes a couple of minutes to wash under running water...ideal for use at home..</v>
      </c>
    </row>
    <row r="5850" spans="1:9" x14ac:dyDescent="0.3">
      <c r="A5850" s="1" t="s">
        <v>206</v>
      </c>
      <c r="B5850" s="1" t="s">
        <v>207</v>
      </c>
      <c r="C5850" s="1" t="s">
        <v>152</v>
      </c>
      <c r="D5850" s="1" t="s">
        <v>2296</v>
      </c>
      <c r="E5850" s="1" t="s">
        <v>1978</v>
      </c>
      <c r="F5850" s="1" t="s">
        <v>9440</v>
      </c>
      <c r="G5850" s="1" t="s">
        <v>28</v>
      </c>
      <c r="H5850" s="1" t="s">
        <v>29</v>
      </c>
      <c r="I5850" s="1" t="str">
        <f ca="1">IFERROR(__xludf.DUMMYFUNCTION("GOOGLETRANSLATE(F5850, ""auto"", ""en"")
"),"Tweeters are a little weak for the money, those who don’t particularly care about sound are not music lovers, I advise you to buy them, they are not expensive and normal. I advise you to install it on the dashboard in the corners so that the tweeters look"&amp;" up at the windshield, so the sound is reflected and gets where it needs to be! In other places they are almost inaudible.")</f>
        <v>Tweeters are a little weak for the money, those who don’t particularly care about sound are not music lovers, I advise you to buy them, they are not expensive and normal. I advise you to install it on the dashboard in the corners so that the tweeters look up at the windshield, so the sound is reflected and gets where it needs to be! In other places they are almost inaudible.</v>
      </c>
    </row>
    <row r="5851" spans="1:9" x14ac:dyDescent="0.3">
      <c r="A5851" s="1" t="s">
        <v>211</v>
      </c>
      <c r="B5851" s="1" t="s">
        <v>212</v>
      </c>
      <c r="C5851" s="1" t="s">
        <v>453</v>
      </c>
      <c r="D5851" s="1" t="s">
        <v>280</v>
      </c>
      <c r="E5851" s="1" t="s">
        <v>3111</v>
      </c>
      <c r="F5851" s="1" t="s">
        <v>9441</v>
      </c>
      <c r="G5851" s="1" t="s">
        <v>36</v>
      </c>
      <c r="H5851" s="1" t="s">
        <v>29</v>
      </c>
      <c r="I5851" s="1" t="str">
        <f ca="1">IFERROR(__xludf.DUMMYFUNCTION("GOOGLETRANSLATE(F5851, ""auto"", ""en"")
"),"We purchased it for our grown-up daughter (12 years old) - this is the first device of this type in our family. My daughter is happy, the result is excellent, the device is not only easy to use, but also very reliable and safe, which is very important whe"&amp;"n used by children. Decide for yourself whether to buy a cheap or expensive straightener - we are 100% satisfied with this model.")</f>
        <v>We purchased it for our grown-up daughter (12 years old) - this is the first device of this type in our family. My daughter is happy, the result is excellent, the device is not only easy to use, but also very reliable and safe, which is very important when used by children. Decide for yourself whether to buy a cheap or expensive straightener - we are 100% satisfied with this model.</v>
      </c>
    </row>
    <row r="5852" spans="1:9" x14ac:dyDescent="0.3">
      <c r="A5852" s="1" t="s">
        <v>30</v>
      </c>
      <c r="B5852" s="1" t="s">
        <v>50</v>
      </c>
      <c r="C5852" s="1" t="s">
        <v>51</v>
      </c>
      <c r="D5852" s="1" t="s">
        <v>9442</v>
      </c>
      <c r="E5852" s="1" t="s">
        <v>3664</v>
      </c>
      <c r="F5852" s="1" t="s">
        <v>9443</v>
      </c>
      <c r="G5852" s="1" t="s">
        <v>36</v>
      </c>
      <c r="H5852" s="1" t="s">
        <v>29</v>
      </c>
      <c r="I5852" s="1" t="str">
        <f ca="1">IFERROR(__xludf.DUMMYFUNCTION("GOOGLETRANSLATE(F5852, ""auto"", ""en"")
"),"just a great computer")</f>
        <v>just a great computer</v>
      </c>
    </row>
    <row r="5853" spans="1:9" x14ac:dyDescent="0.3">
      <c r="A5853" s="1" t="s">
        <v>811</v>
      </c>
      <c r="B5853" s="1" t="s">
        <v>812</v>
      </c>
      <c r="C5853" s="1" t="s">
        <v>949</v>
      </c>
      <c r="D5853" s="1" t="s">
        <v>86</v>
      </c>
      <c r="E5853" s="1" t="s">
        <v>446</v>
      </c>
      <c r="F5853" s="1" t="s">
        <v>9444</v>
      </c>
      <c r="G5853" s="1" t="s">
        <v>36</v>
      </c>
      <c r="H5853" s="1" t="s">
        <v>29</v>
      </c>
      <c r="I5853" s="1" t="str">
        <f ca="1">IFERROR(__xludf.DUMMYFUNCTION("GOOGLETRANSLATE(F5853, ""auto"", ""en"")
"),"I agree with previous reviews: lightweight, quickly unfolds, compact, case included. I wish it was a little cheaper.. I bought it for a video camera..")</f>
        <v>I agree with previous reviews: lightweight, quickly unfolds, compact, case included. I wish it was a little cheaper.. I bought it for a video camera..</v>
      </c>
    </row>
    <row r="5854" spans="1:9" x14ac:dyDescent="0.3">
      <c r="A5854" s="1" t="s">
        <v>211</v>
      </c>
      <c r="B5854" s="1" t="s">
        <v>212</v>
      </c>
      <c r="C5854" s="1" t="s">
        <v>69</v>
      </c>
      <c r="D5854" s="1" t="s">
        <v>64</v>
      </c>
      <c r="E5854" s="1" t="s">
        <v>9445</v>
      </c>
      <c r="F5854" s="1" t="s">
        <v>9446</v>
      </c>
      <c r="G5854" s="1" t="s">
        <v>49</v>
      </c>
      <c r="H5854" s="1" t="s">
        <v>16</v>
      </c>
      <c r="I5854" s="1" t="str">
        <f ca="1">IFERROR(__xludf.DUMMYFUNCTION("GOOGLETRANSLATE(F5854, ""auto"", ""en"")
"),"Curlers suck. I shouldn't have paid any attention to the bad reviews. Even if I replaced the pins, I didn’t notice any curls, and if there are any, then about 10 minutes is enough. Then only the ends of the hair look like a washcloth. Minus 1,000,000 poin"&amp;"ts. I definitely don't recommend it")</f>
        <v>Curlers suck. I shouldn't have paid any attention to the bad reviews. Even if I replaced the pins, I didn’t notice any curls, and if there are any, then about 10 minutes is enough. Then only the ends of the hair look like a washcloth. Minus 1,000,000 points. I definitely don't recommend it</v>
      </c>
    </row>
    <row r="5855" spans="1:9" x14ac:dyDescent="0.3">
      <c r="A5855" s="1" t="s">
        <v>43</v>
      </c>
      <c r="B5855" s="1" t="s">
        <v>44</v>
      </c>
      <c r="C5855" s="1" t="s">
        <v>101</v>
      </c>
      <c r="D5855" s="1" t="s">
        <v>64</v>
      </c>
      <c r="E5855" s="1" t="s">
        <v>254</v>
      </c>
      <c r="F5855" s="1" t="s">
        <v>9447</v>
      </c>
      <c r="G5855" s="1" t="s">
        <v>36</v>
      </c>
      <c r="H5855" s="1" t="s">
        <v>29</v>
      </c>
      <c r="I5855" s="1" t="str">
        <f ca="1">IFERROR(__xludf.DUMMYFUNCTION("GOOGLETRANSLATE(F5855, ""auto"", ""en"")
"),"The black color looks great and the design is cute, it works well (especially at speed 3), it’s almost silent, I’m happy.")</f>
        <v>The black color looks great and the design is cute, it works well (especially at speed 3), it’s almost silent, I’m happy.</v>
      </c>
    </row>
    <row r="5856" spans="1:9" x14ac:dyDescent="0.3">
      <c r="A5856" s="1" t="s">
        <v>37</v>
      </c>
      <c r="B5856" s="1" t="s">
        <v>536</v>
      </c>
      <c r="C5856" s="1" t="s">
        <v>32</v>
      </c>
      <c r="D5856" s="1" t="s">
        <v>9448</v>
      </c>
      <c r="E5856" s="1" t="s">
        <v>1565</v>
      </c>
      <c r="F5856" s="1" t="s">
        <v>9449</v>
      </c>
      <c r="G5856" s="1" t="s">
        <v>36</v>
      </c>
      <c r="H5856" s="1" t="s">
        <v>29</v>
      </c>
      <c r="I5856" s="1" t="str">
        <f ca="1">IFERROR(__xludf.DUMMYFUNCTION("GOOGLETRANSLATE(F5856, ""auto"", ""en"")
"),"I've been using Android 2.2 for the second week. Official firmware 2.1 is slower. There are no battery problems. A day is the limit for him. But the device is excellent. I didn't expect it from Acer.")</f>
        <v>I've been using Android 2.2 for the second week. Official firmware 2.1 is slower. There are no battery problems. A day is the limit for him. But the device is excellent. I didn't expect it from Acer.</v>
      </c>
    </row>
    <row r="5857" spans="1:9" x14ac:dyDescent="0.3">
      <c r="A5857" s="1" t="s">
        <v>61</v>
      </c>
      <c r="B5857" s="1" t="s">
        <v>145</v>
      </c>
      <c r="C5857" s="1" t="s">
        <v>57</v>
      </c>
      <c r="D5857" s="1" t="s">
        <v>4281</v>
      </c>
      <c r="E5857" s="1" t="s">
        <v>1504</v>
      </c>
      <c r="F5857" s="1" t="s">
        <v>9450</v>
      </c>
      <c r="G5857" s="1" t="s">
        <v>36</v>
      </c>
      <c r="H5857" s="1" t="s">
        <v>29</v>
      </c>
      <c r="I5857" s="1" t="str">
        <f ca="1">IFERROR(__xludf.DUMMYFUNCTION("GOOGLETRANSLATE(F5857, ""auto"", ""en"")
"),"We bought it specifically for fondue. The product is great, we've been using it for 1.5 years now. I recommend it to everyone who loves fondue (since traditional fondue sets are torture!)")</f>
        <v>We bought it specifically for fondue. The product is great, we've been using it for 1.5 years now. I recommend it to everyone who loves fondue (since traditional fondue sets are torture!)</v>
      </c>
    </row>
    <row r="5858" spans="1:9" x14ac:dyDescent="0.3">
      <c r="A5858" s="1" t="s">
        <v>37</v>
      </c>
      <c r="B5858" s="1" t="s">
        <v>38</v>
      </c>
      <c r="C5858" s="1" t="s">
        <v>39</v>
      </c>
      <c r="D5858" s="1" t="s">
        <v>9451</v>
      </c>
      <c r="E5858" s="1" t="s">
        <v>430</v>
      </c>
      <c r="F5858" s="1" t="s">
        <v>9452</v>
      </c>
      <c r="G5858" s="1" t="s">
        <v>36</v>
      </c>
      <c r="H5858" s="1" t="s">
        <v>29</v>
      </c>
      <c r="I5858" s="1" t="str">
        <f ca="1">IFERROR(__xludf.DUMMYFUNCTION("GOOGLETRANSLATE(F5858, ""auto"", ""en"")
"),"I'm absolutely satisfied with the phone, I liked it so much that I'll probably buy the same one again.    on the jambs. from the moment of purchase in December 08 until the first visit to the service, sometimes it randomly rebooted. After the repair it st"&amp;"opped glitching at all.    for repairs: the first time I had the buttons on it on the train, the second time the headset-charging connector came off, the third (now) time - again the headset-charging connector began to come off, and one morning I pulled t"&amp;"he charger out of it “for the last time” - with the socket. note: the phone has been around for almost a year and a half, every day I put it on charge at night, put the headset in in the morning, took it out in the evening and put the charger in.")</f>
        <v>I'm absolutely satisfied with the phone, I liked it so much that I'll probably buy the same one again.    on the jambs. from the moment of purchase in December 08 until the first visit to the service, sometimes it randomly rebooted. After the repair it stopped glitching at all.    for repairs: the first time I had the buttons on it on the train, the second time the headset-charging connector came off, the third (now) time - again the headset-charging connector began to come off, and one morning I pulled the charger out of it “for the last time” - with the socket. note: the phone has been around for almost a year and a half, every day I put it on charge at night, put the headset in in the morning, took it out in the evening and put the charger in.</v>
      </c>
    </row>
    <row r="5859" spans="1:9" x14ac:dyDescent="0.3">
      <c r="A5859" s="1" t="s">
        <v>17</v>
      </c>
      <c r="B5859" s="1" t="s">
        <v>18</v>
      </c>
      <c r="C5859" s="1" t="s">
        <v>243</v>
      </c>
      <c r="D5859" s="1" t="s">
        <v>471</v>
      </c>
      <c r="E5859" s="1" t="s">
        <v>222</v>
      </c>
      <c r="F5859" s="1" t="s">
        <v>9453</v>
      </c>
      <c r="G5859" s="1" t="s">
        <v>36</v>
      </c>
      <c r="H5859" s="1" t="s">
        <v>29</v>
      </c>
      <c r="I5859" s="1" t="str">
        <f ca="1">IFERROR(__xludf.DUMMYFUNCTION("GOOGLETRANSLATE(F5859, ""auto"", ""en"")
"),"there is a 15 minute wash - GREAT!")</f>
        <v>there is a 15 minute wash - GREAT!</v>
      </c>
    </row>
    <row r="5860" spans="1:9" x14ac:dyDescent="0.3">
      <c r="A5860" s="1" t="s">
        <v>61</v>
      </c>
      <c r="B5860" s="1" t="s">
        <v>73</v>
      </c>
      <c r="C5860" s="1" t="s">
        <v>74</v>
      </c>
      <c r="D5860" s="1" t="s">
        <v>1520</v>
      </c>
      <c r="E5860" s="1" t="s">
        <v>2333</v>
      </c>
      <c r="F5860" s="1" t="s">
        <v>9454</v>
      </c>
      <c r="G5860" s="1" t="s">
        <v>36</v>
      </c>
      <c r="H5860" s="1" t="s">
        <v>29</v>
      </c>
      <c r="I5860" s="1" t="str">
        <f ca="1">IFERROR(__xludf.DUMMYFUNCTION("GOOGLETRANSLATE(F5860, ""auto"", ""en"")
"),"We bought it about a year ago, it works fine. The motor is a little weak, but everything is fine.")</f>
        <v>We bought it about a year ago, it works fine. The motor is a little weak, but everything is fine.</v>
      </c>
    </row>
    <row r="5861" spans="1:9" x14ac:dyDescent="0.3">
      <c r="A5861" s="1" t="s">
        <v>624</v>
      </c>
      <c r="B5861" s="1" t="s">
        <v>625</v>
      </c>
      <c r="C5861" s="1" t="s">
        <v>479</v>
      </c>
      <c r="D5861" s="1" t="s">
        <v>102</v>
      </c>
      <c r="E5861" s="1" t="s">
        <v>5963</v>
      </c>
      <c r="F5861" s="1" t="s">
        <v>9455</v>
      </c>
      <c r="G5861" s="1" t="s">
        <v>36</v>
      </c>
      <c r="H5861" s="1" t="s">
        <v>29</v>
      </c>
      <c r="I5861" s="1" t="str">
        <f ca="1">IFERROR(__xludf.DUMMYFUNCTION("GOOGLETRANSLATE(F5861, ""auto"", ""en"")
"),"A very cool toy. I recommend it to everyone!!!")</f>
        <v>A very cool toy. I recommend it to everyone!!!</v>
      </c>
    </row>
    <row r="5862" spans="1:9" x14ac:dyDescent="0.3">
      <c r="A5862" s="1" t="s">
        <v>1174</v>
      </c>
      <c r="B5862" s="1" t="s">
        <v>1175</v>
      </c>
      <c r="C5862" s="1" t="s">
        <v>356</v>
      </c>
      <c r="D5862" s="1" t="s">
        <v>172</v>
      </c>
      <c r="E5862" s="1" t="s">
        <v>1228</v>
      </c>
      <c r="F5862" s="1" t="s">
        <v>9456</v>
      </c>
      <c r="G5862" s="1" t="s">
        <v>28</v>
      </c>
      <c r="H5862" s="1" t="s">
        <v>29</v>
      </c>
      <c r="I5862" s="1" t="str">
        <f ca="1">IFERROR(__xludf.DUMMYFUNCTION("GOOGLETRANSLATE(F5862, ""auto"", ""en"")
"),"Many iPod reviews say that the standard headphones are bad and that they have to be changed immediately! My friends! This is nonsense! Buy yourself some foam tips for them (15 RUR for 6 pieces) - the sound is awesome! I had Sennheiser CX-300-2 for the sam"&amp;"e price. They are louder - this is their only advantage, but they drain the battery faster. Some people think that vacuum plugs transmit sound better. Not a fact for me!  The only drawback of Appl's ears is the white color! He pisses me off! I dream of fi"&amp;"nding ears of the same sound quality, but black! So far everything is in vain! The Sennheiser has been lying around in my desk drawer for half a year now, I’ve only used it a couple of times!")</f>
        <v>Many iPod reviews say that the standard headphones are bad and that they have to be changed immediately! My friends! This is nonsense! Buy yourself some foam tips for them (15 RUR for 6 pieces) - the sound is awesome! I had Sennheiser CX-300-2 for the same price. They are louder - this is their only advantage, but they drain the battery faster. Some people think that vacuum plugs transmit sound better. Not a fact for me!  The only drawback of Appl's ears is the white color! He pisses me off! I dream of finding ears of the same sound quality, but black! So far everything is in vain! The Sennheiser has been lying around in my desk drawer for half a year now, I’ve only used it a couple of times!</v>
      </c>
    </row>
    <row r="5863" spans="1:9" x14ac:dyDescent="0.3">
      <c r="A5863" s="1" t="s">
        <v>211</v>
      </c>
      <c r="B5863" s="1" t="s">
        <v>212</v>
      </c>
      <c r="C5863" s="1" t="s">
        <v>213</v>
      </c>
      <c r="D5863" s="1" t="s">
        <v>2428</v>
      </c>
      <c r="E5863" s="1" t="s">
        <v>1553</v>
      </c>
      <c r="F5863" s="1" t="s">
        <v>9457</v>
      </c>
      <c r="G5863" s="1" t="s">
        <v>36</v>
      </c>
      <c r="H5863" s="1" t="s">
        <v>29</v>
      </c>
      <c r="I5863" s="1" t="str">
        <f ca="1">IFERROR(__xludf.DUMMYFUNCTION("GOOGLETRANSLATE(F5863, ""auto"", ""en"")
"),"An excellent hair dryer, I already have 5 of these, because the contact at the base of the wire constantly breaks, I tried to find an analogue from another company, but there is none..")</f>
        <v>An excellent hair dryer, I already have 5 of these, because the contact at the base of the wire constantly breaks, I tried to find an analogue from another company, but there is none..</v>
      </c>
    </row>
    <row r="5864" spans="1:9" x14ac:dyDescent="0.3">
      <c r="A5864" s="1" t="s">
        <v>37</v>
      </c>
      <c r="B5864" s="1" t="s">
        <v>355</v>
      </c>
      <c r="C5864" s="1" t="s">
        <v>356</v>
      </c>
      <c r="D5864" s="1" t="s">
        <v>280</v>
      </c>
      <c r="E5864" s="1" t="s">
        <v>2280</v>
      </c>
      <c r="F5864" s="1" t="s">
        <v>9458</v>
      </c>
      <c r="G5864" s="1" t="s">
        <v>36</v>
      </c>
      <c r="H5864" s="1" t="s">
        <v>29</v>
      </c>
      <c r="I5864" s="1" t="str">
        <f ca="1">IFERROR(__xludf.DUMMYFUNCTION("GOOGLETRANSLATE(F5864, ""auto"", ""en"")
"),"iPhones are already a whole culture, and for the first time someone is faced with the choice of what to take? iPhone or ....... it's worth thinking about what you want from your phone/communicator iPhone is an excellent choice, a simple, uncomplicated men"&amp;"u, only registering the phone can cause some difficulties, but everything can be solved, there are Appll shops that will help you make the correct settings, otherwise all the difficulties end, Phone player, task scheduler, Call quick menu Favorite, Boss, "&amp;"all with one keystroke, A small drawback, perhaps, is that you can order 30 ringtones for free, but for me this is not a problem and did not bother me at all, a bunch of applications, both paid and free, two colors black white Classic, nothing superfluous"&amp;". I like the phone.    But as for other manufacturers, Nokia with its bricks is not even close, HTC with its mega model HD2, which is unnecessary to anyone, by the way, I used this model for 2 months, then I couldn’t stand it and sold it! Well, you have t"&amp;"o think of it so that in active mode the battery is completely drained in 5 hours!!!?")</f>
        <v>iPhones are already a whole culture, and for the first time someone is faced with the choice of what to take? iPhone or ....... it's worth thinking about what you want from your phone/communicator iPhone is an excellent choice, a simple, uncomplicated menu, only registering the phone can cause some difficulties, but everything can be solved, there are Appll shops that will help you make the correct settings, otherwise all the difficulties end, Phone player, task scheduler, Call quick menu Favorite, Boss, all with one keystroke, A small drawback, perhaps, is that you can order 30 ringtones for free, but for me this is not a problem and did not bother me at all, a bunch of applications, both paid and free, two colors black white Classic, nothing superfluous. I like the phone.    But as for other manufacturers, Nokia with its bricks is not even close, HTC with its mega model HD2, which is unnecessary to anyone, by the way, I used this model for 2 months, then I couldn’t stand it and sold it! Well, you have to think of it so that in active mode the battery is completely drained in 5 hours!!!?</v>
      </c>
    </row>
    <row r="5865" spans="1:9" x14ac:dyDescent="0.3">
      <c r="A5865" s="1" t="s">
        <v>149</v>
      </c>
      <c r="B5865" s="1" t="s">
        <v>423</v>
      </c>
      <c r="C5865" s="1" t="s">
        <v>424</v>
      </c>
      <c r="D5865" s="1" t="s">
        <v>247</v>
      </c>
      <c r="E5865" s="1" t="s">
        <v>1589</v>
      </c>
      <c r="F5865" s="1" t="s">
        <v>9459</v>
      </c>
      <c r="G5865" s="1" t="s">
        <v>36</v>
      </c>
      <c r="H5865" s="1" t="s">
        <v>29</v>
      </c>
      <c r="I5865" s="1" t="str">
        <f ca="1">IFERROR(__xludf.DUMMYFUNCTION("GOOGLETRANSLATE(F5865, ""auto"", ""en"")
"),"The vacuum cleaner is ten years old, it works perfectly. The first floor is 120 meters, we wash it only with a vacuum cleaner. No amount of rags or mops can remove the sand like that.")</f>
        <v>The vacuum cleaner is ten years old, it works perfectly. The first floor is 120 meters, we wash it only with a vacuum cleaner. No amount of rags or mops can remove the sand like that.</v>
      </c>
    </row>
    <row r="5866" spans="1:9" x14ac:dyDescent="0.3">
      <c r="A5866" s="1" t="s">
        <v>369</v>
      </c>
      <c r="B5866" s="1" t="s">
        <v>587</v>
      </c>
      <c r="C5866" s="1" t="s">
        <v>290</v>
      </c>
      <c r="D5866" s="1" t="s">
        <v>1483</v>
      </c>
      <c r="E5866" s="1" t="s">
        <v>9460</v>
      </c>
      <c r="F5866" s="1" t="s">
        <v>9461</v>
      </c>
      <c r="G5866" s="1" t="s">
        <v>36</v>
      </c>
      <c r="H5866" s="1" t="s">
        <v>29</v>
      </c>
      <c r="I5866" s="1" t="str">
        <f ca="1">IFERROR(__xludf.DUMMYFUNCTION("GOOGLETRANSLATE(F5866, ""auto"", ""en"")
"),"For a very long time we could not choose a suitable model, since most gas stoves are still inferior in external characteristics to sensory ones, but I wanted beauty.   This model fits perfectly into the interior and pleases the eye every day) After the ol"&amp;"d Hephaestus, this stove is like a BMW after a Zhiguli) Automatic ignition, a programmer for each burner (you can set the time and leave, the stove will turn itself off), including the oven.   Loved the gas grill!     We also bought a stove on sale) and w"&amp;"e are doubly happy.     We recommend it to everyone!")</f>
        <v>For a very long time we could not choose a suitable model, since most gas stoves are still inferior in external characteristics to sensory ones, but I wanted beauty.   This model fits perfectly into the interior and pleases the eye every day) After the old Hephaestus, this stove is like a BMW after a Zhiguli) Automatic ignition, a programmer for each burner (you can set the time and leave, the stove will turn itself off), including the oven.   Loved the gas grill!     We also bought a stove on sale) and we are doubly happy.     We recommend it to everyone!</v>
      </c>
    </row>
    <row r="5867" spans="1:9" x14ac:dyDescent="0.3">
      <c r="A5867" s="1" t="s">
        <v>61</v>
      </c>
      <c r="B5867" s="1" t="s">
        <v>1126</v>
      </c>
      <c r="C5867" s="1" t="s">
        <v>246</v>
      </c>
      <c r="D5867" s="1" t="s">
        <v>64</v>
      </c>
      <c r="E5867" s="1" t="s">
        <v>128</v>
      </c>
      <c r="F5867" s="1" t="s">
        <v>9462</v>
      </c>
      <c r="G5867" s="1" t="s">
        <v>49</v>
      </c>
      <c r="H5867" s="1" t="s">
        <v>16</v>
      </c>
      <c r="I5867" s="1" t="str">
        <f ca="1">IFERROR(__xludf.DUMMYFUNCTION("GOOGLETRANSLATE(F5867, ""auto"", ""en"")
"),"They constantly show different weights. They don’t turn on the first time. Even if they are empty, they alternately show either 5 grams or 8 grams. And for that kind of money, they are not needed for free!")</f>
        <v>They constantly show different weights. They don’t turn on the first time. Even if they are empty, they alternately show either 5 grams or 8 grams. And for that kind of money, they are not needed for free!</v>
      </c>
    </row>
    <row r="5868" spans="1:9" x14ac:dyDescent="0.3">
      <c r="A5868" s="1" t="s">
        <v>67</v>
      </c>
      <c r="B5868" s="1" t="s">
        <v>68</v>
      </c>
      <c r="C5868" s="1" t="s">
        <v>101</v>
      </c>
      <c r="D5868" s="1" t="s">
        <v>5031</v>
      </c>
      <c r="E5868" s="1" t="s">
        <v>2459</v>
      </c>
      <c r="F5868" s="1" t="s">
        <v>9463</v>
      </c>
      <c r="G5868" s="1" t="s">
        <v>28</v>
      </c>
      <c r="H5868" s="1" t="s">
        <v>29</v>
      </c>
      <c r="I5868" s="1" t="str">
        <f ca="1">IFERROR(__xludf.DUMMYFUNCTION("GOOGLETRANSLATE(F5868, ""auto"", ""en"")
"),"Despite the fact that the iron is small and still a travel iron, it can also cope with difficult things, which can take a lot of effort even with a regular iron. The steamer is excellent.")</f>
        <v>Despite the fact that the iron is small and still a travel iron, it can also cope with difficult things, which can take a lot of effort even with a regular iron. The steamer is excellent.</v>
      </c>
    </row>
    <row r="5869" spans="1:9" x14ac:dyDescent="0.3">
      <c r="A5869" s="1" t="s">
        <v>30</v>
      </c>
      <c r="B5869" s="1" t="s">
        <v>50</v>
      </c>
      <c r="C5869" s="1" t="s">
        <v>694</v>
      </c>
      <c r="D5869" s="1" t="s">
        <v>9464</v>
      </c>
      <c r="E5869" s="1" t="s">
        <v>659</v>
      </c>
      <c r="F5869" s="1" t="s">
        <v>9465</v>
      </c>
      <c r="G5869" s="1" t="s">
        <v>28</v>
      </c>
      <c r="H5869" s="1" t="s">
        <v>29</v>
      </c>
      <c r="I5869" s="1" t="str">
        <f ca="1">IFERROR(__xludf.DUMMYFUNCTION("GOOGLETRANSLATE(F5869, ""auto"", ""en"")
"),"Great item for the money.  Simple and versatile: you can use it in the office, carry it with you, watch videos - that’s what I was looking for.  The lid is ribbed - very convenient, there are no fingers left. The keyboard is not very flat - that's also go"&amp;"od.  Based on the serial number, the configuration is issued on the official website.     It's a pity that Vista HB can now be bought with 7 for quite a bit more.")</f>
        <v>Great item for the money.  Simple and versatile: you can use it in the office, carry it with you, watch videos - that’s what I was looking for.  The lid is ribbed - very convenient, there are no fingers left. The keyboard is not very flat - that's also good.  Based on the serial number, the configuration is issued on the official website.     It's a pity that Vista HB can now be bought with 7 for quite a bit more.</v>
      </c>
    </row>
    <row r="5870" spans="1:9" x14ac:dyDescent="0.3">
      <c r="A5870" s="1" t="s">
        <v>211</v>
      </c>
      <c r="B5870" s="1" t="s">
        <v>515</v>
      </c>
      <c r="C5870" s="1" t="s">
        <v>381</v>
      </c>
      <c r="D5870" s="1" t="s">
        <v>9466</v>
      </c>
      <c r="E5870" s="1" t="s">
        <v>7808</v>
      </c>
      <c r="F5870" s="1" t="s">
        <v>9467</v>
      </c>
      <c r="G5870" s="1" t="s">
        <v>36</v>
      </c>
      <c r="H5870" s="1" t="s">
        <v>29</v>
      </c>
      <c r="I5870" s="1" t="str">
        <f ca="1">IFERROR(__xludf.DUMMYFUNCTION("GOOGLETRANSLATE(F5870, ""auto"", ""en"")
"),"I bought this epilator and was very pleased. If someone says that a regular razor is better, most likely they are simply not using it correctly or have not used this epilator at all. Captures perfectly from the roots without cutting off hairs. Previously,"&amp;" after regular shaving of the legs, the next day coarse stumps already appeared, which were very noticeable, with this epilator you can forget about epilating your legs for a long time!!!")</f>
        <v>I bought this epilator and was very pleased. If someone says that a regular razor is better, most likely they are simply not using it correctly or have not used this epilator at all. Captures perfectly from the roots without cutting off hairs. Previously, after regular shaving of the legs, the next day coarse stumps already appeared, which were very noticeable, with this epilator you can forget about epilating your legs for a long time!!!</v>
      </c>
    </row>
    <row r="5871" spans="1:9" x14ac:dyDescent="0.3">
      <c r="A5871" s="1" t="s">
        <v>238</v>
      </c>
      <c r="B5871" s="1" t="s">
        <v>276</v>
      </c>
      <c r="C5871" s="1" t="s">
        <v>277</v>
      </c>
      <c r="D5871" s="1" t="s">
        <v>308</v>
      </c>
      <c r="E5871" s="1" t="s">
        <v>1669</v>
      </c>
      <c r="F5871" s="1" t="s">
        <v>9468</v>
      </c>
      <c r="G5871" s="1" t="s">
        <v>36</v>
      </c>
      <c r="H5871" s="1" t="s">
        <v>29</v>
      </c>
      <c r="I5871" s="1" t="str">
        <f ca="1">IFERROR(__xludf.DUMMYFUNCTION("GOOGLETRANSLATE(F5871, ""auto"", ""en"")
"),"We bought this refrigerator 2 days ago, so far there are no complaints. It freezes instantly, although there are droplets in the refrigerator on the back wall, this is the only negative, but we are mostly satisfied, it works almost inaudibly, in general, "&amp;"excellent quality for a low price!!")</f>
        <v>We bought this refrigerator 2 days ago, so far there are no complaints. It freezes instantly, although there are droplets in the refrigerator on the back wall, this is the only negative, but we are mostly satisfied, it works almost inaudibly, in general, excellent quality for a low price!!</v>
      </c>
    </row>
    <row r="5872" spans="1:9" x14ac:dyDescent="0.3">
      <c r="A5872" s="1" t="s">
        <v>61</v>
      </c>
      <c r="B5872" s="1" t="s">
        <v>180</v>
      </c>
      <c r="C5872" s="1" t="s">
        <v>69</v>
      </c>
      <c r="D5872" s="1" t="s">
        <v>127</v>
      </c>
      <c r="E5872" s="1" t="s">
        <v>5126</v>
      </c>
      <c r="F5872" s="1" t="s">
        <v>9469</v>
      </c>
      <c r="G5872" s="1" t="s">
        <v>36</v>
      </c>
      <c r="H5872" s="1" t="s">
        <v>29</v>
      </c>
      <c r="I5872" s="1" t="str">
        <f ca="1">IFERROR(__xludf.DUMMYFUNCTION("GOOGLETRANSLATE(F5872, ""auto"", ""en"")
"),"I really liked this toaster. I bought it spontaneously while wandering around the store.  I was attracted by the simplicity and low price. Now white bread is eaten faster in the family. The toasts are cooked for a minute at position 2.5 and are golden, cr"&amp;"ispy and very tasty.  The toaster fits perfectly in the kitchen, with such small dimensions.  There are no comments and no bells and whistles are needed. Everything should be simple and convenient.")</f>
        <v>I really liked this toaster. I bought it spontaneously while wandering around the store.  I was attracted by the simplicity and low price. Now white bread is eaten faster in the family. The toasts are cooked for a minute at position 2.5 and are golden, crispy and very tasty.  The toaster fits perfectly in the kitchen, with such small dimensions.  There are no comments and no bells and whistles are needed. Everything should be simple and convenient.</v>
      </c>
    </row>
    <row r="5873" spans="1:9" x14ac:dyDescent="0.3">
      <c r="A5873" s="1" t="s">
        <v>30</v>
      </c>
      <c r="B5873" s="1" t="s">
        <v>50</v>
      </c>
      <c r="C5873" s="1" t="s">
        <v>694</v>
      </c>
      <c r="D5873" s="1" t="s">
        <v>9470</v>
      </c>
      <c r="E5873" s="1" t="s">
        <v>2815</v>
      </c>
      <c r="F5873" s="1" t="s">
        <v>9471</v>
      </c>
      <c r="G5873" s="1" t="s">
        <v>36</v>
      </c>
      <c r="H5873" s="1" t="s">
        <v>29</v>
      </c>
      <c r="I5873" s="1" t="str">
        <f ca="1">IFERROR(__xludf.DUMMYFUNCTION("GOOGLETRANSLATE(F5873, ""auto"", ""en"")
"),"Class")</f>
        <v>Class</v>
      </c>
    </row>
    <row r="5874" spans="1:9" x14ac:dyDescent="0.3">
      <c r="A5874" s="1" t="s">
        <v>61</v>
      </c>
      <c r="B5874" s="1" t="s">
        <v>1126</v>
      </c>
      <c r="C5874" s="1" t="s">
        <v>57</v>
      </c>
      <c r="D5874" s="1" t="s">
        <v>39</v>
      </c>
      <c r="E5874" s="1" t="s">
        <v>8352</v>
      </c>
      <c r="F5874" s="1" t="s">
        <v>9472</v>
      </c>
      <c r="G5874" s="1" t="s">
        <v>49</v>
      </c>
      <c r="H5874" s="1" t="s">
        <v>16</v>
      </c>
      <c r="I5874" s="1" t="str">
        <f ca="1">IFERROR(__xludf.DUMMYFUNCTION("GOOGLETRANSLATE(F5874, ""auto"", ""en"")
"),"The scales do not turn on the first time. The batteries ""eat up"" within a month (they haven't been used that often). They constantly turn off on their own. There is no forced shutdown button. And a year later they didn’t turn on at all. For the price, V"&amp;"itek could do better.  p.s. on the plus side: they measured it accurately.")</f>
        <v>The scales do not turn on the first time. The batteries "eat up" within a month (they haven't been used that often). They constantly turn off on their own. There is no forced shutdown button. And a year later they didn’t turn on at all. For the price, Vitek could do better.  p.s. on the plus side: they measured it accurately.</v>
      </c>
    </row>
    <row r="5875" spans="1:9" x14ac:dyDescent="0.3">
      <c r="A5875" s="1" t="s">
        <v>61</v>
      </c>
      <c r="B5875" s="1" t="s">
        <v>62</v>
      </c>
      <c r="C5875" s="1" t="s">
        <v>146</v>
      </c>
      <c r="D5875" s="1" t="s">
        <v>474</v>
      </c>
      <c r="E5875" s="1" t="s">
        <v>2043</v>
      </c>
      <c r="F5875" s="1" t="s">
        <v>9473</v>
      </c>
      <c r="G5875" s="1" t="s">
        <v>28</v>
      </c>
      <c r="H5875" s="1" t="s">
        <v>29</v>
      </c>
      <c r="I5875" s="1" t="str">
        <f ca="1">IFERROR(__xludf.DUMMYFUNCTION("GOOGLETRANSLATE(F5875, ""auto"", ""en"")
"),"Great combine! All the most necessary attachments are included! everything is great! It’s just that I’ve been using it for six months now, and the smell still remains when I use it! Otherwise everything is fine!")</f>
        <v>Great combine! All the most necessary attachments are included! everything is great! It’s just that I’ve been using it for six months now, and the smell still remains when I use it! Otherwise everything is fine!</v>
      </c>
    </row>
    <row r="5876" spans="1:9" x14ac:dyDescent="0.3">
      <c r="A5876" s="1" t="s">
        <v>37</v>
      </c>
      <c r="B5876" s="1" t="s">
        <v>38</v>
      </c>
      <c r="C5876" s="1" t="s">
        <v>163</v>
      </c>
      <c r="D5876" s="1" t="s">
        <v>232</v>
      </c>
      <c r="E5876" s="1" t="s">
        <v>2251</v>
      </c>
      <c r="F5876" s="1" t="s">
        <v>9474</v>
      </c>
      <c r="G5876" s="1" t="s">
        <v>36</v>
      </c>
      <c r="H5876" s="1" t="s">
        <v>29</v>
      </c>
      <c r="I5876" s="1" t="str">
        <f ca="1">IFERROR(__xludf.DUMMYFUNCTION("GOOGLETRANSLATE(F5876, ""auto"", ""en"")
"),"Already left a message a year ago. During this time the phone performed just fine. Well, of course, you can find fault: indeed, like everyone else, the letters on the back panel fell off (do I need them?), during the entire time there were 3-4 times when "&amp;"the phone turned itself off (well, this happens with all devices, for example, my computer also reboots itself once every 2 months). The only thing that maybe not everyone will like is that the phone is quiet, you can ride on the bus and not hear the call"&amp;"... Otherwise, everything is fine: the audibility is excellent, games can easily be loaded into the phone, excellent headphones are included, a memory card is included with the phone, good photos (well, for a phone if you count), I don’t use a video camer"&amp;"a. I bought it for 4190. Now I see it’s already worth 3000. In my opinion, the price-quality ratio is only pleasing. The charge lasts for 2 days, not a very loud call, but if this doesn’t scare you, if you need a practical, inexpensive phone with download"&amp;"able games, radio, good headphones and a memory card, then buy it")</f>
        <v>Already left a message a year ago. During this time the phone performed just fine. Well, of course, you can find fault: indeed, like everyone else, the letters on the back panel fell off (do I need them?), during the entire time there were 3-4 times when the phone turned itself off (well, this happens with all devices, for example, my computer also reboots itself once every 2 months). The only thing that maybe not everyone will like is that the phone is quiet, you can ride on the bus and not hear the call... Otherwise, everything is fine: the audibility is excellent, games can easily be loaded into the phone, excellent headphones are included, a memory card is included with the phone, good photos (well, for a phone if you count), I don’t use a video camera. I bought it for 4190. Now I see it’s already worth 3000. In my opinion, the price-quality ratio is only pleasing. The charge lasts for 2 days, not a very loud call, but if this doesn’t scare you, if you need a practical, inexpensive phone with downloadable games, radio, good headphones and a memory card, then buy it</v>
      </c>
    </row>
    <row r="5877" spans="1:9" x14ac:dyDescent="0.3">
      <c r="A5877" s="1" t="s">
        <v>61</v>
      </c>
      <c r="B5877" s="1" t="s">
        <v>726</v>
      </c>
      <c r="C5877" s="1" t="s">
        <v>122</v>
      </c>
      <c r="D5877" s="1" t="s">
        <v>565</v>
      </c>
      <c r="E5877" s="1" t="s">
        <v>176</v>
      </c>
      <c r="F5877" s="1" t="s">
        <v>9475</v>
      </c>
      <c r="G5877" s="1" t="s">
        <v>36</v>
      </c>
      <c r="H5877" s="1" t="s">
        <v>29</v>
      </c>
      <c r="I5877" s="1" t="str">
        <f ca="1">IFERROR(__xludf.DUMMYFUNCTION("GOOGLETRANSLATE(F5877, ""auto"", ""en"")
"),"I am the happy owner of such a bread machine. The bread turned out great the first time. Now we don’t buy store-bought ones - we bake both wheat and rye ourselves, and knead the dough, it’s just wonderful! It also works very quietly. To say that I am sati"&amp;"sfied is to say nothing. EXCELLENT BREAD MAKER!!!")</f>
        <v>I am the happy owner of such a bread machine. The bread turned out great the first time. Now we don’t buy store-bought ones - we bake both wheat and rye ourselves, and knead the dough, it’s just wonderful! It also works very quietly. To say that I am satisfied is to say nothing. EXCELLENT BREAD MAKER!!!</v>
      </c>
    </row>
    <row r="5878" spans="1:9" x14ac:dyDescent="0.3">
      <c r="A5878" s="1" t="s">
        <v>105</v>
      </c>
      <c r="B5878" s="1" t="s">
        <v>106</v>
      </c>
      <c r="C5878" s="1" t="s">
        <v>151</v>
      </c>
      <c r="D5878" s="1" t="s">
        <v>4937</v>
      </c>
      <c r="E5878" s="1" t="s">
        <v>201</v>
      </c>
      <c r="F5878" s="1" t="s">
        <v>9476</v>
      </c>
      <c r="G5878" s="1" t="s">
        <v>36</v>
      </c>
      <c r="H5878" s="1" t="s">
        <v>29</v>
      </c>
      <c r="I5878" s="1" t="str">
        <f ca="1">IFERROR(__xludf.DUMMYFUNCTION("GOOGLETRANSLATE(F5878, ""auto"", ""en"")
"),"the player is just super! I advise everyone to just buy it! There are few disadvantages but many advantages")</f>
        <v>the player is just super! I advise everyone to just buy it! There are few disadvantages but many advantages</v>
      </c>
    </row>
    <row r="5879" spans="1:9" x14ac:dyDescent="0.3">
      <c r="A5879" s="1" t="s">
        <v>477</v>
      </c>
      <c r="B5879" s="1" t="s">
        <v>478</v>
      </c>
      <c r="C5879" s="1" t="s">
        <v>479</v>
      </c>
      <c r="D5879" s="1" t="s">
        <v>152</v>
      </c>
      <c r="E5879" s="1" t="s">
        <v>4174</v>
      </c>
      <c r="F5879" s="1" t="s">
        <v>9477</v>
      </c>
      <c r="G5879" s="1" t="s">
        <v>36</v>
      </c>
      <c r="H5879" s="1" t="s">
        <v>29</v>
      </c>
      <c r="I5879" s="1" t="str">
        <f ca="1">IFERROR(__xludf.DUMMYFUNCTION("GOOGLETRANSLATE(F5879, ""auto"", ""en"")
"),"In my opinion, the best game of 2009 on PC.")</f>
        <v>In my opinion, the best game of 2009 on PC.</v>
      </c>
    </row>
    <row r="5880" spans="1:9" x14ac:dyDescent="0.3">
      <c r="A5880" s="1" t="s">
        <v>149</v>
      </c>
      <c r="B5880" s="1" t="s">
        <v>150</v>
      </c>
      <c r="C5880" s="1" t="s">
        <v>57</v>
      </c>
      <c r="D5880" s="1" t="s">
        <v>247</v>
      </c>
      <c r="E5880" s="1" t="s">
        <v>886</v>
      </c>
      <c r="F5880" s="1" t="s">
        <v>9478</v>
      </c>
      <c r="G5880" s="1" t="s">
        <v>28</v>
      </c>
      <c r="H5880" s="1" t="s">
        <v>29</v>
      </c>
      <c r="I5880" s="1" t="str">
        <f ca="1">IFERROR(__xludf.DUMMYFUNCTION("GOOGLETRANSLATE(F5880, ""auto"", ""en"")
"),"We've had him for three years. Quite good. Satisfied.   It makes noise like everyone else.   It pulls well. Especially at maximum. (judging by the “purity” of the water after cleaning).   You need to wash the container after each cleaning, but it is not d"&amp;"ifficult. and the water will go out, won’t it. The container, of course, has an interesting shape :) you can’t do without your hands.  We used all the attachments. Everything is ok.")</f>
        <v>We've had him for three years. Quite good. Satisfied.   It makes noise like everyone else.   It pulls well. Especially at maximum. (judging by the “purity” of the water after cleaning).   You need to wash the container after each cleaning, but it is not difficult. and the water will go out, won’t it. The container, of course, has an interesting shape :) you can’t do without your hands.  We used all the attachments. Everything is ok.</v>
      </c>
    </row>
    <row r="5881" spans="1:9" x14ac:dyDescent="0.3">
      <c r="A5881" s="1" t="s">
        <v>211</v>
      </c>
      <c r="B5881" s="1" t="s">
        <v>212</v>
      </c>
      <c r="C5881" s="1" t="s">
        <v>101</v>
      </c>
      <c r="D5881" s="1" t="s">
        <v>471</v>
      </c>
      <c r="E5881" s="1" t="s">
        <v>2557</v>
      </c>
      <c r="F5881" s="1" t="s">
        <v>9479</v>
      </c>
      <c r="G5881" s="1" t="s">
        <v>36</v>
      </c>
      <c r="H5881" s="1" t="s">
        <v>29</v>
      </c>
      <c r="I5881" s="1" t="str">
        <f ca="1">IFERROR(__xludf.DUMMYFUNCTION("GOOGLETRANSLATE(F5881, ""auto"", ""en"")
"),"Convenient tongs with temperature switching.   I often have to go on holidays to relatives. And of course I would like to look good from the train. It’s a pity that the manufacturers did not provide a travel bag for it.")</f>
        <v>Convenient tongs with temperature switching.   I often have to go on holidays to relatives. And of course I would like to look good from the train. It’s a pity that the manufacturers did not provide a travel bag for it.</v>
      </c>
    </row>
    <row r="5882" spans="1:9" x14ac:dyDescent="0.3">
      <c r="A5882" s="1" t="s">
        <v>43</v>
      </c>
      <c r="B5882" s="1" t="s">
        <v>303</v>
      </c>
      <c r="C5882" s="1" t="s">
        <v>304</v>
      </c>
      <c r="D5882" s="1" t="s">
        <v>9480</v>
      </c>
      <c r="E5882" s="1" t="s">
        <v>8513</v>
      </c>
      <c r="F5882" s="1" t="s">
        <v>9481</v>
      </c>
      <c r="G5882" s="1" t="s">
        <v>36</v>
      </c>
      <c r="H5882" s="1" t="s">
        <v>29</v>
      </c>
      <c r="I5882" s="1" t="str">
        <f ca="1">IFERROR(__xludf.DUMMYFUNCTION("GOOGLETRANSLATE(F5882, ""auto"", ""en"")
"),"easy to use, cost")</f>
        <v>easy to use, cost</v>
      </c>
    </row>
    <row r="5883" spans="1:9" x14ac:dyDescent="0.3">
      <c r="A5883" s="1" t="s">
        <v>206</v>
      </c>
      <c r="B5883" s="1" t="s">
        <v>2026</v>
      </c>
      <c r="C5883" s="1" t="s">
        <v>4219</v>
      </c>
      <c r="D5883" s="1" t="s">
        <v>2293</v>
      </c>
      <c r="E5883" s="1" t="s">
        <v>9482</v>
      </c>
      <c r="F5883" s="1" t="s">
        <v>9483</v>
      </c>
      <c r="G5883" s="1" t="s">
        <v>28</v>
      </c>
      <c r="H5883" s="1" t="s">
        <v>29</v>
      </c>
      <c r="I5883" s="1" t="str">
        <f ca="1">IFERROR(__xludf.DUMMYFUNCTION("GOOGLETRANSLATE(F5883, ""auto"", ""en"")
"),"Great TV. I took it mainly for viewing from external media. It reads everything from a flash drive and an 8 GB card, does not slow down, rewinding works without any problems. The sound is acceptable. There is a DVD with USB, but it doesn’t see a flash dri"&amp;"ve larger than 2 GB, so I advise you to buy such a TV instead of a DVD. One drawback: there is no AV output.")</f>
        <v>Great TV. I took it mainly for viewing from external media. It reads everything from a flash drive and an 8 GB card, does not slow down, rewinding works without any problems. The sound is acceptable. There is a DVD with USB, but it doesn’t see a flash drive larger than 2 GB, so I advise you to buy such a TV instead of a DVD. One drawback: there is no AV output.</v>
      </c>
    </row>
    <row r="5884" spans="1:9" x14ac:dyDescent="0.3">
      <c r="A5884" s="1" t="s">
        <v>37</v>
      </c>
      <c r="B5884" s="1" t="s">
        <v>536</v>
      </c>
      <c r="C5884" s="1" t="s">
        <v>163</v>
      </c>
      <c r="D5884" s="1" t="s">
        <v>142</v>
      </c>
      <c r="E5884" s="1" t="s">
        <v>3755</v>
      </c>
      <c r="F5884" s="1" t="s">
        <v>9484</v>
      </c>
      <c r="G5884" s="1" t="s">
        <v>36</v>
      </c>
      <c r="H5884" s="1" t="s">
        <v>29</v>
      </c>
      <c r="I5884" s="1" t="str">
        <f ca="1">IFERROR(__xludf.DUMMYFUNCTION("GOOGLETRANSLATE(F5884, ""auto"", ""en"")
"),"I like this phone...it's cool...I don't regret buying it one bit")</f>
        <v>I like this phone...it's cool...I don't regret buying it one bit</v>
      </c>
    </row>
    <row r="5885" spans="1:9" x14ac:dyDescent="0.3">
      <c r="A5885" s="1" t="s">
        <v>61</v>
      </c>
      <c r="B5885" s="1" t="s">
        <v>726</v>
      </c>
      <c r="C5885" s="1" t="s">
        <v>85</v>
      </c>
      <c r="D5885" s="1" t="s">
        <v>295</v>
      </c>
      <c r="E5885" s="1" t="s">
        <v>4054</v>
      </c>
      <c r="F5885" s="1" t="s">
        <v>9485</v>
      </c>
      <c r="G5885" s="1" t="s">
        <v>36</v>
      </c>
      <c r="H5885" s="1" t="s">
        <v>29</v>
      </c>
      <c r="I5885" s="1" t="str">
        <f ca="1">IFERROR(__xludf.DUMMYFUNCTION("GOOGLETRANSLATE(F5885, ""auto"", ""en"")
"),"The stove was given to me by my beloved husband on March 8th, I have long wanted to make all the baked goods myself, rather than run around the shops, I mastered it very quickly, ordinary white bread is very easy to make, the guests especially liked my cu"&amp;"pcake (it also comes with a round pan)! I will continue to try the recipes, and don’t waste your money, you will definitely be satisfied.   P.S. My husband is smart, and now I am a needlewoman.)))")</f>
        <v>The stove was given to me by my beloved husband on March 8th, I have long wanted to make all the baked goods myself, rather than run around the shops, I mastered it very quickly, ordinary white bread is very easy to make, the guests especially liked my cupcake (it also comes with a round pan)! I will continue to try the recipes, and don’t waste your money, you will definitely be satisfied.   P.S. My husband is smart, and now I am a needlewoman.)))</v>
      </c>
    </row>
    <row r="5886" spans="1:9" x14ac:dyDescent="0.3">
      <c r="A5886" s="1" t="s">
        <v>361</v>
      </c>
      <c r="B5886" s="1" t="s">
        <v>1077</v>
      </c>
      <c r="C5886" s="1" t="s">
        <v>561</v>
      </c>
      <c r="D5886" s="1" t="s">
        <v>545</v>
      </c>
      <c r="E5886" s="1" t="s">
        <v>3367</v>
      </c>
      <c r="F5886" s="1" t="s">
        <v>9486</v>
      </c>
      <c r="G5886" s="1" t="s">
        <v>49</v>
      </c>
      <c r="H5886" s="1" t="s">
        <v>16</v>
      </c>
      <c r="I5886" s="1" t="str">
        <f ca="1">IFERROR(__xludf.DUMMYFUNCTION("GOOGLETRANSLATE(F5886, ""auto"", ""en"")
"),"We bought a DEKOK WK-104 stainless steel kettle today. We boiled filtered water once. The kettle of water sat for 2-3 hours. After this, the bottom of the kettle was covered with small brown dots that looked like rust. We were very upset.")</f>
        <v>We bought a DEKOK WK-104 stainless steel kettle today. We boiled filtered water once. The kettle of water sat for 2-3 hours. After this, the bottom of the kettle was covered with small brown dots that looked like rust. We were very upset.</v>
      </c>
    </row>
    <row r="5887" spans="1:9" x14ac:dyDescent="0.3">
      <c r="A5887" s="1" t="s">
        <v>120</v>
      </c>
      <c r="B5887" s="1" t="s">
        <v>256</v>
      </c>
      <c r="C5887" s="1" t="s">
        <v>32</v>
      </c>
      <c r="D5887" s="1" t="s">
        <v>172</v>
      </c>
      <c r="E5887" s="1" t="s">
        <v>808</v>
      </c>
      <c r="F5887" s="1" t="s">
        <v>9487</v>
      </c>
      <c r="G5887" s="1" t="s">
        <v>36</v>
      </c>
      <c r="H5887" s="1" t="s">
        <v>29</v>
      </c>
      <c r="I5887" s="1" t="str">
        <f ca="1">IFERROR(__xludf.DUMMYFUNCTION("GOOGLETRANSLATE(F5887, ""auto"", ""en"")
"),"The TV is very pleasing!!! Stands in a small room, the sound is quite satisfactory. Lying on the sofa, the best thing to watch)")</f>
        <v>The TV is very pleasing!!! Stands in a small room, the sound is quite satisfactory. Lying on the sofa, the best thing to watch)</v>
      </c>
    </row>
    <row r="5888" spans="1:9" x14ac:dyDescent="0.3">
      <c r="A5888" s="1" t="s">
        <v>95</v>
      </c>
      <c r="B5888" s="1" t="s">
        <v>486</v>
      </c>
      <c r="C5888" s="1" t="s">
        <v>487</v>
      </c>
      <c r="D5888" s="1" t="s">
        <v>940</v>
      </c>
      <c r="E5888" s="1" t="s">
        <v>3084</v>
      </c>
      <c r="F5888" s="1" t="s">
        <v>9488</v>
      </c>
      <c r="G5888" s="1" t="s">
        <v>36</v>
      </c>
      <c r="H5888" s="1" t="s">
        <v>29</v>
      </c>
      <c r="I5888" s="1" t="str">
        <f ca="1">IFERROR(__xludf.DUMMYFUNCTION("GOOGLETRANSLATE(F5888, ""auto"", ""en"")
"),"Super. The children are delighted.")</f>
        <v>Super. The children are delighted.</v>
      </c>
    </row>
    <row r="5889" spans="1:9" x14ac:dyDescent="0.3">
      <c r="A5889" s="1" t="s">
        <v>67</v>
      </c>
      <c r="B5889" s="1" t="s">
        <v>68</v>
      </c>
      <c r="C5889" s="1" t="s">
        <v>246</v>
      </c>
      <c r="D5889" s="1" t="s">
        <v>247</v>
      </c>
      <c r="E5889" s="1" t="s">
        <v>2942</v>
      </c>
      <c r="F5889" s="1" t="s">
        <v>9489</v>
      </c>
      <c r="G5889" s="1" t="s">
        <v>28</v>
      </c>
      <c r="H5889" s="1" t="s">
        <v>29</v>
      </c>
      <c r="I5889" s="1" t="str">
        <f ca="1">IFERROR(__xludf.DUMMYFUNCTION("GOOGLETRANSLATE(F5889, ""auto"", ""en"")
"),"The iron is very good in use. But it broke after 2.5 years ((")</f>
        <v>The iron is very good in use. But it broke after 2.5 years ((</v>
      </c>
    </row>
    <row r="5890" spans="1:9" x14ac:dyDescent="0.3">
      <c r="A5890" s="1" t="s">
        <v>169</v>
      </c>
      <c r="B5890" s="1" t="s">
        <v>170</v>
      </c>
      <c r="C5890" s="1" t="s">
        <v>193</v>
      </c>
      <c r="D5890" s="1" t="s">
        <v>39</v>
      </c>
      <c r="E5890" s="1" t="s">
        <v>2126</v>
      </c>
      <c r="F5890" s="1" t="s">
        <v>9490</v>
      </c>
      <c r="G5890" s="1" t="s">
        <v>36</v>
      </c>
      <c r="H5890" s="1" t="s">
        <v>29</v>
      </c>
      <c r="I5890" s="1" t="str">
        <f ca="1">IFERROR(__xludf.DUMMYFUNCTION("GOOGLETRANSLATE(F5890, ""auto"", ""en"")
"),"I bought it today.  I put on Deep_Purple_Live_1993 and became a concert listener. The playback quality is very decent, the bass and highs are all in place and at the right level, without visible dips or exaggerations. Ergonomics are excellent. For that ki"&amp;"nd of money everything is very decent.")</f>
        <v>I bought it today.  I put on Deep_Purple_Live_1993 and became a concert listener. The playback quality is very decent, the bass and highs are all in place and at the right level, without visible dips or exaggerations. Ergonomics are excellent. For that kind of money everything is very decent.</v>
      </c>
    </row>
    <row r="5891" spans="1:9" x14ac:dyDescent="0.3">
      <c r="A5891" s="1" t="s">
        <v>30</v>
      </c>
      <c r="B5891" s="1" t="s">
        <v>50</v>
      </c>
      <c r="C5891" s="1" t="s">
        <v>51</v>
      </c>
      <c r="D5891" s="1" t="s">
        <v>9491</v>
      </c>
      <c r="E5891" s="1" t="s">
        <v>1682</v>
      </c>
      <c r="F5891" s="1" t="s">
        <v>9492</v>
      </c>
      <c r="G5891" s="1" t="s">
        <v>28</v>
      </c>
      <c r="H5891" s="1" t="s">
        <v>29</v>
      </c>
      <c r="I5891" s="1" t="str">
        <f ca="1">IFERROR(__xludf.DUMMYFUNCTION("GOOGLETRANSLATE(F5891, ""auto"", ""en"")
"),"The laptop is really good for the money, even if the assembly was of high quality, the price would not be for this laptop. A lot has been said about the keyboard, I share the same opinion that the right side of the keyboard is slightly raised or swollen a"&amp;"nd the buttons are pressed when pressed. If the workmanship of the same Acer were to be rated 5, but the Acer is more expensive.)) but in principle I advise everyone, it works out its price 100%.")</f>
        <v>The laptop is really good for the money, even if the assembly was of high quality, the price would not be for this laptop. A lot has been said about the keyboard, I share the same opinion that the right side of the keyboard is slightly raised or swollen and the buttons are pressed when pressed. If the workmanship of the same Acer were to be rated 5, but the Acer is more expensive.)) but in principle I advise everyone, it works out its price 100%.</v>
      </c>
    </row>
    <row r="5892" spans="1:9" x14ac:dyDescent="0.3">
      <c r="A5892" s="1" t="s">
        <v>67</v>
      </c>
      <c r="B5892" s="1" t="s">
        <v>68</v>
      </c>
      <c r="C5892" s="1" t="s">
        <v>69</v>
      </c>
      <c r="D5892" s="1" t="s">
        <v>589</v>
      </c>
      <c r="E5892" s="1" t="s">
        <v>128</v>
      </c>
      <c r="F5892" s="1" t="s">
        <v>9493</v>
      </c>
      <c r="G5892" s="1" t="s">
        <v>28</v>
      </c>
      <c r="H5892" s="1" t="s">
        <v>29</v>
      </c>
      <c r="I5892" s="1" t="str">
        <f ca="1">IFERROR(__xludf.DUMMYFUNCTION("GOOGLETRANSLATE(F5892, ""auto"", ""en"")
"),"Irons and glides well, good steam supply and a long cord. We chose one with an automatic shut-off function, so we settled on this model.")</f>
        <v>Irons and glides well, good steam supply and a long cord. We chose one with an automatic shut-off function, so we settled on this model.</v>
      </c>
    </row>
    <row r="5893" spans="1:9" x14ac:dyDescent="0.3">
      <c r="A5893" s="1" t="s">
        <v>55</v>
      </c>
      <c r="B5893" s="1" t="s">
        <v>184</v>
      </c>
      <c r="C5893" s="1" t="s">
        <v>101</v>
      </c>
      <c r="D5893" s="1" t="s">
        <v>280</v>
      </c>
      <c r="E5893" s="1" t="s">
        <v>9494</v>
      </c>
      <c r="F5893" s="1" t="s">
        <v>9495</v>
      </c>
      <c r="G5893" s="1" t="s">
        <v>36</v>
      </c>
      <c r="H5893" s="1" t="s">
        <v>29</v>
      </c>
      <c r="I5893" s="1" t="str">
        <f ca="1">IFERROR(__xludf.DUMMYFUNCTION("GOOGLETRANSLATE(F5893, ""auto"", ""en"")
"),"If you leave it overnight, by the morning there will be no headache, it does not burn oxygen.")</f>
        <v>If you leave it overnight, by the morning there will be no headache, it does not burn oxygen.</v>
      </c>
    </row>
    <row r="5894" spans="1:9" x14ac:dyDescent="0.3">
      <c r="A5894" s="1" t="s">
        <v>238</v>
      </c>
      <c r="B5894" s="1" t="s">
        <v>3043</v>
      </c>
      <c r="C5894" s="1" t="s">
        <v>122</v>
      </c>
      <c r="D5894" s="1" t="s">
        <v>456</v>
      </c>
      <c r="E5894" s="1" t="s">
        <v>8605</v>
      </c>
      <c r="F5894" s="1" t="s">
        <v>9496</v>
      </c>
      <c r="G5894" s="1" t="s">
        <v>36</v>
      </c>
      <c r="H5894" s="1" t="s">
        <v>29</v>
      </c>
      <c r="I5894" s="1" t="str">
        <f ca="1">IFERROR(__xludf.DUMMYFUNCTION("GOOGLETRANSLATE(F5894, ""auto"", ""en"")
"),"Excellent refrigerator, bought it a month ago, so far happy with it. It works silently. Roomy, beautiful.")</f>
        <v>Excellent refrigerator, bought it a month ago, so far happy with it. It works silently. Roomy, beautiful.</v>
      </c>
    </row>
    <row r="5895" spans="1:9" x14ac:dyDescent="0.3">
      <c r="A5895" s="1" t="s">
        <v>55</v>
      </c>
      <c r="B5895" s="1" t="s">
        <v>235</v>
      </c>
      <c r="C5895" s="1" t="s">
        <v>101</v>
      </c>
      <c r="D5895" s="1" t="s">
        <v>599</v>
      </c>
      <c r="E5895" s="1" t="s">
        <v>109</v>
      </c>
      <c r="F5895" s="1" t="s">
        <v>9497</v>
      </c>
      <c r="G5895" s="1" t="s">
        <v>36</v>
      </c>
      <c r="H5895" s="1" t="s">
        <v>29</v>
      </c>
      <c r="I5895" s="1" t="str">
        <f ca="1">IFERROR(__xludf.DUMMYFUNCTION("GOOGLETRANSLATE(F5895, ""auto"", ""en"")
"),"Excellent product for the money, bought it on sale, aired it for a couple of hours, and use it with pleasure")</f>
        <v>Excellent product for the money, bought it on sale, aired it for a couple of hours, and use it with pleasure</v>
      </c>
    </row>
    <row r="5896" spans="1:9" x14ac:dyDescent="0.3">
      <c r="A5896" s="1" t="s">
        <v>238</v>
      </c>
      <c r="B5896" s="1" t="s">
        <v>276</v>
      </c>
      <c r="C5896" s="1" t="s">
        <v>1677</v>
      </c>
      <c r="D5896" s="1" t="s">
        <v>9498</v>
      </c>
      <c r="E5896" s="1" t="s">
        <v>7095</v>
      </c>
      <c r="F5896" s="1" t="s">
        <v>9499</v>
      </c>
      <c r="G5896" s="1" t="s">
        <v>36</v>
      </c>
      <c r="H5896" s="1" t="s">
        <v>29</v>
      </c>
      <c r="I5896" s="1" t="str">
        <f ca="1">IFERROR(__xludf.DUMMYFUNCTION("GOOGLETRANSLATE(F5896, ""auto"", ""en"")
"),"The refrigerator is excellent. Design, ergonomics - 5 points. The lighting is beautiful, but a bit dark. It works quietly, but apparently it needs to be set exactly to the level, mine is a little noisy, visually it’s not level yet, it needs to be fixed. F"&amp;"reezes great. I give it 5, without a plus for the dim lighting. An elephant is getting in! Convenient for those who like to prepare food and just eat!")</f>
        <v>The refrigerator is excellent. Design, ergonomics - 5 points. The lighting is beautiful, but a bit dark. It works quietly, but apparently it needs to be set exactly to the level, mine is a little noisy, visually it’s not level yet, it needs to be fixed. Freezes great. I give it 5, without a plus for the dim lighting. An elephant is getting in! Convenient for those who like to prepare food and just eat!</v>
      </c>
    </row>
    <row r="5897" spans="1:9" x14ac:dyDescent="0.3">
      <c r="A5897" s="1" t="s">
        <v>61</v>
      </c>
      <c r="B5897" s="1" t="s">
        <v>318</v>
      </c>
      <c r="C5897" s="1" t="s">
        <v>2840</v>
      </c>
      <c r="D5897" s="1" t="s">
        <v>545</v>
      </c>
      <c r="E5897" s="1" t="s">
        <v>5402</v>
      </c>
      <c r="F5897" s="1" t="s">
        <v>9500</v>
      </c>
      <c r="G5897" s="1" t="s">
        <v>49</v>
      </c>
      <c r="H5897" s="1" t="s">
        <v>16</v>
      </c>
      <c r="I5897" s="1" t="str">
        <f ca="1">IFERROR(__xludf.DUMMYFUNCTION("GOOGLETRANSLATE(F5897, ""auto"", ""en"")
"),"Didn't last a month. It slightly touched the vase and there was a hole. To the trash heap. For that kind of money they could make the glass stronger")</f>
        <v>Didn't last a month. It slightly touched the vase and there was a hole. To the trash heap. For that kind of money they could make the glass stronger</v>
      </c>
    </row>
    <row r="5898" spans="1:9" x14ac:dyDescent="0.3">
      <c r="A5898" s="1" t="s">
        <v>61</v>
      </c>
      <c r="B5898" s="1" t="s">
        <v>318</v>
      </c>
      <c r="C5898" s="1" t="s">
        <v>246</v>
      </c>
      <c r="D5898" s="1" t="s">
        <v>1575</v>
      </c>
      <c r="E5898" s="1" t="s">
        <v>1012</v>
      </c>
      <c r="F5898" s="1" t="s">
        <v>9501</v>
      </c>
      <c r="G5898" s="1" t="s">
        <v>28</v>
      </c>
      <c r="H5898" s="1" t="s">
        <v>29</v>
      </c>
      <c r="I5898" s="1" t="str">
        <f ca="1">IFERROR(__xludf.DUMMYFUNCTION("GOOGLETRANSLATE(F5898, ""auto"", ""en"")
"),"Worked for almost 3 years with daily use from 3 to 5 times. Leak. No other defects were found.")</f>
        <v>Worked for almost 3 years with daily use from 3 to 5 times. Leak. No other defects were found.</v>
      </c>
    </row>
    <row r="5899" spans="1:9" x14ac:dyDescent="0.3">
      <c r="A5899" s="1" t="s">
        <v>61</v>
      </c>
      <c r="B5899" s="1" t="s">
        <v>62</v>
      </c>
      <c r="C5899" s="1" t="s">
        <v>63</v>
      </c>
      <c r="D5899" s="1" t="s">
        <v>247</v>
      </c>
      <c r="E5899" s="1" t="s">
        <v>787</v>
      </c>
      <c r="F5899" s="1" t="s">
        <v>9502</v>
      </c>
      <c r="G5899" s="1" t="s">
        <v>36</v>
      </c>
      <c r="H5899" s="1" t="s">
        <v>29</v>
      </c>
      <c r="I5899" s="1" t="str">
        <f ca="1">IFERROR(__xludf.DUMMYFUNCTION("GOOGLETRANSLATE(F5899, ""auto"", ""en"")
"),"I bought it a year ago and really like it. Works without problems, lots of attachments...Very happy with the purchase.")</f>
        <v>I bought it a year ago and really like it. Works without problems, lots of attachments...Very happy with the purchase.</v>
      </c>
    </row>
    <row r="5900" spans="1:9" x14ac:dyDescent="0.3">
      <c r="A5900" s="1" t="s">
        <v>61</v>
      </c>
      <c r="B5900" s="1" t="s">
        <v>224</v>
      </c>
      <c r="C5900" s="1" t="s">
        <v>85</v>
      </c>
      <c r="D5900" s="1" t="s">
        <v>9503</v>
      </c>
      <c r="E5900" s="1" t="s">
        <v>6608</v>
      </c>
      <c r="F5900" s="1" t="s">
        <v>9504</v>
      </c>
      <c r="G5900" s="1" t="s">
        <v>36</v>
      </c>
      <c r="H5900" s="1" t="s">
        <v>29</v>
      </c>
      <c r="I5900" s="1" t="str">
        <f ca="1">IFERROR(__xludf.DUMMYFUNCTION("GOOGLETRANSLATE(F5900, ""auto"", ""en"")
"),"Good afternoon The juicer is just great, I bought it and am not happy with the purchase. In the morning you have little time before work, making juice is a pleasure, cut an orange, put it on, press it, and there you have it, it cleans up nice and fast too"&amp;". In general, my wife and I are happy with everything, I recommend it, the price matches the quality and the design will suit any kitchen")</f>
        <v>Good afternoon The juicer is just great, I bought it and am not happy with the purchase. In the morning you have little time before work, making juice is a pleasure, cut an orange, put it on, press it, and there you have it, it cleans up nice and fast too. In general, my wife and I are happy with everything, I recommend it, the price matches the quality and the design will suit any kitchen</v>
      </c>
    </row>
    <row r="5901" spans="1:9" x14ac:dyDescent="0.3">
      <c r="A5901" s="1" t="s">
        <v>105</v>
      </c>
      <c r="B5901" s="1" t="s">
        <v>106</v>
      </c>
      <c r="C5901" s="1" t="s">
        <v>1209</v>
      </c>
      <c r="D5901" s="1" t="s">
        <v>653</v>
      </c>
      <c r="E5901" s="1" t="s">
        <v>254</v>
      </c>
      <c r="F5901" s="1" t="s">
        <v>9505</v>
      </c>
      <c r="G5901" s="1" t="s">
        <v>28</v>
      </c>
      <c r="H5901" s="1" t="s">
        <v>29</v>
      </c>
      <c r="I5901" s="1" t="str">
        <f ca="1">IFERROR(__xludf.DUMMYFUNCTION("GOOGLETRANSLATE(F5901, ""auto"", ""en"")
"),"I've been using this model for over a year. The quality is good, the case is wear-resistant, the sound quality is completely satisfactory. The model is small, easily fits in the palm of your hand, you can fill in exam tickets) The wear resistance is truly"&amp;" amazing. Fell from a balcony on the second floor, parts scattered, but the screen worked and switched songs. I recommend!")</f>
        <v>I've been using this model for over a year. The quality is good, the case is wear-resistant, the sound quality is completely satisfactory. The model is small, easily fits in the palm of your hand, you can fill in exam tickets) The wear resistance is truly amazing. Fell from a balcony on the second floor, parts scattered, but the screen worked and switched songs. I recommend!</v>
      </c>
    </row>
    <row r="5902" spans="1:9" x14ac:dyDescent="0.3">
      <c r="A5902" s="1" t="s">
        <v>61</v>
      </c>
      <c r="B5902" s="1" t="s">
        <v>224</v>
      </c>
      <c r="C5902" s="1" t="s">
        <v>85</v>
      </c>
      <c r="D5902" s="1" t="s">
        <v>589</v>
      </c>
      <c r="E5902" s="1" t="s">
        <v>9506</v>
      </c>
      <c r="F5902" s="1" t="s">
        <v>9507</v>
      </c>
      <c r="G5902" s="1" t="s">
        <v>36</v>
      </c>
      <c r="H5902" s="1" t="s">
        <v>29</v>
      </c>
      <c r="I5902" s="1" t="str">
        <f ca="1">IFERROR(__xludf.DUMMYFUNCTION("GOOGLETRANSLATE(F5902, ""auto"", ""en"")
"),"Very happy with the purchase, we've been using it for a week. It’s easy to wash, the cake is dry, makes moderate noise, works quickly, and copes well with hard vegetables. At first we were going to buy another one, but when we looked at it in detail and c"&amp;"ompared the filling, we listened to the consultant and bought this one, which we don’t regret. If anyone still has doubts, go to the juice bars and see what they use for juice)) By the way, we did just that))")</f>
        <v>Very happy with the purchase, we've been using it for a week. It’s easy to wash, the cake is dry, makes moderate noise, works quickly, and copes well with hard vegetables. At first we were going to buy another one, but when we looked at it in detail and compared the filling, we listened to the consultant and bought this one, which we don’t regret. If anyone still has doubts, go to the juice bars and see what they use for juice)) By the way, we did just that))</v>
      </c>
    </row>
    <row r="5903" spans="1:9" x14ac:dyDescent="0.3">
      <c r="A5903" s="1" t="s">
        <v>2087</v>
      </c>
      <c r="B5903" s="1" t="s">
        <v>2088</v>
      </c>
      <c r="C5903" s="1" t="s">
        <v>97</v>
      </c>
      <c r="D5903" s="1" t="s">
        <v>2886</v>
      </c>
      <c r="E5903" s="1" t="s">
        <v>2146</v>
      </c>
      <c r="F5903" s="1" t="s">
        <v>9508</v>
      </c>
      <c r="G5903" s="1" t="s">
        <v>36</v>
      </c>
      <c r="H5903" s="1" t="s">
        <v>29</v>
      </c>
      <c r="I5903" s="1" t="str">
        <f ca="1">IFERROR(__xludf.DUMMYFUNCTION("GOOGLETRANSLATE(F5903, ""auto"", ""en"")
"),"Everything works great, I liked it.")</f>
        <v>Everything works great, I liked it.</v>
      </c>
    </row>
    <row r="5904" spans="1:9" x14ac:dyDescent="0.3">
      <c r="A5904" s="1" t="s">
        <v>67</v>
      </c>
      <c r="B5904" s="1" t="s">
        <v>340</v>
      </c>
      <c r="C5904" s="1" t="s">
        <v>341</v>
      </c>
      <c r="D5904" s="1" t="s">
        <v>232</v>
      </c>
      <c r="E5904" s="1" t="s">
        <v>876</v>
      </c>
      <c r="F5904" s="1" t="s">
        <v>9509</v>
      </c>
      <c r="G5904" s="1" t="s">
        <v>36</v>
      </c>
      <c r="H5904" s="1" t="s">
        <v>29</v>
      </c>
      <c r="I5904" s="1" t="str">
        <f ca="1">IFERROR(__xludf.DUMMYFUNCTION("GOOGLETRANSLATE(F5904, ""auto"", ""en"")
"),"Great machine. My wife really likes it. Sews quietly. The stitch is even. We recommend. We haven't found any cons yet.")</f>
        <v>Great machine. My wife really likes it. Sews quietly. The stitch is even. We recommend. We haven't found any cons yet.</v>
      </c>
    </row>
    <row r="5905" spans="1:9" x14ac:dyDescent="0.3">
      <c r="A5905" s="1" t="s">
        <v>211</v>
      </c>
      <c r="B5905" s="1" t="s">
        <v>265</v>
      </c>
      <c r="C5905" s="1" t="s">
        <v>294</v>
      </c>
      <c r="D5905" s="1" t="s">
        <v>32</v>
      </c>
      <c r="E5905" s="1" t="s">
        <v>9510</v>
      </c>
      <c r="F5905" s="1" t="s">
        <v>9511</v>
      </c>
      <c r="G5905" s="1" t="s">
        <v>94</v>
      </c>
      <c r="H5905" s="1" t="s">
        <v>29</v>
      </c>
      <c r="I5905" s="1" t="str">
        <f ca="1">IFERROR(__xludf.DUMMYFUNCTION("GOOGLETRANSLATE(F5905, ""auto"", ""en"")
"),"We bought this clipper a year and a half ago, during all this time it worked perfectly, it was comfortable, the teeth did not break when used carefully (I constantly cut my two sons and my husband’s hair!). But over the last 2 months the battery began to "&amp;"discharge quickly and gradually stopped holding a charge completely, and the child began to complain that he was pulling his hair... in general, it only lasted for a year and a half (")</f>
        <v>We bought this clipper a year and a half ago, during all this time it worked perfectly, it was comfortable, the teeth did not break when used carefully (I constantly cut my two sons and my husband’s hair!). But over the last 2 months the battery began to discharge quickly and gradually stopped holding a charge completely, and the child began to complain that he was pulling his hair... in general, it only lasted for a year and a half (</v>
      </c>
    </row>
    <row r="5906" spans="1:9" x14ac:dyDescent="0.3">
      <c r="A5906" s="1" t="s">
        <v>43</v>
      </c>
      <c r="B5906" s="1" t="s">
        <v>303</v>
      </c>
      <c r="C5906" s="1" t="s">
        <v>304</v>
      </c>
      <c r="D5906" s="1" t="s">
        <v>172</v>
      </c>
      <c r="E5906" s="1" t="s">
        <v>862</v>
      </c>
      <c r="F5906" s="1" t="s">
        <v>9512</v>
      </c>
      <c r="G5906" s="1" t="s">
        <v>36</v>
      </c>
      <c r="H5906" s="1" t="s">
        <v>29</v>
      </c>
      <c r="I5906" s="1" t="str">
        <f ca="1">IFERROR(__xludf.DUMMYFUNCTION("GOOGLETRANSLATE(F5906, ""auto"", ""en"")
"),"I took it for a bath at the dacha. Everything works great, no problems with the check valve. The only thing missing is a thermometer so that you can quickly select the desired mode.  I installed it myself, nothing leaks, the pumping station is set to 2.5 "&amp;"atm. For a shower for three people, the 4th (out of 5) mode is enough, the water at the inlet is +4, the initial heating takes about an hour and a half. I turn it off from the network at night or day, by the evening the water is warm and the heating takes"&amp;" place in 20-30 minutes.")</f>
        <v>I took it for a bath at the dacha. Everything works great, no problems with the check valve. The only thing missing is a thermometer so that you can quickly select the desired mode.  I installed it myself, nothing leaks, the pumping station is set to 2.5 atm. For a shower for three people, the 4th (out of 5) mode is enough, the water at the inlet is +4, the initial heating takes about an hour and a half. I turn it off from the network at night or day, by the evening the water is warm and the heating takes place in 20-30 minutes.</v>
      </c>
    </row>
    <row r="5907" spans="1:9" x14ac:dyDescent="0.3">
      <c r="A5907" s="1" t="s">
        <v>55</v>
      </c>
      <c r="B5907" s="1" t="s">
        <v>235</v>
      </c>
      <c r="C5907" s="1" t="s">
        <v>1341</v>
      </c>
      <c r="D5907" s="1" t="s">
        <v>9513</v>
      </c>
      <c r="E5907" s="1" t="s">
        <v>3755</v>
      </c>
      <c r="F5907" s="1" t="s">
        <v>9514</v>
      </c>
      <c r="G5907" s="1" t="s">
        <v>36</v>
      </c>
      <c r="H5907" s="1" t="s">
        <v>29</v>
      </c>
      <c r="I5907" s="1" t="str">
        <f ca="1">IFERROR(__xludf.DUMMYFUNCTION("GOOGLETRANSLATE(F5907, ""auto"", ""en"")
"),"Not only did he fully meet expectations, he also exceeded them. A spark sometimes appears during startup, but it’s difficult for it to ignite with this design... =) So I recommend it!    Warming up the air, by the way, is instant!")</f>
        <v>Not only did he fully meet expectations, he also exceeded them. A spark sometimes appears during startup, but it’s difficult for it to ignite with this design... =) So I recommend it!    Warming up the air, by the way, is instant!</v>
      </c>
    </row>
    <row r="5908" spans="1:9" x14ac:dyDescent="0.3">
      <c r="A5908" s="1" t="s">
        <v>37</v>
      </c>
      <c r="B5908" s="1" t="s">
        <v>38</v>
      </c>
      <c r="C5908" s="1" t="s">
        <v>39</v>
      </c>
      <c r="D5908" s="1" t="s">
        <v>9515</v>
      </c>
      <c r="E5908" s="1" t="s">
        <v>597</v>
      </c>
      <c r="F5908" s="1" t="s">
        <v>9516</v>
      </c>
      <c r="G5908" s="1" t="s">
        <v>36</v>
      </c>
      <c r="H5908" s="1" t="s">
        <v>29</v>
      </c>
      <c r="I5908" s="1" t="str">
        <f ca="1">IFERROR(__xludf.DUMMYFUNCTION("GOOGLETRANSLATE(F5908, ""auto"", ""en"")
"),"The best of Sony Ericsson. Don't add, don't add. I recommend it to everyone.")</f>
        <v>The best of Sony Ericsson. Don't add, don't add. I recommend it to everyone.</v>
      </c>
    </row>
    <row r="5909" spans="1:9" x14ac:dyDescent="0.3">
      <c r="A5909" s="1" t="s">
        <v>95</v>
      </c>
      <c r="B5909" s="1" t="s">
        <v>486</v>
      </c>
      <c r="C5909" s="1" t="s">
        <v>487</v>
      </c>
      <c r="D5909" s="1" t="s">
        <v>9517</v>
      </c>
      <c r="E5909" s="1" t="s">
        <v>395</v>
      </c>
      <c r="F5909" s="1" t="s">
        <v>9518</v>
      </c>
      <c r="G5909" s="1" t="s">
        <v>36</v>
      </c>
      <c r="H5909" s="1" t="s">
        <v>29</v>
      </c>
      <c r="I5909" s="1" t="str">
        <f ca="1">IFERROR(__xludf.DUMMYFUNCTION("GOOGLETRANSLATE(F5909, ""auto"", ""en"")
"),"It completely changed my attitude towards game consoles; I didn’t even imagine that it was possible to fully immerse myself in the gameplay.  On the plus side: 1. It just looks great, and is surprisingly practical 2.250GB of memory, excellent graphics 3. "&amp;"These are, of course, two great games supplied with the kit, two noteworthy exclusives, which is good news. Of the minuses, perhaps, the only high price for games, and for accessories like kinnect. Although if you don’t play online, then the problem with "&amp;"expensive games can be avoided by updating the firmware console! The device truly deserves attention, I can’t tear myself away!!!")</f>
        <v>It completely changed my attitude towards game consoles; I didn’t even imagine that it was possible to fully immerse myself in the gameplay.  On the plus side: 1. It just looks great, and is surprisingly practical 2.250GB of memory, excellent graphics 3. These are, of course, two great games supplied with the kit, two noteworthy exclusives, which is good news. Of the minuses, perhaps, the only high price for games, and for accessories like kinnect. Although if you don’t play online, then the problem with expensive games can be avoided by updating the firmware console! The device truly deserves attention, I can’t tear myself away!!!</v>
      </c>
    </row>
    <row r="5910" spans="1:9" x14ac:dyDescent="0.3">
      <c r="A5910" s="1" t="s">
        <v>61</v>
      </c>
      <c r="B5910" s="1" t="s">
        <v>318</v>
      </c>
      <c r="C5910" s="1" t="s">
        <v>745</v>
      </c>
      <c r="D5910" s="1" t="s">
        <v>545</v>
      </c>
      <c r="E5910" s="1" t="s">
        <v>1533</v>
      </c>
      <c r="F5910" s="1" t="s">
        <v>9519</v>
      </c>
      <c r="G5910" s="1" t="s">
        <v>36</v>
      </c>
      <c r="H5910" s="1" t="s">
        <v>29</v>
      </c>
      <c r="I5910" s="1" t="str">
        <f ca="1">IFERROR(__xludf.DUMMYFUNCTION("GOOGLETRANSLATE(F5910, ""auto"", ""en"")
"),"I like everything")</f>
        <v>I like everything</v>
      </c>
    </row>
    <row r="5911" spans="1:9" x14ac:dyDescent="0.3">
      <c r="A5911" s="1" t="s">
        <v>55</v>
      </c>
      <c r="B5911" s="1" t="s">
        <v>184</v>
      </c>
      <c r="C5911" s="1" t="s">
        <v>185</v>
      </c>
      <c r="D5911" s="1" t="s">
        <v>64</v>
      </c>
      <c r="E5911" s="1" t="s">
        <v>128</v>
      </c>
      <c r="F5911" s="1" t="s">
        <v>9520</v>
      </c>
      <c r="G5911" s="1" t="s">
        <v>28</v>
      </c>
      <c r="H5911" s="1" t="s">
        <v>29</v>
      </c>
      <c r="I5911" s="1" t="str">
        <f ca="1">IFERROR(__xludf.DUMMYFUNCTION("GOOGLETRANSLATE(F5911, ""auto"", ""en"")
"),"Heats up the room quickly. We are satisfied with the work.")</f>
        <v>Heats up the room quickly. We are satisfied with the work.</v>
      </c>
    </row>
    <row r="5912" spans="1:9" x14ac:dyDescent="0.3">
      <c r="A5912" s="1" t="s">
        <v>67</v>
      </c>
      <c r="B5912" s="1" t="s">
        <v>68</v>
      </c>
      <c r="C5912" s="1" t="s">
        <v>213</v>
      </c>
      <c r="D5912" s="1" t="s">
        <v>127</v>
      </c>
      <c r="E5912" s="1" t="s">
        <v>363</v>
      </c>
      <c r="F5912" s="1" t="s">
        <v>9521</v>
      </c>
      <c r="G5912" s="1" t="s">
        <v>36</v>
      </c>
      <c r="H5912" s="1" t="s">
        <v>29</v>
      </c>
      <c r="I5912" s="1" t="str">
        <f ca="1">IFERROR(__xludf.DUMMYFUNCTION("GOOGLETRANSLATE(F5912, ""auto"", ""en"")
"),"We've been using the iron for six months now.   We chose it based on several criteria (since my wife is a professional tailor) 1. It’s weight, the iron should not be light, this is important for ironing seams, and you don’t need to put any effort into iro"&amp;"ning.                    2. Sole, sapphire coating is the most durable.                      3. Auto-shutdown function, because Our daughter also uses the iron))) 4. Well, protection against scale, since our water is not ideal.            5. an attachment"&amp;" for delicate fabrics, it is not needed for a specialist, but it will really protect your fabric from problems))) I have already listed the advantages above, the only drawback is that when you place the iron vertically, you need to control this moment (wi"&amp;"th Tefal irons, the vertical installation of the iron is more thought out). But this is a small thing compared to the sapphire sole!!!!!   We recommend the iron!!!   P.S. I read a lot of reviews on the Internet about irons, when choosing, in particular, f"&amp;"or this model, I can give one piece of advice so that the review is correct and justified: buy household appliances in specialized stores, and not just anywhere, then there will be fewer punctures))))")</f>
        <v>We've been using the iron for six months now.   We chose it based on several criteria (since my wife is a professional tailor) 1. It’s weight, the iron should not be light, this is important for ironing seams, and you don’t need to put any effort into ironing.                    2. Sole, sapphire coating is the most durable.                      3. Auto-shutdown function, because Our daughter also uses the iron))) 4. Well, protection against scale, since our water is not ideal.            5. an attachment for delicate fabrics, it is not needed for a specialist, but it will really protect your fabric from problems))) I have already listed the advantages above, the only drawback is that when you place the iron vertically, you need to control this moment (with Tefal irons, the vertical installation of the iron is more thought out). But this is a small thing compared to the sapphire sole!!!!!   We recommend the iron!!!   P.S. I read a lot of reviews on the Internet about irons, when choosing, in particular, for this model, I can give one piece of advice so that the review is correct and justified: buy household appliances in specialized stores, and not just anywhere, then there will be fewer punctures))))</v>
      </c>
    </row>
    <row r="5913" spans="1:9" x14ac:dyDescent="0.3">
      <c r="A5913" s="1" t="s">
        <v>1443</v>
      </c>
      <c r="B5913" s="1" t="s">
        <v>1444</v>
      </c>
      <c r="C5913" s="1" t="s">
        <v>1489</v>
      </c>
      <c r="D5913" s="1" t="s">
        <v>1279</v>
      </c>
      <c r="E5913" s="1" t="s">
        <v>3875</v>
      </c>
      <c r="F5913" s="1" t="s">
        <v>9522</v>
      </c>
      <c r="G5913" s="1" t="s">
        <v>28</v>
      </c>
      <c r="H5913" s="1" t="s">
        <v>29</v>
      </c>
      <c r="I5913" s="1" t="str">
        <f ca="1">IFERROR(__xludf.DUMMYFUNCTION("GOOGLETRANSLATE(F5913, ""auto"", ""en"")
"),"I have never had a single flash drive last as long as this one, something always happened to them. And this one has been working exclusively for me for more than 2 years. A couple of weeks ago I bought myself 2 more flash drives from Kingston, but of a di"&amp;"fferent design.")</f>
        <v>I have never had a single flash drive last as long as this one, something always happened to them. And this one has been working exclusively for me for more than 2 years. A couple of weeks ago I bought myself 2 more flash drives from Kingston, but of a different design.</v>
      </c>
    </row>
    <row r="5914" spans="1:9" x14ac:dyDescent="0.3">
      <c r="A5914" s="1" t="s">
        <v>30</v>
      </c>
      <c r="B5914" s="1" t="s">
        <v>50</v>
      </c>
      <c r="C5914" s="1" t="s">
        <v>189</v>
      </c>
      <c r="D5914" s="1" t="s">
        <v>280</v>
      </c>
      <c r="E5914" s="1" t="s">
        <v>1167</v>
      </c>
      <c r="F5914" s="1" t="s">
        <v>9523</v>
      </c>
      <c r="G5914" s="1" t="s">
        <v>36</v>
      </c>
      <c r="H5914" s="1" t="s">
        <v>29</v>
      </c>
      <c r="I5914" s="1" t="str">
        <f ca="1">IFERROR(__xludf.DUMMYFUNCTION("GOOGLETRANSLATE(F5914, ""auto"", ""en"")
"),"I’ve had the laptop for 3 months, but not this one, but with a 2.2 GHz processor (M500), I took it with windows wista - it’s just terrible!!! I installed windows 7 maximum and that’s it, I forgot what glitches and freezes are!!! Well, the HD 4670 video ca"&amp;"rd is much stronger than NVIDIA's analogues, games just fly!!! The handling of the laptop is super, the keyboard, the screen is 16"" (40.6 cm), the USB ports are well located, and the impeccable design (wood finish), wild delight!!! The only minor negativ"&amp;"e is the sound! But! In camping conditions it’s fine, but at home there are still acoustics! So I give it 5+ and recommend it to everyone!!!")</f>
        <v>I’ve had the laptop for 3 months, but not this one, but with a 2.2 GHz processor (M500), I took it with windows wista - it’s just terrible!!! I installed windows 7 maximum and that’s it, I forgot what glitches and freezes are!!! Well, the HD 4670 video card is much stronger than NVIDIA's analogues, games just fly!!! The handling of the laptop is super, the keyboard, the screen is 16" (40.6 cm), the USB ports are well located, and the impeccable design (wood finish), wild delight!!! The only minor negative is the sound! But! In camping conditions it’s fine, but at home there are still acoustics! So I give it 5+ and recommend it to everyone!!!</v>
      </c>
    </row>
    <row r="5915" spans="1:9" x14ac:dyDescent="0.3">
      <c r="A5915" s="1" t="s">
        <v>17</v>
      </c>
      <c r="B5915" s="1" t="s">
        <v>18</v>
      </c>
      <c r="C5915" s="1" t="s">
        <v>243</v>
      </c>
      <c r="D5915" s="1" t="s">
        <v>2296</v>
      </c>
      <c r="E5915" s="1" t="s">
        <v>9524</v>
      </c>
      <c r="F5915" s="1" t="s">
        <v>9525</v>
      </c>
      <c r="G5915" s="1" t="s">
        <v>49</v>
      </c>
      <c r="H5915" s="1" t="s">
        <v>16</v>
      </c>
      <c r="I5915" s="1" t="str">
        <f ca="1">IFERROR(__xludf.DUMMYFUNCTION("GOOGLETRANSLATE(F5915, ""auto"", ""en"")
"),"It washed satisfactorily, but did not always spin the clothes; I had to constantly turn on the spin function additionally. I bought it in December '11. In July, my brains flew, I exchanged it via PDO without any problems, and took another one.")</f>
        <v>It washed satisfactorily, but did not always spin the clothes; I had to constantly turn on the spin function additionally. I bought it in December '11. In July, my brains flew, I exchanged it via PDO without any problems, and took another one.</v>
      </c>
    </row>
    <row r="5916" spans="1:9" x14ac:dyDescent="0.3">
      <c r="A5916" s="1" t="s">
        <v>61</v>
      </c>
      <c r="B5916" s="1" t="s">
        <v>726</v>
      </c>
      <c r="C5916" s="1" t="s">
        <v>351</v>
      </c>
      <c r="D5916" s="1" t="s">
        <v>9526</v>
      </c>
      <c r="E5916" s="1" t="s">
        <v>886</v>
      </c>
      <c r="F5916" s="1" t="s">
        <v>9527</v>
      </c>
      <c r="G5916" s="1" t="s">
        <v>36</v>
      </c>
      <c r="H5916" s="1" t="s">
        <v>29</v>
      </c>
      <c r="I5916" s="1" t="str">
        <f ca="1">IFERROR(__xludf.DUMMYFUNCTION("GOOGLETRANSLATE(F5916, ""auto"", ""en"")
"),"bakes great. The bread is baked. The quality is what you need for the price. I use regular flour, dry yeast and GO!!! glad to purchase")</f>
        <v>bakes great. The bread is baked. The quality is what you need for the price. I use regular flour, dry yeast and GO!!! glad to purchase</v>
      </c>
    </row>
    <row r="5917" spans="1:9" x14ac:dyDescent="0.3">
      <c r="A5917" s="1" t="s">
        <v>211</v>
      </c>
      <c r="B5917" s="1" t="s">
        <v>212</v>
      </c>
      <c r="C5917" s="1" t="s">
        <v>381</v>
      </c>
      <c r="D5917" s="1" t="s">
        <v>335</v>
      </c>
      <c r="E5917" s="1" t="s">
        <v>2680</v>
      </c>
      <c r="F5917" s="1" t="s">
        <v>9528</v>
      </c>
      <c r="G5917" s="1" t="s">
        <v>36</v>
      </c>
      <c r="H5917" s="1" t="s">
        <v>29</v>
      </c>
      <c r="I5917" s="1" t="str">
        <f ca="1">IFERROR(__xludf.DUMMYFUNCTION("GOOGLETRANSLATE(F5917, ""auto"", ""en"")
"),"An excellent straightener, one of the best from Rowenta.    Advantages: easy to use, the effect of ionization is noticeable, the hair does not become electrified at all. Minus - it takes a long time to cool down.")</f>
        <v>An excellent straightener, one of the best from Rowenta.    Advantages: easy to use, the effect of ionization is noticeable, the hair does not become electrified at all. Minus - it takes a long time to cool down.</v>
      </c>
    </row>
    <row r="5918" spans="1:9" x14ac:dyDescent="0.3">
      <c r="A5918" s="1" t="s">
        <v>120</v>
      </c>
      <c r="B5918" s="1" t="s">
        <v>126</v>
      </c>
      <c r="C5918" s="1" t="s">
        <v>151</v>
      </c>
      <c r="D5918" s="1" t="s">
        <v>152</v>
      </c>
      <c r="E5918" s="1" t="s">
        <v>5091</v>
      </c>
      <c r="F5918" s="1" t="s">
        <v>9529</v>
      </c>
      <c r="G5918" s="1" t="s">
        <v>28</v>
      </c>
      <c r="H5918" s="1" t="s">
        <v>29</v>
      </c>
      <c r="I5918" s="1" t="str">
        <f ca="1">IFERROR(__xludf.DUMMYFUNCTION("GOOGLETRANSLATE(F5918, ""auto"", ""en"")
"),"The TV is still being tested :( they say that no defect has been identified. It’s bad that the technicians don’t get in touch, but the TV is being tested in Varshavka. The M-video operator said that they will bring it on the 25th to the point where it was"&amp;" handed over. It turns out that they held it for 20 days, they didn’t find anything. So I’m thinking of writing an application for a second inspection in my presence or since according to the documents it’s in good order :) refuse the purchase, it looks l"&amp;"ike a defective batch of goods, it’s a pity. Ah, Alexander confuses model 430 and 451, which is more expensive and has all the mentioned functions.")</f>
        <v>The TV is still being tested :( they say that no defect has been identified. It’s bad that the technicians don’t get in touch, but the TV is being tested in Varshavka. The M-video operator said that they will bring it on the 25th to the point where it was handed over. It turns out that they held it for 20 days, they didn’t find anything. So I’m thinking of writing an application for a second inspection in my presence or since according to the documents it’s in good order :) refuse the purchase, it looks like a defective batch of goods, it’s a pity. Ah, Alexander confuses model 430 and 451, which is more expensive and has all the mentioned functions.</v>
      </c>
    </row>
    <row r="5919" spans="1:9" x14ac:dyDescent="0.3">
      <c r="A5919" s="1" t="s">
        <v>61</v>
      </c>
      <c r="B5919" s="1" t="s">
        <v>318</v>
      </c>
      <c r="C5919" s="1" t="s">
        <v>246</v>
      </c>
      <c r="D5919" s="1" t="s">
        <v>9530</v>
      </c>
      <c r="E5919" s="1" t="s">
        <v>2321</v>
      </c>
      <c r="F5919" s="1" t="s">
        <v>9531</v>
      </c>
      <c r="G5919" s="1" t="s">
        <v>36</v>
      </c>
      <c r="H5919" s="1" t="s">
        <v>29</v>
      </c>
      <c r="I5919" s="1" t="str">
        <f ca="1">IFERROR(__xludf.DUMMYFUNCTION("GOOGLETRANSLATE(F5919, ""auto"", ""en"")
"),"Works great, very nice design.")</f>
        <v>Works great, very nice design.</v>
      </c>
    </row>
    <row r="5920" spans="1:9" x14ac:dyDescent="0.3">
      <c r="A5920" s="1" t="s">
        <v>557</v>
      </c>
      <c r="B5920" s="1" t="s">
        <v>558</v>
      </c>
      <c r="C5920" s="1" t="s">
        <v>1921</v>
      </c>
      <c r="D5920" s="1" t="s">
        <v>52</v>
      </c>
      <c r="E5920" s="1" t="s">
        <v>363</v>
      </c>
      <c r="F5920" s="1" t="s">
        <v>9532</v>
      </c>
      <c r="G5920" s="1" t="s">
        <v>28</v>
      </c>
      <c r="H5920" s="1" t="s">
        <v>29</v>
      </c>
      <c r="I5920" s="1" t="str">
        <f ca="1">IFERROR(__xludf.DUMMYFUNCTION("GOOGLETRANSLATE(F5920, ""auto"", ""en"")
"),"The phone is good. And it makes fun noises and the sound is good and it identifies the numbers. There is only one drawback: when using several phones in the house, it rings even when a number is dialed on the parallel phone.")</f>
        <v>The phone is good. And it makes fun noises and the sound is good and it identifies the numbers. There is only one drawback: when using several phones in the house, it rings even when a number is dialed on the parallel phone.</v>
      </c>
    </row>
    <row r="5921" spans="1:9" x14ac:dyDescent="0.3">
      <c r="A5921" s="1" t="s">
        <v>206</v>
      </c>
      <c r="B5921" s="1" t="s">
        <v>1349</v>
      </c>
      <c r="C5921" s="1" t="s">
        <v>351</v>
      </c>
      <c r="D5921" s="1" t="s">
        <v>749</v>
      </c>
      <c r="E5921" s="1" t="s">
        <v>1553</v>
      </c>
      <c r="F5921" s="1" t="s">
        <v>9533</v>
      </c>
      <c r="G5921" s="1" t="s">
        <v>28</v>
      </c>
      <c r="H5921" s="1" t="s">
        <v>29</v>
      </c>
      <c r="I5921" s="1" t="str">
        <f ca="1">IFERROR(__xludf.DUMMYFUNCTION("GOOGLETRANSLATE(F5921, ""auto"", ""en"")
"),"I bought a tape recorder on 01/02/2011 on my birthday, I couldn’t get enough of it, at a special price, apparently there were discounts during the New Year holidays, but now it doesn’t read discs and the flash drive, the radio works fine, and the screen g"&amp;"lows white in the morning and doesn’t show anything, although after a while it shows, I have to go and get it repaired under warranty")</f>
        <v>I bought a tape recorder on 01/02/2011 on my birthday, I couldn’t get enough of it, at a special price, apparently there were discounts during the New Year holidays, but now it doesn’t read discs and the flash drive, the radio works fine, and the screen glows white in the morning and doesn’t show anything, although after a while it shows, I have to go and get it repaired under warranty</v>
      </c>
    </row>
    <row r="5922" spans="1:9" x14ac:dyDescent="0.3">
      <c r="A5922" s="1" t="s">
        <v>149</v>
      </c>
      <c r="B5922" s="1" t="s">
        <v>155</v>
      </c>
      <c r="C5922" s="1" t="s">
        <v>63</v>
      </c>
      <c r="D5922" s="1" t="s">
        <v>521</v>
      </c>
      <c r="E5922" s="1" t="s">
        <v>9534</v>
      </c>
      <c r="F5922" s="1" t="s">
        <v>9535</v>
      </c>
      <c r="G5922" s="1" t="s">
        <v>15</v>
      </c>
      <c r="H5922" s="1" t="s">
        <v>16</v>
      </c>
      <c r="I5922" s="1" t="str">
        <f ca="1">IFERROR(__xludf.DUMMYFUNCTION("GOOGLETRANSLATE(F5922, ""auto"", ""en"")
"),"We bought it 5 years ago! It worked perfectly for the first 2 years, the suction power is really amazing, although there are visible drawbacks: the container is not convenient to clean and wash, you are left covered in dust after opening it, the rubber ri"&amp;"ng in the container constantly pops out, one lid fastener broke in the first two months of use, but this did not interfere with operation. But then the problems really begin: it turns off due to overheating if the button is on. it is set to max, although "&amp;"the filters have been changed, washed, etc. and the power 5 years later has become significantly less. Maybe it’s true that they have a service life of 3 years at most... then we can say that it has justified itself!")</f>
        <v>We bought it 5 years ago! It worked perfectly for the first 2 years, the suction power is really amazing, although there are visible drawbacks: the container is not convenient to clean and wash, you are left covered in dust after opening it, the rubber ring in the container constantly pops out, one lid fastener broke in the first two months of use, but this did not interfere with operation. But then the problems really begin: it turns off due to overheating if the button is on. it is set to max, although the filters have been changed, washed, etc. and the power 5 years later has become significantly less. Maybe it’s true that they have a service life of 3 years at most... then we can say that it has justified itself!</v>
      </c>
    </row>
    <row r="5923" spans="1:9" x14ac:dyDescent="0.3">
      <c r="A5923" s="1" t="s">
        <v>9</v>
      </c>
      <c r="B5923" s="1" t="s">
        <v>133</v>
      </c>
      <c r="C5923" s="1" t="s">
        <v>290</v>
      </c>
      <c r="D5923" s="1" t="s">
        <v>658</v>
      </c>
      <c r="E5923" s="1" t="s">
        <v>4080</v>
      </c>
      <c r="F5923" s="1" t="s">
        <v>9536</v>
      </c>
      <c r="G5923" s="1" t="s">
        <v>28</v>
      </c>
      <c r="H5923" s="1" t="s">
        <v>29</v>
      </c>
      <c r="I5923" s="1" t="str">
        <f ca="1">IFERROR(__xludf.DUMMYFUNCTION("GOOGLETRANSLATE(F5923, ""auto"", ""en"")
"),"We bought this particular model from M-video in December 2010. The impression from the work is very positive: all functions work properly, the baked goods come out smooth and beautiful, stewing and baking is generally a pleasure.  Telescopic guides make l"&amp;"ife very easy.  During the year of operation, we have never tried the built-in cleaning: usually a cloth is enough.    The only negative (specifically for us) is that it intensively generates heat from the side in the area where the door is attached. We h"&amp;"ave a refrigerator on the side, so as a result, the seal on the refrigerator door was deformed in this place.   !!! This did not affect the condition of the cabinet in which the oven was built in.    I give it a solid four. Still, I was hoping for less he"&amp;"at transfer to the outside world.")</f>
        <v>We bought this particular model from M-video in December 2010. The impression from the work is very positive: all functions work properly, the baked goods come out smooth and beautiful, stewing and baking is generally a pleasure.  Telescopic guides make life very easy.  During the year of operation, we have never tried the built-in cleaning: usually a cloth is enough.    The only negative (specifically for us) is that it intensively generates heat from the side in the area where the door is attached. We have a refrigerator on the side, so as a result, the seal on the refrigerator door was deformed in this place.   !!! This did not affect the condition of the cabinet in which the oven was built in.    I give it a solid four. Still, I was hoping for less heat transfer to the outside world.</v>
      </c>
    </row>
    <row r="5924" spans="1:9" x14ac:dyDescent="0.3">
      <c r="A5924" s="1" t="s">
        <v>37</v>
      </c>
      <c r="B5924" s="1" t="s">
        <v>38</v>
      </c>
      <c r="C5924" s="1" t="s">
        <v>69</v>
      </c>
      <c r="D5924" s="1" t="s">
        <v>305</v>
      </c>
      <c r="E5924" s="1" t="s">
        <v>3664</v>
      </c>
      <c r="F5924" s="1" t="s">
        <v>9537</v>
      </c>
      <c r="G5924" s="1" t="s">
        <v>36</v>
      </c>
      <c r="H5924" s="1" t="s">
        <v>29</v>
      </c>
      <c r="I5924" s="1" t="str">
        <f ca="1">IFERROR(__xludf.DUMMYFUNCTION("GOOGLETRANSLATE(F5924, ""auto"", ""en"")
"),"The phone is excellent. 95 percent bug-free. The main glitch in the 16th firmware (the only one at the moment) WHEN SET THE ALARM CLOCK, the WEEK for the alarm to sound STARTS NOT ON MONDAY BUT ON SUNDAY. THAT IS, IF YOU WANT THE ALARM TO RING FROM MONDAY"&amp;" THROUGH FRIDAY, THEN YOU NEED TO GO IN THE SNOPE ALARM MENU SET OUT from Sun to Thu. (Fri and Sat will be considered normal Sat and Sun). This bug is promised to be fixed in the next firmware, but even now it does not cause much discomfort.  Photo and vi"&amp;"deo camera is up to standard. Don't forget to wipe the lens before shooting. The sound of the external speaker is loud but muffled. The internal speaker sounds normal. Opera works. Java applications from the mobile Internet do not load, you need to transf"&amp;"er them via Bluetooth or USB.  Touch screen is on point. About the microSD card: you need to buy only a BRANDED one (Japanese assembled or from brand phones, BECAUSE CHINESE OR TAIWAN CARDS QUICKLY DEATH YOUR PHONE’S BATTERY). The radio is good, but it’s "&amp;"better to buy high-quality ears. I have DANON. I bought it from M-Video.  The phone is worth the money it is sold for.")</f>
        <v>The phone is excellent. 95 percent bug-free. The main glitch in the 16th firmware (the only one at the moment) WHEN SET THE ALARM CLOCK, the WEEK for the alarm to sound STARTS NOT ON MONDAY BUT ON SUNDAY. THAT IS, IF YOU WANT THE ALARM TO RING FROM MONDAY THROUGH FRIDAY, THEN YOU NEED TO GO IN THE SNOPE ALARM MENU SET OUT from Sun to Thu. (Fri and Sat will be considered normal Sat and Sun). This bug is promised to be fixed in the next firmware, but even now it does not cause much discomfort.  Photo and video camera is up to standard. Don't forget to wipe the lens before shooting. The sound of the external speaker is loud but muffled. The internal speaker sounds normal. Opera works. Java applications from the mobile Internet do not load, you need to transfer them via Bluetooth or USB.  Touch screen is on point. About the microSD card: you need to buy only a BRANDED one (Japanese assembled or from brand phones, BECAUSE CHINESE OR TAIWAN CARDS QUICKLY DEATH YOUR PHONE’S BATTERY). The radio is good, but it’s better to buy high-quality ears. I have DANON. I bought it from M-Video.  The phone is worth the money it is sold for.</v>
      </c>
    </row>
    <row r="5925" spans="1:9" x14ac:dyDescent="0.3">
      <c r="A5925" s="1" t="s">
        <v>211</v>
      </c>
      <c r="B5925" s="1" t="s">
        <v>212</v>
      </c>
      <c r="C5925" s="1" t="s">
        <v>294</v>
      </c>
      <c r="D5925" s="1" t="s">
        <v>385</v>
      </c>
      <c r="E5925" s="1" t="s">
        <v>9390</v>
      </c>
      <c r="F5925" s="1" t="s">
        <v>9538</v>
      </c>
      <c r="G5925" s="1" t="s">
        <v>36</v>
      </c>
      <c r="H5925" s="1" t="s">
        <v>29</v>
      </c>
      <c r="I5925" s="1" t="str">
        <f ca="1">IFERROR(__xludf.DUMMYFUNCTION("GOOGLETRANSLATE(F5925, ""auto"", ""en"")
"),"The tongs are just super. Instant heating, unlike other tongs. The gentle coating of the curling iron will not harm your hair. It holds curls for a long time and curls perfectly. My mom has the same ones. I recommend it.")</f>
        <v>The tongs are just super. Instant heating, unlike other tongs. The gentle coating of the curling iron will not harm your hair. It holds curls for a long time and curls perfectly. My mom has the same ones. I recommend it.</v>
      </c>
    </row>
    <row r="5926" spans="1:9" x14ac:dyDescent="0.3">
      <c r="A5926" s="1" t="s">
        <v>105</v>
      </c>
      <c r="B5926" s="1" t="s">
        <v>106</v>
      </c>
      <c r="C5926" s="1" t="s">
        <v>1526</v>
      </c>
      <c r="D5926" s="1" t="s">
        <v>152</v>
      </c>
      <c r="E5926" s="1" t="s">
        <v>4540</v>
      </c>
      <c r="F5926" s="1" t="s">
        <v>9539</v>
      </c>
      <c r="G5926" s="1" t="s">
        <v>28</v>
      </c>
      <c r="H5926" s="1" t="s">
        <v>29</v>
      </c>
      <c r="I5926" s="1" t="str">
        <f ca="1">IFERROR(__xludf.DUMMYFUNCTION("GOOGLETRANSLATE(F5926, ""auto"", ""en"")
"),"The only problem is that it doesn’t play all folders in a row")</f>
        <v>The only problem is that it doesn’t play all folders in a row</v>
      </c>
    </row>
    <row r="5927" spans="1:9" x14ac:dyDescent="0.3">
      <c r="A5927" s="1" t="s">
        <v>61</v>
      </c>
      <c r="B5927" s="1" t="s">
        <v>726</v>
      </c>
      <c r="C5927" s="1" t="s">
        <v>74</v>
      </c>
      <c r="D5927" s="1" t="s">
        <v>327</v>
      </c>
      <c r="E5927" s="1" t="s">
        <v>1576</v>
      </c>
      <c r="F5927" s="1" t="s">
        <v>9540</v>
      </c>
      <c r="G5927" s="1" t="s">
        <v>36</v>
      </c>
      <c r="H5927" s="1" t="s">
        <v>29</v>
      </c>
      <c r="I5927" s="1" t="str">
        <f ca="1">IFERROR(__xludf.DUMMYFUNCTION("GOOGLETRANSLATE(F5927, ""auto"", ""en"")
"),"I read that if the crust does not brown even on program 3, then there is a way to unscrew the temperature sensor adjusting screw by 0.5-2 (preferably half a turn at first).")</f>
        <v>I read that if the crust does not brown even on program 3, then there is a way to unscrew the temperature sensor adjusting screw by 0.5-2 (preferably half a turn at first).</v>
      </c>
    </row>
    <row r="5928" spans="1:9" x14ac:dyDescent="0.3">
      <c r="A5928" s="1" t="s">
        <v>149</v>
      </c>
      <c r="B5928" s="1" t="s">
        <v>155</v>
      </c>
      <c r="C5928" s="1" t="s">
        <v>63</v>
      </c>
      <c r="D5928" s="1" t="s">
        <v>474</v>
      </c>
      <c r="E5928" s="1" t="s">
        <v>1879</v>
      </c>
      <c r="F5928" s="1" t="s">
        <v>9541</v>
      </c>
      <c r="G5928" s="1" t="s">
        <v>36</v>
      </c>
      <c r="H5928" s="1" t="s">
        <v>29</v>
      </c>
      <c r="I5928" s="1" t="str">
        <f ca="1">IFERROR(__xludf.DUMMYFUNCTION("GOOGLETRANSLATE(F5928, ""auto"", ""en"")
"),"Quiet, powerfully suction baby. Easy to use, does not stink after long work, lightweight. We have been using the vacuum cleaner for a month and a half (repair), and it copes with construction dust, cement, sand, etc. definitely a five!")</f>
        <v>Quiet, powerfully suction baby. Easy to use, does not stink after long work, lightweight. We have been using the vacuum cleaner for a month and a half (repair), and it copes with construction dust, cement, sand, etc. definitely a five!</v>
      </c>
    </row>
    <row r="5929" spans="1:9" x14ac:dyDescent="0.3">
      <c r="A5929" s="1" t="s">
        <v>169</v>
      </c>
      <c r="B5929" s="1" t="s">
        <v>170</v>
      </c>
      <c r="C5929" s="1" t="s">
        <v>171</v>
      </c>
      <c r="D5929" s="1" t="s">
        <v>891</v>
      </c>
      <c r="E5929" s="1" t="s">
        <v>201</v>
      </c>
      <c r="F5929" s="1" t="s">
        <v>9542</v>
      </c>
      <c r="G5929" s="1" t="s">
        <v>36</v>
      </c>
      <c r="H5929" s="1" t="s">
        <v>29</v>
      </c>
      <c r="I5929" s="1" t="str">
        <f ca="1">IFERROR(__xludf.DUMMYFUNCTION("GOOGLETRANSLATE(F5929, ""auto"", ""en"")
"),"THE HEADPHONES ARE EXCELLENT! The bass is simply super in this price category, the best Fisher headphones! Take it, you won’t regret it! Easy to use, there is a cap for plugging in! very convenient!  Let's talk about the pros and cons (+/-) +: I already s"&amp;"aid bass, the quality of the sound is in no way inferior to Sonya's!  -: It's not worth the price! I used to have Sony headphones, they broke. I bought these ears and they didn’t get used to them right away!!! something makes a little bit of noise!!! but "&amp;"it’s such an awesome thing!")</f>
        <v>THE HEADPHONES ARE EXCELLENT! The bass is simply super in this price category, the best Fisher headphones! Take it, you won’t regret it! Easy to use, there is a cap for plugging in! very convenient!  Let's talk about the pros and cons (+/-) +: I already said bass, the quality of the sound is in no way inferior to Sonya's!  -: It's not worth the price! I used to have Sony headphones, they broke. I bought these ears and they didn’t get used to them right away!!! something makes a little bit of noise!!! but it’s such an awesome thing!</v>
      </c>
    </row>
    <row r="5930" spans="1:9" x14ac:dyDescent="0.3">
      <c r="A5930" s="1" t="s">
        <v>61</v>
      </c>
      <c r="B5930" s="1" t="s">
        <v>318</v>
      </c>
      <c r="C5930" s="1" t="s">
        <v>85</v>
      </c>
      <c r="D5930" s="1" t="s">
        <v>58</v>
      </c>
      <c r="E5930" s="1" t="s">
        <v>201</v>
      </c>
      <c r="F5930" s="1" t="s">
        <v>9543</v>
      </c>
      <c r="G5930" s="1" t="s">
        <v>36</v>
      </c>
      <c r="H5930" s="1" t="s">
        <v>29</v>
      </c>
      <c r="I5930" s="1" t="str">
        <f ca="1">IFERROR(__xludf.DUMMYFUNCTION("GOOGLETRANSLATE(F5930, ""auto"", ""en"")
"),"The kettle is just super!!! I'm very pleased, I've had it for 8 months now")</f>
        <v>The kettle is just super!!! I'm very pleased, I've had it for 8 months now</v>
      </c>
    </row>
    <row r="5931" spans="1:9" x14ac:dyDescent="0.3">
      <c r="A5931" s="1" t="s">
        <v>95</v>
      </c>
      <c r="B5931" s="1" t="s">
        <v>96</v>
      </c>
      <c r="C5931" s="1" t="s">
        <v>97</v>
      </c>
      <c r="D5931" s="1" t="s">
        <v>39</v>
      </c>
      <c r="E5931" s="1" t="s">
        <v>661</v>
      </c>
      <c r="F5931" s="1" t="s">
        <v>9544</v>
      </c>
      <c r="G5931" s="1" t="s">
        <v>36</v>
      </c>
      <c r="H5931" s="1" t="s">
        <v>29</v>
      </c>
      <c r="I5931" s="1" t="str">
        <f ca="1">IFERROR(__xludf.DUMMYFUNCTION("GOOGLETRANSLATE(F5931, ""auto"", ""en"")
"),"Yesterday I bought this miracle of technology! I'm happy with everything, although I haven't quite figured it out yet! It’s too bad it can’t be stitched! And if it is stitched, I don’t want to spoil it, God forbid! I immediately bought a set of bells and "&amp;"whistles (cover, case, lanyard, cable, etc.) An excellent thing, I recommend it to everyone!")</f>
        <v>Yesterday I bought this miracle of technology! I'm happy with everything, although I haven't quite figured it out yet! It’s too bad it can’t be stitched! And if it is stitched, I don’t want to spoil it, God forbid! I immediately bought a set of bells and whistles (cover, case, lanyard, cable, etc.) An excellent thing, I recommend it to everyone!</v>
      </c>
    </row>
    <row r="5932" spans="1:9" x14ac:dyDescent="0.3">
      <c r="A5932" s="1" t="s">
        <v>120</v>
      </c>
      <c r="B5932" s="1" t="s">
        <v>121</v>
      </c>
      <c r="C5932" s="1" t="s">
        <v>80</v>
      </c>
      <c r="D5932" s="1" t="s">
        <v>102</v>
      </c>
      <c r="E5932" s="1" t="s">
        <v>4363</v>
      </c>
      <c r="F5932" s="1" t="s">
        <v>9545</v>
      </c>
      <c r="G5932" s="1" t="s">
        <v>36</v>
      </c>
      <c r="H5932" s="1" t="s">
        <v>29</v>
      </c>
      <c r="I5932" s="1" t="str">
        <f ca="1">IFERROR(__xludf.DUMMYFUNCTION("GOOGLETRANSLATE(F5932, ""auto"", ""en"")
"),"Happy with everything! I think it picks up cable channels well. Didn't find time for it. It turns out you just press ok and the channel, date and time are displayed). Connected to the computer via a vga-svga cable. Playing games is just great!   I liked t"&amp;"he true motion feature! moving scenes look interesting when watching TV. 178 degree view - it really is. I just have a 19 inch LG monitor. no complaints. So I took the same brand. I haven't touched the USB yet. suddenly some kind of marriage will come out"&amp;". I’m thinking of unlocking it with LEDs later. in my opinion, it’s fast - apparently the 2.4 ms response and 100 Hz make themselves felt.)) there are no glares or glitches there. I'm glad.")</f>
        <v>Happy with everything! I think it picks up cable channels well. Didn't find time for it. It turns out you just press ok and the channel, date and time are displayed). Connected to the computer via a vga-svga cable. Playing games is just great!   I liked the true motion feature! moving scenes look interesting when watching TV. 178 degree view - it really is. I just have a 19 inch LG monitor. no complaints. So I took the same brand. I haven't touched the USB yet. suddenly some kind of marriage will come out. I’m thinking of unlocking it with LEDs later. in my opinion, it’s fast - apparently the 2.4 ms response and 100 Hz make themselves felt.)) there are no glares or glitches there. I'm glad.</v>
      </c>
    </row>
    <row r="5933" spans="1:9" x14ac:dyDescent="0.3">
      <c r="A5933" s="1" t="s">
        <v>78</v>
      </c>
      <c r="B5933" s="1" t="s">
        <v>493</v>
      </c>
      <c r="C5933" s="1" t="s">
        <v>122</v>
      </c>
      <c r="D5933" s="1" t="s">
        <v>6695</v>
      </c>
      <c r="E5933" s="1" t="s">
        <v>1784</v>
      </c>
      <c r="F5933" s="1" t="s">
        <v>9546</v>
      </c>
      <c r="G5933" s="1" t="s">
        <v>36</v>
      </c>
      <c r="H5933" s="1" t="s">
        <v>29</v>
      </c>
      <c r="I5933" s="1" t="str">
        <f ca="1">IFERROR(__xludf.DUMMYFUNCTION("GOOGLETRANSLATE(F5933, ""auto"", ""en"")
"),"Grilled chicken, pie, baked potatoes, fish and much more. There is no product that she does not prepare!!! Works for me every day for 7 years!!! And sensory heating heats food evenly and does not leave a cold center!!!")</f>
        <v>Grilled chicken, pie, baked potatoes, fish and much more. There is no product that she does not prepare!!! Works for me every day for 7 years!!! And sensory heating heats food evenly and does not leave a cold center!!!</v>
      </c>
    </row>
    <row r="5934" spans="1:9" x14ac:dyDescent="0.3">
      <c r="A5934" s="1" t="s">
        <v>451</v>
      </c>
      <c r="B5934" s="1" t="s">
        <v>452</v>
      </c>
      <c r="C5934" s="1" t="s">
        <v>710</v>
      </c>
      <c r="D5934" s="1" t="s">
        <v>9547</v>
      </c>
      <c r="E5934" s="1" t="s">
        <v>267</v>
      </c>
      <c r="F5934" s="1" t="s">
        <v>9548</v>
      </c>
      <c r="G5934" s="1" t="s">
        <v>15</v>
      </c>
      <c r="H5934" s="1" t="s">
        <v>16</v>
      </c>
      <c r="I5934" s="1" t="str">
        <f ca="1">IFERROR(__xludf.DUMMYFUNCTION("GOOGLETRANSLATE(F5934, ""auto"", ""en"")
"),"The workmanship is no match for cheap China! There are a lot of burrs on the plastic - it’s time to at least buy a special razor for plastic for it. When cutting, you need to hold it firmly so that it doesn’t fall apart into parts! The balls scatter all a"&amp;"round, and not just into the container, which tends to fall off on the move due to poor inelastic fasteners! BUT it does its job, the jacket is like new.")</f>
        <v>The workmanship is no match for cheap China! There are a lot of burrs on the plastic - it’s time to at least buy a special razor for plastic for it. When cutting, you need to hold it firmly so that it doesn’t fall apart into parts! The balls scatter all around, and not just into the container, which tends to fall off on the move due to poor inelastic fasteners! BUT it does its job, the jacket is like new.</v>
      </c>
    </row>
    <row r="5935" spans="1:9" x14ac:dyDescent="0.3">
      <c r="A5935" s="1" t="s">
        <v>9</v>
      </c>
      <c r="B5935" s="1" t="s">
        <v>137</v>
      </c>
      <c r="C5935" s="1" t="s">
        <v>870</v>
      </c>
      <c r="D5935" s="1" t="s">
        <v>1152</v>
      </c>
      <c r="E5935" s="1" t="s">
        <v>7640</v>
      </c>
      <c r="F5935" s="1" t="s">
        <v>9549</v>
      </c>
      <c r="G5935" s="1" t="s">
        <v>36</v>
      </c>
      <c r="H5935" s="1" t="s">
        <v>29</v>
      </c>
      <c r="I5935" s="1" t="str">
        <f ca="1">IFERROR(__xludf.DUMMYFUNCTION("GOOGLETRANSLATE(F5935, ""auto"", ""en"")
"),"It heats well and is easy to install. Of course, it is better that the pots are small, then two at once can easily fit. I live alone, so this thing suits me just right! Very practical and compact, it doesn’t take up any space at all. You don’t really need"&amp;" to clean it, just wipe it with a cloth and that’s it. Heats food evenly and works quickly. looks decent, nothing superfluous.")</f>
        <v>It heats well and is easy to install. Of course, it is better that the pots are small, then two at once can easily fit. I live alone, so this thing suits me just right! Very practical and compact, it doesn’t take up any space at all. You don’t really need to clean it, just wipe it with a cloth and that’s it. Heats food evenly and works quickly. looks decent, nothing superfluous.</v>
      </c>
    </row>
    <row r="5936" spans="1:9" x14ac:dyDescent="0.3">
      <c r="A5936" s="1" t="s">
        <v>624</v>
      </c>
      <c r="B5936" s="1" t="s">
        <v>625</v>
      </c>
      <c r="C5936" s="1" t="s">
        <v>479</v>
      </c>
      <c r="D5936" s="1" t="s">
        <v>9550</v>
      </c>
      <c r="E5936" s="1" t="s">
        <v>2928</v>
      </c>
      <c r="F5936" s="1" t="s">
        <v>9551</v>
      </c>
      <c r="G5936" s="1" t="s">
        <v>36</v>
      </c>
      <c r="H5936" s="1" t="s">
        <v>29</v>
      </c>
      <c r="I5936" s="1" t="str">
        <f ca="1">IFERROR(__xludf.DUMMYFUNCTION("GOOGLETRANSLATE(F5936, ""auto"", ""en"")
"),"Awesome game!")</f>
        <v>Awesome game!</v>
      </c>
    </row>
    <row r="5937" spans="1:9" x14ac:dyDescent="0.3">
      <c r="A5937" s="1" t="s">
        <v>61</v>
      </c>
      <c r="B5937" s="1" t="s">
        <v>224</v>
      </c>
      <c r="C5937" s="1" t="s">
        <v>85</v>
      </c>
      <c r="D5937" s="1" t="s">
        <v>2771</v>
      </c>
      <c r="E5937" s="1" t="s">
        <v>1102</v>
      </c>
      <c r="F5937" s="1" t="s">
        <v>9552</v>
      </c>
      <c r="G5937" s="1" t="s">
        <v>36</v>
      </c>
      <c r="H5937" s="1" t="s">
        <v>29</v>
      </c>
      <c r="I5937" s="1" t="str">
        <f ca="1">IFERROR(__xludf.DUMMYFUNCTION("GOOGLETRANSLATE(F5937, ""auto"", ""en"")
"),"Great juicer! It squeezes out especially hard fruits and vegetables well. It’s a very convenient thing to wash, it’s easy to disassemble and clean, quite compact, and takes up little space in the kitchen. We are very pleased with the purchase.")</f>
        <v>Great juicer! It squeezes out especially hard fruits and vegetables well. It’s a very convenient thing to wash, it’s easy to disassemble and clean, quite compact, and takes up little space in the kitchen. We are very pleased with the purchase.</v>
      </c>
    </row>
    <row r="5938" spans="1:9" x14ac:dyDescent="0.3">
      <c r="A5938" s="1" t="s">
        <v>120</v>
      </c>
      <c r="B5938" s="1" t="s">
        <v>121</v>
      </c>
      <c r="C5938" s="1" t="s">
        <v>97</v>
      </c>
      <c r="D5938" s="1" t="s">
        <v>39</v>
      </c>
      <c r="E5938" s="1" t="s">
        <v>2640</v>
      </c>
      <c r="F5938" s="1" t="s">
        <v>9553</v>
      </c>
      <c r="G5938" s="1" t="s">
        <v>36</v>
      </c>
      <c r="H5938" s="1" t="s">
        <v>29</v>
      </c>
      <c r="I5938" s="1" t="str">
        <f ca="1">IFERROR(__xludf.DUMMYFUNCTION("GOOGLETRANSLATE(F5938, ""auto"", ""en"")
"),"The TV is really great. Cable shows great. The colors are rich and highly adjustable. I connected it to the computer via RGB for now, but even with this connection the picture shines with details. It looks stylish in the apartment. There are simply no wor"&amp;"ds. At its price, this is the best choice in terms of price-quality ratio. Take it, you won't regret it.")</f>
        <v>The TV is really great. Cable shows great. The colors are rich and highly adjustable. I connected it to the computer via RGB for now, but even with this connection the picture shines with details. It looks stylish in the apartment. There are simply no words. At its price, this is the best choice in terms of price-quality ratio. Take it, you won't regret it.</v>
      </c>
    </row>
    <row r="5939" spans="1:9" x14ac:dyDescent="0.3">
      <c r="A5939" s="1" t="s">
        <v>519</v>
      </c>
      <c r="B5939" s="1" t="s">
        <v>3088</v>
      </c>
      <c r="C5939" s="1" t="s">
        <v>246</v>
      </c>
      <c r="D5939" s="1" t="s">
        <v>308</v>
      </c>
      <c r="E5939" s="1" t="s">
        <v>543</v>
      </c>
      <c r="F5939" s="1" t="s">
        <v>9554</v>
      </c>
      <c r="G5939" s="1" t="s">
        <v>36</v>
      </c>
      <c r="H5939" s="1" t="s">
        <v>29</v>
      </c>
      <c r="I5939" s="1" t="str">
        <f ca="1">IFERROR(__xludf.DUMMYFUNCTION("GOOGLETRANSLATE(F5939, ""auto"", ""en"")
"),"A very good convenient saucepan, I recommend it.")</f>
        <v>A very good convenient saucepan, I recommend it.</v>
      </c>
    </row>
    <row r="5940" spans="1:9" x14ac:dyDescent="0.3">
      <c r="A5940" s="1" t="s">
        <v>9</v>
      </c>
      <c r="B5940" s="1" t="s">
        <v>137</v>
      </c>
      <c r="C5940" s="1" t="s">
        <v>870</v>
      </c>
      <c r="D5940" s="1" t="s">
        <v>592</v>
      </c>
      <c r="E5940" s="1" t="s">
        <v>4919</v>
      </c>
      <c r="F5940" s="1" t="s">
        <v>9555</v>
      </c>
      <c r="G5940" s="1" t="s">
        <v>36</v>
      </c>
      <c r="H5940" s="1" t="s">
        <v>29</v>
      </c>
      <c r="I5940" s="1" t="str">
        <f ca="1">IFERROR(__xludf.DUMMYFUNCTION("GOOGLETRANSLATE(F5940, ""auto"", ""en"")
"),"A good domino is stylish and modern, easy to clean, and doesn’t take up much space. Heats up well))")</f>
        <v>A good domino is stylish and modern, easy to clean, and doesn’t take up much space. Heats up well))</v>
      </c>
    </row>
    <row r="5941" spans="1:9" x14ac:dyDescent="0.3">
      <c r="A5941" s="1" t="s">
        <v>43</v>
      </c>
      <c r="B5941" s="1" t="s">
        <v>303</v>
      </c>
      <c r="C5941" s="1" t="s">
        <v>665</v>
      </c>
      <c r="D5941" s="1" t="s">
        <v>232</v>
      </c>
      <c r="E5941" s="1" t="s">
        <v>2417</v>
      </c>
      <c r="F5941" s="1" t="s">
        <v>9556</v>
      </c>
      <c r="G5941" s="1" t="s">
        <v>36</v>
      </c>
      <c r="H5941" s="1" t="s">
        <v>29</v>
      </c>
      <c r="I5941" s="1" t="str">
        <f ca="1">IFERROR(__xludf.DUMMYFUNCTION("GOOGLETRANSLATE(F5941, ""auto"", ""en"")
"),"Having suffered for a long time with hot water, or rather with its absence due to low summer water pressure in the house, we decided to buy a water heater. I liked this model for many reasons, including the price. Works great. The water heats up quickly, "&amp;"takes a long time to cool down, I always turn it on at night so that I can take a shower in peace in the morning. The temperature can be easily adjusted from lukewarm to hot. In general, it’s not difficult to understand the settings; everything is clearly"&amp;" described in the instructions. The main thing now is that there are no more problems with hot water! No whistles or hisses. And by the way, the build quality is good, and so is the warranty period)")</f>
        <v>Having suffered for a long time with hot water, or rather with its absence due to low summer water pressure in the house, we decided to buy a water heater. I liked this model for many reasons, including the price. Works great. The water heats up quickly, takes a long time to cool down, I always turn it on at night so that I can take a shower in peace in the morning. The temperature can be easily adjusted from lukewarm to hot. In general, it’s not difficult to understand the settings; everything is clearly described in the instructions. The main thing now is that there are no more problems with hot water! No whistles or hisses. And by the way, the build quality is good, and so is the warranty period)</v>
      </c>
    </row>
    <row r="5942" spans="1:9" x14ac:dyDescent="0.3">
      <c r="A5942" s="1" t="s">
        <v>149</v>
      </c>
      <c r="B5942" s="1" t="s">
        <v>150</v>
      </c>
      <c r="C5942" s="1" t="s">
        <v>2016</v>
      </c>
      <c r="D5942" s="1" t="s">
        <v>305</v>
      </c>
      <c r="E5942" s="1" t="s">
        <v>1044</v>
      </c>
      <c r="F5942" s="1" t="s">
        <v>9557</v>
      </c>
      <c r="G5942" s="1" t="s">
        <v>36</v>
      </c>
      <c r="H5942" s="1" t="s">
        <v>29</v>
      </c>
      <c r="I5942" s="1" t="str">
        <f ca="1">IFERROR(__xludf.DUMMYFUNCTION("GOOGLETRANSLATE(F5942, ""auto"", ""en"")
"),"I bought it with the help of reviews here, I tried it once so far. Let me tell you right away that you will not get the same power and effect as a regular home vacuum cleaner, firstly because of the power supply (the battery must be in good working order "&amp;"and charged, the difference can be felt when the engine is running), and secondly because of the size (including the engine). Where you normally use the power supply once or twice, the mini will definitely need more times, BUT it collects everything: dust"&amp;", sand, pebbles, hair, fluff, etc.. That is. Cleaning may take longer, depending on how dirty the interior is. There are no problems with cleaning the garbage disposal. It’s convenient that it comes with a bag. LOW noise. There are enough brushes included"&amp;". There is only one downside so far - the bristles are soft, they immediately rolled up against the pile of the car, I don’t know how this will affect further use. Very comfortable design, soft rubber hose, cord winding, light weight. Overall I’m happy wi"&amp;"th the purchase, I don’t regret it, I recommend it.")</f>
        <v>I bought it with the help of reviews here, I tried it once so far. Let me tell you right away that you will not get the same power and effect as a regular home vacuum cleaner, firstly because of the power supply (the battery must be in good working order and charged, the difference can be felt when the engine is running), and secondly because of the size (including the engine). Where you normally use the power supply once or twice, the mini will definitely need more times, BUT it collects everything: dust, sand, pebbles, hair, fluff, etc.. That is. Cleaning may take longer, depending on how dirty the interior is. There are no problems with cleaning the garbage disposal. It’s convenient that it comes with a bag. LOW noise. There are enough brushes included. There is only one downside so far - the bristles are soft, they immediately rolled up against the pile of the car, I don’t know how this will affect further use. Very comfortable design, soft rubber hose, cord winding, light weight. Overall I’m happy with the purchase, I don’t regret it, I recommend it.</v>
      </c>
    </row>
    <row r="5943" spans="1:9" x14ac:dyDescent="0.3">
      <c r="A5943" s="1" t="s">
        <v>211</v>
      </c>
      <c r="B5943" s="1" t="s">
        <v>265</v>
      </c>
      <c r="C5943" s="1" t="s">
        <v>69</v>
      </c>
      <c r="D5943" s="1" t="s">
        <v>2296</v>
      </c>
      <c r="E5943" s="1" t="s">
        <v>1959</v>
      </c>
      <c r="F5943" s="1" t="s">
        <v>9558</v>
      </c>
      <c r="G5943" s="1" t="s">
        <v>36</v>
      </c>
      <c r="H5943" s="1" t="s">
        <v>29</v>
      </c>
      <c r="I5943" s="1" t="str">
        <f ca="1">IFERROR(__xludf.DUMMYFUNCTION("GOOGLETRANSLATE(F5943, ""auto"", ""en"")
"),"The car is great. I’ve been using it for 3 years, it’s constantly in use, it’s very fast, there haven’t been any breakdowns, the battery holds up well, I recommend it to everyone.")</f>
        <v>The car is great. I’ve been using it for 3 years, it’s constantly in use, it’s very fast, there haven’t been any breakdowns, the battery holds up well, I recommend it to everyone.</v>
      </c>
    </row>
    <row r="5944" spans="1:9" x14ac:dyDescent="0.3">
      <c r="A5944" s="1" t="s">
        <v>17</v>
      </c>
      <c r="B5944" s="1" t="s">
        <v>18</v>
      </c>
      <c r="C5944" s="1" t="s">
        <v>159</v>
      </c>
      <c r="D5944" s="1" t="s">
        <v>139</v>
      </c>
      <c r="E5944" s="1" t="s">
        <v>3954</v>
      </c>
      <c r="F5944" s="1" t="s">
        <v>9559</v>
      </c>
      <c r="G5944" s="1" t="s">
        <v>36</v>
      </c>
      <c r="H5944" s="1" t="s">
        <v>29</v>
      </c>
      <c r="I5944" s="1" t="str">
        <f ca="1">IFERROR(__xludf.DUMMYFUNCTION("GOOGLETRANSLATE(F5944, ""auto"", ""en"")
"),"We have been using it recently. No comments. I WILL POST MORE DETAILS LATER!")</f>
        <v>We have been using it recently. No comments. I WILL POST MORE DETAILS LATER!</v>
      </c>
    </row>
    <row r="5945" spans="1:9" x14ac:dyDescent="0.3">
      <c r="A5945" s="1" t="s">
        <v>43</v>
      </c>
      <c r="B5945" s="1" t="s">
        <v>1382</v>
      </c>
      <c r="C5945" s="1" t="s">
        <v>57</v>
      </c>
      <c r="D5945" s="1" t="s">
        <v>521</v>
      </c>
      <c r="E5945" s="1" t="s">
        <v>9560</v>
      </c>
      <c r="F5945" s="1" t="s">
        <v>9561</v>
      </c>
      <c r="G5945" s="1" t="s">
        <v>36</v>
      </c>
      <c r="H5945" s="1" t="s">
        <v>29</v>
      </c>
      <c r="I5945" s="1" t="str">
        <f ca="1">IFERROR(__xludf.DUMMYFUNCTION("GOOGLETRANSLATE(F5945, ""auto"", ""en"")
"),"This fan has been working for us for more than a month now, almost 24 hours a day. There are only 2 minuses. The blowing radius is small and does not remember the mode in which it worked. Constantly after switching on you have to turn on the turn and spee"&amp;"d again. Someone was writing on the table. I don’t understand why, it has airflow adjustment, straight, up or down. Remote control makes it easy to use. I was impressed by the presence of a thermometer. At night, thanks to the illumination, it works like "&amp;"a night light at night. Yes, it’s a little noisy, but you get used to this noise and don’t pay attention anymore. Moreover, with this fan the child began to sleep better, you can walk by and not worry about waking up. And the air is really cooler than wit"&amp;"h a regular fan. In general, we did not regret what we bought.")</f>
        <v>This fan has been working for us for more than a month now, almost 24 hours a day. There are only 2 minuses. The blowing radius is small and does not remember the mode in which it worked. Constantly after switching on you have to turn on the turn and speed again. Someone was writing on the table. I don’t understand why, it has airflow adjustment, straight, up or down. Remote control makes it easy to use. I was impressed by the presence of a thermometer. At night, thanks to the illumination, it works like a night light at night. Yes, it’s a little noisy, but you get used to this noise and don’t pay attention anymore. Moreover, with this fan the child began to sleep better, you can walk by and not worry about waking up. And the air is really cooler than with a regular fan. In general, we did not regret what we bought.</v>
      </c>
    </row>
    <row r="5946" spans="1:9" x14ac:dyDescent="0.3">
      <c r="A5946" s="1" t="s">
        <v>37</v>
      </c>
      <c r="B5946" s="1" t="s">
        <v>38</v>
      </c>
      <c r="C5946" s="1" t="s">
        <v>163</v>
      </c>
      <c r="D5946" s="1" t="s">
        <v>9562</v>
      </c>
      <c r="E5946" s="1" t="s">
        <v>3472</v>
      </c>
      <c r="F5946" s="1" t="s">
        <v>9563</v>
      </c>
      <c r="G5946" s="1" t="s">
        <v>36</v>
      </c>
      <c r="H5946" s="1" t="s">
        <v>29</v>
      </c>
      <c r="I5946" s="1" t="str">
        <f ca="1">IFERROR(__xludf.DUMMYFUNCTION("GOOGLETRANSLATE(F5946, ""auto"", ""en"")
"),"The phone is super, but I prefer either stupid black or with pink stripes rather than red")</f>
        <v>The phone is super, but I prefer either stupid black or with pink stripes rather than red</v>
      </c>
    </row>
    <row r="5947" spans="1:9" x14ac:dyDescent="0.3">
      <c r="A5947" s="1" t="s">
        <v>211</v>
      </c>
      <c r="B5947" s="1" t="s">
        <v>212</v>
      </c>
      <c r="C5947" s="1" t="s">
        <v>213</v>
      </c>
      <c r="D5947" s="1" t="s">
        <v>308</v>
      </c>
      <c r="E5947" s="1" t="s">
        <v>897</v>
      </c>
      <c r="F5947" s="1" t="s">
        <v>9564</v>
      </c>
      <c r="G5947" s="1" t="s">
        <v>36</v>
      </c>
      <c r="H5947" s="1" t="s">
        <v>29</v>
      </c>
      <c r="I5947" s="1" t="str">
        <f ca="1">IFERROR(__xludf.DUMMYFUNCTION("GOOGLETRANSLATE(F5947, ""auto"", ""en"")
"),"I have had this model of hair dryer for over 5 years! Not a single complaint! Everything works! I mainly use a large round nozzle, and in principle I have not used a steam generator at all. I style my hair every other day - everything works great! I highl"&amp;"y recommend it! Reliable model! Nozzles with retractable teeth are actually not included in the kit.")</f>
        <v>I have had this model of hair dryer for over 5 years! Not a single complaint! Everything works! I mainly use a large round nozzle, and in principle I have not used a steam generator at all. I style my hair every other day - everything works great! I highly recommend it! Reliable model! Nozzles with retractable teeth are actually not included in the kit.</v>
      </c>
    </row>
    <row r="5948" spans="1:9" x14ac:dyDescent="0.3">
      <c r="A5948" s="1" t="s">
        <v>9</v>
      </c>
      <c r="B5948" s="1" t="s">
        <v>23</v>
      </c>
      <c r="C5948" s="1" t="s">
        <v>134</v>
      </c>
      <c r="D5948" s="1" t="s">
        <v>6695</v>
      </c>
      <c r="E5948" s="1" t="s">
        <v>1014</v>
      </c>
      <c r="F5948" s="1" t="s">
        <v>9565</v>
      </c>
      <c r="G5948" s="1" t="s">
        <v>94</v>
      </c>
      <c r="H5948" s="1" t="s">
        <v>29</v>
      </c>
      <c r="I5948" s="1" t="str">
        <f ca="1">IFERROR(__xludf.DUMMYFUNCTION("GOOGLETRANSLATE(F5948, ""auto"", ""en"")
"),"During operation, only the splashing of water is heard, the noise of the motor is not heard. It cleans both pots, plates, and cups well (I forgot what it’s like to scrub off tea stains). There are no streaks left on the glassware.")</f>
        <v>During operation, only the splashing of water is heard, the noise of the motor is not heard. It cleans both pots, plates, and cups well (I forgot what it’s like to scrub off tea stains). There are no streaks left on the glassware.</v>
      </c>
    </row>
    <row r="5949" spans="1:9" x14ac:dyDescent="0.3">
      <c r="A5949" s="1" t="s">
        <v>61</v>
      </c>
      <c r="B5949" s="1" t="s">
        <v>434</v>
      </c>
      <c r="C5949" s="1" t="s">
        <v>101</v>
      </c>
      <c r="D5949" s="1" t="s">
        <v>247</v>
      </c>
      <c r="E5949" s="1" t="s">
        <v>1144</v>
      </c>
      <c r="F5949" s="1" t="s">
        <v>9566</v>
      </c>
      <c r="G5949" s="1" t="s">
        <v>28</v>
      </c>
      <c r="H5949" s="1" t="s">
        <v>29</v>
      </c>
      <c r="I5949" s="1" t="str">
        <f ca="1">IFERROR(__xludf.DUMMYFUNCTION("GOOGLETRANSLATE(F5949, ""auto"", ""en"")
"),"I bought it a couple of weeks ago and am very pleased with it. I mainly cook pizza and pies in it. They turn out baked. Ideal option for a small apartment.")</f>
        <v>I bought it a couple of weeks ago and am very pleased with it. I mainly cook pizza and pies in it. They turn out baked. Ideal option for a small apartment.</v>
      </c>
    </row>
    <row r="5950" spans="1:9" x14ac:dyDescent="0.3">
      <c r="A5950" s="1" t="s">
        <v>732</v>
      </c>
      <c r="B5950" s="1" t="s">
        <v>733</v>
      </c>
      <c r="C5950" s="1" t="s">
        <v>1680</v>
      </c>
      <c r="D5950" s="1" t="s">
        <v>1681</v>
      </c>
      <c r="E5950" s="1" t="s">
        <v>937</v>
      </c>
      <c r="F5950" s="1" t="s">
        <v>9567</v>
      </c>
      <c r="G5950" s="1" t="s">
        <v>36</v>
      </c>
      <c r="H5950" s="1" t="s">
        <v>29</v>
      </c>
      <c r="I5950" s="1" t="str">
        <f ca="1">IFERROR(__xludf.DUMMYFUNCTION("GOOGLETRANSLATE(F5950, ""auto"", ""en"")
"),"I bought it for my birthday and am VERY pleased)). I think that for the money it’s a very good monitor.")</f>
        <v>I bought it for my birthday and am VERY pleased)). I think that for the money it’s a very good monitor.</v>
      </c>
    </row>
    <row r="5951" spans="1:9" x14ac:dyDescent="0.3">
      <c r="A5951" s="1" t="s">
        <v>169</v>
      </c>
      <c r="B5951" s="1" t="s">
        <v>170</v>
      </c>
      <c r="C5951" s="1" t="s">
        <v>193</v>
      </c>
      <c r="D5951" s="1" t="s">
        <v>117</v>
      </c>
      <c r="E5951" s="1" t="s">
        <v>1273</v>
      </c>
      <c r="F5951" s="1" t="s">
        <v>9568</v>
      </c>
      <c r="G5951" s="1" t="s">
        <v>36</v>
      </c>
      <c r="H5951" s="1" t="s">
        <v>29</v>
      </c>
      <c r="I5951" s="1" t="str">
        <f ca="1">IFERROR(__xludf.DUMMYFUNCTION("GOOGLETRANSLATE(F5951, ""auto"", ""en"")
"),"I bought it and don’t regret the purchase, the sound quality is excellent, the bass is moderate. So you won't regret buying it")</f>
        <v>I bought it and don’t regret the purchase, the sound quality is excellent, the bass is moderate. So you won't regret buying it</v>
      </c>
    </row>
    <row r="5952" spans="1:9" x14ac:dyDescent="0.3">
      <c r="A5952" s="1" t="s">
        <v>369</v>
      </c>
      <c r="B5952" s="1" t="s">
        <v>587</v>
      </c>
      <c r="C5952" s="1" t="s">
        <v>290</v>
      </c>
      <c r="D5952" s="1" t="s">
        <v>474</v>
      </c>
      <c r="E5952" s="1" t="s">
        <v>1569</v>
      </c>
      <c r="F5952" s="1" t="s">
        <v>9569</v>
      </c>
      <c r="G5952" s="1" t="s">
        <v>36</v>
      </c>
      <c r="H5952" s="1" t="s">
        <v>29</v>
      </c>
      <c r="I5952" s="1" t="str">
        <f ca="1">IFERROR(__xludf.DUMMYFUNCTION("GOOGLETRANSLATE(F5952, ""auto"", ""en"")
"),"The stove is made of very high quality, solidly, has cast iron grates on the surface and many oven operating modes.")</f>
        <v>The stove is made of very high quality, solidly, has cast iron grates on the surface and many oven operating modes.</v>
      </c>
    </row>
    <row r="5953" spans="1:9" x14ac:dyDescent="0.3">
      <c r="A5953" s="1" t="s">
        <v>30</v>
      </c>
      <c r="B5953" s="1" t="s">
        <v>50</v>
      </c>
      <c r="C5953" s="1" t="s">
        <v>1003</v>
      </c>
      <c r="D5953" s="1" t="s">
        <v>9570</v>
      </c>
      <c r="E5953" s="1" t="s">
        <v>4864</v>
      </c>
      <c r="F5953" s="1" t="s">
        <v>9571</v>
      </c>
      <c r="G5953" s="1" t="s">
        <v>36</v>
      </c>
      <c r="H5953" s="1" t="s">
        <v>29</v>
      </c>
      <c r="I5953" s="1" t="str">
        <f ca="1">IFERROR(__xludf.DUMMYFUNCTION("GOOGLETRANSLATE(F5953, ""auto"", ""en"")
"),"Stylish and powerful thing!")</f>
        <v>Stylish and powerful thing!</v>
      </c>
    </row>
    <row r="5954" spans="1:9" x14ac:dyDescent="0.3">
      <c r="A5954" s="1" t="s">
        <v>624</v>
      </c>
      <c r="B5954" s="1" t="s">
        <v>2107</v>
      </c>
      <c r="C5954" s="1" t="s">
        <v>479</v>
      </c>
      <c r="D5954" s="1" t="s">
        <v>9572</v>
      </c>
      <c r="E5954" s="1" t="s">
        <v>124</v>
      </c>
      <c r="F5954" s="1" t="s">
        <v>9573</v>
      </c>
      <c r="G5954" s="1" t="s">
        <v>36</v>
      </c>
      <c r="H5954" s="1" t="s">
        <v>29</v>
      </c>
      <c r="I5954" s="1" t="str">
        <f ca="1">IFERROR(__xludf.DUMMYFUNCTION("GOOGLETRANSLATE(F5954, ""auto"", ""en"")
"),"Cool graphics, Russian championship!")</f>
        <v>Cool graphics, Russian championship!</v>
      </c>
    </row>
    <row r="5955" spans="1:9" x14ac:dyDescent="0.3">
      <c r="A5955" s="1" t="s">
        <v>17</v>
      </c>
      <c r="B5955" s="1" t="s">
        <v>18</v>
      </c>
      <c r="C5955" s="1" t="s">
        <v>243</v>
      </c>
      <c r="D5955" s="1" t="s">
        <v>589</v>
      </c>
      <c r="E5955" s="1" t="s">
        <v>9574</v>
      </c>
      <c r="F5955" s="1" t="s">
        <v>9575</v>
      </c>
      <c r="G5955" s="1" t="s">
        <v>36</v>
      </c>
      <c r="H5955" s="1" t="s">
        <v>29</v>
      </c>
      <c r="I5955" s="1" t="str">
        <f ca="1">IFERROR(__xludf.DUMMYFUNCTION("GOOGLETRANSLATE(F5955, ""auto"", ""en"")
"),"Narrow (fits perfectly in a small kitchen, inexpensive, many functions")</f>
        <v>Narrow (fits perfectly in a small kitchen, inexpensive, many functions</v>
      </c>
    </row>
    <row r="5956" spans="1:9" x14ac:dyDescent="0.3">
      <c r="A5956" s="1" t="s">
        <v>67</v>
      </c>
      <c r="B5956" s="1" t="s">
        <v>68</v>
      </c>
      <c r="C5956" s="1" t="s">
        <v>381</v>
      </c>
      <c r="D5956" s="1" t="s">
        <v>9576</v>
      </c>
      <c r="E5956" s="1" t="s">
        <v>1971</v>
      </c>
      <c r="F5956" s="1" t="s">
        <v>9577</v>
      </c>
      <c r="G5956" s="1" t="s">
        <v>36</v>
      </c>
      <c r="H5956" s="1" t="s">
        <v>29</v>
      </c>
      <c r="I5956" s="1" t="str">
        <f ca="1">IFERROR(__xludf.DUMMYFUNCTION("GOOGLETRANSLATE(F5956, ""auto"", ""en"")
"),"Wonderful thing! I bought it through an online store. very convenient.")</f>
        <v>Wonderful thing! I bought it through an online store. very convenient.</v>
      </c>
    </row>
    <row r="5957" spans="1:9" x14ac:dyDescent="0.3">
      <c r="A5957" s="1" t="s">
        <v>519</v>
      </c>
      <c r="B5957" s="1" t="s">
        <v>3212</v>
      </c>
      <c r="C5957" s="1" t="s">
        <v>561</v>
      </c>
      <c r="D5957" s="1" t="s">
        <v>1659</v>
      </c>
      <c r="E5957" s="1" t="s">
        <v>9578</v>
      </c>
      <c r="F5957" s="1" t="s">
        <v>9579</v>
      </c>
      <c r="G5957" s="1" t="s">
        <v>15</v>
      </c>
      <c r="H5957" s="1" t="s">
        <v>16</v>
      </c>
      <c r="I5957" s="1" t="str">
        <f ca="1">IFERROR(__xludf.DUMMYFUNCTION("GOOGLETRANSLATE(F5957, ""auto"", ""en"")
"),"Peeled off after 15-17 preparations. I really don't recommend it.")</f>
        <v>Peeled off after 15-17 preparations. I really don't recommend it.</v>
      </c>
    </row>
    <row r="5958" spans="1:9" x14ac:dyDescent="0.3">
      <c r="A5958" s="1" t="s">
        <v>120</v>
      </c>
      <c r="B5958" s="1" t="s">
        <v>196</v>
      </c>
      <c r="C5958" s="1" t="s">
        <v>69</v>
      </c>
      <c r="D5958" s="1" t="s">
        <v>9580</v>
      </c>
      <c r="E5958" s="1" t="s">
        <v>1225</v>
      </c>
      <c r="F5958" s="1" t="s">
        <v>9581</v>
      </c>
      <c r="G5958" s="1" t="s">
        <v>36</v>
      </c>
      <c r="H5958" s="1" t="s">
        <v>29</v>
      </c>
      <c r="I5958" s="1" t="str">
        <f ca="1">IFERROR(__xludf.DUMMYFUNCTION("GOOGLETRANSLATE(F5958, ""auto"", ""en"")
"),"It took me a long time to choose a TV, weighing the price/picture quality ratio, and I preferred to buy this one for 36 than for 30-40 LG or Samsung (bought in October 2009).  1 - regarding the firmware. I stitched it 2 times, there were no problems. I re"&amp;"flashed it without any need, of course.  2 - connection. Computer TV via DVI-HDMI-HDMI with sound (the card supports sound output, without echo :), DVI-HDMI adapter from the card), WD TV player via HDMI-HDMI, DVD player via S-Video, camera by bells. Every"&amp;"thing works fine, switch at any time. There are still ports, but there is nothing more to connect. DVD movies are excellent from 2m onwards (if it’s not a pirated screen), and let alone 720p and 1080p without any complaints at all. My daughter and I are p"&amp;"laying on TV - a blunder :) 3 - incorrect display of the 1920x1080 resolution, this was most likely meant by the modes. You select “PC Mode” in the settings and it shows like a monitor - all the pixels in the screen field (by default, the image goes beyon"&amp;"d the borders, for example, the OS taskbar is not visible and this is on all 4 edges).  4 - sucky sound. I would say normal, but I connected speakers because you can hear better behind the wall in the kitchen than in front of the TV :) (low frequencies, o"&amp;"f course, only) I really liked the car audio function.  5 - the menu is convenient in my opinion. Sometimes I have to switch settings, I don’t feel any difficulties with it 6 - about flash drives. Definitely doesn’t read everything :) Old 2005 512MB MyFla"&amp;"sh! doesn’t see 7 - too big for 22 sq.m.!? I don’t agree :) I look from 3 meters more often than from the full 7m length of the room. And now I understand that the larger the screen, the better. I dream of a projector to project an image onto the entire w"&amp;"all.  In the end, I am satisfied for the money paid. But of course there is no limit to perfection. For example, the 9th generation (the 7th and 8th seemed twitchy to me, I didn’t see the point in overpaying. Although many friends perceive the image on th"&amp;"em normally)")</f>
        <v>It took me a long time to choose a TV, weighing the price/picture quality ratio, and I preferred to buy this one for 36 than for 30-40 LG or Samsung (bought in October 2009).  1 - regarding the firmware. I stitched it 2 times, there were no problems. I reflashed it without any need, of course.  2 - connection. Computer TV via DVI-HDMI-HDMI with sound (the card supports sound output, without echo :), DVI-HDMI adapter from the card), WD TV player via HDMI-HDMI, DVD player via S-Video, camera by bells. Everything works fine, switch at any time. There are still ports, but there is nothing more to connect. DVD movies are excellent from 2m onwards (if it’s not a pirated screen), and let alone 720p and 1080p without any complaints at all. My daughter and I are playing on TV - a blunder :) 3 - incorrect display of the 1920x1080 resolution, this was most likely meant by the modes. You select “PC Mode” in the settings and it shows like a monitor - all the pixels in the screen field (by default, the image goes beyond the borders, for example, the OS taskbar is not visible and this is on all 4 edges).  4 - sucky sound. I would say normal, but I connected speakers because you can hear better behind the wall in the kitchen than in front of the TV :) (low frequencies, of course, only) I really liked the car audio function.  5 - the menu is convenient in my opinion. Sometimes I have to switch settings, I don’t feel any difficulties with it 6 - about flash drives. Definitely doesn’t read everything :) Old 2005 512MB MyFlash! doesn’t see 7 - too big for 22 sq.m.!? I don’t agree :) I look from 3 meters more often than from the full 7m length of the room. And now I understand that the larger the screen, the better. I dream of a projector to project an image onto the entire wall.  In the end, I am satisfied for the money paid. But of course there is no limit to perfection. For example, the 9th generation (the 7th and 8th seemed twitchy to me, I didn’t see the point in overpaying. Although many friends perceive the image on them normally)</v>
      </c>
    </row>
    <row r="5959" spans="1:9" x14ac:dyDescent="0.3">
      <c r="A5959" s="1" t="s">
        <v>105</v>
      </c>
      <c r="B5959" s="1" t="s">
        <v>106</v>
      </c>
      <c r="C5959" s="1" t="s">
        <v>1209</v>
      </c>
      <c r="D5959" s="1" t="s">
        <v>139</v>
      </c>
      <c r="E5959" s="1" t="s">
        <v>1586</v>
      </c>
      <c r="F5959" s="1" t="s">
        <v>9582</v>
      </c>
      <c r="G5959" s="1" t="s">
        <v>36</v>
      </c>
      <c r="H5959" s="1" t="s">
        <v>29</v>
      </c>
      <c r="I5959" s="1" t="str">
        <f ca="1">IFERROR(__xludf.DUMMYFUNCTION("GOOGLETRANSLATE(F5959, ""auto"", ""en"")
"),"I've been using the player for a year and a half. There are almost no complaints: everything works great, nothing slows down, nothing breaks, no sound loss, etc.  In general, I am simply delighted with the player and do not regret the money spent one bit!"&amp;"!  The only thing that is a little disappointing is the power button (aka “play, pause”). Very small, you can only switch with your fingernail.")</f>
        <v>I've been using the player for a year and a half. There are almost no complaints: everything works great, nothing slows down, nothing breaks, no sound loss, etc.  In general, I am simply delighted with the player and do not regret the money spent one bit!!  The only thing that is a little disappointing is the power button (aka “play, pause”). Very small, you can only switch with your fingernail.</v>
      </c>
    </row>
    <row r="5960" spans="1:9" x14ac:dyDescent="0.3">
      <c r="A5960" s="1" t="s">
        <v>95</v>
      </c>
      <c r="B5960" s="1" t="s">
        <v>1334</v>
      </c>
      <c r="C5960" s="1" t="s">
        <v>487</v>
      </c>
      <c r="D5960" s="1" t="s">
        <v>8626</v>
      </c>
      <c r="E5960" s="1" t="s">
        <v>559</v>
      </c>
      <c r="F5960" s="1" t="s">
        <v>9583</v>
      </c>
      <c r="G5960" s="1" t="s">
        <v>36</v>
      </c>
      <c r="H5960" s="1" t="s">
        <v>29</v>
      </c>
      <c r="I5960" s="1" t="str">
        <f ca="1">IFERROR(__xludf.DUMMYFUNCTION("GOOGLETRANSLATE(F5960, ""auto"", ""en"")
"),"The gamepad looks very cool and stylish, even if they decided to make the buttons non-colored. It will harmonize perfectly with both the slim and the old version of the box. But the price has been increased. I would rather buy a regular wireless black gam"&amp;"epad for 1990 rubles.")</f>
        <v>The gamepad looks very cool and stylish, even if they decided to make the buttons non-colored. It will harmonize perfectly with both the slim and the old version of the box. But the price has been increased. I would rather buy a regular wireless black gamepad for 1990 rubles.</v>
      </c>
    </row>
    <row r="5961" spans="1:9" x14ac:dyDescent="0.3">
      <c r="A5961" s="1" t="s">
        <v>17</v>
      </c>
      <c r="B5961" s="1" t="s">
        <v>18</v>
      </c>
      <c r="C5961" s="1" t="s">
        <v>159</v>
      </c>
      <c r="D5961" s="1" t="s">
        <v>64</v>
      </c>
      <c r="E5961" s="1" t="s">
        <v>8648</v>
      </c>
      <c r="F5961" s="1" t="s">
        <v>9584</v>
      </c>
      <c r="G5961" s="1" t="s">
        <v>28</v>
      </c>
      <c r="H5961" s="1" t="s">
        <v>29</v>
      </c>
      <c r="I5961" s="1" t="str">
        <f ca="1">IFERROR(__xludf.DUMMYFUNCTION("GOOGLETRANSLATE(F5961, ""auto"", ""en"")
"),"We have been using it for 4 months. Moderately noisy, stable, washes well. 2 minuses - there is no display with a countdown of the washing time and it is very sensitive to voltage changes in the electrical network. If the voltage is less than 220, then th"&amp;"e machine either does not turn on at all or stops. Because we have such problems every day, I wash them at night (((")</f>
        <v>We have been using it for 4 months. Moderately noisy, stable, washes well. 2 minuses - there is no display with a countdown of the washing time and it is very sensitive to voltage changes in the electrical network. If the voltage is less than 220, then the machine either does not turn on at all or stops. Because we have such problems every day, I wash them at night (((</v>
      </c>
    </row>
    <row r="5962" spans="1:9" x14ac:dyDescent="0.3">
      <c r="A5962" s="1" t="s">
        <v>211</v>
      </c>
      <c r="B5962" s="1" t="s">
        <v>265</v>
      </c>
      <c r="C5962" s="1" t="s">
        <v>122</v>
      </c>
      <c r="D5962" s="1" t="s">
        <v>682</v>
      </c>
      <c r="E5962" s="1" t="s">
        <v>750</v>
      </c>
      <c r="F5962" s="1" t="s">
        <v>9585</v>
      </c>
      <c r="G5962" s="1" t="s">
        <v>49</v>
      </c>
      <c r="H5962" s="1" t="s">
        <v>16</v>
      </c>
      <c r="I5962" s="1" t="str">
        <f ca="1">IFERROR(__xludf.DUMMYFUNCTION("GOOGLETRANSLATE(F5962, ""auto"", ""en"")
"),"The clipper cuts very poorly with the attachment, it only cuts the beard well. I don’t recommend buying it.")</f>
        <v>The clipper cuts very poorly with the attachment, it only cuts the beard well. I don’t recommend buying it.</v>
      </c>
    </row>
    <row r="5963" spans="1:9" x14ac:dyDescent="0.3">
      <c r="A5963" s="1" t="s">
        <v>30</v>
      </c>
      <c r="B5963" s="1" t="s">
        <v>50</v>
      </c>
      <c r="C5963" s="1" t="s">
        <v>1386</v>
      </c>
      <c r="D5963" s="1" t="s">
        <v>39</v>
      </c>
      <c r="E5963" s="1" t="s">
        <v>594</v>
      </c>
      <c r="F5963" s="1" t="s">
        <v>9586</v>
      </c>
      <c r="G5963" s="1" t="s">
        <v>49</v>
      </c>
      <c r="H5963" s="1" t="s">
        <v>16</v>
      </c>
      <c r="I5963" s="1" t="str">
        <f ca="1">IFERROR(__xludf.DUMMYFUNCTION("GOOGLETRANSLATE(F5963, ""auto"", ""en"")
"),"I purchased the product... A couple of weeks and problems began. Then I started changing the assignment of the keys myself, and then finally it gave me a network card error. I tore down the system, got rid of some errors, but the network still doesn’t wor"&amp;"k. Native firewood did not help get rid of this. It doesn’t define everything. In short, now without the net. We need to get rid of him.")</f>
        <v>I purchased the product... A couple of weeks and problems began. Then I started changing the assignment of the keys myself, and then finally it gave me a network card error. I tore down the system, got rid of some errors, but the network still doesn’t work. Native firewood did not help get rid of this. It doesn’t define everything. In short, now without the net. We need to get rid of him.</v>
      </c>
    </row>
    <row r="5964" spans="1:9" x14ac:dyDescent="0.3">
      <c r="A5964" s="1" t="s">
        <v>67</v>
      </c>
      <c r="B5964" s="1" t="s">
        <v>68</v>
      </c>
      <c r="C5964" s="1" t="s">
        <v>69</v>
      </c>
      <c r="D5964" s="1" t="s">
        <v>81</v>
      </c>
      <c r="E5964" s="1" t="s">
        <v>386</v>
      </c>
      <c r="F5964" s="1" t="s">
        <v>9587</v>
      </c>
      <c r="G5964" s="1" t="s">
        <v>28</v>
      </c>
      <c r="H5964" s="1" t="s">
        <v>29</v>
      </c>
      <c r="I5964" s="1" t="str">
        <f ca="1">IFERROR(__xludf.DUMMYFUNCTION("GOOGLETRANSLATE(F5964, ""auto"", ""en"")
"),"I used this for two years on business trips. A convenient thing, light, with steam. Now it's broken. The cost of repair is comparable to new. I'll buy the same one again.")</f>
        <v>I used this for two years on business trips. A convenient thing, light, with steam. Now it's broken. The cost of repair is comparable to new. I'll buy the same one again.</v>
      </c>
    </row>
    <row r="5965" spans="1:9" x14ac:dyDescent="0.3">
      <c r="A5965" s="1" t="s">
        <v>149</v>
      </c>
      <c r="B5965" s="1" t="s">
        <v>155</v>
      </c>
      <c r="C5965" s="1" t="s">
        <v>63</v>
      </c>
      <c r="D5965" s="1" t="s">
        <v>471</v>
      </c>
      <c r="E5965" s="1" t="s">
        <v>5013</v>
      </c>
      <c r="F5965" s="1" t="s">
        <v>9588</v>
      </c>
      <c r="G5965" s="1" t="s">
        <v>36</v>
      </c>
      <c r="H5965" s="1" t="s">
        <v>29</v>
      </c>
      <c r="I5965" s="1" t="str">
        <f ca="1">IFERROR(__xludf.DUMMYFUNCTION("GOOGLETRANSLATE(F5965, ""auto"", ""en"")
"),"My husband and I bought this vacuum cleaner; we didn’t know anything about canister vacuum cleaners, but we’re glad we made the right choice! A very convenient container, you don’t have to worry about running around for bags, it’s very quiet, and most imp"&amp;"ortantly the air comes back out very clean!! This was especially important to us because of the child. In general, we recommend it to everyone!")</f>
        <v>My husband and I bought this vacuum cleaner; we didn’t know anything about canister vacuum cleaners, but we’re glad we made the right choice! A very convenient container, you don’t have to worry about running around for bags, it’s very quiet, and most importantly the air comes back out very clean!! This was especially important to us because of the child. In general, we recommend it to everyone!</v>
      </c>
    </row>
    <row r="5966" spans="1:9" x14ac:dyDescent="0.3">
      <c r="A5966" s="1" t="s">
        <v>61</v>
      </c>
      <c r="B5966" s="1" t="s">
        <v>73</v>
      </c>
      <c r="C5966" s="1" t="s">
        <v>101</v>
      </c>
      <c r="D5966" s="1" t="s">
        <v>545</v>
      </c>
      <c r="E5966" s="1" t="s">
        <v>4361</v>
      </c>
      <c r="F5966" s="1" t="s">
        <v>9589</v>
      </c>
      <c r="G5966" s="1" t="s">
        <v>28</v>
      </c>
      <c r="H5966" s="1" t="s">
        <v>29</v>
      </c>
      <c r="I5966" s="1" t="str">
        <f ca="1">IFERROR(__xludf.DUMMYFUNCTION("GOOGLETRANSLATE(F5966, ""auto"", ""en"")
"),"I bought this meat grinder last year, so far no complaints, well, if it’s just a little noisy, although you can tolerate it for 5 minutes. The minced meat turns out good, not plasticine. I gave it to my sister to use, she liked it too, and even asked me t"&amp;"o give her one for her birthday. I'll give it away next week)")</f>
        <v>I bought this meat grinder last year, so far no complaints, well, if it’s just a little noisy, although you can tolerate it for 5 minutes. The minced meat turns out good, not plasticine. I gave it to my sister to use, she liked it too, and even asked me to give her one for her birthday. I'll give it away next week)</v>
      </c>
    </row>
    <row r="5967" spans="1:9" x14ac:dyDescent="0.3">
      <c r="A5967" s="1" t="s">
        <v>211</v>
      </c>
      <c r="B5967" s="1" t="s">
        <v>899</v>
      </c>
      <c r="C5967" s="1" t="s">
        <v>213</v>
      </c>
      <c r="D5967" s="1" t="s">
        <v>152</v>
      </c>
      <c r="E5967" s="1" t="s">
        <v>9510</v>
      </c>
      <c r="F5967" s="1" t="s">
        <v>9590</v>
      </c>
      <c r="G5967" s="1" t="s">
        <v>36</v>
      </c>
      <c r="H5967" s="1" t="s">
        <v>29</v>
      </c>
      <c r="I5967" s="1" t="str">
        <f ca="1">IFERROR(__xludf.DUMMYFUNCTION("GOOGLETRANSLATE(F5967, ""auto"", ""en"")
"),"ease of use. compact. multifunctional")</f>
        <v>ease of use. compact. multifunctional</v>
      </c>
    </row>
    <row r="5968" spans="1:9" x14ac:dyDescent="0.3">
      <c r="A5968" s="1" t="s">
        <v>211</v>
      </c>
      <c r="B5968" s="1" t="s">
        <v>515</v>
      </c>
      <c r="C5968" s="1" t="s">
        <v>381</v>
      </c>
      <c r="D5968" s="1" t="s">
        <v>1744</v>
      </c>
      <c r="E5968" s="1" t="s">
        <v>1982</v>
      </c>
      <c r="F5968" s="1" t="s">
        <v>9591</v>
      </c>
      <c r="G5968" s="1" t="s">
        <v>36</v>
      </c>
      <c r="H5968" s="1" t="s">
        <v>29</v>
      </c>
      <c r="I5968" s="1" t="str">
        <f ca="1">IFERROR(__xludf.DUMMYFUNCTION("GOOGLETRANSLATE(F5968, ""auto"", ""en"")
"),"I bought this model on the advice of a consultant. When choosing, an important role was played by the fact that my skin is very sensitive, and with previous epilators I experienced unpleasant sensations when epilating. This model has a special attachment "&amp;"that reduces pain during hair removal through massage; in addition, there is a built-in skin cooling system, which is very helpful during hair removal, and there is less pain. For those with sensitive skin, this epilator will be a great find for them, I’m"&amp;" sure I’ve tested it personally!")</f>
        <v>I bought this model on the advice of a consultant. When choosing, an important role was played by the fact that my skin is very sensitive, and with previous epilators I experienced unpleasant sensations when epilating. This model has a special attachment that reduces pain during hair removal through massage; in addition, there is a built-in skin cooling system, which is very helpful during hair removal, and there is less pain. For those with sensitive skin, this epilator will be a great find for them, I’m sure I’ve tested it personally!</v>
      </c>
    </row>
    <row r="5969" spans="1:9" x14ac:dyDescent="0.3">
      <c r="A5969" s="1" t="s">
        <v>61</v>
      </c>
      <c r="B5969" s="1" t="s">
        <v>318</v>
      </c>
      <c r="C5969" s="1" t="s">
        <v>85</v>
      </c>
      <c r="D5969" s="1" t="s">
        <v>247</v>
      </c>
      <c r="E5969" s="1" t="s">
        <v>8535</v>
      </c>
      <c r="F5969" s="1" t="s">
        <v>9592</v>
      </c>
      <c r="G5969" s="1" t="s">
        <v>36</v>
      </c>
      <c r="H5969" s="1" t="s">
        <v>29</v>
      </c>
      <c r="I5969" s="1" t="str">
        <f ca="1">IFERROR(__xludf.DUMMYFUNCTION("GOOGLETRANSLATE(F5969, ""auto"", ""en"")
"),"5 temperature settings allow you to easily prepare a wide variety of teas. When a difference of 5 degrees already makes a huge difference, it is very convenient to have 80, 85, 90, 95 and 100 °C on hand. Only Bork offered such a choice. Moreover, bringing"&amp;" it to 80 occurs without preliminary boiling, which is very important for delicate green teas. There is a temperature maintenance function. It works noisy, but good. I have been using it for many years. If I ever have to change it, it will be with the sam"&amp;"e one.")</f>
        <v>5 temperature settings allow you to easily prepare a wide variety of teas. When a difference of 5 degrees already makes a huge difference, it is very convenient to have 80, 85, 90, 95 and 100 °C on hand. Only Bork offered such a choice. Moreover, bringing it to 80 occurs without preliminary boiling, which is very important for delicate green teas. There is a temperature maintenance function. It works noisy, but good. I have been using it for many years. If I ever have to change it, it will be with the same one.</v>
      </c>
    </row>
    <row r="5970" spans="1:9" x14ac:dyDescent="0.3">
      <c r="A5970" s="1" t="s">
        <v>149</v>
      </c>
      <c r="B5970" s="1" t="s">
        <v>155</v>
      </c>
      <c r="C5970" s="1" t="s">
        <v>80</v>
      </c>
      <c r="D5970" s="1" t="s">
        <v>8069</v>
      </c>
      <c r="E5970" s="1" t="s">
        <v>3073</v>
      </c>
      <c r="F5970" s="1" t="s">
        <v>9593</v>
      </c>
      <c r="G5970" s="1" t="s">
        <v>36</v>
      </c>
      <c r="H5970" s="1" t="s">
        <v>29</v>
      </c>
      <c r="I5970" s="1" t="str">
        <f ca="1">IFERROR(__xludf.DUMMYFUNCTION("GOOGLETRANSLATE(F5970, ""auto"", ""en"")
"),"I smoked this flowered miracle today. I liked it in the store - firstly, of course, for the design) and secondly, I was attracted by the power and size) what I was looking for - a small, powerful vacuum cleaner with a nice body.    At home I unpacked it, "&amp;"vacuumed it... After the first use I was very pleased, let's see what happens next...) P.S. Before this vacuum cleaner, all the others have long been in the trash. My mother has a Dyson - she is very happy, but it’s all about taste and the size of her wal"&amp;"let.    Thank you for your attention")</f>
        <v>I smoked this flowered miracle today. I liked it in the store - firstly, of course, for the design) and secondly, I was attracted by the power and size) what I was looking for - a small, powerful vacuum cleaner with a nice body.    At home I unpacked it, vacuumed it... After the first use I was very pleased, let's see what happens next...) P.S. Before this vacuum cleaner, all the others have long been in the trash. My mother has a Dyson - she is very happy, but it’s all about taste and the size of her wallet.    Thank you for your attention</v>
      </c>
    </row>
    <row r="5971" spans="1:9" x14ac:dyDescent="0.3">
      <c r="A5971" s="1" t="s">
        <v>732</v>
      </c>
      <c r="B5971" s="1" t="s">
        <v>733</v>
      </c>
      <c r="C5971" s="1" t="s">
        <v>69</v>
      </c>
      <c r="D5971" s="1" t="s">
        <v>9594</v>
      </c>
      <c r="E5971" s="1" t="s">
        <v>386</v>
      </c>
      <c r="F5971" s="1" t="s">
        <v>9595</v>
      </c>
      <c r="G5971" s="1" t="s">
        <v>36</v>
      </c>
      <c r="H5971" s="1" t="s">
        <v>29</v>
      </c>
      <c r="I5971" s="1" t="str">
        <f ca="1">IFERROR(__xludf.DUMMYFUNCTION("GOOGLETRANSLATE(F5971, ""auto"", ""en"")
"),"Good monitor, super brightness, image clarity. We like it, we bought it six months ago - no complaints.")</f>
        <v>Good monitor, super brightness, image clarity. We like it, we bought it six months ago - no complaints.</v>
      </c>
    </row>
    <row r="5972" spans="1:9" x14ac:dyDescent="0.3">
      <c r="A5972" s="1" t="s">
        <v>95</v>
      </c>
      <c r="B5972" s="1" t="s">
        <v>648</v>
      </c>
      <c r="C5972" s="1" t="s">
        <v>97</v>
      </c>
      <c r="D5972" s="1" t="s">
        <v>39</v>
      </c>
      <c r="E5972" s="1" t="s">
        <v>3166</v>
      </c>
      <c r="F5972" s="1" t="s">
        <v>9596</v>
      </c>
      <c r="G5972" s="1" t="s">
        <v>36</v>
      </c>
      <c r="H5972" s="1" t="s">
        <v>29</v>
      </c>
      <c r="I5972" s="1" t="str">
        <f ca="1">IFERROR(__xludf.DUMMYFUNCTION("GOOGLETRANSLATE(F5972, ""auto"", ""en"")
"),"I believe that the new PSP go console is a new generation of technology. The new PSP has everything that a game console can contain.")</f>
        <v>I believe that the new PSP go console is a new generation of technology. The new PSP has everything that a game console can contain.</v>
      </c>
    </row>
    <row r="5973" spans="1:9" x14ac:dyDescent="0.3">
      <c r="A5973" s="1" t="s">
        <v>105</v>
      </c>
      <c r="B5973" s="1" t="s">
        <v>106</v>
      </c>
      <c r="C5973" s="1" t="s">
        <v>1921</v>
      </c>
      <c r="D5973" s="1" t="s">
        <v>9597</v>
      </c>
      <c r="E5973" s="1" t="s">
        <v>2030</v>
      </c>
      <c r="F5973" s="1" t="s">
        <v>9598</v>
      </c>
      <c r="G5973" s="1" t="s">
        <v>49</v>
      </c>
      <c r="H5973" s="1" t="s">
        <v>16</v>
      </c>
      <c r="I5973" s="1" t="str">
        <f ca="1">IFERROR(__xludf.DUMMYFUNCTION("GOOGLETRANSLATE(F5973, ""auto"", ""en"")
"),"After six months of use, it froze when turned on, since there is no reset button - a fatal failure. Even the flash drive was no longer detected, just an “hourglass” on a blue background without any progress. If you are ready to change the player every six"&amp;" months, take it, it will last for a short time. I bought it from M-Video Maryino in November.")</f>
        <v>After six months of use, it froze when turned on, since there is no reset button - a fatal failure. Even the flash drive was no longer detected, just an “hourglass” on a blue background without any progress. If you are ready to change the player every six months, take it, it will last for a short time. I bought it from M-Video Maryino in November.</v>
      </c>
    </row>
    <row r="5974" spans="1:9" x14ac:dyDescent="0.3">
      <c r="A5974" s="1" t="s">
        <v>61</v>
      </c>
      <c r="B5974" s="1" t="s">
        <v>977</v>
      </c>
      <c r="C5974" s="1" t="s">
        <v>101</v>
      </c>
      <c r="D5974" s="1" t="s">
        <v>9599</v>
      </c>
      <c r="E5974" s="1" t="s">
        <v>9600</v>
      </c>
      <c r="F5974" s="1" t="s">
        <v>9601</v>
      </c>
      <c r="G5974" s="1" t="s">
        <v>49</v>
      </c>
      <c r="H5974" s="1" t="s">
        <v>16</v>
      </c>
      <c r="I5974" s="1" t="str">
        <f ca="1">IFERROR(__xludf.DUMMYFUNCTION("GOOGLETRANSLATE(F5974, ""auto"", ""en"")
"),"10 days after purchasing the blender, the bottom of the bowl in which the blender is immersed cracked. I was refused a replacement blender. Do not buy this product - the quality of the plastic is VERY bad. Just a waste of money.")</f>
        <v>10 days after purchasing the blender, the bottom of the bowl in which the blender is immersed cracked. I was refused a replacement blender. Do not buy this product - the quality of the plastic is VERY bad. Just a waste of money.</v>
      </c>
    </row>
    <row r="5975" spans="1:9" x14ac:dyDescent="0.3">
      <c r="A5975" s="1" t="s">
        <v>111</v>
      </c>
      <c r="B5975" s="1" t="s">
        <v>636</v>
      </c>
      <c r="C5975" s="1" t="s">
        <v>637</v>
      </c>
      <c r="D5975" s="1" t="s">
        <v>127</v>
      </c>
      <c r="E5975" s="1" t="s">
        <v>2669</v>
      </c>
      <c r="F5975" s="1" t="s">
        <v>9602</v>
      </c>
      <c r="G5975" s="1" t="s">
        <v>36</v>
      </c>
      <c r="H5975" s="1" t="s">
        <v>29</v>
      </c>
      <c r="I5975" s="1" t="str">
        <f ca="1">IFERROR(__xludf.DUMMYFUNCTION("GOOGLETRANSLATE(F5975, ""auto"", ""en"")
"),"I bought this device instead of buying a second external sensor for the BAR206: the price was only slightly more than buying a separate sensor. But now I have two devices (one in the living room, the other in the hallway), each of which is connected to tw"&amp;"o external sensors (one hangs outside, and the second in the nursery). Very convenient.")</f>
        <v>I bought this device instead of buying a second external sensor for the BAR206: the price was only slightly more than buying a separate sensor. But now I have two devices (one in the living room, the other in the hallway), each of which is connected to two external sensors (one hangs outside, and the second in the nursery). Very convenient.</v>
      </c>
    </row>
    <row r="5976" spans="1:9" x14ac:dyDescent="0.3">
      <c r="A5976" s="1" t="s">
        <v>61</v>
      </c>
      <c r="B5976" s="1" t="s">
        <v>224</v>
      </c>
      <c r="C5976" s="1" t="s">
        <v>85</v>
      </c>
      <c r="D5976" s="1" t="s">
        <v>232</v>
      </c>
      <c r="E5976" s="1" t="s">
        <v>1362</v>
      </c>
      <c r="F5976" s="1" t="s">
        <v>9603</v>
      </c>
      <c r="G5976" s="1" t="s">
        <v>28</v>
      </c>
      <c r="H5976" s="1" t="s">
        <v>29</v>
      </c>
      <c r="I5976" s="1" t="str">
        <f ca="1">IFERROR(__xludf.DUMMYFUNCTION("GOOGLETRANSLATE(F5976, ""auto"", ""en"")
"),"Overall, I liked the juicer. In addition to the description, I would like to add that it has 5 basic speeds (and it seems there are intermediate ones) for different types of vegetables and fruits. The juice presses quickly and cleanly. It's not very noisy"&amp;", in my opinion. And in general it gives the impression of reliability (I won’t say more details, I just bought it recently and didn’t have time to test it properly). Its only drawback is, of course, the high price.")</f>
        <v>Overall, I liked the juicer. In addition to the description, I would like to add that it has 5 basic speeds (and it seems there are intermediate ones) for different types of vegetables and fruits. The juice presses quickly and cleanly. It's not very noisy, in my opinion. And in general it gives the impression of reliability (I won’t say more details, I just bought it recently and didn’t have time to test it properly). Its only drawback is, of course, the high price.</v>
      </c>
    </row>
    <row r="5977" spans="1:9" x14ac:dyDescent="0.3">
      <c r="A5977" s="1" t="s">
        <v>149</v>
      </c>
      <c r="B5977" s="1" t="s">
        <v>576</v>
      </c>
      <c r="C5977" s="1" t="s">
        <v>69</v>
      </c>
      <c r="D5977" s="1" t="s">
        <v>565</v>
      </c>
      <c r="E5977" s="1" t="s">
        <v>2739</v>
      </c>
      <c r="F5977" s="1" t="s">
        <v>9604</v>
      </c>
      <c r="G5977" s="1" t="s">
        <v>36</v>
      </c>
      <c r="H5977" s="1" t="s">
        <v>29</v>
      </c>
      <c r="I5977" s="1" t="str">
        <f ca="1">IFERROR(__xludf.DUMMYFUNCTION("GOOGLETRANSLATE(F5977, ""auto"", ""en"")
"),"Yesterday my husband and I bought this vacuum cleaner and for the second day we have been impressed! Considering that in the morning we were cleaning (with an old vacuum cleaner), in the evening we tried the new one and were stunned by how clean the carpe"&amp;"t was! With its super power, the vacuum cleaner is silent. In general, we are delighted!")</f>
        <v>Yesterday my husband and I bought this vacuum cleaner and for the second day we have been impressed! Considering that in the morning we were cleaning (with an old vacuum cleaner), in the evening we tried the new one and were stunned by how clean the carpet was! With its super power, the vacuum cleaner is silent. In general, we are delighted!</v>
      </c>
    </row>
    <row r="5978" spans="1:9" x14ac:dyDescent="0.3">
      <c r="A5978" s="1" t="s">
        <v>369</v>
      </c>
      <c r="B5978" s="1" t="s">
        <v>587</v>
      </c>
      <c r="C5978" s="1" t="s">
        <v>588</v>
      </c>
      <c r="D5978" s="1" t="s">
        <v>152</v>
      </c>
      <c r="E5978" s="1" t="s">
        <v>563</v>
      </c>
      <c r="F5978" s="1" t="s">
        <v>9605</v>
      </c>
      <c r="G5978" s="1" t="s">
        <v>36</v>
      </c>
      <c r="H5978" s="1" t="s">
        <v>29</v>
      </c>
      <c r="I5978" s="1" t="str">
        <f ca="1">IFERROR(__xludf.DUMMYFUNCTION("GOOGLETRANSLATE(F5978, ""auto"", ""en"")
"),"An excellent stove, only when we chose a stove in the store, the same stove had iron grates, but was delivered to the apartment with cast iron grates, we were surprised and even more delighted.")</f>
        <v>An excellent stove, only when we chose a stove in the store, the same stove had iron grates, but was delivered to the apartment with cast iron grates, we were surprised and even more delighted.</v>
      </c>
    </row>
    <row r="5979" spans="1:9" x14ac:dyDescent="0.3">
      <c r="A5979" s="1" t="s">
        <v>30</v>
      </c>
      <c r="B5979" s="1" t="s">
        <v>50</v>
      </c>
      <c r="C5979" s="1" t="s">
        <v>32</v>
      </c>
      <c r="D5979" s="1" t="s">
        <v>9606</v>
      </c>
      <c r="E5979" s="1" t="s">
        <v>1172</v>
      </c>
      <c r="F5979" s="1" t="s">
        <v>9607</v>
      </c>
      <c r="G5979" s="1" t="s">
        <v>49</v>
      </c>
      <c r="H5979" s="1" t="s">
        <v>16</v>
      </c>
      <c r="I5979" s="1" t="str">
        <f ca="1">IFERROR(__xludf.DUMMYFUNCTION("GOOGLETRANSLATE(F5979, ""auto"", ""en"")
"),"I’ll share my impressions of ACER, whatever you say to China, it gets hot, the display is weak and one fan is missing, definitely be prepared to take a cooling stand with at least two fans. Otherwise, the video card will burn out. And advice, don’t try to"&amp;" kill your own firewood and Windows, this is a problem. You won’t find the firewood even on the official website or they are installed incorrectly. My own experience, In general, I’d say it’s better to take a Laptop Packard Bell is the same ACER but works"&amp;" much better")</f>
        <v>I’ll share my impressions of ACER, whatever you say to China, it gets hot, the display is weak and one fan is missing, definitely be prepared to take a cooling stand with at least two fans. Otherwise, the video card will burn out. And advice, don’t try to kill your own firewood and Windows, this is a problem. You won’t find the firewood even on the official website or they are installed incorrectly. My own experience, In general, I’d say it’s better to take a Laptop Packard Bell is the same ACER but works much better</v>
      </c>
    </row>
    <row r="5980" spans="1:9" x14ac:dyDescent="0.3">
      <c r="A5980" s="1" t="s">
        <v>17</v>
      </c>
      <c r="B5980" s="1" t="s">
        <v>18</v>
      </c>
      <c r="C5980" s="1" t="s">
        <v>80</v>
      </c>
      <c r="D5980" s="1" t="s">
        <v>280</v>
      </c>
      <c r="E5980" s="1" t="s">
        <v>1527</v>
      </c>
      <c r="F5980" s="1" t="s">
        <v>9608</v>
      </c>
      <c r="G5980" s="1" t="s">
        <v>36</v>
      </c>
      <c r="H5980" s="1" t="s">
        <v>29</v>
      </c>
      <c r="I5980" s="1" t="str">
        <f ca="1">IFERROR(__xludf.DUMMYFUNCTION("GOOGLETRANSLATE(F5980, ""auto"", ""en"")
"),"Very good washing machine!!! Very quiet, at maximum spin the laundry does not wrinkle at all, and the laundry is spun very well! It calculates the weight of the laundry and, based on this, draws the required amount of water.")</f>
        <v>Very good washing machine!!! Very quiet, at maximum spin the laundry does not wrinkle at all, and the laundry is spun very well! It calculates the weight of the laundry and, based on this, draws the required amount of water.</v>
      </c>
    </row>
    <row r="5981" spans="1:9" x14ac:dyDescent="0.3">
      <c r="A5981" s="1" t="s">
        <v>67</v>
      </c>
      <c r="B5981" s="1" t="s">
        <v>68</v>
      </c>
      <c r="C5981" s="1" t="s">
        <v>69</v>
      </c>
      <c r="D5981" s="1" t="s">
        <v>4018</v>
      </c>
      <c r="E5981" s="1" t="s">
        <v>626</v>
      </c>
      <c r="F5981" s="1" t="s">
        <v>9609</v>
      </c>
      <c r="G5981" s="1" t="s">
        <v>36</v>
      </c>
      <c r="H5981" s="1" t="s">
        <v>29</v>
      </c>
      <c r="I5981" s="1" t="str">
        <f ca="1">IFERROR(__xludf.DUMMYFUNCTION("GOOGLETRANSLATE(F5981, ""auto"", ""en"")
"),"This iron is a great item. Previously, I had a hard time forcing myself to start ironing, but now ironing is a pleasure, my head doesn’t hurt, how to smooth out all the wrinkles. I'm very pleased.")</f>
        <v>This iron is a great item. Previously, I had a hard time forcing myself to start ironing, but now ironing is a pleasure, my head doesn’t hurt, how to smooth out all the wrinkles. I'm very pleased.</v>
      </c>
    </row>
    <row r="5982" spans="1:9" x14ac:dyDescent="0.3">
      <c r="A5982" s="1" t="s">
        <v>61</v>
      </c>
      <c r="B5982" s="1" t="s">
        <v>318</v>
      </c>
      <c r="C5982" s="1" t="s">
        <v>101</v>
      </c>
      <c r="D5982" s="1" t="s">
        <v>12</v>
      </c>
      <c r="E5982" s="1" t="s">
        <v>4084</v>
      </c>
      <c r="F5982" s="1" t="s">
        <v>9610</v>
      </c>
      <c r="G5982" s="1" t="s">
        <v>36</v>
      </c>
      <c r="H5982" s="1" t="s">
        <v>29</v>
      </c>
      <c r="I5982" s="1" t="str">
        <f ca="1">IFERROR(__xludf.DUMMYFUNCTION("GOOGLETRANSLATE(F5982, ""auto"", ""en"")
"),"The kettle seems to be nothing special, but in practice it performed well. This is a kettle for a large family or for those who often receive guests. Thanks to the large volume, there is no need to constantly reheat the water. Despite this, it generally d"&amp;"oesn’t take too long to heat up. Large, strong, well-made teapot")</f>
        <v>The kettle seems to be nothing special, but in practice it performed well. This is a kettle for a large family or for those who often receive guests. Thanks to the large volume, there is no need to constantly reheat the water. Despite this, it generally doesn’t take too long to heat up. Large, strong, well-made teapot</v>
      </c>
    </row>
    <row r="5983" spans="1:9" x14ac:dyDescent="0.3">
      <c r="A5983" s="1" t="s">
        <v>55</v>
      </c>
      <c r="B5983" s="1" t="s">
        <v>56</v>
      </c>
      <c r="C5983" s="1" t="s">
        <v>1373</v>
      </c>
      <c r="D5983" s="1" t="s">
        <v>471</v>
      </c>
      <c r="E5983" s="1" t="s">
        <v>9611</v>
      </c>
      <c r="F5983" s="1" t="s">
        <v>9612</v>
      </c>
      <c r="G5983" s="1" t="s">
        <v>36</v>
      </c>
      <c r="H5983" s="1" t="s">
        <v>29</v>
      </c>
      <c r="I5983" s="1" t="str">
        <f ca="1">IFERROR(__xludf.DUMMYFUNCTION("GOOGLETRANSLATE(F5983, ""auto"", ""en"")
"),"A couple of months ago we purchased a Boneco7135 humidifier. Vve performs its functions perfectly. It is not loud, you get used to a little noise at night.  There are no complaints about the work.")</f>
        <v>A couple of months ago we purchased a Boneco7135 humidifier. Vve performs its functions perfectly. It is not loud, you get used to a little noise at night.  There are no complaints about the work.</v>
      </c>
    </row>
    <row r="5984" spans="1:9" x14ac:dyDescent="0.3">
      <c r="A5984" s="1" t="s">
        <v>111</v>
      </c>
      <c r="B5984" s="1" t="s">
        <v>112</v>
      </c>
      <c r="C5984" s="1" t="s">
        <v>113</v>
      </c>
      <c r="D5984" s="1" t="s">
        <v>232</v>
      </c>
      <c r="E5984" s="1" t="s">
        <v>1971</v>
      </c>
      <c r="F5984" s="1" t="s">
        <v>9613</v>
      </c>
      <c r="G5984" s="1" t="s">
        <v>36</v>
      </c>
      <c r="H5984" s="1" t="s">
        <v>29</v>
      </c>
      <c r="I5984" s="1" t="str">
        <f ca="1">IFERROR(__xludf.DUMMYFUNCTION("GOOGLETRANSLATE(F5984, ""auto"", ""en"")
"),"This is serious protection against all the troubles that may arise with electricity; in fact, this is a top model from a reliable manufacturer. It also has protection against impulse noise, lightning, overload and short circuit. There is also a very usefu"&amp;"l ground indicator. I was also pleasantly surprised by the low price - but I’m already used to it with M.Video. I definitely recommend it.")</f>
        <v>This is serious protection against all the troubles that may arise with electricity; in fact, this is a top model from a reliable manufacturer. It also has protection against impulse noise, lightning, overload and short circuit. There is also a very useful ground indicator. I was also pleasantly surprised by the low price - but I’m already used to it with M.Video. I definitely recommend it.</v>
      </c>
    </row>
    <row r="5985" spans="1:9" x14ac:dyDescent="0.3">
      <c r="A5985" s="1" t="s">
        <v>211</v>
      </c>
      <c r="B5985" s="1" t="s">
        <v>384</v>
      </c>
      <c r="C5985" s="1" t="s">
        <v>57</v>
      </c>
      <c r="D5985" s="1" t="s">
        <v>295</v>
      </c>
      <c r="E5985" s="1" t="s">
        <v>386</v>
      </c>
      <c r="F5985" s="1" t="s">
        <v>9614</v>
      </c>
      <c r="G5985" s="1" t="s">
        <v>36</v>
      </c>
      <c r="H5985" s="1" t="s">
        <v>29</v>
      </c>
      <c r="I5985" s="1" t="str">
        <f ca="1">IFERROR(__xludf.DUMMYFUNCTION("GOOGLETRANSLATE(F5985, ""auto"", ""en"")
"),"Great model, I've been using it for over a year now. The weight shows without errors. the price matches.")</f>
        <v>Great model, I've been using it for over a year now. The weight shows without errors. the price matches.</v>
      </c>
    </row>
    <row r="5986" spans="1:9" x14ac:dyDescent="0.3">
      <c r="A5986" s="1" t="s">
        <v>61</v>
      </c>
      <c r="B5986" s="1" t="s">
        <v>977</v>
      </c>
      <c r="C5986" s="1" t="s">
        <v>69</v>
      </c>
      <c r="D5986" s="1" t="s">
        <v>8257</v>
      </c>
      <c r="E5986" s="1" t="s">
        <v>395</v>
      </c>
      <c r="F5986" s="1" t="s">
        <v>9615</v>
      </c>
      <c r="G5986" s="1" t="s">
        <v>15</v>
      </c>
      <c r="H5986" s="1" t="s">
        <v>16</v>
      </c>
      <c r="I5986" s="1" t="str">
        <f ca="1">IFERROR(__xludf.DUMMYFUNCTION("GOOGLETRANSLATE(F5986, ""auto"", ""en"")
"),"After six months of use, when whipping egg whites, it melted where it connected to the whisk, and as a result, the part broke off and remained inside.")</f>
        <v>After six months of use, when whipping egg whites, it melted where it connected to the whisk, and as a result, the part broke off and remained inside.</v>
      </c>
    </row>
    <row r="5987" spans="1:9" x14ac:dyDescent="0.3">
      <c r="A5987" s="1" t="s">
        <v>37</v>
      </c>
      <c r="B5987" s="1" t="s">
        <v>1829</v>
      </c>
      <c r="C5987" s="1" t="s">
        <v>151</v>
      </c>
      <c r="D5987" s="1" t="s">
        <v>280</v>
      </c>
      <c r="E5987" s="1" t="s">
        <v>3151</v>
      </c>
      <c r="F5987" s="1" t="s">
        <v>9616</v>
      </c>
      <c r="G5987" s="1" t="s">
        <v>36</v>
      </c>
      <c r="H5987" s="1" t="s">
        <v>29</v>
      </c>
      <c r="I5987" s="1" t="str">
        <f ca="1">IFERROR(__xludf.DUMMYFUNCTION("GOOGLETRANSLATE(F5987, ""auto"", ""en"")
"),"Super smartphone, good display, good processor, but needs optimization. Lots of unnecessary bells and whistles.")</f>
        <v>Super smartphone, good display, good processor, but needs optimization. Lots of unnecessary bells and whistles.</v>
      </c>
    </row>
    <row r="5988" spans="1:9" x14ac:dyDescent="0.3">
      <c r="A5988" s="1" t="s">
        <v>169</v>
      </c>
      <c r="B5988" s="1" t="s">
        <v>170</v>
      </c>
      <c r="C5988" s="1" t="s">
        <v>69</v>
      </c>
      <c r="D5988" s="1" t="s">
        <v>117</v>
      </c>
      <c r="E5988" s="1" t="s">
        <v>391</v>
      </c>
      <c r="F5988" s="1" t="s">
        <v>9617</v>
      </c>
      <c r="G5988" s="1" t="s">
        <v>28</v>
      </c>
      <c r="H5988" s="1" t="s">
        <v>29</v>
      </c>
      <c r="I5988" s="1" t="str">
        <f ca="1">IFERROR(__xludf.DUMMYFUNCTION("GOOGLETRANSLATE(F5988, ""auto"", ""en"")
"),"The headphones sound great! But after 5 months of use, the left earphone stopped working... also a minus - the headphones get clogged easily")</f>
        <v>The headphones sound great! But after 5 months of use, the left earphone stopped working... also a minus - the headphones get clogged easily</v>
      </c>
    </row>
    <row r="5989" spans="1:9" x14ac:dyDescent="0.3">
      <c r="A5989" s="1" t="s">
        <v>624</v>
      </c>
      <c r="B5989" s="1" t="s">
        <v>625</v>
      </c>
      <c r="C5989" s="1" t="s">
        <v>479</v>
      </c>
      <c r="D5989" s="1" t="s">
        <v>20</v>
      </c>
      <c r="E5989" s="1" t="s">
        <v>886</v>
      </c>
      <c r="F5989" s="1" t="s">
        <v>9618</v>
      </c>
      <c r="G5989" s="1" t="s">
        <v>36</v>
      </c>
      <c r="H5989" s="1" t="s">
        <v>29</v>
      </c>
      <c r="I5989" s="1" t="str">
        <f ca="1">IFERROR(__xludf.DUMMYFUNCTION("GOOGLETRANSLATE(F5989, ""auto"", ""en"")
"),"Good game. The plot is short: Only 9 sequences.   There are a couple of interesting side quests.  Multiplayer is top notch.   The graphics were a little disappointing.    Overall 5 points.")</f>
        <v>Good game. The plot is short: Only 9 sequences.   There are a couple of interesting side quests.  Multiplayer is top notch.   The graphics were a little disappointing.    Overall 5 points.</v>
      </c>
    </row>
    <row r="5990" spans="1:9" x14ac:dyDescent="0.3">
      <c r="A5990" s="1" t="s">
        <v>9</v>
      </c>
      <c r="B5990" s="1" t="s">
        <v>137</v>
      </c>
      <c r="C5990" s="1" t="s">
        <v>151</v>
      </c>
      <c r="D5990" s="1" t="s">
        <v>3253</v>
      </c>
      <c r="E5990" s="1" t="s">
        <v>1452</v>
      </c>
      <c r="F5990" s="1" t="s">
        <v>9619</v>
      </c>
      <c r="G5990" s="1" t="s">
        <v>36</v>
      </c>
      <c r="H5990" s="1" t="s">
        <v>29</v>
      </c>
      <c r="I5990" s="1" t="str">
        <f ca="1">IFERROR(__xludf.DUMMYFUNCTION("GOOGLETRANSLATE(F5990, ""auto"", ""en"")
"),"We spent a long time choosing a panel based on price-quality ratio and settled on Samsung. When we ordered, we didn’t even notice that the burners were not exactly next to each other - for me, of course, it’s a minus, since you can’t put 2 large saucepans"&amp;" next to each other ((well, that’s okay, we’re used to it) Pros: electric ignition, gas control, triple flame burner (water boils instantly), stand for the burner (included)... as for the glass surface - very easy to clean (I have the tophouse product)..."&amp;" the panels are already 3 months old - like brand new)))) We are very happy with this purchase.. p.s. We also bought a Samsung oven with the panel - also gorgeous))")</f>
        <v>We spent a long time choosing a panel based on price-quality ratio and settled on Samsung. When we ordered, we didn’t even notice that the burners were not exactly next to each other - for me, of course, it’s a minus, since you can’t put 2 large saucepans next to each other ((well, that’s okay, we’re used to it) Pros: electric ignition, gas control, triple flame burner (water boils instantly), stand for the burner (included)... as for the glass surface - very easy to clean (I have the tophouse product)... the panels are already 3 months old - like brand new)))) We are very happy with this purchase.. p.s. We also bought a Samsung oven with the panel - also gorgeous))</v>
      </c>
    </row>
    <row r="5991" spans="1:9" x14ac:dyDescent="0.3">
      <c r="A5991" s="1" t="s">
        <v>67</v>
      </c>
      <c r="B5991" s="1" t="s">
        <v>68</v>
      </c>
      <c r="C5991" s="1" t="s">
        <v>185</v>
      </c>
      <c r="D5991" s="1" t="s">
        <v>335</v>
      </c>
      <c r="E5991" s="1" t="s">
        <v>5558</v>
      </c>
      <c r="F5991" s="1" t="s">
        <v>9620</v>
      </c>
      <c r="G5991" s="1" t="s">
        <v>36</v>
      </c>
      <c r="H5991" s="1" t="s">
        <v>29</v>
      </c>
      <c r="I5991" s="1" t="str">
        <f ca="1">IFERROR(__xludf.DUMMYFUNCTION("GOOGLETRANSLATE(F5991, ""auto"", ""en"")
"),"I decided to treat myself to my beloved with a new iron, and specifically with a steam generator, because... Ironing has recently begun to take up an incredible amount of time (I have a small child). I wasn’t expecting a very large amount, but I wasn’t go"&amp;"ing to take it for pennies either. Of the entire assortment, I liked this particular model, and the consultant really praised this iron. I bought it, and I don’t regret it one bit! If earlier the ironing process took me at least 1.5 hours, now I can do it"&amp;" in literally 20 minutes! More than justifies its cost! Great stuff!")</f>
        <v>I decided to treat myself to my beloved with a new iron, and specifically with a steam generator, because... Ironing has recently begun to take up an incredible amount of time (I have a small child). I wasn’t expecting a very large amount, but I wasn’t going to take it for pennies either. Of the entire assortment, I liked this particular model, and the consultant really praised this iron. I bought it, and I don’t regret it one bit! If earlier the ironing process took me at least 1.5 hours, now I can do it in literally 20 minutes! More than justifies its cost! Great stuff!</v>
      </c>
    </row>
    <row r="5992" spans="1:9" x14ac:dyDescent="0.3">
      <c r="A5992" s="1" t="s">
        <v>211</v>
      </c>
      <c r="B5992" s="1" t="s">
        <v>2818</v>
      </c>
      <c r="C5992" s="1" t="s">
        <v>213</v>
      </c>
      <c r="D5992" s="1" t="s">
        <v>171</v>
      </c>
      <c r="E5992" s="1" t="s">
        <v>8896</v>
      </c>
      <c r="F5992" s="1" t="s">
        <v>9621</v>
      </c>
      <c r="G5992" s="1" t="s">
        <v>15</v>
      </c>
      <c r="H5992" s="1" t="s">
        <v>16</v>
      </c>
      <c r="I5992" s="1" t="str">
        <f ca="1">IFERROR(__xludf.DUMMYFUNCTION("GOOGLETRANSLATE(F5992, ""auto"", ""en"")
"),"And the razor is not a fountain. It doesn't shave badly, but for the price it could be better. Before this one, Panasonic was 3 times cheaper and was in no way inferior. I was seduced by Germany and within a year I had already changed my mind.")</f>
        <v>And the razor is not a fountain. It doesn't shave badly, but for the price it could be better. Before this one, Panasonic was 3 times cheaper and was in no way inferior. I was seduced by Germany and within a year I had already changed my mind.</v>
      </c>
    </row>
    <row r="5993" spans="1:9" x14ac:dyDescent="0.3">
      <c r="A5993" s="1" t="s">
        <v>105</v>
      </c>
      <c r="B5993" s="1" t="s">
        <v>106</v>
      </c>
      <c r="C5993" s="1" t="s">
        <v>151</v>
      </c>
      <c r="D5993" s="1" t="s">
        <v>152</v>
      </c>
      <c r="E5993" s="1" t="s">
        <v>1012</v>
      </c>
      <c r="F5993" s="1" t="s">
        <v>9622</v>
      </c>
      <c r="G5993" s="1" t="s">
        <v>36</v>
      </c>
      <c r="H5993" s="1" t="s">
        <v>29</v>
      </c>
      <c r="I5993" s="1" t="str">
        <f ca="1">IFERROR(__xludf.DUMMYFUNCTION("GOOGLETRANSLATE(F5993, ""auto"", ""en"")
"),"Cool player, easy to use, the only negative is that I can’t upload video to it, it says that the file is not supported (((tell me what to do, please!! Natalya (Mytishchi) Yes, the player is just rubbish. But the video needs to be converted to MPEG4 or WMV"&amp;" format file, find any converter on the Internet that can convert to these files")</f>
        <v>Cool player, easy to use, the only negative is that I can’t upload video to it, it says that the file is not supported (((tell me what to do, please!! Natalya (Mytishchi) Yes, the player is just rubbish. But the video needs to be converted to MPEG4 or WMV format file, find any converter on the Internet that can convert to these files</v>
      </c>
    </row>
    <row r="5994" spans="1:9" x14ac:dyDescent="0.3">
      <c r="A5994" s="1" t="s">
        <v>43</v>
      </c>
      <c r="B5994" s="1" t="s">
        <v>303</v>
      </c>
      <c r="C5994" s="1" t="s">
        <v>1721</v>
      </c>
      <c r="D5994" s="1" t="s">
        <v>232</v>
      </c>
      <c r="E5994" s="1" t="s">
        <v>9623</v>
      </c>
      <c r="F5994" s="1" t="s">
        <v>9624</v>
      </c>
      <c r="G5994" s="1" t="s">
        <v>36</v>
      </c>
      <c r="H5994" s="1" t="s">
        <v>29</v>
      </c>
      <c r="I5994" s="1" t="str">
        <f ca="1">IFERROR(__xludf.DUMMYFUNCTION("GOOGLETRANSLATE(F5994, ""auto"", ""en"")
"),"I chose him for a reason. It was recommended by friends who have had it for several years now. The service also spoke positively about it. We noticed only weak shadows that fail after a year, and even then not always. I worked all summer because the hot w"&amp;"ater was constantly turned off. Works at 5 plus.")</f>
        <v>I chose him for a reason. It was recommended by friends who have had it for several years now. The service also spoke positively about it. We noticed only weak shadows that fail after a year, and even then not always. I worked all summer because the hot water was constantly turned off. Works at 5 plus.</v>
      </c>
    </row>
    <row r="5995" spans="1:9" x14ac:dyDescent="0.3">
      <c r="A5995" s="1" t="s">
        <v>89</v>
      </c>
      <c r="B5995" s="1" t="s">
        <v>231</v>
      </c>
      <c r="C5995" s="1" t="s">
        <v>1072</v>
      </c>
      <c r="D5995" s="1" t="s">
        <v>9625</v>
      </c>
      <c r="E5995" s="1" t="s">
        <v>4345</v>
      </c>
      <c r="F5995" s="1" t="s">
        <v>9626</v>
      </c>
      <c r="G5995" s="1" t="s">
        <v>36</v>
      </c>
      <c r="H5995" s="1" t="s">
        <v>29</v>
      </c>
      <c r="I5995" s="1" t="str">
        <f ca="1">IFERROR(__xludf.DUMMYFUNCTION("GOOGLETRANSLATE(F5995, ""auto"", ""en"")
"),"Used very often throughout the year in the office!  Everyone is happy!")</f>
        <v>Used very often throughout the year in the office!  Everyone is happy!</v>
      </c>
    </row>
    <row r="5996" spans="1:9" x14ac:dyDescent="0.3">
      <c r="A5996" s="1" t="s">
        <v>61</v>
      </c>
      <c r="B5996" s="1" t="s">
        <v>318</v>
      </c>
      <c r="C5996" s="1" t="s">
        <v>57</v>
      </c>
      <c r="D5996" s="1" t="s">
        <v>308</v>
      </c>
      <c r="E5996" s="1" t="s">
        <v>722</v>
      </c>
      <c r="F5996" s="1" t="s">
        <v>9627</v>
      </c>
      <c r="G5996" s="1" t="s">
        <v>15</v>
      </c>
      <c r="H5996" s="1" t="s">
        <v>16</v>
      </c>
      <c r="I5996" s="1" t="str">
        <f ca="1">IFERROR(__xludf.DUMMYFUNCTION("GOOGLETRANSLATE(F5996, ""auto"", ""en"")
"),"The kettle worked properly for 8 months. At 9 months the power button stopped working. You can boil water by standing and pressing the button.")</f>
        <v>The kettle worked properly for 8 months. At 9 months the power button stopped working. You can boil water by standing and pressing the button.</v>
      </c>
    </row>
    <row r="5997" spans="1:9" x14ac:dyDescent="0.3">
      <c r="A5997" s="1" t="s">
        <v>30</v>
      </c>
      <c r="B5997" s="1" t="s">
        <v>50</v>
      </c>
      <c r="C5997" s="1" t="s">
        <v>1003</v>
      </c>
      <c r="D5997" s="1" t="s">
        <v>9628</v>
      </c>
      <c r="E5997" s="1" t="s">
        <v>1756</v>
      </c>
      <c r="F5997" s="1" t="s">
        <v>9629</v>
      </c>
      <c r="G5997" s="1" t="s">
        <v>36</v>
      </c>
      <c r="H5997" s="1" t="s">
        <v>29</v>
      </c>
      <c r="I5997" s="1" t="str">
        <f ca="1">IFERROR(__xludf.DUMMYFUNCTION("GOOGLETRANSLATE(F5997, ""auto"", ""en"")
"),"It’s a good laptop. I just don’t know how to make sure that the battery rests and the computer runs on the charger. Help!!!")</f>
        <v>It’s a good laptop. I just don’t know how to make sure that the battery rests and the computer runs on the charger. Help!!!</v>
      </c>
    </row>
    <row r="5998" spans="1:9" x14ac:dyDescent="0.3">
      <c r="A5998" s="1" t="s">
        <v>120</v>
      </c>
      <c r="B5998" s="1" t="s">
        <v>121</v>
      </c>
      <c r="C5998" s="1" t="s">
        <v>97</v>
      </c>
      <c r="D5998" s="1" t="s">
        <v>9630</v>
      </c>
      <c r="E5998" s="1" t="s">
        <v>864</v>
      </c>
      <c r="F5998" s="1" t="s">
        <v>9631</v>
      </c>
      <c r="G5998" s="1" t="s">
        <v>36</v>
      </c>
      <c r="H5998" s="1" t="s">
        <v>29</v>
      </c>
      <c r="I5998" s="1" t="str">
        <f ca="1">IFERROR(__xludf.DUMMYFUNCTION("GOOGLETRANSLATE(F5998, ""auto"", ""en"")
"),"Don’t even say that the TV is bad, the TV is excellent. The colors are bright, vibrant and the clarity is good. You just need to set it up correctly and preferably connect it to cable TV. I’m happy and give it 5")</f>
        <v>Don’t even say that the TV is bad, the TV is excellent. The colors are bright, vibrant and the clarity is good. You just need to set it up correctly and preferably connect it to cable TV. I’m happy and give it 5</v>
      </c>
    </row>
    <row r="5999" spans="1:9" x14ac:dyDescent="0.3">
      <c r="A5999" s="1" t="s">
        <v>211</v>
      </c>
      <c r="B5999" s="1" t="s">
        <v>789</v>
      </c>
      <c r="C5999" s="1" t="s">
        <v>246</v>
      </c>
      <c r="D5999" s="1" t="s">
        <v>390</v>
      </c>
      <c r="E5999" s="1" t="s">
        <v>854</v>
      </c>
      <c r="F5999" s="1" t="s">
        <v>9632</v>
      </c>
      <c r="G5999" s="1" t="s">
        <v>15</v>
      </c>
      <c r="H5999" s="1" t="s">
        <v>16</v>
      </c>
      <c r="I5999" s="1" t="str">
        <f ca="1">IFERROR(__xludf.DUMMYFUNCTION("GOOGLETRANSLATE(F5999, ""auto"", ""en"")
"),"I didn't like it at all.   With the stated price tag +: There is a screen that shows the battery charge level. ALL.  -: 1. The sensitivity of the microphone is not adjustable; the baby monitor starts broadcasting not when the child begins to move slightly"&amp;" in his sleep, but when he specifically screams. And not quietly. There is an opportunity to compare with other brands - it’s really very poorly made.  2. Declared Musical function 4 min NO. Read the instructions.  3. Communication is one-way; there are b"&amp;"aby monitors with two-way communication.  4. Price. For a beautiful display, which does not reflect any practical information, the price is 2-4 times higher in comparison with analogues...")</f>
        <v>I didn't like it at all.   With the stated price tag +: There is a screen that shows the battery charge level. ALL.  -: 1. The sensitivity of the microphone is not adjustable; the baby monitor starts broadcasting not when the child begins to move slightly in his sleep, but when he specifically screams. And not quietly. There is an opportunity to compare with other brands - it’s really very poorly made.  2. Declared Musical function 4 min NO. Read the instructions.  3. Communication is one-way; there are baby monitors with two-way communication.  4. Price. For a beautiful display, which does not reflect any practical information, the price is 2-4 times higher in comparison with analogues...</v>
      </c>
    </row>
    <row r="6000" spans="1:9" x14ac:dyDescent="0.3">
      <c r="A6000" s="1" t="s">
        <v>61</v>
      </c>
      <c r="B6000" s="1" t="s">
        <v>318</v>
      </c>
      <c r="C6000" s="1" t="s">
        <v>122</v>
      </c>
      <c r="D6000" s="1" t="s">
        <v>4322</v>
      </c>
      <c r="E6000" s="1" t="s">
        <v>9633</v>
      </c>
      <c r="F6000" s="1" t="s">
        <v>9634</v>
      </c>
      <c r="G6000" s="1" t="s">
        <v>36</v>
      </c>
      <c r="H6000" s="1" t="s">
        <v>29</v>
      </c>
      <c r="I6000" s="1" t="str">
        <f ca="1">IFERROR(__xludf.DUMMYFUNCTION("GOOGLETRANSLATE(F6000, ""auto"", ""en"")
"),"Thermopot is excellent! One of the advantages for me is saving time in the morning: you get up and the water is already hot! If I’m leaving, I turn on a 6-hour delay - again, saving money! Buy it, you won't regret it!")</f>
        <v>Thermopot is excellent! One of the advantages for me is saving time in the morning: you get up and the water is already hot! If I’m leaving, I turn on a 6-hour delay - again, saving money! Buy it, you won't regret it!</v>
      </c>
    </row>
    <row r="6001" spans="1:9" x14ac:dyDescent="0.3">
      <c r="A6001" s="1" t="s">
        <v>120</v>
      </c>
      <c r="B6001" s="1" t="s">
        <v>196</v>
      </c>
      <c r="C6001" s="1" t="s">
        <v>97</v>
      </c>
      <c r="D6001" s="1" t="s">
        <v>327</v>
      </c>
      <c r="E6001" s="1" t="s">
        <v>3805</v>
      </c>
      <c r="F6001" s="1" t="s">
        <v>9635</v>
      </c>
      <c r="G6001" s="1" t="s">
        <v>36</v>
      </c>
      <c r="H6001" s="1" t="s">
        <v>29</v>
      </c>
      <c r="I6001" s="1" t="str">
        <f ca="1">IFERROR(__xludf.DUMMYFUNCTION("GOOGLETRANSLATE(F6001, ""auto"", ""en"")
"),"The purpose of the purchase was to be a TV, which, in addition to its functional load, would also become an interior decoration. After a long search, we found out that there is only one model that meets our requirements - SONY KDL-40E5500. Convenient menu"&amp;" of tinctures. We are very pleased with the purchase - the image quality of even analog channels is more than decent. The image quality of digital television, Full HD, game console is SONY. If you do not use the remote control for a long time, the TV will"&amp;" turn itself off, a kind of sleep timer. We recommend it to everyone!  Disadvantages White frame in the glare - uneven, with small dents - at the attachment points, of course, not fatal, but... And, of course, for the price - it could have been cheaper! W"&amp;"i-Fi is also lacking; it would be faster to switch channels, to have a backlight on the remote control, and to add a return button to the previous channel for convenience. - But all these are trifles!")</f>
        <v>The purpose of the purchase was to be a TV, which, in addition to its functional load, would also become an interior decoration. After a long search, we found out that there is only one model that meets our requirements - SONY KDL-40E5500. Convenient menu of tinctures. We are very pleased with the purchase - the image quality of even analog channels is more than decent. The image quality of digital television, Full HD, game console is SONY. If you do not use the remote control for a long time, the TV will turn itself off, a kind of sleep timer. We recommend it to everyone!  Disadvantages White frame in the glare - uneven, with small dents - at the attachment points, of course, not fatal, but... And, of course, for the price - it could have been cheaper! Wi-Fi is also lacking; it would be faster to switch channels, to have a backlight on the remote control, and to add a return button to the previous channel for convenience. - But all these are trifles!</v>
      </c>
    </row>
    <row r="6002" spans="1:9" x14ac:dyDescent="0.3">
      <c r="A6002" s="1" t="s">
        <v>238</v>
      </c>
      <c r="B6002" s="1" t="s">
        <v>239</v>
      </c>
      <c r="C6002" s="1" t="s">
        <v>151</v>
      </c>
      <c r="D6002" s="1" t="s">
        <v>326</v>
      </c>
      <c r="E6002" s="1" t="s">
        <v>4984</v>
      </c>
      <c r="F6002" s="1" t="s">
        <v>9636</v>
      </c>
      <c r="G6002" s="1" t="s">
        <v>36</v>
      </c>
      <c r="H6002" s="1" t="s">
        <v>29</v>
      </c>
      <c r="I6002" s="1" t="str">
        <f ca="1">IFERROR(__xludf.DUMMYFUNCTION("GOOGLETRANSLATE(F6002, ""auto"", ""en"")
"),"I’ve been dreaming about such a refrigerator for a long time and after purchasing it I never regretted it. I’m pleased with the large number of shelves and drawers. Especially the drawers for vegetables and fruits are simply bottomless))) There are also c"&amp;"omfortable wide shelves on the door, I use them for cans and bottles. And the freezer is a blast! Different types of meat are stored each on their own shelf or drawer. It keeps the cold for a very long time, once the lights were turned off for the whole d"&amp;"ay, and everything remained that way frozen, just like it was. Overall, I like it!!")</f>
        <v>I’ve been dreaming about such a refrigerator for a long time and after purchasing it I never regretted it. I’m pleased with the large number of shelves and drawers. Especially the drawers for vegetables and fruits are simply bottomless))) There are also comfortable wide shelves on the door, I use them for cans and bottles. And the freezer is a blast! Different types of meat are stored each on their own shelf or drawer. It keeps the cold for a very long time, once the lights were turned off for the whole day, and everything remained that way frozen, just like it was. Overall, I like it!!</v>
      </c>
    </row>
    <row r="6003" spans="1:9" x14ac:dyDescent="0.3">
      <c r="A6003" s="1" t="s">
        <v>373</v>
      </c>
      <c r="B6003" s="1" t="s">
        <v>374</v>
      </c>
      <c r="C6003" s="1" t="s">
        <v>63</v>
      </c>
      <c r="D6003" s="1" t="s">
        <v>335</v>
      </c>
      <c r="E6003" s="1" t="s">
        <v>2593</v>
      </c>
      <c r="F6003" s="1" t="s">
        <v>9637</v>
      </c>
      <c r="G6003" s="1" t="s">
        <v>36</v>
      </c>
      <c r="H6003" s="1" t="s">
        <v>29</v>
      </c>
      <c r="I6003" s="1" t="str">
        <f ca="1">IFERROR(__xludf.DUMMYFUNCTION("GOOGLETRANSLATE(F6003, ""auto"", ""en"")
"),"Excellent machine, I have been using it for 5 years and am very pleased. During this time there was not a single failure.")</f>
        <v>Excellent machine, I have been using it for 5 years and am very pleased. During this time there was not a single failure.</v>
      </c>
    </row>
    <row r="6004" spans="1:9" x14ac:dyDescent="0.3">
      <c r="A6004" s="1" t="s">
        <v>120</v>
      </c>
      <c r="B6004" s="1" t="s">
        <v>121</v>
      </c>
      <c r="C6004" s="1" t="s">
        <v>97</v>
      </c>
      <c r="D6004" s="1" t="s">
        <v>33</v>
      </c>
      <c r="E6004" s="1" t="s">
        <v>1931</v>
      </c>
      <c r="F6004" s="1" t="s">
        <v>9638</v>
      </c>
      <c r="G6004" s="1" t="s">
        <v>36</v>
      </c>
      <c r="H6004" s="1" t="s">
        <v>29</v>
      </c>
      <c r="I6004" s="1" t="str">
        <f ca="1">IFERROR(__xludf.DUMMYFUNCTION("GOOGLETRANSLATE(F6004, ""auto"", ""en"")
"),"everything is good Sony is Sony quality is excellent. The only thing I can’t figure out is how to get the sound from this TV to come through the PHILIPS HTS3000/51 home theater. It seems like I connected everything, but in response there was silence.... M"&amp;"aybe someone can tell me???")</f>
        <v>everything is good Sony is Sony quality is excellent. The only thing I can’t figure out is how to get the sound from this TV to come through the PHILIPS HTS3000/51 home theater. It seems like I connected everything, but in response there was silence.... Maybe someone can tell me???</v>
      </c>
    </row>
    <row r="6005" spans="1:9" x14ac:dyDescent="0.3">
      <c r="A6005" s="1" t="s">
        <v>17</v>
      </c>
      <c r="B6005" s="1" t="s">
        <v>18</v>
      </c>
      <c r="C6005" s="1" t="s">
        <v>19</v>
      </c>
      <c r="D6005" s="1" t="s">
        <v>9639</v>
      </c>
      <c r="E6005" s="1" t="s">
        <v>395</v>
      </c>
      <c r="F6005" s="1" t="s">
        <v>9640</v>
      </c>
      <c r="G6005" s="1" t="s">
        <v>36</v>
      </c>
      <c r="H6005" s="1" t="s">
        <v>29</v>
      </c>
      <c r="I6005" s="1" t="str">
        <f ca="1">IFERROR(__xludf.DUMMYFUNCTION("GOOGLETRANSLATE(F6005, ""auto"", ""en"")
"),"The car is great.  Controls: intuitive, instructions are only needed to find out where to put the powder and why the additional cuvette is needed.  Noise: Super quiet. You can talk in a whisper :) Reliability: I don’t know yet.    I recommend it.")</f>
        <v>The car is great.  Controls: intuitive, instructions are only needed to find out where to put the powder and why the additional cuvette is needed.  Noise: Super quiet. You can talk in a whisper :) Reliability: I don’t know yet.    I recommend it.</v>
      </c>
    </row>
    <row r="6006" spans="1:9" x14ac:dyDescent="0.3">
      <c r="A6006" s="1" t="s">
        <v>238</v>
      </c>
      <c r="B6006" s="1" t="s">
        <v>276</v>
      </c>
      <c r="C6006" s="1" t="s">
        <v>1677</v>
      </c>
      <c r="D6006" s="1" t="s">
        <v>295</v>
      </c>
      <c r="E6006" s="1" t="s">
        <v>4670</v>
      </c>
      <c r="F6006" s="1" t="s">
        <v>9641</v>
      </c>
      <c r="G6006" s="1" t="s">
        <v>28</v>
      </c>
      <c r="H6006" s="1" t="s">
        <v>29</v>
      </c>
      <c r="I6006" s="1" t="str">
        <f ca="1">IFERROR(__xludf.DUMMYFUNCTION("GOOGLETRANSLATE(F6006, ""auto"", ""en"")
"),"The refrigerator copes with its functions perfectly, but the shelves on the door fell apart after 2 years, the service center said that one was missing at all (out of production), we had been waiting for the second for 3 months, and they immediately state"&amp;"d that they did not guarantee the desired color")</f>
        <v>The refrigerator copes with its functions perfectly, but the shelves on the door fell apart after 2 years, the service center said that one was missing at all (out of production), we had been waiting for the second for 3 months, and they immediately stated that they did not guarantee the desired color</v>
      </c>
    </row>
    <row r="6007" spans="1:9" x14ac:dyDescent="0.3">
      <c r="A6007" s="1" t="s">
        <v>120</v>
      </c>
      <c r="B6007" s="1" t="s">
        <v>256</v>
      </c>
      <c r="C6007" s="1" t="s">
        <v>97</v>
      </c>
      <c r="D6007" s="1" t="s">
        <v>9642</v>
      </c>
      <c r="E6007" s="1" t="s">
        <v>1723</v>
      </c>
      <c r="F6007" s="1" t="s">
        <v>9643</v>
      </c>
      <c r="G6007" s="1" t="s">
        <v>36</v>
      </c>
      <c r="H6007" s="1" t="s">
        <v>29</v>
      </c>
      <c r="I6007" s="1" t="str">
        <f ca="1">IFERROR(__xludf.DUMMYFUNCTION("GOOGLETRANSLATE(F6007, ""auto"", ""en"")
"),"For good TV quality, you need to connect digital television, because... None of the modern TVs will give an ideal picture from an analog signal. Quite a worthy model. HD movies from your computer look great.")</f>
        <v>For good TV quality, you need to connect digital television, because... None of the modern TVs will give an ideal picture from an analog signal. Quite a worthy model. HD movies from your computer look great.</v>
      </c>
    </row>
    <row r="6008" spans="1:9" x14ac:dyDescent="0.3">
      <c r="A6008" s="1" t="s">
        <v>30</v>
      </c>
      <c r="B6008" s="1" t="s">
        <v>31</v>
      </c>
      <c r="C6008" s="1" t="s">
        <v>32</v>
      </c>
      <c r="D6008" s="1" t="s">
        <v>568</v>
      </c>
      <c r="E6008" s="1" t="s">
        <v>1432</v>
      </c>
      <c r="F6008" s="1" t="s">
        <v>9644</v>
      </c>
      <c r="G6008" s="1" t="s">
        <v>15</v>
      </c>
      <c r="H6008" s="1" t="s">
        <v>16</v>
      </c>
      <c r="I6008" s="1" t="str">
        <f ca="1">IFERROR(__xludf.DUMMYFUNCTION("GOOGLETRANSLATE(F6008, ""auto"", ""en"")
"),"Predator Eliminator II is more to my taste, as it has more pros than cons.")</f>
        <v>Predator Eliminator II is more to my taste, as it has more pros than cons.</v>
      </c>
    </row>
    <row r="6009" spans="1:9" x14ac:dyDescent="0.3">
      <c r="A6009" s="1" t="s">
        <v>30</v>
      </c>
      <c r="B6009" s="1" t="s">
        <v>50</v>
      </c>
      <c r="C6009" s="1" t="s">
        <v>51</v>
      </c>
      <c r="D6009" s="1" t="s">
        <v>9606</v>
      </c>
      <c r="E6009" s="1" t="s">
        <v>1172</v>
      </c>
      <c r="F6009" s="1" t="s">
        <v>9645</v>
      </c>
      <c r="G6009" s="1" t="s">
        <v>36</v>
      </c>
      <c r="H6009" s="1" t="s">
        <v>29</v>
      </c>
      <c r="I6009" s="1" t="str">
        <f ca="1">IFERROR(__xludf.DUMMYFUNCTION("GOOGLETRANSLATE(F6009, ""auto"", ""en"")
"),"the general opinion is this Packard Bell DT85-CT-015RU Laptop made in the People's Republic of China everyone knows this when they bought it and comparisons with Acer are not much, not a bad one, I had a 7520, it was a terrible card 8600, in the end the v"&amp;"ideo card burned out. As for the keyboard, I'll share my experience A4TechX7G100 solves all the problems. But I confirm all the disadvantages listed as a plus HDD WD turned off, I didn’t expect this from it. Apparently the PRC factor is affecting it. In g"&amp;"eneral, the purchase is justified since you can’t find anything except China, even in America. GOOD SHOPPING")</f>
        <v>the general opinion is this Packard Bell DT85-CT-015RU Laptop made in the People's Republic of China everyone knows this when they bought it and comparisons with Acer are not much, not a bad one, I had a 7520, it was a terrible card 8600, in the end the video card burned out. As for the keyboard, I'll share my experience A4TechX7G100 solves all the problems. But I confirm all the disadvantages listed as a plus HDD WD turned off, I didn’t expect this from it. Apparently the PRC factor is affecting it. In general, the purchase is justified since you can’t find anything except China, even in America. GOOD SHOPPING</v>
      </c>
    </row>
    <row r="6010" spans="1:9" x14ac:dyDescent="0.3">
      <c r="A6010" s="1" t="s">
        <v>43</v>
      </c>
      <c r="B6010" s="1" t="s">
        <v>303</v>
      </c>
      <c r="C6010" s="1" t="s">
        <v>220</v>
      </c>
      <c r="D6010" s="1" t="s">
        <v>8412</v>
      </c>
      <c r="E6010" s="1" t="s">
        <v>306</v>
      </c>
      <c r="F6010" s="1" t="s">
        <v>9646</v>
      </c>
      <c r="G6010" s="1" t="s">
        <v>36</v>
      </c>
      <c r="H6010" s="1" t="s">
        <v>29</v>
      </c>
      <c r="I6010" s="1" t="str">
        <f ca="1">IFERROR(__xludf.DUMMYFUNCTION("GOOGLETRANSLATE(F6010, ""auto"", ""en"")
"),"Nice design, holds heat well")</f>
        <v>Nice design, holds heat well</v>
      </c>
    </row>
    <row r="6011" spans="1:9" x14ac:dyDescent="0.3">
      <c r="A6011" s="1" t="s">
        <v>17</v>
      </c>
      <c r="B6011" s="1" t="s">
        <v>18</v>
      </c>
      <c r="C6011" s="1" t="s">
        <v>151</v>
      </c>
      <c r="D6011" s="1" t="s">
        <v>9647</v>
      </c>
      <c r="E6011" s="1" t="s">
        <v>2518</v>
      </c>
      <c r="F6011" s="1" t="s">
        <v>9648</v>
      </c>
      <c r="G6011" s="1" t="s">
        <v>36</v>
      </c>
      <c r="H6011" s="1" t="s">
        <v>29</v>
      </c>
      <c r="I6011" s="1" t="str">
        <f ca="1">IFERROR(__xludf.DUMMYFUNCTION("GOOGLETRANSLATE(F6011, ""auto"", ""en"")
"),"I bought the car 4 months ago on a promotion. Very pleased. The design is cool, and it washes great. I didn’t notice any noise during the spin cycle (it’s in the bathroom), the only thing is when the front door starts to pick up speed. I liked the delay f"&amp;"unction - I washed it at night. And thanks to the manufacturers for the detailed instructions.")</f>
        <v>I bought the car 4 months ago on a promotion. Very pleased. The design is cool, and it washes great. I didn’t notice any noise during the spin cycle (it’s in the bathroom), the only thing is when the front door starts to pick up speed. I liked the delay function - I washed it at night. And thanks to the manufacturers for the detailed instructions.</v>
      </c>
    </row>
    <row r="6012" spans="1:9" x14ac:dyDescent="0.3">
      <c r="A6012" s="1" t="s">
        <v>37</v>
      </c>
      <c r="B6012" s="1" t="s">
        <v>38</v>
      </c>
      <c r="C6012" s="1" t="s">
        <v>163</v>
      </c>
      <c r="D6012" s="1" t="s">
        <v>9649</v>
      </c>
      <c r="E6012" s="1" t="s">
        <v>994</v>
      </c>
      <c r="F6012" s="1" t="s">
        <v>9650</v>
      </c>
      <c r="G6012" s="1" t="s">
        <v>36</v>
      </c>
      <c r="H6012" s="1" t="s">
        <v>29</v>
      </c>
      <c r="I6012" s="1" t="str">
        <f ca="1">IFERROR(__xludf.DUMMYFUNCTION("GOOGLETRANSLATE(F6012, ""auto"", ""en"")
"),"I bought this model 3 years ago, I was looking for a phone with large font and a loud ringer. This one is just the thing!!! The menu is very clear, the photos are also good. I’m very pleased and recommend it to everyone, and for those who need cooler pers"&amp;"onal belongings, I advise you to buy a camera separately, a player separately, and for a friend from 1B, the stores have toys for you.")</f>
        <v>I bought this model 3 years ago, I was looking for a phone with large font and a loud ringer. This one is just the thing!!! The menu is very clear, the photos are also good. I’m very pleased and recommend it to everyone, and for those who need cooler personal belongings, I advise you to buy a camera separately, a player separately, and for a friend from 1B, the stores have toys for you.</v>
      </c>
    </row>
    <row r="6013" spans="1:9" x14ac:dyDescent="0.3">
      <c r="A6013" s="1" t="s">
        <v>211</v>
      </c>
      <c r="B6013" s="1" t="s">
        <v>265</v>
      </c>
      <c r="C6013" s="1" t="s">
        <v>294</v>
      </c>
      <c r="D6013" s="1" t="s">
        <v>247</v>
      </c>
      <c r="E6013" s="1" t="s">
        <v>9651</v>
      </c>
      <c r="F6013" s="1" t="s">
        <v>9652</v>
      </c>
      <c r="G6013" s="1" t="s">
        <v>36</v>
      </c>
      <c r="H6013" s="1" t="s">
        <v>29</v>
      </c>
      <c r="I6013" s="1" t="str">
        <f ca="1">IFERROR(__xludf.DUMMYFUNCTION("GOOGLETRANSLATE(F6013, ""auto"", ""en"")
"),"I bought this clipper to give my husband a haircut. I never had to be a hairdresser before :). The machine is very convenient and easy to use, there are quite a lot of attachments. It is very convenient that you can use it both through a charger and witho"&amp;"ut it (the machine runs on a battery), I think it will please you for quite a long time))) I recommend it, an excellent product!!!!")</f>
        <v>I bought this clipper to give my husband a haircut. I never had to be a hairdresser before :). The machine is very convenient and easy to use, there are quite a lot of attachments. It is very convenient that you can use it both through a charger and without it (the machine runs on a battery), I think it will please you for quite a long time))) I recommend it, an excellent product!!!!</v>
      </c>
    </row>
    <row r="6014" spans="1:9" x14ac:dyDescent="0.3">
      <c r="A6014" s="1" t="s">
        <v>9</v>
      </c>
      <c r="B6014" s="1" t="s">
        <v>137</v>
      </c>
      <c r="C6014" s="1" t="s">
        <v>466</v>
      </c>
      <c r="D6014" s="1" t="s">
        <v>9653</v>
      </c>
      <c r="E6014" s="1" t="s">
        <v>9654</v>
      </c>
      <c r="F6014" s="1" t="s">
        <v>9655</v>
      </c>
      <c r="G6014" s="1" t="s">
        <v>36</v>
      </c>
      <c r="H6014" s="1" t="s">
        <v>29</v>
      </c>
      <c r="I6014" s="1" t="str">
        <f ca="1">IFERROR(__xludf.DUMMYFUNCTION("GOOGLETRANSLATE(F6014, ""auto"", ""en"")
"),"We've been using it for 6 years. Excellent! The maximum volume of dishes used was 6 liters. Electric ignition is excellent!!! Gas control works - we noticed it a couple of times. When igniting the burner: if you turn the knob, hold the ignition for a shor"&amp;"t time (and the gas does not ignite), then the gas does not flow, even with the knob turned (sort of like an open tap). Apparently some kind of security measure. Steel gratings do not bend, although they seem weak. The only thing is that on one burner con"&amp;"trol knob (inside) the spring that tightly fixes the handle to the gas shut-off valve has broken. We use it this way - it’s quite acceptable... Well, this, I think, is a matter of chance... We didn’t use any liquids to care for the stainless surface - wet"&amp;" cleaning and wiping dry is quite enough (if anyone really wants a perfect look). Excellent...")</f>
        <v>We've been using it for 6 years. Excellent! The maximum volume of dishes used was 6 liters. Electric ignition is excellent!!! Gas control works - we noticed it a couple of times. When igniting the burner: if you turn the knob, hold the ignition for a short time (and the gas does not ignite), then the gas does not flow, even with the knob turned (sort of like an open tap). Apparently some kind of security measure. Steel gratings do not bend, although they seem weak. The only thing is that on one burner control knob (inside) the spring that tightly fixes the handle to the gas shut-off valve has broken. We use it this way - it’s quite acceptable... Well, this, I think, is a matter of chance... We didn’t use any liquids to care for the stainless surface - wet cleaning and wiping dry is quite enough (if anyone really wants a perfect look). Excellent...</v>
      </c>
    </row>
    <row r="6015" spans="1:9" x14ac:dyDescent="0.3">
      <c r="A6015" s="1" t="s">
        <v>211</v>
      </c>
      <c r="B6015" s="1" t="s">
        <v>265</v>
      </c>
      <c r="C6015" s="1" t="s">
        <v>294</v>
      </c>
      <c r="D6015" s="1" t="s">
        <v>378</v>
      </c>
      <c r="E6015" s="1" t="s">
        <v>876</v>
      </c>
      <c r="F6015" s="1" t="s">
        <v>9656</v>
      </c>
      <c r="G6015" s="1" t="s">
        <v>28</v>
      </c>
      <c r="H6015" s="1" t="s">
        <v>29</v>
      </c>
      <c r="I6015" s="1" t="str">
        <f ca="1">IFERROR(__xludf.DUMMYFUNCTION("GOOGLETRANSLATE(F6015, ""auto"", ""en"")
"),"It's a good machine, the charge is enough for a full haircut. Those getting their hair cut did not complain of any discomfort or hair getting caught. There are enough attachments to create a hairstyle as desired - longer/shorter. comfortable, not heavy. o"&amp;"il included. It would be correct to include scissors and a comb, but this model does not have them. therefore 4 stars")</f>
        <v>It's a good machine, the charge is enough for a full haircut. Those getting their hair cut did not complain of any discomfort or hair getting caught. There are enough attachments to create a hairstyle as desired - longer/shorter. comfortable, not heavy. oil included. It would be correct to include scissors and a comb, but this model does not have them. therefore 4 stars</v>
      </c>
    </row>
    <row r="6016" spans="1:9" x14ac:dyDescent="0.3">
      <c r="A6016" s="1" t="s">
        <v>89</v>
      </c>
      <c r="B6016" s="1" t="s">
        <v>231</v>
      </c>
      <c r="C6016" s="1" t="s">
        <v>185</v>
      </c>
      <c r="D6016" s="1" t="s">
        <v>5291</v>
      </c>
      <c r="E6016" s="1" t="s">
        <v>6673</v>
      </c>
      <c r="F6016" s="1" t="s">
        <v>9657</v>
      </c>
      <c r="G6016" s="1" t="s">
        <v>36</v>
      </c>
      <c r="H6016" s="1" t="s">
        <v>29</v>
      </c>
      <c r="I6016" s="1" t="str">
        <f ca="1">IFERROR(__xludf.DUMMYFUNCTION("GOOGLETRANSLATE(F6016, ""auto"", ""en"")
"),"Yes, I agree with Marina’s opinion, the coffee machine is simple and easy to use, no additional products other than descalers are required and it’s not expensive, we’ve been using ours for more than a year, I’m very pleased, I recommend it to everyone!")</f>
        <v>Yes, I agree with Marina’s opinion, the coffee machine is simple and easy to use, no additional products other than descalers are required and it’s not expensive, we’ve been using ours for more than a year, I’m very pleased, I recommend it to everyone!</v>
      </c>
    </row>
    <row r="6017" spans="1:9" x14ac:dyDescent="0.3">
      <c r="A6017" s="1" t="s">
        <v>17</v>
      </c>
      <c r="B6017" s="1" t="s">
        <v>18</v>
      </c>
      <c r="C6017" s="1" t="s">
        <v>243</v>
      </c>
      <c r="D6017" s="1" t="s">
        <v>12</v>
      </c>
      <c r="E6017" s="1" t="s">
        <v>9494</v>
      </c>
      <c r="F6017" s="1" t="s">
        <v>9658</v>
      </c>
      <c r="G6017" s="1" t="s">
        <v>1580</v>
      </c>
      <c r="H6017" s="1" t="s">
        <v>29</v>
      </c>
      <c r="I6017" s="1" t="str">
        <f ca="1">IFERROR(__xludf.DUMMYFUNCTION("GOOGLETRANSLATE(F6017, ""auto"", ""en"")
"),"washes well, has enough functions")</f>
        <v>washes well, has enough functions</v>
      </c>
    </row>
    <row r="6018" spans="1:9" x14ac:dyDescent="0.3">
      <c r="A6018" s="1" t="s">
        <v>61</v>
      </c>
      <c r="B6018" s="1" t="s">
        <v>1727</v>
      </c>
      <c r="C6018" s="1" t="s">
        <v>122</v>
      </c>
      <c r="D6018" s="1" t="s">
        <v>1021</v>
      </c>
      <c r="E6018" s="1" t="s">
        <v>449</v>
      </c>
      <c r="F6018" s="1" t="s">
        <v>9659</v>
      </c>
      <c r="G6018" s="1" t="s">
        <v>36</v>
      </c>
      <c r="H6018" s="1" t="s">
        <v>29</v>
      </c>
      <c r="I6018" s="1" t="str">
        <f ca="1">IFERROR(__xludf.DUMMYFUNCTION("GOOGLETRANSLATE(F6018, ""auto"", ""en"")
"),"An excellent thing, especially for bachelors :))) Advantages: for rice, buckwheat, you don’t have to worry, nothing will run away (compared to the stove), that it cooks eggs is also a big plus! I recommend it - an excellent helper in the kitchen!")</f>
        <v>An excellent thing, especially for bachelors :))) Advantages: for rice, buckwheat, you don’t have to worry, nothing will run away (compared to the stove), that it cooks eggs is also a big plus! I recommend it - an excellent helper in the kitchen!</v>
      </c>
    </row>
    <row r="6019" spans="1:9" x14ac:dyDescent="0.3">
      <c r="A6019" s="1" t="s">
        <v>17</v>
      </c>
      <c r="B6019" s="1" t="s">
        <v>18</v>
      </c>
      <c r="C6019" s="1" t="s">
        <v>885</v>
      </c>
      <c r="D6019" s="1" t="s">
        <v>247</v>
      </c>
      <c r="E6019" s="1" t="s">
        <v>8352</v>
      </c>
      <c r="F6019" s="1" t="s">
        <v>9660</v>
      </c>
      <c r="G6019" s="1" t="s">
        <v>15</v>
      </c>
      <c r="H6019" s="1" t="s">
        <v>16</v>
      </c>
      <c r="I6019" s="1" t="str">
        <f ca="1">IFERROR(__xludf.DUMMYFUNCTION("GOOGLETRANSLATE(F6019, ""auto"", ""en"")
"),"We bought the car in October 2011. It worked flawlessly, not very noisy, it vibrated strongly during the spin cycle, but did not jump.  Yesterday we set a quick program of 30 minutes at 30 degrees, washed it for a suspiciously long time, when we noticed i"&amp;"t turned out to be insanely hot. The result is that she heated the water so that steam came from the things, and accordingly they all became repainted and stretched out.   We will return it for repairs under warranty.")</f>
        <v>We bought the car in October 2011. It worked flawlessly, not very noisy, it vibrated strongly during the spin cycle, but did not jump.  Yesterday we set a quick program of 30 minutes at 30 degrees, washed it for a suspiciously long time, when we noticed it turned out to be insanely hot. The result is that she heated the water so that steam came from the things, and accordingly they all became repainted and stretched out.   We will return it for repairs under warranty.</v>
      </c>
    </row>
    <row r="6020" spans="1:9" x14ac:dyDescent="0.3">
      <c r="A6020" s="1" t="s">
        <v>9</v>
      </c>
      <c r="B6020" s="1" t="s">
        <v>10</v>
      </c>
      <c r="C6020" s="1" t="s">
        <v>3091</v>
      </c>
      <c r="D6020" s="1" t="s">
        <v>474</v>
      </c>
      <c r="E6020" s="1" t="s">
        <v>3720</v>
      </c>
      <c r="F6020" s="1" t="s">
        <v>9661</v>
      </c>
      <c r="G6020" s="1" t="s">
        <v>36</v>
      </c>
      <c r="H6020" s="1" t="s">
        <v>29</v>
      </c>
      <c r="I6020" s="1" t="str">
        <f ca="1">IFERROR(__xludf.DUMMYFUNCTION("GOOGLETRANSLATE(F6020, ""auto"", ""en"")
"),"bought for a new kitchen. We took a long time to choose, compared on the Internet, consulted with sellers and settled on this model; it turned out to be the quietest and most functional of the lineup. It’s been working for two and a half years now and I c"&amp;"an’t say anything bad. At the 1st and 2nd speeds there is noise, of course, but it doesn’t hurt the ears, at the 3rd speed it is certainly noisy, but we don’t use this speed very often, so we don’t notice, the air is drawn in at 5+++, the lighting is very"&amp;" pleasant and the control buttons are located very conveniently. We are very pleased with the hood and recommend purchasing it, and then you will forget about foreign odors for good.")</f>
        <v>bought for a new kitchen. We took a long time to choose, compared on the Internet, consulted with sellers and settled on this model; it turned out to be the quietest and most functional of the lineup. It’s been working for two and a half years now and I can’t say anything bad. At the 1st and 2nd speeds there is noise, of course, but it doesn’t hurt the ears, at the 3rd speed it is certainly noisy, but we don’t use this speed very often, so we don’t notice, the air is drawn in at 5+++, the lighting is very pleasant and the control buttons are located very conveniently. We are very pleased with the hood and recommend purchasing it, and then you will forget about foreign odors for good.</v>
      </c>
    </row>
    <row r="6021" spans="1:9" x14ac:dyDescent="0.3">
      <c r="A6021" s="1" t="s">
        <v>624</v>
      </c>
      <c r="B6021" s="1" t="s">
        <v>881</v>
      </c>
      <c r="C6021" s="1" t="s">
        <v>479</v>
      </c>
      <c r="D6021" s="1" t="s">
        <v>9662</v>
      </c>
      <c r="E6021" s="1" t="s">
        <v>9663</v>
      </c>
      <c r="F6021" s="1" t="s">
        <v>9664</v>
      </c>
      <c r="G6021" s="1" t="s">
        <v>36</v>
      </c>
      <c r="H6021" s="1" t="s">
        <v>29</v>
      </c>
      <c r="I6021" s="1" t="str">
        <f ca="1">IFERROR(__xludf.DUMMYFUNCTION("GOOGLETRANSLATE(F6021, ""auto"", ""en"")
"),"One of the first games I played on the PSP was Underground. The first thing that upset me terribly &amp;ndash; insane analog control. There has never been such a large dead zone anywhere in my memory. Even playing on a steering wheel and on a large monitor, i"&amp;"t would be very difficult to control the equipment &amp;ndash; not like with a small “finger pad”. In order for the machine to react to pressing, you need to move the handle quite noticeably, but the delayed reaction turns out to be too strong. It’s good that"&amp;" the regular digital joystick is left in the backup role, which, by the way, is much more convenient to control (!!!). While digging through the settings, I didn't see an option to configure the controls. There are two options for automatic and two option"&amp;"s for manual transmission &amp;ndash; There is no question of completely reassigning the controls, much less calibrating the analog joystick. In the options you can change the EA Trax playlist, which, by the way, consists of 33 tracks. In the same menu you ca"&amp;"n watch videos from Soulwax and The Doors (the famous Riders on the Storm from the initial menu). I note that all this fun works for me on the version for Japan (in 100% English, however. The hieroglyphs are only on the box). I cannot be responsible for t"&amp;"he performance of versions in other languages. As in the computer version, the content of the game &amp;ndash; a complete mess. Only on SPS the confusion is simply colossal. The game is divided into two modes &amp;ndash; Circuit Mode and Quick Play Battle. The la"&amp;"tter is further divided into four more modes: Street Cross (short, straight tracks), Drift Attack (sliding around special markers on the ground until you turn blue or lose your pulse, depending on what you like), Nitrous Run (a standard circular track whe"&amp;"re you accelerate from checkpoint to checkpoint, each of which gives you a few seconds of time) and Drag Racing. Additionally, each of these modes is divided into 10 stages, which are again divided (!!!) into three difficulty levels&amp;hellip; Unfortunately,"&amp;" once you start at one difficulty level, you cannot move to another. so you have to go through everything again. Hmmm. At the very beginning you have a choice of four difficulty levels. Then three different types of races will become available to you: Cir"&amp;"cuit, Knockout and Rally Relay, the last of which will require you to buy a second car (which fundamentally breaks my habits - I'm not a car collector, and I drive one car). Then, each mode will have four different tracks with three difficulty levels each"&amp;". To drive at least once on each track in each mode and at each difficulty level, you will have to waste so many man-hours that any boss would feel sick! But don't drool &amp;ndash; In most cases, the routes are the same, sometimes mirrored or run backwards. "&amp;"Here I came across the “economic” departure from reality: to get a car with all the improvements of the 1st level (except for visual ones: they are free, although they require unlocking), I spent 72,000 points &amp;ndash; This is 8 times more than the car cos"&amp;"ts in the store. I remember Gran Turismo, where “the best tuning = 130% of the cost of a new car.” On the other hand, with a large “mix” cars at the start, or in the event of a massive accident, brakes unusual on PSP are observed. The damage model has not"&amp;" appeared, which I personally don’t like, but this concerns personal preferences. Speaking of upgrades to the car, I was pleasantly surprised by the number of improvements. There are even more of them than in NFSU 2. But there are no three bars at the bot"&amp;"tom of the screen indicating an increase in handling, speed or acceleration. This will require a little theoretical support in order to clearly know which detail “pumps up” which aspect. Now upgrades can be transferred from one machine to another, but eve"&amp;"rything will have to be moved manually.")</f>
        <v>One of the first games I played on the PSP was Underground. The first thing that upset me terribly &amp;ndash; insane analog control. There has never been such a large dead zone anywhere in my memory. Even playing on a steering wheel and on a large monitor, it would be very difficult to control the equipment &amp;ndash; not like with a small “finger pad”. In order for the machine to react to pressing, you need to move the handle quite noticeably, but the delayed reaction turns out to be too strong. It’s good that the regular digital joystick is left in the backup role, which, by the way, is much more convenient to control (!!!). While digging through the settings, I didn't see an option to configure the controls. There are two options for automatic and two options for manual transmission &amp;ndash; There is no question of completely reassigning the controls, much less calibrating the analog joystick. In the options you can change the EA Trax playlist, which, by the way, consists of 33 tracks. In the same menu you can watch videos from Soulwax and The Doors (the famous Riders on the Storm from the initial menu). I note that all this fun works for me on the version for Japan (in 100% English, however. The hieroglyphs are only on the box). I cannot be responsible for the performance of versions in other languages. As in the computer version, the content of the game &amp;ndash; a complete mess. Only on SPS the confusion is simply colossal. The game is divided into two modes &amp;ndash; Circuit Mode and Quick Play Battle. The latter is further divided into four more modes: Street Cross (short, straight tracks), Drift Attack (sliding around special markers on the ground until you turn blue or lose your pulse, depending on what you like), Nitrous Run (a standard circular track where you accelerate from checkpoint to checkpoint, each of which gives you a few seconds of time) and Drag Racing. Additionally, each of these modes is divided into 10 stages, which are again divided (!!!) into three difficulty levels&amp;hellip; Unfortunately, once you start at one difficulty level, you cannot move to another. so you have to go through everything again. Hmmm. At the very beginning you have a choice of four difficulty levels. Then three different types of races will become available to you: Circuit, Knockout and Rally Relay, the last of which will require you to buy a second car (which fundamentally breaks my habits - I'm not a car collector, and I drive one car). Then, each mode will have four different tracks with three difficulty levels each. To drive at least once on each track in each mode and at each difficulty level, you will have to waste so many man-hours that any boss would feel sick! But don't drool &amp;ndash; In most cases, the routes are the same, sometimes mirrored or run backwards. Here I came across the “economic” departure from reality: to get a car with all the improvements of the 1st level (except for visual ones: they are free, although they require unlocking), I spent 72,000 points &amp;ndash; This is 8 times more than the car costs in the store. I remember Gran Turismo, where “the best tuning = 130% of the cost of a new car.” On the other hand, with a large “mix” cars at the start, or in the event of a massive accident, brakes unusual on PSP are observed. The damage model has not appeared, which I personally don’t like, but this concerns personal preferences. Speaking of upgrades to the car, I was pleasantly surprised by the number of improvements. There are even more of them than in NFSU 2. But there are no three bars at the bottom of the screen indicating an increase in handling, speed or acceleration. This will require a little theoretical support in order to clearly know which detail “pumps up” which aspect. Now upgrades can be transferred from one machine to another, but everything will have to be moved manually.</v>
      </c>
    </row>
    <row r="6022" spans="1:9" x14ac:dyDescent="0.3">
      <c r="A6022" s="1" t="s">
        <v>369</v>
      </c>
      <c r="B6022" s="1" t="s">
        <v>587</v>
      </c>
      <c r="C6022" s="1" t="s">
        <v>290</v>
      </c>
      <c r="D6022" s="1" t="s">
        <v>127</v>
      </c>
      <c r="E6022" s="1" t="s">
        <v>9665</v>
      </c>
      <c r="F6022" s="1" t="s">
        <v>9666</v>
      </c>
      <c r="G6022" s="1" t="s">
        <v>28</v>
      </c>
      <c r="H6022" s="1" t="s">
        <v>29</v>
      </c>
      <c r="I6022" s="1" t="str">
        <f ca="1">IFERROR(__xludf.DUMMYFUNCTION("GOOGLETRANSLATE(F6022, ""auto"", ""en"")
"),"The stove is very good, well made, works great. But when you set the timer, you can hear its sound about readiness only when you are very close to the stove. Unfortunately the volume does not change. And an alarm clock-timer for cooking is an extremely im"&amp;"portant thing, I mean the volume of the timer signal. It’s a pity that the manufacturers didn’t think through this seemingly trifle. So if you plan to cook and set a timer, forget that you will hear it from the room. Even in the kitchen itself you can bar"&amp;"ely hear him.")</f>
        <v>The stove is very good, well made, works great. But when you set the timer, you can hear its sound about readiness only when you are very close to the stove. Unfortunately the volume does not change. And an alarm clock-timer for cooking is an extremely important thing, I mean the volume of the timer signal. It’s a pity that the manufacturers didn’t think through this seemingly trifle. So if you plan to cook and set a timer, forget that you will hear it from the room. Even in the kitchen itself you can barely hear him.</v>
      </c>
    </row>
    <row r="6023" spans="1:9" x14ac:dyDescent="0.3">
      <c r="A6023" s="1" t="s">
        <v>17</v>
      </c>
      <c r="B6023" s="1" t="s">
        <v>18</v>
      </c>
      <c r="C6023" s="1" t="s">
        <v>63</v>
      </c>
      <c r="D6023" s="1" t="s">
        <v>695</v>
      </c>
      <c r="E6023" s="1" t="s">
        <v>1992</v>
      </c>
      <c r="F6023" s="1" t="s">
        <v>9667</v>
      </c>
      <c r="G6023" s="1" t="s">
        <v>36</v>
      </c>
      <c r="H6023" s="1" t="s">
        <v>29</v>
      </c>
      <c r="I6023" s="1" t="str">
        <f ca="1">IFERROR(__xludf.DUMMYFUNCTION("GOOGLETRANSLATE(F6023, ""auto"", ""en"")
"),"I bought it after the new year. During operation, it turned out that the program for 15 minutes does not work 15 as indicated, but 15-11-15-14-9-15-11-9-0 (which takes 28 minutes). Diagnosis: ECU is faulty. The machine was replaced.  Overall I’m happy wit"&amp;"h the machine, I hope the new one will be without any surprises.")</f>
        <v>I bought it after the new year. During operation, it turned out that the program for 15 minutes does not work 15 as indicated, but 15-11-15-14-9-15-11-9-0 (which takes 28 minutes). Diagnosis: ECU is faulty. The machine was replaced.  Overall I’m happy with the machine, I hope the new one will be without any surprises.</v>
      </c>
    </row>
    <row r="6024" spans="1:9" x14ac:dyDescent="0.3">
      <c r="A6024" s="1" t="s">
        <v>61</v>
      </c>
      <c r="B6024" s="1" t="s">
        <v>62</v>
      </c>
      <c r="C6024" s="1" t="s">
        <v>63</v>
      </c>
      <c r="D6024" s="1" t="s">
        <v>592</v>
      </c>
      <c r="E6024" s="1" t="s">
        <v>233</v>
      </c>
      <c r="F6024" s="1" t="s">
        <v>9668</v>
      </c>
      <c r="G6024" s="1" t="s">
        <v>36</v>
      </c>
      <c r="H6024" s="1" t="s">
        <v>29</v>
      </c>
      <c r="I6024" s="1" t="str">
        <f ca="1">IFERROR(__xludf.DUMMYFUNCTION("GOOGLETRANSLATE(F6024, ""auto"", ""en"")
"),"excellent combine. I've been using it for a year, I'm very pleased. I don’t use only the citrus juicer; I use the other attachments to the fullest extent.")</f>
        <v>excellent combine. I've been using it for a year, I'm very pleased. I don’t use only the citrus juicer; I use the other attachments to the fullest extent.</v>
      </c>
    </row>
    <row r="6025" spans="1:9" x14ac:dyDescent="0.3">
      <c r="A6025" s="1" t="s">
        <v>37</v>
      </c>
      <c r="B6025" s="1" t="s">
        <v>38</v>
      </c>
      <c r="C6025" s="1" t="s">
        <v>69</v>
      </c>
      <c r="D6025" s="1" t="s">
        <v>4222</v>
      </c>
      <c r="E6025" s="1" t="s">
        <v>1527</v>
      </c>
      <c r="F6025" s="1" t="s">
        <v>9669</v>
      </c>
      <c r="G6025" s="1" t="s">
        <v>28</v>
      </c>
      <c r="H6025" s="1" t="s">
        <v>29</v>
      </c>
      <c r="I6025" s="1" t="str">
        <f ca="1">IFERROR(__xludf.DUMMYFUNCTION("GOOGLETRANSLATE(F6025, ""auto"", ""en"")
"),"hello everyone! the phone is super!! I found a way out of the above listed disadvantages - download ICQ from the Internet. And choose Asya for the touch screen) I use everything super. I quickly got used to the electronic keyboard) - for the contacts acco"&amp;"unt, you need to go through the contacts settings and set to show either the SIM card or the phone or all together) - there are no problems with the alarm clock, I set it every day) - IT DOESN’T CRAKE)) also write to me here.. PHONE SUPER)))")</f>
        <v>hello everyone! the phone is super!! I found a way out of the above listed disadvantages - download ICQ from the Internet. And choose Asya for the touch screen) I use everything super. I quickly got used to the electronic keyboard) - for the contacts account, you need to go through the contacts settings and set to show either the SIM card or the phone or all together) - there are no problems with the alarm clock, I set it every day) - IT DOESN’T CRAKE)) also write to me here.. PHONE SUPER)))</v>
      </c>
    </row>
    <row r="6026" spans="1:9" x14ac:dyDescent="0.3">
      <c r="A6026" s="1" t="s">
        <v>120</v>
      </c>
      <c r="B6026" s="1" t="s">
        <v>121</v>
      </c>
      <c r="C6026" s="1" t="s">
        <v>97</v>
      </c>
      <c r="D6026" s="1" t="s">
        <v>9670</v>
      </c>
      <c r="E6026" s="1" t="s">
        <v>2627</v>
      </c>
      <c r="F6026" s="1" t="s">
        <v>9671</v>
      </c>
      <c r="G6026" s="1" t="s">
        <v>36</v>
      </c>
      <c r="H6026" s="1" t="s">
        <v>29</v>
      </c>
      <c r="I6026" s="1" t="str">
        <f ca="1">IFERROR(__xludf.DUMMYFUNCTION("GOOGLETRANSLATE(F6026, ""auto"", ""en"")
"),"We bought it from M.Video a month ago and haven’t regretted it yet. Excellent quality. We recommend.")</f>
        <v>We bought it from M.Video a month ago and haven’t regretted it yet. Excellent quality. We recommend.</v>
      </c>
    </row>
    <row r="6027" spans="1:9" x14ac:dyDescent="0.3">
      <c r="A6027" s="1" t="s">
        <v>557</v>
      </c>
      <c r="B6027" s="1" t="s">
        <v>558</v>
      </c>
      <c r="C6027" s="1" t="s">
        <v>122</v>
      </c>
      <c r="D6027" s="1" t="s">
        <v>545</v>
      </c>
      <c r="E6027" s="1" t="s">
        <v>6272</v>
      </c>
      <c r="F6027" s="1" t="s">
        <v>9672</v>
      </c>
      <c r="G6027" s="1" t="s">
        <v>36</v>
      </c>
      <c r="H6027" s="1" t="s">
        <v>29</v>
      </c>
      <c r="I6027" s="1" t="str">
        <f ca="1">IFERROR(__xludf.DUMMYFUNCTION("GOOGLETRANSLATE(F6027, ""auto"", ""en"")
"),"It's an excellent phone, it's very convenient that it has a base and a handset. The buttons are convenient.")</f>
        <v>It's an excellent phone, it's very convenient that it has a base and a handset. The buttons are convenient.</v>
      </c>
    </row>
    <row r="6028" spans="1:9" x14ac:dyDescent="0.3">
      <c r="A6028" s="1" t="s">
        <v>211</v>
      </c>
      <c r="B6028" s="1" t="s">
        <v>212</v>
      </c>
      <c r="C6028" s="1" t="s">
        <v>69</v>
      </c>
      <c r="D6028" s="1" t="s">
        <v>247</v>
      </c>
      <c r="E6028" s="1" t="s">
        <v>6761</v>
      </c>
      <c r="F6028" s="1" t="s">
        <v>9673</v>
      </c>
      <c r="G6028" s="1" t="s">
        <v>36</v>
      </c>
      <c r="H6028" s="1" t="s">
        <v>29</v>
      </c>
      <c r="I6028" s="1" t="str">
        <f ca="1">IFERROR(__xludf.DUMMYFUNCTION("GOOGLETRANSLATE(F6028, ""auto"", ""en"")
"),"An excellent hair dryer for medium length hair. The fact that the power is low is even very good, the hair does not swell. I advise girls.")</f>
        <v>An excellent hair dryer for medium length hair. The fact that the power is low is even very good, the hair does not swell. I advise girls.</v>
      </c>
    </row>
    <row r="6029" spans="1:9" x14ac:dyDescent="0.3">
      <c r="A6029" s="1" t="s">
        <v>89</v>
      </c>
      <c r="B6029" s="1" t="s">
        <v>90</v>
      </c>
      <c r="C6029" s="1" t="s">
        <v>57</v>
      </c>
      <c r="D6029" s="1" t="s">
        <v>2336</v>
      </c>
      <c r="E6029" s="1" t="s">
        <v>9674</v>
      </c>
      <c r="F6029" s="1" t="s">
        <v>9675</v>
      </c>
      <c r="G6029" s="1" t="s">
        <v>36</v>
      </c>
      <c r="H6029" s="1" t="s">
        <v>29</v>
      </c>
      <c r="I6029" s="1" t="str">
        <f ca="1">IFERROR(__xludf.DUMMYFUNCTION("GOOGLETRANSLATE(F6029, ""auto"", ""en"")
"),"I haven’t bought ground coffee for a long time, much less instant coffee – only beans. The old coffee grinder literally fell apart before our eyes - it was plastic, although the motor was still working (but it was almost 10 years old). I was looking for j"&amp;"ust such a thing - small, compact, with such a sharp knife that I could grind just enough for 1-2 cups of coffee at a time. There are about the same amount of options, so I chose purely based on price and appearance. I was very pleased. The coffee grinder"&amp;" works like a clock – it grinds finely and evenly, especially in pulse mode. Twice it regularly turned off due to overheating, when I was grinding for a company of 10 people. My rating is excellent!")</f>
        <v>I haven’t bought ground coffee for a long time, much less instant coffee – only beans. The old coffee grinder literally fell apart before our eyes - it was plastic, although the motor was still working (but it was almost 10 years old). I was looking for just such a thing - small, compact, with such a sharp knife that I could grind just enough for 1-2 cups of coffee at a time. There are about the same amount of options, so I chose purely based on price and appearance. I was very pleased. The coffee grinder works like a clock – it grinds finely and evenly, especially in pulse mode. Twice it regularly turned off due to overheating, when I was grinding for a company of 10 people. My rating is excellent!</v>
      </c>
    </row>
    <row r="6030" spans="1:9" x14ac:dyDescent="0.3">
      <c r="A6030" s="1" t="s">
        <v>67</v>
      </c>
      <c r="B6030" s="1" t="s">
        <v>68</v>
      </c>
      <c r="C6030" s="1" t="s">
        <v>69</v>
      </c>
      <c r="D6030" s="1" t="s">
        <v>295</v>
      </c>
      <c r="E6030" s="1" t="s">
        <v>7460</v>
      </c>
      <c r="F6030" s="1" t="s">
        <v>9676</v>
      </c>
      <c r="G6030" s="1" t="s">
        <v>36</v>
      </c>
      <c r="H6030" s="1" t="s">
        <v>29</v>
      </c>
      <c r="I6030" s="1" t="str">
        <f ca="1">IFERROR(__xludf.DUMMYFUNCTION("GOOGLETRANSLATE(F6030, ""auto"", ""en"")
"),"It steams well. The long cord is very convenient. The water reservoir is also spacious, so if you have to do a lot of ironing, you won’t have to run around for water often.")</f>
        <v>It steams well. The long cord is very convenient. The water reservoir is also spacious, so if you have to do a lot of ironing, you won’t have to run around for water often.</v>
      </c>
    </row>
    <row r="6031" spans="1:9" x14ac:dyDescent="0.3">
      <c r="A6031" s="1" t="s">
        <v>120</v>
      </c>
      <c r="B6031" s="1" t="s">
        <v>121</v>
      </c>
      <c r="C6031" s="1" t="s">
        <v>122</v>
      </c>
      <c r="D6031" s="1" t="s">
        <v>172</v>
      </c>
      <c r="E6031" s="1" t="s">
        <v>6232</v>
      </c>
      <c r="F6031" s="1" t="s">
        <v>9677</v>
      </c>
      <c r="G6031" s="1" t="s">
        <v>36</v>
      </c>
      <c r="H6031" s="1" t="s">
        <v>29</v>
      </c>
      <c r="I6031" s="1" t="str">
        <f ca="1">IFERROR(__xludf.DUMMYFUNCTION("GOOGLETRANSLATE(F6031, ""auto"", ""en"")
"),"I bought it yesterday and I can’t be happier with the TV, it’s just a masterpiece!!! The colors and halftones are simply fantastic, the films are wonderful to watch, and what was also surprising is that through the analog antenna it shows not just worthy,"&amp;" but beyond all praise, I’ll be honest, I didn’t expect this, I played games with the PS3, the colors were just super, and again the colors were amazing!!! So I advise everyone to buy this TV, you won’t regret it, it’s a solid 5!!!")</f>
        <v>I bought it yesterday and I can’t be happier with the TV, it’s just a masterpiece!!! The colors and halftones are simply fantastic, the films are wonderful to watch, and what was also surprising is that through the analog antenna it shows not just worthy, but beyond all praise, I’ll be honest, I didn’t expect this, I played games with the PS3, the colors were just super, and again the colors were amazing!!! So I advise everyone to buy this TV, you won’t regret it, it’s a solid 5!!!</v>
      </c>
    </row>
    <row r="6032" spans="1:9" x14ac:dyDescent="0.3">
      <c r="A6032" s="1" t="s">
        <v>9</v>
      </c>
      <c r="B6032" s="1" t="s">
        <v>23</v>
      </c>
      <c r="C6032" s="1" t="s">
        <v>151</v>
      </c>
      <c r="D6032" s="1" t="s">
        <v>4730</v>
      </c>
      <c r="E6032" s="1" t="s">
        <v>2636</v>
      </c>
      <c r="F6032" s="1" t="s">
        <v>9678</v>
      </c>
      <c r="G6032" s="1" t="s">
        <v>28</v>
      </c>
      <c r="H6032" s="1" t="s">
        <v>29</v>
      </c>
      <c r="I6032" s="1" t="str">
        <f ca="1">IFERROR(__xludf.DUMMYFUNCTION("GOOGLETRANSLATE(F6032, ""auto"", ""en"")
"),"The dishwasher is very good, washes plates magically, glasses and cutlery well.&amp;nbsp;")</f>
        <v>The dishwasher is very good, washes plates magically, glasses and cutlery well.&amp;nbsp;</v>
      </c>
    </row>
    <row r="6033" spans="1:9" x14ac:dyDescent="0.3">
      <c r="A6033" s="1" t="s">
        <v>111</v>
      </c>
      <c r="B6033" s="1" t="s">
        <v>636</v>
      </c>
      <c r="C6033" s="1" t="s">
        <v>637</v>
      </c>
      <c r="D6033" s="1" t="s">
        <v>568</v>
      </c>
      <c r="E6033" s="1" t="s">
        <v>654</v>
      </c>
      <c r="F6033" s="1" t="s">
        <v>9679</v>
      </c>
      <c r="G6033" s="1" t="s">
        <v>36</v>
      </c>
      <c r="H6033" s="1" t="s">
        <v>29</v>
      </c>
      <c r="I6033" s="1" t="str">
        <f ca="1">IFERROR(__xludf.DUMMYFUNCTION("GOOGLETRANSLATE(F6033, ""auto"", ""en"")
"),"All the declared functions work, this model generally looks like a reliable tank)) At first it also showed a humidity of 2%. I was surprised and read the instructions. The range of measured humidity is from 25% to 95%. Then it dawned on me. In general, wh"&amp;"en humidity is less than 25%, the device shows either dashes or 2%. After three days of using the humidifier, everything returned to normal. So, those comrades who have 2% - urgently hydrate!")</f>
        <v>All the declared functions work, this model generally looks like a reliable tank)) At first it also showed a humidity of 2%. I was surprised and read the instructions. The range of measured humidity is from 25% to 95%. Then it dawned on me. In general, when humidity is less than 25%, the device shows either dashes or 2%. After three days of using the humidifier, everything returned to normal. So, those comrades who have 2% - urgently hydrate!</v>
      </c>
    </row>
    <row r="6034" spans="1:9" x14ac:dyDescent="0.3">
      <c r="A6034" s="1" t="s">
        <v>149</v>
      </c>
      <c r="B6034" s="1" t="s">
        <v>576</v>
      </c>
      <c r="C6034" s="1" t="s">
        <v>151</v>
      </c>
      <c r="D6034" s="1" t="s">
        <v>152</v>
      </c>
      <c r="E6034" s="1" t="s">
        <v>4818</v>
      </c>
      <c r="F6034" s="1" t="s">
        <v>9680</v>
      </c>
      <c r="G6034" s="1" t="s">
        <v>49</v>
      </c>
      <c r="H6034" s="1" t="s">
        <v>16</v>
      </c>
      <c r="I6034" s="1" t="str">
        <f ca="1">IFERROR(__xludf.DUMMYFUNCTION("GOOGLETRANSLATE(F6034, ""auto"", ""en"")
"),"What can you say about this model?  - Noisy. And that's putting it mildly. With such a vacuum cleaner you can safely wake up your neighbors in the morning.  - Plastic composite tube. Not only is it not adjustable in height, but it also bends.  - Brush. He"&amp;"re, like all cheap vacuum cleaners, there is nothing extraordinary - a standard set.  - Price. Until a bunch of all sorts of Supras, Rolsens, etc. were dumped on the market. Chinese “good”, Samsung’s price tag was comparable to the quality. And now... yes"&amp;", she is still not high, but is there any point in paying extra for a Korean brand?  I'm glad that I actually got a vacuum cleaner as a gift. Because taking it for money is not respecting yourself. It’s better to pay a little extra and find a quieter and "&amp;"more comfortable model.")</f>
        <v>What can you say about this model?  - Noisy. And that's putting it mildly. With such a vacuum cleaner you can safely wake up your neighbors in the morning.  - Plastic composite tube. Not only is it not adjustable in height, but it also bends.  - Brush. Here, like all cheap vacuum cleaners, there is nothing extraordinary - a standard set.  - Price. Until a bunch of all sorts of Supras, Rolsens, etc. were dumped on the market. Chinese “good”, Samsung’s price tag was comparable to the quality. And now... yes, she is still not high, but is there any point in paying extra for a Korean brand?  I'm glad that I actually got a vacuum cleaner as a gift. Because taking it for money is not respecting yourself. It’s better to pay a little extra and find a quieter and more comfortable model.</v>
      </c>
    </row>
    <row r="6035" spans="1:9" x14ac:dyDescent="0.3">
      <c r="A6035" s="1" t="s">
        <v>206</v>
      </c>
      <c r="B6035" s="1" t="s">
        <v>207</v>
      </c>
      <c r="C6035" s="1" t="s">
        <v>97</v>
      </c>
      <c r="D6035" s="1" t="s">
        <v>152</v>
      </c>
      <c r="E6035" s="1" t="s">
        <v>3233</v>
      </c>
      <c r="F6035" s="1" t="s">
        <v>9681</v>
      </c>
      <c r="G6035" s="1" t="s">
        <v>36</v>
      </c>
      <c r="H6035" s="1" t="s">
        <v>29</v>
      </c>
      <c r="I6035" s="1" t="str">
        <f ca="1">IFERROR(__xludf.DUMMYFUNCTION("GOOGLETRANSLATE(F6035, ""auto"", ""en"")
"),"Hello everyone, if you came here, then this is the right choice. This sub produces incredible pleasure for listening to any music, both bass and regular pop. I have one in the luggage compartment of a station wagon with a Panasonic head and a front 16 cm "&amp;"from the same Sony company, and also a 6 * 9 Sony rear, a Prologi 2 150, hooked it up with an axle, it came out to 300 rated power. And now I listen and enjoy the music, and don’t let my beloved mother-in-law sleep at night! I advise you to buy one! Simpl"&amp;"y super class - bass!!!")</f>
        <v>Hello everyone, if you came here, then this is the right choice. This sub produces incredible pleasure for listening to any music, both bass and regular pop. I have one in the luggage compartment of a station wagon with a Panasonic head and a front 16 cm from the same Sony company, and also a 6 * 9 Sony rear, a Prologi 2 150, hooked it up with an axle, it came out to 300 rated power. And now I listen and enjoy the music, and don’t let my beloved mother-in-law sleep at night! I advise you to buy one! Simply super class - bass!!!</v>
      </c>
    </row>
    <row r="6036" spans="1:9" x14ac:dyDescent="0.3">
      <c r="A6036" s="1" t="s">
        <v>105</v>
      </c>
      <c r="B6036" s="1" t="s">
        <v>106</v>
      </c>
      <c r="C6036" s="1" t="s">
        <v>151</v>
      </c>
      <c r="D6036" s="1" t="s">
        <v>9682</v>
      </c>
      <c r="E6036" s="1" t="s">
        <v>2680</v>
      </c>
      <c r="F6036" s="1" t="s">
        <v>9683</v>
      </c>
      <c r="G6036" s="1" t="s">
        <v>36</v>
      </c>
      <c r="H6036" s="1" t="s">
        <v>29</v>
      </c>
      <c r="I6036" s="1" t="str">
        <f ca="1">IFERROR(__xludf.DUMMYFUNCTION("GOOGLETRANSLATE(F6036, ""auto"", ""en"")
"),"The player is simply mega. There are no minuses. I advise everyone to buy it :)")</f>
        <v>The player is simply mega. There are no minuses. I advise everyone to buy it :)</v>
      </c>
    </row>
    <row r="6037" spans="1:9" x14ac:dyDescent="0.3">
      <c r="A6037" s="1" t="s">
        <v>206</v>
      </c>
      <c r="B6037" s="1" t="s">
        <v>207</v>
      </c>
      <c r="C6037" s="1" t="s">
        <v>97</v>
      </c>
      <c r="D6037" s="1" t="s">
        <v>9684</v>
      </c>
      <c r="E6037" s="1" t="s">
        <v>2168</v>
      </c>
      <c r="F6037" s="1" t="s">
        <v>9685</v>
      </c>
      <c r="G6037" s="1" t="s">
        <v>36</v>
      </c>
      <c r="H6037" s="1" t="s">
        <v>29</v>
      </c>
      <c r="I6037" s="1" t="str">
        <f ca="1">IFERROR(__xludf.DUMMYFUNCTION("GOOGLETRANSLATE(F6037, ""auto"", ""en"")
"),"I bought this sub and a Kicx AR 1.350 mono amplifier 2 days ago. I installed Porter 2 in a Hyundai, the bass is very strong and deep even at 50% of the amplifier power, the best of all the subs I bought")</f>
        <v>I bought this sub and a Kicx AR 1.350 mono amplifier 2 days ago. I installed Porter 2 in a Hyundai, the bass is very strong and deep even at 50% of the amplifier power, the best of all the subs I bought</v>
      </c>
    </row>
    <row r="6038" spans="1:9" x14ac:dyDescent="0.3">
      <c r="A6038" s="1" t="s">
        <v>369</v>
      </c>
      <c r="B6038" s="1" t="s">
        <v>587</v>
      </c>
      <c r="C6038" s="1" t="s">
        <v>588</v>
      </c>
      <c r="D6038" s="1" t="s">
        <v>589</v>
      </c>
      <c r="E6038" s="1" t="s">
        <v>2651</v>
      </c>
      <c r="F6038" s="1" t="s">
        <v>9686</v>
      </c>
      <c r="G6038" s="1" t="s">
        <v>28</v>
      </c>
      <c r="H6038" s="1" t="s">
        <v>29</v>
      </c>
      <c r="I6038" s="1" t="str">
        <f ca="1">IFERROR(__xludf.DUMMYFUNCTION("GOOGLETRANSLATE(F6038, ""auto"", ""en"")
"),"I'm happy with the stove. What they write about the inconvenient location of the burners was a plus for me. I use the medium ones many times more often and I’m not afraid that the child will knock over the pan on himself. The only one for yourself&amp;nbsp; m"&amp;"inus&amp;nbsp; It showed up 10 months later - spots (stripes) of unknown origin began to appear, it felt like the stove was rusting from the inside.")</f>
        <v>I'm happy with the stove. What they write about the inconvenient location of the burners was a plus for me. I use the medium ones many times more often and I’m not afraid that the child will knock over the pan on himself. The only one for yourself&amp;nbsp; minus&amp;nbsp; It showed up 10 months later - spots (stripes) of unknown origin began to appear, it felt like the stove was rusting from the inside.</v>
      </c>
    </row>
    <row r="6039" spans="1:9" x14ac:dyDescent="0.3">
      <c r="A6039" s="1" t="s">
        <v>113</v>
      </c>
      <c r="B6039" s="1" t="s">
        <v>1251</v>
      </c>
      <c r="C6039" s="1" t="s">
        <v>2115</v>
      </c>
      <c r="D6039" s="1" t="s">
        <v>742</v>
      </c>
      <c r="E6039" s="1" t="s">
        <v>2383</v>
      </c>
      <c r="F6039" s="1" t="s">
        <v>9687</v>
      </c>
      <c r="G6039" s="1" t="s">
        <v>36</v>
      </c>
      <c r="H6039" s="1" t="s">
        <v>29</v>
      </c>
      <c r="I6039" s="1" t="str">
        <f ca="1">IFERROR(__xludf.DUMMYFUNCTION("GOOGLETRANSLATE(F6039, ""auto"", ""en"")
"),"Nikon is Nikon!!!  Very convenient.  The photo is just superb.  The video in the dark room shocked me (I’ve never seen anything like this in others)!  If you are looking for your first camera, don’t even hesitate - for the money, this is the best offer.")</f>
        <v>Nikon is Nikon!!!  Very convenient.  The photo is just superb.  The video in the dark room shocked me (I’ve never seen anything like this in others)!  If you are looking for your first camera, don’t even hesitate - for the money, this is the best offer.</v>
      </c>
    </row>
    <row r="6040" spans="1:9" x14ac:dyDescent="0.3">
      <c r="A6040" s="1" t="s">
        <v>9</v>
      </c>
      <c r="B6040" s="1" t="s">
        <v>10</v>
      </c>
      <c r="C6040" s="1" t="s">
        <v>3091</v>
      </c>
      <c r="D6040" s="1" t="s">
        <v>33</v>
      </c>
      <c r="E6040" s="1" t="s">
        <v>969</v>
      </c>
      <c r="F6040" s="1" t="s">
        <v>9688</v>
      </c>
      <c r="G6040" s="1" t="s">
        <v>36</v>
      </c>
      <c r="H6040" s="1" t="s">
        <v>29</v>
      </c>
      <c r="I6040" s="1" t="str">
        <f ca="1">IFERROR(__xludf.DUMMYFUNCTION("GOOGLETRANSLATE(F6040, ""auto"", ""en"")
"),"I've been using it for 2 years. I have never regretted it. Excellent hood. Stylish, functional. I also chose it based on noise level. Compared to many, it wins in this component.")</f>
        <v>I've been using it for 2 years. I have never regretted it. Excellent hood. Stylish, functional. I also chose it based on noise level. Compared to many, it wins in this component.</v>
      </c>
    </row>
    <row r="6041" spans="1:9" x14ac:dyDescent="0.3">
      <c r="A6041" s="1" t="s">
        <v>61</v>
      </c>
      <c r="B6041" s="1" t="s">
        <v>318</v>
      </c>
      <c r="C6041" s="1" t="s">
        <v>2840</v>
      </c>
      <c r="D6041" s="1" t="s">
        <v>114</v>
      </c>
      <c r="E6041" s="1" t="s">
        <v>4750</v>
      </c>
      <c r="F6041" s="1" t="s">
        <v>9689</v>
      </c>
      <c r="G6041" s="1" t="s">
        <v>28</v>
      </c>
      <c r="H6041" s="1" t="s">
        <v>29</v>
      </c>
      <c r="I6041" s="1" t="str">
        <f ca="1">IFERROR(__xludf.DUMMYFUNCTION("GOOGLETRANSLATE(F6041, ""auto"", ""en"")
"),"The month works properly, boils silently and turns off. I like the water, it seems to taste cleaner - I used to have a plastic kettle... Yes, the water spills slightly after pouring into the cup, along the spout. It boils slowly, but does not overload the"&amp;" networks, because it is 2 times weaker than most. For a month there was no scale, we never washed it. Also in our case, it looks good considering its height. The small cups included were also useful.")</f>
        <v>The month works properly, boils silently and turns off. I like the water, it seems to taste cleaner - I used to have a plastic kettle... Yes, the water spills slightly after pouring into the cup, along the spout. It boils slowly, but does not overload the networks, because it is 2 times weaker than most. For a month there was no scale, we never washed it. Also in our case, it looks good considering its height. The small cups included were also useful.</v>
      </c>
    </row>
    <row r="6042" spans="1:9" x14ac:dyDescent="0.3">
      <c r="A6042" s="1" t="s">
        <v>1119</v>
      </c>
      <c r="B6042" s="1" t="s">
        <v>1120</v>
      </c>
      <c r="C6042" s="1" t="s">
        <v>97</v>
      </c>
      <c r="D6042" s="1" t="s">
        <v>139</v>
      </c>
      <c r="E6042" s="1" t="s">
        <v>750</v>
      </c>
      <c r="F6042" s="1" t="s">
        <v>9690</v>
      </c>
      <c r="G6042" s="1" t="s">
        <v>15</v>
      </c>
      <c r="H6042" s="1" t="s">
        <v>16</v>
      </c>
      <c r="I6042" s="1" t="str">
        <f ca="1">IFERROR(__xludf.DUMMYFUNCTION("GOOGLETRANSLATE(F6042, ""auto"", ""en"")
"),"The advantages of this camera are its dimensions and the menu is very convenient and understandable; my wife liked the touch screen. Well, as for what it is needed for, it’s a complete disappointment. Blurred image, disgusting color rendition (especially "&amp;"in room lighting), some “cadaverous” spots flicker like on a mobile phone. We tried all modes, different lighting, watched it on different TVs and a laptop - and in the end I returned it. Our canon ixus camera shoots video 2 TIMES better!!!")</f>
        <v>The advantages of this camera are its dimensions and the menu is very convenient and understandable; my wife liked the touch screen. Well, as for what it is needed for, it’s a complete disappointment. Blurred image, disgusting color rendition (especially in room lighting), some “cadaverous” spots flicker like on a mobile phone. We tried all modes, different lighting, watched it on different TVs and a laptop - and in the end I returned it. Our canon ixus camera shoots video 2 TIMES better!!!</v>
      </c>
    </row>
    <row r="6043" spans="1:9" x14ac:dyDescent="0.3">
      <c r="A6043" s="1" t="s">
        <v>111</v>
      </c>
      <c r="B6043" s="1" t="s">
        <v>636</v>
      </c>
      <c r="C6043" s="1" t="s">
        <v>637</v>
      </c>
      <c r="D6043" s="1" t="s">
        <v>9691</v>
      </c>
      <c r="E6043" s="1" t="s">
        <v>1177</v>
      </c>
      <c r="F6043" s="1" t="s">
        <v>9692</v>
      </c>
      <c r="G6043" s="1" t="s">
        <v>36</v>
      </c>
      <c r="H6043" s="1" t="s">
        <v>29</v>
      </c>
      <c r="I6043" s="1" t="str">
        <f ca="1">IFERROR(__xludf.DUMMYFUNCTION("GOOGLETRANSLATE(F6043, ""auto"", ""en"")
"),"I have been using this device for about a year. I have no complaints. It predicts the weather by 60-70% (very convenient, although the forecast is only barometric). It is necessary to install lithium batteries on the external sensor, otherwise at -15, bot"&amp;"h salt and alkaline batteries will stop functioning.")</f>
        <v>I have been using this device for about a year. I have no complaints. It predicts the weather by 60-70% (very convenient, although the forecast is only barometric). It is necessary to install lithium batteries on the external sensor, otherwise at -15, both salt and alkaline batteries will stop functioning.</v>
      </c>
    </row>
    <row r="6044" spans="1:9" x14ac:dyDescent="0.3">
      <c r="A6044" s="1" t="s">
        <v>61</v>
      </c>
      <c r="B6044" s="1" t="s">
        <v>224</v>
      </c>
      <c r="C6044" s="1" t="s">
        <v>57</v>
      </c>
      <c r="D6044" s="1" t="s">
        <v>9693</v>
      </c>
      <c r="E6044" s="1" t="s">
        <v>1452</v>
      </c>
      <c r="F6044" s="1" t="s">
        <v>9694</v>
      </c>
      <c r="G6044" s="1" t="s">
        <v>36</v>
      </c>
      <c r="H6044" s="1" t="s">
        <v>29</v>
      </c>
      <c r="I6044" s="1" t="str">
        <f ca="1">IFERROR(__xludf.DUMMYFUNCTION("GOOGLETRANSLATE(F6044, ""auto"", ""en"")
"),"Buy it, don’t even think about it, the price is a penny - you don’t mind throwing it away if it breaks, I’ve been using it for the second month, it’s still working =) Three oranges - a glass of juice.")</f>
        <v>Buy it, don’t even think about it, the price is a penny - you don’t mind throwing it away if it breaks, I’ve been using it for the second month, it’s still working =) Three oranges - a glass of juice.</v>
      </c>
    </row>
    <row r="6045" spans="1:9" x14ac:dyDescent="0.3">
      <c r="A6045" s="1" t="s">
        <v>169</v>
      </c>
      <c r="B6045" s="1" t="s">
        <v>170</v>
      </c>
      <c r="C6045" s="1" t="s">
        <v>69</v>
      </c>
      <c r="D6045" s="1" t="s">
        <v>327</v>
      </c>
      <c r="E6045" s="1" t="s">
        <v>1355</v>
      </c>
      <c r="F6045" s="1" t="s">
        <v>9695</v>
      </c>
      <c r="G6045" s="1" t="s">
        <v>28</v>
      </c>
      <c r="H6045" s="1" t="s">
        <v>29</v>
      </c>
      <c r="I6045" s="1" t="str">
        <f ca="1">IFERROR(__xludf.DUMMYFUNCTION("GOOGLETRANSLATE(F6045, ""auto"", ""en"")
"),"I really like the sound, they fit tightly, quite comfortably, the headband is too big for me, but there is no adjustment")</f>
        <v>I really like the sound, they fit tightly, quite comfortably, the headband is too big for me, but there is no adjustment</v>
      </c>
    </row>
    <row r="6046" spans="1:9" x14ac:dyDescent="0.3">
      <c r="A6046" s="1" t="s">
        <v>37</v>
      </c>
      <c r="B6046" s="1" t="s">
        <v>536</v>
      </c>
      <c r="C6046" s="1" t="s">
        <v>32</v>
      </c>
      <c r="D6046" s="1" t="s">
        <v>9696</v>
      </c>
      <c r="E6046" s="1" t="s">
        <v>594</v>
      </c>
      <c r="F6046" s="1" t="s">
        <v>9697</v>
      </c>
      <c r="G6046" s="1" t="s">
        <v>49</v>
      </c>
      <c r="H6046" s="1" t="s">
        <v>16</v>
      </c>
      <c r="I6046" s="1" t="str">
        <f ca="1">IFERROR(__xludf.DUMMYFUNCTION("GOOGLETRANSLATE(F6046, ""auto"", ""en"")
"),"The assembly of the device is excellent. The battery lasts two days. Cutting-edge design. Management is good and fast. I became friends with WM6.5 right away, although I don’t bother with its settings. The acker support site is designed in an accessible m"&amp;"anner and is constantly updated with tips and additions.   I'm happy with it. I hope you like it too.  I give it a rating of one out of five.")</f>
        <v>The assembly of the device is excellent. The battery lasts two days. Cutting-edge design. Management is good and fast. I became friends with WM6.5 right away, although I don’t bother with its settings. The acker support site is designed in an accessible manner and is constantly updated with tips and additions.   I'm happy with it. I hope you like it too.  I give it a rating of one out of five.</v>
      </c>
    </row>
    <row r="6047" spans="1:9" x14ac:dyDescent="0.3">
      <c r="A6047" s="1" t="s">
        <v>1119</v>
      </c>
      <c r="B6047" s="1" t="s">
        <v>1120</v>
      </c>
      <c r="C6047" s="1" t="s">
        <v>151</v>
      </c>
      <c r="D6047" s="1" t="s">
        <v>39</v>
      </c>
      <c r="E6047" s="1" t="s">
        <v>824</v>
      </c>
      <c r="F6047" s="1" t="s">
        <v>9698</v>
      </c>
      <c r="G6047" s="1" t="s">
        <v>36</v>
      </c>
      <c r="H6047" s="1" t="s">
        <v>29</v>
      </c>
      <c r="I6047" s="1" t="str">
        <f ca="1">IFERROR(__xludf.DUMMYFUNCTION("GOOGLETRANSLATE(F6047, ""auto"", ""en"")
"),"I liked the camera.   I liked the battery. Quite small. 5 points!")</f>
        <v>I liked the camera.   I liked the battery. Quite small. 5 points!</v>
      </c>
    </row>
    <row r="6048" spans="1:9" x14ac:dyDescent="0.3">
      <c r="A6048" s="1" t="s">
        <v>55</v>
      </c>
      <c r="B6048" s="1" t="s">
        <v>184</v>
      </c>
      <c r="C6048" s="1" t="s">
        <v>101</v>
      </c>
      <c r="D6048" s="1" t="s">
        <v>545</v>
      </c>
      <c r="E6048" s="1" t="s">
        <v>353</v>
      </c>
      <c r="F6048" s="1" t="s">
        <v>9699</v>
      </c>
      <c r="G6048" s="1" t="s">
        <v>36</v>
      </c>
      <c r="H6048" s="1" t="s">
        <v>29</v>
      </c>
      <c r="I6048" s="1" t="str">
        <f ca="1">IFERROR(__xludf.DUMMYFUNCTION("GOOGLETRANSLATE(F6048, ""auto"", ""en"")
"),"It justifies itself; it heats a small room well. Automatically turns off when picked up. Due to the ceramic heating element, it does not burn oxygen. Not much noise. Overall, an excellent device, I recommend it!")</f>
        <v>It justifies itself; it heats a small room well. Automatically turns off when picked up. Due to the ceramic heating element, it does not burn oxygen. Not much noise. Overall, an excellent device, I recommend it!</v>
      </c>
    </row>
    <row r="6049" spans="1:9" x14ac:dyDescent="0.3">
      <c r="A6049" s="1" t="s">
        <v>496</v>
      </c>
      <c r="B6049" s="1" t="s">
        <v>497</v>
      </c>
      <c r="C6049" s="1" t="s">
        <v>487</v>
      </c>
      <c r="D6049" s="1" t="s">
        <v>3456</v>
      </c>
      <c r="E6049" s="1" t="s">
        <v>6363</v>
      </c>
      <c r="F6049" s="1" t="s">
        <v>9700</v>
      </c>
      <c r="G6049" s="1" t="s">
        <v>36</v>
      </c>
      <c r="H6049" s="1" t="s">
        <v>29</v>
      </c>
      <c r="I6049" s="1" t="str">
        <f ca="1">IFERROR(__xludf.DUMMYFUNCTION("GOOGLETRANSLATE(F6049, ""auto"", ""en"")
"),"Yesterday I bought Windows 7 and didn’t regret it, the Internet plows faster and takes up little memory, and there’s also encryption in 35 languages")</f>
        <v>Yesterday I bought Windows 7 and didn’t regret it, the Internet plows faster and takes up little memory, and there’s also encryption in 35 languages</v>
      </c>
    </row>
    <row r="6050" spans="1:9" x14ac:dyDescent="0.3">
      <c r="A6050" s="1" t="s">
        <v>9</v>
      </c>
      <c r="B6050" s="1" t="s">
        <v>10</v>
      </c>
      <c r="C6050" s="1" t="s">
        <v>466</v>
      </c>
      <c r="D6050" s="1" t="s">
        <v>474</v>
      </c>
      <c r="E6050" s="1" t="s">
        <v>4010</v>
      </c>
      <c r="F6050" s="1" t="s">
        <v>9701</v>
      </c>
      <c r="G6050" s="1" t="s">
        <v>28</v>
      </c>
      <c r="H6050" s="1" t="s">
        <v>29</v>
      </c>
      <c r="I6050" s="1" t="str">
        <f ca="1">IFERROR(__xludf.DUMMYFUNCTION("GOOGLETRANSLATE(F6050, ""auto"", ""en"")
"),"I couldn’t decide on the model of the hood for a long time; the store recommended this model, especially since it was at a discount of 3,000 rubles. I bought it and have been using it for three months now. It copes with its duties perfectly, cleans the ai"&amp;"r and leaves no smell during cooking. Among the disadvantages I can highlight is that it is a bit expensive to buy a filter for it and the model is not quiet, but it doesn’t bother me much. The model is good, but the manufacturer would like it to be quiet"&amp;"er. but for now it's a solid four.")</f>
        <v>I couldn’t decide on the model of the hood for a long time; the store recommended this model, especially since it was at a discount of 3,000 rubles. I bought it and have been using it for three months now. It copes with its duties perfectly, cleans the air and leaves no smell during cooking. Among the disadvantages I can highlight is that it is a bit expensive to buy a filter for it and the model is not quiet, but it doesn’t bother me much. The model is good, but the manufacturer would like it to be quieter. but for now it's a solid four.</v>
      </c>
    </row>
    <row r="6051" spans="1:9" x14ac:dyDescent="0.3">
      <c r="A6051" s="1" t="s">
        <v>30</v>
      </c>
      <c r="B6051" s="1" t="s">
        <v>50</v>
      </c>
      <c r="C6051" s="1" t="s">
        <v>51</v>
      </c>
      <c r="D6051" s="1" t="s">
        <v>742</v>
      </c>
      <c r="E6051" s="1" t="s">
        <v>225</v>
      </c>
      <c r="F6051" s="1" t="s">
        <v>9702</v>
      </c>
      <c r="G6051" s="1" t="s">
        <v>36</v>
      </c>
      <c r="H6051" s="1" t="s">
        <v>29</v>
      </c>
      <c r="I6051" s="1" t="str">
        <f ca="1">IFERROR(__xludf.DUMMYFUNCTION("GOOGLETRANSLATE(F6051, ""auto"", ""en"")
"),"The laptop is absolutely gorgeous. There are no complaints, but I would like to know what type of file system the pqservice section has? I accidentally deleted it.")</f>
        <v>The laptop is absolutely gorgeous. There are no complaints, but I would like to know what type of file system the pqservice section has? I accidentally deleted it.</v>
      </c>
    </row>
    <row r="6052" spans="1:9" x14ac:dyDescent="0.3">
      <c r="A6052" s="1" t="s">
        <v>89</v>
      </c>
      <c r="B6052" s="1" t="s">
        <v>1106</v>
      </c>
      <c r="C6052" s="1" t="s">
        <v>74</v>
      </c>
      <c r="D6052" s="1" t="s">
        <v>2045</v>
      </c>
      <c r="E6052" s="1" t="s">
        <v>3131</v>
      </c>
      <c r="F6052" s="1" t="s">
        <v>9703</v>
      </c>
      <c r="G6052" s="1" t="s">
        <v>36</v>
      </c>
      <c r="H6052" s="1" t="s">
        <v>29</v>
      </c>
      <c r="I6052" s="1" t="str">
        <f ca="1">IFERROR(__xludf.DUMMYFUNCTION("GOOGLETRANSLATE(F6052, ""auto"", ""en"")
"),"The coffee brews quickly, if you like it stronger, mix two grinds: very fine (as for brewing in a cup) and regular. You can’t tell the taste from a capsule coffee maker! (this one is worth it because as usual you forget to order capsules (((I took the reg"&amp;"ular one to replace it, I’m happy! My husband and I drink coffee in buckets in the morning, all 2 machines work constantly))) take it to your liking! Five minutes, 4 cups of coffee ready!!!")</f>
        <v>The coffee brews quickly, if you like it stronger, mix two grinds: very fine (as for brewing in a cup) and regular. You can’t tell the taste from a capsule coffee maker! (this one is worth it because as usual you forget to order capsules (((I took the regular one to replace it, I’m happy! My husband and I drink coffee in buckets in the morning, all 2 machines work constantly))) take it to your liking! Five minutes, 4 cups of coffee ready!!!</v>
      </c>
    </row>
    <row r="6053" spans="1:9" x14ac:dyDescent="0.3">
      <c r="A6053" s="1" t="s">
        <v>373</v>
      </c>
      <c r="B6053" s="1" t="s">
        <v>374</v>
      </c>
      <c r="C6053" s="1" t="s">
        <v>134</v>
      </c>
      <c r="D6053" s="1" t="s">
        <v>152</v>
      </c>
      <c r="E6053" s="1" t="s">
        <v>2380</v>
      </c>
      <c r="F6053" s="1" t="s">
        <v>9704</v>
      </c>
      <c r="G6053" s="1" t="s">
        <v>36</v>
      </c>
      <c r="H6053" s="1" t="s">
        <v>29</v>
      </c>
      <c r="I6053" s="1" t="str">
        <f ca="1">IFERROR(__xludf.DUMMYFUNCTION("GOOGLETRANSLATE(F6053, ""auto"", ""en"")
"),"It’s a good machine, I’ve been using it for 1.5 years, during all the time I’ve been using it I can’t even say anything bad about it, considering its size it’s very roomy, the only thing better is to place it away from the stove, the plastic of the top co"&amp;"ver can crack, as happened to me, in general it’s a good machine, I recommend it to everyone.")</f>
        <v>It’s a good machine, I’ve been using it for 1.5 years, during all the time I’ve been using it I can’t even say anything bad about it, considering its size it’s very roomy, the only thing better is to place it away from the stove, the plastic of the top cover can crack, as happened to me, in general it’s a good machine, I recommend it to everyone.</v>
      </c>
    </row>
    <row r="6054" spans="1:9" x14ac:dyDescent="0.3">
      <c r="A6054" s="1" t="s">
        <v>67</v>
      </c>
      <c r="B6054" s="1" t="s">
        <v>68</v>
      </c>
      <c r="C6054" s="1" t="s">
        <v>185</v>
      </c>
      <c r="D6054" s="1" t="s">
        <v>943</v>
      </c>
      <c r="E6054" s="1" t="s">
        <v>1312</v>
      </c>
      <c r="F6054" s="1" t="s">
        <v>9705</v>
      </c>
      <c r="G6054" s="1" t="s">
        <v>36</v>
      </c>
      <c r="H6054" s="1" t="s">
        <v>29</v>
      </c>
      <c r="I6054" s="1" t="str">
        <f ca="1">IFERROR(__xludf.DUMMYFUNCTION("GOOGLETRANSLATE(F6054, ""auto"", ""en"")
"),"An excellent ironing system, my children gave it to me, at first I was afraid to approach it, but now I iron with pleasure and the result is excellent, I recommend it to everyone!")</f>
        <v>An excellent ironing system, my children gave it to me, at first I was afraid to approach it, but now I iron with pleasure and the result is excellent, I recommend it to everyone!</v>
      </c>
    </row>
    <row r="6055" spans="1:9" x14ac:dyDescent="0.3">
      <c r="A6055" s="1" t="s">
        <v>149</v>
      </c>
      <c r="B6055" s="1" t="s">
        <v>155</v>
      </c>
      <c r="C6055" s="1" t="s">
        <v>996</v>
      </c>
      <c r="D6055" s="1" t="s">
        <v>39</v>
      </c>
      <c r="E6055" s="1" t="s">
        <v>960</v>
      </c>
      <c r="F6055" s="1" t="s">
        <v>9706</v>
      </c>
      <c r="G6055" s="1" t="s">
        <v>36</v>
      </c>
      <c r="H6055" s="1" t="s">
        <v>29</v>
      </c>
      <c r="I6055" s="1" t="str">
        <f ca="1">IFERROR(__xludf.DUMMYFUNCTION("GOOGLETRANSLATE(F6055, ""auto"", ""en"")
"),"We bought an excellent vacuum cleaner at a discount :)!  Minus one: in the container body there are cracks in which dust and water get clogged when you wash it, the issue was resolved by disassembling and sealing, but everything is OK!!!")</f>
        <v>We bought an excellent vacuum cleaner at a discount :)!  Minus one: in the container body there are cracks in which dust and water get clogged when you wash it, the issue was resolved by disassembling and sealing, but everything is OK!!!</v>
      </c>
    </row>
    <row r="6056" spans="1:9" x14ac:dyDescent="0.3">
      <c r="A6056" s="1" t="s">
        <v>61</v>
      </c>
      <c r="B6056" s="1" t="s">
        <v>726</v>
      </c>
      <c r="C6056" s="1" t="s">
        <v>122</v>
      </c>
      <c r="D6056" s="1" t="s">
        <v>521</v>
      </c>
      <c r="E6056" s="1" t="s">
        <v>2176</v>
      </c>
      <c r="F6056" s="1" t="s">
        <v>9707</v>
      </c>
      <c r="G6056" s="1" t="s">
        <v>36</v>
      </c>
      <c r="H6056" s="1" t="s">
        <v>29</v>
      </c>
      <c r="I6056" s="1" t="str">
        <f ca="1">IFERROR(__xludf.DUMMYFUNCTION("GOOGLETRANSLATE(F6056, ""auto"", ""en"")
"),"We bought it 1.5 years ago. I’m very pleased, the bread is amazing, and what Easter cakes they make.....))) We use it all the time, it’s a great helper in making dough!!!  I recommend it to everyone, I’m very satisfied, you won’t regret it!!!")</f>
        <v>We bought it 1.5 years ago. I’m very pleased, the bread is amazing, and what Easter cakes they make.....))) We use it all the time, it’s a great helper in making dough!!!  I recommend it to everyone, I’m very satisfied, you won’t regret it!!!</v>
      </c>
    </row>
    <row r="6057" spans="1:9" x14ac:dyDescent="0.3">
      <c r="A6057" s="1" t="s">
        <v>61</v>
      </c>
      <c r="B6057" s="1" t="s">
        <v>224</v>
      </c>
      <c r="C6057" s="1" t="s">
        <v>85</v>
      </c>
      <c r="D6057" s="1" t="s">
        <v>247</v>
      </c>
      <c r="E6057" s="1" t="s">
        <v>323</v>
      </c>
      <c r="F6057" s="1" t="s">
        <v>9708</v>
      </c>
      <c r="G6057" s="1" t="s">
        <v>36</v>
      </c>
      <c r="H6057" s="1" t="s">
        <v>29</v>
      </c>
      <c r="I6057" s="1" t="str">
        <f ca="1">IFERROR(__xludf.DUMMYFUNCTION("GOOGLETRANSLATE(F6057, ""auto"", ""en"")
"),"Perfectly squeezes all fruits and vegetables")</f>
        <v>Perfectly squeezes all fruits and vegetables</v>
      </c>
    </row>
    <row r="6058" spans="1:9" x14ac:dyDescent="0.3">
      <c r="A6058" s="1" t="s">
        <v>17</v>
      </c>
      <c r="B6058" s="1" t="s">
        <v>18</v>
      </c>
      <c r="C6058" s="1" t="s">
        <v>24</v>
      </c>
      <c r="D6058" s="1" t="s">
        <v>9709</v>
      </c>
      <c r="E6058" s="1" t="s">
        <v>2050</v>
      </c>
      <c r="F6058" s="1" t="s">
        <v>9710</v>
      </c>
      <c r="G6058" s="1" t="s">
        <v>28</v>
      </c>
      <c r="H6058" s="1" t="s">
        <v>29</v>
      </c>
      <c r="I6058" s="1" t="str">
        <f ca="1">IFERROR(__xludf.DUMMYFUNCTION("GOOGLETRANSLATE(F6058, ""auto"", ""en"")
"),"1. Igor, you could bring it to the service center right away!!!  2.zanussi and electrolux grew. Assemblies were previously done at the same factory!!!  3. For that kind of money you will take the same Russia!!!")</f>
        <v>1. Igor, you could bring it to the service center right away!!!  2.zanussi and electrolux grew. Assemblies were previously done at the same factory!!!  3. For that kind of money you will take the same Russia!!!</v>
      </c>
    </row>
    <row r="6059" spans="1:9" x14ac:dyDescent="0.3">
      <c r="A6059" s="1" t="s">
        <v>149</v>
      </c>
      <c r="B6059" s="1" t="s">
        <v>576</v>
      </c>
      <c r="C6059" s="1" t="s">
        <v>24</v>
      </c>
      <c r="D6059" s="1" t="s">
        <v>9711</v>
      </c>
      <c r="E6059" s="1" t="s">
        <v>2168</v>
      </c>
      <c r="F6059" s="1" t="s">
        <v>9712</v>
      </c>
      <c r="G6059" s="1" t="s">
        <v>28</v>
      </c>
      <c r="H6059" s="1" t="s">
        <v>29</v>
      </c>
      <c r="I6059" s="1" t="str">
        <f ca="1">IFERROR(__xludf.DUMMYFUNCTION("GOOGLETRANSLATE(F6059, ""auto"", ""en"")
"),"The suction is very weak. It cleans the floor well, but there is not enough of it for the carpet. Be careful when winding the cord. Can easily knock you down or pull out an outlet. In terms of noise, the level is average (there have been louder ones). Pro"&amp;"s: beautiful and very light.")</f>
        <v>The suction is very weak. It cleans the floor well, but there is not enough of it for the carpet. Be careful when winding the cord. Can easily knock you down or pull out an outlet. In terms of noise, the level is average (there have been louder ones). Pros: beautiful and very light.</v>
      </c>
    </row>
    <row r="6060" spans="1:9" x14ac:dyDescent="0.3">
      <c r="A6060" s="1" t="s">
        <v>37</v>
      </c>
      <c r="B6060" s="1" t="s">
        <v>38</v>
      </c>
      <c r="C6060" s="1" t="s">
        <v>69</v>
      </c>
      <c r="D6060" s="1" t="s">
        <v>1627</v>
      </c>
      <c r="E6060" s="1" t="s">
        <v>4929</v>
      </c>
      <c r="F6060" s="1" t="s">
        <v>9713</v>
      </c>
      <c r="G6060" s="1" t="s">
        <v>36</v>
      </c>
      <c r="H6060" s="1" t="s">
        <v>29</v>
      </c>
      <c r="I6060" s="1" t="str">
        <f ca="1">IFERROR(__xludf.DUMMYFUNCTION("GOOGLETRANSLATE(F6060, ""auto"", ""en"")
"),"The phone is excellent. The only glitch is with the alarm clock (described above by Andrey).  The camera is good. Yesterday we took pictures of the New Year tree in the evening near the department store - the pictures turned out good.  Here are the parame"&amp;"ters for taking photos in the dark: Resolution was set to a maximum of 5 mpc, Mode - Normal Scene mode - stabilization Flash - suppression... Range - Auto Face detection - auto Self-timer - off White balance - auto Quality - high Metering - auto Sharpness"&amp;" - normal Contrast - normal Saturation - normal Time stamp - on Remove flicker - 60 Hz")</f>
        <v>The phone is excellent. The only glitch is with the alarm clock (described above by Andrey).  The camera is good. Yesterday we took pictures of the New Year tree in the evening near the department store - the pictures turned out good.  Here are the parameters for taking photos in the dark: Resolution was set to a maximum of 5 mpc, Mode - Normal Scene mode - stabilization Flash - suppression... Range - Auto Face detection - auto Self-timer - off White balance - auto Quality - high Metering - auto Sharpness - normal Contrast - normal Saturation - normal Time stamp - on Remove flicker - 60 Hz</v>
      </c>
    </row>
    <row r="6061" spans="1:9" x14ac:dyDescent="0.3">
      <c r="A6061" s="1" t="s">
        <v>61</v>
      </c>
      <c r="B6061" s="1" t="s">
        <v>1126</v>
      </c>
      <c r="C6061" s="1" t="s">
        <v>57</v>
      </c>
      <c r="D6061" s="1" t="s">
        <v>240</v>
      </c>
      <c r="E6061" s="1" t="s">
        <v>2486</v>
      </c>
      <c r="F6061" s="1" t="s">
        <v>9714</v>
      </c>
      <c r="G6061" s="1" t="s">
        <v>36</v>
      </c>
      <c r="H6061" s="1" t="s">
        <v>29</v>
      </c>
      <c r="I6061" s="1" t="str">
        <f ca="1">IFERROR(__xludf.DUMMYFUNCTION("GOOGLETRANSLATE(F6061, ""auto"", ""en"")
"),"We bought it a year ago, they work, we have never changed the battery, they turn on normally too. They even weighed a kitten in a bowl :) In general, I'm happy.")</f>
        <v>We bought it a year ago, they work, we have never changed the battery, they turn on normally too. They even weighed a kitten in a bowl :) In general, I'm happy.</v>
      </c>
    </row>
    <row r="6062" spans="1:9" x14ac:dyDescent="0.3">
      <c r="A6062" s="1" t="s">
        <v>30</v>
      </c>
      <c r="B6062" s="1" t="s">
        <v>50</v>
      </c>
      <c r="C6062" s="1" t="s">
        <v>1003</v>
      </c>
      <c r="D6062" s="1" t="s">
        <v>86</v>
      </c>
      <c r="E6062" s="1" t="s">
        <v>1167</v>
      </c>
      <c r="F6062" s="1" t="s">
        <v>9715</v>
      </c>
      <c r="G6062" s="1" t="s">
        <v>28</v>
      </c>
      <c r="H6062" s="1" t="s">
        <v>29</v>
      </c>
      <c r="I6062" s="1" t="str">
        <f ca="1">IFERROR(__xludf.DUMMYFUNCTION("GOOGLETRANSLATE(F6062, ""auto"", ""en"")
"),"The netbook is generally normal, but with the standard Windows Vista settings it is very “thoughtful” in places - Vista on it needs “refinement”. There is also a Bluetooth module missing. The screen is large enough - it gives a good picture.")</f>
        <v>The netbook is generally normal, but with the standard Windows Vista settings it is very “thoughtful” in places - Vista on it needs “refinement”. There is also a Bluetooth module missing. The screen is large enough - it gives a good picture.</v>
      </c>
    </row>
    <row r="6063" spans="1:9" x14ac:dyDescent="0.3">
      <c r="A6063" s="1" t="s">
        <v>43</v>
      </c>
      <c r="B6063" s="1" t="s">
        <v>303</v>
      </c>
      <c r="C6063" s="1" t="s">
        <v>304</v>
      </c>
      <c r="D6063" s="1" t="s">
        <v>1662</v>
      </c>
      <c r="E6063" s="1" t="s">
        <v>2603</v>
      </c>
      <c r="F6063" s="1" t="s">
        <v>9716</v>
      </c>
      <c r="G6063" s="1" t="s">
        <v>28</v>
      </c>
      <c r="H6063" s="1" t="s">
        <v>29</v>
      </c>
      <c r="I6063" s="1" t="str">
        <f ca="1">IFERROR(__xludf.DUMMYFUNCTION("GOOGLETRANSLATE(F6063, ""auto"", ""en"")
"),"Excellent water heater. It worked with our disgusting water for almost five years without repair. Nothing was running.")</f>
        <v>Excellent water heater. It worked with our disgusting water for almost five years without repair. Nothing was running.</v>
      </c>
    </row>
    <row r="6064" spans="1:9" x14ac:dyDescent="0.3">
      <c r="A6064" s="1" t="s">
        <v>30</v>
      </c>
      <c r="B6064" s="1" t="s">
        <v>50</v>
      </c>
      <c r="C6064" s="1" t="s">
        <v>189</v>
      </c>
      <c r="D6064" s="1" t="s">
        <v>9717</v>
      </c>
      <c r="E6064" s="1" t="s">
        <v>1646</v>
      </c>
      <c r="F6064" s="1" t="s">
        <v>9718</v>
      </c>
      <c r="G6064" s="1" t="s">
        <v>36</v>
      </c>
      <c r="H6064" s="1" t="s">
        <v>29</v>
      </c>
      <c r="I6064" s="1" t="str">
        <f ca="1">IFERROR(__xludf.DUMMYFUNCTION("GOOGLETRANSLATE(F6064, ""auto"", ""en"")
"),"IMHO, the best combination of quality characteristics and price (RUB 22,590)")</f>
        <v>IMHO, the best combination of quality characteristics and price (RUB 22,590)</v>
      </c>
    </row>
    <row r="6065" spans="1:9" x14ac:dyDescent="0.3">
      <c r="A6065" s="1" t="s">
        <v>61</v>
      </c>
      <c r="B6065" s="1" t="s">
        <v>73</v>
      </c>
      <c r="C6065" s="1" t="s">
        <v>101</v>
      </c>
      <c r="D6065" s="1" t="s">
        <v>9719</v>
      </c>
      <c r="E6065" s="1" t="s">
        <v>1203</v>
      </c>
      <c r="F6065" s="1" t="s">
        <v>9720</v>
      </c>
      <c r="G6065" s="1" t="s">
        <v>49</v>
      </c>
      <c r="H6065" s="1" t="s">
        <v>16</v>
      </c>
      <c r="I6065" s="1" t="str">
        <f ca="1">IFERROR(__xludf.DUMMYFUNCTION("GOOGLETRANSLATE(F6065, ""auto"", ""en"")
"),"The knife of this meat grinder is dull!!! straight from the store. Don’t take it, the meat is crushed when plasticine is formed from it. If I had known in advance, I would never have bought it. Sorry, I couldn’t resist, but it’s hard to call it a meat gri"&amp;"nder, it’s some kind of meat crusher!")</f>
        <v>The knife of this meat grinder is dull!!! straight from the store. Don’t take it, the meat is crushed when plasticine is formed from it. If I had known in advance, I would never have bought it. Sorry, I couldn’t resist, but it’s hard to call it a meat grinder, it’s some kind of meat crusher!</v>
      </c>
    </row>
    <row r="6066" spans="1:9" x14ac:dyDescent="0.3">
      <c r="A6066" s="1" t="s">
        <v>211</v>
      </c>
      <c r="B6066" s="1" t="s">
        <v>515</v>
      </c>
      <c r="C6066" s="1" t="s">
        <v>213</v>
      </c>
      <c r="D6066" s="1" t="s">
        <v>474</v>
      </c>
      <c r="E6066" s="1" t="s">
        <v>1494</v>
      </c>
      <c r="F6066" s="1" t="s">
        <v>9721</v>
      </c>
      <c r="G6066" s="1" t="s">
        <v>49</v>
      </c>
      <c r="H6066" s="1" t="s">
        <v>16</v>
      </c>
      <c r="I6066" s="1" t="str">
        <f ca="1">IFERROR(__xludf.DUMMYFUNCTION("GOOGLETRANSLATE(F6066, ""auto"", ""en"")
"),"When I bought it I really liked it and had no complaints about the work, but after 3 months it started buzzing like mad and chewing hairs. Of course it’s not expensive, but it could have worked longer.")</f>
        <v>When I bought it I really liked it and had no complaints about the work, but after 3 months it started buzzing like mad and chewing hairs. Of course it’s not expensive, but it could have worked longer.</v>
      </c>
    </row>
    <row r="6067" spans="1:9" x14ac:dyDescent="0.3">
      <c r="A6067" s="1" t="s">
        <v>78</v>
      </c>
      <c r="B6067" s="1" t="s">
        <v>79</v>
      </c>
      <c r="C6067" s="1" t="s">
        <v>80</v>
      </c>
      <c r="D6067" s="1" t="s">
        <v>247</v>
      </c>
      <c r="E6067" s="1" t="s">
        <v>808</v>
      </c>
      <c r="F6067" s="1" t="s">
        <v>9722</v>
      </c>
      <c r="G6067" s="1" t="s">
        <v>36</v>
      </c>
      <c r="H6067" s="1" t="s">
        <v>29</v>
      </c>
      <c r="I6067" s="1" t="str">
        <f ca="1">IFERROR(__xludf.DUMMYFUNCTION("GOOGLETRANSLATE(F6067, ""auto"", ""en"")
"),"Cool! We really liked it, everything is really clear, you don’t have to read the instructions, and it’s also metal.")</f>
        <v>Cool! We really liked it, everything is really clear, you don’t have to read the instructions, and it’s also metal.</v>
      </c>
    </row>
    <row r="6068" spans="1:9" x14ac:dyDescent="0.3">
      <c r="A6068" s="1" t="s">
        <v>61</v>
      </c>
      <c r="B6068" s="1" t="s">
        <v>180</v>
      </c>
      <c r="C6068" s="1" t="s">
        <v>69</v>
      </c>
      <c r="D6068" s="1" t="s">
        <v>1152</v>
      </c>
      <c r="E6068" s="1" t="s">
        <v>5241</v>
      </c>
      <c r="F6068" s="1" t="s">
        <v>9723</v>
      </c>
      <c r="G6068" s="1" t="s">
        <v>36</v>
      </c>
      <c r="H6068" s="1" t="s">
        <v>29</v>
      </c>
      <c r="I6068" s="1" t="str">
        <f ca="1">IFERROR(__xludf.DUMMYFUNCTION("GOOGLETRANSLATE(F6068, ""auto"", ""en"")
"),"The toaster is very easy to use, there is a mechanical control of the toasting time on the front panel, the presence of a stop button is an excellent solution, you can always interrupt the cooking process, the function of heating already toasted toast, a "&amp;"compartment for crumbs, lightweight. The disadvantages include a short power cord. I give 5 points.")</f>
        <v>The toaster is very easy to use, there is a mechanical control of the toasting time on the front panel, the presence of a stop button is an excellent solution, you can always interrupt the cooking process, the function of heating already toasted toast, a compartment for crumbs, lightweight. The disadvantages include a short power cord. I give 5 points.</v>
      </c>
    </row>
    <row r="6069" spans="1:9" x14ac:dyDescent="0.3">
      <c r="A6069" s="1" t="s">
        <v>17</v>
      </c>
      <c r="B6069" s="1" t="s">
        <v>18</v>
      </c>
      <c r="C6069" s="1" t="s">
        <v>80</v>
      </c>
      <c r="D6069" s="1" t="s">
        <v>308</v>
      </c>
      <c r="E6069" s="1" t="s">
        <v>2531</v>
      </c>
      <c r="F6069" s="1" t="s">
        <v>9724</v>
      </c>
      <c r="G6069" s="1" t="s">
        <v>36</v>
      </c>
      <c r="H6069" s="1" t="s">
        <v>29</v>
      </c>
      <c r="I6069" s="1" t="str">
        <f ca="1">IFERROR(__xludf.DUMMYFUNCTION("GOOGLETRANSLATE(F6069, ""auto"", ""en"")
"),"Yesterday I chose this machine. I’m looking forward to using it... Tomorrow they should bring it....")</f>
        <v>Yesterday I chose this machine. I’m looking forward to using it... Tomorrow they should bring it....</v>
      </c>
    </row>
    <row r="6070" spans="1:9" x14ac:dyDescent="0.3">
      <c r="A6070" s="1" t="s">
        <v>95</v>
      </c>
      <c r="B6070" s="1" t="s">
        <v>648</v>
      </c>
      <c r="C6070" s="1" t="s">
        <v>97</v>
      </c>
      <c r="D6070" s="1" t="s">
        <v>152</v>
      </c>
      <c r="E6070" s="1" t="s">
        <v>3771</v>
      </c>
      <c r="F6070" s="1" t="s">
        <v>9725</v>
      </c>
      <c r="G6070" s="1" t="s">
        <v>15</v>
      </c>
      <c r="H6070" s="1" t="s">
        <v>16</v>
      </c>
      <c r="I6070" s="1" t="str">
        <f ca="1">IFERROR(__xludf.DUMMYFUNCTION("GOOGLETRANSLATE(F6070, ""auto"", ""en"")
"),"There is no information about the product in stores or advertising, just an advertising ploy, “Buy a game and get 10 (ten games for free).” I bought the game (+ 10 games) specifically for vacation, but on the site it later turned out that the games would "&amp;"be available for as long as a month, why I bought the game for vacation is unclear, the vacation started off great. It’s a shame! In the M-Video store, the home salesman just laughed (in the literal sense of the word), like you know how to read advertisin"&amp;"g stand. On the stand it is written “Buy a console and download 10 games for free”, the promotion period is until such a date, but no one talked about receiving a code for downloads of “free” games even after a month and the advertisement does not indicat"&amp;"e it. Again, a publicity stunt, and a misconception of BUYERS. Second: when I asked to call me a senior seller, he said, why do you need it, you have a claim, take it and write a statement, and in 10 days they will answer you and I will have it tomorrow. "&amp;"departure, vacation spoiled in advance. SELLERS ARE CONTINUING TO FOOL US, I guess so!?")</f>
        <v>There is no information about the product in stores or advertising, just an advertising ploy, “Buy a game and get 10 (ten games for free).” I bought the game (+ 10 games) specifically for vacation, but on the site it later turned out that the games would be available for as long as a month, why I bought the game for vacation is unclear, the vacation started off great. It’s a shame! In the M-Video store, the home salesman just laughed (in the literal sense of the word), like you know how to read advertising stand. On the stand it is written “Buy a console and download 10 games for free”, the promotion period is until such a date, but no one talked about receiving a code for downloads of “free” games even after a month and the advertisement does not indicate it. Again, a publicity stunt, and a misconception of BUYERS. Second: when I asked to call me a senior seller, he said, why do you need it, you have a claim, take it and write a statement, and in 10 days they will answer you and I will have it tomorrow. departure, vacation spoiled in advance. SELLERS ARE CONTINUING TO FOOL US, I guess so!?</v>
      </c>
    </row>
    <row r="6071" spans="1:9" x14ac:dyDescent="0.3">
      <c r="A6071" s="1" t="s">
        <v>89</v>
      </c>
      <c r="B6071" s="1" t="s">
        <v>1106</v>
      </c>
      <c r="C6071" s="1" t="s">
        <v>63</v>
      </c>
      <c r="D6071" s="1" t="s">
        <v>9726</v>
      </c>
      <c r="E6071" s="1" t="s">
        <v>3494</v>
      </c>
      <c r="F6071" s="1" t="s">
        <v>9727</v>
      </c>
      <c r="G6071" s="1" t="s">
        <v>28</v>
      </c>
      <c r="H6071" s="1" t="s">
        <v>29</v>
      </c>
      <c r="I6071" s="1" t="str">
        <f ca="1">IFERROR(__xludf.DUMMYFUNCTION("GOOGLETRANSLATE(F6071, ""auto"", ""en"")
"),"Normal coffee maker. The only pity is that there is no water level sensor. Inside the water container there are marks for the number of cups of coffee. But they are hard to see, especially since they are made on opaque white plastic.  By the way, the flas"&amp;"k is made of tempered glass. At least that's what the store told me.")</f>
        <v>Normal coffee maker. The only pity is that there is no water level sensor. Inside the water container there are marks for the number of cups of coffee. But they are hard to see, especially since they are made on opaque white plastic.  By the way, the flask is made of tempered glass. At least that's what the store told me.</v>
      </c>
    </row>
    <row r="6072" spans="1:9" x14ac:dyDescent="0.3">
      <c r="A6072" s="1" t="s">
        <v>61</v>
      </c>
      <c r="B6072" s="1" t="s">
        <v>145</v>
      </c>
      <c r="C6072" s="1" t="s">
        <v>246</v>
      </c>
      <c r="D6072" s="1" t="s">
        <v>33</v>
      </c>
      <c r="E6072" s="1" t="s">
        <v>3637</v>
      </c>
      <c r="F6072" s="1" t="s">
        <v>9728</v>
      </c>
      <c r="G6072" s="1" t="s">
        <v>36</v>
      </c>
      <c r="H6072" s="1" t="s">
        <v>29</v>
      </c>
      <c r="I6072" s="1" t="str">
        <f ca="1">IFERROR(__xludf.DUMMYFUNCTION("GOOGLETRANSLATE(F6072, ""auto"", ""en"")
"),"This deep fryer is simply a miracle compared to others, it requires almost no oil, and is easy to cook and clean.   The only downside: when the dish is ready, the timer only gives a signal, but does not turn off the fryer, but I’m very pleased with everyt"&amp;"hing else!")</f>
        <v>This deep fryer is simply a miracle compared to others, it requires almost no oil, and is easy to cook and clean.   The only downside: when the dish is ready, the timer only gives a signal, but does not turn off the fryer, but I’m very pleased with everything else!</v>
      </c>
    </row>
    <row r="6073" spans="1:9" x14ac:dyDescent="0.3">
      <c r="A6073" s="1" t="s">
        <v>30</v>
      </c>
      <c r="B6073" s="1" t="s">
        <v>50</v>
      </c>
      <c r="C6073" s="1" t="s">
        <v>32</v>
      </c>
      <c r="D6073" s="1" t="s">
        <v>172</v>
      </c>
      <c r="E6073" s="1" t="s">
        <v>1707</v>
      </c>
      <c r="F6073" s="1" t="s">
        <v>9729</v>
      </c>
      <c r="G6073" s="1" t="s">
        <v>36</v>
      </c>
      <c r="H6073" s="1" t="s">
        <v>29</v>
      </c>
      <c r="I6073" s="1" t="str">
        <f ca="1">IFERROR(__xludf.DUMMYFUNCTION("GOOGLETRANSLATE(F6073, ""auto"", ""en"")
"),"The laptop is just super!!! CPU name CPUID Intel(R) Core(TM)2 Duo CPU T6500 @ 2.10GHz and that’s good news.")</f>
        <v>The laptop is just super!!! CPU name CPUID Intel(R) Core(TM)2 Duo CPU T6500 @ 2.10GHz and that’s good news.</v>
      </c>
    </row>
    <row r="6074" spans="1:9" x14ac:dyDescent="0.3">
      <c r="A6074" s="1" t="s">
        <v>67</v>
      </c>
      <c r="B6074" s="1" t="s">
        <v>68</v>
      </c>
      <c r="C6074" s="1" t="s">
        <v>85</v>
      </c>
      <c r="D6074" s="1" t="s">
        <v>102</v>
      </c>
      <c r="E6074" s="1" t="s">
        <v>3504</v>
      </c>
      <c r="F6074" s="1" t="s">
        <v>9730</v>
      </c>
      <c r="G6074" s="1" t="s">
        <v>36</v>
      </c>
      <c r="H6074" s="1" t="s">
        <v>29</v>
      </c>
      <c r="I6074" s="1" t="str">
        <f ca="1">IFERROR(__xludf.DUMMYFUNCTION("GOOGLETRANSLATE(F6074, ""auto"", ""en"")
"),"Glides well, powerful steam boost, strong sole.")</f>
        <v>Glides well, powerful steam boost, strong sole.</v>
      </c>
    </row>
    <row r="6075" spans="1:9" x14ac:dyDescent="0.3">
      <c r="A6075" s="1" t="s">
        <v>30</v>
      </c>
      <c r="B6075" s="1" t="s">
        <v>31</v>
      </c>
      <c r="C6075" s="1" t="s">
        <v>32</v>
      </c>
      <c r="D6075" s="1" t="s">
        <v>9731</v>
      </c>
      <c r="E6075" s="1" t="s">
        <v>109</v>
      </c>
      <c r="F6075" s="1" t="s">
        <v>9732</v>
      </c>
      <c r="G6075" s="1" t="s">
        <v>28</v>
      </c>
      <c r="H6075" s="1" t="s">
        <v>29</v>
      </c>
      <c r="I6075" s="1" t="str">
        <f ca="1">IFERROR(__xludf.DUMMYFUNCTION("GOOGLETRANSLATE(F6075, ""auto"", ""en"")
"),"The overall impressions are very positive. But being a teapot I encountered a problem connecting the monitor.     Having purchased a 23-inch Samsung in the kit, I tried to connect via DVI the first time - natural. nothing worked, I had to roughly turn it "&amp;"off, everything worked only after using miniD-Sub, after installing the native monitor drivers everything worked perfectly.     No further shortcomings have been identified so far, it works very well with graphics, and is very quiet (compared to the old c"&amp;"omputer).    Good luck everyone!")</f>
        <v>The overall impressions are very positive. But being a teapot I encountered a problem connecting the monitor.     Having purchased a 23-inch Samsung in the kit, I tried to connect via DVI the first time - natural. nothing worked, I had to roughly turn it off, everything worked only after using miniD-Sub, after installing the native monitor drivers everything worked perfectly.     No further shortcomings have been identified so far, it works very well with graphics, and is very quiet (compared to the old computer).    Good luck everyone!</v>
      </c>
    </row>
    <row r="6076" spans="1:9" x14ac:dyDescent="0.3">
      <c r="A6076" s="1" t="s">
        <v>30</v>
      </c>
      <c r="B6076" s="1" t="s">
        <v>50</v>
      </c>
      <c r="C6076" s="1" t="s">
        <v>1003</v>
      </c>
      <c r="D6076" s="1" t="s">
        <v>52</v>
      </c>
      <c r="E6076" s="1" t="s">
        <v>363</v>
      </c>
      <c r="F6076" s="1" t="s">
        <v>9733</v>
      </c>
      <c r="G6076" s="1" t="s">
        <v>15</v>
      </c>
      <c r="H6076" s="1" t="s">
        <v>16</v>
      </c>
      <c r="I6076" s="1" t="str">
        <f ca="1">IFERROR(__xludf.DUMMYFUNCTION("GOOGLETRANSLATE(F6076, ""auto"", ""en"")
"),"Well, I bought this miracle... there were no complaints... I used it for less than 2 months. and that's what happened!  1) hard grunted in a month.  2) 2 weeks ago the picture began to freeze in games and programs (the computer does not respond, the tempe"&amp;"rature is normally no higher than 50 degrees, the inside is clean) it turns off when the off button is pressed for a long time 3) that’s not all. After such a shutdown, it does not turn on for 2-3 hours.  4) and then it came to this: it stopped turning on"&amp;"... you press on, and it starts and immediately turns off.. completely disappointed (((((((((((((((((((((((((((((((((((((((((((((((((((((((((((((((((((((((((((((((((((((((((((((((((((((((((((((((((((((((((((((((((((((((((((((((((((((((((((((((((((((((((Th"&amp;"ey won’t do anything anyway)) to independent experts and return it.!!!")</f>
        <v>Well, I bought this miracle... there were no complaints... I used it for less than 2 months. and that's what happened!  1) hard grunted in a month.  2) 2 weeks ago the picture began to freeze in games and programs (the computer does not respond, the temperature is normally no higher than 50 degrees, the inside is clean) it turns off when the off button is pressed for a long time 3) that’s not all. After such a shutdown, it does not turn on for 2-3 hours.  4) and then it came to this: it stopped turning on... you press on, and it starts and immediately turns off.. completely disappointed (((((((((((((((((((((((((((((((((((((((((((((((((((((((((((((((((((((((((((((((((((((((((((((((((((((((((((((((((((((((((((((((((((((((((((((((((((((((((((((((((((((((((They won’t do anything anyway)) to independent experts and return it.!!!</v>
      </c>
    </row>
    <row r="6077" spans="1:9" x14ac:dyDescent="0.3">
      <c r="A6077" s="1" t="s">
        <v>369</v>
      </c>
      <c r="B6077" s="1" t="s">
        <v>2480</v>
      </c>
      <c r="C6077" s="1" t="s">
        <v>453</v>
      </c>
      <c r="D6077" s="1" t="s">
        <v>305</v>
      </c>
      <c r="E6077" s="1" t="s">
        <v>9734</v>
      </c>
      <c r="F6077" s="1" t="s">
        <v>9735</v>
      </c>
      <c r="G6077" s="1" t="s">
        <v>49</v>
      </c>
      <c r="H6077" s="1" t="s">
        <v>16</v>
      </c>
      <c r="I6077" s="1" t="str">
        <f ca="1">IFERROR(__xludf.DUMMYFUNCTION("GOOGLETRANSLATE(F6077, ""auto"", ""en"")
"),"This is not our first tile. Lasts for about a year, threw it out and got a new one! Check for defects right away so you don’t have to run around later.")</f>
        <v>This is not our first tile. Lasts for about a year, threw it out and got a new one! Check for defects right away so you don’t have to run around later.</v>
      </c>
    </row>
    <row r="6078" spans="1:9" x14ac:dyDescent="0.3">
      <c r="A6078" s="1" t="s">
        <v>17</v>
      </c>
      <c r="B6078" s="1" t="s">
        <v>18</v>
      </c>
      <c r="C6078" s="1" t="s">
        <v>243</v>
      </c>
      <c r="D6078" s="1" t="s">
        <v>9736</v>
      </c>
      <c r="E6078" s="1" t="s">
        <v>92</v>
      </c>
      <c r="F6078" s="1" t="s">
        <v>9737</v>
      </c>
      <c r="G6078" s="1" t="s">
        <v>36</v>
      </c>
      <c r="H6078" s="1" t="s">
        <v>29</v>
      </c>
      <c r="I6078" s="1" t="str">
        <f ca="1">IFERROR(__xludf.DUMMYFUNCTION("GOOGLETRANSLATE(F6078, ""auto"", ""en"")
"),"Price, functionality")</f>
        <v>Price, functionality</v>
      </c>
    </row>
    <row r="6079" spans="1:9" x14ac:dyDescent="0.3">
      <c r="A6079" s="1" t="s">
        <v>30</v>
      </c>
      <c r="B6079" s="1" t="s">
        <v>50</v>
      </c>
      <c r="C6079" s="1" t="s">
        <v>32</v>
      </c>
      <c r="D6079" s="1" t="s">
        <v>152</v>
      </c>
      <c r="E6079" s="1" t="s">
        <v>594</v>
      </c>
      <c r="F6079" s="1" t="s">
        <v>9738</v>
      </c>
      <c r="G6079" s="1" t="s">
        <v>28</v>
      </c>
      <c r="H6079" s="1" t="s">
        <v>29</v>
      </c>
      <c r="I6079" s="1" t="str">
        <f ca="1">IFERROR(__xludf.DUMMYFUNCTION("GOOGLETRANSLATE(F6079, ""auto"", ""en"")
"),"Disadvantages: only 2 USB ports, no Bluetooth, only analog video output, no PCMCIA slot. preinstalled Win7 HB - kill the one who came up with the idea of ​​​​installing 7 on laptops =&gt; refused, received compensation, installed Linux - I’m happy.  Pros: pr"&amp;"ice, insane performance in source-based Linux distributions. excellent hardware support with the same Linux, graphics easily pull out the full set of KDE 4 effects. Decent display brightness.  Long battery life (everything is the same). Weight. Whoever sa"&amp;"id anything about heating is a lie. It heats up weakly; when watching movies and using the Internet, you can’t hear the cooler at all.   Conclusions: For the money this is a good laptop. It would be great if there was pre-installed Linux (which would redu"&amp;"ce the price) and a DVI output. Slightly more powerful processor.")</f>
        <v>Disadvantages: only 2 USB ports, no Bluetooth, only analog video output, no PCMCIA slot. preinstalled Win7 HB - kill the one who came up with the idea of ​​​​installing 7 on laptops =&gt; refused, received compensation, installed Linux - I’m happy.  Pros: price, insane performance in source-based Linux distributions. excellent hardware support with the same Linux, graphics easily pull out the full set of KDE 4 effects. Decent display brightness.  Long battery life (everything is the same). Weight. Whoever said anything about heating is a lie. It heats up weakly; when watching movies and using the Internet, you can’t hear the cooler at all.   Conclusions: For the money this is a good laptop. It would be great if there was pre-installed Linux (which would reduce the price) and a DVI output. Slightly more powerful processor.</v>
      </c>
    </row>
    <row r="6080" spans="1:9" x14ac:dyDescent="0.3">
      <c r="A6080" s="1" t="s">
        <v>30</v>
      </c>
      <c r="B6080" s="1" t="s">
        <v>50</v>
      </c>
      <c r="C6080" s="1" t="s">
        <v>32</v>
      </c>
      <c r="D6080" s="1" t="s">
        <v>9739</v>
      </c>
      <c r="E6080" s="1" t="s">
        <v>2131</v>
      </c>
      <c r="F6080" s="1" t="s">
        <v>9740</v>
      </c>
      <c r="G6080" s="1" t="s">
        <v>36</v>
      </c>
      <c r="H6080" s="1" t="s">
        <v>29</v>
      </c>
      <c r="I6080" s="1" t="str">
        <f ca="1">IFERROR(__xludf.DUMMYFUNCTION("GOOGLETRANSLATE(F6080, ""auto"", ""en"")
"),"The laptop is excellent, all games run great, I’m very happy with the purchase.")</f>
        <v>The laptop is excellent, all games run great, I’m very happy with the purchase.</v>
      </c>
    </row>
    <row r="6081" spans="1:9" x14ac:dyDescent="0.3">
      <c r="A6081" s="1" t="s">
        <v>37</v>
      </c>
      <c r="B6081" s="1" t="s">
        <v>38</v>
      </c>
      <c r="C6081" s="1" t="s">
        <v>69</v>
      </c>
      <c r="D6081" s="1" t="s">
        <v>152</v>
      </c>
      <c r="E6081" s="1" t="s">
        <v>292</v>
      </c>
      <c r="F6081" s="1" t="s">
        <v>9741</v>
      </c>
      <c r="G6081" s="1" t="s">
        <v>36</v>
      </c>
      <c r="H6081" s="1" t="s">
        <v>29</v>
      </c>
      <c r="I6081" s="1" t="str">
        <f ca="1">IFERROR(__xludf.DUMMYFUNCTION("GOOGLETRANSLATE(F6081, ""auto"", ""en"")
"),"Where can I find themes and games for this device?")</f>
        <v>Where can I find themes and games for this device?</v>
      </c>
    </row>
    <row r="6082" spans="1:9" x14ac:dyDescent="0.3">
      <c r="A6082" s="1" t="s">
        <v>105</v>
      </c>
      <c r="B6082" s="1" t="s">
        <v>106</v>
      </c>
      <c r="C6082" s="1" t="s">
        <v>97</v>
      </c>
      <c r="D6082" s="1" t="s">
        <v>9742</v>
      </c>
      <c r="E6082" s="1" t="s">
        <v>594</v>
      </c>
      <c r="F6082" s="1" t="s">
        <v>9743</v>
      </c>
      <c r="G6082" s="1" t="s">
        <v>36</v>
      </c>
      <c r="H6082" s="1" t="s">
        <v>29</v>
      </c>
      <c r="I6082" s="1" t="str">
        <f ca="1">IFERROR(__xludf.DUMMYFUNCTION("GOOGLETRANSLATE(F6082, ""auto"", ""en"")
"),"I bought the player and didn’t think much about it, because I wanted something of high quality. The player lived up to expectations, it works like a charm, I didn’t even expect it to be so loud)) it connects without problems with Windows XP sp3. I immedia"&amp;"tely bought a film for the screen. The screen is, in principle, acceptable for watching videos.")</f>
        <v>I bought the player and didn’t think much about it, because I wanted something of high quality. The player lived up to expectations, it works like a charm, I didn’t even expect it to be so loud)) it connects without problems with Windows XP sp3. I immediately bought a film for the screen. The screen is, in principle, acceptable for watching videos.</v>
      </c>
    </row>
    <row r="6083" spans="1:9" x14ac:dyDescent="0.3">
      <c r="A6083" s="1" t="s">
        <v>361</v>
      </c>
      <c r="B6083" s="1" t="s">
        <v>462</v>
      </c>
      <c r="C6083" s="1" t="s">
        <v>698</v>
      </c>
      <c r="D6083" s="1" t="s">
        <v>545</v>
      </c>
      <c r="E6083" s="1" t="s">
        <v>5842</v>
      </c>
      <c r="F6083" s="1" t="s">
        <v>9744</v>
      </c>
      <c r="G6083" s="1" t="s">
        <v>36</v>
      </c>
      <c r="H6083" s="1" t="s">
        <v>29</v>
      </c>
      <c r="I6083" s="1" t="str">
        <f ca="1">IFERROR(__xludf.DUMMYFUNCTION("GOOGLETRANSLATE(F6083, ""auto"", ""en"")
"),"1. Pros - quality of drinking water after purification.  2. The price is low when compared with buying bottled drinking water.  3. You control when to replace the filter, depending on the hardness of the water. Once a month is optimal.")</f>
        <v>1. Pros - quality of drinking water after purification.  2. The price is low when compared with buying bottled drinking water.  3. You control when to replace the filter, depending on the hardness of the water. Once a month is optimal.</v>
      </c>
    </row>
    <row r="6084" spans="1:9" x14ac:dyDescent="0.3">
      <c r="A6084" s="1" t="s">
        <v>67</v>
      </c>
      <c r="B6084" s="1" t="s">
        <v>68</v>
      </c>
      <c r="C6084" s="1" t="s">
        <v>101</v>
      </c>
      <c r="D6084" s="1" t="s">
        <v>319</v>
      </c>
      <c r="E6084" s="1" t="s">
        <v>1688</v>
      </c>
      <c r="F6084" s="1" t="s">
        <v>9745</v>
      </c>
      <c r="G6084" s="1" t="s">
        <v>36</v>
      </c>
      <c r="H6084" s="1" t="s">
        <v>29</v>
      </c>
      <c r="I6084" s="1" t="str">
        <f ca="1">IFERROR(__xludf.DUMMYFUNCTION("GOOGLETRANSLATE(F6084, ""auto"", ""en"")
"),"Bought for traveling with family. Irons perfectly, there is a steam supply. An ideal solution for ironing a small amount of things on vacation - it weighs little and is very compact in size, taking up minimal space in a suitcase.")</f>
        <v>Bought for traveling with family. Irons perfectly, there is a steam supply. An ideal solution for ironing a small amount of things on vacation - it weighs little and is very compact in size, taking up minimal space in a suitcase.</v>
      </c>
    </row>
    <row r="6085" spans="1:9" x14ac:dyDescent="0.3">
      <c r="A6085" s="1" t="s">
        <v>1823</v>
      </c>
      <c r="B6085" s="1" t="s">
        <v>7549</v>
      </c>
      <c r="C6085" s="1" t="s">
        <v>1825</v>
      </c>
      <c r="D6085" s="1" t="s">
        <v>52</v>
      </c>
      <c r="E6085" s="1" t="s">
        <v>1403</v>
      </c>
      <c r="F6085" s="1" t="s">
        <v>9746</v>
      </c>
      <c r="G6085" s="1" t="s">
        <v>15</v>
      </c>
      <c r="H6085" s="1" t="s">
        <v>16</v>
      </c>
      <c r="I6085" s="1" t="str">
        <f ca="1">IFERROR(__xludf.DUMMYFUNCTION("GOOGLETRANSLATE(F6085, ""auto"", ""en"")
"),"At the first pull, the ropes become slack. The rope clamp keeps falling off. One plus is that the ropes are threaded inside. The weight will support the sleeping clothes. Better than nothing. Not the best buy.")</f>
        <v>At the first pull, the ropes become slack. The rope clamp keeps falling off. One plus is that the ropes are threaded inside. The weight will support the sleeping clothes. Better than nothing. Not the best buy.</v>
      </c>
    </row>
    <row r="6086" spans="1:9" x14ac:dyDescent="0.3">
      <c r="A6086" s="1" t="s">
        <v>811</v>
      </c>
      <c r="B6086" s="1" t="s">
        <v>1294</v>
      </c>
      <c r="C6086" s="1" t="s">
        <v>1295</v>
      </c>
      <c r="D6086" s="1" t="s">
        <v>127</v>
      </c>
      <c r="E6086" s="1" t="s">
        <v>3125</v>
      </c>
      <c r="F6086" s="1" t="s">
        <v>9747</v>
      </c>
      <c r="G6086" s="1" t="s">
        <v>36</v>
      </c>
      <c r="H6086" s="1" t="s">
        <v>29</v>
      </c>
      <c r="I6086" s="1" t="str">
        <f ca="1">IFERROR(__xludf.DUMMYFUNCTION("GOOGLETRANSLATE(F6086, ""auto"", ""en"")
"),"I've been using it quite a bit recently, and it's good. Convenient brush for removing large debris.  Cleans optics well.")</f>
        <v>I've been using it quite a bit recently, and it's good. Convenient brush for removing large debris.  Cleans optics well.</v>
      </c>
    </row>
    <row r="6087" spans="1:9" x14ac:dyDescent="0.3">
      <c r="A6087" s="1" t="s">
        <v>169</v>
      </c>
      <c r="B6087" s="1" t="s">
        <v>170</v>
      </c>
      <c r="C6087" s="1" t="s">
        <v>69</v>
      </c>
      <c r="D6087" s="1" t="s">
        <v>52</v>
      </c>
      <c r="E6087" s="1" t="s">
        <v>3755</v>
      </c>
      <c r="F6087" s="1" t="s">
        <v>9748</v>
      </c>
      <c r="G6087" s="1" t="s">
        <v>36</v>
      </c>
      <c r="H6087" s="1" t="s">
        <v>29</v>
      </c>
      <c r="I6087" s="1" t="str">
        <f ca="1">IFERROR(__xludf.DUMMYFUNCTION("GOOGLETRANSLATE(F6087, ""auto"", ""en"")
"),"The product is excellent, I was very pleased with its price and excellent sound quality! Well, basically there’s nothing bad to say about Philips =))")</f>
        <v>The product is excellent, I was very pleased with its price and excellent sound quality! Well, basically there’s nothing bad to say about Philips =))</v>
      </c>
    </row>
    <row r="6088" spans="1:9" x14ac:dyDescent="0.3">
      <c r="A6088" s="1" t="s">
        <v>211</v>
      </c>
      <c r="B6088" s="1" t="s">
        <v>212</v>
      </c>
      <c r="C6088" s="1" t="s">
        <v>294</v>
      </c>
      <c r="D6088" s="1" t="s">
        <v>589</v>
      </c>
      <c r="E6088" s="1" t="s">
        <v>1816</v>
      </c>
      <c r="F6088" s="1" t="s">
        <v>9749</v>
      </c>
      <c r="G6088" s="1" t="s">
        <v>36</v>
      </c>
      <c r="H6088" s="1" t="s">
        <v>29</v>
      </c>
      <c r="I6088" s="1" t="str">
        <f ca="1">IFERROR(__xludf.DUMMYFUNCTION("GOOGLETRANSLATE(F6088, ""auto"", ""en"")
"),"Gave it to my mom for New Year. When I bought it, I was confused by the price, but at the time of searching, these were the only pliers that met the requirements - long, with a small diameter and Teflon coating. Mom is delighted, styling takes little time"&amp;" and does not burn her weakened hair. The next day, she fixes her hair in a couple of minutes and without using additional products, this is very important for her, since she likes to sleep longer :)")</f>
        <v>Gave it to my mom for New Year. When I bought it, I was confused by the price, but at the time of searching, these were the only pliers that met the requirements - long, with a small diameter and Teflon coating. Mom is delighted, styling takes little time and does not burn her weakened hair. The next day, she fixes her hair in a couple of minutes and without using additional products, this is very important for her, since she likes to sleep longer :)</v>
      </c>
    </row>
    <row r="6089" spans="1:9" x14ac:dyDescent="0.3">
      <c r="A6089" s="1" t="s">
        <v>120</v>
      </c>
      <c r="B6089" s="1" t="s">
        <v>126</v>
      </c>
      <c r="C6089" s="1" t="s">
        <v>122</v>
      </c>
      <c r="D6089" s="1" t="s">
        <v>1776</v>
      </c>
      <c r="E6089" s="1" t="s">
        <v>680</v>
      </c>
      <c r="F6089" s="1" t="s">
        <v>9750</v>
      </c>
      <c r="G6089" s="1" t="s">
        <v>36</v>
      </c>
      <c r="H6089" s="1" t="s">
        <v>29</v>
      </c>
      <c r="I6089" s="1" t="str">
        <f ca="1">IFERROR(__xludf.DUMMYFUNCTION("GOOGLETRANSLATE(F6089, ""auto"", ""en"")
"),"Sergei (Samara): The problem with burnout has been almost completely resolved since about the ninth generation of panels. In this model there is a twelfth. If you keep the bright light static for months without turning it off, then, of course, it will bur"&amp;"n out fatally. During normal use, after very bright light pictures (if you hold them for several minutes), the mark remains, but goes away completely 3-4 minutes after the picture is turned off. There will be no problems with channel logos in any case - t"&amp;"hey are not that bright, and commercial breaks (when the logos are turned off) have not yet been canceled.     My case: ~6 months of use, 4-6 hours a day, ~80% broadcast + ~20% - movies from various sources. The panel is in perfect condition, like new, no"&amp;" signs of fading at all.    To a potential buyer (Novokuznetsk): Yes, there is a lot of glare. If standing in a darkened room, it is not noticeable, but in bright light, there is a mirror. If it’s critical, pay attention to the S10, it’s 5 kilo rubles mor"&amp;"e expensive, but it has anti-glare.")</f>
        <v>Sergei (Samara): The problem with burnout has been almost completely resolved since about the ninth generation of panels. In this model there is a twelfth. If you keep the bright light static for months without turning it off, then, of course, it will burn out fatally. During normal use, after very bright light pictures (if you hold them for several minutes), the mark remains, but goes away completely 3-4 minutes after the picture is turned off. There will be no problems with channel logos in any case - they are not that bright, and commercial breaks (when the logos are turned off) have not yet been canceled.     My case: ~6 months of use, 4-6 hours a day, ~80% broadcast + ~20% - movies from various sources. The panel is in perfect condition, like new, no signs of fading at all.    To a potential buyer (Novokuznetsk): Yes, there is a lot of glare. If standing in a darkened room, it is not noticeable, but in bright light, there is a mirror. If it’s critical, pay attention to the S10, it’s 5 kilo rubles more expensive, but it has anti-glare.</v>
      </c>
    </row>
    <row r="6090" spans="1:9" x14ac:dyDescent="0.3">
      <c r="A6090" s="1" t="s">
        <v>61</v>
      </c>
      <c r="B6090" s="1" t="s">
        <v>224</v>
      </c>
      <c r="C6090" s="1" t="s">
        <v>74</v>
      </c>
      <c r="D6090" s="1" t="s">
        <v>1008</v>
      </c>
      <c r="E6090" s="1" t="s">
        <v>21</v>
      </c>
      <c r="F6090" s="1" t="s">
        <v>9751</v>
      </c>
      <c r="G6090" s="1" t="s">
        <v>36</v>
      </c>
      <c r="H6090" s="1" t="s">
        <v>29</v>
      </c>
      <c r="I6090" s="1" t="str">
        <f ca="1">IFERROR(__xludf.DUMMYFUNCTION("GOOGLETRANSLATE(F6090, ""auto"", ""en"")
"),"Bought today. Works great with all types of fruits and vegetables. Great juice! Great model.  There is only one minus - when starting, the powerful motor tears the juicer from its place - you need to support it with your hand. There is no need to hold the"&amp;" machine when squeezing fruits/vegetables.  The noise level is normal. Not loud.")</f>
        <v>Bought today. Works great with all types of fruits and vegetables. Great juice! Great model.  There is only one minus - when starting, the powerful motor tears the juicer from its place - you need to support it with your hand. There is no need to hold the machine when squeezing fruits/vegetables.  The noise level is normal. Not loud.</v>
      </c>
    </row>
    <row r="6091" spans="1:9" x14ac:dyDescent="0.3">
      <c r="A6091" s="1" t="s">
        <v>373</v>
      </c>
      <c r="B6091" s="1" t="s">
        <v>374</v>
      </c>
      <c r="C6091" s="1" t="s">
        <v>159</v>
      </c>
      <c r="D6091" s="1" t="s">
        <v>2560</v>
      </c>
      <c r="E6091" s="1" t="s">
        <v>1738</v>
      </c>
      <c r="F6091" s="1" t="s">
        <v>9752</v>
      </c>
      <c r="G6091" s="1" t="s">
        <v>28</v>
      </c>
      <c r="H6091" s="1" t="s">
        <v>29</v>
      </c>
      <c r="I6091" s="1" t="str">
        <f ca="1">IFERROR(__xludf.DUMMYFUNCTION("GOOGLETRANSLATE(F6091, ""auto"", ""en"")
"),"I like it very much, if only it were bigger. It washes great, you just need to choose the right program!")</f>
        <v>I like it very much, if only it were bigger. It washes great, you just need to choose the right program!</v>
      </c>
    </row>
    <row r="6092" spans="1:9" x14ac:dyDescent="0.3">
      <c r="A6092" s="1" t="s">
        <v>55</v>
      </c>
      <c r="B6092" s="1" t="s">
        <v>184</v>
      </c>
      <c r="C6092" s="1" t="s">
        <v>85</v>
      </c>
      <c r="D6092" s="1" t="s">
        <v>52</v>
      </c>
      <c r="E6092" s="1" t="s">
        <v>708</v>
      </c>
      <c r="F6092" s="1" t="s">
        <v>9753</v>
      </c>
      <c r="G6092" s="1" t="s">
        <v>28</v>
      </c>
      <c r="H6092" s="1" t="s">
        <v>29</v>
      </c>
      <c r="I6092" s="1" t="str">
        <f ca="1">IFERROR(__xludf.DUMMYFUNCTION("GOOGLETRANSLATE(F6092, ""auto"", ""en"")
"),"The only drawback was that it did not heat for long, turned off, and turned back on when it got really cold. The issue was resolved by turning off the temperature sensor, now it has no value!")</f>
        <v>The only drawback was that it did not heat for long, turned off, and turned back on when it got really cold. The issue was resolved by turning off the temperature sensor, now it has no value!</v>
      </c>
    </row>
    <row r="6093" spans="1:9" x14ac:dyDescent="0.3">
      <c r="A6093" s="1" t="s">
        <v>37</v>
      </c>
      <c r="B6093" s="1" t="s">
        <v>38</v>
      </c>
      <c r="C6093" s="1" t="s">
        <v>151</v>
      </c>
      <c r="D6093" s="1" t="s">
        <v>9754</v>
      </c>
      <c r="E6093" s="1" t="s">
        <v>7124</v>
      </c>
      <c r="F6093" s="1" t="s">
        <v>9755</v>
      </c>
      <c r="G6093" s="1" t="s">
        <v>36</v>
      </c>
      <c r="H6093" s="1" t="s">
        <v>29</v>
      </c>
      <c r="I6093" s="1" t="str">
        <f ca="1">IFERROR(__xludf.DUMMYFUNCTION("GOOGLETRANSLATE(F6093, ""auto"", ""en"")
"),"I really liked the sorbic, everything about it is great! But two drawbacks are terrible games and it’s terribly inconvenient to write SMS! Also, if in photographing mode you accidentally press the lock, you won’t be able to get out of the photo until you "&amp;"take out the battery! Otherwise, everything is fine! I took it for one summer because of the ease of operation and compact size! But in the cold season this phone will be impossible to use!")</f>
        <v>I really liked the sorbic, everything about it is great! But two drawbacks are terrible games and it’s terribly inconvenient to write SMS! Also, if in photographing mode you accidentally press the lock, you won’t be able to get out of the photo until you take out the battery! Otherwise, everything is fine! I took it for one summer because of the ease of operation and compact size! But in the cold season this phone will be impossible to use!</v>
      </c>
    </row>
    <row r="6094" spans="1:9" x14ac:dyDescent="0.3">
      <c r="A6094" s="1" t="s">
        <v>211</v>
      </c>
      <c r="B6094" s="1" t="s">
        <v>265</v>
      </c>
      <c r="C6094" s="1" t="s">
        <v>69</v>
      </c>
      <c r="D6094" s="1" t="s">
        <v>9756</v>
      </c>
      <c r="E6094" s="1" t="s">
        <v>504</v>
      </c>
      <c r="F6094" s="1" t="s">
        <v>9757</v>
      </c>
      <c r="G6094" s="1" t="s">
        <v>28</v>
      </c>
      <c r="H6094" s="1" t="s">
        <v>29</v>
      </c>
      <c r="I6094" s="1" t="str">
        <f ca="1">IFERROR(__xludf.DUMMYFUNCTION("GOOGLETRANSLATE(F6094, ""auto"", ""en"")
"),"I gave it to my husband for his birthday. To be honest, he was disappointed. I expected more from the machine.")</f>
        <v>I gave it to my husband for his birthday. To be honest, he was disappointed. I expected more from the machine.</v>
      </c>
    </row>
    <row r="6095" spans="1:9" x14ac:dyDescent="0.3">
      <c r="A6095" s="1" t="s">
        <v>61</v>
      </c>
      <c r="B6095" s="1" t="s">
        <v>318</v>
      </c>
      <c r="C6095" s="1" t="s">
        <v>69</v>
      </c>
      <c r="D6095" s="1" t="s">
        <v>305</v>
      </c>
      <c r="E6095" s="1" t="s">
        <v>9758</v>
      </c>
      <c r="F6095" s="1" t="s">
        <v>9759</v>
      </c>
      <c r="G6095" s="1" t="s">
        <v>28</v>
      </c>
      <c r="H6095" s="1" t="s">
        <v>29</v>
      </c>
      <c r="I6095" s="1" t="str">
        <f ca="1">IFERROR(__xludf.DUMMYFUNCTION("GOOGLETRANSLATE(F6095, ""auto"", ""en"")
"),"I bought this kettle, &amp;nbsp;thinking that it was made of stainless steel. I paid more than for the plastic ones. But after unpacking the house and looking inside, I saw that the walls were plastic.&amp;nbsp;")</f>
        <v>I bought this kettle, &amp;nbsp;thinking that it was made of stainless steel. I paid more than for the plastic ones. But after unpacking the house and looking inside, I saw that the walls were plastic.&amp;nbsp;</v>
      </c>
    </row>
    <row r="6096" spans="1:9" x14ac:dyDescent="0.3">
      <c r="A6096" s="1" t="s">
        <v>105</v>
      </c>
      <c r="B6096" s="1" t="s">
        <v>106</v>
      </c>
      <c r="C6096" s="1" t="s">
        <v>107</v>
      </c>
      <c r="D6096" s="1" t="s">
        <v>545</v>
      </c>
      <c r="E6096" s="1" t="s">
        <v>1139</v>
      </c>
      <c r="F6096" s="1" t="s">
        <v>9760</v>
      </c>
      <c r="G6096" s="1" t="s">
        <v>36</v>
      </c>
      <c r="H6096" s="1" t="s">
        <v>29</v>
      </c>
      <c r="I6096" s="1" t="str">
        <f ca="1">IFERROR(__xludf.DUMMYFUNCTION("GOOGLETRANSLATE(F6096, ""auto"", ""en"")
"),"It’s a good thing))) I’ve been using it with pleasure for several months now. The charge lasts a long time - enough for 3 days, provided that I listen for 3-3.5 hours a day. The video shows well, reads many formats, the only negative is when the files are"&amp;" very large, the sound sometimes slows down, it is better to convert so that it matches the image. Or, in the MSEQ settings, check the box for 3D - it helped, I stopped lagging behind))) You can listen to both individual folders and all the music in one l"&amp;"ist, different equalizers allow you to vary the sound of the music quite well.  The original headphones are not comfortable, it is better to immediately buy others. I'm glad that you can continue to watch and listen to both music and video when you turn i"&amp;"t on again from the place where you turned it off. A little nicety is the ability to put your own picture on the desktop background, although with this option it becomes inconvenient to read books on the player. Speaking of books, the bookmark function is"&amp;" very convenient. I recommend this player, you won’t regret it - the price is attractive, the memory capacity is large (and there is expansion with a memory card), and it’s multifunctional and works well)))")</f>
        <v>It’s a good thing))) I’ve been using it with pleasure for several months now. The charge lasts a long time - enough for 3 days, provided that I listen for 3-3.5 hours a day. The video shows well, reads many formats, the only negative is when the files are very large, the sound sometimes slows down, it is better to convert so that it matches the image. Or, in the MSEQ settings, check the box for 3D - it helped, I stopped lagging behind))) You can listen to both individual folders and all the music in one list, different equalizers allow you to vary the sound of the music quite well.  The original headphones are not comfortable, it is better to immediately buy others. I'm glad that you can continue to watch and listen to both music and video when you turn it on again from the place where you turned it off. A little nicety is the ability to put your own picture on the desktop background, although with this option it becomes inconvenient to read books on the player. Speaking of books, the bookmark function is very convenient. I recommend this player, you won’t regret it - the price is attractive, the memory capacity is large (and there is expansion with a memory card), and it’s multifunctional and works well)))</v>
      </c>
    </row>
    <row r="6097" spans="1:9" x14ac:dyDescent="0.3">
      <c r="A6097" s="1" t="s">
        <v>61</v>
      </c>
      <c r="B6097" s="1" t="s">
        <v>726</v>
      </c>
      <c r="C6097" s="1" t="s">
        <v>74</v>
      </c>
      <c r="D6097" s="1" t="s">
        <v>295</v>
      </c>
      <c r="E6097" s="1" t="s">
        <v>2622</v>
      </c>
      <c r="F6097" s="1" t="s">
        <v>9761</v>
      </c>
      <c r="G6097" s="1" t="s">
        <v>36</v>
      </c>
      <c r="H6097" s="1" t="s">
        <v>29</v>
      </c>
      <c r="I6097" s="1" t="str">
        <f ca="1">IFERROR(__xludf.DUMMYFUNCTION("GOOGLETRANSLATE(F6097, ""auto"", ""en"")
"),"We bought a bread maker yesterday. The seller persuaded us to buy more expensive models, but we chose this one and did not regret it. Yesterday we tried white bread, today we tried milk bread. Everything works out with a bang and the first time! The main "&amp;"thing is to read the instructions CAREFULLY and everything will work out. Products MUST be at room temperature, or warmed up - if only taken out of the refrigerator. I use dry active yeast (which must first be diluted with water). I recommend this model t"&amp;"o everyone - you won’t regret it!")</f>
        <v>We bought a bread maker yesterday. The seller persuaded us to buy more expensive models, but we chose this one and did not regret it. Yesterday we tried white bread, today we tried milk bread. Everything works out with a bang and the first time! The main thing is to read the instructions CAREFULLY and everything will work out. Products MUST be at room temperature, or warmed up - if only taken out of the refrigerator. I use dry active yeast (which must first be diluted with water). I recommend this model to everyone - you won’t regret it!</v>
      </c>
    </row>
    <row r="6098" spans="1:9" x14ac:dyDescent="0.3">
      <c r="A6098" s="1" t="s">
        <v>9</v>
      </c>
      <c r="B6098" s="1" t="s">
        <v>23</v>
      </c>
      <c r="C6098" s="1" t="s">
        <v>63</v>
      </c>
      <c r="D6098" s="1" t="s">
        <v>305</v>
      </c>
      <c r="E6098" s="1" t="s">
        <v>1943</v>
      </c>
      <c r="F6098" s="1" t="s">
        <v>9762</v>
      </c>
      <c r="G6098" s="1" t="s">
        <v>1580</v>
      </c>
      <c r="H6098" s="1" t="s">
        <v>29</v>
      </c>
      <c r="I6098" s="1" t="str">
        <f ca="1">IFERROR(__xludf.DUMMYFUNCTION("GOOGLETRANSLATE(F6098, ""auto"", ""en"")
"),"The door structure is very flimsy. The door itself and the springs are held on by plastic parts, which break very quickly. As a result, the door no longer fits tightly and the machine does not wash; you need to prop the door.  The heating element constant"&amp;"ly burns out due to leakage of some liquid, and it is not cheap.  In general, I am dissatisfied with the machine. For that kind of money, they might not have skimped on the details.")</f>
        <v>The door structure is very flimsy. The door itself and the springs are held on by plastic parts, which break very quickly. As a result, the door no longer fits tightly and the machine does not wash; you need to prop the door.  The heating element constantly burns out due to leakage of some liquid, and it is not cheap.  In general, I am dissatisfied with the machine. For that kind of money, they might not have skimped on the details.</v>
      </c>
    </row>
    <row r="6099" spans="1:9" x14ac:dyDescent="0.3">
      <c r="A6099" s="1" t="s">
        <v>120</v>
      </c>
      <c r="B6099" s="1" t="s">
        <v>1205</v>
      </c>
      <c r="C6099" s="1" t="s">
        <v>1430</v>
      </c>
      <c r="D6099" s="1" t="s">
        <v>172</v>
      </c>
      <c r="E6099" s="1" t="s">
        <v>254</v>
      </c>
      <c r="F6099" s="1" t="s">
        <v>9763</v>
      </c>
      <c r="G6099" s="1" t="s">
        <v>36</v>
      </c>
      <c r="H6099" s="1" t="s">
        <v>29</v>
      </c>
      <c r="I6099" s="1" t="str">
        <f ca="1">IFERROR(__xludf.DUMMYFUNCTION("GOOGLETRANSLATE(F6099, ""auto"", ""en"")
"),"Excellent quality!    3 HD sports channels. Movies in HD are super! And so it turns out that the only full-fledged 3D channel in Russia, somehow I couldn’t find anything similar from anyone. Discovery, Nat Geo, all in HD!")</f>
        <v>Excellent quality!    3 HD sports channels. Movies in HD are super! And so it turns out that the only full-fledged 3D channel in Russia, somehow I couldn’t find anything similar from anyone. Discovery, Nat Geo, all in HD!</v>
      </c>
    </row>
    <row r="6100" spans="1:9" x14ac:dyDescent="0.3">
      <c r="A6100" s="1" t="s">
        <v>61</v>
      </c>
      <c r="B6100" s="1" t="s">
        <v>180</v>
      </c>
      <c r="C6100" s="1" t="s">
        <v>246</v>
      </c>
      <c r="D6100" s="1" t="s">
        <v>2336</v>
      </c>
      <c r="E6100" s="1" t="s">
        <v>1751</v>
      </c>
      <c r="F6100" s="1" t="s">
        <v>9764</v>
      </c>
      <c r="G6100" s="1" t="s">
        <v>49</v>
      </c>
      <c r="H6100" s="1" t="s">
        <v>16</v>
      </c>
      <c r="I6100" s="1" t="str">
        <f ca="1">IFERROR(__xludf.DUMMYFUNCTION("GOOGLETRANSLATE(F6100, ""auto"", ""en"")
"),"After a long choice, I decided that I could choose the trusted company Tefal. It turned out to be in vain. For some reason, the manufacturers decided that a toaster is a device where you need to lift the toast using a lever, and not, like on all normal mo"&amp;"dels, where the toast jumps out of the compartments on its own.  Very disappointed with the purchase. I will change it.")</f>
        <v>After a long choice, I decided that I could choose the trusted company Tefal. It turned out to be in vain. For some reason, the manufacturers decided that a toaster is a device where you need to lift the toast using a lever, and not, like on all normal models, where the toast jumps out of the compartments on its own.  Very disappointed with the purchase. I will change it.</v>
      </c>
    </row>
    <row r="6101" spans="1:9" x14ac:dyDescent="0.3">
      <c r="A6101" s="1" t="s">
        <v>361</v>
      </c>
      <c r="B6101" s="1" t="s">
        <v>362</v>
      </c>
      <c r="C6101" s="1" t="s">
        <v>561</v>
      </c>
      <c r="D6101" s="1" t="s">
        <v>9765</v>
      </c>
      <c r="E6101" s="1" t="s">
        <v>2323</v>
      </c>
      <c r="F6101" s="1" t="s">
        <v>9766</v>
      </c>
      <c r="G6101" s="1" t="s">
        <v>49</v>
      </c>
      <c r="H6101" s="1" t="s">
        <v>16</v>
      </c>
      <c r="I6101" s="1" t="str">
        <f ca="1">IFERROR(__xludf.DUMMYFUNCTION("GOOGLETRANSLATE(F6101, ""auto"", ""en"")
"),"It’s a pity that I didn’t read the review from Andrey right away. Money down the drain!!!!!!!!!!!!!")</f>
        <v>It’s a pity that I didn’t read the review from Andrey right away. Money down the drain!!!!!!!!!!!!!</v>
      </c>
    </row>
    <row r="6102" spans="1:9" x14ac:dyDescent="0.3">
      <c r="A6102" s="1" t="s">
        <v>61</v>
      </c>
      <c r="B6102" s="1" t="s">
        <v>318</v>
      </c>
      <c r="C6102" s="1" t="s">
        <v>85</v>
      </c>
      <c r="D6102" s="1" t="s">
        <v>1326</v>
      </c>
      <c r="E6102" s="1" t="s">
        <v>5819</v>
      </c>
      <c r="F6102" s="1" t="s">
        <v>9767</v>
      </c>
      <c r="G6102" s="1" t="s">
        <v>15</v>
      </c>
      <c r="H6102" s="1" t="s">
        <v>16</v>
      </c>
      <c r="I6102" s="1" t="str">
        <f ca="1">IFERROR(__xludf.DUMMYFUNCTION("GOOGLETRANSLATE(F6102, ""auto"", ""en"")
"),"I bought two kettles at once: for myself and for my parents. With a difference of a month, both kettles experienced the same malfunction: after turning them on, they spontaneously turn off after some time of operation (from 3 to 10 seconds) and you have t"&amp;"o stand over them and turn them on several times, from the fifth time they enter the mode and heat the water. It feels like there is no contact!   The quality of this model ABSOLUTELY does not match its price! I don't recommend it!!!")</f>
        <v>I bought two kettles at once: for myself and for my parents. With a difference of a month, both kettles experienced the same malfunction: after turning them on, they spontaneously turn off after some time of operation (from 3 to 10 seconds) and you have to stand over them and turn them on several times, from the fifth time they enter the mode and heat the water. It feels like there is no contact!   The quality of this model ABSOLUTELY does not match its price! I don't recommend it!!!</v>
      </c>
    </row>
    <row r="6103" spans="1:9" x14ac:dyDescent="0.3">
      <c r="A6103" s="1" t="s">
        <v>55</v>
      </c>
      <c r="B6103" s="1" t="s">
        <v>56</v>
      </c>
      <c r="C6103" s="1" t="s">
        <v>3651</v>
      </c>
      <c r="D6103" s="1" t="s">
        <v>1476</v>
      </c>
      <c r="E6103" s="1" t="s">
        <v>164</v>
      </c>
      <c r="F6103" s="1" t="s">
        <v>9768</v>
      </c>
      <c r="G6103" s="1" t="s">
        <v>49</v>
      </c>
      <c r="H6103" s="1" t="s">
        <v>16</v>
      </c>
      <c r="I6103" s="1" t="str">
        <f ca="1">IFERROR(__xludf.DUMMYFUNCTION("GOOGLETRANSLATE(F6103, ""auto"", ""en"")
"),"I bought it in the fall of 2008. Three months later I came to buy a replacement filter for it. It turned out that they are not sold in the Russian Federation.  Stores do not respond to requests to order and deliver.  So buy this humidifier only with spare"&amp;" filters, otherwise it is a useless item.  This air purifier itself is perfect. The best choice, if not for these damn filters")</f>
        <v>I bought it in the fall of 2008. Three months later I came to buy a replacement filter for it. It turned out that they are not sold in the Russian Federation.  Stores do not respond to requests to order and deliver.  So buy this humidifier only with spare filters, otherwise it is a useless item.  This air purifier itself is perfect. The best choice, if not for these damn filters</v>
      </c>
    </row>
    <row r="6104" spans="1:9" x14ac:dyDescent="0.3">
      <c r="A6104" s="1" t="s">
        <v>61</v>
      </c>
      <c r="B6104" s="1" t="s">
        <v>318</v>
      </c>
      <c r="C6104" s="1" t="s">
        <v>122</v>
      </c>
      <c r="D6104" s="1" t="s">
        <v>940</v>
      </c>
      <c r="E6104" s="1" t="s">
        <v>612</v>
      </c>
      <c r="F6104" s="1" t="s">
        <v>9769</v>
      </c>
      <c r="G6104" s="1" t="s">
        <v>36</v>
      </c>
      <c r="H6104" s="1" t="s">
        <v>29</v>
      </c>
      <c r="I6104" s="1" t="str">
        <f ca="1">IFERROR(__xludf.DUMMYFUNCTION("GOOGLETRANSLATE(F6104, ""auto"", ""en"")
"),"It is ideal in almost everything, and most importantly it is automated and nothing superfluous. From the day of purchase, I just add fresh water to it, boiling turns on automatically, otherwise I noticed from reviews here that people complain that they ha"&amp;"ve to pull the plug out of the socket and it makes them laugh. There is nothing to say about the correct temperature; you need a professional measuring device. I measured it with a children's infrared thermometer, but it has a limit of 80*, the first 100 "&amp;"grams showed 71*, and the second and subsequent devices gave an error indicating an overestimated temperature. I’ve been using it for about a month and the water is still crystal clear, not a hint of scale, perhaps the Panasonic branded carbon inner coati"&amp;"ng is having an effect. I didn’t change the temperature, default is 90*. There is re-boiling, or to be more precise, the water boils for 6 minutes, killing the remaining chlorine by 80%. If anyone needs it, the top cover can be removed. There are 4 mainte"&amp;"nance modes, which I consider unnecessary; one 90* or 98* is enough, as they say, depending on the taste and color. The power cord is twice as long as any electric kettle. I consider the assembly in Thailand and not China to be a big plus, and in general "&amp;"I have a lot of equipment from this company at home that should be respected for its quality.")</f>
        <v>It is ideal in almost everything, and most importantly it is automated and nothing superfluous. From the day of purchase, I just add fresh water to it, boiling turns on automatically, otherwise I noticed from reviews here that people complain that they have to pull the plug out of the socket and it makes them laugh. There is nothing to say about the correct temperature; you need a professional measuring device. I measured it with a children's infrared thermometer, but it has a limit of 80*, the first 100 grams showed 71*, and the second and subsequent devices gave an error indicating an overestimated temperature. I’ve been using it for about a month and the water is still crystal clear, not a hint of scale, perhaps the Panasonic branded carbon inner coating is having an effect. I didn’t change the temperature, default is 90*. There is re-boiling, or to be more precise, the water boils for 6 minutes, killing the remaining chlorine by 80%. If anyone needs it, the top cover can be removed. There are 4 maintenance modes, which I consider unnecessary; one 90* or 98* is enough, as they say, depending on the taste and color. The power cord is twice as long as any electric kettle. I consider the assembly in Thailand and not China to be a big plus, and in general I have a lot of equipment from this company at home that should be respected for its quality.</v>
      </c>
    </row>
    <row r="6105" spans="1:9" x14ac:dyDescent="0.3">
      <c r="A6105" s="1" t="s">
        <v>61</v>
      </c>
      <c r="B6105" s="1" t="s">
        <v>145</v>
      </c>
      <c r="C6105" s="1" t="s">
        <v>246</v>
      </c>
      <c r="D6105" s="1" t="s">
        <v>521</v>
      </c>
      <c r="E6105" s="1" t="s">
        <v>2348</v>
      </c>
      <c r="F6105" s="1" t="s">
        <v>9770</v>
      </c>
      <c r="G6105" s="1" t="s">
        <v>49</v>
      </c>
      <c r="H6105" s="1" t="s">
        <v>16</v>
      </c>
      <c r="I6105" s="1" t="str">
        <f ca="1">IFERROR(__xludf.DUMMYFUNCTION("GOOGLETRANSLATE(F6105, ""auto"", ""en"")
"),"We looked at this model for a long time, then read the reviews and decided to buy. I wonder what 20 minutes other buyers write about, but for cooking 1 kg. potatoes took 40-45 minutes. At the same time, calling what turned out to be “french fries” is very"&amp;" difficult, because... The resulting potatoes are soft and not browned. I tried to add cooking time, but then the potatoes dried out and became “oaky”. At the same time, all instructions for preparing potatoes (cutting, rinsing under running water, drying"&amp;", etc.) were strictly followed. In short, I put this “miracle fryer” in the far corner of the closet.....")</f>
        <v>We looked at this model for a long time, then read the reviews and decided to buy. I wonder what 20 minutes other buyers write about, but for cooking 1 kg. potatoes took 40-45 minutes. At the same time, calling what turned out to be “french fries” is very difficult, because... The resulting potatoes are soft and not browned. I tried to add cooking time, but then the potatoes dried out and became “oaky”. At the same time, all instructions for preparing potatoes (cutting, rinsing under running water, drying, etc.) were strictly followed. In short, I put this “miracle fryer” in the far corner of the closet.....</v>
      </c>
    </row>
    <row r="6106" spans="1:9" x14ac:dyDescent="0.3">
      <c r="A6106" s="1" t="s">
        <v>61</v>
      </c>
      <c r="B6106" s="1" t="s">
        <v>73</v>
      </c>
      <c r="C6106" s="1" t="s">
        <v>85</v>
      </c>
      <c r="D6106" s="1" t="s">
        <v>152</v>
      </c>
      <c r="E6106" s="1" t="s">
        <v>594</v>
      </c>
      <c r="F6106" s="1" t="s">
        <v>9771</v>
      </c>
      <c r="G6106" s="1" t="s">
        <v>36</v>
      </c>
      <c r="H6106" s="1" t="s">
        <v>29</v>
      </c>
      <c r="I6106" s="1" t="str">
        <f ca="1">IFERROR(__xludf.DUMMYFUNCTION("GOOGLETRANSLATE(F6106, ""auto"", ""en"")
"),"The meat grinder is excellent, but it chews meat only because it is not assembled correctly - you should look at the silicone gasket, which either wears off over time or is missing. By the way, where can I buy this gasket?")</f>
        <v>The meat grinder is excellent, but it chews meat only because it is not assembled correctly - you should look at the silicone gasket, which either wears off over time or is missing. By the way, where can I buy this gasket?</v>
      </c>
    </row>
    <row r="6107" spans="1:9" x14ac:dyDescent="0.3">
      <c r="A6107" s="1" t="s">
        <v>211</v>
      </c>
      <c r="B6107" s="1" t="s">
        <v>384</v>
      </c>
      <c r="C6107" s="1" t="s">
        <v>246</v>
      </c>
      <c r="D6107" s="1" t="s">
        <v>327</v>
      </c>
      <c r="E6107" s="1" t="s">
        <v>1115</v>
      </c>
      <c r="F6107" s="1" t="s">
        <v>9772</v>
      </c>
      <c r="G6107" s="1" t="s">
        <v>15</v>
      </c>
      <c r="H6107" s="1" t="s">
        <v>16</v>
      </c>
      <c r="I6107" s="1" t="str">
        <f ca="1">IFERROR(__xludf.DUMMYFUNCTION("GOOGLETRANSLATE(F6107, ""auto"", ""en"")
"),"This scale model has a problem. After some time (for me about once a week, sometimes more often), the scales begin to “glitch” - they show nonsense on the screen when weighing, or do not work at all... Apparently, the software is crooked. The only thing t"&amp;"hat helps is a complete power reset - remove the batteries, wait, and put them back in. It happens that even after this procedure they still malfunction - you need to juggle the battery several times.")</f>
        <v>This scale model has a problem. After some time (for me about once a week, sometimes more often), the scales begin to “glitch” - they show nonsense on the screen when weighing, or do not work at all... Apparently, the software is crooked. The only thing that helps is a complete power reset - remove the batteries, wait, and put them back in. It happens that even after this procedure they still malfunction - you need to juggle the battery several times.</v>
      </c>
    </row>
    <row r="6108" spans="1:9" x14ac:dyDescent="0.3">
      <c r="A6108" s="1" t="s">
        <v>211</v>
      </c>
      <c r="B6108" s="1" t="s">
        <v>212</v>
      </c>
      <c r="C6108" s="1" t="s">
        <v>381</v>
      </c>
      <c r="D6108" s="1" t="s">
        <v>9773</v>
      </c>
      <c r="E6108" s="1" t="s">
        <v>3269</v>
      </c>
      <c r="F6108" s="1" t="s">
        <v>9774</v>
      </c>
      <c r="G6108" s="1" t="s">
        <v>36</v>
      </c>
      <c r="H6108" s="1" t="s">
        <v>29</v>
      </c>
      <c r="I6108" s="1" t="str">
        <f ca="1">IFERROR(__xludf.DUMMYFUNCTION("GOOGLETRANSLATE(F6108, ""auto"", ""en"")
"),"Cool hairdryer!! It dries my hair really quickly, even with volumes like mine. It is small and light, yet powerful. It also has a classic diffuser, so adding volume to your hair is as easy as shelling pears! Conclusion: an irreplaceable thing in my everyd"&amp;"ay life)))")</f>
        <v>Cool hairdryer!! It dries my hair really quickly, even with volumes like mine. It is small and light, yet powerful. It also has a classic diffuser, so adding volume to your hair is as easy as shelling pears! Conclusion: an irreplaceable thing in my everyday life)))</v>
      </c>
    </row>
    <row r="6109" spans="1:9" x14ac:dyDescent="0.3">
      <c r="A6109" s="1" t="s">
        <v>30</v>
      </c>
      <c r="B6109" s="1" t="s">
        <v>50</v>
      </c>
      <c r="C6109" s="1" t="s">
        <v>151</v>
      </c>
      <c r="D6109" s="1" t="s">
        <v>33</v>
      </c>
      <c r="E6109" s="1" t="s">
        <v>1181</v>
      </c>
      <c r="F6109" s="1" t="s">
        <v>9775</v>
      </c>
      <c r="G6109" s="1" t="s">
        <v>36</v>
      </c>
      <c r="H6109" s="1" t="s">
        <v>29</v>
      </c>
      <c r="I6109" s="1" t="str">
        <f ca="1">IFERROR(__xludf.DUMMYFUNCTION("GOOGLETRANSLATE(F6109, ""auto"", ""en"")
"),"I bought it today, I liked the built-in Yota modem... the best price-quality combination in my opinion")</f>
        <v>I bought it today, I liked the built-in Yota modem... the best price-quality combination in my opinion</v>
      </c>
    </row>
    <row r="6110" spans="1:9" x14ac:dyDescent="0.3">
      <c r="A6110" s="1" t="s">
        <v>732</v>
      </c>
      <c r="B6110" s="1" t="s">
        <v>733</v>
      </c>
      <c r="C6110" s="1" t="s">
        <v>151</v>
      </c>
      <c r="D6110" s="1" t="s">
        <v>2068</v>
      </c>
      <c r="E6110" s="1" t="s">
        <v>1401</v>
      </c>
      <c r="F6110" s="1" t="s">
        <v>9776</v>
      </c>
      <c r="G6110" s="1" t="s">
        <v>36</v>
      </c>
      <c r="H6110" s="1" t="s">
        <v>29</v>
      </c>
      <c r="I6110" s="1" t="str">
        <f ca="1">IFERROR(__xludf.DUMMYFUNCTION("GOOGLETRANSLATE(F6110, ""auto"", ""en"")
"),"Great monitor. Due to the excellent contrast and high resolution, the image turns out super. For this money you won't find anything better.  Disadvantages: lack of DVI (although it is not particularly needed in my case), low viewing angles (relative to my"&amp;" old Benq).")</f>
        <v>Great monitor. Due to the excellent contrast and high resolution, the image turns out super. For this money you won't find anything better.  Disadvantages: lack of DVI (although it is not particularly needed in my case), low viewing angles (relative to my old Benq).</v>
      </c>
    </row>
    <row r="6111" spans="1:9" x14ac:dyDescent="0.3">
      <c r="A6111" s="1" t="s">
        <v>105</v>
      </c>
      <c r="B6111" s="1" t="s">
        <v>106</v>
      </c>
      <c r="C6111" s="1" t="s">
        <v>1209</v>
      </c>
      <c r="D6111" s="1" t="s">
        <v>3030</v>
      </c>
      <c r="E6111" s="1" t="s">
        <v>504</v>
      </c>
      <c r="F6111" s="1" t="s">
        <v>9777</v>
      </c>
      <c r="G6111" s="1" t="s">
        <v>36</v>
      </c>
      <c r="H6111" s="1" t="s">
        <v>29</v>
      </c>
      <c r="I6111" s="1" t="str">
        <f ca="1">IFERROR(__xludf.DUMMYFUNCTION("GOOGLETRANSLATE(F6111, ""auto"", ""en"")
"),"I gave mine to my sister, and I’m honestly jealous, because it’s a pleasure to play with it. I have a simple one without a display, and here is video, and I don’t need to convert anything. Music is the same, it works in all formats, the sound is excellent"&amp;". Another thing that surprised me was the operating time, much longer than mine, although I never complained about mine (also explay L70). My only regret is that it’s only 4 GB, I could have used 8.")</f>
        <v>I gave mine to my sister, and I’m honestly jealous, because it’s a pleasure to play with it. I have a simple one without a display, and here is video, and I don’t need to convert anything. Music is the same, it works in all formats, the sound is excellent. Another thing that surprised me was the operating time, much longer than mine, although I never complained about mine (also explay L70). My only regret is that it’s only 4 GB, I could have used 8.</v>
      </c>
    </row>
    <row r="6112" spans="1:9" x14ac:dyDescent="0.3">
      <c r="A6112" s="1" t="s">
        <v>95</v>
      </c>
      <c r="B6112" s="1" t="s">
        <v>486</v>
      </c>
      <c r="C6112" s="1" t="s">
        <v>487</v>
      </c>
      <c r="D6112" s="1" t="s">
        <v>2250</v>
      </c>
      <c r="E6112" s="1" t="s">
        <v>980</v>
      </c>
      <c r="F6112" s="1" t="s">
        <v>9778</v>
      </c>
      <c r="G6112" s="1" t="s">
        <v>28</v>
      </c>
      <c r="H6112" s="1" t="s">
        <v>29</v>
      </c>
      <c r="I6112" s="1" t="str">
        <f ca="1">IFERROR(__xludf.DUMMYFUNCTION("GOOGLETRANSLATE(F6112, ""auto"", ""en"")
"),"If you pretend that you don’t hear how it makes noise, then everything is just fine. But the noise is still annoying, PS is much quieter")</f>
        <v>If you pretend that you don’t hear how it makes noise, then everything is just fine. But the noise is still annoying, PS is much quieter</v>
      </c>
    </row>
    <row r="6113" spans="1:9" x14ac:dyDescent="0.3">
      <c r="A6113" s="1" t="s">
        <v>30</v>
      </c>
      <c r="B6113" s="1" t="s">
        <v>31</v>
      </c>
      <c r="C6113" s="1" t="s">
        <v>32</v>
      </c>
      <c r="D6113" s="1" t="s">
        <v>102</v>
      </c>
      <c r="E6113" s="1" t="s">
        <v>1707</v>
      </c>
      <c r="F6113" s="1" t="s">
        <v>9779</v>
      </c>
      <c r="G6113" s="1" t="s">
        <v>36</v>
      </c>
      <c r="H6113" s="1" t="s">
        <v>29</v>
      </c>
      <c r="I6113" s="1" t="str">
        <f ca="1">IFERROR(__xludf.DUMMYFUNCTION("GOOGLETRANSLATE(F6113, ""auto"", ""en"")
"),"A good PC, the main thing is that I changed Windows to HP, then it’s impossible to work with Vista, even though on HP it only sees 3 gigs of RAM, but still the performance will be greater than on Vista!!!")</f>
        <v>A good PC, the main thing is that I changed Windows to HP, then it’s impossible to work with Vista, even though on HP it only sees 3 gigs of RAM, but still the performance will be greater than on Vista!!!</v>
      </c>
    </row>
    <row r="6114" spans="1:9" x14ac:dyDescent="0.3">
      <c r="A6114" s="1" t="s">
        <v>30</v>
      </c>
      <c r="B6114" s="1" t="s">
        <v>50</v>
      </c>
      <c r="C6114" s="1" t="s">
        <v>1003</v>
      </c>
      <c r="D6114" s="1" t="s">
        <v>1681</v>
      </c>
      <c r="E6114" s="1" t="s">
        <v>1723</v>
      </c>
      <c r="F6114" s="1" t="s">
        <v>9780</v>
      </c>
      <c r="G6114" s="1" t="s">
        <v>36</v>
      </c>
      <c r="H6114" s="1" t="s">
        <v>29</v>
      </c>
      <c r="I6114" s="1" t="str">
        <f ca="1">IFERROR(__xludf.DUMMYFUNCTION("GOOGLETRANSLATE(F6114, ""auto"", ""en"")
"),"I was pleased with the price-quality ratio")</f>
        <v>I was pleased with the price-quality ratio</v>
      </c>
    </row>
    <row r="6115" spans="1:9" x14ac:dyDescent="0.3">
      <c r="A6115" s="1" t="s">
        <v>17</v>
      </c>
      <c r="B6115" s="1" t="s">
        <v>18</v>
      </c>
      <c r="C6115" s="1" t="s">
        <v>159</v>
      </c>
      <c r="D6115" s="1" t="s">
        <v>9781</v>
      </c>
      <c r="E6115" s="1" t="s">
        <v>846</v>
      </c>
      <c r="F6115" s="1" t="s">
        <v>9782</v>
      </c>
      <c r="G6115" s="1" t="s">
        <v>49</v>
      </c>
      <c r="H6115" s="1" t="s">
        <v>16</v>
      </c>
      <c r="I6115" s="1" t="str">
        <f ca="1">IFERROR(__xludf.DUMMYFUNCTION("GOOGLETRANSLATE(F6115, ""auto"", ""en"")
"),"The machine is good until the drain filter fastener (one of the two small levers) breaks.  It is very inconvenient to clean the filter. The filter unraveled during washing and bent the drum. It turned out that there are no spare parts in the repair shop f"&amp;"or this model, and the drum cannot be removed at all. Unfortunately the warranty has already expired. Now I need to buy a new one. And not even three years have passed...")</f>
        <v>The machine is good until the drain filter fastener (one of the two small levers) breaks.  It is very inconvenient to clean the filter. The filter unraveled during washing and bent the drum. It turned out that there are no spare parts in the repair shop for this model, and the drum cannot be removed at all. Unfortunately the warranty has already expired. Now I need to buy a new one. And not even three years have passed...</v>
      </c>
    </row>
    <row r="6116" spans="1:9" x14ac:dyDescent="0.3">
      <c r="A6116" s="1" t="s">
        <v>477</v>
      </c>
      <c r="B6116" s="1" t="s">
        <v>478</v>
      </c>
      <c r="C6116" s="1" t="s">
        <v>479</v>
      </c>
      <c r="D6116" s="1" t="s">
        <v>9783</v>
      </c>
      <c r="E6116" s="1" t="s">
        <v>1950</v>
      </c>
      <c r="F6116" s="1" t="s">
        <v>9784</v>
      </c>
      <c r="G6116" s="1" t="s">
        <v>36</v>
      </c>
      <c r="H6116" s="1" t="s">
        <v>29</v>
      </c>
      <c r="I6116" s="1" t="str">
        <f ca="1">IFERROR(__xludf.DUMMYFUNCTION("GOOGLETRANSLATE(F6116, ""auto"", ""en"")
"),"I am 38 years old and I will say that my gaming experience is about 30 years (maybe more). I already know which game is worth attention, and which should be smashed over the head of a junkie (I can’t find any other words). The game Pirate Hunter is a wort"&amp;"hy successor to the Far Cry series of games. If you haven’t played Pirate Hunter yet, then delete your OS, otherwise it will be bad, I answer. Decent game - 4/4.")</f>
        <v>I am 38 years old and I will say that my gaming experience is about 30 years (maybe more). I already know which game is worth attention, and which should be smashed over the head of a junkie (I can’t find any other words). The game Pirate Hunter is a worthy successor to the Far Cry series of games. If you haven’t played Pirate Hunter yet, then delete your OS, otherwise it will be bad, I answer. Decent game - 4/4.</v>
      </c>
    </row>
    <row r="6117" spans="1:9" x14ac:dyDescent="0.3">
      <c r="A6117" s="1" t="s">
        <v>78</v>
      </c>
      <c r="B6117" s="1" t="s">
        <v>79</v>
      </c>
      <c r="C6117" s="1" t="s">
        <v>351</v>
      </c>
      <c r="D6117" s="1" t="s">
        <v>52</v>
      </c>
      <c r="E6117" s="1" t="s">
        <v>225</v>
      </c>
      <c r="F6117" s="1" t="s">
        <v>9785</v>
      </c>
      <c r="G6117" s="1" t="s">
        <v>36</v>
      </c>
      <c r="H6117" s="1" t="s">
        <v>29</v>
      </c>
      <c r="I6117" s="1" t="str">
        <f ca="1">IFERROR(__xludf.DUMMYFUNCTION("GOOGLETRANSLATE(F6117, ""auto"", ""en"")
"),"5+")</f>
        <v>5+</v>
      </c>
    </row>
    <row r="6118" spans="1:9" x14ac:dyDescent="0.3">
      <c r="A6118" s="1" t="s">
        <v>61</v>
      </c>
      <c r="B6118" s="1" t="s">
        <v>1727</v>
      </c>
      <c r="C6118" s="1" t="s">
        <v>122</v>
      </c>
      <c r="D6118" s="1" t="s">
        <v>12</v>
      </c>
      <c r="E6118" s="1" t="s">
        <v>3184</v>
      </c>
      <c r="F6118" s="1" t="s">
        <v>9786</v>
      </c>
      <c r="G6118" s="1" t="s">
        <v>28</v>
      </c>
      <c r="H6118" s="1" t="s">
        <v>29</v>
      </c>
      <c r="I6118" s="1" t="str">
        <f ca="1">IFERROR(__xludf.DUMMYFUNCTION("GOOGLETRANSLATE(F6118, ""auto"", ""en"")
"),"I’ve been using it for three months. It’s very convenient to cook buckwheat and rice as a side dish, it turns out crumbly. Milk porridge gets very overcooked, it’s not for everyone. Braising is a necessary function, the meat turns out soft. Steaming is a "&amp;"necessary function, and the multicooker turns itself off when the water boils away. A good kitchen appliance in addition to the stove. But it’s better to make pilaf in the traditional way; here it turns out, although crumbly, but a little bland. But if yo"&amp;"u don’t have time to stand at the stove, a multicooker is simply necessary.")</f>
        <v>I’ve been using it for three months. It’s very convenient to cook buckwheat and rice as a side dish, it turns out crumbly. Milk porridge gets very overcooked, it’s not for everyone. Braising is a necessary function, the meat turns out soft. Steaming is a necessary function, and the multicooker turns itself off when the water boils away. A good kitchen appliance in addition to the stove. But it’s better to make pilaf in the traditional way; here it turns out, although crumbly, but a little bland. But if you don’t have time to stand at the stove, a multicooker is simply necessary.</v>
      </c>
    </row>
    <row r="6119" spans="1:9" x14ac:dyDescent="0.3">
      <c r="A6119" s="1" t="s">
        <v>43</v>
      </c>
      <c r="B6119" s="1" t="s">
        <v>44</v>
      </c>
      <c r="C6119" s="1" t="s">
        <v>101</v>
      </c>
      <c r="D6119" s="1" t="s">
        <v>474</v>
      </c>
      <c r="E6119" s="1" t="s">
        <v>985</v>
      </c>
      <c r="F6119" s="1" t="s">
        <v>9787</v>
      </c>
      <c r="G6119" s="1" t="s">
        <v>28</v>
      </c>
      <c r="H6119" s="1" t="s">
        <v>29</v>
      </c>
      <c r="I6119" s="1" t="str">
        <f ca="1">IFERROR(__xludf.DUMMYFUNCTION("GOOGLETRANSLATE(F6119, ""auto"", ""en"")
"),"Overall a good fan. It blows great...not noisy..everything is fine..But it stinks terrible..I've already turned it on 4 times for a long time and left the room..I thought it would go away...but it doesn't go away")</f>
        <v>Overall a good fan. It blows great...not noisy..everything is fine..But it stinks terrible..I've already turned it on 4 times for a long time and left the room..I thought it would go away...but it doesn't go away</v>
      </c>
    </row>
    <row r="6120" spans="1:9" x14ac:dyDescent="0.3">
      <c r="A6120" s="1" t="s">
        <v>206</v>
      </c>
      <c r="B6120" s="1" t="s">
        <v>261</v>
      </c>
      <c r="C6120" s="1" t="s">
        <v>262</v>
      </c>
      <c r="D6120" s="1" t="s">
        <v>232</v>
      </c>
      <c r="E6120" s="1" t="s">
        <v>2829</v>
      </c>
      <c r="F6120" s="1" t="s">
        <v>9788</v>
      </c>
      <c r="G6120" s="1" t="s">
        <v>15</v>
      </c>
      <c r="H6120" s="1" t="s">
        <v>16</v>
      </c>
      <c r="I6120" s="1" t="str">
        <f ca="1">IFERROR(__xludf.DUMMYFUNCTION("GOOGLETRANSLATE(F6120, ""auto"", ""en"")
"),"I bought the antenna in 2008. It picks up 2 channels only next to the repeater, and then only when parked. When driving, the signal disappears. Not worth taking")</f>
        <v>I bought the antenna in 2008. It picks up 2 channels only next to the repeater, and then only when parked. When driving, the signal disappears. Not worth taking</v>
      </c>
    </row>
    <row r="6121" spans="1:9" x14ac:dyDescent="0.3">
      <c r="A6121" s="1" t="s">
        <v>37</v>
      </c>
      <c r="B6121" s="1" t="s">
        <v>38</v>
      </c>
      <c r="C6121" s="1" t="s">
        <v>3332</v>
      </c>
      <c r="D6121" s="1" t="s">
        <v>2923</v>
      </c>
      <c r="E6121" s="1" t="s">
        <v>594</v>
      </c>
      <c r="F6121" s="1" t="s">
        <v>9789</v>
      </c>
      <c r="G6121" s="1" t="s">
        <v>49</v>
      </c>
      <c r="H6121" s="1" t="s">
        <v>16</v>
      </c>
      <c r="I6121" s="1" t="str">
        <f ca="1">IFERROR(__xludf.DUMMYFUNCTION("GOOGLETRANSLATE(F6121, ""auto"", ""en"")
"),"I bought it for my mother, she was going to the hospital and needed a connection. The result is constant alarms: the subscriber cannot answer. It turns out that the buttons are constantly jammed under the front panel and the phone stops working. I come, I"&amp;" dig it out, but until then neither my mother can call, nor can I reach her.   You need to charge it often, at least once every two days. Moreover, the battery charge icon first shows full all the time, and then after a few hours - zero and crap. But old "&amp;"people still need to learn how to enter these pins.   A large keyboard and large numbers of the dialed number on the screen are good, but all other inscriptions and icons are tiny, not at all for senile eyes. Not for old people and the charger is tender -"&amp;" it fell apart after a month. In general, if I had known in advance that there would be such troubles, I would not have taken it.")</f>
        <v>I bought it for my mother, she was going to the hospital and needed a connection. The result is constant alarms: the subscriber cannot answer. It turns out that the buttons are constantly jammed under the front panel and the phone stops working. I come, I dig it out, but until then neither my mother can call, nor can I reach her.   You need to charge it often, at least once every two days. Moreover, the battery charge icon first shows full all the time, and then after a few hours - zero and crap. But old people still need to learn how to enter these pins.   A large keyboard and large numbers of the dialed number on the screen are good, but all other inscriptions and icons are tiny, not at all for senile eyes. Not for old people and the charger is tender - it fell apart after a month. In general, if I had known in advance that there would be such troubles, I would not have taken it.</v>
      </c>
    </row>
    <row r="6122" spans="1:9" x14ac:dyDescent="0.3">
      <c r="A6122" s="1" t="s">
        <v>211</v>
      </c>
      <c r="B6122" s="1" t="s">
        <v>212</v>
      </c>
      <c r="C6122" s="1" t="s">
        <v>381</v>
      </c>
      <c r="D6122" s="1" t="s">
        <v>9790</v>
      </c>
      <c r="E6122" s="1" t="s">
        <v>3861</v>
      </c>
      <c r="F6122" s="1" t="s">
        <v>9791</v>
      </c>
      <c r="G6122" s="1" t="s">
        <v>36</v>
      </c>
      <c r="H6122" s="1" t="s">
        <v>29</v>
      </c>
      <c r="I6122" s="1" t="str">
        <f ca="1">IFERROR(__xludf.DUMMYFUNCTION("GOOGLETRANSLATE(F6122, ""auto"", ""en"")
"),"Great straightener for this price! I borrowed it from a friend and bought food for myself! Now another friend wants the same one)) straightens quickly, heats up quickly, light, comfortable! hair is alive and shiny!")</f>
        <v>Great straightener for this price! I borrowed it from a friend and bought food for myself! Now another friend wants the same one)) straightens quickly, heats up quickly, light, comfortable! hair is alive and shiny!</v>
      </c>
    </row>
    <row r="6123" spans="1:9" x14ac:dyDescent="0.3">
      <c r="A6123" s="1" t="s">
        <v>719</v>
      </c>
      <c r="B6123" s="1" t="s">
        <v>720</v>
      </c>
      <c r="C6123" s="1" t="s">
        <v>694</v>
      </c>
      <c r="D6123" s="1" t="s">
        <v>9792</v>
      </c>
      <c r="E6123" s="1" t="s">
        <v>4143</v>
      </c>
      <c r="F6123" s="1" t="s">
        <v>9793</v>
      </c>
      <c r="G6123" s="1" t="s">
        <v>94</v>
      </c>
      <c r="H6123" s="1" t="s">
        <v>29</v>
      </c>
      <c r="I6123" s="1" t="str">
        <f ca="1">IFERROR(__xludf.DUMMYFUNCTION("GOOGLETRANSLATE(F6123, ""auto"", ""en"")
"),"I use it as a phone. Big screen. Large letters. When the Internet is turned off, the charge lasts two days.")</f>
        <v>I use it as a phone. Big screen. Large letters. When the Internet is turned off, the charge lasts two days.</v>
      </c>
    </row>
    <row r="6124" spans="1:9" x14ac:dyDescent="0.3">
      <c r="A6124" s="1" t="s">
        <v>37</v>
      </c>
      <c r="B6124" s="1" t="s">
        <v>38</v>
      </c>
      <c r="C6124" s="1" t="s">
        <v>69</v>
      </c>
      <c r="D6124" s="1" t="s">
        <v>295</v>
      </c>
      <c r="E6124" s="1" t="s">
        <v>259</v>
      </c>
      <c r="F6124" s="1" t="s">
        <v>9794</v>
      </c>
      <c r="G6124" s="1" t="s">
        <v>36</v>
      </c>
      <c r="H6124" s="1" t="s">
        <v>29</v>
      </c>
      <c r="I6124" s="1" t="str">
        <f ca="1">IFERROR(__xludf.DUMMYFUNCTION("GOOGLETRANSLATE(F6124, ""auto"", ""en"")
"),"Great phone!   I really liked it. Convenient menu, perfect lighting.  And cool headphones...")</f>
        <v>Great phone!   I really liked it. Convenient menu, perfect lighting.  And cool headphones...</v>
      </c>
    </row>
    <row r="6125" spans="1:9" x14ac:dyDescent="0.3">
      <c r="A6125" s="1" t="s">
        <v>169</v>
      </c>
      <c r="B6125" s="1" t="s">
        <v>170</v>
      </c>
      <c r="C6125" s="1" t="s">
        <v>69</v>
      </c>
      <c r="D6125" s="1" t="s">
        <v>280</v>
      </c>
      <c r="E6125" s="1" t="s">
        <v>2432</v>
      </c>
      <c r="F6125" s="1" t="s">
        <v>9795</v>
      </c>
      <c r="G6125" s="1" t="s">
        <v>36</v>
      </c>
      <c r="H6125" s="1" t="s">
        <v>29</v>
      </c>
      <c r="I6125" s="1" t="str">
        <f ca="1">IFERROR(__xludf.DUMMYFUNCTION("GOOGLETRANSLATE(F6125, ""auto"", ""en"")
"),"I bought it three months ago, the sound is good, well, at least for the money. And it would seem... listen and listen, but NO, he took it and sat right on them, and the right fork, well, where the ear itself is attached, take it and fall off, almost compl"&amp;"etely!   It's a shame, I'm so upset! :-( And everything is great!!!")</f>
        <v>I bought it three months ago, the sound is good, well, at least for the money. And it would seem... listen and listen, but NO, he took it and sat right on them, and the right fork, well, where the ear itself is attached, take it and fall off, almost completely!   It's a shame, I'm so upset! :-( And everything is great!!!</v>
      </c>
    </row>
    <row r="6126" spans="1:9" x14ac:dyDescent="0.3">
      <c r="A6126" s="1" t="s">
        <v>965</v>
      </c>
      <c r="B6126" s="1" t="s">
        <v>966</v>
      </c>
      <c r="C6126" s="1" t="s">
        <v>967</v>
      </c>
      <c r="D6126" s="1" t="s">
        <v>117</v>
      </c>
      <c r="E6126" s="1" t="s">
        <v>6701</v>
      </c>
      <c r="F6126" s="1" t="s">
        <v>9796</v>
      </c>
      <c r="G6126" s="1" t="s">
        <v>49</v>
      </c>
      <c r="H6126" s="1" t="s">
        <v>16</v>
      </c>
      <c r="I6126" s="1" t="str">
        <f ca="1">IFERROR(__xludf.DUMMYFUNCTION("GOOGLETRANSLATE(F6126, ""auto"", ""en"")
"),"1) Pros: Price, relatively long wires, sound for those who listen to music not loaded with low frequencies.  2) Disadvantages: The coil in Saba died a month after purchase, at first it starts actively “buzzing”, and then completely turns off 3) Initially "&amp;"I was happy with the purchase, but due to the quality of the internals I will not buy a similar option again")</f>
        <v>1) Pros: Price, relatively long wires, sound for those who listen to music not loaded with low frequencies.  2) Disadvantages: The coil in Saba died a month after purchase, at first it starts actively “buzzing”, and then completely turns off 3) Initially I was happy with the purchase, but due to the quality of the internals I will not buy a similar option again</v>
      </c>
    </row>
    <row r="6127" spans="1:9" x14ac:dyDescent="0.3">
      <c r="A6127" s="1" t="s">
        <v>169</v>
      </c>
      <c r="B6127" s="1" t="s">
        <v>170</v>
      </c>
      <c r="C6127" s="1" t="s">
        <v>171</v>
      </c>
      <c r="D6127" s="1" t="s">
        <v>548</v>
      </c>
      <c r="E6127" s="1" t="s">
        <v>4668</v>
      </c>
      <c r="F6127" s="1" t="s">
        <v>9797</v>
      </c>
      <c r="G6127" s="1" t="s">
        <v>36</v>
      </c>
      <c r="H6127" s="1" t="s">
        <v>29</v>
      </c>
      <c r="I6127" s="1" t="str">
        <f ca="1">IFERROR(__xludf.DUMMYFUNCTION("GOOGLETRANSLATE(F6127, ""auto"", ""en"")
"),"I don't agree with the bad reviews. I listen to audiobooks and headphones are good for these purposes. A well-thought-out and reliable fastening system, it really fits like a glove and is comfortable. I completely forgot what tangled wires are.")</f>
        <v>I don't agree with the bad reviews. I listen to audiobooks and headphones are good for these purposes. A well-thought-out and reliable fastening system, it really fits like a glove and is comfortable. I completely forgot what tangled wires are.</v>
      </c>
    </row>
    <row r="6128" spans="1:9" x14ac:dyDescent="0.3">
      <c r="A6128" s="1" t="s">
        <v>211</v>
      </c>
      <c r="B6128" s="1" t="s">
        <v>899</v>
      </c>
      <c r="C6128" s="1" t="s">
        <v>213</v>
      </c>
      <c r="D6128" s="1" t="s">
        <v>64</v>
      </c>
      <c r="E6128" s="1" t="s">
        <v>6624</v>
      </c>
      <c r="F6128" s="1" t="s">
        <v>9798</v>
      </c>
      <c r="G6128" s="1" t="s">
        <v>28</v>
      </c>
      <c r="H6128" s="1" t="s">
        <v>29</v>
      </c>
      <c r="I6128" s="1" t="str">
        <f ca="1">IFERROR(__xludf.DUMMYFUNCTION("GOOGLETRANSLATE(F6128, ""auto"", ""en"")
"),"I join the positive reviews. Cleans teeth and tongue well. I change the brush head when the bristles turn pale, which is very convenient and there’s no guesswork involved. I am a sensitive person, but after three years I press the brush to my gums, appare"&amp;"ntly, it’s a habit. The light is red, indicating that the pressure is too strong, but it’s fine for me. Also, when I brush my teeth, I wake up :). So, I recommend it. I took off a star for the weak battery, it doesn't last for a week.")</f>
        <v>I join the positive reviews. Cleans teeth and tongue well. I change the brush head when the bristles turn pale, which is very convenient and there’s no guesswork involved. I am a sensitive person, but after three years I press the brush to my gums, apparently, it’s a habit. The light is red, indicating that the pressure is too strong, but it’s fine for me. Also, when I brush my teeth, I wake up :). So, I recommend it. I took off a star for the weak battery, it doesn't last for a week.</v>
      </c>
    </row>
    <row r="6129" spans="1:9" x14ac:dyDescent="0.3">
      <c r="A6129" s="1" t="s">
        <v>211</v>
      </c>
      <c r="B6129" s="1" t="s">
        <v>212</v>
      </c>
      <c r="C6129" s="1" t="s">
        <v>381</v>
      </c>
      <c r="D6129" s="1" t="s">
        <v>12</v>
      </c>
      <c r="E6129" s="1" t="s">
        <v>1742</v>
      </c>
      <c r="F6129" s="1" t="s">
        <v>9799</v>
      </c>
      <c r="G6129" s="1" t="s">
        <v>36</v>
      </c>
      <c r="H6129" s="1" t="s">
        <v>29</v>
      </c>
      <c r="I6129" s="1" t="str">
        <f ca="1">IFERROR(__xludf.DUMMYFUNCTION("GOOGLETRANSLATE(F6129, ""auto"", ""en"")
"),"I recently bought a Rowenta hair dryer and am very pleased with it. I doubted the choice of model, but now I am convinced that I did the right thing by buying this hair dryer.  I advise everyone to buy it.")</f>
        <v>I recently bought a Rowenta hair dryer and am very pleased with it. I doubted the choice of model, but now I am convinced that I did the right thing by buying this hair dryer.  I advise everyone to buy it.</v>
      </c>
    </row>
    <row r="6130" spans="1:9" x14ac:dyDescent="0.3">
      <c r="A6130" s="1" t="s">
        <v>373</v>
      </c>
      <c r="B6130" s="1" t="s">
        <v>374</v>
      </c>
      <c r="C6130" s="1" t="s">
        <v>63</v>
      </c>
      <c r="D6130" s="1" t="s">
        <v>896</v>
      </c>
      <c r="E6130" s="1" t="s">
        <v>2853</v>
      </c>
      <c r="F6130" s="1" t="s">
        <v>9800</v>
      </c>
      <c r="G6130" s="1" t="s">
        <v>36</v>
      </c>
      <c r="H6130" s="1" t="s">
        <v>29</v>
      </c>
      <c r="I6130" s="1" t="str">
        <f ca="1">IFERROR(__xludf.DUMMYFUNCTION("GOOGLETRANSLATE(F6130, ""auto"", ""en"")
"),"We recently purchased it and are very pleased, despite the fact that we were lucky enough to get it at a significant discount!")</f>
        <v>We recently purchased it and are very pleased, despite the fact that we were lucky enough to get it at a significant discount!</v>
      </c>
    </row>
    <row r="6131" spans="1:9" x14ac:dyDescent="0.3">
      <c r="A6131" s="1" t="s">
        <v>211</v>
      </c>
      <c r="B6131" s="1" t="s">
        <v>410</v>
      </c>
      <c r="C6131" s="1" t="s">
        <v>69</v>
      </c>
      <c r="D6131" s="1" t="s">
        <v>81</v>
      </c>
      <c r="E6131" s="1" t="s">
        <v>427</v>
      </c>
      <c r="F6131" s="1" t="s">
        <v>9801</v>
      </c>
      <c r="G6131" s="1" t="s">
        <v>49</v>
      </c>
      <c r="H6131" s="1" t="s">
        <v>16</v>
      </c>
      <c r="I6131" s="1" t="str">
        <f ca="1">IFERROR(__xludf.DUMMYFUNCTION("GOOGLETRANSLATE(F6131, ""auto"", ""en"")
"),"Before this razor, I used other Philips (4 pieces) for about 15 years, slowly updating the models. Those. My skin has been shaving with rotary and Philips all my life, I got used to it and didn’t feel the transition from razor to razor. I’ve been shaving "&amp;"this way for 3 weeks now, and so far the results are rather negative, unfortunately. It doesn't shave any cleaner or faster than the previous HQ8100, but it does irritate the skin quite noticeably after shaving. Then you walk around with a red neck all da"&amp;"y like a fool. Positioned as a device for shaving in the shower (time-saving type) and uses shaving gel. Wet shaving, in short. Unfortunately, again, only in the shower and only with gel is it even more or less normal for her to shave. Dry, but without ge"&amp;"l - this is some kind of sadomasochism. There is no sub-rotor collection for stubble; when shaving, all the stubble flies out from the back of the heads, the whole sink is in it. But it’s fun to shave in the shower (unusual sensations), but it’s impossibl"&amp;"e to see the result of your labors in the process, just by touch.   In general, I still don’t know what to do: go back to the old razor or wait until the skin gets used to this one... I wouldn’t buy this razor a second time.")</f>
        <v>Before this razor, I used other Philips (4 pieces) for about 15 years, slowly updating the models. Those. My skin has been shaving with rotary and Philips all my life, I got used to it and didn’t feel the transition from razor to razor. I’ve been shaving this way for 3 weeks now, and so far the results are rather negative, unfortunately. It doesn't shave any cleaner or faster than the previous HQ8100, but it does irritate the skin quite noticeably after shaving. Then you walk around with a red neck all day like a fool. Positioned as a device for shaving in the shower (time-saving type) and uses shaving gel. Wet shaving, in short. Unfortunately, again, only in the shower and only with gel is it even more or less normal for her to shave. Dry, but without gel - this is some kind of sadomasochism. There is no sub-rotor collection for stubble; when shaving, all the stubble flies out from the back of the heads, the whole sink is in it. But it’s fun to shave in the shower (unusual sensations), but it’s impossible to see the result of your labors in the process, just by touch.   In general, I still don’t know what to do: go back to the old razor or wait until the skin gets used to this one... I wouldn’t buy this razor a second time.</v>
      </c>
    </row>
    <row r="6132" spans="1:9" x14ac:dyDescent="0.3">
      <c r="A6132" s="1" t="s">
        <v>373</v>
      </c>
      <c r="B6132" s="1" t="s">
        <v>374</v>
      </c>
      <c r="C6132" s="1" t="s">
        <v>159</v>
      </c>
      <c r="D6132" s="1" t="s">
        <v>471</v>
      </c>
      <c r="E6132" s="1" t="s">
        <v>6875</v>
      </c>
      <c r="F6132" s="1" t="s">
        <v>9802</v>
      </c>
      <c r="G6132" s="1" t="s">
        <v>28</v>
      </c>
      <c r="H6132" s="1" t="s">
        <v>29</v>
      </c>
      <c r="I6132" s="1" t="str">
        <f ca="1">IFERROR(__xludf.DUMMYFUNCTION("GOOGLETRANSLATE(F6132, ""auto"", ""en"")
"),"We have been using this very actively for 4 years now. If you arrange the dishes in accordance with the instructions, and not more or differently, then not only cutlery, but also kitchen utensils are washed well. I have used both tablets and powder; the q"&amp;"uality of washing depends on the product used. I really like that you can interrupt the wash at any stage and then continue (unlike other machines). Cons: loud noise and low quality plastic housing. Overall satisfied.")</f>
        <v>We have been using this very actively for 4 years now. If you arrange the dishes in accordance with the instructions, and not more or differently, then not only cutlery, but also kitchen utensils are washed well. I have used both tablets and powder; the quality of washing depends on the product used. I really like that you can interrupt the wash at any stage and then continue (unlike other machines). Cons: loud noise and low quality plastic housing. Overall satisfied.</v>
      </c>
    </row>
    <row r="6133" spans="1:9" x14ac:dyDescent="0.3">
      <c r="A6133" s="1" t="s">
        <v>811</v>
      </c>
      <c r="B6133" s="1" t="s">
        <v>812</v>
      </c>
      <c r="C6133" s="1" t="s">
        <v>974</v>
      </c>
      <c r="D6133" s="1" t="s">
        <v>9803</v>
      </c>
      <c r="E6133" s="1" t="s">
        <v>9804</v>
      </c>
      <c r="F6133" s="1" t="s">
        <v>9805</v>
      </c>
      <c r="G6133" s="1" t="s">
        <v>36</v>
      </c>
      <c r="H6133" s="1" t="s">
        <v>29</v>
      </c>
      <c r="I6133" s="1" t="str">
        <f ca="1">IFERROR(__xludf.DUMMYFUNCTION("GOOGLETRANSLATE(F6133, ""auto"", ""en"")
"),"I bought it for an action camera, a very convenient tripod) Original! The quality of the material is very good, there is a quick-release plate, you can install the camera in any position) I compared it with non-original ones in this price segment, I recom"&amp;"mend this one for action cameras)")</f>
        <v>I bought it for an action camera, a very convenient tripod) Original! The quality of the material is very good, there is a quick-release plate, you can install the camera in any position) I compared it with non-original ones in this price segment, I recommend this one for action cameras)</v>
      </c>
    </row>
    <row r="6134" spans="1:9" x14ac:dyDescent="0.3">
      <c r="A6134" s="1" t="s">
        <v>211</v>
      </c>
      <c r="B6134" s="1" t="s">
        <v>899</v>
      </c>
      <c r="C6134" s="1" t="s">
        <v>213</v>
      </c>
      <c r="D6134" s="1" t="s">
        <v>1744</v>
      </c>
      <c r="E6134" s="1" t="s">
        <v>4681</v>
      </c>
      <c r="F6134" s="1" t="s">
        <v>9806</v>
      </c>
      <c r="G6134" s="1" t="s">
        <v>36</v>
      </c>
      <c r="H6134" s="1" t="s">
        <v>29</v>
      </c>
      <c r="I6134" s="1" t="str">
        <f ca="1">IFERROR(__xludf.DUMMYFUNCTION("GOOGLETRANSLATE(F6134, ""auto"", ""en"")
"),"Quality of cleaning, price")</f>
        <v>Quality of cleaning, price</v>
      </c>
    </row>
    <row r="6135" spans="1:9" x14ac:dyDescent="0.3">
      <c r="A6135" s="1" t="s">
        <v>211</v>
      </c>
      <c r="B6135" s="1" t="s">
        <v>1818</v>
      </c>
      <c r="C6135" s="1" t="s">
        <v>213</v>
      </c>
      <c r="D6135" s="1" t="s">
        <v>4222</v>
      </c>
      <c r="E6135" s="1" t="s">
        <v>3673</v>
      </c>
      <c r="F6135" s="1" t="s">
        <v>9807</v>
      </c>
      <c r="G6135" s="1" t="s">
        <v>49</v>
      </c>
      <c r="H6135" s="1" t="s">
        <v>16</v>
      </c>
      <c r="I6135" s="1" t="str">
        <f ca="1">IFERROR(__xludf.DUMMYFUNCTION("GOOGLETRANSLATE(F6135, ""auto"", ""en"")
"),"I didn’t see any positive changes in my hair. By the end of the day, the hair became “electric” and not pleasant to the touch ((((")</f>
        <v>I didn’t see any positive changes in my hair. By the end of the day, the hair became “electric” and not pleasant to the touch ((((</v>
      </c>
    </row>
    <row r="6136" spans="1:9" x14ac:dyDescent="0.3">
      <c r="A6136" s="1" t="s">
        <v>67</v>
      </c>
      <c r="B6136" s="1" t="s">
        <v>340</v>
      </c>
      <c r="C6136" s="1" t="s">
        <v>1634</v>
      </c>
      <c r="D6136" s="1" t="s">
        <v>2336</v>
      </c>
      <c r="E6136" s="1" t="s">
        <v>9808</v>
      </c>
      <c r="F6136" s="1" t="s">
        <v>9809</v>
      </c>
      <c r="G6136" s="1" t="s">
        <v>36</v>
      </c>
      <c r="H6136" s="1" t="s">
        <v>29</v>
      </c>
      <c r="I6136" s="1" t="str">
        <f ca="1">IFERROR(__xludf.DUMMYFUNCTION("GOOGLETRANSLATE(F6136, ""auto"", ""en"")
"),"I spent a long time choosing a machine, read reviews and bought this one. I really like it! Instructions for schoolchildren, everything is clear! Now I’m sewing and enjoying it! The most important thing is that it has everything you need and is quick and "&amp;"easy to refill! I didn’t think that for that kind of money you could buy a car that is good for the soul!!!")</f>
        <v>I spent a long time choosing a machine, read reviews and bought this one. I really like it! Instructions for schoolchildren, everything is clear! Now I’m sewing and enjoying it! The most important thing is that it has everything you need and is quick and easy to refill! I didn’t think that for that kind of money you could buy a car that is good for the soul!!!</v>
      </c>
    </row>
    <row r="6137" spans="1:9" x14ac:dyDescent="0.3">
      <c r="A6137" s="1" t="s">
        <v>61</v>
      </c>
      <c r="B6137" s="1" t="s">
        <v>62</v>
      </c>
      <c r="C6137" s="1" t="s">
        <v>69</v>
      </c>
      <c r="D6137" s="1" t="s">
        <v>273</v>
      </c>
      <c r="E6137" s="1" t="s">
        <v>4071</v>
      </c>
      <c r="F6137" s="1" t="s">
        <v>9810</v>
      </c>
      <c r="G6137" s="1" t="s">
        <v>36</v>
      </c>
      <c r="H6137" s="1" t="s">
        <v>29</v>
      </c>
      <c r="I6137" s="1" t="str">
        <f ca="1">IFERROR(__xludf.DUMMYFUNCTION("GOOGLETRANSLATE(F6137, ""auto"", ""en"")
"),"It was given to me as a gift, I didn’t choose it myself. I’ve been using it for more than 5 years, I’m happy with everything, except that it only makes minced meat well from chicken fillet; it’s difficult to chop pork and beef. I especially actively use a"&amp;" grater for potato pancakes; it chops a couple of kilos of potatoes in 5 minutes and doesn’t hurt a single finger. I recommend it.")</f>
        <v>It was given to me as a gift, I didn’t choose it myself. I’ve been using it for more than 5 years, I’m happy with everything, except that it only makes minced meat well from chicken fillet; it’s difficult to chop pork and beef. I especially actively use a grater for potato pancakes; it chops a couple of kilos of potatoes in 5 minutes and doesn’t hurt a single finger. I recommend it.</v>
      </c>
    </row>
    <row r="6138" spans="1:9" x14ac:dyDescent="0.3">
      <c r="A6138" s="1" t="s">
        <v>206</v>
      </c>
      <c r="B6138" s="1" t="s">
        <v>207</v>
      </c>
      <c r="C6138" s="1" t="s">
        <v>152</v>
      </c>
      <c r="D6138" s="1" t="s">
        <v>52</v>
      </c>
      <c r="E6138" s="1" t="s">
        <v>2824</v>
      </c>
      <c r="F6138" s="1" t="s">
        <v>9811</v>
      </c>
      <c r="G6138" s="1" t="s">
        <v>36</v>
      </c>
      <c r="H6138" s="1" t="s">
        <v>29</v>
      </c>
      <c r="I6138" s="1" t="str">
        <f ca="1">IFERROR(__xludf.DUMMYFUNCTION("GOOGLETRANSLATE(F6138, ""auto"", ""en"")
"),"An excellent amp, it was in 7, I connected a Mistori sub at 600 watts, it played normally, but the sub itself didn’t work, I bought a used sub, I don’t remember the brand, and after that I played with a bang, even the car shook))) the head was a pioneer.")</f>
        <v>An excellent amp, it was in 7, I connected a Mistori sub at 600 watts, it played normally, but the sub itself didn’t work, I bought a used sub, I don’t remember the brand, and after that I played with a bang, even the car shook))) the head was a pioneer.</v>
      </c>
    </row>
    <row r="6139" spans="1:9" x14ac:dyDescent="0.3">
      <c r="A6139" s="1" t="s">
        <v>61</v>
      </c>
      <c r="B6139" s="1" t="s">
        <v>145</v>
      </c>
      <c r="C6139" s="1" t="s">
        <v>74</v>
      </c>
      <c r="D6139" s="1" t="s">
        <v>4136</v>
      </c>
      <c r="E6139" s="1" t="s">
        <v>1065</v>
      </c>
      <c r="F6139" s="1" t="s">
        <v>9812</v>
      </c>
      <c r="G6139" s="1" t="s">
        <v>36</v>
      </c>
      <c r="H6139" s="1" t="s">
        <v>29</v>
      </c>
      <c r="I6139" s="1" t="str">
        <f ca="1">IFERROR(__xludf.DUMMYFUNCTION("GOOGLETRANSLATE(F6139, ""auto"", ""en"")
"),"A wonderful device. It turns out very tasty and healthy yogurt. If you prepare yogurt with dry starter culture, it will take 11 hours, if you prepare it with ready-made yogurt, it will take 4 hours. If you have a small child, this is an irreplaceable thin"&amp;"g.  Jar volume 150 g.")</f>
        <v>A wonderful device. It turns out very tasty and healthy yogurt. If you prepare yogurt with dry starter culture, it will take 11 hours, if you prepare it with ready-made yogurt, it will take 4 hours. If you have a small child, this is an irreplaceable thing.  Jar volume 150 g.</v>
      </c>
    </row>
    <row r="6140" spans="1:9" x14ac:dyDescent="0.3">
      <c r="A6140" s="1" t="s">
        <v>120</v>
      </c>
      <c r="B6140" s="1" t="s">
        <v>121</v>
      </c>
      <c r="C6140" s="1" t="s">
        <v>69</v>
      </c>
      <c r="D6140" s="1" t="s">
        <v>1188</v>
      </c>
      <c r="E6140" s="1" t="s">
        <v>9813</v>
      </c>
      <c r="F6140" s="1" t="s">
        <v>9814</v>
      </c>
      <c r="G6140" s="1" t="s">
        <v>36</v>
      </c>
      <c r="H6140" s="1" t="s">
        <v>29</v>
      </c>
      <c r="I6140" s="1" t="str">
        <f ca="1">IFERROR(__xludf.DUMMYFUNCTION("GOOGLETRANSLATE(F6140, ""auto"", ""en"")
"),"We bought this TV in January 2011 on a promotion, everything is super, I really like it - those who are still thinking about it, take it, you won’t regret it! Regarding reading not all formats, it can be solved without problems, via an HDMI cable, to a co"&amp;"mputer or laptop and go ahead!!!")</f>
        <v>We bought this TV in January 2011 on a promotion, everything is super, I really like it - those who are still thinking about it, take it, you won’t regret it! Regarding reading not all formats, it can be solved without problems, via an HDMI cable, to a computer or laptop and go ahead!!!</v>
      </c>
    </row>
    <row r="6141" spans="1:9" x14ac:dyDescent="0.3">
      <c r="A6141" s="1" t="s">
        <v>17</v>
      </c>
      <c r="B6141" s="1" t="s">
        <v>18</v>
      </c>
      <c r="C6141" s="1" t="s">
        <v>151</v>
      </c>
      <c r="D6141" s="1" t="s">
        <v>142</v>
      </c>
      <c r="E6141" s="1" t="s">
        <v>2990</v>
      </c>
      <c r="F6141" s="1" t="s">
        <v>9815</v>
      </c>
      <c r="G6141" s="1" t="s">
        <v>36</v>
      </c>
      <c r="H6141" s="1" t="s">
        <v>29</v>
      </c>
      <c r="I6141" s="1" t="str">
        <f ca="1">IFERROR(__xludf.DUMMYFUNCTION("GOOGLETRANSLATE(F6141, ""auto"", ""en"")
"),"We bought it in an online store 4 months ago. It washes well and is roomy. There are quite enough washing modes. They used to wash with Sibirka, and they told me that the machines don’t wash as well as the Soviets. Nothing like that - it washes everything"&amp;" perfectly. And the children's underwear is generally a great success!!! I recommend it to everyone, I have never regretted buying this machine!!!")</f>
        <v>We bought it in an online store 4 months ago. It washes well and is roomy. There are quite enough washing modes. They used to wash with Sibirka, and they told me that the machines don’t wash as well as the Soviets. Nothing like that - it washes everything perfectly. And the children's underwear is generally a great success!!! I recommend it to everyone, I have never regretted buying this machine!!!</v>
      </c>
    </row>
    <row r="6142" spans="1:9" x14ac:dyDescent="0.3">
      <c r="A6142" s="1" t="s">
        <v>169</v>
      </c>
      <c r="B6142" s="1" t="s">
        <v>170</v>
      </c>
      <c r="C6142" s="1" t="s">
        <v>122</v>
      </c>
      <c r="D6142" s="1" t="s">
        <v>86</v>
      </c>
      <c r="E6142" s="1" t="s">
        <v>2921</v>
      </c>
      <c r="F6142" s="1" t="s">
        <v>9816</v>
      </c>
      <c r="G6142" s="1" t="s">
        <v>15</v>
      </c>
      <c r="H6142" s="1" t="s">
        <v>16</v>
      </c>
      <c r="I6142" s="1" t="str">
        <f ca="1">IFERROR(__xludf.DUMMYFUNCTION("GOOGLETRANSLATE(F6142, ""auto"", ""en"")
"),"The sound insulation is terrible, you can still listen to music in the subway at high volume, but watching a video with ac3 or dts on the road is already unrealistic, you can’t hear anything because of the noise.")</f>
        <v>The sound insulation is terrible, you can still listen to music in the subway at high volume, but watching a video with ac3 or dts on the road is already unrealistic, you can’t hear anything because of the noise.</v>
      </c>
    </row>
    <row r="6143" spans="1:9" x14ac:dyDescent="0.3">
      <c r="A6143" s="1" t="s">
        <v>37</v>
      </c>
      <c r="B6143" s="1" t="s">
        <v>1829</v>
      </c>
      <c r="C6143" s="1" t="s">
        <v>151</v>
      </c>
      <c r="D6143" s="1" t="s">
        <v>1764</v>
      </c>
      <c r="E6143" s="1" t="s">
        <v>9817</v>
      </c>
      <c r="F6143" s="1" t="s">
        <v>9818</v>
      </c>
      <c r="G6143" s="1" t="s">
        <v>49</v>
      </c>
      <c r="H6143" s="1" t="s">
        <v>16</v>
      </c>
      <c r="I6143" s="1" t="str">
        <f ca="1">IFERROR(__xludf.DUMMYFUNCTION("GOOGLETRANSLATE(F6143, ""auto"", ""en"")
"),"I bought it a month later and the camera stopped working! We sent it to the service center where they said it was necessary to change the camera module - and this is not an isolated case! I did not install a single program (all factory applications) free "&amp;"RAM 900 MB out of 2GB! It rebooted on its own twice. If you receive a call from the second line while talking on a Bluetooth headset, you will no longer be able to interrupt the call with the first interlocutor.")</f>
        <v>I bought it a month later and the camera stopped working! We sent it to the service center where they said it was necessary to change the camera module - and this is not an isolated case! I did not install a single program (all factory applications) free RAM 900 MB out of 2GB! It rebooted on its own twice. If you receive a call from the second line while talking on a Bluetooth headset, you will no longer be able to interrupt the call with the first interlocutor.</v>
      </c>
    </row>
    <row r="6144" spans="1:9" x14ac:dyDescent="0.3">
      <c r="A6144" s="1" t="s">
        <v>30</v>
      </c>
      <c r="B6144" s="1" t="s">
        <v>50</v>
      </c>
      <c r="C6144" s="1" t="s">
        <v>1003</v>
      </c>
      <c r="D6144" s="1" t="s">
        <v>152</v>
      </c>
      <c r="E6144" s="1" t="s">
        <v>750</v>
      </c>
      <c r="F6144" s="1" t="s">
        <v>9819</v>
      </c>
      <c r="G6144" s="1" t="s">
        <v>28</v>
      </c>
      <c r="H6144" s="1" t="s">
        <v>29</v>
      </c>
      <c r="I6144" s="1" t="str">
        <f ca="1">IFERROR(__xludf.DUMMYFUNCTION("GOOGLETRANSLATE(F6144, ""auto"", ""en"")
"),"Not counting the typo in the product description (ddr2 ram, not 3) =-)")</f>
        <v>Not counting the typo in the product description (ddr2 ram, not 3) =-)</v>
      </c>
    </row>
    <row r="6145" spans="1:9" x14ac:dyDescent="0.3">
      <c r="A6145" s="1" t="s">
        <v>105</v>
      </c>
      <c r="B6145" s="1" t="s">
        <v>106</v>
      </c>
      <c r="C6145" s="1" t="s">
        <v>151</v>
      </c>
      <c r="D6145" s="1" t="s">
        <v>327</v>
      </c>
      <c r="E6145" s="1" t="s">
        <v>229</v>
      </c>
      <c r="F6145" s="1" t="s">
        <v>9820</v>
      </c>
      <c r="G6145" s="1" t="s">
        <v>28</v>
      </c>
      <c r="H6145" s="1" t="s">
        <v>29</v>
      </c>
      <c r="I6145" s="1" t="str">
        <f ca="1">IFERROR(__xludf.DUMMYFUNCTION("GOOGLETRANSLATE(F6145, ""auto"", ""en"")
"),"The player is decent. I bought it recently. Everything is fine. But there is one problem. When it has been charging for a long time, the indicator shows that it is still charging and does not change the symbol to “fully charged.” Tell me why this is happe"&amp;"ning?")</f>
        <v>The player is decent. I bought it recently. Everything is fine. But there is one problem. When it has been charging for a long time, the indicator shows that it is still charging and does not change the symbol to “fully charged.” Tell me why this is happening?</v>
      </c>
    </row>
    <row r="6146" spans="1:9" x14ac:dyDescent="0.3">
      <c r="A6146" s="1" t="s">
        <v>55</v>
      </c>
      <c r="B6146" s="1" t="s">
        <v>752</v>
      </c>
      <c r="C6146" s="1" t="s">
        <v>185</v>
      </c>
      <c r="D6146" s="1" t="s">
        <v>891</v>
      </c>
      <c r="E6146" s="1" t="s">
        <v>2085</v>
      </c>
      <c r="F6146" s="1" t="s">
        <v>9821</v>
      </c>
      <c r="G6146" s="1" t="s">
        <v>36</v>
      </c>
      <c r="H6146" s="1" t="s">
        <v>29</v>
      </c>
      <c r="I6146" s="1" t="str">
        <f ca="1">IFERROR(__xludf.DUMMYFUNCTION("GOOGLETRANSLATE(F6146, ""auto"", ""en"")
"),"This thing is very good, the smell disappeared literally after 2 or 3 times of warming it up to full. I’ve been using it ever since 2004, but the paint has chipped slightly, but that’s due to time.")</f>
        <v>This thing is very good, the smell disappeared literally after 2 or 3 times of warming it up to full. I’ve been using it ever since 2004, but the paint has chipped slightly, but that’s due to time.</v>
      </c>
    </row>
    <row r="6147" spans="1:9" x14ac:dyDescent="0.3">
      <c r="A6147" s="1" t="s">
        <v>811</v>
      </c>
      <c r="B6147" s="1" t="s">
        <v>812</v>
      </c>
      <c r="C6147" s="1" t="s">
        <v>813</v>
      </c>
      <c r="D6147" s="1" t="s">
        <v>86</v>
      </c>
      <c r="E6147" s="1" t="s">
        <v>2171</v>
      </c>
      <c r="F6147" s="1" t="s">
        <v>9822</v>
      </c>
      <c r="G6147" s="1" t="s">
        <v>49</v>
      </c>
      <c r="H6147" s="1" t="s">
        <v>16</v>
      </c>
      <c r="I6147" s="1" t="str">
        <f ca="1">IFERROR(__xludf.DUMMYFUNCTION("GOOGLETRANSLATE(F6147, ""auto"", ""en"")
"),"On the very first day, negative emotions appeared: 1) Shooting with a video camera will not work - it does not allow smooth movement in more than one of the planes 2) One of the legs extended with a hard creak (and in general the fastenings are very weak)"&amp;" 3) On the second day of use, the vertical one stopped performing its functions - the camera simply fell forward under the weight of the lens (small), there was nothing to tighten it with. 4) The quick-release head does not fit smoothly into place.")</f>
        <v>On the very first day, negative emotions appeared: 1) Shooting with a video camera will not work - it does not allow smooth movement in more than one of the planes 2) One of the legs extended with a hard creak (and in general the fastenings are very weak) 3) On the second day of use, the vertical one stopped performing its functions - the camera simply fell forward under the weight of the lens (small), there was nothing to tighten it with. 4) The quick-release head does not fit smoothly into place.</v>
      </c>
    </row>
    <row r="6148" spans="1:9" x14ac:dyDescent="0.3">
      <c r="A6148" s="1" t="s">
        <v>17</v>
      </c>
      <c r="B6148" s="1" t="s">
        <v>18</v>
      </c>
      <c r="C6148" s="1" t="s">
        <v>63</v>
      </c>
      <c r="D6148" s="1" t="s">
        <v>113</v>
      </c>
      <c r="E6148" s="1" t="s">
        <v>115</v>
      </c>
      <c r="F6148" s="1" t="s">
        <v>9823</v>
      </c>
      <c r="G6148" s="1" t="s">
        <v>36</v>
      </c>
      <c r="H6148" s="1" t="s">
        <v>29</v>
      </c>
      <c r="I6148" s="1" t="str">
        <f ca="1">IFERROR(__xludf.DUMMYFUNCTION("GOOGLETRANSLATE(F6148, ""auto"", ""en"")
"),"We bought a Bosch WLX20462OE washing machine a month ago. I really liked it. It washes much better than before (Indesit). It doesn't make any noise when spinning. Very powerful.")</f>
        <v>We bought a Bosch WLX20462OE washing machine a month ago. I really liked it. It washes much better than before (Indesit). It doesn't make any noise when spinning. Very powerful.</v>
      </c>
    </row>
    <row r="6149" spans="1:9" x14ac:dyDescent="0.3">
      <c r="A6149" s="1" t="s">
        <v>369</v>
      </c>
      <c r="B6149" s="1" t="s">
        <v>587</v>
      </c>
      <c r="C6149" s="1" t="s">
        <v>588</v>
      </c>
      <c r="D6149" s="1" t="s">
        <v>81</v>
      </c>
      <c r="E6149" s="1" t="s">
        <v>2582</v>
      </c>
      <c r="F6149" s="1" t="s">
        <v>9824</v>
      </c>
      <c r="G6149" s="1" t="s">
        <v>36</v>
      </c>
      <c r="H6149" s="1" t="s">
        <v>29</v>
      </c>
      <c r="I6149" s="1" t="str">
        <f ca="1">IFERROR(__xludf.DUMMYFUNCTION("GOOGLETRANSLATE(F6149, ""auto"", ""en"")
"),"The high-quality steel coating and design are pleasing to the eye. The electric ignition works clearly, the burning of the burners is smoothly adjustable. The practicality of the cast-iron separate grates is convenient for instant cleaning, the dishes sit"&amp;" on it like a magnet. The oven bakes normally, everything is thought out in it too. In general, my wife and I are satisfied with the price and quality.")</f>
        <v>The high-quality steel coating and design are pleasing to the eye. The electric ignition works clearly, the burning of the burners is smoothly adjustable. The practicality of the cast-iron separate grates is convenient for instant cleaning, the dishes sit on it like a magnet. The oven bakes normally, everything is thought out in it too. In general, my wife and I are satisfied with the price and quality.</v>
      </c>
    </row>
    <row r="6150" spans="1:9" x14ac:dyDescent="0.3">
      <c r="A6150" s="1" t="s">
        <v>9</v>
      </c>
      <c r="B6150" s="1" t="s">
        <v>10</v>
      </c>
      <c r="C6150" s="1" t="s">
        <v>407</v>
      </c>
      <c r="D6150" s="1" t="s">
        <v>653</v>
      </c>
      <c r="E6150" s="1" t="s">
        <v>766</v>
      </c>
      <c r="F6150" s="1" t="s">
        <v>9825</v>
      </c>
      <c r="G6150" s="1" t="s">
        <v>36</v>
      </c>
      <c r="H6150" s="1" t="s">
        <v>29</v>
      </c>
      <c r="I6150" s="1" t="str">
        <f ca="1">IFERROR(__xludf.DUMMYFUNCTION("GOOGLETRANSLATE(F6150, ""auto"", ""en"")
"),"We recently bought this range hood for our kitchen and are very pleased with its performance and performance! It is powerful, with four speeds, so it pulls air very well. Does a great job of eliminating all odors that appear in the kitchen. Of course, fou"&amp;"r speeds is a lot, I use each of them depending on how long I'm cooking. The ones I use most often are the first and second, sometimes the third. I really like the way the control panel is designed here - everything is clearly visible, adjusting modes is "&amp;"simple and easy, and the buttons are backlit. The hood not only perfectly draws air, but also illuminates the surface of the stove - cooking in the evening is now much more convenient. it turns off automatically, besides, there is a special timer, I use i"&amp;"t often. The display always shows not only the power of its operation and the selected mode, but also the degree of contamination of the filters. It's very practical. The filters themselves are easy to wash; there are no difficulties with cleaning them. T"&amp;"he hood itself is also cleaned in no time. Easy to install. It looks cool and goes well with the kitchen decor. Not noisy.")</f>
        <v>We recently bought this range hood for our kitchen and are very pleased with its performance and performance! It is powerful, with four speeds, so it pulls air very well. Does a great job of eliminating all odors that appear in the kitchen. Of course, four speeds is a lot, I use each of them depending on how long I'm cooking. The ones I use most often are the first and second, sometimes the third. I really like the way the control panel is designed here - everything is clearly visible, adjusting modes is simple and easy, and the buttons are backlit. The hood not only perfectly draws air, but also illuminates the surface of the stove - cooking in the evening is now much more convenient. it turns off automatically, besides, there is a special timer, I use it often. The display always shows not only the power of its operation and the selected mode, but also the degree of contamination of the filters. It's very practical. The filters themselves are easy to wash; there are no difficulties with cleaning them. The hood itself is also cleaned in no time. Easy to install. It looks cool and goes well with the kitchen decor. Not noisy.</v>
      </c>
    </row>
    <row r="6151" spans="1:9" x14ac:dyDescent="0.3">
      <c r="A6151" s="1" t="s">
        <v>149</v>
      </c>
      <c r="B6151" s="1" t="s">
        <v>576</v>
      </c>
      <c r="C6151" s="1" t="s">
        <v>69</v>
      </c>
      <c r="D6151" s="1" t="s">
        <v>9826</v>
      </c>
      <c r="E6151" s="1" t="s">
        <v>905</v>
      </c>
      <c r="F6151" s="1" t="s">
        <v>9827</v>
      </c>
      <c r="G6151" s="1" t="s">
        <v>36</v>
      </c>
      <c r="H6151" s="1" t="s">
        <v>29</v>
      </c>
      <c r="I6151" s="1" t="str">
        <f ca="1">IFERROR(__xludf.DUMMYFUNCTION("GOOGLETRANSLATE(F6151, ""auto"", ""en"")
"),"A very powerful vacuum cleaner!!!!!And very quiet!!!!It’s so powerful that it lifts the carpet at full power!I’ve had it for 2 days, I’m very pleased. Everything is done great, especially the design! Everyone writes that it gives an electric shock, it hit"&amp;"s the current on an iron pipe and doesn’t hit hard, so that it doesn’t hit you have to hold it by the plastic handle and not by the pipe. In general, this is the most powerful bagged vacuum cleaner in the world. I recommend it to everyone!!!!!!!!!!!!!!!")</f>
        <v>A very powerful vacuum cleaner!!!!!And very quiet!!!!It’s so powerful that it lifts the carpet at full power!I’ve had it for 2 days, I’m very pleased. Everything is done great, especially the design! Everyone writes that it gives an electric shock, it hits the current on an iron pipe and doesn’t hit hard, so that it doesn’t hit you have to hold it by the plastic handle and not by the pipe. In general, this is the most powerful bagged vacuum cleaner in the world. I recommend it to everyone!!!!!!!!!!!!!!!</v>
      </c>
    </row>
    <row r="6152" spans="1:9" x14ac:dyDescent="0.3">
      <c r="A6152" s="1" t="s">
        <v>61</v>
      </c>
      <c r="B6152" s="1" t="s">
        <v>318</v>
      </c>
      <c r="C6152" s="1" t="s">
        <v>69</v>
      </c>
      <c r="D6152" s="1" t="s">
        <v>52</v>
      </c>
      <c r="E6152" s="1" t="s">
        <v>53</v>
      </c>
      <c r="F6152" s="1" t="s">
        <v>9828</v>
      </c>
      <c r="G6152" s="1" t="s">
        <v>49</v>
      </c>
      <c r="H6152" s="1" t="s">
        <v>16</v>
      </c>
      <c r="I6152" s="1" t="str">
        <f ca="1">IFERROR(__xludf.DUMMYFUNCTION("GOOGLETRANSLATE(F6152, ""auto"", ""en"")
"),"Got it on sale at half price. The teapot suited everyone. After about a month of operation, when the kettle began to boil, water flowed from the power button. It turned out to be beyond repair. In the end, the money was returned.")</f>
        <v>Got it on sale at half price. The teapot suited everyone. After about a month of operation, when the kettle began to boil, water flowed from the power button. It turned out to be beyond repair. In the end, the money was returned.</v>
      </c>
    </row>
    <row r="6153" spans="1:9" x14ac:dyDescent="0.3">
      <c r="A6153" s="1" t="s">
        <v>30</v>
      </c>
      <c r="B6153" s="1" t="s">
        <v>31</v>
      </c>
      <c r="C6153" s="1" t="s">
        <v>32</v>
      </c>
      <c r="D6153" s="1" t="s">
        <v>1605</v>
      </c>
      <c r="E6153" s="1" t="s">
        <v>357</v>
      </c>
      <c r="F6153" s="1" t="s">
        <v>9829</v>
      </c>
      <c r="G6153" s="1" t="s">
        <v>36</v>
      </c>
      <c r="H6153" s="1" t="s">
        <v>29</v>
      </c>
      <c r="I6153" s="1" t="str">
        <f ca="1">IFERROR(__xludf.DUMMYFUNCTION("GOOGLETRANSLATE(F6153, ""auto"", ""en"")
"),"I enjoy the computer itself, but freezes prevent me from enjoying it to the fullest. If anyone takes it to the service center, please tell us what the problem was, otherwise our service centers are incompetent, they spent three weeks looking for a breakdo"&amp;"wn in the power supply, although when I handed it in, I immediately pointed it out....")</f>
        <v>I enjoy the computer itself, but freezes prevent me from enjoying it to the fullest. If anyone takes it to the service center, please tell us what the problem was, otherwise our service centers are incompetent, they spent three weeks looking for a breakdown in the power supply, although when I handed it in, I immediately pointed it out....</v>
      </c>
    </row>
    <row r="6154" spans="1:9" x14ac:dyDescent="0.3">
      <c r="A6154" s="1" t="s">
        <v>149</v>
      </c>
      <c r="B6154" s="1" t="s">
        <v>576</v>
      </c>
      <c r="C6154" s="1" t="s">
        <v>63</v>
      </c>
      <c r="D6154" s="1" t="s">
        <v>9830</v>
      </c>
      <c r="E6154" s="1" t="s">
        <v>4522</v>
      </c>
      <c r="F6154" s="1" t="s">
        <v>9831</v>
      </c>
      <c r="G6154" s="1" t="s">
        <v>36</v>
      </c>
      <c r="H6154" s="1" t="s">
        <v>29</v>
      </c>
      <c r="I6154" s="1" t="str">
        <f ca="1">IFERROR(__xludf.DUMMYFUNCTION("GOOGLETRANSLATE(F6154, ""auto"", ""en"")
"),"I bought it a couple of days ago. After Elenberga it’s just a blast. By the way, there were no shortcomings. By the way, heating is a completely normal phenomenon for electrical equipment. Universal brush included. The suction is sufficient even at half c"&amp;"apacity. It doesn't make much noise. Maybe those who unsubscribed above were simply unlucky with the product?   I recommend a vacuum cleaner...")</f>
        <v>I bought it a couple of days ago. After Elenberga it’s just a blast. By the way, there were no shortcomings. By the way, heating is a completely normal phenomenon for electrical equipment. Universal brush included. The suction is sufficient even at half capacity. It doesn't make much noise. Maybe those who unsubscribed above were simply unlucky with the product?   I recommend a vacuum cleaner...</v>
      </c>
    </row>
    <row r="6155" spans="1:9" x14ac:dyDescent="0.3">
      <c r="A6155" s="1" t="s">
        <v>211</v>
      </c>
      <c r="B6155" s="1" t="s">
        <v>1818</v>
      </c>
      <c r="C6155" s="1" t="s">
        <v>213</v>
      </c>
      <c r="D6155" s="1" t="s">
        <v>247</v>
      </c>
      <c r="E6155" s="1" t="s">
        <v>5032</v>
      </c>
      <c r="F6155" s="1" t="s">
        <v>9832</v>
      </c>
      <c r="G6155" s="1" t="s">
        <v>36</v>
      </c>
      <c r="H6155" s="1" t="s">
        <v>29</v>
      </c>
      <c r="I6155" s="1" t="str">
        <f ca="1">IFERROR(__xludf.DUMMYFUNCTION("GOOGLETRANSLATE(F6155, ""auto"", ""en"")
"),"Amazing comb! I never leave reviews, but this is an exception, I can’t help but share! I really didn't expect such an effect. After trying on a bunch of things, my hair was just 90 degrees! I combed it with this brush, and they became smooth, shiny and st"&amp;"opped electrifying! Like after lamination! A friend, a skeptic, didn’t believe me, but when she combed her hair herself, she went to buy it) Some kind of magic wand!")</f>
        <v>Amazing comb! I never leave reviews, but this is an exception, I can’t help but share! I really didn't expect such an effect. After trying on a bunch of things, my hair was just 90 degrees! I combed it with this brush, and they became smooth, shiny and stopped electrifying! Like after lamination! A friend, a skeptic, didn’t believe me, but when she combed her hair herself, she went to buy it) Some kind of magic wand!</v>
      </c>
    </row>
    <row r="6156" spans="1:9" x14ac:dyDescent="0.3">
      <c r="A6156" s="1" t="s">
        <v>17</v>
      </c>
      <c r="B6156" s="1" t="s">
        <v>18</v>
      </c>
      <c r="C6156" s="1" t="s">
        <v>243</v>
      </c>
      <c r="D6156" s="1" t="s">
        <v>247</v>
      </c>
      <c r="E6156" s="1" t="s">
        <v>2298</v>
      </c>
      <c r="F6156" s="1" t="s">
        <v>9833</v>
      </c>
      <c r="G6156" s="1" t="s">
        <v>15</v>
      </c>
      <c r="H6156" s="1" t="s">
        <v>16</v>
      </c>
      <c r="I6156" s="1" t="str">
        <f ca="1">IFERROR(__xludf.DUMMYFUNCTION("GOOGLETRANSLATE(F6156, ""auto"", ""en"")
"),"I was not satisfied with the Indesit WISN 100 (CSI) machine!!! We bought it in the summer of 2007, in January 2008 it broke down!! But it was still under warranty and it was repaired!!! Now the same thing has broken down!! The machine worked for three yea"&amp;"rs in total!! I will buy a new one and definitely not Indesit!!")</f>
        <v>I was not satisfied with the Indesit WISN 100 (CSI) machine!!! We bought it in the summer of 2007, in January 2008 it broke down!! But it was still under warranty and it was repaired!!! Now the same thing has broken down!! The machine worked for three years in total!! I will buy a new one and definitely not Indesit!!</v>
      </c>
    </row>
    <row r="6157" spans="1:9" x14ac:dyDescent="0.3">
      <c r="A6157" s="1" t="s">
        <v>43</v>
      </c>
      <c r="B6157" s="1" t="s">
        <v>303</v>
      </c>
      <c r="C6157" s="1" t="s">
        <v>665</v>
      </c>
      <c r="D6157" s="1" t="s">
        <v>232</v>
      </c>
      <c r="E6157" s="1" t="s">
        <v>555</v>
      </c>
      <c r="F6157" s="1" t="s">
        <v>9834</v>
      </c>
      <c r="G6157" s="1" t="s">
        <v>36</v>
      </c>
      <c r="H6157" s="1" t="s">
        <v>29</v>
      </c>
      <c r="I6157" s="1" t="str">
        <f ca="1">IFERROR(__xludf.DUMMYFUNCTION("GOOGLETRANSLATE(F6157, ""auto"", ""en"")
"),"The quality is excellent, check the package in the store, installation is not complicated, it’s easy to connect, don’t forget to buy a coarse filter to extend the life of the device. The instructions are very detailed, the official warranty on the tank is"&amp;" 7 years. Hangs on the wall, doesn't get hot, doesn't make noise. Very pleased, I recommend.")</f>
        <v>The quality is excellent, check the package in the store, installation is not complicated, it’s easy to connect, don’t forget to buy a coarse filter to extend the life of the device. The instructions are very detailed, the official warranty on the tank is 7 years. Hangs on the wall, doesn't get hot, doesn't make noise. Very pleased, I recommend.</v>
      </c>
    </row>
    <row r="6158" spans="1:9" x14ac:dyDescent="0.3">
      <c r="A6158" s="1" t="s">
        <v>9</v>
      </c>
      <c r="B6158" s="1" t="s">
        <v>10</v>
      </c>
      <c r="C6158" s="1" t="s">
        <v>466</v>
      </c>
      <c r="D6158" s="1" t="s">
        <v>32</v>
      </c>
      <c r="E6158" s="1" t="s">
        <v>8999</v>
      </c>
      <c r="F6158" s="1" t="s">
        <v>9835</v>
      </c>
      <c r="G6158" s="1" t="s">
        <v>49</v>
      </c>
      <c r="H6158" s="1" t="s">
        <v>16</v>
      </c>
      <c r="I6158" s="1" t="str">
        <f ca="1">IFERROR(__xludf.DUMMYFUNCTION("GOOGLETRANSLATE(F6158, ""auto"", ""en"")
"),"The hood was used for exactly a year and a week, first the grease filters cracked, then the buttons stopped working, then the motor itself broke down, and it is also very noisy! This is a nightmare, not a hood!")</f>
        <v>The hood was used for exactly a year and a week, first the grease filters cracked, then the buttons stopped working, then the motor itself broke down, and it is also very noisy! This is a nightmare, not a hood!</v>
      </c>
    </row>
    <row r="6159" spans="1:9" x14ac:dyDescent="0.3">
      <c r="A6159" s="1" t="s">
        <v>61</v>
      </c>
      <c r="B6159" s="1" t="s">
        <v>318</v>
      </c>
      <c r="C6159" s="1" t="s">
        <v>146</v>
      </c>
      <c r="D6159" s="1" t="s">
        <v>2217</v>
      </c>
      <c r="E6159" s="1" t="s">
        <v>3233</v>
      </c>
      <c r="F6159" s="1" t="s">
        <v>9836</v>
      </c>
      <c r="G6159" s="1" t="s">
        <v>15</v>
      </c>
      <c r="H6159" s="1" t="s">
        <v>16</v>
      </c>
      <c r="I6159" s="1" t="str">
        <f ca="1">IFERROR(__xludf.DUMMYFUNCTION("GOOGLETRANSLATE(F6159, ""auto"", ""en"")
"),"Two months and a coating of rust at the base of the level, it’s good that I bought a guarantee. I expected a much better result from M Video..")</f>
        <v>Two months and a coating of rust at the base of the level, it’s good that I bought a guarantee. I expected a much better result from M Video..</v>
      </c>
    </row>
    <row r="6160" spans="1:9" x14ac:dyDescent="0.3">
      <c r="A6160" s="1" t="s">
        <v>37</v>
      </c>
      <c r="B6160" s="1" t="s">
        <v>38</v>
      </c>
      <c r="C6160" s="1" t="s">
        <v>151</v>
      </c>
      <c r="D6160" s="1" t="s">
        <v>280</v>
      </c>
      <c r="E6160" s="1" t="s">
        <v>734</v>
      </c>
      <c r="F6160" s="1" t="s">
        <v>9837</v>
      </c>
      <c r="G6160" s="1" t="s">
        <v>36</v>
      </c>
      <c r="H6160" s="1" t="s">
        <v>29</v>
      </c>
      <c r="I6160" s="1" t="str">
        <f ca="1">IFERROR(__xludf.DUMMYFUNCTION("GOOGLETRANSLATE(F6160, ""auto"", ""en"")
"),"I've owned it for 1 year now. No complaints! Please note: the model is a bit heavy, rather masculine. The charge lasts me 2 days. The phone is excellent, I recommend it!")</f>
        <v>I've owned it for 1 year now. No complaints! Please note: the model is a bit heavy, rather masculine. The charge lasts me 2 days. The phone is excellent, I recommend it!</v>
      </c>
    </row>
    <row r="6161" spans="1:9" x14ac:dyDescent="0.3">
      <c r="A6161" s="1" t="s">
        <v>89</v>
      </c>
      <c r="B6161" s="1" t="s">
        <v>231</v>
      </c>
      <c r="C6161" s="1" t="s">
        <v>1072</v>
      </c>
      <c r="D6161" s="1" t="s">
        <v>9838</v>
      </c>
      <c r="E6161" s="1" t="s">
        <v>9839</v>
      </c>
      <c r="F6161" s="1" t="s">
        <v>9840</v>
      </c>
      <c r="G6161" s="1" t="s">
        <v>36</v>
      </c>
      <c r="H6161" s="1" t="s">
        <v>29</v>
      </c>
      <c r="I6161" s="1" t="str">
        <f ca="1">IFERROR(__xludf.DUMMYFUNCTION("GOOGLETRANSLATE(F6161, ""auto"", ""en"")
"),"We used another machine for a long time, I don’t even remember the name, and to be honest I was disappointed in these devices, but at work we bought such a machine and it turned out that not all machines are the same. This machine brews amazingly deliciou"&amp;"s coffee, I didn’t even expect this. We decided to buy one for the New Year, we also got a cool promotion with discounts, and now there is a beauty at home. in detail, you can brew anything you want in it, including lattes and cappuccinos, I discovered ne"&amp;"w drinks for my family, it’s easy to understand and easy to maintain, the sellers explained everything and showed us everything, so we’re very happy with the purchase and earned bonuses!")</f>
        <v>We used another machine for a long time, I don’t even remember the name, and to be honest I was disappointed in these devices, but at work we bought such a machine and it turned out that not all machines are the same. This machine brews amazingly delicious coffee, I didn’t even expect this. We decided to buy one for the New Year, we also got a cool promotion with discounts, and now there is a beauty at home. in detail, you can brew anything you want in it, including lattes and cappuccinos, I discovered new drinks for my family, it’s easy to understand and easy to maintain, the sellers explained everything and showed us everything, so we’re very happy with the purchase and earned bonuses!</v>
      </c>
    </row>
    <row r="6162" spans="1:9" x14ac:dyDescent="0.3">
      <c r="A6162" s="1" t="s">
        <v>61</v>
      </c>
      <c r="B6162" s="1" t="s">
        <v>145</v>
      </c>
      <c r="C6162" s="1" t="s">
        <v>246</v>
      </c>
      <c r="D6162" s="1" t="s">
        <v>6340</v>
      </c>
      <c r="E6162" s="1" t="s">
        <v>1899</v>
      </c>
      <c r="F6162" s="1" t="s">
        <v>9841</v>
      </c>
      <c r="G6162" s="1" t="s">
        <v>49</v>
      </c>
      <c r="H6162" s="1" t="s">
        <v>16</v>
      </c>
      <c r="I6162" s="1" t="str">
        <f ca="1">IFERROR(__xludf.DUMMYFUNCTION("GOOGLETRANSLATE(F6162, ""auto"", ""en"")
"),"1590 because the latter is also marked down - there is only one conclusion - you need to check on the website")</f>
        <v>1590 because the latter is also marked down - there is only one conclusion - you need to check on the website</v>
      </c>
    </row>
    <row r="6163" spans="1:9" x14ac:dyDescent="0.3">
      <c r="A6163" s="1" t="s">
        <v>30</v>
      </c>
      <c r="B6163" s="1" t="s">
        <v>31</v>
      </c>
      <c r="C6163" s="1" t="s">
        <v>32</v>
      </c>
      <c r="D6163" s="1" t="s">
        <v>9842</v>
      </c>
      <c r="E6163" s="1" t="s">
        <v>4739</v>
      </c>
      <c r="F6163" s="1" t="s">
        <v>9843</v>
      </c>
      <c r="G6163" s="1" t="s">
        <v>36</v>
      </c>
      <c r="H6163" s="1" t="s">
        <v>29</v>
      </c>
      <c r="I6163" s="1" t="str">
        <f ca="1">IFERROR(__xludf.DUMMYFUNCTION("GOOGLETRANSLATE(F6163, ""auto"", ""en"")
"),"8 GB of RAM is not needed, since the hardware (CPU) only sees 4, the case is too small for such spare parts, it will heat up too much")</f>
        <v>8 GB of RAM is not needed, since the hardware (CPU) only sees 4, the case is too small for such spare parts, it will heat up too much</v>
      </c>
    </row>
    <row r="6164" spans="1:9" x14ac:dyDescent="0.3">
      <c r="A6164" s="1" t="s">
        <v>61</v>
      </c>
      <c r="B6164" s="1" t="s">
        <v>318</v>
      </c>
      <c r="C6164" s="1" t="s">
        <v>69</v>
      </c>
      <c r="D6164" s="1" t="s">
        <v>1241</v>
      </c>
      <c r="E6164" s="1" t="s">
        <v>3186</v>
      </c>
      <c r="F6164" s="1" t="s">
        <v>9844</v>
      </c>
      <c r="G6164" s="1" t="s">
        <v>28</v>
      </c>
      <c r="H6164" s="1" t="s">
        <v>29</v>
      </c>
      <c r="I6164" s="1" t="str">
        <f ca="1">IFERROR(__xludf.DUMMYFUNCTION("GOOGLETRANSLATE(F6164, ""auto"", ""en"")
"),"Well, the time has come to write a review) our kettle is about 4.5 years old and here is the first breakdown: the lid of the kettle has crumbled. Just a hole in the lid... but the kettle is still ready to serve for many years, I think. The kettle itself i"&amp;"s excellent and both adults and children like the lighting.")</f>
        <v>Well, the time has come to write a review) our kettle is about 4.5 years old and here is the first breakdown: the lid of the kettle has crumbled. Just a hole in the lid... but the kettle is still ready to serve for many years, I think. The kettle itself is excellent and both adults and children like the lighting.</v>
      </c>
    </row>
    <row r="6165" spans="1:9" x14ac:dyDescent="0.3">
      <c r="A6165" s="1" t="s">
        <v>9</v>
      </c>
      <c r="B6165" s="1" t="s">
        <v>10</v>
      </c>
      <c r="C6165" s="1" t="s">
        <v>407</v>
      </c>
      <c r="D6165" s="1" t="s">
        <v>75</v>
      </c>
      <c r="E6165" s="1" t="s">
        <v>5826</v>
      </c>
      <c r="F6165" s="1" t="s">
        <v>9845</v>
      </c>
      <c r="G6165" s="1" t="s">
        <v>36</v>
      </c>
      <c r="H6165" s="1" t="s">
        <v>29</v>
      </c>
      <c r="I6165" s="1" t="str">
        <f ca="1">IFERROR(__xludf.DUMMYFUNCTION("GOOGLETRANSLATE(F6165, ""auto"", ""en"")
"),"Stylish, beautiful, comfortable")</f>
        <v>Stylish, beautiful, comfortable</v>
      </c>
    </row>
    <row r="6166" spans="1:9" x14ac:dyDescent="0.3">
      <c r="A6166" s="1" t="s">
        <v>211</v>
      </c>
      <c r="B6166" s="1" t="s">
        <v>212</v>
      </c>
      <c r="C6166" s="1" t="s">
        <v>69</v>
      </c>
      <c r="D6166" s="1" t="s">
        <v>58</v>
      </c>
      <c r="E6166" s="1" t="s">
        <v>1886</v>
      </c>
      <c r="F6166" s="1" t="s">
        <v>9846</v>
      </c>
      <c r="G6166" s="1" t="s">
        <v>36</v>
      </c>
      <c r="H6166" s="1" t="s">
        <v>29</v>
      </c>
      <c r="I6166" s="1" t="str">
        <f ca="1">IFERROR(__xludf.DUMMYFUNCTION("GOOGLETRANSLATE(F6166, ""auto"", ""en"")
"),"Wonderful tongs, no flaws. The cord is very comfortable and the curls come out beautiful. I recommend!")</f>
        <v>Wonderful tongs, no flaws. The cord is very comfortable and the curls come out beautiful. I recommend!</v>
      </c>
    </row>
    <row r="6167" spans="1:9" x14ac:dyDescent="0.3">
      <c r="A6167" s="1" t="s">
        <v>9</v>
      </c>
      <c r="B6167" s="1" t="s">
        <v>133</v>
      </c>
      <c r="C6167" s="1" t="s">
        <v>290</v>
      </c>
      <c r="D6167" s="1" t="s">
        <v>420</v>
      </c>
      <c r="E6167" s="1" t="s">
        <v>3724</v>
      </c>
      <c r="F6167" s="1" t="s">
        <v>9847</v>
      </c>
      <c r="G6167" s="1" t="s">
        <v>36</v>
      </c>
      <c r="H6167" s="1" t="s">
        <v>29</v>
      </c>
      <c r="I6167" s="1" t="str">
        <f ca="1">IFERROR(__xludf.DUMMYFUNCTION("GOOGLETRANSLATE(F6167, ""auto"", ""en"")
"),"Convenient, reliable. Handles are hidden. Of course, there is no protection from children, but this is not the main thing. The main thing is how she bakes and bakes. Best choice. My wife liked it)")</f>
        <v>Convenient, reliable. Handles are hidden. Of course, there is no protection from children, but this is not the main thing. The main thing is how she bakes and bakes. Best choice. My wife liked it)</v>
      </c>
    </row>
    <row r="6168" spans="1:9" x14ac:dyDescent="0.3">
      <c r="A6168" s="1" t="s">
        <v>17</v>
      </c>
      <c r="B6168" s="1" t="s">
        <v>18</v>
      </c>
      <c r="C6168" s="1" t="s">
        <v>63</v>
      </c>
      <c r="D6168" s="1" t="s">
        <v>4871</v>
      </c>
      <c r="E6168" s="1" t="s">
        <v>1690</v>
      </c>
      <c r="F6168" s="1" t="s">
        <v>9848</v>
      </c>
      <c r="G6168" s="1" t="s">
        <v>28</v>
      </c>
      <c r="H6168" s="1" t="s">
        <v>29</v>
      </c>
      <c r="I6168" s="1" t="str">
        <f ca="1">IFERROR(__xludf.DUMMYFUNCTION("GOOGLETRANSLATE(F6168, ""auto"", ""en"")
"),"I bought a washing machine for my new apartment, but... I was a little disappointed with the plastic latch in the opening lid. Now I’m worried that it will break quickly. Because before that there were models only with metal latches. Maybe someone can con"&amp;"sole someone who has had this model for a long time. As for the rest, I like everything.")</f>
        <v>I bought a washing machine for my new apartment, but... I was a little disappointed with the plastic latch in the opening lid. Now I’m worried that it will break quickly. Because before that there were models only with metal latches. Maybe someone can console someone who has had this model for a long time. As for the rest, I like everything.</v>
      </c>
    </row>
    <row r="6169" spans="1:9" x14ac:dyDescent="0.3">
      <c r="A6169" s="1" t="s">
        <v>95</v>
      </c>
      <c r="B6169" s="1" t="s">
        <v>227</v>
      </c>
      <c r="C6169" s="1" t="s">
        <v>97</v>
      </c>
      <c r="D6169" s="1" t="s">
        <v>9849</v>
      </c>
      <c r="E6169" s="1" t="s">
        <v>3755</v>
      </c>
      <c r="F6169" s="1" t="s">
        <v>9850</v>
      </c>
      <c r="G6169" s="1" t="s">
        <v>36</v>
      </c>
      <c r="H6169" s="1" t="s">
        <v>29</v>
      </c>
      <c r="I6169" s="1" t="str">
        <f ca="1">IFERROR(__xludf.DUMMYFUNCTION("GOOGLETRANSLATE(F6169, ""auto"", ""en"")
"),"this is just awesome very good price and the set is awesome I will definitely buy it")</f>
        <v>this is just awesome very good price and the set is awesome I will definitely buy it</v>
      </c>
    </row>
    <row r="6170" spans="1:9" x14ac:dyDescent="0.3">
      <c r="A6170" s="1" t="s">
        <v>105</v>
      </c>
      <c r="B6170" s="1" t="s">
        <v>106</v>
      </c>
      <c r="C6170" s="1" t="s">
        <v>107</v>
      </c>
      <c r="D6170" s="1" t="s">
        <v>471</v>
      </c>
      <c r="E6170" s="1" t="s">
        <v>201</v>
      </c>
      <c r="F6170" s="1" t="s">
        <v>9851</v>
      </c>
      <c r="G6170" s="1" t="s">
        <v>36</v>
      </c>
      <c r="H6170" s="1" t="s">
        <v>29</v>
      </c>
      <c r="I6170" s="1" t="str">
        <f ca="1">IFERROR(__xludf.DUMMYFUNCTION("GOOGLETRANSLATE(F6170, ""auto"", ""en"")
"),"I bought this player and am very pleased!!!!! I was choosing between Ritmix 8800 and 8900, on the second I didn’t like the sensor AT ALL, although I use a touch phone and have already gotten used to this control... and I read that the battery lasts about "&amp;"5-6 hours in real life. What was very surprising was the standard ears on the 8800!! They are generally excellent!!! the sound is powerful and clear. SUPER quality video. I advise everyone to take it!!! you won’t regret it!! I also advise you to immediate"&amp;"ly take a case for it, some kind of thread so that the case does not deteriorate and it’s normal.")</f>
        <v>I bought this player and am very pleased!!!!! I was choosing between Ritmix 8800 and 8900, on the second I didn’t like the sensor AT ALL, although I use a touch phone and have already gotten used to this control... and I read that the battery lasts about 5-6 hours in real life. What was very surprising was the standard ears on the 8800!! They are generally excellent!!! the sound is powerful and clear. SUPER quality video. I advise everyone to take it!!! you won’t regret it!! I also advise you to immediately take a case for it, some kind of thread so that the case does not deteriorate and it’s normal.</v>
      </c>
    </row>
    <row r="6171" spans="1:9" x14ac:dyDescent="0.3">
      <c r="A6171" s="1" t="s">
        <v>61</v>
      </c>
      <c r="B6171" s="1" t="s">
        <v>1727</v>
      </c>
      <c r="C6171" s="1" t="s">
        <v>122</v>
      </c>
      <c r="D6171" s="1" t="s">
        <v>1431</v>
      </c>
      <c r="E6171" s="1" t="s">
        <v>9852</v>
      </c>
      <c r="F6171" s="1" t="s">
        <v>9853</v>
      </c>
      <c r="G6171" s="1" t="s">
        <v>36</v>
      </c>
      <c r="H6171" s="1" t="s">
        <v>29</v>
      </c>
      <c r="I6171" s="1" t="str">
        <f ca="1">IFERROR(__xludf.DUMMYFUNCTION("GOOGLETRANSLATE(F6171, ""auto"", ""en"")
"),"This multicooker is very suitable for a large family. Inexpensive, convenient, compact, I was even surprised when I found out that the useful volume of the bowl is four and a half liters. This model doesn't have many cooking programs - six - but it's amaz"&amp;"ing how much you can do with them. There are a lot of recipes on the Internet, my wife always pleases me with something new and tasty. A very good buy.")</f>
        <v>This multicooker is very suitable for a large family. Inexpensive, convenient, compact, I was even surprised when I found out that the useful volume of the bowl is four and a half liters. This model doesn't have many cooking programs - six - but it's amazing how much you can do with them. There are a lot of recipes on the Internet, my wife always pleases me with something new and tasty. A very good buy.</v>
      </c>
    </row>
    <row r="6172" spans="1:9" x14ac:dyDescent="0.3">
      <c r="A6172" s="1" t="s">
        <v>61</v>
      </c>
      <c r="B6172" s="1" t="s">
        <v>1126</v>
      </c>
      <c r="C6172" s="1" t="s">
        <v>57</v>
      </c>
      <c r="D6172" s="1" t="s">
        <v>9854</v>
      </c>
      <c r="E6172" s="1" t="s">
        <v>2162</v>
      </c>
      <c r="F6172" s="1" t="s">
        <v>9855</v>
      </c>
      <c r="G6172" s="1" t="s">
        <v>36</v>
      </c>
      <c r="H6172" s="1" t="s">
        <v>29</v>
      </c>
      <c r="I6172" s="1" t="str">
        <f ca="1">IFERROR(__xludf.DUMMYFUNCTION("GOOGLETRANSLATE(F6172, ""auto"", ""en"")
"),"I bought the scales in 2008. So, they still work. I was treated for obesity and weighed everything a hundred times, now the habit remains and I use them quite often. An excellent model, and you won’t break it because it’s easy to use. Take it, don't think"&amp;" about it! Price-quality speaks for itself. And the fact that they are made of plastic has reduced the price of this model many times!")</f>
        <v>I bought the scales in 2008. So, they still work. I was treated for obesity and weighed everything a hundred times, now the habit remains and I use them quite often. An excellent model, and you won’t break it because it’s easy to use. Take it, don't think about it! Price-quality speaks for itself. And the fact that they are made of plastic has reduced the price of this model many times!</v>
      </c>
    </row>
    <row r="6173" spans="1:9" x14ac:dyDescent="0.3">
      <c r="A6173" s="1" t="s">
        <v>211</v>
      </c>
      <c r="B6173" s="1" t="s">
        <v>212</v>
      </c>
      <c r="C6173" s="1" t="s">
        <v>294</v>
      </c>
      <c r="D6173" s="1" t="s">
        <v>142</v>
      </c>
      <c r="E6173" s="1" t="s">
        <v>794</v>
      </c>
      <c r="F6173" s="1" t="s">
        <v>9856</v>
      </c>
      <c r="G6173" s="1" t="s">
        <v>36</v>
      </c>
      <c r="H6173" s="1" t="s">
        <v>29</v>
      </c>
      <c r="I6173" s="1" t="str">
        <f ca="1">IFERROR(__xludf.DUMMYFUNCTION("GOOGLETRANSLATE(F6173, ""auto"", ""en"")
"),"An excellent straightener. My hair is naturally straight, but very unruly, and it is very difficult to style it with a regular hairdryer or straightener. I bought this miracle for myself to try and was surprised: I did the styling in just 10 minutes. I re"&amp;"commend it")</f>
        <v>An excellent straightener. My hair is naturally straight, but very unruly, and it is very difficult to style it with a regular hairdryer or straightener. I bought this miracle for myself to try and was surprised: I did the styling in just 10 minutes. I recommend it</v>
      </c>
    </row>
    <row r="6174" spans="1:9" x14ac:dyDescent="0.3">
      <c r="A6174" s="1" t="s">
        <v>61</v>
      </c>
      <c r="B6174" s="1" t="s">
        <v>73</v>
      </c>
      <c r="C6174" s="1" t="s">
        <v>63</v>
      </c>
      <c r="D6174" s="1" t="s">
        <v>172</v>
      </c>
      <c r="E6174" s="1" t="s">
        <v>1888</v>
      </c>
      <c r="F6174" s="1" t="s">
        <v>9857</v>
      </c>
      <c r="G6174" s="1" t="s">
        <v>15</v>
      </c>
      <c r="H6174" s="1" t="s">
        <v>16</v>
      </c>
      <c r="I6174" s="1" t="str">
        <f ca="1">IFERROR(__xludf.DUMMYFUNCTION("GOOGLETRANSLATE(F6174, ""auto"", ""en"")
"),"Hello everyone! My wife and I chose a meat grinder, I wanted a Panasonic because it had very good reviews, and most importantly, reliability! But my wife didn’t like the noisy design... Oh, these women! The seller presented Bosch, it is just less noisy an"&amp;"d, most importantly, an attractive design, as it turned out later, these were the only advantages of this meat grinder... As a result, it grinds meat according to the mood, you constantly have to take it apart and look, like maybe we are doing something w"&amp;"rong, although it is not possible to assemble it correctly, the meat is without bones, in general, the wife is clearly no longer happy, despite the attractive design and low noise. We are planning to purchase a Panasonic meat grinder. Good luck to everyon"&amp;"e and have a great choice!")</f>
        <v>Hello everyone! My wife and I chose a meat grinder, I wanted a Panasonic because it had very good reviews, and most importantly, reliability! But my wife didn’t like the noisy design... Oh, these women! The seller presented Bosch, it is just less noisy and, most importantly, an attractive design, as it turned out later, these were the only advantages of this meat grinder... As a result, it grinds meat according to the mood, you constantly have to take it apart and look, like maybe we are doing something wrong, although it is not possible to assemble it correctly, the meat is without bones, in general, the wife is clearly no longer happy, despite the attractive design and low noise. We are planning to purchase a Panasonic meat grinder. Good luck to everyone and have a great choice!</v>
      </c>
    </row>
    <row r="6175" spans="1:9" x14ac:dyDescent="0.3">
      <c r="A6175" s="1" t="s">
        <v>43</v>
      </c>
      <c r="B6175" s="1" t="s">
        <v>1370</v>
      </c>
      <c r="C6175" s="1" t="s">
        <v>2137</v>
      </c>
      <c r="D6175" s="1" t="s">
        <v>2893</v>
      </c>
      <c r="E6175" s="1" t="s">
        <v>1296</v>
      </c>
      <c r="F6175" s="1" t="s">
        <v>9858</v>
      </c>
      <c r="G6175" s="1" t="s">
        <v>36</v>
      </c>
      <c r="H6175" s="1" t="s">
        <v>29</v>
      </c>
      <c r="I6175" s="1" t="str">
        <f ca="1">IFERROR(__xludf.DUMMYFUNCTION("GOOGLETRANSLATE(F6175, ""auto"", ""en"")
"),"really good heater, the previous one was the same atmoir time of use 8 years in the summer from May 20 to October 20 the second one bought the same though the 1st was 7 kW, the 2nd 5 kW convenient minimum of space takes up I will buy another one let it be"&amp;" in stock only 10 or 12 kW needs to be taken to the kitchen for washing dishes irreplaceable time-tested")</f>
        <v>really good heater, the previous one was the same atmoir time of use 8 years in the summer from May 20 to October 20 the second one bought the same though the 1st was 7 kW, the 2nd 5 kW convenient minimum of space takes up I will buy another one let it be in stock only 10 or 12 kW needs to be taken to the kitchen for washing dishes irreplaceable time-tested</v>
      </c>
    </row>
    <row r="6176" spans="1:9" x14ac:dyDescent="0.3">
      <c r="A6176" s="1" t="s">
        <v>61</v>
      </c>
      <c r="B6176" s="1" t="s">
        <v>180</v>
      </c>
      <c r="C6176" s="1" t="s">
        <v>74</v>
      </c>
      <c r="D6176" s="1" t="s">
        <v>75</v>
      </c>
      <c r="E6176" s="1" t="s">
        <v>9859</v>
      </c>
      <c r="F6176" s="1" t="s">
        <v>9860</v>
      </c>
      <c r="G6176" s="1" t="s">
        <v>36</v>
      </c>
      <c r="H6176" s="1" t="s">
        <v>29</v>
      </c>
      <c r="I6176" s="1" t="str">
        <f ca="1">IFERROR(__xludf.DUMMYFUNCTION("GOOGLETRANSLATE(F6176, ""auto"", ""en"")
"),"Great stuff! Delicious sandwiches quickly! Add the filling to taste immediately, wait half a minute and breakfast is ready! The only, but insignificant, drawback is that you need to turn it off yourself; the indicator will notify you when it’s ready.")</f>
        <v>Great stuff! Delicious sandwiches quickly! Add the filling to taste immediately, wait half a minute and breakfast is ready! The only, but insignificant, drawback is that you need to turn it off yourself; the indicator will notify you when it’s ready.</v>
      </c>
    </row>
    <row r="6177" spans="1:9" x14ac:dyDescent="0.3">
      <c r="A6177" s="1" t="s">
        <v>211</v>
      </c>
      <c r="B6177" s="1" t="s">
        <v>265</v>
      </c>
      <c r="C6177" s="1" t="s">
        <v>122</v>
      </c>
      <c r="D6177" s="1" t="s">
        <v>52</v>
      </c>
      <c r="E6177" s="1" t="s">
        <v>2584</v>
      </c>
      <c r="F6177" s="1" t="s">
        <v>9861</v>
      </c>
      <c r="G6177" s="1" t="s">
        <v>94</v>
      </c>
      <c r="H6177" s="1" t="s">
        <v>29</v>
      </c>
      <c r="I6177" s="1" t="str">
        <f ca="1">IFERROR(__xludf.DUMMYFUNCTION("GOOGLETRANSLATE(F6177, ""auto"", ""en"")
"),"small. cuts a good haircut. everything included in the kit. my wife cut my hair with 1 attachment in about 10 minutes. I have almost no haircut experience")</f>
        <v>small. cuts a good haircut. everything included in the kit. my wife cut my hair with 1 attachment in about 10 minutes. I have almost no haircut experience</v>
      </c>
    </row>
    <row r="6178" spans="1:9" x14ac:dyDescent="0.3">
      <c r="A6178" s="1" t="s">
        <v>61</v>
      </c>
      <c r="B6178" s="1" t="s">
        <v>726</v>
      </c>
      <c r="C6178" s="1" t="s">
        <v>74</v>
      </c>
      <c r="D6178" s="1" t="s">
        <v>2771</v>
      </c>
      <c r="E6178" s="1" t="s">
        <v>1639</v>
      </c>
      <c r="F6178" s="1" t="s">
        <v>9862</v>
      </c>
      <c r="G6178" s="1" t="s">
        <v>28</v>
      </c>
      <c r="H6178" s="1" t="s">
        <v>29</v>
      </c>
      <c r="I6178" s="1" t="str">
        <f ca="1">IFERROR(__xludf.DUMMYFUNCTION("GOOGLETRANSLATE(F6178, ""auto"", ""en"")
"),"The whole family was delighted with this bread machine. Everything is simple and clear. The dough kneads perfectly, it’s very convenient for pies, knead the dough and create. True, you have to experiment with the color of the crust: for ordinary bread, a "&amp;"light crust is just right, but the cake is pale and is not baked in the middle. They baked bread every day until one day (a little over a month had passed since the purchase) the dough mixers stopped spinning. So we took it to the workshop, we’ve been wai"&amp;"ting for 20 days.")</f>
        <v>The whole family was delighted with this bread machine. Everything is simple and clear. The dough kneads perfectly, it’s very convenient for pies, knead the dough and create. True, you have to experiment with the color of the crust: for ordinary bread, a light crust is just right, but the cake is pale and is not baked in the middle. They baked bread every day until one day (a little over a month had passed since the purchase) the dough mixers stopped spinning. So we took it to the workshop, we’ve been waiting for 20 days.</v>
      </c>
    </row>
    <row r="6179" spans="1:9" x14ac:dyDescent="0.3">
      <c r="A6179" s="1" t="s">
        <v>211</v>
      </c>
      <c r="B6179" s="1" t="s">
        <v>212</v>
      </c>
      <c r="C6179" s="1" t="s">
        <v>294</v>
      </c>
      <c r="D6179" s="1" t="s">
        <v>9863</v>
      </c>
      <c r="E6179" s="1" t="s">
        <v>4969</v>
      </c>
      <c r="F6179" s="1" t="s">
        <v>9864</v>
      </c>
      <c r="G6179" s="1" t="s">
        <v>28</v>
      </c>
      <c r="H6179" s="1" t="s">
        <v>29</v>
      </c>
      <c r="I6179" s="1" t="str">
        <f ca="1">IFERROR(__xludf.DUMMYFUNCTION("GOOGLETRANSLATE(F6179, ""auto"", ""en"")
"),"The iron itself is good. True, there were no brushes. Check in store. It sticks slightly. Straightens with dignity. After six months of use, the cord began to come off, and after another six months it completely broke down, but since I’m the only one with"&amp;" this, I think it’s on my conscience. I'll buy my next iron from the same company.")</f>
        <v>The iron itself is good. True, there were no brushes. Check in store. It sticks slightly. Straightens with dignity. After six months of use, the cord began to come off, and after another six months it completely broke down, but since I’m the only one with this, I think it’s on my conscience. I'll buy my next iron from the same company.</v>
      </c>
    </row>
    <row r="6180" spans="1:9" x14ac:dyDescent="0.3">
      <c r="A6180" s="1" t="s">
        <v>361</v>
      </c>
      <c r="B6180" s="1" t="s">
        <v>362</v>
      </c>
      <c r="C6180" s="1" t="s">
        <v>561</v>
      </c>
      <c r="D6180" s="1" t="s">
        <v>565</v>
      </c>
      <c r="E6180" s="1" t="s">
        <v>1730</v>
      </c>
      <c r="F6180" s="1" t="s">
        <v>9865</v>
      </c>
      <c r="G6180" s="1" t="s">
        <v>49</v>
      </c>
      <c r="H6180" s="1" t="s">
        <v>16</v>
      </c>
      <c r="I6180" s="1" t="str">
        <f ca="1">IFERROR(__xludf.DUMMYFUNCTION("GOOGLETRANSLATE(F6180, ""auto"", ""en"")
"),"A terrible grater, bought 2 years ago, lying in the closet, just taking up space. The knives are crooked, the handle does not hold vegetables. I do not recommend buying, a waste of money.")</f>
        <v>A terrible grater, bought 2 years ago, lying in the closet, just taking up space. The knives are crooked, the handle does not hold vegetables. I do not recommend buying, a waste of money.</v>
      </c>
    </row>
    <row r="6181" spans="1:9" x14ac:dyDescent="0.3">
      <c r="A6181" s="1" t="s">
        <v>78</v>
      </c>
      <c r="B6181" s="1" t="s">
        <v>79</v>
      </c>
      <c r="C6181" s="1" t="s">
        <v>151</v>
      </c>
      <c r="D6181" s="1" t="s">
        <v>592</v>
      </c>
      <c r="E6181" s="1" t="s">
        <v>4692</v>
      </c>
      <c r="F6181" s="1" t="s">
        <v>9866</v>
      </c>
      <c r="G6181" s="1" t="s">
        <v>36</v>
      </c>
      <c r="H6181" s="1" t="s">
        <v>29</v>
      </c>
      <c r="I6181" s="1" t="str">
        <f ca="1">IFERROR(__xludf.DUMMYFUNCTION("GOOGLETRANSLATE(F6181, ""auto"", ""en"")
"),"I bought this microwave back in 2007, now I’ve been using it for 11 years, I’ve been using it to this day, I have no complaints, you won’t regret it, I really love it, it’s an irreplaceable thing at home, especially after work, when you come back hungry))"&amp;" on a scale of 10, I would rate it all 10 or even 100!!!")</f>
        <v>I bought this microwave back in 2007, now I’ve been using it for 11 years, I’ve been using it to this day, I have no complaints, you won’t regret it, I really love it, it’s an irreplaceable thing at home, especially after work, when you come back hungry)) on a scale of 10, I would rate it all 10 or even 100!!!</v>
      </c>
    </row>
    <row r="6182" spans="1:9" x14ac:dyDescent="0.3">
      <c r="A6182" s="1" t="s">
        <v>37</v>
      </c>
      <c r="B6182" s="1" t="s">
        <v>38</v>
      </c>
      <c r="C6182" s="1" t="s">
        <v>163</v>
      </c>
      <c r="D6182" s="1" t="s">
        <v>75</v>
      </c>
      <c r="E6182" s="1" t="s">
        <v>1463</v>
      </c>
      <c r="F6182" s="1" t="s">
        <v>9867</v>
      </c>
      <c r="G6182" s="1" t="s">
        <v>15</v>
      </c>
      <c r="H6182" s="1" t="s">
        <v>16</v>
      </c>
      <c r="I6182" s="1" t="str">
        <f ca="1">IFERROR(__xludf.DUMMYFUNCTION("GOOGLETRANSLATE(F6182, ""auto"", ""en"")
"),"I liked the phone from the very beginning. The design is sound, the buttons are great, I like the design on the case. I bought it recently, and either it was the same phone, or I just got one, but after a week it started glitching and jamming. I recently "&amp;"turned it off and didn’t turn on for the whole day, I took it to the store and they said that the battery was just dead. Okay, it charged. I just left the house, I see it turned off again and won’t turn on. It’s annoying me already. I don’t like it I drop"&amp;"ped it, nothing! It doesn’t turn on and that’s it, only the screen glows a little and then goes out.")</f>
        <v>I liked the phone from the very beginning. The design is sound, the buttons are great, I like the design on the case. I bought it recently, and either it was the same phone, or I just got one, but after a week it started glitching and jamming. I recently turned it off and didn’t turn on for the whole day, I took it to the store and they said that the battery was just dead. Okay, it charged. I just left the house, I see it turned off again and won’t turn on. It’s annoying me already. I don’t like it I dropped it, nothing! It doesn’t turn on and that’s it, only the screen glows a little and then goes out.</v>
      </c>
    </row>
    <row r="6183" spans="1:9" x14ac:dyDescent="0.3">
      <c r="A6183" s="1" t="s">
        <v>1443</v>
      </c>
      <c r="B6183" s="1" t="s">
        <v>1444</v>
      </c>
      <c r="C6183" s="1" t="s">
        <v>1445</v>
      </c>
      <c r="D6183" s="1" t="s">
        <v>232</v>
      </c>
      <c r="E6183" s="1" t="s">
        <v>9868</v>
      </c>
      <c r="F6183" s="1" t="s">
        <v>9869</v>
      </c>
      <c r="G6183" s="1" t="s">
        <v>36</v>
      </c>
      <c r="H6183" s="1" t="s">
        <v>29</v>
      </c>
      <c r="I6183" s="1" t="str">
        <f ca="1">IFERROR(__xludf.DUMMYFUNCTION("GOOGLETRANSLATE(F6183, ""auto"", ""en"")
"),"Price and quality are completely justified from the practical side")</f>
        <v>Price and quality are completely justified from the practical side</v>
      </c>
    </row>
    <row r="6184" spans="1:9" x14ac:dyDescent="0.3">
      <c r="A6184" s="1" t="s">
        <v>211</v>
      </c>
      <c r="B6184" s="1" t="s">
        <v>212</v>
      </c>
      <c r="C6184" s="1" t="s">
        <v>69</v>
      </c>
      <c r="D6184" s="1" t="s">
        <v>295</v>
      </c>
      <c r="E6184" s="1" t="s">
        <v>1978</v>
      </c>
      <c r="F6184" s="1" t="s">
        <v>9870</v>
      </c>
      <c r="G6184" s="1" t="s">
        <v>49</v>
      </c>
      <c r="H6184" s="1" t="s">
        <v>16</v>
      </c>
      <c r="I6184" s="1" t="str">
        <f ca="1">IFERROR(__xludf.DUMMYFUNCTION("GOOGLETRANSLATE(F6184, ""auto"", ""en"")
"),"We gave the curlers as a gift to my mother, spent the whole evening figuring out how to fasten these hairpins, but in the end the four of us still didn’t understand the principle. There are no instructions included. As a result, they just sit on the shelf"&amp;".")</f>
        <v>We gave the curlers as a gift to my mother, spent the whole evening figuring out how to fasten these hairpins, but in the end the four of us still didn’t understand the principle. There are no instructions included. As a result, they just sit on the shelf.</v>
      </c>
    </row>
    <row r="6185" spans="1:9" x14ac:dyDescent="0.3">
      <c r="A6185" s="1" t="s">
        <v>1443</v>
      </c>
      <c r="B6185" s="1" t="s">
        <v>1444</v>
      </c>
      <c r="C6185" s="1" t="s">
        <v>1489</v>
      </c>
      <c r="D6185" s="1" t="s">
        <v>171</v>
      </c>
      <c r="E6185" s="1" t="s">
        <v>9871</v>
      </c>
      <c r="F6185" s="1" t="s">
        <v>9872</v>
      </c>
      <c r="G6185" s="1" t="s">
        <v>28</v>
      </c>
      <c r="H6185" s="1" t="s">
        <v>29</v>
      </c>
      <c r="I6185" s="1" t="str">
        <f ca="1">IFERROR(__xludf.DUMMYFUNCTION("GOOGLETRANSLATE(F6185, ""auto"", ""en"")
"),"On my Windows 8.1 laptop, the standard speed calculator, when connected via a USB 2.0 connector, showed the following: average write speed 6.5 MB/s; read more than 20 MB/s. A 14 GB movie folder was recorded in 37 minutes. Quite slow by today's standards, "&amp;"more suitable for backup storage of valuable information than for constant use. Moreover, two other flash drives of this brand (4 and 8 GB) have been with me for 7 years and continue to work stably, there are only rare freezes caused by incorrect operatio"&amp;"n of applications on the computer and the speed has dropped slightly, which happens with any flash drives with long-term use. I hope that this flash drive will have a long life. The case looks quite reliable, but the chip with the connector is a little wo"&amp;"bbly. This is a disease of many flash drives of this brand.")</f>
        <v>On my Windows 8.1 laptop, the standard speed calculator, when connected via a USB 2.0 connector, showed the following: average write speed 6.5 MB/s; read more than 20 MB/s. A 14 GB movie folder was recorded in 37 minutes. Quite slow by today's standards, more suitable for backup storage of valuable information than for constant use. Moreover, two other flash drives of this brand (4 and 8 GB) have been with me for 7 years and continue to work stably, there are only rare freezes caused by incorrect operation of applications on the computer and the speed has dropped slightly, which happens with any flash drives with long-term use. I hope that this flash drive will have a long life. The case looks quite reliable, but the chip with the connector is a little wobbly. This is a disease of many flash drives of this brand.</v>
      </c>
    </row>
    <row r="6186" spans="1:9" x14ac:dyDescent="0.3">
      <c r="A6186" s="1" t="s">
        <v>78</v>
      </c>
      <c r="B6186" s="1" t="s">
        <v>1163</v>
      </c>
      <c r="C6186" s="1" t="s">
        <v>80</v>
      </c>
      <c r="D6186" s="1" t="s">
        <v>232</v>
      </c>
      <c r="E6186" s="1" t="s">
        <v>3080</v>
      </c>
      <c r="F6186" s="1" t="s">
        <v>9873</v>
      </c>
      <c r="G6186" s="1" t="s">
        <v>36</v>
      </c>
      <c r="H6186" s="1" t="s">
        <v>29</v>
      </c>
      <c r="I6186" s="1" t="str">
        <f ca="1">IFERROR(__xludf.DUMMYFUNCTION("GOOGLETRANSLATE(F6186, ""auto"", ""en"")
"),"An excellent microwave oven. We have been using it constantly for more than 1 year. It has never let us down!")</f>
        <v>An excellent microwave oven. We have been using it constantly for more than 1 year. It has never let us down!</v>
      </c>
    </row>
    <row r="6187" spans="1:9" x14ac:dyDescent="0.3">
      <c r="A6187" s="1" t="s">
        <v>30</v>
      </c>
      <c r="B6187" s="1" t="s">
        <v>31</v>
      </c>
      <c r="C6187" s="1" t="s">
        <v>32</v>
      </c>
      <c r="D6187" s="1" t="s">
        <v>9874</v>
      </c>
      <c r="E6187" s="1" t="s">
        <v>1086</v>
      </c>
      <c r="F6187" s="1" t="s">
        <v>9875</v>
      </c>
      <c r="G6187" s="1" t="s">
        <v>36</v>
      </c>
      <c r="H6187" s="1" t="s">
        <v>29</v>
      </c>
      <c r="I6187" s="1" t="str">
        <f ca="1">IFERROR(__xludf.DUMMYFUNCTION("GOOGLETRANSLATE(F6187, ""auto"", ""en"")
"),"price-quality 100 points!! Powerful car!!")</f>
        <v>price-quality 100 points!! Powerful car!!</v>
      </c>
    </row>
    <row r="6188" spans="1:9" x14ac:dyDescent="0.3">
      <c r="A6188" s="1" t="s">
        <v>61</v>
      </c>
      <c r="B6188" s="1" t="s">
        <v>318</v>
      </c>
      <c r="C6188" s="1" t="s">
        <v>146</v>
      </c>
      <c r="D6188" s="1" t="s">
        <v>9876</v>
      </c>
      <c r="E6188" s="1" t="s">
        <v>1139</v>
      </c>
      <c r="F6188" s="1" t="s">
        <v>9877</v>
      </c>
      <c r="G6188" s="1" t="s">
        <v>15</v>
      </c>
      <c r="H6188" s="1" t="s">
        <v>16</v>
      </c>
      <c r="I6188" s="1" t="str">
        <f ca="1">IFERROR(__xludf.DUMMYFUNCTION("GOOGLETRANSLATE(F6188, ""auto"", ""en"")
"),"The same thing happened that Marat (Moscow) wrote about in the previous review) in exactly the same way after 2-2.5 months.  And in the 9th month of operation, that is, today, water flowed from below, not in a stream, but in fairly decent drops - when I r"&amp;"emoved the kettle after boiling (it’s good that I didn’t get burned by the boiling water).  It makes quite a noise when heating up.  For this amount I expected a much more decent service life and quality of work of the kettle itself.")</f>
        <v>The same thing happened that Marat (Moscow) wrote about in the previous review) in exactly the same way after 2-2.5 months.  And in the 9th month of operation, that is, today, water flowed from below, not in a stream, but in fairly decent drops - when I removed the kettle after boiling (it’s good that I didn’t get burned by the boiling water).  It makes quite a noise when heating up.  For this amount I expected a much more decent service life and quality of work of the kettle itself.</v>
      </c>
    </row>
    <row r="6189" spans="1:9" x14ac:dyDescent="0.3">
      <c r="A6189" s="1" t="s">
        <v>78</v>
      </c>
      <c r="B6189" s="1" t="s">
        <v>493</v>
      </c>
      <c r="C6189" s="1" t="s">
        <v>996</v>
      </c>
      <c r="D6189" s="1" t="s">
        <v>1241</v>
      </c>
      <c r="E6189" s="1" t="s">
        <v>5517</v>
      </c>
      <c r="F6189" s="1" t="s">
        <v>9878</v>
      </c>
      <c r="G6189" s="1" t="s">
        <v>36</v>
      </c>
      <c r="H6189" s="1" t="s">
        <v>29</v>
      </c>
      <c r="I6189" s="1" t="str">
        <f ca="1">IFERROR(__xludf.DUMMYFUNCTION("GOOGLETRANSLATE(F6189, ""auto"", ""en"")
"),"Very good microwave!!! The bread turns out very tasty. It’s also good for preparing main courses - it’s just convenient, quick and tasty!!!!")</f>
        <v>Very good microwave!!! The bread turns out very tasty. It’s also good for preparing main courses - it’s just convenient, quick and tasty!!!!</v>
      </c>
    </row>
    <row r="6190" spans="1:9" x14ac:dyDescent="0.3">
      <c r="A6190" s="1" t="s">
        <v>43</v>
      </c>
      <c r="B6190" s="1" t="s">
        <v>44</v>
      </c>
      <c r="C6190" s="1" t="s">
        <v>101</v>
      </c>
      <c r="D6190" s="1" t="s">
        <v>9231</v>
      </c>
      <c r="E6190" s="1" t="s">
        <v>2028</v>
      </c>
      <c r="F6190" s="1" t="s">
        <v>9879</v>
      </c>
      <c r="G6190" s="1" t="s">
        <v>36</v>
      </c>
      <c r="H6190" s="1" t="s">
        <v>29</v>
      </c>
      <c r="I6190" s="1" t="str">
        <f ca="1">IFERROR(__xludf.DUMMYFUNCTION("GOOGLETRANSLATE(F6190, ""auto"", ""en"")
"),"I took this fan, as they say, to the heap - the main purchase was a multicooker, but the price prevented me from paying attention to it, I took it in case of replacement if the main one (more expensive) breaks. As a result, this one became the main one - "&amp;"it works great, there is almost no noise, there is no creaking. The only thing is that, as noted earlier, already the 1st speed works very intensively, you won’t get a light breeze)")</f>
        <v>I took this fan, as they say, to the heap - the main purchase was a multicooker, but the price prevented me from paying attention to it, I took it in case of replacement if the main one (more expensive) breaks. As a result, this one became the main one - it works great, there is almost no noise, there is no creaking. The only thing is that, as noted earlier, already the 1st speed works very intensively, you won’t get a light breeze)</v>
      </c>
    </row>
    <row r="6191" spans="1:9" x14ac:dyDescent="0.3">
      <c r="A6191" s="1" t="s">
        <v>30</v>
      </c>
      <c r="B6191" s="1" t="s">
        <v>50</v>
      </c>
      <c r="C6191" s="1" t="s">
        <v>32</v>
      </c>
      <c r="D6191" s="1" t="s">
        <v>9880</v>
      </c>
      <c r="E6191" s="1" t="s">
        <v>7372</v>
      </c>
      <c r="F6191" s="1" t="s">
        <v>9881</v>
      </c>
      <c r="G6191" s="1" t="s">
        <v>36</v>
      </c>
      <c r="H6191" s="1" t="s">
        <v>29</v>
      </c>
      <c r="I6191" s="1" t="str">
        <f ca="1">IFERROR(__xludf.DUMMYFUNCTION("GOOGLETRANSLATE(F6191, ""auto"", ""en"")
"),"The laptop is just great, just right, great price, processor, video card!! etc.")</f>
        <v>The laptop is just great, just right, great price, processor, video card!! etc.</v>
      </c>
    </row>
    <row r="6192" spans="1:9" x14ac:dyDescent="0.3">
      <c r="A6192" s="1" t="s">
        <v>37</v>
      </c>
      <c r="B6192" s="1" t="s">
        <v>38</v>
      </c>
      <c r="C6192" s="1" t="s">
        <v>163</v>
      </c>
      <c r="D6192" s="1" t="s">
        <v>1042</v>
      </c>
      <c r="E6192" s="1" t="s">
        <v>2120</v>
      </c>
      <c r="F6192" s="1" t="s">
        <v>9882</v>
      </c>
      <c r="G6192" s="1" t="s">
        <v>36</v>
      </c>
      <c r="H6192" s="1" t="s">
        <v>29</v>
      </c>
      <c r="I6192" s="1" t="str">
        <f ca="1">IFERROR(__xludf.DUMMYFUNCTION("GOOGLETRANSLATE(F6192, ""auto"", ""en"")
"),"The phone is very cool, no matter what anyone says...everything is super and the buttons...the camera is excellent..everyone walks...dropped many times and is still alive...right now I want to change it, but I don’t know for Nokia or Samsung, I think")</f>
        <v>The phone is very cool, no matter what anyone says...everything is super and the buttons...the camera is excellent..everyone walks...dropped many times and is still alive...right now I want to change it, but I don’t know for Nokia or Samsung, I think</v>
      </c>
    </row>
    <row r="6193" spans="1:9" x14ac:dyDescent="0.3">
      <c r="A6193" s="1" t="s">
        <v>1823</v>
      </c>
      <c r="B6193" s="1" t="s">
        <v>7549</v>
      </c>
      <c r="C6193" s="1" t="s">
        <v>1825</v>
      </c>
      <c r="D6193" s="1" t="s">
        <v>46</v>
      </c>
      <c r="E6193" s="1" t="s">
        <v>886</v>
      </c>
      <c r="F6193" s="1" t="s">
        <v>9883</v>
      </c>
      <c r="G6193" s="1" t="s">
        <v>36</v>
      </c>
      <c r="H6193" s="1" t="s">
        <v>29</v>
      </c>
      <c r="I6193" s="1" t="str">
        <f ca="1">IFERROR(__xludf.DUMMYFUNCTION("GOOGLETRANSLATE(F6193, ""auto"", ""en"")
"),"A wonderful dryer. The previous similar one lasted at least 10 years.")</f>
        <v>A wonderful dryer. The previous similar one lasted at least 10 years.</v>
      </c>
    </row>
    <row r="6194" spans="1:9" x14ac:dyDescent="0.3">
      <c r="A6194" s="1" t="s">
        <v>43</v>
      </c>
      <c r="B6194" s="1" t="s">
        <v>303</v>
      </c>
      <c r="C6194" s="1" t="s">
        <v>220</v>
      </c>
      <c r="D6194" s="1" t="s">
        <v>565</v>
      </c>
      <c r="E6194" s="1" t="s">
        <v>4563</v>
      </c>
      <c r="F6194" s="1" t="s">
        <v>9884</v>
      </c>
      <c r="G6194" s="1" t="s">
        <v>36</v>
      </c>
      <c r="H6194" s="1" t="s">
        <v>29</v>
      </c>
      <c r="I6194" s="1" t="str">
        <f ca="1">IFERROR(__xludf.DUMMYFUNCTION("GOOGLETRANSLATE(F6194, ""auto"", ""en"")
"),"We have been using the water heater for 4 years, we are very satisfied. We chose this brand on the advice of the seller and did not regret it at all!!! It heats up quickly, in the summer it’s enough for 4 people to wash without waiting for additional heat"&amp;"ing. I highly recommend this heater to everyone.")</f>
        <v>We have been using the water heater for 4 years, we are very satisfied. We chose this brand on the advice of the seller and did not regret it at all!!! It heats up quickly, in the summer it’s enough for 4 people to wash without waiting for additional heating. I highly recommend this heater to everyone.</v>
      </c>
    </row>
    <row r="6195" spans="1:9" x14ac:dyDescent="0.3">
      <c r="A6195" s="1" t="s">
        <v>211</v>
      </c>
      <c r="B6195" s="1" t="s">
        <v>212</v>
      </c>
      <c r="C6195" s="1" t="s">
        <v>101</v>
      </c>
      <c r="D6195" s="1" t="s">
        <v>335</v>
      </c>
      <c r="E6195" s="1" t="s">
        <v>3494</v>
      </c>
      <c r="F6195" s="1" t="s">
        <v>9885</v>
      </c>
      <c r="G6195" s="1" t="s">
        <v>49</v>
      </c>
      <c r="H6195" s="1" t="s">
        <v>16</v>
      </c>
      <c r="I6195" s="1" t="str">
        <f ca="1">IFERROR(__xludf.DUMMYFUNCTION("GOOGLETRANSLATE(F6195, ""auto"", ""en"")
"),"To be honest, I'm not happy.  Firstly, the button is inconvenient.  Secondly, it is very buggy and turns off constantly.  Horrible, to be honest.")</f>
        <v>To be honest, I'm not happy.  Firstly, the button is inconvenient.  Secondly, it is very buggy and turns off constantly.  Horrible, to be honest.</v>
      </c>
    </row>
    <row r="6196" spans="1:9" x14ac:dyDescent="0.3">
      <c r="A6196" s="1" t="s">
        <v>624</v>
      </c>
      <c r="B6196" s="1" t="s">
        <v>625</v>
      </c>
      <c r="C6196" s="1" t="s">
        <v>479</v>
      </c>
      <c r="D6196" s="1" t="s">
        <v>1851</v>
      </c>
      <c r="E6196" s="1" t="s">
        <v>4306</v>
      </c>
      <c r="F6196" s="1" t="s">
        <v>9886</v>
      </c>
      <c r="G6196" s="1" t="s">
        <v>36</v>
      </c>
      <c r="H6196" s="1" t="s">
        <v>29</v>
      </c>
      <c r="I6196" s="1" t="str">
        <f ca="1">IFERROR(__xludf.DUMMYFUNCTION("GOOGLETRANSLATE(F6196, ""auto"", ""en"")
"),"A very atmospheric adventure, with drawbacks in the form of poor graphics. But I don’t care about the graphics, but the toy is really cool!")</f>
        <v>A very atmospheric adventure, with drawbacks in the form of poor graphics. But I don’t care about the graphics, but the toy is really cool!</v>
      </c>
    </row>
    <row r="6197" spans="1:9" x14ac:dyDescent="0.3">
      <c r="A6197" s="1" t="s">
        <v>120</v>
      </c>
      <c r="B6197" s="1" t="s">
        <v>1205</v>
      </c>
      <c r="C6197" s="1" t="s">
        <v>1206</v>
      </c>
      <c r="D6197" s="1" t="s">
        <v>102</v>
      </c>
      <c r="E6197" s="1" t="s">
        <v>1454</v>
      </c>
      <c r="F6197" s="1" t="s">
        <v>9887</v>
      </c>
      <c r="G6197" s="1" t="s">
        <v>49</v>
      </c>
      <c r="H6197" s="1" t="s">
        <v>16</v>
      </c>
      <c r="I6197" s="1" t="str">
        <f ca="1">IFERROR(__xludf.DUMMYFUNCTION("GOOGLETRANSLATE(F6197, ""auto"", ""en"")
"),"For that kind of money, they could have put a newer receiver in the box, instead of this outdated 5001.")</f>
        <v>For that kind of money, they could have put a newer receiver in the box, instead of this outdated 5001.</v>
      </c>
    </row>
    <row r="6198" spans="1:9" x14ac:dyDescent="0.3">
      <c r="A6198" s="1" t="s">
        <v>105</v>
      </c>
      <c r="B6198" s="1" t="s">
        <v>106</v>
      </c>
      <c r="C6198" s="1" t="s">
        <v>97</v>
      </c>
      <c r="D6198" s="1" t="s">
        <v>208</v>
      </c>
      <c r="E6198" s="1" t="s">
        <v>131</v>
      </c>
      <c r="F6198" s="1" t="s">
        <v>9888</v>
      </c>
      <c r="G6198" s="1" t="s">
        <v>36</v>
      </c>
      <c r="H6198" s="1" t="s">
        <v>29</v>
      </c>
      <c r="I6198" s="1" t="str">
        <f ca="1">IFERROR(__xludf.DUMMYFUNCTION("GOOGLETRANSLATE(F6198, ""auto"", ""en"")
"),"After much hesitation I chose this player.  There are no complaints, the battery lasts a long time. The display holds three lines of text (which is quite enough). The lid holds very firmly, just because of the smooth movement it seems that it is flimsy (I"&amp;" carry it in my pocket, it has never fallen off).  It fits very comfortably in the hand. Easily controlled by both right and left hands.  30 volume levels, with normal headphones the sound is clearly audible even on a tram.  The sound is clear and high qu"&amp;"ality. The radio picks up well.  Rewind fast.  During playback, the screen periodically shows a screensaver; when the “bass” function is turned on, four LEDs blink in time with the music (if desired, the “light music” can be turned off). Those. You won’t "&amp;"forget it when it’s turned on.    Bottom line: as a player it’s an excellent thing, worth the money.")</f>
        <v>After much hesitation I chose this player.  There are no complaints, the battery lasts a long time. The display holds three lines of text (which is quite enough). The lid holds very firmly, just because of the smooth movement it seems that it is flimsy (I carry it in my pocket, it has never fallen off).  It fits very comfortably in the hand. Easily controlled by both right and left hands.  30 volume levels, with normal headphones the sound is clearly audible even on a tram.  The sound is clear and high quality. The radio picks up well.  Rewind fast.  During playback, the screen periodically shows a screensaver; when the “bass” function is turned on, four LEDs blink in time with the music (if desired, the “light music” can be turned off). Those. You won’t forget it when it’s turned on.    Bottom line: as a player it’s an excellent thing, worth the money.</v>
      </c>
    </row>
    <row r="6199" spans="1:9" x14ac:dyDescent="0.3">
      <c r="A6199" s="1" t="s">
        <v>120</v>
      </c>
      <c r="B6199" s="1" t="s">
        <v>256</v>
      </c>
      <c r="C6199" s="1" t="s">
        <v>97</v>
      </c>
      <c r="D6199" s="1" t="s">
        <v>922</v>
      </c>
      <c r="E6199" s="1" t="s">
        <v>540</v>
      </c>
      <c r="F6199" s="1" t="s">
        <v>9889</v>
      </c>
      <c r="G6199" s="1" t="s">
        <v>15</v>
      </c>
      <c r="H6199" s="1" t="s">
        <v>16</v>
      </c>
      <c r="I6199" s="1" t="str">
        <f ca="1">IFERROR(__xludf.DUMMYFUNCTION("GOOGLETRANSLATE(F6199, ""auto"", ""en"")
"),"I was very upset by the quality of the image, unclear, blurry. The settings don't help.")</f>
        <v>I was very upset by the quality of the image, unclear, blurry. The settings don't help.</v>
      </c>
    </row>
    <row r="6200" spans="1:9" x14ac:dyDescent="0.3">
      <c r="A6200" s="1" t="s">
        <v>67</v>
      </c>
      <c r="B6200" s="1" t="s">
        <v>68</v>
      </c>
      <c r="C6200" s="1" t="s">
        <v>213</v>
      </c>
      <c r="D6200" s="1" t="s">
        <v>1092</v>
      </c>
      <c r="E6200" s="1" t="s">
        <v>2565</v>
      </c>
      <c r="F6200" s="1" t="s">
        <v>9890</v>
      </c>
      <c r="G6200" s="1" t="s">
        <v>28</v>
      </c>
      <c r="H6200" s="1" t="s">
        <v>29</v>
      </c>
      <c r="I6200" s="1" t="str">
        <f ca="1">IFERROR(__xludf.DUMMYFUNCTION("GOOGLETRANSLATE(F6200, ""auto"", ""en"")
"),"Overall a good iron. The downside of the attachment for delicate fabrics is that it constantly falls out.")</f>
        <v>Overall a good iron. The downside of the attachment for delicate fabrics is that it constantly falls out.</v>
      </c>
    </row>
    <row r="6201" spans="1:9" x14ac:dyDescent="0.3">
      <c r="A6201" s="1" t="s">
        <v>37</v>
      </c>
      <c r="B6201" s="1" t="s">
        <v>38</v>
      </c>
      <c r="C6201" s="1" t="s">
        <v>151</v>
      </c>
      <c r="D6201" s="1" t="s">
        <v>9891</v>
      </c>
      <c r="E6201" s="1" t="s">
        <v>187</v>
      </c>
      <c r="F6201" s="1" t="s">
        <v>9892</v>
      </c>
      <c r="G6201" s="1" t="s">
        <v>36</v>
      </c>
      <c r="H6201" s="1" t="s">
        <v>29</v>
      </c>
      <c r="I6201" s="1" t="str">
        <f ca="1">IFERROR(__xludf.DUMMYFUNCTION("GOOGLETRANSLATE(F6201, ""auto"", ""en"")
"),"We bought this phone for my mother... we came to the store, there were a lot of phones, but my mother immediately liked this phone.... she likes everything about it, there are no complaints.... perhaps its only small drawback is that you cannot set a ring"&amp;"tone from a memory card, and its memory is not enough - only 11 megabytes, well, these are, by and large, little things that we did not pay attention to when buying... but overall - a super phone! I recommend! take it, you won’t regret it!")</f>
        <v>We bought this phone for my mother... we came to the store, there were a lot of phones, but my mother immediately liked this phone.... she likes everything about it, there are no complaints.... perhaps its only small drawback is that you cannot set a ringtone from a memory card, and its memory is not enough - only 11 megabytes, well, these are, by and large, little things that we did not pay attention to when buying... but overall - a super phone! I recommend! take it, you won’t regret it!</v>
      </c>
    </row>
    <row r="6202" spans="1:9" x14ac:dyDescent="0.3">
      <c r="A6202" s="1" t="s">
        <v>211</v>
      </c>
      <c r="B6202" s="1" t="s">
        <v>601</v>
      </c>
      <c r="C6202" s="1" t="s">
        <v>602</v>
      </c>
      <c r="D6202" s="1" t="s">
        <v>171</v>
      </c>
      <c r="E6202" s="1" t="s">
        <v>9893</v>
      </c>
      <c r="F6202" s="1" t="s">
        <v>9894</v>
      </c>
      <c r="G6202" s="1" t="s">
        <v>49</v>
      </c>
      <c r="H6202" s="1" t="s">
        <v>16</v>
      </c>
      <c r="I6202" s="1" t="str">
        <f ca="1">IFERROR(__xludf.DUMMYFUNCTION("GOOGLETRANSLATE(F6202, ""auto"", ""en"")
"),"I cleaned with this attachment for two months. She doesn't clean at all!!! Black plaque from coffee appeared on my teeth for two months.  All efforts to change the cleaning method did not lead to the desired result of returning at least the shine that was"&amp;" before using this attachment.  I returned the old nozzle, which is all bristled - after the first cleaning it shines. But it’s up to you to decide whether to try this attachment or not.")</f>
        <v>I cleaned with this attachment for two months. She doesn't clean at all!!! Black plaque from coffee appeared on my teeth for two months.  All efforts to change the cleaning method did not lead to the desired result of returning at least the shine that was before using this attachment.  I returned the old nozzle, which is all bristled - after the first cleaning it shines. But it’s up to you to decide whether to try this attachment or not.</v>
      </c>
    </row>
    <row r="6203" spans="1:9" x14ac:dyDescent="0.3">
      <c r="A6203" s="1" t="s">
        <v>30</v>
      </c>
      <c r="B6203" s="1" t="s">
        <v>50</v>
      </c>
      <c r="C6203" s="1" t="s">
        <v>694</v>
      </c>
      <c r="D6203" s="1" t="s">
        <v>9895</v>
      </c>
      <c r="E6203" s="1" t="s">
        <v>3652</v>
      </c>
      <c r="F6203" s="1" t="s">
        <v>9896</v>
      </c>
      <c r="G6203" s="1" t="s">
        <v>36</v>
      </c>
      <c r="H6203" s="1" t="s">
        <v>29</v>
      </c>
      <c r="I6203" s="1" t="str">
        <f ca="1">IFERROR(__xludf.DUMMYFUNCTION("GOOGLETRANSLATE(F6203, ""auto"", ""en"")
"),"Great purchase! I recommend it. The second service pack on Vista is running into problems, but the laptop manufacturer has nothing to do with it. The lower part of the case gets quite hot, so I recommend using a stand on your knees if you place it on your"&amp;" belly. :-)")</f>
        <v>Great purchase! I recommend it. The second service pack on Vista is running into problems, but the laptop manufacturer has nothing to do with it. The lower part of the case gets quite hot, so I recommend using a stand on your knees if you place it on your belly. :-)</v>
      </c>
    </row>
    <row r="6204" spans="1:9" x14ac:dyDescent="0.3">
      <c r="A6204" s="1" t="s">
        <v>149</v>
      </c>
      <c r="B6204" s="1" t="s">
        <v>155</v>
      </c>
      <c r="C6204" s="1" t="s">
        <v>80</v>
      </c>
      <c r="D6204" s="1" t="s">
        <v>1152</v>
      </c>
      <c r="E6204" s="1" t="s">
        <v>2328</v>
      </c>
      <c r="F6204" s="1" t="s">
        <v>9897</v>
      </c>
      <c r="G6204" s="1" t="s">
        <v>36</v>
      </c>
      <c r="H6204" s="1" t="s">
        <v>29</v>
      </c>
      <c r="I6204" s="1" t="str">
        <f ca="1">IFERROR(__xludf.DUMMYFUNCTION("GOOGLETRANSLATE(F6204, ""auto"", ""en"")
"),"Compact vacuum cleaner model, excellent appearance")</f>
        <v>Compact vacuum cleaner model, excellent appearance</v>
      </c>
    </row>
    <row r="6205" spans="1:9" x14ac:dyDescent="0.3">
      <c r="A6205" s="1" t="s">
        <v>17</v>
      </c>
      <c r="B6205" s="1" t="s">
        <v>18</v>
      </c>
      <c r="C6205" s="1" t="s">
        <v>243</v>
      </c>
      <c r="D6205" s="1" t="s">
        <v>1055</v>
      </c>
      <c r="E6205" s="1" t="s">
        <v>6854</v>
      </c>
      <c r="F6205" s="1" t="s">
        <v>9898</v>
      </c>
      <c r="G6205" s="1" t="s">
        <v>36</v>
      </c>
      <c r="H6205" s="1" t="s">
        <v>29</v>
      </c>
      <c r="I6205" s="1" t="str">
        <f ca="1">IFERROR(__xludf.DUMMYFUNCTION("GOOGLETRANSLATE(F6205, ""auto"", ""en"")
"),"Our machine is about 4 years old, no complaints. No shortcomings were noticed. The only thing is that in the wool mode the powder is not rinsed out well enough, but there are many other modes in which everything is fine.")</f>
        <v>Our machine is about 4 years old, no complaints. No shortcomings were noticed. The only thing is that in the wool mode the powder is not rinsed out well enough, but there are many other modes in which everything is fine.</v>
      </c>
    </row>
    <row r="6206" spans="1:9" x14ac:dyDescent="0.3">
      <c r="A6206" s="1" t="s">
        <v>30</v>
      </c>
      <c r="B6206" s="1" t="s">
        <v>50</v>
      </c>
      <c r="C6206" s="1" t="s">
        <v>32</v>
      </c>
      <c r="D6206" s="1" t="s">
        <v>9899</v>
      </c>
      <c r="E6206" s="1" t="s">
        <v>1225</v>
      </c>
      <c r="F6206" s="1" t="s">
        <v>9900</v>
      </c>
      <c r="G6206" s="1" t="s">
        <v>28</v>
      </c>
      <c r="H6206" s="1" t="s">
        <v>29</v>
      </c>
      <c r="I6206" s="1" t="str">
        <f ca="1">IFERROR(__xludf.DUMMYFUNCTION("GOOGLETRANSLATE(F6206, ""auto"", ""en"")
"),"Before that I had a Fujitsu Siemens Esprimo 5545 - I worked in terrible conditions for 2.5 years... I will look and compare... But essentially (IMHA) an inconvenient keyboard, no bluetooth (not important, and in principle you can screw it on), overpaying "&amp;"for “poor Windows that no one needs.”  Well, it’s a machine, just like a machine... if you don’t have much money, it’s a great option - you can play and work... the question is how much))) only time will tell... And in principle I recommend it - the amoun"&amp;"t - productivity - is excellent...")</f>
        <v>Before that I had a Fujitsu Siemens Esprimo 5545 - I worked in terrible conditions for 2.5 years... I will look and compare... But essentially (IMHA) an inconvenient keyboard, no bluetooth (not important, and in principle you can screw it on), overpaying for “poor Windows that no one needs.”  Well, it’s a machine, just like a machine... if you don’t have much money, it’s a great option - you can play and work... the question is how much))) only time will tell... And in principle I recommend it - the amount - productivity - is excellent...</v>
      </c>
    </row>
    <row r="6207" spans="1:9" x14ac:dyDescent="0.3">
      <c r="A6207" s="1" t="s">
        <v>17</v>
      </c>
      <c r="B6207" s="1" t="s">
        <v>18</v>
      </c>
      <c r="C6207" s="1" t="s">
        <v>243</v>
      </c>
      <c r="D6207" s="1" t="s">
        <v>232</v>
      </c>
      <c r="E6207" s="1" t="s">
        <v>475</v>
      </c>
      <c r="F6207" s="1" t="s">
        <v>1693</v>
      </c>
      <c r="G6207" s="1" t="s">
        <v>94</v>
      </c>
      <c r="H6207" s="1" t="s">
        <v>29</v>
      </c>
      <c r="I6207" s="1" t="str">
        <f ca="1">IFERROR(__xludf.DUMMYFUNCTION("GOOGLETRANSLATE(F6207, ""auto"", ""en"")
"),"Price")</f>
        <v>Price</v>
      </c>
    </row>
    <row r="6208" spans="1:9" x14ac:dyDescent="0.3">
      <c r="A6208" s="1" t="s">
        <v>9</v>
      </c>
      <c r="B6208" s="1" t="s">
        <v>23</v>
      </c>
      <c r="C6208" s="1" t="s">
        <v>63</v>
      </c>
      <c r="D6208" s="1" t="s">
        <v>203</v>
      </c>
      <c r="E6208" s="1" t="s">
        <v>9097</v>
      </c>
      <c r="F6208" s="1" t="s">
        <v>9901</v>
      </c>
      <c r="G6208" s="1" t="s">
        <v>94</v>
      </c>
      <c r="H6208" s="1" t="s">
        <v>29</v>
      </c>
      <c r="I6208" s="1" t="str">
        <f ca="1">IFERROR(__xludf.DUMMYFUNCTION("GOOGLETRANSLATE(F6208, ""auto"", ""en"")
"),"Spacious, quiet, fully protected from leaks, low water consumption (essential for private houses with septic tanks)")</f>
        <v>Spacious, quiet, fully protected from leaks, low water consumption (essential for private houses with septic tanks)</v>
      </c>
    </row>
    <row r="6209" spans="1:9" x14ac:dyDescent="0.3">
      <c r="A6209" s="1" t="s">
        <v>67</v>
      </c>
      <c r="B6209" s="1" t="s">
        <v>68</v>
      </c>
      <c r="C6209" s="1" t="s">
        <v>246</v>
      </c>
      <c r="D6209" s="1" t="s">
        <v>474</v>
      </c>
      <c r="E6209" s="1" t="s">
        <v>2388</v>
      </c>
      <c r="F6209" s="1" t="s">
        <v>9902</v>
      </c>
      <c r="G6209" s="1" t="s">
        <v>28</v>
      </c>
      <c r="H6209" s="1" t="s">
        <v>29</v>
      </c>
      <c r="I6209" s="1" t="str">
        <f ca="1">IFERROR(__xludf.DUMMYFUNCTION("GOOGLETRANSLATE(F6209, ""auto"", ""en"")
"),"I bought this iron yesterday. I’m quite happy with the purchase. It steams and irons well. Reasonable price and good quality")</f>
        <v>I bought this iron yesterday. I’m quite happy with the purchase. It steams and irons well. Reasonable price and good quality</v>
      </c>
    </row>
    <row r="6210" spans="1:9" x14ac:dyDescent="0.3">
      <c r="A6210" s="1" t="s">
        <v>9</v>
      </c>
      <c r="B6210" s="1" t="s">
        <v>137</v>
      </c>
      <c r="C6210" s="1" t="s">
        <v>134</v>
      </c>
      <c r="D6210" s="1" t="s">
        <v>139</v>
      </c>
      <c r="E6210" s="1" t="s">
        <v>2160</v>
      </c>
      <c r="F6210" s="1" t="s">
        <v>9903</v>
      </c>
      <c r="G6210" s="1" t="s">
        <v>36</v>
      </c>
      <c r="H6210" s="1" t="s">
        <v>29</v>
      </c>
      <c r="I6210" s="1" t="str">
        <f ca="1">IFERROR(__xludf.DUMMYFUNCTION("GOOGLETRANSLATE(F6210, ""auto"", ""en"")
"),"The panel is excellent, everything really washes well, no stains remain, it looks great, the burners work well. Take it, you won't regret it!!!")</f>
        <v>The panel is excellent, everything really washes well, no stains remain, it looks great, the burners work well. Take it, you won't regret it!!!</v>
      </c>
    </row>
    <row r="6211" spans="1:9" x14ac:dyDescent="0.3">
      <c r="A6211" s="1" t="s">
        <v>89</v>
      </c>
      <c r="B6211" s="1" t="s">
        <v>231</v>
      </c>
      <c r="C6211" s="1" t="s">
        <v>185</v>
      </c>
      <c r="D6211" s="1" t="s">
        <v>9904</v>
      </c>
      <c r="E6211" s="1" t="s">
        <v>2904</v>
      </c>
      <c r="F6211" s="1" t="s">
        <v>2268</v>
      </c>
      <c r="G6211" s="1" t="s">
        <v>49</v>
      </c>
      <c r="H6211" s="1" t="s">
        <v>16</v>
      </c>
      <c r="I6211" s="1" t="str">
        <f ca="1">IFERROR(__xludf.DUMMYFUNCTION("GOOGLETRANSLATE(F6211, ""auto"", ""en"")
"),"No")</f>
        <v>No</v>
      </c>
    </row>
    <row r="6212" spans="1:9" x14ac:dyDescent="0.3">
      <c r="A6212" s="1" t="s">
        <v>206</v>
      </c>
      <c r="B6212" s="1" t="s">
        <v>1349</v>
      </c>
      <c r="C6212" s="1" t="s">
        <v>9905</v>
      </c>
      <c r="D6212" s="1" t="s">
        <v>305</v>
      </c>
      <c r="E6212" s="1" t="s">
        <v>9906</v>
      </c>
      <c r="F6212" s="1" t="s">
        <v>1795</v>
      </c>
      <c r="G6212" s="1" t="s">
        <v>49</v>
      </c>
      <c r="H6212" s="1" t="s">
        <v>16</v>
      </c>
      <c r="I6212" s="1" t="str">
        <f ca="1">IFERROR(__xludf.DUMMYFUNCTION("GOOGLETRANSLATE(F6212, ""auto"", ""en"")
"),"No")</f>
        <v>No</v>
      </c>
    </row>
    <row r="6213" spans="1:9" x14ac:dyDescent="0.3">
      <c r="A6213" s="1" t="s">
        <v>61</v>
      </c>
      <c r="B6213" s="1" t="s">
        <v>318</v>
      </c>
      <c r="C6213" s="1" t="s">
        <v>101</v>
      </c>
      <c r="D6213" s="1" t="s">
        <v>9907</v>
      </c>
      <c r="E6213" s="1" t="s">
        <v>1009</v>
      </c>
      <c r="F6213" s="1" t="s">
        <v>9908</v>
      </c>
      <c r="G6213" s="1" t="s">
        <v>49</v>
      </c>
      <c r="H6213" s="1" t="s">
        <v>16</v>
      </c>
      <c r="I6213" s="1" t="str">
        <f ca="1">IFERROR(__xludf.DUMMYFUNCTION("GOOGLETRANSLATE(F6213, ""auto"", ""en"")
"),"The main advantage is the lighting; it looks beautiful in the kitchen. It boils water for a very long time. I can't remove the smell with anything. Of course, after almost three weeks of use it is not so sharp, but still... The handle is very uncomfortabl"&amp;"e, the spout is always leaking from it, the backlight stopped working after a couple of days, and the lid is too difficult to open(")</f>
        <v>The main advantage is the lighting; it looks beautiful in the kitchen. It boils water for a very long time. I can't remove the smell with anything. Of course, after almost three weeks of use it is not so sharp, but still... The handle is very uncomfortable, the spout is always leaking from it, the backlight stopped working after a couple of days, and the lid is too difficult to open(</v>
      </c>
    </row>
    <row r="6214" spans="1:9" x14ac:dyDescent="0.3">
      <c r="A6214" s="1" t="s">
        <v>43</v>
      </c>
      <c r="B6214" s="1" t="s">
        <v>502</v>
      </c>
      <c r="C6214" s="1" t="s">
        <v>151</v>
      </c>
      <c r="D6214" s="1" t="s">
        <v>171</v>
      </c>
      <c r="E6214" s="1" t="s">
        <v>128</v>
      </c>
      <c r="F6214" s="1" t="s">
        <v>9909</v>
      </c>
      <c r="G6214" s="1" t="s">
        <v>49</v>
      </c>
      <c r="H6214" s="1" t="s">
        <v>16</v>
      </c>
      <c r="I6214" s="1" t="str">
        <f ca="1">IFERROR(__xludf.DUMMYFUNCTION("GOOGLETRANSLATE(F6214, ""auto"", ""en"")
"),"Don't buy! Very strong vibration and noise of the external unit. Strong vibration of the external unit, which is transmitted through the panel wall to the next room.  And many people have this problem! Moreover, Samsung itself recognizes the marriage! Pro"&amp;"blems with the SC and installation center are guaranteed!")</f>
        <v>Don't buy! Very strong vibration and noise of the external unit. Strong vibration of the external unit, which is transmitted through the panel wall to the next room.  And many people have this problem! Moreover, Samsung itself recognizes the marriage! Problems with the SC and installation center are guaranteed!</v>
      </c>
    </row>
    <row r="6215" spans="1:9" x14ac:dyDescent="0.3">
      <c r="A6215" s="1" t="s">
        <v>111</v>
      </c>
      <c r="B6215" s="1" t="s">
        <v>636</v>
      </c>
      <c r="C6215" s="1" t="s">
        <v>637</v>
      </c>
      <c r="D6215" s="1" t="s">
        <v>305</v>
      </c>
      <c r="E6215" s="1" t="s">
        <v>9910</v>
      </c>
      <c r="F6215" s="1" t="s">
        <v>9911</v>
      </c>
      <c r="G6215" s="1" t="s">
        <v>36</v>
      </c>
      <c r="H6215" s="1" t="s">
        <v>29</v>
      </c>
      <c r="I6215" s="1" t="str">
        <f ca="1">IFERROR(__xludf.DUMMYFUNCTION("GOOGLETRANSLATE(F6215, ""auto"", ""en"")
"),"Before purchasing, I read the reviews, and immediately warned my father that they say the batteries don’t last long even at a temperature of -20... To my surprise, in March I learned from him how it works. It turns out that in those village frosts of abou"&amp;"t 55 degrees he worked, and nothing happened to him. The accuracy is good, I hung it next to a regular thermometer, the difference is 1-2 degrees, but even that seems to be due to the “old age” of the mercury. After 40 degrees, the temperature did not dro"&amp;"p accordingly; it showed -40... even though it was -50 outside. As a result, since January and until now it has been working on only rechargeable batteries (unfortunately, I don’t remember the capacity), but I haven’t had to charge them yet.  Regarding th"&amp;"e projection - in general, the father dotes on his soul.. I woke up, immediately looked at the time, and what was going on outside with the temperature.. In general, 5 out of 5. At least for these functions.")</f>
        <v>Before purchasing, I read the reviews, and immediately warned my father that they say the batteries don’t last long even at a temperature of -20... To my surprise, in March I learned from him how it works. It turns out that in those village frosts of about 55 degrees he worked, and nothing happened to him. The accuracy is good, I hung it next to a regular thermometer, the difference is 1-2 degrees, but even that seems to be due to the “old age” of the mercury. After 40 degrees, the temperature did not drop accordingly; it showed -40... even though it was -50 outside. As a result, since January and until now it has been working on only rechargeable batteries (unfortunately, I don’t remember the capacity), but I haven’t had to charge them yet.  Regarding the projection - in general, the father dotes on his soul.. I woke up, immediately looked at the time, and what was going on outside with the temperature.. In general, 5 out of 5. At least for these functions.</v>
      </c>
    </row>
    <row r="6216" spans="1:9" x14ac:dyDescent="0.3">
      <c r="A6216" s="1" t="s">
        <v>30</v>
      </c>
      <c r="B6216" s="1" t="s">
        <v>50</v>
      </c>
      <c r="C6216" s="1" t="s">
        <v>32</v>
      </c>
      <c r="D6216" s="1" t="s">
        <v>102</v>
      </c>
      <c r="E6216" s="1" t="s">
        <v>449</v>
      </c>
      <c r="F6216" s="1" t="s">
        <v>9912</v>
      </c>
      <c r="G6216" s="1" t="s">
        <v>36</v>
      </c>
      <c r="H6216" s="1" t="s">
        <v>29</v>
      </c>
      <c r="I6216" s="1" t="str">
        <f ca="1">IFERROR(__xludf.DUMMYFUNCTION("GOOGLETRANSLATE(F6216, ""auto"", ""en"")
"),"I bought this machine last Saturday. Before this I used an Acer aspire 5720G, purchased 2.5 years ago. Like last time, Acer surprises with its price/quality ratio. The previous laptop still works without a single complaint, I hope this one won’t let you d"&amp;"own either =) When comparing (not only within the M-video model range), you can’t find similar characteristics with the corresponding price, so I think it makes no sense to say that the laptop has low performance. Compared to Sony VAIO, for example, it do"&amp;"es not stand up to criticism, but!  VAIO is twice as expensive! And in the same price niche, in my opinion, it has no equal. It is unlikely that a replacement for a desktop computer will work, but among laptops this “fish” will swim pretty well ;) My pers"&amp;"onal opinion: a mandatory MUST HAVE! for those who choose a laptop model based on a given initial amount, and not on characteristics and with an unlimited wallet :-)")</f>
        <v>I bought this machine last Saturday. Before this I used an Acer aspire 5720G, purchased 2.5 years ago. Like last time, Acer surprises with its price/quality ratio. The previous laptop still works without a single complaint, I hope this one won’t let you down either =) When comparing (not only within the M-video model range), you can’t find similar characteristics with the corresponding price, so I think it makes no sense to say that the laptop has low performance. Compared to Sony VAIO, for example, it does not stand up to criticism, but!  VAIO is twice as expensive! And in the same price niche, in my opinion, it has no equal. It is unlikely that a replacement for a desktop computer will work, but among laptops this “fish” will swim pretty well ;) My personal opinion: a mandatory MUST HAVE! for those who choose a laptop model based on a given initial amount, and not on characteristics and with an unlimited wallet :-)</v>
      </c>
    </row>
    <row r="6217" spans="1:9" x14ac:dyDescent="0.3">
      <c r="A6217" s="1" t="s">
        <v>9</v>
      </c>
      <c r="B6217" s="1" t="s">
        <v>10</v>
      </c>
      <c r="C6217" s="1" t="s">
        <v>466</v>
      </c>
      <c r="D6217" s="1" t="s">
        <v>2771</v>
      </c>
      <c r="E6217" s="1" t="s">
        <v>612</v>
      </c>
      <c r="F6217" s="1" t="s">
        <v>9913</v>
      </c>
      <c r="G6217" s="1" t="s">
        <v>36</v>
      </c>
      <c r="H6217" s="1" t="s">
        <v>29</v>
      </c>
      <c r="I6217" s="1" t="str">
        <f ca="1">IFERROR(__xludf.DUMMYFUNCTION("GOOGLETRANSLATE(F6217, ""auto"", ""en"")
"),"Despite the classic shape, this hood looks very attractive. The box is not bulky, streamlined, slightly rounded. The metal has low marks, is light, but does not press through. We can check this the first time, the control panel is located on the outside o"&amp;"f the arch, so when you turn it on for the first time, you can feel the quality of both the material itself and the control buttons, they are sensitive, easy to press, and sit firmly in their cells. It works relatively quietly, powerfully, my kitchen is n"&amp;"ot very large in area and the hood copes with its task in this space at 5+, the smells do not go beyond the threshold, moreover, when I cook with it turned on to maximum, it only smells near the stove. There is an air purification function, which is very "&amp;"useful when there is a freezer outside and it’s too squeaky to ventilate the kitchen. And the cost of the hood is quite affordable.")</f>
        <v>Despite the classic shape, this hood looks very attractive. The box is not bulky, streamlined, slightly rounded. The metal has low marks, is light, but does not press through. We can check this the first time, the control panel is located on the outside of the arch, so when you turn it on for the first time, you can feel the quality of both the material itself and the control buttons, they are sensitive, easy to press, and sit firmly in their cells. It works relatively quietly, powerfully, my kitchen is not very large in area and the hood copes with its task in this space at 5+, the smells do not go beyond the threshold, moreover, when I cook with it turned on to maximum, it only smells near the stove. There is an air purification function, which is very useful when there is a freezer outside and it’s too squeaky to ventilate the kitchen. And the cost of the hood is quite affordable.</v>
      </c>
    </row>
    <row r="6218" spans="1:9" x14ac:dyDescent="0.3">
      <c r="A6218" s="1" t="s">
        <v>67</v>
      </c>
      <c r="B6218" s="1" t="s">
        <v>68</v>
      </c>
      <c r="C6218" s="1" t="s">
        <v>246</v>
      </c>
      <c r="D6218" s="1" t="s">
        <v>308</v>
      </c>
      <c r="E6218" s="1" t="s">
        <v>5985</v>
      </c>
      <c r="F6218" s="1" t="s">
        <v>9914</v>
      </c>
      <c r="G6218" s="1" t="s">
        <v>36</v>
      </c>
      <c r="H6218" s="1" t="s">
        <v>29</v>
      </c>
      <c r="I6218" s="1" t="str">
        <f ca="1">IFERROR(__xludf.DUMMYFUNCTION("GOOGLETRANSLATE(F6218, ""auto"", ""en"")
"),"I bought a steam generator a couple of months ago and, oddly enough, I fell in love with ironing. Steams bedding in several layers, instantly smoothes any fabric without effort, there is enough water for a huge number of things. Saves time significantly! "&amp;"At first, it makes a little noise when heating up, but this is nothing at all, and then you can’t hear it. I regret that I didn't buy it earlier.")</f>
        <v>I bought a steam generator a couple of months ago and, oddly enough, I fell in love with ironing. Steams bedding in several layers, instantly smoothes any fabric without effort, there is enough water for a huge number of things. Saves time significantly! At first, it makes a little noise when heating up, but this is nothing at all, and then you can’t hear it. I regret that I didn't buy it earlier.</v>
      </c>
    </row>
    <row r="6219" spans="1:9" x14ac:dyDescent="0.3">
      <c r="A6219" s="1" t="s">
        <v>61</v>
      </c>
      <c r="B6219" s="1" t="s">
        <v>318</v>
      </c>
      <c r="C6219" s="1" t="s">
        <v>57</v>
      </c>
      <c r="D6219" s="1" t="s">
        <v>3923</v>
      </c>
      <c r="E6219" s="1" t="s">
        <v>4634</v>
      </c>
      <c r="F6219" s="1" t="s">
        <v>9915</v>
      </c>
      <c r="G6219" s="1" t="s">
        <v>36</v>
      </c>
      <c r="H6219" s="1" t="s">
        <v>29</v>
      </c>
      <c r="I6219" s="1" t="str">
        <f ca="1">IFERROR(__xludf.DUMMYFUNCTION("GOOGLETRANSLATE(F6219, ""auto"", ""en"")
"),"Always hot water.")</f>
        <v>Always hot water.</v>
      </c>
    </row>
    <row r="6220" spans="1:9" x14ac:dyDescent="0.3">
      <c r="A6220" s="1" t="s">
        <v>43</v>
      </c>
      <c r="B6220" s="1" t="s">
        <v>1616</v>
      </c>
      <c r="C6220" s="1" t="s">
        <v>185</v>
      </c>
      <c r="D6220" s="1" t="s">
        <v>327</v>
      </c>
      <c r="E6220" s="1" t="s">
        <v>1654</v>
      </c>
      <c r="F6220" s="1" t="s">
        <v>9916</v>
      </c>
      <c r="G6220" s="1" t="s">
        <v>36</v>
      </c>
      <c r="H6220" s="1" t="s">
        <v>29</v>
      </c>
      <c r="I6220" s="1" t="str">
        <f ca="1">IFERROR(__xludf.DUMMYFUNCTION("GOOGLETRANSLATE(F6220, ""auto"", ""en"")
"),"We purchased this air conditioner a couple of months ago, before that there were 2 Borkas - both flew. Very happy with the purchase")</f>
        <v>We purchased this air conditioner a couple of months ago, before that there were 2 Borkas - both flew. Very happy with the purchase</v>
      </c>
    </row>
    <row r="6221" spans="1:9" x14ac:dyDescent="0.3">
      <c r="A6221" s="1" t="s">
        <v>120</v>
      </c>
      <c r="B6221" s="1" t="s">
        <v>121</v>
      </c>
      <c r="C6221" s="1" t="s">
        <v>69</v>
      </c>
      <c r="D6221" s="1" t="s">
        <v>280</v>
      </c>
      <c r="E6221" s="1" t="s">
        <v>2265</v>
      </c>
      <c r="F6221" s="1" t="s">
        <v>9917</v>
      </c>
      <c r="G6221" s="1" t="s">
        <v>36</v>
      </c>
      <c r="H6221" s="1" t="s">
        <v>29</v>
      </c>
      <c r="I6221" s="1" t="str">
        <f ca="1">IFERROR(__xludf.DUMMYFUNCTION("GOOGLETRANSLATE(F6221, ""auto"", ""en"")
"),"Super!!! I didn’t take it for myself, but for a friend, he was confused about the thin Samsung, so they compared for a long time, but the seller was adequate (special thanks to him) and put it next to it, settings, etc., better and more importantly. 100Hz"&amp;", contrast, naturalness... and a very comfortable picture have already been appreciated at home, Ambilight is also cool.")</f>
        <v>Super!!! I didn’t take it for myself, but for a friend, he was confused about the thin Samsung, so they compared for a long time, but the seller was adequate (special thanks to him) and put it next to it, settings, etc., better and more importantly. 100Hz, contrast, naturalness... and a very comfortable picture have already been appreciated at home, Ambilight is also cool.</v>
      </c>
    </row>
    <row r="6222" spans="1:9" x14ac:dyDescent="0.3">
      <c r="A6222" s="1" t="s">
        <v>120</v>
      </c>
      <c r="B6222" s="1" t="s">
        <v>121</v>
      </c>
      <c r="C6222" s="1" t="s">
        <v>80</v>
      </c>
      <c r="D6222" s="1" t="s">
        <v>127</v>
      </c>
      <c r="E6222" s="1" t="s">
        <v>2057</v>
      </c>
      <c r="F6222" s="1" t="s">
        <v>9918</v>
      </c>
      <c r="G6222" s="1" t="s">
        <v>28</v>
      </c>
      <c r="H6222" s="1" t="s">
        <v>29</v>
      </c>
      <c r="I6222" s="1" t="str">
        <f ca="1">IFERROR(__xludf.DUMMYFUNCTION("GOOGLETRANSLATE(F6222, ""auto"", ""en"")
"),"I bought it a week ago, in the store I fell for the low price and more or less decent image quality.  1. In my opinion, the brightness is not enough (all adjustments are about 85%) 2. I unlocked the USB player in 2 minutes using LEDs.  3. The player did n"&amp;"ot impress: there is no rewind or forward, there is only a temporary stop.  4. Very limited list of audio-video codecs. The MKV format plays well, only sometimes without sound, due to the lack of codecs.   Overall: Overall the device is good, but nothing "&amp;"more. You can buy a more worthy model for 30% more.")</f>
        <v>I bought it a week ago, in the store I fell for the low price and more or less decent image quality.  1. In my opinion, the brightness is not enough (all adjustments are about 85%) 2. I unlocked the USB player in 2 minutes using LEDs.  3. The player did not impress: there is no rewind or forward, there is only a temporary stop.  4. Very limited list of audio-video codecs. The MKV format plays well, only sometimes without sound, due to the lack of codecs.   Overall: Overall the device is good, but nothing more. You can buy a more worthy model for 30% more.</v>
      </c>
    </row>
    <row r="6223" spans="1:9" x14ac:dyDescent="0.3">
      <c r="A6223" s="1" t="s">
        <v>61</v>
      </c>
      <c r="B6223" s="1" t="s">
        <v>977</v>
      </c>
      <c r="C6223" s="1" t="s">
        <v>69</v>
      </c>
      <c r="D6223" s="1" t="s">
        <v>1890</v>
      </c>
      <c r="E6223" s="1" t="s">
        <v>3752</v>
      </c>
      <c r="F6223" s="1" t="s">
        <v>9919</v>
      </c>
      <c r="G6223" s="1" t="s">
        <v>28</v>
      </c>
      <c r="H6223" s="1" t="s">
        <v>29</v>
      </c>
      <c r="I6223" s="1" t="str">
        <f ca="1">IFERROR(__xludf.DUMMYFUNCTION("GOOGLETRANSLATE(F6223, ""auto"", ""en"")
"),"Our blender worked for a little over two years. The gear that transmits rotation from the motor to the attachments has burst. The warranty period has expired (2 years), cannot be repaired because... non-separable. But based on the fact that I used it very"&amp;" actively every day, I give it a solid four.")</f>
        <v>Our blender worked for a little over two years. The gear that transmits rotation from the motor to the attachments has burst. The warranty period has expired (2 years), cannot be repaired because... non-separable. But based on the fact that I used it very actively every day, I give it a solid four.</v>
      </c>
    </row>
    <row r="6224" spans="1:9" x14ac:dyDescent="0.3">
      <c r="A6224" s="1" t="s">
        <v>1119</v>
      </c>
      <c r="B6224" s="1" t="s">
        <v>1120</v>
      </c>
      <c r="C6224" s="1" t="s">
        <v>122</v>
      </c>
      <c r="D6224" s="1" t="s">
        <v>9920</v>
      </c>
      <c r="E6224" s="1" t="s">
        <v>4284</v>
      </c>
      <c r="F6224" s="1" t="s">
        <v>9921</v>
      </c>
      <c r="G6224" s="1" t="s">
        <v>36</v>
      </c>
      <c r="H6224" s="1" t="s">
        <v>29</v>
      </c>
      <c r="I6224" s="1" t="str">
        <f ca="1">IFERROR(__xludf.DUMMYFUNCTION("GOOGLETRANSLATE(F6224, ""auto"", ""en"")
"),"The camera is simply super light, small and the price is affordable, in short, take it.")</f>
        <v>The camera is simply super light, small and the price is affordable, in short, take it.</v>
      </c>
    </row>
    <row r="6225" spans="1:9" x14ac:dyDescent="0.3">
      <c r="A6225" s="1" t="s">
        <v>369</v>
      </c>
      <c r="B6225" s="1" t="s">
        <v>587</v>
      </c>
      <c r="C6225" s="1" t="s">
        <v>308</v>
      </c>
      <c r="D6225" s="1" t="s">
        <v>9922</v>
      </c>
      <c r="E6225" s="1" t="s">
        <v>2787</v>
      </c>
      <c r="F6225" s="1" t="s">
        <v>9923</v>
      </c>
      <c r="G6225" s="1" t="s">
        <v>36</v>
      </c>
      <c r="H6225" s="1" t="s">
        <v>29</v>
      </c>
      <c r="I6225" s="1" t="str">
        <f ca="1">IFERROR(__xludf.DUMMYFUNCTION("GOOGLETRANSLATE(F6225, ""auto"", ""en"")
"),"It’s a pleasure to cook on it; I especially liked that there is an electric ignition button and minimal heat. The enamel is strong, and overall the assembly is of high quality.")</f>
        <v>It’s a pleasure to cook on it; I especially liked that there is an electric ignition button and minimal heat. The enamel is strong, and overall the assembly is of high quality.</v>
      </c>
    </row>
    <row r="6226" spans="1:9" x14ac:dyDescent="0.3">
      <c r="A6226" s="1" t="s">
        <v>43</v>
      </c>
      <c r="B6226" s="1" t="s">
        <v>334</v>
      </c>
      <c r="C6226" s="1" t="s">
        <v>57</v>
      </c>
      <c r="D6226" s="1" t="s">
        <v>940</v>
      </c>
      <c r="E6226" s="1" t="s">
        <v>460</v>
      </c>
      <c r="F6226" s="1" t="s">
        <v>9924</v>
      </c>
      <c r="G6226" s="1" t="s">
        <v>36</v>
      </c>
      <c r="H6226" s="1" t="s">
        <v>29</v>
      </c>
      <c r="I6226" s="1" t="str">
        <f ca="1">IFERROR(__xludf.DUMMYFUNCTION("GOOGLETRANSLATE(F6226, ""auto"", ""en"")
"),"A good fan for the money. Blows great, stable, very quiet. I bought it today from M-Video and didn’t regret it at all. I recommend it.")</f>
        <v>A good fan for the money. Blows great, stable, very quiet. I bought it today from M-Video and didn’t regret it at all. I recommend it.</v>
      </c>
    </row>
    <row r="6227" spans="1:9" x14ac:dyDescent="0.3">
      <c r="A6227" s="1" t="s">
        <v>61</v>
      </c>
      <c r="B6227" s="1" t="s">
        <v>1126</v>
      </c>
      <c r="C6227" s="1" t="s">
        <v>57</v>
      </c>
      <c r="D6227" s="1" t="s">
        <v>152</v>
      </c>
      <c r="E6227" s="1" t="s">
        <v>820</v>
      </c>
      <c r="F6227" s="1" t="s">
        <v>9925</v>
      </c>
      <c r="G6227" s="1" t="s">
        <v>15</v>
      </c>
      <c r="H6227" s="1" t="s">
        <v>16</v>
      </c>
      <c r="I6227" s="1" t="str">
        <f ca="1">IFERROR(__xludf.DUMMYFUNCTION("GOOGLETRANSLATE(F6227, ""auto"", ""en"")
"),"The scales are cheap, not poorly made, but only lasted 15 days. Most likely one of the sensors has fallen off.    The case is flimsy, the parts inside are wobbly... Summary: they can survive if you're lucky, but most likely it's 50/50... :-(")</f>
        <v>The scales are cheap, not poorly made, but only lasted 15 days. Most likely one of the sensors has fallen off.    The case is flimsy, the parts inside are wobbly... Summary: they can survive if you're lucky, but most likely it's 50/50... :-(</v>
      </c>
    </row>
    <row r="6228" spans="1:9" x14ac:dyDescent="0.3">
      <c r="A6228" s="1" t="s">
        <v>149</v>
      </c>
      <c r="B6228" s="1" t="s">
        <v>155</v>
      </c>
      <c r="C6228" s="1" t="s">
        <v>996</v>
      </c>
      <c r="D6228" s="1" t="s">
        <v>742</v>
      </c>
      <c r="E6228" s="1" t="s">
        <v>1765</v>
      </c>
      <c r="F6228" s="1" t="s">
        <v>9926</v>
      </c>
      <c r="G6228" s="1" t="s">
        <v>36</v>
      </c>
      <c r="H6228" s="1" t="s">
        <v>29</v>
      </c>
      <c r="I6228" s="1" t="str">
        <f ca="1">IFERROR(__xludf.DUMMYFUNCTION("GOOGLETRANSLATE(F6228, ""auto"", ""en"")
"),"The vacuum cleaner is super, as soon as I bought it I decided to try it myself, at full power I could barely tear it away from the rug, my wife now refuses to vacuum it, she says it’s hard - :) by the way, the kit includes spare filters for the engine and"&amp;" the dust collector, this was very pleasing, since it’s not written anywhere about it, and the sellers don’t know what else is in the box.   The sound is pleasant, howling, but not growling, tolerable in general, at min. The power can be vacuumed when a c"&amp;"hild is sleeping in the next room, but basically with this power he works with his wife, it’s enough.   In our kitchen, the linoleum is glued only around the perimeter, and when you vacuum it, you can see how the linoleum lags behind the floor and sticks "&amp;"to the brush. The brush is also great by the way.   In general, I’m happy with the vacuum cleaner, the question is how long it will last, because... Russian assembly.  Before that there was a FUNAI, my parents bought it and it worked for 20 years, but now"&amp;" I use it to vacuum in the garage and, no matter what, it’s all covered in electrical tape, but it works, I hope this one won’t let you down either.")</f>
        <v>The vacuum cleaner is super, as soon as I bought it I decided to try it myself, at full power I could barely tear it away from the rug, my wife now refuses to vacuum it, she says it’s hard - :) by the way, the kit includes spare filters for the engine and the dust collector, this was very pleasing, since it’s not written anywhere about it, and the sellers don’t know what else is in the box.   The sound is pleasant, howling, but not growling, tolerable in general, at min. The power can be vacuumed when a child is sleeping in the next room, but basically with this power he works with his wife, it’s enough.   In our kitchen, the linoleum is glued only around the perimeter, and when you vacuum it, you can see how the linoleum lags behind the floor and sticks to the brush. The brush is also great by the way.   In general, I’m happy with the vacuum cleaner, the question is how long it will last, because... Russian assembly.  Before that there was a FUNAI, my parents bought it and it worked for 20 years, but now I use it to vacuum in the garage and, no matter what, it’s all covered in electrical tape, but it works, I hope this one won’t let you down either.</v>
      </c>
    </row>
    <row r="6229" spans="1:9" x14ac:dyDescent="0.3">
      <c r="A6229" s="1" t="s">
        <v>149</v>
      </c>
      <c r="B6229" s="1" t="s">
        <v>150</v>
      </c>
      <c r="C6229" s="1" t="s">
        <v>151</v>
      </c>
      <c r="D6229" s="1" t="s">
        <v>5864</v>
      </c>
      <c r="E6229" s="1" t="s">
        <v>1131</v>
      </c>
      <c r="F6229" s="1" t="s">
        <v>9927</v>
      </c>
      <c r="G6229" s="1" t="s">
        <v>36</v>
      </c>
      <c r="H6229" s="1" t="s">
        <v>29</v>
      </c>
      <c r="I6229" s="1" t="str">
        <f ca="1">IFERROR(__xludf.DUMMYFUNCTION("GOOGLETRANSLATE(F6229, ""auto"", ""en"")
"),"I bought it today. I tried it, sure! However, I cleaned the Turbo brush 3 times for 1 carpet (by the way, it is small in the kit, 1.5 times smaller than the standard one), I have 4 carpets (+ a wife, a child and a fluffy cat), which also wastes time. Conv"&amp;"enient to wash. I don’t like it yet, I think it needs to be dried, but I’ll get used to it. But I really liked the control on the handle! Comfortable! I really collected so much dirt! Thanks to everyone who wrote reviews, helped with the choice! Thanks to"&amp;" the manufacturer!")</f>
        <v>I bought it today. I tried it, sure! However, I cleaned the Turbo brush 3 times for 1 carpet (by the way, it is small in the kit, 1.5 times smaller than the standard one), I have 4 carpets (+ a wife, a child and a fluffy cat), which also wastes time. Convenient to wash. I don’t like it yet, I think it needs to be dried, but I’ll get used to it. But I really liked the control on the handle! Comfortable! I really collected so much dirt! Thanks to everyone who wrote reviews, helped with the choice! Thanks to the manufacturer!</v>
      </c>
    </row>
    <row r="6230" spans="1:9" x14ac:dyDescent="0.3">
      <c r="A6230" s="1" t="s">
        <v>1119</v>
      </c>
      <c r="B6230" s="1" t="s">
        <v>1120</v>
      </c>
      <c r="C6230" s="1" t="s">
        <v>122</v>
      </c>
      <c r="D6230" s="1" t="s">
        <v>420</v>
      </c>
      <c r="E6230" s="1" t="s">
        <v>9928</v>
      </c>
      <c r="F6230" s="1" t="s">
        <v>9929</v>
      </c>
      <c r="G6230" s="1" t="s">
        <v>49</v>
      </c>
      <c r="H6230" s="1" t="s">
        <v>16</v>
      </c>
      <c r="I6230" s="1" t="str">
        <f ca="1">IFERROR(__xludf.DUMMYFUNCTION("GOOGLETRANSLATE(F6230, ""auto"", ""en"")
"),"Low quality video. The noise is loud, the stabilization is poor, it shakes especially when approaching, and at night there is no quality at all. In sunny weather it takes pictures even more or less, in principle, for beginners the camera will do, use it, "&amp;"learn")</f>
        <v>Low quality video. The noise is loud, the stabilization is poor, it shakes especially when approaching, and at night there is no quality at all. In sunny weather it takes pictures even more or less, in principle, for beginners the camera will do, use it, learn</v>
      </c>
    </row>
    <row r="6231" spans="1:9" x14ac:dyDescent="0.3">
      <c r="A6231" s="1" t="s">
        <v>120</v>
      </c>
      <c r="B6231" s="1" t="s">
        <v>126</v>
      </c>
      <c r="C6231" s="1" t="s">
        <v>151</v>
      </c>
      <c r="D6231" s="1" t="s">
        <v>9930</v>
      </c>
      <c r="E6231" s="1" t="s">
        <v>2543</v>
      </c>
      <c r="F6231" s="1" t="s">
        <v>9931</v>
      </c>
      <c r="G6231" s="1" t="s">
        <v>36</v>
      </c>
      <c r="H6231" s="1" t="s">
        <v>29</v>
      </c>
      <c r="I6231" s="1" t="str">
        <f ca="1">IFERROR(__xludf.DUMMYFUNCTION("GOOGLETRANSLATE(F6231, ""auto"", ""en"")
"),"The TV is super. It even reads from an external 500GB hard drive. It even shows 40 GB mkv.")</f>
        <v>The TV is super. It even reads from an external 500GB hard drive. It even shows 40 GB mkv.</v>
      </c>
    </row>
    <row r="6232" spans="1:9" x14ac:dyDescent="0.3">
      <c r="A6232" s="1" t="s">
        <v>89</v>
      </c>
      <c r="B6232" s="1" t="s">
        <v>1106</v>
      </c>
      <c r="C6232" s="1" t="s">
        <v>74</v>
      </c>
      <c r="D6232" s="1" t="s">
        <v>2937</v>
      </c>
      <c r="E6232" s="1" t="s">
        <v>2540</v>
      </c>
      <c r="F6232" s="1" t="s">
        <v>9932</v>
      </c>
      <c r="G6232" s="1" t="s">
        <v>28</v>
      </c>
      <c r="H6232" s="1" t="s">
        <v>29</v>
      </c>
      <c r="I6232" s="1" t="str">
        <f ca="1">IFERROR(__xludf.DUMMYFUNCTION("GOOGLETRANSLATE(F6232, ""auto"", ""en"")
"),"I bought it, steamed it, cooked it, tasted it. Everything is very good. And the taste is excellent (subjectively). The downside is still the same - there is no auto-shutdown. A solid four from me.")</f>
        <v>I bought it, steamed it, cooked it, tasted it. Everything is very good. And the taste is excellent (subjectively). The downside is still the same - there is no auto-shutdown. A solid four from me.</v>
      </c>
    </row>
    <row r="6233" spans="1:9" x14ac:dyDescent="0.3">
      <c r="A6233" s="1" t="s">
        <v>30</v>
      </c>
      <c r="B6233" s="1" t="s">
        <v>50</v>
      </c>
      <c r="C6233" s="1" t="s">
        <v>189</v>
      </c>
      <c r="D6233" s="1" t="s">
        <v>39</v>
      </c>
      <c r="E6233" s="1" t="s">
        <v>1742</v>
      </c>
      <c r="F6233" s="1" t="s">
        <v>9933</v>
      </c>
      <c r="G6233" s="1" t="s">
        <v>28</v>
      </c>
      <c r="H6233" s="1" t="s">
        <v>29</v>
      </c>
      <c r="I6233" s="1" t="str">
        <f ca="1">IFERROR(__xludf.DUMMYFUNCTION("GOOGLETRANSLATE(F6233, ""auto"", ""en"")
"),"Compact, lightweight, I liked that it doesn’t get hot, after several hours of operation the plastic underneath is at room temperature. Relatively quiet, but there is a slight whistle: either air from the cooler, or secondary power supplies are whistling. "&amp;"The camera is a C grade, the former Acer 4930 had an order of magnitude better camera. Well, the glossy top, of course, is annoying, when will the fashion for glossy laptops finally end?")</f>
        <v>Compact, lightweight, I liked that it doesn’t get hot, after several hours of operation the plastic underneath is at room temperature. Relatively quiet, but there is a slight whistle: either air from the cooler, or secondary power supplies are whistling. The camera is a C grade, the former Acer 4930 had an order of magnitude better camera. Well, the glossy top, of course, is annoying, when will the fashion for glossy laptops finally end?</v>
      </c>
    </row>
    <row r="6234" spans="1:9" x14ac:dyDescent="0.3">
      <c r="A6234" s="1" t="s">
        <v>30</v>
      </c>
      <c r="B6234" s="1" t="s">
        <v>50</v>
      </c>
      <c r="C6234" s="1" t="s">
        <v>694</v>
      </c>
      <c r="D6234" s="1" t="s">
        <v>9934</v>
      </c>
      <c r="E6234" s="1" t="s">
        <v>418</v>
      </c>
      <c r="F6234" s="1" t="s">
        <v>9935</v>
      </c>
      <c r="G6234" s="1" t="s">
        <v>28</v>
      </c>
      <c r="H6234" s="1" t="s">
        <v>29</v>
      </c>
      <c r="I6234" s="1" t="str">
        <f ca="1">IFERROR(__xludf.DUMMYFUNCTION("GOOGLETRANSLATE(F6234, ""auto"", ""en"")
"),"what photoshop on this process? A full-fledged Core2Duo is not always enough for working in Photoshop.    And in general, I think that a person who uses Photoshop, and therefore is able to pay $800 or more for a license, can afford something in the area o"&amp;"f ​​Dell XPS Studio 13. The sizes are small and the percentages are already decent.")</f>
        <v>what photoshop on this process? A full-fledged Core2Duo is not always enough for working in Photoshop.    And in general, I think that a person who uses Photoshop, and therefore is able to pay $800 or more for a license, can afford something in the area of ​​Dell XPS Studio 13. The sizes are small and the percentages are already decent.</v>
      </c>
    </row>
    <row r="6235" spans="1:9" x14ac:dyDescent="0.3">
      <c r="A6235" s="1" t="s">
        <v>95</v>
      </c>
      <c r="B6235" s="1" t="s">
        <v>227</v>
      </c>
      <c r="C6235" s="1" t="s">
        <v>97</v>
      </c>
      <c r="D6235" s="1" t="s">
        <v>9936</v>
      </c>
      <c r="E6235" s="1" t="s">
        <v>2853</v>
      </c>
      <c r="F6235" s="1" t="s">
        <v>9937</v>
      </c>
      <c r="G6235" s="1" t="s">
        <v>36</v>
      </c>
      <c r="H6235" s="1" t="s">
        <v>29</v>
      </c>
      <c r="I6235" s="1" t="str">
        <f ca="1">IFERROR(__xludf.DUMMYFUNCTION("GOOGLETRANSLATE(F6235, ""auto"", ""en"")
"),"An excellent media center. You can watch movies, even on BLU-RAY discs, look through your photo albums while listening to your favorite music, download demo versions of games for free, and surf the Internet. Playing online, unlike XBox, does not require a"&amp;" separate fee; you only need an Internet connection. If you wish, you can watch movies directly from your computer via a WI-FI network. In general, the thing is a hit.")</f>
        <v>An excellent media center. You can watch movies, even on BLU-RAY discs, look through your photo albums while listening to your favorite music, download demo versions of games for free, and surf the Internet. Playing online, unlike XBox, does not require a separate fee; you only need an Internet connection. If you wish, you can watch movies directly from your computer via a WI-FI network. In general, the thing is a hit.</v>
      </c>
    </row>
    <row r="6236" spans="1:9" x14ac:dyDescent="0.3">
      <c r="A6236" s="1" t="s">
        <v>43</v>
      </c>
      <c r="B6236" s="1" t="s">
        <v>1382</v>
      </c>
      <c r="C6236" s="1" t="s">
        <v>45</v>
      </c>
      <c r="D6236" s="1" t="s">
        <v>152</v>
      </c>
      <c r="E6236" s="1" t="s">
        <v>3560</v>
      </c>
      <c r="F6236" s="1" t="s">
        <v>9938</v>
      </c>
      <c r="G6236" s="1" t="s">
        <v>28</v>
      </c>
      <c r="H6236" s="1" t="s">
        <v>29</v>
      </c>
      <c r="I6236" s="1" t="str">
        <f ca="1">IFERROR(__xludf.DUMMYFUNCTION("GOOGLETRANSLATE(F6236, ""auto"", ""en"")
"),"An excellent, compact fan with a modern design. The plastic does not stand out for its special quality, but overall it blows normally and quietly. Lacks the ability to vertically direct the air flow.")</f>
        <v>An excellent, compact fan with a modern design. The plastic does not stand out for its special quality, but overall it blows normally and quietly. Lacks the ability to vertically direct the air flow.</v>
      </c>
    </row>
    <row r="6237" spans="1:9" x14ac:dyDescent="0.3">
      <c r="A6237" s="1" t="s">
        <v>61</v>
      </c>
      <c r="B6237" s="1" t="s">
        <v>224</v>
      </c>
      <c r="C6237" s="1" t="s">
        <v>85</v>
      </c>
      <c r="D6237" s="1" t="s">
        <v>20</v>
      </c>
      <c r="E6237" s="1" t="s">
        <v>9939</v>
      </c>
      <c r="F6237" s="1" t="s">
        <v>9940</v>
      </c>
      <c r="G6237" s="1" t="s">
        <v>36</v>
      </c>
      <c r="H6237" s="1" t="s">
        <v>29</v>
      </c>
      <c r="I6237" s="1" t="str">
        <f ca="1">IFERROR(__xludf.DUMMYFUNCTION("GOOGLETRANSLATE(F6237, ""auto"", ""en"")
"),"I wanted to make fresh orange juice myself, every day. I went to the store and they recommended Bork S400. For about 20 minutes the seller persuaded me, saying that you can’t go wrong. After the purchase, I realized that he was right. I've been using it f"&amp;"or 2 months. Yesterday we missed a bag of apples in an hour. We closed 10 liters of juice for the winter. It didn't even warm up. The price of course seemed expensive, but I'm happy. It's a pity that you can't make tomato juice. It turns out an incomprehe"&amp;"nsible pink liquid. Maybe I used the wrong tomatoes. We should try to buy meatier ones. I recommend it to everyone.")</f>
        <v>I wanted to make fresh orange juice myself, every day. I went to the store and they recommended Bork S400. For about 20 minutes the seller persuaded me, saying that you can’t go wrong. After the purchase, I realized that he was right. I've been using it for 2 months. Yesterday we missed a bag of apples in an hour. We closed 10 liters of juice for the winter. It didn't even warm up. The price of course seemed expensive, but I'm happy. It's a pity that you can't make tomato juice. It turns out an incomprehensible pink liquid. Maybe I used the wrong tomatoes. We should try to buy meatier ones. I recommend it to everyone.</v>
      </c>
    </row>
    <row r="6238" spans="1:9" x14ac:dyDescent="0.3">
      <c r="A6238" s="1" t="s">
        <v>43</v>
      </c>
      <c r="B6238" s="1" t="s">
        <v>1616</v>
      </c>
      <c r="C6238" s="1" t="s">
        <v>85</v>
      </c>
      <c r="D6238" s="1" t="s">
        <v>280</v>
      </c>
      <c r="E6238" s="1" t="s">
        <v>1012</v>
      </c>
      <c r="F6238" s="1" t="s">
        <v>9941</v>
      </c>
      <c r="G6238" s="1" t="s">
        <v>28</v>
      </c>
      <c r="H6238" s="1" t="s">
        <v>29</v>
      </c>
      <c r="I6238" s="1" t="str">
        <f ca="1">IFERROR(__xludf.DUMMYFUNCTION("GOOGLETRANSLATE(F6238, ""auto"", ""en"")
"),"I became the proud owner of this miracle of technology 07/11/2010 I immediately realized that with such a window insert I would have to come up with a sealing system, in short, I bought masking tape and covered the entire window, including the window inse"&amp;"rt. At least the heat blown from the window from the hose leading out from the candy does not blow back, that’s good!!! Yes, the idiots in M-Video didn’t warn that the water consumption is so fast, by the way, the window seal extended the water consumptio"&amp;"n by about an hour, today I want to try the bucket method, I’ve already thought about it, my own tank lasts for not more than three hours!! I have a room of 18 meters, back on Sunday the weather station showed 34.4, it was just scorching, and now I set th"&amp;"e air conditioner to 22 degrees and it shows 25.1, provided that it doesn’t blow on it, it’s already more comfortable to live, but the noise emitted from these floor-standing units (by the way, they make noise all the time, the price doesn’t matter in our"&amp;" office, bought for 47, it’s so noisy as if the hydroelectric station is working) at night It’s not comme il faut to sleep, but with a rented apartment there are no options!")</f>
        <v>I became the proud owner of this miracle of technology 07/11/2010 I immediately realized that with such a window insert I would have to come up with a sealing system, in short, I bought masking tape and covered the entire window, including the window insert. At least the heat blown from the window from the hose leading out from the candy does not blow back, that’s good!!! Yes, the idiots in M-Video didn’t warn that the water consumption is so fast, by the way, the window seal extended the water consumption by about an hour, today I want to try the bucket method, I’ve already thought about it, my own tank lasts for not more than three hours!! I have a room of 18 meters, back on Sunday the weather station showed 34.4, it was just scorching, and now I set the air conditioner to 22 degrees and it shows 25.1, provided that it doesn’t blow on it, it’s already more comfortable to live, but the noise emitted from these floor-standing units (by the way, they make noise all the time, the price doesn’t matter in our office, bought for 47, it’s so noisy as if the hydroelectric station is working) at night It’s not comme il faut to sleep, but with a rented apartment there are no options!</v>
      </c>
    </row>
    <row r="6239" spans="1:9" x14ac:dyDescent="0.3">
      <c r="A6239" s="1" t="s">
        <v>169</v>
      </c>
      <c r="B6239" s="1" t="s">
        <v>170</v>
      </c>
      <c r="C6239" s="1" t="s">
        <v>193</v>
      </c>
      <c r="D6239" s="1" t="s">
        <v>9942</v>
      </c>
      <c r="E6239" s="1" t="s">
        <v>2752</v>
      </c>
      <c r="F6239" s="1" t="s">
        <v>9943</v>
      </c>
      <c r="G6239" s="1" t="s">
        <v>36</v>
      </c>
      <c r="H6239" s="1" t="s">
        <v>29</v>
      </c>
      <c r="I6239" s="1" t="str">
        <f ca="1">IFERROR(__xludf.DUMMYFUNCTION("GOOGLETRANSLATE(F6239, ""auto"", ""en"")
"),"The sound is the only non-vacuum headphones with sound without any complaints.")</f>
        <v>The sound is the only non-vacuum headphones with sound without any complaints.</v>
      </c>
    </row>
    <row r="6240" spans="1:9" x14ac:dyDescent="0.3">
      <c r="A6240" s="1" t="s">
        <v>169</v>
      </c>
      <c r="B6240" s="1" t="s">
        <v>170</v>
      </c>
      <c r="C6240" s="1" t="s">
        <v>193</v>
      </c>
      <c r="D6240" s="1" t="s">
        <v>1917</v>
      </c>
      <c r="E6240" s="1" t="s">
        <v>3379</v>
      </c>
      <c r="F6240" s="1" t="s">
        <v>9944</v>
      </c>
      <c r="G6240" s="1" t="s">
        <v>1580</v>
      </c>
      <c r="H6240" s="1" t="s">
        <v>29</v>
      </c>
      <c r="I6240" s="1" t="str">
        <f ca="1">IFERROR(__xludf.DUMMYFUNCTION("GOOGLETRANSLATE(F6240, ""auto"", ""en"")
"),"Good sound")</f>
        <v>Good sound</v>
      </c>
    </row>
    <row r="6241" spans="1:9" x14ac:dyDescent="0.3">
      <c r="A6241" s="1" t="s">
        <v>61</v>
      </c>
      <c r="B6241" s="1" t="s">
        <v>318</v>
      </c>
      <c r="C6241" s="1" t="s">
        <v>69</v>
      </c>
      <c r="D6241" s="1" t="s">
        <v>39</v>
      </c>
      <c r="E6241" s="1" t="s">
        <v>9945</v>
      </c>
      <c r="F6241" s="1" t="s">
        <v>9946</v>
      </c>
      <c r="G6241" s="1" t="s">
        <v>36</v>
      </c>
      <c r="H6241" s="1" t="s">
        <v>29</v>
      </c>
      <c r="I6241" s="1" t="str">
        <f ca="1">IFERROR(__xludf.DUMMYFUNCTION("GOOGLETRANSLATE(F6241, ""auto"", ""en"")
"),"The kettle served for almost 5 years, then something broke, apparently in the stand. I'm sinning on email. network, because there was a power surge. Now the light is on, but the water is not heating up. I would take it apart and fix it myself, but the scr"&amp;"ews in it are too tricky.  The kettle is very good, I was pleased with the design, the stand, and the handle is comfortable and powerful. The light bulb is still warming up and the bell rings when the water boils - a thoughtful solution. The water heats u"&amp;"p quickly and does not smell of anything (this was my first kettle, I didn’t know that it usually smells of something).  Now I'll probably take the same one.")</f>
        <v>The kettle served for almost 5 years, then something broke, apparently in the stand. I'm sinning on email. network, because there was a power surge. Now the light is on, but the water is not heating up. I would take it apart and fix it myself, but the screws in it are too tricky.  The kettle is very good, I was pleased with the design, the stand, and the handle is comfortable and powerful. The light bulb is still warming up and the bell rings when the water boils - a thoughtful solution. The water heats up quickly and does not smell of anything (this was my first kettle, I didn’t know that it usually smells of something).  Now I'll probably take the same one.</v>
      </c>
    </row>
    <row r="6242" spans="1:9" x14ac:dyDescent="0.3">
      <c r="A6242" s="1" t="s">
        <v>105</v>
      </c>
      <c r="B6242" s="1" t="s">
        <v>106</v>
      </c>
      <c r="C6242" s="1" t="s">
        <v>1921</v>
      </c>
      <c r="D6242" s="1" t="s">
        <v>9947</v>
      </c>
      <c r="E6242" s="1" t="s">
        <v>191</v>
      </c>
      <c r="F6242" s="1" t="s">
        <v>9948</v>
      </c>
      <c r="G6242" s="1" t="s">
        <v>36</v>
      </c>
      <c r="H6242" s="1" t="s">
        <v>29</v>
      </c>
      <c r="I6242" s="1" t="str">
        <f ca="1">IFERROR(__xludf.DUMMYFUNCTION("GOOGLETRANSLATE(F6242, ""auto"", ""en"")
"),"good player for little money, I recommend it")</f>
        <v>good player for little money, I recommend it</v>
      </c>
    </row>
    <row r="6243" spans="1:9" x14ac:dyDescent="0.3">
      <c r="A6243" s="1" t="s">
        <v>61</v>
      </c>
      <c r="B6243" s="1" t="s">
        <v>726</v>
      </c>
      <c r="C6243" s="1" t="s">
        <v>74</v>
      </c>
      <c r="D6243" s="1" t="s">
        <v>9949</v>
      </c>
      <c r="E6243" s="1" t="s">
        <v>1207</v>
      </c>
      <c r="F6243" s="1" t="s">
        <v>9950</v>
      </c>
      <c r="G6243" s="1" t="s">
        <v>36</v>
      </c>
      <c r="H6243" s="1" t="s">
        <v>29</v>
      </c>
      <c r="I6243" s="1" t="str">
        <f ca="1">IFERROR(__xludf.DUMMYFUNCTION("GOOGLETRANSLATE(F6243, ""auto"", ""en"")
"),"bread maker 7 months. I really like baking - it’s just a pleasure. I’ve never regretted the amount spent.")</f>
        <v>bread maker 7 months. I really like baking - it’s just a pleasure. I’ve never regretted the amount spent.</v>
      </c>
    </row>
    <row r="6244" spans="1:9" x14ac:dyDescent="0.3">
      <c r="A6244" s="1" t="s">
        <v>17</v>
      </c>
      <c r="B6244" s="1" t="s">
        <v>325</v>
      </c>
      <c r="C6244" s="1" t="s">
        <v>326</v>
      </c>
      <c r="D6244" s="1" t="s">
        <v>471</v>
      </c>
      <c r="E6244" s="1" t="s">
        <v>692</v>
      </c>
      <c r="F6244" s="1" t="s">
        <v>9951</v>
      </c>
      <c r="G6244" s="1" t="s">
        <v>36</v>
      </c>
      <c r="H6244" s="1" t="s">
        <v>29</v>
      </c>
      <c r="I6244" s="1" t="str">
        <f ca="1">IFERROR(__xludf.DUMMYFUNCTION("GOOGLETRANSLATE(F6244, ""auto"", ""en"")
"),"Nice washing machine! Indispensable in a country house or village. Does not require much space, water or time.")</f>
        <v>Nice washing machine! Indispensable in a country house or village. Does not require much space, water or time.</v>
      </c>
    </row>
    <row r="6245" spans="1:9" x14ac:dyDescent="0.3">
      <c r="A6245" s="1" t="s">
        <v>43</v>
      </c>
      <c r="B6245" s="1" t="s">
        <v>303</v>
      </c>
      <c r="C6245" s="1" t="s">
        <v>665</v>
      </c>
      <c r="D6245" s="1" t="s">
        <v>32</v>
      </c>
      <c r="E6245" s="1" t="s">
        <v>5583</v>
      </c>
      <c r="F6245" s="1" t="s">
        <v>9952</v>
      </c>
      <c r="G6245" s="1" t="s">
        <v>36</v>
      </c>
      <c r="H6245" s="1" t="s">
        <v>29</v>
      </c>
      <c r="I6245" s="1" t="str">
        <f ca="1">IFERROR(__xludf.DUMMYFUNCTION("GOOGLETRANSLATE(F6245, ""auto"", ""en"")
"),"I've been using this model for a year and a half. It heats up amazingly, very quickly in about 15 minutes, and we turn the heat up to a quarter))) Once a month I run water in it... so that it doesn’t stagnate... the mechanic advised.")</f>
        <v>I've been using this model for a year and a half. It heats up amazingly, very quickly in about 15 minutes, and we turn the heat up to a quarter))) Once a month I run water in it... so that it doesn’t stagnate... the mechanic advised.</v>
      </c>
    </row>
    <row r="6246" spans="1:9" x14ac:dyDescent="0.3">
      <c r="A6246" s="1" t="s">
        <v>89</v>
      </c>
      <c r="B6246" s="1" t="s">
        <v>90</v>
      </c>
      <c r="C6246" s="1" t="s">
        <v>63</v>
      </c>
      <c r="D6246" s="1" t="s">
        <v>548</v>
      </c>
      <c r="E6246" s="1" t="s">
        <v>2484</v>
      </c>
      <c r="F6246" s="1" t="s">
        <v>9953</v>
      </c>
      <c r="G6246" s="1" t="s">
        <v>15</v>
      </c>
      <c r="H6246" s="1" t="s">
        <v>16</v>
      </c>
      <c r="I6246" s="1" t="str">
        <f ca="1">IFERROR(__xludf.DUMMYFUNCTION("GOOGLETRANSLATE(F6246, ""auto"", ""en"")
"),"It also broke down - it looks like the motor burned out.")</f>
        <v>It also broke down - it looks like the motor burned out.</v>
      </c>
    </row>
    <row r="6247" spans="1:9" x14ac:dyDescent="0.3">
      <c r="A6247" s="1" t="s">
        <v>1119</v>
      </c>
      <c r="B6247" s="1" t="s">
        <v>1120</v>
      </c>
      <c r="C6247" s="1" t="s">
        <v>122</v>
      </c>
      <c r="D6247" s="1" t="s">
        <v>9954</v>
      </c>
      <c r="E6247" s="1" t="s">
        <v>998</v>
      </c>
      <c r="F6247" s="1" t="s">
        <v>9955</v>
      </c>
      <c r="G6247" s="1" t="s">
        <v>28</v>
      </c>
      <c r="H6247" s="1" t="s">
        <v>29</v>
      </c>
      <c r="I6247" s="1" t="str">
        <f ca="1">IFERROR(__xludf.DUMMYFUNCTION("GOOGLETRANSLATE(F6247, ""auto"", ""en"")
"),"I bought the camera a month ago, the impressions are good. No glitches were noticed, the video shoots well. It takes excellent photos in daylight. Night photography honestly sucks, after I tried it I’m unlikely to use it again. The built-in memory lasts f"&amp;"or 40 minutes in XP mode. I inserted a micro-flash drive, through an adapter, from an 8 GB phone. The photos turn out rather weak even in normal lighting conditions and the size is too small. But 78x zoom with stabilization turned on is something!!! If yo"&amp;"u want to see it, visit the official Panasonic website, they zoom in on the moon. At maximum zoom, the object begins to glow slightly in the sun, with a reddish glow around the edge. I didn’t regret that I bought it!!!")</f>
        <v>I bought the camera a month ago, the impressions are good. No glitches were noticed, the video shoots well. It takes excellent photos in daylight. Night photography honestly sucks, after I tried it I’m unlikely to use it again. The built-in memory lasts for 40 minutes in XP mode. I inserted a micro-flash drive, through an adapter, from an 8 GB phone. The photos turn out rather weak even in normal lighting conditions and the size is too small. But 78x zoom with stabilization turned on is something!!! If you want to see it, visit the official Panasonic website, they zoom in on the moon. At maximum zoom, the object begins to glow slightly in the sun, with a reddish glow around the edge. I didn’t regret that I bought it!!!</v>
      </c>
    </row>
    <row r="6248" spans="1:9" x14ac:dyDescent="0.3">
      <c r="A6248" s="1" t="s">
        <v>120</v>
      </c>
      <c r="B6248" s="1" t="s">
        <v>126</v>
      </c>
      <c r="C6248" s="1" t="s">
        <v>122</v>
      </c>
      <c r="D6248" s="1" t="s">
        <v>474</v>
      </c>
      <c r="E6248" s="1" t="s">
        <v>1742</v>
      </c>
      <c r="F6248" s="1" t="s">
        <v>9956</v>
      </c>
      <c r="G6248" s="1" t="s">
        <v>36</v>
      </c>
      <c r="H6248" s="1" t="s">
        <v>29</v>
      </c>
      <c r="I6248" s="1" t="str">
        <f ca="1">IFERROR(__xludf.DUMMYFUNCTION("GOOGLETRANSLATE(F6248, ""auto"", ""en"")
"),"I just bought it yesterday, haven’t fully mastered it yet, but from first impressions I really like it. Cool design, looks very elegant, good picture quality, on terrestrial TV it’s a little worse than I would like, but I think it’s just out of habit. The"&amp;" rest is all good. The remote control is large, now we definitely won’t lose it, the inscriptions are large, and in my opinion there is nothing superfluous on the remote control, a very functional menu - completely Russified. You can figure it out without"&amp;" instructions in principle. We only consulted the instructions once; we didn’t know how to connect the speakers. This is a great model, we recommend it.")</f>
        <v>I just bought it yesterday, haven’t fully mastered it yet, but from first impressions I really like it. Cool design, looks very elegant, good picture quality, on terrestrial TV it’s a little worse than I would like, but I think it’s just out of habit. The rest is all good. The remote control is large, now we definitely won’t lose it, the inscriptions are large, and in my opinion there is nothing superfluous on the remote control, a very functional menu - completely Russified. You can figure it out without instructions in principle. We only consulted the instructions once; we didn’t know how to connect the speakers. This is a great model, we recommend it.</v>
      </c>
    </row>
    <row r="6249" spans="1:9" x14ac:dyDescent="0.3">
      <c r="A6249" s="1" t="s">
        <v>61</v>
      </c>
      <c r="B6249" s="1" t="s">
        <v>224</v>
      </c>
      <c r="C6249" s="1" t="s">
        <v>85</v>
      </c>
      <c r="D6249" s="1" t="s">
        <v>9957</v>
      </c>
      <c r="E6249" s="1" t="s">
        <v>8194</v>
      </c>
      <c r="F6249" s="1" t="s">
        <v>9958</v>
      </c>
      <c r="G6249" s="1" t="s">
        <v>36</v>
      </c>
      <c r="H6249" s="1" t="s">
        <v>29</v>
      </c>
      <c r="I6249" s="1" t="str">
        <f ca="1">IFERROR(__xludf.DUMMYFUNCTION("GOOGLETRANSLATE(F6249, ""auto"", ""en"")
"),"It turned out to be even better than I expected: two apples and a large glass of juice, and the filter does not clog and is easy to rinse. In general, the juicer is excellent, I recommend it to everyone")</f>
        <v>It turned out to be even better than I expected: two apples and a large glass of juice, and the filter does not clog and is easy to rinse. In general, the juicer is excellent, I recommend it to everyone</v>
      </c>
    </row>
    <row r="6250" spans="1:9" x14ac:dyDescent="0.3">
      <c r="A6250" s="1" t="s">
        <v>17</v>
      </c>
      <c r="B6250" s="1" t="s">
        <v>18</v>
      </c>
      <c r="C6250" s="1" t="s">
        <v>151</v>
      </c>
      <c r="D6250" s="1" t="s">
        <v>378</v>
      </c>
      <c r="E6250" s="1" t="s">
        <v>6514</v>
      </c>
      <c r="F6250" s="1" t="s">
        <v>9959</v>
      </c>
      <c r="G6250" s="1" t="s">
        <v>36</v>
      </c>
      <c r="H6250" s="1" t="s">
        <v>29</v>
      </c>
      <c r="I6250" s="1" t="str">
        <f ca="1">IFERROR(__xludf.DUMMYFUNCTION("GOOGLETRANSLATE(F6250, ""auto"", ""en"")
"),"A very good machine, I agree with many that the only “minus” is the very loud spin cycle. And everything is just great, it washes and spins to a clean “5”.")</f>
        <v>A very good machine, I agree with many that the only “minus” is the very loud spin cycle. And everything is just great, it washes and spins to a clean “5”.</v>
      </c>
    </row>
    <row r="6251" spans="1:9" x14ac:dyDescent="0.3">
      <c r="A6251" s="1" t="s">
        <v>811</v>
      </c>
      <c r="B6251" s="1" t="s">
        <v>812</v>
      </c>
      <c r="C6251" s="1" t="s">
        <v>813</v>
      </c>
      <c r="D6251" s="1" t="s">
        <v>81</v>
      </c>
      <c r="E6251" s="1" t="s">
        <v>1709</v>
      </c>
      <c r="F6251" s="1" t="s">
        <v>9960</v>
      </c>
      <c r="G6251" s="1" t="s">
        <v>15</v>
      </c>
      <c r="H6251" s="1" t="s">
        <v>16</v>
      </c>
      <c r="I6251" s="1" t="str">
        <f ca="1">IFERROR(__xludf.DUMMYFUNCTION("GOOGLETRANSLATE(F6251, ""auto"", ""en"")
"),"The tripod is made so-so. I used it several times, everything more or less worked. And then the plastic clips began to fall off one by one. As a result, 3 pieces flew off - I had to rewind them with tape and had to pull them out with force with my hands. "&amp;"It could have been done more reliably")</f>
        <v>The tripod is made so-so. I used it several times, everything more or less worked. And then the plastic clips began to fall off one by one. As a result, 3 pieces flew off - I had to rewind them with tape and had to pull them out with force with my hands. It could have been done more reliably</v>
      </c>
    </row>
    <row r="6252" spans="1:9" x14ac:dyDescent="0.3">
      <c r="A6252" s="1" t="s">
        <v>206</v>
      </c>
      <c r="B6252" s="1" t="s">
        <v>207</v>
      </c>
      <c r="C6252" s="1" t="s">
        <v>152</v>
      </c>
      <c r="D6252" s="1" t="s">
        <v>152</v>
      </c>
      <c r="E6252" s="1" t="s">
        <v>9961</v>
      </c>
      <c r="F6252" s="1" t="s">
        <v>9962</v>
      </c>
      <c r="G6252" s="1" t="s">
        <v>28</v>
      </c>
      <c r="H6252" s="1" t="s">
        <v>29</v>
      </c>
      <c r="I6252" s="1" t="str">
        <f ca="1">IFERROR(__xludf.DUMMYFUNCTION("GOOGLETRANSLATE(F6252, ""auto"", ""en"")
"),"It is better to replace the crossover filter in the form of a capacitor immediately with better ones from the same batch, because On my new ones, initially the difference in sound was noticeable by ear. I put them in place of the standard ones under glass"&amp;". As it turned out, the metal mesh “kills” the sound.  I had to pick it out. Without the mesh they look nicer.")</f>
        <v>It is better to replace the crossover filter in the form of a capacitor immediately with better ones from the same batch, because On my new ones, initially the difference in sound was noticeable by ear. I put them in place of the standard ones under glass. As it turned out, the metal mesh “kills” the sound.  I had to pick it out. Without the mesh they look nicer.</v>
      </c>
    </row>
    <row r="6253" spans="1:9" x14ac:dyDescent="0.3">
      <c r="A6253" s="1" t="s">
        <v>169</v>
      </c>
      <c r="B6253" s="1" t="s">
        <v>170</v>
      </c>
      <c r="C6253" s="1" t="s">
        <v>193</v>
      </c>
      <c r="D6253" s="1" t="s">
        <v>653</v>
      </c>
      <c r="E6253" s="1" t="s">
        <v>569</v>
      </c>
      <c r="F6253" s="1" t="s">
        <v>9963</v>
      </c>
      <c r="G6253" s="1" t="s">
        <v>36</v>
      </c>
      <c r="H6253" s="1" t="s">
        <v>29</v>
      </c>
      <c r="I6253" s="1" t="str">
        <f ca="1">IFERROR(__xludf.DUMMYFUNCTION("GOOGLETRANSLATE(F6253, ""auto"", ""en"")
"),"Excellent headphones for this price, I personally am very pleased. The sound is good, there is no wheezing at maximum volume, the sounds of instruments are conveyed perfectly. Bass can be heard well. The headphones are a joy.")</f>
        <v>Excellent headphones for this price, I personally am very pleased. The sound is good, there is no wheezing at maximum volume, the sounds of instruments are conveyed perfectly. Bass can be heard well. The headphones are a joy.</v>
      </c>
    </row>
    <row r="6254" spans="1:9" x14ac:dyDescent="0.3">
      <c r="A6254" s="1" t="s">
        <v>17</v>
      </c>
      <c r="B6254" s="1" t="s">
        <v>18</v>
      </c>
      <c r="C6254" s="1" t="s">
        <v>63</v>
      </c>
      <c r="D6254" s="1" t="s">
        <v>1917</v>
      </c>
      <c r="E6254" s="1" t="s">
        <v>2271</v>
      </c>
      <c r="F6254" s="1" t="s">
        <v>9964</v>
      </c>
      <c r="G6254" s="1" t="s">
        <v>15</v>
      </c>
      <c r="H6254" s="1" t="s">
        <v>16</v>
      </c>
      <c r="I6254" s="1" t="str">
        <f ca="1">IFERROR(__xludf.DUMMYFUNCTION("GOOGLETRANSLATE(F6254, ""auto"", ""en"")
"),"I bought it a week ago, after installation the pump broke and water started leaking. The warranty guy came and said that this year he replaced 6 pumps on this model. Factory defect!")</f>
        <v>I bought it a week ago, after installation the pump broke and water started leaking. The warranty guy came and said that this year he replaced 6 pumps on this model. Factory defect!</v>
      </c>
    </row>
    <row r="6255" spans="1:9" x14ac:dyDescent="0.3">
      <c r="A6255" s="1" t="s">
        <v>9</v>
      </c>
      <c r="B6255" s="1" t="s">
        <v>10</v>
      </c>
      <c r="C6255" s="1" t="s">
        <v>407</v>
      </c>
      <c r="D6255" s="1" t="s">
        <v>1483</v>
      </c>
      <c r="E6255" s="1" t="s">
        <v>9965</v>
      </c>
      <c r="F6255" s="1" t="s">
        <v>9966</v>
      </c>
      <c r="G6255" s="1" t="s">
        <v>36</v>
      </c>
      <c r="H6255" s="1" t="s">
        <v>29</v>
      </c>
      <c r="I6255" s="1" t="str">
        <f ca="1">IFERROR(__xludf.DUMMYFUNCTION("GOOGLETRANSLATE(F6255, ""auto"", ""en"")
"),"Friends advised me to buy exactly this one; they have had it for several years. Very pleased! The hood has 4 speeds, but I mainly use 2nd and 3rd - it’s quite enough. It is not noisy. When the old hood was turned on, the cat ran away from the kitchen!  I "&amp;"also like that it’s made of glass; it’s much easier to clean (unlike stainless steel). Women will understand. Overall great!! It's completely worth the price, I recommend it.")</f>
        <v>Friends advised me to buy exactly this one; they have had it for several years. Very pleased! The hood has 4 speeds, but I mainly use 2nd and 3rd - it’s quite enough. It is not noisy. When the old hood was turned on, the cat ran away from the kitchen!  I also like that it’s made of glass; it’s much easier to clean (unlike stainless steel). Women will understand. Overall great!! It's completely worth the price, I recommend it.</v>
      </c>
    </row>
    <row r="6256" spans="1:9" x14ac:dyDescent="0.3">
      <c r="A6256" s="1" t="s">
        <v>169</v>
      </c>
      <c r="B6256" s="1" t="s">
        <v>170</v>
      </c>
      <c r="C6256" s="1" t="s">
        <v>69</v>
      </c>
      <c r="D6256" s="1" t="s">
        <v>102</v>
      </c>
      <c r="E6256" s="1" t="s">
        <v>173</v>
      </c>
      <c r="F6256" s="1" t="s">
        <v>9967</v>
      </c>
      <c r="G6256" s="1" t="s">
        <v>36</v>
      </c>
      <c r="H6256" s="1" t="s">
        <v>29</v>
      </c>
      <c r="I6256" s="1" t="str">
        <f ca="1">IFERROR(__xludf.DUMMYFUNCTION("GOOGLETRANSLATE(F6256, ""auto"", ""en"")
"),"The ears are excellent, the bass is good, the cord is simply eternal, whatever I did with it, it still lives.  6 meters of cable is hyper-convenient. For example, taking care of my neighbors’ ears, I play the guitar with headphones, and such a long cord a"&amp;"llows me to play quietly, without even noticing that you are wearing headphones. Class!  In general, I recommend it to anyone who needs headphones with a long cable.  And who doesn't need it - Philips SHP2000.  Today I bought them for myself so that I don"&amp;"’t have to disconnect the SHP2500 from the amp. :)")</f>
        <v>The ears are excellent, the bass is good, the cord is simply eternal, whatever I did with it, it still lives.  6 meters of cable is hyper-convenient. For example, taking care of my neighbors’ ears, I play the guitar with headphones, and such a long cord allows me to play quietly, without even noticing that you are wearing headphones. Class!  In general, I recommend it to anyone who needs headphones with a long cable.  And who doesn't need it - Philips SHP2000.  Today I bought them for myself so that I don’t have to disconnect the SHP2500 from the amp. :)</v>
      </c>
    </row>
    <row r="6257" spans="1:9" x14ac:dyDescent="0.3">
      <c r="A6257" s="1" t="s">
        <v>30</v>
      </c>
      <c r="B6257" s="1" t="s">
        <v>50</v>
      </c>
      <c r="C6257" s="1" t="s">
        <v>51</v>
      </c>
      <c r="D6257" s="1" t="s">
        <v>52</v>
      </c>
      <c r="E6257" s="1" t="s">
        <v>1376</v>
      </c>
      <c r="F6257" s="1" t="s">
        <v>9968</v>
      </c>
      <c r="G6257" s="1" t="s">
        <v>28</v>
      </c>
      <c r="H6257" s="1" t="s">
        <v>29</v>
      </c>
      <c r="I6257" s="1" t="str">
        <f ca="1">IFERROR(__xludf.DUMMYFUNCTION("GOOGLETRANSLATE(F6257, ""auto"", ""en"")
"),"I bought this beech yesterday. Everyone is happy, especially the design is nice and I liked the touch control buttons. But there are also disadvantages. The sound from the speakers is very quiet, the display is somewhat faded and the cooler is loud. It is"&amp;" noticeably noisy. Before this, a month ago I bought an ASUS K61 cooler, the cooler was not audible at all, the volume was 2 times higher than that of the PB LJ67 and the display was an order of magnitude brighter. But overall, of course, it’s a fairly po"&amp;"werful beech.")</f>
        <v>I bought this beech yesterday. Everyone is happy, especially the design is nice and I liked the touch control buttons. But there are also disadvantages. The sound from the speakers is very quiet, the display is somewhat faded and the cooler is loud. It is noticeably noisy. Before this, a month ago I bought an ASUS K61 cooler, the cooler was not audible at all, the volume was 2 times higher than that of the PB LJ67 and the display was an order of magnitude brighter. But overall, of course, it’s a fairly powerful beech.</v>
      </c>
    </row>
    <row r="6258" spans="1:9" x14ac:dyDescent="0.3">
      <c r="A6258" s="1" t="s">
        <v>206</v>
      </c>
      <c r="B6258" s="1" t="s">
        <v>1349</v>
      </c>
      <c r="C6258" s="1" t="s">
        <v>262</v>
      </c>
      <c r="D6258" s="1" t="s">
        <v>9969</v>
      </c>
      <c r="E6258" s="1" t="s">
        <v>3769</v>
      </c>
      <c r="F6258" s="1" t="s">
        <v>9970</v>
      </c>
      <c r="G6258" s="1" t="s">
        <v>36</v>
      </c>
      <c r="H6258" s="1" t="s">
        <v>29</v>
      </c>
      <c r="I6258" s="1" t="str">
        <f ca="1">IFERROR(__xludf.DUMMYFUNCTION("GOOGLETRANSLATE(F6258, ""auto"", ""en"")
"),"I picked it up a couple of weeks ago and it doesn’t glitch consistently. If it takes a long time to open a movie on a flash drive, it doesn’t work well....")</f>
        <v>I picked it up a couple of weeks ago and it doesn’t glitch consistently. If it takes a long time to open a movie on a flash drive, it doesn’t work well....</v>
      </c>
    </row>
    <row r="6259" spans="1:9" x14ac:dyDescent="0.3">
      <c r="A6259" s="1" t="s">
        <v>61</v>
      </c>
      <c r="B6259" s="1" t="s">
        <v>726</v>
      </c>
      <c r="C6259" s="1" t="s">
        <v>122</v>
      </c>
      <c r="D6259" s="1" t="s">
        <v>3456</v>
      </c>
      <c r="E6259" s="1" t="s">
        <v>26</v>
      </c>
      <c r="F6259" s="1" t="s">
        <v>9971</v>
      </c>
      <c r="G6259" s="1" t="s">
        <v>36</v>
      </c>
      <c r="H6259" s="1" t="s">
        <v>29</v>
      </c>
      <c r="I6259" s="1" t="str">
        <f ca="1">IFERROR(__xludf.DUMMYFUNCTION("GOOGLETRANSLATE(F6259, ""auto"", ""en"")
"),"The stove is super, I recommend it to everyone.  Bakes great!!!  Economical compared to other stoves.  No shortcomings have been found yet.")</f>
        <v>The stove is super, I recommend it to everyone.  Bakes great!!!  Economical compared to other stoves.  No shortcomings have been found yet.</v>
      </c>
    </row>
    <row r="6260" spans="1:9" x14ac:dyDescent="0.3">
      <c r="A6260" s="1" t="s">
        <v>149</v>
      </c>
      <c r="B6260" s="1" t="s">
        <v>576</v>
      </c>
      <c r="C6260" s="1" t="s">
        <v>151</v>
      </c>
      <c r="D6260" s="1" t="s">
        <v>592</v>
      </c>
      <c r="E6260" s="1" t="s">
        <v>2525</v>
      </c>
      <c r="F6260" s="1" t="s">
        <v>9972</v>
      </c>
      <c r="G6260" s="1" t="s">
        <v>36</v>
      </c>
      <c r="H6260" s="1" t="s">
        <v>29</v>
      </c>
      <c r="I6260" s="1" t="str">
        <f ca="1">IFERROR(__xludf.DUMMYFUNCTION("GOOGLETRANSLATE(F6260, ""auto"", ""en"")
"),"Not a vacuum cleaner, but a beast. At first we bought a cyclone-type vacuum cleaner (without a dust collector), but it turned out to be defective. When they exchanged it for another, they explained to us that over time, such vacuum cleaners lose power. An"&amp;"d we decided to buy this vacuum cleaner and a filter for it, which is inserted into the pipe, it turned out to be a cool thing, large debris in the glass, and only dust gets into the bag. We are very happy. But there is still one drawback, it is not very "&amp;"stable, often turns over.")</f>
        <v>Not a vacuum cleaner, but a beast. At first we bought a cyclone-type vacuum cleaner (without a dust collector), but it turned out to be defective. When they exchanged it for another, they explained to us that over time, such vacuum cleaners lose power. And we decided to buy this vacuum cleaner and a filter for it, which is inserted into the pipe, it turned out to be a cool thing, large debris in the glass, and only dust gets into the bag. We are very happy. But there is still one drawback, it is not very stable, often turns over.</v>
      </c>
    </row>
    <row r="6261" spans="1:9" x14ac:dyDescent="0.3">
      <c r="A6261" s="1" t="s">
        <v>120</v>
      </c>
      <c r="B6261" s="1" t="s">
        <v>196</v>
      </c>
      <c r="C6261" s="1" t="s">
        <v>80</v>
      </c>
      <c r="D6261" s="1" t="s">
        <v>9973</v>
      </c>
      <c r="E6261" s="1" t="s">
        <v>2206</v>
      </c>
      <c r="F6261" s="1" t="s">
        <v>9974</v>
      </c>
      <c r="G6261" s="1" t="s">
        <v>36</v>
      </c>
      <c r="H6261" s="1" t="s">
        <v>29</v>
      </c>
      <c r="I6261" s="1" t="str">
        <f ca="1">IFERROR(__xludf.DUMMYFUNCTION("GOOGLETRANSLATE(F6261, ""auto"", ""en"")
"),"I BOUGHT this TV for myself, only 32 inches. Everything is fine, the quality is just 5. I tried USB, everything is great, it even reads mkv. You don't need a DVD player or any BD cinemas. Just download any movie to your flash memory and watch it in beauti"&amp;"ful quality.")</f>
        <v>I BOUGHT this TV for myself, only 32 inches. Everything is fine, the quality is just 5. I tried USB, everything is great, it even reads mkv. You don't need a DVD player or any BD cinemas. Just download any movie to your flash memory and watch it in beautiful quality.</v>
      </c>
    </row>
    <row r="6262" spans="1:9" x14ac:dyDescent="0.3">
      <c r="A6262" s="1" t="s">
        <v>149</v>
      </c>
      <c r="B6262" s="1" t="s">
        <v>423</v>
      </c>
      <c r="C6262" s="1" t="s">
        <v>531</v>
      </c>
      <c r="D6262" s="1" t="s">
        <v>52</v>
      </c>
      <c r="E6262" s="1" t="s">
        <v>9945</v>
      </c>
      <c r="F6262" s="1" t="s">
        <v>9975</v>
      </c>
      <c r="G6262" s="1" t="s">
        <v>28</v>
      </c>
      <c r="H6262" s="1" t="s">
        <v>29</v>
      </c>
      <c r="I6262" s="1" t="str">
        <f ca="1">IFERROR(__xludf.DUMMYFUNCTION("GOOGLETRANSLATE(F6262, ""auto"", ""en"")
"),"The vacuum cleaner is good, but there are disadvantages compared to other cleaning products. The container for clean water is small, you have to refill it 2-3 times during the cleaning process. It is inconvenient to use as a dry vacuum cleaner; for this I"&amp;" use a regular bagged vacuum cleaner with HEPA13 on the exhaust.  After 5 years the engine died, I won’t restore it. I will buy a detergent from another company with a 4 liter water capacity.")</f>
        <v>The vacuum cleaner is good, but there are disadvantages compared to other cleaning products. The container for clean water is small, you have to refill it 2-3 times during the cleaning process. It is inconvenient to use as a dry vacuum cleaner; for this I use a regular bagged vacuum cleaner with HEPA13 on the exhaust.  After 5 years the engine died, I won’t restore it. I will buy a detergent from another company with a 4 liter water capacity.</v>
      </c>
    </row>
    <row r="6263" spans="1:9" x14ac:dyDescent="0.3">
      <c r="A6263" s="1" t="s">
        <v>17</v>
      </c>
      <c r="B6263" s="1" t="s">
        <v>18</v>
      </c>
      <c r="C6263" s="1" t="s">
        <v>138</v>
      </c>
      <c r="D6263" s="1" t="s">
        <v>152</v>
      </c>
      <c r="E6263" s="1" t="s">
        <v>3730</v>
      </c>
      <c r="F6263" s="1" t="s">
        <v>9976</v>
      </c>
      <c r="G6263" s="1" t="s">
        <v>49</v>
      </c>
      <c r="H6263" s="1" t="s">
        <v>16</v>
      </c>
      <c r="I6263" s="1" t="str">
        <f ca="1">IFERROR(__xludf.DUMMYFUNCTION("GOOGLETRANSLATE(F6263, ""auto"", ""en"")
"),"Please tell me what to do? We brought the washing machine home, removed the transportation fastenings, connected the water, etc. After reading all the recommendations, we make the first start and O_o The machine turns two revolutions every 4 minutes. with"&amp;"in 15 minutes. and drains water without spinning! Next, set the rinse program to wash off the foam and O_o the same thing! We try to load laundry, but on the first start we load a little and oh horror!!! O_o the car begins to move around the house, like i"&amp;"n cartoons, and it’s as if someone inside it is knocking with a hammer! One could not hold her! What to do?")</f>
        <v>Please tell me what to do? We brought the washing machine home, removed the transportation fastenings, connected the water, etc. After reading all the recommendations, we make the first start and O_o The machine turns two revolutions every 4 minutes. within 15 minutes. and drains water without spinning! Next, set the rinse program to wash off the foam and O_o the same thing! We try to load laundry, but on the first start we load a little and oh horror!!! O_o the car begins to move around the house, like in cartoons, and it’s as if someone inside it is knocking with a hammer! One could not hold her! What to do?</v>
      </c>
    </row>
    <row r="6264" spans="1:9" x14ac:dyDescent="0.3">
      <c r="A6264" s="1" t="s">
        <v>211</v>
      </c>
      <c r="B6264" s="1" t="s">
        <v>410</v>
      </c>
      <c r="C6264" s="1" t="s">
        <v>57</v>
      </c>
      <c r="D6264" s="1" t="s">
        <v>1152</v>
      </c>
      <c r="E6264" s="1" t="s">
        <v>128</v>
      </c>
      <c r="F6264" s="1" t="s">
        <v>9977</v>
      </c>
      <c r="G6264" s="1" t="s">
        <v>49</v>
      </c>
      <c r="H6264" s="1" t="s">
        <v>16</v>
      </c>
      <c r="I6264" s="1" t="str">
        <f ca="1">IFERROR(__xludf.DUMMYFUNCTION("GOOGLETRANSLATE(F6264, ""auto"", ""en"")
"),"Literally the first couple of months it worked more or less normally. Then 1 knife immediately broke, the other two began to quickly become dull (and the bristles are not very hard). The battery, when fully charged, was barely enough for 2 shaves. As a re"&amp;"sult: after about six months it simply stopped working. Treated her well, didn’t drop her, etc. In general, the rating is ""1"", I could have given it ""0"" - I would have given it ""0"".")</f>
        <v>Literally the first couple of months it worked more or less normally. Then 1 knife immediately broke, the other two began to quickly become dull (and the bristles are not very hard). The battery, when fully charged, was barely enough for 2 shaves. As a result: after about six months it simply stopped working. Treated her well, didn’t drop her, etc. In general, the rating is "1", I could have given it "0" - I would have given it "0".</v>
      </c>
    </row>
    <row r="6265" spans="1:9" x14ac:dyDescent="0.3">
      <c r="A6265" s="1" t="s">
        <v>61</v>
      </c>
      <c r="B6265" s="1" t="s">
        <v>977</v>
      </c>
      <c r="C6265" s="1" t="s">
        <v>101</v>
      </c>
      <c r="D6265" s="1" t="s">
        <v>247</v>
      </c>
      <c r="E6265" s="1" t="s">
        <v>4710</v>
      </c>
      <c r="F6265" s="1" t="s">
        <v>9978</v>
      </c>
      <c r="G6265" s="1" t="s">
        <v>36</v>
      </c>
      <c r="H6265" s="1" t="s">
        <v>29</v>
      </c>
      <c r="I6265" s="1" t="str">
        <f ca="1">IFERROR(__xludf.DUMMYFUNCTION("GOOGLETRANSLATE(F6265, ""auto"", ""en"")
"),"And I'm fine. I've been using it for two years now and it continues to work great! For such a price - excellent quality.")</f>
        <v>And I'm fine. I've been using it for two years now and it continues to work great! For such a price - excellent quality.</v>
      </c>
    </row>
    <row r="6266" spans="1:9" x14ac:dyDescent="0.3">
      <c r="A6266" s="1" t="s">
        <v>624</v>
      </c>
      <c r="B6266" s="1" t="s">
        <v>625</v>
      </c>
      <c r="C6266" s="1" t="s">
        <v>479</v>
      </c>
      <c r="D6266" s="1" t="s">
        <v>8758</v>
      </c>
      <c r="E6266" s="1" t="s">
        <v>1657</v>
      </c>
      <c r="F6266" s="1" t="s">
        <v>9979</v>
      </c>
      <c r="G6266" s="1" t="s">
        <v>36</v>
      </c>
      <c r="H6266" s="1" t="s">
        <v>29</v>
      </c>
      <c r="I6266" s="1" t="str">
        <f ca="1">IFERROR(__xludf.DUMMYFUNCTION("GOOGLETRANSLATE(F6266, ""auto"", ""en"")
"),"In general, a game for those who like to wander, search, think. Yes, the plot is non-linear, which is the whole charm of the game. Mesmerizing gameplay. The game is cool, I recommend it to everyone. I bought Sonya because of it and a couple of other games"&amp;". I don’t regret the money spent at all))))))))))")</f>
        <v>In general, a game for those who like to wander, search, think. Yes, the plot is non-linear, which is the whole charm of the game. Mesmerizing gameplay. The game is cool, I recommend it to everyone. I bought Sonya because of it and a couple of other games. I don’t regret the money spent at all))))))))))</v>
      </c>
    </row>
    <row r="6267" spans="1:9" x14ac:dyDescent="0.3">
      <c r="A6267" s="1" t="s">
        <v>78</v>
      </c>
      <c r="B6267" s="1" t="s">
        <v>1163</v>
      </c>
      <c r="C6267" s="1" t="s">
        <v>1224</v>
      </c>
      <c r="D6267" s="1" t="s">
        <v>9980</v>
      </c>
      <c r="E6267" s="1" t="s">
        <v>631</v>
      </c>
      <c r="F6267" s="1" t="s">
        <v>9981</v>
      </c>
      <c r="G6267" s="1" t="s">
        <v>28</v>
      </c>
      <c r="H6267" s="1" t="s">
        <v>29</v>
      </c>
      <c r="I6267" s="1" t="str">
        <f ca="1">IFERROR(__xludf.DUMMYFUNCTION("GOOGLETRANSLATE(F6267, ""auto"", ""en"")
"),"Good microwave. Take it.")</f>
        <v>Good microwave. Take it.</v>
      </c>
    </row>
    <row r="6268" spans="1:9" x14ac:dyDescent="0.3">
      <c r="A6268" s="1" t="s">
        <v>17</v>
      </c>
      <c r="B6268" s="1" t="s">
        <v>18</v>
      </c>
      <c r="C6268" s="1" t="s">
        <v>80</v>
      </c>
      <c r="D6268" s="1" t="s">
        <v>1431</v>
      </c>
      <c r="E6268" s="1" t="s">
        <v>1533</v>
      </c>
      <c r="F6268" s="1" t="s">
        <v>9982</v>
      </c>
      <c r="G6268" s="1" t="s">
        <v>36</v>
      </c>
      <c r="H6268" s="1" t="s">
        <v>29</v>
      </c>
      <c r="I6268" s="1" t="str">
        <f ca="1">IFERROR(__xludf.DUMMYFUNCTION("GOOGLETRANSLATE(F6268, ""auto"", ""en"")
"),"Works as it should")</f>
        <v>Works as it should</v>
      </c>
    </row>
    <row r="6269" spans="1:9" x14ac:dyDescent="0.3">
      <c r="A6269" s="1" t="s">
        <v>30</v>
      </c>
      <c r="B6269" s="1" t="s">
        <v>31</v>
      </c>
      <c r="C6269" s="1" t="s">
        <v>32</v>
      </c>
      <c r="D6269" s="1" t="s">
        <v>8758</v>
      </c>
      <c r="E6269" s="1" t="s">
        <v>491</v>
      </c>
      <c r="F6269" s="1" t="s">
        <v>9983</v>
      </c>
      <c r="G6269" s="1" t="s">
        <v>28</v>
      </c>
      <c r="H6269" s="1" t="s">
        <v>29</v>
      </c>
      <c r="I6269" s="1" t="str">
        <f ca="1">IFERROR(__xludf.DUMMYFUNCTION("GOOGLETRANSLATE(F6269, ""auto"", ""en"")
"),"Good for everyone! Price, filling! One thing is bad: the video card was clearly not installed from the shoulders of growing hands! overheats instantly: I play medieval2 total war - after 10-15 minutes the computer reboots or throws me out of the game! Cou"&amp;"ld you at least place the video card with the cooler facing down so that it doesn't blow into the metal roof? Maybe someone knows how to solve this problem, what kind of cooler can I add there!???")</f>
        <v>Good for everyone! Price, filling! One thing is bad: the video card was clearly not installed from the shoulders of growing hands! overheats instantly: I play medieval2 total war - after 10-15 minutes the computer reboots or throws me out of the game! Could you at least place the video card with the cooler facing down so that it doesn't blow into the metal roof? Maybe someone knows how to solve this problem, what kind of cooler can I add there!???</v>
      </c>
    </row>
    <row r="6270" spans="1:9" x14ac:dyDescent="0.3">
      <c r="A6270" s="1" t="s">
        <v>211</v>
      </c>
      <c r="B6270" s="1" t="s">
        <v>212</v>
      </c>
      <c r="C6270" s="1" t="s">
        <v>213</v>
      </c>
      <c r="D6270" s="1" t="s">
        <v>1771</v>
      </c>
      <c r="E6270" s="1" t="s">
        <v>5241</v>
      </c>
      <c r="F6270" s="1" t="s">
        <v>9984</v>
      </c>
      <c r="G6270" s="1" t="s">
        <v>36</v>
      </c>
      <c r="H6270" s="1" t="s">
        <v>29</v>
      </c>
      <c r="I6270" s="1" t="str">
        <f ca="1">IFERROR(__xludf.DUMMYFUNCTION("GOOGLETRANSLATE(F6270, ""auto"", ""en"")
"),"I’ve been using this hairdryer for about 4 years. It works great. My husband gave it to me on March 8th. I was expecting just a hairdryer as a gift, but here was a hairdryer brush. At first, I didn’t know how to use it, but I quickly figured it out. I’m v"&amp;"ery pleased. I was surprised by the quality of the styling, after it my hair was smooth and beautiful. I found a container for water at the tip, tried styling with water and was also happy. First I dry my hair with a large nozzle, getting volume, then I a"&amp;"djust the ends with the other two attachments. I highly recommend it. Good quality item.")</f>
        <v>I’ve been using this hairdryer for about 4 years. It works great. My husband gave it to me on March 8th. I was expecting just a hairdryer as a gift, but here was a hairdryer brush. At first, I didn’t know how to use it, but I quickly figured it out. I’m very pleased. I was surprised by the quality of the styling, after it my hair was smooth and beautiful. I found a container for water at the tip, tried styling with water and was also happy. First I dry my hair with a large nozzle, getting volume, then I adjust the ends with the other two attachments. I highly recommend it. Good quality item.</v>
      </c>
    </row>
    <row r="6271" spans="1:9" x14ac:dyDescent="0.3">
      <c r="A6271" s="1" t="s">
        <v>30</v>
      </c>
      <c r="B6271" s="1" t="s">
        <v>50</v>
      </c>
      <c r="C6271" s="1" t="s">
        <v>51</v>
      </c>
      <c r="D6271" s="1" t="s">
        <v>9985</v>
      </c>
      <c r="E6271" s="1" t="s">
        <v>1228</v>
      </c>
      <c r="F6271" s="1" t="s">
        <v>9986</v>
      </c>
      <c r="G6271" s="1" t="s">
        <v>36</v>
      </c>
      <c r="H6271" s="1" t="s">
        <v>29</v>
      </c>
      <c r="I6271" s="1" t="str">
        <f ca="1">IFERROR(__xludf.DUMMYFUNCTION("GOOGLETRANSLATE(F6271, ""auto"", ""en"")
"),"I bought this laptop at the end of June 2009. I am still impressed. An excellent machine, it thinks quickly, the graphics are impeccable, no glitches. The disadvantages are very minor, one might say they are not noticeable at all: the socket quickly becom"&amp;"es stained with handprints, there is no modem and the battery does not work for long. Everything else is excellent.")</f>
        <v>I bought this laptop at the end of June 2009. I am still impressed. An excellent machine, it thinks quickly, the graphics are impeccable, no glitches. The disadvantages are very minor, one might say they are not noticeable at all: the socket quickly becomes stained with handprints, there is no modem and the battery does not work for long. Everything else is excellent.</v>
      </c>
    </row>
    <row r="6272" spans="1:9" x14ac:dyDescent="0.3">
      <c r="A6272" s="1" t="s">
        <v>732</v>
      </c>
      <c r="B6272" s="1" t="s">
        <v>733</v>
      </c>
      <c r="C6272" s="1" t="s">
        <v>1680</v>
      </c>
      <c r="D6272" s="1" t="s">
        <v>228</v>
      </c>
      <c r="E6272" s="1" t="s">
        <v>1401</v>
      </c>
      <c r="F6272" s="1" t="s">
        <v>9987</v>
      </c>
      <c r="G6272" s="1" t="s">
        <v>36</v>
      </c>
      <c r="H6272" s="1" t="s">
        <v>29</v>
      </c>
      <c r="I6272" s="1" t="str">
        <f ca="1">IFERROR(__xludf.DUMMYFUNCTION("GOOGLETRANSLATE(F6272, ""auto"", ""en"")
"),"I bought this monitor a week ago, I really like it, the contrast is not for everyone, for some friends it’s hard to tolerate, for others it’s normal, I personally find it pleasant and comfortable to sit behind it. For such a price, a very good product, fr"&amp;"om a very good manufacturer, I advise them to work for a long time and with high quality!")</f>
        <v>I bought this monitor a week ago, I really like it, the contrast is not for everyone, for some friends it’s hard to tolerate, for others it’s normal, I personally find it pleasant and comfortable to sit behind it. For such a price, a very good product, from a very good manufacturer, I advise them to work for a long time and with high quality!</v>
      </c>
    </row>
    <row r="6273" spans="1:9" x14ac:dyDescent="0.3">
      <c r="A6273" s="1" t="s">
        <v>361</v>
      </c>
      <c r="B6273" s="1" t="s">
        <v>462</v>
      </c>
      <c r="C6273" s="1" t="s">
        <v>463</v>
      </c>
      <c r="D6273" s="1" t="s">
        <v>12</v>
      </c>
      <c r="E6273" s="1" t="s">
        <v>9988</v>
      </c>
      <c r="F6273" s="1" t="s">
        <v>9989</v>
      </c>
      <c r="G6273" s="1" t="s">
        <v>36</v>
      </c>
      <c r="H6273" s="1" t="s">
        <v>29</v>
      </c>
      <c r="I6273" s="1" t="str">
        <f ca="1">IFERROR(__xludf.DUMMYFUNCTION("GOOGLETRANSLATE(F6273, ""auto"", ""en"")
"),"The biggest plus is the volume of filtered water. Before that there was a Barrier Extra Indigo filter, cat. took it to work. It’s just right for two tea parties a day, but at home the Grand is a lifesaver. You can find fault, but everything suits me. Espe"&amp;"cially for that kind of money.")</f>
        <v>The biggest plus is the volume of filtered water. Before that there was a Barrier Extra Indigo filter, cat. took it to work. It’s just right for two tea parties a day, but at home the Grand is a lifesaver. You can find fault, but everything suits me. Especially for that kind of money.</v>
      </c>
    </row>
    <row r="6274" spans="1:9" x14ac:dyDescent="0.3">
      <c r="A6274" s="1" t="s">
        <v>211</v>
      </c>
      <c r="B6274" s="1" t="s">
        <v>212</v>
      </c>
      <c r="C6274" s="1" t="s">
        <v>294</v>
      </c>
      <c r="D6274" s="1" t="s">
        <v>9990</v>
      </c>
      <c r="E6274" s="1" t="s">
        <v>229</v>
      </c>
      <c r="F6274" s="1" t="s">
        <v>9991</v>
      </c>
      <c r="G6274" s="1" t="s">
        <v>28</v>
      </c>
      <c r="H6274" s="1" t="s">
        <v>29</v>
      </c>
      <c r="I6274" s="1" t="str">
        <f ca="1">IFERROR(__xludf.DUMMYFUNCTION("GOOGLETRANSLATE(F6274, ""auto"", ""en"")
"),"The straightener is simply a miracle! Straightens perfectly!")</f>
        <v>The straightener is simply a miracle! Straightens perfectly!</v>
      </c>
    </row>
    <row r="6275" spans="1:9" x14ac:dyDescent="0.3">
      <c r="A6275" s="1" t="s">
        <v>149</v>
      </c>
      <c r="B6275" s="1" t="s">
        <v>576</v>
      </c>
      <c r="C6275" s="1" t="s">
        <v>1835</v>
      </c>
      <c r="D6275" s="1" t="s">
        <v>1836</v>
      </c>
      <c r="E6275" s="1" t="s">
        <v>8970</v>
      </c>
      <c r="F6275" s="1" t="s">
        <v>9992</v>
      </c>
      <c r="G6275" s="1" t="s">
        <v>36</v>
      </c>
      <c r="H6275" s="1" t="s">
        <v>29</v>
      </c>
      <c r="I6275" s="1" t="str">
        <f ca="1">IFERROR(__xludf.DUMMYFUNCTION("GOOGLETRANSLATE(F6275, ""auto"", ""en"")
"),"We have been using the vacuum cleaner both in the tail and in the mane for more than 2 years - I have no complaints. From 10% power to 100 - adjustment is ok! Sucks specifically. Knows how to be quiet, I have a child - that’s important. And the suction po"&amp;"wer is excellent, even if you tear off linoleum. And this is the most important indicator IMHO. Cooler - industrial. I bought something else instead - pants full of joy. Z.Y. Galina, you apparently got into trouble. Or the party is like this... Well, they"&amp;" would be ashamed about the bags, they are from Moscow, there are originals and compatible ones everywhere, why do that ;)")</f>
        <v>We have been using the vacuum cleaner both in the tail and in the mane for more than 2 years - I have no complaints. From 10% power to 100 - adjustment is ok! Sucks specifically. Knows how to be quiet, I have a child - that’s important. And the suction power is excellent, even if you tear off linoleum. And this is the most important indicator IMHO. Cooler - industrial. I bought something else instead - pants full of joy. Z.Y. Galina, you apparently got into trouble. Or the party is like this... Well, they would be ashamed about the bags, they are from Moscow, there are originals and compatible ones everywhere, why do that ;)</v>
      </c>
    </row>
    <row r="6276" spans="1:9" x14ac:dyDescent="0.3">
      <c r="A6276" s="1" t="s">
        <v>67</v>
      </c>
      <c r="B6276" s="1" t="s">
        <v>68</v>
      </c>
      <c r="C6276" s="1" t="s">
        <v>69</v>
      </c>
      <c r="D6276" s="1" t="s">
        <v>139</v>
      </c>
      <c r="E6276" s="1" t="s">
        <v>7300</v>
      </c>
      <c r="F6276" s="1" t="s">
        <v>9993</v>
      </c>
      <c r="G6276" s="1" t="s">
        <v>36</v>
      </c>
      <c r="H6276" s="1" t="s">
        <v>29</v>
      </c>
      <c r="I6276" s="1" t="str">
        <f ca="1">IFERROR(__xludf.DUMMYFUNCTION("GOOGLETRANSLATE(F6276, ""auto"", ""en"")
"),"Good iron. It copes well with all temperature conditions, while water from the iron does not get on clothes. Good steam boost. Not heavy enough, long wire and most importantly good sole. The sole is made of composite materials using technical silicone, wh"&amp;"ich gives the sole good strength and good non-stick properties. If you drop the iron, nothing will happen to the sole; if something gets on the sole, it will not burn. You can safely buy them, they are assembled in Malaysia, the build quality and the iron"&amp;" itself are satisfied.")</f>
        <v>Good iron. It copes well with all temperature conditions, while water from the iron does not get on clothes. Good steam boost. Not heavy enough, long wire and most importantly good sole. The sole is made of composite materials using technical silicone, which gives the sole good strength and good non-stick properties. If you drop the iron, nothing will happen to the sole; if something gets on the sole, it will not burn. You can safely buy them, they are assembled in Malaysia, the build quality and the iron itself are satisfied.</v>
      </c>
    </row>
    <row r="6277" spans="1:9" x14ac:dyDescent="0.3">
      <c r="A6277" s="1" t="s">
        <v>37</v>
      </c>
      <c r="B6277" s="1" t="s">
        <v>38</v>
      </c>
      <c r="C6277" s="1" t="s">
        <v>39</v>
      </c>
      <c r="D6277" s="1" t="s">
        <v>9994</v>
      </c>
      <c r="E6277" s="1" t="s">
        <v>9995</v>
      </c>
      <c r="F6277" s="1" t="s">
        <v>9996</v>
      </c>
      <c r="G6277" s="1" t="s">
        <v>28</v>
      </c>
      <c r="H6277" s="1" t="s">
        <v>29</v>
      </c>
      <c r="I6277" s="1" t="str">
        <f ca="1">IFERROR(__xludf.DUMMYFUNCTION("GOOGLETRANSLATE(F6277, ""auto"", ""en"")
"),"The phone is good, I bought it today, I really like it, the only thing I can’t understand is anything about gesture control! The seller was not aware of this function at all)))")</f>
        <v>The phone is good, I bought it today, I really like it, the only thing I can’t understand is anything about gesture control! The seller was not aware of this function at all)))</v>
      </c>
    </row>
    <row r="6278" spans="1:9" x14ac:dyDescent="0.3">
      <c r="A6278" s="1" t="s">
        <v>61</v>
      </c>
      <c r="B6278" s="1" t="s">
        <v>318</v>
      </c>
      <c r="C6278" s="1" t="s">
        <v>57</v>
      </c>
      <c r="D6278" s="1" t="s">
        <v>658</v>
      </c>
      <c r="E6278" s="1" t="s">
        <v>3343</v>
      </c>
      <c r="F6278" s="1" t="s">
        <v>9997</v>
      </c>
      <c r="G6278" s="1" t="s">
        <v>36</v>
      </c>
      <c r="H6278" s="1" t="s">
        <v>29</v>
      </c>
      <c r="I6278" s="1" t="str">
        <f ca="1">IFERROR(__xludf.DUMMYFUNCTION("GOOGLETRANSLATE(F6278, ""auto"", ""en"")
"),"A cool kettle, especially for those with small children. There is a safety button to prevent boiling water from spilling. Also a great design that will fit well in any kitchen. There are no foreign odors.")</f>
        <v>A cool kettle, especially for those with small children. There is a safety button to prevent boiling water from spilling. Also a great design that will fit well in any kitchen. There are no foreign odors.</v>
      </c>
    </row>
    <row r="6279" spans="1:9" x14ac:dyDescent="0.3">
      <c r="A6279" s="1" t="s">
        <v>120</v>
      </c>
      <c r="B6279" s="1" t="s">
        <v>121</v>
      </c>
      <c r="C6279" s="1" t="s">
        <v>151</v>
      </c>
      <c r="D6279" s="1" t="s">
        <v>8740</v>
      </c>
      <c r="E6279" s="1" t="s">
        <v>7995</v>
      </c>
      <c r="F6279" s="1" t="s">
        <v>9998</v>
      </c>
      <c r="G6279" s="1" t="s">
        <v>36</v>
      </c>
      <c r="H6279" s="1" t="s">
        <v>29</v>
      </c>
      <c r="I6279" s="1" t="str">
        <f ca="1">IFERROR(__xludf.DUMMYFUNCTION("GOOGLETRANSLATE(F6279, ""auto"", ""en"")
"),"The TV is great, but the remote control is too much. It is too long and some functions are not implemented very conveniently, at least for me. Video via USB, access to the Internet, access to media content via LAN - this is not a complete list of the capa"&amp;"bilities of this model. There are body colors with supposedly gray and red backlighting (for some reason red is more expensive from some sellers), but in fact you can’t even see what color it is underneath. Happy with the purchase!!! (I spent a long time "&amp;"choosing from all the variety of models and companies)... and I bought it in Mitino on the 1st floor for 35,300... I came across it by chance, went to have a look, I was looking for a price... In short, it’s up to you to decide.")</f>
        <v>The TV is great, but the remote control is too much. It is too long and some functions are not implemented very conveniently, at least for me. Video via USB, access to the Internet, access to media content via LAN - this is not a complete list of the capabilities of this model. There are body colors with supposedly gray and red backlighting (for some reason red is more expensive from some sellers), but in fact you can’t even see what color it is underneath. Happy with the purchase!!! (I spent a long time choosing from all the variety of models and companies)... and I bought it in Mitino on the 1st floor for 35,300... I came across it by chance, went to have a look, I was looking for a price... In short, it’s up to you to decide.</v>
      </c>
    </row>
    <row r="6280" spans="1:9" x14ac:dyDescent="0.3">
      <c r="A6280" s="1" t="s">
        <v>61</v>
      </c>
      <c r="B6280" s="1" t="s">
        <v>318</v>
      </c>
      <c r="C6280" s="1" t="s">
        <v>101</v>
      </c>
      <c r="D6280" s="1" t="s">
        <v>280</v>
      </c>
      <c r="E6280" s="1" t="s">
        <v>3875</v>
      </c>
      <c r="F6280" s="1" t="s">
        <v>9999</v>
      </c>
      <c r="G6280" s="1" t="s">
        <v>28</v>
      </c>
      <c r="H6280" s="1" t="s">
        <v>29</v>
      </c>
      <c r="I6280" s="1" t="str">
        <f ca="1">IFERROR(__xludf.DUMMYFUNCTION("GOOGLETRANSLATE(F6280, ""auto"", ""en"")
"),"3 years. No problem. The smell went away after 5..6 fills. The lid does open with force (although this is not critical). There is a small problem with the switch: when you turn it on, sometimes it turns off immediately, you need to hold it for a moment wh"&amp;"en turning it on. This is not my first kettle of this brand. The first one served for 12 years and was written off at the dacha in working condition (as a backup) due to destruction (chipping) of the plastic along the upper edge. Scarlett is a pretty dece"&amp;"nt brand of household appliances.")</f>
        <v>3 years. No problem. The smell went away after 5..6 fills. The lid does open with force (although this is not critical). There is a small problem with the switch: when you turn it on, sometimes it turns off immediately, you need to hold it for a moment when turning it on. This is not my first kettle of this brand. The first one served for 12 years and was written off at the dacha in working condition (as a backup) due to destruction (chipping) of the plastic along the upper edge. Scarlett is a pretty decent brand of household appliances.</v>
      </c>
    </row>
    <row r="6281" spans="1:9" x14ac:dyDescent="0.3">
      <c r="A6281" s="1" t="s">
        <v>43</v>
      </c>
      <c r="B6281" s="1" t="s">
        <v>303</v>
      </c>
      <c r="C6281" s="1" t="s">
        <v>220</v>
      </c>
      <c r="D6281" s="1" t="s">
        <v>4835</v>
      </c>
      <c r="E6281" s="1" t="s">
        <v>5272</v>
      </c>
      <c r="F6281" s="1" t="s">
        <v>10000</v>
      </c>
      <c r="G6281" s="1" t="s">
        <v>49</v>
      </c>
      <c r="H6281" s="1" t="s">
        <v>16</v>
      </c>
      <c r="I6281" s="1" t="str">
        <f ca="1">IFERROR(__xludf.DUMMYFUNCTION("GOOGLETRANSLATE(F6281, ""auto"", ""en"")
"),"It has been in the dacha for 3 years now. Immediately he began to lie about the temperature - the indicator shows 35 - and the water is flowing - at least make tea. Now it has started to give me an electric shock - it tingles pleasantly while washing in t"&amp;"he shower. Conclusion - what did you want for that kind of money....")</f>
        <v>It has been in the dacha for 3 years now. Immediately he began to lie about the temperature - the indicator shows 35 - and the water is flowing - at least make tea. Now it has started to give me an electric shock - it tingles pleasantly while washing in the shower. Conclusion - what did you want for that kind of money....</v>
      </c>
    </row>
    <row r="6282" spans="1:9" x14ac:dyDescent="0.3">
      <c r="A6282" s="1" t="s">
        <v>37</v>
      </c>
      <c r="B6282" s="1" t="s">
        <v>38</v>
      </c>
      <c r="C6282" s="1" t="s">
        <v>69</v>
      </c>
      <c r="D6282" s="1" t="s">
        <v>7505</v>
      </c>
      <c r="E6282" s="1" t="s">
        <v>628</v>
      </c>
      <c r="F6282" s="1" t="s">
        <v>10001</v>
      </c>
      <c r="G6282" s="1" t="s">
        <v>36</v>
      </c>
      <c r="H6282" s="1" t="s">
        <v>29</v>
      </c>
      <c r="I6282" s="1" t="str">
        <f ca="1">IFERROR(__xludf.DUMMYFUNCTION("GOOGLETRANSLATE(F6282, ""auto"", ""en"")
"),"I've been using this device for about a year now. The device is very excellent for the money. In terms of waiting time, everything matches the description. I could easily read the 4 gig flash drive. Take it and you won’t turn yellow, considering that I on"&amp;"ce bought it for five thousand!")</f>
        <v>I've been using this device for about a year now. The device is very excellent for the money. In terms of waiting time, everything matches the description. I could easily read the 4 gig flash drive. Take it and you won’t turn yellow, considering that I once bought it for five thousand!</v>
      </c>
    </row>
    <row r="6283" spans="1:9" x14ac:dyDescent="0.3">
      <c r="A6283" s="1" t="s">
        <v>55</v>
      </c>
      <c r="B6283" s="1" t="s">
        <v>56</v>
      </c>
      <c r="C6283" s="1" t="s">
        <v>10002</v>
      </c>
      <c r="D6283" s="1" t="s">
        <v>52</v>
      </c>
      <c r="E6283" s="1" t="s">
        <v>4110</v>
      </c>
      <c r="F6283" s="1" t="s">
        <v>10003</v>
      </c>
      <c r="G6283" s="1" t="s">
        <v>49</v>
      </c>
      <c r="H6283" s="1" t="s">
        <v>16</v>
      </c>
      <c r="I6283" s="1" t="str">
        <f ca="1">IFERROR(__xludf.DUMMYFUNCTION("GOOGLETRANSLATE(F6283, ""auto"", ""en"")
"),"Worked for 2 days.")</f>
        <v>Worked for 2 days.</v>
      </c>
    </row>
    <row r="6284" spans="1:9" x14ac:dyDescent="0.3">
      <c r="A6284" s="1" t="s">
        <v>149</v>
      </c>
      <c r="B6284" s="1" t="s">
        <v>423</v>
      </c>
      <c r="C6284" s="1" t="s">
        <v>548</v>
      </c>
      <c r="D6284" s="1" t="s">
        <v>64</v>
      </c>
      <c r="E6284" s="1" t="s">
        <v>3131</v>
      </c>
      <c r="F6284" s="1" t="s">
        <v>10004</v>
      </c>
      <c r="G6284" s="1" t="s">
        <v>36</v>
      </c>
      <c r="H6284" s="1" t="s">
        <v>29</v>
      </c>
      <c r="I6284" s="1" t="str">
        <f ca="1">IFERROR(__xludf.DUMMYFUNCTION("GOOGLETRANSLATE(F6284, ""auto"", ""en"")
"),"Good afternoon I bought this wonderful vacuum cleaner a month ago!!! very satisfied! The laminate washes well, there are no streaks, no moisture! It cleans carpets well, the only thing you have to do is wait an hour for it to dry. It takes about 10 minute"&amp;"s to wash the vacuum cleaner after cleaning; the only box with attachments is huge and takes up a lot of space. In principle, it is the same as the 7700 model, only it is considered that the plastic is better (that’s what they told me at the official cent"&amp;"er). In general, I don’t regret spending money on the purchase.")</f>
        <v>Good afternoon I bought this wonderful vacuum cleaner a month ago!!! very satisfied! The laminate washes well, there are no streaks, no moisture! It cleans carpets well, the only thing you have to do is wait an hour for it to dry. It takes about 10 minutes to wash the vacuum cleaner after cleaning; the only box with attachments is huge and takes up a lot of space. In principle, it is the same as the 7700 model, only it is considered that the plastic is better (that’s what they told me at the official center). In general, I don’t regret spending money on the purchase.</v>
      </c>
    </row>
    <row r="6285" spans="1:9" x14ac:dyDescent="0.3">
      <c r="A6285" s="1" t="s">
        <v>61</v>
      </c>
      <c r="B6285" s="1" t="s">
        <v>62</v>
      </c>
      <c r="C6285" s="1" t="s">
        <v>146</v>
      </c>
      <c r="D6285" s="1" t="s">
        <v>64</v>
      </c>
      <c r="E6285" s="1" t="s">
        <v>10005</v>
      </c>
      <c r="F6285" s="1" t="s">
        <v>10006</v>
      </c>
      <c r="G6285" s="1" t="s">
        <v>36</v>
      </c>
      <c r="H6285" s="1" t="s">
        <v>29</v>
      </c>
      <c r="I6285" s="1" t="str">
        <f ca="1">IFERROR(__xludf.DUMMYFUNCTION("GOOGLETRANSLATE(F6285, ""auto"", ""en"")
"),"I gave my mother-in-law a Kenwood FP 250 food processor as a gift, she is very pleased, good quality, easily chops all vegetables, saves time in the kitchen, which is very important for a woman. My husband and I bought it for ourselves, and now we are thi"&amp;"nking about a Kenwood kitchen machine, I recommend it to everyone!")</f>
        <v>I gave my mother-in-law a Kenwood FP 250 food processor as a gift, she is very pleased, good quality, easily chops all vegetables, saves time in the kitchen, which is very important for a woman. My husband and I bought it for ourselves, and now we are thinking about a Kenwood kitchen machine, I recommend it to everyone!</v>
      </c>
    </row>
    <row r="6286" spans="1:9" x14ac:dyDescent="0.3">
      <c r="A6286" s="1" t="s">
        <v>149</v>
      </c>
      <c r="B6286" s="1" t="s">
        <v>155</v>
      </c>
      <c r="C6286" s="1" t="s">
        <v>63</v>
      </c>
      <c r="D6286" s="1" t="s">
        <v>5431</v>
      </c>
      <c r="E6286" s="1" t="s">
        <v>2278</v>
      </c>
      <c r="F6286" s="1" t="s">
        <v>10007</v>
      </c>
      <c r="G6286" s="1" t="s">
        <v>36</v>
      </c>
      <c r="H6286" s="1" t="s">
        <v>29</v>
      </c>
      <c r="I6286" s="1" t="str">
        <f ca="1">IFERROR(__xludf.DUMMYFUNCTION("GOOGLETRANSLATE(F6286, ""auto"", ""en"")
"),"Excellent vacuum cleaner. It’s convenient to have both a container and a bag. Excellent suction power: half is enough for the eyes. Quite quiet.")</f>
        <v>Excellent vacuum cleaner. It’s convenient to have both a container and a bag. Excellent suction power: half is enough for the eyes. Quite quiet.</v>
      </c>
    </row>
    <row r="6287" spans="1:9" x14ac:dyDescent="0.3">
      <c r="A6287" s="1" t="s">
        <v>61</v>
      </c>
      <c r="B6287" s="1" t="s">
        <v>434</v>
      </c>
      <c r="C6287" s="1" t="s">
        <v>101</v>
      </c>
      <c r="D6287" s="1" t="s">
        <v>2679</v>
      </c>
      <c r="E6287" s="1" t="s">
        <v>4702</v>
      </c>
      <c r="F6287" s="1" t="s">
        <v>10008</v>
      </c>
      <c r="G6287" s="1" t="s">
        <v>36</v>
      </c>
      <c r="H6287" s="1" t="s">
        <v>29</v>
      </c>
      <c r="I6287" s="1" t="str">
        <f ca="1">IFERROR(__xludf.DUMMYFUNCTION("GOOGLETRANSLATE(F6287, ""auto"", ""en"")
"),"We bought such a stove for our dacha, and now we are thinking of taking the same one home to replace the oven, or at least the microwave. The fact is that due to its small size, it bakes everything much better, and compared to a microwave, although it wor"&amp;"ks slower, it does not change the taste of the food and does not dry it out!  Great stove!")</f>
        <v>We bought such a stove for our dacha, and now we are thinking of taking the same one home to replace the oven, or at least the microwave. The fact is that due to its small size, it bakes everything much better, and compared to a microwave, although it works slower, it does not change the taste of the food and does not dry it out!  Great stove!</v>
      </c>
    </row>
    <row r="6288" spans="1:9" x14ac:dyDescent="0.3">
      <c r="A6288" s="1" t="s">
        <v>120</v>
      </c>
      <c r="B6288" s="1" t="s">
        <v>196</v>
      </c>
      <c r="C6288" s="1" t="s">
        <v>658</v>
      </c>
      <c r="D6288" s="1" t="s">
        <v>10009</v>
      </c>
      <c r="E6288" s="1" t="s">
        <v>4245</v>
      </c>
      <c r="F6288" s="1" t="s">
        <v>10010</v>
      </c>
      <c r="G6288" s="1" t="s">
        <v>36</v>
      </c>
      <c r="H6288" s="1" t="s">
        <v>29</v>
      </c>
      <c r="I6288" s="1" t="str">
        <f ca="1">IFERROR(__xludf.DUMMYFUNCTION("GOOGLETRANSLATE(F6288, ""auto"", ""en"")
"),"When will this model go on sale in St. Petersburg?")</f>
        <v>When will this model go on sale in St. Petersburg?</v>
      </c>
    </row>
    <row r="6289" spans="1:9" x14ac:dyDescent="0.3">
      <c r="A6289" s="1" t="s">
        <v>67</v>
      </c>
      <c r="B6289" s="1" t="s">
        <v>68</v>
      </c>
      <c r="C6289" s="1" t="s">
        <v>57</v>
      </c>
      <c r="D6289" s="1" t="s">
        <v>1851</v>
      </c>
      <c r="E6289" s="1" t="s">
        <v>4366</v>
      </c>
      <c r="F6289" s="1" t="s">
        <v>10011</v>
      </c>
      <c r="G6289" s="1" t="s">
        <v>28</v>
      </c>
      <c r="H6289" s="1" t="s">
        <v>29</v>
      </c>
      <c r="I6289" s="1" t="str">
        <f ca="1">IFERROR(__xludf.DUMMYFUNCTION("GOOGLETRANSLATE(F6289, ""auto"", ""en"")
"),"Indeed, when you pour boiled water, the iron will subsequently begin to iron with scale. I always struggled with cleaning this iron. Regarding the fact that water is leaking, there is no need to fill in more water than the MAX mark. This iron worked for u"&amp;"s for 2 years and just stopped heating.")</f>
        <v>Indeed, when you pour boiled water, the iron will subsequently begin to iron with scale. I always struggled with cleaning this iron. Regarding the fact that water is leaking, there is no need to fill in more water than the MAX mark. This iron worked for us for 2 years and just stopped heating.</v>
      </c>
    </row>
    <row r="6290" spans="1:9" x14ac:dyDescent="0.3">
      <c r="A6290" s="1" t="s">
        <v>17</v>
      </c>
      <c r="B6290" s="1" t="s">
        <v>18</v>
      </c>
      <c r="C6290" s="1" t="s">
        <v>80</v>
      </c>
      <c r="D6290" s="1" t="s">
        <v>3015</v>
      </c>
      <c r="E6290" s="1" t="s">
        <v>580</v>
      </c>
      <c r="F6290" s="1" t="s">
        <v>10012</v>
      </c>
      <c r="G6290" s="1" t="s">
        <v>28</v>
      </c>
      <c r="H6290" s="1" t="s">
        <v>29</v>
      </c>
      <c r="I6290" s="1" t="str">
        <f ca="1">IFERROR(__xludf.DUMMYFUNCTION("GOOGLETRANSLATE(F6290, ""auto"", ""en"")
"),"the fact that it is silent is of course exaggerated. It makes noise like an average machine, but sometimes it draws water louder than usual! about intelligence... well, it is only present in 2-3 modes, and then it always sets almost the same time! will fe"&amp;"el the difference and will add (subtract) the washing time when you put 10-15 more (less) items, depending on their weight.  I like the extra rinse at a temperature of 40 degrees, it’s nice to get warm, not icy, clothes out of the machine.")</f>
        <v>the fact that it is silent is of course exaggerated. It makes noise like an average machine, but sometimes it draws water louder than usual! about intelligence... well, it is only present in 2-3 modes, and then it always sets almost the same time! will feel the difference and will add (subtract) the washing time when you put 10-15 more (less) items, depending on their weight.  I like the extra rinse at a temperature of 40 degrees, it’s nice to get warm, not icy, clothes out of the machine.</v>
      </c>
    </row>
    <row r="6291" spans="1:9" x14ac:dyDescent="0.3">
      <c r="A6291" s="1" t="s">
        <v>61</v>
      </c>
      <c r="B6291" s="1" t="s">
        <v>726</v>
      </c>
      <c r="C6291" s="1" t="s">
        <v>85</v>
      </c>
      <c r="D6291" s="1" t="s">
        <v>1890</v>
      </c>
      <c r="E6291" s="1" t="s">
        <v>306</v>
      </c>
      <c r="F6291" s="1" t="s">
        <v>10013</v>
      </c>
      <c r="G6291" s="1" t="s">
        <v>36</v>
      </c>
      <c r="H6291" s="1" t="s">
        <v>29</v>
      </c>
      <c r="I6291" s="1" t="str">
        <f ca="1">IFERROR(__xludf.DUMMYFUNCTION("GOOGLETRANSLATE(F6291, ""auto"", ""en"")
"),"Bakes perfectly, has many programs, high-quality non-stick coating. ")</f>
        <v xml:space="preserve">Bakes perfectly, has many programs, high-quality non-stick coating. </v>
      </c>
    </row>
    <row r="6292" spans="1:9" x14ac:dyDescent="0.3">
      <c r="A6292" s="1" t="s">
        <v>451</v>
      </c>
      <c r="B6292" s="1" t="s">
        <v>452</v>
      </c>
      <c r="C6292" s="1" t="s">
        <v>710</v>
      </c>
      <c r="D6292" s="1" t="s">
        <v>172</v>
      </c>
      <c r="E6292" s="1" t="s">
        <v>1212</v>
      </c>
      <c r="F6292" s="1" t="s">
        <v>10014</v>
      </c>
      <c r="G6292" s="1" t="s">
        <v>49</v>
      </c>
      <c r="H6292" s="1" t="s">
        <v>16</v>
      </c>
      <c r="I6292" s="1" t="str">
        <f ca="1">IFERROR(__xludf.DUMMYFUNCTION("GOOGLETRANSLATE(F6292, ""auto"", ""en"")
"),"I don’t even remember how many years ago we bought a Bosch meat grinder. The kit included two plastic mechanical overload fuses. Each of them served for several years. They spun everything on them - walnuts and fish bones - without fanaticism, but they sp"&amp;"un whatever they wanted. But the day came when the second fuse also broke. Bought this product. Why we need an extra knife and a mesh for a meat grinder is unclear, but there was no other choice. It was enough for a little less than one job - the plastic "&amp;"fuse failed. The normal price is 1000 (minus 10) rubles for half of one meat grinder job. I'm going to find a turner and order him to turn this fuse out of caprolon. In terms of money it will probably be even cheaper. Therefore, even if the fuse is broken"&amp;", I do not recommend buying this kit under any circumstances.")</f>
        <v>I don’t even remember how many years ago we bought a Bosch meat grinder. The kit included two plastic mechanical overload fuses. Each of them served for several years. They spun everything on them - walnuts and fish bones - without fanaticism, but they spun whatever they wanted. But the day came when the second fuse also broke. Bought this product. Why we need an extra knife and a mesh for a meat grinder is unclear, but there was no other choice. It was enough for a little less than one job - the plastic fuse failed. The normal price is 1000 (minus 10) rubles for half of one meat grinder job. I'm going to find a turner and order him to turn this fuse out of caprolon. In terms of money it will probably be even cheaper. Therefore, even if the fuse is broken, I do not recommend buying this kit under any circumstances.</v>
      </c>
    </row>
    <row r="6293" spans="1:9" x14ac:dyDescent="0.3">
      <c r="A6293" s="1" t="s">
        <v>67</v>
      </c>
      <c r="B6293" s="1" t="s">
        <v>68</v>
      </c>
      <c r="C6293" s="1" t="s">
        <v>69</v>
      </c>
      <c r="D6293" s="1" t="s">
        <v>10015</v>
      </c>
      <c r="E6293" s="1" t="s">
        <v>214</v>
      </c>
      <c r="F6293" s="1" t="s">
        <v>10016</v>
      </c>
      <c r="G6293" s="1" t="s">
        <v>36</v>
      </c>
      <c r="H6293" s="1" t="s">
        <v>29</v>
      </c>
      <c r="I6293" s="1" t="str">
        <f ca="1">IFERROR(__xludf.DUMMYFUNCTION("GOOGLETRANSLATE(F6293, ""auto"", ""en"")
"),"wonderful iron. When I was young, I worked for 4 years in household appliance stores, so I knew what I would choose. It irons and irons very well. it does not stick to the sole and the cord does not break. There is only one drawback, like all irons - ther"&amp;"e is no use for vertical steaming.")</f>
        <v>wonderful iron. When I was young, I worked for 4 years in household appliance stores, so I knew what I would choose. It irons and irons very well. it does not stick to the sole and the cord does not break. There is only one drawback, like all irons - there is no use for vertical steaming.</v>
      </c>
    </row>
    <row r="6294" spans="1:9" x14ac:dyDescent="0.3">
      <c r="A6294" s="1" t="s">
        <v>149</v>
      </c>
      <c r="B6294" s="1" t="s">
        <v>576</v>
      </c>
      <c r="C6294" s="1" t="s">
        <v>151</v>
      </c>
      <c r="D6294" s="1" t="s">
        <v>32</v>
      </c>
      <c r="E6294" s="1" t="s">
        <v>980</v>
      </c>
      <c r="F6294" s="1" t="s">
        <v>10017</v>
      </c>
      <c r="G6294" s="1" t="s">
        <v>36</v>
      </c>
      <c r="H6294" s="1" t="s">
        <v>29</v>
      </c>
      <c r="I6294" s="1" t="str">
        <f ca="1">IFERROR(__xludf.DUMMYFUNCTION("GOOGLETRANSLATE(F6294, ""auto"", ""en"")
"),"I also bought it a long time ago, in 2005, when I was a student, I was looking for something cheaper. It still works and I’m not going to change it yet. I’m happy with everything. Powerful enough, replacement bags are not a problem to find. Price-quality "&amp;"- ideal ratio))))")</f>
        <v>I also bought it a long time ago, in 2005, when I was a student, I was looking for something cheaper. It still works and I’m not going to change it yet. I’m happy with everything. Powerful enough, replacement bags are not a problem to find. Price-quality - ideal ratio))))</v>
      </c>
    </row>
    <row r="6295" spans="1:9" x14ac:dyDescent="0.3">
      <c r="A6295" s="1" t="s">
        <v>61</v>
      </c>
      <c r="B6295" s="1" t="s">
        <v>145</v>
      </c>
      <c r="C6295" s="1" t="s">
        <v>69</v>
      </c>
      <c r="D6295" s="1" t="s">
        <v>10018</v>
      </c>
      <c r="E6295" s="1" t="s">
        <v>460</v>
      </c>
      <c r="F6295" s="1" t="s">
        <v>10019</v>
      </c>
      <c r="G6295" s="1" t="s">
        <v>36</v>
      </c>
      <c r="H6295" s="1" t="s">
        <v>29</v>
      </c>
      <c r="I6295" s="1" t="str">
        <f ca="1">IFERROR(__xludf.DUMMYFUNCTION("GOOGLETRANSLATE(F6295, ""auto"", ""en"")
"),"Awesome steamer!!!")</f>
        <v>Awesome steamer!!!</v>
      </c>
    </row>
    <row r="6296" spans="1:9" x14ac:dyDescent="0.3">
      <c r="A6296" s="1" t="s">
        <v>17</v>
      </c>
      <c r="B6296" s="1" t="s">
        <v>18</v>
      </c>
      <c r="C6296" s="1" t="s">
        <v>19</v>
      </c>
      <c r="D6296" s="1" t="s">
        <v>10020</v>
      </c>
      <c r="E6296" s="1" t="s">
        <v>6437</v>
      </c>
      <c r="F6296" s="1" t="s">
        <v>10021</v>
      </c>
      <c r="G6296" s="1" t="s">
        <v>36</v>
      </c>
      <c r="H6296" s="1" t="s">
        <v>29</v>
      </c>
      <c r="I6296" s="1" t="str">
        <f ca="1">IFERROR(__xludf.DUMMYFUNCTION("GOOGLETRANSLATE(F6296, ""auto"", ""en"")
"),"Super car! Quiet, high quality, large hatch very comfortable. Very easy to operate. Even the dumbest person can figure it out))) Although we have 800 rpm, everything else is the same. 3 years - and it's like new! Minus: now they are more expensive in the "&amp;"store than their classmates")</f>
        <v>Super car! Quiet, high quality, large hatch very comfortable. Very easy to operate. Even the dumbest person can figure it out))) Although we have 800 rpm, everything else is the same. 3 years - and it's like new! Minus: now they are more expensive in the store than their classmates</v>
      </c>
    </row>
    <row r="6297" spans="1:9" x14ac:dyDescent="0.3">
      <c r="A6297" s="1" t="s">
        <v>17</v>
      </c>
      <c r="B6297" s="1" t="s">
        <v>18</v>
      </c>
      <c r="C6297" s="1" t="s">
        <v>290</v>
      </c>
      <c r="D6297" s="1" t="s">
        <v>32</v>
      </c>
      <c r="E6297" s="1" t="s">
        <v>2206</v>
      </c>
      <c r="F6297" s="1" t="s">
        <v>10022</v>
      </c>
      <c r="G6297" s="1" t="s">
        <v>28</v>
      </c>
      <c r="H6297" s="1" t="s">
        <v>29</v>
      </c>
      <c r="I6297" s="1" t="str">
        <f ca="1">IFERROR(__xludf.DUMMYFUNCTION("GOOGLETRANSLATE(F6297, ""auto"", ""en"")
"),"Yes. During the spin cycle, the time is lost. It comes back several times and at the same time the washing time increases by a certain number of minutes and it is not possible to calculate this time. What is this? Does anyone know how to deal with this? O"&amp;"r is this just a renovation?")</f>
        <v>Yes. During the spin cycle, the time is lost. It comes back several times and at the same time the washing time increases by a certain number of minutes and it is not possible to calculate this time. What is this? Does anyone know how to deal with this? Or is this just a renovation?</v>
      </c>
    </row>
    <row r="6298" spans="1:9" x14ac:dyDescent="0.3">
      <c r="A6298" s="1" t="s">
        <v>95</v>
      </c>
      <c r="B6298" s="1" t="s">
        <v>227</v>
      </c>
      <c r="C6298" s="1" t="s">
        <v>97</v>
      </c>
      <c r="D6298" s="1" t="s">
        <v>152</v>
      </c>
      <c r="E6298" s="1" t="s">
        <v>6406</v>
      </c>
      <c r="F6298" s="1" t="s">
        <v>10023</v>
      </c>
      <c r="G6298" s="1" t="s">
        <v>36</v>
      </c>
      <c r="H6298" s="1" t="s">
        <v>29</v>
      </c>
      <c r="I6298" s="1" t="str">
        <f ca="1">IFERROR(__xludf.DUMMYFUNCTION("GOOGLETRANSLATE(F6298, ""auto"", ""en"")
"),"great game and great console!)")</f>
        <v>great game and great console!)</v>
      </c>
    </row>
    <row r="6299" spans="1:9" x14ac:dyDescent="0.3">
      <c r="A6299" s="1" t="s">
        <v>61</v>
      </c>
      <c r="B6299" s="1" t="s">
        <v>318</v>
      </c>
      <c r="C6299" s="1" t="s">
        <v>745</v>
      </c>
      <c r="D6299" s="1" t="s">
        <v>10024</v>
      </c>
      <c r="E6299" s="1" t="s">
        <v>10025</v>
      </c>
      <c r="F6299" s="1" t="s">
        <v>10026</v>
      </c>
      <c r="G6299" s="1" t="s">
        <v>36</v>
      </c>
      <c r="H6299" s="1" t="s">
        <v>29</v>
      </c>
      <c r="I6299" s="1" t="str">
        <f ca="1">IFERROR(__xludf.DUMMYFUNCTION("GOOGLETRANSLATE(F6299, ""auto"", ""en"")
"),"Works for 2.5 years. Remote buttons.")</f>
        <v>Works for 2.5 years. Remote buttons.</v>
      </c>
    </row>
    <row r="6300" spans="1:9" x14ac:dyDescent="0.3">
      <c r="A6300" s="1" t="s">
        <v>67</v>
      </c>
      <c r="B6300" s="1" t="s">
        <v>68</v>
      </c>
      <c r="C6300" s="1" t="s">
        <v>101</v>
      </c>
      <c r="D6300" s="1" t="s">
        <v>385</v>
      </c>
      <c r="E6300" s="1" t="s">
        <v>2644</v>
      </c>
      <c r="F6300" s="1" t="s">
        <v>10027</v>
      </c>
      <c r="G6300" s="1" t="s">
        <v>36</v>
      </c>
      <c r="H6300" s="1" t="s">
        <v>29</v>
      </c>
      <c r="I6300" s="1" t="str">
        <f ca="1">IFERROR(__xludf.DUMMYFUNCTION("GOOGLETRANSLATE(F6300, ""auto"", ""en"")
"),"You shouldn’t expect outstanding capabilities from such a small travel iron, but for a road trip, a business trip, or a quick ironing of a suit sleeve before going out. For its size, very good steam output")</f>
        <v>You shouldn’t expect outstanding capabilities from such a small travel iron, but for a road trip, a business trip, or a quick ironing of a suit sleeve before going out. For its size, very good steam output</v>
      </c>
    </row>
    <row r="6301" spans="1:9" x14ac:dyDescent="0.3">
      <c r="A6301" s="1" t="s">
        <v>30</v>
      </c>
      <c r="B6301" s="1" t="s">
        <v>50</v>
      </c>
      <c r="C6301" s="1" t="s">
        <v>32</v>
      </c>
      <c r="D6301" s="1" t="s">
        <v>10028</v>
      </c>
      <c r="E6301" s="1" t="s">
        <v>2735</v>
      </c>
      <c r="F6301" s="1" t="s">
        <v>10029</v>
      </c>
      <c r="G6301" s="1" t="s">
        <v>28</v>
      </c>
      <c r="H6301" s="1" t="s">
        <v>29</v>
      </c>
      <c r="I6301" s="1" t="str">
        <f ca="1">IFERROR(__xludf.DUMMYFUNCTION("GOOGLETRANSLATE(F6301, ""auto"", ""en"")
"),"I just bought it today, the first impressions are strange, everything seems to be fine +: it seems to run games (although I haven’t tried the newest ones) it doesn’t get very hot/noisy, excellent equipment for such a price (I bought it for 28) BUT I was v"&amp;"ery disappointed that on the DDR2 video card (the first model in this series I’ve met with DDR2), judging by the tests, the performance of the Ati 4650 DDR2")</f>
        <v>I just bought it today, the first impressions are strange, everything seems to be fine +: it seems to run games (although I haven’t tried the newest ones) it doesn’t get very hot/noisy, excellent equipment for such a price (I bought it for 28) BUT I was very disappointed that on the DDR2 video card (the first model in this series I’ve met with DDR2), judging by the tests, the performance of the Ati 4650 DDR2</v>
      </c>
    </row>
    <row r="6302" spans="1:9" x14ac:dyDescent="0.3">
      <c r="A6302" s="1" t="s">
        <v>61</v>
      </c>
      <c r="B6302" s="1" t="s">
        <v>62</v>
      </c>
      <c r="C6302" s="1" t="s">
        <v>146</v>
      </c>
      <c r="D6302" s="1" t="s">
        <v>5447</v>
      </c>
      <c r="E6302" s="1" t="s">
        <v>2231</v>
      </c>
      <c r="F6302" s="1" t="s">
        <v>10030</v>
      </c>
      <c r="G6302" s="1" t="s">
        <v>36</v>
      </c>
      <c r="H6302" s="1" t="s">
        <v>29</v>
      </c>
      <c r="I6302" s="1" t="str">
        <f ca="1">IFERROR(__xludf.DUMMYFUNCTION("GOOGLETRANSLATE(F6302, ""auto"", ""en"")
"),"I bought it two weeks ago, I don’t have much space in the kitchen, so I chose a small food processor, which mainly needs the function of grater, shredding and chopping, but I was glad that such an inexpensive food processor also has a blender and an orang"&amp;"e juicer. In general, I’m very pleased with the processor, it’s compact, it has all the functions I need.. There is also an attachment for dough, I coped with charlotte dough, but thick dough needs to be kneaded by hand, but it doesn’t state that there is"&amp;" an attachment for thick dough. So I give it a 5 for quality, features and price.")</f>
        <v>I bought it two weeks ago, I don’t have much space in the kitchen, so I chose a small food processor, which mainly needs the function of grater, shredding and chopping, but I was glad that such an inexpensive food processor also has a blender and an orange juicer. In general, I’m very pleased with the processor, it’s compact, it has all the functions I need.. There is also an attachment for dough, I coped with charlotte dough, but thick dough needs to be kneaded by hand, but it doesn’t state that there is an attachment for thick dough. So I give it a 5 for quality, features and price.</v>
      </c>
    </row>
    <row r="6303" spans="1:9" x14ac:dyDescent="0.3">
      <c r="A6303" s="1" t="s">
        <v>211</v>
      </c>
      <c r="B6303" s="1" t="s">
        <v>856</v>
      </c>
      <c r="C6303" s="1" t="s">
        <v>57</v>
      </c>
      <c r="D6303" s="1" t="s">
        <v>308</v>
      </c>
      <c r="E6303" s="1" t="s">
        <v>8420</v>
      </c>
      <c r="F6303" s="1" t="s">
        <v>10031</v>
      </c>
      <c r="G6303" s="1" t="s">
        <v>28</v>
      </c>
      <c r="H6303" s="1" t="s">
        <v>29</v>
      </c>
      <c r="I6303" s="1" t="str">
        <f ca="1">IFERROR(__xludf.DUMMYFUNCTION("GOOGLETRANSLATE(F6303, ""auto"", ""en"")
"),"Advice: if you do not dry the varnish, it is better to buy another, more compact model")</f>
        <v>Advice: if you do not dry the varnish, it is better to buy another, more compact model</v>
      </c>
    </row>
    <row r="6304" spans="1:9" x14ac:dyDescent="0.3">
      <c r="A6304" s="1" t="s">
        <v>95</v>
      </c>
      <c r="B6304" s="1" t="s">
        <v>227</v>
      </c>
      <c r="C6304" s="1" t="s">
        <v>97</v>
      </c>
      <c r="D6304" s="1" t="s">
        <v>10032</v>
      </c>
      <c r="E6304" s="1" t="s">
        <v>1371</v>
      </c>
      <c r="F6304" s="1" t="s">
        <v>10033</v>
      </c>
      <c r="G6304" s="1" t="s">
        <v>49</v>
      </c>
      <c r="H6304" s="1" t="s">
        <v>16</v>
      </c>
      <c r="I6304" s="1" t="str">
        <f ca="1">IFERROR(__xludf.DUMMYFUNCTION("GOOGLETRANSLATE(F6304, ""auto"", ""en"")
"),"PS 3 is disgusting quality - I worked for a year and bought another brand of console in the box and I’m fine, so your PS3 is nothing to show off, and I’m generally silent about the prices of games...")</f>
        <v>PS 3 is disgusting quality - I worked for a year and bought another brand of console in the box and I’m fine, so your PS3 is nothing to show off, and I’m generally silent about the prices of games...</v>
      </c>
    </row>
    <row r="6305" spans="1:9" x14ac:dyDescent="0.3">
      <c r="A6305" s="1" t="s">
        <v>30</v>
      </c>
      <c r="B6305" s="1" t="s">
        <v>50</v>
      </c>
      <c r="C6305" s="1" t="s">
        <v>1003</v>
      </c>
      <c r="D6305" s="1" t="s">
        <v>1952</v>
      </c>
      <c r="E6305" s="1" t="s">
        <v>1319</v>
      </c>
      <c r="F6305" s="1" t="s">
        <v>10034</v>
      </c>
      <c r="G6305" s="1" t="s">
        <v>36</v>
      </c>
      <c r="H6305" s="1" t="s">
        <v>29</v>
      </c>
      <c r="I6305" s="1" t="str">
        <f ca="1">IFERROR(__xludf.DUMMYFUNCTION("GOOGLETRANSLATE(F6305, ""auto"", ""en"")
"),"Comfortable, stylish design, made of high quality material. In general, in terms of ergonomics it is very attractive. Although it gets very hot during operation, this does not affect performance. I have been using it for more than six months, and so far t"&amp;"here have been no problems. The only advice is that it is better to get rid of WINDOWS VISTA installed on it, but this is no longer a problem for the HP manufacturer.")</f>
        <v>Comfortable, stylish design, made of high quality material. In general, in terms of ergonomics it is very attractive. Although it gets very hot during operation, this does not affect performance. I have been using it for more than six months, and so far there have been no problems. The only advice is that it is better to get rid of WINDOWS VISTA installed on it, but this is no longer a problem for the HP manufacturer.</v>
      </c>
    </row>
    <row r="6306" spans="1:9" x14ac:dyDescent="0.3">
      <c r="A6306" s="1" t="s">
        <v>37</v>
      </c>
      <c r="B6306" s="1" t="s">
        <v>536</v>
      </c>
      <c r="C6306" s="1" t="s">
        <v>189</v>
      </c>
      <c r="D6306" s="1" t="s">
        <v>1476</v>
      </c>
      <c r="E6306" s="1" t="s">
        <v>1707</v>
      </c>
      <c r="F6306" s="1" t="s">
        <v>10035</v>
      </c>
      <c r="G6306" s="1" t="s">
        <v>36</v>
      </c>
      <c r="H6306" s="1" t="s">
        <v>29</v>
      </c>
      <c r="I6306" s="1" t="str">
        <f ca="1">IFERROR(__xludf.DUMMYFUNCTION("GOOGLETRANSLATE(F6306, ""auto"", ""en"")
"),"The communicator is good, a little slow - not enough RAM can be replaced if desired from 64m to 128m in the workshop. Cracks on the case are caused by overtightening; the screws on the case are sufficiently loosened during assembly.")</f>
        <v>The communicator is good, a little slow - not enough RAM can be replaced if desired from 64m to 128m in the workshop. Cracks on the case are caused by overtightening; the screws on the case are sufficiently loosened during assembly.</v>
      </c>
    </row>
    <row r="6307" spans="1:9" x14ac:dyDescent="0.3">
      <c r="A6307" s="1" t="s">
        <v>67</v>
      </c>
      <c r="B6307" s="1" t="s">
        <v>68</v>
      </c>
      <c r="C6307" s="1" t="s">
        <v>381</v>
      </c>
      <c r="D6307" s="1" t="s">
        <v>521</v>
      </c>
      <c r="E6307" s="1" t="s">
        <v>2188</v>
      </c>
      <c r="F6307" s="1" t="s">
        <v>10036</v>
      </c>
      <c r="G6307" s="1" t="s">
        <v>36</v>
      </c>
      <c r="H6307" s="1" t="s">
        <v>29</v>
      </c>
      <c r="I6307" s="1" t="str">
        <f ca="1">IFERROR(__xludf.DUMMYFUNCTION("GOOGLETRANSLATE(F6307, ""auto"", ""en"")
"),"I recently bought this iron. I really liked it, because it has a powerful steam boost that copes with any problem areas of clothing, glides well, and heats up quickly. It has a comfortable handle and a comfortable pointed nose, making it easy and convenie"&amp;"nt to iron. And plus it has a German assembly, not China!!! Excellent iron, take it you won’t regret it!!!")</f>
        <v>I recently bought this iron. I really liked it, because it has a powerful steam boost that copes with any problem areas of clothing, glides well, and heats up quickly. It has a comfortable handle and a comfortable pointed nose, making it easy and convenient to iron. And plus it has a German assembly, not China!!! Excellent iron, take it you won’t regret it!!!</v>
      </c>
    </row>
    <row r="6308" spans="1:9" x14ac:dyDescent="0.3">
      <c r="A6308" s="1" t="s">
        <v>37</v>
      </c>
      <c r="B6308" s="1" t="s">
        <v>38</v>
      </c>
      <c r="C6308" s="1" t="s">
        <v>151</v>
      </c>
      <c r="D6308" s="1" t="s">
        <v>3589</v>
      </c>
      <c r="E6308" s="1" t="s">
        <v>4110</v>
      </c>
      <c r="F6308" s="1" t="s">
        <v>10037</v>
      </c>
      <c r="G6308" s="1" t="s">
        <v>36</v>
      </c>
      <c r="H6308" s="1" t="s">
        <v>29</v>
      </c>
      <c r="I6308" s="1" t="str">
        <f ca="1">IFERROR(__xludf.DUMMYFUNCTION("GOOGLETRANSLATE(F6308, ""auto"", ""en"")
"),"everything is just awesome design, it’s super comfortable to hold in your hand, I would give it a rating of 10.")</f>
        <v>everything is just awesome design, it’s super comfortable to hold in your hand, I would give it a rating of 10.</v>
      </c>
    </row>
    <row r="6309" spans="1:9" x14ac:dyDescent="0.3">
      <c r="A6309" s="1" t="s">
        <v>43</v>
      </c>
      <c r="B6309" s="1" t="s">
        <v>1616</v>
      </c>
      <c r="C6309" s="1" t="s">
        <v>1138</v>
      </c>
      <c r="D6309" s="1" t="s">
        <v>280</v>
      </c>
      <c r="E6309" s="1" t="s">
        <v>2646</v>
      </c>
      <c r="F6309" s="1" t="s">
        <v>10038</v>
      </c>
      <c r="G6309" s="1" t="s">
        <v>36</v>
      </c>
      <c r="H6309" s="1" t="s">
        <v>29</v>
      </c>
      <c r="I6309" s="1" t="str">
        <f ca="1">IFERROR(__xludf.DUMMYFUNCTION("GOOGLETRANSLATE(F6309, ""auto"", ""en"")
"),"We spent a long time choosing a mobile air conditioner, looked closely at the ones our friends had, and chose the bimatek am 400. The reality exceeded all expectations! Super! Of course there is noise, but it is insignificant. Two cooling speeds, auto mod"&amp;"e, on/off timer, night mode - all these functions are really needed and work great. It cools a room of 23 m2 by 4-5 degrees in an hour, then more. Friends who have similar equipment recognize the superiority of this model over other brands ;o) I definitel"&amp;"y recommend it to everyone!")</f>
        <v>We spent a long time choosing a mobile air conditioner, looked closely at the ones our friends had, and chose the bimatek am 400. The reality exceeded all expectations! Super! Of course there is noise, but it is insignificant. Two cooling speeds, auto mode, on/off timer, night mode - all these functions are really needed and work great. It cools a room of 23 m2 by 4-5 degrees in an hour, then more. Friends who have similar equipment recognize the superiority of this model over other brands ;o) I definitely recommend it to everyone!</v>
      </c>
    </row>
    <row r="6310" spans="1:9" x14ac:dyDescent="0.3">
      <c r="A6310" s="1" t="s">
        <v>211</v>
      </c>
      <c r="B6310" s="1" t="s">
        <v>515</v>
      </c>
      <c r="C6310" s="1" t="s">
        <v>69</v>
      </c>
      <c r="D6310" s="1" t="s">
        <v>10039</v>
      </c>
      <c r="E6310" s="1" t="s">
        <v>3494</v>
      </c>
      <c r="F6310" s="1" t="s">
        <v>10040</v>
      </c>
      <c r="G6310" s="1" t="s">
        <v>36</v>
      </c>
      <c r="H6310" s="1" t="s">
        <v>29</v>
      </c>
      <c r="I6310" s="1" t="str">
        <f ca="1">IFERROR(__xludf.DUMMYFUNCTION("GOOGLETRANSLATE(F6310, ""auto"", ""en"")
"),"I bought this model a couple of days ago and am quite pleased. The pain is tolerable, considering that it was the very first time... but beauty requires sacrifice) I’m happy with the purchase!!!")</f>
        <v>I bought this model a couple of days ago and am quite pleased. The pain is tolerable, considering that it was the very first time... but beauty requires sacrifice) I’m happy with the purchase!!!</v>
      </c>
    </row>
    <row r="6311" spans="1:9" x14ac:dyDescent="0.3">
      <c r="A6311" s="1" t="s">
        <v>211</v>
      </c>
      <c r="B6311" s="1" t="s">
        <v>265</v>
      </c>
      <c r="C6311" s="1" t="s">
        <v>266</v>
      </c>
      <c r="D6311" s="1" t="s">
        <v>75</v>
      </c>
      <c r="E6311" s="1" t="s">
        <v>2855</v>
      </c>
      <c r="F6311" s="1" t="s">
        <v>2268</v>
      </c>
      <c r="G6311" s="1" t="s">
        <v>49</v>
      </c>
      <c r="H6311" s="1" t="s">
        <v>16</v>
      </c>
      <c r="I6311" s="1" t="str">
        <f ca="1">IFERROR(__xludf.DUMMYFUNCTION("GOOGLETRANSLATE(F6311, ""auto"", ""en"")
"),"No")</f>
        <v>No</v>
      </c>
    </row>
    <row r="6312" spans="1:9" x14ac:dyDescent="0.3">
      <c r="A6312" s="1" t="s">
        <v>149</v>
      </c>
      <c r="B6312" s="1" t="s">
        <v>155</v>
      </c>
      <c r="C6312" s="1" t="s">
        <v>63</v>
      </c>
      <c r="D6312" s="1" t="s">
        <v>134</v>
      </c>
      <c r="E6312" s="1" t="s">
        <v>6484</v>
      </c>
      <c r="F6312" s="1" t="s">
        <v>10041</v>
      </c>
      <c r="G6312" s="1" t="s">
        <v>49</v>
      </c>
      <c r="H6312" s="1" t="s">
        <v>16</v>
      </c>
      <c r="I6312" s="1" t="str">
        <f ca="1">IFERROR(__xludf.DUMMYFUNCTION("GOOGLETRANSLATE(F6312, ""auto"", ""en"")
"),"I agree with the one-star reviews. We bought a vacuum cleaner a year ago.  After two months of operation, it periodically began to turn off, although all the filters were cleaned and the container was empty. Disappointed with the purchase.")</f>
        <v>I agree with the one-star reviews. We bought a vacuum cleaner a year ago.  After two months of operation, it periodically began to turn off, although all the filters were cleaned and the container was empty. Disappointed with the purchase.</v>
      </c>
    </row>
    <row r="6313" spans="1:9" x14ac:dyDescent="0.3">
      <c r="A6313" s="1" t="s">
        <v>61</v>
      </c>
      <c r="B6313" s="1" t="s">
        <v>318</v>
      </c>
      <c r="C6313" s="1" t="s">
        <v>57</v>
      </c>
      <c r="D6313" s="1" t="s">
        <v>114</v>
      </c>
      <c r="E6313" s="1" t="s">
        <v>288</v>
      </c>
      <c r="F6313" s="1" t="s">
        <v>10042</v>
      </c>
      <c r="G6313" s="1" t="s">
        <v>49</v>
      </c>
      <c r="H6313" s="1" t="s">
        <v>16</v>
      </c>
      <c r="I6313" s="1" t="str">
        <f ca="1">IFERROR(__xludf.DUMMYFUNCTION("GOOGLETRANSLATE(F6313, ""auto"", ""en"")
"),"I have never seen a worse kettle - it leaked 2 months after purchase, then it worked for another 4 months in the mode of boiling water and pouring it out faster, and burned... I do not recommend buying it!")</f>
        <v>I have never seen a worse kettle - it leaked 2 months after purchase, then it worked for another 4 months in the mode of boiling water and pouring it out faster, and burned... I do not recommend buying it!</v>
      </c>
    </row>
    <row r="6314" spans="1:9" x14ac:dyDescent="0.3">
      <c r="A6314" s="1" t="s">
        <v>61</v>
      </c>
      <c r="B6314" s="1" t="s">
        <v>318</v>
      </c>
      <c r="C6314" s="1" t="s">
        <v>122</v>
      </c>
      <c r="D6314" s="1" t="s">
        <v>127</v>
      </c>
      <c r="E6314" s="1" t="s">
        <v>472</v>
      </c>
      <c r="F6314" s="1" t="s">
        <v>10043</v>
      </c>
      <c r="G6314" s="1" t="s">
        <v>36</v>
      </c>
      <c r="H6314" s="1" t="s">
        <v>29</v>
      </c>
      <c r="I6314" s="1" t="str">
        <f ca="1">IFERROR(__xludf.DUMMYFUNCTION("GOOGLETRANSLATE(F6314, ""auto"", ""en"")
"),"I bought it to replace the kettle. Much more convenient to use. The water is always hot. Used for 3 months. Nothing is leaking. You can prepare tea at any time without waiting for it to boil. Apparently, due to the purification system, the water tastes di"&amp;"fferent from the one in the kettle. The plastic is good, not smelly like some cheap models")</f>
        <v>I bought it to replace the kettle. Much more convenient to use. The water is always hot. Used for 3 months. Nothing is leaking. You can prepare tea at any time without waiting for it to boil. Apparently, due to the purification system, the water tastes different from the one in the kettle. The plastic is good, not smelly like some cheap models</v>
      </c>
    </row>
    <row r="6315" spans="1:9" x14ac:dyDescent="0.3">
      <c r="A6315" s="1" t="s">
        <v>61</v>
      </c>
      <c r="B6315" s="1" t="s">
        <v>318</v>
      </c>
      <c r="C6315" s="1" t="s">
        <v>122</v>
      </c>
      <c r="D6315" s="1" t="s">
        <v>420</v>
      </c>
      <c r="E6315" s="1" t="s">
        <v>8488</v>
      </c>
      <c r="F6315" s="1" t="s">
        <v>10044</v>
      </c>
      <c r="G6315" s="1" t="s">
        <v>36</v>
      </c>
      <c r="H6315" s="1" t="s">
        <v>29</v>
      </c>
      <c r="I6315" s="1" t="str">
        <f ca="1">IFERROR(__xludf.DUMMYFUNCTION("GOOGLETRANSLATE(F6315, ""auto"", ""en"")
"),"In a thermopot, the water is always hot, you don’t have to wait for it to boil, press and pour, and the volume is larger. Plus it doesn’t cool down for a very long time like in a thermos and, most importantly, it’s much more economical than a kettle in te"&amp;"rms of electricity, I recommend it to all my friends and tea lovers!")</f>
        <v>In a thermopot, the water is always hot, you don’t have to wait for it to boil, press and pour, and the volume is larger. Plus it doesn’t cool down for a very long time like in a thermos and, most importantly, it’s much more economical than a kettle in terms of electricity, I recommend it to all my friends and tea lovers!</v>
      </c>
    </row>
    <row r="6316" spans="1:9" x14ac:dyDescent="0.3">
      <c r="A6316" s="1" t="s">
        <v>30</v>
      </c>
      <c r="B6316" s="1" t="s">
        <v>50</v>
      </c>
      <c r="C6316" s="1" t="s">
        <v>1003</v>
      </c>
      <c r="D6316" s="1" t="s">
        <v>10045</v>
      </c>
      <c r="E6316" s="1" t="s">
        <v>814</v>
      </c>
      <c r="F6316" s="1" t="s">
        <v>10046</v>
      </c>
      <c r="G6316" s="1" t="s">
        <v>36</v>
      </c>
      <c r="H6316" s="1" t="s">
        <v>29</v>
      </c>
      <c r="I6316" s="1" t="str">
        <f ca="1">IFERROR(__xludf.DUMMYFUNCTION("GOOGLETRANSLATE(F6316, ""auto"", ""en"")
"),"I really like it!!! although I have a HP Pavilion dv6-1230er Laptop, by the way, the cooling stand is right! and we also compared the colors qualitatively =))) Mine is already a year old... I'm happy!!! and the guy here installed the games...")</f>
        <v>I really like it!!! although I have a HP Pavilion dv6-1230er Laptop, by the way, the cooling stand is right! and we also compared the colors qualitatively =))) Mine is already a year old... I'm happy!!! and the guy here installed the games...</v>
      </c>
    </row>
    <row r="6317" spans="1:9" x14ac:dyDescent="0.3">
      <c r="A6317" s="1" t="s">
        <v>61</v>
      </c>
      <c r="B6317" s="1" t="s">
        <v>977</v>
      </c>
      <c r="C6317" s="1" t="s">
        <v>101</v>
      </c>
      <c r="D6317" s="1" t="s">
        <v>545</v>
      </c>
      <c r="E6317" s="1" t="s">
        <v>9082</v>
      </c>
      <c r="F6317" s="1" t="s">
        <v>10047</v>
      </c>
      <c r="G6317" s="1" t="s">
        <v>28</v>
      </c>
      <c r="H6317" s="1" t="s">
        <v>29</v>
      </c>
      <c r="I6317" s="1" t="str">
        <f ca="1">IFERROR(__xludf.DUMMYFUNCTION("GOOGLETRANSLATE(F6317, ""auto"", ""en"")
"),"I bought this blender about three years ago, which is surprising - it’s still alive))) Maybe because I rarely use it.. And not for 15 minutes, like some, but for 1 minute somewhere and let it rest, it starts to heat up, and in a minute you can grind a gla"&amp;"ss of soup or a tomato. In general, when I brought it home, the knives seemed dull to me, the meat in the mill did not grind at all, it was only smeared around the edges, I had to sharpen it with a stone and it became quite good. It was not possible to sh"&amp;"arpen the immersion blender because the knives are inside, but it does a good job anyway. Puree soups, gazpacho, mayonnaise, tomato sauce - everything turned out well. The only thing is that I couldn’t beat it with a whisk; I use a regular mixer.")</f>
        <v>I bought this blender about three years ago, which is surprising - it’s still alive))) Maybe because I rarely use it.. And not for 15 minutes, like some, but for 1 minute somewhere and let it rest, it starts to heat up, and in a minute you can grind a glass of soup or a tomato. In general, when I brought it home, the knives seemed dull to me, the meat in the mill did not grind at all, it was only smeared around the edges, I had to sharpen it with a stone and it became quite good. It was not possible to sharpen the immersion blender because the knives are inside, but it does a good job anyway. Puree soups, gazpacho, mayonnaise, tomato sauce - everything turned out well. The only thing is that I couldn’t beat it with a whisk; I use a regular mixer.</v>
      </c>
    </row>
    <row r="6318" spans="1:9" x14ac:dyDescent="0.3">
      <c r="A6318" s="1" t="s">
        <v>61</v>
      </c>
      <c r="B6318" s="1" t="s">
        <v>224</v>
      </c>
      <c r="C6318" s="1" t="s">
        <v>85</v>
      </c>
      <c r="D6318" s="1" t="s">
        <v>695</v>
      </c>
      <c r="E6318" s="1" t="s">
        <v>4394</v>
      </c>
      <c r="F6318" s="1" t="s">
        <v>10048</v>
      </c>
      <c r="G6318" s="1" t="s">
        <v>49</v>
      </c>
      <c r="H6318" s="1" t="s">
        <v>16</v>
      </c>
      <c r="I6318" s="1" t="str">
        <f ca="1">IFERROR(__xludf.DUMMYFUNCTION("GOOGLETRANSLATE(F6318, ""auto"", ""en"")
"),"I bought it today, the manager from the m video highly recommended it, like Bork is a reliable company, some kind of steel coating on the grater, high-quality assembly, etc. I went to the market and bought 1 kg of different types of apples and carrots. I "&amp;"arrived, washed it, and started the process... the first two apples flew by normally, but after the 5th apple it was terrible... the puree started... it was everywhere... and behind the supposedly super filter... in all corners of the juicer.. and this ve"&amp;"ry substance began to fall and roll into the juice. The pulp is very wet, and this is actually the reason for all the problems, the fact that it is very wet and began to literally stick to all parts of the juicer... because of this, it turns out to be pur"&amp;"ee... soap.. I tried the same thing with carrots... Result: If you want puree, buy this model! I immediately washed it and took it to the store, they didn’t want to accept it, they didn’t believe me, they wanted to run to the store for apples, I said ahea"&amp;"d and with a song, but they still didn’t and returned the money!")</f>
        <v>I bought it today, the manager from the m video highly recommended it, like Bork is a reliable company, some kind of steel coating on the grater, high-quality assembly, etc. I went to the market and bought 1 kg of different types of apples and carrots. I arrived, washed it, and started the process... the first two apples flew by normally, but after the 5th apple it was terrible... the puree started... it was everywhere... and behind the supposedly super filter... in all corners of the juicer.. and this very substance began to fall and roll into the juice. The pulp is very wet, and this is actually the reason for all the problems, the fact that it is very wet and began to literally stick to all parts of the juicer... because of this, it turns out to be puree... soap.. I tried the same thing with carrots... Result: If you want puree, buy this model! I immediately washed it and took it to the store, they didn’t want to accept it, they didn’t believe me, they wanted to run to the store for apples, I said ahead and with a song, but they still didn’t and returned the money!</v>
      </c>
    </row>
    <row r="6319" spans="1:9" x14ac:dyDescent="0.3">
      <c r="A6319" s="1" t="s">
        <v>17</v>
      </c>
      <c r="B6319" s="1" t="s">
        <v>18</v>
      </c>
      <c r="C6319" s="1" t="s">
        <v>151</v>
      </c>
      <c r="D6319" s="1" t="s">
        <v>4136</v>
      </c>
      <c r="E6319" s="1" t="s">
        <v>2533</v>
      </c>
      <c r="F6319" s="1" t="s">
        <v>10049</v>
      </c>
      <c r="G6319" s="1" t="s">
        <v>36</v>
      </c>
      <c r="H6319" s="1" t="s">
        <v>29</v>
      </c>
      <c r="I6319" s="1" t="str">
        <f ca="1">IFERROR(__xludf.DUMMYFUNCTION("GOOGLETRANSLATE(F6319, ""auto"", ""en"")
"),"Excellent machine. I bought it on March 8th as a promotion, waited a week. I’m happy with everything.")</f>
        <v>Excellent machine. I bought it on March 8th as a promotion, waited a week. I’m happy with everything.</v>
      </c>
    </row>
    <row r="6320" spans="1:9" x14ac:dyDescent="0.3">
      <c r="A6320" s="1" t="s">
        <v>206</v>
      </c>
      <c r="B6320" s="1" t="s">
        <v>1253</v>
      </c>
      <c r="C6320" s="1" t="s">
        <v>1254</v>
      </c>
      <c r="D6320" s="1" t="s">
        <v>52</v>
      </c>
      <c r="E6320" s="1" t="s">
        <v>7855</v>
      </c>
      <c r="F6320" s="1" t="s">
        <v>10050</v>
      </c>
      <c r="G6320" s="1" t="s">
        <v>36</v>
      </c>
      <c r="H6320" s="1" t="s">
        <v>29</v>
      </c>
      <c r="I6320" s="1" t="str">
        <f ca="1">IFERROR(__xludf.DUMMYFUNCTION("GOOGLETRANSLATE(F6320, ""auto"", ""en"")
"),"Excellent walkie-talkies, complete with everything you need. Takes far You need to first wait a couple of seconds before speaking so as not to lose words. for fishing or mushroom picking it’s just right.")</f>
        <v>Excellent walkie-talkies, complete with everything you need. Takes far You need to first wait a couple of seconds before speaking so as not to lose words. for fishing or mushroom picking it’s just right.</v>
      </c>
    </row>
    <row r="6321" spans="1:9" x14ac:dyDescent="0.3">
      <c r="A6321" s="1" t="s">
        <v>105</v>
      </c>
      <c r="B6321" s="1" t="s">
        <v>106</v>
      </c>
      <c r="C6321" s="1" t="s">
        <v>1921</v>
      </c>
      <c r="D6321" s="1" t="s">
        <v>117</v>
      </c>
      <c r="E6321" s="1" t="s">
        <v>2533</v>
      </c>
      <c r="F6321" s="1" t="s">
        <v>10051</v>
      </c>
      <c r="G6321" s="1" t="s">
        <v>36</v>
      </c>
      <c r="H6321" s="1" t="s">
        <v>29</v>
      </c>
      <c r="I6321" s="1" t="str">
        <f ca="1">IFERROR(__xludf.DUMMYFUNCTION("GOOGLETRANSLATE(F6321, ""auto"", ""en"")
"),"Hello everyone, the player is good, but it just freezes when you turn on the game... It’s easy to deal with this problem: there is such a small hole with the inscription “reset”, just press it with a needle and it will turn off, and then turn it on again "&amp;"and everything will be fine. I just advise you to delete all the games so that there is no temptation... and why play then? It's a player... so enjoy listening everyone!)")</f>
        <v>Hello everyone, the player is good, but it just freezes when you turn on the game... It’s easy to deal with this problem: there is such a small hole with the inscription “reset”, just press it with a needle and it will turn off, and then turn it on again and everything will be fine. I just advise you to delete all the games so that there is no temptation... and why play then? It's a player... so enjoy listening everyone!)</v>
      </c>
    </row>
    <row r="6322" spans="1:9" x14ac:dyDescent="0.3">
      <c r="A6322" s="1" t="s">
        <v>120</v>
      </c>
      <c r="B6322" s="1" t="s">
        <v>126</v>
      </c>
      <c r="C6322" s="1" t="s">
        <v>122</v>
      </c>
      <c r="D6322" s="1" t="s">
        <v>10052</v>
      </c>
      <c r="E6322" s="1" t="s">
        <v>1000</v>
      </c>
      <c r="F6322" s="1" t="s">
        <v>10053</v>
      </c>
      <c r="G6322" s="1" t="s">
        <v>28</v>
      </c>
      <c r="H6322" s="1" t="s">
        <v>29</v>
      </c>
      <c r="I6322" s="1" t="str">
        <f ca="1">IFERROR(__xludf.DUMMYFUNCTION("GOOGLETRANSLATE(F6322, ""auto"", ""en"")
"),"In the preview (you can see it above), this TV loudly says “TX-PR42 C10 is amazing...” In fact, this is just a good TV, the picture is very good and clear, I liked it, nice design, all the necessary connectors, contacts well with the computer. A high-qual"&amp;"ity entry-level model.   Although you can add a few thousand and buy a cooler TV than the Panasonic TX-PR65 V10, it even has full HD.   I would have done just that, but I didn’t have those few thousand, I bought the C10. I’m using it, I’m happy, I like th"&amp;"e quality")</f>
        <v>In the preview (you can see it above), this TV loudly says “TX-PR42 C10 is amazing...” In fact, this is just a good TV, the picture is very good and clear, I liked it, nice design, all the necessary connectors, contacts well with the computer. A high-quality entry-level model.   Although you can add a few thousand and buy a cooler TV than the Panasonic TX-PR65 V10, it even has full HD.   I would have done just that, but I didn’t have those few thousand, I bought the C10. I’m using it, I’m happy, I like the quality</v>
      </c>
    </row>
    <row r="6323" spans="1:9" x14ac:dyDescent="0.3">
      <c r="A6323" s="1" t="s">
        <v>67</v>
      </c>
      <c r="B6323" s="1" t="s">
        <v>68</v>
      </c>
      <c r="C6323" s="1" t="s">
        <v>246</v>
      </c>
      <c r="D6323" s="1" t="s">
        <v>545</v>
      </c>
      <c r="E6323" s="1" t="s">
        <v>2896</v>
      </c>
      <c r="F6323" s="1" t="s">
        <v>10054</v>
      </c>
      <c r="G6323" s="1" t="s">
        <v>36</v>
      </c>
      <c r="H6323" s="1" t="s">
        <v>29</v>
      </c>
      <c r="I6323" s="1" t="str">
        <f ca="1">IFERROR(__xludf.DUMMYFUNCTION("GOOGLETRANSLATE(F6323, ""auto"", ""en"")
"),"in the store, a girl consultant told me so much about this model that I couldn’t resist and bought an iron... now I iron everything I see)) I really like the iron... thanks to the wonderful consultants for the competent advice and help in choosing))")</f>
        <v>in the store, a girl consultant told me so much about this model that I couldn’t resist and bought an iron... now I iron everything I see)) I really like the iron... thanks to the wonderful consultants for the competent advice and help in choosing))</v>
      </c>
    </row>
    <row r="6324" spans="1:9" x14ac:dyDescent="0.3">
      <c r="A6324" s="1" t="s">
        <v>169</v>
      </c>
      <c r="B6324" s="1" t="s">
        <v>170</v>
      </c>
      <c r="C6324" s="1" t="s">
        <v>193</v>
      </c>
      <c r="D6324" s="1" t="s">
        <v>127</v>
      </c>
      <c r="E6324" s="1" t="s">
        <v>2793</v>
      </c>
      <c r="F6324" s="1" t="s">
        <v>10055</v>
      </c>
      <c r="G6324" s="1" t="s">
        <v>28</v>
      </c>
      <c r="H6324" s="1" t="s">
        <v>29</v>
      </c>
      <c r="I6324" s="1" t="str">
        <f ca="1">IFERROR(__xludf.DUMMYFUNCTION("GOOGLETRANSLATE(F6324, ""auto"", ""en"")
"),"I bought Sennheiser RS-140 headphones at the beginning of July at M-video at the Armada shopping center. To watch movies on your computer.  When I brought it home, it turned out that instead of batteries, Duracell batteries were included in the kit. It is"&amp;" unclear where they were changed. It's my own fault, I should have read the instructions before checking it in the store. Minor drawback: the balance adjustment always gets lost when you lie on the pillow. The signal transmission in the headphones is anal"&amp;"og, there is slight noise. What was especially pleasing was that they fit the head and ears. Nothing presses or interferes. Sound insulation is good. The headphones do their job.")</f>
        <v>I bought Sennheiser RS-140 headphones at the beginning of July at M-video at the Armada shopping center. To watch movies on your computer.  When I brought it home, it turned out that instead of batteries, Duracell batteries were included in the kit. It is unclear where they were changed. It's my own fault, I should have read the instructions before checking it in the store. Minor drawback: the balance adjustment always gets lost when you lie on the pillow. The signal transmission in the headphones is analog, there is slight noise. What was especially pleasing was that they fit the head and ears. Nothing presses or interferes. Sound insulation is good. The headphones do their job.</v>
      </c>
    </row>
    <row r="6325" spans="1:9" x14ac:dyDescent="0.3">
      <c r="A6325" s="1" t="s">
        <v>477</v>
      </c>
      <c r="B6325" s="1" t="s">
        <v>478</v>
      </c>
      <c r="C6325" s="1" t="s">
        <v>479</v>
      </c>
      <c r="D6325" s="1" t="s">
        <v>10056</v>
      </c>
      <c r="E6325" s="1" t="s">
        <v>2176</v>
      </c>
      <c r="F6325" s="1" t="s">
        <v>10057</v>
      </c>
      <c r="G6325" s="1" t="s">
        <v>36</v>
      </c>
      <c r="H6325" s="1" t="s">
        <v>29</v>
      </c>
      <c r="I6325" s="1" t="str">
        <f ca="1">IFERROR(__xludf.DUMMYFUNCTION("GOOGLETRANSLATE(F6325, ""auto"", ""en"")
"),"First of all, Mafia 2 is cool! Incredibly cool.  - excellent graphics for an open-world game, realizing the capabilities of PhisX - amazing music - cool plot, you play the game as if you were watching a movie - the individuality of each character has been"&amp;" achieved - the atmosphere of the 40s-50s of the 20th century is perfectly conveyed - in general, the game is simply addictive If you look deeper, for a person who is in awe of the first part of the Mafia, one cannot help but notice the shortcomings: - a "&amp;"significant part of the missions, cars, and opportunities promised by the manufacturers were cut out from the final version of the game - All endings except one are cut out (that is, the plot is 100% linear) - there is no free ride mode, so beloved by eve"&amp;"ryone in the first part - you cannot use public transport - there are no bladed weapons - the ending is not as dramatic and charismatic as in the first part of the game (although, on the other hand, this is a clear hint at a continuation)")</f>
        <v>First of all, Mafia 2 is cool! Incredibly cool.  - excellent graphics for an open-world game, realizing the capabilities of PhisX - amazing music - cool plot, you play the game as if you were watching a movie - the individuality of each character has been achieved - the atmosphere of the 40s-50s of the 20th century is perfectly conveyed - in general, the game is simply addictive If you look deeper, for a person who is in awe of the first part of the Mafia, one cannot help but notice the shortcomings: - a significant part of the missions, cars, and opportunities promised by the manufacturers were cut out from the final version of the game - All endings except one are cut out (that is, the plot is 100% linear) - there is no free ride mode, so beloved by everyone in the first part - you cannot use public transport - there are no bladed weapons - the ending is not as dramatic and charismatic as in the first part of the game (although, on the other hand, this is a clear hint at a continuation)</v>
      </c>
    </row>
    <row r="6326" spans="1:9" x14ac:dyDescent="0.3">
      <c r="A6326" s="1" t="s">
        <v>9</v>
      </c>
      <c r="B6326" s="1" t="s">
        <v>133</v>
      </c>
      <c r="C6326" s="1" t="s">
        <v>290</v>
      </c>
      <c r="D6326" s="1" t="s">
        <v>411</v>
      </c>
      <c r="E6326" s="1" t="s">
        <v>6912</v>
      </c>
      <c r="F6326" s="1" t="s">
        <v>10058</v>
      </c>
      <c r="G6326" s="1" t="s">
        <v>36</v>
      </c>
      <c r="H6326" s="1" t="s">
        <v>29</v>
      </c>
      <c r="I6326" s="1" t="str">
        <f ca="1">IFERROR(__xludf.DUMMYFUNCTION("GOOGLETRANSLATE(F6326, ""auto"", ""en"")
"),"Great oven. I've been using it for 3 years = 0 problems")</f>
        <v>Great oven. I've been using it for 3 years = 0 problems</v>
      </c>
    </row>
    <row r="6327" spans="1:9" x14ac:dyDescent="0.3">
      <c r="A6327" s="1" t="s">
        <v>61</v>
      </c>
      <c r="B6327" s="1" t="s">
        <v>224</v>
      </c>
      <c r="C6327" s="1" t="s">
        <v>85</v>
      </c>
      <c r="D6327" s="1" t="s">
        <v>152</v>
      </c>
      <c r="E6327" s="1" t="s">
        <v>2772</v>
      </c>
      <c r="F6327" s="1" t="s">
        <v>10059</v>
      </c>
      <c r="G6327" s="1" t="s">
        <v>36</v>
      </c>
      <c r="H6327" s="1" t="s">
        <v>29</v>
      </c>
      <c r="I6327" s="1" t="str">
        <f ca="1">IFERROR(__xludf.DUMMYFUNCTION("GOOGLETRANSLATE(F6327, ""auto"", ""en"")
"),"Great juicer! I chose it specifically for the dacha, I thought to buy it cheaper because... Previously, the juicer was enough for a season at most, the seller persuaded me to buy this beauty, it’s been working for three years, the juice is clean, the pulp"&amp;" is dry (in a reasonable sense), I squeeze out large volumes, it copes with a bang! I recommend it to everyone!")</f>
        <v>Great juicer! I chose it specifically for the dacha, I thought to buy it cheaper because... Previously, the juicer was enough for a season at most, the seller persuaded me to buy this beauty, it’s been working for three years, the juice is clean, the pulp is dry (in a reasonable sense), I squeeze out large volumes, it copes with a bang! I recommend it to everyone!</v>
      </c>
    </row>
    <row r="6328" spans="1:9" x14ac:dyDescent="0.3">
      <c r="A6328" s="1" t="s">
        <v>169</v>
      </c>
      <c r="B6328" s="1" t="s">
        <v>170</v>
      </c>
      <c r="C6328" s="1" t="s">
        <v>171</v>
      </c>
      <c r="D6328" s="1" t="s">
        <v>10060</v>
      </c>
      <c r="E6328" s="1" t="s">
        <v>164</v>
      </c>
      <c r="F6328" s="1" t="s">
        <v>10061</v>
      </c>
      <c r="G6328" s="1" t="s">
        <v>49</v>
      </c>
      <c r="H6328" s="1" t="s">
        <v>16</v>
      </c>
      <c r="I6328" s="1" t="str">
        <f ca="1">IFERROR(__xludf.DUMMYFUNCTION("GOOGLETRANSLATE(F6328, ""auto"", ""en"")
"),"Sounds disgusting.")</f>
        <v>Sounds disgusting.</v>
      </c>
    </row>
    <row r="6329" spans="1:9" x14ac:dyDescent="0.3">
      <c r="A6329" s="1" t="s">
        <v>37</v>
      </c>
      <c r="B6329" s="1" t="s">
        <v>38</v>
      </c>
      <c r="C6329" s="1" t="s">
        <v>151</v>
      </c>
      <c r="D6329" s="1" t="s">
        <v>46</v>
      </c>
      <c r="E6329" s="1" t="s">
        <v>386</v>
      </c>
      <c r="F6329" s="1" t="s">
        <v>10062</v>
      </c>
      <c r="G6329" s="1" t="s">
        <v>28</v>
      </c>
      <c r="H6329" s="1" t="s">
        <v>29</v>
      </c>
      <c r="I6329" s="1" t="str">
        <f ca="1">IFERROR(__xludf.DUMMYFUNCTION("GOOGLETRANSLATE(F6329, ""auto"", ""en"")
"),"The phone is good, but texting is not convenient")</f>
        <v>The phone is good, but texting is not convenient</v>
      </c>
    </row>
    <row r="6330" spans="1:9" x14ac:dyDescent="0.3">
      <c r="A6330" s="1" t="s">
        <v>149</v>
      </c>
      <c r="B6330" s="1" t="s">
        <v>576</v>
      </c>
      <c r="C6330" s="1" t="s">
        <v>151</v>
      </c>
      <c r="D6330" s="1" t="s">
        <v>10063</v>
      </c>
      <c r="E6330" s="1" t="s">
        <v>7696</v>
      </c>
      <c r="F6330" s="1" t="s">
        <v>10064</v>
      </c>
      <c r="G6330" s="1" t="s">
        <v>49</v>
      </c>
      <c r="H6330" s="1" t="s">
        <v>16</v>
      </c>
      <c r="I6330" s="1" t="str">
        <f ca="1">IFERROR(__xludf.DUMMYFUNCTION("GOOGLETRANSLATE(F6330, ""auto"", ""en"")
"),"The best vacuum cleaner, but I didn’t buy it in the video")</f>
        <v>The best vacuum cleaner, but I didn’t buy it in the video</v>
      </c>
    </row>
    <row r="6331" spans="1:9" x14ac:dyDescent="0.3">
      <c r="A6331" s="1" t="s">
        <v>61</v>
      </c>
      <c r="B6331" s="1" t="s">
        <v>73</v>
      </c>
      <c r="C6331" s="1" t="s">
        <v>85</v>
      </c>
      <c r="D6331" s="1" t="s">
        <v>75</v>
      </c>
      <c r="E6331" s="1" t="s">
        <v>10065</v>
      </c>
      <c r="F6331" s="1" t="s">
        <v>10066</v>
      </c>
      <c r="G6331" s="1" t="s">
        <v>15</v>
      </c>
      <c r="H6331" s="1" t="s">
        <v>16</v>
      </c>
      <c r="I6331" s="1" t="str">
        <f ca="1">IFERROR(__xludf.DUMMYFUNCTION("GOOGLETRANSLATE(F6331, ""auto"", ""en"")
"),"The quiet one grinded well, but there were still problems with power... 2 kg of meat was ground for 30 minutes. but it says 2 kg per minute!!!")</f>
        <v>The quiet one grinded well, but there were still problems with power... 2 kg of meat was ground for 30 minutes. but it says 2 kg per minute!!!</v>
      </c>
    </row>
    <row r="6332" spans="1:9" x14ac:dyDescent="0.3">
      <c r="A6332" s="1" t="s">
        <v>30</v>
      </c>
      <c r="B6332" s="1" t="s">
        <v>50</v>
      </c>
      <c r="C6332" s="1" t="s">
        <v>151</v>
      </c>
      <c r="D6332" s="1" t="s">
        <v>280</v>
      </c>
      <c r="E6332" s="1" t="s">
        <v>597</v>
      </c>
      <c r="F6332" s="1" t="s">
        <v>10067</v>
      </c>
      <c r="G6332" s="1" t="s">
        <v>28</v>
      </c>
      <c r="H6332" s="1" t="s">
        <v>29</v>
      </c>
      <c r="I6332" s="1" t="str">
        <f ca="1">IFERROR(__xludf.DUMMYFUNCTION("GOOGLETRANSLATE(F6332, ""auto"", ""en"")
"),"Well, the first day from the date of sale.  No glitches or problems were found.  This laptop is a good horse for work, but not for games.")</f>
        <v>Well, the first day from the date of sale.  No glitches or problems were found.  This laptop is a good horse for work, but not for games.</v>
      </c>
    </row>
    <row r="6333" spans="1:9" x14ac:dyDescent="0.3">
      <c r="A6333" s="1" t="s">
        <v>1443</v>
      </c>
      <c r="B6333" s="1" t="s">
        <v>4684</v>
      </c>
      <c r="C6333" s="1" t="s">
        <v>97</v>
      </c>
      <c r="D6333" s="1" t="s">
        <v>10068</v>
      </c>
      <c r="E6333" s="1" t="s">
        <v>670</v>
      </c>
      <c r="F6333" s="1" t="s">
        <v>10069</v>
      </c>
      <c r="G6333" s="1" t="s">
        <v>36</v>
      </c>
      <c r="H6333" s="1" t="s">
        <v>29</v>
      </c>
      <c r="I6333" s="1" t="str">
        <f ca="1">IFERROR(__xludf.DUMMYFUNCTION("GOOGLETRANSLATE(F6333, ""auto"", ""en"")
"),"My old Sony camera with mini DV lay idle for a very long time, I was already thinking about throwing it away, until I came across cassettes for it. Everything in the camera is working, the optics are not weak even by modern standards. I gave it to my daug"&amp;"hter and bought a couple of these cassettes for her. Cassettes are classic, maximum recording length is an hour. Can be rewritten. The film is durable and does not tear. It plays in the player without problems. I'm very glad they are still selling them. M"&amp;"y daughter is delighted with the gift. he films and writes almost all day long.")</f>
        <v>My old Sony camera with mini DV lay idle for a very long time, I was already thinking about throwing it away, until I came across cassettes for it. Everything in the camera is working, the optics are not weak even by modern standards. I gave it to my daughter and bought a couple of these cassettes for her. Cassettes are classic, maximum recording length is an hour. Can be rewritten. The film is durable and does not tear. It plays in the player without problems. I'm very glad they are still selling them. My daughter is delighted with the gift. he films and writes almost all day long.</v>
      </c>
    </row>
    <row r="6334" spans="1:9" x14ac:dyDescent="0.3">
      <c r="A6334" s="1" t="s">
        <v>61</v>
      </c>
      <c r="B6334" s="1" t="s">
        <v>318</v>
      </c>
      <c r="C6334" s="1" t="s">
        <v>85</v>
      </c>
      <c r="D6334" s="1" t="s">
        <v>12</v>
      </c>
      <c r="E6334" s="1" t="s">
        <v>1292</v>
      </c>
      <c r="F6334" s="1" t="s">
        <v>10070</v>
      </c>
      <c r="G6334" s="1" t="s">
        <v>36</v>
      </c>
      <c r="H6334" s="1" t="s">
        <v>29</v>
      </c>
      <c r="I6334" s="1" t="str">
        <f ca="1">IFERROR(__xludf.DUMMYFUNCTION("GOOGLETRANSLATE(F6334, ""auto"", ""en"")
"),"safety, ease of use due to backlighting")</f>
        <v>safety, ease of use due to backlighting</v>
      </c>
    </row>
    <row r="6335" spans="1:9" x14ac:dyDescent="0.3">
      <c r="A6335" s="1" t="s">
        <v>55</v>
      </c>
      <c r="B6335" s="1" t="s">
        <v>84</v>
      </c>
      <c r="C6335" s="1" t="s">
        <v>159</v>
      </c>
      <c r="D6335" s="1" t="s">
        <v>172</v>
      </c>
      <c r="E6335" s="1" t="s">
        <v>5798</v>
      </c>
      <c r="F6335" s="1" t="s">
        <v>10071</v>
      </c>
      <c r="G6335" s="1" t="s">
        <v>28</v>
      </c>
      <c r="H6335" s="1" t="s">
        <v>29</v>
      </c>
      <c r="I6335" s="1" t="str">
        <f ca="1">IFERROR(__xludf.DUMMYFUNCTION("GOOGLETRANSLATE(F6335, ""auto"", ""en"")
"),"Used in a living room of 20 sq.m. To achieve a “visible” effect, the device must operate for at least 14 hours with the windows closed at maximum speed. Overall satisfied, but very slow unit.))))")</f>
        <v>Used in a living room of 20 sq.m. To achieve a “visible” effect, the device must operate for at least 14 hours with the windows closed at maximum speed. Overall satisfied, but very slow unit.))))</v>
      </c>
    </row>
    <row r="6336" spans="1:9" x14ac:dyDescent="0.3">
      <c r="A6336" s="1" t="s">
        <v>9</v>
      </c>
      <c r="B6336" s="1" t="s">
        <v>10</v>
      </c>
      <c r="C6336" s="1" t="s">
        <v>407</v>
      </c>
      <c r="D6336" s="1" t="s">
        <v>695</v>
      </c>
      <c r="E6336" s="1" t="s">
        <v>7497</v>
      </c>
      <c r="F6336" s="1" t="s">
        <v>10072</v>
      </c>
      <c r="G6336" s="1" t="s">
        <v>15</v>
      </c>
      <c r="H6336" s="1" t="s">
        <v>16</v>
      </c>
      <c r="I6336" s="1" t="str">
        <f ca="1">IFERROR(__xludf.DUMMYFUNCTION("GOOGLETRANSLATE(F6336, ""auto"", ""en"")
"),"3 speeds")</f>
        <v>3 speeds</v>
      </c>
    </row>
    <row r="6337" spans="1:9" x14ac:dyDescent="0.3">
      <c r="A6337" s="1" t="s">
        <v>43</v>
      </c>
      <c r="B6337" s="1" t="s">
        <v>502</v>
      </c>
      <c r="C6337" s="1" t="s">
        <v>151</v>
      </c>
      <c r="D6337" s="1" t="s">
        <v>171</v>
      </c>
      <c r="E6337" s="1" t="s">
        <v>10073</v>
      </c>
      <c r="F6337" s="1" t="s">
        <v>10074</v>
      </c>
      <c r="G6337" s="1" t="s">
        <v>36</v>
      </c>
      <c r="H6337" s="1" t="s">
        <v>29</v>
      </c>
      <c r="I6337" s="1" t="str">
        <f ca="1">IFERROR(__xludf.DUMMYFUNCTION("GOOGLETRANSLATE(F6337, ""auto"", ""en"")
"),"We recently installed this air conditioner, there is no noise as you say, it works quietly! Why write all this nonsense that it works like a tractor! It should install properly!")</f>
        <v>We recently installed this air conditioner, there is no noise as you say, it works quietly! Why write all this nonsense that it works like a tractor! It should install properly!</v>
      </c>
    </row>
    <row r="6338" spans="1:9" x14ac:dyDescent="0.3">
      <c r="A6338" s="1" t="s">
        <v>9</v>
      </c>
      <c r="B6338" s="1" t="s">
        <v>10</v>
      </c>
      <c r="C6338" s="1" t="s">
        <v>466</v>
      </c>
      <c r="D6338" s="1" t="s">
        <v>114</v>
      </c>
      <c r="E6338" s="1" t="s">
        <v>10075</v>
      </c>
      <c r="F6338" s="1" t="s">
        <v>10076</v>
      </c>
      <c r="G6338" s="1" t="s">
        <v>28</v>
      </c>
      <c r="H6338" s="1" t="s">
        <v>29</v>
      </c>
      <c r="I6338" s="1" t="str">
        <f ca="1">IFERROR(__xludf.DUMMYFUNCTION("GOOGLETRANSLATE(F6338, ""auto"", ""en"")
"),"It has been working for a year and a half in carbon filter mode. The light bulbs are, of course, consumables, they burn regularly, but the original carbon filters lasted for 1.5 years from the date of purchase instead of the stated 6 months. Now you need "&amp;"to clean it properly and change the filters. The downside is that it’s noisy, really noisy, but for that kind of money you can get used to it)))")</f>
        <v>It has been working for a year and a half in carbon filter mode. The light bulbs are, of course, consumables, they burn regularly, but the original carbon filters lasted for 1.5 years from the date of purchase instead of the stated 6 months. Now you need to clean it properly and change the filters. The downside is that it’s noisy, really noisy, but for that kind of money you can get used to it)))</v>
      </c>
    </row>
    <row r="6339" spans="1:9" x14ac:dyDescent="0.3">
      <c r="A6339" s="1" t="s">
        <v>30</v>
      </c>
      <c r="B6339" s="1" t="s">
        <v>50</v>
      </c>
      <c r="C6339" s="1" t="s">
        <v>189</v>
      </c>
      <c r="D6339" s="1" t="s">
        <v>152</v>
      </c>
      <c r="E6339" s="1" t="s">
        <v>1065</v>
      </c>
      <c r="F6339" s="1" t="s">
        <v>10077</v>
      </c>
      <c r="G6339" s="1" t="s">
        <v>36</v>
      </c>
      <c r="H6339" s="1" t="s">
        <v>29</v>
      </c>
      <c r="I6339" s="1" t="str">
        <f ca="1">IFERROR(__xludf.DUMMYFUNCTION("GOOGLETRANSLATE(F6339, ""auto"", ""en"")
"),"I've been using the laptop for a week.  The impressions are amazing.  A very powerful machine, it heats up very little and does not make any noise AT ALL!  all heavy applications work perfectly and quickly.  Seven is a little annoying, especially after XP"&amp;".  Well, I’m already used to it. I was pleased with the fairly large and bright screen.  Now the disadvantages (how could we live without them =)): Asus’s design - I personally don’t like it. The build quality is in doubt, I examined the keyboard and I ha"&amp;"d the feeling that after a year or a year and a half the buttons would fall off, although anything could happen... I didn’t like the too flimsy fastenings of the lid, if you constantly open and close the lid they won’t last long either...... I also person"&amp;"ally don’t like the gloss on the laptop - there are fingerprints everywhere, you have to constantly wipe with a cloth. someone may not have enough 3 usb ports... and in general it has few connectors, so if you need a powerful, fast computer - take it - yo"&amp;"u won’t regret it (Stalker Call of Pripyat without brakes on maximum settings - a blast! %) + GTA4 on medium settings is excellent) photoshop and other graphic and editing programs - everything works well and quite quickly.  if you need a beautiful appear"&amp;"ance (taste and color....) and a balance between price and power, look for something else.")</f>
        <v>I've been using the laptop for a week.  The impressions are amazing.  A very powerful machine, it heats up very little and does not make any noise AT ALL!  all heavy applications work perfectly and quickly.  Seven is a little annoying, especially after XP.  Well, I’m already used to it. I was pleased with the fairly large and bright screen.  Now the disadvantages (how could we live without them =)): Asus’s design - I personally don’t like it. The build quality is in doubt, I examined the keyboard and I had the feeling that after a year or a year and a half the buttons would fall off, although anything could happen... I didn’t like the too flimsy fastenings of the lid, if you constantly open and close the lid they won’t last long either...... I also personally don’t like the gloss on the laptop - there are fingerprints everywhere, you have to constantly wipe with a cloth. someone may not have enough 3 usb ports... and in general it has few connectors, so if you need a powerful, fast computer - take it - you won’t regret it (Stalker Call of Pripyat without brakes on maximum settings - a blast! %) + GTA4 on medium settings is excellent) photoshop and other graphic and editing programs - everything works well and quite quickly.  if you need a beautiful appearance (taste and color....) and a balance between price and power, look for something else.</v>
      </c>
    </row>
    <row r="6340" spans="1:9" x14ac:dyDescent="0.3">
      <c r="A6340" s="1" t="s">
        <v>9</v>
      </c>
      <c r="B6340" s="1" t="s">
        <v>133</v>
      </c>
      <c r="C6340" s="1" t="s">
        <v>151</v>
      </c>
      <c r="D6340" s="1" t="s">
        <v>658</v>
      </c>
      <c r="E6340" s="1" t="s">
        <v>10078</v>
      </c>
      <c r="F6340" s="1" t="s">
        <v>10079</v>
      </c>
      <c r="G6340" s="1" t="s">
        <v>36</v>
      </c>
      <c r="H6340" s="1" t="s">
        <v>29</v>
      </c>
      <c r="I6340" s="1" t="str">
        <f ca="1">IFERROR(__xludf.DUMMYFUNCTION("GOOGLETRANSLATE(F6340, ""auto"", ""en"")
"),"The only drawback is that the clock runs about a minute a week, and there is no child lock on the touch panel when cooking is in progress.")</f>
        <v>The only drawback is that the clock runs about a minute a week, and there is no child lock on the touch panel when cooking is in progress.</v>
      </c>
    </row>
    <row r="6341" spans="1:9" x14ac:dyDescent="0.3">
      <c r="A6341" s="1" t="s">
        <v>17</v>
      </c>
      <c r="B6341" s="1" t="s">
        <v>18</v>
      </c>
      <c r="C6341" s="1" t="s">
        <v>151</v>
      </c>
      <c r="D6341" s="1" t="s">
        <v>1890</v>
      </c>
      <c r="E6341" s="1" t="s">
        <v>2514</v>
      </c>
      <c r="F6341" s="1" t="s">
        <v>10080</v>
      </c>
      <c r="G6341" s="1" t="s">
        <v>28</v>
      </c>
      <c r="H6341" s="1" t="s">
        <v>29</v>
      </c>
      <c r="I6341" s="1" t="str">
        <f ca="1">IFERROR(__xludf.DUMMYFUNCTION("GOOGLETRANSLATE(F6341, ""auto"", ""en"")
"),"I bought it almost 4 months ago. The machine is good, but the downsides are: the water intake is very noisy;  when the washing temperature exceeds 60 degrees it smells either like heated plastic or some kind of oil;  When washing heavy things (in my case "&amp;"it was a double duvet cover), it makes a lot of noise during the spin cycle and does not spin well.  Otherwise I’m very pleased with it, it’s small and compact.")</f>
        <v>I bought it almost 4 months ago. The machine is good, but the downsides are: the water intake is very noisy;  when the washing temperature exceeds 60 degrees it smells either like heated plastic or some kind of oil;  When washing heavy things (in my case it was a double duvet cover), it makes a lot of noise during the spin cycle and does not spin well.  Otherwise I’m very pleased with it, it’s small and compact.</v>
      </c>
    </row>
    <row r="6342" spans="1:9" x14ac:dyDescent="0.3">
      <c r="A6342" s="1" t="s">
        <v>17</v>
      </c>
      <c r="B6342" s="1" t="s">
        <v>18</v>
      </c>
      <c r="C6342" s="1" t="s">
        <v>290</v>
      </c>
      <c r="D6342" s="1" t="s">
        <v>208</v>
      </c>
      <c r="E6342" s="1" t="s">
        <v>1290</v>
      </c>
      <c r="F6342" s="1" t="s">
        <v>10081</v>
      </c>
      <c r="G6342" s="1" t="s">
        <v>28</v>
      </c>
      <c r="H6342" s="1" t="s">
        <v>29</v>
      </c>
      <c r="I6342" s="1" t="str">
        <f ca="1">IFERROR(__xludf.DUMMYFUNCTION("GOOGLETRANSLATE(F6342, ""auto"", ""en"")
"),"Used as a second machine, mainly for washing children's clothes and underwear, thanks to the additional two rinses.  Nice intuitive interface.  It washes well if you choose “more water”.  It is a little inconvenient to set a delay start - because... the m"&amp;"achine does not have a built-in clock; you need to set the amount of delay time, not the end time of the wash.  Sometimes the washing powder doesn’t wash off completely.  But in any case, it is better than Indesit and Bosch, which are used together with i"&amp;"t. Although, each machine has its own clothes.")</f>
        <v>Used as a second machine, mainly for washing children's clothes and underwear, thanks to the additional two rinses.  Nice intuitive interface.  It washes well if you choose “more water”.  It is a little inconvenient to set a delay start - because... the machine does not have a built-in clock; you need to set the amount of delay time, not the end time of the wash.  Sometimes the washing powder doesn’t wash off completely.  But in any case, it is better than Indesit and Bosch, which are used together with it. Although, each machine has its own clothes.</v>
      </c>
    </row>
    <row r="6343" spans="1:9" x14ac:dyDescent="0.3">
      <c r="A6343" s="1" t="s">
        <v>169</v>
      </c>
      <c r="B6343" s="1" t="s">
        <v>170</v>
      </c>
      <c r="C6343" s="1" t="s">
        <v>69</v>
      </c>
      <c r="D6343" s="1" t="s">
        <v>33</v>
      </c>
      <c r="E6343" s="1" t="s">
        <v>1742</v>
      </c>
      <c r="F6343" s="1" t="s">
        <v>10082</v>
      </c>
      <c r="G6343" s="1" t="s">
        <v>36</v>
      </c>
      <c r="H6343" s="1" t="s">
        <v>29</v>
      </c>
      <c r="I6343" s="1" t="str">
        <f ca="1">IFERROR(__xludf.DUMMYFUNCTION("GOOGLETRANSLATE(F6343, ""auto"", ""en"")
"),"Great headphones. Of all the ones in the store, I liked the sound of these the most, the low frequencies are gorgeous. They also sit comfortably on the head, do not fly off and do not tire the ears. In general, I recommend it to everyone)")</f>
        <v>Great headphones. Of all the ones in the store, I liked the sound of these the most, the low frequencies are gorgeous. They also sit comfortably on the head, do not fly off and do not tire the ears. In general, I recommend it to everyone)</v>
      </c>
    </row>
    <row r="6344" spans="1:9" x14ac:dyDescent="0.3">
      <c r="A6344" s="1" t="s">
        <v>373</v>
      </c>
      <c r="B6344" s="1" t="s">
        <v>374</v>
      </c>
      <c r="C6344" s="1" t="s">
        <v>159</v>
      </c>
      <c r="D6344" s="1" t="s">
        <v>308</v>
      </c>
      <c r="E6344" s="1" t="s">
        <v>1517</v>
      </c>
      <c r="F6344" s="1" t="s">
        <v>10083</v>
      </c>
      <c r="G6344" s="1" t="s">
        <v>36</v>
      </c>
      <c r="H6344" s="1" t="s">
        <v>29</v>
      </c>
      <c r="I6344" s="1" t="str">
        <f ca="1">IFERROR(__xludf.DUMMYFUNCTION("GOOGLETRANSLATE(F6344, ""auto"", ""en"")
"),"By chance, I just now thought to look at the reviews, having seen it in the “Hurry up to buy” promotion on the first page of the site. I couldn't help but write!  We’ve been using it for over a year and a half now (not every day, although sometimes there "&amp;"isn’t enough dishes for it), but periodically. I like everything about her except for “her appearance, so to speak,” because... Even among the compacts (at the time of purchase there were about 9-10 of them in M-video) it is the most unsightly, but due to"&amp;" the fact that it was the narrowest of them, I had to take it. I don’t regret it at all (well, except for the fact that at that moment I didn’t risk changing all the kitchen furniture, and instead of the oven (I didn’t need a cabinet) install a built-in f"&amp;"ull-size machine, so that it wouldn’t be an eyesore)... Essentially: because “there’s absolutely nowhere to put it, but I really wanted to” I took a long time to choose, I read everything about washing and drying classes. Class ""C"" according to the test"&amp;" results is ""good"" (""A"" is excellent, ""B"" is very good), for a compact - ""C"" is very normal, I simply did not find them in class ""A"" at that time, not only in sales, but also in descriptions.      For Elena (if she suddenly looks again): Maybe i"&amp;"t’s all about the pills? I remember exactly that when buying detergent for the first time, I found information somewhere (hardly on the tablets themselves, maybe in the instructions for the machine) that the tablets are only used in full-size machines, an"&amp;"d not in compact ones. Why this is so - I don’t know, I use the “Buggy” powder detergent, it always cleans everything wonderfully, with very rare exceptions, if you stick the dishes very tightly somewhere or if something is very dried on.     About the vo"&amp;"lume, well, too, of course, everyone has a different nervous system, for example, I myself am so irritated by the sounds of kitchen hoods that I haven’t used them for a long time, they were always hung for “beauty” (only if something specifically burned o"&amp;"ut, and then I left the kitchen myself when the hood was turned on). And here... well, of course, it’s not particularly comfortable to watch TV next to me, but if I’m in the room myself, it doesn’t bother me anymore, taking into account the fact that my e"&amp;"ntire apartment is 44 sq.m. (including the loggia) and there is no door to the kitchen (which could be closed).   In general, everything is great! Maybe, of course, we were just lucky with the machine, but all the equipment that we bought from M-Video ove"&amp;"r the past 4-5 years is still working flawlessly, which is what I wish for everyone!")</f>
        <v>By chance, I just now thought to look at the reviews, having seen it in the “Hurry up to buy” promotion on the first page of the site. I couldn't help but write!  We’ve been using it for over a year and a half now (not every day, although sometimes there isn’t enough dishes for it), but periodically. I like everything about her except for “her appearance, so to speak,” because... Even among the compacts (at the time of purchase there were about 9-10 of them in M-video) it is the most unsightly, but due to the fact that it was the narrowest of them, I had to take it. I don’t regret it at all (well, except for the fact that at that moment I didn’t risk changing all the kitchen furniture, and instead of the oven (I didn’t need a cabinet) install a built-in full-size machine, so that it wouldn’t be an eyesore)... Essentially: because “there’s absolutely nowhere to put it, but I really wanted to” I took a long time to choose, I read everything about washing and drying classes. Class "C" according to the test results is "good" ("A" is excellent, "B" is very good), for a compact - "C" is very normal, I simply did not find them in class "A" at that time, not only in sales, but also in descriptions.      For Elena (if she suddenly looks again): Maybe it’s all about the pills? I remember exactly that when buying detergent for the first time, I found information somewhere (hardly on the tablets themselves, maybe in the instructions for the machine) that the tablets are only used in full-size machines, and not in compact ones. Why this is so - I don’t know, I use the “Buggy” powder detergent, it always cleans everything wonderfully, with very rare exceptions, if you stick the dishes very tightly somewhere or if something is very dried on.     About the volume, well, too, of course, everyone has a different nervous system, for example, I myself am so irritated by the sounds of kitchen hoods that I haven’t used them for a long time, they were always hung for “beauty” (only if something specifically burned out, and then I left the kitchen myself when the hood was turned on). And here... well, of course, it’s not particularly comfortable to watch TV next to me, but if I’m in the room myself, it doesn’t bother me anymore, taking into account the fact that my entire apartment is 44 sq.m. (including the loggia) and there is no door to the kitchen (which could be closed).   In general, everything is great! Maybe, of course, we were just lucky with the machine, but all the equipment that we bought from M-Video over the past 4-5 years is still working flawlessly, which is what I wish for everyone!</v>
      </c>
    </row>
    <row r="6345" spans="1:9" x14ac:dyDescent="0.3">
      <c r="A6345" s="1" t="s">
        <v>120</v>
      </c>
      <c r="B6345" s="1" t="s">
        <v>834</v>
      </c>
      <c r="C6345" s="1" t="s">
        <v>151</v>
      </c>
      <c r="D6345" s="1" t="s">
        <v>280</v>
      </c>
      <c r="E6345" s="1" t="s">
        <v>1012</v>
      </c>
      <c r="F6345" s="1" t="s">
        <v>10084</v>
      </c>
      <c r="G6345" s="1" t="s">
        <v>36</v>
      </c>
      <c r="H6345" s="1" t="s">
        <v>29</v>
      </c>
      <c r="I6345" s="1" t="str">
        <f ca="1">IFERROR(__xludf.DUMMYFUNCTION("GOOGLETRANSLATE(F6345, ""auto"", ""en"")
"),"The TV pleases with both design and quality. The picture is bright and clear. The only downside I can attribute is slight distortion when watching movies on a PC or playing games. But this is not significant. Overall 5 points for an LCD TV at a great pric"&amp;"e.")</f>
        <v>The TV pleases with both design and quality. The picture is bright and clear. The only downside I can attribute is slight distortion when watching movies on a PC or playing games. But this is not significant. Overall 5 points for an LCD TV at a great price.</v>
      </c>
    </row>
    <row r="6346" spans="1:9" x14ac:dyDescent="0.3">
      <c r="A6346" s="1" t="s">
        <v>61</v>
      </c>
      <c r="B6346" s="1" t="s">
        <v>224</v>
      </c>
      <c r="C6346" s="1" t="s">
        <v>74</v>
      </c>
      <c r="D6346" s="1" t="s">
        <v>39</v>
      </c>
      <c r="E6346" s="1" t="s">
        <v>3494</v>
      </c>
      <c r="F6346" s="1" t="s">
        <v>10085</v>
      </c>
      <c r="G6346" s="1" t="s">
        <v>36</v>
      </c>
      <c r="H6346" s="1" t="s">
        <v>29</v>
      </c>
      <c r="I6346" s="1" t="str">
        <f ca="1">IFERROR(__xludf.DUMMYFUNCTION("GOOGLETRANSLATE(F6346, ""auto"", ""en"")
"),"The first juicer in the house. I bought it based on reviews here and on the Yandex market. Works great, apple pulp is dry. The waste is pureed. A kilo of apples yielded about 500 ml of juice. A medium orange yields approximately 100 ml. I'm happy.")</f>
        <v>The first juicer in the house. I bought it based on reviews here and on the Yandex market. Works great, apple pulp is dry. The waste is pureed. A kilo of apples yielded about 500 ml of juice. A medium orange yields approximately 100 ml. I'm happy.</v>
      </c>
    </row>
    <row r="6347" spans="1:9" x14ac:dyDescent="0.3">
      <c r="A6347" s="1" t="s">
        <v>120</v>
      </c>
      <c r="B6347" s="1" t="s">
        <v>196</v>
      </c>
      <c r="C6347" s="1" t="s">
        <v>97</v>
      </c>
      <c r="D6347" s="1" t="s">
        <v>589</v>
      </c>
      <c r="E6347" s="1" t="s">
        <v>1275</v>
      </c>
      <c r="F6347" s="1" t="s">
        <v>10086</v>
      </c>
      <c r="G6347" s="1" t="s">
        <v>36</v>
      </c>
      <c r="H6347" s="1" t="s">
        <v>29</v>
      </c>
      <c r="I6347" s="1" t="str">
        <f ca="1">IFERROR(__xludf.DUMMYFUNCTION("GOOGLETRANSLATE(F6347, ""auto"", ""en"")
"),"I've been using it for two weeks and I'm very pleased with the TV.  Pros: very rich and deep black color, good contrast and richness of the picture, the ability to connect to a PC via DSub and DVI-HDMI, many different input connectors, including USB, upda"&amp;"table firmware, the sound is very decent, no vibrations were noticed.  Cons: It wobbles a little back and forth on the stand, but it doesn’t seem to be as much as the Samsung ones. The volume settings are the same for all incoming connectors, i.e. when sw"&amp;"itching from the computer to the antenna early in the morning it can scream loudly. It is impossible to make your own image settings for each TV channel (color, contrast, color warmth), as well as image format (16:9, 4:3, etc.).  In terms of price/quality"&amp;" ratio, ease of use and design, the TV is excellent, the picture quality is no worse than those that are twice as expensive.")</f>
        <v>I've been using it for two weeks and I'm very pleased with the TV.  Pros: very rich and deep black color, good contrast and richness of the picture, the ability to connect to a PC via DSub and DVI-HDMI, many different input connectors, including USB, updatable firmware, the sound is very decent, no vibrations were noticed.  Cons: It wobbles a little back and forth on the stand, but it doesn’t seem to be as much as the Samsung ones. The volume settings are the same for all incoming connectors, i.e. when switching from the computer to the antenna early in the morning it can scream loudly. It is impossible to make your own image settings for each TV channel (color, contrast, color warmth), as well as image format (16:9, 4:3, etc.).  In terms of price/quality ratio, ease of use and design, the TV is excellent, the picture quality is no worse than those that are twice as expensive.</v>
      </c>
    </row>
    <row r="6348" spans="1:9" x14ac:dyDescent="0.3">
      <c r="A6348" s="1" t="s">
        <v>61</v>
      </c>
      <c r="B6348" s="1" t="s">
        <v>145</v>
      </c>
      <c r="C6348" s="1" t="s">
        <v>85</v>
      </c>
      <c r="D6348" s="1" t="s">
        <v>10087</v>
      </c>
      <c r="E6348" s="1" t="s">
        <v>1847</v>
      </c>
      <c r="F6348" s="1" t="s">
        <v>10088</v>
      </c>
      <c r="G6348" s="1" t="s">
        <v>36</v>
      </c>
      <c r="H6348" s="1" t="s">
        <v>29</v>
      </c>
      <c r="I6348" s="1" t="str">
        <f ca="1">IFERROR(__xludf.DUMMYFUNCTION("GOOGLETRANSLATE(F6348, ""auto"", ""en"")
"),"I have long wanted to buy a steamer to quickly cook delicious and healthy food. The choice fell on this model. I try to buy Bork equipment because of its quality and reliability. And in the case of the double boiler, I made the right decision. I recommend"&amp;"!")</f>
        <v>I have long wanted to buy a steamer to quickly cook delicious and healthy food. The choice fell on this model. I try to buy Bork equipment because of its quality and reliability. And in the case of the double boiler, I made the right decision. I recommend!</v>
      </c>
    </row>
    <row r="6349" spans="1:9" x14ac:dyDescent="0.3">
      <c r="A6349" s="1" t="s">
        <v>61</v>
      </c>
      <c r="B6349" s="1" t="s">
        <v>180</v>
      </c>
      <c r="C6349" s="1" t="s">
        <v>246</v>
      </c>
      <c r="D6349" s="1" t="s">
        <v>1506</v>
      </c>
      <c r="E6349" s="1" t="s">
        <v>4152</v>
      </c>
      <c r="F6349" s="1" t="s">
        <v>10089</v>
      </c>
      <c r="G6349" s="1" t="s">
        <v>36</v>
      </c>
      <c r="H6349" s="1" t="s">
        <v>29</v>
      </c>
      <c r="I6349" s="1" t="str">
        <f ca="1">IFERROR(__xludf.DUMMYFUNCTION("GOOGLETRANSLATE(F6349, ""auto"", ""en"")
"),"We've had this toaster for several years now, it's very good. The bread is delicious and nothing burns.")</f>
        <v>We've had this toaster for several years now, it's very good. The bread is delicious and nothing burns.</v>
      </c>
    </row>
    <row r="6350" spans="1:9" x14ac:dyDescent="0.3">
      <c r="A6350" s="1" t="s">
        <v>211</v>
      </c>
      <c r="B6350" s="1" t="s">
        <v>212</v>
      </c>
      <c r="C6350" s="1" t="s">
        <v>101</v>
      </c>
      <c r="D6350" s="1" t="s">
        <v>8431</v>
      </c>
      <c r="E6350" s="1" t="s">
        <v>4187</v>
      </c>
      <c r="F6350" s="1" t="s">
        <v>10090</v>
      </c>
      <c r="G6350" s="1" t="s">
        <v>49</v>
      </c>
      <c r="H6350" s="1" t="s">
        <v>16</v>
      </c>
      <c r="I6350" s="1" t="str">
        <f ca="1">IFERROR(__xludf.DUMMYFUNCTION("GOOGLETRANSLATE(F6350, ""auto"", ""en"")
"),"The straightener is just terrible!!!!!  - hair is pulled out - 200 degrees is not felt at all If you decide to purchase it, pay attention to the right of each review the inscription “Is this review helpful: green : red”")</f>
        <v>The straightener is just terrible!!!!!  - hair is pulled out - 200 degrees is not felt at all If you decide to purchase it, pay attention to the right of each review the inscription “Is this review helpful: green : red”</v>
      </c>
    </row>
    <row r="6351" spans="1:9" x14ac:dyDescent="0.3">
      <c r="A6351" s="1" t="s">
        <v>369</v>
      </c>
      <c r="B6351" s="1" t="s">
        <v>587</v>
      </c>
      <c r="C6351" s="1" t="s">
        <v>63</v>
      </c>
      <c r="D6351" s="1" t="s">
        <v>10091</v>
      </c>
      <c r="E6351" s="1" t="s">
        <v>4157</v>
      </c>
      <c r="F6351" s="1" t="s">
        <v>10092</v>
      </c>
      <c r="G6351" s="1" t="s">
        <v>36</v>
      </c>
      <c r="H6351" s="1" t="s">
        <v>29</v>
      </c>
      <c r="I6351" s="1" t="str">
        <f ca="1">IFERROR(__xludf.DUMMYFUNCTION("GOOGLETRANSLATE(F6351, ""auto"", ""en"")
"),"I've been using it for six months. There are no disadvantages. We were afraid of the electric oven. We were wrong. I really like it. Convenient drawer at the bottom. Easy to use.")</f>
        <v>I've been using it for six months. There are no disadvantages. We were afraid of the electric oven. We were wrong. I really like it. Convenient drawer at the bottom. Easy to use.</v>
      </c>
    </row>
    <row r="6352" spans="1:9" x14ac:dyDescent="0.3">
      <c r="A6352" s="1" t="s">
        <v>43</v>
      </c>
      <c r="B6352" s="1" t="s">
        <v>1382</v>
      </c>
      <c r="C6352" s="1" t="s">
        <v>57</v>
      </c>
      <c r="D6352" s="1" t="s">
        <v>86</v>
      </c>
      <c r="E6352" s="1" t="s">
        <v>10093</v>
      </c>
      <c r="F6352" s="1" t="s">
        <v>10094</v>
      </c>
      <c r="G6352" s="1" t="s">
        <v>36</v>
      </c>
      <c r="H6352" s="1" t="s">
        <v>29</v>
      </c>
      <c r="I6352" s="1" t="str">
        <f ca="1">IFERROR(__xludf.DUMMYFUNCTION("GOOGLETRANSLATE(F6352, ""auto"", ""en"")
"),"Just come to the store and try it out.... Reading the reviews, I wouldn't buy it... BUT! When we came to the store and tried it out among other opponents, this fan undoubtedly won them. The blowing force of this fan is such that the curtains fly, it is ve"&amp;"ry powerful. Regarding the noise, at the very first speed it is almost inaudible, I can easily sleep under it. At the highest speed it is like an airplane, but naturally it blows like a jet engine :). In short, so as not to talk too much, just try it in t"&amp;"he store to see how it blows and you won’t look at others after it")</f>
        <v>Just come to the store and try it out.... Reading the reviews, I wouldn't buy it... BUT! When we came to the store and tried it out among other opponents, this fan undoubtedly won them. The blowing force of this fan is such that the curtains fly, it is very powerful. Regarding the noise, at the very first speed it is almost inaudible, I can easily sleep under it. At the highest speed it is like an airplane, but naturally it blows like a jet engine :). In short, so as not to talk too much, just try it in the store to see how it blows and you won’t look at others after it</v>
      </c>
    </row>
    <row r="6353" spans="1:9" x14ac:dyDescent="0.3">
      <c r="A6353" s="1" t="s">
        <v>211</v>
      </c>
      <c r="B6353" s="1" t="s">
        <v>410</v>
      </c>
      <c r="C6353" s="1" t="s">
        <v>122</v>
      </c>
      <c r="D6353" s="1" t="s">
        <v>130</v>
      </c>
      <c r="E6353" s="1" t="s">
        <v>3367</v>
      </c>
      <c r="F6353" s="1" t="s">
        <v>10095</v>
      </c>
      <c r="G6353" s="1" t="s">
        <v>28</v>
      </c>
      <c r="H6353" s="1" t="s">
        <v>29</v>
      </c>
      <c r="I6353" s="1" t="str">
        <f ca="1">IFERROR(__xludf.DUMMYFUNCTION("GOOGLETRANSLATE(F6353, ""auto"", ""en"")
"),"Overall a great razor. Soon 2 years. I haven't changed the knives yet. It's time though. I am pleased with its “energy endurance” and rapid charging. But the areas on the chin have to be shaved very carefully. This causes irritation. I don’t buy machines "&amp;"and rarely buy gel. The savings are significant. And it’s very convenient to shave in a hurry!")</f>
        <v>Overall a great razor. Soon 2 years. I haven't changed the knives yet. It's time though. I am pleased with its “energy endurance” and rapid charging. But the areas on the chin have to be shaved very carefully. This causes irritation. I don’t buy machines and rarely buy gel. The savings are significant. And it’s very convenient to shave in a hurry!</v>
      </c>
    </row>
    <row r="6354" spans="1:9" x14ac:dyDescent="0.3">
      <c r="A6354" s="1" t="s">
        <v>496</v>
      </c>
      <c r="B6354" s="1" t="s">
        <v>497</v>
      </c>
      <c r="C6354" s="1" t="s">
        <v>487</v>
      </c>
      <c r="D6354" s="1" t="s">
        <v>10096</v>
      </c>
      <c r="E6354" s="1" t="s">
        <v>3184</v>
      </c>
      <c r="F6354" s="1" t="s">
        <v>10097</v>
      </c>
      <c r="G6354" s="1" t="s">
        <v>28</v>
      </c>
      <c r="H6354" s="1" t="s">
        <v>29</v>
      </c>
      <c r="I6354" s="1" t="str">
        <f ca="1">IFERROR(__xludf.DUMMYFUNCTION("GOOGLETRANSLATE(F6354, ""auto"", ""en"")
"),"The operating system is very beautiful, everything is done conveniently and accessible, BUT!!!!! The Win 7 64 bit system freezes constantly, every few days!!!!!")</f>
        <v>The operating system is very beautiful, everything is done conveniently and accessible, BUT!!!!! The Win 7 64 bit system freezes constantly, every few days!!!!!</v>
      </c>
    </row>
    <row r="6355" spans="1:9" x14ac:dyDescent="0.3">
      <c r="A6355" s="1" t="s">
        <v>149</v>
      </c>
      <c r="B6355" s="1" t="s">
        <v>155</v>
      </c>
      <c r="C6355" s="1" t="s">
        <v>996</v>
      </c>
      <c r="D6355" s="1" t="s">
        <v>64</v>
      </c>
      <c r="E6355" s="1" t="s">
        <v>643</v>
      </c>
      <c r="F6355" s="1" t="s">
        <v>10098</v>
      </c>
      <c r="G6355" s="1" t="s">
        <v>36</v>
      </c>
      <c r="H6355" s="1" t="s">
        <v>29</v>
      </c>
      <c r="I6355" s="1" t="str">
        <f ca="1">IFERROR(__xludf.DUMMYFUNCTION("GOOGLETRANSLATE(F6355, ""auto"", ""en"")
"),"I really liked the vacuum cleaner!!! I recommend it to everyone! I compared several similar models costing up to 2500 rubles. Not everyone has such a number of attachments, especially the included turbo brush! I was very pleased with its use.  I was also "&amp;"pleased with the presence of an additional replaceable HEPA filter included in the kit.   After cleaning, I was surprised by the amount of dust... the container was almost filled to the limit, while the vacuum cleaner itself remained clean inside! those. "&amp;"The dust really didn’t get past the container and filter! The container is disassembled and easy to clean.   Very happy with the purchase! high quality vacuum cleaner and great price!!!")</f>
        <v>I really liked the vacuum cleaner!!! I recommend it to everyone! I compared several similar models costing up to 2500 rubles. Not everyone has such a number of attachments, especially the included turbo brush! I was very pleased with its use.  I was also pleased with the presence of an additional replaceable HEPA filter included in the kit.   After cleaning, I was surprised by the amount of dust... the container was almost filled to the limit, while the vacuum cleaner itself remained clean inside! those. The dust really didn’t get past the container and filter! The container is disassembled and easy to clean.   Very happy with the purchase! high quality vacuum cleaner and great price!!!</v>
      </c>
    </row>
    <row r="6356" spans="1:9" x14ac:dyDescent="0.3">
      <c r="A6356" s="1" t="s">
        <v>55</v>
      </c>
      <c r="B6356" s="1" t="s">
        <v>6412</v>
      </c>
      <c r="C6356" s="1" t="s">
        <v>159</v>
      </c>
      <c r="D6356" s="1" t="s">
        <v>39</v>
      </c>
      <c r="E6356" s="1" t="s">
        <v>4862</v>
      </c>
      <c r="F6356" s="1" t="s">
        <v>10099</v>
      </c>
      <c r="G6356" s="1" t="s">
        <v>36</v>
      </c>
      <c r="H6356" s="1" t="s">
        <v>29</v>
      </c>
      <c r="I6356" s="1" t="str">
        <f ca="1">IFERROR(__xludf.DUMMYFUNCTION("GOOGLETRANSLATE(F6356, ""auto"", ""en"")
"),"I bought it 2 months ago.  Pros: - Thanks to the electronic sensor, it is economical - having reached the desired temperature, it turns off and will only work when it drops;  - Attractive design - Electronic display makes it easy to set the desired temper"&amp;"ature and see the current one;  - Takes up little space in the room Cons: - Slowly warms the room;  - There is no timer to turn it on (although there is one to turn it off) Overall, I was pleased - I’m waiting for the winter cold))")</f>
        <v>I bought it 2 months ago.  Pros: - Thanks to the electronic sensor, it is economical - having reached the desired temperature, it turns off and will only work when it drops;  - Attractive design - Electronic display makes it easy to set the desired temperature and see the current one;  - Takes up little space in the room Cons: - Slowly warms the room;  - There is no timer to turn it on (although there is one to turn it off) Overall, I was pleased - I’m waiting for the winter cold))</v>
      </c>
    </row>
    <row r="6357" spans="1:9" x14ac:dyDescent="0.3">
      <c r="A6357" s="1" t="s">
        <v>211</v>
      </c>
      <c r="B6357" s="1" t="s">
        <v>789</v>
      </c>
      <c r="C6357" s="1" t="s">
        <v>69</v>
      </c>
      <c r="D6357" s="1" t="s">
        <v>1499</v>
      </c>
      <c r="E6357" s="1" t="s">
        <v>1312</v>
      </c>
      <c r="F6357" s="1" t="s">
        <v>10100</v>
      </c>
      <c r="G6357" s="1" t="s">
        <v>36</v>
      </c>
      <c r="H6357" s="1" t="s">
        <v>29</v>
      </c>
      <c r="I6357" s="1" t="str">
        <f ca="1">IFERROR(__xludf.DUMMYFUNCTION("GOOGLETRANSLATE(F6357, ""auto"", ""en"")
"),"I use it at home all the time and take it with me when I go on a visit! Great thing, for milk at room temperature you just need to add 100 ml more than in the bottle and then it is heated as needed! I roughly pour in the water, check the amount of water b"&amp;"y tilting the heater and it’s immediately clear whether it needs to be added. You just need to get the hang of it a little and the thing will absolutely pay off!")</f>
        <v>I use it at home all the time and take it with me when I go on a visit! Great thing, for milk at room temperature you just need to add 100 ml more than in the bottle and then it is heated as needed! I roughly pour in the water, check the amount of water by tilting the heater and it’s immediately clear whether it needs to be added. You just need to get the hang of it a little and the thing will absolutely pay off!</v>
      </c>
    </row>
    <row r="6358" spans="1:9" x14ac:dyDescent="0.3">
      <c r="A6358" s="1" t="s">
        <v>30</v>
      </c>
      <c r="B6358" s="1" t="s">
        <v>50</v>
      </c>
      <c r="C6358" s="1" t="s">
        <v>658</v>
      </c>
      <c r="D6358" s="1" t="s">
        <v>280</v>
      </c>
      <c r="E6358" s="1" t="s">
        <v>3637</v>
      </c>
      <c r="F6358" s="1" t="s">
        <v>10101</v>
      </c>
      <c r="G6358" s="1" t="s">
        <v>36</v>
      </c>
      <c r="H6358" s="1" t="s">
        <v>29</v>
      </c>
      <c r="I6358" s="1" t="str">
        <f ca="1">IFERROR(__xludf.DUMMYFUNCTION("GOOGLETRANSLATE(F6358, ""auto"", ""en"")
"),"Really good laptop))) Toshiba keeps its brand as always. The power turned out to be equal to the home four cores. GTA 4 flies almost at maximum))) It’s good for everyone, but not for its native operating system. I advise you to immediately demolish Vista "&amp;"and install good old Windows XP. All devices work, work perfectly, there are no problems with drivers.")</f>
        <v>Really good laptop))) Toshiba keeps its brand as always. The power turned out to be equal to the home four cores. GTA 4 flies almost at maximum))) It’s good for everyone, but not for its native operating system. I advise you to immediately demolish Vista and install good old Windows XP. All devices work, work perfectly, there are no problems with drivers.</v>
      </c>
    </row>
    <row r="6359" spans="1:9" x14ac:dyDescent="0.3">
      <c r="A6359" s="1" t="s">
        <v>17</v>
      </c>
      <c r="B6359" s="1" t="s">
        <v>18</v>
      </c>
      <c r="C6359" s="1" t="s">
        <v>243</v>
      </c>
      <c r="D6359" s="1" t="s">
        <v>565</v>
      </c>
      <c r="E6359" s="1" t="s">
        <v>1330</v>
      </c>
      <c r="F6359" s="1" t="s">
        <v>10102</v>
      </c>
      <c r="G6359" s="1" t="s">
        <v>49</v>
      </c>
      <c r="H6359" s="1" t="s">
        <v>16</v>
      </c>
      <c r="I6359" s="1" t="str">
        <f ca="1">IFERROR(__xludf.DUMMYFUNCTION("GOOGLETRANSLATE(F6359, ""auto"", ""en"")
"),"We bought an Indesit WISN 100 (CSI) machine in the fall, two months later it broke down in the winter!!! The electronics were damaged, the programs did not regulate the washing mode, it was inoperative for half a year, and it was never repaired! I'll have"&amp;" to buy another washing machine, just not Indesit and not made in Russia!!")</f>
        <v>We bought an Indesit WISN 100 (CSI) machine in the fall, two months later it broke down in the winter!!! The electronics were damaged, the programs did not regulate the washing mode, it was inoperative for half a year, and it was never repaired! I'll have to buy another washing machine, just not Indesit and not made in Russia!!</v>
      </c>
    </row>
    <row r="6360" spans="1:9" x14ac:dyDescent="0.3">
      <c r="A6360" s="1" t="s">
        <v>149</v>
      </c>
      <c r="B6360" s="1" t="s">
        <v>150</v>
      </c>
      <c r="C6360" s="1" t="s">
        <v>57</v>
      </c>
      <c r="D6360" s="1" t="s">
        <v>1605</v>
      </c>
      <c r="E6360" s="1" t="s">
        <v>4528</v>
      </c>
      <c r="F6360" s="1" t="s">
        <v>10103</v>
      </c>
      <c r="G6360" s="1" t="s">
        <v>36</v>
      </c>
      <c r="H6360" s="1" t="s">
        <v>29</v>
      </c>
      <c r="I6360" s="1" t="str">
        <f ca="1">IFERROR(__xludf.DUMMYFUNCTION("GOOGLETRANSLATE(F6360, ""auto"", ""en"")
"),"An excellent purchase, the absorption is simply excellent. Yes, there really is a lot of noise, but you can tolerate it for five minutes. And also a 1.5 liter waste container, which is enough for my car. (Mersedes ML)")</f>
        <v>An excellent purchase, the absorption is simply excellent. Yes, there really is a lot of noise, but you can tolerate it for five minutes. And also a 1.5 liter waste container, which is enough for my car. (Mersedes ML)</v>
      </c>
    </row>
    <row r="6361" spans="1:9" x14ac:dyDescent="0.3">
      <c r="A6361" s="1" t="s">
        <v>67</v>
      </c>
      <c r="B6361" s="1" t="s">
        <v>68</v>
      </c>
      <c r="C6361" s="1" t="s">
        <v>246</v>
      </c>
      <c r="D6361" s="1" t="s">
        <v>308</v>
      </c>
      <c r="E6361" s="1" t="s">
        <v>6661</v>
      </c>
      <c r="F6361" s="1" t="s">
        <v>10104</v>
      </c>
      <c r="G6361" s="1" t="s">
        <v>36</v>
      </c>
      <c r="H6361" s="1" t="s">
        <v>29</v>
      </c>
      <c r="I6361" s="1" t="str">
        <f ca="1">IFERROR(__xludf.DUMMYFUNCTION("GOOGLETRANSLATE(F6361, ""auto"", ""en"")
"),"Very good!!!!!!!!!!!! I was pleasantly surprised by how easily and simply it irons, or rather how it smooths out wrinkles! Now it's diaper time for me and a good iron saves a lot of time! I used to love ironing clothes, but now it’s just a pleasure. I hop"&amp;"e it lasts a long time!!!")</f>
        <v>Very good!!!!!!!!!!!! I was pleasantly surprised by how easily and simply it irons, or rather how it smooths out wrinkles! Now it's diaper time for me and a good iron saves a lot of time! I used to love ironing clothes, but now it’s just a pleasure. I hope it lasts a long time!!!</v>
      </c>
    </row>
    <row r="6362" spans="1:9" x14ac:dyDescent="0.3">
      <c r="A6362" s="1" t="s">
        <v>37</v>
      </c>
      <c r="B6362" s="1" t="s">
        <v>38</v>
      </c>
      <c r="C6362" s="1" t="s">
        <v>151</v>
      </c>
      <c r="D6362" s="1" t="s">
        <v>52</v>
      </c>
      <c r="E6362" s="1" t="s">
        <v>1732</v>
      </c>
      <c r="F6362" s="1" t="s">
        <v>10105</v>
      </c>
      <c r="G6362" s="1" t="s">
        <v>36</v>
      </c>
      <c r="H6362" s="1" t="s">
        <v>29</v>
      </c>
      <c r="I6362" s="1" t="str">
        <f ca="1">IFERROR(__xludf.DUMMYFUNCTION("GOOGLETRANSLATE(F6362, ""auto"", ""en"")
"),"The phone is just perfect - nothing extra - just calls and SMS. For me, only one tiny drawback is noticeable - only the number buttons are illuminated.")</f>
        <v>The phone is just perfect - nothing extra - just calls and SMS. For me, only one tiny drawback is noticeable - only the number buttons are illuminated.</v>
      </c>
    </row>
    <row r="6363" spans="1:9" x14ac:dyDescent="0.3">
      <c r="A6363" s="1" t="s">
        <v>120</v>
      </c>
      <c r="B6363" s="1" t="s">
        <v>196</v>
      </c>
      <c r="C6363" s="1" t="s">
        <v>80</v>
      </c>
      <c r="D6363" s="1" t="s">
        <v>52</v>
      </c>
      <c r="E6363" s="1" t="s">
        <v>1875</v>
      </c>
      <c r="F6363" s="1" t="s">
        <v>10106</v>
      </c>
      <c r="G6363" s="1" t="s">
        <v>36</v>
      </c>
      <c r="H6363" s="1" t="s">
        <v>29</v>
      </c>
      <c r="I6363" s="1" t="str">
        <f ca="1">IFERROR(__xludf.DUMMYFUNCTION("GOOGLETRANSLATE(F6363, ""auto"", ""en"")
"),"I bought it in February at M-video in Krasnodar. I am very pleased with this purchase, I recommend it to all my friends, as well as acquaintances and strangers. Only recently, for some reason, this model is being sold less and less frequently!!!!")</f>
        <v>I bought it in February at M-video in Krasnodar. I am very pleased with this purchase, I recommend it to all my friends, as well as acquaintances and strangers. Only recently, for some reason, this model is being sold less and less frequently!!!!</v>
      </c>
    </row>
    <row r="6364" spans="1:9" x14ac:dyDescent="0.3">
      <c r="A6364" s="1" t="s">
        <v>105</v>
      </c>
      <c r="B6364" s="1" t="s">
        <v>106</v>
      </c>
      <c r="C6364" s="1" t="s">
        <v>69</v>
      </c>
      <c r="D6364" s="1" t="s">
        <v>86</v>
      </c>
      <c r="E6364" s="1" t="s">
        <v>696</v>
      </c>
      <c r="F6364" s="1" t="s">
        <v>10107</v>
      </c>
      <c r="G6364" s="1" t="s">
        <v>15</v>
      </c>
      <c r="H6364" s="1" t="s">
        <v>16</v>
      </c>
      <c r="I6364" s="1" t="str">
        <f ca="1">IFERROR(__xludf.DUMMYFUNCTION("GOOGLETRANSLATE(F6364, ""auto"", ""en"")
"),"Maybe someone liked the player, but I had no luck with it!")</f>
        <v>Maybe someone liked the player, but I had no luck with it!</v>
      </c>
    </row>
    <row r="6365" spans="1:9" x14ac:dyDescent="0.3">
      <c r="A6365" s="1" t="s">
        <v>120</v>
      </c>
      <c r="B6365" s="1" t="s">
        <v>121</v>
      </c>
      <c r="C6365" s="1" t="s">
        <v>69</v>
      </c>
      <c r="D6365" s="1" t="s">
        <v>10108</v>
      </c>
      <c r="E6365" s="1" t="s">
        <v>288</v>
      </c>
      <c r="F6365" s="1" t="s">
        <v>10109</v>
      </c>
      <c r="G6365" s="1" t="s">
        <v>36</v>
      </c>
      <c r="H6365" s="1" t="s">
        <v>29</v>
      </c>
      <c r="I6365" s="1" t="str">
        <f ca="1">IFERROR(__xludf.DUMMYFUNCTION("GOOGLETRANSLATE(F6365, ""auto"", ""en"")
"),"Uv. ProNeO (Yoshkar-Ola), apparently Evgeniy from Voronezh has a TV model 32PFL5604/H12, so he managed to set the resolution to 1920x1080 on the PC. So we figured it out. Thanks everyone!")</f>
        <v>Uv. ProNeO (Yoshkar-Ola), apparently Evgeniy from Voronezh has a TV model 32PFL5604/H12, so he managed to set the resolution to 1920x1080 on the PC. So we figured it out. Thanks everyone!</v>
      </c>
    </row>
    <row r="6366" spans="1:9" x14ac:dyDescent="0.3">
      <c r="A6366" s="1" t="s">
        <v>732</v>
      </c>
      <c r="B6366" s="1" t="s">
        <v>733</v>
      </c>
      <c r="C6366" s="1" t="s">
        <v>151</v>
      </c>
      <c r="D6366" s="1" t="s">
        <v>385</v>
      </c>
      <c r="E6366" s="1" t="s">
        <v>2946</v>
      </c>
      <c r="F6366" s="1" t="s">
        <v>10110</v>
      </c>
      <c r="G6366" s="1" t="s">
        <v>36</v>
      </c>
      <c r="H6366" s="1" t="s">
        <v>29</v>
      </c>
      <c r="I6366" s="1" t="str">
        <f ca="1">IFERROR(__xludf.DUMMYFUNCTION("GOOGLETRANSLATE(F6366, ""auto"", ""en"")
"),"The baby has a reasonable price. And the product is proven, my friends have such a monitor, my uncle has a TV and I bought myself such an LCD.   In terms of price/quality ratio, you can't beat it. And the design is nice, for the same price you can buy an "&amp;"angular screen, but here everything is thought out, smoothed out and fits into any interior.    An excellent diagonal, the average user shouldn’t take more than 20, 17 is not enough these days, 19 (larger, but essentially the same as 17) but 20 is the sam"&amp;"e, and more text fits in and advertising on the sides does not distract. But 22 is already too much, purely for movies and games, because the eyes get tired.")</f>
        <v>The baby has a reasonable price. And the product is proven, my friends have such a monitor, my uncle has a TV and I bought myself such an LCD.   In terms of price/quality ratio, you can't beat it. And the design is nice, for the same price you can buy an angular screen, but here everything is thought out, smoothed out and fits into any interior.    An excellent diagonal, the average user shouldn’t take more than 20, 17 is not enough these days, 19 (larger, but essentially the same as 17) but 20 is the same, and more text fits in and advertising on the sides does not distract. But 22 is already too much, purely for movies and games, because the eyes get tired.</v>
      </c>
    </row>
    <row r="6367" spans="1:9" x14ac:dyDescent="0.3">
      <c r="A6367" s="1" t="s">
        <v>61</v>
      </c>
      <c r="B6367" s="1" t="s">
        <v>318</v>
      </c>
      <c r="C6367" s="1" t="s">
        <v>57</v>
      </c>
      <c r="D6367" s="1" t="s">
        <v>12</v>
      </c>
      <c r="E6367" s="1" t="s">
        <v>7872</v>
      </c>
      <c r="F6367" s="1" t="s">
        <v>10111</v>
      </c>
      <c r="G6367" s="1" t="s">
        <v>36</v>
      </c>
      <c r="H6367" s="1" t="s">
        <v>29</v>
      </c>
      <c r="I6367" s="1" t="str">
        <f ca="1">IFERROR(__xludf.DUMMYFUNCTION("GOOGLETRANSLATE(F6367, ""auto"", ""en"")
"),"The kettle is great! I’m happy with everything, I’ve been using it for a long time and often, and I found out what kind of steel it is: food grade surgical steel 1810 (18% nickel 10% chromium), cannot rust. This is the water. It was necessary to boil it w"&amp;"ith lemon juice or to clean it with a descaling and rust remover.")</f>
        <v>The kettle is great! I’m happy with everything, I’ve been using it for a long time and often, and I found out what kind of steel it is: food grade surgical steel 1810 (18% nickel 10% chromium), cannot rust. This is the water. It was necessary to boil it with lemon juice or to clean it with a descaling and rust remover.</v>
      </c>
    </row>
    <row r="6368" spans="1:9" x14ac:dyDescent="0.3">
      <c r="A6368" s="1" t="s">
        <v>624</v>
      </c>
      <c r="B6368" s="1" t="s">
        <v>881</v>
      </c>
      <c r="C6368" s="1" t="s">
        <v>479</v>
      </c>
      <c r="D6368" s="1" t="s">
        <v>287</v>
      </c>
      <c r="E6368" s="1" t="s">
        <v>2853</v>
      </c>
      <c r="F6368" s="1" t="s">
        <v>10112</v>
      </c>
      <c r="G6368" s="1" t="s">
        <v>49</v>
      </c>
      <c r="H6368" s="1" t="s">
        <v>16</v>
      </c>
      <c r="I6368" s="1" t="str">
        <f ca="1">IFERROR(__xludf.DUMMYFUNCTION("GOOGLETRANSLATE(F6368, ""auto"", ""en"")
"),"Total slag! This craft (it’s impossible to call this squalor a game) is designed more for underdeveloped perverts than for players! The good name of Dead or Alive is lost forever!")</f>
        <v>Total slag! This craft (it’s impossible to call this squalor a game) is designed more for underdeveloped perverts than for players! The good name of Dead or Alive is lost forever!</v>
      </c>
    </row>
    <row r="6369" spans="1:9" x14ac:dyDescent="0.3">
      <c r="A6369" s="1" t="s">
        <v>169</v>
      </c>
      <c r="B6369" s="1" t="s">
        <v>170</v>
      </c>
      <c r="C6369" s="1" t="s">
        <v>69</v>
      </c>
      <c r="D6369" s="1" t="s">
        <v>127</v>
      </c>
      <c r="E6369" s="1" t="s">
        <v>475</v>
      </c>
      <c r="F6369" s="1" t="s">
        <v>10113</v>
      </c>
      <c r="G6369" s="1" t="s">
        <v>36</v>
      </c>
      <c r="H6369" s="1" t="s">
        <v>29</v>
      </c>
      <c r="I6369" s="1" t="str">
        <f ca="1">IFERROR(__xludf.DUMMYFUNCTION("GOOGLETRANSLATE(F6369, ""auto"", ""en"")
"),"+")</f>
        <v>+</v>
      </c>
    </row>
    <row r="6370" spans="1:9" x14ac:dyDescent="0.3">
      <c r="A6370" s="1" t="s">
        <v>120</v>
      </c>
      <c r="B6370" s="1" t="s">
        <v>126</v>
      </c>
      <c r="C6370" s="1" t="s">
        <v>151</v>
      </c>
      <c r="D6370" s="1" t="s">
        <v>10114</v>
      </c>
      <c r="E6370" s="1" t="s">
        <v>814</v>
      </c>
      <c r="F6370" s="1" t="s">
        <v>10115</v>
      </c>
      <c r="G6370" s="1" t="s">
        <v>15</v>
      </c>
      <c r="H6370" s="1" t="s">
        <v>16</v>
      </c>
      <c r="I6370" s="1" t="str">
        <f ca="1">IFERROR(__xludf.DUMMYFUNCTION("GOOGLETRANSLATE(F6370, ""auto"", ""en"")
"),"The TV is bad. I advise no one to buy it")</f>
        <v>The TV is bad. I advise no one to buy it</v>
      </c>
    </row>
    <row r="6371" spans="1:9" x14ac:dyDescent="0.3">
      <c r="A6371" s="1" t="s">
        <v>120</v>
      </c>
      <c r="B6371" s="1" t="s">
        <v>196</v>
      </c>
      <c r="C6371" s="1" t="s">
        <v>658</v>
      </c>
      <c r="D6371" s="1" t="s">
        <v>200</v>
      </c>
      <c r="E6371" s="1" t="s">
        <v>2008</v>
      </c>
      <c r="F6371" s="1" t="s">
        <v>10116</v>
      </c>
      <c r="G6371" s="1" t="s">
        <v>36</v>
      </c>
      <c r="H6371" s="1" t="s">
        <v>29</v>
      </c>
      <c r="I6371" s="1" t="str">
        <f ca="1">IFERROR(__xludf.DUMMYFUNCTION("GOOGLETRANSLATE(F6371, ""auto"", ""en"")
"),"I've been using it for over a year until it breaks...")</f>
        <v>I've been using it for over a year until it breaks...</v>
      </c>
    </row>
    <row r="6372" spans="1:9" x14ac:dyDescent="0.3">
      <c r="A6372" s="1" t="s">
        <v>361</v>
      </c>
      <c r="B6372" s="1" t="s">
        <v>1077</v>
      </c>
      <c r="C6372" s="1" t="s">
        <v>2143</v>
      </c>
      <c r="D6372" s="1" t="s">
        <v>64</v>
      </c>
      <c r="E6372" s="1" t="s">
        <v>2030</v>
      </c>
      <c r="F6372" s="1" t="s">
        <v>10117</v>
      </c>
      <c r="G6372" s="1" t="s">
        <v>36</v>
      </c>
      <c r="H6372" s="1" t="s">
        <v>29</v>
      </c>
      <c r="I6372" s="1" t="str">
        <f ca="1">IFERROR(__xludf.DUMMYFUNCTION("GOOGLETRANSLATE(F6372, ""auto"", ""en"")
"),"We’ve been using it for about a year now, it’s very easy to clean, each part is washed separately. The glass is durable, pour boiling water. This company probably has all the good teapots, but I liked this one")</f>
        <v>We’ve been using it for about a year now, it’s very easy to clean, each part is washed separately. The glass is durable, pour boiling water. This company probably has all the good teapots, but I liked this one</v>
      </c>
    </row>
    <row r="6373" spans="1:9" x14ac:dyDescent="0.3">
      <c r="A6373" s="1" t="s">
        <v>61</v>
      </c>
      <c r="B6373" s="1" t="s">
        <v>224</v>
      </c>
      <c r="C6373" s="1" t="s">
        <v>85</v>
      </c>
      <c r="D6373" s="1" t="s">
        <v>75</v>
      </c>
      <c r="E6373" s="1" t="s">
        <v>4027</v>
      </c>
      <c r="F6373" s="1" t="s">
        <v>10118</v>
      </c>
      <c r="G6373" s="1" t="s">
        <v>36</v>
      </c>
      <c r="H6373" s="1" t="s">
        <v>29</v>
      </c>
      <c r="I6373" s="1" t="str">
        <f ca="1">IFERROR(__xludf.DUMMYFUNCTION("GOOGLETRANSLATE(F6373, ""auto"", ""en"")
"),"I have been using this juicer for a year now and it squeezes hard and soft vegetables and fruits well. The cake is dry, the juice is clear. I squeeze it often and in large quantities, it works flawlessly! There are no problems with cleaning or washing the"&amp;" mesh, the brush is very convenient, and the mesh doesn’t get particularly clogged. I am very pleased with the quality of the juicer and the juice squeezed out of it!!!")</f>
        <v>I have been using this juicer for a year now and it squeezes hard and soft vegetables and fruits well. The cake is dry, the juice is clear. I squeeze it often and in large quantities, it works flawlessly! There are no problems with cleaning or washing the mesh, the brush is very convenient, and the mesh doesn’t get particularly clogged. I am very pleased with the quality of the juicer and the juice squeezed out of it!!!</v>
      </c>
    </row>
    <row r="6374" spans="1:9" x14ac:dyDescent="0.3">
      <c r="A6374" s="1" t="s">
        <v>95</v>
      </c>
      <c r="B6374" s="1" t="s">
        <v>1334</v>
      </c>
      <c r="C6374" s="1" t="s">
        <v>487</v>
      </c>
      <c r="D6374" s="1" t="s">
        <v>891</v>
      </c>
      <c r="E6374" s="1" t="s">
        <v>1315</v>
      </c>
      <c r="F6374" s="1" t="s">
        <v>10119</v>
      </c>
      <c r="G6374" s="1" t="s">
        <v>36</v>
      </c>
      <c r="H6374" s="1" t="s">
        <v>29</v>
      </c>
      <c r="I6374" s="1" t="str">
        <f ca="1">IFERROR(__xludf.DUMMYFUNCTION("GOOGLETRANSLATE(F6374, ""auto"", ""en"")
"),"Great product, I recommend it to everyone!")</f>
        <v>Great product, I recommend it to everyone!</v>
      </c>
    </row>
    <row r="6375" spans="1:9" x14ac:dyDescent="0.3">
      <c r="A6375" s="1" t="s">
        <v>120</v>
      </c>
      <c r="B6375" s="1" t="s">
        <v>256</v>
      </c>
      <c r="C6375" s="1" t="s">
        <v>32</v>
      </c>
      <c r="D6375" s="1" t="s">
        <v>2950</v>
      </c>
      <c r="E6375" s="1" t="s">
        <v>6001</v>
      </c>
      <c r="F6375" s="1" t="s">
        <v>10120</v>
      </c>
      <c r="G6375" s="1" t="s">
        <v>36</v>
      </c>
      <c r="H6375" s="1" t="s">
        <v>29</v>
      </c>
      <c r="I6375" s="1" t="str">
        <f ca="1">IFERROR(__xludf.DUMMYFUNCTION("GOOGLETRANSLATE(F6375, ""auto"", ""en"")
"),"Wonderful TV! Beautiful design, bright rich colors, excellent sound. Having a digital tuner is a big plus!")</f>
        <v>Wonderful TV! Beautiful design, bright rich colors, excellent sound. Having a digital tuner is a big plus!</v>
      </c>
    </row>
    <row r="6376" spans="1:9" x14ac:dyDescent="0.3">
      <c r="A6376" s="1" t="s">
        <v>2087</v>
      </c>
      <c r="B6376" s="1" t="s">
        <v>2088</v>
      </c>
      <c r="C6376" s="1" t="s">
        <v>69</v>
      </c>
      <c r="D6376" s="1" t="s">
        <v>280</v>
      </c>
      <c r="E6376" s="1" t="s">
        <v>6994</v>
      </c>
      <c r="F6376" s="1" t="s">
        <v>10121</v>
      </c>
      <c r="G6376" s="1" t="s">
        <v>36</v>
      </c>
      <c r="H6376" s="1" t="s">
        <v>29</v>
      </c>
      <c r="I6376" s="1" t="str">
        <f ca="1">IFERROR(__xludf.DUMMYFUNCTION("GOOGLETRANSLATE(F6376, ""auto"", ""en"")
"),"I bought the player to watch movies via USB. Plays all formats and loads quickly. I think it's a great player!")</f>
        <v>I bought the player to watch movies via USB. Plays all formats and loads quickly. I think it's a great player!</v>
      </c>
    </row>
    <row r="6377" spans="1:9" x14ac:dyDescent="0.3">
      <c r="A6377" s="1" t="s">
        <v>55</v>
      </c>
      <c r="B6377" s="1" t="s">
        <v>184</v>
      </c>
      <c r="C6377" s="1" t="s">
        <v>57</v>
      </c>
      <c r="D6377" s="1" t="s">
        <v>10122</v>
      </c>
      <c r="E6377" s="1" t="s">
        <v>421</v>
      </c>
      <c r="F6377" s="1" t="s">
        <v>10123</v>
      </c>
      <c r="G6377" s="1" t="s">
        <v>36</v>
      </c>
      <c r="H6377" s="1" t="s">
        <v>29</v>
      </c>
      <c r="I6377" s="1" t="str">
        <f ca="1">IFERROR(__xludf.DUMMYFUNCTION("GOOGLETRANSLATE(F6377, ""auto"", ""en"")
"),"I bought a heater, I’m very pleased, it says up to 15k.m., my room is 24k.m. - heats perfectly, then I turn it off or set it to low power. And most importantly, it does not dry out the air!")</f>
        <v>I bought a heater, I’m very pleased, it says up to 15k.m., my room is 24k.m. - heats perfectly, then I turn it off or set it to low power. And most importantly, it does not dry out the air!</v>
      </c>
    </row>
    <row r="6378" spans="1:9" x14ac:dyDescent="0.3">
      <c r="A6378" s="1" t="s">
        <v>95</v>
      </c>
      <c r="B6378" s="1" t="s">
        <v>648</v>
      </c>
      <c r="C6378" s="1" t="s">
        <v>97</v>
      </c>
      <c r="D6378" s="1" t="s">
        <v>4730</v>
      </c>
      <c r="E6378" s="1" t="s">
        <v>1565</v>
      </c>
      <c r="F6378" s="1" t="s">
        <v>10124</v>
      </c>
      <c r="G6378" s="1" t="s">
        <v>36</v>
      </c>
      <c r="H6378" s="1" t="s">
        <v>29</v>
      </c>
      <c r="I6378" s="1" t="str">
        <f ca="1">IFERROR(__xludf.DUMMYFUNCTION("GOOGLETRANSLATE(F6378, ""auto"", ""en"")
"),"PSP go is a cool game console on which you can easily watch videos, listen to music, surf the Internet in any store and especially play). I bought it for myself and am very pleased.  I recommend it to everyone.")</f>
        <v>PSP go is a cool game console on which you can easily watch videos, listen to music, surf the Internet in any store and especially play). I bought it for myself and am very pleased.  I recommend it to everyone.</v>
      </c>
    </row>
    <row r="6379" spans="1:9" x14ac:dyDescent="0.3">
      <c r="A6379" s="1" t="s">
        <v>61</v>
      </c>
      <c r="B6379" s="1" t="s">
        <v>318</v>
      </c>
      <c r="C6379" s="1" t="s">
        <v>246</v>
      </c>
      <c r="D6379" s="1" t="s">
        <v>64</v>
      </c>
      <c r="E6379" s="1" t="s">
        <v>9945</v>
      </c>
      <c r="F6379" s="1" t="s">
        <v>10125</v>
      </c>
      <c r="G6379" s="1" t="s">
        <v>36</v>
      </c>
      <c r="H6379" s="1" t="s">
        <v>29</v>
      </c>
      <c r="I6379" s="1" t="str">
        <f ca="1">IFERROR(__xludf.DUMMYFUNCTION("GOOGLETRANSLATE(F6379, ""auto"", ""en"")
"),"I've been using it for six months now.   Pros: 1. Boils quickly 2. Quiet (compared to the previous one from an equally well-known company) 3. Convenient combined button for turning on and opening the lid 4. Very convenient spout (no matter how much water "&amp;"there is in the kettle, it ALWAYS pours in a neat stream and gets into the cup, and does not pour out of all the cracks in all directions). Actually, this is the reason why I bought it.  5. There were no foreign odors even during the first boiling 6. The "&amp;"water level is clearly visible Cons: at first, out of habit, I burned myself on the hot body, but now I’m used to it")</f>
        <v>I've been using it for six months now.   Pros: 1. Boils quickly 2. Quiet (compared to the previous one from an equally well-known company) 3. Convenient combined button for turning on and opening the lid 4. Very convenient spout (no matter how much water there is in the kettle, it ALWAYS pours in a neat stream and gets into the cup, and does not pour out of all the cracks in all directions). Actually, this is the reason why I bought it.  5. There were no foreign odors even during the first boiling 6. The water level is clearly visible Cons: at first, out of habit, I burned myself on the hot body, but now I’m used to it</v>
      </c>
    </row>
    <row r="6380" spans="1:9" x14ac:dyDescent="0.3">
      <c r="A6380" s="1" t="s">
        <v>206</v>
      </c>
      <c r="B6380" s="1" t="s">
        <v>261</v>
      </c>
      <c r="C6380" s="1" t="s">
        <v>45</v>
      </c>
      <c r="D6380" s="1" t="s">
        <v>52</v>
      </c>
      <c r="E6380" s="1" t="s">
        <v>449</v>
      </c>
      <c r="F6380" s="1" t="s">
        <v>10126</v>
      </c>
      <c r="G6380" s="1" t="s">
        <v>15</v>
      </c>
      <c r="H6380" s="1" t="s">
        <v>16</v>
      </c>
      <c r="I6380" s="1" t="str">
        <f ca="1">IFERROR(__xludf.DUMMYFUNCTION("GOOGLETRANSLATE(F6380, ""auto"", ""en"")
"),"Very bad modulator. A month later he began to make noise and quack. The body is bad and bursting at the seams. I don't recommend buying.")</f>
        <v>Very bad modulator. A month later he began to make noise and quack. The body is bad and bursting at the seams. I don't recommend buying.</v>
      </c>
    </row>
    <row r="6381" spans="1:9" x14ac:dyDescent="0.3">
      <c r="A6381" s="1" t="s">
        <v>120</v>
      </c>
      <c r="B6381" s="1" t="s">
        <v>256</v>
      </c>
      <c r="C6381" s="1" t="s">
        <v>80</v>
      </c>
      <c r="D6381" s="1" t="s">
        <v>10127</v>
      </c>
      <c r="E6381" s="1" t="s">
        <v>460</v>
      </c>
      <c r="F6381" s="1" t="s">
        <v>10128</v>
      </c>
      <c r="G6381" s="1" t="s">
        <v>28</v>
      </c>
      <c r="H6381" s="1" t="s">
        <v>29</v>
      </c>
      <c r="I6381" s="1" t="str">
        <f ca="1">IFERROR(__xludf.DUMMYFUNCTION("GOOGLETRANSLATE(F6381, ""auto"", ""en"")
"),"We spent a long time choosing a suitable model and eventually settled on this one. It has a large set of functions, and judging by the reviews from this site and the seller’s consultation, it even has USB. When the TV was brought home and connected, it tu"&amp;"rned out that USB only works for the service, but is not for the user active. So be careful when purchasing. But overall the TV is good.")</f>
        <v>We spent a long time choosing a suitable model and eventually settled on this one. It has a large set of functions, and judging by the reviews from this site and the seller’s consultation, it even has USB. When the TV was brought home and connected, it turned out that USB only works for the service, but is not for the user active. So be careful when purchasing. But overall the TV is good.</v>
      </c>
    </row>
    <row r="6382" spans="1:9" x14ac:dyDescent="0.3">
      <c r="A6382" s="1" t="s">
        <v>149</v>
      </c>
      <c r="B6382" s="1" t="s">
        <v>150</v>
      </c>
      <c r="C6382" s="1" t="s">
        <v>982</v>
      </c>
      <c r="D6382" s="1" t="s">
        <v>152</v>
      </c>
      <c r="E6382" s="1" t="s">
        <v>7990</v>
      </c>
      <c r="F6382" s="1" t="s">
        <v>10129</v>
      </c>
      <c r="G6382" s="1" t="s">
        <v>15</v>
      </c>
      <c r="H6382" s="1" t="s">
        <v>16</v>
      </c>
      <c r="I6382" s="1" t="str">
        <f ca="1">IFERROR(__xludf.DUMMYFUNCTION("GOOGLETRANSLATE(F6382, ""auto"", ""en"")
"),"I bought this sink. I only washed my car 2-3 times a month. Handling with care. Stored in a warm garage, drained the water anyway. The quality of the wash was quite satisfactory, but immediately after the warranty expired the sink started leaking. We repl"&amp;"aced the plastic cover on the pump for RUR 2,500. A year later (after several car washes) it started leaking again, same reason. No quality. I will not take it in for repairs a second time. I will take one with a metal pump housing (5th series), or anothe"&amp;"r company")</f>
        <v>I bought this sink. I only washed my car 2-3 times a month. Handling with care. Stored in a warm garage, drained the water anyway. The quality of the wash was quite satisfactory, but immediately after the warranty expired the sink started leaking. We replaced the plastic cover on the pump for RUR 2,500. A year later (after several car washes) it started leaking again, same reason. No quality. I will not take it in for repairs a second time. I will take one with a metal pump housing (5th series), or another company</v>
      </c>
    </row>
    <row r="6383" spans="1:9" x14ac:dyDescent="0.3">
      <c r="A6383" s="1" t="s">
        <v>120</v>
      </c>
      <c r="B6383" s="1" t="s">
        <v>126</v>
      </c>
      <c r="C6383" s="1" t="s">
        <v>122</v>
      </c>
      <c r="D6383" s="1" t="s">
        <v>916</v>
      </c>
      <c r="E6383" s="1" t="s">
        <v>1273</v>
      </c>
      <c r="F6383" s="1" t="s">
        <v>10130</v>
      </c>
      <c r="G6383" s="1" t="s">
        <v>36</v>
      </c>
      <c r="H6383" s="1" t="s">
        <v>29</v>
      </c>
      <c r="I6383" s="1" t="str">
        <f ca="1">IFERROR(__xludf.DUMMYFUNCTION("GOOGLETRANSLATE(F6383, ""auto"", ""en"")
"),"I bought a TV 3 - 4 days ago, the device is good, the price and quality are optimal! The image is super, although not “full shd”, I connected the computer via “shdmi” and watched the film, I was very pleased! Now about the cons! It generates more heat tha"&amp;"n LCD, in winter it can even be used as a heater, when watching television channels the image scan changes, it becomes larger or smaller, that’s why, just tell me???")</f>
        <v>I bought a TV 3 - 4 days ago, the device is good, the price and quality are optimal! The image is super, although not “full shd”, I connected the computer via “shdmi” and watched the film, I was very pleased! Now about the cons! It generates more heat than LCD, in winter it can even be used as a heater, when watching television channels the image scan changes, it becomes larger or smaller, that’s why, just tell me???</v>
      </c>
    </row>
    <row r="6384" spans="1:9" x14ac:dyDescent="0.3">
      <c r="A6384" s="1" t="s">
        <v>30</v>
      </c>
      <c r="B6384" s="1" t="s">
        <v>50</v>
      </c>
      <c r="C6384" s="1" t="s">
        <v>1003</v>
      </c>
      <c r="D6384" s="1" t="s">
        <v>10131</v>
      </c>
      <c r="E6384" s="1" t="s">
        <v>5195</v>
      </c>
      <c r="F6384" s="1" t="s">
        <v>10132</v>
      </c>
      <c r="G6384" s="1" t="s">
        <v>36</v>
      </c>
      <c r="H6384" s="1" t="s">
        <v>29</v>
      </c>
      <c r="I6384" s="1" t="str">
        <f ca="1">IFERROR(__xludf.DUMMYFUNCTION("GOOGLETRANSLATE(F6384, ""auto"", ""en"")
"),"Before buying this laptop, I looked up its equipment on the Internet and was very pleased with it!! (remote control... touch screen (not in all configurations)).. having asked in the store for the package with a 17.3 screen, they told me there was nothing"&amp;" in it, no remote control, much less a sensor, they didn’t even know anything about it, in general they were surprised by this))) In general, the laptop is not very bad, but I would like more)")</f>
        <v>Before buying this laptop, I looked up its equipment on the Internet and was very pleased with it!! (remote control... touch screen (not in all configurations)).. having asked in the store for the package with a 17.3 screen, they told me there was nothing in it, no remote control, much less a sensor, they didn’t even know anything about it, in general they were surprised by this))) In general, the laptop is not very bad, but I would like more)</v>
      </c>
    </row>
    <row r="6385" spans="1:9" x14ac:dyDescent="0.3">
      <c r="A6385" s="1" t="s">
        <v>120</v>
      </c>
      <c r="B6385" s="1" t="s">
        <v>126</v>
      </c>
      <c r="C6385" s="1" t="s">
        <v>80</v>
      </c>
      <c r="D6385" s="1" t="s">
        <v>20</v>
      </c>
      <c r="E6385" s="1" t="s">
        <v>2094</v>
      </c>
      <c r="F6385" s="1" t="s">
        <v>10133</v>
      </c>
      <c r="G6385" s="1" t="s">
        <v>36</v>
      </c>
      <c r="H6385" s="1" t="s">
        <v>29</v>
      </c>
      <c r="I6385" s="1" t="str">
        <f ca="1">IFERROR(__xludf.DUMMYFUNCTION("GOOGLETRANSLATE(F6385, ""auto"", ""en"")
"),"I bought this TV and chose it very long and carefully. Since I am a film buff, it was very important to me that the TV had excellent color reproduction. I chose this particular model because it has the most vivid picture of all that were available at that"&amp;" time. Samsung's picture is not so vibrant. I would also like to note the ability to customize the color gamut; at the moment, not all TVs can do this. I would also like to note the price of the TV, this also played an important role when choosing this TV"&amp;". I'm very pleased with the choice.")</f>
        <v>I bought this TV and chose it very long and carefully. Since I am a film buff, it was very important to me that the TV had excellent color reproduction. I chose this particular model because it has the most vivid picture of all that were available at that time. Samsung's picture is not so vibrant. I would also like to note the ability to customize the color gamut; at the moment, not all TVs can do this. I would also like to note the price of the TV, this also played an important role when choosing this TV. I'm very pleased with the choice.</v>
      </c>
    </row>
    <row r="6386" spans="1:9" x14ac:dyDescent="0.3">
      <c r="A6386" s="1" t="s">
        <v>451</v>
      </c>
      <c r="B6386" s="1" t="s">
        <v>452</v>
      </c>
      <c r="C6386" s="1" t="s">
        <v>453</v>
      </c>
      <c r="D6386" s="1" t="s">
        <v>1138</v>
      </c>
      <c r="E6386" s="1" t="s">
        <v>4330</v>
      </c>
      <c r="F6386" s="1" t="s">
        <v>10134</v>
      </c>
      <c r="G6386" s="1" t="s">
        <v>36</v>
      </c>
      <c r="H6386" s="1" t="s">
        <v>29</v>
      </c>
      <c r="I6386" s="1" t="str">
        <f ca="1">IFERROR(__xludf.DUMMYFUNCTION("GOOGLETRANSLATE(F6386, ""auto"", ""en"")
"),"ߑ͢ class=")</f>
        <v>ߑ͢ class=</v>
      </c>
    </row>
    <row r="6387" spans="1:9" x14ac:dyDescent="0.3">
      <c r="A6387" s="1" t="s">
        <v>211</v>
      </c>
      <c r="B6387" s="1" t="s">
        <v>856</v>
      </c>
      <c r="C6387" s="1" t="s">
        <v>57</v>
      </c>
      <c r="D6387" s="1" t="s">
        <v>64</v>
      </c>
      <c r="E6387" s="1" t="s">
        <v>10135</v>
      </c>
      <c r="F6387" s="1" t="s">
        <v>10136</v>
      </c>
      <c r="G6387" s="1" t="s">
        <v>36</v>
      </c>
      <c r="H6387" s="1" t="s">
        <v>29</v>
      </c>
      <c r="I6387" s="1" t="str">
        <f ca="1">IFERROR(__xludf.DUMMYFUNCTION("GOOGLETRANSLATE(F6387, ""auto"", ""en"")
"),"I like the massager. If your attachments come off, carefully put them on, there are locks! As for the fact that it is heavy, you need to massage it correctly. The massager is held by the very tip of the handle and massaged on a horizontal surface. It goes"&amp;" like clockwork, its shape is specially made for this. Heavy bottom and light top. Give it a try. The infrared radiation should not be felt strongly, it is enough for a massage. It can work for more than 20 minutes.")</f>
        <v>I like the massager. If your attachments come off, carefully put them on, there are locks! As for the fact that it is heavy, you need to massage it correctly. The massager is held by the very tip of the handle and massaged on a horizontal surface. It goes like clockwork, its shape is specially made for this. Heavy bottom and light top. Give it a try. The infrared radiation should not be felt strongly, it is enough for a massage. It can work for more than 20 minutes.</v>
      </c>
    </row>
    <row r="6388" spans="1:9" x14ac:dyDescent="0.3">
      <c r="A6388" s="1" t="s">
        <v>557</v>
      </c>
      <c r="B6388" s="1" t="s">
        <v>1977</v>
      </c>
      <c r="C6388" s="1" t="s">
        <v>369</v>
      </c>
      <c r="D6388" s="1" t="s">
        <v>152</v>
      </c>
      <c r="E6388" s="1" t="s">
        <v>8793</v>
      </c>
      <c r="F6388" s="1" t="s">
        <v>10137</v>
      </c>
      <c r="G6388" s="1" t="s">
        <v>36</v>
      </c>
      <c r="H6388" s="1" t="s">
        <v>29</v>
      </c>
      <c r="I6388" s="1" t="str">
        <f ca="1">IFERROR(__xludf.DUMMYFUNCTION("GOOGLETRANSLATE(F6388, ""auto"", ""en"")
"),"Message: Quite simple, but as usual it is a reliable and excellent device! Everything works, I read the instructions in seven minutes, in general, an excellent device, the price-quality ratio is simply great!")</f>
        <v>Message: Quite simple, but as usual it is a reliable and excellent device! Everything works, I read the instructions in seven minutes, in general, an excellent device, the price-quality ratio is simply great!</v>
      </c>
    </row>
    <row r="6389" spans="1:9" x14ac:dyDescent="0.3">
      <c r="A6389" s="1" t="s">
        <v>67</v>
      </c>
      <c r="B6389" s="1" t="s">
        <v>340</v>
      </c>
      <c r="C6389" s="1" t="s">
        <v>1634</v>
      </c>
      <c r="D6389" s="1" t="s">
        <v>247</v>
      </c>
      <c r="E6389" s="1" t="s">
        <v>894</v>
      </c>
      <c r="F6389" s="1" t="s">
        <v>10138</v>
      </c>
      <c r="G6389" s="1" t="s">
        <v>28</v>
      </c>
      <c r="H6389" s="1" t="s">
        <v>29</v>
      </c>
      <c r="I6389" s="1" t="str">
        <f ca="1">IFERROR(__xludf.DUMMYFUNCTION("GOOGLETRANSLATE(F6389, ""auto"", ""en"")
"),"Let's start with the appearance, the hole for the stitch switch is simply killing, and it is also shifted to one side, it does not affect the functionality, but it spoils the appearance of the machine. Next, the lamp heats up the side very much, so the pl"&amp;"astic below begins to separate! And in general, all the plastic creaks, wobbles and is about to fall apart and expose the insides of the machine. After several removals, the table stand (and you have to remove it often to thread the thread into the shuttl"&amp;"e) also began to fit loosely and a gap formed. Now about the main thing, all the functions work, I tried to sew on a button (there is a special foot in the kit for this), sweeping the buttonholes is also not difficult, everything is written in detail in t"&amp;"he instructions and there is also a special foot in the kit! I couldn’t hem jeans because the machine won’t take the seams with a standard needle, and there is no 100/16 needle intended for denim in the kit. The running of the machine is soft. My conclusi"&amp;"on for beginners is a good option, easy to manage!")</f>
        <v>Let's start with the appearance, the hole for the stitch switch is simply killing, and it is also shifted to one side, it does not affect the functionality, but it spoils the appearance of the machine. Next, the lamp heats up the side very much, so the plastic below begins to separate! And in general, all the plastic creaks, wobbles and is about to fall apart and expose the insides of the machine. After several removals, the table stand (and you have to remove it often to thread the thread into the shuttle) also began to fit loosely and a gap formed. Now about the main thing, all the functions work, I tried to sew on a button (there is a special foot in the kit for this), sweeping the buttonholes is also not difficult, everything is written in detail in the instructions and there is also a special foot in the kit! I couldn’t hem jeans because the machine won’t take the seams with a standard needle, and there is no 100/16 needle intended for denim in the kit. The running of the machine is soft. My conclusion for beginners is a good option, easy to manage!</v>
      </c>
    </row>
    <row r="6390" spans="1:9" x14ac:dyDescent="0.3">
      <c r="A6390" s="1" t="s">
        <v>1823</v>
      </c>
      <c r="B6390" s="1" t="s">
        <v>1824</v>
      </c>
      <c r="C6390" s="1" t="s">
        <v>1825</v>
      </c>
      <c r="D6390" s="1" t="s">
        <v>247</v>
      </c>
      <c r="E6390" s="1" t="s">
        <v>950</v>
      </c>
      <c r="F6390" s="1" t="s">
        <v>10139</v>
      </c>
      <c r="G6390" s="1" t="s">
        <v>49</v>
      </c>
      <c r="H6390" s="1" t="s">
        <v>16</v>
      </c>
      <c r="I6390" s="1" t="str">
        <f ca="1">IFERROR(__xludf.DUMMYFUNCTION("GOOGLETRANSLATE(F6390, ""auto"", ""en"")
"),"In connection with the purchase of a steam generator, I had to acquire such a board (due to the wide space of the stand). When using it, I discovered that it was not designed to work with steam. Condensation forms instantly on all metal parts and hot wate"&amp;"r drips onto the ironer’s feet. After the ironing process there are puddles under the board. I thought it was the power of the steam release that affected it (after all, I use a steam generator!). Not so! With a regular iron with a steam function, the sit"&amp;"uation repeats itself...")</f>
        <v>In connection with the purchase of a steam generator, I had to acquire such a board (due to the wide space of the stand). When using it, I discovered that it was not designed to work with steam. Condensation forms instantly on all metal parts and hot water drips onto the ironer’s feet. After the ironing process there are puddles under the board. I thought it was the power of the steam release that affected it (after all, I use a steam generator!). Not so! With a regular iron with a steam function, the situation repeats itself...</v>
      </c>
    </row>
    <row r="6391" spans="1:9" x14ac:dyDescent="0.3">
      <c r="A6391" s="1" t="s">
        <v>149</v>
      </c>
      <c r="B6391" s="1" t="s">
        <v>150</v>
      </c>
      <c r="C6391" s="1" t="s">
        <v>982</v>
      </c>
      <c r="D6391" s="1" t="s">
        <v>102</v>
      </c>
      <c r="E6391" s="1" t="s">
        <v>109</v>
      </c>
      <c r="F6391" s="1" t="s">
        <v>10140</v>
      </c>
      <c r="G6391" s="1" t="s">
        <v>36</v>
      </c>
      <c r="H6391" s="1" t="s">
        <v>29</v>
      </c>
      <c r="I6391" s="1" t="str">
        <f ca="1">IFERROR(__xludf.DUMMYFUNCTION("GOOGLETRANSLATE(F6391, ""auto"", ""en"")
"),"Good stuff. Considering its cost, it works for 5 points. I've been using it for 2 years now. True, now I’m thinking about purchasing a more serious sink. I haven’t chosen the model yet, but I know for sure that it will be a Karcher.")</f>
        <v>Good stuff. Considering its cost, it works for 5 points. I've been using it for 2 years now. True, now I’m thinking about purchasing a more serious sink. I haven’t chosen the model yet, but I know for sure that it will be a Karcher.</v>
      </c>
    </row>
    <row r="6392" spans="1:9" x14ac:dyDescent="0.3">
      <c r="A6392" s="1" t="s">
        <v>206</v>
      </c>
      <c r="B6392" s="1" t="s">
        <v>207</v>
      </c>
      <c r="C6392" s="1" t="s">
        <v>152</v>
      </c>
      <c r="D6392" s="1" t="s">
        <v>33</v>
      </c>
      <c r="E6392" s="1" t="s">
        <v>3178</v>
      </c>
      <c r="F6392" s="1" t="s">
        <v>10141</v>
      </c>
      <c r="G6392" s="1" t="s">
        <v>49</v>
      </c>
      <c r="H6392" s="1" t="s">
        <v>16</v>
      </c>
      <c r="I6392" s="1" t="str">
        <f ca="1">IFERROR(__xludf.DUMMYFUNCTION("GOOGLETRANSLATE(F6392, ""auto"", ""en"")
"),"They play very quietly.  I can't hear it at all. Sony 660 head without mustache.")</f>
        <v>They play very quietly.  I can't hear it at all. Sony 660 head without mustache.</v>
      </c>
    </row>
    <row r="6393" spans="1:9" x14ac:dyDescent="0.3">
      <c r="A6393" s="1" t="s">
        <v>61</v>
      </c>
      <c r="B6393" s="1" t="s">
        <v>318</v>
      </c>
      <c r="C6393" s="1" t="s">
        <v>246</v>
      </c>
      <c r="D6393" s="1" t="s">
        <v>64</v>
      </c>
      <c r="E6393" s="1" t="s">
        <v>10005</v>
      </c>
      <c r="F6393" s="1" t="s">
        <v>10142</v>
      </c>
      <c r="G6393" s="1" t="s">
        <v>36</v>
      </c>
      <c r="H6393" s="1" t="s">
        <v>29</v>
      </c>
      <c r="I6393" s="1" t="str">
        <f ca="1">IFERROR(__xludf.DUMMYFUNCTION("GOOGLETRANSLATE(F6393, ""auto"", ""en"")
"),"I have been using the kettle for two weeks and have only positive emotions. And it doesn't smell like plastic. My teapot color is grey. It is very convenient that it is compact. Enough for two glasses. It boils in about four minutes. I'm fine with that. I"&amp;" use it at work.")</f>
        <v>I have been using the kettle for two weeks and have only positive emotions. And it doesn't smell like plastic. My teapot color is grey. It is very convenient that it is compact. Enough for two glasses. It boils in about four minutes. I'm fine with that. I use it at work.</v>
      </c>
    </row>
    <row r="6394" spans="1:9" x14ac:dyDescent="0.3">
      <c r="A6394" s="1" t="s">
        <v>61</v>
      </c>
      <c r="B6394" s="1" t="s">
        <v>180</v>
      </c>
      <c r="C6394" s="1" t="s">
        <v>246</v>
      </c>
      <c r="D6394" s="1" t="s">
        <v>589</v>
      </c>
      <c r="E6394" s="1" t="s">
        <v>2236</v>
      </c>
      <c r="F6394" s="1" t="s">
        <v>10143</v>
      </c>
      <c r="G6394" s="1" t="s">
        <v>36</v>
      </c>
      <c r="H6394" s="1" t="s">
        <v>29</v>
      </c>
      <c r="I6394" s="1" t="str">
        <f ca="1">IFERROR(__xludf.DUMMYFUNCTION("GOOGLETRANSLATE(F6394, ""auto"", ""en"")
"),"We spent a long time choosing a toaster, studied the entire range, but settled on this Tefal. The unit is simply a miracle, compact, simple, the toast is crispy, does not burn, you can choose the frying mode to suit every taste. Very satisfied, good combi"&amp;"nation of price and quality.")</f>
        <v>We spent a long time choosing a toaster, studied the entire range, but settled on this Tefal. The unit is simply a miracle, compact, simple, the toast is crispy, does not burn, you can choose the frying mode to suit every taste. Very satisfied, good combination of price and quality.</v>
      </c>
    </row>
    <row r="6395" spans="1:9" x14ac:dyDescent="0.3">
      <c r="A6395" s="1" t="s">
        <v>373</v>
      </c>
      <c r="B6395" s="1" t="s">
        <v>374</v>
      </c>
      <c r="C6395" s="1" t="s">
        <v>138</v>
      </c>
      <c r="D6395" s="1" t="s">
        <v>139</v>
      </c>
      <c r="E6395" s="1" t="s">
        <v>288</v>
      </c>
      <c r="F6395" s="1" t="s">
        <v>10144</v>
      </c>
      <c r="G6395" s="1" t="s">
        <v>36</v>
      </c>
      <c r="H6395" s="1" t="s">
        <v>29</v>
      </c>
      <c r="I6395" s="1" t="str">
        <f ca="1">IFERROR(__xludf.DUMMYFUNCTION("GOOGLETRANSLATE(F6395, ""auto"", ""en"")
"),"Very good thing!!!  The whole family is happy! Even children can do it easily. I recommend it.")</f>
        <v>Very good thing!!!  The whole family is happy! Even children can do it easily. I recommend it.</v>
      </c>
    </row>
    <row r="6396" spans="1:9" x14ac:dyDescent="0.3">
      <c r="A6396" s="1" t="s">
        <v>30</v>
      </c>
      <c r="B6396" s="1" t="s">
        <v>50</v>
      </c>
      <c r="C6396" s="1" t="s">
        <v>1003</v>
      </c>
      <c r="D6396" s="1" t="s">
        <v>1152</v>
      </c>
      <c r="E6396" s="1" t="s">
        <v>7219</v>
      </c>
      <c r="F6396" s="1" t="s">
        <v>10145</v>
      </c>
      <c r="G6396" s="1" t="s">
        <v>28</v>
      </c>
      <c r="H6396" s="1" t="s">
        <v>29</v>
      </c>
      <c r="I6396" s="1" t="str">
        <f ca="1">IFERROR(__xludf.DUMMYFUNCTION("GOOGLETRANSLATE(F6396, ""auto"", ""en"")
"),"Hello! The essence of my problem: I bought an HP ProBook 4515s laptop 2 weeks ago.  Every day, completely spontaneously, regardless of time and actions, the laptop screen blinks for about 1 second; this can be compared to adjusting the display to change t"&amp;"he screen resolution. Moreover, this happens 1, maximum 2 times a day. The first thought was that the plume was leaving, but somehow strangely it leaves 1-2 times a day. Taking it to a service center is also not an option, because they won’t sit around 24"&amp;" hours a day and tirelessly watch when it will blink. For some reason I think that the problem is somewhere in the settings of the video card (ATI Mobility Radeon HD 4330). But again, this is not a fact. Maybe someone has already come across something sim"&amp;"ilar, or just knows where to dig. Thanks in advance for your answers.")</f>
        <v>Hello! The essence of my problem: I bought an HP ProBook 4515s laptop 2 weeks ago.  Every day, completely spontaneously, regardless of time and actions, the laptop screen blinks for about 1 second; this can be compared to adjusting the display to change the screen resolution. Moreover, this happens 1, maximum 2 times a day. The first thought was that the plume was leaving, but somehow strangely it leaves 1-2 times a day. Taking it to a service center is also not an option, because they won’t sit around 24 hours a day and tirelessly watch when it will blink. For some reason I think that the problem is somewhere in the settings of the video card (ATI Mobility Radeon HD 4330). But again, this is not a fact. Maybe someone has already come across something similar, or just knows where to dig. Thanks in advance for your answers.</v>
      </c>
    </row>
    <row r="6397" spans="1:9" x14ac:dyDescent="0.3">
      <c r="A6397" s="1" t="s">
        <v>95</v>
      </c>
      <c r="B6397" s="1" t="s">
        <v>648</v>
      </c>
      <c r="C6397" s="1" t="s">
        <v>97</v>
      </c>
      <c r="D6397" s="1" t="s">
        <v>305</v>
      </c>
      <c r="E6397" s="1" t="s">
        <v>1432</v>
      </c>
      <c r="F6397" s="1" t="s">
        <v>10146</v>
      </c>
      <c r="G6397" s="1" t="s">
        <v>36</v>
      </c>
      <c r="H6397" s="1" t="s">
        <v>29</v>
      </c>
      <c r="I6397" s="1" t="str">
        <f ca="1">IFERROR(__xludf.DUMMYFUNCTION("GOOGLETRANSLATE(F6397, ""auto"", ""en"")
"),"People, tell me, can I reflash it?")</f>
        <v>People, tell me, can I reflash it?</v>
      </c>
    </row>
    <row r="6398" spans="1:9" x14ac:dyDescent="0.3">
      <c r="A6398" s="1" t="s">
        <v>624</v>
      </c>
      <c r="B6398" s="1" t="s">
        <v>881</v>
      </c>
      <c r="C6398" s="1" t="s">
        <v>479</v>
      </c>
      <c r="D6398" s="1" t="s">
        <v>117</v>
      </c>
      <c r="E6398" s="1" t="s">
        <v>4668</v>
      </c>
      <c r="F6398" s="1" t="s">
        <v>10147</v>
      </c>
      <c r="G6398" s="1" t="s">
        <v>36</v>
      </c>
      <c r="H6398" s="1" t="s">
        <v>29</v>
      </c>
      <c r="I6398" s="1" t="str">
        <f ca="1">IFERROR(__xludf.DUMMYFUNCTION("GOOGLETRANSLATE(F6398, ""auto"", ""en"")
"),"Cool game, I had it on PS2 and half the class has it on PSP, everyone plays it, it’s clear. I advise everyone to buy it, it's worth it.")</f>
        <v>Cool game, I had it on PS2 and half the class has it on PSP, everyone plays it, it’s clear. I advise everyone to buy it, it's worth it.</v>
      </c>
    </row>
    <row r="6399" spans="1:9" x14ac:dyDescent="0.3">
      <c r="A6399" s="1" t="s">
        <v>211</v>
      </c>
      <c r="B6399" s="1" t="s">
        <v>265</v>
      </c>
      <c r="C6399" s="1" t="s">
        <v>57</v>
      </c>
      <c r="D6399" s="1" t="s">
        <v>940</v>
      </c>
      <c r="E6399" s="1" t="s">
        <v>1319</v>
      </c>
      <c r="F6399" s="1" t="s">
        <v>10148</v>
      </c>
      <c r="G6399" s="1" t="s">
        <v>49</v>
      </c>
      <c r="H6399" s="1" t="s">
        <v>16</v>
      </c>
      <c r="I6399" s="1" t="str">
        <f ca="1">IFERROR(__xludf.DUMMYFUNCTION("GOOGLETRANSLATE(F6399, ""auto"", ""en"")
"),"I bought the machine as a gift, I felt embarrassed when they brought it back and said that it didn’t work, that is, it buzzed, but it pulled out my hair. The attachments are terrible to put on, they are not suitable.")</f>
        <v>I bought the machine as a gift, I felt embarrassed when they brought it back and said that it didn’t work, that is, it buzzed, but it pulled out my hair. The attachments are terrible to put on, they are not suitable.</v>
      </c>
    </row>
    <row r="6400" spans="1:9" x14ac:dyDescent="0.3">
      <c r="A6400" s="1" t="s">
        <v>43</v>
      </c>
      <c r="B6400" s="1" t="s">
        <v>334</v>
      </c>
      <c r="C6400" s="1" t="s">
        <v>101</v>
      </c>
      <c r="D6400" s="1" t="s">
        <v>295</v>
      </c>
      <c r="E6400" s="1" t="s">
        <v>4634</v>
      </c>
      <c r="F6400" s="1" t="s">
        <v>10149</v>
      </c>
      <c r="G6400" s="1" t="s">
        <v>28</v>
      </c>
      <c r="H6400" s="1" t="s">
        <v>29</v>
      </c>
      <c r="I6400" s="1" t="str">
        <f ca="1">IFERROR(__xludf.DUMMYFUNCTION("GOOGLETRANSLATE(F6400, ""auto"", ""en"")
"),"Powerful, quiet ")</f>
        <v xml:space="preserve">Powerful, quiet </v>
      </c>
    </row>
    <row r="6401" spans="1:9" x14ac:dyDescent="0.3">
      <c r="A6401" s="1" t="s">
        <v>55</v>
      </c>
      <c r="B6401" s="1" t="s">
        <v>84</v>
      </c>
      <c r="C6401" s="1" t="s">
        <v>85</v>
      </c>
      <c r="D6401" s="1" t="s">
        <v>232</v>
      </c>
      <c r="E6401" s="1" t="s">
        <v>5131</v>
      </c>
      <c r="F6401" s="1" t="s">
        <v>10150</v>
      </c>
      <c r="G6401" s="1" t="s">
        <v>49</v>
      </c>
      <c r="H6401" s="1" t="s">
        <v>16</v>
      </c>
      <c r="I6401" s="1" t="str">
        <f ca="1">IFERROR(__xludf.DUMMYFUNCTION("GOOGLETRANSLATE(F6401, ""auto"", ""en"")
"),"Didn't have time to notice")</f>
        <v>Didn't have time to notice</v>
      </c>
    </row>
    <row r="6402" spans="1:9" x14ac:dyDescent="0.3">
      <c r="A6402" s="1" t="s">
        <v>149</v>
      </c>
      <c r="B6402" s="1" t="s">
        <v>155</v>
      </c>
      <c r="C6402" s="1" t="s">
        <v>1187</v>
      </c>
      <c r="D6402" s="1" t="s">
        <v>565</v>
      </c>
      <c r="E6402" s="1" t="s">
        <v>4540</v>
      </c>
      <c r="F6402" s="1" t="s">
        <v>10151</v>
      </c>
      <c r="G6402" s="1" t="s">
        <v>36</v>
      </c>
      <c r="H6402" s="1" t="s">
        <v>29</v>
      </c>
      <c r="I6402" s="1" t="str">
        <f ca="1">IFERROR(__xludf.DUMMYFUNCTION("GOOGLETRANSLATE(F6402, ""auto"", ""en"")
"),"I carefully approached the choice of a vacuum cleaner :) I read a lot of reviews on the Internet, recommendations and annotations :) And yet I settled on Dyson. I bought it and tried it on the same day - just great! No extra smell after cleaning, cleans g"&amp;"reat. Cleaning the container is a little unusual, but not critical: fill it with water, rinse it and throw it away. I wouldn’t consider this moment a minus. Happy with everything! And then we'll wait and see. High quality vacuum cleaner!")</f>
        <v>I carefully approached the choice of a vacuum cleaner :) I read a lot of reviews on the Internet, recommendations and annotations :) And yet I settled on Dyson. I bought it and tried it on the same day - just great! No extra smell after cleaning, cleans great. Cleaning the container is a little unusual, but not critical: fill it with water, rinse it and throw it away. I wouldn’t consider this moment a minus. Happy with everything! And then we'll wait and see. High quality vacuum cleaner!</v>
      </c>
    </row>
    <row r="6403" spans="1:9" x14ac:dyDescent="0.3">
      <c r="A6403" s="1" t="s">
        <v>557</v>
      </c>
      <c r="B6403" s="1" t="s">
        <v>1977</v>
      </c>
      <c r="C6403" s="1" t="s">
        <v>122</v>
      </c>
      <c r="D6403" s="1" t="s">
        <v>114</v>
      </c>
      <c r="E6403" s="1" t="s">
        <v>3521</v>
      </c>
      <c r="F6403" s="1" t="s">
        <v>10152</v>
      </c>
      <c r="G6403" s="1" t="s">
        <v>36</v>
      </c>
      <c r="H6403" s="1" t="s">
        <v>29</v>
      </c>
      <c r="I6403" s="1" t="str">
        <f ca="1">IFERROR(__xludf.DUMMYFUNCTION("GOOGLETRANSLATE(F6403, ""auto"", ""en"")
"),"Thanks to the guys from M.Video! They found what I asked for: loud ringing, excellent audibility. I bought it for my mother - she’s happy!")</f>
        <v>Thanks to the guys from M.Video! They found what I asked for: loud ringing, excellent audibility. I bought it for my mother - she’s happy!</v>
      </c>
    </row>
    <row r="6404" spans="1:9" x14ac:dyDescent="0.3">
      <c r="A6404" s="1" t="s">
        <v>37</v>
      </c>
      <c r="B6404" s="1" t="s">
        <v>38</v>
      </c>
      <c r="C6404" s="1" t="s">
        <v>39</v>
      </c>
      <c r="D6404" s="1" t="s">
        <v>10153</v>
      </c>
      <c r="E6404" s="1" t="s">
        <v>3537</v>
      </c>
      <c r="F6404" s="1" t="s">
        <v>10154</v>
      </c>
      <c r="G6404" s="1" t="s">
        <v>36</v>
      </c>
      <c r="H6404" s="1" t="s">
        <v>29</v>
      </c>
      <c r="I6404" s="1" t="str">
        <f ca="1">IFERROR(__xludf.DUMMYFUNCTION("GOOGLETRANSLATE(F6404, ""auto"", ""en"")
"),"Great phone) The best sound I've heard from the W series from SonyEricson")</f>
        <v>Great phone) The best sound I've heard from the W series from SonyEricson</v>
      </c>
    </row>
    <row r="6405" spans="1:9" x14ac:dyDescent="0.3">
      <c r="A6405" s="1" t="s">
        <v>120</v>
      </c>
      <c r="B6405" s="1" t="s">
        <v>256</v>
      </c>
      <c r="C6405" s="1" t="s">
        <v>97</v>
      </c>
      <c r="D6405" s="1" t="s">
        <v>10155</v>
      </c>
      <c r="E6405" s="1" t="s">
        <v>814</v>
      </c>
      <c r="F6405" s="1" t="s">
        <v>10156</v>
      </c>
      <c r="G6405" s="1" t="s">
        <v>28</v>
      </c>
      <c r="H6405" s="1" t="s">
        <v>29</v>
      </c>
      <c r="I6405" s="1" t="str">
        <f ca="1">IFERROR(__xludf.DUMMYFUNCTION("GOOGLETRANSLATE(F6405, ""auto"", ""en"")
"),"Who knows the format factory converter, tell us about the settings for converting to MPEG-1 and 2, so that you can watch a movie on SONY 26"" from a flash drive. The source file is MKV. Does it make a difference which file to convert (AVI, DIVX).")</f>
        <v>Who knows the format factory converter, tell us about the settings for converting to MPEG-1 and 2, so that you can watch a movie on SONY 26" from a flash drive. The source file is MKV. Does it make a difference which file to convert (AVI, DIVX).</v>
      </c>
    </row>
    <row r="6406" spans="1:9" x14ac:dyDescent="0.3">
      <c r="A6406" s="1" t="s">
        <v>105</v>
      </c>
      <c r="B6406" s="1" t="s">
        <v>106</v>
      </c>
      <c r="C6406" s="1" t="s">
        <v>151</v>
      </c>
      <c r="D6406" s="1" t="s">
        <v>4679</v>
      </c>
      <c r="E6406" s="1" t="s">
        <v>750</v>
      </c>
      <c r="F6406" s="1" t="s">
        <v>10157</v>
      </c>
      <c r="G6406" s="1" t="s">
        <v>36</v>
      </c>
      <c r="H6406" s="1" t="s">
        <v>29</v>
      </c>
      <c r="I6406" s="1" t="str">
        <f ca="1">IFERROR(__xludf.DUMMYFUNCTION("GOOGLETRANSLATE(F6406, ""auto"", ""en"")
"),"I've been using it for 3 months, I changed the headphones because... You can't hear any noise from outside at all! But this is a matter of taste. In addition to music, I watch movies on it, read books, my eyes don’t get tired at all, which was a pleasant "&amp;"surprise)) Doesn’t slow down!! Contains a ton of information. For those who are not fans of Konovo players, I advise you to take it, you won’t be disappointed :)")</f>
        <v>I've been using it for 3 months, I changed the headphones because... You can't hear any noise from outside at all! But this is a matter of taste. In addition to music, I watch movies on it, read books, my eyes don’t get tired at all, which was a pleasant surprise)) Doesn’t slow down!! Contains a ton of information. For those who are not fans of Konovo players, I advise you to take it, you won’t be disappointed :)</v>
      </c>
    </row>
    <row r="6407" spans="1:9" x14ac:dyDescent="0.3">
      <c r="A6407" s="1" t="s">
        <v>120</v>
      </c>
      <c r="B6407" s="1" t="s">
        <v>121</v>
      </c>
      <c r="C6407" s="1" t="s">
        <v>97</v>
      </c>
      <c r="D6407" s="1" t="s">
        <v>6081</v>
      </c>
      <c r="E6407" s="1" t="s">
        <v>661</v>
      </c>
      <c r="F6407" s="1" t="s">
        <v>10158</v>
      </c>
      <c r="G6407" s="1" t="s">
        <v>28</v>
      </c>
      <c r="H6407" s="1" t="s">
        <v>29</v>
      </c>
      <c r="I6407" s="1" t="str">
        <f ca="1">IFERROR(__xludf.DUMMYFUNCTION("GOOGLETRANSLATE(F6407, ""auto"", ""en"")
"),"The TV is wonderful, the picture is excellent. But...the inability to sort digital channels really spoils life.")</f>
        <v>The TV is wonderful, the picture is excellent. But...the inability to sort digital channels really spoils life.</v>
      </c>
    </row>
    <row r="6408" spans="1:9" x14ac:dyDescent="0.3">
      <c r="A6408" s="1" t="s">
        <v>9</v>
      </c>
      <c r="B6408" s="1" t="s">
        <v>10</v>
      </c>
      <c r="C6408" s="1" t="s">
        <v>407</v>
      </c>
      <c r="D6408" s="1" t="s">
        <v>308</v>
      </c>
      <c r="E6408" s="1" t="s">
        <v>3848</v>
      </c>
      <c r="F6408" s="1" t="s">
        <v>10159</v>
      </c>
      <c r="G6408" s="1" t="s">
        <v>36</v>
      </c>
      <c r="H6408" s="1" t="s">
        <v>29</v>
      </c>
      <c r="I6408" s="1" t="str">
        <f ca="1">IFERROR(__xludf.DUMMYFUNCTION("GOOGLETRANSLATE(F6408, ""auto"", ""en"")
"),"Quite quiet, looks good, but works in circulation mode - all the air from the hood goes outside. This is probably normal, but I thought that the air from the hood would go into the ventilation riser. Why a pipe then? I didn’t quite understand something. A"&amp;"s for the fan, there are no complaints.")</f>
        <v>Quite quiet, looks good, but works in circulation mode - all the air from the hood goes outside. This is probably normal, but I thought that the air from the hood would go into the ventilation riser. Why a pipe then? I didn’t quite understand something. As for the fan, there are no complaints.</v>
      </c>
    </row>
    <row r="6409" spans="1:9" x14ac:dyDescent="0.3">
      <c r="A6409" s="1" t="s">
        <v>61</v>
      </c>
      <c r="B6409" s="1" t="s">
        <v>73</v>
      </c>
      <c r="C6409" s="1" t="s">
        <v>146</v>
      </c>
      <c r="D6409" s="1" t="s">
        <v>64</v>
      </c>
      <c r="E6409" s="1" t="s">
        <v>167</v>
      </c>
      <c r="F6409" s="1" t="s">
        <v>10160</v>
      </c>
      <c r="G6409" s="1" t="s">
        <v>36</v>
      </c>
      <c r="H6409" s="1" t="s">
        <v>29</v>
      </c>
      <c r="I6409" s="1" t="str">
        <f ca="1">IFERROR(__xludf.DUMMYFUNCTION("GOOGLETRANSLATE(F6409, ""auto"", ""en"")
"),"good meat grinder, does a great job with meat")</f>
        <v>good meat grinder, does a great job with meat</v>
      </c>
    </row>
    <row r="6410" spans="1:9" x14ac:dyDescent="0.3">
      <c r="A6410" s="1" t="s">
        <v>78</v>
      </c>
      <c r="B6410" s="1" t="s">
        <v>79</v>
      </c>
      <c r="C6410" s="1" t="s">
        <v>80</v>
      </c>
      <c r="D6410" s="1" t="s">
        <v>295</v>
      </c>
      <c r="E6410" s="1" t="s">
        <v>5790</v>
      </c>
      <c r="F6410" s="1" t="s">
        <v>10161</v>
      </c>
      <c r="G6410" s="1" t="s">
        <v>49</v>
      </c>
      <c r="H6410" s="1" t="s">
        <v>16</v>
      </c>
      <c r="I6410" s="1" t="str">
        <f ca="1">IFERROR(__xludf.DUMMYFUNCTION("GOOGLETRANSLATE(F6410, ""auto"", ""en"")
"),"I spent a long time choosing and asking prices. I liked it very much and bought it.   After all, I read the negative reviews and didn’t believe it, but now... After four warm-ups, the fan started making noise or something else, I don’t know. I'll try to g"&amp;"et the money back, I don't trust the replacement.(((")</f>
        <v>I spent a long time choosing and asking prices. I liked it very much and bought it.   After all, I read the negative reviews and didn’t believe it, but now... After four warm-ups, the fan started making noise or something else, I don’t know. I'll try to get the money back, I don't trust the replacement.(((</v>
      </c>
    </row>
    <row r="6411" spans="1:9" x14ac:dyDescent="0.3">
      <c r="A6411" s="1" t="s">
        <v>61</v>
      </c>
      <c r="B6411" s="1" t="s">
        <v>73</v>
      </c>
      <c r="C6411" s="1" t="s">
        <v>146</v>
      </c>
      <c r="D6411" s="1" t="s">
        <v>52</v>
      </c>
      <c r="E6411" s="1" t="s">
        <v>1454</v>
      </c>
      <c r="F6411" s="1" t="s">
        <v>10162</v>
      </c>
      <c r="G6411" s="1" t="s">
        <v>36</v>
      </c>
      <c r="H6411" s="1" t="s">
        <v>29</v>
      </c>
      <c r="I6411" s="1" t="str">
        <f ca="1">IFERROR(__xludf.DUMMYFUNCTION("GOOGLETRANSLATE(F6411, ""auto"", ""en"")
"),"There is metal all over the body, the screw, the connection to the engine, although it is a little noisy, the metal explains everything. Steel knives made of good steel do not become dull for a long time, the reverse function is in case something gets jam"&amp;"med. I recommend")</f>
        <v>There is metal all over the body, the screw, the connection to the engine, although it is a little noisy, the metal explains everything. Steel knives made of good steel do not become dull for a long time, the reverse function is in case something gets jammed. I recommend</v>
      </c>
    </row>
    <row r="6412" spans="1:9" x14ac:dyDescent="0.3">
      <c r="A6412" s="1" t="s">
        <v>67</v>
      </c>
      <c r="B6412" s="1" t="s">
        <v>68</v>
      </c>
      <c r="C6412" s="1" t="s">
        <v>185</v>
      </c>
      <c r="D6412" s="1" t="s">
        <v>308</v>
      </c>
      <c r="E6412" s="1" t="s">
        <v>2030</v>
      </c>
      <c r="F6412" s="1" t="s">
        <v>10163</v>
      </c>
      <c r="G6412" s="1" t="s">
        <v>15</v>
      </c>
      <c r="H6412" s="1" t="s">
        <v>16</v>
      </c>
      <c r="I6412" s="1" t="str">
        <f ca="1">IFERROR(__xludf.DUMMYFUNCTION("GOOGLETRANSLATE(F6412, ""auto"", ""en"")
"),"I agree with the previous opinion, according to the manufacturer, the sole is “Non-stick”, but the feeling was the opposite. It glides really badly, the material is far from ceramic, it actually looks like painted aluminum, but I don’t understand it. As f"&amp;"or the steam, it worked relatively well. BUT it broke after six months (it was not purchased in this store), the reason: a manufacturing defect - this was revealed by the “expertise”.")</f>
        <v>I agree with the previous opinion, according to the manufacturer, the sole is “Non-stick”, but the feeling was the opposite. It glides really badly, the material is far from ceramic, it actually looks like painted aluminum, but I don’t understand it. As for the steam, it worked relatively well. BUT it broke after six months (it was not purchased in this store), the reason: a manufacturing defect - this was revealed by the “expertise”.</v>
      </c>
    </row>
    <row r="6413" spans="1:9" x14ac:dyDescent="0.3">
      <c r="A6413" s="1" t="s">
        <v>89</v>
      </c>
      <c r="B6413" s="1" t="s">
        <v>231</v>
      </c>
      <c r="C6413" s="1" t="s">
        <v>185</v>
      </c>
      <c r="D6413" s="1" t="s">
        <v>305</v>
      </c>
      <c r="E6413" s="1" t="s">
        <v>2236</v>
      </c>
      <c r="F6413" s="1" t="s">
        <v>10164</v>
      </c>
      <c r="G6413" s="1" t="s">
        <v>36</v>
      </c>
      <c r="H6413" s="1" t="s">
        <v>29</v>
      </c>
      <c r="I6413" s="1" t="str">
        <f ca="1">IFERROR(__xludf.DUMMYFUNCTION("GOOGLETRANSLATE(F6413, ""auto"", ""en"")
"),"My first coffee machine. Before this there was Moulinex drip type. Brews coffee perfectly. It warms up very quickly and gets to work. I was pleased with the programming of water hardness in the machine itself (a paper test indicator is included). The soft"&amp;"er the water, the less often you will need to perform automatic descaling in your machine. The infuser can be easily removed and washed under running water without detergents! (the products may damage the unit). The coffee brews really hot. There is progr"&amp;"amming of the water temperature at which coffee is served, for those who like it “colder”. I thought I would have to buy a power extension cord, but the 1.5m cord is not included! Power consumption is 1450W, not 1350W. And the water capacity is not 1.8L, "&amp;"but a real 1.7L, enough for 2 days for a family of 2-3 people. Manufacturer Italy. A bunch of all sorts of indicators, no beans, the cassette for coffee grounds is full, no water, well, I think every normal coffee machine should have this. It makes cappuc"&amp;"cino with a bang, just take milk with no more than 1.5% fat content, and you will be happy!  It makes noise and grunts, I turned it on one night, I thought the neighbors would wake up. It is inconvenient to pour hot water from the steam supply tube; drops"&amp;" splash in all directions! To avoid splashing, you need to hold the mug and lower the tube to the very bottom. It’s heavy (10.8 kg), but I don’t think that’s a drawback; it’s not a good idea to take it on hikes.  In general, for the money (I got it at a d"&amp;"iscount) it’s a reasonable purchase. Expensive models brew the same way, but they have an automatic cappuccino maker.")</f>
        <v>My first coffee machine. Before this there was Moulinex drip type. Brews coffee perfectly. It warms up very quickly and gets to work. I was pleased with the programming of water hardness in the machine itself (a paper test indicator is included). The softer the water, the less often you will need to perform automatic descaling in your machine. The infuser can be easily removed and washed under running water without detergents! (the products may damage the unit). The coffee brews really hot. There is programming of the water temperature at which coffee is served, for those who like it “colder”. I thought I would have to buy a power extension cord, but the 1.5m cord is not included! Power consumption is 1450W, not 1350W. And the water capacity is not 1.8L, but a real 1.7L, enough for 2 days for a family of 2-3 people. Manufacturer Italy. A bunch of all sorts of indicators, no beans, the cassette for coffee grounds is full, no water, well, I think every normal coffee machine should have this. It makes cappuccino with a bang, just take milk with no more than 1.5% fat content, and you will be happy!  It makes noise and grunts, I turned it on one night, I thought the neighbors would wake up. It is inconvenient to pour hot water from the steam supply tube; drops splash in all directions! To avoid splashing, you need to hold the mug and lower the tube to the very bottom. It’s heavy (10.8 kg), but I don’t think that’s a drawback; it’s not a good idea to take it on hikes.  In general, for the money (I got it at a discount) it’s a reasonable purchase. Expensive models brew the same way, but they have an automatic cappuccino maker.</v>
      </c>
    </row>
    <row r="6414" spans="1:9" x14ac:dyDescent="0.3">
      <c r="A6414" s="1" t="s">
        <v>67</v>
      </c>
      <c r="B6414" s="1" t="s">
        <v>68</v>
      </c>
      <c r="C6414" s="1" t="s">
        <v>185</v>
      </c>
      <c r="D6414" s="1" t="s">
        <v>10165</v>
      </c>
      <c r="E6414" s="1" t="s">
        <v>1321</v>
      </c>
      <c r="F6414" s="1" t="s">
        <v>10166</v>
      </c>
      <c r="G6414" s="1" t="s">
        <v>36</v>
      </c>
      <c r="H6414" s="1" t="s">
        <v>29</v>
      </c>
      <c r="I6414" s="1" t="str">
        <f ca="1">IFERROR(__xludf.DUMMYFUNCTION("GOOGLETRANSLATE(F6414, ""auto"", ""en"")
"),"It was given to colleagues for the birth of a child, a necessary gift, since I definitely do 1-2 laundry a day, so there is also a lot of ironing, and this is generally my least favorite activity. He irons vests in a second, really just one touch is enoug"&amp;"h, in general he irons things well - no complaints. But the main advantage, I later realized, is ironing bed linen. I just fold it into 4 layers and iron it on both sides, and everything is ironed well!! With a regular iron, I ironed the bed linen for abo"&amp;"ut 20 minutes... It's a good thing!!!!")</f>
        <v>It was given to colleagues for the birth of a child, a necessary gift, since I definitely do 1-2 laundry a day, so there is also a lot of ironing, and this is generally my least favorite activity. He irons vests in a second, really just one touch is enough, in general he irons things well - no complaints. But the main advantage, I later realized, is ironing bed linen. I just fold it into 4 layers and iron it on both sides, and everything is ironed well!! With a regular iron, I ironed the bed linen for about 20 minutes... It's a good thing!!!!</v>
      </c>
    </row>
    <row r="6415" spans="1:9" x14ac:dyDescent="0.3">
      <c r="A6415" s="1" t="s">
        <v>61</v>
      </c>
      <c r="B6415" s="1" t="s">
        <v>145</v>
      </c>
      <c r="C6415" s="1" t="s">
        <v>246</v>
      </c>
      <c r="D6415" s="1" t="s">
        <v>10167</v>
      </c>
      <c r="E6415" s="1" t="s">
        <v>1657</v>
      </c>
      <c r="F6415" s="1" t="s">
        <v>10168</v>
      </c>
      <c r="G6415" s="1" t="s">
        <v>36</v>
      </c>
      <c r="H6415" s="1" t="s">
        <v>29</v>
      </c>
      <c r="I6415" s="1" t="str">
        <f ca="1">IFERROR(__xludf.DUMMYFUNCTION("GOOGLETRANSLATE(F6415, ""auto"", ""en"")
"),"This steamer is an interesting thing :) The dishes have a completely different taste. We've been using it for a long time. Probably for over a year now. It seems to work fine. True, at the end of cooking, the “heating light” usually turns off, the “the en"&amp;"d” sound signal is emitted, and the timer will continue to tick for some time. But personally this doesn’t bother me.  It is also convenient because the saucepans stack compactly on top of each other.")</f>
        <v>This steamer is an interesting thing :) The dishes have a completely different taste. We've been using it for a long time. Probably for over a year now. It seems to work fine. True, at the end of cooking, the “heating light” usually turns off, the “the end” sound signal is emitted, and the timer will continue to tick for some time. But personally this doesn’t bother me.  It is also convenient because the saucepans stack compactly on top of each other.</v>
      </c>
    </row>
    <row r="6416" spans="1:9" x14ac:dyDescent="0.3">
      <c r="A6416" s="1" t="s">
        <v>89</v>
      </c>
      <c r="B6416" s="1" t="s">
        <v>231</v>
      </c>
      <c r="C6416" s="1" t="s">
        <v>63</v>
      </c>
      <c r="D6416" s="1" t="s">
        <v>280</v>
      </c>
      <c r="E6416" s="1" t="s">
        <v>1129</v>
      </c>
      <c r="F6416" s="1" t="s">
        <v>10169</v>
      </c>
      <c r="G6416" s="1" t="s">
        <v>15</v>
      </c>
      <c r="H6416" s="1" t="s">
        <v>16</v>
      </c>
      <c r="I6416" s="1" t="str">
        <f ca="1">IFERROR(__xludf.DUMMYFUNCTION("GOOGLETRANSLATE(F6416, ""auto"", ""en"")
"),"It only worked for a year, although it was regularly cleaned, washed and filled with only the recommended coffee for coffee machines. It buzzes, shakes, but the coffee doesn't flow :) After the repair, it worked for another 3 months... and again the same "&amp;"breakdown.")</f>
        <v>It only worked for a year, although it was regularly cleaned, washed and filled with only the recommended coffee for coffee machines. It buzzes, shakes, but the coffee doesn't flow :) After the repair, it worked for another 3 months... and again the same breakdown.</v>
      </c>
    </row>
    <row r="6417" spans="1:9" x14ac:dyDescent="0.3">
      <c r="A6417" s="1" t="s">
        <v>211</v>
      </c>
      <c r="B6417" s="1" t="s">
        <v>265</v>
      </c>
      <c r="C6417" s="1" t="s">
        <v>122</v>
      </c>
      <c r="D6417" s="1" t="s">
        <v>1188</v>
      </c>
      <c r="E6417" s="1" t="s">
        <v>8206</v>
      </c>
      <c r="F6417" s="1" t="s">
        <v>10170</v>
      </c>
      <c r="G6417" s="1" t="s">
        <v>36</v>
      </c>
      <c r="H6417" s="1" t="s">
        <v>29</v>
      </c>
      <c r="I6417" s="1" t="str">
        <f ca="1">IFERROR(__xludf.DUMMYFUNCTION("GOOGLETRANSLATE(F6417, ""auto"", ""en"")
"),"I've been using it for over 4 years, cutting my hair 2-3 times a month. Excellent quality. I was pleasantly surprised to see it on sale.")</f>
        <v>I've been using it for over 4 years, cutting my hair 2-3 times a month. Excellent quality. I was pleasantly surprised to see it on sale.</v>
      </c>
    </row>
    <row r="6418" spans="1:9" x14ac:dyDescent="0.3">
      <c r="A6418" s="1" t="s">
        <v>211</v>
      </c>
      <c r="B6418" s="1" t="s">
        <v>410</v>
      </c>
      <c r="C6418" s="1" t="s">
        <v>213</v>
      </c>
      <c r="D6418" s="1" t="s">
        <v>10171</v>
      </c>
      <c r="E6418" s="1" t="s">
        <v>849</v>
      </c>
      <c r="F6418" s="1" t="s">
        <v>10172</v>
      </c>
      <c r="G6418" s="1" t="s">
        <v>36</v>
      </c>
      <c r="H6418" s="1" t="s">
        <v>29</v>
      </c>
      <c r="I6418" s="1" t="str">
        <f ca="1">IFERROR(__xludf.DUMMYFUNCTION("GOOGLETRANSLATE(F6418, ""auto"", ""en"")
"),"The razor is good, multifunctional. I am quite happy with it. But I had a problem purchasing a foil that was damaged by me as a result of careless handling. My searches in M.Video were unsuccessful. The store salespeople shrugged their shoulders and could"&amp;"n’t give any advice. I purchased the razor in 2008. I used the razor for 6 months without any problems and for 6 months I have been unsuccessfully looking for a mesh. I recommend the product, subject to availability sale of replacement elements.")</f>
        <v>The razor is good, multifunctional. I am quite happy with it. But I had a problem purchasing a foil that was damaged by me as a result of careless handling. My searches in M.Video were unsuccessful. The store salespeople shrugged their shoulders and couldn’t give any advice. I purchased the razor in 2008. I used the razor for 6 months without any problems and for 6 months I have been unsuccessfully looking for a mesh. I recommend the product, subject to availability sale of replacement elements.</v>
      </c>
    </row>
    <row r="6419" spans="1:9" x14ac:dyDescent="0.3">
      <c r="A6419" s="1" t="s">
        <v>17</v>
      </c>
      <c r="B6419" s="1" t="s">
        <v>18</v>
      </c>
      <c r="C6419" s="1" t="s">
        <v>151</v>
      </c>
      <c r="D6419" s="1" t="s">
        <v>545</v>
      </c>
      <c r="E6419" s="1" t="s">
        <v>10173</v>
      </c>
      <c r="F6419" s="1" t="s">
        <v>10174</v>
      </c>
      <c r="G6419" s="1" t="s">
        <v>36</v>
      </c>
      <c r="H6419" s="1" t="s">
        <v>29</v>
      </c>
      <c r="I6419" s="1" t="str">
        <f ca="1">IFERROR(__xludf.DUMMYFUNCTION("GOOGLETRANSLATE(F6419, ""auto"", ""en"")
"),"We bought a car 2 weeks ago. Completely satisfied. There is a display counting down the washing time, which is very convenient, especially if you have other things to do. We do laundry for a family of three, it makes virtually no noise and washes the laun"&amp;"dry well (there is no powder on the laundry or anything like that). It is very convenient that there is a quick wash. In general - I recommend!&amp;nbsp;")</f>
        <v>We bought a car 2 weeks ago. Completely satisfied. There is a display counting down the washing time, which is very convenient, especially if you have other things to do. We do laundry for a family of three, it makes virtually no noise and washes the laundry well (there is no powder on the laundry or anything like that). It is very convenient that there is a quick wash. In general - I recommend!&amp;nbsp;</v>
      </c>
    </row>
    <row r="6420" spans="1:9" x14ac:dyDescent="0.3">
      <c r="A6420" s="1" t="s">
        <v>9</v>
      </c>
      <c r="B6420" s="1" t="s">
        <v>10</v>
      </c>
      <c r="C6420" s="1" t="s">
        <v>466</v>
      </c>
      <c r="D6420" s="1" t="s">
        <v>10175</v>
      </c>
      <c r="E6420" s="1" t="s">
        <v>2173</v>
      </c>
      <c r="F6420" s="1" t="s">
        <v>10176</v>
      </c>
      <c r="G6420" s="1" t="s">
        <v>36</v>
      </c>
      <c r="H6420" s="1" t="s">
        <v>29</v>
      </c>
      <c r="I6420" s="1" t="str">
        <f ca="1">IFERROR(__xludf.DUMMYFUNCTION("GOOGLETRANSLATE(F6420, ""auto"", ""en"")
"),"I took the purchase of the hood more than seriously. I was tired of the old rattle in the kitchen, which did not give any effect and looked like the lid of a wooden house.  I was looking for a flat, silent model.  And now I want to share my impressions of"&amp;" the purchase. This hood from Krona ""Kelly"" is an awesome unit! It works relatively quietly (almost silently, when compared with the previous Soviet-style hood), controlled by buttons, there are no smells of cooking food throughout the apartment, etc. I"&amp;" was surprised by this moment - it absorbs moisture. No fumes, drops on the walls, etc. Yes, and she looks quite nice. In general, the purchase was a success and economical for the money.")</f>
        <v>I took the purchase of the hood more than seriously. I was tired of the old rattle in the kitchen, which did not give any effect and looked like the lid of a wooden house.  I was looking for a flat, silent model.  And now I want to share my impressions of the purchase. This hood from Krona "Kelly" is an awesome unit! It works relatively quietly (almost silently, when compared with the previous Soviet-style hood), controlled by buttons, there are no smells of cooking food throughout the apartment, etc. I was surprised by this moment - it absorbs moisture. No fumes, drops on the walls, etc. Yes, and she looks quite nice. In general, the purchase was a success and economical for the money.</v>
      </c>
    </row>
    <row r="6421" spans="1:9" x14ac:dyDescent="0.3">
      <c r="A6421" s="1" t="s">
        <v>211</v>
      </c>
      <c r="B6421" s="1" t="s">
        <v>410</v>
      </c>
      <c r="C6421" s="1" t="s">
        <v>213</v>
      </c>
      <c r="D6421" s="1" t="s">
        <v>10177</v>
      </c>
      <c r="E6421" s="1" t="s">
        <v>10178</v>
      </c>
      <c r="F6421" s="1" t="s">
        <v>10179</v>
      </c>
      <c r="G6421" s="1" t="s">
        <v>36</v>
      </c>
      <c r="H6421" s="1" t="s">
        <v>29</v>
      </c>
      <c r="I6421" s="1" t="str">
        <f ca="1">IFERROR(__xludf.DUMMYFUNCTION("GOOGLETRANSLATE(F6421, ""auto"", ""en"")
"),"An excellent razor, the cleaning fluid lasts for six months, it shave cleanly without irritation even in hard-to-reach places, I’ve been using it for almost a year now. The blades are not dull, the cleaning system is excellent with a lot of interesting fu"&amp;"nctions. A faithful assistant on business trips, very high quality assembly and all parts are reliable. The trimmer is good, you just need to keep it perpendicular to your temples. Very pleased, I recommend.")</f>
        <v>An excellent razor, the cleaning fluid lasts for six months, it shave cleanly without irritation even in hard-to-reach places, I’ve been using it for almost a year now. The blades are not dull, the cleaning system is excellent with a lot of interesting functions. A faithful assistant on business trips, very high quality assembly and all parts are reliable. The trimmer is good, you just need to keep it perpendicular to your temples. Very pleased, I recommend.</v>
      </c>
    </row>
    <row r="6422" spans="1:9" x14ac:dyDescent="0.3">
      <c r="A6422" s="1" t="s">
        <v>811</v>
      </c>
      <c r="B6422" s="1" t="s">
        <v>812</v>
      </c>
      <c r="C6422" s="1" t="s">
        <v>813</v>
      </c>
      <c r="D6422" s="1" t="s">
        <v>10180</v>
      </c>
      <c r="E6422" s="1" t="s">
        <v>1529</v>
      </c>
      <c r="F6422" s="1" t="s">
        <v>10181</v>
      </c>
      <c r="G6422" s="1" t="s">
        <v>36</v>
      </c>
      <c r="H6422" s="1" t="s">
        <v>29</v>
      </c>
      <c r="I6422" s="1" t="str">
        <f ca="1">IFERROR(__xludf.DUMMYFUNCTION("GOOGLETRANSLATE(F6422, ""auto"", ""en"")
"),"I recently bought this tripod! The purchase experience is very good! The assembly is high quality! It holds a heavy DSLR well... The height is certainly not great, but this is what is stated in the characteristics. For those who don't care about height, t"&amp;"ake it, you won't regret it, especially since the price is not high... And I actually bought it for bonuses! Beauty!")</f>
        <v>I recently bought this tripod! The purchase experience is very good! The assembly is high quality! It holds a heavy DSLR well... The height is certainly not great, but this is what is stated in the characteristics. For those who don't care about height, take it, you won't regret it, especially since the price is not high... And I actually bought it for bonuses! Beauty!</v>
      </c>
    </row>
    <row r="6423" spans="1:9" x14ac:dyDescent="0.3">
      <c r="A6423" s="1" t="s">
        <v>89</v>
      </c>
      <c r="B6423" s="1" t="s">
        <v>1106</v>
      </c>
      <c r="C6423" s="1" t="s">
        <v>74</v>
      </c>
      <c r="D6423" s="1" t="s">
        <v>319</v>
      </c>
      <c r="E6423" s="1" t="s">
        <v>3999</v>
      </c>
      <c r="F6423" s="1" t="s">
        <v>10182</v>
      </c>
      <c r="G6423" s="1" t="s">
        <v>28</v>
      </c>
      <c r="H6423" s="1" t="s">
        <v>29</v>
      </c>
      <c r="I6423" s="1" t="str">
        <f ca="1">IFERROR(__xludf.DUMMYFUNCTION("GOOGLETRANSLATE(F6423, ""auto"", ""en"")
"),"Oh, by the way, I completely forgot, there is no strength adjustment, just a regular coffee maker without any extra bells and whistles.")</f>
        <v>Oh, by the way, I completely forgot, there is no strength adjustment, just a regular coffee maker without any extra bells and whistles.</v>
      </c>
    </row>
    <row r="6424" spans="1:9" x14ac:dyDescent="0.3">
      <c r="A6424" s="1" t="s">
        <v>105</v>
      </c>
      <c r="B6424" s="1" t="s">
        <v>106</v>
      </c>
      <c r="C6424" s="1" t="s">
        <v>69</v>
      </c>
      <c r="D6424" s="1" t="s">
        <v>1042</v>
      </c>
      <c r="E6424" s="1" t="s">
        <v>817</v>
      </c>
      <c r="F6424" s="1" t="s">
        <v>10183</v>
      </c>
      <c r="G6424" s="1" t="s">
        <v>15</v>
      </c>
      <c r="H6424" s="1" t="s">
        <v>16</v>
      </c>
      <c r="I6424" s="1" t="str">
        <f ca="1">IFERROR(__xludf.DUMMYFUNCTION("GOOGLETRANSLATE(F6424, ""auto"", ""en"")
"),"I chose this particular device based on its characteristics. I bought it. Then I started to get used to it and customize it for myself when I discovered that the driver for flashing was not installed. Not at all. Neither from the off site, nor the one in "&amp;"the set. It’s not installed and that’s it. It will not be possible to reflash it. further: the buttons are very inconvenient; to switch the song you need to be very clever. You cannot delete songs directly from it. There are a number of bugs in the menu. "&amp;"In general, Philips really disappointed me...")</f>
        <v>I chose this particular device based on its characteristics. I bought it. Then I started to get used to it and customize it for myself when I discovered that the driver for flashing was not installed. Not at all. Neither from the off site, nor the one in the set. It’s not installed and that’s it. It will not be possible to reflash it. further: the buttons are very inconvenient; to switch the song you need to be very clever. You cannot delete songs directly from it. There are a number of bugs in the menu. In general, Philips really disappointed me...</v>
      </c>
    </row>
    <row r="6425" spans="1:9" x14ac:dyDescent="0.3">
      <c r="A6425" s="1" t="s">
        <v>149</v>
      </c>
      <c r="B6425" s="1" t="s">
        <v>576</v>
      </c>
      <c r="C6425" s="1" t="s">
        <v>24</v>
      </c>
      <c r="D6425" s="1" t="s">
        <v>10184</v>
      </c>
      <c r="E6425" s="1" t="s">
        <v>9817</v>
      </c>
      <c r="F6425" s="1" t="s">
        <v>10185</v>
      </c>
      <c r="G6425" s="1" t="s">
        <v>36</v>
      </c>
      <c r="H6425" s="1" t="s">
        <v>29</v>
      </c>
      <c r="I6425" s="1" t="str">
        <f ca="1">IFERROR(__xludf.DUMMYFUNCTION("GOOGLETRANSLATE(F6425, ""auto"", ""en"")
"),"Hello, Delivered on time, they called an hour before. Thanks M.video! Excellent vacuum cleaner, sufficient power, has a regulator.")</f>
        <v>Hello, Delivered on time, they called an hour before. Thanks M.video! Excellent vacuum cleaner, sufficient power, has a regulator.</v>
      </c>
    </row>
    <row r="6426" spans="1:9" x14ac:dyDescent="0.3">
      <c r="A6426" s="1" t="s">
        <v>149</v>
      </c>
      <c r="B6426" s="1" t="s">
        <v>155</v>
      </c>
      <c r="C6426" s="1" t="s">
        <v>57</v>
      </c>
      <c r="D6426" s="1" t="s">
        <v>3923</v>
      </c>
      <c r="E6426" s="1" t="s">
        <v>1467</v>
      </c>
      <c r="F6426" s="1" t="s">
        <v>10186</v>
      </c>
      <c r="G6426" s="1" t="s">
        <v>36</v>
      </c>
      <c r="H6426" s="1" t="s">
        <v>29</v>
      </c>
      <c r="I6426" s="1" t="str">
        <f ca="1">IFERROR(__xludf.DUMMYFUNCTION("GOOGLETRANSLATE(F6426, ""auto"", ""en"")
"),"The machine has been working great for over two years! The main thing is not to forget to clean the filters, especially the foam filters! We are very pleased with the purchase, and there is no need to knock out or shake out any bags, take it off, pour it "&amp;"out, put it down and go!")</f>
        <v>The machine has been working great for over two years! The main thing is not to forget to clean the filters, especially the foam filters! We are very pleased with the purchase, and there is no need to knock out or shake out any bags, take it off, pour it out, put it down and go!</v>
      </c>
    </row>
    <row r="6427" spans="1:9" x14ac:dyDescent="0.3">
      <c r="A6427" s="1" t="s">
        <v>120</v>
      </c>
      <c r="B6427" s="1" t="s">
        <v>126</v>
      </c>
      <c r="C6427" s="1" t="s">
        <v>122</v>
      </c>
      <c r="D6427" s="1" t="s">
        <v>152</v>
      </c>
      <c r="E6427" s="1" t="s">
        <v>3872</v>
      </c>
      <c r="F6427" s="1" t="s">
        <v>10187</v>
      </c>
      <c r="G6427" s="1" t="s">
        <v>36</v>
      </c>
      <c r="H6427" s="1" t="s">
        <v>29</v>
      </c>
      <c r="I6427" s="1" t="str">
        <f ca="1">IFERROR(__xludf.DUMMYFUNCTION("GOOGLETRANSLATE(F6427, ""auto"", ""en"")
"),"I used the telecom for 2 months. enjoyed it! I really liked it, and in comparison with the Philips 42"" LCD, which my sister has (it's more expensive) - it's finally a masterpiece! Probably many people have moments when anger spills out...... and gets kic"&amp;"ked right into the screen. I thought my leg would come out on the other side (I'm not a weak guy). The windshield withstood the blow!!! The matrix, of course, cracked, is not covered by the guarantee, and the price is unrealistic. I put it in the barn - L"&amp;"et it wait in the wings, maybe I can get a matrix for a reasonable price. By the way, I had a 42"" C11 TV, now (the other day) I’ll take a Panasonic TX-PR42 U10.")</f>
        <v>I used the telecom for 2 months. enjoyed it! I really liked it, and in comparison with the Philips 42" LCD, which my sister has (it's more expensive) - it's finally a masterpiece! Probably many people have moments when anger spills out...... and gets kicked right into the screen. I thought my leg would come out on the other side (I'm not a weak guy). The windshield withstood the blow!!! The matrix, of course, cracked, is not covered by the guarantee, and the price is unrealistic. I put it in the barn - Let it wait in the wings, maybe I can get a matrix for a reasonable price. By the way, I had a 42" C11 TV, now (the other day) I’ll take a Panasonic TX-PR42 U10.</v>
      </c>
    </row>
    <row r="6428" spans="1:9" x14ac:dyDescent="0.3">
      <c r="A6428" s="1" t="s">
        <v>61</v>
      </c>
      <c r="B6428" s="1" t="s">
        <v>318</v>
      </c>
      <c r="C6428" s="1" t="s">
        <v>246</v>
      </c>
      <c r="D6428" s="1" t="s">
        <v>12</v>
      </c>
      <c r="E6428" s="1" t="s">
        <v>1014</v>
      </c>
      <c r="F6428" s="1" t="s">
        <v>10188</v>
      </c>
      <c r="G6428" s="1" t="s">
        <v>49</v>
      </c>
      <c r="H6428" s="1" t="s">
        <v>16</v>
      </c>
      <c r="I6428" s="1" t="str">
        <f ca="1">IFERROR(__xludf.DUMMYFUNCTION("GOOGLETRANSLATE(F6428, ""auto"", ""en"")
"),"Not convenient")</f>
        <v>Not convenient</v>
      </c>
    </row>
    <row r="6429" spans="1:9" x14ac:dyDescent="0.3">
      <c r="A6429" s="1" t="s">
        <v>30</v>
      </c>
      <c r="B6429" s="1" t="s">
        <v>50</v>
      </c>
      <c r="C6429" s="1" t="s">
        <v>694</v>
      </c>
      <c r="D6429" s="1" t="s">
        <v>568</v>
      </c>
      <c r="E6429" s="1" t="s">
        <v>1988</v>
      </c>
      <c r="F6429" s="1" t="s">
        <v>10189</v>
      </c>
      <c r="G6429" s="1" t="s">
        <v>36</v>
      </c>
      <c r="H6429" s="1" t="s">
        <v>29</v>
      </c>
      <c r="I6429" s="1" t="str">
        <f ca="1">IFERROR(__xludf.DUMMYFUNCTION("GOOGLETRANSLATE(F6429, ""auto"", ""en"")
"),"Good, at first I wanted to buy an Acer, but that model was not available, at first I was afraid, but I still took Lenovo and I don’t regret it.  It works great, good sound, I really didn’t leave Windows 7, I didn’t have enough money for an external DVD ri"&amp;"ght away, I installed XP from a flash drive, now everything just flies. My battery life lasts 5 hours, it doesn’t slow down in simple races or when working in Photoshop, which is what I bought it for in principle, drivers for other systems are on the manu"&amp;"facturer’s website, and there are no problems with installation. The web is also of good quality, although sometimes it gets a little warm, but not much, everything is within normal limits.  This is not my first laptop, and I often help others with purcha"&amp;"ses and minor repairs, so I advise you, it’s a good device for the price")</f>
        <v>Good, at first I wanted to buy an Acer, but that model was not available, at first I was afraid, but I still took Lenovo and I don’t regret it.  It works great, good sound, I really didn’t leave Windows 7, I didn’t have enough money for an external DVD right away, I installed XP from a flash drive, now everything just flies. My battery life lasts 5 hours, it doesn’t slow down in simple races or when working in Photoshop, which is what I bought it for in principle, drivers for other systems are on the manufacturer’s website, and there are no problems with installation. The web is also of good quality, although sometimes it gets a little warm, but not much, everything is within normal limits.  This is not my first laptop, and I often help others with purchases and minor repairs, so I advise you, it’s a good device for the price</v>
      </c>
    </row>
    <row r="6430" spans="1:9" x14ac:dyDescent="0.3">
      <c r="A6430" s="1" t="s">
        <v>361</v>
      </c>
      <c r="B6430" s="1" t="s">
        <v>362</v>
      </c>
      <c r="C6430" s="1" t="s">
        <v>561</v>
      </c>
      <c r="D6430" s="1" t="s">
        <v>75</v>
      </c>
      <c r="E6430" s="1" t="s">
        <v>8793</v>
      </c>
      <c r="F6430" s="1" t="s">
        <v>10190</v>
      </c>
      <c r="G6430" s="1" t="s">
        <v>49</v>
      </c>
      <c r="H6430" s="1" t="s">
        <v>16</v>
      </c>
      <c r="I6430" s="1" t="str">
        <f ca="1">IFERROR(__xludf.DUMMYFUNCTION("GOOGLETRANSLATE(F6430, ""auto"", ""en"")
"),"It is very inconvenient to use, it constantly gets clogged and, as a result, rubs the food poorly. A regular grater turned out to be more effective, but this one is gathering dust in the closet.")</f>
        <v>It is very inconvenient to use, it constantly gets clogged and, as a result, rubs the food poorly. A regular grater turned out to be more effective, but this one is gathering dust in the closet.</v>
      </c>
    </row>
    <row r="6431" spans="1:9" x14ac:dyDescent="0.3">
      <c r="A6431" s="1" t="s">
        <v>1443</v>
      </c>
      <c r="B6431" s="1" t="s">
        <v>1444</v>
      </c>
      <c r="C6431" s="1" t="s">
        <v>1489</v>
      </c>
      <c r="D6431" s="1" t="s">
        <v>139</v>
      </c>
      <c r="E6431" s="1" t="s">
        <v>3712</v>
      </c>
      <c r="F6431" s="1" t="s">
        <v>10191</v>
      </c>
      <c r="G6431" s="1" t="s">
        <v>36</v>
      </c>
      <c r="H6431" s="1" t="s">
        <v>29</v>
      </c>
      <c r="I6431" s="1" t="str">
        <f ca="1">IFERROR(__xludf.DUMMYFUNCTION("GOOGLETRANSLATE(F6431, ""auto"", ""en"")
"),"I purchased this flash drive today for music in the car! The price, volume and quality are quite satisfactory!")</f>
        <v>I purchased this flash drive today for music in the car! The price, volume and quality are quite satisfactory!</v>
      </c>
    </row>
    <row r="6432" spans="1:9" x14ac:dyDescent="0.3">
      <c r="A6432" s="1" t="s">
        <v>120</v>
      </c>
      <c r="B6432" s="1" t="s">
        <v>256</v>
      </c>
      <c r="C6432" s="1" t="s">
        <v>151</v>
      </c>
      <c r="D6432" s="1" t="s">
        <v>813</v>
      </c>
      <c r="E6432" s="1" t="s">
        <v>1742</v>
      </c>
      <c r="F6432" s="1" t="s">
        <v>10192</v>
      </c>
      <c r="G6432" s="1" t="s">
        <v>36</v>
      </c>
      <c r="H6432" s="1" t="s">
        <v>29</v>
      </c>
      <c r="I6432" s="1" t="str">
        <f ca="1">IFERROR(__xludf.DUMMYFUNCTION("GOOGLETRANSLATE(F6432, ""auto"", ""en"")
"),"The second week it works great. Before that, it worked for a couple of months in a store on a shelf. Now I checked the work with a laptop, a DVD player via the HDMI connector, with a camera, with 5-1 acoustics. Listens clearly to settings. The only minor "&amp;"inconvenience is that you have to change the image size. But it's no longer his fault.")</f>
        <v>The second week it works great. Before that, it worked for a couple of months in a store on a shelf. Now I checked the work with a laptop, a DVD player via the HDMI connector, with a camera, with 5-1 acoustics. Listens clearly to settings. The only minor inconvenience is that you have to change the image size. But it's no longer his fault.</v>
      </c>
    </row>
    <row r="6433" spans="1:9" x14ac:dyDescent="0.3">
      <c r="A6433" s="1" t="s">
        <v>61</v>
      </c>
      <c r="B6433" s="1" t="s">
        <v>318</v>
      </c>
      <c r="C6433" s="1" t="s">
        <v>85</v>
      </c>
      <c r="D6433" s="1" t="s">
        <v>442</v>
      </c>
      <c r="E6433" s="1" t="s">
        <v>3047</v>
      </c>
      <c r="F6433" s="1" t="s">
        <v>10193</v>
      </c>
      <c r="G6433" s="1" t="s">
        <v>36</v>
      </c>
      <c r="H6433" s="1" t="s">
        <v>29</v>
      </c>
      <c r="I6433" s="1" t="str">
        <f ca="1">IFERROR(__xludf.DUMMYFUNCTION("GOOGLETRANSLATE(F6433, ""auto"", ""en"")
"),"Excellent teapot. I love good herbal tea. For me, this kettle is just a godsend. I brew St. John's wort, lemon balm, mint. The glass flask easily allows you to control the degree of brewing.  P.s. I advise you to wash the basket in the dishwasher, it will"&amp;" become like new.")</f>
        <v>Excellent teapot. I love good herbal tea. For me, this kettle is just a godsend. I brew St. John's wort, lemon balm, mint. The glass flask easily allows you to control the degree of brewing.  P.s. I advise you to wash the basket in the dishwasher, it will become like new.</v>
      </c>
    </row>
    <row r="6434" spans="1:9" x14ac:dyDescent="0.3">
      <c r="A6434" s="1" t="s">
        <v>211</v>
      </c>
      <c r="B6434" s="1" t="s">
        <v>212</v>
      </c>
      <c r="C6434" s="1" t="s">
        <v>101</v>
      </c>
      <c r="D6434" s="1" t="s">
        <v>2826</v>
      </c>
      <c r="E6434" s="1" t="s">
        <v>7000</v>
      </c>
      <c r="F6434" s="1" t="s">
        <v>10194</v>
      </c>
      <c r="G6434" s="1" t="s">
        <v>36</v>
      </c>
      <c r="H6434" s="1" t="s">
        <v>29</v>
      </c>
      <c r="I6434" s="1" t="str">
        <f ca="1">IFERROR(__xludf.DUMMYFUNCTION("GOOGLETRANSLATE(F6434, ""auto"", ""en"")
"),"A normal travel hair dryer, without any frills. You can dry your head)) Compact, lightweight, which is important when traveling, 2 temperature settings.")</f>
        <v>A normal travel hair dryer, without any frills. You can dry your head)) Compact, lightweight, which is important when traveling, 2 temperature settings.</v>
      </c>
    </row>
    <row r="6435" spans="1:9" x14ac:dyDescent="0.3">
      <c r="A6435" s="1" t="s">
        <v>9</v>
      </c>
      <c r="B6435" s="1" t="s">
        <v>874</v>
      </c>
      <c r="C6435" s="1" t="s">
        <v>588</v>
      </c>
      <c r="D6435" s="1" t="s">
        <v>589</v>
      </c>
      <c r="E6435" s="1" t="s">
        <v>4251</v>
      </c>
      <c r="F6435" s="1" t="s">
        <v>10195</v>
      </c>
      <c r="G6435" s="1" t="s">
        <v>36</v>
      </c>
      <c r="H6435" s="1" t="s">
        <v>29</v>
      </c>
      <c r="I6435" s="1" t="str">
        <f ca="1">IFERROR(__xludf.DUMMYFUNCTION("GOOGLETRANSLATE(F6435, ""auto"", ""en"")
"),"I recommend purchasing Hansa equipment. I have been using it for several years now and am satisfied with the quality and performance. Works well, didn't break down. I think that today in our time it is necessary to use glass ceramics - this is modernity, "&amp;"burners are already a thing of the past. Glass ceramics heats up quickly and nothing burns on it, dishes can be placed in different sizes, and is not picky about care, no effort is needed, just wipe with a damp cloth. The oven also works great, heats up q"&amp;"uickly, holds the temperature evenly, everything is ok. And I think you can see for yourself by the design - it looks beautiful, and the handles are recessed, which is also cool and convenient.")</f>
        <v>I recommend purchasing Hansa equipment. I have been using it for several years now and am satisfied with the quality and performance. Works well, didn't break down. I think that today in our time it is necessary to use glass ceramics - this is modernity, burners are already a thing of the past. Glass ceramics heats up quickly and nothing burns on it, dishes can be placed in different sizes, and is not picky about care, no effort is needed, just wipe with a damp cloth. The oven also works great, heats up quickly, holds the temperature evenly, everything is ok. And I think you can see for yourself by the design - it looks beautiful, and the handles are recessed, which is also cool and convenient.</v>
      </c>
    </row>
    <row r="6436" spans="1:9" x14ac:dyDescent="0.3">
      <c r="A6436" s="1" t="s">
        <v>206</v>
      </c>
      <c r="B6436" s="1" t="s">
        <v>207</v>
      </c>
      <c r="C6436" s="1" t="s">
        <v>351</v>
      </c>
      <c r="D6436" s="1" t="s">
        <v>420</v>
      </c>
      <c r="E6436" s="1" t="s">
        <v>10196</v>
      </c>
      <c r="F6436" s="1" t="s">
        <v>10197</v>
      </c>
      <c r="G6436" s="1" t="s">
        <v>36</v>
      </c>
      <c r="H6436" s="1" t="s">
        <v>29</v>
      </c>
      <c r="I6436" s="1" t="str">
        <f ca="1">IFERROR(__xludf.DUMMYFUNCTION("GOOGLETRANSLATE(F6436, ""auto"", ""en"")
"),"Overall great for the price! Connected to three channels - sub and two speakers. Rocking be healthy! I recommend it to everyone.  I am completely satisfied with the amplifier!")</f>
        <v>Overall great for the price! Connected to three channels - sub and two speakers. Rocking be healthy! I recommend it to everyone.  I am completely satisfied with the amplifier!</v>
      </c>
    </row>
    <row r="6437" spans="1:9" x14ac:dyDescent="0.3">
      <c r="A6437" s="1" t="s">
        <v>211</v>
      </c>
      <c r="B6437" s="1" t="s">
        <v>265</v>
      </c>
      <c r="C6437" s="1" t="s">
        <v>294</v>
      </c>
      <c r="D6437" s="1" t="s">
        <v>10198</v>
      </c>
      <c r="E6437" s="1" t="s">
        <v>2365</v>
      </c>
      <c r="F6437" s="1" t="s">
        <v>10199</v>
      </c>
      <c r="G6437" s="1" t="s">
        <v>28</v>
      </c>
      <c r="H6437" s="1" t="s">
        <v>29</v>
      </c>
      <c r="I6437" s="1" t="str">
        <f ca="1">IFERROR(__xludf.DUMMYFUNCTION("GOOGLETRANSLATE(F6437, ""auto"", ""en"")
"),"The price-quality ratio is quite acceptable, if you get used to it, you can do normal haircuts at home :)")</f>
        <v>The price-quality ratio is quite acceptable, if you get used to it, you can do normal haircuts at home :)</v>
      </c>
    </row>
    <row r="6438" spans="1:9" x14ac:dyDescent="0.3">
      <c r="A6438" s="1" t="s">
        <v>624</v>
      </c>
      <c r="B6438" s="1" t="s">
        <v>625</v>
      </c>
      <c r="C6438" s="1" t="s">
        <v>479</v>
      </c>
      <c r="D6438" s="1" t="s">
        <v>10200</v>
      </c>
      <c r="E6438" s="1" t="s">
        <v>391</v>
      </c>
      <c r="F6438" s="1" t="s">
        <v>10201</v>
      </c>
      <c r="G6438" s="1" t="s">
        <v>36</v>
      </c>
      <c r="H6438" s="1" t="s">
        <v>29</v>
      </c>
      <c r="I6438" s="1" t="str">
        <f ca="1">IFERROR(__xludf.DUMMYFUNCTION("GOOGLETRANSLATE(F6438, ""auto"", ""en"")
"),"One of the best exclusives for Playstation 3, the game is simply super, with an unpredictable ending. The graphics are beyond praise. Quanticdream is a team of talented developers. A must buy for all PS3 owners!!!")</f>
        <v>One of the best exclusives for Playstation 3, the game is simply super, with an unpredictable ending. The graphics are beyond praise. Quanticdream is a team of talented developers. A must buy for all PS3 owners!!!</v>
      </c>
    </row>
    <row r="6439" spans="1:9" x14ac:dyDescent="0.3">
      <c r="A6439" s="1" t="s">
        <v>89</v>
      </c>
      <c r="B6439" s="1" t="s">
        <v>90</v>
      </c>
      <c r="C6439" s="1" t="s">
        <v>63</v>
      </c>
      <c r="D6439" s="1" t="s">
        <v>308</v>
      </c>
      <c r="E6439" s="1" t="s">
        <v>8513</v>
      </c>
      <c r="F6439" s="1" t="s">
        <v>10202</v>
      </c>
      <c r="G6439" s="1" t="s">
        <v>36</v>
      </c>
      <c r="H6439" s="1" t="s">
        <v>29</v>
      </c>
      <c r="I6439" s="1" t="str">
        <f ca="1">IFERROR(__xludf.DUMMYFUNCTION("GOOGLETRANSLATE(F6439, ""auto"", ""en"")
"),"There is no fastening for storage/fastening or cord.")</f>
        <v>There is no fastening for storage/fastening or cord.</v>
      </c>
    </row>
    <row r="6440" spans="1:9" x14ac:dyDescent="0.3">
      <c r="A6440" s="1" t="s">
        <v>61</v>
      </c>
      <c r="B6440" s="1" t="s">
        <v>62</v>
      </c>
      <c r="C6440" s="1" t="s">
        <v>63</v>
      </c>
      <c r="D6440" s="1" t="s">
        <v>10203</v>
      </c>
      <c r="E6440" s="1" t="s">
        <v>1481</v>
      </c>
      <c r="F6440" s="1" t="s">
        <v>10204</v>
      </c>
      <c r="G6440" s="1" t="s">
        <v>36</v>
      </c>
      <c r="H6440" s="1" t="s">
        <v>29</v>
      </c>
      <c r="I6440" s="1" t="str">
        <f ca="1">IFERROR(__xludf.DUMMYFUNCTION("GOOGLETRANSLATE(F6440, ""auto"", ""en"")
"),"take it and don't think twice! Super thing! Olivier in 1 min. Puree for 30 seconds. a bunch of attachments for cutting and washing everything is convenient and quick! The only drawback is that the engine and drive are noisy, you can’t really turn it on la"&amp;"te at night.")</f>
        <v>take it and don't think twice! Super thing! Olivier in 1 min. Puree for 30 seconds. a bunch of attachments for cutting and washing everything is convenient and quick! The only drawback is that the engine and drive are noisy, you can’t really turn it on late at night.</v>
      </c>
    </row>
    <row r="6441" spans="1:9" x14ac:dyDescent="0.3">
      <c r="A6441" s="1" t="s">
        <v>211</v>
      </c>
      <c r="B6441" s="1" t="s">
        <v>384</v>
      </c>
      <c r="C6441" s="1" t="s">
        <v>246</v>
      </c>
      <c r="D6441" s="1" t="s">
        <v>86</v>
      </c>
      <c r="E6441" s="1" t="s">
        <v>3890</v>
      </c>
      <c r="F6441" s="1" t="s">
        <v>10205</v>
      </c>
      <c r="G6441" s="1" t="s">
        <v>36</v>
      </c>
      <c r="H6441" s="1" t="s">
        <v>29</v>
      </c>
      <c r="I6441" s="1" t="str">
        <f ca="1">IFERROR(__xludf.DUMMYFUNCTION("GOOGLETRANSLATE(F6441, ""auto"", ""en"")
"),"I recommend these excellent scales to everyone.  You can get up at least 10 times in a row - the weight will be the same.  Price+ Not capricious to the surface+ Large symbols on the display+ Turns on quickly+ Got up with my wife+ (durable) Corresponds to "&amp;"the declared characteristics.")</f>
        <v>I recommend these excellent scales to everyone.  You can get up at least 10 times in a row - the weight will be the same.  Price+ Not capricious to the surface+ Large symbols on the display+ Turns on quickly+ Got up with my wife+ (durable) Corresponds to the declared characteristics.</v>
      </c>
    </row>
    <row r="6442" spans="1:9" x14ac:dyDescent="0.3">
      <c r="A6442" s="1" t="s">
        <v>211</v>
      </c>
      <c r="B6442" s="1" t="s">
        <v>212</v>
      </c>
      <c r="C6442" s="1" t="s">
        <v>63</v>
      </c>
      <c r="D6442" s="1" t="s">
        <v>10206</v>
      </c>
      <c r="E6442" s="1" t="s">
        <v>2577</v>
      </c>
      <c r="F6442" s="1" t="s">
        <v>10207</v>
      </c>
      <c r="G6442" s="1" t="s">
        <v>36</v>
      </c>
      <c r="H6442" s="1" t="s">
        <v>29</v>
      </c>
      <c r="I6442" s="1" t="str">
        <f ca="1">IFERROR(__xludf.DUMMYFUNCTION("GOOGLETRANSLATE(F6442, ""auto"", ""en"")
"),"I’ve been using it for more than 3 years...I’m waiting for it to “kick off my skates”")</f>
        <v>I’ve been using it for more than 3 years...I’m waiting for it to “kick off my skates”</v>
      </c>
    </row>
    <row r="6443" spans="1:9" x14ac:dyDescent="0.3">
      <c r="A6443" s="1" t="s">
        <v>37</v>
      </c>
      <c r="B6443" s="1" t="s">
        <v>38</v>
      </c>
      <c r="C6443" s="1" t="s">
        <v>163</v>
      </c>
      <c r="D6443" s="1" t="s">
        <v>10208</v>
      </c>
      <c r="E6443" s="1" t="s">
        <v>41</v>
      </c>
      <c r="F6443" s="1" t="s">
        <v>10209</v>
      </c>
      <c r="G6443" s="1" t="s">
        <v>36</v>
      </c>
      <c r="H6443" s="1" t="s">
        <v>29</v>
      </c>
      <c r="I6443" s="1" t="str">
        <f ca="1">IFERROR(__xludf.DUMMYFUNCTION("GOOGLETRANSLATE(F6443, ""auto"", ""en"")
"),"The phone is good and not expensive, everything works great! loud, nice design, easy to use. I really liked everything until it was stolen from me..(((((((((")</f>
        <v>The phone is good and not expensive, everything works great! loud, nice design, easy to use. I really liked everything until it was stolen from me..(((((((((</v>
      </c>
    </row>
    <row r="6444" spans="1:9" x14ac:dyDescent="0.3">
      <c r="A6444" s="1" t="s">
        <v>624</v>
      </c>
      <c r="B6444" s="1" t="s">
        <v>625</v>
      </c>
      <c r="C6444" s="1" t="s">
        <v>479</v>
      </c>
      <c r="D6444" s="1" t="s">
        <v>4730</v>
      </c>
      <c r="E6444" s="1" t="s">
        <v>128</v>
      </c>
      <c r="F6444" s="1" t="s">
        <v>10210</v>
      </c>
      <c r="G6444" s="1" t="s">
        <v>36</v>
      </c>
      <c r="H6444" s="1" t="s">
        <v>29</v>
      </c>
      <c r="I6444" s="1" t="str">
        <f ca="1">IFERROR(__xludf.DUMMYFUNCTION("GOOGLETRANSLATE(F6444, ""auto"", ""en"")
"),"The game is sooooo simple!!! ASSASSINS ARE EXISTING!!!!!!")</f>
        <v>The game is sooooo simple!!! ASSASSINS ARE EXISTING!!!!!!</v>
      </c>
    </row>
    <row r="6445" spans="1:9" x14ac:dyDescent="0.3">
      <c r="A6445" s="1" t="s">
        <v>149</v>
      </c>
      <c r="B6445" s="1" t="s">
        <v>155</v>
      </c>
      <c r="C6445" s="1" t="s">
        <v>63</v>
      </c>
      <c r="D6445" s="1" t="s">
        <v>3923</v>
      </c>
      <c r="E6445" s="1" t="s">
        <v>5583</v>
      </c>
      <c r="F6445" s="1" t="s">
        <v>10211</v>
      </c>
      <c r="G6445" s="1" t="s">
        <v>36</v>
      </c>
      <c r="H6445" s="1" t="s">
        <v>29</v>
      </c>
      <c r="I6445" s="1" t="str">
        <f ca="1">IFERROR(__xludf.DUMMYFUNCTION("GOOGLETRANSLATE(F6445, ""auto"", ""en"")
"),"Vacuums well, the air after cleaning is clean. It works quietly, the vacuum cleaner shook out the dust from the container and that’s it. The washable HEPA filter perfectly collects the finest dust and purifies the air. Only the nozzles you need, a radius "&amp;"of 10 m, parking, an automatically retractable cord, an alert system that indicates that the filter needs to be cleaned. Cleaning is a joy, not a necessity.")</f>
        <v>Vacuums well, the air after cleaning is clean. It works quietly, the vacuum cleaner shook out the dust from the container and that’s it. The washable HEPA filter perfectly collects the finest dust and purifies the air. Only the nozzles you need, a radius of 10 m, parking, an automatically retractable cord, an alert system that indicates that the filter needs to be cleaned. Cleaning is a joy, not a necessity.</v>
      </c>
    </row>
    <row r="6446" spans="1:9" x14ac:dyDescent="0.3">
      <c r="A6446" s="1" t="s">
        <v>211</v>
      </c>
      <c r="B6446" s="1" t="s">
        <v>2818</v>
      </c>
      <c r="C6446" s="1" t="s">
        <v>213</v>
      </c>
      <c r="D6446" s="1" t="s">
        <v>46</v>
      </c>
      <c r="E6446" s="1" t="s">
        <v>10212</v>
      </c>
      <c r="F6446" s="1" t="s">
        <v>10213</v>
      </c>
      <c r="G6446" s="1" t="s">
        <v>36</v>
      </c>
      <c r="H6446" s="1" t="s">
        <v>29</v>
      </c>
      <c r="I6446" s="1" t="str">
        <f ca="1">IFERROR(__xludf.DUMMYFUNCTION("GOOGLETRANSLATE(F6446, ""auto"", ""en"")
"),"For a long time we were looking for a Braun 9 series razor, namely a Pulsonik foil and cutting block. We found it only in MVideo. My husband is very pleased that everything fit, and he was especially surprised by the price.")</f>
        <v>For a long time we were looking for a Braun 9 series razor, namely a Pulsonik foil and cutting block. We found it only in MVideo. My husband is very pleased that everything fit, and he was especially surprised by the price.</v>
      </c>
    </row>
    <row r="6447" spans="1:9" x14ac:dyDescent="0.3">
      <c r="A6447" s="1" t="s">
        <v>9</v>
      </c>
      <c r="B6447" s="1" t="s">
        <v>23</v>
      </c>
      <c r="C6447" s="1" t="s">
        <v>24</v>
      </c>
      <c r="D6447" s="1" t="s">
        <v>10214</v>
      </c>
      <c r="E6447" s="1" t="s">
        <v>259</v>
      </c>
      <c r="F6447" s="1" t="s">
        <v>10215</v>
      </c>
      <c r="G6447" s="1" t="s">
        <v>28</v>
      </c>
      <c r="H6447" s="1" t="s">
        <v>29</v>
      </c>
      <c r="I6447" s="1" t="str">
        <f ca="1">IFERROR(__xludf.DUMMYFUNCTION("GOOGLETRANSLATE(F6447, ""auto"", ""en"")
"),"This is my first machine, so I have nothing to compare it with, but I’m happy with the machine (I’ve been using it for a month). Good price-quality ratio, perfectly washes and dries plates, mugs, etc., it doesn’t pick up heavily dried dishes and burnt pan"&amp;"s (the first time and without the help of a hand wash), but I think even the most expensive machine won’t. So I think that if you don’t run the dishes, the machine will please you with the cleanliness of the dishes. Good quick wash program - 30 min.")</f>
        <v>This is my first machine, so I have nothing to compare it with, but I’m happy with the machine (I’ve been using it for a month). Good price-quality ratio, perfectly washes and dries plates, mugs, etc., it doesn’t pick up heavily dried dishes and burnt pans (the first time and without the help of a hand wash), but I think even the most expensive machine won’t. So I think that if you don’t run the dishes, the machine will please you with the cleanliness of the dishes. Good quick wash program - 30 min.</v>
      </c>
    </row>
    <row r="6448" spans="1:9" x14ac:dyDescent="0.3">
      <c r="A6448" s="1" t="s">
        <v>43</v>
      </c>
      <c r="B6448" s="1" t="s">
        <v>219</v>
      </c>
      <c r="C6448" s="1" t="s">
        <v>220</v>
      </c>
      <c r="D6448" s="1" t="s">
        <v>621</v>
      </c>
      <c r="E6448" s="1" t="s">
        <v>10216</v>
      </c>
      <c r="F6448" s="1" t="s">
        <v>10217</v>
      </c>
      <c r="G6448" s="1" t="s">
        <v>36</v>
      </c>
      <c r="H6448" s="1" t="s">
        <v>29</v>
      </c>
      <c r="I6448" s="1" t="str">
        <f ca="1">IFERROR(__xludf.DUMMYFUNCTION("GOOGLETRANSLATE(F6448, ""auto"", ""en"")
"),"Great water heater for washing dishes. It heats well, but the water runs out after 8-10 minutes. Served us for 8 years without problems, only now it started leaking")</f>
        <v>Great water heater for washing dishes. It heats well, but the water runs out after 8-10 minutes. Served us for 8 years without problems, only now it started leaking</v>
      </c>
    </row>
    <row r="6449" spans="1:9" x14ac:dyDescent="0.3">
      <c r="A6449" s="1" t="s">
        <v>61</v>
      </c>
      <c r="B6449" s="1" t="s">
        <v>145</v>
      </c>
      <c r="C6449" s="1" t="s">
        <v>69</v>
      </c>
      <c r="D6449" s="1" t="s">
        <v>280</v>
      </c>
      <c r="E6449" s="1" t="s">
        <v>4012</v>
      </c>
      <c r="F6449" s="1" t="s">
        <v>10218</v>
      </c>
      <c r="G6449" s="1" t="s">
        <v>36</v>
      </c>
      <c r="H6449" s="1" t="s">
        <v>29</v>
      </c>
      <c r="I6449" s="1" t="str">
        <f ca="1">IFERROR(__xludf.DUMMYFUNCTION("GOOGLETRANSLATE(F6449, ""auto"", ""en"")
"),"I bought it for my parents, they were very pleased, they cooked both lamb and fish, everything was cooked through. A very useful feature for spices.")</f>
        <v>I bought it for my parents, they were very pleased, they cooked both lamb and fish, everything was cooked through. A very useful feature for spices.</v>
      </c>
    </row>
    <row r="6450" spans="1:9" x14ac:dyDescent="0.3">
      <c r="A6450" s="1" t="s">
        <v>9</v>
      </c>
      <c r="B6450" s="1" t="s">
        <v>23</v>
      </c>
      <c r="C6450" s="1" t="s">
        <v>466</v>
      </c>
      <c r="D6450" s="1" t="s">
        <v>52</v>
      </c>
      <c r="E6450" s="1" t="s">
        <v>2529</v>
      </c>
      <c r="F6450" s="1" t="s">
        <v>10219</v>
      </c>
      <c r="G6450" s="1" t="s">
        <v>49</v>
      </c>
      <c r="H6450" s="1" t="s">
        <v>16</v>
      </c>
      <c r="I6450" s="1" t="str">
        <f ca="1">IFERROR(__xludf.DUMMYFUNCTION("GOOGLETRANSLATE(F6450, ""auto"", ""en"")
"),"A disgusting machine, hyper-noisy, really frightening when it makes the first splash, it’s not really in the kitchen... For this reason, in principle, I wanted to change it. A little more than a year later, the heating element burned out, while the entire"&amp;" electrical branch was ruined by this miracle machine, the RCD was constantly cut off, in general, in the trash, so that I wouldn’t see it again. I bought Bosch, heaven and earth in terms of noise and finally..")</f>
        <v>A disgusting machine, hyper-noisy, really frightening when it makes the first splash, it’s not really in the kitchen... For this reason, in principle, I wanted to change it. A little more than a year later, the heating element burned out, while the entire electrical branch was ruined by this miracle machine, the RCD was constantly cut off, in general, in the trash, so that I wouldn’t see it again. I bought Bosch, heaven and earth in terms of noise and finally..</v>
      </c>
    </row>
    <row r="6451" spans="1:9" x14ac:dyDescent="0.3">
      <c r="A6451" s="1" t="s">
        <v>37</v>
      </c>
      <c r="B6451" s="1" t="s">
        <v>38</v>
      </c>
      <c r="C6451" s="1" t="s">
        <v>39</v>
      </c>
      <c r="D6451" s="1" t="s">
        <v>10220</v>
      </c>
      <c r="E6451" s="1" t="s">
        <v>2735</v>
      </c>
      <c r="F6451" s="1" t="s">
        <v>10221</v>
      </c>
      <c r="G6451" s="1" t="s">
        <v>36</v>
      </c>
      <c r="H6451" s="1" t="s">
        <v>29</v>
      </c>
      <c r="I6451" s="1" t="str">
        <f ca="1">IFERROR(__xludf.DUMMYFUNCTION("GOOGLETRANSLATE(F6451, ""auto"", ""en"")
"),"Fast, ergonomic, minus-dull connection with Se7en, changing the keyboard layout via the menu, the player does not see Russian tags, but this is not critical, I recommend tinting the flip with film")</f>
        <v>Fast, ergonomic, minus-dull connection with Se7en, changing the keyboard layout via the menu, the player does not see Russian tags, but this is not critical, I recommend tinting the flip with film</v>
      </c>
    </row>
    <row r="6452" spans="1:9" x14ac:dyDescent="0.3">
      <c r="A6452" s="1" t="s">
        <v>206</v>
      </c>
      <c r="B6452" s="1" t="s">
        <v>261</v>
      </c>
      <c r="C6452" s="1" t="s">
        <v>45</v>
      </c>
      <c r="D6452" s="1" t="s">
        <v>10222</v>
      </c>
      <c r="E6452" s="1" t="s">
        <v>259</v>
      </c>
      <c r="F6452" s="1" t="s">
        <v>10223</v>
      </c>
      <c r="G6452" s="1" t="s">
        <v>49</v>
      </c>
      <c r="H6452" s="1" t="s">
        <v>16</v>
      </c>
      <c r="I6452" s="1" t="str">
        <f ca="1">IFERROR(__xludf.DUMMYFUNCTION("GOOGLETRANSLATE(F6452, ""auto"", ""en"")
"),"Complete bullshit!!! I would say even worse... Yesterday I bought it, the remote control did not work on the steering wheel right away, it was as if it simply did not exist (it worked a couple of times, well, you had to press it for a very long time and p"&amp;"ersistently)! There is very loud noise when switching songs! The regular remote works! And this is from a flash drive, but this morning I connected via the audio output, it’s absolutely terrible, not a single remote control works, no matter how! Periodica"&amp;"lly the music would turn off and the radio would start playing! Approaching work, the modulator itself stopped working, or rather the switch buttons, I just had to turn it off, but turning it on again didn’t help, the buttons never worked! Regarding Hands"&amp;"Free, I’ll say this: Do you hear, you feel very bad!!!! I do not advise anyone to buy!!!")</f>
        <v>Complete bullshit!!! I would say even worse... Yesterday I bought it, the remote control did not work on the steering wheel right away, it was as if it simply did not exist (it worked a couple of times, well, you had to press it for a very long time and persistently)! There is very loud noise when switching songs! The regular remote works! And this is from a flash drive, but this morning I connected via the audio output, it’s absolutely terrible, not a single remote control works, no matter how! Periodically the music would turn off and the radio would start playing! Approaching work, the modulator itself stopped working, or rather the switch buttons, I just had to turn it off, but turning it on again didn’t help, the buttons never worked! Regarding HandsFree, I’ll say this: Do you hear, you feel very bad!!!! I do not advise anyone to buy!!!</v>
      </c>
    </row>
    <row r="6453" spans="1:9" x14ac:dyDescent="0.3">
      <c r="A6453" s="1" t="s">
        <v>211</v>
      </c>
      <c r="B6453" s="1" t="s">
        <v>789</v>
      </c>
      <c r="C6453" s="1" t="s">
        <v>246</v>
      </c>
      <c r="D6453" s="1" t="s">
        <v>385</v>
      </c>
      <c r="E6453" s="1" t="s">
        <v>722</v>
      </c>
      <c r="F6453" s="1" t="s">
        <v>10224</v>
      </c>
      <c r="G6453" s="1" t="s">
        <v>36</v>
      </c>
      <c r="H6453" s="1" t="s">
        <v>29</v>
      </c>
      <c r="I6453" s="1" t="str">
        <f ca="1">IFERROR(__xludf.DUMMYFUNCTION("GOOGLETRANSLATE(F6453, ""auto"", ""en"")
"),"I am very pleased with the baby monitor. There is a light indicator, sometimes the child wakes up and just starts tossing and turning, does not scream, and the nanny signals this. It’s very convenient, you can easily go out into the yard with it. I’ve bee"&amp;"n using it since 2011, already with my second child, no complaints!!!")</f>
        <v>I am very pleased with the baby monitor. There is a light indicator, sometimes the child wakes up and just starts tossing and turning, does not scream, and the nanny signals this. It’s very convenient, you can easily go out into the yard with it. I’ve been using it since 2011, already with my second child, no complaints!!!</v>
      </c>
    </row>
    <row r="6454" spans="1:9" x14ac:dyDescent="0.3">
      <c r="A6454" s="1" t="s">
        <v>211</v>
      </c>
      <c r="B6454" s="1" t="s">
        <v>265</v>
      </c>
      <c r="C6454" s="1" t="s">
        <v>1591</v>
      </c>
      <c r="D6454" s="1" t="s">
        <v>4590</v>
      </c>
      <c r="E6454" s="1" t="s">
        <v>2173</v>
      </c>
      <c r="F6454" s="1" t="s">
        <v>10225</v>
      </c>
      <c r="G6454" s="1" t="s">
        <v>36</v>
      </c>
      <c r="H6454" s="1" t="s">
        <v>29</v>
      </c>
      <c r="I6454" s="1" t="str">
        <f ca="1">IFERROR(__xludf.DUMMYFUNCTION("GOOGLETRANSLATE(F6454, ""auto"", ""en"")
"),"It’s a cool machine, and the most important thing for me is that it’s compact. I travel a lot for work and it takes up virtually no space in my bag. Good power, but it doesn’t hum like a tractor, it’s made of high-quality plastic and works for about thirt"&amp;"y minutes without charging.")</f>
        <v>It’s a cool machine, and the most important thing for me is that it’s compact. I travel a lot for work and it takes up virtually no space in my bag. Good power, but it doesn’t hum like a tractor, it’s made of high-quality plastic and works for about thirty minutes without charging.</v>
      </c>
    </row>
    <row r="6455" spans="1:9" x14ac:dyDescent="0.3">
      <c r="A6455" s="1" t="s">
        <v>43</v>
      </c>
      <c r="B6455" s="1" t="s">
        <v>303</v>
      </c>
      <c r="C6455" s="1" t="s">
        <v>10226</v>
      </c>
      <c r="D6455" s="1" t="s">
        <v>139</v>
      </c>
      <c r="E6455" s="1" t="s">
        <v>950</v>
      </c>
      <c r="F6455" s="1" t="s">
        <v>10227</v>
      </c>
      <c r="G6455" s="1" t="s">
        <v>28</v>
      </c>
      <c r="H6455" s="1" t="s">
        <v>29</v>
      </c>
      <c r="I6455" s="1" t="str">
        <f ca="1">IFERROR(__xludf.DUMMYFUNCTION("GOOGLETRANSLATE(F6455, ""auto"", ""en"")
"),"I agree with Alexey from Magnitogorsk about the pipes, I hope the flaw will be corrected in the next models. Regarding the lack of cable: I immediately bought the required length and easily connected it; An acquaintance who bought a water heater with a re"&amp;"ady-made power cord was forced to buy an extension cord. To Igor from Saratov: the safety valve is located under a protective cover and is easy to find when connecting the wiring.")</f>
        <v>I agree with Alexey from Magnitogorsk about the pipes, I hope the flaw will be corrected in the next models. Regarding the lack of cable: I immediately bought the required length and easily connected it; An acquaintance who bought a water heater with a ready-made power cord was forced to buy an extension cord. To Igor from Saratov: the safety valve is located under a protective cover and is easy to find when connecting the wiring.</v>
      </c>
    </row>
    <row r="6456" spans="1:9" x14ac:dyDescent="0.3">
      <c r="A6456" s="1" t="s">
        <v>17</v>
      </c>
      <c r="B6456" s="1" t="s">
        <v>18</v>
      </c>
      <c r="C6456" s="1" t="s">
        <v>665</v>
      </c>
      <c r="D6456" s="1" t="s">
        <v>203</v>
      </c>
      <c r="E6456" s="1" t="s">
        <v>10228</v>
      </c>
      <c r="F6456" s="1" t="s">
        <v>10229</v>
      </c>
      <c r="G6456" s="1" t="s">
        <v>49</v>
      </c>
      <c r="H6456" s="1" t="s">
        <v>16</v>
      </c>
      <c r="I6456" s="1" t="str">
        <f ca="1">IFERROR(__xludf.DUMMYFUNCTION("GOOGLETRANSLATE(F6456, ""auto"", ""en"")
"),"We bought it in 2011, at first everything was fine: it worked moderately quietly, at the end of the program there was musical accompaniment in the Chinese style, a quick wash. A year later, problems began: the sealing rubber became hard, the drain cover b"&amp;"roke - it consists of two parts, it began to jump, in the second year the oil seal and, accordingly, the bearing flew - fortunately it was dismountable and was replaced under warranty, but a year later everything happened again. The warranty has expired, "&amp;"repairs are expensive from 5 to 7 thousand rubles. It turns out it's better to get a new one. The price speaks volumes about the quality.")</f>
        <v>We bought it in 2011, at first everything was fine: it worked moderately quietly, at the end of the program there was musical accompaniment in the Chinese style, a quick wash. A year later, problems began: the sealing rubber became hard, the drain cover broke - it consists of two parts, it began to jump, in the second year the oil seal and, accordingly, the bearing flew - fortunately it was dismountable and was replaced under warranty, but a year later everything happened again. The warranty has expired, repairs are expensive from 5 to 7 thousand rubles. It turns out it's better to get a new one. The price speaks volumes about the quality.</v>
      </c>
    </row>
    <row r="6457" spans="1:9" x14ac:dyDescent="0.3">
      <c r="A6457" s="1" t="s">
        <v>169</v>
      </c>
      <c r="B6457" s="1" t="s">
        <v>170</v>
      </c>
      <c r="C6457" s="1" t="s">
        <v>193</v>
      </c>
      <c r="D6457" s="1" t="s">
        <v>10226</v>
      </c>
      <c r="E6457" s="1" t="s">
        <v>2358</v>
      </c>
      <c r="F6457" s="1" t="s">
        <v>10230</v>
      </c>
      <c r="G6457" s="1" t="s">
        <v>36</v>
      </c>
      <c r="H6457" s="1" t="s">
        <v>29</v>
      </c>
      <c r="I6457" s="1" t="str">
        <f ca="1">IFERROR(__xludf.DUMMYFUNCTION("GOOGLETRANSLATE(F6457, ""auto"", ""en"")
"),"Headphones are great! Clean clear sound, good noise insulation! I recommend it to everyone!")</f>
        <v>Headphones are great! Clean clear sound, good noise insulation! I recommend it to everyone!</v>
      </c>
    </row>
    <row r="6458" spans="1:9" x14ac:dyDescent="0.3">
      <c r="A6458" s="1" t="s">
        <v>105</v>
      </c>
      <c r="B6458" s="1" t="s">
        <v>106</v>
      </c>
      <c r="C6458" s="1" t="s">
        <v>151</v>
      </c>
      <c r="D6458" s="1" t="s">
        <v>729</v>
      </c>
      <c r="E6458" s="1" t="s">
        <v>2348</v>
      </c>
      <c r="F6458" s="1" t="s">
        <v>10231</v>
      </c>
      <c r="G6458" s="1" t="s">
        <v>36</v>
      </c>
      <c r="H6458" s="1" t="s">
        <v>29</v>
      </c>
      <c r="I6458" s="1" t="str">
        <f ca="1">IFERROR(__xludf.DUMMYFUNCTION("GOOGLETRANSLATE(F6458, ""auto"", ""en"")
"),"An excellent player, I’ve been using it for six months now, there were no glitches, but the old built-in firmware had to be changed.")</f>
        <v>An excellent player, I’ve been using it for six months now, there were no glitches, but the old built-in firmware had to be changed.</v>
      </c>
    </row>
    <row r="6459" spans="1:9" x14ac:dyDescent="0.3">
      <c r="A6459" s="1" t="s">
        <v>9</v>
      </c>
      <c r="B6459" s="1" t="s">
        <v>10</v>
      </c>
      <c r="C6459" s="1" t="s">
        <v>407</v>
      </c>
      <c r="D6459" s="1" t="s">
        <v>420</v>
      </c>
      <c r="E6459" s="1" t="s">
        <v>1136</v>
      </c>
      <c r="F6459" s="1" t="s">
        <v>10232</v>
      </c>
      <c r="G6459" s="1" t="s">
        <v>49</v>
      </c>
      <c r="H6459" s="1" t="s">
        <v>16</v>
      </c>
      <c r="I6459" s="1" t="str">
        <f ca="1">IFERROR(__xludf.DUMMYFUNCTION("GOOGLETRANSLATE(F6459, ""auto"", ""en"")
"),"compact size")</f>
        <v>compact size</v>
      </c>
    </row>
    <row r="6460" spans="1:9" x14ac:dyDescent="0.3">
      <c r="A6460" s="1" t="s">
        <v>120</v>
      </c>
      <c r="B6460" s="1" t="s">
        <v>1205</v>
      </c>
      <c r="C6460" s="1" t="s">
        <v>1206</v>
      </c>
      <c r="D6460" s="1" t="s">
        <v>568</v>
      </c>
      <c r="E6460" s="1" t="s">
        <v>157</v>
      </c>
      <c r="F6460" s="1" t="s">
        <v>10233</v>
      </c>
      <c r="G6460" s="1" t="s">
        <v>49</v>
      </c>
      <c r="H6460" s="1" t="s">
        <v>16</v>
      </c>
      <c r="I6460" s="1" t="str">
        <f ca="1">IFERROR(__xludf.DUMMYFUNCTION("GOOGLETRANSLATE(F6460, ""auto"", ""en"")
"),"I bought TRICOLOR equipment for a country house, I had very unpleasant impressions of the company’s work. A tedious procedure for registering and activating a card.  After installing and registering the equipment, we have been jumping around the receiver "&amp;"for a day according to the shamanic instructions of technical support, the channels cannot be decoded. It’s simply not possible to get through to the technical support service, and if you’re lucky, you’ll listen to wonderful advertising for five minutes a"&amp;"t your own expense over the long distance! I don’t recommend it, the impressions of the company are terrible!")</f>
        <v>I bought TRICOLOR equipment for a country house, I had very unpleasant impressions of the company’s work. A tedious procedure for registering and activating a card.  After installing and registering the equipment, we have been jumping around the receiver for a day according to the shamanic instructions of technical support, the channels cannot be decoded. It’s simply not possible to get through to the technical support service, and if you’re lucky, you’ll listen to wonderful advertising for five minutes at your own expense over the long distance! I don’t recommend it, the impressions of the company are terrible!</v>
      </c>
    </row>
    <row r="6461" spans="1:9" x14ac:dyDescent="0.3">
      <c r="A6461" s="1" t="s">
        <v>149</v>
      </c>
      <c r="B6461" s="1" t="s">
        <v>155</v>
      </c>
      <c r="C6461" s="1" t="s">
        <v>151</v>
      </c>
      <c r="D6461" s="1" t="s">
        <v>327</v>
      </c>
      <c r="E6461" s="1" t="s">
        <v>2769</v>
      </c>
      <c r="F6461" s="1" t="s">
        <v>10234</v>
      </c>
      <c r="G6461" s="1" t="s">
        <v>36</v>
      </c>
      <c r="H6461" s="1" t="s">
        <v>29</v>
      </c>
      <c r="I6461" s="1" t="str">
        <f ca="1">IFERROR(__xludf.DUMMYFUNCTION("GOOGLETRANSLATE(F6461, ""auto"", ""en"")
"),"We've been using it for about a month.   +It vacuums well, my wife is happy.  +Control on the handle. Three power modes.  +Convenient and large container.  +Design is an important factor.   + Metal pipe, telescopic.  +Easy.  +/-Only one additional nozzle "&amp;"(crevice) -It makes a lot of noise at maximum power, but there is so much power!")</f>
        <v>We've been using it for about a month.   +It vacuums well, my wife is happy.  +Control on the handle. Three power modes.  +Convenient and large container.  +Design is an important factor.   + Metal pipe, telescopic.  +Easy.  +/-Only one additional nozzle (crevice) -It makes a lot of noise at maximum power, but there is so much power!</v>
      </c>
    </row>
    <row r="6462" spans="1:9" x14ac:dyDescent="0.3">
      <c r="A6462" s="1" t="s">
        <v>67</v>
      </c>
      <c r="B6462" s="1" t="s">
        <v>68</v>
      </c>
      <c r="C6462" s="1" t="s">
        <v>246</v>
      </c>
      <c r="D6462" s="1" t="s">
        <v>411</v>
      </c>
      <c r="E6462" s="1" t="s">
        <v>2028</v>
      </c>
      <c r="F6462" s="1" t="s">
        <v>10235</v>
      </c>
      <c r="G6462" s="1" t="s">
        <v>28</v>
      </c>
      <c r="H6462" s="1" t="s">
        <v>29</v>
      </c>
      <c r="I6462" s="1" t="str">
        <f ca="1">IFERROR(__xludf.DUMMYFUNCTION("GOOGLETRANSLATE(F6462, ""auto"", ""en"")
"),"The iron is 4+, affordable price and French quality, and it’s so simple!")</f>
        <v>The iron is 4+, affordable price and French quality, and it’s so simple!</v>
      </c>
    </row>
    <row r="6463" spans="1:9" x14ac:dyDescent="0.3">
      <c r="A6463" s="1" t="s">
        <v>37</v>
      </c>
      <c r="B6463" s="1" t="s">
        <v>38</v>
      </c>
      <c r="C6463" s="1" t="s">
        <v>163</v>
      </c>
      <c r="D6463" s="1" t="s">
        <v>7505</v>
      </c>
      <c r="E6463" s="1" t="s">
        <v>395</v>
      </c>
      <c r="F6463" s="1" t="s">
        <v>10236</v>
      </c>
      <c r="G6463" s="1" t="s">
        <v>36</v>
      </c>
      <c r="H6463" s="1" t="s">
        <v>29</v>
      </c>
      <c r="I6463" s="1" t="str">
        <f ca="1">IFERROR(__xludf.DUMMYFUNCTION("GOOGLETRANSLATE(F6463, ""auto"", ""en"")
"),"The phone is excellent, one might say magnificent :) I just bought it yesterday :) At this price the phone is incredibly cool")</f>
        <v>The phone is excellent, one might say magnificent :) I just bought it yesterday :) At this price the phone is incredibly cool</v>
      </c>
    </row>
    <row r="6464" spans="1:9" x14ac:dyDescent="0.3">
      <c r="A6464" s="1" t="s">
        <v>120</v>
      </c>
      <c r="B6464" s="1" t="s">
        <v>126</v>
      </c>
      <c r="C6464" s="1" t="s">
        <v>122</v>
      </c>
      <c r="D6464" s="1" t="s">
        <v>10237</v>
      </c>
      <c r="E6464" s="1" t="s">
        <v>2640</v>
      </c>
      <c r="F6464" s="1" t="s">
        <v>10238</v>
      </c>
      <c r="G6464" s="1" t="s">
        <v>36</v>
      </c>
      <c r="H6464" s="1" t="s">
        <v>29</v>
      </c>
      <c r="I6464" s="1" t="str">
        <f ca="1">IFERROR(__xludf.DUMMYFUNCTION("GOOGLETRANSLATE(F6464, ""auto"", ""en"")
"),"Cool TV. Take it, you won't regret it. And I don't mind the money. Watch and enjoy. And if you also connect a home theater, then it’s just super. The thing is great.")</f>
        <v>Cool TV. Take it, you won't regret it. And I don't mind the money. Watch and enjoy. And if you also connect a home theater, then it’s just super. The thing is great.</v>
      </c>
    </row>
    <row r="6465" spans="1:9" x14ac:dyDescent="0.3">
      <c r="A6465" s="1" t="s">
        <v>37</v>
      </c>
      <c r="B6465" s="1" t="s">
        <v>38</v>
      </c>
      <c r="C6465" s="1" t="s">
        <v>163</v>
      </c>
      <c r="D6465" s="1" t="s">
        <v>1917</v>
      </c>
      <c r="E6465" s="1" t="s">
        <v>191</v>
      </c>
      <c r="F6465" s="1" t="s">
        <v>10239</v>
      </c>
      <c r="G6465" s="1" t="s">
        <v>28</v>
      </c>
      <c r="H6465" s="1" t="s">
        <v>29</v>
      </c>
      <c r="I6465" s="1" t="str">
        <f ca="1">IFERROR(__xludf.DUMMYFUNCTION("GOOGLETRANSLATE(F6465, ""auto"", ""en"")
"),"good model..the only negative is the sound..sometimes you can’t hear it when it rings..before this I had a 3110c, it was louder.")</f>
        <v>good model..the only negative is the sound..sometimes you can’t hear it when it rings..before this I had a 3110c, it was louder.</v>
      </c>
    </row>
    <row r="6466" spans="1:9" x14ac:dyDescent="0.3">
      <c r="A6466" s="1" t="s">
        <v>149</v>
      </c>
      <c r="B6466" s="1" t="s">
        <v>155</v>
      </c>
      <c r="C6466" s="1" t="s">
        <v>151</v>
      </c>
      <c r="D6466" s="1" t="s">
        <v>12</v>
      </c>
      <c r="E6466" s="1" t="s">
        <v>6363</v>
      </c>
      <c r="F6466" s="1" t="s">
        <v>10240</v>
      </c>
      <c r="G6466" s="1" t="s">
        <v>36</v>
      </c>
      <c r="H6466" s="1" t="s">
        <v>29</v>
      </c>
      <c r="I6466" s="1" t="str">
        <f ca="1">IFERROR(__xludf.DUMMYFUNCTION("GOOGLETRANSLATE(F6466, ""auto"", ""en"")
"),"Awesome vacuum cleaner, crazy power, carpet cleaning 100%!  Works from all sockets (Euro) The turbo brush is cool!")</f>
        <v>Awesome vacuum cleaner, crazy power, carpet cleaning 100%!  Works from all sockets (Euro) The turbo brush is cool!</v>
      </c>
    </row>
    <row r="6467" spans="1:9" x14ac:dyDescent="0.3">
      <c r="A6467" s="1" t="s">
        <v>78</v>
      </c>
      <c r="B6467" s="1" t="s">
        <v>493</v>
      </c>
      <c r="C6467" s="1" t="s">
        <v>80</v>
      </c>
      <c r="D6467" s="1" t="s">
        <v>10241</v>
      </c>
      <c r="E6467" s="1" t="s">
        <v>6272</v>
      </c>
      <c r="F6467" s="1" t="s">
        <v>10242</v>
      </c>
      <c r="G6467" s="1" t="s">
        <v>36</v>
      </c>
      <c r="H6467" s="1" t="s">
        <v>29</v>
      </c>
      <c r="I6467" s="1" t="str">
        <f ca="1">IFERROR(__xludf.DUMMYFUNCTION("GOOGLETRANSLATE(F6467, ""auto"", ""en"")
"),"We have long wanted to try a convector stove. So, I don’t know about others, but this model really replaces an electric oven + grill and browns well. On the first evening I tried to make chicken legs and pork skewers, and the next evening I baked muffins."&amp;" My old gas oven is much worse. Now we are moving, I won’t buy a regular oven for a new apartment, we’d rather buy a dishwasher. Satisfied beyond belief, I hope it will work for a long time.    Yes, and it cleans up with a bang, although there haven’t bee"&amp;"n any significant splashes yet - finally, I’m cooking without oil!")</f>
        <v>We have long wanted to try a convector stove. So, I don’t know about others, but this model really replaces an electric oven + grill and browns well. On the first evening I tried to make chicken legs and pork skewers, and the next evening I baked muffins. My old gas oven is much worse. Now we are moving, I won’t buy a regular oven for a new apartment, we’d rather buy a dishwasher. Satisfied beyond belief, I hope it will work for a long time.    Yes, and it cleans up with a bang, although there haven’t been any significant splashes yet - finally, I’m cooking without oil!</v>
      </c>
    </row>
    <row r="6468" spans="1:9" x14ac:dyDescent="0.3">
      <c r="A6468" s="1" t="s">
        <v>169</v>
      </c>
      <c r="B6468" s="1" t="s">
        <v>170</v>
      </c>
      <c r="C6468" s="1" t="s">
        <v>97</v>
      </c>
      <c r="D6468" s="1" t="s">
        <v>117</v>
      </c>
      <c r="E6468" s="1" t="s">
        <v>161</v>
      </c>
      <c r="F6468" s="1" t="s">
        <v>10243</v>
      </c>
      <c r="G6468" s="1" t="s">
        <v>36</v>
      </c>
      <c r="H6468" s="1" t="s">
        <v>29</v>
      </c>
      <c r="I6468" s="1" t="str">
        <f ca="1">IFERROR(__xludf.DUMMYFUNCTION("GOOGLETRANSLATE(F6468, ""auto"", ""en"")
"),"I liked the headphones, very comfortable, the volume is sufficient.")</f>
        <v>I liked the headphones, very comfortable, the volume is sufficient.</v>
      </c>
    </row>
    <row r="6469" spans="1:9" x14ac:dyDescent="0.3">
      <c r="A6469" s="1" t="s">
        <v>37</v>
      </c>
      <c r="B6469" s="1" t="s">
        <v>536</v>
      </c>
      <c r="C6469" s="1" t="s">
        <v>189</v>
      </c>
      <c r="D6469" s="1" t="s">
        <v>10244</v>
      </c>
      <c r="E6469" s="1" t="s">
        <v>3652</v>
      </c>
      <c r="F6469" s="1" t="s">
        <v>10245</v>
      </c>
      <c r="G6469" s="1" t="s">
        <v>28</v>
      </c>
      <c r="H6469" s="1" t="s">
        <v>29</v>
      </c>
      <c r="I6469" s="1" t="str">
        <f ca="1">IFERROR(__xludf.DUMMYFUNCTION("GOOGLETRANSLATE(F6469, ""auto"", ""en"")
"),"I bought it on 09/27/2009 and had fun with it all day, the device is definitely good, the price is really, in my opinion, too high (that’s why it’s a 4). It works quickly and stably. I disabled all the ""beauties"" and software additions to the system fro"&amp;"m Asus (AnytimeLauncher, Asus Today, etc.). Regarding the device memory, the whole point is that the rest of the space that we don’t see is “eaten up” by the firmware.")</f>
        <v>I bought it on 09/27/2009 and had fun with it all day, the device is definitely good, the price is really, in my opinion, too high (that’s why it’s a 4). It works quickly and stably. I disabled all the "beauties" and software additions to the system from Asus (AnytimeLauncher, Asus Today, etc.). Regarding the device memory, the whole point is that the rest of the space that we don’t see is “eaten up” by the firmware.</v>
      </c>
    </row>
    <row r="6470" spans="1:9" x14ac:dyDescent="0.3">
      <c r="A6470" s="1" t="s">
        <v>17</v>
      </c>
      <c r="B6470" s="1" t="s">
        <v>18</v>
      </c>
      <c r="C6470" s="1" t="s">
        <v>243</v>
      </c>
      <c r="D6470" s="1" t="s">
        <v>10246</v>
      </c>
      <c r="E6470" s="1" t="s">
        <v>1102</v>
      </c>
      <c r="F6470" s="1" t="s">
        <v>10247</v>
      </c>
      <c r="G6470" s="1" t="s">
        <v>36</v>
      </c>
      <c r="H6470" s="1" t="s">
        <v>29</v>
      </c>
      <c r="I6470" s="1" t="str">
        <f ca="1">IFERROR(__xludf.DUMMYFUNCTION("GOOGLETRANSLATE(F6470, ""auto"", ""en"")
"),"I bought it on September 20 in exchange for an old one. Set it up and tested it in several modes. Washed cotton, synthetics, silk items. Works great.")</f>
        <v>I bought it on September 20 in exchange for an old one. Set it up and tested it in several modes. Washed cotton, synthetics, silk items. Works great.</v>
      </c>
    </row>
    <row r="6471" spans="1:9" x14ac:dyDescent="0.3">
      <c r="A6471" s="1" t="s">
        <v>624</v>
      </c>
      <c r="B6471" s="1" t="s">
        <v>2107</v>
      </c>
      <c r="C6471" s="1" t="s">
        <v>479</v>
      </c>
      <c r="D6471" s="1" t="s">
        <v>10248</v>
      </c>
      <c r="E6471" s="1" t="s">
        <v>10249</v>
      </c>
      <c r="F6471" s="1" t="s">
        <v>10250</v>
      </c>
      <c r="G6471" s="1" t="s">
        <v>36</v>
      </c>
      <c r="H6471" s="1" t="s">
        <v>29</v>
      </c>
      <c r="I6471" s="1" t="str">
        <f ca="1">IFERROR(__xludf.DUMMYFUNCTION("GOOGLETRANSLATE(F6471, ""auto"", ""en"")
"),"A truly spine-chilling horror film with superb graphics and a truly impressive soundtrack.")</f>
        <v>A truly spine-chilling horror film with superb graphics and a truly impressive soundtrack.</v>
      </c>
    </row>
    <row r="6472" spans="1:9" x14ac:dyDescent="0.3">
      <c r="A6472" s="1" t="s">
        <v>30</v>
      </c>
      <c r="B6472" s="1" t="s">
        <v>50</v>
      </c>
      <c r="C6472" s="1" t="s">
        <v>32</v>
      </c>
      <c r="D6472" s="1" t="s">
        <v>896</v>
      </c>
      <c r="E6472" s="1" t="s">
        <v>269</v>
      </c>
      <c r="F6472" s="1" t="s">
        <v>10251</v>
      </c>
      <c r="G6472" s="1" t="s">
        <v>36</v>
      </c>
      <c r="H6472" s="1" t="s">
        <v>29</v>
      </c>
      <c r="I6472" s="1" t="str">
        <f ca="1">IFERROR(__xludf.DUMMYFUNCTION("GOOGLETRANSLATE(F6472, ""auto"", ""en"")
"),"I took it in September! Satisfied! I don't know much about them. But it's not the first laptop in my hands, so... The only thing in my opinion is that it is a little quiet. In terms of sound. The speakers are quiet. Who agrees?")</f>
        <v>I took it in September! Satisfied! I don't know much about them. But it's not the first laptop in my hands, so... The only thing in my opinion is that it is a little quiet. In terms of sound. The speakers are quiet. Who agrees?</v>
      </c>
    </row>
    <row r="6473" spans="1:9" x14ac:dyDescent="0.3">
      <c r="A6473" s="1" t="s">
        <v>30</v>
      </c>
      <c r="B6473" s="1" t="s">
        <v>50</v>
      </c>
      <c r="C6473" s="1" t="s">
        <v>1003</v>
      </c>
      <c r="D6473" s="1" t="s">
        <v>102</v>
      </c>
      <c r="E6473" s="1" t="s">
        <v>3320</v>
      </c>
      <c r="F6473" s="1" t="s">
        <v>10252</v>
      </c>
      <c r="G6473" s="1" t="s">
        <v>36</v>
      </c>
      <c r="H6473" s="1" t="s">
        <v>29</v>
      </c>
      <c r="I6473" s="1" t="str">
        <f ca="1">IFERROR(__xludf.DUMMYFUNCTION("GOOGLETRANSLATE(F6473, ""auto"", ""en"")
"),"Cool laptop - if only the price was lower!!!")</f>
        <v>Cool laptop - if only the price was lower!!!</v>
      </c>
    </row>
    <row r="6474" spans="1:9" x14ac:dyDescent="0.3">
      <c r="A6474" s="1" t="s">
        <v>61</v>
      </c>
      <c r="B6474" s="1" t="s">
        <v>73</v>
      </c>
      <c r="C6474" s="1" t="s">
        <v>101</v>
      </c>
      <c r="D6474" s="1" t="s">
        <v>305</v>
      </c>
      <c r="E6474" s="1" t="s">
        <v>8605</v>
      </c>
      <c r="F6474" s="1" t="s">
        <v>10253</v>
      </c>
      <c r="G6474" s="1" t="s">
        <v>36</v>
      </c>
      <c r="H6474" s="1" t="s">
        <v>29</v>
      </c>
      <c r="I6474" s="1" t="str">
        <f ca="1">IFERROR(__xludf.DUMMYFUNCTION("GOOGLETRANSLATE(F6474, ""auto"", ""en"")
"),"As promised, I am writing about the results. I twisted meat, chicken and liver, everything went off with a bang. Advice to those who have used plasticine: buy meat and don’t limit yourself to plasticine. The attachment for the sausage is also tested; the "&amp;"sausages turn out like miracles. For the money this is the best deal. So, if you are looking for a meat grinder for yourself at an affordable price, take it without hesitation.")</f>
        <v>As promised, I am writing about the results. I twisted meat, chicken and liver, everything went off with a bang. Advice to those who have used plasticine: buy meat and don’t limit yourself to plasticine. The attachment for the sausage is also tested; the sausages turn out like miracles. For the money this is the best deal. So, if you are looking for a meat grinder for yourself at an affordable price, take it without hesitation.</v>
      </c>
    </row>
    <row r="6475" spans="1:9" x14ac:dyDescent="0.3">
      <c r="A6475" s="1" t="s">
        <v>9</v>
      </c>
      <c r="B6475" s="1" t="s">
        <v>133</v>
      </c>
      <c r="C6475" s="1" t="s">
        <v>151</v>
      </c>
      <c r="D6475" s="1" t="s">
        <v>308</v>
      </c>
      <c r="E6475" s="1" t="s">
        <v>708</v>
      </c>
      <c r="F6475" s="1" t="s">
        <v>10254</v>
      </c>
      <c r="G6475" s="1" t="s">
        <v>36</v>
      </c>
      <c r="H6475" s="1" t="s">
        <v>29</v>
      </c>
      <c r="I6475" s="1" t="str">
        <f ca="1">IFERROR(__xludf.DUMMYFUNCTION("GOOGLETRANSLATE(F6475, ""auto"", ""en"")
"),"We bought the oven half a year ago. I can't get enough of her. Looks stylish and works great. In automatic mode, the dish is prepared as needed. The pizza turns out great. Very simple and easy to use. If someone asked for advice on which oven to buy, I wo"&amp;"uld definitely recommend the Samsung BF68CDB!")</f>
        <v>We bought the oven half a year ago. I can't get enough of her. Looks stylish and works great. In automatic mode, the dish is prepared as needed. The pizza turns out great. Very simple and easy to use. If someone asked for advice on which oven to buy, I would definitely recommend the Samsung BF68CDB!</v>
      </c>
    </row>
    <row r="6476" spans="1:9" x14ac:dyDescent="0.3">
      <c r="A6476" s="1" t="s">
        <v>30</v>
      </c>
      <c r="B6476" s="1" t="s">
        <v>50</v>
      </c>
      <c r="C6476" s="1" t="s">
        <v>1003</v>
      </c>
      <c r="D6476" s="1" t="s">
        <v>1542</v>
      </c>
      <c r="E6476" s="1" t="s">
        <v>1695</v>
      </c>
      <c r="F6476" s="1" t="s">
        <v>10255</v>
      </c>
      <c r="G6476" s="1" t="s">
        <v>49</v>
      </c>
      <c r="H6476" s="1" t="s">
        <v>16</v>
      </c>
      <c r="I6476" s="1" t="str">
        <f ca="1">IFERROR(__xludf.DUMMYFUNCTION("GOOGLETRANSLATE(F6476, ""auto"", ""en"")
"),"Absolutely hp rubbish. Neither I nor any of my friends have ever had a normal beech that has not lived up to the end of the warranty. everyone has it hanging on a rope (battery charging faults), processors overheat and SMD parts stupidly fall off - once a"&amp;" month you shake it - 1-2 resistances or the condenser will fall out.")</f>
        <v>Absolutely hp rubbish. Neither I nor any of my friends have ever had a normal beech that has not lived up to the end of the warranty. everyone has it hanging on a rope (battery charging faults), processors overheat and SMD parts stupidly fall off - once a month you shake it - 1-2 resistances or the condenser will fall out.</v>
      </c>
    </row>
    <row r="6477" spans="1:9" x14ac:dyDescent="0.3">
      <c r="A6477" s="1" t="s">
        <v>5066</v>
      </c>
      <c r="B6477" s="1" t="s">
        <v>5067</v>
      </c>
      <c r="C6477" s="1" t="s">
        <v>911</v>
      </c>
      <c r="D6477" s="1" t="s">
        <v>203</v>
      </c>
      <c r="E6477" s="1" t="s">
        <v>222</v>
      </c>
      <c r="F6477" s="1" t="s">
        <v>10256</v>
      </c>
      <c r="G6477" s="1" t="s">
        <v>36</v>
      </c>
      <c r="H6477" s="1" t="s">
        <v>29</v>
      </c>
      <c r="I6477" s="1" t="str">
        <f ca="1">IFERROR(__xludf.DUMMYFUNCTION("GOOGLETRANSLATE(F6477, ""auto"", ""en"")
"),"Fast service ")</f>
        <v xml:space="preserve">Fast service </v>
      </c>
    </row>
    <row r="6478" spans="1:9" x14ac:dyDescent="0.3">
      <c r="A6478" s="1" t="s">
        <v>477</v>
      </c>
      <c r="B6478" s="1" t="s">
        <v>478</v>
      </c>
      <c r="C6478" s="1" t="s">
        <v>479</v>
      </c>
      <c r="D6478" s="1" t="s">
        <v>39</v>
      </c>
      <c r="E6478" s="1" t="s">
        <v>2176</v>
      </c>
      <c r="F6478" s="1" t="s">
        <v>10257</v>
      </c>
      <c r="G6478" s="1" t="s">
        <v>36</v>
      </c>
      <c r="H6478" s="1" t="s">
        <v>29</v>
      </c>
      <c r="I6478" s="1" t="str">
        <f ca="1">IFERROR(__xludf.DUMMYFUNCTION("GOOGLETRANSLATE(F6478, ""auto"", ""en"")
"),"I've been waiting for this game for three years. I've been interested in this game for three years. I've been worried about this game for three years, and now it's already on the shelves. How time flies quickly. This is brilliant. Mafia II is something ne"&amp;"w in the Action genre. This is not a pop GTA4, where you can treat the gameplay as obscenely as you want. This is something new, something serious, something more cinematic. In short, Mafia II is a masterpiece. This is something that should be on the shel"&amp;"f of every self-respecting gamer. I don't feel sorry for this game at all. And in honor of 2K Czech, I pre-ordered Mafia II (in other words, already bought it) on my PC, and will buy it as soon as it comes out on my PS3 console. And thank you, dear guys f"&amp;"rom the former Illusion Softworks, for putting a lot of your energy into this gaming luxury. I definitely recommend it to everyone, but I’m already playing and getting pleasure that I haven’t experienced from games for a long time! :)")</f>
        <v>I've been waiting for this game for three years. I've been interested in this game for three years. I've been worried about this game for three years, and now it's already on the shelves. How time flies quickly. This is brilliant. Mafia II is something new in the Action genre. This is not a pop GTA4, where you can treat the gameplay as obscenely as you want. This is something new, something serious, something more cinematic. In short, Mafia II is a masterpiece. This is something that should be on the shelf of every self-respecting gamer. I don't feel sorry for this game at all. And in honor of 2K Czech, I pre-ordered Mafia II (in other words, already bought it) on my PC, and will buy it as soon as it comes out on my PS3 console. And thank you, dear guys from the former Illusion Softworks, for putting a lot of your energy into this gaming luxury. I definitely recommend it to everyone, but I’m already playing and getting pleasure that I haven’t experienced from games for a long time! :)</v>
      </c>
    </row>
    <row r="6479" spans="1:9" x14ac:dyDescent="0.3">
      <c r="A6479" s="1" t="s">
        <v>149</v>
      </c>
      <c r="B6479" s="1" t="s">
        <v>576</v>
      </c>
      <c r="C6479" s="1" t="s">
        <v>69</v>
      </c>
      <c r="D6479" s="1" t="s">
        <v>12</v>
      </c>
      <c r="E6479" s="1" t="s">
        <v>2695</v>
      </c>
      <c r="F6479" s="1" t="s">
        <v>10258</v>
      </c>
      <c r="G6479" s="1" t="s">
        <v>36</v>
      </c>
      <c r="H6479" s="1" t="s">
        <v>29</v>
      </c>
      <c r="I6479" s="1" t="str">
        <f ca="1">IFERROR(__xludf.DUMMYFUNCTION("GOOGLETRANSLATE(F6479, ""auto"", ""en"")
"),"Excellent vacuum cleaner, in use for 5 years, silent, high power, reusable bag, convenient brush. Recommended to friends who bought it and were satisfied.")</f>
        <v>Excellent vacuum cleaner, in use for 5 years, silent, high power, reusable bag, convenient brush. Recommended to friends who bought it and were satisfied.</v>
      </c>
    </row>
    <row r="6480" spans="1:9" x14ac:dyDescent="0.3">
      <c r="A6480" s="1" t="s">
        <v>61</v>
      </c>
      <c r="B6480" s="1" t="s">
        <v>1126</v>
      </c>
      <c r="C6480" s="1" t="s">
        <v>246</v>
      </c>
      <c r="D6480" s="1" t="s">
        <v>5472</v>
      </c>
      <c r="E6480" s="1" t="s">
        <v>543</v>
      </c>
      <c r="F6480" s="1" t="s">
        <v>10259</v>
      </c>
      <c r="G6480" s="1" t="s">
        <v>36</v>
      </c>
      <c r="H6480" s="1" t="s">
        <v>29</v>
      </c>
      <c r="I6480" s="1" t="str">
        <f ca="1">IFERROR(__xludf.DUMMYFUNCTION("GOOGLETRANSLATE(F6480, ""auto"", ""en"")
"),"They suit everything: they don’t let down with weight, it’s convenient to store (I hang them on a bracket), there are no buttons that always collect dirt, everything is touch sensitive. And beautiful)) It pleases my eyes incredibly, that’s why I don’t hid"&amp;"e it)")</f>
        <v>They suit everything: they don’t let down with weight, it’s convenient to store (I hang them on a bracket), there are no buttons that always collect dirt, everything is touch sensitive. And beautiful)) It pleases my eyes incredibly, that’s why I don’t hide it)</v>
      </c>
    </row>
    <row r="6481" spans="1:9" x14ac:dyDescent="0.3">
      <c r="A6481" s="1" t="s">
        <v>30</v>
      </c>
      <c r="B6481" s="1" t="s">
        <v>50</v>
      </c>
      <c r="C6481" s="1" t="s">
        <v>32</v>
      </c>
      <c r="D6481" s="1" t="s">
        <v>127</v>
      </c>
      <c r="E6481" s="1" t="s">
        <v>2514</v>
      </c>
      <c r="F6481" s="1" t="s">
        <v>10260</v>
      </c>
      <c r="G6481" s="1" t="s">
        <v>36</v>
      </c>
      <c r="H6481" s="1" t="s">
        <v>29</v>
      </c>
      <c r="I6481" s="1" t="str">
        <f ca="1">IFERROR(__xludf.DUMMYFUNCTION("GOOGLETRANSLATE(F6481, ""auto"", ""en"")
"),"I also encountered problems with the resolution in games, I set the video card settings to stretch to the full screen :) and the stripes on the sides went away, the beech is good fast, the stalker stuttered a couple of times at maximum settings, in the su"&amp;"bway I immediately set the minimum settings, everything flies, the alpha protocol at maximum settings is also excellent :)")</f>
        <v>I also encountered problems with the resolution in games, I set the video card settings to stretch to the full screen :) and the stripes on the sides went away, the beech is good fast, the stalker stuttered a couple of times at maximum settings, in the subway I immediately set the minimum settings, everything flies, the alpha protocol at maximum settings is also excellent :)</v>
      </c>
    </row>
    <row r="6482" spans="1:9" x14ac:dyDescent="0.3">
      <c r="A6482" s="1" t="s">
        <v>369</v>
      </c>
      <c r="B6482" s="1" t="s">
        <v>370</v>
      </c>
      <c r="C6482" s="1" t="s">
        <v>138</v>
      </c>
      <c r="D6482" s="1" t="s">
        <v>12</v>
      </c>
      <c r="E6482" s="1" t="s">
        <v>118</v>
      </c>
      <c r="F6482" s="1" t="s">
        <v>10261</v>
      </c>
      <c r="G6482" s="1" t="s">
        <v>28</v>
      </c>
      <c r="H6482" s="1" t="s">
        <v>29</v>
      </c>
      <c r="I6482" s="1" t="str">
        <f ca="1">IFERROR(__xludf.DUMMYFUNCTION("GOOGLETRANSLATE(F6482, ""auto"", ""en"")
"),"I've been using it for 2 years. Everything is good, but there are 2 drawbacks: 1. the paint on the borders near the glass-ceramic surface is cracked into a fine mesh.  2. Water and any dirt gets poured between the glass in the oven door during cooking and"&amp;" while cleaning the stove. I don’t know how to wash it there. Probably take the whole door off.    These 2 disadvantages affect the aesthetic appearance. But the stove itself is excellent.")</f>
        <v>I've been using it for 2 years. Everything is good, but there are 2 drawbacks: 1. the paint on the borders near the glass-ceramic surface is cracked into a fine mesh.  2. Water and any dirt gets poured between the glass in the oven door during cooking and while cleaning the stove. I don’t know how to wash it there. Probably take the whole door off.    These 2 disadvantages affect the aesthetic appearance. But the stove itself is excellent.</v>
      </c>
    </row>
    <row r="6483" spans="1:9" x14ac:dyDescent="0.3">
      <c r="A6483" s="1" t="s">
        <v>37</v>
      </c>
      <c r="B6483" s="1" t="s">
        <v>355</v>
      </c>
      <c r="C6483" s="1" t="s">
        <v>356</v>
      </c>
      <c r="D6483" s="1" t="s">
        <v>10262</v>
      </c>
      <c r="E6483" s="1" t="s">
        <v>178</v>
      </c>
      <c r="F6483" s="1" t="s">
        <v>10263</v>
      </c>
      <c r="G6483" s="1" t="s">
        <v>36</v>
      </c>
      <c r="H6483" s="1" t="s">
        <v>29</v>
      </c>
      <c r="I6483" s="1" t="str">
        <f ca="1">IFERROR(__xludf.DUMMYFUNCTION("GOOGLETRANSLATE(F6483, ""auto"", ""en"")
"),"there were Nokias and HTC, HP! Finally, I realized that I need an iPhone, convenient, practical, fast! the last one was HTC 4max! and no matter what anyone says, it’s better, easier, more convenient and faster to work from Mount Athos!")</f>
        <v>there were Nokias and HTC, HP! Finally, I realized that I need an iPhone, convenient, practical, fast! the last one was HTC 4max! and no matter what anyone says, it’s better, easier, more convenient and faster to work from Mount Athos!</v>
      </c>
    </row>
    <row r="6484" spans="1:9" x14ac:dyDescent="0.3">
      <c r="A6484" s="1" t="s">
        <v>1443</v>
      </c>
      <c r="B6484" s="1" t="s">
        <v>1444</v>
      </c>
      <c r="C6484" s="1" t="s">
        <v>1489</v>
      </c>
      <c r="D6484" s="1" t="s">
        <v>152</v>
      </c>
      <c r="E6484" s="1" t="s">
        <v>7696</v>
      </c>
      <c r="F6484" s="1" t="s">
        <v>10264</v>
      </c>
      <c r="G6484" s="1" t="s">
        <v>36</v>
      </c>
      <c r="H6484" s="1" t="s">
        <v>29</v>
      </c>
      <c r="I6484" s="1" t="str">
        <f ca="1">IFERROR(__xludf.DUMMYFUNCTION("GOOGLETRANSLATE(F6484, ""auto"", ""en"")
"),"A normal flash drive. It performs its functions 100%.")</f>
        <v>A normal flash drive. It performs its functions 100%.</v>
      </c>
    </row>
    <row r="6485" spans="1:9" x14ac:dyDescent="0.3">
      <c r="A6485" s="1" t="s">
        <v>9</v>
      </c>
      <c r="B6485" s="1" t="s">
        <v>23</v>
      </c>
      <c r="C6485" s="1" t="s">
        <v>466</v>
      </c>
      <c r="D6485" s="1" t="s">
        <v>33</v>
      </c>
      <c r="E6485" s="1" t="s">
        <v>8605</v>
      </c>
      <c r="F6485" s="1" t="s">
        <v>10265</v>
      </c>
      <c r="G6485" s="1" t="s">
        <v>28</v>
      </c>
      <c r="H6485" s="1" t="s">
        <v>29</v>
      </c>
      <c r="I6485" s="1" t="str">
        <f ca="1">IFERROR(__xludf.DUMMYFUNCTION("GOOGLETRANSLATE(F6485, ""auto"", ""en"")
"),"We have been using this machine for more than 2 years. All this time she works like Papa Carlo. She cares for a family of 4 people, and on holidays she washes in 3 shifts. Of course, the notorious E3 error is a frequent visitor, well, it can’t be any othe"&amp;"r way! How else can you force the owners to clean the filters?? Now my child is doing this, after which the error disappears again for a week, until the next time the filters become clogged. When working with this machine, the main thing is to arrange the"&amp;" dishes correctly and the machine will please you. We use salt, glitter and powder.")</f>
        <v>We have been using this machine for more than 2 years. All this time she works like Papa Carlo. She cares for a family of 4 people, and on holidays she washes in 3 shifts. Of course, the notorious E3 error is a frequent visitor, well, it can’t be any other way! How else can you force the owners to clean the filters?? Now my child is doing this, after which the error disappears again for a week, until the next time the filters become clogged. When working with this machine, the main thing is to arrange the dishes correctly and the machine will please you. We use salt, glitter and powder.</v>
      </c>
    </row>
    <row r="6486" spans="1:9" x14ac:dyDescent="0.3">
      <c r="A6486" s="1" t="s">
        <v>30</v>
      </c>
      <c r="B6486" s="1" t="s">
        <v>31</v>
      </c>
      <c r="C6486" s="1" t="s">
        <v>32</v>
      </c>
      <c r="D6486" s="1" t="s">
        <v>52</v>
      </c>
      <c r="E6486" s="1" t="s">
        <v>2677</v>
      </c>
      <c r="F6486" s="1" t="s">
        <v>10266</v>
      </c>
      <c r="G6486" s="1" t="s">
        <v>36</v>
      </c>
      <c r="H6486" s="1" t="s">
        <v>29</v>
      </c>
      <c r="I6486" s="1" t="str">
        <f ca="1">IFERROR(__xludf.DUMMYFUNCTION("GOOGLETRANSLATE(F6486, ""auto"", ""en"")
"),"I was also one of the lucky ones! I want to say that when buying such a thing or a similar one, you evaluate it according to some other criteria! The first thing that struck me was its original appearance and, of course, its compactness, the filling is ve"&amp;"ry worthwhile and everything works perfectly! Games such as Section 8, Prototype, Bionic commando leave an indelible impression on the graphics!")</f>
        <v>I was also one of the lucky ones! I want to say that when buying such a thing or a similar one, you evaluate it according to some other criteria! The first thing that struck me was its original appearance and, of course, its compactness, the filling is very worthwhile and everything works perfectly! Games such as Section 8, Prototype, Bionic commando leave an indelible impression on the graphics!</v>
      </c>
    </row>
    <row r="6487" spans="1:9" x14ac:dyDescent="0.3">
      <c r="A6487" s="1" t="s">
        <v>211</v>
      </c>
      <c r="B6487" s="1" t="s">
        <v>212</v>
      </c>
      <c r="C6487" s="1" t="s">
        <v>381</v>
      </c>
      <c r="D6487" s="1" t="s">
        <v>1023</v>
      </c>
      <c r="E6487" s="1" t="s">
        <v>8466</v>
      </c>
      <c r="F6487" s="1" t="s">
        <v>10267</v>
      </c>
      <c r="G6487" s="1" t="s">
        <v>36</v>
      </c>
      <c r="H6487" s="1" t="s">
        <v>29</v>
      </c>
      <c r="I6487" s="1" t="str">
        <f ca="1">IFERROR(__xludf.DUMMYFUNCTION("GOOGLETRANSLATE(F6487, ""auto"", ""en"")
"),"A hairdryer is simply excellent if you learn how to use it correctly. Adds volume to short hair and curls long hair. I liked it very much, now I want to buy one for my mother too.")</f>
        <v>A hairdryer is simply excellent if you learn how to use it correctly. Adds volume to short hair and curls long hair. I liked it very much, now I want to buy one for my mother too.</v>
      </c>
    </row>
    <row r="6488" spans="1:9" x14ac:dyDescent="0.3">
      <c r="A6488" s="1" t="s">
        <v>61</v>
      </c>
      <c r="B6488" s="1" t="s">
        <v>726</v>
      </c>
      <c r="C6488" s="1" t="s">
        <v>146</v>
      </c>
      <c r="D6488" s="1" t="s">
        <v>1771</v>
      </c>
      <c r="E6488" s="1" t="s">
        <v>4027</v>
      </c>
      <c r="F6488" s="1" t="s">
        <v>10268</v>
      </c>
      <c r="G6488" s="1" t="s">
        <v>28</v>
      </c>
      <c r="H6488" s="1" t="s">
        <v>29</v>
      </c>
      <c r="I6488" s="1" t="str">
        <f ca="1">IFERROR(__xludf.DUMMYFUNCTION("GOOGLETRANSLATE(F6488, ""auto"", ""en"")
"),"We bought it in January 2011, we couldn’t be happier, delicious bread, everything worked out the first time, only we needed electronic scales, exactly a year later the rubber band on the bucket wore out and water began to leak, it creaks terribly.")</f>
        <v>We bought it in January 2011, we couldn’t be happier, delicious bread, everything worked out the first time, only we needed electronic scales, exactly a year later the rubber band on the bucket wore out and water began to leak, it creaks terribly.</v>
      </c>
    </row>
    <row r="6489" spans="1:9" x14ac:dyDescent="0.3">
      <c r="A6489" s="1" t="s">
        <v>211</v>
      </c>
      <c r="B6489" s="1" t="s">
        <v>212</v>
      </c>
      <c r="C6489" s="1" t="s">
        <v>381</v>
      </c>
      <c r="D6489" s="1" t="s">
        <v>295</v>
      </c>
      <c r="E6489" s="1" t="s">
        <v>10269</v>
      </c>
      <c r="F6489" s="1" t="s">
        <v>10270</v>
      </c>
      <c r="G6489" s="1" t="s">
        <v>36</v>
      </c>
      <c r="H6489" s="1" t="s">
        <v>29</v>
      </c>
      <c r="I6489" s="1" t="str">
        <f ca="1">IFERROR(__xludf.DUMMYFUNCTION("GOOGLETRANSLATE(F6489, ""auto"", ""en"")
"),"This curling iron is not for curls, but for styling hair. Ideal for styling and lasts all day. For curls you need a different type of curling iron in principle.")</f>
        <v>This curling iron is not for curls, but for styling hair. Ideal for styling and lasts all day. For curls you need a different type of curling iron in principle.</v>
      </c>
    </row>
    <row r="6490" spans="1:9" x14ac:dyDescent="0.3">
      <c r="A6490" s="1" t="s">
        <v>373</v>
      </c>
      <c r="B6490" s="1" t="s">
        <v>374</v>
      </c>
      <c r="C6490" s="1" t="s">
        <v>138</v>
      </c>
      <c r="D6490" s="1" t="s">
        <v>64</v>
      </c>
      <c r="E6490" s="1" t="s">
        <v>1553</v>
      </c>
      <c r="F6490" s="1" t="s">
        <v>10271</v>
      </c>
      <c r="G6490" s="1" t="s">
        <v>36</v>
      </c>
      <c r="H6490" s="1" t="s">
        <v>29</v>
      </c>
      <c r="I6490" s="1" t="str">
        <f ca="1">IFERROR(__xludf.DUMMYFUNCTION("GOOGLETRANSLATE(F6490, ""auto"", ""en"")
"),"This car is just super!!! Now, when I come home from work, I don’t spend time washing dishes, but spend it with my daughter. All dishes sparkle like new. Pots and pans (even cast iron!) have been washed off from many years of soot. A very roomy machine, i"&amp;"t works quietly and economically. I recommend it to everyone, you won't regret it.")</f>
        <v>This car is just super!!! Now, when I come home from work, I don’t spend time washing dishes, but spend it with my daughter. All dishes sparkle like new. Pots and pans (even cast iron!) have been washed off from many years of soot. A very roomy machine, it works quietly and economically. I recommend it to everyone, you won't regret it.</v>
      </c>
    </row>
    <row r="6491" spans="1:9" x14ac:dyDescent="0.3">
      <c r="A6491" s="1" t="s">
        <v>17</v>
      </c>
      <c r="B6491" s="1" t="s">
        <v>18</v>
      </c>
      <c r="C6491" s="1" t="s">
        <v>80</v>
      </c>
      <c r="D6491" s="1" t="s">
        <v>46</v>
      </c>
      <c r="E6491" s="1" t="s">
        <v>10272</v>
      </c>
      <c r="F6491" s="1" t="s">
        <v>10273</v>
      </c>
      <c r="G6491" s="1" t="s">
        <v>28</v>
      </c>
      <c r="H6491" s="1" t="s">
        <v>29</v>
      </c>
      <c r="I6491" s="1" t="str">
        <f ca="1">IFERROR(__xludf.DUMMYFUNCTION("GOOGLETRANSLATE(F6491, ""auto"", ""en"")
"),"Many modes, good washing quality, reasonable price ")</f>
        <v xml:space="preserve">Many modes, good washing quality, reasonable price </v>
      </c>
    </row>
    <row r="6492" spans="1:9" x14ac:dyDescent="0.3">
      <c r="A6492" s="1" t="s">
        <v>67</v>
      </c>
      <c r="B6492" s="1" t="s">
        <v>68</v>
      </c>
      <c r="C6492" s="1" t="s">
        <v>246</v>
      </c>
      <c r="D6492" s="1" t="s">
        <v>774</v>
      </c>
      <c r="E6492" s="1" t="s">
        <v>4875</v>
      </c>
      <c r="F6492" s="1" t="s">
        <v>10274</v>
      </c>
      <c r="G6492" s="1" t="s">
        <v>15</v>
      </c>
      <c r="H6492" s="1" t="s">
        <v>16</v>
      </c>
      <c r="I6492" s="1" t="str">
        <f ca="1">IFERROR(__xludf.DUMMYFUNCTION("GOOGLETRANSLATE(F6492, ""auto"", ""en"")
"),"I used the iron for a month, on the fifth time the sole of the iron began to crumble and plus I didn’t like that the steam came only from the spout of the iron, I don’t recommend it.")</f>
        <v>I used the iron for a month, on the fifth time the sole of the iron began to crumble and plus I didn’t like that the steam came only from the spout of the iron, I don’t recommend it.</v>
      </c>
    </row>
    <row r="6493" spans="1:9" x14ac:dyDescent="0.3">
      <c r="A6493" s="1" t="s">
        <v>120</v>
      </c>
      <c r="B6493" s="1" t="s">
        <v>5219</v>
      </c>
      <c r="C6493" s="1" t="s">
        <v>69</v>
      </c>
      <c r="D6493" s="1" t="s">
        <v>1894</v>
      </c>
      <c r="E6493" s="1" t="s">
        <v>3676</v>
      </c>
      <c r="F6493" s="1" t="s">
        <v>10275</v>
      </c>
      <c r="G6493" s="1" t="s">
        <v>36</v>
      </c>
      <c r="H6493" s="1" t="s">
        <v>29</v>
      </c>
      <c r="I6493" s="1" t="str">
        <f ca="1">IFERROR(__xludf.DUMMYFUNCTION("GOOGLETRANSLATE(F6493, ""auto"", ""en"")
"),"Indeed, the TV is cool, but it has nothing to do with 3D, unless they are confused with this: Philips 3D-LED TV | 58PFL9955, we are waiting for the new year.")</f>
        <v>Indeed, the TV is cool, but it has nothing to do with 3D, unless they are confused with this: Philips 3D-LED TV | 58PFL9955, we are waiting for the new year.</v>
      </c>
    </row>
    <row r="6494" spans="1:9" x14ac:dyDescent="0.3">
      <c r="A6494" s="1" t="s">
        <v>211</v>
      </c>
      <c r="B6494" s="1" t="s">
        <v>265</v>
      </c>
      <c r="C6494" s="1" t="s">
        <v>122</v>
      </c>
      <c r="D6494" s="1" t="s">
        <v>52</v>
      </c>
      <c r="E6494" s="1" t="s">
        <v>1500</v>
      </c>
      <c r="F6494" s="1" t="s">
        <v>10276</v>
      </c>
      <c r="G6494" s="1" t="s">
        <v>49</v>
      </c>
      <c r="H6494" s="1" t="s">
        <v>16</v>
      </c>
      <c r="I6494" s="1" t="str">
        <f ca="1">IFERROR(__xludf.DUMMYFUNCTION("GOOGLETRANSLATE(F6494, ""auto"", ""en"")
"),"only price")</f>
        <v>only price</v>
      </c>
    </row>
    <row r="6495" spans="1:9" x14ac:dyDescent="0.3">
      <c r="A6495" s="1" t="s">
        <v>105</v>
      </c>
      <c r="B6495" s="1" t="s">
        <v>106</v>
      </c>
      <c r="C6495" s="1" t="s">
        <v>1209</v>
      </c>
      <c r="D6495" s="1" t="s">
        <v>10277</v>
      </c>
      <c r="E6495" s="1" t="s">
        <v>500</v>
      </c>
      <c r="F6495" s="1" t="s">
        <v>10278</v>
      </c>
      <c r="G6495" s="1" t="s">
        <v>15</v>
      </c>
      <c r="H6495" s="1" t="s">
        <v>16</v>
      </c>
      <c r="I6495" s="1" t="str">
        <f ca="1">IFERROR(__xludf.DUMMYFUNCTION("GOOGLETRANSLATE(F6495, ""auto"", ""en"")
"),"I bought the player for 890, the sound is not bad even with my own ears (I was surprised), but the thing is incredibly buggy. Constantly freezes when removed from the computer or when switching tracks. The start/play button often stops working.   When I t"&amp;"ry to switch to voice recorder mode, it displays a charging icon and freezes.   For now, I'll wait for the new firmware; if it doesn't help, I'll have to take it to a service center.")</f>
        <v>I bought the player for 890, the sound is not bad even with my own ears (I was surprised), but the thing is incredibly buggy. Constantly freezes when removed from the computer or when switching tracks. The start/play button often stops working.   When I try to switch to voice recorder mode, it displays a charging icon and freezes.   For now, I'll wait for the new firmware; if it doesn't help, I'll have to take it to a service center.</v>
      </c>
    </row>
    <row r="6496" spans="1:9" x14ac:dyDescent="0.3">
      <c r="A6496" s="1" t="s">
        <v>149</v>
      </c>
      <c r="B6496" s="1" t="s">
        <v>155</v>
      </c>
      <c r="C6496" s="1" t="s">
        <v>80</v>
      </c>
      <c r="D6496" s="1" t="s">
        <v>152</v>
      </c>
      <c r="E6496" s="1" t="s">
        <v>4445</v>
      </c>
      <c r="F6496" s="1" t="s">
        <v>10279</v>
      </c>
      <c r="G6496" s="1" t="s">
        <v>36</v>
      </c>
      <c r="H6496" s="1" t="s">
        <v>29</v>
      </c>
      <c r="I6496" s="1" t="str">
        <f ca="1">IFERROR(__xludf.DUMMYFUNCTION("GOOGLETRANSLATE(F6496, ""auto"", ""en"")
"),"Bought as a gift for my mother, she was very pleased. It took a long time to choose. Now I understand that the choice was right. We are planning to buy one for ourselves. The container is very convenient, with a dust blade. So, that's what I recommend.")</f>
        <v>Bought as a gift for my mother, she was very pleased. It took a long time to choose. Now I understand that the choice was right. We are planning to buy one for ourselves. The container is very convenient, with a dust blade. So, that's what I recommend.</v>
      </c>
    </row>
    <row r="6497" spans="1:9" x14ac:dyDescent="0.3">
      <c r="A6497" s="1" t="s">
        <v>211</v>
      </c>
      <c r="B6497" s="1" t="s">
        <v>410</v>
      </c>
      <c r="C6497" s="1" t="s">
        <v>213</v>
      </c>
      <c r="D6497" s="1" t="s">
        <v>39</v>
      </c>
      <c r="E6497" s="1" t="s">
        <v>2780</v>
      </c>
      <c r="F6497" s="1" t="s">
        <v>10280</v>
      </c>
      <c r="G6497" s="1" t="s">
        <v>36</v>
      </c>
      <c r="H6497" s="1" t="s">
        <v>29</v>
      </c>
      <c r="I6497" s="1" t="str">
        <f ca="1">IFERROR(__xludf.DUMMYFUNCTION("GOOGLETRANSLATE(F6497, ""auto"", ""en"")
"),"Good health to everyone. I bought the razor 2 weeks ago after reading positive reviews about it. Before that I shaved with top Philips and Panasonic razors. I was very pleased with the purchase. It shaves softly, cleanly, the battery holds a charge for a "&amp;"long time, about 10 days, fairly quiet, irritation from shaving, despite very sensitive skin, is minimal and goes away quickly. My brother, looking at me, ran and bought himself exactly the same one, saying that he was delighted. The only problem is that "&amp;"there are few razors left in stock and I had to go to several stores to purchase one (I didn’t look at display copies for hygienic reasons). I recommend to buy.")</f>
        <v>Good health to everyone. I bought the razor 2 weeks ago after reading positive reviews about it. Before that I shaved with top Philips and Panasonic razors. I was very pleased with the purchase. It shaves softly, cleanly, the battery holds a charge for a long time, about 10 days, fairly quiet, irritation from shaving, despite very sensitive skin, is minimal and goes away quickly. My brother, looking at me, ran and bought himself exactly the same one, saying that he was delighted. The only problem is that there are few razors left in stock and I had to go to several stores to purchase one (I didn’t look at display copies for hygienic reasons). I recommend to buy.</v>
      </c>
    </row>
    <row r="6498" spans="1:9" x14ac:dyDescent="0.3">
      <c r="A6498" s="1" t="s">
        <v>61</v>
      </c>
      <c r="B6498" s="1" t="s">
        <v>318</v>
      </c>
      <c r="C6498" s="1" t="s">
        <v>69</v>
      </c>
      <c r="D6498" s="1" t="s">
        <v>589</v>
      </c>
      <c r="E6498" s="1" t="s">
        <v>1221</v>
      </c>
      <c r="F6498" s="1" t="s">
        <v>10281</v>
      </c>
      <c r="G6498" s="1" t="s">
        <v>36</v>
      </c>
      <c r="H6498" s="1" t="s">
        <v>29</v>
      </c>
      <c r="I6498" s="1" t="str">
        <f ca="1">IFERROR(__xludf.DUMMYFUNCTION("GOOGLETRANSLATE(F6498, ""auto"", ""en"")
"),"Half a year after buying the kettle, I decided to wash it with anti-scale, but forgot to take out the filter - the heating element turned black, I thought it wouldn’t work anymore, but it doesn’t work))) Another year passed, the cat threw the kettle off t"&amp;"he table, and as a result the lid and handle cracked. As a result, the kettle has been serving faithfully for four years now. Nothing is flowing.  The only drawback is that the lid is very narrow and not easy to wash.")</f>
        <v>Half a year after buying the kettle, I decided to wash it with anti-scale, but forgot to take out the filter - the heating element turned black, I thought it wouldn’t work anymore, but it doesn’t work))) Another year passed, the cat threw the kettle off the table, and as a result the lid and handle cracked. As a result, the kettle has been serving faithfully for four years now. Nothing is flowing.  The only drawback is that the lid is very narrow and not easy to wash.</v>
      </c>
    </row>
    <row r="6499" spans="1:9" x14ac:dyDescent="0.3">
      <c r="A6499" s="1" t="s">
        <v>43</v>
      </c>
      <c r="B6499" s="1" t="s">
        <v>1370</v>
      </c>
      <c r="C6499" s="1" t="s">
        <v>2137</v>
      </c>
      <c r="D6499" s="1" t="s">
        <v>2016</v>
      </c>
      <c r="E6499" s="1" t="s">
        <v>1881</v>
      </c>
      <c r="F6499" s="1" t="s">
        <v>10282</v>
      </c>
      <c r="G6499" s="1" t="s">
        <v>36</v>
      </c>
      <c r="H6499" s="1" t="s">
        <v>29</v>
      </c>
      <c r="I6499" s="1" t="str">
        <f ca="1">IFERROR(__xludf.DUMMYFUNCTION("GOOGLETRANSLATE(F6499, ""auto"", ""en"")
"),"I connected it via a 2.5 cable, it gets very hot, but nothing bad will happen to it in 15 minutes. The water is hot, the pressure is powerful. Ideal for when the water is turned off... I didn’t even think that a flow-through system could have time to heat"&amp;" cold water.")</f>
        <v>I connected it via a 2.5 cable, it gets very hot, but nothing bad will happen to it in 15 minutes. The water is hot, the pressure is powerful. Ideal for when the water is turned off... I didn’t even think that a flow-through system could have time to heat cold water.</v>
      </c>
    </row>
    <row r="6500" spans="1:9" x14ac:dyDescent="0.3">
      <c r="A6500" s="1" t="s">
        <v>238</v>
      </c>
      <c r="B6500" s="1" t="s">
        <v>276</v>
      </c>
      <c r="C6500" s="1" t="s">
        <v>19</v>
      </c>
      <c r="D6500" s="1" t="s">
        <v>10283</v>
      </c>
      <c r="E6500" s="1" t="s">
        <v>2120</v>
      </c>
      <c r="F6500" s="1" t="s">
        <v>10284</v>
      </c>
      <c r="G6500" s="1" t="s">
        <v>15</v>
      </c>
      <c r="H6500" s="1" t="s">
        <v>16</v>
      </c>
      <c r="I6500" s="1" t="str">
        <f ca="1">IFERROR(__xludf.DUMMYFUNCTION("GOOGLETRANSLATE(F6500, ""auto"", ""en"")
"),"From the very beginning, something was rattling in it, no matter how it was installed. And today it died - it stopped freezing and cooling, only the light and the green light were on. And from the very beginning, there was always something loudly pouring "&amp;"inside.")</f>
        <v>From the very beginning, something was rattling in it, no matter how it was installed. And today it died - it stopped freezing and cooling, only the light and the green light were on. And from the very beginning, there was always something loudly pouring inside.</v>
      </c>
    </row>
    <row r="6501" spans="1:9" x14ac:dyDescent="0.3">
      <c r="A6501" s="1" t="s">
        <v>30</v>
      </c>
      <c r="B6501" s="1" t="s">
        <v>31</v>
      </c>
      <c r="C6501" s="1" t="s">
        <v>32</v>
      </c>
      <c r="D6501" s="1" t="s">
        <v>690</v>
      </c>
      <c r="E6501" s="1" t="s">
        <v>449</v>
      </c>
      <c r="F6501" s="1" t="s">
        <v>10285</v>
      </c>
      <c r="G6501" s="1" t="s">
        <v>36</v>
      </c>
      <c r="H6501" s="1" t="s">
        <v>29</v>
      </c>
      <c r="I6501" s="1" t="str">
        <f ca="1">IFERROR(__xludf.DUMMYFUNCTION("GOOGLETRANSLATE(F6501, ""auto"", ""en"")
"),"The computer is good!  The processor flies, but does not work!  In general, everything is fine, except for a small rattling noise after turning on the computer")</f>
        <v>The computer is good!  The processor flies, but does not work!  In general, everything is fine, except for a small rattling noise after turning on the computer</v>
      </c>
    </row>
    <row r="6502" spans="1:9" x14ac:dyDescent="0.3">
      <c r="A6502" s="1" t="s">
        <v>61</v>
      </c>
      <c r="B6502" s="1" t="s">
        <v>318</v>
      </c>
      <c r="C6502" s="1" t="s">
        <v>246</v>
      </c>
      <c r="D6502" s="1" t="s">
        <v>52</v>
      </c>
      <c r="E6502" s="1" t="s">
        <v>375</v>
      </c>
      <c r="F6502" s="1" t="s">
        <v>10286</v>
      </c>
      <c r="G6502" s="1" t="s">
        <v>49</v>
      </c>
      <c r="H6502" s="1" t="s">
        <v>16</v>
      </c>
      <c r="I6502" s="1" t="str">
        <f ca="1">IFERROR(__xludf.DUMMYFUNCTION("GOOGLETRANSLATE(F6502, ""auto"", ""en"")
"),"The first kettle worked for 2 years, after which there was a crack in one of the water indicators, and then it completely burst. A month later I bought the same one for the dacha, after three months of use the lid did not open, eventually it opened, but t"&amp;"hen stopped closing. Conclusion Tefal doesn’t think about us, at least not about me, well, I won’t think about it anymore and I advise others not to think, but think about the good.")</f>
        <v>The first kettle worked for 2 years, after which there was a crack in one of the water indicators, and then it completely burst. A month later I bought the same one for the dacha, after three months of use the lid did not open, eventually it opened, but then stopped closing. Conclusion Tefal doesn’t think about us, at least not about me, well, I won’t think about it anymore and I advise others not to think, but think about the good.</v>
      </c>
    </row>
    <row r="6503" spans="1:9" x14ac:dyDescent="0.3">
      <c r="A6503" s="1" t="s">
        <v>369</v>
      </c>
      <c r="B6503" s="1" t="s">
        <v>2480</v>
      </c>
      <c r="C6503" s="1" t="s">
        <v>453</v>
      </c>
      <c r="D6503" s="1" t="s">
        <v>589</v>
      </c>
      <c r="E6503" s="1" t="s">
        <v>1426</v>
      </c>
      <c r="F6503" s="1" t="s">
        <v>10287</v>
      </c>
      <c r="G6503" s="1" t="s">
        <v>15</v>
      </c>
      <c r="H6503" s="1" t="s">
        <v>16</v>
      </c>
      <c r="I6503" s="1" t="str">
        <f ca="1">IFERROR(__xludf.DUMMYFUNCTION("GOOGLETRANSLATE(F6503, ""auto"", ""en"")
"),"About 2 months after use the large burner burned out. Thank God, the store did an exchange under warranty. I took the same one in exchange, because... 2 burners are needed. So in the new one, the big burner heats up so much that the pots burn! The warrant"&amp;"y for the new one started again. Thanks to the store.")</f>
        <v>About 2 months after use the large burner burned out. Thank God, the store did an exchange under warranty. I took the same one in exchange, because... 2 burners are needed. So in the new one, the big burner heats up so much that the pots burn! The warranty for the new one started again. Thanks to the store.</v>
      </c>
    </row>
    <row r="6504" spans="1:9" x14ac:dyDescent="0.3">
      <c r="A6504" s="1" t="s">
        <v>30</v>
      </c>
      <c r="B6504" s="1" t="s">
        <v>50</v>
      </c>
      <c r="C6504" s="1" t="s">
        <v>51</v>
      </c>
      <c r="D6504" s="1" t="s">
        <v>52</v>
      </c>
      <c r="E6504" s="1" t="s">
        <v>4187</v>
      </c>
      <c r="F6504" s="1" t="s">
        <v>10288</v>
      </c>
      <c r="G6504" s="1" t="s">
        <v>36</v>
      </c>
      <c r="H6504" s="1" t="s">
        <v>29</v>
      </c>
      <c r="I6504" s="1" t="str">
        <f ca="1">IFERROR(__xludf.DUMMYFUNCTION("GOOGLETRANSLATE(F6504, ""auto"", ""en"")
"),"The car is super!!! I bought it in March. During operation there were no jambs, but recently a problem surfaced... the processor began to overheat and the laptop began to turn off spontaneously (I think it was an assembly problem). I took it to Rmont - I'"&amp;"m looking forward to his return home!!  THE CAR IS A BEAST!!!!")</f>
        <v>The car is super!!! I bought it in March. During operation there were no jambs, but recently a problem surfaced... the processor began to overheat and the laptop began to turn off spontaneously (I think it was an assembly problem). I took it to Rmont - I'm looking forward to his return home!!  THE CAR IS A BEAST!!!!</v>
      </c>
    </row>
    <row r="6505" spans="1:9" x14ac:dyDescent="0.3">
      <c r="A6505" s="1" t="s">
        <v>1443</v>
      </c>
      <c r="B6505" s="1" t="s">
        <v>1444</v>
      </c>
      <c r="C6505" s="1" t="s">
        <v>4886</v>
      </c>
      <c r="D6505" s="1" t="s">
        <v>52</v>
      </c>
      <c r="E6505" s="1" t="s">
        <v>1275</v>
      </c>
      <c r="F6505" s="1" t="s">
        <v>10289</v>
      </c>
      <c r="G6505" s="1" t="s">
        <v>36</v>
      </c>
      <c r="H6505" s="1" t="s">
        <v>29</v>
      </c>
      <c r="I6505" s="1" t="str">
        <f ca="1">IFERROR(__xludf.DUMMYFUNCTION("GOOGLETRANSLATE(F6505, ""auto"", ""en"")
"),"I took this one, choosing it based on the exchange rate, but discovered other goodies after opening the box.  The retractable connector is initially covered with a cover. Opening it is reminiscent of jerking the bolt of a weapon. Cool! And practical - the"&amp;" contacts not only slide into the housing, but are also covered with a lid. That's not all, there is a section on the flash drive that is defined as a CD and there is software on it that can be replenished. The software includes a program for encrypting t"&amp;"he main partition, which will be mounted after entering the password. Oh how!")</f>
        <v>I took this one, choosing it based on the exchange rate, but discovered other goodies after opening the box.  The retractable connector is initially covered with a cover. Opening it is reminiscent of jerking the bolt of a weapon. Cool! And practical - the contacts not only slide into the housing, but are also covered with a lid. That's not all, there is a section on the flash drive that is defined as a CD and there is software on it that can be replenished. The software includes a program for encrypting the main partition, which will be mounted after entering the password. Oh how!</v>
      </c>
    </row>
    <row r="6506" spans="1:9" x14ac:dyDescent="0.3">
      <c r="A6506" s="1" t="s">
        <v>61</v>
      </c>
      <c r="B6506" s="1" t="s">
        <v>73</v>
      </c>
      <c r="C6506" s="1" t="s">
        <v>122</v>
      </c>
      <c r="D6506" s="1" t="s">
        <v>5484</v>
      </c>
      <c r="E6506" s="1" t="s">
        <v>2514</v>
      </c>
      <c r="F6506" s="1" t="s">
        <v>10290</v>
      </c>
      <c r="G6506" s="1" t="s">
        <v>36</v>
      </c>
      <c r="H6506" s="1" t="s">
        <v>29</v>
      </c>
      <c r="I6506" s="1" t="str">
        <f ca="1">IFERROR(__xludf.DUMMYFUNCTION("GOOGLETRANSLATE(F6506, ""auto"", ""en"")
"),"Good day everyone!  I spent a very long time analyzing the kitchen appliance market and choosing a meat grinder for myself. I read a lot of reviews and talked to many consultants. I spent a long time choosing between Panasonic and Mulinex.   M-video consu"&amp;"ltants convinced me to buy Panasonic.  When I got home, I processed 6 kilograms of meat and was very pleased.  The meat was stringy, the meat grinder did an excellent job. Power 1300 is quite enough.   Disadvantages: lack of design. It felt like a meat gr"&amp;"inder had been cut out of a log with an ax))), I cut myself on the parts, but it hurt.   Advantages: it does its job slowly but properly, the assembly mechanism is very simple, all breakable parts are metal. I'm happy.  Thanks to the consultants of M-vide"&amp;"o Kazan shopping center Mega for the good work.")</f>
        <v>Good day everyone!  I spent a very long time analyzing the kitchen appliance market and choosing a meat grinder for myself. I read a lot of reviews and talked to many consultants. I spent a long time choosing between Panasonic and Mulinex.   M-video consultants convinced me to buy Panasonic.  When I got home, I processed 6 kilograms of meat and was very pleased.  The meat was stringy, the meat grinder did an excellent job. Power 1300 is quite enough.   Disadvantages: lack of design. It felt like a meat grinder had been cut out of a log with an ax))), I cut myself on the parts, but it hurt.   Advantages: it does its job slowly but properly, the assembly mechanism is very simple, all breakable parts are metal. I'm happy.  Thanks to the consultants of M-video Kazan shopping center Mega for the good work.</v>
      </c>
    </row>
    <row r="6507" spans="1:9" x14ac:dyDescent="0.3">
      <c r="A6507" s="1" t="s">
        <v>37</v>
      </c>
      <c r="B6507" s="1" t="s">
        <v>536</v>
      </c>
      <c r="C6507" s="1" t="s">
        <v>537</v>
      </c>
      <c r="D6507" s="1" t="s">
        <v>171</v>
      </c>
      <c r="E6507" s="1" t="s">
        <v>5800</v>
      </c>
      <c r="F6507" s="1" t="s">
        <v>10291</v>
      </c>
      <c r="G6507" s="1" t="s">
        <v>49</v>
      </c>
      <c r="H6507" s="1" t="s">
        <v>16</v>
      </c>
      <c r="I6507" s="1" t="str">
        <f ca="1">IFERROR(__xludf.DUMMYFUNCTION("GOOGLETRANSLATE(F6507, ""auto"", ""en"")
"),"The device is terrible. The back cover of the bastro is scratched, the battery barely lasts until lunch, the processor is weak - a couple of programs - the third one is already slowing down, when charging - it gets very hot. The only advantages are Window"&amp;"s Mobile 6.5 and HTC Sense")</f>
        <v>The device is terrible. The back cover of the bastro is scratched, the battery barely lasts until lunch, the processor is weak - a couple of programs - the third one is already slowing down, when charging - it gets very hot. The only advantages are Windows Mobile 6.5 and HTC Sense</v>
      </c>
    </row>
    <row r="6508" spans="1:9" x14ac:dyDescent="0.3">
      <c r="A6508" s="1" t="s">
        <v>105</v>
      </c>
      <c r="B6508" s="1" t="s">
        <v>106</v>
      </c>
      <c r="C6508" s="1" t="s">
        <v>1921</v>
      </c>
      <c r="D6508" s="1" t="s">
        <v>749</v>
      </c>
      <c r="E6508" s="1" t="s">
        <v>1450</v>
      </c>
      <c r="F6508" s="1" t="s">
        <v>10292</v>
      </c>
      <c r="G6508" s="1" t="s">
        <v>28</v>
      </c>
      <c r="H6508" s="1" t="s">
        <v>29</v>
      </c>
      <c r="I6508" s="1" t="str">
        <f ca="1">IFERROR(__xludf.DUMMYFUNCTION("GOOGLETRANSLATE(F6508, ""auto"", ""en"")
"),"I bought it a week ago. The player is good. I charged it once and the battery still hasn’t died, although I listen to it for hours, it makes me happy... The big minus is the stupid switching on. First you have to turn on the ON button, then hold down PLAY"&amp;"\PAUSE and only then it turns on... It’s very stupidly done, the developers were terribly stupid ((((")</f>
        <v>I bought it a week ago. The player is good. I charged it once and the battery still hasn’t died, although I listen to it for hours, it makes me happy... The big minus is the stupid switching on. First you have to turn on the ON button, then hold down PLAY\PAUSE and only then it turns on... It’s very stupidly done, the developers were terribly stupid ((((</v>
      </c>
    </row>
    <row r="6509" spans="1:9" x14ac:dyDescent="0.3">
      <c r="A6509" s="1" t="s">
        <v>95</v>
      </c>
      <c r="B6509" s="1" t="s">
        <v>227</v>
      </c>
      <c r="C6509" s="1" t="s">
        <v>97</v>
      </c>
      <c r="D6509" s="1" t="s">
        <v>327</v>
      </c>
      <c r="E6509" s="1" t="s">
        <v>1201</v>
      </c>
      <c r="F6509" s="1" t="s">
        <v>10293</v>
      </c>
      <c r="G6509" s="1" t="s">
        <v>36</v>
      </c>
      <c r="H6509" s="1" t="s">
        <v>29</v>
      </c>
      <c r="I6509" s="1" t="str">
        <f ca="1">IFERROR(__xludf.DUMMYFUNCTION("GOOGLETRANSLATE(F6509, ""auto"", ""en"")
"),"I bought it yesterday, I was waiting for it with move, it’s great to shoot gangsters and play tennis....")</f>
        <v>I bought it yesterday, I was waiting for it with move, it’s great to shoot gangsters and play tennis....</v>
      </c>
    </row>
    <row r="6510" spans="1:9" x14ac:dyDescent="0.3">
      <c r="A6510" s="1" t="s">
        <v>61</v>
      </c>
      <c r="B6510" s="1" t="s">
        <v>180</v>
      </c>
      <c r="C6510" s="1" t="s">
        <v>74</v>
      </c>
      <c r="D6510" s="1" t="s">
        <v>335</v>
      </c>
      <c r="E6510" s="1" t="s">
        <v>9633</v>
      </c>
      <c r="F6510" s="1" t="s">
        <v>10294</v>
      </c>
      <c r="G6510" s="1" t="s">
        <v>15</v>
      </c>
      <c r="H6510" s="1" t="s">
        <v>16</v>
      </c>
      <c r="I6510" s="1" t="str">
        <f ca="1">IFERROR(__xludf.DUMMYFUNCTION("GOOGLETRANSLATE(F6510, ""auto"", ""en"")
"),"I gave it as a gift 2 years ago, at that time I still didn’t understand what exactly I wanted: a toaster (with vertical loading) or a sandwich toaster.   Pros: nice color. That's probably all) On the downsides: the first thing that raised doubts about the"&amp;" quality is the strong smell of plastic, it did not disappear even after cooking, the second thing is that it takes up a lot of space, you can’t call it compact, the third thing is that it’s extremely inconvenient to cook toast in it, if you take into acc"&amp;"ount standard bricks of bread, you have to worry about cutting the pieces so that they fit into the cells, plus they burn. Left for the dacha as completely unnecessary")</f>
        <v>I gave it as a gift 2 years ago, at that time I still didn’t understand what exactly I wanted: a toaster (with vertical loading) or a sandwich toaster.   Pros: nice color. That's probably all) On the downsides: the first thing that raised doubts about the quality is the strong smell of plastic, it did not disappear even after cooking, the second thing is that it takes up a lot of space, you can’t call it compact, the third thing is that it’s extremely inconvenient to cook toast in it, if you take into account standard bricks of bread, you have to worry about cutting the pieces so that they fit into the cells, plus they burn. Left for the dacha as completely unnecessary</v>
      </c>
    </row>
    <row r="6511" spans="1:9" x14ac:dyDescent="0.3">
      <c r="A6511" s="1" t="s">
        <v>105</v>
      </c>
      <c r="B6511" s="1" t="s">
        <v>106</v>
      </c>
      <c r="C6511" s="1" t="s">
        <v>1921</v>
      </c>
      <c r="D6511" s="1" t="s">
        <v>102</v>
      </c>
      <c r="E6511" s="1" t="s">
        <v>4984</v>
      </c>
      <c r="F6511" s="1" t="s">
        <v>10295</v>
      </c>
      <c r="G6511" s="1" t="s">
        <v>15</v>
      </c>
      <c r="H6511" s="1" t="s">
        <v>16</v>
      </c>
      <c r="I6511" s="1" t="str">
        <f ca="1">IFERROR(__xludf.DUMMYFUNCTION("GOOGLETRANSLATE(F6511, ""auto"", ""en"")
"),"I bought it, recorded the songs, listened to it a little and it broke down without even working for a day: it stopped turning on and the computer couldn’t find it. If not for this, then it would be a completely normal player, I will change it.")</f>
        <v>I bought it, recorded the songs, listened to it a little and it broke down without even working for a day: it stopped turning on and the computer couldn’t find it. If not for this, then it would be a completely normal player, I will change it.</v>
      </c>
    </row>
    <row r="6512" spans="1:9" x14ac:dyDescent="0.3">
      <c r="A6512" s="1" t="s">
        <v>17</v>
      </c>
      <c r="B6512" s="1" t="s">
        <v>18</v>
      </c>
      <c r="C6512" s="1" t="s">
        <v>290</v>
      </c>
      <c r="D6512" s="1" t="s">
        <v>52</v>
      </c>
      <c r="E6512" s="1" t="s">
        <v>2280</v>
      </c>
      <c r="F6512" s="1" t="s">
        <v>10296</v>
      </c>
      <c r="G6512" s="1" t="s">
        <v>28</v>
      </c>
      <c r="H6512" s="1" t="s">
        <v>29</v>
      </c>
      <c r="I6512" s="1" t="str">
        <f ca="1">IFERROR(__xludf.DUMMYFUNCTION("GOOGLETRANSLATE(F6512, ""auto"", ""en"")
"),"We've been using it for about a week. bought for 11tr.         Pros: 1.Assembled in Slovenia, 1200 rpm - for 11t.r.!!!  2.The quality of plastic is 5 points.  3.Large hatch (33cm) - convenient! Opens with a light touch of the little finger!!!  4. Well-bal"&amp;"anced - does not shake, does not jump (adjusted one leg, stands on the tile)).  5. Clear, simple, intuitive controls.     Cons: 1. Noisy (compared with the previous VEKO from the same price category). Moreover, the most unpleasant noise comes not from the"&amp;" spin cycle, not from the relay, not from the pump, but from something else. But if the machine is parked behind a closed door, then this does not matter.  2. It takes 15 minutes to spin one hand-washed garment. The imbalance control takes a long time to "&amp;"balance.  3. The display does not count the time accurately. The actual washing time is 10-15 minutes longer. Manufacturers explain this by saying that the electronics take into account the temperature of the water being poured, etc.     As for reliabilit"&amp;"y, time will tell.  Conclusion - for the money this is a good device.")</f>
        <v>We've been using it for about a week. bought for 11tr.         Pros: 1.Assembled in Slovenia, 1200 rpm - for 11t.r.!!!  2.The quality of plastic is 5 points.  3.Large hatch (33cm) - convenient! Opens with a light touch of the little finger!!!  4. Well-balanced - does not shake, does not jump (adjusted one leg, stands on the tile)).  5. Clear, simple, intuitive controls.     Cons: 1. Noisy (compared with the previous VEKO from the same price category). Moreover, the most unpleasant noise comes not from the spin cycle, not from the relay, not from the pump, but from something else. But if the machine is parked behind a closed door, then this does not matter.  2. It takes 15 minutes to spin one hand-washed garment. The imbalance control takes a long time to balance.  3. The display does not count the time accurately. The actual washing time is 10-15 minutes longer. Manufacturers explain this by saying that the electronics take into account the temperature of the water being poured, etc.     As for reliability, time will tell.  Conclusion - for the money this is a good device.</v>
      </c>
    </row>
    <row r="6513" spans="1:9" x14ac:dyDescent="0.3">
      <c r="A6513" s="1" t="s">
        <v>61</v>
      </c>
      <c r="B6513" s="1" t="s">
        <v>5714</v>
      </c>
      <c r="C6513" s="1" t="s">
        <v>146</v>
      </c>
      <c r="D6513" s="1" t="s">
        <v>247</v>
      </c>
      <c r="E6513" s="1" t="s">
        <v>985</v>
      </c>
      <c r="F6513" s="1" t="s">
        <v>10297</v>
      </c>
      <c r="G6513" s="1" t="s">
        <v>36</v>
      </c>
      <c r="H6513" s="1" t="s">
        <v>29</v>
      </c>
      <c r="I6513" s="1" t="str">
        <f ca="1">IFERROR(__xludf.DUMMYFUNCTION("GOOGLETRANSLATE(F6513, ""auto"", ""en"")
"),"A very good juicer, I bought it for the KENWOOD KM080 Kitchen Machine. It is easy to install and clean. I made juice from apples, carrots, and also oranges (with pulp). I recommend it to everyone who has kitchen machines like Chef and Major.")</f>
        <v>A very good juicer, I bought it for the KENWOOD KM080 Kitchen Machine. It is easy to install and clean. I made juice from apples, carrots, and also oranges (with pulp). I recommend it to everyone who has kitchen machines like Chef and Major.</v>
      </c>
    </row>
    <row r="6514" spans="1:9" x14ac:dyDescent="0.3">
      <c r="A6514" s="1" t="s">
        <v>17</v>
      </c>
      <c r="B6514" s="1" t="s">
        <v>18</v>
      </c>
      <c r="C6514" s="1" t="s">
        <v>80</v>
      </c>
      <c r="D6514" s="1" t="s">
        <v>152</v>
      </c>
      <c r="E6514" s="1" t="s">
        <v>1136</v>
      </c>
      <c r="F6514" s="1" t="s">
        <v>10298</v>
      </c>
      <c r="G6514" s="1" t="s">
        <v>36</v>
      </c>
      <c r="H6514" s="1" t="s">
        <v>29</v>
      </c>
      <c r="I6514" s="1" t="str">
        <f ca="1">IFERROR(__xludf.DUMMYFUNCTION("GOOGLETRANSLATE(F6514, ""auto"", ""en"")
"),"Has been working for more than 8 years. The price is one of the lowest.")</f>
        <v>Has been working for more than 8 years. The price is one of the lowest.</v>
      </c>
    </row>
    <row r="6515" spans="1:9" x14ac:dyDescent="0.3">
      <c r="A6515" s="1" t="s">
        <v>61</v>
      </c>
      <c r="B6515" s="1" t="s">
        <v>726</v>
      </c>
      <c r="C6515" s="1" t="s">
        <v>74</v>
      </c>
      <c r="D6515" s="1" t="s">
        <v>10299</v>
      </c>
      <c r="E6515" s="1" t="s">
        <v>397</v>
      </c>
      <c r="F6515" s="1" t="s">
        <v>10300</v>
      </c>
      <c r="G6515" s="1" t="s">
        <v>28</v>
      </c>
      <c r="H6515" s="1" t="s">
        <v>29</v>
      </c>
      <c r="I6515" s="1" t="str">
        <f ca="1">IFERROR(__xludf.DUMMYFUNCTION("GOOGLETRANSLATE(F6515, ""auto"", ""en"")
"),"I turned it on for the first time, as written in the instructions, used program No. 1, weight 1000g, did not seal anything, did not cover it. After 3 hours and 18 minutes, as mentioned earlier, the crust was indeed white. I did this: After the signal for "&amp;"the end of the program, I pressed the ""power"" button, the power light went out, using the ""menu"" button I selected program No. 12 using the ""+"" or ""-"" buttons and set it to 20 minutes, pressed ""power"", the process lasted another 20 minutes, but "&amp;"the result was EXCELLENT!!!!!!!! Try it!")</f>
        <v>I turned it on for the first time, as written in the instructions, used program No. 1, weight 1000g, did not seal anything, did not cover it. After 3 hours and 18 minutes, as mentioned earlier, the crust was indeed white. I did this: After the signal for the end of the program, I pressed the "power" button, the power light went out, using the "menu" button I selected program No. 12 using the "+" or "-" buttons and set it to 20 minutes, pressed "power", the process lasted another 20 minutes, but the result was EXCELLENT!!!!!!!! Try it!</v>
      </c>
    </row>
    <row r="6516" spans="1:9" x14ac:dyDescent="0.3">
      <c r="A6516" s="1" t="s">
        <v>149</v>
      </c>
      <c r="B6516" s="1" t="s">
        <v>150</v>
      </c>
      <c r="C6516" s="1" t="s">
        <v>2016</v>
      </c>
      <c r="D6516" s="1" t="s">
        <v>10301</v>
      </c>
      <c r="E6516" s="1" t="s">
        <v>10302</v>
      </c>
      <c r="F6516" s="1" t="s">
        <v>10303</v>
      </c>
      <c r="G6516" s="1" t="s">
        <v>28</v>
      </c>
      <c r="H6516" s="1" t="s">
        <v>29</v>
      </c>
      <c r="I6516" s="1" t="str">
        <f ca="1">IFERROR(__xludf.DUMMYFUNCTION("GOOGLETRANSLATE(F6516, ""auto"", ""en"")
"),"I bought it the other day after my Chinese vacuum cleaner from Auchan burned out. I decided to immediately take a more serious model so that it would be enough for a sure bet. Nowhere in the instructions did I find any mention of limiting the time of cont"&amp;"inuous operation, which indirectly confirms the reliability of the model. I give it a 4 only because it could have had more power, at least a little bit, given its size. In this parameter, it is no different from most conventional car vacuum cleaners. But"&amp;" otherwise great. Long power cord. Convenient dust collector. The design with a hose also adds freedom; you can vacuum hard-to-reach places.")</f>
        <v>I bought it the other day after my Chinese vacuum cleaner from Auchan burned out. I decided to immediately take a more serious model so that it would be enough for a sure bet. Nowhere in the instructions did I find any mention of limiting the time of continuous operation, which indirectly confirms the reliability of the model. I give it a 4 only because it could have had more power, at least a little bit, given its size. In this parameter, it is no different from most conventional car vacuum cleaners. But otherwise great. Long power cord. Convenient dust collector. The design with a hose also adds freedom; you can vacuum hard-to-reach places.</v>
      </c>
    </row>
    <row r="6517" spans="1:9" x14ac:dyDescent="0.3">
      <c r="A6517" s="1" t="s">
        <v>61</v>
      </c>
      <c r="B6517" s="1" t="s">
        <v>73</v>
      </c>
      <c r="C6517" s="1" t="s">
        <v>146</v>
      </c>
      <c r="D6517" s="1" t="s">
        <v>589</v>
      </c>
      <c r="E6517" s="1" t="s">
        <v>3038</v>
      </c>
      <c r="F6517" s="1" t="s">
        <v>10304</v>
      </c>
      <c r="G6517" s="1" t="s">
        <v>28</v>
      </c>
      <c r="H6517" s="1" t="s">
        <v>29</v>
      </c>
      <c r="I6517" s="1" t="str">
        <f ca="1">IFERROR(__xludf.DUMMYFUNCTION("GOOGLETRANSLATE(F6517, ""auto"", ""en"")
"),"I bought it 2 years ago for my mother. It rotates the meat well, the downside is that it is very noisy. Overall, not a bad meat grinder!")</f>
        <v>I bought it 2 years ago for my mother. It rotates the meat well, the downside is that it is very noisy. Overall, not a bad meat grinder!</v>
      </c>
    </row>
    <row r="6518" spans="1:9" x14ac:dyDescent="0.3">
      <c r="A6518" s="1" t="s">
        <v>17</v>
      </c>
      <c r="B6518" s="1" t="s">
        <v>18</v>
      </c>
      <c r="C6518" s="1" t="s">
        <v>243</v>
      </c>
      <c r="D6518" s="1" t="s">
        <v>8250</v>
      </c>
      <c r="E6518" s="1" t="s">
        <v>10305</v>
      </c>
      <c r="F6518" s="1" t="s">
        <v>10306</v>
      </c>
      <c r="G6518" s="1" t="s">
        <v>36</v>
      </c>
      <c r="H6518" s="1" t="s">
        <v>29</v>
      </c>
      <c r="I6518" s="1" t="str">
        <f ca="1">IFERROR(__xludf.DUMMYFUNCTION("GOOGLETRANSLATE(F6518, ""auto"", ""en"")
"),"It has been plowing for 6 years without any complaints. convenient information board and washing modes.   Yes, it’s light, it was jumping around the bathroom at the beginning)) we laid a piece of thick rubber under it, it stopped jumping and the noise bec"&amp;"ame less.")</f>
        <v>It has been plowing for 6 years without any complaints. convenient information board and washing modes.   Yes, it’s light, it was jumping around the bathroom at the beginning)) we laid a piece of thick rubber under it, it stopped jumping and the noise became less.</v>
      </c>
    </row>
    <row r="6519" spans="1:9" x14ac:dyDescent="0.3">
      <c r="A6519" s="1" t="s">
        <v>282</v>
      </c>
      <c r="B6519" s="1" t="s">
        <v>283</v>
      </c>
      <c r="C6519" s="1" t="s">
        <v>284</v>
      </c>
      <c r="D6519" s="1" t="s">
        <v>1036</v>
      </c>
      <c r="E6519" s="1" t="s">
        <v>4174</v>
      </c>
      <c r="F6519" s="1" t="s">
        <v>10307</v>
      </c>
      <c r="G6519" s="1" t="s">
        <v>28</v>
      </c>
      <c r="H6519" s="1" t="s">
        <v>29</v>
      </c>
      <c r="I6519" s="1" t="str">
        <f ca="1">IFERROR(__xludf.DUMMYFUNCTION("GOOGLETRANSLATE(F6519, ""auto"", ""en"")
"),"I watched the DVD on a home theater, but the picture wasn't very good. I think if I had the opportunity to watch it in Blue-Ray, the impression would be even stronger. There were no problems with the sound, a couple of times there were pauses of 0.5 secon"&amp;"ds between scenes (perhaps the player glitched). I opened it on my computer and paused the picture for interest. It turned out that there were very few clear frames. The store showed the film in Blue-Ray, that's where the quality is! If you have a FullHD "&amp;"TV and a receiver with Blue-Ray support, I think you should spend 990 rubles")</f>
        <v>I watched the DVD on a home theater, but the picture wasn't very good. I think if I had the opportunity to watch it in Blue-Ray, the impression would be even stronger. There were no problems with the sound, a couple of times there were pauses of 0.5 seconds between scenes (perhaps the player glitched). I opened it on my computer and paused the picture for interest. It turned out that there were very few clear frames. The store showed the film in Blue-Ray, that's where the quality is! If you have a FullHD TV and a receiver with Blue-Ray support, I think you should spend 990 rubles</v>
      </c>
    </row>
    <row r="6520" spans="1:9" x14ac:dyDescent="0.3">
      <c r="A6520" s="1" t="s">
        <v>61</v>
      </c>
      <c r="B6520" s="1" t="s">
        <v>318</v>
      </c>
      <c r="C6520" s="1" t="s">
        <v>246</v>
      </c>
      <c r="D6520" s="1" t="s">
        <v>10308</v>
      </c>
      <c r="E6520" s="1" t="s">
        <v>6435</v>
      </c>
      <c r="F6520" s="1" t="s">
        <v>10309</v>
      </c>
      <c r="G6520" s="1" t="s">
        <v>36</v>
      </c>
      <c r="H6520" s="1" t="s">
        <v>29</v>
      </c>
      <c r="I6520" s="1" t="str">
        <f ca="1">IFERROR(__xludf.DUMMYFUNCTION("GOOGLETRANSLATE(F6520, ""auto"", ""en"")
"),"I bought a kettle recently, I’ve long wanted to buy something small for the dacha so that I can drink a cup of tea a couple of times a day quickly and without hassle, it fully met my expectations, it’s quiet, it comes with cups and spoons, the wire winds "&amp;"up conveniently, it’s a dream, not a kettle, I recommend it to everyone!!!")</f>
        <v>I bought a kettle recently, I’ve long wanted to buy something small for the dacha so that I can drink a cup of tea a couple of times a day quickly and without hassle, it fully met my expectations, it’s quiet, it comes with cups and spoons, the wire winds up conveniently, it’s a dream, not a kettle, I recommend it to everyone!!!</v>
      </c>
    </row>
    <row r="6521" spans="1:9" x14ac:dyDescent="0.3">
      <c r="A6521" s="1" t="s">
        <v>211</v>
      </c>
      <c r="B6521" s="1" t="s">
        <v>212</v>
      </c>
      <c r="C6521" s="1" t="s">
        <v>294</v>
      </c>
      <c r="D6521" s="1" t="s">
        <v>10310</v>
      </c>
      <c r="E6521" s="1" t="s">
        <v>4896</v>
      </c>
      <c r="F6521" s="1" t="s">
        <v>10311</v>
      </c>
      <c r="G6521" s="1" t="s">
        <v>28</v>
      </c>
      <c r="H6521" s="1" t="s">
        <v>29</v>
      </c>
      <c r="I6521" s="1" t="str">
        <f ca="1">IFERROR(__xludf.DUMMYFUNCTION("GOOGLETRANSLATE(F6521, ""auto"", ""en"")
"),"I bought these curling irons after reading positive reviews, but I didn’t like the first impression. The curls didn’t work out, and even if they curled, they quickly unraveled (I have very heavy, thick hair). I started experimenting with styling and found"&amp;" an excellent option for myself, in which I am satisfied with the resulting curl and how long it lasts. This is a good curling iron, especially if the hair is not so thick and heavy.")</f>
        <v>I bought these curling irons after reading positive reviews, but I didn’t like the first impression. The curls didn’t work out, and even if they curled, they quickly unraveled (I have very heavy, thick hair). I started experimenting with styling and found an excellent option for myself, in which I am satisfied with the resulting curl and how long it lasts. This is a good curling iron, especially if the hair is not so thick and heavy.</v>
      </c>
    </row>
    <row r="6522" spans="1:9" x14ac:dyDescent="0.3">
      <c r="A6522" s="1" t="s">
        <v>120</v>
      </c>
      <c r="B6522" s="1" t="s">
        <v>196</v>
      </c>
      <c r="C6522" s="1" t="s">
        <v>151</v>
      </c>
      <c r="D6522" s="1" t="s">
        <v>81</v>
      </c>
      <c r="E6522" s="1" t="s">
        <v>400</v>
      </c>
      <c r="F6522" s="1" t="s">
        <v>10312</v>
      </c>
      <c r="G6522" s="1" t="s">
        <v>36</v>
      </c>
      <c r="H6522" s="1" t="s">
        <v>29</v>
      </c>
      <c r="I6522" s="1" t="str">
        <f ca="1">IFERROR(__xludf.DUMMYFUNCTION("GOOGLETRANSLATE(F6522, ""auto"", ""en"")
"),"The firmware is on the official website, however, as always.  http://org.downloadcenter.samsung.com/downloadfile/ContentsFile.aspx?CDSite=RU&amp;CttFileID=2244280&amp;CDCttType=FM&amp;ModelType=N&amp;ModelName=LE40B530P7W&amp;VPath=FM/201009/20100909162319593/T-CRLPEUFC.exe "&amp;"It's easier than flashing - just don't flash.    You need to insert the media with the file T-CRLPEUFC.exe into the USB port on the TV, select the last menu item with service operations and select to update the software (or something very similar to that)"&amp;". Intuitively, everything is clear.    If you are satisfied with everything, DO NOT FLASH.")</f>
        <v>The firmware is on the official website, however, as always.  http://org.downloadcenter.samsung.com/downloadfile/ContentsFile.aspx?CDSite=RU&amp;CttFileID=2244280&amp;CDCttType=FM&amp;ModelType=N&amp;ModelName=LE40B530P7W&amp;VPath=FM/201009/20100909162319593/T-CRLPEUFC.exe It's easier than flashing - just don't flash.    You need to insert the media with the file T-CRLPEUFC.exe into the USB port on the TV, select the last menu item with service operations and select to update the software (or something very similar to that). Intuitively, everything is clear.    If you are satisfied with everything, DO NOT FLASH.</v>
      </c>
    </row>
    <row r="6523" spans="1:9" x14ac:dyDescent="0.3">
      <c r="A6523" s="1" t="s">
        <v>149</v>
      </c>
      <c r="B6523" s="1" t="s">
        <v>155</v>
      </c>
      <c r="C6523" s="1" t="s">
        <v>63</v>
      </c>
      <c r="D6523" s="1" t="s">
        <v>114</v>
      </c>
      <c r="E6523" s="1" t="s">
        <v>10313</v>
      </c>
      <c r="F6523" s="1" t="s">
        <v>10314</v>
      </c>
      <c r="G6523" s="1" t="s">
        <v>49</v>
      </c>
      <c r="H6523" s="1" t="s">
        <v>16</v>
      </c>
      <c r="I6523" s="1" t="str">
        <f ca="1">IFERROR(__xludf.DUMMYFUNCTION("GOOGLETRANSLATE(F6523, ""auto"", ""en"")
"),"Weak power, does not cope with its responsibility. Don't buy it, disappointed.")</f>
        <v>Weak power, does not cope with its responsibility. Don't buy it, disappointed.</v>
      </c>
    </row>
    <row r="6524" spans="1:9" x14ac:dyDescent="0.3">
      <c r="A6524" s="1" t="s">
        <v>811</v>
      </c>
      <c r="B6524" s="1" t="s">
        <v>1712</v>
      </c>
      <c r="C6524" s="1" t="s">
        <v>1645</v>
      </c>
      <c r="D6524" s="1" t="s">
        <v>10315</v>
      </c>
      <c r="E6524" s="1" t="s">
        <v>2733</v>
      </c>
      <c r="F6524" s="1" t="s">
        <v>10316</v>
      </c>
      <c r="G6524" s="1" t="s">
        <v>36</v>
      </c>
      <c r="H6524" s="1" t="s">
        <v>29</v>
      </c>
      <c r="I6524" s="1" t="str">
        <f ca="1">IFERROR(__xludf.DUMMYFUNCTION("GOOGLETRANSLATE(F6524, ""auto"", ""en"")
"),"Gifted for my birthday. I decided to reflash it, I did everything according to the instructions on the Kodak website. But after the reboot the frame hangs on the splash screen.")</f>
        <v>Gifted for my birthday. I decided to reflash it, I did everything according to the instructions on the Kodak website. But after the reboot the frame hangs on the splash screen.</v>
      </c>
    </row>
    <row r="6525" spans="1:9" x14ac:dyDescent="0.3">
      <c r="A6525" s="1" t="s">
        <v>67</v>
      </c>
      <c r="B6525" s="1" t="s">
        <v>68</v>
      </c>
      <c r="C6525" s="1" t="s">
        <v>381</v>
      </c>
      <c r="D6525" s="1" t="s">
        <v>166</v>
      </c>
      <c r="E6525" s="1" t="s">
        <v>864</v>
      </c>
      <c r="F6525" s="1" t="s">
        <v>10317</v>
      </c>
      <c r="G6525" s="1" t="s">
        <v>36</v>
      </c>
      <c r="H6525" s="1" t="s">
        <v>29</v>
      </c>
      <c r="I6525" s="1" t="str">
        <f ca="1">IFERROR(__xludf.DUMMYFUNCTION("GOOGLETRANSLATE(F6525, ""auto"", ""en"")
"),"Excellent iron!!! Girls, if you choose, take it and you won’t regret it)) I use it every day, no complaints... just perfect... My husband’s jacket gets wrinkled in the car, so to iron it out, just two presses on the steam supply and everything is smooth))"&amp;"))) from silk blouses to jeans, just change the temperature... and no more effort... The sole of the iron is amazing - nothing ever fails sticks!!! Mom’s birthday is in September - I already know what to give)))))))")</f>
        <v>Excellent iron!!! Girls, if you choose, take it and you won’t regret it)) I use it every day, no complaints... just perfect... My husband’s jacket gets wrinkled in the car, so to iron it out, just two presses on the steam supply and everything is smooth))))) from silk blouses to jeans, just change the temperature... and no more effort... The sole of the iron is amazing - nothing ever fails sticks!!! Mom’s birthday is in September - I already know what to give)))))))</v>
      </c>
    </row>
    <row r="6526" spans="1:9" x14ac:dyDescent="0.3">
      <c r="A6526" s="1" t="s">
        <v>30</v>
      </c>
      <c r="B6526" s="1" t="s">
        <v>50</v>
      </c>
      <c r="C6526" s="1" t="s">
        <v>1003</v>
      </c>
      <c r="D6526" s="1" t="s">
        <v>10318</v>
      </c>
      <c r="E6526" s="1" t="s">
        <v>3169</v>
      </c>
      <c r="F6526" s="1" t="s">
        <v>10319</v>
      </c>
      <c r="G6526" s="1" t="s">
        <v>28</v>
      </c>
      <c r="H6526" s="1" t="s">
        <v>29</v>
      </c>
      <c r="I6526" s="1" t="str">
        <f ca="1">IFERROR(__xludf.DUMMYFUNCTION("GOOGLETRANSLATE(F6526, ""auto"", ""en"")
"),"Someone please tell me how long the work lasts in offline mode... please, this is very important to me.")</f>
        <v>Someone please tell me how long the work lasts in offline mode... please, this is very important to me.</v>
      </c>
    </row>
    <row r="6527" spans="1:9" x14ac:dyDescent="0.3">
      <c r="A6527" s="1" t="s">
        <v>149</v>
      </c>
      <c r="B6527" s="1" t="s">
        <v>150</v>
      </c>
      <c r="C6527" s="1" t="s">
        <v>57</v>
      </c>
      <c r="D6527" s="1" t="s">
        <v>228</v>
      </c>
      <c r="E6527" s="1" t="s">
        <v>2531</v>
      </c>
      <c r="F6527" s="1" t="s">
        <v>10320</v>
      </c>
      <c r="G6527" s="1" t="s">
        <v>15</v>
      </c>
      <c r="H6527" s="1" t="s">
        <v>16</v>
      </c>
      <c r="I6527" s="1" t="str">
        <f ca="1">IFERROR(__xludf.DUMMYFUNCTION("GOOGLETRANSLATE(F6527, ""auto"", ""en"")
"),"I bought it a year ago and showed my best side for quite a long time. And now it lies gathering dust in the corner. zero power. I choose another one more carefully so as not to get stuck in the same way.")</f>
        <v>I bought it a year ago and showed my best side for quite a long time. And now it lies gathering dust in the corner. zero power. I choose another one more carefully so as not to get stuck in the same way.</v>
      </c>
    </row>
    <row r="6528" spans="1:9" x14ac:dyDescent="0.3">
      <c r="A6528" s="1" t="s">
        <v>120</v>
      </c>
      <c r="B6528" s="1" t="s">
        <v>121</v>
      </c>
      <c r="C6528" s="1" t="s">
        <v>151</v>
      </c>
      <c r="D6528" s="1" t="s">
        <v>5431</v>
      </c>
      <c r="E6528" s="1" t="s">
        <v>397</v>
      </c>
      <c r="F6528" s="1" t="s">
        <v>10321</v>
      </c>
      <c r="G6528" s="1" t="s">
        <v>36</v>
      </c>
      <c r="H6528" s="1" t="s">
        <v>29</v>
      </c>
      <c r="I6528" s="1" t="str">
        <f ca="1">IFERROR(__xludf.DUMMYFUNCTION("GOOGLETRANSLATE(F6528, ""auto"", ""en"")
"),"Good TV. I bought it quite recently - I don’t regret it. I connected everything I could to it: a computer via HDMI, a cinema via component, via Scart VCR, everything works great. While our television lags behind world standards, this TV is the most suitab"&amp;"le option. (I won’t say about the diagonal, I took this one according to the size of the room)")</f>
        <v>Good TV. I bought it quite recently - I don’t regret it. I connected everything I could to it: a computer via HDMI, a cinema via component, via Scart VCR, everything works great. While our television lags behind world standards, this TV is the most suitable option. (I won’t say about the diagonal, I took this one according to the size of the room)</v>
      </c>
    </row>
    <row r="6529" spans="1:9" x14ac:dyDescent="0.3">
      <c r="A6529" s="1" t="s">
        <v>206</v>
      </c>
      <c r="B6529" s="1" t="s">
        <v>1349</v>
      </c>
      <c r="C6529" s="1" t="s">
        <v>4219</v>
      </c>
      <c r="D6529" s="1" t="s">
        <v>81</v>
      </c>
      <c r="E6529" s="1" t="s">
        <v>3542</v>
      </c>
      <c r="F6529" s="1" t="s">
        <v>10322</v>
      </c>
      <c r="G6529" s="1" t="s">
        <v>28</v>
      </c>
      <c r="H6529" s="1" t="s">
        <v>29</v>
      </c>
      <c r="I6529" s="1" t="str">
        <f ca="1">IFERROR(__xludf.DUMMYFUNCTION("GOOGLETRANSLATE(F6529, ""auto"", ""en"")
"),"The radio has been in active use for two weeks.  The drive reads all the discs that were in the car without any complaints, even those cdr cdrw are scratched. The radio picks up quite reliably even outside the city. The TV only needs to be standing and cl"&amp;"oser to the TV tower. A 2 gig SD card can be read without problems. A 1 gig flash drive too. The sound is normal, at least I like it.  Of the minuses. If you look closely, you can see a shake on the screen when the menu is displayed. When starting the eng"&amp;"ine, the device takes a long time to reboot for 1-2 minutes. During installation, difficulties arose due to the non-standard size of the socket. The menu for switching between radio TV and DVD is inconvenient.  Overall I'm happy with the device.")</f>
        <v>The radio has been in active use for two weeks.  The drive reads all the discs that were in the car without any complaints, even those cdr cdrw are scratched. The radio picks up quite reliably even outside the city. The TV only needs to be standing and closer to the TV tower. A 2 gig SD card can be read without problems. A 1 gig flash drive too. The sound is normal, at least I like it.  Of the minuses. If you look closely, you can see a shake on the screen when the menu is displayed. When starting the engine, the device takes a long time to reboot for 1-2 minutes. During installation, difficulties arose due to the non-standard size of the socket. The menu for switching between radio TV and DVD is inconvenient.  Overall I'm happy with the device.</v>
      </c>
    </row>
    <row r="6530" spans="1:9" x14ac:dyDescent="0.3">
      <c r="A6530" s="1" t="s">
        <v>61</v>
      </c>
      <c r="B6530" s="1" t="s">
        <v>977</v>
      </c>
      <c r="C6530" s="1" t="s">
        <v>69</v>
      </c>
      <c r="D6530" s="1" t="s">
        <v>1506</v>
      </c>
      <c r="E6530" s="1" t="s">
        <v>6935</v>
      </c>
      <c r="F6530" s="1" t="s">
        <v>10323</v>
      </c>
      <c r="G6530" s="1" t="s">
        <v>36</v>
      </c>
      <c r="H6530" s="1" t="s">
        <v>29</v>
      </c>
      <c r="I6530" s="1" t="str">
        <f ca="1">IFERROR(__xludf.DUMMYFUNCTION("GOOGLETRANSLATE(F6530, ""auto"", ""en"")
"),"A very good blender, I bought it 3 years ago and am still happy with it. I make everything with it: from minced meat to baby purees. An indispensable assistant in the kitchen!")</f>
        <v>A very good blender, I bought it 3 years ago and am still happy with it. I make everything with it: from minced meat to baby purees. An indispensable assistant in the kitchen!</v>
      </c>
    </row>
    <row r="6531" spans="1:9" x14ac:dyDescent="0.3">
      <c r="A6531" s="1" t="s">
        <v>211</v>
      </c>
      <c r="B6531" s="1" t="s">
        <v>212</v>
      </c>
      <c r="C6531" s="1" t="s">
        <v>381</v>
      </c>
      <c r="D6531" s="1" t="s">
        <v>3407</v>
      </c>
      <c r="E6531" s="1" t="s">
        <v>1285</v>
      </c>
      <c r="F6531" s="1" t="s">
        <v>10324</v>
      </c>
      <c r="G6531" s="1" t="s">
        <v>36</v>
      </c>
      <c r="H6531" s="1" t="s">
        <v>29</v>
      </c>
      <c r="I6531" s="1" t="str">
        <f ca="1">IFERROR(__xludf.DUMMYFUNCTION("GOOGLETRANSLATE(F6531, ""auto"", ""en"")
"),"My 9 year old daughter was the first to test it, we are very pleased. price-optimal, weight-light, design-very for girls, 3 speeds. long cord.")</f>
        <v>My 9 year old daughter was the first to test it, we are very pleased. price-optimal, weight-light, design-very for girls, 3 speeds. long cord.</v>
      </c>
    </row>
    <row r="6532" spans="1:9" x14ac:dyDescent="0.3">
      <c r="A6532" s="1" t="s">
        <v>61</v>
      </c>
      <c r="B6532" s="1" t="s">
        <v>180</v>
      </c>
      <c r="C6532" s="1" t="s">
        <v>63</v>
      </c>
      <c r="D6532" s="1" t="s">
        <v>10325</v>
      </c>
      <c r="E6532" s="1" t="s">
        <v>128</v>
      </c>
      <c r="F6532" s="1" t="s">
        <v>10326</v>
      </c>
      <c r="G6532" s="1" t="s">
        <v>36</v>
      </c>
      <c r="H6532" s="1" t="s">
        <v>29</v>
      </c>
      <c r="I6532" s="1" t="str">
        <f ca="1">IFERROR(__xludf.DUMMYFUNCTION("GOOGLETRANSLATE(F6532, ""auto"", ""en"")
"),"We've been using this toaster for a year now! I really like it, I always make toast with my family in the morning, it turns out very tasty, especially with grain bread.")</f>
        <v>We've been using this toaster for a year now! I really like it, I always make toast with my family in the morning, it turns out very tasty, especially with grain bread.</v>
      </c>
    </row>
    <row r="6533" spans="1:9" x14ac:dyDescent="0.3">
      <c r="A6533" s="1" t="s">
        <v>373</v>
      </c>
      <c r="B6533" s="1" t="s">
        <v>374</v>
      </c>
      <c r="C6533" s="1" t="s">
        <v>159</v>
      </c>
      <c r="D6533" s="1" t="s">
        <v>10327</v>
      </c>
      <c r="E6533" s="1" t="s">
        <v>10328</v>
      </c>
      <c r="F6533" s="1" t="s">
        <v>10329</v>
      </c>
      <c r="G6533" s="1" t="s">
        <v>36</v>
      </c>
      <c r="H6533" s="1" t="s">
        <v>29</v>
      </c>
      <c r="I6533" s="1" t="str">
        <f ca="1">IFERROR(__xludf.DUMMYFUNCTION("GOOGLETRANSLATE(F6533, ""auto"", ""en"")
"),"Great car. We like it very much. It washes perfectly, you can’t wash it with your hands, and it dries superbly. And most importantly, another size did not suit us, thanks to Electrolux!")</f>
        <v>Great car. We like it very much. It washes perfectly, you can’t wash it with your hands, and it dries superbly. And most importantly, another size did not suit us, thanks to Electrolux!</v>
      </c>
    </row>
    <row r="6534" spans="1:9" x14ac:dyDescent="0.3">
      <c r="A6534" s="1" t="s">
        <v>61</v>
      </c>
      <c r="B6534" s="1" t="s">
        <v>726</v>
      </c>
      <c r="C6534" s="1" t="s">
        <v>122</v>
      </c>
      <c r="D6534" s="1" t="s">
        <v>1771</v>
      </c>
      <c r="E6534" s="1" t="s">
        <v>2265</v>
      </c>
      <c r="F6534" s="1" t="s">
        <v>10330</v>
      </c>
      <c r="G6534" s="1" t="s">
        <v>36</v>
      </c>
      <c r="H6534" s="1" t="s">
        <v>29</v>
      </c>
      <c r="I6534" s="1" t="str">
        <f ca="1">IFERROR(__xludf.DUMMYFUNCTION("GOOGLETRANSLATE(F6534, ""auto"", ""en"")
"),"When I bought this model more than a year ago, I was worried that I would use it the first time, and then it would sit idle. Nothing of the kind! I continue to use it to this day. Different types of bread, cake, dough, jam.... a lot of things. The recipe "&amp;"book contains fairly easy recipes; you can buy all the ingredients in stores. The bread turns out fresh and tasty. You turn on the timer for the morning and wake up to the smell of fresh bread.... so nice :) Buy it, you won’t regret it! This is a bread ma"&amp;"chine, a worthy model! +5")</f>
        <v>When I bought this model more than a year ago, I was worried that I would use it the first time, and then it would sit idle. Nothing of the kind! I continue to use it to this day. Different types of bread, cake, dough, jam.... a lot of things. The recipe book contains fairly easy recipes; you can buy all the ingredients in stores. The bread turns out fresh and tasty. You turn on the timer for the morning and wake up to the smell of fresh bread.... so nice :) Buy it, you won’t regret it! This is a bread machine, a worthy model! +5</v>
      </c>
    </row>
    <row r="6535" spans="1:9" x14ac:dyDescent="0.3">
      <c r="A6535" s="1" t="s">
        <v>105</v>
      </c>
      <c r="B6535" s="1" t="s">
        <v>106</v>
      </c>
      <c r="C6535" s="1" t="s">
        <v>1209</v>
      </c>
      <c r="D6535" s="1" t="s">
        <v>81</v>
      </c>
      <c r="E6535" s="1" t="s">
        <v>717</v>
      </c>
      <c r="F6535" s="1" t="s">
        <v>10331</v>
      </c>
      <c r="G6535" s="1" t="s">
        <v>28</v>
      </c>
      <c r="H6535" s="1" t="s">
        <v>29</v>
      </c>
      <c r="I6535" s="1" t="str">
        <f ca="1">IFERROR(__xludf.DUMMYFUNCTION("GOOGLETRANSLATE(F6535, ""auto"", ""en"")
"),"I bought it, I was glad that I could watch TV, but alas, after 3 weeks it stopped charging, now I don’t know what to do, I’ll probably take it back to where I bought it.")</f>
        <v>I bought it, I was glad that I could watch TV, but alas, after 3 weeks it stopped charging, now I don’t know what to do, I’ll probably take it back to where I bought it.</v>
      </c>
    </row>
    <row r="6536" spans="1:9" x14ac:dyDescent="0.3">
      <c r="A6536" s="1" t="s">
        <v>30</v>
      </c>
      <c r="B6536" s="1" t="s">
        <v>50</v>
      </c>
      <c r="C6536" s="1" t="s">
        <v>1003</v>
      </c>
      <c r="D6536" s="1" t="s">
        <v>3108</v>
      </c>
      <c r="E6536" s="1" t="s">
        <v>3454</v>
      </c>
      <c r="F6536" s="1" t="s">
        <v>10332</v>
      </c>
      <c r="G6536" s="1" t="s">
        <v>36</v>
      </c>
      <c r="H6536" s="1" t="s">
        <v>29</v>
      </c>
      <c r="I6536" s="1" t="str">
        <f ca="1">IFERROR(__xludf.DUMMYFUNCTION("GOOGLETRANSLATE(F6536, ""auto"", ""en"")
"),"The laptop is great! Performance is top notch. Games fly. A comfortable keyboard, a touch panel without unnecessary buttons - everything is simple and convenient. The cooling system is not particularly noisy. The design is above all praise :) True, someti"&amp;"mes some of the pre-installed HP programs are annoying with too frequent reminders of themselves, but all this can be removed or configured.  So for now only positive emotions :)")</f>
        <v>The laptop is great! Performance is top notch. Games fly. A comfortable keyboard, a touch panel without unnecessary buttons - everything is simple and convenient. The cooling system is not particularly noisy. The design is above all praise :) True, sometimes some of the pre-installed HP programs are annoying with too frequent reminders of themselves, but all this can be removed or configured.  So for now only positive emotions :)</v>
      </c>
    </row>
    <row r="6537" spans="1:9" x14ac:dyDescent="0.3">
      <c r="A6537" s="1" t="s">
        <v>9</v>
      </c>
      <c r="B6537" s="1" t="s">
        <v>10</v>
      </c>
      <c r="C6537" s="1" t="s">
        <v>4314</v>
      </c>
      <c r="D6537" s="1" t="s">
        <v>10333</v>
      </c>
      <c r="E6537" s="1" t="s">
        <v>3125</v>
      </c>
      <c r="F6537" s="1" t="s">
        <v>10334</v>
      </c>
      <c r="G6537" s="1" t="s">
        <v>36</v>
      </c>
      <c r="H6537" s="1" t="s">
        <v>29</v>
      </c>
      <c r="I6537" s="1" t="str">
        <f ca="1">IFERROR(__xludf.DUMMYFUNCTION("GOOGLETRANSLATE(F6537, ""auto"", ""en"")
"),"Unique hood! It removes all odors almost instantly, and does not make so much noise that you can’t hear the TV. For a long time I doubted whether we needed it at all, but with the appetite of my husband and children, I spend half a day in the kitchen, in "&amp;"winter you can’t open the window, I had to get out, otherwise my head would pound. I like the way it looks, there is nothing tacky in the design, strict lines, beautiful color. If you have a space of 60 cm to install it, then I wholeheartedly advise you t"&amp;"o take it. It was connected quickly, there were no malfunctions. Considering that the case is not plastic, but metal, I think that it will have a very long service life. At the same time, I will say that it is very good that it is on mechanics; electronic"&amp;"s still fail more often.")</f>
        <v>Unique hood! It removes all odors almost instantly, and does not make so much noise that you can’t hear the TV. For a long time I doubted whether we needed it at all, but with the appetite of my husband and children, I spend half a day in the kitchen, in winter you can’t open the window, I had to get out, otherwise my head would pound. I like the way it looks, there is nothing tacky in the design, strict lines, beautiful color. If you have a space of 60 cm to install it, then I wholeheartedly advise you to take it. It was connected quickly, there were no malfunctions. Considering that the case is not plastic, but metal, I think that it will have a very long service life. At the same time, I will say that it is very good that it is on mechanics; electronics still fail more often.</v>
      </c>
    </row>
    <row r="6538" spans="1:9" x14ac:dyDescent="0.3">
      <c r="A6538" s="1" t="s">
        <v>37</v>
      </c>
      <c r="B6538" s="1" t="s">
        <v>38</v>
      </c>
      <c r="C6538" s="1" t="s">
        <v>163</v>
      </c>
      <c r="D6538" s="1" t="s">
        <v>10335</v>
      </c>
      <c r="E6538" s="1" t="s">
        <v>903</v>
      </c>
      <c r="F6538" s="1" t="s">
        <v>10336</v>
      </c>
      <c r="G6538" s="1" t="s">
        <v>28</v>
      </c>
      <c r="H6538" s="1" t="s">
        <v>29</v>
      </c>
      <c r="I6538" s="1" t="str">
        <f ca="1">IFERROR(__xludf.DUMMYFUNCTION("GOOGLETRANSLATE(F6538, ""auto"", ""en"")
"),"The phone is good, but there are some drawbacks. Vibration signal or on. for everything (call, SMS, alarm clock), or off altogether. When making a call, the photo of the caller is not full screen, but a tiny one in the corner. And it's a good phone.")</f>
        <v>The phone is good, but there are some drawbacks. Vibration signal or on. for everything (call, SMS, alarm clock), or off altogether. When making a call, the photo of the caller is not full screen, but a tiny one in the corner. And it's a good phone.</v>
      </c>
    </row>
    <row r="6539" spans="1:9" x14ac:dyDescent="0.3">
      <c r="A6539" s="1" t="s">
        <v>89</v>
      </c>
      <c r="B6539" s="1" t="s">
        <v>90</v>
      </c>
      <c r="C6539" s="1" t="s">
        <v>101</v>
      </c>
      <c r="D6539" s="1" t="s">
        <v>3273</v>
      </c>
      <c r="E6539" s="1" t="s">
        <v>3361</v>
      </c>
      <c r="F6539" s="1" t="s">
        <v>10337</v>
      </c>
      <c r="G6539" s="1" t="s">
        <v>28</v>
      </c>
      <c r="H6539" s="1" t="s">
        <v>29</v>
      </c>
      <c r="I6539" s="1" t="str">
        <f ca="1">IFERROR(__xludf.DUMMYFUNCTION("GOOGLETRANSLATE(F6539, ""auto"", ""en"")
"),"Mom brought coffee beans from India, and the coffee grinder in the house was the oldest. Somehow, by luck, my choice fell on this model. And it costs three kopecks, and looks decent, and has been working for a year and a half without any complaints, my mo"&amp;"ther is extremely happy - a morning without real coffee is not a morning for her))")</f>
        <v>Mom brought coffee beans from India, and the coffee grinder in the house was the oldest. Somehow, by luck, my choice fell on this model. And it costs three kopecks, and looks decent, and has been working for a year and a half without any complaints, my mother is extremely happy - a morning without real coffee is not a morning for her))</v>
      </c>
    </row>
    <row r="6540" spans="1:9" x14ac:dyDescent="0.3">
      <c r="A6540" s="1" t="s">
        <v>37</v>
      </c>
      <c r="B6540" s="1" t="s">
        <v>38</v>
      </c>
      <c r="C6540" s="1" t="s">
        <v>39</v>
      </c>
      <c r="D6540" s="1" t="s">
        <v>2826</v>
      </c>
      <c r="E6540" s="1" t="s">
        <v>6851</v>
      </c>
      <c r="F6540" s="1" t="s">
        <v>10338</v>
      </c>
      <c r="G6540" s="1" t="s">
        <v>28</v>
      </c>
      <c r="H6540" s="1" t="s">
        <v>29</v>
      </c>
      <c r="I6540" s="1" t="str">
        <f ca="1">IFERROR(__xludf.DUMMYFUNCTION("GOOGLETRANSLATE(F6540, ""auto"", ""en"")
"),"The phone is excellent - photos, music, pictures.... the only thing that spoils the picture is the battery(((dries out very quickly.")</f>
        <v>The phone is excellent - photos, music, pictures.... the only thing that spoils the picture is the battery(((dries out very quickly.</v>
      </c>
    </row>
    <row r="6541" spans="1:9" x14ac:dyDescent="0.3">
      <c r="A6541" s="1" t="s">
        <v>61</v>
      </c>
      <c r="B6541" s="1" t="s">
        <v>73</v>
      </c>
      <c r="C6541" s="1" t="s">
        <v>146</v>
      </c>
      <c r="D6541" s="1" t="s">
        <v>280</v>
      </c>
      <c r="E6541" s="1" t="s">
        <v>10339</v>
      </c>
      <c r="F6541" s="1" t="s">
        <v>10340</v>
      </c>
      <c r="G6541" s="1" t="s">
        <v>28</v>
      </c>
      <c r="H6541" s="1" t="s">
        <v>29</v>
      </c>
      <c r="I6541" s="1" t="str">
        <f ca="1">IFERROR(__xludf.DUMMYFUNCTION("GOOGLETRANSLATE(F6541, ""auto"", ""en"")
"),"Well, for that kind of money they could also include drums for shredding. Without them, the price is not justified and I will not become a buyer of this device. I give 4 Stars in absentia (this is the average rating of the device on the site)")</f>
        <v>Well, for that kind of money they could also include drums for shredding. Without them, the price is not justified and I will not become a buyer of this device. I give 4 Stars in absentia (this is the average rating of the device on the site)</v>
      </c>
    </row>
    <row r="6542" spans="1:9" x14ac:dyDescent="0.3">
      <c r="A6542" s="1" t="s">
        <v>61</v>
      </c>
      <c r="B6542" s="1" t="s">
        <v>318</v>
      </c>
      <c r="C6542" s="1" t="s">
        <v>57</v>
      </c>
      <c r="D6542" s="1" t="s">
        <v>2068</v>
      </c>
      <c r="E6542" s="1" t="s">
        <v>2308</v>
      </c>
      <c r="F6542" s="1" t="s">
        <v>10341</v>
      </c>
      <c r="G6542" s="1" t="s">
        <v>49</v>
      </c>
      <c r="H6542" s="1" t="s">
        <v>16</v>
      </c>
      <c r="I6542" s="1" t="str">
        <f ca="1">IFERROR(__xludf.DUMMYFUNCTION("GOOGLETRANSLATE(F6542, ""auto"", ""en"")
"),"A kettle would be good for everyone, but it boils at full volume in 12 minutes, a couple of bowls require 5 to 6 minutes, this is a very long time, if you live at a good pace, I don’t recommend it.")</f>
        <v>A kettle would be good for everyone, but it boils at full volume in 12 minutes, a couple of bowls require 5 to 6 minutes, this is a very long time, if you live at a good pace, I don’t recommend it.</v>
      </c>
    </row>
    <row r="6543" spans="1:9" x14ac:dyDescent="0.3">
      <c r="A6543" s="1" t="s">
        <v>105</v>
      </c>
      <c r="B6543" s="1" t="s">
        <v>106</v>
      </c>
      <c r="C6543" s="1" t="s">
        <v>151</v>
      </c>
      <c r="D6543" s="1" t="s">
        <v>20</v>
      </c>
      <c r="E6543" s="1" t="s">
        <v>824</v>
      </c>
      <c r="F6543" s="1" t="s">
        <v>10342</v>
      </c>
      <c r="G6543" s="1" t="s">
        <v>36</v>
      </c>
      <c r="H6543" s="1" t="s">
        <v>29</v>
      </c>
      <c r="I6543" s="1" t="str">
        <f ca="1">IFERROR(__xludf.DUMMYFUNCTION("GOOGLETRANSLATE(F6543, ""auto"", ""en"")
"),"Great item, comfortable, ergonomic, lightweight.")</f>
        <v>Great item, comfortable, ergonomic, lightweight.</v>
      </c>
    </row>
    <row r="6544" spans="1:9" x14ac:dyDescent="0.3">
      <c r="A6544" s="1" t="s">
        <v>61</v>
      </c>
      <c r="B6544" s="1" t="s">
        <v>180</v>
      </c>
      <c r="C6544" s="1" t="s">
        <v>69</v>
      </c>
      <c r="D6544" s="1" t="s">
        <v>228</v>
      </c>
      <c r="E6544" s="1" t="s">
        <v>1273</v>
      </c>
      <c r="F6544" s="1" t="s">
        <v>10343</v>
      </c>
      <c r="G6544" s="1" t="s">
        <v>36</v>
      </c>
      <c r="H6544" s="1" t="s">
        <v>29</v>
      </c>
      <c r="I6544" s="1" t="str">
        <f ca="1">IFERROR(__xludf.DUMMYFUNCTION("GOOGLETRANSLATE(F6544, ""auto"", ""en"")
"),"A convenient and pleasant thing to have in the kitchen. Bread, ham, cheese and you have hot, toasted “pies” for tea. You can take it with you for an outing, or refresh yourself in the morning before work. It takes minimal cooking time. Maintenance is mini"&amp;"mal, just wipe.")</f>
        <v>A convenient and pleasant thing to have in the kitchen. Bread, ham, cheese and you have hot, toasted “pies” for tea. You can take it with you for an outing, or refresh yourself in the morning before work. It takes minimal cooking time. Maintenance is minimal, just wipe.</v>
      </c>
    </row>
    <row r="6545" spans="1:9" x14ac:dyDescent="0.3">
      <c r="A6545" s="1" t="s">
        <v>61</v>
      </c>
      <c r="B6545" s="1" t="s">
        <v>224</v>
      </c>
      <c r="C6545" s="1" t="s">
        <v>85</v>
      </c>
      <c r="D6545" s="1" t="s">
        <v>891</v>
      </c>
      <c r="E6545" s="1" t="s">
        <v>2634</v>
      </c>
      <c r="F6545" s="1" t="s">
        <v>10344</v>
      </c>
      <c r="G6545" s="1" t="s">
        <v>36</v>
      </c>
      <c r="H6545" s="1" t="s">
        <v>29</v>
      </c>
      <c r="I6545" s="1" t="str">
        <f ca="1">IFERROR(__xludf.DUMMYFUNCTION("GOOGLETRANSLATE(F6545, ""auto"", ""en"")
"),"I bought it for my wife and daughter for the New Year. At first, we only squeezed apples, everyone was delighted - no need to cut them, peel them from seeds, sticks, just wash them and EVERYTHING! The juice came out very clean. Then we tried oranges and p"&amp;"ears - the result exceeded all expectations: a lot of juice, but the cake was dry.  The main thing is that the sieve does not clog - it is easy to clean. We found no shortcomings, I like everything. I recommend it to everyone!")</f>
        <v>I bought it for my wife and daughter for the New Year. At first, we only squeezed apples, everyone was delighted - no need to cut them, peel them from seeds, sticks, just wash them and EVERYTHING! The juice came out very clean. Then we tried oranges and pears - the result exceeded all expectations: a lot of juice, but the cake was dry.  The main thing is that the sieve does not clog - it is easy to clean. We found no shortcomings, I like everything. I recommend it to everyone!</v>
      </c>
    </row>
    <row r="6546" spans="1:9" x14ac:dyDescent="0.3">
      <c r="A6546" s="1" t="s">
        <v>211</v>
      </c>
      <c r="B6546" s="1" t="s">
        <v>410</v>
      </c>
      <c r="C6546" s="1" t="s">
        <v>57</v>
      </c>
      <c r="D6546" s="1" t="s">
        <v>327</v>
      </c>
      <c r="E6546" s="1" t="s">
        <v>10345</v>
      </c>
      <c r="F6546" s="1" t="s">
        <v>10346</v>
      </c>
      <c r="G6546" s="1" t="s">
        <v>15</v>
      </c>
      <c r="H6546" s="1" t="s">
        <v>16</v>
      </c>
      <c r="I6546" s="1" t="str">
        <f ca="1">IFERROR(__xludf.DUMMYFUNCTION("GOOGLETRANSLATE(F6546, ""auto"", ""en"")
"),"Shaves so-so, weak battery, no indication, broke after 2 years of use.")</f>
        <v>Shaves so-so, weak battery, no indication, broke after 2 years of use.</v>
      </c>
    </row>
    <row r="6547" spans="1:9" x14ac:dyDescent="0.3">
      <c r="A6547" s="1" t="s">
        <v>67</v>
      </c>
      <c r="B6547" s="1" t="s">
        <v>68</v>
      </c>
      <c r="C6547" s="1" t="s">
        <v>246</v>
      </c>
      <c r="D6547" s="1" t="s">
        <v>335</v>
      </c>
      <c r="E6547" s="1" t="s">
        <v>2488</v>
      </c>
      <c r="F6547" s="1" t="s">
        <v>10347</v>
      </c>
      <c r="G6547" s="1" t="s">
        <v>36</v>
      </c>
      <c r="H6547" s="1" t="s">
        <v>29</v>
      </c>
      <c r="I6547" s="1" t="str">
        <f ca="1">IFERROR(__xludf.DUMMYFUNCTION("GOOGLETRANSLATE(F6547, ""auto"", ""en"")
"),"I’ve been using it for 4 months, ironing baby clothes and more almost every day. The iron does the job, the steam output is excellent, I mostly iron at 2, I don’t even need 3, and it irons everything. Made in France, which is important.")</f>
        <v>I’ve been using it for 4 months, ironing baby clothes and more almost every day. The iron does the job, the steam output is excellent, I mostly iron at 2, I don’t even need 3, and it irons everything. Made in France, which is important.</v>
      </c>
    </row>
    <row r="6548" spans="1:9" x14ac:dyDescent="0.3">
      <c r="A6548" s="1" t="s">
        <v>120</v>
      </c>
      <c r="B6548" s="1" t="s">
        <v>256</v>
      </c>
      <c r="C6548" s="1" t="s">
        <v>4545</v>
      </c>
      <c r="D6548" s="1" t="s">
        <v>10348</v>
      </c>
      <c r="E6548" s="1" t="s">
        <v>998</v>
      </c>
      <c r="F6548" s="1" t="s">
        <v>10349</v>
      </c>
      <c r="G6548" s="1" t="s">
        <v>28</v>
      </c>
      <c r="H6548" s="1" t="s">
        <v>29</v>
      </c>
      <c r="I6548" s="1" t="str">
        <f ca="1">IFERROR(__xludf.DUMMYFUNCTION("GOOGLETRANSLATE(F6548, ""auto"", ""en"")
"),"I recently bought it, I recommend it to those who need “all in one”, just the thing for the kitchen or summer house. Reads all disks, no problems so far, including flash drives.  I didn’t really like the sound - there are a lot of mid frequencies that can"&amp;"not be adjusted in any way (it’s better to connect external acoustics to it - the sound improves significantly), and also the image “reddens” (they say a feature of Asian TVs), but somehow it can be more or less compensated for by the settings.")</f>
        <v>I recently bought it, I recommend it to those who need “all in one”, just the thing for the kitchen or summer house. Reads all disks, no problems so far, including flash drives.  I didn’t really like the sound - there are a lot of mid frequencies that cannot be adjusted in any way (it’s better to connect external acoustics to it - the sound improves significantly), and also the image “reddens” (they say a feature of Asian TVs), but somehow it can be more or less compensated for by the settings.</v>
      </c>
    </row>
    <row r="6549" spans="1:9" x14ac:dyDescent="0.3">
      <c r="A6549" s="1" t="s">
        <v>61</v>
      </c>
      <c r="B6549" s="1" t="s">
        <v>318</v>
      </c>
      <c r="C6549" s="1" t="s">
        <v>101</v>
      </c>
      <c r="D6549" s="1" t="s">
        <v>52</v>
      </c>
      <c r="E6549" s="1" t="s">
        <v>8573</v>
      </c>
      <c r="F6549" s="1" t="s">
        <v>10350</v>
      </c>
      <c r="G6549" s="1" t="s">
        <v>36</v>
      </c>
      <c r="H6549" s="1" t="s">
        <v>29</v>
      </c>
      <c r="I6549" s="1" t="str">
        <f ca="1">IFERROR(__xludf.DUMMYFUNCTION("GOOGLETRANSLATE(F6549, ""auto"", ""en"")
"),"Price and design ")</f>
        <v xml:space="preserve">Price and design </v>
      </c>
    </row>
    <row r="6550" spans="1:9" x14ac:dyDescent="0.3">
      <c r="A6550" s="1" t="s">
        <v>169</v>
      </c>
      <c r="B6550" s="1" t="s">
        <v>170</v>
      </c>
      <c r="C6550" s="1" t="s">
        <v>97</v>
      </c>
      <c r="D6550" s="1" t="s">
        <v>3651</v>
      </c>
      <c r="E6550" s="1" t="s">
        <v>3123</v>
      </c>
      <c r="F6550" s="1" t="s">
        <v>10351</v>
      </c>
      <c r="G6550" s="1" t="s">
        <v>36</v>
      </c>
      <c r="H6550" s="1" t="s">
        <v>29</v>
      </c>
      <c r="I6550" s="1" t="str">
        <f ca="1">IFERROR(__xludf.DUMMYFUNCTION("GOOGLETRANSLATE(F6550, ""auto"", ""en"")
"),"Great ears.  The noises described above completely disappear if you turn up the volume of the sound source to the maximum, i.e. so that there is maximum power at the headphone input, and the sound volume in the headphones can be adjusted with a slider on "&amp;"the ears themselves.  I haven't found any drawbacks after 7 months of use.")</f>
        <v>Great ears.  The noises described above completely disappear if you turn up the volume of the sound source to the maximum, i.e. so that there is maximum power at the headphone input, and the sound volume in the headphones can be adjusted with a slider on the ears themselves.  I haven't found any drawbacks after 7 months of use.</v>
      </c>
    </row>
    <row r="6551" spans="1:9" x14ac:dyDescent="0.3">
      <c r="A6551" s="1" t="s">
        <v>9</v>
      </c>
      <c r="B6551" s="1" t="s">
        <v>10</v>
      </c>
      <c r="C6551" s="1" t="s">
        <v>407</v>
      </c>
      <c r="D6551" s="1" t="s">
        <v>86</v>
      </c>
      <c r="E6551" s="1" t="s">
        <v>10352</v>
      </c>
      <c r="F6551" s="1" t="s">
        <v>10353</v>
      </c>
      <c r="G6551" s="1" t="s">
        <v>36</v>
      </c>
      <c r="H6551" s="1" t="s">
        <v>29</v>
      </c>
      <c r="I6551" s="1" t="str">
        <f ca="1">IFERROR(__xludf.DUMMYFUNCTION("GOOGLETRANSLATE(F6551, ""auto"", ""en"")
"),"The inscriptions in the form of a label and speeds with a lighting icon are erased, literally, if you run a wet finger, I accidentally noticed, although it does not affect the technical characteristics)))")</f>
        <v>The inscriptions in the form of a label and speeds with a lighting icon are erased, literally, if you run a wet finger, I accidentally noticed, although it does not affect the technical characteristics)))</v>
      </c>
    </row>
    <row r="6552" spans="1:9" x14ac:dyDescent="0.3">
      <c r="A6552" s="1" t="s">
        <v>624</v>
      </c>
      <c r="B6552" s="1" t="s">
        <v>2107</v>
      </c>
      <c r="C6552" s="1" t="s">
        <v>479</v>
      </c>
      <c r="D6552" s="1" t="s">
        <v>10354</v>
      </c>
      <c r="E6552" s="1" t="s">
        <v>395</v>
      </c>
      <c r="F6552" s="1" t="s">
        <v>10355</v>
      </c>
      <c r="G6552" s="1" t="s">
        <v>28</v>
      </c>
      <c r="H6552" s="1" t="s">
        <v>29</v>
      </c>
      <c r="I6552" s="1" t="str">
        <f ca="1">IFERROR(__xludf.DUMMYFUNCTION("GOOGLETRANSLATE(F6552, ""auto"", ""en"")
"),"After spinning the hoop, my hips hurt. (It’s a good game, many of my friends didn’t want to buy it because the cover was simple, they thought it was nonsense, but when I bought it and showed it to me, they immediately took the disc to play with). I liked "&amp;"that it shows how many calories you lost during the exercise. I work out in the morning, it seems like I’m losing weight)))")</f>
        <v>After spinning the hoop, my hips hurt. (It’s a good game, many of my friends didn’t want to buy it because the cover was simple, they thought it was nonsense, but when I bought it and showed it to me, they immediately took the disc to play with). I liked that it shows how many calories you lost during the exercise. I work out in the morning, it seems like I’m losing weight)))</v>
      </c>
    </row>
    <row r="6553" spans="1:9" x14ac:dyDescent="0.3">
      <c r="A6553" s="1" t="s">
        <v>206</v>
      </c>
      <c r="B6553" s="1" t="s">
        <v>207</v>
      </c>
      <c r="C6553" s="1" t="s">
        <v>152</v>
      </c>
      <c r="D6553" s="1" t="s">
        <v>10356</v>
      </c>
      <c r="E6553" s="1" t="s">
        <v>5819</v>
      </c>
      <c r="F6553" s="1" t="s">
        <v>10357</v>
      </c>
      <c r="G6553" s="1" t="s">
        <v>36</v>
      </c>
      <c r="H6553" s="1" t="s">
        <v>29</v>
      </c>
      <c r="I6553" s="1" t="str">
        <f ca="1">IFERROR(__xludf.DUMMYFUNCTION("GOOGLETRANSLATE(F6553, ""auto"", ""en"")
"),"good tweeters for the price")</f>
        <v>good tweeters for the price</v>
      </c>
    </row>
    <row r="6554" spans="1:9" x14ac:dyDescent="0.3">
      <c r="A6554" s="1" t="s">
        <v>211</v>
      </c>
      <c r="B6554" s="1" t="s">
        <v>515</v>
      </c>
      <c r="C6554" s="1" t="s">
        <v>213</v>
      </c>
      <c r="D6554" s="1" t="s">
        <v>75</v>
      </c>
      <c r="E6554" s="1" t="s">
        <v>10358</v>
      </c>
      <c r="F6554" s="1" t="s">
        <v>413</v>
      </c>
      <c r="G6554" s="1" t="s">
        <v>49</v>
      </c>
      <c r="H6554" s="1" t="s">
        <v>16</v>
      </c>
      <c r="I6554" s="1" t="str">
        <f ca="1">IFERROR(__xludf.DUMMYFUNCTION("GOOGLETRANSLATE(F6554, ""auto"", ""en"")
"),"No")</f>
        <v>No</v>
      </c>
    </row>
    <row r="6555" spans="1:9" x14ac:dyDescent="0.3">
      <c r="A6555" s="1" t="s">
        <v>43</v>
      </c>
      <c r="B6555" s="1" t="s">
        <v>502</v>
      </c>
      <c r="C6555" s="1" t="s">
        <v>122</v>
      </c>
      <c r="D6555" s="1" t="s">
        <v>1431</v>
      </c>
      <c r="E6555" s="1" t="s">
        <v>1866</v>
      </c>
      <c r="F6555" s="1" t="s">
        <v>10359</v>
      </c>
      <c r="G6555" s="1" t="s">
        <v>36</v>
      </c>
      <c r="H6555" s="1" t="s">
        <v>29</v>
      </c>
      <c r="I6555" s="1" t="str">
        <f ca="1">IFERROR(__xludf.DUMMYFUNCTION("GOOGLETRANSLATE(F6555, ""auto"", ""en"")
"),"Works great!!! Cools great, heats just super. The indoor unit is silent... you can only hear the air flow at maximum fan speed... The outdoor unit is a bit noisy when heating, but this does not cause any inconvenience. In short, I'm 100% satisfied.")</f>
        <v>Works great!!! Cools great, heats just super. The indoor unit is silent... you can only hear the air flow at maximum fan speed... The outdoor unit is a bit noisy when heating, but this does not cause any inconvenience. In short, I'm 100% satisfied.</v>
      </c>
    </row>
    <row r="6556" spans="1:9" x14ac:dyDescent="0.3">
      <c r="A6556" s="1" t="s">
        <v>61</v>
      </c>
      <c r="B6556" s="1" t="s">
        <v>318</v>
      </c>
      <c r="C6556" s="1" t="s">
        <v>213</v>
      </c>
      <c r="D6556" s="1" t="s">
        <v>5918</v>
      </c>
      <c r="E6556" s="1" t="s">
        <v>1553</v>
      </c>
      <c r="F6556" s="1" t="s">
        <v>10360</v>
      </c>
      <c r="G6556" s="1" t="s">
        <v>36</v>
      </c>
      <c r="H6556" s="1" t="s">
        <v>29</v>
      </c>
      <c r="I6556" s="1" t="str">
        <f ca="1">IFERROR(__xludf.DUMMYFUNCTION("GOOGLETRANSLATE(F6556, ""auto"", ""en"")
"),"Yes, I can confirm everything that is positive, I have had it for 2 years, there were no problems (except for the fact that the first 10 times I had to boil it just to get rid of the smell of plastic). The only inconvenient thing about it is pouring water"&amp;" from the filter - the lid gets in the way. And from the tap it’s not very good either. But, if you want a beautiful and high-quality thing, I recommend it.")</f>
        <v>Yes, I can confirm everything that is positive, I have had it for 2 years, there were no problems (except for the fact that the first 10 times I had to boil it just to get rid of the smell of plastic). The only inconvenient thing about it is pouring water from the filter - the lid gets in the way. And from the tap it’s not very good either. But, if you want a beautiful and high-quality thing, I recommend it.</v>
      </c>
    </row>
    <row r="6557" spans="1:9" x14ac:dyDescent="0.3">
      <c r="A6557" s="1" t="s">
        <v>211</v>
      </c>
      <c r="B6557" s="1" t="s">
        <v>856</v>
      </c>
      <c r="C6557" s="1" t="s">
        <v>57</v>
      </c>
      <c r="D6557" s="1" t="s">
        <v>46</v>
      </c>
      <c r="E6557" s="1" t="s">
        <v>3147</v>
      </c>
      <c r="F6557" s="1" t="s">
        <v>10361</v>
      </c>
      <c r="G6557" s="1" t="s">
        <v>36</v>
      </c>
      <c r="H6557" s="1" t="s">
        <v>29</v>
      </c>
      <c r="I6557" s="1" t="str">
        <f ca="1">IFERROR(__xludf.DUMMYFUNCTION("GOOGLETRANSLATE(F6557, ""auto"", ""en"")
"),"An excellent device, despite its low power, but the charging cord is broken. It's bent at the connection point with the adapter and doesn't work...")</f>
        <v>An excellent device, despite its low power, but the charging cord is broken. It's bent at the connection point with the adapter and doesn't work...</v>
      </c>
    </row>
    <row r="6558" spans="1:9" x14ac:dyDescent="0.3">
      <c r="A6558" s="1" t="s">
        <v>37</v>
      </c>
      <c r="B6558" s="1" t="s">
        <v>38</v>
      </c>
      <c r="C6558" s="1" t="s">
        <v>39</v>
      </c>
      <c r="D6558" s="1" t="s">
        <v>474</v>
      </c>
      <c r="E6558" s="1" t="s">
        <v>1765</v>
      </c>
      <c r="F6558" s="1" t="s">
        <v>10362</v>
      </c>
      <c r="G6558" s="1" t="s">
        <v>36</v>
      </c>
      <c r="H6558" s="1" t="s">
        <v>29</v>
      </c>
      <c r="I6558" s="1" t="str">
        <f ca="1">IFERROR(__xludf.DUMMYFUNCTION("GOOGLETRANSLATE(F6558, ""auto"", ""en"")
"),"I used to be wary of Sonek because it’s Chinese. But once you try it and buy Sonya, you won’t want another phone again. The sound is super, the design, the quality is top notch! I'm very pleased with this phone, I've been using it for 5 months and couldn'"&amp;"t be happier. There are only minor cons. The camera does not enlarge the image when photographing at 1,2,3 MHz. The zoom feature when taking photos is only available for VGA photos. And one more minus, the camera does not have a flash. I highly recommend "&amp;"the phone number.")</f>
        <v>I used to be wary of Sonek because it’s Chinese. But once you try it and buy Sonya, you won’t want another phone again. The sound is super, the design, the quality is top notch! I'm very pleased with this phone, I've been using it for 5 months and couldn't be happier. There are only minor cons. The camera does not enlarge the image when photographing at 1,2,3 MHz. The zoom feature when taking photos is only available for VGA photos. And one more minus, the camera does not have a flash. I highly recommend the phone number.</v>
      </c>
    </row>
    <row r="6559" spans="1:9" x14ac:dyDescent="0.3">
      <c r="A6559" s="1" t="s">
        <v>624</v>
      </c>
      <c r="B6559" s="1" t="s">
        <v>625</v>
      </c>
      <c r="C6559" s="1" t="s">
        <v>479</v>
      </c>
      <c r="D6559" s="1" t="s">
        <v>10363</v>
      </c>
      <c r="E6559" s="1" t="s">
        <v>1342</v>
      </c>
      <c r="F6559" s="1" t="s">
        <v>10364</v>
      </c>
      <c r="G6559" s="1" t="s">
        <v>28</v>
      </c>
      <c r="H6559" s="1" t="s">
        <v>29</v>
      </c>
      <c r="I6559" s="1" t="str">
        <f ca="1">IFERROR(__xludf.DUMMYFUNCTION("GOOGLETRANSLATE(F6559, ""auto"", ""en"")
"),"Good game, just a pity that there are no snowy tracks.")</f>
        <v>Good game, just a pity that there are no snowy tracks.</v>
      </c>
    </row>
    <row r="6560" spans="1:9" x14ac:dyDescent="0.3">
      <c r="A6560" s="1" t="s">
        <v>9</v>
      </c>
      <c r="B6560" s="1" t="s">
        <v>133</v>
      </c>
      <c r="C6560" s="1" t="s">
        <v>588</v>
      </c>
      <c r="D6560" s="1" t="s">
        <v>589</v>
      </c>
      <c r="E6560" s="1" t="s">
        <v>92</v>
      </c>
      <c r="F6560" s="1" t="s">
        <v>10365</v>
      </c>
      <c r="G6560" s="1" t="s">
        <v>36</v>
      </c>
      <c r="H6560" s="1" t="s">
        <v>29</v>
      </c>
      <c r="I6560" s="1" t="str">
        <f ca="1">IFERROR(__xludf.DUMMYFUNCTION("GOOGLETRANSLATE(F6560, ""auto"", ""en"")
"),"Beautiful futuristic design")</f>
        <v>Beautiful futuristic design</v>
      </c>
    </row>
    <row r="6561" spans="1:9" x14ac:dyDescent="0.3">
      <c r="A6561" s="1" t="s">
        <v>105</v>
      </c>
      <c r="B6561" s="1" t="s">
        <v>106</v>
      </c>
      <c r="C6561" s="1" t="s">
        <v>1921</v>
      </c>
      <c r="D6561" s="1" t="s">
        <v>729</v>
      </c>
      <c r="E6561" s="1" t="s">
        <v>6851</v>
      </c>
      <c r="F6561" s="1" t="s">
        <v>10366</v>
      </c>
      <c r="G6561" s="1" t="s">
        <v>28</v>
      </c>
      <c r="H6561" s="1" t="s">
        <v>29</v>
      </c>
      <c r="I6561" s="1" t="str">
        <f ca="1">IFERROR(__xludf.DUMMYFUNCTION("GOOGLETRANSLATE(F6561, ""auto"", ""en"")
"),"This is an excellent player! =) But yes, the charging is really low (((And I just can’t find where to download games on it =( And Ksenia is wrong about the charger. You can just buy a plug into which the USB plug is inserted, it’s inexpensive..")</f>
        <v>This is an excellent player! =) But yes, the charging is really low (((And I just can’t find where to download games on it =( And Ksenia is wrong about the charger. You can just buy a plug into which the USB plug is inserted, it’s inexpensive..</v>
      </c>
    </row>
    <row r="6562" spans="1:9" x14ac:dyDescent="0.3">
      <c r="A6562" s="1" t="s">
        <v>169</v>
      </c>
      <c r="B6562" s="1" t="s">
        <v>170</v>
      </c>
      <c r="C6562" s="1" t="s">
        <v>69</v>
      </c>
      <c r="D6562" s="1" t="s">
        <v>81</v>
      </c>
      <c r="E6562" s="1" t="s">
        <v>6021</v>
      </c>
      <c r="F6562" s="1" t="s">
        <v>10367</v>
      </c>
      <c r="G6562" s="1" t="s">
        <v>36</v>
      </c>
      <c r="H6562" s="1" t="s">
        <v>29</v>
      </c>
      <c r="I6562" s="1" t="str">
        <f ca="1">IFERROR(__xludf.DUMMYFUNCTION("GOOGLETRANSLATE(F6562, ""auto"", ""en"")
"),"I bought it two years ago, I was looking for Philips, because the previous ones were also from the same company. A distinctive feature is the excellent sound of low frequencies, so the bass and deep sound are noticeable. Of the advantages, it should also "&amp;"be noted that after 2 years of painful use and testing, they still work like the first day... They fell every day at least 5 times, they stumbled and pulled out the plug even more often, but the wires did not come out of the headphones themselves, it shou"&amp;"ld also be noted that there were no problems with there is no bend in the sore part of the headphones - the plug is also not there, the cable is made at 100. There is one minus - a long wire, but this is a minus if you wear them with a player on the stree"&amp;"t, but for the home, especially movies, games, music, at night, this is an IDEAL option. Also from the sound, there is a plus, that at maximum volume, you can listen without wearing headphones, the sound is like an average mobile phone, and at the same ti"&amp;"me the headphone membrane is NOT KILLED.  Overall, I'm happy with the choice and recommend it to everyone.")</f>
        <v>I bought it two years ago, I was looking for Philips, because the previous ones were also from the same company. A distinctive feature is the excellent sound of low frequencies, so the bass and deep sound are noticeable. Of the advantages, it should also be noted that after 2 years of painful use and testing, they still work like the first day... They fell every day at least 5 times, they stumbled and pulled out the plug even more often, but the wires did not come out of the headphones themselves, it should also be noted that there were no problems with there is no bend in the sore part of the headphones - the plug is also not there, the cable is made at 100. There is one minus - a long wire, but this is a minus if you wear them with a player on the street, but for the home, especially movies, games, music, at night, this is an IDEAL option. Also from the sound, there is a plus, that at maximum volume, you can listen without wearing headphones, the sound is like an average mobile phone, and at the same time the headphone membrane is NOT KILLED.  Overall, I'm happy with the choice and recommend it to everyone.</v>
      </c>
    </row>
    <row r="6563" spans="1:9" x14ac:dyDescent="0.3">
      <c r="A6563" s="1" t="s">
        <v>37</v>
      </c>
      <c r="B6563" s="1" t="s">
        <v>38</v>
      </c>
      <c r="C6563" s="1" t="s">
        <v>163</v>
      </c>
      <c r="D6563" s="1" t="s">
        <v>64</v>
      </c>
      <c r="E6563" s="1" t="s">
        <v>3872</v>
      </c>
      <c r="F6563" s="1" t="s">
        <v>10368</v>
      </c>
      <c r="G6563" s="1" t="s">
        <v>36</v>
      </c>
      <c r="H6563" s="1" t="s">
        <v>29</v>
      </c>
      <c r="I6563" s="1" t="str">
        <f ca="1">IFERROR(__xludf.DUMMYFUNCTION("GOOGLETRANSLATE(F6563, ""auto"", ""en"")
"),"This is the most successful phone, I recommend it.")</f>
        <v>This is the most successful phone, I recommend it.</v>
      </c>
    </row>
    <row r="6564" spans="1:9" x14ac:dyDescent="0.3">
      <c r="A6564" s="1" t="s">
        <v>37</v>
      </c>
      <c r="B6564" s="1" t="s">
        <v>355</v>
      </c>
      <c r="C6564" s="1" t="s">
        <v>356</v>
      </c>
      <c r="D6564" s="1" t="s">
        <v>10369</v>
      </c>
      <c r="E6564" s="1" t="s">
        <v>3867</v>
      </c>
      <c r="F6564" s="1" t="s">
        <v>10370</v>
      </c>
      <c r="G6564" s="1" t="s">
        <v>36</v>
      </c>
      <c r="H6564" s="1" t="s">
        <v>29</v>
      </c>
      <c r="I6564" s="1" t="str">
        <f ca="1">IFERROR(__xludf.DUMMYFUNCTION("GOOGLETRANSLATE(F6564, ""auto"", ""en"")
"),"Talk time up to 10 hours Standby time up to 300 hours... What nonsense!!!!!   His battery lives some kind of independent life.  She sits down SOOOOO quickly, considering that I don’t dig into it all the time like a monkey.  Even in standby mode it barely "&amp;"lasts less than a day. And I’m generally silent about the conversation mode. Then you just have to live on charging.  I don’t associate it with a specific product, because... There is more than one iPhone in the family.  But this is its only minus.  And r"&amp;"egarding the remarks of some “Kulibins” about the lack of MMS and others like it, I want to say the following - buy a phone for 1000 rubles and get started with MMS.   iphon is a Thing with a capital T. Convenient, understandable and simply (banally) styl"&amp;"ish and beautiful. And those who don’t have it, never have it.  Based on the reviews, it is clearly clear who has it, and who is simply vomiting bile from the inability to purchase it.")</f>
        <v>Talk time up to 10 hours Standby time up to 300 hours... What nonsense!!!!!   His battery lives some kind of independent life.  She sits down SOOOOO quickly, considering that I don’t dig into it all the time like a monkey.  Even in standby mode it barely lasts less than a day. And I’m generally silent about the conversation mode. Then you just have to live on charging.  I don’t associate it with a specific product, because... There is more than one iPhone in the family.  But this is its only minus.  And regarding the remarks of some “Kulibins” about the lack of MMS and others like it, I want to say the following - buy a phone for 1000 rubles and get started with MMS.   iphon is a Thing with a capital T. Convenient, understandable and simply (banally) stylish and beautiful. And those who don’t have it, never have it.  Based on the reviews, it is clearly clear who has it, and who is simply vomiting bile from the inability to purchase it.</v>
      </c>
    </row>
    <row r="6565" spans="1:9" x14ac:dyDescent="0.3">
      <c r="A6565" s="1" t="s">
        <v>149</v>
      </c>
      <c r="B6565" s="1" t="s">
        <v>155</v>
      </c>
      <c r="C6565" s="1" t="s">
        <v>151</v>
      </c>
      <c r="D6565" s="1" t="s">
        <v>965</v>
      </c>
      <c r="E6565" s="1" t="s">
        <v>1578</v>
      </c>
      <c r="F6565" s="1" t="s">
        <v>10371</v>
      </c>
      <c r="G6565" s="1" t="s">
        <v>36</v>
      </c>
      <c r="H6565" s="1" t="s">
        <v>29</v>
      </c>
      <c r="I6565" s="1" t="str">
        <f ca="1">IFERROR(__xludf.DUMMYFUNCTION("GOOGLETRANSLATE(F6565, ""auto"", ""en"")
"),"Inexpensive, compact, easy to maintain.")</f>
        <v>Inexpensive, compact, easy to maintain.</v>
      </c>
    </row>
    <row r="6566" spans="1:9" x14ac:dyDescent="0.3">
      <c r="A6566" s="1" t="s">
        <v>43</v>
      </c>
      <c r="B6566" s="1" t="s">
        <v>303</v>
      </c>
      <c r="C6566" s="1" t="s">
        <v>1721</v>
      </c>
      <c r="D6566" s="1" t="s">
        <v>280</v>
      </c>
      <c r="E6566" s="1" t="s">
        <v>4483</v>
      </c>
      <c r="F6566" s="1" t="s">
        <v>10372</v>
      </c>
      <c r="G6566" s="1" t="s">
        <v>36</v>
      </c>
      <c r="H6566" s="1" t="s">
        <v>29</v>
      </c>
      <c r="I6566" s="1" t="str">
        <f ca="1">IFERROR(__xludf.DUMMYFUNCTION("GOOGLETRANSLATE(F6566, ""auto"", ""en"")
"),"I want to say thank you for your purchase. I have been using the Ariston Velis 80 water heater for more than a year, in conditions where there is no central hot water. He showed himself very well. Big advantages compared to other models and manufacturers "&amp;"&amp;ndash; display of the current temperature, 2 customizable programs and of course, fast mode &amp;ndash; if you know how to use them. You can significantly reduce energy costs for operating a water heater. As a result of experiments with the settings, I came "&amp;"up with a consumption of 6 kW per working day with three users. At the same time, we wash in the shower; a break between two washes should be taken for 30-40 minutes, so that there is time left for other household needs. If in the morning before work and "&amp;"it doesn’t matter whether there is hot water left &amp;ndash; You can wash all three of them in a row, but quickly. I praise Agret!")</f>
        <v>I want to say thank you for your purchase. I have been using the Ariston Velis 80 water heater for more than a year, in conditions where there is no central hot water. He showed himself very well. Big advantages compared to other models and manufacturers &amp;ndash; display of the current temperature, 2 customizable programs and of course, fast mode &amp;ndash; if you know how to use them. You can significantly reduce energy costs for operating a water heater. As a result of experiments with the settings, I came up with a consumption of 6 kW per working day with three users. At the same time, we wash in the shower; a break between two washes should be taken for 30-40 minutes, so that there is time left for other household needs. If in the morning before work and it doesn’t matter whether there is hot water left &amp;ndash; You can wash all three of them in a row, but quickly. I praise Agret!</v>
      </c>
    </row>
    <row r="6567" spans="1:9" x14ac:dyDescent="0.3">
      <c r="A6567" s="1" t="s">
        <v>211</v>
      </c>
      <c r="B6567" s="1" t="s">
        <v>212</v>
      </c>
      <c r="C6567" s="1" t="s">
        <v>69</v>
      </c>
      <c r="D6567" s="1" t="s">
        <v>75</v>
      </c>
      <c r="E6567" s="1" t="s">
        <v>8258</v>
      </c>
      <c r="F6567" s="1" t="s">
        <v>10373</v>
      </c>
      <c r="G6567" s="1" t="s">
        <v>36</v>
      </c>
      <c r="H6567" s="1" t="s">
        <v>29</v>
      </c>
      <c r="I6567" s="1" t="str">
        <f ca="1">IFERROR(__xludf.DUMMYFUNCTION("GOOGLETRANSLATE(F6567, ""auto"", ""en"")
"),"I purchased this hair dryer again. The first one worked for 9 years. The power cord at the input to the handle has become frayed. Operated five days a week. I recommend it.")</f>
        <v>I purchased this hair dryer again. The first one worked for 9 years. The power cord at the input to the handle has become frayed. Operated five days a week. I recommend it.</v>
      </c>
    </row>
    <row r="6568" spans="1:9" x14ac:dyDescent="0.3">
      <c r="A6568" s="1" t="s">
        <v>30</v>
      </c>
      <c r="B6568" s="1" t="s">
        <v>50</v>
      </c>
      <c r="C6568" s="1" t="s">
        <v>32</v>
      </c>
      <c r="D6568" s="1" t="s">
        <v>52</v>
      </c>
      <c r="E6568" s="1" t="s">
        <v>643</v>
      </c>
      <c r="F6568" s="1" t="s">
        <v>10374</v>
      </c>
      <c r="G6568" s="1" t="s">
        <v>36</v>
      </c>
      <c r="H6568" s="1" t="s">
        <v>29</v>
      </c>
      <c r="I6568" s="1" t="str">
        <f ca="1">IFERROR(__xludf.DUMMYFUNCTION("GOOGLETRANSLATE(F6568, ""auto"", ""en"")
"),"The laptop is really good, especially the fact that it is built on a new platform with support for DD3 and the latest i3 processor and is inexpensive. I will not “demolish” Windows, it is quite functional, and the lack of the ability to change the backgro"&amp;"und image can be compensated by installing third-party programs, for example PUSH.Entertainment.DreamScene.Video.Wallpaper, which uses any video file as a background. When installing a “pirate” operating system, there is a high probability that you ""fly"&amp;""" out of warranty.")</f>
        <v>The laptop is really good, especially the fact that it is built on a new platform with support for DD3 and the latest i3 processor and is inexpensive. I will not “demolish” Windows, it is quite functional, and the lack of the ability to change the background image can be compensated by installing third-party programs, for example PUSH.Entertainment.DreamScene.Video.Wallpaper, which uses any video file as a background. When installing a “pirate” operating system, there is a high probability that you "fly" out of warranty.</v>
      </c>
    </row>
    <row r="6569" spans="1:9" x14ac:dyDescent="0.3">
      <c r="A6569" s="1" t="s">
        <v>78</v>
      </c>
      <c r="B6569" s="1" t="s">
        <v>79</v>
      </c>
      <c r="C6569" s="1" t="s">
        <v>122</v>
      </c>
      <c r="D6569" s="1" t="s">
        <v>6884</v>
      </c>
      <c r="E6569" s="1" t="s">
        <v>1273</v>
      </c>
      <c r="F6569" s="1" t="s">
        <v>10375</v>
      </c>
      <c r="G6569" s="1" t="s">
        <v>49</v>
      </c>
      <c r="H6569" s="1" t="s">
        <v>16</v>
      </c>
      <c r="I6569" s="1" t="str">
        <f ca="1">IFERROR(__xludf.DUMMYFUNCTION("GOOGLETRANSLATE(F6569, ""auto"", ""en"")
"),"bought on 01/20/10, on the third day the grill does not work. Now you won’t find the culprit. There are no telephone numbers of service workshops in the documents. Not reputable!!!!")</f>
        <v>bought on 01/20/10, on the third day the grill does not work. Now you won’t find the culprit. There are no telephone numbers of service workshops in the documents. Not reputable!!!!</v>
      </c>
    </row>
    <row r="6570" spans="1:9" x14ac:dyDescent="0.3">
      <c r="A6570" s="1" t="s">
        <v>30</v>
      </c>
      <c r="B6570" s="1" t="s">
        <v>31</v>
      </c>
      <c r="C6570" s="1" t="s">
        <v>32</v>
      </c>
      <c r="D6570" s="1" t="s">
        <v>1008</v>
      </c>
      <c r="E6570" s="1" t="s">
        <v>209</v>
      </c>
      <c r="F6570" s="1" t="s">
        <v>10376</v>
      </c>
      <c r="G6570" s="1" t="s">
        <v>49</v>
      </c>
      <c r="H6570" s="1" t="s">
        <v>16</v>
      </c>
      <c r="I6570" s="1" t="str">
        <f ca="1">IFERROR(__xludf.DUMMYFUNCTION("GOOGLETRANSLATE(F6570, ""auto"", ""en"")
"),"Despite all the advantages in speed and price, I would still like to note that the delivered product must be in working condition, and not like most.   Including me. It freezes when you turn it on for the first time after about 10 minutes. After surfing t"&amp;"he Internet, I was convinced that many of this particular series of blocks have this problem.  As “knowledgeable people” say, you need to 1. update the BIOS to the latest version. 2. Replace the mouse and keyboard with your own ones so that there are no c"&amp;"onflicts or errors in the configuration. I haven't tried it myself yet.  I'll probably return it.  If anyone has a ready-made solution to correct this “small” defect of the manufacturers, please share.")</f>
        <v>Despite all the advantages in speed and price, I would still like to note that the delivered product must be in working condition, and not like most.   Including me. It freezes when you turn it on for the first time after about 10 minutes. After surfing the Internet, I was convinced that many of this particular series of blocks have this problem.  As “knowledgeable people” say, you need to 1. update the BIOS to the latest version. 2. Replace the mouse and keyboard with your own ones so that there are no conflicts or errors in the configuration. I haven't tried it myself yet.  I'll probably return it.  If anyone has a ready-made solution to correct this “small” defect of the manufacturers, please share.</v>
      </c>
    </row>
    <row r="6571" spans="1:9" x14ac:dyDescent="0.3">
      <c r="A6571" s="1" t="s">
        <v>30</v>
      </c>
      <c r="B6571" s="1" t="s">
        <v>50</v>
      </c>
      <c r="C6571" s="1" t="s">
        <v>51</v>
      </c>
      <c r="D6571" s="1" t="s">
        <v>10377</v>
      </c>
      <c r="E6571" s="1" t="s">
        <v>1510</v>
      </c>
      <c r="F6571" s="1" t="s">
        <v>10378</v>
      </c>
      <c r="G6571" s="1" t="s">
        <v>28</v>
      </c>
      <c r="H6571" s="1" t="s">
        <v>29</v>
      </c>
      <c r="I6571" s="1" t="str">
        <f ca="1">IFERROR(__xludf.DUMMYFUNCTION("GOOGLETRANSLATE(F6571, ""auto"", ""en"")
"),"I bought it today at KS. The quality is normal, there is no noise, the screw creaks slightly, the F1 keys, etc. flimsy. There is one section on the screw, which is not very convenient, but it can be fixed. The seller said that there are no Packard Bell se"&amp;"rvice centers in the city, which is disappointing. The camera shows tolerably well.")</f>
        <v>I bought it today at KS. The quality is normal, there is no noise, the screw creaks slightly, the F1 keys, etc. flimsy. There is one section on the screw, which is not very convenient, but it can be fixed. The seller said that there are no Packard Bell service centers in the city, which is disappointing. The camera shows tolerably well.</v>
      </c>
    </row>
    <row r="6572" spans="1:9" x14ac:dyDescent="0.3">
      <c r="A6572" s="1" t="s">
        <v>61</v>
      </c>
      <c r="B6572" s="1" t="s">
        <v>318</v>
      </c>
      <c r="C6572" s="1" t="s">
        <v>69</v>
      </c>
      <c r="D6572" s="1" t="s">
        <v>411</v>
      </c>
      <c r="E6572" s="1" t="s">
        <v>10379</v>
      </c>
      <c r="F6572" s="1" t="s">
        <v>10380</v>
      </c>
      <c r="G6572" s="1" t="s">
        <v>36</v>
      </c>
      <c r="H6572" s="1" t="s">
        <v>29</v>
      </c>
      <c r="I6572" s="1" t="str">
        <f ca="1">IFERROR(__xludf.DUMMYFUNCTION("GOOGLETRANSLATE(F6572, ""auto"", ""en"")
"),"Excellent kettle. It boils quickly, is not very noisy, if it becomes noisy over time, you need to descale it and everything is in order again. And about those whose glass on the lid breaks, I will say that there was no need to pour and boil water above th"&amp;"e maximum mark of 1.7 liters!!! The kettle is 4 years old, we always pour water a little less than the maximum mark and everything is fine, the glass is strong, I specifically tapped it with my finger today - it’s like new. In general, I recommend it!")</f>
        <v>Excellent kettle. It boils quickly, is not very noisy, if it becomes noisy over time, you need to descale it and everything is in order again. And about those whose glass on the lid breaks, I will say that there was no need to pour and boil water above the maximum mark of 1.7 liters!!! The kettle is 4 years old, we always pour water a little less than the maximum mark and everything is fine, the glass is strong, I specifically tapped it with my finger today - it’s like new. In general, I recommend it!</v>
      </c>
    </row>
    <row r="6573" spans="1:9" x14ac:dyDescent="0.3">
      <c r="A6573" s="1" t="s">
        <v>17</v>
      </c>
      <c r="B6573" s="1" t="s">
        <v>18</v>
      </c>
      <c r="C6573" s="1" t="s">
        <v>290</v>
      </c>
      <c r="D6573" s="1" t="s">
        <v>305</v>
      </c>
      <c r="E6573" s="1" t="s">
        <v>3652</v>
      </c>
      <c r="F6573" s="1" t="s">
        <v>10381</v>
      </c>
      <c r="G6573" s="1" t="s">
        <v>36</v>
      </c>
      <c r="H6573" s="1" t="s">
        <v>29</v>
      </c>
      <c r="I6573" s="1" t="str">
        <f ca="1">IFERROR(__xludf.DUMMYFUNCTION("GOOGLETRANSLATE(F6573, ""auto"", ""en"")
"),"I agree with Vitaly. Excellent device. About Indesit and Bosch - it’s true. I myself used the top Italian Whirlpool for 2 years and was happy, and then I changed it to the flagship Gorenje model and became happy. Machines in the same price range differ ra"&amp;"dically in wash quality. EVERYTHING is there. And it can wash EVERYTHING. The friend I sold model 63101 to is also happy. It’s a pity they don’t sell the Premium series - it’s inexpensive, but the equipment is top notch. As for the Boches, I’m not at all "&amp;"sure that they can wash, well, cotton, synthetics can be done, but I don’t think about the rest (except for the most expensive versions).   There is a separate long story about galvanized housings, quiet operation, an ocean of modes and much more.  Sincer"&amp;"ely, Andrey, seller, 5 years of experience.")</f>
        <v>I agree with Vitaly. Excellent device. About Indesit and Bosch - it’s true. I myself used the top Italian Whirlpool for 2 years and was happy, and then I changed it to the flagship Gorenje model and became happy. Machines in the same price range differ radically in wash quality. EVERYTHING is there. And it can wash EVERYTHING. The friend I sold model 63101 to is also happy. It’s a pity they don’t sell the Premium series - it’s inexpensive, but the equipment is top notch. As for the Boches, I’m not at all sure that they can wash, well, cotton, synthetics can be done, but I don’t think about the rest (except for the most expensive versions).   There is a separate long story about galvanized housings, quiet operation, an ocean of modes and much more.  Sincerely, Andrey, seller, 5 years of experience.</v>
      </c>
    </row>
    <row r="6574" spans="1:9" x14ac:dyDescent="0.3">
      <c r="A6574" s="1" t="s">
        <v>30</v>
      </c>
      <c r="B6574" s="1" t="s">
        <v>50</v>
      </c>
      <c r="C6574" s="1" t="s">
        <v>32</v>
      </c>
      <c r="D6574" s="1" t="s">
        <v>10382</v>
      </c>
      <c r="E6574" s="1" t="s">
        <v>10383</v>
      </c>
      <c r="F6574" s="1" t="s">
        <v>10384</v>
      </c>
      <c r="G6574" s="1" t="s">
        <v>36</v>
      </c>
      <c r="H6574" s="1" t="s">
        <v>29</v>
      </c>
      <c r="I6574" s="1" t="str">
        <f ca="1">IFERROR(__xludf.DUMMYFUNCTION("GOOGLETRANSLATE(F6574, ""auto"", ""en"")
"),"Awesome beech. Fast. Stylish. Beautiful. When you take it out of your bag at a meeting, all eyes are on him and me. It’s very convenient on an airplane - you put it on the table and watch a movie. Just enough for a 5 hour flight. Satisfied.")</f>
        <v>Awesome beech. Fast. Stylish. Beautiful. When you take it out of your bag at a meeting, all eyes are on him and me. It’s very convenient on an airplane - you put it on the table and watch a movie. Just enough for a 5 hour flight. Satisfied.</v>
      </c>
    </row>
    <row r="6575" spans="1:9" x14ac:dyDescent="0.3">
      <c r="A6575" s="1" t="s">
        <v>17</v>
      </c>
      <c r="B6575" s="1" t="s">
        <v>18</v>
      </c>
      <c r="C6575" s="1" t="s">
        <v>134</v>
      </c>
      <c r="D6575" s="1" t="s">
        <v>7841</v>
      </c>
      <c r="E6575" s="1" t="s">
        <v>6175</v>
      </c>
      <c r="F6575" s="1" t="s">
        <v>10385</v>
      </c>
      <c r="G6575" s="1" t="s">
        <v>36</v>
      </c>
      <c r="H6575" s="1" t="s">
        <v>29</v>
      </c>
      <c r="I6575" s="1" t="str">
        <f ca="1">IFERROR(__xludf.DUMMYFUNCTION("GOOGLETRANSLATE(F6575, ""auto"", ""en"")
"),"Standard sizes, which is very good for washing large items, new inverter motor, complete silence + saving electricity, new drum, protection against leakage of the body and hose, weighing the laundry and the program itself will calculate how long to wash, "&amp;"washes silently, you can only hear the spin, powder consumption is very small, there is a foam sensor if there is a lot of powder, it will trigger an additional rinse and many more additional functions, the machine is in its third year, 100% satisfied")</f>
        <v>Standard sizes, which is very good for washing large items, new inverter motor, complete silence + saving electricity, new drum, protection against leakage of the body and hose, weighing the laundry and the program itself will calculate how long to wash, washes silently, you can only hear the spin, powder consumption is very small, there is a foam sensor if there is a lot of powder, it will trigger an additional rinse and many more additional functions, the machine is in its third year, 100% satisfied</v>
      </c>
    </row>
    <row r="6576" spans="1:9" x14ac:dyDescent="0.3">
      <c r="A6576" s="1" t="s">
        <v>9</v>
      </c>
      <c r="B6576" s="1" t="s">
        <v>23</v>
      </c>
      <c r="C6576" s="1" t="s">
        <v>151</v>
      </c>
      <c r="D6576" s="1" t="s">
        <v>10386</v>
      </c>
      <c r="E6576" s="1" t="s">
        <v>504</v>
      </c>
      <c r="F6576" s="1" t="s">
        <v>10387</v>
      </c>
      <c r="G6576" s="1" t="s">
        <v>36</v>
      </c>
      <c r="H6576" s="1" t="s">
        <v>29</v>
      </c>
      <c r="I6576" s="1" t="str">
        <f ca="1">IFERROR(__xludf.DUMMYFUNCTION("GOOGLETRANSLATE(F6576, ""auto"", ""en"")
"),"It’s a good dishwasher, the controls are convenient - on the door, it works quietly and cleans normally, before we had a different brand, we changed it to this one because it practically didn’t wash. There were no problems with connection. What else shoul"&amp;"d I add? There seems to be some kind of protection system inside against water leaks.")</f>
        <v>It’s a good dishwasher, the controls are convenient - on the door, it works quietly and cleans normally, before we had a different brand, we changed it to this one because it practically didn’t wash. There were no problems with connection. What else should I add? There seems to be some kind of protection system inside against water leaks.</v>
      </c>
    </row>
    <row r="6577" spans="1:9" x14ac:dyDescent="0.3">
      <c r="A6577" s="1" t="s">
        <v>169</v>
      </c>
      <c r="B6577" s="1" t="s">
        <v>170</v>
      </c>
      <c r="C6577" s="1" t="s">
        <v>193</v>
      </c>
      <c r="D6577" s="1" t="s">
        <v>891</v>
      </c>
      <c r="E6577" s="1" t="s">
        <v>176</v>
      </c>
      <c r="F6577" s="1" t="s">
        <v>10388</v>
      </c>
      <c r="G6577" s="1" t="s">
        <v>36</v>
      </c>
      <c r="H6577" s="1" t="s">
        <v>29</v>
      </c>
      <c r="I6577" s="1" t="str">
        <f ca="1">IFERROR(__xludf.DUMMYFUNCTION("GOOGLETRANSLATE(F6577, ""auto"", ""en"")
"),"Quite good headphones. Fits the ears very well. just right for winter! Frequencies pick up well and bass too)))) The only drawback is the cable length is too long.")</f>
        <v>Quite good headphones. Fits the ears very well. just right for winter! Frequencies pick up well and bass too)))) The only drawback is the cable length is too long.</v>
      </c>
    </row>
    <row r="6578" spans="1:9" x14ac:dyDescent="0.3">
      <c r="A6578" s="1" t="s">
        <v>17</v>
      </c>
      <c r="B6578" s="1" t="s">
        <v>18</v>
      </c>
      <c r="C6578" s="1" t="s">
        <v>63</v>
      </c>
      <c r="D6578" s="1" t="s">
        <v>10389</v>
      </c>
      <c r="E6578" s="1" t="s">
        <v>10390</v>
      </c>
      <c r="F6578" s="1" t="s">
        <v>10391</v>
      </c>
      <c r="G6578" s="1" t="s">
        <v>36</v>
      </c>
      <c r="H6578" s="1" t="s">
        <v>29</v>
      </c>
      <c r="I6578" s="1" t="str">
        <f ca="1">IFERROR(__xludf.DUMMYFUNCTION("GOOGLETRANSLATE(F6578, ""auto"", ""en"")
"),"It washed quite well. The first time I jumped about 15 centimeters during the spin cycle, I almost demolished the sink. I looked at the level and there was a slight tilt. I adjusted the legs and the problem disappeared. You can hardly hear the rattling.  "&amp;"I advise you to buy rubber springs for the legs, they really reduce the noise level of the device.")</f>
        <v>It washed quite well. The first time I jumped about 15 centimeters during the spin cycle, I almost demolished the sink. I looked at the level and there was a slight tilt. I adjusted the legs and the problem disappeared. You can hardly hear the rattling.  I advise you to buy rubber springs for the legs, they really reduce the noise level of the device.</v>
      </c>
    </row>
    <row r="6579" spans="1:9" x14ac:dyDescent="0.3">
      <c r="A6579" s="1" t="s">
        <v>149</v>
      </c>
      <c r="B6579" s="1" t="s">
        <v>576</v>
      </c>
      <c r="C6579" s="1" t="s">
        <v>69</v>
      </c>
      <c r="D6579" s="1" t="s">
        <v>592</v>
      </c>
      <c r="E6579" s="1" t="s">
        <v>950</v>
      </c>
      <c r="F6579" s="1" t="s">
        <v>10392</v>
      </c>
      <c r="G6579" s="1" t="s">
        <v>36</v>
      </c>
      <c r="H6579" s="1" t="s">
        <v>29</v>
      </c>
      <c r="I6579" s="1" t="str">
        <f ca="1">IFERROR(__xludf.DUMMYFUNCTION("GOOGLETRANSLATE(F6579, ""auto"", ""en"")
"),"We spent a very long time and carefully choosing a vacuum cleaner, since a small one appeared in the house, we were afraid that it would get scared. The vacuum cleaner met all our requirements, it works quietly (even when I vacuum when the child is sleepi"&amp;"ng), and has great suction power. Very good and reliable technology.")</f>
        <v>We spent a very long time and carefully choosing a vacuum cleaner, since a small one appeared in the house, we were afraid that it would get scared. The vacuum cleaner met all our requirements, it works quietly (even when I vacuum when the child is sleeping), and has great suction power. Very good and reliable technology.</v>
      </c>
    </row>
    <row r="6580" spans="1:9" x14ac:dyDescent="0.3">
      <c r="A6580" s="1" t="s">
        <v>105</v>
      </c>
      <c r="B6580" s="1" t="s">
        <v>106</v>
      </c>
      <c r="C6580" s="1" t="s">
        <v>151</v>
      </c>
      <c r="D6580" s="1" t="s">
        <v>5789</v>
      </c>
      <c r="E6580" s="1" t="s">
        <v>1481</v>
      </c>
      <c r="F6580" s="1" t="s">
        <v>10393</v>
      </c>
      <c r="G6580" s="1" t="s">
        <v>28</v>
      </c>
      <c r="H6580" s="1" t="s">
        <v>29</v>
      </c>
      <c r="I6580" s="1" t="str">
        <f ca="1">IFERROR(__xludf.DUMMYFUNCTION("GOOGLETRANSLATE(F6580, ""auto"", ""en"")
"),"1.is there a playlist?  2.how long is it enough?  3.Where can I adjust the volume?  thanks in advance)")</f>
        <v>1.is there a playlist?  2.how long is it enough?  3.Where can I adjust the volume?  thanks in advance)</v>
      </c>
    </row>
    <row r="6581" spans="1:9" x14ac:dyDescent="0.3">
      <c r="A6581" s="1" t="s">
        <v>17</v>
      </c>
      <c r="B6581" s="1" t="s">
        <v>18</v>
      </c>
      <c r="C6581" s="1" t="s">
        <v>243</v>
      </c>
      <c r="D6581" s="1" t="s">
        <v>280</v>
      </c>
      <c r="E6581" s="1" t="s">
        <v>2887</v>
      </c>
      <c r="F6581" s="1" t="s">
        <v>10394</v>
      </c>
      <c r="G6581" s="1" t="s">
        <v>36</v>
      </c>
      <c r="H6581" s="1" t="s">
        <v>29</v>
      </c>
      <c r="I6581" s="1" t="str">
        <f ca="1">IFERROR(__xludf.DUMMYFUNCTION("GOOGLETRANSLATE(F6581, ""auto"", ""en"")
"),"It's been working like clockwork for almost 2 years now! Nothing extra, everything is simple and clear! I bought it on sale for RUR 7,000. Everyone is happy!")</f>
        <v>It's been working like clockwork for almost 2 years now! Nothing extra, everything is simple and clear! I bought it on sale for RUR 7,000. Everyone is happy!</v>
      </c>
    </row>
    <row r="6582" spans="1:9" x14ac:dyDescent="0.3">
      <c r="A6582" s="1" t="s">
        <v>211</v>
      </c>
      <c r="B6582" s="1" t="s">
        <v>212</v>
      </c>
      <c r="C6582" s="1" t="s">
        <v>294</v>
      </c>
      <c r="D6582" s="1" t="s">
        <v>589</v>
      </c>
      <c r="E6582" s="1" t="s">
        <v>3512</v>
      </c>
      <c r="F6582" s="1" t="s">
        <v>10395</v>
      </c>
      <c r="G6582" s="1" t="s">
        <v>36</v>
      </c>
      <c r="H6582" s="1" t="s">
        <v>29</v>
      </c>
      <c r="I6582" s="1" t="str">
        <f ca="1">IFERROR(__xludf.DUMMYFUNCTION("GOOGLETRANSLATE(F6582, ""auto"", ""en"")
"),"I've been using this hair dryer for about a year. There are no complaints about his work. Dries hair well. One attachment, but very convenient. The hair is really not electrified, thanks to the ionizer, and does not dry out. Comfortable handle and button "&amp;"placement. I recommend this model to everyone.")</f>
        <v>I've been using this hair dryer for about a year. There are no complaints about his work. Dries hair well. One attachment, but very convenient. The hair is really not electrified, thanks to the ionizer, and does not dry out. Comfortable handle and button placement. I recommend this model to everyone.</v>
      </c>
    </row>
    <row r="6583" spans="1:9" x14ac:dyDescent="0.3">
      <c r="A6583" s="1" t="s">
        <v>61</v>
      </c>
      <c r="B6583" s="1" t="s">
        <v>318</v>
      </c>
      <c r="C6583" s="1" t="s">
        <v>45</v>
      </c>
      <c r="D6583" s="1" t="s">
        <v>471</v>
      </c>
      <c r="E6583" s="1" t="s">
        <v>3494</v>
      </c>
      <c r="F6583" s="1" t="s">
        <v>10396</v>
      </c>
      <c r="G6583" s="1" t="s">
        <v>49</v>
      </c>
      <c r="H6583" s="1" t="s">
        <v>16</v>
      </c>
      <c r="I6583" s="1" t="str">
        <f ca="1">IFERROR(__xludf.DUMMYFUNCTION("GOOGLETRANSLATE(F6583, ""auto"", ""en"")
"),"Similar problem. Leaks around the window and bottom edge. I will change it.")</f>
        <v>Similar problem. Leaks around the window and bottom edge. I will change it.</v>
      </c>
    </row>
    <row r="6584" spans="1:9" x14ac:dyDescent="0.3">
      <c r="A6584" s="1" t="s">
        <v>211</v>
      </c>
      <c r="B6584" s="1" t="s">
        <v>384</v>
      </c>
      <c r="C6584" s="1" t="s">
        <v>63</v>
      </c>
      <c r="D6584" s="1" t="s">
        <v>247</v>
      </c>
      <c r="E6584" s="1" t="s">
        <v>4071</v>
      </c>
      <c r="F6584" s="1" t="s">
        <v>10397</v>
      </c>
      <c r="G6584" s="1" t="s">
        <v>49</v>
      </c>
      <c r="H6584" s="1" t="s">
        <v>16</v>
      </c>
      <c r="I6584" s="1" t="str">
        <f ca="1">IFERROR(__xludf.DUMMYFUNCTION("GOOGLETRANSLATE(F6584, ""auto"", ""en"")
"),"I bought scales. I was happy for about a year, but when the warranty expired, problems began (judging by the reviews, like everyone else). When I contacted the store with a problem, they offered the addresses of service centers, which said that the scales"&amp;" could not be repaired. Isn't it a little expensive for a disposable item?")</f>
        <v>I bought scales. I was happy for about a year, but when the warranty expired, problems began (judging by the reviews, like everyone else). When I contacted the store with a problem, they offered the addresses of service centers, which said that the scales could not be repaired. Isn't it a little expensive for a disposable item?</v>
      </c>
    </row>
    <row r="6585" spans="1:9" x14ac:dyDescent="0.3">
      <c r="A6585" s="1" t="s">
        <v>206</v>
      </c>
      <c r="B6585" s="1" t="s">
        <v>1349</v>
      </c>
      <c r="C6585" s="1" t="s">
        <v>4219</v>
      </c>
      <c r="D6585" s="1" t="s">
        <v>152</v>
      </c>
      <c r="E6585" s="1" t="s">
        <v>1856</v>
      </c>
      <c r="F6585" s="1" t="s">
        <v>10398</v>
      </c>
      <c r="G6585" s="1" t="s">
        <v>28</v>
      </c>
      <c r="H6585" s="1" t="s">
        <v>29</v>
      </c>
      <c r="I6585" s="1" t="str">
        <f ca="1">IFERROR(__xludf.DUMMYFUNCTION("GOOGLETRANSLATE(F6585, ""auto"", ""en"")
"),"Yesterday I purchased this radio in exchange for a broken one. The functionality is the same as my previous model, but a little simpler (there is no panel tilt mode, the panel itself is not automated to close, the display is smaller). But most importantly"&amp;", I can’t set up the Russian menu (the specification on the website says what it is?!). The tuner, radio and TV are more sensitive than the previous model.")</f>
        <v>Yesterday I purchased this radio in exchange for a broken one. The functionality is the same as my previous model, but a little simpler (there is no panel tilt mode, the panel itself is not automated to close, the display is smaller). But most importantly, I can’t set up the Russian menu (the specification on the website says what it is?!). The tuner, radio and TV are more sensitive than the previous model.</v>
      </c>
    </row>
    <row r="6586" spans="1:9" x14ac:dyDescent="0.3">
      <c r="A6586" s="1" t="s">
        <v>373</v>
      </c>
      <c r="B6586" s="1" t="s">
        <v>374</v>
      </c>
      <c r="C6586" s="1" t="s">
        <v>159</v>
      </c>
      <c r="D6586" s="1" t="s">
        <v>471</v>
      </c>
      <c r="E6586" s="1" t="s">
        <v>1891</v>
      </c>
      <c r="F6586" s="1" t="s">
        <v>10399</v>
      </c>
      <c r="G6586" s="1" t="s">
        <v>36</v>
      </c>
      <c r="H6586" s="1" t="s">
        <v>29</v>
      </c>
      <c r="I6586" s="1" t="str">
        <f ca="1">IFERROR(__xludf.DUMMYFUNCTION("GOOGLETRANSLATE(F6586, ""auto"", ""en"")
"),"We bought a dishwasher a month ago, we doubted for a long time whether it was needed (a family of three), but now there is no joy! Especially when the child is small, there is not enough time for anything! And so we accumulate dishes during the day, turn "&amp;"them on in the evening and go to bed, it works silently, you can only hear how it fills and drains water! And I was not mistaken in the sizes; the pots, pans and baking sheets fit! The price was also good, not inferior to the expensive ones from Boshev! s"&amp;"o if you don’t have time to wash the dishes, take it, the equipment is good!")</f>
        <v>We bought a dishwasher a month ago, we doubted for a long time whether it was needed (a family of three), but now there is no joy! Especially when the child is small, there is not enough time for anything! And so we accumulate dishes during the day, turn them on in the evening and go to bed, it works silently, you can only hear how it fills and drains water! And I was not mistaken in the sizes; the pots, pans and baking sheets fit! The price was also good, not inferior to the expensive ones from Boshev! so if you don’t have time to wash the dishes, take it, the equipment is good!</v>
      </c>
    </row>
    <row r="6587" spans="1:9" x14ac:dyDescent="0.3">
      <c r="A6587" s="1" t="s">
        <v>149</v>
      </c>
      <c r="B6587" s="1" t="s">
        <v>423</v>
      </c>
      <c r="C6587" s="1" t="s">
        <v>314</v>
      </c>
      <c r="D6587" s="1" t="s">
        <v>117</v>
      </c>
      <c r="E6587" s="1" t="s">
        <v>3145</v>
      </c>
      <c r="F6587" s="1" t="s">
        <v>10400</v>
      </c>
      <c r="G6587" s="1" t="s">
        <v>94</v>
      </c>
      <c r="H6587" s="1" t="s">
        <v>29</v>
      </c>
      <c r="I6587" s="1" t="str">
        <f ca="1">IFERROR(__xludf.DUMMYFUNCTION("GOOGLETRANSLATE(F6587, ""auto"", ""en"")
"),"Good price for such functionality, build quality and components, high power, beautiful appearance, adjustable power by position, 4 year warranty")</f>
        <v>Good price for such functionality, build quality and components, high power, beautiful appearance, adjustable power by position, 4 year warranty</v>
      </c>
    </row>
    <row r="6588" spans="1:9" x14ac:dyDescent="0.3">
      <c r="A6588" s="1" t="s">
        <v>61</v>
      </c>
      <c r="B6588" s="1" t="s">
        <v>318</v>
      </c>
      <c r="C6588" s="1" t="s">
        <v>85</v>
      </c>
      <c r="D6588" s="1" t="s">
        <v>10401</v>
      </c>
      <c r="E6588" s="1" t="s">
        <v>649</v>
      </c>
      <c r="F6588" s="1" t="s">
        <v>10402</v>
      </c>
      <c r="G6588" s="1" t="s">
        <v>28</v>
      </c>
      <c r="H6588" s="1" t="s">
        <v>29</v>
      </c>
      <c r="I6588" s="1" t="str">
        <f ca="1">IFERROR(__xludf.DUMMYFUNCTION("GOOGLETRANSLATE(F6588, ""auto"", ""en"")
"),"We bought one for our dacha, so far so good. And as for noiselessness, for me there are no completely silent kettles (and vacuum cleaners)...")</f>
        <v>We bought one for our dacha, so far so good. And as for noiselessness, for me there are no completely silent kettles (and vacuum cleaners)...</v>
      </c>
    </row>
    <row r="6589" spans="1:9" x14ac:dyDescent="0.3">
      <c r="A6589" s="1" t="s">
        <v>2087</v>
      </c>
      <c r="B6589" s="1" t="s">
        <v>2088</v>
      </c>
      <c r="C6589" s="1" t="s">
        <v>4545</v>
      </c>
      <c r="D6589" s="1" t="s">
        <v>280</v>
      </c>
      <c r="E6589" s="1" t="s">
        <v>1267</v>
      </c>
      <c r="F6589" s="1" t="s">
        <v>10403</v>
      </c>
      <c r="G6589" s="1" t="s">
        <v>28</v>
      </c>
      <c r="H6589" s="1" t="s">
        <v>29</v>
      </c>
      <c r="I6589" s="1" t="str">
        <f ca="1">IFERROR(__xludf.DUMMYFUNCTION("GOOGLETRANSLATE(F6589, ""auto"", ""en"")
"),"good quality player reproduces all formats; only reads from the hard drive only in FAT 32 format, that is, reads information up to 4 GB")</f>
        <v>good quality player reproduces all formats; only reads from the hard drive only in FAT 32 format, that is, reads information up to 4 GB</v>
      </c>
    </row>
    <row r="6590" spans="1:9" x14ac:dyDescent="0.3">
      <c r="A6590" s="1" t="s">
        <v>37</v>
      </c>
      <c r="B6590" s="1" t="s">
        <v>536</v>
      </c>
      <c r="C6590" s="1" t="s">
        <v>163</v>
      </c>
      <c r="D6590" s="1" t="s">
        <v>10404</v>
      </c>
      <c r="E6590" s="1" t="s">
        <v>3494</v>
      </c>
      <c r="F6590" s="1" t="s">
        <v>10405</v>
      </c>
      <c r="G6590" s="1" t="s">
        <v>36</v>
      </c>
      <c r="H6590" s="1" t="s">
        <v>29</v>
      </c>
      <c r="I6590" s="1" t="str">
        <f ca="1">IFERROR(__xludf.DUMMYFUNCTION("GOOGLETRANSLATE(F6590, ""auto"", ""en"")
"),"The phone is just super, the headphones included are excellent.  Very functional device, I'm satisfied!")</f>
        <v>The phone is just super, the headphones included are excellent.  Very functional device, I'm satisfied!</v>
      </c>
    </row>
    <row r="6591" spans="1:9" x14ac:dyDescent="0.3">
      <c r="A6591" s="1" t="s">
        <v>9</v>
      </c>
      <c r="B6591" s="1" t="s">
        <v>10</v>
      </c>
      <c r="C6591" s="1" t="s">
        <v>3091</v>
      </c>
      <c r="D6591" s="1" t="s">
        <v>10308</v>
      </c>
      <c r="E6591" s="1" t="s">
        <v>7242</v>
      </c>
      <c r="F6591" s="1" t="s">
        <v>10406</v>
      </c>
      <c r="G6591" s="1" t="s">
        <v>28</v>
      </c>
      <c r="H6591" s="1" t="s">
        <v>29</v>
      </c>
      <c r="I6591" s="1" t="str">
        <f ca="1">IFERROR(__xludf.DUMMYFUNCTION("GOOGLETRANSLATE(F6591, ""auto"", ""en"")
"),"The hood is great, the minus is that it is noisy at the last speed. I’ve been using it for 2 years and don’t regret it. Very stylish.")</f>
        <v>The hood is great, the minus is that it is noisy at the last speed. I’ve been using it for 2 years and don’t regret it. Very stylish.</v>
      </c>
    </row>
    <row r="6592" spans="1:9" x14ac:dyDescent="0.3">
      <c r="A6592" s="1" t="s">
        <v>105</v>
      </c>
      <c r="B6592" s="1" t="s">
        <v>106</v>
      </c>
      <c r="C6592" s="1" t="s">
        <v>151</v>
      </c>
      <c r="D6592" s="1" t="s">
        <v>345</v>
      </c>
      <c r="E6592" s="1" t="s">
        <v>2680</v>
      </c>
      <c r="F6592" s="1" t="s">
        <v>10407</v>
      </c>
      <c r="G6592" s="1" t="s">
        <v>36</v>
      </c>
      <c r="H6592" s="1" t="s">
        <v>29</v>
      </c>
      <c r="I6592" s="1" t="str">
        <f ca="1">IFERROR(__xludf.DUMMYFUNCTION("GOOGLETRANSLATE(F6592, ""auto"", ""en"")
"),"I have to disagree with you about the battery. I myself use this device (only 2 GB), bought it on December 31, 2009 (I gave it as a gift to my loved one), 3 days ago I went to Tyumen, the player worked at maximum volume for a total of about 22 hours. If y"&amp;"ou set the volume to 15 and don’t turn on the display in vain, it can easily last about 40 hours. In general, I'm happy with the player, but the downside is that it gets scratched a lot, and there is no bluetooth (I got very used to it on the old YP-T10 p"&amp;"layer)")</f>
        <v>I have to disagree with you about the battery. I myself use this device (only 2 GB), bought it on December 31, 2009 (I gave it as a gift to my loved one), 3 days ago I went to Tyumen, the player worked at maximum volume for a total of about 22 hours. If you set the volume to 15 and don’t turn on the display in vain, it can easily last about 40 hours. In general, I'm happy with the player, but the downside is that it gets scratched a lot, and there is no bluetooth (I got very used to it on the old YP-T10 player)</v>
      </c>
    </row>
    <row r="6593" spans="1:9" x14ac:dyDescent="0.3">
      <c r="A6593" s="1" t="s">
        <v>120</v>
      </c>
      <c r="B6593" s="1" t="s">
        <v>256</v>
      </c>
      <c r="C6593" s="1" t="s">
        <v>80</v>
      </c>
      <c r="D6593" s="1" t="s">
        <v>5991</v>
      </c>
      <c r="E6593" s="1" t="s">
        <v>594</v>
      </c>
      <c r="F6593" s="1" t="s">
        <v>10408</v>
      </c>
      <c r="G6593" s="1" t="s">
        <v>28</v>
      </c>
      <c r="H6593" s="1" t="s">
        <v>29</v>
      </c>
      <c r="I6593" s="1" t="str">
        <f ca="1">IFERROR(__xludf.DUMMYFUNCTION("GOOGLETRANSLATE(F6593, ""auto"", ""en"")
"),"Help activate the USB port on the 26LG4000 TV for watching movies via a flash drive and DVDs with different formats avi, mp4, etc.! Overall the TV is good. What firmware should I use and how?")</f>
        <v>Help activate the USB port on the 26LG4000 TV for watching movies via a flash drive and DVDs with different formats avi, mp4, etc.! Overall the TV is good. What firmware should I use and how?</v>
      </c>
    </row>
    <row r="6594" spans="1:9" x14ac:dyDescent="0.3">
      <c r="A6594" s="1" t="s">
        <v>206</v>
      </c>
      <c r="B6594" s="1" t="s">
        <v>261</v>
      </c>
      <c r="C6594" s="1" t="s">
        <v>262</v>
      </c>
      <c r="D6594" s="1" t="s">
        <v>10409</v>
      </c>
      <c r="E6594" s="1" t="s">
        <v>5449</v>
      </c>
      <c r="F6594" s="1" t="s">
        <v>10410</v>
      </c>
      <c r="G6594" s="1" t="s">
        <v>49</v>
      </c>
      <c r="H6594" s="1" t="s">
        <v>16</v>
      </c>
      <c r="I6594" s="1" t="str">
        <f ca="1">IFERROR(__xludf.DUMMYFUNCTION("GOOGLETRANSLATE(F6594, ""auto"", ""en"")
"),"I bought it in 2009, it catches only two channels at a distance of two meters from the car and it’s weak. I don’t recommend it")</f>
        <v>I bought it in 2009, it catches only two channels at a distance of two meters from the car and it’s weak. I don’t recommend it</v>
      </c>
    </row>
    <row r="6595" spans="1:9" x14ac:dyDescent="0.3">
      <c r="A6595" s="1" t="s">
        <v>169</v>
      </c>
      <c r="B6595" s="1" t="s">
        <v>170</v>
      </c>
      <c r="C6595" s="1" t="s">
        <v>97</v>
      </c>
      <c r="D6595" s="1" t="s">
        <v>2764</v>
      </c>
      <c r="E6595" s="1" t="s">
        <v>559</v>
      </c>
      <c r="F6595" s="1" t="s">
        <v>10411</v>
      </c>
      <c r="G6595" s="1" t="s">
        <v>36</v>
      </c>
      <c r="H6595" s="1" t="s">
        <v>29</v>
      </c>
      <c r="I6595" s="1" t="str">
        <f ca="1">IFERROR(__xludf.DUMMYFUNCTION("GOOGLETRANSLATE(F6595, ""auto"", ""en"")
"),"Good headphones! My sister bought them a year or a year and a half ago. Recently broke. I was pleasantly surprised when I saw them in the store. I bought it without hesitation, because they have already been tested, and who knows what the rest is about th"&amp;"e sound and quality)")</f>
        <v>Good headphones! My sister bought them a year or a year and a half ago. Recently broke. I was pleasantly surprised when I saw them in the store. I bought it without hesitation, because they have already been tested, and who knows what the rest is about the sound and quality)</v>
      </c>
    </row>
    <row r="6596" spans="1:9" x14ac:dyDescent="0.3">
      <c r="A6596" s="1" t="s">
        <v>61</v>
      </c>
      <c r="B6596" s="1" t="s">
        <v>145</v>
      </c>
      <c r="C6596" s="1" t="s">
        <v>314</v>
      </c>
      <c r="D6596" s="1" t="s">
        <v>326</v>
      </c>
      <c r="E6596" s="1" t="s">
        <v>10412</v>
      </c>
      <c r="F6596" s="1" t="s">
        <v>10413</v>
      </c>
      <c r="G6596" s="1" t="s">
        <v>36</v>
      </c>
      <c r="H6596" s="1" t="s">
        <v>29</v>
      </c>
      <c r="I6596" s="1" t="str">
        <f ca="1">IFERROR(__xludf.DUMMYFUNCTION("GOOGLETRANSLATE(F6596, ""auto"", ""en"")
"),"Normal drying, we've been using it for 2 years - no complaints. Mushrooms, apples, cherries and herbs were dried. Two power modes (the first is for dry products, the second is for more juicy products). High trays (the best for mushrooms) are sometimes swa"&amp;"pped during drying for more uniform drying, although the top tray dries well. A nice addition is the two-year warranty. In general, I recommend it.")</f>
        <v>Normal drying, we've been using it for 2 years - no complaints. Mushrooms, apples, cherries and herbs were dried. Two power modes (the first is for dry products, the second is for more juicy products). High trays (the best for mushrooms) are sometimes swapped during drying for more uniform drying, although the top tray dries well. A nice addition is the two-year warranty. In general, I recommend it.</v>
      </c>
    </row>
    <row r="6597" spans="1:9" x14ac:dyDescent="0.3">
      <c r="A6597" s="1" t="s">
        <v>169</v>
      </c>
      <c r="B6597" s="1" t="s">
        <v>170</v>
      </c>
      <c r="C6597" s="1" t="s">
        <v>122</v>
      </c>
      <c r="D6597" s="1" t="s">
        <v>52</v>
      </c>
      <c r="E6597" s="1" t="s">
        <v>10414</v>
      </c>
      <c r="F6597" s="1" t="s">
        <v>10415</v>
      </c>
      <c r="G6597" s="1" t="s">
        <v>36</v>
      </c>
      <c r="H6597" s="1" t="s">
        <v>29</v>
      </c>
      <c r="I6597" s="1" t="str">
        <f ca="1">IFERROR(__xludf.DUMMYFUNCTION("GOOGLETRANSLATE(F6597, ""auto"", ""en"")
"),"Normal, high-quality “ears” for relatively little money.  I'm not a music lover - it's enough for a computer and TV. They win back their price 100%.  They fit very comfortably on your head - you can hardly feel them.")</f>
        <v>Normal, high-quality “ears” for relatively little money.  I'm not a music lover - it's enough for a computer and TV. They win back their price 100%.  They fit very comfortably on your head - you can hardly feel them.</v>
      </c>
    </row>
    <row r="6598" spans="1:9" x14ac:dyDescent="0.3">
      <c r="A6598" s="1" t="s">
        <v>89</v>
      </c>
      <c r="B6598" s="1" t="s">
        <v>231</v>
      </c>
      <c r="C6598" s="1" t="s">
        <v>185</v>
      </c>
      <c r="D6598" s="1" t="s">
        <v>10416</v>
      </c>
      <c r="E6598" s="1" t="s">
        <v>708</v>
      </c>
      <c r="F6598" s="1" t="s">
        <v>10417</v>
      </c>
      <c r="G6598" s="1" t="s">
        <v>36</v>
      </c>
      <c r="H6598" s="1" t="s">
        <v>29</v>
      </c>
      <c r="I6598" s="1" t="str">
        <f ca="1">IFERROR(__xludf.DUMMYFUNCTION("GOOGLETRANSLATE(F6598, ""auto"", ""en"")
"),"I bought a car 3 days ago! To be honest, I didn’t expect such delight! The espresso is simply superb with delicate foam! Cappuccino needs a little practice and everything is OK! For me, one minus (if it can be considered a minus) is the close location of "&amp;"the spout from which the coffee pours to the body of the unit! This makes it a little difficult to “paint” on milk foam! Overall the car is SUPERB!")</f>
        <v>I bought a car 3 days ago! To be honest, I didn’t expect such delight! The espresso is simply superb with delicate foam! Cappuccino needs a little practice and everything is OK! For me, one minus (if it can be considered a minus) is the close location of the spout from which the coffee pours to the body of the unit! This makes it a little difficult to “paint” on milk foam! Overall the car is SUPERB!</v>
      </c>
    </row>
    <row r="6599" spans="1:9" x14ac:dyDescent="0.3">
      <c r="A6599" s="1" t="s">
        <v>149</v>
      </c>
      <c r="B6599" s="1" t="s">
        <v>150</v>
      </c>
      <c r="C6599" s="1" t="s">
        <v>982</v>
      </c>
      <c r="D6599" s="1" t="s">
        <v>10418</v>
      </c>
      <c r="E6599" s="1" t="s">
        <v>5790</v>
      </c>
      <c r="F6599" s="1" t="s">
        <v>10419</v>
      </c>
      <c r="G6599" s="1" t="s">
        <v>36</v>
      </c>
      <c r="H6599" s="1" t="s">
        <v>29</v>
      </c>
      <c r="I6599" s="1" t="str">
        <f ca="1">IFERROR(__xludf.DUMMYFUNCTION("GOOGLETRANSLATE(F6599, ""auto"", ""en"")
"),"This model was purchased in mid-2009. My husband bought an additional ordinary rubber hose of the required length and hooked it up to a water tank in the garage, raised it 30-40 cm from the floor and this pressure is enough for excellent work. And you don"&amp;"’t need any plumbing!!! The water consumption per car with shampoo is 5-6 liters and another 10-15 liters to wash off, very economical. We are completely satisfied with our choice.")</f>
        <v>This model was purchased in mid-2009. My husband bought an additional ordinary rubber hose of the required length and hooked it up to a water tank in the garage, raised it 30-40 cm from the floor and this pressure is enough for excellent work. And you don’t need any plumbing!!! The water consumption per car with shampoo is 5-6 liters and another 10-15 liters to wash off, very economical. We are completely satisfied with our choice.</v>
      </c>
    </row>
    <row r="6600" spans="1:9" x14ac:dyDescent="0.3">
      <c r="A6600" s="1" t="s">
        <v>9</v>
      </c>
      <c r="B6600" s="1" t="s">
        <v>10</v>
      </c>
      <c r="C6600" s="1" t="s">
        <v>290</v>
      </c>
      <c r="D6600" s="1" t="s">
        <v>52</v>
      </c>
      <c r="E6600" s="1" t="s">
        <v>4240</v>
      </c>
      <c r="F6600" s="1" t="s">
        <v>10420</v>
      </c>
      <c r="G6600" s="1" t="s">
        <v>36</v>
      </c>
      <c r="H6600" s="1" t="s">
        <v>29</v>
      </c>
      <c r="I6600" s="1" t="str">
        <f ca="1">IFERROR(__xludf.DUMMYFUNCTION("GOOGLETRANSLATE(F6600, ""auto"", ""en"")
"),"Design, high-quality assembly, pleasant lighting")</f>
        <v>Design, high-quality assembly, pleasant lighting</v>
      </c>
    </row>
    <row r="6601" spans="1:9" x14ac:dyDescent="0.3">
      <c r="A6601" s="1" t="s">
        <v>37</v>
      </c>
      <c r="B6601" s="1" t="s">
        <v>536</v>
      </c>
      <c r="C6601" s="1" t="s">
        <v>151</v>
      </c>
      <c r="D6601" s="1" t="s">
        <v>10421</v>
      </c>
      <c r="E6601" s="1" t="s">
        <v>832</v>
      </c>
      <c r="F6601" s="1" t="s">
        <v>10422</v>
      </c>
      <c r="G6601" s="1" t="s">
        <v>36</v>
      </c>
      <c r="H6601" s="1" t="s">
        <v>29</v>
      </c>
      <c r="I6601" s="1" t="str">
        <f ca="1">IFERROR(__xludf.DUMMYFUNCTION("GOOGLETRANSLATE(F6601, ""auto"", ""en"")
"),"I will only buy this phone, it’s just super")</f>
        <v>I will only buy this phone, it’s just super</v>
      </c>
    </row>
    <row r="6602" spans="1:9" x14ac:dyDescent="0.3">
      <c r="A6602" s="1" t="s">
        <v>149</v>
      </c>
      <c r="B6602" s="1" t="s">
        <v>155</v>
      </c>
      <c r="C6602" s="1" t="s">
        <v>63</v>
      </c>
      <c r="D6602" s="1" t="s">
        <v>10423</v>
      </c>
      <c r="E6602" s="1" t="s">
        <v>10424</v>
      </c>
      <c r="F6602" s="1" t="s">
        <v>10425</v>
      </c>
      <c r="G6602" s="1" t="s">
        <v>36</v>
      </c>
      <c r="H6602" s="1" t="s">
        <v>29</v>
      </c>
      <c r="I6602" s="1" t="str">
        <f ca="1">IFERROR(__xludf.DUMMYFUNCTION("GOOGLETRANSLATE(F6602, ""auto"", ""en"")
"),"Great purchase! It's truly silent!  Powerful even at the minimum of its capabilities, compact, beautiful modern design. Shine! Very pleased with the purchase. Thank you, M.video!")</f>
        <v>Great purchase! It's truly silent!  Powerful even at the minimum of its capabilities, compact, beautiful modern design. Shine! Very pleased with the purchase. Thank you, M.video!</v>
      </c>
    </row>
    <row r="6603" spans="1:9" x14ac:dyDescent="0.3">
      <c r="A6603" s="1" t="s">
        <v>120</v>
      </c>
      <c r="B6603" s="1" t="s">
        <v>121</v>
      </c>
      <c r="C6603" s="1" t="s">
        <v>151</v>
      </c>
      <c r="D6603" s="1" t="s">
        <v>280</v>
      </c>
      <c r="E6603" s="1" t="s">
        <v>2008</v>
      </c>
      <c r="F6603" s="1" t="s">
        <v>10426</v>
      </c>
      <c r="G6603" s="1" t="s">
        <v>36</v>
      </c>
      <c r="H6603" s="1" t="s">
        <v>29</v>
      </c>
      <c r="I6603" s="1" t="str">
        <f ca="1">IFERROR(__xludf.DUMMYFUNCTION("GOOGLETRANSLATE(F6603, ""auto"", ""en"")
"),"Great device! Well worth the money! Super image quality is SUPER! Even analog television viewing is better than on old TVs! The advantages have already been described below, so it remains to add a number of advantages: 1. Although the internal speakers ar"&amp;"e not so hot (for watching TV they are fine, but for movies you need something more vigorous), it is better to connect via a scart-scart cable to a home theater or DVD player with speakers.  2. Analogue television is quite decent (if you have previously w"&amp;"atched a tube TV that is more than 5-10 years old), one might even say very good - due to the contrast and 100Hz.    To summarize, we can say once again that the TV is worth the money - if you need a TV of the future - not even a TV, but a real computer -"&amp;" the functionality is excellent, the image quality is analog - Full HD is excellent, the design is excellent! Solid 5+ :)")</f>
        <v>Great device! Well worth the money! Super image quality is SUPER! Even analog television viewing is better than on old TVs! The advantages have already been described below, so it remains to add a number of advantages: 1. Although the internal speakers are not so hot (for watching TV they are fine, but for movies you need something more vigorous), it is better to connect via a scart-scart cable to a home theater or DVD player with speakers.  2. Analogue television is quite decent (if you have previously watched a tube TV that is more than 5-10 years old), one might even say very good - due to the contrast and 100Hz.    To summarize, we can say once again that the TV is worth the money - if you need a TV of the future - not even a TV, but a real computer - the functionality is excellent, the image quality is analog - Full HD is excellent, the design is excellent! Solid 5+ :)</v>
      </c>
    </row>
    <row r="6604" spans="1:9" x14ac:dyDescent="0.3">
      <c r="A6604" s="1" t="s">
        <v>211</v>
      </c>
      <c r="B6604" s="1" t="s">
        <v>212</v>
      </c>
      <c r="C6604" s="1" t="s">
        <v>745</v>
      </c>
      <c r="D6604" s="1" t="s">
        <v>456</v>
      </c>
      <c r="E6604" s="1" t="s">
        <v>10427</v>
      </c>
      <c r="F6604" s="1" t="s">
        <v>10428</v>
      </c>
      <c r="G6604" s="1" t="s">
        <v>49</v>
      </c>
      <c r="H6604" s="1" t="s">
        <v>16</v>
      </c>
      <c r="I6604" s="1" t="str">
        <f ca="1">IFERROR(__xludf.DUMMYFUNCTION("GOOGLETRANSLATE(F6604, ""auto"", ""en"")
"),"The hair dryer is too bulky and not ergonomic at all: it doesn’t fit in your hand, it literally jumps out of your fingers; when you use it, you either close the air intake hole with your palm, or you press the button, which causes the brush to fall off th"&amp;"e hair dryer. The cord is short and not adaptable. The main thing is power - it is not adjustable!!!! Only heating is regulated here. A strong air flow blows away not only the hairs (I think it’s unnecessary to mention hair styling!!!), but also the perso"&amp;"n himself. The money could have simply been flushed down the toilet rather than buying this Chinese hair sucker")</f>
        <v>The hair dryer is too bulky and not ergonomic at all: it doesn’t fit in your hand, it literally jumps out of your fingers; when you use it, you either close the air intake hole with your palm, or you press the button, which causes the brush to fall off the hair dryer. The cord is short and not adaptable. The main thing is power - it is not adjustable!!!! Only heating is regulated here. A strong air flow blows away not only the hairs (I think it’s unnecessary to mention hair styling!!!), but also the person himself. The money could have simply been flushed down the toilet rather than buying this Chinese hair sucker</v>
      </c>
    </row>
    <row r="6605" spans="1:9" x14ac:dyDescent="0.3">
      <c r="A6605" s="1" t="s">
        <v>17</v>
      </c>
      <c r="B6605" s="1" t="s">
        <v>18</v>
      </c>
      <c r="C6605" s="1" t="s">
        <v>151</v>
      </c>
      <c r="D6605" s="1" t="s">
        <v>308</v>
      </c>
      <c r="E6605" s="1" t="s">
        <v>2150</v>
      </c>
      <c r="F6605" s="1" t="s">
        <v>10429</v>
      </c>
      <c r="G6605" s="1" t="s">
        <v>36</v>
      </c>
      <c r="H6605" s="1" t="s">
        <v>29</v>
      </c>
      <c r="I6605" s="1" t="str">
        <f ca="1">IFERROR(__xludf.DUMMYFUNCTION("GOOGLETRANSLATE(F6605, ""auto"", ""en"")
"),"The car is absolutely nothing!!!! For such a price, you can even say it's a gift!!! As for assembly, I think that in Russia they assemble no better than in China (if not worse)... (just take cars as an example). The presence of a display is a huge plus. I"&amp;"t doesn’t wash noisily; we haven’t noticed the difference between the drum and ordinary ones yet! Doesn't vibrate, doesn't jump!!! And the dimensions are very compact for 6 kg! In general, so far everything is good!")</f>
        <v>The car is absolutely nothing!!!! For such a price, you can even say it's a gift!!! As for assembly, I think that in Russia they assemble no better than in China (if not worse)... (just take cars as an example). The presence of a display is a huge plus. It doesn’t wash noisily; we haven’t noticed the difference between the drum and ordinary ones yet! Doesn't vibrate, doesn't jump!!! And the dimensions are very compact for 6 kg! In general, so far everything is good!</v>
      </c>
    </row>
    <row r="6606" spans="1:9" x14ac:dyDescent="0.3">
      <c r="A6606" s="1" t="s">
        <v>9</v>
      </c>
      <c r="B6606" s="1" t="s">
        <v>133</v>
      </c>
      <c r="C6606" s="1" t="s">
        <v>290</v>
      </c>
      <c r="D6606" s="1" t="s">
        <v>589</v>
      </c>
      <c r="E6606" s="1" t="s">
        <v>386</v>
      </c>
      <c r="F6606" s="1" t="s">
        <v>10430</v>
      </c>
      <c r="G6606" s="1" t="s">
        <v>36</v>
      </c>
      <c r="H6606" s="1" t="s">
        <v>29</v>
      </c>
      <c r="I6606" s="1" t="str">
        <f ca="1">IFERROR(__xludf.DUMMYFUNCTION("GOOGLETRANSLATE(F6606, ""auto"", ""en"")
"),"Excellent quality item!!! )))))))))))))))))))))")</f>
        <v>Excellent quality item!!! )))))))))))))))))))))</v>
      </c>
    </row>
    <row r="6607" spans="1:9" x14ac:dyDescent="0.3">
      <c r="A6607" s="1" t="s">
        <v>67</v>
      </c>
      <c r="B6607" s="1" t="s">
        <v>68</v>
      </c>
      <c r="C6607" s="1" t="s">
        <v>246</v>
      </c>
      <c r="D6607" s="1" t="s">
        <v>81</v>
      </c>
      <c r="E6607" s="1" t="s">
        <v>1287</v>
      </c>
      <c r="F6607" s="1" t="s">
        <v>10431</v>
      </c>
      <c r="G6607" s="1" t="s">
        <v>36</v>
      </c>
      <c r="H6607" s="1" t="s">
        <v>29</v>
      </c>
      <c r="I6607" s="1" t="str">
        <f ca="1">IFERROR(__xludf.DUMMYFUNCTION("GOOGLETRANSLATE(F6607, ""auto"", ""en"")
"),"Excellent iron. I bought it for my wife. Be sure to unpack the box in the store.")</f>
        <v>Excellent iron. I bought it for my wife. Be sure to unpack the box in the store.</v>
      </c>
    </row>
    <row r="6608" spans="1:9" x14ac:dyDescent="0.3">
      <c r="A6608" s="1" t="s">
        <v>1119</v>
      </c>
      <c r="B6608" s="1" t="s">
        <v>1120</v>
      </c>
      <c r="C6608" s="1" t="s">
        <v>97</v>
      </c>
      <c r="D6608" s="1" t="s">
        <v>10432</v>
      </c>
      <c r="E6608" s="1" t="s">
        <v>1868</v>
      </c>
      <c r="F6608" s="1" t="s">
        <v>10433</v>
      </c>
      <c r="G6608" s="1" t="s">
        <v>36</v>
      </c>
      <c r="H6608" s="1" t="s">
        <v>29</v>
      </c>
      <c r="I6608" s="1" t="str">
        <f ca="1">IFERROR(__xludf.DUMMYFUNCTION("GOOGLETRANSLATE(F6608, ""auto"", ""en"")
"),"We bought the camera in the summer of 2010. We filmed both at home and outdoors. The colors are excellent, the picture is bright. I have no complaints about the sound from extending the lens. I didn't even notice it until I read the reviews here. )) Photo"&amp;" yes, not very good. But this is not a camera. And it performs its function perfectly. Compact, turns on quickly, which is important when there are small children in the family))) Quickly capture the moment - she can do that!!!    I won’t talk about the b"&amp;"attery, because... We immediately bought a battery for it, and we removed it for six months without any recharging.  So I recommend it!")</f>
        <v>We bought the camera in the summer of 2010. We filmed both at home and outdoors. The colors are excellent, the picture is bright. I have no complaints about the sound from extending the lens. I didn't even notice it until I read the reviews here. )) Photo yes, not very good. But this is not a camera. And it performs its function perfectly. Compact, turns on quickly, which is important when there are small children in the family))) Quickly capture the moment - she can do that!!!    I won’t talk about the battery, because... We immediately bought a battery for it, and we removed it for six months without any recharging.  So I recommend it!</v>
      </c>
    </row>
    <row r="6609" spans="1:9" x14ac:dyDescent="0.3">
      <c r="A6609" s="1" t="s">
        <v>120</v>
      </c>
      <c r="B6609" s="1" t="s">
        <v>121</v>
      </c>
      <c r="C6609" s="1" t="s">
        <v>69</v>
      </c>
      <c r="D6609" s="1" t="s">
        <v>52</v>
      </c>
      <c r="E6609" s="1" t="s">
        <v>1172</v>
      </c>
      <c r="F6609" s="1" t="s">
        <v>10434</v>
      </c>
      <c r="G6609" s="1" t="s">
        <v>28</v>
      </c>
      <c r="H6609" s="1" t="s">
        <v>29</v>
      </c>
      <c r="I6609" s="1" t="str">
        <f ca="1">IFERROR(__xludf.DUMMYFUNCTION("GOOGLETRANSLATE(F6609, ""auto"", ""en"")
"),"It’s a pity that he doesn’t read the video and doesn’t flash it like for example LV. Not very high quality sound")</f>
        <v>It’s a pity that he doesn’t read the video and doesn’t flash it like for example LV. Not very high quality sound</v>
      </c>
    </row>
    <row r="6610" spans="1:9" x14ac:dyDescent="0.3">
      <c r="A6610" s="1" t="s">
        <v>43</v>
      </c>
      <c r="B6610" s="1" t="s">
        <v>1616</v>
      </c>
      <c r="C6610" s="1" t="s">
        <v>85</v>
      </c>
      <c r="D6610" s="1" t="s">
        <v>335</v>
      </c>
      <c r="E6610" s="1" t="s">
        <v>4618</v>
      </c>
      <c r="F6610" s="1" t="s">
        <v>10435</v>
      </c>
      <c r="G6610" s="1" t="s">
        <v>36</v>
      </c>
      <c r="H6610" s="1" t="s">
        <v>29</v>
      </c>
      <c r="I6610" s="1" t="str">
        <f ca="1">IFERROR(__xludf.DUMMYFUNCTION("GOOGLETRANSLATE(F6610, ""auto"", ""en"")
"),"quite quiet, long-lived")</f>
        <v>quite quiet, long-lived</v>
      </c>
    </row>
    <row r="6611" spans="1:9" x14ac:dyDescent="0.3">
      <c r="A6611" s="1" t="s">
        <v>95</v>
      </c>
      <c r="B6611" s="1" t="s">
        <v>648</v>
      </c>
      <c r="C6611" s="1" t="s">
        <v>97</v>
      </c>
      <c r="D6611" s="1" t="s">
        <v>3993</v>
      </c>
      <c r="E6611" s="1" t="s">
        <v>859</v>
      </c>
      <c r="F6611" s="1" t="s">
        <v>10436</v>
      </c>
      <c r="G6611" s="1" t="s">
        <v>36</v>
      </c>
      <c r="H6611" s="1" t="s">
        <v>29</v>
      </c>
      <c r="I6611" s="1" t="str">
        <f ca="1">IFERROR(__xludf.DUMMYFUNCTION("GOOGLETRANSLATE(F6611, ""auto"", ""en"")
"),"Cool console, 2 games included, firmware 6.30.  I'm happy with the purchase, I recommend it to everyone, take it, you won't regret it!")</f>
        <v>Cool console, 2 games included, firmware 6.30.  I'm happy with the purchase, I recommend it to everyone, take it, you won't regret it!</v>
      </c>
    </row>
    <row r="6612" spans="1:9" x14ac:dyDescent="0.3">
      <c r="A6612" s="1" t="s">
        <v>61</v>
      </c>
      <c r="B6612" s="1" t="s">
        <v>726</v>
      </c>
      <c r="C6612" s="1" t="s">
        <v>122</v>
      </c>
      <c r="D6612" s="1" t="s">
        <v>280</v>
      </c>
      <c r="E6612" s="1" t="s">
        <v>1649</v>
      </c>
      <c r="F6612" s="1" t="s">
        <v>10437</v>
      </c>
      <c r="G6612" s="1" t="s">
        <v>36</v>
      </c>
      <c r="H6612" s="1" t="s">
        <v>29</v>
      </c>
      <c r="I6612" s="1" t="str">
        <f ca="1">IFERROR(__xludf.DUMMYFUNCTION("GOOGLETRANSLATE(F6612, ""auto"", ""en"")
"),"I bought it on March 1, I was thinking between Moulinex and Panasonic, I chose Panasonic, I thought with my head, Panasonic is three times less, it consumes 500 watts of electricity. Moulinex 1500W.  I advise everyone to buy Panasonic SD-255 Bread Maker A"&amp;"lexey PERM 03/11/2010")</f>
        <v>I bought it on March 1, I was thinking between Moulinex and Panasonic, I chose Panasonic, I thought with my head, Panasonic is three times less, it consumes 500 watts of electricity. Moulinex 1500W.  I advise everyone to buy Panasonic SD-255 Bread Maker Alexey PERM 03/11/2010</v>
      </c>
    </row>
    <row r="6613" spans="1:9" x14ac:dyDescent="0.3">
      <c r="A6613" s="1" t="s">
        <v>120</v>
      </c>
      <c r="B6613" s="1" t="s">
        <v>121</v>
      </c>
      <c r="C6613" s="1" t="s">
        <v>97</v>
      </c>
      <c r="D6613" s="1" t="s">
        <v>64</v>
      </c>
      <c r="E6613" s="1" t="s">
        <v>2341</v>
      </c>
      <c r="F6613" s="1" t="s">
        <v>10438</v>
      </c>
      <c r="G6613" s="1" t="s">
        <v>28</v>
      </c>
      <c r="H6613" s="1" t="s">
        <v>29</v>
      </c>
      <c r="I6613" s="1" t="str">
        <f ca="1">IFERROR(__xludf.DUMMYFUNCTION("GOOGLETRANSLATE(F6613, ""auto"", ""en"")
"),"Yes, the TV is not bad, but... There is one thing. Trailing problem (afterimage or “ghost frame”). I thought that this model would no longer have such a problem.")</f>
        <v>Yes, the TV is not bad, but... There is one thing. Trailing problem (afterimage or “ghost frame”). I thought that this model would no longer have such a problem.</v>
      </c>
    </row>
    <row r="6614" spans="1:9" x14ac:dyDescent="0.3">
      <c r="A6614" s="1" t="s">
        <v>105</v>
      </c>
      <c r="B6614" s="1" t="s">
        <v>106</v>
      </c>
      <c r="C6614" s="1" t="s">
        <v>1209</v>
      </c>
      <c r="D6614" s="1" t="s">
        <v>52</v>
      </c>
      <c r="E6614" s="1" t="s">
        <v>1571</v>
      </c>
      <c r="F6614" s="1" t="s">
        <v>10439</v>
      </c>
      <c r="G6614" s="1" t="s">
        <v>36</v>
      </c>
      <c r="H6614" s="1" t="s">
        <v>29</v>
      </c>
      <c r="I6614" s="1" t="str">
        <f ca="1">IFERROR(__xludf.DUMMYFUNCTION("GOOGLETRANSLATE(F6614, ""auto"", ""en"")
"),"Good sound, stylish and comfortable buttons.")</f>
        <v>Good sound, stylish and comfortable buttons.</v>
      </c>
    </row>
    <row r="6615" spans="1:9" x14ac:dyDescent="0.3">
      <c r="A6615" s="1" t="s">
        <v>9</v>
      </c>
      <c r="B6615" s="1" t="s">
        <v>10</v>
      </c>
      <c r="C6615" s="1" t="s">
        <v>407</v>
      </c>
      <c r="D6615" s="1" t="s">
        <v>64</v>
      </c>
      <c r="E6615" s="1" t="s">
        <v>9349</v>
      </c>
      <c r="F6615" s="1" t="s">
        <v>10440</v>
      </c>
      <c r="G6615" s="1" t="s">
        <v>36</v>
      </c>
      <c r="H6615" s="1" t="s">
        <v>29</v>
      </c>
      <c r="I6615" s="1" t="str">
        <f ca="1">IFERROR(__xludf.DUMMYFUNCTION("GOOGLETRANSLATE(F6615, ""auto"", ""en"")
"),"I have been using this hood for 3 years (electric hob, glass ceramics), I bought it on the advice of relatives (gas hob), they have had it for 5 years. The hood is excellent, it works great, considering that our kitchen is combined with the living room, t"&amp;"here are no odors. Compared to my mother’s, it is very quiet, at the second speed it feels like the kettle is boiling. We installed it ourselves without the help of specialists, the corrugated pipe that came with the kit was replaced with a plastic one (."&amp;" They pressed on the glass, and how many times I hit it with spoons, everything is fine. I recommend it.")</f>
        <v>I have been using this hood for 3 years (electric hob, glass ceramics), I bought it on the advice of relatives (gas hob), they have had it for 5 years. The hood is excellent, it works great, considering that our kitchen is combined with the living room, there are no odors. Compared to my mother’s, it is very quiet, at the second speed it feels like the kettle is boiling. We installed it ourselves without the help of specialists, the corrugated pipe that came with the kit was replaced with a plastic one (. They pressed on the glass, and how many times I hit it with spoons, everything is fine. I recommend it.</v>
      </c>
    </row>
    <row r="6616" spans="1:9" x14ac:dyDescent="0.3">
      <c r="A6616" s="1" t="s">
        <v>149</v>
      </c>
      <c r="B6616" s="1" t="s">
        <v>155</v>
      </c>
      <c r="C6616" s="1" t="s">
        <v>151</v>
      </c>
      <c r="D6616" s="1" t="s">
        <v>2296</v>
      </c>
      <c r="E6616" s="1" t="s">
        <v>897</v>
      </c>
      <c r="F6616" s="1" t="s">
        <v>10441</v>
      </c>
      <c r="G6616" s="1" t="s">
        <v>36</v>
      </c>
      <c r="H6616" s="1" t="s">
        <v>29</v>
      </c>
      <c r="I6616" s="1" t="str">
        <f ca="1">IFERROR(__xludf.DUMMYFUNCTION("GOOGLETRANSLATE(F6616, ""auto"", ""en"")
"),"An excellent device, I bought it for my wife yesterday, happiness without limits... I was happy to vacuum cleaner myself, it’s really “quiet”, convenient controls on the pipe handle, I liked the automatic function, and the 6 m wire easily reaches anywhere"&amp;" in the room!")</f>
        <v>An excellent device, I bought it for my wife yesterday, happiness without limits... I was happy to vacuum cleaner myself, it’s really “quiet”, convenient controls on the pipe handle, I liked the automatic function, and the 6 m wire easily reaches anywhere in the room!</v>
      </c>
    </row>
    <row r="6617" spans="1:9" x14ac:dyDescent="0.3">
      <c r="A6617" s="1" t="s">
        <v>149</v>
      </c>
      <c r="B6617" s="1" t="s">
        <v>150</v>
      </c>
      <c r="C6617" s="1" t="s">
        <v>57</v>
      </c>
      <c r="D6617" s="1" t="s">
        <v>1036</v>
      </c>
      <c r="E6617" s="1" t="s">
        <v>7965</v>
      </c>
      <c r="F6617" s="1" t="s">
        <v>10442</v>
      </c>
      <c r="G6617" s="1" t="s">
        <v>36</v>
      </c>
      <c r="H6617" s="1" t="s">
        <v>29</v>
      </c>
      <c r="I6617" s="1" t="str">
        <f ca="1">IFERROR(__xludf.DUMMYFUNCTION("GOOGLETRANSLATE(F6617, ""auto"", ""en"")
"),"An excellent vacuum cleaner with a proboscis, it will go everywhere and get everything, it will give pleasure")</f>
        <v>An excellent vacuum cleaner with a proboscis, it will go everywhere and get everything, it will give pleasure</v>
      </c>
    </row>
    <row r="6618" spans="1:9" x14ac:dyDescent="0.3">
      <c r="A6618" s="1" t="s">
        <v>67</v>
      </c>
      <c r="B6618" s="1" t="s">
        <v>68</v>
      </c>
      <c r="C6618" s="1" t="s">
        <v>69</v>
      </c>
      <c r="D6618" s="1" t="s">
        <v>592</v>
      </c>
      <c r="E6618" s="1" t="s">
        <v>6554</v>
      </c>
      <c r="F6618" s="1" t="s">
        <v>10443</v>
      </c>
      <c r="G6618" s="1" t="s">
        <v>36</v>
      </c>
      <c r="H6618" s="1" t="s">
        <v>29</v>
      </c>
      <c r="I6618" s="1" t="str">
        <f ca="1">IFERROR(__xludf.DUMMYFUNCTION("GOOGLETRANSLATE(F6618, ""auto"", ""en"")
"),"The iron is good, I’m happy with its performance. It’s only a little noisy when releasing steam.")</f>
        <v>The iron is good, I’m happy with its performance. It’s only a little noisy when releasing steam.</v>
      </c>
    </row>
    <row r="6619" spans="1:9" x14ac:dyDescent="0.3">
      <c r="A6619" s="1" t="s">
        <v>169</v>
      </c>
      <c r="B6619" s="1" t="s">
        <v>170</v>
      </c>
      <c r="C6619" s="1" t="s">
        <v>97</v>
      </c>
      <c r="D6619" s="1" t="s">
        <v>411</v>
      </c>
      <c r="E6619" s="1" t="s">
        <v>1929</v>
      </c>
      <c r="F6619" s="1" t="s">
        <v>10444</v>
      </c>
      <c r="G6619" s="1" t="s">
        <v>28</v>
      </c>
      <c r="H6619" s="1" t="s">
        <v>29</v>
      </c>
      <c r="I6619" s="1" t="str">
        <f ca="1">IFERROR(__xludf.DUMMYFUNCTION("GOOGLETRANSLATE(F6619, ""auto"", ""en"")
"),"I got hold of these headphones today. The sound is muffled, but there is bass. I was surprised by the ergonomics: a very pleasant and flexible wire, the ears do not get tired. The sound was not surprising; the midrange and high-frequency ranges lacked det"&amp;"ail. Perhaps they will play out over time.  Overall, I'm happy with the purchase. They play adequately for their money.")</f>
        <v>I got hold of these headphones today. The sound is muffled, but there is bass. I was surprised by the ergonomics: a very pleasant and flexible wire, the ears do not get tired. The sound was not surprising; the midrange and high-frequency ranges lacked detail. Perhaps they will play out over time.  Overall, I'm happy with the purchase. They play adequately for their money.</v>
      </c>
    </row>
    <row r="6620" spans="1:9" x14ac:dyDescent="0.3">
      <c r="A6620" s="1" t="s">
        <v>1031</v>
      </c>
      <c r="B6620" s="1" t="s">
        <v>3488</v>
      </c>
      <c r="C6620" s="1" t="s">
        <v>710</v>
      </c>
      <c r="D6620" s="1" t="s">
        <v>5472</v>
      </c>
      <c r="E6620" s="1" t="s">
        <v>2275</v>
      </c>
      <c r="F6620" s="1" t="s">
        <v>10445</v>
      </c>
      <c r="G6620" s="1" t="s">
        <v>28</v>
      </c>
      <c r="H6620" s="1" t="s">
        <v>29</v>
      </c>
      <c r="I6620" s="1" t="str">
        <f ca="1">IFERROR(__xludf.DUMMYFUNCTION("GOOGLETRANSLATE(F6620, ""auto"", ""en"")
"),"It really helped rid the refrigerator of unpleasant odors.")</f>
        <v>It really helped rid the refrigerator of unpleasant odors.</v>
      </c>
    </row>
    <row r="6621" spans="1:9" x14ac:dyDescent="0.3">
      <c r="A6621" s="1" t="s">
        <v>211</v>
      </c>
      <c r="B6621" s="1" t="s">
        <v>212</v>
      </c>
      <c r="C6621" s="1" t="s">
        <v>381</v>
      </c>
      <c r="D6621" s="1" t="s">
        <v>3668</v>
      </c>
      <c r="E6621" s="1" t="s">
        <v>449</v>
      </c>
      <c r="F6621" s="1" t="s">
        <v>10446</v>
      </c>
      <c r="G6621" s="1" t="s">
        <v>36</v>
      </c>
      <c r="H6621" s="1" t="s">
        <v>29</v>
      </c>
      <c r="I6621" s="1" t="str">
        <f ca="1">IFERROR(__xludf.DUMMYFUNCTION("GOOGLETRANSLATE(F6621, ""auto"", ""en"")
"),"Very good curling irons, I am satisfied, the most important thing is to wipe them with a damp cloth before each use, otherwise your hair will become dirty.")</f>
        <v>Very good curling irons, I am satisfied, the most important thing is to wipe them with a damp cloth before each use, otherwise your hair will become dirty.</v>
      </c>
    </row>
    <row r="6622" spans="1:9" x14ac:dyDescent="0.3">
      <c r="A6622" s="1" t="s">
        <v>9</v>
      </c>
      <c r="B6622" s="1" t="s">
        <v>133</v>
      </c>
      <c r="C6622" s="1" t="s">
        <v>63</v>
      </c>
      <c r="D6622" s="1" t="s">
        <v>75</v>
      </c>
      <c r="E6622" s="1" t="s">
        <v>1738</v>
      </c>
      <c r="F6622" s="1" t="s">
        <v>10447</v>
      </c>
      <c r="G6622" s="1" t="s">
        <v>36</v>
      </c>
      <c r="H6622" s="1" t="s">
        <v>29</v>
      </c>
      <c r="I6622" s="1" t="str">
        <f ca="1">IFERROR(__xludf.DUMMYFUNCTION("GOOGLETRANSLATE(F6622, ""auto"", ""en"")
"),"The oven is simply wonderful. Bakes evenly on all sides. The cabinet walls clean themselves; you only need to wipe the bottom of the cabinet, and not always. I'm very pleased. I recommend it to everyone.")</f>
        <v>The oven is simply wonderful. Bakes evenly on all sides. The cabinet walls clean themselves; you only need to wipe the bottom of the cabinet, and not always. I'm very pleased. I recommend it to everyone.</v>
      </c>
    </row>
    <row r="6623" spans="1:9" x14ac:dyDescent="0.3">
      <c r="A6623" s="1" t="s">
        <v>30</v>
      </c>
      <c r="B6623" s="1" t="s">
        <v>31</v>
      </c>
      <c r="C6623" s="1" t="s">
        <v>32</v>
      </c>
      <c r="D6623" s="1" t="s">
        <v>171</v>
      </c>
      <c r="E6623" s="1" t="s">
        <v>4012</v>
      </c>
      <c r="F6623" s="1" t="s">
        <v>10448</v>
      </c>
      <c r="G6623" s="1" t="s">
        <v>28</v>
      </c>
      <c r="H6623" s="1" t="s">
        <v>29</v>
      </c>
      <c r="I6623" s="1" t="str">
        <f ca="1">IFERROR(__xludf.DUMMYFUNCTION("GOOGLETRANSLATE(F6623, ""auto"", ""en"")
"),"The unit is silent, I don’t think there’s a lot of rattling, which is perfect for a gamer. Price-quality.")</f>
        <v>The unit is silent, I don’t think there’s a lot of rattling, which is perfect for a gamer. Price-quality.</v>
      </c>
    </row>
    <row r="6624" spans="1:9" x14ac:dyDescent="0.3">
      <c r="A6624" s="1" t="s">
        <v>120</v>
      </c>
      <c r="B6624" s="1" t="s">
        <v>256</v>
      </c>
      <c r="C6624" s="1" t="s">
        <v>151</v>
      </c>
      <c r="D6624" s="1" t="s">
        <v>152</v>
      </c>
      <c r="E6624" s="1" t="s">
        <v>1167</v>
      </c>
      <c r="F6624" s="1" t="s">
        <v>10449</v>
      </c>
      <c r="G6624" s="1" t="s">
        <v>28</v>
      </c>
      <c r="H6624" s="1" t="s">
        <v>29</v>
      </c>
      <c r="I6624" s="1" t="str">
        <f ca="1">IFERROR(__xludf.DUMMYFUNCTION("GOOGLETRANSLATE(F6624, ""auto"", ""en"")
"),"Good TV for a small room. The terrestrial signal, of course, cannot be “cured” by anything except old CRTs. And digital material is doing quite well for this price category.  There is an error in the description: the ""Picture in Picture (PiP)"" function "&amp;"is not available in this model")</f>
        <v>Good TV for a small room. The terrestrial signal, of course, cannot be “cured” by anything except old CRTs. And digital material is doing quite well for this price category.  There is an error in the description: the "Picture in Picture (PiP)" function is not available in this model</v>
      </c>
    </row>
    <row r="6625" spans="1:9" x14ac:dyDescent="0.3">
      <c r="A6625" s="1" t="s">
        <v>37</v>
      </c>
      <c r="B6625" s="1" t="s">
        <v>1829</v>
      </c>
      <c r="C6625" s="1" t="s">
        <v>151</v>
      </c>
      <c r="D6625" s="1" t="s">
        <v>52</v>
      </c>
      <c r="E6625" s="1" t="s">
        <v>5222</v>
      </c>
      <c r="F6625" s="1" t="s">
        <v>10450</v>
      </c>
      <c r="G6625" s="1" t="s">
        <v>49</v>
      </c>
      <c r="H6625" s="1" t="s">
        <v>16</v>
      </c>
      <c r="I6625" s="1" t="str">
        <f ca="1">IFERROR(__xludf.DUMMYFUNCTION("GOOGLETRANSLATE(F6625, ""auto"", ""en"")
"),"The battery holds disgustingly, the body is slippery, only a person with a palm like a basketball player can hold it in his hand. The speed is like C3, I wasted my money, I bought into advertising gimmicks. Not worth the money.&amp;nbsp;")</f>
        <v>The battery holds disgustingly, the body is slippery, only a person with a palm like a basketball player can hold it in his hand. The speed is like C3, I wasted my money, I bought into advertising gimmicks. Not worth the money.&amp;nbsp;</v>
      </c>
    </row>
    <row r="6626" spans="1:9" x14ac:dyDescent="0.3">
      <c r="A6626" s="1" t="s">
        <v>373</v>
      </c>
      <c r="B6626" s="1" t="s">
        <v>374</v>
      </c>
      <c r="C6626" s="1" t="s">
        <v>63</v>
      </c>
      <c r="D6626" s="1" t="s">
        <v>10451</v>
      </c>
      <c r="E6626" s="1" t="s">
        <v>285</v>
      </c>
      <c r="F6626" s="1" t="s">
        <v>10452</v>
      </c>
      <c r="G6626" s="1" t="s">
        <v>36</v>
      </c>
      <c r="H6626" s="1" t="s">
        <v>29</v>
      </c>
      <c r="I6626" s="1" t="str">
        <f ca="1">IFERROR(__xludf.DUMMYFUNCTION("GOOGLETRANSLATE(F6626, ""auto"", ""en"")
"),"Cool! He has been working for me for 3 years. What a thrill it is not to wash the dishes! It makes quite a lot of noise, though.")</f>
        <v>Cool! He has been working for me for 3 years. What a thrill it is not to wash the dishes! It makes quite a lot of noise, though.</v>
      </c>
    </row>
    <row r="6627" spans="1:9" x14ac:dyDescent="0.3">
      <c r="A6627" s="1" t="s">
        <v>624</v>
      </c>
      <c r="B6627" s="1" t="s">
        <v>625</v>
      </c>
      <c r="C6627" s="1" t="s">
        <v>479</v>
      </c>
      <c r="D6627" s="1" t="s">
        <v>4419</v>
      </c>
      <c r="E6627" s="1" t="s">
        <v>4504</v>
      </c>
      <c r="F6627" s="1" t="s">
        <v>10453</v>
      </c>
      <c r="G6627" s="1" t="s">
        <v>36</v>
      </c>
      <c r="H6627" s="1" t="s">
        <v>29</v>
      </c>
      <c r="I6627" s="1" t="str">
        <f ca="1">IFERROR(__xludf.DUMMYFUNCTION("GOOGLETRANSLATE(F6627, ""auto"", ""en"")
"),"I expect all the best from PES =) I'll go buy it tomorrow. The developers promised that the game will be truly realistic.")</f>
        <v>I expect all the best from PES =) I'll go buy it tomorrow. The developers promised that the game will be truly realistic.</v>
      </c>
    </row>
    <row r="6628" spans="1:9" x14ac:dyDescent="0.3">
      <c r="A6628" s="1" t="s">
        <v>238</v>
      </c>
      <c r="B6628" s="1" t="s">
        <v>276</v>
      </c>
      <c r="C6628" s="1" t="s">
        <v>1677</v>
      </c>
      <c r="D6628" s="1" t="s">
        <v>335</v>
      </c>
      <c r="E6628" s="1" t="s">
        <v>2486</v>
      </c>
      <c r="F6628" s="1" t="s">
        <v>10454</v>
      </c>
      <c r="G6628" s="1" t="s">
        <v>36</v>
      </c>
      <c r="H6628" s="1" t="s">
        <v>29</v>
      </c>
      <c r="I6628" s="1" t="str">
        <f ca="1">IFERROR(__xludf.DUMMYFUNCTION("GOOGLETRANSLATE(F6628, ""auto"", ""en"")
"),"This is our second Sharp refrigerator. The first one is already 11 years old and has moved to another apartment (by the way, it works great). The choice of brand was not particularly important, because Sharp knows a lot about this matter. Nofrost, ionizer"&amp;", ice lighting, etc. etc. all this is present in this product. But the main thing is reliability. It has been working for almost a year and we are confident that it will not disappoint us. I recommend!")</f>
        <v>This is our second Sharp refrigerator. The first one is already 11 years old and has moved to another apartment (by the way, it works great). The choice of brand was not particularly important, because Sharp knows a lot about this matter. Nofrost, ionizer, ice lighting, etc. etc. all this is present in this product. But the main thing is reliability. It has been working for almost a year and we are confident that it will not disappoint us. I recommend!</v>
      </c>
    </row>
    <row r="6629" spans="1:9" x14ac:dyDescent="0.3">
      <c r="A6629" s="1" t="s">
        <v>9</v>
      </c>
      <c r="B6629" s="1" t="s">
        <v>137</v>
      </c>
      <c r="C6629" s="1" t="s">
        <v>159</v>
      </c>
      <c r="D6629" s="1" t="s">
        <v>2764</v>
      </c>
      <c r="E6629" s="1" t="s">
        <v>5800</v>
      </c>
      <c r="F6629" s="1" t="s">
        <v>10455</v>
      </c>
      <c r="G6629" s="1" t="s">
        <v>28</v>
      </c>
      <c r="H6629" s="1" t="s">
        <v>29</v>
      </c>
      <c r="I6629" s="1" t="str">
        <f ca="1">IFERROR(__xludf.DUMMYFUNCTION("GOOGLETRANSLATE(F6629, ""auto"", ""en"")
"),"I bought it from the display at the lowest price without packaging. Excellent condition, all burners work. The wall panel gets a little hot due to the large burner, so I rarely use it. The socket can be washed quickly and even without special tools. Still"&amp;", Siemens keeps its brand. The cast iron grate holds pots and pans securely. With the Indesit, sometimes they would fly off if you caught it a little, because the grille was smooth with rounded edges. Quite a decent inexpensive stylish kitchen accessory.")</f>
        <v>I bought it from the display at the lowest price without packaging. Excellent condition, all burners work. The wall panel gets a little hot due to the large burner, so I rarely use it. The socket can be washed quickly and even without special tools. Still, Siemens keeps its brand. The cast iron grate holds pots and pans securely. With the Indesit, sometimes they would fly off if you caught it a little, because the grille was smooth with rounded edges. Quite a decent inexpensive stylish kitchen accessory.</v>
      </c>
    </row>
    <row r="6630" spans="1:9" x14ac:dyDescent="0.3">
      <c r="A6630" s="1" t="s">
        <v>120</v>
      </c>
      <c r="B6630" s="1" t="s">
        <v>121</v>
      </c>
      <c r="C6630" s="1" t="s">
        <v>80</v>
      </c>
      <c r="D6630" s="1" t="s">
        <v>52</v>
      </c>
      <c r="E6630" s="1" t="s">
        <v>1330</v>
      </c>
      <c r="F6630" s="1" t="s">
        <v>10456</v>
      </c>
      <c r="G6630" s="1" t="s">
        <v>28</v>
      </c>
      <c r="H6630" s="1" t="s">
        <v>29</v>
      </c>
      <c r="I6630" s="1" t="str">
        <f ca="1">IFERROR(__xludf.DUMMYFUNCTION("GOOGLETRANSLATE(F6630, ""auto"", ""en"")
"),"I bought it half a year ago. Now I would take an older model (I regretted the money on the 32LH5000, but there were no others).   I will list what is, for example, in the LH3000 and what is missing in mine: -Design, a matter of taste (the 32lf2510 has a 2"&amp;"009 model year filling, and the body is 2008), I’m already used to it :) -Light sensor that regulates the backlight. At night, 100% backlighting is useless, and power consumption to backlighting is almost a linear relationship, 100% - ~130W, 50% - ~75W, s"&amp;"o automatic adjustment would be helpful.  -Mechanical power switch, for a conservative/elderly person, for example for parents - a plus.  Now about the TV itself. Good matrix, excellent viewing angles, but the black level is a little lame. (When viewing c"&amp;"ontent via hdmi or component inputs, you can select “Black Level” in the image settings not “Auto”, but “Low”, the image as a whole will be darker) Convenient remote control and overall control. The built-in multimedia player of stars from the sky is not "&amp;"enough, but you can use it.     LG, not without reason, believes that there is no digital terrestrial broadcasting in Russia, but in our city several DVB-T channels have been broadcast for several years, in order to find them you need to select another co"&amp;"untry in the settings.   The clock doesn't work. Since there are digital channels, the TV tries to synchronize the clock with them, but apparently the time is not transmitted correctly, and manual input is blocked.  When connecting to a computer via hdmi "&amp;"or VGA in the TV’s native resolution, you can “conjure” a little with the screen refresh rate and settings in the TV so that it correctly “fits” the picture and disables (enables if you like) image processing as for an over-the-air signal.    When connect"&amp;"ed to a PC via hdmi, the “quality” indicator of the DVB-T signal drops to 0 and the picture on digital channels crumbles (while the “signal level” indicator does not change), it is interesting that this happens even when the hdmi cable plug is brought a f"&amp;"ew centimeters to the TV inputs. With a certain installation of the hdmi cable, everything works.  What kind of “cunning” leads are there, who is to blame? :) cable, TV - still unclear.    Excellent as a monitor. The picture from high-resolution signal so"&amp;"urces and even digital broadcasts is impressive. There are no complaints about the reception of analogue broadcasts.  Controlling a TV via a serial port is a function applicable to a hotel TV, embedded in a security system or smart home.")</f>
        <v>I bought it half a year ago. Now I would take an older model (I regretted the money on the 32LH5000, but there were no others).   I will list what is, for example, in the LH3000 and what is missing in mine: -Design, a matter of taste (the 32lf2510 has a 2009 model year filling, and the body is 2008), I’m already used to it :) -Light sensor that regulates the backlight. At night, 100% backlighting is useless, and power consumption to backlighting is almost a linear relationship, 100% - ~130W, 50% - ~75W, so automatic adjustment would be helpful.  -Mechanical power switch, for a conservative/elderly person, for example for parents - a plus.  Now about the TV itself. Good matrix, excellent viewing angles, but the black level is a little lame. (When viewing content via hdmi or component inputs, you can select “Black Level” in the image settings not “Auto”, but “Low”, the image as a whole will be darker) Convenient remote control and overall control. The built-in multimedia player of stars from the sky is not enough, but you can use it.     LG, not without reason, believes that there is no digital terrestrial broadcasting in Russia, but in our city several DVB-T channels have been broadcast for several years, in order to find them you need to select another country in the settings.   The clock doesn't work. Since there are digital channels, the TV tries to synchronize the clock with them, but apparently the time is not transmitted correctly, and manual input is blocked.  When connecting to a computer via hdmi or VGA in the TV’s native resolution, you can “conjure” a little with the screen refresh rate and settings in the TV so that it correctly “fits” the picture and disables (enables if you like) image processing as for an over-the-air signal.    When connected to a PC via hdmi, the “quality” indicator of the DVB-T signal drops to 0 and the picture on digital channels crumbles (while the “signal level” indicator does not change), it is interesting that this happens even when the hdmi cable plug is brought a few centimeters to the TV inputs. With a certain installation of the hdmi cable, everything works.  What kind of “cunning” leads are there, who is to blame? :) cable, TV - still unclear.    Excellent as a monitor. The picture from high-resolution signal sources and even digital broadcasts is impressive. There are no complaints about the reception of analogue broadcasts.  Controlling a TV via a serial port is a function applicable to a hotel TV, embedded in a security system or smart home.</v>
      </c>
    </row>
    <row r="6631" spans="1:9" x14ac:dyDescent="0.3">
      <c r="A6631" s="1" t="s">
        <v>149</v>
      </c>
      <c r="B6631" s="1" t="s">
        <v>155</v>
      </c>
      <c r="C6631" s="1" t="s">
        <v>151</v>
      </c>
      <c r="D6631" s="1" t="s">
        <v>9071</v>
      </c>
      <c r="E6631" s="1" t="s">
        <v>1408</v>
      </c>
      <c r="F6631" s="1" t="s">
        <v>10457</v>
      </c>
      <c r="G6631" s="1" t="s">
        <v>1580</v>
      </c>
      <c r="H6631" s="1" t="s">
        <v>29</v>
      </c>
      <c r="I6631" s="1" t="str">
        <f ca="1">IFERROR(__xludf.DUMMYFUNCTION("GOOGLETRANSLATE(F6631, ""auto"", ""en"")
"),"Powerful, washable filters, convenient to adjust power using buttons directly from the handle")</f>
        <v>Powerful, washable filters, convenient to adjust power using buttons directly from the handle</v>
      </c>
    </row>
    <row r="6632" spans="1:9" x14ac:dyDescent="0.3">
      <c r="A6632" s="1" t="s">
        <v>61</v>
      </c>
      <c r="B6632" s="1" t="s">
        <v>62</v>
      </c>
      <c r="C6632" s="1" t="s">
        <v>63</v>
      </c>
      <c r="D6632" s="1" t="s">
        <v>10458</v>
      </c>
      <c r="E6632" s="1" t="s">
        <v>1540</v>
      </c>
      <c r="F6632" s="1" t="s">
        <v>10459</v>
      </c>
      <c r="G6632" s="1" t="s">
        <v>49</v>
      </c>
      <c r="H6632" s="1" t="s">
        <v>16</v>
      </c>
      <c r="I6632" s="1" t="str">
        <f ca="1">IFERROR(__xludf.DUMMYFUNCTION("GOOGLETRANSLATE(F6632, ""auto"", ""en"")
"),"Two weeks later, a hidden defect was discovered - the limit on/off switch does not work in a fixed position - I exchanged it back for money.")</f>
        <v>Two weeks later, a hidden defect was discovered - the limit on/off switch does not work in a fixed position - I exchanged it back for money.</v>
      </c>
    </row>
    <row r="6633" spans="1:9" x14ac:dyDescent="0.3">
      <c r="A6633" s="1" t="s">
        <v>61</v>
      </c>
      <c r="B6633" s="1" t="s">
        <v>145</v>
      </c>
      <c r="C6633" s="1" t="s">
        <v>1981</v>
      </c>
      <c r="D6633" s="1" t="s">
        <v>308</v>
      </c>
      <c r="E6633" s="1" t="s">
        <v>5040</v>
      </c>
      <c r="F6633" s="1" t="s">
        <v>10460</v>
      </c>
      <c r="G6633" s="1" t="s">
        <v>36</v>
      </c>
      <c r="H6633" s="1" t="s">
        <v>29</v>
      </c>
      <c r="I6633" s="1" t="str">
        <f ca="1">IFERROR(__xludf.DUMMYFUNCTION("GOOGLETRANSLATE(F6633, ""auto"", ""en"")
"),"&amp;nbsp;Great item! Finally, in the morning I eat soft-boiled eggs, boiled exactly as needed, and not the way they turned out. I’m just wondering why I didn’t buy it earlier?!")</f>
        <v>&amp;nbsp;Great item! Finally, in the morning I eat soft-boiled eggs, boiled exactly as needed, and not the way they turned out. I’m just wondering why I didn’t buy it earlier?!</v>
      </c>
    </row>
    <row r="6634" spans="1:9" x14ac:dyDescent="0.3">
      <c r="A6634" s="1" t="s">
        <v>211</v>
      </c>
      <c r="B6634" s="1" t="s">
        <v>212</v>
      </c>
      <c r="C6634" s="1" t="s">
        <v>453</v>
      </c>
      <c r="D6634" s="1" t="s">
        <v>943</v>
      </c>
      <c r="E6634" s="1" t="s">
        <v>683</v>
      </c>
      <c r="F6634" s="1" t="s">
        <v>10461</v>
      </c>
      <c r="G6634" s="1" t="s">
        <v>36</v>
      </c>
      <c r="H6634" s="1" t="s">
        <v>29</v>
      </c>
      <c r="I6634" s="1" t="str">
        <f ca="1">IFERROR(__xludf.DUMMYFUNCTION("GOOGLETRANSLATE(F6634, ""auto"", ""en"")
"),"Good straightener at a low price. Heats up instantly. The wire does not break.")</f>
        <v>Good straightener at a low price. Heats up instantly. The wire does not break.</v>
      </c>
    </row>
    <row r="6635" spans="1:9" x14ac:dyDescent="0.3">
      <c r="A6635" s="1" t="s">
        <v>89</v>
      </c>
      <c r="B6635" s="1" t="s">
        <v>1106</v>
      </c>
      <c r="C6635" s="1" t="s">
        <v>74</v>
      </c>
      <c r="D6635" s="1" t="s">
        <v>474</v>
      </c>
      <c r="E6635" s="1" t="s">
        <v>2806</v>
      </c>
      <c r="F6635" s="1" t="s">
        <v>10462</v>
      </c>
      <c r="G6635" s="1" t="s">
        <v>36</v>
      </c>
      <c r="H6635" s="1" t="s">
        <v>29</v>
      </c>
      <c r="I6635" s="1" t="str">
        <f ca="1">IFERROR(__xludf.DUMMYFUNCTION("GOOGLETRANSLATE(F6635, ""auto"", ""en"")
"),"I bought the Moulinex BCA1L4 coffee maker from M Video on Balkanskaya Square 5. It worked for three years without any problems or complaints. The switch is broken. Not worth repairing. For this price, it served its purpose to the fullest. I wanted it to b"&amp;"e dark in color, I went shopping and they were all white. I went to the M Video website, there are black ones. I'll definitely buy it tomorrow. I'm very pleased with her. Convenient, compact.")</f>
        <v>I bought the Moulinex BCA1L4 coffee maker from M Video on Balkanskaya Square 5. It worked for three years without any problems or complaints. The switch is broken. Not worth repairing. For this price, it served its purpose to the fullest. I wanted it to be dark in color, I went shopping and they were all white. I went to the M Video website, there are black ones. I'll definitely buy it tomorrow. I'm very pleased with her. Convenient, compact.</v>
      </c>
    </row>
    <row r="6636" spans="1:9" x14ac:dyDescent="0.3">
      <c r="A6636" s="1" t="s">
        <v>61</v>
      </c>
      <c r="B6636" s="1" t="s">
        <v>224</v>
      </c>
      <c r="C6636" s="1" t="s">
        <v>85</v>
      </c>
      <c r="D6636" s="1" t="s">
        <v>305</v>
      </c>
      <c r="E6636" s="1" t="s">
        <v>2110</v>
      </c>
      <c r="F6636" s="1" t="s">
        <v>10463</v>
      </c>
      <c r="G6636" s="1" t="s">
        <v>36</v>
      </c>
      <c r="H6636" s="1" t="s">
        <v>29</v>
      </c>
      <c r="I6636" s="1" t="str">
        <f ca="1">IFERROR(__xludf.DUMMYFUNCTION("GOOGLETRANSLATE(F6636, ""auto"", ""en"")
"),"I’ve been using it for over a year! I like the quality of the device, the amount of juice, the taste of the juice... everything in general! I really love tomato juice! It reaps everything!")</f>
        <v>I’ve been using it for over a year! I like the quality of the device, the amount of juice, the taste of the juice... everything in general! I really love tomato juice! It reaps everything!</v>
      </c>
    </row>
    <row r="6637" spans="1:9" x14ac:dyDescent="0.3">
      <c r="A6637" s="1" t="s">
        <v>89</v>
      </c>
      <c r="B6637" s="1" t="s">
        <v>90</v>
      </c>
      <c r="C6637" s="1" t="s">
        <v>63</v>
      </c>
      <c r="D6637" s="1" t="s">
        <v>1188</v>
      </c>
      <c r="E6637" s="1" t="s">
        <v>7624</v>
      </c>
      <c r="F6637" s="1" t="s">
        <v>10464</v>
      </c>
      <c r="G6637" s="1" t="s">
        <v>36</v>
      </c>
      <c r="H6637" s="1" t="s">
        <v>29</v>
      </c>
      <c r="I6637" s="1" t="str">
        <f ca="1">IFERROR(__xludf.DUMMYFUNCTION("GOOGLETRANSLATE(F6637, ""auto"", ""en"")
"),"Grinds everything that comes in the way =)")</f>
        <v>Grinds everything that comes in the way =)</v>
      </c>
    </row>
    <row r="6638" spans="1:9" x14ac:dyDescent="0.3">
      <c r="A6638" s="1" t="s">
        <v>37</v>
      </c>
      <c r="B6638" s="1" t="s">
        <v>38</v>
      </c>
      <c r="C6638" s="1" t="s">
        <v>39</v>
      </c>
      <c r="D6638" s="1" t="s">
        <v>679</v>
      </c>
      <c r="E6638" s="1" t="s">
        <v>6851</v>
      </c>
      <c r="F6638" s="1" t="s">
        <v>10465</v>
      </c>
      <c r="G6638" s="1" t="s">
        <v>36</v>
      </c>
      <c r="H6638" s="1" t="s">
        <v>29</v>
      </c>
      <c r="I6638" s="1" t="str">
        <f ca="1">IFERROR(__xludf.DUMMYFUNCTION("GOOGLETRANSLATE(F6638, ""auto"", ""en"")
"),"The phone is good. It always freezes when you disconnect from the computer, this is the case with almost all Sonny Ericson modules.   Good camera and sound.  The phone is very good to talk to and use.")</f>
        <v>The phone is good. It always freezes when you disconnect from the computer, this is the case with almost all Sonny Ericson modules.   Good camera and sound.  The phone is very good to talk to and use.</v>
      </c>
    </row>
    <row r="6639" spans="1:9" x14ac:dyDescent="0.3">
      <c r="A6639" s="1" t="s">
        <v>169</v>
      </c>
      <c r="B6639" s="1" t="s">
        <v>170</v>
      </c>
      <c r="C6639" s="1" t="s">
        <v>193</v>
      </c>
      <c r="D6639" s="1" t="s">
        <v>348</v>
      </c>
      <c r="E6639" s="1" t="s">
        <v>7367</v>
      </c>
      <c r="F6639" s="1" t="s">
        <v>10466</v>
      </c>
      <c r="G6639" s="1" t="s">
        <v>36</v>
      </c>
      <c r="H6639" s="1" t="s">
        <v>29</v>
      </c>
      <c r="I6639" s="1" t="str">
        <f ca="1">IFERROR(__xludf.DUMMYFUNCTION("GOOGLETRANSLATE(F6639, ""auto"", ""en"")
"),"Excellent headphones! Excellent and clear sound, transmitted directly to the ear, and not to the side, as with some models of in-ear headphones. Comfortable, fits perfectly to the ear and does not fall off. The length of the wire is optimal, the wire is o"&amp;"f high quality, does not diverge, does not bend or break near the plug. The service life is currently two years. And at this price, these headphones are simply a valuable find.")</f>
        <v>Excellent headphones! Excellent and clear sound, transmitted directly to the ear, and not to the side, as with some models of in-ear headphones. Comfortable, fits perfectly to the ear and does not fall off. The length of the wire is optimal, the wire is of high quality, does not diverge, does not bend or break near the plug. The service life is currently two years. And at this price, these headphones are simply a valuable find.</v>
      </c>
    </row>
    <row r="6640" spans="1:9" x14ac:dyDescent="0.3">
      <c r="A6640" s="1" t="s">
        <v>43</v>
      </c>
      <c r="B6640" s="1" t="s">
        <v>303</v>
      </c>
      <c r="C6640" s="1" t="s">
        <v>304</v>
      </c>
      <c r="D6640" s="1" t="s">
        <v>52</v>
      </c>
      <c r="E6640" s="1" t="s">
        <v>10339</v>
      </c>
      <c r="F6640" s="1" t="s">
        <v>10467</v>
      </c>
      <c r="G6640" s="1" t="s">
        <v>28</v>
      </c>
      <c r="H6640" s="1" t="s">
        <v>29</v>
      </c>
      <c r="I6640" s="1" t="str">
        <f ca="1">IFERROR(__xludf.DUMMYFUNCTION("GOOGLETRANSLATE(F6640, ""auto"", ""en"")
"),"Depending on who you like, I liked the design, it doesn’t stink of cheap plastic. Installation is not complicated. The water heats up relatively quickly. The only problem is that the thread on the safety valve is short and, if you don’t grind off the nut "&amp;"(about 3 mm) on the flexible hose, there won’t be a tight connection - it will leak. The flight was normal for a week.")</f>
        <v>Depending on who you like, I liked the design, it doesn’t stink of cheap plastic. Installation is not complicated. The water heats up relatively quickly. The only problem is that the thread on the safety valve is short and, if you don’t grind off the nut (about 3 mm) on the flexible hose, there won’t be a tight connection - it will leak. The flight was normal for a week.</v>
      </c>
    </row>
    <row r="6641" spans="1:9" x14ac:dyDescent="0.3">
      <c r="A6641" s="1" t="s">
        <v>43</v>
      </c>
      <c r="B6641" s="1" t="s">
        <v>334</v>
      </c>
      <c r="C6641" s="1" t="s">
        <v>101</v>
      </c>
      <c r="D6641" s="1" t="s">
        <v>232</v>
      </c>
      <c r="E6641" s="1" t="s">
        <v>4110</v>
      </c>
      <c r="F6641" s="1" t="s">
        <v>10468</v>
      </c>
      <c r="G6641" s="1" t="s">
        <v>36</v>
      </c>
      <c r="H6641" s="1" t="s">
        <v>29</v>
      </c>
      <c r="I6641" s="1" t="str">
        <f ca="1">IFERROR(__xludf.DUMMYFUNCTION("GOOGLETRANSLATE(F6641, ""auto"", ""en"")
"),"Table fan Scarlett SC-1170 White is ideal for home and office. Compact ergonomic design, one speed is enough, it works powerfully even at the first speed, so I don’t use the second.")</f>
        <v>Table fan Scarlett SC-1170 White is ideal for home and office. Compact ergonomic design, one speed is enough, it works powerfully even at the first speed, so I don’t use the second.</v>
      </c>
    </row>
    <row r="6642" spans="1:9" x14ac:dyDescent="0.3">
      <c r="A6642" s="1" t="s">
        <v>43</v>
      </c>
      <c r="B6642" s="1" t="s">
        <v>502</v>
      </c>
      <c r="C6642" s="1" t="s">
        <v>159</v>
      </c>
      <c r="D6642" s="1" t="s">
        <v>64</v>
      </c>
      <c r="E6642" s="1" t="s">
        <v>8605</v>
      </c>
      <c r="F6642" s="1" t="s">
        <v>10469</v>
      </c>
      <c r="G6642" s="1" t="s">
        <v>36</v>
      </c>
      <c r="H6642" s="1" t="s">
        <v>29</v>
      </c>
      <c r="I6642" s="1" t="str">
        <f ca="1">IFERROR(__xludf.DUMMYFUNCTION("GOOGLETRANSLATE(F6642, ""auto"", ""en"")
"),"We bought it a year ago, last summer it worked well, without any failures. We also turn it on this summer, everything went well over the winter. High-quality installation of the air conditioner itself is of great importance; (by qualified specialists) you"&amp;" should not skimp on this. And then any air conditioner will operate normally. Take with a reserve according to the square footage of the room. We took one for a room of 16 sq.m. + combined kitchen 6 sq.m. m.")</f>
        <v>We bought it a year ago, last summer it worked well, without any failures. We also turn it on this summer, everything went well over the winter. High-quality installation of the air conditioner itself is of great importance; (by qualified specialists) you should not skimp on this. And then any air conditioner will operate normally. Take with a reserve according to the square footage of the room. We took one for a room of 16 sq.m. + combined kitchen 6 sq.m. m.</v>
      </c>
    </row>
    <row r="6643" spans="1:9" x14ac:dyDescent="0.3">
      <c r="A6643" s="1" t="s">
        <v>9</v>
      </c>
      <c r="B6643" s="1" t="s">
        <v>10</v>
      </c>
      <c r="C6643" s="1" t="s">
        <v>407</v>
      </c>
      <c r="D6643" s="1" t="s">
        <v>3253</v>
      </c>
      <c r="E6643" s="1" t="s">
        <v>10470</v>
      </c>
      <c r="F6643" s="1" t="s">
        <v>10471</v>
      </c>
      <c r="G6643" s="1" t="s">
        <v>36</v>
      </c>
      <c r="H6643" s="1" t="s">
        <v>29</v>
      </c>
      <c r="I6643" s="1" t="str">
        <f ca="1">IFERROR(__xludf.DUMMYFUNCTION("GOOGLETRANSLATE(F6643, ""auto"", ""en"")
"),"When choosing a hood, it was important for my husband and me to have a carbon filter, because... ventilation is located in another corner of the kitchen.  We chose, compared with analogues, and decided to choose the Shindo Metida 60 W hood. We were not mi"&amp;"staken in our choice, despite the fact that the hood is the simplest, it has very good suction power and little noise.   The combination of price and quality is excellent, I recommend!!!")</f>
        <v>When choosing a hood, it was important for my husband and me to have a carbon filter, because... ventilation is located in another corner of the kitchen.  We chose, compared with analogues, and decided to choose the Shindo Metida 60 W hood. We were not mistaken in our choice, despite the fact that the hood is the simplest, it has very good suction power and little noise.   The combination of price and quality is excellent, I recommend!!!</v>
      </c>
    </row>
    <row r="6644" spans="1:9" x14ac:dyDescent="0.3">
      <c r="A6644" s="1" t="s">
        <v>965</v>
      </c>
      <c r="B6644" s="1" t="s">
        <v>966</v>
      </c>
      <c r="C6644" s="1" t="s">
        <v>2149</v>
      </c>
      <c r="D6644" s="1" t="s">
        <v>10472</v>
      </c>
      <c r="E6644" s="1" t="s">
        <v>418</v>
      </c>
      <c r="F6644" s="1" t="s">
        <v>10473</v>
      </c>
      <c r="G6644" s="1" t="s">
        <v>36</v>
      </c>
      <c r="H6644" s="1" t="s">
        <v>29</v>
      </c>
      <c r="I6644" s="1" t="str">
        <f ca="1">IFERROR(__xludf.DUMMYFUNCTION("GOOGLETRANSLATE(F6644, ""auto"", ""en"")
"),"I purchased this product 3 days ago. I was very pleased! This acoustics met all my expectations... even more! In general, the sound is excellent without distortion! Excellent low purity. The subwoofer produces soft and powerful bass! The volume was also v"&amp;"ery pleasing. 50% of the volume is enough for a room of 15 square meters. I was also pleased with the high-quality assembly and design! In general, take it, you will not regret it!")</f>
        <v>I purchased this product 3 days ago. I was very pleased! This acoustics met all my expectations... even more! In general, the sound is excellent without distortion! Excellent low purity. The subwoofer produces soft and powerful bass! The volume was also very pleasing. 50% of the volume is enough for a room of 15 square meters. I was also pleased with the high-quality assembly and design! In general, take it, you will not regret it!</v>
      </c>
    </row>
    <row r="6645" spans="1:9" x14ac:dyDescent="0.3">
      <c r="A6645" s="1" t="s">
        <v>61</v>
      </c>
      <c r="B6645" s="1" t="s">
        <v>318</v>
      </c>
      <c r="C6645" s="1" t="s">
        <v>122</v>
      </c>
      <c r="D6645" s="1" t="s">
        <v>4835</v>
      </c>
      <c r="E6645" s="1" t="s">
        <v>10474</v>
      </c>
      <c r="F6645" s="1" t="s">
        <v>10475</v>
      </c>
      <c r="G6645" s="1" t="s">
        <v>36</v>
      </c>
      <c r="H6645" s="1" t="s">
        <v>29</v>
      </c>
      <c r="I6645" s="1" t="str">
        <f ca="1">IFERROR(__xludf.DUMMYFUNCTION("GOOGLETRANSLATE(F6645, ""auto"", ""en"")
"),"Water boils in 30 minutes, maximum power 700 watts. I deliberately bought a thermopot for fire safety reasons, for a summer house with old wiring. This Japanese thermopot is assembled in Thailand. The water boils and cools to 98 degrees; you can get water"&amp;" only after the end of the program. The hot water readiness light is red. The green light is only on the pump button. Without electricity, you cannot get water; there is no mechanical pump. Expensive and high-quality thermopot.")</f>
        <v>Water boils in 30 minutes, maximum power 700 watts. I deliberately bought a thermopot for fire safety reasons, for a summer house with old wiring. This Japanese thermopot is assembled in Thailand. The water boils and cools to 98 degrees; you can get water only after the end of the program. The hot water readiness light is red. The green light is only on the pump button. Without electricity, you cannot get water; there is no mechanical pump. Expensive and high-quality thermopot.</v>
      </c>
    </row>
    <row r="6646" spans="1:9" x14ac:dyDescent="0.3">
      <c r="A6646" s="1" t="s">
        <v>211</v>
      </c>
      <c r="B6646" s="1" t="s">
        <v>1818</v>
      </c>
      <c r="C6646" s="1" t="s">
        <v>213</v>
      </c>
      <c r="D6646" s="1" t="s">
        <v>206</v>
      </c>
      <c r="E6646" s="1" t="s">
        <v>10476</v>
      </c>
      <c r="F6646" s="1" t="s">
        <v>10477</v>
      </c>
      <c r="G6646" s="1" t="s">
        <v>36</v>
      </c>
      <c r="H6646" s="1" t="s">
        <v>29</v>
      </c>
      <c r="I6646" s="1" t="str">
        <f ca="1">IFERROR(__xludf.DUMMYFUNCTION("GOOGLETRANSLATE(F6646, ""auto"", ""en"")
"),"I bought this comb for myself. I didn't expect much, I was just interested in trying it. I have long, dark, undyed hair of a mixed type (very dry at the ends), very unruly and constantly tangled and electrified, even in the ponytail. Immediately upon arri"&amp;"ving home, I tried this comb; it was immediately noticeable that my hair was much easier to comb; after a minute of combing, a pleasant feeling arose, lightness, as if the scalp had “calmed down,” and the ponytail was done much faster; my hair became mana"&amp;"geable. A surprise hit me in the bathroom, in bright light - my hair, tied in a ponytail, simply shone, although I did not use any styling products. So I'm very happy with the purchase!")</f>
        <v>I bought this comb for myself. I didn't expect much, I was just interested in trying it. I have long, dark, undyed hair of a mixed type (very dry at the ends), very unruly and constantly tangled and electrified, even in the ponytail. Immediately upon arriving home, I tried this comb; it was immediately noticeable that my hair was much easier to comb; after a minute of combing, a pleasant feeling arose, lightness, as if the scalp had “calmed down,” and the ponytail was done much faster; my hair became manageable. A surprise hit me in the bathroom, in bright light - my hair, tied in a ponytail, simply shone, although I did not use any styling products. So I'm very happy with the purchase!</v>
      </c>
    </row>
    <row r="6647" spans="1:9" x14ac:dyDescent="0.3">
      <c r="A6647" s="1" t="s">
        <v>17</v>
      </c>
      <c r="B6647" s="1" t="s">
        <v>18</v>
      </c>
      <c r="C6647" s="1" t="s">
        <v>277</v>
      </c>
      <c r="D6647" s="1" t="s">
        <v>1840</v>
      </c>
      <c r="E6647" s="1" t="s">
        <v>3550</v>
      </c>
      <c r="F6647" s="1" t="s">
        <v>10478</v>
      </c>
      <c r="G6647" s="1" t="s">
        <v>49</v>
      </c>
      <c r="H6647" s="1" t="s">
        <v>16</v>
      </c>
      <c r="I6647" s="1" t="str">
        <f ca="1">IFERROR(__xludf.DUMMYFUNCTION("GOOGLETRANSLATE(F6647, ""auto"", ""en"")
"),"I bought the machine 2 weeks ago. I washed it according to the instructions. Little by little. I even bought a lime ball. Today one of the 3 plastic parts in the drum fell off. What is this? People have been washing for years. I’ve never had a machine. I "&amp;"bought it. I wish I knew. I would have bought it more expensive. But without the plastic parts.")</f>
        <v>I bought the machine 2 weeks ago. I washed it according to the instructions. Little by little. I even bought a lime ball. Today one of the 3 plastic parts in the drum fell off. What is this? People have been washing for years. I’ve never had a machine. I bought it. I wish I knew. I would have bought it more expensive. But without the plastic parts.</v>
      </c>
    </row>
    <row r="6648" spans="1:9" x14ac:dyDescent="0.3">
      <c r="A6648" s="1" t="s">
        <v>30</v>
      </c>
      <c r="B6648" s="1" t="s">
        <v>31</v>
      </c>
      <c r="C6648" s="1" t="s">
        <v>32</v>
      </c>
      <c r="D6648" s="1" t="s">
        <v>33</v>
      </c>
      <c r="E6648" s="1" t="s">
        <v>367</v>
      </c>
      <c r="F6648" s="1" t="s">
        <v>10479</v>
      </c>
      <c r="G6648" s="1" t="s">
        <v>28</v>
      </c>
      <c r="H6648" s="1" t="s">
        <v>29</v>
      </c>
      <c r="I6648" s="1" t="str">
        <f ca="1">IFERROR(__xludf.DUMMYFUNCTION("GOOGLETRANSLATE(F6648, ""auto"", ""en"")
"),"Not a bad car, the game Metro 2033 runs without brakes, I didn’t like Vista Home Basic, I took it down, installed XP, everything started flying, the movie in HD is excellent, connected to a Philips 5604 42-inch LCD.")</f>
        <v>Not a bad car, the game Metro 2033 runs without brakes, I didn’t like Vista Home Basic, I took it down, installed XP, everything started flying, the movie in HD is excellent, connected to a Philips 5604 42-inch LCD.</v>
      </c>
    </row>
    <row r="6649" spans="1:9" x14ac:dyDescent="0.3">
      <c r="A6649" s="1" t="s">
        <v>61</v>
      </c>
      <c r="B6649" s="1" t="s">
        <v>318</v>
      </c>
      <c r="C6649" s="1" t="s">
        <v>2840</v>
      </c>
      <c r="D6649" s="1" t="s">
        <v>64</v>
      </c>
      <c r="E6649" s="1" t="s">
        <v>4780</v>
      </c>
      <c r="F6649" s="1" t="s">
        <v>10480</v>
      </c>
      <c r="G6649" s="1" t="s">
        <v>36</v>
      </c>
      <c r="H6649" s="1" t="s">
        <v>29</v>
      </c>
      <c r="I6649" s="1" t="str">
        <f ca="1">IFERROR(__xludf.DUMMYFUNCTION("GOOGLETRANSLATE(F6649, ""auto"", ""en"")
"),"I selected the teapot according to its design. It looks nice, the heating is not very noisy, it is tolerable, unlike the previous kettle. The only drawback is that the lid gets very hot.")</f>
        <v>I selected the teapot according to its design. It looks nice, the heating is not very noisy, it is tolerable, unlike the previous kettle. The only drawback is that the lid gets very hot.</v>
      </c>
    </row>
    <row r="6650" spans="1:9" x14ac:dyDescent="0.3">
      <c r="A6650" s="1" t="s">
        <v>61</v>
      </c>
      <c r="B6650" s="1" t="s">
        <v>62</v>
      </c>
      <c r="C6650" s="1" t="s">
        <v>146</v>
      </c>
      <c r="D6650" s="1" t="s">
        <v>1055</v>
      </c>
      <c r="E6650" s="1" t="s">
        <v>3444</v>
      </c>
      <c r="F6650" s="1" t="s">
        <v>10481</v>
      </c>
      <c r="G6650" s="1" t="s">
        <v>36</v>
      </c>
      <c r="H6650" s="1" t="s">
        <v>29</v>
      </c>
      <c r="I6650" s="1" t="str">
        <f ca="1">IFERROR(__xludf.DUMMYFUNCTION("GOOGLETRANSLATE(F6650, ""auto"", ""en"")
"),"Compact, affordable and works well. I'm very pleased. Quickly grates vegetables, whips dough and cocktails. Never let me down!")</f>
        <v>Compact, affordable and works well. I'm very pleased. Quickly grates vegetables, whips dough and cocktails. Never let me down!</v>
      </c>
    </row>
    <row r="6651" spans="1:9" x14ac:dyDescent="0.3">
      <c r="A6651" s="1" t="s">
        <v>206</v>
      </c>
      <c r="B6651" s="1" t="s">
        <v>207</v>
      </c>
      <c r="C6651" s="1" t="s">
        <v>351</v>
      </c>
      <c r="D6651" s="1" t="s">
        <v>10482</v>
      </c>
      <c r="E6651" s="1" t="s">
        <v>715</v>
      </c>
      <c r="F6651" s="1" t="s">
        <v>10483</v>
      </c>
      <c r="G6651" s="1" t="s">
        <v>28</v>
      </c>
      <c r="H6651" s="1" t="s">
        <v>29</v>
      </c>
      <c r="I6651" s="1" t="str">
        <f ca="1">IFERROR(__xludf.DUMMYFUNCTION("GOOGLETRANSLATE(F6651, ""auto"", ""en"")
"),"Before this purchase there was a different set. To be honest, I had doubts that this 10-inch one would outperform the 13-inch one, I was surprised.. I agree about the box.. it would be nice to recalculate... but the fazik.. without it it plays softer, but"&amp;" the load on the speaker is stronger.. because it is designed just for a bass reflex enclosure...")</f>
        <v>Before this purchase there was a different set. To be honest, I had doubts that this 10-inch one would outperform the 13-inch one, I was surprised.. I agree about the box.. it would be nice to recalculate... but the fazik.. without it it plays softer, but the load on the speaker is stronger.. because it is designed just for a bass reflex enclosure...</v>
      </c>
    </row>
    <row r="6652" spans="1:9" x14ac:dyDescent="0.3">
      <c r="A6652" s="1" t="s">
        <v>30</v>
      </c>
      <c r="B6652" s="1" t="s">
        <v>50</v>
      </c>
      <c r="C6652" s="1" t="s">
        <v>32</v>
      </c>
      <c r="D6652" s="1" t="s">
        <v>39</v>
      </c>
      <c r="E6652" s="1" t="s">
        <v>1139</v>
      </c>
      <c r="F6652" s="1" t="s">
        <v>10484</v>
      </c>
      <c r="G6652" s="1" t="s">
        <v>36</v>
      </c>
      <c r="H6652" s="1" t="s">
        <v>29</v>
      </c>
      <c r="I6652" s="1" t="str">
        <f ca="1">IFERROR(__xludf.DUMMYFUNCTION("GOOGLETRANSLATE(F6652, ""auto"", ""en"")
"),"It will take a long time to talk about the advantages, since there are a lot of them. But I will definitely mention the backlit keyboard. Working in the dark turned into a holiday.  I’ll also say about the disadvantages, of which I have found two so far. "&amp;" The first disadvantage is that this model has buttons to turn Bluetooth, WiFi and launch Backup on and off. But unlike the Acer 5942, where they are made with regular buttons, on this model they are touch-sensitive, which is not very convenient. Sometime"&amp;"s I accidentally press them with my left hand.  The second disadvantage is that the laptop is heavy. I understand that with such a screen size and such a filling (two hard drives), it cannot be light, but carrying it with you all day can be tiring. Have a"&amp;" good bag with a strong strap.  The quality of the matrix is ​​much better than on the 5942. Viewing angles are not bad, color rendition, in my opinion, is quite normal, plus Full HD resolution.  I was afraid that GDDR3 video memory would not allow me to "&amp;"play Stalker Call of Pripyat at maximum settings. The fears were not confirmed. The video card doesn't seem slow. Produces from 25 to 30 FPS.  I took a laptop to process and watch HD video. Encodes quickly. View without jerks or delays.  Subjectively, the"&amp;" laptop has been causing me a feeling of slight delight for a week now.")</f>
        <v>It will take a long time to talk about the advantages, since there are a lot of them. But I will definitely mention the backlit keyboard. Working in the dark turned into a holiday.  I’ll also say about the disadvantages, of which I have found two so far.  The first disadvantage is that this model has buttons to turn Bluetooth, WiFi and launch Backup on and off. But unlike the Acer 5942, where they are made with regular buttons, on this model they are touch-sensitive, which is not very convenient. Sometimes I accidentally press them with my left hand.  The second disadvantage is that the laptop is heavy. I understand that with such a screen size and such a filling (two hard drives), it cannot be light, but carrying it with you all day can be tiring. Have a good bag with a strong strap.  The quality of the matrix is ​​much better than on the 5942. Viewing angles are not bad, color rendition, in my opinion, is quite normal, plus Full HD resolution.  I was afraid that GDDR3 video memory would not allow me to play Stalker Call of Pripyat at maximum settings. The fears were not confirmed. The video card doesn't seem slow. Produces from 25 to 30 FPS.  I took a laptop to process and watch HD video. Encodes quickly. View without jerks or delays.  Subjectively, the laptop has been causing me a feeling of slight delight for a week now.</v>
      </c>
    </row>
    <row r="6653" spans="1:9" x14ac:dyDescent="0.3">
      <c r="A6653" s="1" t="s">
        <v>120</v>
      </c>
      <c r="B6653" s="1" t="s">
        <v>196</v>
      </c>
      <c r="C6653" s="1" t="s">
        <v>80</v>
      </c>
      <c r="D6653" s="1" t="s">
        <v>327</v>
      </c>
      <c r="E6653" s="1" t="s">
        <v>2593</v>
      </c>
      <c r="F6653" s="1" t="s">
        <v>10485</v>
      </c>
      <c r="G6653" s="1" t="s">
        <v>49</v>
      </c>
      <c r="H6653" s="1" t="s">
        <v>16</v>
      </c>
      <c r="I6653" s="1" t="str">
        <f ca="1">IFERROR(__xludf.DUMMYFUNCTION("GOOGLETRANSLATE(F6653, ""auto"", ""en"")
"),"I needed a TV as a second monitor. I chose 2 weeks, based on reviews in Yandex Market, and MVideo. I picked up 2 Panasonic models. But at the last moment the choice leaned in favor of LG, because... I read that LCD is better suited for pictures from a com"&amp;"puter. I bought LG 42LD555. I connected it to the PC via a DVI to HDMI cable. And here’s what I discovered: when watching a movie, the picture slows down every 5-7 seconds. The frame rate dances as it wants. The picture quality is disgusting, it reminded "&amp;"me of a VCR picture from the 90s. From a flash drive it doesn’t seem to slow down as much, but the picture is still the same - the colors lie, in some places it’s very dark, in others it’s very bright. TV channels are 50% noisy (despite the fact that nois"&amp;"e reduction is at full capacity), I’m not even talking about colors. At first, I thought with optimism that it was all about the settings. I did all possible combinations with color settings, contrast brightness, etc. It didn't help. I tried to get rid of"&amp;" the brakes by adjusting the TruMotion function. But having tried all possible options, from completely turning off TruMotion to its maximum values, I abandoned these attempts without achieving acceptable results. Well, I think maybe it’s at least geared "&amp;"towards games. I'm running NFS Hot Pursuit. My friends, I have never seen a worse spectacle, the graphics look kind of torn, the colors are poor, the text is almost unreadable (smudged). Having gone through all the resolution and frequency options in the "&amp;"game and Windows settings, I came up with nothing. Although the ATI HD4860 video card on the monitor, with top settings, pulls to its fullest. The next day, after experimenting for another 3 hours with the TV settings, I gave up on it all, put the TV in a"&amp;" box, took it to the store and exchanged it for another brand. When I connected it to the computer using the same cable and turned on the same movies and the same game, I was delighted. Bright rich colors, the picture has no lags, everything looks clear, "&amp;"I hardly changed the settings. TV programs are 100% in excellent quality. Why there are so many rave reviews for the LG 42LD555 remains a mystery to me.")</f>
        <v>I needed a TV as a second monitor. I chose 2 weeks, based on reviews in Yandex Market, and MVideo. I picked up 2 Panasonic models. But at the last moment the choice leaned in favor of LG, because... I read that LCD is better suited for pictures from a computer. I bought LG 42LD555. I connected it to the PC via a DVI to HDMI cable. And here’s what I discovered: when watching a movie, the picture slows down every 5-7 seconds. The frame rate dances as it wants. The picture quality is disgusting, it reminded me of a VCR picture from the 90s. From a flash drive it doesn’t seem to slow down as much, but the picture is still the same - the colors lie, in some places it’s very dark, in others it’s very bright. TV channels are 50% noisy (despite the fact that noise reduction is at full capacity), I’m not even talking about colors. At first, I thought with optimism that it was all about the settings. I did all possible combinations with color settings, contrast brightness, etc. It didn't help. I tried to get rid of the brakes by adjusting the TruMotion function. But having tried all possible options, from completely turning off TruMotion to its maximum values, I abandoned these attempts without achieving acceptable results. Well, I think maybe it’s at least geared towards games. I'm running NFS Hot Pursuit. My friends, I have never seen a worse spectacle, the graphics look kind of torn, the colors are poor, the text is almost unreadable (smudged). Having gone through all the resolution and frequency options in the game and Windows settings, I came up with nothing. Although the ATI HD4860 video card on the monitor, with top settings, pulls to its fullest. The next day, after experimenting for another 3 hours with the TV settings, I gave up on it all, put the TV in a box, took it to the store and exchanged it for another brand. When I connected it to the computer using the same cable and turned on the same movies and the same game, I was delighted. Bright rich colors, the picture has no lags, everything looks clear, I hardly changed the settings. TV programs are 100% in excellent quality. Why there are so many rave reviews for the LG 42LD555 remains a mystery to me.</v>
      </c>
    </row>
    <row r="6654" spans="1:9" x14ac:dyDescent="0.3">
      <c r="A6654" s="1" t="s">
        <v>211</v>
      </c>
      <c r="B6654" s="1" t="s">
        <v>384</v>
      </c>
      <c r="C6654" s="1" t="s">
        <v>351</v>
      </c>
      <c r="D6654" s="1" t="s">
        <v>474</v>
      </c>
      <c r="E6654" s="1" t="s">
        <v>10228</v>
      </c>
      <c r="F6654" s="1" t="s">
        <v>10486</v>
      </c>
      <c r="G6654" s="1" t="s">
        <v>36</v>
      </c>
      <c r="H6654" s="1" t="s">
        <v>29</v>
      </c>
      <c r="I6654" s="1" t="str">
        <f ca="1">IFERROR(__xludf.DUMMYFUNCTION("GOOGLETRANSLATE(F6654, ""auto"", ""en"")
"),"They show the exact weight, do not get lost, the design is simply magnificent (such green leaves on a white background). Very convenient and easy to wipe with a damp cloth, it does not affect the work in any way.")</f>
        <v>They show the exact weight, do not get lost, the design is simply magnificent (such green leaves on a white background). Very convenient and easy to wipe with a damp cloth, it does not affect the work in any way.</v>
      </c>
    </row>
    <row r="6655" spans="1:9" x14ac:dyDescent="0.3">
      <c r="A6655" s="1" t="s">
        <v>369</v>
      </c>
      <c r="B6655" s="1" t="s">
        <v>370</v>
      </c>
      <c r="C6655" s="1" t="s">
        <v>588</v>
      </c>
      <c r="D6655" s="1" t="s">
        <v>456</v>
      </c>
      <c r="E6655" s="1" t="s">
        <v>1053</v>
      </c>
      <c r="F6655" s="1" t="s">
        <v>10487</v>
      </c>
      <c r="G6655" s="1" t="s">
        <v>36</v>
      </c>
      <c r="H6655" s="1" t="s">
        <v>29</v>
      </c>
      <c r="I6655" s="1" t="str">
        <f ca="1">IFERROR(__xludf.DUMMYFUNCTION("GOOGLETRANSLATE(F6655, ""auto"", ""en"")
"),"In my opinion, this Hansa stove is good. When we bought it, we noticed how wide the oven door opened; it was difficult to remove the baking sheets from the previous stove. This one is fine, there were no difficulties, plus the glass near the cabinet does "&amp;"not heat up.")</f>
        <v>In my opinion, this Hansa stove is good. When we bought it, we noticed how wide the oven door opened; it was difficult to remove the baking sheets from the previous stove. This one is fine, there were no difficulties, plus the glass near the cabinet does not heat up.</v>
      </c>
    </row>
    <row r="6656" spans="1:9" x14ac:dyDescent="0.3">
      <c r="A6656" s="1" t="s">
        <v>30</v>
      </c>
      <c r="B6656" s="1" t="s">
        <v>10488</v>
      </c>
      <c r="C6656" s="1" t="s">
        <v>97</v>
      </c>
      <c r="D6656" s="1" t="s">
        <v>114</v>
      </c>
      <c r="E6656" s="1" t="s">
        <v>1319</v>
      </c>
      <c r="F6656" s="1" t="s">
        <v>10489</v>
      </c>
      <c r="G6656" s="1" t="s">
        <v>36</v>
      </c>
      <c r="H6656" s="1" t="s">
        <v>29</v>
      </c>
      <c r="I6656" s="1" t="str">
        <f ca="1">IFERROR(__xludf.DUMMYFUNCTION("GOOGLETRANSLATE(F6656, ""auto"", ""en"")
"),"It has been working fine for more than 1 year, Windows did not fly stably, although the antivirus (blind) and the office (demo) had to be replaced, I do not recommend holding it in your palm (like beer) where the web camera lid bends and presses the mouse"&amp;" buttons; they become functional over time and the paint on the lid wears off. Another tip is to cover it with a carbon film or just a protective one. The surface is corrugated and difficult to clean, and there won’t be any scratches. Overall, I’m happy w"&amp;"ith it.")</f>
        <v>It has been working fine for more than 1 year, Windows did not fly stably, although the antivirus (blind) and the office (demo) had to be replaced, I do not recommend holding it in your palm (like beer) where the web camera lid bends and presses the mouse buttons; they become functional over time and the paint on the lid wears off. Another tip is to cover it with a carbon film or just a protective one. The surface is corrugated and difficult to clean, and there won’t be any scratches. Overall, I’m happy with it.</v>
      </c>
    </row>
    <row r="6657" spans="1:9" x14ac:dyDescent="0.3">
      <c r="A6657" s="1" t="s">
        <v>149</v>
      </c>
      <c r="B6657" s="1" t="s">
        <v>155</v>
      </c>
      <c r="C6657" s="1" t="s">
        <v>151</v>
      </c>
      <c r="D6657" s="1" t="s">
        <v>2024</v>
      </c>
      <c r="E6657" s="1" t="s">
        <v>920</v>
      </c>
      <c r="F6657" s="1" t="s">
        <v>10490</v>
      </c>
      <c r="G6657" s="1" t="s">
        <v>28</v>
      </c>
      <c r="H6657" s="1" t="s">
        <v>29</v>
      </c>
      <c r="I6657" s="1" t="str">
        <f ca="1">IFERROR(__xludf.DUMMYFUNCTION("GOOGLETRANSLATE(F6657, ""auto"", ""en"")
"),"The “beast” vacuum cleaner has power 5, but asks for 230V. It only works from the socket that was installed to install the washing machine; it does not turn on from others!!!! consumes 1800 watts. For comparison, a 2400W kettle works from any outlet. Draw"&amp;" conclusions.")</f>
        <v>The “beast” vacuum cleaner has power 5, but asks for 230V. It only works from the socket that was installed to install the washing machine; it does not turn on from others!!!! consumes 1800 watts. For comparison, a 2400W kettle works from any outlet. Draw conclusions.</v>
      </c>
    </row>
    <row r="6658" spans="1:9" x14ac:dyDescent="0.3">
      <c r="A6658" s="1" t="s">
        <v>61</v>
      </c>
      <c r="B6658" s="1" t="s">
        <v>73</v>
      </c>
      <c r="C6658" s="1" t="s">
        <v>85</v>
      </c>
      <c r="D6658" s="1" t="s">
        <v>521</v>
      </c>
      <c r="E6658" s="1" t="s">
        <v>7310</v>
      </c>
      <c r="F6658" s="1" t="s">
        <v>10491</v>
      </c>
      <c r="G6658" s="1" t="s">
        <v>36</v>
      </c>
      <c r="H6658" s="1" t="s">
        <v>29</v>
      </c>
      <c r="I6658" s="1" t="str">
        <f ca="1">IFERROR(__xludf.DUMMYFUNCTION("GOOGLETRANSLATE(F6658, ""auto"", ""en"")
"),"I really like it. Works for a year. It also copes with fresh meat, I don’t know why anyone has problems with this.  Works for a year.  The minced meat spins quickly, it takes longer to cut the pieces))) By the way, there are three types of grates that are"&amp;" used depending on the type of meat. The main thing is to read the instructions well and there will be no problems.")</f>
        <v>I really like it. Works for a year. It also copes with fresh meat, I don’t know why anyone has problems with this.  Works for a year.  The minced meat spins quickly, it takes longer to cut the pieces))) By the way, there are three types of grates that are used depending on the type of meat. The main thing is to read the instructions well and there will be no problems.</v>
      </c>
    </row>
    <row r="6659" spans="1:9" x14ac:dyDescent="0.3">
      <c r="A6659" s="1" t="s">
        <v>61</v>
      </c>
      <c r="B6659" s="1" t="s">
        <v>318</v>
      </c>
      <c r="C6659" s="1" t="s">
        <v>57</v>
      </c>
      <c r="D6659" s="1" t="s">
        <v>152</v>
      </c>
      <c r="E6659" s="1" t="s">
        <v>1578</v>
      </c>
      <c r="F6659" s="1" t="s">
        <v>10492</v>
      </c>
      <c r="G6659" s="1" t="s">
        <v>49</v>
      </c>
      <c r="H6659" s="1" t="s">
        <v>16</v>
      </c>
      <c r="I6659" s="1" t="str">
        <f ca="1">IFERROR(__xludf.DUMMYFUNCTION("GOOGLETRANSLATE(F6659, ""auto"", ""en"")
"),"Interesting design, child protection, always hot water at hand, large volume of water.")</f>
        <v>Interesting design, child protection, always hot water at hand, large volume of water.</v>
      </c>
    </row>
    <row r="6660" spans="1:9" x14ac:dyDescent="0.3">
      <c r="A6660" s="1" t="s">
        <v>61</v>
      </c>
      <c r="B6660" s="1" t="s">
        <v>180</v>
      </c>
      <c r="C6660" s="1" t="s">
        <v>63</v>
      </c>
      <c r="D6660" s="1" t="s">
        <v>280</v>
      </c>
      <c r="E6660" s="1" t="s">
        <v>5736</v>
      </c>
      <c r="F6660" s="1" t="s">
        <v>10493</v>
      </c>
      <c r="G6660" s="1" t="s">
        <v>36</v>
      </c>
      <c r="H6660" s="1" t="s">
        <v>29</v>
      </c>
      <c r="I6660" s="1" t="str">
        <f ca="1">IFERROR(__xludf.DUMMYFUNCTION("GOOGLETRANSLATE(F6660, ""auto"", ""en"")
"),"The toaster is just super! I really like the design, it’s so cool and pot-bellied, not like everyone else! It toasts super, the first time I fried a whole loaf of bread at once! Convenient adjustment, stop and defrost buttons! I’m happy with the purchase!")</f>
        <v>The toaster is just super! I really like the design, it’s so cool and pot-bellied, not like everyone else! It toasts super, the first time I fried a whole loaf of bread at once! Convenient adjustment, stop and defrost buttons! I’m happy with the purchase!</v>
      </c>
    </row>
    <row r="6661" spans="1:9" x14ac:dyDescent="0.3">
      <c r="A6661" s="1" t="s">
        <v>37</v>
      </c>
      <c r="B6661" s="1" t="s">
        <v>536</v>
      </c>
      <c r="C6661" s="1" t="s">
        <v>189</v>
      </c>
      <c r="D6661" s="1" t="s">
        <v>10494</v>
      </c>
      <c r="E6661" s="1" t="s">
        <v>824</v>
      </c>
      <c r="F6661" s="1" t="s">
        <v>10495</v>
      </c>
      <c r="G6661" s="1" t="s">
        <v>36</v>
      </c>
      <c r="H6661" s="1" t="s">
        <v>29</v>
      </c>
      <c r="I6661" s="1" t="str">
        <f ca="1">IFERROR(__xludf.DUMMYFUNCTION("GOOGLETRANSLATE(F6661, ""auto"", ""en"")
"),"Great device! He has no equal! I've been using it for 4 months and I'm absolutely delighted! No matter how I fell, everything works fine, no complaints. I recommend it to everyone.")</f>
        <v>Great device! He has no equal! I've been using it for 4 months and I'm absolutely delighted! No matter how I fell, everything works fine, no complaints. I recommend it to everyone.</v>
      </c>
    </row>
    <row r="6662" spans="1:9" x14ac:dyDescent="0.3">
      <c r="A6662" s="1" t="s">
        <v>95</v>
      </c>
      <c r="B6662" s="1" t="s">
        <v>486</v>
      </c>
      <c r="C6662" s="1" t="s">
        <v>487</v>
      </c>
      <c r="D6662" s="1" t="s">
        <v>39</v>
      </c>
      <c r="E6662" s="1" t="s">
        <v>10496</v>
      </c>
      <c r="F6662" s="1" t="s">
        <v>10497</v>
      </c>
      <c r="G6662" s="1" t="s">
        <v>36</v>
      </c>
      <c r="H6662" s="1" t="s">
        <v>29</v>
      </c>
      <c r="I6662" s="1" t="str">
        <f ca="1">IFERROR(__xludf.DUMMYFUNCTION("GOOGLETRANSLATE(F6662, ""auto"", ""en"")
"),"I bought myself a console with 2 discs for the New Year.   No problems were found during operation; Wi-Fi connects perfectly to the laptop. I download demos from Life onto the screw. I also rewrite many games directly onto the screw.  I'm happy with the c"&amp;"hoice!")</f>
        <v>I bought myself a console with 2 discs for the New Year.   No problems were found during operation; Wi-Fi connects perfectly to the laptop. I download demos from Life onto the screw. I also rewrite many games directly onto the screw.  I'm happy with the choice!</v>
      </c>
    </row>
    <row r="6663" spans="1:9" x14ac:dyDescent="0.3">
      <c r="A6663" s="1" t="s">
        <v>1443</v>
      </c>
      <c r="B6663" s="1" t="s">
        <v>1444</v>
      </c>
      <c r="C6663" s="1" t="s">
        <v>1489</v>
      </c>
      <c r="D6663" s="1" t="s">
        <v>471</v>
      </c>
      <c r="E6663" s="1" t="s">
        <v>2702</v>
      </c>
      <c r="F6663" s="1" t="s">
        <v>10498</v>
      </c>
      <c r="G6663" s="1" t="s">
        <v>36</v>
      </c>
      <c r="H6663" s="1" t="s">
        <v>29</v>
      </c>
      <c r="I6663" s="1" t="str">
        <f ca="1">IFERROR(__xludf.DUMMYFUNCTION("GOOGLETRANSLATE(F6663, ""auto"", ""en"")
"),"A very convenient and stylish flash drive, good design and appearance, the lid opens easily and you won’t lose it. The speeds are also quite good, they didn’t let us down) You can safely expect that the quality is no worse than that of other flash drives "&amp;"from this company! In general, I recommend it!")</f>
        <v>A very convenient and stylish flash drive, good design and appearance, the lid opens easily and you won’t lose it. The speeds are also quite good, they didn’t let us down) You can safely expect that the quality is no worse than that of other flash drives from this company! In general, I recommend it!</v>
      </c>
    </row>
    <row r="6664" spans="1:9" x14ac:dyDescent="0.3">
      <c r="A6664" s="1" t="s">
        <v>95</v>
      </c>
      <c r="B6664" s="1" t="s">
        <v>648</v>
      </c>
      <c r="C6664" s="1" t="s">
        <v>97</v>
      </c>
      <c r="D6664" s="1" t="s">
        <v>807</v>
      </c>
      <c r="E6664" s="1" t="s">
        <v>128</v>
      </c>
      <c r="F6664" s="1" t="s">
        <v>10499</v>
      </c>
      <c r="G6664" s="1" t="s">
        <v>36</v>
      </c>
      <c r="H6664" s="1" t="s">
        <v>29</v>
      </c>
      <c r="I6664" s="1" t="str">
        <f ca="1">IFERROR(__xludf.DUMMYFUNCTION("GOOGLETRANSLATE(F6664, ""auto"", ""en"")
"),"Class!!!!!  Can you connect the camera to ps3?")</f>
        <v>Class!!!!!  Can you connect the camera to ps3?</v>
      </c>
    </row>
    <row r="6665" spans="1:9" x14ac:dyDescent="0.3">
      <c r="A6665" s="1" t="s">
        <v>120</v>
      </c>
      <c r="B6665" s="1" t="s">
        <v>126</v>
      </c>
      <c r="C6665" s="1" t="s">
        <v>151</v>
      </c>
      <c r="D6665" s="1" t="s">
        <v>52</v>
      </c>
      <c r="E6665" s="1" t="s">
        <v>750</v>
      </c>
      <c r="F6665" s="1" t="s">
        <v>10500</v>
      </c>
      <c r="G6665" s="1" t="s">
        <v>28</v>
      </c>
      <c r="H6665" s="1" t="s">
        <v>29</v>
      </c>
      <c r="I6665" s="1" t="str">
        <f ca="1">IFERROR(__xludf.DUMMYFUNCTION("GOOGLETRANSLATE(F6665, ""auto"", ""en"")
"),"I recently bought this TV, set it up, it shows cable TV perfectly, I’m glad that there is digital noise reduction. But it disappointed me very much, every day I hear it turn on and off immediately, the picture doesn’t even have time to appear. In general,"&amp;" I will issue a refund.")</f>
        <v>I recently bought this TV, set it up, it shows cable TV perfectly, I’m glad that there is digital noise reduction. But it disappointed me very much, every day I hear it turn on and off immediately, the picture doesn’t even have time to appear. In general, I will issue a refund.</v>
      </c>
    </row>
    <row r="6666" spans="1:9" x14ac:dyDescent="0.3">
      <c r="A6666" s="1" t="s">
        <v>105</v>
      </c>
      <c r="B6666" s="1" t="s">
        <v>106</v>
      </c>
      <c r="C6666" s="1" t="s">
        <v>107</v>
      </c>
      <c r="D6666" s="1" t="s">
        <v>1008</v>
      </c>
      <c r="E6666" s="1" t="s">
        <v>3241</v>
      </c>
      <c r="F6666" s="1" t="s">
        <v>10501</v>
      </c>
      <c r="G6666" s="1" t="s">
        <v>36</v>
      </c>
      <c r="H6666" s="1" t="s">
        <v>29</v>
      </c>
      <c r="I6666" s="1" t="str">
        <f ca="1">IFERROR(__xludf.DUMMYFUNCTION("GOOGLETRANSLATE(F6666, ""auto"", ""en"")
"),"Today I became its owner!  But I didn’t study all the characteristics!!! I thought that the speaker was present, but it wasn’t!!!  It’s still not clear, I inserted a Micro SD, but it doesn’t see it, I’ll try again tomorrow, if I can exchange anything)) 05"&amp;"/06/2010 Ivan (St. Petersburg) Esc is one single round button :)) And you can set the balancing in the settings, but it’s automatic. But as for shaking, I haven’t yet mastered how to disable this function, but how much I’ve searched, I haven’t found anyth"&amp;"ing like that! :)")</f>
        <v>Today I became its owner!  But I didn’t study all the characteristics!!! I thought that the speaker was present, but it wasn’t!!!  It’s still not clear, I inserted a Micro SD, but it doesn’t see it, I’ll try again tomorrow, if I can exchange anything)) 05/06/2010 Ivan (St. Petersburg) Esc is one single round button :)) And you can set the balancing in the settings, but it’s automatic. But as for shaking, I haven’t yet mastered how to disable this function, but how much I’ve searched, I haven’t found anything like that! :)</v>
      </c>
    </row>
    <row r="6667" spans="1:9" x14ac:dyDescent="0.3">
      <c r="A6667" s="1" t="s">
        <v>61</v>
      </c>
      <c r="B6667" s="1" t="s">
        <v>977</v>
      </c>
      <c r="C6667" s="1" t="s">
        <v>246</v>
      </c>
      <c r="D6667" s="1" t="s">
        <v>4937</v>
      </c>
      <c r="E6667" s="1" t="s">
        <v>1457</v>
      </c>
      <c r="F6667" s="1" t="s">
        <v>10502</v>
      </c>
      <c r="G6667" s="1" t="s">
        <v>49</v>
      </c>
      <c r="H6667" s="1" t="s">
        <v>16</v>
      </c>
      <c r="I6667" s="1" t="str">
        <f ca="1">IFERROR(__xludf.DUMMYFUNCTION("GOOGLETRANSLATE(F6667, ""auto"", ""en"")
"),"The glass is made of very fragile plastic! After a month of use, it all burst and crumbled!")</f>
        <v>The glass is made of very fragile plastic! After a month of use, it all burst and crumbled!</v>
      </c>
    </row>
    <row r="6668" spans="1:9" x14ac:dyDescent="0.3">
      <c r="A6668" s="1" t="s">
        <v>61</v>
      </c>
      <c r="B6668" s="1" t="s">
        <v>977</v>
      </c>
      <c r="C6668" s="1" t="s">
        <v>213</v>
      </c>
      <c r="D6668" s="1" t="s">
        <v>308</v>
      </c>
      <c r="E6668" s="1" t="s">
        <v>415</v>
      </c>
      <c r="F6668" s="1" t="s">
        <v>10503</v>
      </c>
      <c r="G6668" s="1" t="s">
        <v>36</v>
      </c>
      <c r="H6668" s="1" t="s">
        <v>29</v>
      </c>
      <c r="I6668" s="1" t="str">
        <f ca="1">IFERROR(__xludf.DUMMYFUNCTION("GOOGLETRANSLATE(F6668, ""auto"", ""en"")
"),"I've been using this blender for 2 years and love it. An irreplaceable thing when there is a small child at home. I recommend it to everyone)))))))))")</f>
        <v>I've been using this blender for 2 years and love it. An irreplaceable thing when there is a small child at home. I recommend it to everyone)))))))))</v>
      </c>
    </row>
    <row r="6669" spans="1:9" x14ac:dyDescent="0.3">
      <c r="A6669" s="1" t="s">
        <v>211</v>
      </c>
      <c r="B6669" s="1" t="s">
        <v>265</v>
      </c>
      <c r="C6669" s="1" t="s">
        <v>266</v>
      </c>
      <c r="D6669" s="1" t="s">
        <v>280</v>
      </c>
      <c r="E6669" s="1" t="s">
        <v>10504</v>
      </c>
      <c r="F6669" s="1" t="s">
        <v>10505</v>
      </c>
      <c r="G6669" s="1" t="s">
        <v>36</v>
      </c>
      <c r="H6669" s="1" t="s">
        <v>29</v>
      </c>
      <c r="I6669" s="1" t="str">
        <f ca="1">IFERROR(__xludf.DUMMYFUNCTION("GOOGLETRANSLATE(F6669, ""auto"", ""en"")
"),"I am very pleased with the purchase. The device gently cuts hair in the nose and ears. Excellent combination of price and quality. Convenient both at home and while traveling. Salt batteries don't last long, so it's better to use alkaline ones.")</f>
        <v>I am very pleased with the purchase. The device gently cuts hair in the nose and ears. Excellent combination of price and quality. Convenient both at home and while traveling. Salt batteries don't last long, so it's better to use alkaline ones.</v>
      </c>
    </row>
    <row r="6670" spans="1:9" x14ac:dyDescent="0.3">
      <c r="A6670" s="1" t="s">
        <v>149</v>
      </c>
      <c r="B6670" s="1" t="s">
        <v>576</v>
      </c>
      <c r="C6670" s="1" t="s">
        <v>80</v>
      </c>
      <c r="D6670" s="1" t="s">
        <v>1008</v>
      </c>
      <c r="E6670" s="1" t="s">
        <v>2916</v>
      </c>
      <c r="F6670" s="1" t="s">
        <v>10506</v>
      </c>
      <c r="G6670" s="1" t="s">
        <v>36</v>
      </c>
      <c r="H6670" s="1" t="s">
        <v>29</v>
      </c>
      <c r="I6670" s="1" t="str">
        <f ca="1">IFERROR(__xludf.DUMMYFUNCTION("GOOGLETRANSLATE(F6670, ""auto"", ""en"")
"),"A month ago I bought this vacuum cleaner to clean the office, 3 floors of hallways and offices with carpet. I took it on the advice of a sales consultant. Two months passed, I asked the cleaning lady how the vacuum cleaner was working, she said - super! I"&amp;" read everything that you are about to read below and definitely realized that it was a great thing! It actually tests the strength of the baseboard; if the carpet is small, it will suck it up and you won’t be able to tear it off! I haven’t cleaned my apa"&amp;"rtment like this in a long time, but this monster actually does an excellent job!")</f>
        <v>A month ago I bought this vacuum cleaner to clean the office, 3 floors of hallways and offices with carpet. I took it on the advice of a sales consultant. Two months passed, I asked the cleaning lady how the vacuum cleaner was working, she said - super! I read everything that you are about to read below and definitely realized that it was a great thing! It actually tests the strength of the baseboard; if the carpet is small, it will suck it up and you won’t be able to tear it off! I haven’t cleaned my apartment like this in a long time, but this monster actually does an excellent job!</v>
      </c>
    </row>
    <row r="6671" spans="1:9" x14ac:dyDescent="0.3">
      <c r="A6671" s="1" t="s">
        <v>17</v>
      </c>
      <c r="B6671" s="1" t="s">
        <v>18</v>
      </c>
      <c r="C6671" s="1" t="s">
        <v>243</v>
      </c>
      <c r="D6671" s="1" t="s">
        <v>64</v>
      </c>
      <c r="E6671" s="1" t="s">
        <v>1671</v>
      </c>
      <c r="F6671" s="1" t="s">
        <v>10507</v>
      </c>
      <c r="G6671" s="1" t="s">
        <v>49</v>
      </c>
      <c r="H6671" s="1" t="s">
        <v>16</v>
      </c>
      <c r="I6671" s="1" t="str">
        <f ca="1">IFERROR(__xludf.DUMMYFUNCTION("GOOGLETRANSLATE(F6671, ""auto"", ""en"")
"),"If the apartment does not have grounding (old houses, Khrushchev buildings, two-wire wiring), do not take it. It gives a very strong electric shock. The service center replies that this is not a warranty case. The quality of service from Indesit also leav"&amp;"es much to be desired.")</f>
        <v>If the apartment does not have grounding (old houses, Khrushchev buildings, two-wire wiring), do not take it. It gives a very strong electric shock. The service center replies that this is not a warranty case. The quality of service from Indesit also leaves much to be desired.</v>
      </c>
    </row>
    <row r="6672" spans="1:9" x14ac:dyDescent="0.3">
      <c r="A6672" s="1" t="s">
        <v>120</v>
      </c>
      <c r="B6672" s="1" t="s">
        <v>121</v>
      </c>
      <c r="C6672" s="1" t="s">
        <v>69</v>
      </c>
      <c r="D6672" s="1" t="s">
        <v>200</v>
      </c>
      <c r="E6672" s="1" t="s">
        <v>1167</v>
      </c>
      <c r="F6672" s="1" t="s">
        <v>10508</v>
      </c>
      <c r="G6672" s="1" t="s">
        <v>36</v>
      </c>
      <c r="H6672" s="1" t="s">
        <v>29</v>
      </c>
      <c r="I6672" s="1" t="str">
        <f ca="1">IFERROR(__xludf.DUMMYFUNCTION("GOOGLETRANSLATE(F6672, ""auto"", ""en"")
"),"I bought this TV for more than a week and I’m incredibly happy, the picture is excellent and the sound is loud, even cable TV produces excellent quality, and the DVD and HD format is just a fairy tale. I bought a Philips 32 PFL 5604H/12, I waited a long t"&amp;"ime for this model, there was only a Russian one. It reads video from a flash drive, and connected the computer via a vga cable, I also watch movies, but the sound is output through the cinema.  There are few disadvantages, but they are there - it heats u"&amp;"p, quite strongly, but then it seems to cool down (we need to keep an eye on it), the instructions are terribly inconvenient and incomprehensible, but this is all a small thing, you can get used to it.  In general, I’m happy for such and such a price, let"&amp;"’s see how it performs in the future.")</f>
        <v>I bought this TV for more than a week and I’m incredibly happy, the picture is excellent and the sound is loud, even cable TV produces excellent quality, and the DVD and HD format is just a fairy tale. I bought a Philips 32 PFL 5604H/12, I waited a long time for this model, there was only a Russian one. It reads video from a flash drive, and connected the computer via a vga cable, I also watch movies, but the sound is output through the cinema.  There are few disadvantages, but they are there - it heats up, quite strongly, but then it seems to cool down (we need to keep an eye on it), the instructions are terribly inconvenient and incomprehensible, but this is all a small thing, you can get used to it.  In general, I’m happy for such and such a price, let’s see how it performs in the future.</v>
      </c>
    </row>
    <row r="6673" spans="1:9" x14ac:dyDescent="0.3">
      <c r="A6673" s="1" t="s">
        <v>477</v>
      </c>
      <c r="B6673" s="1" t="s">
        <v>478</v>
      </c>
      <c r="C6673" s="1" t="s">
        <v>479</v>
      </c>
      <c r="D6673" s="1" t="s">
        <v>7832</v>
      </c>
      <c r="E6673" s="1" t="s">
        <v>2280</v>
      </c>
      <c r="F6673" s="1" t="s">
        <v>10509</v>
      </c>
      <c r="G6673" s="1" t="s">
        <v>36</v>
      </c>
      <c r="H6673" s="1" t="s">
        <v>29</v>
      </c>
      <c r="I6673" s="1" t="str">
        <f ca="1">IFERROR(__xludf.DUMMYFUNCTION("GOOGLETRANSLATE(F6673, ""auto"", ""en"")
"),"Great game!")</f>
        <v>Great game!</v>
      </c>
    </row>
    <row r="6674" spans="1:9" x14ac:dyDescent="0.3">
      <c r="A6674" s="1" t="s">
        <v>61</v>
      </c>
      <c r="B6674" s="1" t="s">
        <v>62</v>
      </c>
      <c r="C6674" s="1" t="s">
        <v>63</v>
      </c>
      <c r="D6674" s="1" t="s">
        <v>305</v>
      </c>
      <c r="E6674" s="1" t="s">
        <v>128</v>
      </c>
      <c r="F6674" s="1" t="s">
        <v>10510</v>
      </c>
      <c r="G6674" s="1" t="s">
        <v>36</v>
      </c>
      <c r="H6674" s="1" t="s">
        <v>29</v>
      </c>
      <c r="I6674" s="1" t="str">
        <f ca="1">IFERROR(__xludf.DUMMYFUNCTION("GOOGLETRANSLATE(F6674, ""auto"", ""en"")
"),"We purchased the Combine today, I liked the design and functions, I hope it doesn’t disappoint")</f>
        <v>We purchased the Combine today, I liked the design and functions, I hope it doesn’t disappoint</v>
      </c>
    </row>
    <row r="6675" spans="1:9" x14ac:dyDescent="0.3">
      <c r="A6675" s="1" t="s">
        <v>9</v>
      </c>
      <c r="B6675" s="1" t="s">
        <v>137</v>
      </c>
      <c r="C6675" s="1" t="s">
        <v>870</v>
      </c>
      <c r="D6675" s="1" t="s">
        <v>589</v>
      </c>
      <c r="E6675" s="1" t="s">
        <v>1864</v>
      </c>
      <c r="F6675" s="1" t="s">
        <v>10511</v>
      </c>
      <c r="G6675" s="1" t="s">
        <v>28</v>
      </c>
      <c r="H6675" s="1" t="s">
        <v>29</v>
      </c>
      <c r="I6675" s="1" t="str">
        <f ca="1">IFERROR(__xludf.DUMMYFUNCTION("GOOGLETRANSLATE(F6675, ""auto"", ""en"")
"),"I liked the panel; it fit very harmoniously into the new kitchen. The four-circuit burner is super, it boils a kettle or a large saucepan quickly. It is also convenient to care for the stove; I use special products for stainless steel and there are no sta"&amp;"ins left. There is only one drawback: if there is a large saucepan on a large burner, then only a small saucepan can be placed behind it. But I think this is not a significant drawback. By the way, the gas control knobs do not heat up at all like other pa"&amp;"nels. Only the panel itself in front of the large burner heats up.")</f>
        <v>I liked the panel; it fit very harmoniously into the new kitchen. The four-circuit burner is super, it boils a kettle or a large saucepan quickly. It is also convenient to care for the stove; I use special products for stainless steel and there are no stains left. There is only one drawback: if there is a large saucepan on a large burner, then only a small saucepan can be placed behind it. But I think this is not a significant drawback. By the way, the gas control knobs do not heat up at all like other panels. Only the panel itself in front of the large burner heats up.</v>
      </c>
    </row>
    <row r="6676" spans="1:9" x14ac:dyDescent="0.3">
      <c r="A6676" s="1" t="s">
        <v>37</v>
      </c>
      <c r="B6676" s="1" t="s">
        <v>38</v>
      </c>
      <c r="C6676" s="1" t="s">
        <v>151</v>
      </c>
      <c r="D6676" s="1" t="s">
        <v>33</v>
      </c>
      <c r="E6676" s="1" t="s">
        <v>1190</v>
      </c>
      <c r="F6676" s="1" t="s">
        <v>10512</v>
      </c>
      <c r="G6676" s="1" t="s">
        <v>28</v>
      </c>
      <c r="H6676" s="1" t="s">
        <v>29</v>
      </c>
      <c r="I6676" s="1" t="str">
        <f ca="1">IFERROR(__xludf.DUMMYFUNCTION("GOOGLETRANSLATE(F6676, ""auto"", ""en"")
"),"I've been using the phone for almost a year. It works fine. BUT!!! C grade camera.")</f>
        <v>I've been using the phone for almost a year. It works fine. BUT!!! C grade camera.</v>
      </c>
    </row>
    <row r="6677" spans="1:9" x14ac:dyDescent="0.3">
      <c r="A6677" s="1" t="s">
        <v>61</v>
      </c>
      <c r="B6677" s="1" t="s">
        <v>318</v>
      </c>
      <c r="C6677" s="1" t="s">
        <v>246</v>
      </c>
      <c r="D6677" s="1" t="s">
        <v>633</v>
      </c>
      <c r="E6677" s="1" t="s">
        <v>1197</v>
      </c>
      <c r="F6677" s="1" t="s">
        <v>10513</v>
      </c>
      <c r="G6677" s="1" t="s">
        <v>49</v>
      </c>
      <c r="H6677" s="1" t="s">
        <v>16</v>
      </c>
      <c r="I6677" s="1" t="str">
        <f ca="1">IFERROR(__xludf.DUMMYFUNCTION("GOOGLETRANSLATE(F6677, ""auto"", ""en"")
"),"Advantages;  1 - appearance Disadvantages;  1 - very loud noise 2 - the lid is broken (a couple of months after purchase)")</f>
        <v>Advantages;  1 - appearance Disadvantages;  1 - very loud noise 2 - the lid is broken (a couple of months after purchase)</v>
      </c>
    </row>
    <row r="6678" spans="1:9" x14ac:dyDescent="0.3">
      <c r="A6678" s="1" t="s">
        <v>95</v>
      </c>
      <c r="B6678" s="1" t="s">
        <v>227</v>
      </c>
      <c r="C6678" s="1" t="s">
        <v>97</v>
      </c>
      <c r="D6678" s="1" t="s">
        <v>208</v>
      </c>
      <c r="E6678" s="1" t="s">
        <v>1895</v>
      </c>
      <c r="F6678" s="1" t="s">
        <v>10514</v>
      </c>
      <c r="G6678" s="1" t="s">
        <v>36</v>
      </c>
      <c r="H6678" s="1" t="s">
        <v>29</v>
      </c>
      <c r="I6678" s="1" t="str">
        <f ca="1">IFERROR(__xludf.DUMMYFUNCTION("GOOGLETRANSLATE(F6678, ""auto"", ""en"")
"),"Great! I bought it and am happy. Everything works well. There are no lags and that says it all!")</f>
        <v>Great! I bought it and am happy. Everything works well. There are no lags and that says it all!</v>
      </c>
    </row>
    <row r="6679" spans="1:9" x14ac:dyDescent="0.3">
      <c r="A6679" s="1" t="s">
        <v>1119</v>
      </c>
      <c r="B6679" s="1" t="s">
        <v>1120</v>
      </c>
      <c r="C6679" s="1" t="s">
        <v>97</v>
      </c>
      <c r="D6679" s="1" t="s">
        <v>305</v>
      </c>
      <c r="E6679" s="1" t="s">
        <v>4862</v>
      </c>
      <c r="F6679" s="1" t="s">
        <v>10515</v>
      </c>
      <c r="G6679" s="1" t="s">
        <v>36</v>
      </c>
      <c r="H6679" s="1" t="s">
        <v>29</v>
      </c>
      <c r="I6679" s="1" t="str">
        <f ca="1">IFERROR(__xludf.DUMMYFUNCTION("GOOGLETRANSLATE(F6679, ""auto"", ""en"")
"),"I bought it in August 2010. Super camera at a reasonable price. considering it's Sony. And Sony and Sony in Africa. Satisfied with almost everything. except for the touch screen, it gets dirty from fingers, but it's still cool for a touch screen camera. S"&amp;"mall size, compact, large HDD. Satisfied. I recommend it to EVERYONE!!!")</f>
        <v>I bought it in August 2010. Super camera at a reasonable price. considering it's Sony. And Sony and Sony in Africa. Satisfied with almost everything. except for the touch screen, it gets dirty from fingers, but it's still cool for a touch screen camera. Small size, compact, large HDD. Satisfied. I recommend it to EVERYONE!!!</v>
      </c>
    </row>
    <row r="6680" spans="1:9" x14ac:dyDescent="0.3">
      <c r="A6680" s="1" t="s">
        <v>61</v>
      </c>
      <c r="B6680" s="1" t="s">
        <v>318</v>
      </c>
      <c r="C6680" s="1" t="s">
        <v>63</v>
      </c>
      <c r="D6680" s="1" t="s">
        <v>1610</v>
      </c>
      <c r="E6680" s="1" t="s">
        <v>822</v>
      </c>
      <c r="F6680" s="1" t="s">
        <v>10516</v>
      </c>
      <c r="G6680" s="1" t="s">
        <v>49</v>
      </c>
      <c r="H6680" s="1" t="s">
        <v>16</v>
      </c>
      <c r="I6680" s="1" t="str">
        <f ca="1">IFERROR(__xludf.DUMMYFUNCTION("GOOGLETRANSLATE(F6680, ""auto"", ""en"")
"),"gifted for my birthday. A year later the kettle's power button broke. although we used it very carefully. Our old Tefal teapot is already 10 years old. still works. so this kettle did not please us for long (((it is also very noisy. But this is the case w"&amp;"ith all kettles with a disk heater.")</f>
        <v>gifted for my birthday. A year later the kettle's power button broke. although we used it very carefully. Our old Tefal teapot is already 10 years old. still works. so this kettle did not please us for long (((it is also very noisy. But this is the case with all kettles with a disk heater.</v>
      </c>
    </row>
    <row r="6681" spans="1:9" x14ac:dyDescent="0.3">
      <c r="A6681" s="1" t="s">
        <v>211</v>
      </c>
      <c r="B6681" s="1" t="s">
        <v>212</v>
      </c>
      <c r="C6681" s="1" t="s">
        <v>381</v>
      </c>
      <c r="D6681" s="1" t="s">
        <v>474</v>
      </c>
      <c r="E6681" s="1" t="s">
        <v>481</v>
      </c>
      <c r="F6681" s="1" t="s">
        <v>10517</v>
      </c>
      <c r="G6681" s="1" t="s">
        <v>36</v>
      </c>
      <c r="H6681" s="1" t="s">
        <v>29</v>
      </c>
      <c r="I6681" s="1" t="str">
        <f ca="1">IFERROR(__xludf.DUMMYFUNCTION("GOOGLETRANSLATE(F6681, ""auto"", ""en"")
"),"I've only been using it for a week, but I really like it. There are no preconditions for failure. all functions work perfectly! It doesn’t dry out your hair and the hair dryer itself doesn’t heat up.")</f>
        <v>I've only been using it for a week, but I really like it. There are no preconditions for failure. all functions work perfectly! It doesn’t dry out your hair and the hair dryer itself doesn’t heat up.</v>
      </c>
    </row>
    <row r="6682" spans="1:9" x14ac:dyDescent="0.3">
      <c r="A6682" s="1" t="s">
        <v>30</v>
      </c>
      <c r="B6682" s="1" t="s">
        <v>31</v>
      </c>
      <c r="C6682" s="1" t="s">
        <v>32</v>
      </c>
      <c r="D6682" s="1" t="s">
        <v>52</v>
      </c>
      <c r="E6682" s="1" t="s">
        <v>7124</v>
      </c>
      <c r="F6682" s="1" t="s">
        <v>10518</v>
      </c>
      <c r="G6682" s="1" t="s">
        <v>36</v>
      </c>
      <c r="H6682" s="1" t="s">
        <v>29</v>
      </c>
      <c r="I6682" s="1" t="str">
        <f ca="1">IFERROR(__xludf.DUMMYFUNCTION("GOOGLETRANSLATE(F6682, ""auto"", ""en"")
"),"Its only drawback is that it has a 32-bit system... it would be possible to install 64 right away")</f>
        <v>Its only drawback is that it has a 32-bit system... it would be possible to install 64 right away</v>
      </c>
    </row>
    <row r="6683" spans="1:9" x14ac:dyDescent="0.3">
      <c r="A6683" s="1" t="s">
        <v>17</v>
      </c>
      <c r="B6683" s="1" t="s">
        <v>18</v>
      </c>
      <c r="C6683" s="1" t="s">
        <v>243</v>
      </c>
      <c r="D6683" s="1" t="s">
        <v>232</v>
      </c>
      <c r="E6683" s="1" t="s">
        <v>460</v>
      </c>
      <c r="F6683" s="1" t="s">
        <v>10519</v>
      </c>
      <c r="G6683" s="1" t="s">
        <v>49</v>
      </c>
      <c r="H6683" s="1" t="s">
        <v>16</v>
      </c>
      <c r="I6683" s="1" t="str">
        <f ca="1">IFERROR(__xludf.DUMMYFUNCTION("GOOGLETRANSLATE(F6683, ""auto"", ""en"")
"),"It broke down twice in a year and a half. Electronics fly every time. The cost of repairs is comparable to the cost of a new car. Think hard before you buy Indesit.")</f>
        <v>It broke down twice in a year and a half. Electronics fly every time. The cost of repairs is comparable to the cost of a new car. Think hard before you buy Indesit.</v>
      </c>
    </row>
    <row r="6684" spans="1:9" x14ac:dyDescent="0.3">
      <c r="A6684" s="1" t="s">
        <v>55</v>
      </c>
      <c r="B6684" s="1" t="s">
        <v>184</v>
      </c>
      <c r="C6684" s="1" t="s">
        <v>85</v>
      </c>
      <c r="D6684" s="1" t="s">
        <v>474</v>
      </c>
      <c r="E6684" s="1" t="s">
        <v>1540</v>
      </c>
      <c r="F6684" s="1" t="s">
        <v>10520</v>
      </c>
      <c r="G6684" s="1" t="s">
        <v>36</v>
      </c>
      <c r="H6684" s="1" t="s">
        <v>29</v>
      </c>
      <c r="I6684" s="1" t="str">
        <f ca="1">IFERROR(__xludf.DUMMYFUNCTION("GOOGLETRANSLATE(F6684, ""auto"", ""en"")
"),"Really handy thing. In connection with the birth of a child, the question arose about choosing a suitable heater. This is where a humidifier comes in very handy. Plus automatic shutdown if it falls or works for a long time (in case you forgot to turn it o"&amp;"ff).   We also encountered the fact that after heating the room to 26 degrees, it stops heating further, and turns on again only when it drops below 22. Then they began to increase the percentage of humidity - in this case it drives hot air. So the climat"&amp;"e in the room can be brought almost to tropical))) In general, we are satisfied.")</f>
        <v>Really handy thing. In connection with the birth of a child, the question arose about choosing a suitable heater. This is where a humidifier comes in very handy. Plus automatic shutdown if it falls or works for a long time (in case you forgot to turn it off).   We also encountered the fact that after heating the room to 26 degrees, it stops heating further, and turns on again only when it drops below 22. Then they began to increase the percentage of humidity - in this case it drives hot air. So the climate in the room can be brought almost to tropical))) In general, we are satisfied.</v>
      </c>
    </row>
    <row r="6685" spans="1:9" x14ac:dyDescent="0.3">
      <c r="A6685" s="1" t="s">
        <v>9</v>
      </c>
      <c r="B6685" s="1" t="s">
        <v>10</v>
      </c>
      <c r="C6685" s="1" t="s">
        <v>407</v>
      </c>
      <c r="D6685" s="1" t="s">
        <v>52</v>
      </c>
      <c r="E6685" s="1" t="s">
        <v>10521</v>
      </c>
      <c r="F6685" s="1" t="s">
        <v>10522</v>
      </c>
      <c r="G6685" s="1" t="s">
        <v>49</v>
      </c>
      <c r="H6685" s="1" t="s">
        <v>16</v>
      </c>
      <c r="I6685" s="1" t="str">
        <f ca="1">IFERROR(__xludf.DUMMYFUNCTION("GOOGLETRANSLATE(F6685, ""auto"", ""en"")
"),"It served faithfully for a year and a half - no questions asked, beautiful, stylish, powerful, moderately noisy. But three days ago the protective glass visor shattered, spontaneously. The wife is shocked. Rating 1 point on a five-point system!")</f>
        <v>It served faithfully for a year and a half - no questions asked, beautiful, stylish, powerful, moderately noisy. But three days ago the protective glass visor shattered, spontaneously. The wife is shocked. Rating 1 point on a five-point system!</v>
      </c>
    </row>
    <row r="6686" spans="1:9" x14ac:dyDescent="0.3">
      <c r="A6686" s="1" t="s">
        <v>37</v>
      </c>
      <c r="B6686" s="1" t="s">
        <v>38</v>
      </c>
      <c r="C6686" s="1" t="s">
        <v>151</v>
      </c>
      <c r="D6686" s="1" t="s">
        <v>3253</v>
      </c>
      <c r="E6686" s="1" t="s">
        <v>1452</v>
      </c>
      <c r="F6686" s="1" t="s">
        <v>10523</v>
      </c>
      <c r="G6686" s="1" t="s">
        <v>36</v>
      </c>
      <c r="H6686" s="1" t="s">
        <v>29</v>
      </c>
      <c r="I6686" s="1" t="str">
        <f ca="1">IFERROR(__xludf.DUMMYFUNCTION("GOOGLETRANSLATE(F6686, ""auto"", ""en"")
"),"I bought it recently, a couple of months ago. Everything is fine)) the only negative is the Chinese assembly, the camera is bad, but I have never used it on my phone!) The touch does not glitch, the response is fast. Another disadvantage: there is not eno"&amp;"ugh memory in the phone (to put music on the call, it copies it from the card to the memory).   As for entering T9 in messages, it makes me happy))) In general, I recommend this phone to those who don’t want to waste money on unnecessary functions.. By th"&amp;"e way, it also supports reading Word documents and has a built-in translator from English)))")</f>
        <v>I bought it recently, a couple of months ago. Everything is fine)) the only negative is the Chinese assembly, the camera is bad, but I have never used it on my phone!) The touch does not glitch, the response is fast. Another disadvantage: there is not enough memory in the phone (to put music on the call, it copies it from the card to the memory).   As for entering T9 in messages, it makes me happy))) In general, I recommend this phone to those who don’t want to waste money on unnecessary functions.. By the way, it also supports reading Word documents and has a built-in translator from English)))</v>
      </c>
    </row>
    <row r="6687" spans="1:9" x14ac:dyDescent="0.3">
      <c r="A6687" s="1" t="s">
        <v>30</v>
      </c>
      <c r="B6687" s="1" t="s">
        <v>31</v>
      </c>
      <c r="C6687" s="1" t="s">
        <v>5122</v>
      </c>
      <c r="D6687" s="1" t="s">
        <v>3646</v>
      </c>
      <c r="E6687" s="1" t="s">
        <v>1450</v>
      </c>
      <c r="F6687" s="1" t="s">
        <v>10524</v>
      </c>
      <c r="G6687" s="1" t="s">
        <v>28</v>
      </c>
      <c r="H6687" s="1" t="s">
        <v>29</v>
      </c>
      <c r="I6687" s="1" t="str">
        <f ca="1">IFERROR(__xludf.DUMMYFUNCTION("GOOGLETRANSLATE(F6687, ""auto"", ""en"")
"),"Dear Radik! If you don’t know anything about hardware, then it’s better not to write.  For starters, Crysis sometimes slows down even on 4-core processors, but here there are two cores - and the percentage is not the most powerful.  And in order for GTA 4"&amp;" to run at maximum settings, you need a video card with 1200+ megabytes or at least one gigabyte. And especially not such an old model as here.  Otherwise, the system unit is 4. For those who need a completely normal home computer, it will do.")</f>
        <v>Dear Radik! If you don’t know anything about hardware, then it’s better not to write.  For starters, Crysis sometimes slows down even on 4-core processors, but here there are two cores - and the percentage is not the most powerful.  And in order for GTA 4 to run at maximum settings, you need a video card with 1200+ megabytes or at least one gigabyte. And especially not such an old model as here.  Otherwise, the system unit is 4. For those who need a completely normal home computer, it will do.</v>
      </c>
    </row>
    <row r="6688" spans="1:9" x14ac:dyDescent="0.3">
      <c r="A6688" s="1" t="s">
        <v>211</v>
      </c>
      <c r="B6688" s="1" t="s">
        <v>212</v>
      </c>
      <c r="C6688" s="1" t="s">
        <v>101</v>
      </c>
      <c r="D6688" s="1" t="s">
        <v>653</v>
      </c>
      <c r="E6688" s="1" t="s">
        <v>1545</v>
      </c>
      <c r="F6688" s="1" t="s">
        <v>10525</v>
      </c>
      <c r="G6688" s="1" t="s">
        <v>28</v>
      </c>
      <c r="H6688" s="1" t="s">
        <v>29</v>
      </c>
      <c r="I6688" s="1" t="str">
        <f ca="1">IFERROR(__xludf.DUMMYFUNCTION("GOOGLETRANSLATE(F6688, ""auto"", ""en"")
"),"I liked the product, heats up quickly and straightens hair well!)")</f>
        <v>I liked the product, heats up quickly and straightens hair well!)</v>
      </c>
    </row>
    <row r="6689" spans="1:9" x14ac:dyDescent="0.3">
      <c r="A6689" s="1" t="s">
        <v>55</v>
      </c>
      <c r="B6689" s="1" t="s">
        <v>184</v>
      </c>
      <c r="C6689" s="1" t="s">
        <v>45</v>
      </c>
      <c r="D6689" s="1" t="s">
        <v>565</v>
      </c>
      <c r="E6689" s="1" t="s">
        <v>8584</v>
      </c>
      <c r="F6689" s="1" t="s">
        <v>10526</v>
      </c>
      <c r="G6689" s="1" t="s">
        <v>36</v>
      </c>
      <c r="H6689" s="1" t="s">
        <v>29</v>
      </c>
      <c r="I6689" s="1" t="str">
        <f ca="1">IFERROR(__xludf.DUMMYFUNCTION("GOOGLETRANSLATE(F6689, ""auto"", ""en"")
"),"Good afternoon, we purchased this cool fan heater yesterday. Me, my husband and my cat are crazy about him. It heats powerfully, quickly heats up 24 km.m., there is a remote control, and there is also a mode for turning in different directions. There is a"&amp;" timer. The only negative is that after the first day the inscriptions on the buttons were erased. And so very worthy.")</f>
        <v>Good afternoon, we purchased this cool fan heater yesterday. Me, my husband and my cat are crazy about him. It heats powerfully, quickly heats up 24 km.m., there is a remote control, and there is also a mode for turning in different directions. There is a timer. The only negative is that after the first day the inscriptions on the buttons were erased. And so very worthy.</v>
      </c>
    </row>
    <row r="6690" spans="1:9" x14ac:dyDescent="0.3">
      <c r="A6690" s="1" t="s">
        <v>496</v>
      </c>
      <c r="B6690" s="1" t="s">
        <v>497</v>
      </c>
      <c r="C6690" s="1" t="s">
        <v>487</v>
      </c>
      <c r="D6690" s="1" t="s">
        <v>10527</v>
      </c>
      <c r="E6690" s="1" t="s">
        <v>131</v>
      </c>
      <c r="F6690" s="1" t="s">
        <v>10528</v>
      </c>
      <c r="G6690" s="1" t="s">
        <v>36</v>
      </c>
      <c r="H6690" s="1" t="s">
        <v>29</v>
      </c>
      <c r="I6690" s="1" t="str">
        <f ca="1">IFERROR(__xludf.DUMMYFUNCTION("GOOGLETRANSLATE(F6690, ""auto"", ""en"")
"),"seven is super - everything works, everything scrolls through, does not freeze (if it freezes, change the hardware), one thing is “DEAR PROGRAM”.")</f>
        <v>seven is super - everything works, everything scrolls through, does not freeze (if it freezes, change the hardware), one thing is “DEAR PROGRAM”.</v>
      </c>
    </row>
    <row r="6691" spans="1:9" x14ac:dyDescent="0.3">
      <c r="A6691" s="1" t="s">
        <v>30</v>
      </c>
      <c r="B6691" s="1" t="s">
        <v>50</v>
      </c>
      <c r="C6691" s="1" t="s">
        <v>51</v>
      </c>
      <c r="D6691" s="1" t="s">
        <v>8756</v>
      </c>
      <c r="E6691" s="1" t="s">
        <v>3203</v>
      </c>
      <c r="F6691" s="1" t="s">
        <v>10529</v>
      </c>
      <c r="G6691" s="1" t="s">
        <v>28</v>
      </c>
      <c r="H6691" s="1" t="s">
        <v>29</v>
      </c>
      <c r="I6691" s="1" t="str">
        <f ca="1">IFERROR(__xludf.DUMMYFUNCTION("GOOGLETRANSLATE(F6691, ""auto"", ""en"")
"),"I've been using it for about a week now, the assembly is junk. It heats up decently. Acer is Acer.")</f>
        <v>I've been using it for about a week now, the assembly is junk. It heats up decently. Acer is Acer.</v>
      </c>
    </row>
    <row r="6692" spans="1:9" x14ac:dyDescent="0.3">
      <c r="A6692" s="1" t="s">
        <v>61</v>
      </c>
      <c r="B6692" s="1" t="s">
        <v>318</v>
      </c>
      <c r="C6692" s="1" t="s">
        <v>69</v>
      </c>
      <c r="D6692" s="1" t="s">
        <v>171</v>
      </c>
      <c r="E6692" s="1" t="s">
        <v>10496</v>
      </c>
      <c r="F6692" s="1" t="s">
        <v>10530</v>
      </c>
      <c r="G6692" s="1" t="s">
        <v>36</v>
      </c>
      <c r="H6692" s="1" t="s">
        <v>29</v>
      </c>
      <c r="I6692" s="1" t="str">
        <f ca="1">IFERROR(__xludf.DUMMYFUNCTION("GOOGLETRANSLATE(F6692, ""auto"", ""en"")
"),"The kettle is 6.5 years old, everyone is happy with it, but it started leaking recently. The water level indicator is leaking. Now we are looking for a quieter and more glass kettle.")</f>
        <v>The kettle is 6.5 years old, everyone is happy with it, but it started leaking recently. The water level indicator is leaking. Now we are looking for a quieter and more glass kettle.</v>
      </c>
    </row>
    <row r="6693" spans="1:9" x14ac:dyDescent="0.3">
      <c r="A6693" s="1" t="s">
        <v>17</v>
      </c>
      <c r="B6693" s="1" t="s">
        <v>18</v>
      </c>
      <c r="C6693" s="1" t="s">
        <v>885</v>
      </c>
      <c r="D6693" s="1" t="s">
        <v>114</v>
      </c>
      <c r="E6693" s="1" t="s">
        <v>594</v>
      </c>
      <c r="F6693" s="1" t="s">
        <v>10531</v>
      </c>
      <c r="G6693" s="1" t="s">
        <v>36</v>
      </c>
      <c r="H6693" s="1" t="s">
        <v>29</v>
      </c>
      <c r="I6693" s="1" t="str">
        <f ca="1">IFERROR(__xludf.DUMMYFUNCTION("GOOGLETRANSLATE(F6693, ""auto"", ""en"")
"),"I bought this machine a week ago, the main selection criterion was that I had never heard anything bad about Kandy, the price was reasonable, and the design was very nice!!! On the very first day I passed a tough test drive (4 washes in a row on different"&amp;" functions... we washed the whole apartment!) perfectly! It washes clothes well, although it doesn’t vibrate much (well, what kind of machine doesn’t shake when spinning), well, no matter where it sits, and it’s not noisy in sound (in comparison, Indesit "&amp;"and Ariston are much noisier). I’ll highlight a couple of disadvantages, and I consider them not significant: it leaves a little powder in the tray (although when you add water for rinsing, this residue will still be washed off), and the fact that the ins"&amp;"tructions do not indicate the duration of washing for a particular function! I recommend Candy to everyone, happy shopping!")</f>
        <v>I bought this machine a week ago, the main selection criterion was that I had never heard anything bad about Kandy, the price was reasonable, and the design was very nice!!! On the very first day I passed a tough test drive (4 washes in a row on different functions... we washed the whole apartment!) perfectly! It washes clothes well, although it doesn’t vibrate much (well, what kind of machine doesn’t shake when spinning), well, no matter where it sits, and it’s not noisy in sound (in comparison, Indesit and Ariston are much noisier). I’ll highlight a couple of disadvantages, and I consider them not significant: it leaves a little powder in the tray (although when you add water for rinsing, this residue will still be washed off), and the fact that the instructions do not indicate the duration of washing for a particular function! I recommend Candy to everyone, happy shopping!</v>
      </c>
    </row>
    <row r="6694" spans="1:9" x14ac:dyDescent="0.3">
      <c r="A6694" s="1" t="s">
        <v>61</v>
      </c>
      <c r="B6694" s="1" t="s">
        <v>318</v>
      </c>
      <c r="C6694" s="1" t="s">
        <v>63</v>
      </c>
      <c r="D6694" s="1" t="s">
        <v>232</v>
      </c>
      <c r="E6694" s="1" t="s">
        <v>1207</v>
      </c>
      <c r="F6694" s="1" t="s">
        <v>10532</v>
      </c>
      <c r="G6694" s="1" t="s">
        <v>15</v>
      </c>
      <c r="H6694" s="1" t="s">
        <v>16</v>
      </c>
      <c r="I6694" s="1" t="str">
        <f ca="1">IFERROR(__xludf.DUMMYFUNCTION("GOOGLETRANSLATE(F6694, ""auto"", ""en"")
"),"Leaked after 10 months. Again, as already written, limescale appeared on the scale. Although we only use bottled water.")</f>
        <v>Leaked after 10 months. Again, as already written, limescale appeared on the scale. Although we only use bottled water.</v>
      </c>
    </row>
    <row r="6695" spans="1:9" x14ac:dyDescent="0.3">
      <c r="A6695" s="1" t="s">
        <v>61</v>
      </c>
      <c r="B6695" s="1" t="s">
        <v>145</v>
      </c>
      <c r="C6695" s="1" t="s">
        <v>74</v>
      </c>
      <c r="D6695" s="1" t="s">
        <v>385</v>
      </c>
      <c r="E6695" s="1" t="s">
        <v>1287</v>
      </c>
      <c r="F6695" s="1" t="s">
        <v>10533</v>
      </c>
      <c r="G6695" s="1" t="s">
        <v>36</v>
      </c>
      <c r="H6695" s="1" t="s">
        <v>29</v>
      </c>
      <c r="I6695" s="1" t="str">
        <f ca="1">IFERROR(__xludf.DUMMYFUNCTION("GOOGLETRANSLATE(F6695, ""auto"", ""en"")
"),"I really like this steamer, we’ve been using it for over a year now and are very pleased")</f>
        <v>I really like this steamer, we’ve been using it for over a year now and are very pleased</v>
      </c>
    </row>
    <row r="6696" spans="1:9" x14ac:dyDescent="0.3">
      <c r="A6696" s="1" t="s">
        <v>211</v>
      </c>
      <c r="B6696" s="1" t="s">
        <v>856</v>
      </c>
      <c r="C6696" s="1" t="s">
        <v>101</v>
      </c>
      <c r="D6696" s="1" t="s">
        <v>64</v>
      </c>
      <c r="E6696" s="1" t="s">
        <v>386</v>
      </c>
      <c r="F6696" s="1" t="s">
        <v>10534</v>
      </c>
      <c r="G6696" s="1" t="s">
        <v>36</v>
      </c>
      <c r="H6696" s="1" t="s">
        <v>29</v>
      </c>
      <c r="I6696" s="1" t="str">
        <f ca="1">IFERROR(__xludf.DUMMYFUNCTION("GOOGLETRANSLATE(F6696, ""auto"", ""en"")
"),"I am very happy with this purchase! Great for foot care.")</f>
        <v>I am very happy with this purchase! Great for foot care.</v>
      </c>
    </row>
    <row r="6697" spans="1:9" x14ac:dyDescent="0.3">
      <c r="A6697" s="1" t="s">
        <v>17</v>
      </c>
      <c r="B6697" s="1" t="s">
        <v>18</v>
      </c>
      <c r="C6697" s="1" t="s">
        <v>138</v>
      </c>
      <c r="D6697" s="1" t="s">
        <v>305</v>
      </c>
      <c r="E6697" s="1" t="s">
        <v>1738</v>
      </c>
      <c r="F6697" s="1" t="s">
        <v>10535</v>
      </c>
      <c r="G6697" s="1" t="s">
        <v>28</v>
      </c>
      <c r="H6697" s="1" t="s">
        <v>29</v>
      </c>
      <c r="I6697" s="1" t="str">
        <f ca="1">IFERROR(__xludf.DUMMYFUNCTION("GOOGLETRANSLATE(F6697, ""auto"", ""en"")
"),"The car suits me. The rear bearing turned out to be weak; it had to be tightened several times (after only 4 months of operation) and the belt fell off once. So - everything suits me. Moreover, she does laundry 1-3 times a day... very often. I hope it las"&amp;"ts five years :)")</f>
        <v>The car suits me. The rear bearing turned out to be weak; it had to be tightened several times (after only 4 months of operation) and the belt fell off once. So - everything suits me. Moreover, she does laundry 1-3 times a day... very often. I hope it lasts five years :)</v>
      </c>
    </row>
    <row r="6698" spans="1:9" x14ac:dyDescent="0.3">
      <c r="A6698" s="1" t="s">
        <v>965</v>
      </c>
      <c r="B6698" s="1" t="s">
        <v>966</v>
      </c>
      <c r="C6698" s="1" t="s">
        <v>2149</v>
      </c>
      <c r="D6698" s="1" t="s">
        <v>117</v>
      </c>
      <c r="E6698" s="1" t="s">
        <v>3448</v>
      </c>
      <c r="F6698" s="1" t="s">
        <v>10536</v>
      </c>
      <c r="G6698" s="1" t="s">
        <v>36</v>
      </c>
      <c r="H6698" s="1" t="s">
        <v>29</v>
      </c>
      <c r="I6698" s="1" t="str">
        <f ca="1">IFERROR(__xludf.DUMMYFUNCTION("GOOGLETRANSLATE(F6698, ""auto"", ""en"")
"),"The buffer is simply class, the sound is excellent, the control panel is convenient, I recommend it to everyone, you won’t grow old!!!")</f>
        <v>The buffer is simply class, the sound is excellent, the control panel is convenient, I recommend it to everyone, you won’t grow old!!!</v>
      </c>
    </row>
    <row r="6699" spans="1:9" x14ac:dyDescent="0.3">
      <c r="A6699" s="1" t="s">
        <v>61</v>
      </c>
      <c r="B6699" s="1" t="s">
        <v>318</v>
      </c>
      <c r="C6699" s="1" t="s">
        <v>246</v>
      </c>
      <c r="D6699" s="1" t="s">
        <v>114</v>
      </c>
      <c r="E6699" s="1" t="s">
        <v>2354</v>
      </c>
      <c r="F6699" s="1" t="s">
        <v>10537</v>
      </c>
      <c r="G6699" s="1" t="s">
        <v>28</v>
      </c>
      <c r="H6699" s="1" t="s">
        <v>29</v>
      </c>
      <c r="I6699" s="1" t="str">
        <f ca="1">IFERROR(__xludf.DUMMYFUNCTION("GOOGLETRANSLATE(F6699, ""auto"", ""en"")
"),"It is, of course, difficult to fully understand who is “leaking,..., dripping, and in what place is peeling off,” but as the practice of using one of the copies of this model, which has been working properly for the 3rd year, shows, apparently, there are "&amp;"exceptions on both sides. In this case, everything turns off on time, as long as nothing drips, it makes noise if a lot of scale has accumulated (like any kettle), without it it works quite comfortably for the ear, only the water level marks have peeled o"&amp;"ff due to cleaning the unit. If I were choosing now, I would probably buy the same one, because if you don’t need frills, such as a regulator and temperature maintenance, a thermometer, transparency of the case, lighting inside, etc., I think this would b"&amp;"e the most correct option.")</f>
        <v>It is, of course, difficult to fully understand who is “leaking,..., dripping, and in what place is peeling off,” but as the practice of using one of the copies of this model, which has been working properly for the 3rd year, shows, apparently, there are exceptions on both sides. In this case, everything turns off on time, as long as nothing drips, it makes noise if a lot of scale has accumulated (like any kettle), without it it works quite comfortably for the ear, only the water level marks have peeled off due to cleaning the unit. If I were choosing now, I would probably buy the same one, because if you don’t need frills, such as a regulator and temperature maintenance, a thermometer, transparency of the case, lighting inside, etc., I think this would be the most correct option.</v>
      </c>
    </row>
    <row r="6700" spans="1:9" x14ac:dyDescent="0.3">
      <c r="A6700" s="1" t="s">
        <v>9</v>
      </c>
      <c r="B6700" s="1" t="s">
        <v>137</v>
      </c>
      <c r="C6700" s="1" t="s">
        <v>63</v>
      </c>
      <c r="D6700" s="1" t="s">
        <v>3253</v>
      </c>
      <c r="E6700" s="1" t="s">
        <v>9164</v>
      </c>
      <c r="F6700" s="1" t="s">
        <v>10538</v>
      </c>
      <c r="G6700" s="1" t="s">
        <v>36</v>
      </c>
      <c r="H6700" s="1" t="s">
        <v>29</v>
      </c>
      <c r="I6700" s="1" t="str">
        <f ca="1">IFERROR(__xludf.DUMMYFUNCTION("GOOGLETRANSLATE(F6700, ""auto"", ""en"")
"),"I found a bunch of comments about this panel and 99 percent were positive. That's why I didn't think long about the purchase. The stove met my expectations completely! Two expansion zones are very convenient, and the round expansion zone also speeds up th"&amp;"e cooking process. On the oval one you can place a duckling and other vessels of non-standard size. There is a blocking from children who try to climb into places where they are not asked.")</f>
        <v>I found a bunch of comments about this panel and 99 percent were positive. That's why I didn't think long about the purchase. The stove met my expectations completely! Two expansion zones are very convenient, and the round expansion zone also speeds up the cooking process. On the oval one you can place a duckling and other vessels of non-standard size. There is a blocking from children who try to climb into places where they are not asked.</v>
      </c>
    </row>
    <row r="6701" spans="1:9" x14ac:dyDescent="0.3">
      <c r="A6701" s="1" t="s">
        <v>17</v>
      </c>
      <c r="B6701" s="1" t="s">
        <v>18</v>
      </c>
      <c r="C6701" s="1" t="s">
        <v>80</v>
      </c>
      <c r="D6701" s="1" t="s">
        <v>139</v>
      </c>
      <c r="E6701" s="1" t="s">
        <v>1700</v>
      </c>
      <c r="F6701" s="1" t="s">
        <v>10539</v>
      </c>
      <c r="G6701" s="1" t="s">
        <v>28</v>
      </c>
      <c r="H6701" s="1" t="s">
        <v>29</v>
      </c>
      <c r="I6701" s="1" t="str">
        <f ca="1">IFERROR(__xludf.DUMMYFUNCTION("GOOGLETRANSLATE(F6701, ""auto"", ""en"")
"),"The machine is not bad, I’ve been using it since March 2010. There are some minor problems: the bottom door leaked a couple of times, they fixed it by wiping the door in a circular motion every time after washing; there’s a problem with the spin cycle, it"&amp;" doesn’t always balance itself - you have to rearrange the wet laundry on the drum; it takes in and drains water loudly, something is knocking inside.  Quite stable, sometimes it shudders at maximum load, very economical, washes well - but that’s what you"&amp;" need from a washing machine!")</f>
        <v>The machine is not bad, I’ve been using it since March 2010. There are some minor problems: the bottom door leaked a couple of times, they fixed it by wiping the door in a circular motion every time after washing; there’s a problem with the spin cycle, it doesn’t always balance itself - you have to rearrange the wet laundry on the drum; it takes in and drains water loudly, something is knocking inside.  Quite stable, sometimes it shudders at maximum load, very economical, washes well - but that’s what you need from a washing machine!</v>
      </c>
    </row>
    <row r="6702" spans="1:9" x14ac:dyDescent="0.3">
      <c r="A6702" s="1" t="s">
        <v>120</v>
      </c>
      <c r="B6702" s="1" t="s">
        <v>126</v>
      </c>
      <c r="C6702" s="1" t="s">
        <v>80</v>
      </c>
      <c r="D6702" s="1" t="s">
        <v>10540</v>
      </c>
      <c r="E6702" s="1" t="s">
        <v>1139</v>
      </c>
      <c r="F6702" s="1" t="s">
        <v>10541</v>
      </c>
      <c r="G6702" s="1" t="s">
        <v>49</v>
      </c>
      <c r="H6702" s="1" t="s">
        <v>16</v>
      </c>
      <c r="I6702" s="1" t="str">
        <f ca="1">IFERROR(__xludf.DUMMYFUNCTION("GOOGLETRANSLATE(F6702, ""auto"", ""en"")
"),"I bought this miracle three weeks ago. Don’t believe that there is a vivid picture here, bright colors and relaxation for the eyes. For that kind of money I got a complete headache in the form of 4 trips to the service center. In my opinion it is better t"&amp;"o watch it in black and white. Totally sucks. Don't take THIS!")</f>
        <v>I bought this miracle three weeks ago. Don’t believe that there is a vivid picture here, bright colors and relaxation for the eyes. For that kind of money I got a complete headache in the form of 4 trips to the service center. In my opinion it is better to watch it in black and white. Totally sucks. Don't take THIS!</v>
      </c>
    </row>
    <row r="6703" spans="1:9" x14ac:dyDescent="0.3">
      <c r="A6703" s="1" t="s">
        <v>55</v>
      </c>
      <c r="B6703" s="1" t="s">
        <v>3549</v>
      </c>
      <c r="C6703" s="1" t="s">
        <v>57</v>
      </c>
      <c r="D6703" s="1" t="s">
        <v>10542</v>
      </c>
      <c r="E6703" s="1" t="s">
        <v>750</v>
      </c>
      <c r="F6703" s="1" t="s">
        <v>10543</v>
      </c>
      <c r="G6703" s="1" t="s">
        <v>15</v>
      </c>
      <c r="H6703" s="1" t="s">
        <v>16</v>
      </c>
      <c r="I6703" s="1" t="str">
        <f ca="1">IFERROR(__xludf.DUMMYFUNCTION("GOOGLETRANSLATE(F6703, ""auto"", ""en"")
"),"The description on the website does not indicate the dimensions, and it says that the placement is on the floor (I would like to see it on the floor). I didn’t even find it in the store right away. It’s the size of a beer can.")</f>
        <v>The description on the website does not indicate the dimensions, and it says that the placement is on the floor (I would like to see it on the floor). I didn’t even find it in the store right away. It’s the size of a beer can.</v>
      </c>
    </row>
    <row r="6704" spans="1:9" x14ac:dyDescent="0.3">
      <c r="A6704" s="1" t="s">
        <v>43</v>
      </c>
      <c r="B6704" s="1" t="s">
        <v>1370</v>
      </c>
      <c r="C6704" s="1" t="s">
        <v>2137</v>
      </c>
      <c r="D6704" s="1" t="s">
        <v>52</v>
      </c>
      <c r="E6704" s="1" t="s">
        <v>1207</v>
      </c>
      <c r="F6704" s="1" t="s">
        <v>10544</v>
      </c>
      <c r="G6704" s="1" t="s">
        <v>28</v>
      </c>
      <c r="H6704" s="1" t="s">
        <v>29</v>
      </c>
      <c r="I6704" s="1" t="str">
        <f ca="1">IFERROR(__xludf.DUMMYFUNCTION("GOOGLETRANSLATE(F6704, ""auto"", ""en"")
"),"This is my first water heater, so there is nothing to compare with. For me, the main disadvantage was the water connection, because... the tap must be installed before the entrance, not after. Therefore, you cannot simply install it into the system. Why? "&amp;"Because it turns on from the water pressure, or rather from the pressure. Therefore, if installed on the system, it simply will not turn off. For installation, I was advised at an electrical goods store to use a 3*4 cable, but as it turned out, 3*2.5 woul"&amp;"d have been enough. I connected it to an outlet in the bathroom (we recently had the 3*2.5 wiring changed) and the wires get a little hot. When connecting a regular shower, the heater is not very effective, but if it comes from a kit, then it is quite nor"&amp;"mal, because It has very small water passage nozzles. I tried to draw a bath of water, in general it was successful, but the RCD tripped 3 times (a very old one, in the evening I’ll get a new, more powerful one) and in about 1:00-1:20 an hour I got warm w"&amp;"ater. Great for showering, washing, washing dishes. To set up a bathtub, you still need something more powerful (alas, our wiring does not allow something more powerful)")</f>
        <v>This is my first water heater, so there is nothing to compare with. For me, the main disadvantage was the water connection, because... the tap must be installed before the entrance, not after. Therefore, you cannot simply install it into the system. Why? Because it turns on from the water pressure, or rather from the pressure. Therefore, if installed on the system, it simply will not turn off. For installation, I was advised at an electrical goods store to use a 3*4 cable, but as it turned out, 3*2.5 would have been enough. I connected it to an outlet in the bathroom (we recently had the 3*2.5 wiring changed) and the wires get a little hot. When connecting a regular shower, the heater is not very effective, but if it comes from a kit, then it is quite normal, because It has very small water passage nozzles. I tried to draw a bath of water, in general it was successful, but the RCD tripped 3 times (a very old one, in the evening I’ll get a new, more powerful one) and in about 1:00-1:20 an hour I got warm water. Great for showering, washing, washing dishes. To set up a bathtub, you still need something more powerful (alas, our wiring does not allow something more powerful)</v>
      </c>
    </row>
    <row r="6705" spans="1:9" x14ac:dyDescent="0.3">
      <c r="A6705" s="1" t="s">
        <v>17</v>
      </c>
      <c r="B6705" s="1" t="s">
        <v>18</v>
      </c>
      <c r="C6705" s="1" t="s">
        <v>134</v>
      </c>
      <c r="D6705" s="1" t="s">
        <v>420</v>
      </c>
      <c r="E6705" s="1" t="s">
        <v>3542</v>
      </c>
      <c r="F6705" s="1" t="s">
        <v>10545</v>
      </c>
      <c r="G6705" s="1" t="s">
        <v>36</v>
      </c>
      <c r="H6705" s="1" t="s">
        <v>29</v>
      </c>
      <c r="I6705" s="1" t="str">
        <f ca="1">IFERROR(__xludf.DUMMYFUNCTION("GOOGLETRANSLATE(F6705, ""auto"", ""en"")
"),"We recently bought a Siemens WS 10 X 45 AOE washing machine. It works very quietly, even during the spin cycle. There are no complaints about the quality of washing.")</f>
        <v>We recently bought a Siemens WS 10 X 45 AOE washing machine. It works very quietly, even during the spin cycle. There are no complaints about the quality of washing.</v>
      </c>
    </row>
    <row r="6706" spans="1:9" x14ac:dyDescent="0.3">
      <c r="A6706" s="1" t="s">
        <v>30</v>
      </c>
      <c r="B6706" s="1" t="s">
        <v>50</v>
      </c>
      <c r="C6706" s="1" t="s">
        <v>189</v>
      </c>
      <c r="D6706" s="1" t="s">
        <v>749</v>
      </c>
      <c r="E6706" s="1" t="s">
        <v>251</v>
      </c>
      <c r="F6706" s="1" t="s">
        <v>10546</v>
      </c>
      <c r="G6706" s="1" t="s">
        <v>36</v>
      </c>
      <c r="H6706" s="1" t="s">
        <v>29</v>
      </c>
      <c r="I6706" s="1" t="str">
        <f ca="1">IFERROR(__xludf.DUMMYFUNCTION("GOOGLETRANSLATE(F6706, ""auto"", ""en"")
"),"I bought it on December 30, absolutely everything is fine, but today a red vertical stripe appeared on the monitor (((didn’t drop it, didn’t do anything... turned it on the night before and here they are(")</f>
        <v>I bought it on December 30, absolutely everything is fine, but today a red vertical stripe appeared on the monitor (((didn’t drop it, didn’t do anything... turned it on the night before and here they are(</v>
      </c>
    </row>
    <row r="6707" spans="1:9" x14ac:dyDescent="0.3">
      <c r="A6707" s="1" t="s">
        <v>149</v>
      </c>
      <c r="B6707" s="1" t="s">
        <v>150</v>
      </c>
      <c r="C6707" s="1" t="s">
        <v>2016</v>
      </c>
      <c r="D6707" s="1" t="s">
        <v>152</v>
      </c>
      <c r="E6707" s="1" t="s">
        <v>2882</v>
      </c>
      <c r="F6707" s="1" t="s">
        <v>10547</v>
      </c>
      <c r="G6707" s="1" t="s">
        <v>28</v>
      </c>
      <c r="H6707" s="1" t="s">
        <v>29</v>
      </c>
      <c r="I6707" s="1" t="str">
        <f ca="1">IFERROR(__xludf.DUMMYFUNCTION("GOOGLETRANSLATE(F6707, ""auto"", ""en"")
"),"The design of the vacuum cleaner is not bad, the cord is long, the plug does not fall out. However, the power is rather weak.")</f>
        <v>The design of the vacuum cleaner is not bad, the cord is long, the plug does not fall out. However, the power is rather weak.</v>
      </c>
    </row>
    <row r="6708" spans="1:9" x14ac:dyDescent="0.3">
      <c r="A6708" s="1" t="s">
        <v>169</v>
      </c>
      <c r="B6708" s="1" t="s">
        <v>170</v>
      </c>
      <c r="C6708" s="1" t="s">
        <v>97</v>
      </c>
      <c r="D6708" s="1" t="s">
        <v>1036</v>
      </c>
      <c r="E6708" s="1" t="s">
        <v>349</v>
      </c>
      <c r="F6708" s="1" t="s">
        <v>10548</v>
      </c>
      <c r="G6708" s="1" t="s">
        <v>36</v>
      </c>
      <c r="H6708" s="1" t="s">
        <v>29</v>
      </c>
      <c r="I6708" s="1" t="str">
        <f ca="1">IFERROR(__xludf.DUMMYFUNCTION("GOOGLETRANSLATE(F6708, ""auto"", ""en"")
"),"Good sound, ear pads included, high-quality, but short cable. Really good and noticeable bass! I have never heard anything like this in this price category. The ear pads seem like a small thing, but there are so many advantages: they fit well, the headpho"&amp;"nes don’t put pressure on them and you don’t feel them in your ear at all, in winter, again, when you put them in, your ears are not cold :) I walked with them every day for a year, then I lost them. I bought another one and have been using it for a year "&amp;"now - no complaints or defects.")</f>
        <v>Good sound, ear pads included, high-quality, but short cable. Really good and noticeable bass! I have never heard anything like this in this price category. The ear pads seem like a small thing, but there are so many advantages: they fit well, the headphones don’t put pressure on them and you don’t feel them in your ear at all, in winter, again, when you put them in, your ears are not cold :) I walked with them every day for a year, then I lost them. I bought another one and have been using it for a year now - no complaints or defects.</v>
      </c>
    </row>
    <row r="6709" spans="1:9" x14ac:dyDescent="0.3">
      <c r="A6709" s="1" t="s">
        <v>120</v>
      </c>
      <c r="B6709" s="1" t="s">
        <v>256</v>
      </c>
      <c r="C6709" s="1" t="s">
        <v>32</v>
      </c>
      <c r="D6709" s="1" t="s">
        <v>33</v>
      </c>
      <c r="E6709" s="1" t="s">
        <v>1553</v>
      </c>
      <c r="F6709" s="1" t="s">
        <v>10549</v>
      </c>
      <c r="G6709" s="1" t="s">
        <v>36</v>
      </c>
      <c r="H6709" s="1" t="s">
        <v>29</v>
      </c>
      <c r="I6709" s="1" t="str">
        <f ca="1">IFERROR(__xludf.DUMMYFUNCTION("GOOGLETRANSLATE(F6709, ""auto"", ""en"")
"),"Excellent LCD, I’m happy with everything, sound, picture, channel switching (no need to switch to two-digit mode and back), the remote control is convenient, I really like the colors, the TV reception is excellent, a simple menu. In general, after a year "&amp;"and a half of use, I did not find any shortcomings. Well, maybe there’s not enough bass, but I’ve never messed with the sound settings... For a kitchen of 16 sq.m. ideal option. I never turned on the sound louder than 28 (out of 100). I recommend an excel"&amp;"lent residential complex.   P.S.: I decided to write because... I was watching TV in the bedroom, so I decided to write about my own (about this), after all, I listen to other people’s reviews. I’m thinking about getting an Acer for the bedroom, just a bi"&amp;"gger one.")</f>
        <v>Excellent LCD, I’m happy with everything, sound, picture, channel switching (no need to switch to two-digit mode and back), the remote control is convenient, I really like the colors, the TV reception is excellent, a simple menu. In general, after a year and a half of use, I did not find any shortcomings. Well, maybe there’s not enough bass, but I’ve never messed with the sound settings... For a kitchen of 16 sq.m. ideal option. I never turned on the sound louder than 28 (out of 100). I recommend an excellent residential complex.   P.S.: I decided to write because... I was watching TV in the bedroom, so I decided to write about my own (about this), after all, I listen to other people’s reviews. I’m thinking about getting an Acer for the bedroom, just a bigger one.</v>
      </c>
    </row>
    <row r="6710" spans="1:9" x14ac:dyDescent="0.3">
      <c r="A6710" s="1" t="s">
        <v>149</v>
      </c>
      <c r="B6710" s="1" t="s">
        <v>155</v>
      </c>
      <c r="C6710" s="1" t="s">
        <v>1187</v>
      </c>
      <c r="D6710" s="1" t="s">
        <v>295</v>
      </c>
      <c r="E6710" s="1" t="s">
        <v>87</v>
      </c>
      <c r="F6710" s="1" t="s">
        <v>10550</v>
      </c>
      <c r="G6710" s="1" t="s">
        <v>36</v>
      </c>
      <c r="H6710" s="1" t="s">
        <v>29</v>
      </c>
      <c r="I6710" s="1" t="str">
        <f ca="1">IFERROR(__xludf.DUMMYFUNCTION("GOOGLETRANSLATE(F6710, ""auto"", ""en"")
"),"Powerful, compact, cleans efficiently, easy to clean. The air is fresh after cleaning. No complaints.  When we bought it, we thought that we were overpaying. But now there is no doubt left, the vacuum cleaner pays for itself :)")</f>
        <v>Powerful, compact, cleans efficiently, easy to clean. The air is fresh after cleaning. No complaints.  When we bought it, we thought that we were overpaying. But now there is no doubt left, the vacuum cleaner pays for itself :)</v>
      </c>
    </row>
    <row r="6711" spans="1:9" x14ac:dyDescent="0.3">
      <c r="A6711" s="1" t="s">
        <v>120</v>
      </c>
      <c r="B6711" s="1" t="s">
        <v>256</v>
      </c>
      <c r="C6711" s="1" t="s">
        <v>69</v>
      </c>
      <c r="D6711" s="1" t="s">
        <v>5680</v>
      </c>
      <c r="E6711" s="1" t="s">
        <v>2298</v>
      </c>
      <c r="F6711" s="1" t="s">
        <v>10551</v>
      </c>
      <c r="G6711" s="1" t="s">
        <v>49</v>
      </c>
      <c r="H6711" s="1" t="s">
        <v>16</v>
      </c>
      <c r="I6711" s="1" t="str">
        <f ca="1">IFERROR(__xludf.DUMMYFUNCTION("GOOGLETRANSLATE(F6711, ""auto"", ""en"")
"),"A friend was given this TV as a gift. Hanging on the wall. I have never seen a more disgusting device. It is acceptable to look only at an angle of 90 degrees! Viewing angle horizontally by 3, vertically by 1-. Horror!!!")</f>
        <v>A friend was given this TV as a gift. Hanging on the wall. I have never seen a more disgusting device. It is acceptable to look only at an angle of 90 degrees! Viewing angle horizontally by 3, vertically by 1-. Horror!!!</v>
      </c>
    </row>
    <row r="6712" spans="1:9" x14ac:dyDescent="0.3">
      <c r="A6712" s="1" t="s">
        <v>30</v>
      </c>
      <c r="B6712" s="1" t="s">
        <v>50</v>
      </c>
      <c r="C6712" s="1" t="s">
        <v>694</v>
      </c>
      <c r="D6712" s="1" t="s">
        <v>10552</v>
      </c>
      <c r="E6712" s="1" t="s">
        <v>1632</v>
      </c>
      <c r="F6712" s="1" t="s">
        <v>10553</v>
      </c>
      <c r="G6712" s="1" t="s">
        <v>36</v>
      </c>
      <c r="H6712" s="1" t="s">
        <v>29</v>
      </c>
      <c r="I6712" s="1" t="str">
        <f ca="1">IFERROR(__xludf.DUMMYFUNCTION("GOOGLETRANSLATE(F6712, ""auto"", ""en"")
"),"By the way, the price of mvideo is more than adequate! Well done! I compared them with foreign prices... If only, based on Ion, they would start selling the same model as soon as possible with Windows 7 for 18 thousand - then I would be first in line! )")</f>
        <v>By the way, the price of mvideo is more than adequate! Well done! I compared them with foreign prices... If only, based on Ion, they would start selling the same model as soon as possible with Windows 7 for 18 thousand - then I would be first in line! )</v>
      </c>
    </row>
    <row r="6713" spans="1:9" x14ac:dyDescent="0.3">
      <c r="A6713" s="1" t="s">
        <v>120</v>
      </c>
      <c r="B6713" s="1" t="s">
        <v>196</v>
      </c>
      <c r="C6713" s="1" t="s">
        <v>97</v>
      </c>
      <c r="D6713" s="1" t="s">
        <v>1940</v>
      </c>
      <c r="E6713" s="1" t="s">
        <v>559</v>
      </c>
      <c r="F6713" s="1" t="s">
        <v>10554</v>
      </c>
      <c r="G6713" s="1" t="s">
        <v>49</v>
      </c>
      <c r="H6713" s="1" t="s">
        <v>16</v>
      </c>
      <c r="I6713" s="1" t="str">
        <f ca="1">IFERROR(__xludf.DUMMYFUNCTION("GOOGLETRANSLATE(F6713, ""auto"", ""en"")
"),"We bought this device, brought it home, installed it and immediately packed it back, we'll take it back tomorrow. Our cable TV shows disgustingly, loops, ripples, some kind of twitching... the picture is indistinct, blurry. Next to it is a 32"" model 3406"&amp;" of another brand, bought a year ago in the same store - it shows perfectly with the same antenna, there’s really nothing to complain about! So Sonya really disappointed me, don’t buy this model!")</f>
        <v>We bought this device, brought it home, installed it and immediately packed it back, we'll take it back tomorrow. Our cable TV shows disgustingly, loops, ripples, some kind of twitching... the picture is indistinct, blurry. Next to it is a 32" model 3406 of another brand, bought a year ago in the same store - it shows perfectly with the same antenna, there’s really nothing to complain about! So Sonya really disappointed me, don’t buy this model!</v>
      </c>
    </row>
    <row r="6714" spans="1:9" x14ac:dyDescent="0.3">
      <c r="A6714" s="1" t="s">
        <v>624</v>
      </c>
      <c r="B6714" s="1" t="s">
        <v>625</v>
      </c>
      <c r="C6714" s="1" t="s">
        <v>479</v>
      </c>
      <c r="D6714" s="1" t="s">
        <v>39</v>
      </c>
      <c r="E6714" s="1" t="s">
        <v>1012</v>
      </c>
      <c r="F6714" s="1" t="s">
        <v>10555</v>
      </c>
      <c r="G6714" s="1" t="s">
        <v>36</v>
      </c>
      <c r="H6714" s="1" t="s">
        <v>29</v>
      </c>
      <c r="I6714" s="1" t="str">
        <f ca="1">IFERROR(__xludf.DUMMYFUNCTION("GOOGLETRANSLATE(F6714, ""auto"", ""en"")
"),"This is truly the most important game in recent years, I bought a PS3 on purpose, I will soon buy the game, this is a salvation for thoughtful and empathetic players who are incredibly tired of the monthly riveted shooters on Anreal Engineer 3, who are ti"&amp;"red of bringing down crowds of “creatures”, THIS is not pop music, this is not a mainstream project, and it’s upsetting that foreign gaming publications and critics do not all appreciate it (in my opinion, some the publication awarded 7.5) this upsets, bu"&amp;"t pleases our, domestic game community, in Russia it has gained enormous popularity, especially those who like to read great detective stories, and in general those who are not interested in games, they can easily come to a friend who has a PS3 and he wil"&amp;"l play it before your eyes (although it will take quite a bit of time) and you will get no less pleasure than the player. QTEs are implemented at the highest level; there have never been similar games with such mechanics. Uuuh... I think that's enough, it"&amp;"'s just a game that I want to talk about, talk about, and that's great, it throws us back, when the release of each new game was significant, they waited for a long time, languished, there was no conveyor")</f>
        <v>This is truly the most important game in recent years, I bought a PS3 on purpose, I will soon buy the game, this is a salvation for thoughtful and empathetic players who are incredibly tired of the monthly riveted shooters on Anreal Engineer 3, who are tired of bringing down crowds of “creatures”, THIS is not pop music, this is not a mainstream project, and it’s upsetting that foreign gaming publications and critics do not all appreciate it (in my opinion, some the publication awarded 7.5) this upsets, but pleases our, domestic game community, in Russia it has gained enormous popularity, especially those who like to read great detective stories, and in general those who are not interested in games, they can easily come to a friend who has a PS3 and he will play it before your eyes (although it will take quite a bit of time) and you will get no less pleasure than the player. QTEs are implemented at the highest level; there have never been similar games with such mechanics. Uuuh... I think that's enough, it's just a game that I want to talk about, talk about, and that's great, it throws us back, when the release of each new game was significant, they waited for a long time, languished, there was no conveyor</v>
      </c>
    </row>
    <row r="6715" spans="1:9" x14ac:dyDescent="0.3">
      <c r="A6715" s="1" t="s">
        <v>105</v>
      </c>
      <c r="B6715" s="1" t="s">
        <v>106</v>
      </c>
      <c r="C6715" s="1" t="s">
        <v>97</v>
      </c>
      <c r="D6715" s="1" t="s">
        <v>39</v>
      </c>
      <c r="E6715" s="1" t="s">
        <v>734</v>
      </c>
      <c r="F6715" s="1" t="s">
        <v>10556</v>
      </c>
      <c r="G6715" s="1" t="s">
        <v>28</v>
      </c>
      <c r="H6715" s="1" t="s">
        <v>29</v>
      </c>
      <c r="I6715" s="1" t="str">
        <f ca="1">IFERROR(__xludf.DUMMYFUNCTION("GOOGLETRANSLATE(F6715, ""auto"", ""en"")
"),"I purchased this device a week ago.    One of the advantages, of course, is the sound quality! It is much better than any Samsung and airiver, for me it will surpass Cowon due to its more velvety, almost “tube” timbre.   For the first time I hear a player"&amp;" in which, when adding “lows,” the highs do not fall off (and vice versa, respectively). Any style of music sounds great, I especially note that the classics here are generally amazing: the sense of space and liveliness of sound is mesmerizing.   Today, o"&amp;"n the way, I listened to a concert for Tchaikovsky’s quartet, I didn’t notice how an hour flew by) For the first time, listening to classics on a player is not only pleasant, but also INTERESTING.  The metal cuts well, clearly separating the bass and guit"&amp;"ar parts. Blues is very fiery. Jazz is detailed and lively. It turns an acoustic guitar into an orchestra. I didn’t listen to pop music, sorry) I was also pleased: the build quality, the screen, the battery (if you don’t abuse enhancements), the external "&amp;"speaker (I use it when I listen to audiobooks at home).    Of the minuses, everything is standard for Sony: lack of FLAC support (although why is it needed when the player plays simple mp3s better than many players play lossless) and minimal functionality"&amp;" in the non-musical area: here you won’t really watch a video or read a book (but you’ll save your eyes). What really upset me was that they removed the “Podcasts” function; listening to audiobooks without bookmarks is not so convenient.    Overall, I’m v"&amp;"ery pleased with the purchase, because the focus was on sound quality, and almost no one can compete with Sony in this regard. I recommend it to connoisseurs of soft and surround sound.")</f>
        <v>I purchased this device a week ago.    One of the advantages, of course, is the sound quality! It is much better than any Samsung and airiver, for me it will surpass Cowon due to its more velvety, almost “tube” timbre.   For the first time I hear a player in which, when adding “lows,” the highs do not fall off (and vice versa, respectively). Any style of music sounds great, I especially note that the classics here are generally amazing: the sense of space and liveliness of sound is mesmerizing.   Today, on the way, I listened to a concert for Tchaikovsky’s quartet, I didn’t notice how an hour flew by) For the first time, listening to classics on a player is not only pleasant, but also INTERESTING.  The metal cuts well, clearly separating the bass and guitar parts. Blues is very fiery. Jazz is detailed and lively. It turns an acoustic guitar into an orchestra. I didn’t listen to pop music, sorry) I was also pleased: the build quality, the screen, the battery (if you don’t abuse enhancements), the external speaker (I use it when I listen to audiobooks at home).    Of the minuses, everything is standard for Sony: lack of FLAC support (although why is it needed when the player plays simple mp3s better than many players play lossless) and minimal functionality in the non-musical area: here you won’t really watch a video or read a book (but you’ll save your eyes). What really upset me was that they removed the “Podcasts” function; listening to audiobooks without bookmarks is not so convenient.    Overall, I’m very pleased with the purchase, because the focus was on sound quality, and almost no one can compete with Sony in this regard. I recommend it to connoisseurs of soft and surround sound.</v>
      </c>
    </row>
    <row r="6716" spans="1:9" x14ac:dyDescent="0.3">
      <c r="A6716" s="1" t="s">
        <v>78</v>
      </c>
      <c r="B6716" s="1" t="s">
        <v>1163</v>
      </c>
      <c r="C6716" s="1" t="s">
        <v>1224</v>
      </c>
      <c r="D6716" s="1" t="s">
        <v>10557</v>
      </c>
      <c r="E6716" s="1" t="s">
        <v>2622</v>
      </c>
      <c r="F6716" s="1" t="s">
        <v>10558</v>
      </c>
      <c r="G6716" s="1" t="s">
        <v>36</v>
      </c>
      <c r="H6716" s="1" t="s">
        <v>29</v>
      </c>
      <c r="I6716" s="1" t="str">
        <f ca="1">IFERROR(__xludf.DUMMYFUNCTION("GOOGLETRANSLATE(F6716, ""auto"", ""en"")
"),"super!!!")</f>
        <v>super!!!</v>
      </c>
    </row>
    <row r="6717" spans="1:9" x14ac:dyDescent="0.3">
      <c r="A6717" s="1" t="s">
        <v>757</v>
      </c>
      <c r="B6717" s="1" t="s">
        <v>758</v>
      </c>
      <c r="C6717" s="1" t="s">
        <v>160</v>
      </c>
      <c r="D6717" s="1" t="s">
        <v>52</v>
      </c>
      <c r="E6717" s="1" t="s">
        <v>4449</v>
      </c>
      <c r="F6717" s="1" t="s">
        <v>10559</v>
      </c>
      <c r="G6717" s="1" t="s">
        <v>36</v>
      </c>
      <c r="H6717" s="1" t="s">
        <v>29</v>
      </c>
      <c r="I6717" s="1" t="str">
        <f ca="1">IFERROR(__xludf.DUMMYFUNCTION("GOOGLETRANSLATE(F6717, ""auto"", ""en"")
"),"Super acoustics!  I've been looking for a compact version for a long time and found it!")</f>
        <v>Super acoustics!  I've been looking for a compact version for a long time and found it!</v>
      </c>
    </row>
    <row r="6718" spans="1:9" x14ac:dyDescent="0.3">
      <c r="A6718" s="1" t="s">
        <v>361</v>
      </c>
      <c r="B6718" s="1" t="s">
        <v>1077</v>
      </c>
      <c r="C6718" s="1" t="s">
        <v>561</v>
      </c>
      <c r="D6718" s="1" t="s">
        <v>474</v>
      </c>
      <c r="E6718" s="1" t="s">
        <v>5823</v>
      </c>
      <c r="F6718" s="1" t="s">
        <v>10560</v>
      </c>
      <c r="G6718" s="1" t="s">
        <v>15</v>
      </c>
      <c r="H6718" s="1" t="s">
        <v>16</v>
      </c>
      <c r="I6718" s="1" t="str">
        <f ca="1">IFERROR(__xludf.DUMMYFUNCTION("GOOGLETRANSLATE(F6718, ""auto"", ""en"")
"),"The press strainer smells like some kind of rubber. These are apparently plastic black decorations. I bought the kettle a long time ago, I thought the smell would go away over time, but in vain. I still don’t make tea.")</f>
        <v>The press strainer smells like some kind of rubber. These are apparently plastic black decorations. I bought the kettle a long time ago, I thought the smell would go away over time, but in vain. I still don’t make tea.</v>
      </c>
    </row>
    <row r="6719" spans="1:9" x14ac:dyDescent="0.3">
      <c r="A6719" s="1" t="s">
        <v>30</v>
      </c>
      <c r="B6719" s="1" t="s">
        <v>50</v>
      </c>
      <c r="C6719" s="1" t="s">
        <v>151</v>
      </c>
      <c r="D6719" s="1" t="s">
        <v>152</v>
      </c>
      <c r="E6719" s="1" t="s">
        <v>3867</v>
      </c>
      <c r="F6719" s="1" t="s">
        <v>10561</v>
      </c>
      <c r="G6719" s="1" t="s">
        <v>28</v>
      </c>
      <c r="H6719" s="1" t="s">
        <v>29</v>
      </c>
      <c r="I6719" s="1" t="str">
        <f ca="1">IFERROR(__xludf.DUMMYFUNCTION("GOOGLETRANSLATE(F6719, ""auto"", ""en"")
"),"I bought it on sale in January for 20 thousand, for such a configuration it was not at all expensive then. I am very pleased, the most important thing for me is that it is almost silent. Only the body lacks rigidity. But this is probably not even a bad th"&amp;"ing, since a more elastic body will not crack from an impact.")</f>
        <v>I bought it on sale in January for 20 thousand, for such a configuration it was not at all expensive then. I am very pleased, the most important thing for me is that it is almost silent. Only the body lacks rigidity. But this is probably not even a bad thing, since a more elastic body will not crack from an impact.</v>
      </c>
    </row>
    <row r="6720" spans="1:9" x14ac:dyDescent="0.3">
      <c r="A6720" s="1" t="s">
        <v>43</v>
      </c>
      <c r="B6720" s="1" t="s">
        <v>502</v>
      </c>
      <c r="C6720" s="1" t="s">
        <v>151</v>
      </c>
      <c r="D6720" s="1" t="s">
        <v>10562</v>
      </c>
      <c r="E6720" s="1" t="s">
        <v>405</v>
      </c>
      <c r="F6720" s="1" t="s">
        <v>10563</v>
      </c>
      <c r="G6720" s="1" t="s">
        <v>49</v>
      </c>
      <c r="H6720" s="1" t="s">
        <v>16</v>
      </c>
      <c r="I6720" s="1" t="str">
        <f ca="1">IFERROR(__xludf.DUMMYFUNCTION("GOOGLETRANSLATE(F6720, ""auto"", ""en"")
"),"Bought in April 2011. Everything worked fine. At the end of May it stopped cooling. While the repair request was being made, it took another 2 weeks for the repairman to arrive. The repairman blames the installer, they say that the problem is in the exter"&amp;"nal unit. That's probably true. In short, the Conder arrived at the M.Video service in mid-June. Still being renovated. It's hot outside, stuffy at home. A waste of money.")</f>
        <v>Bought in April 2011. Everything worked fine. At the end of May it stopped cooling. While the repair request was being made, it took another 2 weeks for the repairman to arrive. The repairman blames the installer, they say that the problem is in the external unit. That's probably true. In short, the Conder arrived at the M.Video service in mid-June. Still being renovated. It's hot outside, stuffy at home. A waste of money.</v>
      </c>
    </row>
    <row r="6721" spans="1:9" x14ac:dyDescent="0.3">
      <c r="A6721" s="1" t="s">
        <v>211</v>
      </c>
      <c r="B6721" s="1" t="s">
        <v>410</v>
      </c>
      <c r="C6721" s="1" t="s">
        <v>122</v>
      </c>
      <c r="D6721" s="1" t="s">
        <v>86</v>
      </c>
      <c r="E6721" s="1" t="s">
        <v>1319</v>
      </c>
      <c r="F6721" s="1" t="s">
        <v>10564</v>
      </c>
      <c r="G6721" s="1" t="s">
        <v>36</v>
      </c>
      <c r="H6721" s="1" t="s">
        <v>29</v>
      </c>
      <c r="I6721" s="1" t="str">
        <f ca="1">IFERROR(__xludf.DUMMYFUNCTION("GOOGLETRANSLATE(F6721, ""auto"", ""en"")
"),"I looked at the reviews on the Internet and went and bought it. I have had other razors, this one compared to others, heaven and earth. The shave is clean, the sound is quiet. In general, the rating is pure 5ka.")</f>
        <v>I looked at the reviews on the Internet and went and bought it. I have had other razors, this one compared to others, heaven and earth. The shave is clean, the sound is quiet. In general, the rating is pure 5ka.</v>
      </c>
    </row>
    <row r="6722" spans="1:9" x14ac:dyDescent="0.3">
      <c r="A6722" s="1" t="s">
        <v>211</v>
      </c>
      <c r="B6722" s="1" t="s">
        <v>212</v>
      </c>
      <c r="C6722" s="1" t="s">
        <v>381</v>
      </c>
      <c r="D6722" s="1" t="s">
        <v>10565</v>
      </c>
      <c r="E6722" s="1" t="s">
        <v>1861</v>
      </c>
      <c r="F6722" s="1" t="s">
        <v>10566</v>
      </c>
      <c r="G6722" s="1" t="s">
        <v>36</v>
      </c>
      <c r="H6722" s="1" t="s">
        <v>29</v>
      </c>
      <c r="I6722" s="1" t="str">
        <f ca="1">IFERROR(__xludf.DUMMYFUNCTION("GOOGLETRANSLATE(F6722, ""auto"", ""en"")
"),"Thanks to a friend’s review, I bought myself such a straightener, I don’t regret it one bit, it straightens my hair at a low temperature, it’s easy to use, it also makes good curls, I’m happy with the choice!")</f>
        <v>Thanks to a friend’s review, I bought myself such a straightener, I don’t regret it one bit, it straightens my hair at a low temperature, it’s easy to use, it also makes good curls, I’m happy with the choice!</v>
      </c>
    </row>
    <row r="6723" spans="1:9" x14ac:dyDescent="0.3">
      <c r="A6723" s="1" t="s">
        <v>55</v>
      </c>
      <c r="B6723" s="1" t="s">
        <v>235</v>
      </c>
      <c r="C6723" s="1" t="s">
        <v>101</v>
      </c>
      <c r="D6723" s="1" t="s">
        <v>10567</v>
      </c>
      <c r="E6723" s="1" t="s">
        <v>1454</v>
      </c>
      <c r="F6723" s="1" t="s">
        <v>10568</v>
      </c>
      <c r="G6723" s="1" t="s">
        <v>36</v>
      </c>
      <c r="H6723" s="1" t="s">
        <v>29</v>
      </c>
      <c r="I6723" s="1" t="str">
        <f ca="1">IFERROR(__xludf.DUMMYFUNCTION("GOOGLETRANSLATE(F6723, ""auto"", ""en"")
"),"The fan heater helped us out a lot at work in the off-season. Very convenient and compact colorizer!")</f>
        <v>The fan heater helped us out a lot at work in the off-season. Very convenient and compact colorizer!</v>
      </c>
    </row>
    <row r="6724" spans="1:9" x14ac:dyDescent="0.3">
      <c r="A6724" s="1" t="s">
        <v>149</v>
      </c>
      <c r="B6724" s="1" t="s">
        <v>155</v>
      </c>
      <c r="C6724" s="1" t="s">
        <v>80</v>
      </c>
      <c r="D6724" s="1" t="s">
        <v>172</v>
      </c>
      <c r="E6724" s="1" t="s">
        <v>947</v>
      </c>
      <c r="F6724" s="1" t="s">
        <v>10569</v>
      </c>
      <c r="G6724" s="1" t="s">
        <v>36</v>
      </c>
      <c r="H6724" s="1" t="s">
        <v>29</v>
      </c>
      <c r="I6724" s="1" t="str">
        <f ca="1">IFERROR(__xludf.DUMMYFUNCTION("GOOGLETRANSLATE(F6724, ""auto"", ""en"")
"),"Today I purchased this device from MVideo. Very pleased. The highest suction power and a regulator on the handle, which, as it turned out, makes sense to reduce the power so that the carpets do not lift up. The power does not decrease as the container is "&amp;"filled, and this particular model compresses dust effectively. Turning into a neat lump.  I like the model precisely because of these features. Because the old vacuum cleaner with a bag lost a lot of suction power as it filled up. And it was inconvenient "&amp;"to shake out the bag. The vacuum cleaner was old and had no exhaust filter.   It should be noted that the consultants “matched” the model from Dyson, claiming that they were the ones who compressed the dust. And that the LG container is not enough to clea"&amp;"n the apartment.   Now I have become familiar with Dyson models. They really have a large capacity. But the suction power is much less. At 3 times the price. They have a less powerful motor and are heavier.   Perhaps the negativity of consultants regardin"&amp;"g LG cyclone vacuum cleaners is associated with previous models, where the container had lids with thin latches. This one was turned on - it was much noisier. And it should be more difficult to shake the dust out of it. No dust compaction. Perhaps it’s a "&amp;"pity that the store didn’t have an even newer model, the VK8828HQ. Perhaps she's even better. The photo here shows another vacuum cleaner. The V-K8728 H has an exhaust on the reverse side of the hose. And in the picture on both sides of the container.")</f>
        <v>Today I purchased this device from MVideo. Very pleased. The highest suction power and a regulator on the handle, which, as it turned out, makes sense to reduce the power so that the carpets do not lift up. The power does not decrease as the container is filled, and this particular model compresses dust effectively. Turning into a neat lump.  I like the model precisely because of these features. Because the old vacuum cleaner with a bag lost a lot of suction power as it filled up. And it was inconvenient to shake out the bag. The vacuum cleaner was old and had no exhaust filter.   It should be noted that the consultants “matched” the model from Dyson, claiming that they were the ones who compressed the dust. And that the LG container is not enough to clean the apartment.   Now I have become familiar with Dyson models. They really have a large capacity. But the suction power is much less. At 3 times the price. They have a less powerful motor and are heavier.   Perhaps the negativity of consultants regarding LG cyclone vacuum cleaners is associated with previous models, where the container had lids with thin latches. This one was turned on - it was much noisier. And it should be more difficult to shake the dust out of it. No dust compaction. Perhaps it’s a pity that the store didn’t have an even newer model, the VK8828HQ. Perhaps she's even better. The photo here shows another vacuum cleaner. The V-K8728 H has an exhaust on the reverse side of the hose. And in the picture on both sides of the container.</v>
      </c>
    </row>
    <row r="6725" spans="1:9" x14ac:dyDescent="0.3">
      <c r="A6725" s="1" t="s">
        <v>61</v>
      </c>
      <c r="B6725" s="1" t="s">
        <v>434</v>
      </c>
      <c r="C6725" s="1" t="s">
        <v>101</v>
      </c>
      <c r="D6725" s="1" t="s">
        <v>2130</v>
      </c>
      <c r="E6725" s="1" t="s">
        <v>2812</v>
      </c>
      <c r="F6725" s="1" t="s">
        <v>10570</v>
      </c>
      <c r="G6725" s="1" t="s">
        <v>28</v>
      </c>
      <c r="H6725" s="1" t="s">
        <v>29</v>
      </c>
      <c r="I6725" s="1" t="str">
        <f ca="1">IFERROR(__xludf.DUMMYFUNCTION("GOOGLETRANSLATE(F6725, ""auto"", ""en"")
"),"I've been using it for over a year now. I make croutons more often, the small volume allows me to make small portions, casseroles turn out well, baking in foil and a sleeve is also good, in general I like it and it’s easy to use, ugh, ugh, nothing has fal"&amp;"len off yet. Convenient timer and loud sound when turned off")</f>
        <v>I've been using it for over a year now. I make croutons more often, the small volume allows me to make small portions, casseroles turn out well, baking in foil and a sleeve is also good, in general I like it and it’s easy to use, ugh, ugh, nothing has fallen off yet. Convenient timer and loud sound when turned off</v>
      </c>
    </row>
    <row r="6726" spans="1:9" x14ac:dyDescent="0.3">
      <c r="A6726" s="1" t="s">
        <v>149</v>
      </c>
      <c r="B6726" s="1" t="s">
        <v>155</v>
      </c>
      <c r="C6726" s="1" t="s">
        <v>80</v>
      </c>
      <c r="D6726" s="1" t="s">
        <v>64</v>
      </c>
      <c r="E6726" s="1" t="s">
        <v>10571</v>
      </c>
      <c r="F6726" s="1" t="s">
        <v>10572</v>
      </c>
      <c r="G6726" s="1" t="s">
        <v>36</v>
      </c>
      <c r="H6726" s="1" t="s">
        <v>29</v>
      </c>
      <c r="I6726" s="1" t="str">
        <f ca="1">IFERROR(__xludf.DUMMYFUNCTION("GOOGLETRANSLATE(F6726, ""auto"", ""en"")
"),"We bought an LG VC42201YHTP vacuum cleaner in 2013, it still works great, collects dust well, is easy to use, washable, and powerful.")</f>
        <v>We bought an LG VC42201YHTP vacuum cleaner in 2013, it still works great, collects dust well, is easy to use, washable, and powerful.</v>
      </c>
    </row>
    <row r="6727" spans="1:9" x14ac:dyDescent="0.3">
      <c r="A6727" s="1" t="s">
        <v>61</v>
      </c>
      <c r="B6727" s="1" t="s">
        <v>224</v>
      </c>
      <c r="C6727" s="1" t="s">
        <v>101</v>
      </c>
      <c r="D6727" s="1" t="s">
        <v>2764</v>
      </c>
      <c r="E6727" s="1" t="s">
        <v>563</v>
      </c>
      <c r="F6727" s="1" t="s">
        <v>10573</v>
      </c>
      <c r="G6727" s="1" t="s">
        <v>28</v>
      </c>
      <c r="H6727" s="1" t="s">
        <v>29</v>
      </c>
      <c r="I6727" s="1" t="str">
        <f ca="1">IFERROR(__xludf.DUMMYFUNCTION("GOOGLETRANSLATE(F6727, ""auto"", ""en"")
"),"The price-quality ratio is normal, not too dry. But it squeezes out the juice. It works fine for us.")</f>
        <v>The price-quality ratio is normal, not too dry. But it squeezes out the juice. It works fine for us.</v>
      </c>
    </row>
    <row r="6728" spans="1:9" x14ac:dyDescent="0.3">
      <c r="A6728" s="1" t="s">
        <v>61</v>
      </c>
      <c r="B6728" s="1" t="s">
        <v>318</v>
      </c>
      <c r="C6728" s="1" t="s">
        <v>246</v>
      </c>
      <c r="D6728" s="1" t="s">
        <v>456</v>
      </c>
      <c r="E6728" s="1" t="s">
        <v>1643</v>
      </c>
      <c r="F6728" s="1" t="s">
        <v>10574</v>
      </c>
      <c r="G6728" s="1" t="s">
        <v>15</v>
      </c>
      <c r="H6728" s="1" t="s">
        <v>16</v>
      </c>
      <c r="I6728" s="1" t="str">
        <f ca="1">IFERROR(__xludf.DUMMYFUNCTION("GOOGLETRANSLATE(F6728, ""auto"", ""en"")
"),"The kettle worked for 2 years, the water level began to leak!!!   And in general it’s a bit heavy, the quality of the product is so-so, made in CHINA. I’ll only buy brown, I’ve been at work for 5 years, no matter what!!!")</f>
        <v>The kettle worked for 2 years, the water level began to leak!!!   And in general it’s a bit heavy, the quality of the product is so-so, made in CHINA. I’ll only buy brown, I’ve been at work for 5 years, no matter what!!!</v>
      </c>
    </row>
    <row r="6729" spans="1:9" x14ac:dyDescent="0.3">
      <c r="A6729" s="1" t="s">
        <v>624</v>
      </c>
      <c r="B6729" s="1" t="s">
        <v>2107</v>
      </c>
      <c r="C6729" s="1" t="s">
        <v>487</v>
      </c>
      <c r="D6729" s="1" t="s">
        <v>596</v>
      </c>
      <c r="E6729" s="1" t="s">
        <v>128</v>
      </c>
      <c r="F6729" s="1" t="s">
        <v>10575</v>
      </c>
      <c r="G6729" s="1" t="s">
        <v>36</v>
      </c>
      <c r="H6729" s="1" t="s">
        <v>29</v>
      </c>
      <c r="I6729" s="1" t="str">
        <f ca="1">IFERROR(__xludf.DUMMYFUNCTION("GOOGLETRANSLATE(F6729, ""auto"", ""en"")
"),"the game is really AWESOME!!! But it's hard to play on XBOX 360! and there’s no need to talk about the graphics here, they’re just breathtaking! :))) xD")</f>
        <v>the game is really AWESOME!!! But it's hard to play on XBOX 360! and there’s no need to talk about the graphics here, they’re just breathtaking! :))) xD</v>
      </c>
    </row>
    <row r="6730" spans="1:9" x14ac:dyDescent="0.3">
      <c r="A6730" s="1" t="s">
        <v>238</v>
      </c>
      <c r="B6730" s="1" t="s">
        <v>276</v>
      </c>
      <c r="C6730" s="1" t="s">
        <v>277</v>
      </c>
      <c r="D6730" s="1" t="s">
        <v>2934</v>
      </c>
      <c r="E6730" s="1" t="s">
        <v>10576</v>
      </c>
      <c r="F6730" s="1" t="s">
        <v>10577</v>
      </c>
      <c r="G6730" s="1" t="s">
        <v>28</v>
      </c>
      <c r="H6730" s="1" t="s">
        <v>29</v>
      </c>
      <c r="I6730" s="1" t="str">
        <f ca="1">IFERROR(__xludf.DUMMYFUNCTION("GOOGLETRANSLATE(F6730, ""auto"", ""en"")
"),"Settings - at first I set it to 3, then lowered it to 2. But he still froze too specifically. I read the reviews - people generally drive it on one))) I gave it 1.5) Normal. The second point - I dropped the egg on the body - near the vegetable container, "&amp;"there was a dent))) so be careful! And the smell has been in the freezer for the 2nd month now ((I put everything in double bags! Products don’t smell like that :) Well, it’s noisy))) We use it, but I check it often - how it freezes, what it smells like, "&amp;"etc. The service at M-Video when ordering is super. Thank you!")</f>
        <v>Settings - at first I set it to 3, then lowered it to 2. But he still froze too specifically. I read the reviews - people generally drive it on one))) I gave it 1.5) Normal. The second point - I dropped the egg on the body - near the vegetable container, there was a dent))) so be careful! And the smell has been in the freezer for the 2nd month now ((I put everything in double bags! Products don’t smell like that :) Well, it’s noisy))) We use it, but I check it often - how it freezes, what it smells like, etc. The service at M-Video when ordering is super. Thank you!</v>
      </c>
    </row>
    <row r="6731" spans="1:9" x14ac:dyDescent="0.3">
      <c r="A6731" s="1" t="s">
        <v>211</v>
      </c>
      <c r="B6731" s="1" t="s">
        <v>410</v>
      </c>
      <c r="C6731" s="1" t="s">
        <v>122</v>
      </c>
      <c r="D6731" s="1" t="s">
        <v>39</v>
      </c>
      <c r="E6731" s="1" t="s">
        <v>1248</v>
      </c>
      <c r="F6731" s="1" t="s">
        <v>10578</v>
      </c>
      <c r="G6731" s="1" t="s">
        <v>28</v>
      </c>
      <c r="H6731" s="1" t="s">
        <v>29</v>
      </c>
      <c r="I6731" s="1" t="str">
        <f ca="1">IFERROR(__xludf.DUMMYFUNCTION("GOOGLETRANSLATE(F6731, ""auto"", ""en"")
"),"A good razor, the main drawback is that it only runs on battery power and does not work from the mains.")</f>
        <v>A good razor, the main drawback is that it only runs on battery power and does not work from the mains.</v>
      </c>
    </row>
    <row r="6732" spans="1:9" x14ac:dyDescent="0.3">
      <c r="A6732" s="1" t="s">
        <v>1119</v>
      </c>
      <c r="B6732" s="1" t="s">
        <v>1120</v>
      </c>
      <c r="C6732" s="1" t="s">
        <v>97</v>
      </c>
      <c r="D6732" s="1" t="s">
        <v>565</v>
      </c>
      <c r="E6732" s="1" t="s">
        <v>1005</v>
      </c>
      <c r="F6732" s="1" t="s">
        <v>10579</v>
      </c>
      <c r="G6732" s="1" t="s">
        <v>28</v>
      </c>
      <c r="H6732" s="1" t="s">
        <v>29</v>
      </c>
      <c r="I6732" s="1" t="str">
        <f ca="1">IFERROR(__xludf.DUMMYFUNCTION("GOOGLETRANSLATE(F6732, ""auto"", ""en"")
"),"I liked the camera at first sight, and I usually make no mistakes in my choice! You’ll be blown away by the image quality, after all, it’s 3.1 megapixels and you shouldn’t trade for a lower resolution! Two microphones greatly improve the sound, you can sp"&amp;"eak almost in a whisper and everything will be perfectly audible! The size and weight of the camera is simply delightful, it fits easily in the palm of your hand and doesn’t bother you at all, you might not even notice that you’re holding a camera in your"&amp;" hand! The design is very beautiful! Detecting smiles and instantly capturing them pleases and surprises with unusual, even unique photographs! But there is a MINUS, this is a short operating time, and also a BIG MINUS - the inability to shoot in the dark"&amp;", there is no backlight. But these are very small disadvantages despite the excellent recording quality!!!    In response to Andrey’s comment from Magnitogorsk, I will say that the video format of 720-576 pixels is not expressed in any way; the video is o"&amp;"f full size and quality when recorded and viewed. I advise everyone to please themselves!!!")</f>
        <v>I liked the camera at first sight, and I usually make no mistakes in my choice! You’ll be blown away by the image quality, after all, it’s 3.1 megapixels and you shouldn’t trade for a lower resolution! Two microphones greatly improve the sound, you can speak almost in a whisper and everything will be perfectly audible! The size and weight of the camera is simply delightful, it fits easily in the palm of your hand and doesn’t bother you at all, you might not even notice that you’re holding a camera in your hand! The design is very beautiful! Detecting smiles and instantly capturing them pleases and surprises with unusual, even unique photographs! But there is a MINUS, this is a short operating time, and also a BIG MINUS - the inability to shoot in the dark, there is no backlight. But these are very small disadvantages despite the excellent recording quality!!!    In response to Andrey’s comment from Magnitogorsk, I will say that the video format of 720-576 pixels is not expressed in any way; the video is of full size and quality when recorded and viewed. I advise everyone to please themselves!!!</v>
      </c>
    </row>
    <row r="6733" spans="1:9" x14ac:dyDescent="0.3">
      <c r="A6733" s="1" t="s">
        <v>30</v>
      </c>
      <c r="B6733" s="1" t="s">
        <v>50</v>
      </c>
      <c r="C6733" s="1" t="s">
        <v>51</v>
      </c>
      <c r="D6733" s="1" t="s">
        <v>305</v>
      </c>
      <c r="E6733" s="1" t="s">
        <v>1376</v>
      </c>
      <c r="F6733" s="1" t="s">
        <v>10580</v>
      </c>
      <c r="G6733" s="1" t="s">
        <v>36</v>
      </c>
      <c r="H6733" s="1" t="s">
        <v>29</v>
      </c>
      <c r="I6733" s="1" t="str">
        <f ca="1">IFERROR(__xludf.DUMMYFUNCTION("GOOGLETRANSLATE(F6733, ""auto"", ""en"")
"),"On January 27, 2010, we bought this laptop from M-Video Arkhangelsk.  I’ll say right away that I really liked it. The car is very powerful. Worth ""Seven"" Home, extended. 64 bit.  The screen is large, LED backlighting provides very high-quality images an"&amp;"d colors on the screen. The keyboard is very comfortable. What is unusual is that the DVD drive is located on the right side of the computer. In general, it would take a long time to list all the pros. Now about the minus: The fan, which is located at the"&amp;" back of the case, “whistles” when it is in the average cooling mode. That is, it makes a constant high-frequency squeaking sound. It's not particularly annoying. But a certain discomfort is still present.  When I was trying to create recovery discs (ther"&amp;"e are only 3 of them) and a 4th one with programs, I purchased DVD+R discs there at M-Video. 10 pcs for 375 rub. VERBATIME. When creating the first disc, the computer “ruined” it. It gave an error checking the disc after recording. The same thing happened"&amp;" with the second disc. However, then I managed to burn all 4 discs without problems. I don’t know what caused this failure.  In general, the car is not even bad. It costs 33,000 rubles.")</f>
        <v>On January 27, 2010, we bought this laptop from M-Video Arkhangelsk.  I’ll say right away that I really liked it. The car is very powerful. Worth "Seven" Home, extended. 64 bit.  The screen is large, LED backlighting provides very high-quality images and colors on the screen. The keyboard is very comfortable. What is unusual is that the DVD drive is located on the right side of the computer. In general, it would take a long time to list all the pros. Now about the minus: The fan, which is located at the back of the case, “whistles” when it is in the average cooling mode. That is, it makes a constant high-frequency squeaking sound. It's not particularly annoying. But a certain discomfort is still present.  When I was trying to create recovery discs (there are only 3 of them) and a 4th one with programs, I purchased DVD+R discs there at M-Video. 10 pcs for 375 rub. VERBATIME. When creating the first disc, the computer “ruined” it. It gave an error checking the disc after recording. The same thing happened with the second disc. However, then I managed to burn all 4 discs without problems. I don’t know what caused this failure.  In general, the car is not even bad. It costs 33,000 rubles.</v>
      </c>
    </row>
    <row r="6734" spans="1:9" x14ac:dyDescent="0.3">
      <c r="A6734" s="1" t="s">
        <v>169</v>
      </c>
      <c r="B6734" s="1" t="s">
        <v>170</v>
      </c>
      <c r="C6734" s="1" t="s">
        <v>193</v>
      </c>
      <c r="D6734" s="1" t="s">
        <v>186</v>
      </c>
      <c r="E6734" s="1" t="s">
        <v>2680</v>
      </c>
      <c r="F6734" s="1" t="s">
        <v>10581</v>
      </c>
      <c r="G6734" s="1" t="s">
        <v>36</v>
      </c>
      <c r="H6734" s="1" t="s">
        <v>29</v>
      </c>
      <c r="I6734" s="1" t="str">
        <f ca="1">IFERROR(__xludf.DUMMYFUNCTION("GOOGLETRANSLATE(F6734, ""auto"", ""en"")
"),"I bought this product for myself and am very pleased. The plastic is good, the leather inserts last a long time. Take it, you won't regret it")</f>
        <v>I bought this product for myself and am very pleased. The plastic is good, the leather inserts last a long time. Take it, you won't regret it</v>
      </c>
    </row>
    <row r="6735" spans="1:9" x14ac:dyDescent="0.3">
      <c r="A6735" s="1" t="s">
        <v>37</v>
      </c>
      <c r="B6735" s="1" t="s">
        <v>38</v>
      </c>
      <c r="C6735" s="1" t="s">
        <v>163</v>
      </c>
      <c r="D6735" s="1" t="s">
        <v>10582</v>
      </c>
      <c r="E6735" s="1" t="s">
        <v>178</v>
      </c>
      <c r="F6735" s="1" t="s">
        <v>10583</v>
      </c>
      <c r="G6735" s="1" t="s">
        <v>36</v>
      </c>
      <c r="H6735" s="1" t="s">
        <v>29</v>
      </c>
      <c r="I6735" s="1" t="str">
        <f ca="1">IFERROR(__xludf.DUMMYFUNCTION("GOOGLETRANSLATE(F6735, ""auto"", ""en"")
"),"very powerful, I even came across the OVI store, it’s a pity that it’s paid")</f>
        <v>very powerful, I even came across the OVI store, it’s a pity that it’s paid</v>
      </c>
    </row>
    <row r="6736" spans="1:9" x14ac:dyDescent="0.3">
      <c r="A6736" s="1" t="s">
        <v>30</v>
      </c>
      <c r="B6736" s="1" t="s">
        <v>50</v>
      </c>
      <c r="C6736" s="1" t="s">
        <v>51</v>
      </c>
      <c r="D6736" s="1" t="s">
        <v>1502</v>
      </c>
      <c r="E6736" s="1" t="s">
        <v>1330</v>
      </c>
      <c r="F6736" s="1" t="s">
        <v>10584</v>
      </c>
      <c r="G6736" s="1" t="s">
        <v>36</v>
      </c>
      <c r="H6736" s="1" t="s">
        <v>29</v>
      </c>
      <c r="I6736" s="1" t="str">
        <f ca="1">IFERROR(__xludf.DUMMYFUNCTION("GOOGLETRANSLATE(F6736, ""auto"", ""en"")
"),"I bought it 2 months ago, I don’t regret it one bit, the laptop is super. The games are running at maximum, although I’ve been looking for firewood for a long time on XP, but whoever looks for it will always find it =) Good book")</f>
        <v>I bought it 2 months ago, I don’t regret it one bit, the laptop is super. The games are running at maximum, although I’ve been looking for firewood for a long time on XP, but whoever looks for it will always find it =) Good book</v>
      </c>
    </row>
    <row r="6737" spans="1:9" x14ac:dyDescent="0.3">
      <c r="A6737" s="1" t="s">
        <v>149</v>
      </c>
      <c r="B6737" s="1" t="s">
        <v>155</v>
      </c>
      <c r="C6737" s="1" t="s">
        <v>151</v>
      </c>
      <c r="D6737" s="1" t="s">
        <v>247</v>
      </c>
      <c r="E6737" s="1" t="s">
        <v>617</v>
      </c>
      <c r="F6737" s="1" t="s">
        <v>10585</v>
      </c>
      <c r="G6737" s="1" t="s">
        <v>49</v>
      </c>
      <c r="H6737" s="1" t="s">
        <v>16</v>
      </c>
      <c r="I6737" s="1" t="str">
        <f ca="1">IFERROR(__xludf.DUMMYFUNCTION("GOOGLETRANSLATE(F6737, ""auto"", ""en"")
"),"It worked fine for half a month at medium speed (for cleaning linoleum, carpet does not pick up at this speed). Then for some reason this power was not enough, in order to remove hair (cat), I turned the power up to almost maximum, not even 1 minute passe"&amp;"d before it stalled, probably overheated. Even after an hour of “rest” it did not turn on. After 2 days I managed to turn it on, but everything happened again. It’s probably better to buy a good, and therefore expensive, vacuum cleaner.")</f>
        <v>It worked fine for half a month at medium speed (for cleaning linoleum, carpet does not pick up at this speed). Then for some reason this power was not enough, in order to remove hair (cat), I turned the power up to almost maximum, not even 1 minute passed before it stalled, probably overheated. Even after an hour of “rest” it did not turn on. After 2 days I managed to turn it on, but everything happened again. It’s probably better to buy a good, and therefore expensive, vacuum cleaner.</v>
      </c>
    </row>
    <row r="6738" spans="1:9" x14ac:dyDescent="0.3">
      <c r="A6738" s="1" t="s">
        <v>111</v>
      </c>
      <c r="B6738" s="1" t="s">
        <v>636</v>
      </c>
      <c r="C6738" s="1" t="s">
        <v>637</v>
      </c>
      <c r="D6738" s="1" t="s">
        <v>295</v>
      </c>
      <c r="E6738" s="1" t="s">
        <v>661</v>
      </c>
      <c r="F6738" s="1" t="s">
        <v>10586</v>
      </c>
      <c r="G6738" s="1" t="s">
        <v>49</v>
      </c>
      <c r="H6738" s="1" t="s">
        <v>16</v>
      </c>
      <c r="I6738" s="1" t="str">
        <f ca="1">IFERROR(__xludf.DUMMYFUNCTION("GOOGLETRANSLATE(F6738, ""auto"", ""en"")
"),"Maybe, of course, I was just unlucky.   The weather station lies in all, absolutely all, parameters! It lies not only about the weather, but it can’t even show the exact time. It seems like it has its own Chinese scheme, and it’s running in circles. Day i"&amp;"s different from night, but has nothing to do with reality.")</f>
        <v>Maybe, of course, I was just unlucky.   The weather station lies in all, absolutely all, parameters! It lies not only about the weather, but it can’t even show the exact time. It seems like it has its own Chinese scheme, and it’s running in circles. Day is different from night, but has nothing to do with reality.</v>
      </c>
    </row>
    <row r="6739" spans="1:9" x14ac:dyDescent="0.3">
      <c r="A6739" s="1" t="s">
        <v>111</v>
      </c>
      <c r="B6739" s="1" t="s">
        <v>112</v>
      </c>
      <c r="C6739" s="1" t="s">
        <v>113</v>
      </c>
      <c r="D6739" s="1" t="s">
        <v>940</v>
      </c>
      <c r="E6739" s="1" t="s">
        <v>3361</v>
      </c>
      <c r="F6739" s="1" t="s">
        <v>10587</v>
      </c>
      <c r="G6739" s="1" t="s">
        <v>49</v>
      </c>
      <c r="H6739" s="1" t="s">
        <v>16</v>
      </c>
      <c r="I6739" s="1" t="str">
        <f ca="1">IFERROR(__xludf.DUMMYFUNCTION("GOOGLETRANSLATE(F6739, ""auto"", ""en"")
"),"I bought it to safely connect audio equipment to a gas generator. Result: it refuses to work - the diode blinks red and no current flows (although the generator produces 225...235 V at the output. It’s a pity for three hundred rubles!")</f>
        <v>I bought it to safely connect audio equipment to a gas generator. Result: it refuses to work - the diode blinks red and no current flows (although the generator produces 225...235 V at the output. It’s a pity for three hundred rubles!</v>
      </c>
    </row>
    <row r="6740" spans="1:9" x14ac:dyDescent="0.3">
      <c r="A6740" s="1" t="s">
        <v>624</v>
      </c>
      <c r="B6740" s="1" t="s">
        <v>2107</v>
      </c>
      <c r="C6740" s="1" t="s">
        <v>479</v>
      </c>
      <c r="D6740" s="1" t="s">
        <v>127</v>
      </c>
      <c r="E6740" s="1" t="s">
        <v>784</v>
      </c>
      <c r="F6740" s="1" t="s">
        <v>10588</v>
      </c>
      <c r="G6740" s="1" t="s">
        <v>36</v>
      </c>
      <c r="H6740" s="1" t="s">
        <v>29</v>
      </c>
      <c r="I6740" s="1" t="str">
        <f ca="1">IFERROR(__xludf.DUMMYFUNCTION("GOOGLETRANSLATE(F6740, ""auto"", ""en"")
"),"In its own way, the game: Pros: conveys the whole atmosphere of the UFC championship, strikes, clinches, wrestling....unexpected turns in the fight. Well-drawn graphics, Quite a good training manual (there’s nothing to do without it) Cons: Clumsy Russian "&amp;"translation (probably translated by Google), In a career you have to pump up all the characteristics every time (even if they are at the maximum), otherwise they will disappear.   PS: There are so many subtleties in battles in the game that normal trainin"&amp;"g will take more than one week!")</f>
        <v>In its own way, the game: Pros: conveys the whole atmosphere of the UFC championship, strikes, clinches, wrestling....unexpected turns in the fight. Well-drawn graphics, Quite a good training manual (there’s nothing to do without it) Cons: Clumsy Russian translation (probably translated by Google), In a career you have to pump up all the characteristics every time (even if they are at the maximum), otherwise they will disappear.   PS: There are so many subtleties in battles in the game that normal training will take more than one week!</v>
      </c>
    </row>
    <row r="6741" spans="1:9" x14ac:dyDescent="0.3">
      <c r="A6741" s="1" t="s">
        <v>361</v>
      </c>
      <c r="B6741" s="1" t="s">
        <v>362</v>
      </c>
      <c r="C6741" s="1" t="s">
        <v>2143</v>
      </c>
      <c r="D6741" s="1" t="s">
        <v>521</v>
      </c>
      <c r="E6741" s="1" t="s">
        <v>3673</v>
      </c>
      <c r="F6741" s="1" t="s">
        <v>10589</v>
      </c>
      <c r="G6741" s="1" t="s">
        <v>36</v>
      </c>
      <c r="H6741" s="1" t="s">
        <v>29</v>
      </c>
      <c r="I6741" s="1" t="str">
        <f ca="1">IFERROR(__xludf.DUMMYFUNCTION("GOOGLETRANSLATE(F6741, ""auto"", ""en"")
"),"We gave this to my mother, she is very pleased, the quality is excellent. super design, really like it!  I recommend it, a necessary and stylish thing in the kitchen))")</f>
        <v>We gave this to my mother, she is very pleased, the quality is excellent. super design, really like it!  I recommend it, a necessary and stylish thing in the kitchen))</v>
      </c>
    </row>
    <row r="6742" spans="1:9" x14ac:dyDescent="0.3">
      <c r="A6742" s="1" t="s">
        <v>61</v>
      </c>
      <c r="B6742" s="1" t="s">
        <v>73</v>
      </c>
      <c r="C6742" s="1" t="s">
        <v>101</v>
      </c>
      <c r="D6742" s="1" t="s">
        <v>943</v>
      </c>
      <c r="E6742" s="1" t="s">
        <v>76</v>
      </c>
      <c r="F6742" s="1" t="s">
        <v>10590</v>
      </c>
      <c r="G6742" s="1" t="s">
        <v>49</v>
      </c>
      <c r="H6742" s="1" t="s">
        <v>16</v>
      </c>
      <c r="I6742" s="1" t="str">
        <f ca="1">IFERROR(__xludf.DUMMYFUNCTION("GOOGLETRANSLATE(F6742, ""auto"", ""en"")
"),"We just recently bought this meat grinder, about a month ago, I’ve already cranked it several times, now when I turn it on, strange sounds are heard from the meat grinder, similar to a squeal, and the meat does not spin evenly, but in jerks. The meat stic"&amp;"ks. The quality of this product, sorry, is not good!!!")</f>
        <v>We just recently bought this meat grinder, about a month ago, I’ve already cranked it several times, now when I turn it on, strange sounds are heard from the meat grinder, similar to a squeal, and the meat does not spin evenly, but in jerks. The meat sticks. The quality of this product, sorry, is not good!!!</v>
      </c>
    </row>
    <row r="6743" spans="1:9" x14ac:dyDescent="0.3">
      <c r="A6743" s="1" t="s">
        <v>37</v>
      </c>
      <c r="B6743" s="1" t="s">
        <v>536</v>
      </c>
      <c r="C6743" s="1" t="s">
        <v>189</v>
      </c>
      <c r="D6743" s="1" t="s">
        <v>39</v>
      </c>
      <c r="E6743" s="1" t="s">
        <v>1762</v>
      </c>
      <c r="F6743" s="1" t="s">
        <v>10591</v>
      </c>
      <c r="G6743" s="1" t="s">
        <v>36</v>
      </c>
      <c r="H6743" s="1" t="s">
        <v>29</v>
      </c>
      <c r="I6743" s="1" t="str">
        <f ca="1">IFERROR(__xludf.DUMMYFUNCTION("GOOGLETRANSLATE(F6743, ""auto"", ""en"")
"),"steering gear. I advise only those who will really use it at 100. in other cases: +s 1. Very fast, (see review on the trunk and video on the mail) 2. The screen is worthy of special praise. Moderately sensitive. (although with the protective film it becam"&amp;"e a little less...) You can even type with your thumb on a virtual qwerty keyboard (hardware not provided) 3. Functionality 4. Communication quality at the level 5. Rich equipment with various gadgets included.    6. USB-mini interface. Plus for those who"&amp;" don’t go anywhere without an external screw anyway.    -s 1. With intensive use, the battery quickly runs out - being fully charged overnight, an extremely good battery goes out like cholera in the late afternoon with not intensive use 2. Requires gentle"&amp;" handling due to the flimsy case - like any similar gadget 3. The camera is not so hot. This is not even a minus, the device is not intended for this.    Doesn't work with Wilvercard multisim@. I had to start using the old SIM card. This is a multisim pro"&amp;"blem, not an ASUS problem - you need new firmware. 6.01 doesn't work.")</f>
        <v>steering gear. I advise only those who will really use it at 100. in other cases: +s 1. Very fast, (see review on the trunk and video on the mail) 2. The screen is worthy of special praise. Moderately sensitive. (although with the protective film it became a little less...) You can even type with your thumb on a virtual qwerty keyboard (hardware not provided) 3. Functionality 4. Communication quality at the level 5. Rich equipment with various gadgets included.    6. USB-mini interface. Plus for those who don’t go anywhere without an external screw anyway.    -s 1. With intensive use, the battery quickly runs out - being fully charged overnight, an extremely good battery goes out like cholera in the late afternoon with not intensive use 2. Requires gentle handling due to the flimsy case - like any similar gadget 3. The camera is not so hot. This is not even a minus, the device is not intended for this.    Doesn't work with Wilvercard multisim@. I had to start using the old SIM card. This is a multisim problem, not an ASUS problem - you need new firmware. 6.01 doesn't work.</v>
      </c>
    </row>
    <row r="6744" spans="1:9" x14ac:dyDescent="0.3">
      <c r="A6744" s="1" t="s">
        <v>61</v>
      </c>
      <c r="B6744" s="1" t="s">
        <v>726</v>
      </c>
      <c r="C6744" s="1" t="s">
        <v>74</v>
      </c>
      <c r="D6744" s="1" t="s">
        <v>5094</v>
      </c>
      <c r="E6744" s="1" t="s">
        <v>1654</v>
      </c>
      <c r="F6744" s="1" t="s">
        <v>10592</v>
      </c>
      <c r="G6744" s="1" t="s">
        <v>28</v>
      </c>
      <c r="H6744" s="1" t="s">
        <v>29</v>
      </c>
      <c r="I6744" s="1" t="str">
        <f ca="1">IFERROR(__xludf.DUMMYFUNCTION("GOOGLETRANSLATE(F6744, ""auto"", ""en"")
"),"I've been using it for a week and the bread turns out good. The only thing is that the measuring cup is only suitable for liquid, and the bread is actually good.")</f>
        <v>I've been using it for a week and the bread turns out good. The only thing is that the measuring cup is only suitable for liquid, and the bread is actually good.</v>
      </c>
    </row>
    <row r="6745" spans="1:9" x14ac:dyDescent="0.3">
      <c r="A6745" s="1" t="s">
        <v>43</v>
      </c>
      <c r="B6745" s="1" t="s">
        <v>1370</v>
      </c>
      <c r="C6745" s="1" t="s">
        <v>2137</v>
      </c>
      <c r="D6745" s="1" t="s">
        <v>171</v>
      </c>
      <c r="E6745" s="1" t="s">
        <v>201</v>
      </c>
      <c r="F6745" s="1" t="s">
        <v>10593</v>
      </c>
      <c r="G6745" s="1" t="s">
        <v>28</v>
      </c>
      <c r="H6745" s="1" t="s">
        <v>29</v>
      </c>
      <c r="I6745" s="1" t="str">
        <f ca="1">IFERROR(__xludf.DUMMYFUNCTION("GOOGLETRANSLATE(F6745, ""auto"", ""en"")
"),"How to connect it to the outlet? There isn’t a single wire there!!! Doesn’t it really need to be disassembled and the wires attached there yourself????")</f>
        <v>How to connect it to the outlet? There isn’t a single wire there!!! Doesn’t it really need to be disassembled and the wires attached there yourself????</v>
      </c>
    </row>
    <row r="6746" spans="1:9" x14ac:dyDescent="0.3">
      <c r="A6746" s="1" t="s">
        <v>43</v>
      </c>
      <c r="B6746" s="1" t="s">
        <v>44</v>
      </c>
      <c r="C6746" s="1" t="s">
        <v>101</v>
      </c>
      <c r="D6746" s="1" t="s">
        <v>1431</v>
      </c>
      <c r="E6746" s="1" t="s">
        <v>1623</v>
      </c>
      <c r="F6746" s="1" t="s">
        <v>10594</v>
      </c>
      <c r="G6746" s="1" t="s">
        <v>28</v>
      </c>
      <c r="H6746" s="1" t="s">
        <v>29</v>
      </c>
      <c r="I6746" s="1" t="str">
        <f ca="1">IFERROR(__xludf.DUMMYFUNCTION("GOOGLETRANSLATE(F6746, ""auto"", ""en"")
"),"I bought it and turned it on, it works fine, no noise, the build quality is normal. I recommend this to anyone who needs a simple fan.")</f>
        <v>I bought it and turned it on, it works fine, no noise, the build quality is normal. I recommend this to anyone who needs a simple fan.</v>
      </c>
    </row>
    <row r="6747" spans="1:9" x14ac:dyDescent="0.3">
      <c r="A6747" s="1" t="s">
        <v>211</v>
      </c>
      <c r="B6747" s="1" t="s">
        <v>789</v>
      </c>
      <c r="C6747" s="1" t="s">
        <v>3628</v>
      </c>
      <c r="D6747" s="1" t="s">
        <v>52</v>
      </c>
      <c r="E6747" s="1" t="s">
        <v>2644</v>
      </c>
      <c r="F6747" s="1" t="s">
        <v>10595</v>
      </c>
      <c r="G6747" s="1" t="s">
        <v>36</v>
      </c>
      <c r="H6747" s="1" t="s">
        <v>29</v>
      </c>
      <c r="I6747" s="1" t="str">
        <f ca="1">IFERROR(__xludf.DUMMYFUNCTION("GOOGLETRANSLATE(F6747, ""auto"", ""en"")
"),"100% functional - measures air and water. Huge + that it is in a rubberized body - it can both float and serve as a toy for catching in water. And it’s even suitable for “chewing”)")</f>
        <v>100% functional - measures air and water. Huge + that it is in a rubberized body - it can both float and serve as a toy for catching in water. And it’s even suitable for “chewing”)</v>
      </c>
    </row>
    <row r="6748" spans="1:9" x14ac:dyDescent="0.3">
      <c r="A6748" s="1" t="s">
        <v>282</v>
      </c>
      <c r="B6748" s="1" t="s">
        <v>806</v>
      </c>
      <c r="C6748" s="1" t="s">
        <v>284</v>
      </c>
      <c r="D6748" s="1" t="s">
        <v>102</v>
      </c>
      <c r="E6748" s="1" t="s">
        <v>3760</v>
      </c>
      <c r="F6748" s="1" t="s">
        <v>10596</v>
      </c>
      <c r="G6748" s="1" t="s">
        <v>36</v>
      </c>
      <c r="H6748" s="1" t="s">
        <v>29</v>
      </c>
      <c r="I6748" s="1" t="str">
        <f ca="1">IFERROR(__xludf.DUMMYFUNCTION("GOOGLETRANSLATE(F6748, ""auto"", ""en"")
"),"I support Ruslan, a good, worthwhile film, the extended version is worth the money, in general, and there are quite a lot of deleted scenes, and the fee for exclusivity is reasonable, and even in comparison with the most expensive film ""John Carter"" (it"&amp;" is the one that is more expensive than ""Avatar""")</f>
        <v>I support Ruslan, a good, worthwhile film, the extended version is worth the money, in general, and there are quite a lot of deleted scenes, and the fee for exclusivity is reasonable, and even in comparison with the most expensive film "John Carter" (it is the one that is more expensive than "Avatar"</v>
      </c>
    </row>
    <row r="6749" spans="1:9" x14ac:dyDescent="0.3">
      <c r="A6749" s="1" t="s">
        <v>149</v>
      </c>
      <c r="B6749" s="1" t="s">
        <v>423</v>
      </c>
      <c r="C6749" s="1" t="s">
        <v>531</v>
      </c>
      <c r="D6749" s="1" t="s">
        <v>545</v>
      </c>
      <c r="E6749" s="1" t="s">
        <v>3323</v>
      </c>
      <c r="F6749" s="1" t="s">
        <v>10597</v>
      </c>
      <c r="G6749" s="1" t="s">
        <v>36</v>
      </c>
      <c r="H6749" s="1" t="s">
        <v>29</v>
      </c>
      <c r="I6749" s="1" t="str">
        <f ca="1">IFERROR(__xludf.DUMMYFUNCTION("GOOGLETRANSLATE(F6749, ""auto"", ""en"")
"),"I’ve been using a vacuum cleaner for almost 20 years (bought in 1996), I have no complaints and never had any. I’m already sick of it, but it still works and works well!")</f>
        <v>I’ve been using a vacuum cleaner for almost 20 years (bought in 1996), I have no complaints and never had any. I’m already sick of it, but it still works and works well!</v>
      </c>
    </row>
    <row r="6750" spans="1:9" x14ac:dyDescent="0.3">
      <c r="A6750" s="1" t="s">
        <v>211</v>
      </c>
      <c r="B6750" s="1" t="s">
        <v>384</v>
      </c>
      <c r="C6750" s="1" t="s">
        <v>351</v>
      </c>
      <c r="D6750" s="1" t="s">
        <v>3273</v>
      </c>
      <c r="E6750" s="1" t="s">
        <v>3945</v>
      </c>
      <c r="F6750" s="1" t="s">
        <v>10598</v>
      </c>
      <c r="G6750" s="1" t="s">
        <v>36</v>
      </c>
      <c r="H6750" s="1" t="s">
        <v>29</v>
      </c>
      <c r="I6750" s="1" t="str">
        <f ca="1">IFERROR(__xludf.DUMMYFUNCTION("GOOGLETRANSLATE(F6750, ""auto"", ""en"")
"),"Excellent scales, show the same weight (if you weigh yourself several times in a row), work without errors. They themselves have a beautiful design, are light and not easily soiled. Good inexpensive scales, I recommend it.")</f>
        <v>Excellent scales, show the same weight (if you weigh yourself several times in a row), work without errors. They themselves have a beautiful design, are light and not easily soiled. Good inexpensive scales, I recommend it.</v>
      </c>
    </row>
    <row r="6751" spans="1:9" x14ac:dyDescent="0.3">
      <c r="A6751" s="1" t="s">
        <v>120</v>
      </c>
      <c r="B6751" s="1" t="s">
        <v>1205</v>
      </c>
      <c r="C6751" s="1" t="s">
        <v>1206</v>
      </c>
      <c r="D6751" s="1" t="s">
        <v>33</v>
      </c>
      <c r="E6751" s="1" t="s">
        <v>4818</v>
      </c>
      <c r="F6751" s="1" t="s">
        <v>10599</v>
      </c>
      <c r="G6751" s="1" t="s">
        <v>36</v>
      </c>
      <c r="H6751" s="1" t="s">
        <v>29</v>
      </c>
      <c r="I6751" s="1" t="str">
        <f ca="1">IFERROR(__xludf.DUMMYFUNCTION("GOOGLETRANSLATE(F6751, ""auto"", ""en"")
"),"I’ve been using this for almost a year now, no complaints at all about this equipment. The antenna has withstood severe frosts down to -35 and extreme heat up to +44, not a single glitch or failure")</f>
        <v>I’ve been using this for almost a year now, no complaints at all about this equipment. The antenna has withstood severe frosts down to -35 and extreme heat up to +44, not a single glitch or failure</v>
      </c>
    </row>
    <row r="6752" spans="1:9" x14ac:dyDescent="0.3">
      <c r="A6752" s="1" t="s">
        <v>557</v>
      </c>
      <c r="B6752" s="1" t="s">
        <v>1977</v>
      </c>
      <c r="C6752" s="1" t="s">
        <v>122</v>
      </c>
      <c r="D6752" s="1" t="s">
        <v>940</v>
      </c>
      <c r="E6752" s="1" t="s">
        <v>932</v>
      </c>
      <c r="F6752" s="1" t="s">
        <v>10600</v>
      </c>
      <c r="G6752" s="1" t="s">
        <v>36</v>
      </c>
      <c r="H6752" s="1" t="s">
        <v>29</v>
      </c>
      <c r="I6752" s="1" t="str">
        <f ca="1">IFERROR(__xludf.DUMMYFUNCTION("GOOGLETRANSLATE(F6752, ""auto"", ""en"")
"),"We purchased more than a dozen devices for the office. Everything has been working stably for more than a year. Connected through the operator (Beeline) CallerID. Everything is determined. The fact that there are batteries is even a plus: there is no bulk"&amp;"y adapter or power cord. 3 batteries last for 3-6 months. And you don’t need a strong volume on the table - you can hear it anyway. But you can do it loudly. There are comments about the visibility of information on the display - it is clearly visible onl"&amp;"y from a certain angle, but you can add contrast, and the visibility is somewhat corrected.")</f>
        <v>We purchased more than a dozen devices for the office. Everything has been working stably for more than a year. Connected through the operator (Beeline) CallerID. Everything is determined. The fact that there are batteries is even a plus: there is no bulky adapter or power cord. 3 batteries last for 3-6 months. And you don’t need a strong volume on the table - you can hear it anyway. But you can do it loudly. There are comments about the visibility of information on the display - it is clearly visible only from a certain angle, but you can add contrast, and the visibility is somewhat corrected.</v>
      </c>
    </row>
    <row r="6753" spans="1:9" x14ac:dyDescent="0.3">
      <c r="A6753" s="1" t="s">
        <v>43</v>
      </c>
      <c r="B6753" s="1" t="s">
        <v>334</v>
      </c>
      <c r="C6753" s="1" t="s">
        <v>101</v>
      </c>
      <c r="D6753" s="1" t="s">
        <v>568</v>
      </c>
      <c r="E6753" s="1" t="s">
        <v>3733</v>
      </c>
      <c r="F6753" s="1" t="s">
        <v>10601</v>
      </c>
      <c r="G6753" s="1" t="s">
        <v>28</v>
      </c>
      <c r="H6753" s="1" t="s">
        <v>29</v>
      </c>
      <c r="I6753" s="1" t="str">
        <f ca="1">IFERROR(__xludf.DUMMYFUNCTION("GOOGLETRANSLATE(F6753, ""auto"", ""en"")
"),"It copes with its functional responsibilities perfectly. As they say, price is quality, the golden mean for its price segment.")</f>
        <v>It copes with its functional responsibilities perfectly. As they say, price is quality, the golden mean for its price segment.</v>
      </c>
    </row>
    <row r="6754" spans="1:9" x14ac:dyDescent="0.3">
      <c r="A6754" s="1" t="s">
        <v>43</v>
      </c>
      <c r="B6754" s="1" t="s">
        <v>303</v>
      </c>
      <c r="C6754" s="1" t="s">
        <v>665</v>
      </c>
      <c r="D6754" s="1" t="s">
        <v>81</v>
      </c>
      <c r="E6754" s="1" t="s">
        <v>2374</v>
      </c>
      <c r="F6754" s="1" t="s">
        <v>10602</v>
      </c>
      <c r="G6754" s="1" t="s">
        <v>36</v>
      </c>
      <c r="H6754" s="1" t="s">
        <v>29</v>
      </c>
      <c r="I6754" s="1" t="str">
        <f ca="1">IFERROR(__xludf.DUMMYFUNCTION("GOOGLETRANSLATE(F6754, ""auto"", ""en"")
"),"I bought this water heater on the advice of a friend; he also has a device of this brand at home, only a model with a larger volume. He helped me make a choice and said that this water heater is reliable in operation, powerful and economical in energy con"&amp;"sumption, which is also important. I also liked the shape and size, since due to the small area of ​​the bathroom, I couldn’t afford a standard size water heater. Heats water quickly, while it remains warm for a long time. It’s important to me that everyt"&amp;"hing in it is easy to understand and you don’t have to spend three days learning the instructions, just plug it in and use it. In general, it copes with its purpose, there are no complaints, I’m satisfied.")</f>
        <v>I bought this water heater on the advice of a friend; he also has a device of this brand at home, only a model with a larger volume. He helped me make a choice and said that this water heater is reliable in operation, powerful and economical in energy consumption, which is also important. I also liked the shape and size, since due to the small area of ​​the bathroom, I couldn’t afford a standard size water heater. Heats water quickly, while it remains warm for a long time. It’s important to me that everything in it is easy to understand and you don’t have to spend three days learning the instructions, just plug it in and use it. In general, it copes with its purpose, there are no complaints, I’m satisfied.</v>
      </c>
    </row>
    <row r="6755" spans="1:9" x14ac:dyDescent="0.3">
      <c r="A6755" s="1" t="s">
        <v>43</v>
      </c>
      <c r="B6755" s="1" t="s">
        <v>1370</v>
      </c>
      <c r="C6755" s="1" t="s">
        <v>2137</v>
      </c>
      <c r="D6755" s="1" t="s">
        <v>1008</v>
      </c>
      <c r="E6755" s="1" t="s">
        <v>47</v>
      </c>
      <c r="F6755" s="1" t="s">
        <v>10603</v>
      </c>
      <c r="G6755" s="1" t="s">
        <v>28</v>
      </c>
      <c r="H6755" s="1" t="s">
        <v>29</v>
      </c>
      <c r="I6755" s="1" t="str">
        <f ca="1">IFERROR(__xludf.DUMMYFUNCTION("GOOGLETRANSLATE(F6755, ""auto"", ""en"")
"),"The wiring is separate, directly to the panel, or through an outlet at your own peril and risk. I connected it through a socket. I wired it specifically for the washing machine to a separate 16 ampere machine, the wire is copper, the socket with a reserve"&amp;", the plug too, it gets hot during operation, but not much, in 30 minutes it heated up to 40 degrees Celsius. Acceptable! The first 10 minutes in hot water and... the machine turned off. The budget option didn't work. It was not possible to install 25 amp"&amp;"s in the kit right away; I had to throw out the thing from the Soviet Khrushchev that disconnected the apartment from electricity and rotten wires, reconnect and install two 40 amp circuit breakers for the apartment and 25 amps already included for the wa"&amp;"ter heater. As per tradition, I left the plug and socket. Advice to everyone - automatic shutdown when the water is turned off is foolproof, not an additional option, do not shorten the life of your device!!! I use it without any complaints so far. Don't "&amp;"skimp on electrics and you will be happy!")</f>
        <v>The wiring is separate, directly to the panel, or through an outlet at your own peril and risk. I connected it through a socket. I wired it specifically for the washing machine to a separate 16 ampere machine, the wire is copper, the socket with a reserve, the plug too, it gets hot during operation, but not much, in 30 minutes it heated up to 40 degrees Celsius. Acceptable! The first 10 minutes in hot water and... the machine turned off. The budget option didn't work. It was not possible to install 25 amps in the kit right away; I had to throw out the thing from the Soviet Khrushchev that disconnected the apartment from electricity and rotten wires, reconnect and install two 40 amp circuit breakers for the apartment and 25 amps already included for the water heater. As per tradition, I left the plug and socket. Advice to everyone - automatic shutdown when the water is turned off is foolproof, not an additional option, do not shorten the life of your device!!! I use it without any complaints so far. Don't skimp on electrics and you will be happy!</v>
      </c>
    </row>
    <row r="6756" spans="1:9" x14ac:dyDescent="0.3">
      <c r="A6756" s="1" t="s">
        <v>37</v>
      </c>
      <c r="B6756" s="1" t="s">
        <v>38</v>
      </c>
      <c r="C6756" s="1" t="s">
        <v>69</v>
      </c>
      <c r="D6756" s="1" t="s">
        <v>10604</v>
      </c>
      <c r="E6756" s="1" t="s">
        <v>971</v>
      </c>
      <c r="F6756" s="1" t="s">
        <v>10605</v>
      </c>
      <c r="G6756" s="1" t="s">
        <v>36</v>
      </c>
      <c r="H6756" s="1" t="s">
        <v>29</v>
      </c>
      <c r="I6756" s="1" t="str">
        <f ca="1">IFERROR(__xludf.DUMMYFUNCTION("GOOGLETRANSLATE(F6756, ""auto"", ""en"")
"),"I chose the phone as a workhorse, not an image accessory. I am quite pleased with the quality of communication and reception.  I bought it because of the function: 1 ""black list""!  2 Powerful batteries, I haven’t charged it yet after purchase, I used th"&amp;"e handset for a week, and there’s still 50% left!!! Naturally, the weight is a little more than a regular handset.  Truly a man's phone!  Well, + Price-design-quality of execution. I'm satisfied.")</f>
        <v>I chose the phone as a workhorse, not an image accessory. I am quite pleased with the quality of communication and reception.  I bought it because of the function: 1 "black list"!  2 Powerful batteries, I haven’t charged it yet after purchase, I used the handset for a week, and there’s still 50% left!!! Naturally, the weight is a little more than a regular handset.  Truly a man's phone!  Well, + Price-design-quality of execution. I'm satisfied.</v>
      </c>
    </row>
    <row r="6757" spans="1:9" x14ac:dyDescent="0.3">
      <c r="A6757" s="1" t="s">
        <v>61</v>
      </c>
      <c r="B6757" s="1" t="s">
        <v>318</v>
      </c>
      <c r="C6757" s="1" t="s">
        <v>146</v>
      </c>
      <c r="D6757" s="1" t="s">
        <v>335</v>
      </c>
      <c r="E6757" s="1" t="s">
        <v>1614</v>
      </c>
      <c r="F6757" s="1" t="s">
        <v>10606</v>
      </c>
      <c r="G6757" s="1" t="s">
        <v>15</v>
      </c>
      <c r="H6757" s="1" t="s">
        <v>16</v>
      </c>
      <c r="I6757" s="1" t="str">
        <f ca="1">IFERROR(__xludf.DUMMYFUNCTION("GOOGLETRANSLATE(F6757, ""auto"", ""en"")
"),"I didn’t like the kettle either, it’s noisy, it takes a long time to boil, the water level is hard to see, we bought it at the end of summer, now it’s March, the lid is broken, it won’t close, but we bought it with the assumption that the metal would last"&amp;" a long time")</f>
        <v>I didn’t like the kettle either, it’s noisy, it takes a long time to boil, the water level is hard to see, we bought it at the end of summer, now it’s March, the lid is broken, it won’t close, but we bought it with the assumption that the metal would last a long time</v>
      </c>
    </row>
    <row r="6758" spans="1:9" x14ac:dyDescent="0.3">
      <c r="A6758" s="1" t="s">
        <v>149</v>
      </c>
      <c r="B6758" s="1" t="s">
        <v>155</v>
      </c>
      <c r="C6758" s="1" t="s">
        <v>159</v>
      </c>
      <c r="D6758" s="1" t="s">
        <v>10607</v>
      </c>
      <c r="E6758" s="1" t="s">
        <v>1190</v>
      </c>
      <c r="F6758" s="1" t="s">
        <v>10608</v>
      </c>
      <c r="G6758" s="1" t="s">
        <v>36</v>
      </c>
      <c r="H6758" s="1" t="s">
        <v>29</v>
      </c>
      <c r="I6758" s="1" t="str">
        <f ca="1">IFERROR(__xludf.DUMMYFUNCTION("GOOGLETRANSLATE(F6758, ""auto"", ""en"")
"),"I really liked it, simple and convenient, turned it on and vacuumed, pulled it out and threw it away. No hassle with bags, replaceable filter included. Not much noise, no whistling, smooth start. I recommend it to everyone, although we bought it on sale f"&amp;"or 2900, but everything is super.")</f>
        <v>I really liked it, simple and convenient, turned it on and vacuumed, pulled it out and threw it away. No hassle with bags, replaceable filter included. Not much noise, no whistling, smooth start. I recommend it to everyone, although we bought it on sale for 2900, but everything is super.</v>
      </c>
    </row>
    <row r="6759" spans="1:9" x14ac:dyDescent="0.3">
      <c r="A6759" s="1" t="s">
        <v>67</v>
      </c>
      <c r="B6759" s="1" t="s">
        <v>68</v>
      </c>
      <c r="C6759" s="1" t="s">
        <v>101</v>
      </c>
      <c r="D6759" s="1" t="s">
        <v>911</v>
      </c>
      <c r="E6759" s="1" t="s">
        <v>336</v>
      </c>
      <c r="F6759" s="1" t="s">
        <v>10609</v>
      </c>
      <c r="G6759" s="1" t="s">
        <v>36</v>
      </c>
      <c r="H6759" s="1" t="s">
        <v>29</v>
      </c>
      <c r="I6759" s="1" t="str">
        <f ca="1">IFERROR(__xludf.DUMMYFUNCTION("GOOGLETRANSLATE(F6759, ""auto"", ""en"")
"),"Going on vacation soon! I bought this iron and have already tried it on in my suitcase. It takes up less space than a cosmetic bag)) And it doesn’t add much weight, which is very important with the current prices for luggage on airplanes. But you can’t re"&amp;"ly on hotels. I tested the iron on a long, heavily wrinkled beach dress. Ironed everything well")</f>
        <v>Going on vacation soon! I bought this iron and have already tried it on in my suitcase. It takes up less space than a cosmetic bag)) And it doesn’t add much weight, which is very important with the current prices for luggage on airplanes. But you can’t rely on hotels. I tested the iron on a long, heavily wrinkled beach dress. Ironed everything well</v>
      </c>
    </row>
    <row r="6760" spans="1:9" x14ac:dyDescent="0.3">
      <c r="A6760" s="1" t="s">
        <v>206</v>
      </c>
      <c r="B6760" s="1" t="s">
        <v>207</v>
      </c>
      <c r="C6760" s="1" t="s">
        <v>152</v>
      </c>
      <c r="D6760" s="1" t="s">
        <v>4360</v>
      </c>
      <c r="E6760" s="1" t="s">
        <v>2484</v>
      </c>
      <c r="F6760" s="1" t="s">
        <v>10610</v>
      </c>
      <c r="G6760" s="1" t="s">
        <v>28</v>
      </c>
      <c r="H6760" s="1" t="s">
        <v>29</v>
      </c>
      <c r="I6760" s="1" t="str">
        <f ca="1">IFERROR(__xludf.DUMMYFUNCTION("GOOGLETRANSLATE(F6760, ""auto"", ""en"")
"),"Not a bad amplifier, but a bit weak for the money. With a load of 4 Ohms in bridge mode it produces a maximum of 200 W... At the front 55-60.")</f>
        <v>Not a bad amplifier, but a bit weak for the money. With a load of 4 Ohms in bridge mode it produces a maximum of 200 W... At the front 55-60.</v>
      </c>
    </row>
    <row r="6761" spans="1:9" x14ac:dyDescent="0.3">
      <c r="A6761" s="1" t="s">
        <v>811</v>
      </c>
      <c r="B6761" s="1" t="s">
        <v>812</v>
      </c>
      <c r="C6761" s="1" t="s">
        <v>813</v>
      </c>
      <c r="D6761" s="1" t="s">
        <v>280</v>
      </c>
      <c r="E6761" s="1" t="s">
        <v>661</v>
      </c>
      <c r="F6761" s="1" t="s">
        <v>10611</v>
      </c>
      <c r="G6761" s="1" t="s">
        <v>28</v>
      </c>
      <c r="H6761" s="1" t="s">
        <v>29</v>
      </c>
      <c r="I6761" s="1" t="str">
        <f ca="1">IFERROR(__xludf.DUMMYFUNCTION("GOOGLETRANSLATE(F6761, ""auto"", ""en"")
"),"Overall not bad, but there is one seemingly traditional feature that you need to be prepared for - just like in the RT-D3N tripod, there is an important drawback in this IMHO. The tripod head is made with a defect, which means that when shooting in a hori"&amp;"zontal position all the way, the camera is tilted clockwise by 3-7 degrees. Of course, if you lift the platform, the camera is leveled, but the platform hangs and is held only by a screw without resting on the base. And if the camera is heavy (I have a DS"&amp;"LR), there are unnecessary vibrations during operation. Without getting upset for long, I leveled it with hot glue and everything was ok!  But the residue remains :(")</f>
        <v>Overall not bad, but there is one seemingly traditional feature that you need to be prepared for - just like in the RT-D3N tripod, there is an important drawback in this IMHO. The tripod head is made with a defect, which means that when shooting in a horizontal position all the way, the camera is tilted clockwise by 3-7 degrees. Of course, if you lift the platform, the camera is leveled, but the platform hangs and is held only by a screw without resting on the base. And if the camera is heavy (I have a DSLR), there are unnecessary vibrations during operation. Without getting upset for long, I leveled it with hot glue and everything was ok!  But the residue remains :(</v>
      </c>
    </row>
    <row r="6762" spans="1:9" x14ac:dyDescent="0.3">
      <c r="A6762" s="1" t="s">
        <v>149</v>
      </c>
      <c r="B6762" s="1" t="s">
        <v>423</v>
      </c>
      <c r="C6762" s="1" t="s">
        <v>531</v>
      </c>
      <c r="D6762" s="1" t="s">
        <v>113</v>
      </c>
      <c r="E6762" s="1" t="s">
        <v>5046</v>
      </c>
      <c r="F6762" s="1" t="s">
        <v>10612</v>
      </c>
      <c r="G6762" s="1" t="s">
        <v>15</v>
      </c>
      <c r="H6762" s="1" t="s">
        <v>16</v>
      </c>
      <c r="I6762" s="1" t="str">
        <f ca="1">IFERROR(__xludf.DUMMYFUNCTION("GOOGLETRANSLATE(F6762, ""auto"", ""en"")
"),"You can probably find a worse vacuum cleaner than this, but I haven’t seen one yet. There are practically no advantages, but plenty of disadvantages. I don’t want to repeat myself, but the vacuum cleaner is really heavy and clumsy (I’ve already knocked it"&amp;" on all the new doors in the apartment; to clean a three-room apartment you need to put all your strength into it, and there’s still plenty to do besides cleaning). The hose does not rotate around its axis at all; it constantly has to be interrupted and u"&amp;"ntwisted. You can work as a detergent only after vacuuming with dry cleaning, because... The washing brush and water do not allow any debris to be sucked in; you have to bend over and pick up each speck manually. The power is very insufficient even at the"&amp;" highest setting; in my opinion, it only sucks in dust. Before this there was an ordinary Siemens - in terms of power they are incomparable. Well, work after cleaning, i.e. Everyone will get tired of cleaning the vacuum cleaner very quickly. Starting from"&amp;" the fact that you don’t really want to mess around in this dirt, ending with the fact that you need to wash everything there, right down to the top cover and hose, and, accordingly, then the toilet, sink and bathtub. Yes, the top lid is already on its la"&amp;"st legs and is made very poorly. M.b. if there is nothing to do at home, then you can survive all of the above, but not for those who have work, children, and other worries. In general, I want to clean more often, but, strangely enough, the vacuum cleaner"&amp;" won’t let me clean.")</f>
        <v>You can probably find a worse vacuum cleaner than this, but I haven’t seen one yet. There are practically no advantages, but plenty of disadvantages. I don’t want to repeat myself, but the vacuum cleaner is really heavy and clumsy (I’ve already knocked it on all the new doors in the apartment; to clean a three-room apartment you need to put all your strength into it, and there’s still plenty to do besides cleaning). The hose does not rotate around its axis at all; it constantly has to be interrupted and untwisted. You can work as a detergent only after vacuuming with dry cleaning, because... The washing brush and water do not allow any debris to be sucked in; you have to bend over and pick up each speck manually. The power is very insufficient even at the highest setting; in my opinion, it only sucks in dust. Before this there was an ordinary Siemens - in terms of power they are incomparable. Well, work after cleaning, i.e. Everyone will get tired of cleaning the vacuum cleaner very quickly. Starting from the fact that you don’t really want to mess around in this dirt, ending with the fact that you need to wash everything there, right down to the top cover and hose, and, accordingly, then the toilet, sink and bathtub. Yes, the top lid is already on its last legs and is made very poorly. M.b. if there is nothing to do at home, then you can survive all of the above, but not for those who have work, children, and other worries. In general, I want to clean more often, but, strangely enough, the vacuum cleaner won’t let me clean.</v>
      </c>
    </row>
    <row r="6763" spans="1:9" x14ac:dyDescent="0.3">
      <c r="A6763" s="1" t="s">
        <v>37</v>
      </c>
      <c r="B6763" s="1" t="s">
        <v>38</v>
      </c>
      <c r="C6763" s="1" t="s">
        <v>39</v>
      </c>
      <c r="D6763" s="1" t="s">
        <v>10613</v>
      </c>
      <c r="E6763" s="1" t="s">
        <v>391</v>
      </c>
      <c r="F6763" s="1" t="s">
        <v>10614</v>
      </c>
      <c r="G6763" s="1" t="s">
        <v>28</v>
      </c>
      <c r="H6763" s="1" t="s">
        <v>29</v>
      </c>
      <c r="I6763" s="1" t="str">
        <f ca="1">IFERROR(__xludf.DUMMYFUNCTION("GOOGLETRANSLATE(F6763, ""auto"", ""en"")
"),"You can’t minimize the application and not argue!! Internet is fine, but it’s very difficult to configure it correctly!!! Themes are not supported!! The camera is normal, but it doesn’t zoom in!! I've been using it for 1 year and I'm not very happy with t"&amp;"he purchase!")</f>
        <v>You can’t minimize the application and not argue!! Internet is fine, but it’s very difficult to configure it correctly!!! Themes are not supported!! The camera is normal, but it doesn’t zoom in!! I've been using it for 1 year and I'm not very happy with the purchase!</v>
      </c>
    </row>
    <row r="6764" spans="1:9" x14ac:dyDescent="0.3">
      <c r="A6764" s="1" t="s">
        <v>965</v>
      </c>
      <c r="B6764" s="1" t="s">
        <v>966</v>
      </c>
      <c r="C6764" s="1" t="s">
        <v>2220</v>
      </c>
      <c r="D6764" s="1" t="s">
        <v>474</v>
      </c>
      <c r="E6764" s="1" t="s">
        <v>2271</v>
      </c>
      <c r="F6764" s="1" t="s">
        <v>10615</v>
      </c>
      <c r="G6764" s="1" t="s">
        <v>36</v>
      </c>
      <c r="H6764" s="1" t="s">
        <v>29</v>
      </c>
      <c r="I6764" s="1" t="str">
        <f ca="1">IFERROR(__xludf.DUMMYFUNCTION("GOOGLETRANSLATE(F6764, ""auto"", ""en"")
"),"I bought it a week ago and I can’t be happier - very pleasant surround sound, nice design, compact - they take up little space. I haven't noticed any cons yet.")</f>
        <v>I bought it a week ago and I can’t be happier - very pleasant surround sound, nice design, compact - they take up little space. I haven't noticed any cons yet.</v>
      </c>
    </row>
    <row r="6765" spans="1:9" x14ac:dyDescent="0.3">
      <c r="A6765" s="1" t="s">
        <v>211</v>
      </c>
      <c r="B6765" s="1" t="s">
        <v>212</v>
      </c>
      <c r="C6765" s="1" t="s">
        <v>266</v>
      </c>
      <c r="D6765" s="1" t="s">
        <v>934</v>
      </c>
      <c r="E6765" s="1" t="s">
        <v>2596</v>
      </c>
      <c r="F6765" s="1" t="s">
        <v>10616</v>
      </c>
      <c r="G6765" s="1" t="s">
        <v>36</v>
      </c>
      <c r="H6765" s="1" t="s">
        <v>29</v>
      </c>
      <c r="I6765" s="1" t="str">
        <f ca="1">IFERROR(__xludf.DUMMYFUNCTION("GOOGLETRANSLATE(F6765, ""auto"", ""en"")
"),"The curlers are good, the design is pleasing to the eye, they heat up quickly. Everything is fine. But I just can’t figure out how to use the metal clamps.")</f>
        <v>The curlers are good, the design is pleasing to the eye, they heat up quickly. Everything is fine. But I just can’t figure out how to use the metal clamps.</v>
      </c>
    </row>
    <row r="6766" spans="1:9" x14ac:dyDescent="0.3">
      <c r="A6766" s="1" t="s">
        <v>149</v>
      </c>
      <c r="B6766" s="1" t="s">
        <v>150</v>
      </c>
      <c r="C6766" s="1" t="s">
        <v>151</v>
      </c>
      <c r="D6766" s="1" t="s">
        <v>1008</v>
      </c>
      <c r="E6766" s="1" t="s">
        <v>1371</v>
      </c>
      <c r="F6766" s="1" t="s">
        <v>10617</v>
      </c>
      <c r="G6766" s="1" t="s">
        <v>28</v>
      </c>
      <c r="H6766" s="1" t="s">
        <v>29</v>
      </c>
      <c r="I6766" s="1" t="str">
        <f ca="1">IFERROR(__xludf.DUMMYFUNCTION("GOOGLETRANSLATE(F6766, ""auto"", ""en"")
"),"+ low noise, very easy to maintain and wash the filter, everything is intuitive, assembled, disassembled, working. There were doubts about the power of 200 watts (I wanted to buy an Ariet 480, but after opening the lid and looking at the filter, I decided"&amp;" not to risk it + China. I preferred the Korean) it pulls decently, the floor covering lifts. I was surprised by the amount of all sorts of rubbish collected after one 5-minute test cleaning and, what’s encouraging, all the dust remained in the water, whi"&amp;"ch is very important if you have a child and cats in the house. Quite thought out in terms of ergonomics and design, everything is in its place. Powerful turbo brush.    - The IR control is not very well located. It turns off if you accidentally touch it "&amp;"with your hands. It’s a bit heavy, but the heaviness of the vacuum cleaner is compensated by its wheels and moves along very quickly.    I used it for the first time, the test drive lasted 30 minutes, perhaps other shortcomings will be discovered later, b"&amp;"ut so far I’m happy with the purchase.")</f>
        <v>+ low noise, very easy to maintain and wash the filter, everything is intuitive, assembled, disassembled, working. There were doubts about the power of 200 watts (I wanted to buy an Ariet 480, but after opening the lid and looking at the filter, I decided not to risk it + China. I preferred the Korean) it pulls decently, the floor covering lifts. I was surprised by the amount of all sorts of rubbish collected after one 5-minute test cleaning and, what’s encouraging, all the dust remained in the water, which is very important if you have a child and cats in the house. Quite thought out in terms of ergonomics and design, everything is in its place. Powerful turbo brush.    - The IR control is not very well located. It turns off if you accidentally touch it with your hands. It’s a bit heavy, but the heaviness of the vacuum cleaner is compensated by its wheels and moves along very quickly.    I used it for the first time, the test drive lasted 30 minutes, perhaps other shortcomings will be discovered later, but so far I’m happy with the purchase.</v>
      </c>
    </row>
    <row r="6767" spans="1:9" x14ac:dyDescent="0.3">
      <c r="A6767" s="1" t="s">
        <v>37</v>
      </c>
      <c r="B6767" s="1" t="s">
        <v>38</v>
      </c>
      <c r="C6767" s="1" t="s">
        <v>39</v>
      </c>
      <c r="D6767" s="1" t="s">
        <v>75</v>
      </c>
      <c r="E6767" s="1" t="s">
        <v>2677</v>
      </c>
      <c r="F6767" s="1" t="s">
        <v>10618</v>
      </c>
      <c r="G6767" s="1" t="s">
        <v>36</v>
      </c>
      <c r="H6767" s="1" t="s">
        <v>29</v>
      </c>
      <c r="I6767" s="1" t="str">
        <f ca="1">IFERROR(__xludf.DUMMYFUNCTION("GOOGLETRANSLATE(F6767, ""auto"", ""en"")
"),"The phone is simply wonderful, I fell in love at first sight!!! The sound is beyond words, I’m delighted with the phone!!!!!  The only reason is it only written that there is autofocus??? It was never there!!!!!!")</f>
        <v>The phone is simply wonderful, I fell in love at first sight!!! The sound is beyond words, I’m delighted with the phone!!!!!  The only reason is it only written that there is autofocus??? It was never there!!!!!!</v>
      </c>
    </row>
    <row r="6768" spans="1:9" x14ac:dyDescent="0.3">
      <c r="A6768" s="1" t="s">
        <v>17</v>
      </c>
      <c r="B6768" s="1" t="s">
        <v>18</v>
      </c>
      <c r="C6768" s="1" t="s">
        <v>151</v>
      </c>
      <c r="D6768" s="1" t="s">
        <v>52</v>
      </c>
      <c r="E6768" s="1" t="s">
        <v>750</v>
      </c>
      <c r="F6768" s="1" t="s">
        <v>10619</v>
      </c>
      <c r="G6768" s="1" t="s">
        <v>36</v>
      </c>
      <c r="H6768" s="1" t="s">
        <v>29</v>
      </c>
      <c r="I6768" s="1" t="str">
        <f ca="1">IFERROR(__xludf.DUMMYFUNCTION("GOOGLETRANSLATE(F6768, ""auto"", ""en"")
"),"I haven't been using the machine for that long. I chose according to the parameters: at least 4.5 kg of load, 1000 rpm. and up to 45 cm in depth. I also liked the design. It washes well. After proper installation, (I did it myself using a level) it does n"&amp;"ot vibrate. The noise level is low, and if you close the door to the bathroom, you can hear a little only in the spin mode. I agree with the review from 12/17/2009 Igor (Moscow) - I didn’t feel much difference between spinning at 800 and 1000 rpm. But it "&amp;"still squeezes well. After washing things at lunch, you can use them in the evening.")</f>
        <v>I haven't been using the machine for that long. I chose according to the parameters: at least 4.5 kg of load, 1000 rpm. and up to 45 cm in depth. I also liked the design. It washes well. After proper installation, (I did it myself using a level) it does not vibrate. The noise level is low, and if you close the door to the bathroom, you can hear a little only in the spin mode. I agree with the review from 12/17/2009 Igor (Moscow) - I didn’t feel much difference between spinning at 800 and 1000 rpm. But it still squeezes well. After washing things at lunch, you can use them in the evening.</v>
      </c>
    </row>
    <row r="6769" spans="1:9" x14ac:dyDescent="0.3">
      <c r="A6769" s="1" t="s">
        <v>55</v>
      </c>
      <c r="B6769" s="1" t="s">
        <v>56</v>
      </c>
      <c r="C6769" s="1" t="s">
        <v>85</v>
      </c>
      <c r="D6769" s="1" t="s">
        <v>10620</v>
      </c>
      <c r="E6769" s="1" t="s">
        <v>7294</v>
      </c>
      <c r="F6769" s="1" t="s">
        <v>10621</v>
      </c>
      <c r="G6769" s="1" t="s">
        <v>36</v>
      </c>
      <c r="H6769" s="1" t="s">
        <v>29</v>
      </c>
      <c r="I6769" s="1" t="str">
        <f ca="1">IFERROR(__xludf.DUMMYFUNCTION("GOOGLETRANSLATE(F6769, ""auto"", ""en"")
"),"The humidifier is just the bomb. We've been using it for 3 years now. Doesn't buzz, moisturizes quickly. bought for a child. Everyone is happy, we recommend it to everyone! Gets its money's worth.")</f>
        <v>The humidifier is just the bomb. We've been using it for 3 years now. Doesn't buzz, moisturizes quickly. bought for a child. Everyone is happy, we recommend it to everyone! Gets its money's worth.</v>
      </c>
    </row>
    <row r="6770" spans="1:9" x14ac:dyDescent="0.3">
      <c r="A6770" s="1" t="s">
        <v>624</v>
      </c>
      <c r="B6770" s="1" t="s">
        <v>2107</v>
      </c>
      <c r="C6770" s="1" t="s">
        <v>479</v>
      </c>
      <c r="D6770" s="1" t="s">
        <v>1121</v>
      </c>
      <c r="E6770" s="1" t="s">
        <v>1446</v>
      </c>
      <c r="F6770" s="1" t="s">
        <v>10622</v>
      </c>
      <c r="G6770" s="1" t="s">
        <v>15</v>
      </c>
      <c r="H6770" s="1" t="s">
        <v>16</v>
      </c>
      <c r="I6770" s="1" t="str">
        <f ca="1">IFERROR(__xludf.DUMMYFUNCTION("GOOGLETRANSLATE(F6770, ""auto"", ""en"")
"),"The fonts in the game are very small, so the dialogue is not readable. Not a single TV diagonal can save you from this misfortune, either we learn English and turn up the volume, or by the end of the game we take a ticket to the ophthalmologist.")</f>
        <v>The fonts in the game are very small, so the dialogue is not readable. Not a single TV diagonal can save you from this misfortune, either we learn English and turn up the volume, or by the end of the game we take a ticket to the ophthalmologist.</v>
      </c>
    </row>
    <row r="6771" spans="1:9" x14ac:dyDescent="0.3">
      <c r="A6771" s="1" t="s">
        <v>9</v>
      </c>
      <c r="B6771" s="1" t="s">
        <v>133</v>
      </c>
      <c r="C6771" s="1" t="s">
        <v>290</v>
      </c>
      <c r="D6771" s="1" t="s">
        <v>308</v>
      </c>
      <c r="E6771" s="1" t="s">
        <v>1129</v>
      </c>
      <c r="F6771" s="1" t="s">
        <v>10623</v>
      </c>
      <c r="G6771" s="1" t="s">
        <v>36</v>
      </c>
      <c r="H6771" s="1" t="s">
        <v>29</v>
      </c>
      <c r="I6771" s="1" t="str">
        <f ca="1">IFERROR(__xludf.DUMMYFUNCTION("GOOGLETRANSLATE(F6771, ""auto"", ""en"")
"),"Super! The chicken was fried quickly and delicious! Convenient to cook! I have never regretted it, and this is my third oven.")</f>
        <v>Super! The chicken was fried quickly and delicious! Convenient to cook! I have never regretted it, and this is my third oven.</v>
      </c>
    </row>
    <row r="6772" spans="1:9" x14ac:dyDescent="0.3">
      <c r="A6772" s="1" t="s">
        <v>43</v>
      </c>
      <c r="B6772" s="1" t="s">
        <v>502</v>
      </c>
      <c r="C6772" s="1" t="s">
        <v>1627</v>
      </c>
      <c r="D6772" s="1" t="s">
        <v>308</v>
      </c>
      <c r="E6772" s="1" t="s">
        <v>2492</v>
      </c>
      <c r="F6772" s="1" t="s">
        <v>10624</v>
      </c>
      <c r="G6772" s="1" t="s">
        <v>28</v>
      </c>
      <c r="H6772" s="1" t="s">
        <v>29</v>
      </c>
      <c r="I6772" s="1" t="str">
        <f ca="1">IFERROR(__xludf.DUMMYFUNCTION("GOOGLETRANSLATE(F6772, ""auto"", ""en"")
"),"I bought a split 3 weeks ago, just before the August heat of +37 in the shade. The area of ​​the room is 18 m2 + corridor 6 m2, i.e. 24 m2 - at the very limit of possibility. This is how I explain the fact that our room was never cooled with this split. I"&amp;" set it to maximum power and 23 degrees - everything is noisy and blowing, the air flow is quite strong and quite cool (if you stand directly under it), but... the room is very stuffy. The indoor unit is still noisy, but not a hum or vibration, but a stro"&amp;"ng rustling sound, sort of like air flow, but it’s audible to me. I set it to night mode, then it becomes really quiet, but IMHO the temperature does not drop at all, literally a meter from the directed air flow it is very stuffy. To have a more or less n"&amp;"ormal temperature, the poor fellow always works for me, incl. at night. Again, perhaps this is due to my personal power limit, but my job is to warn others))")</f>
        <v>I bought a split 3 weeks ago, just before the August heat of +37 in the shade. The area of ​​the room is 18 m2 + corridor 6 m2, i.e. 24 m2 - at the very limit of possibility. This is how I explain the fact that our room was never cooled with this split. I set it to maximum power and 23 degrees - everything is noisy and blowing, the air flow is quite strong and quite cool (if you stand directly under it), but... the room is very stuffy. The indoor unit is still noisy, but not a hum or vibration, but a strong rustling sound, sort of like air flow, but it’s audible to me. I set it to night mode, then it becomes really quiet, but IMHO the temperature does not drop at all, literally a meter from the directed air flow it is very stuffy. To have a more or less normal temperature, the poor fellow always works for me, incl. at night. Again, perhaps this is due to my personal power limit, but my job is to warn others))</v>
      </c>
    </row>
    <row r="6773" spans="1:9" x14ac:dyDescent="0.3">
      <c r="A6773" s="1" t="s">
        <v>61</v>
      </c>
      <c r="B6773" s="1" t="s">
        <v>73</v>
      </c>
      <c r="C6773" s="1" t="s">
        <v>74</v>
      </c>
      <c r="D6773" s="1" t="s">
        <v>545</v>
      </c>
      <c r="E6773" s="1" t="s">
        <v>357</v>
      </c>
      <c r="F6773" s="1" t="s">
        <v>10625</v>
      </c>
      <c r="G6773" s="1" t="s">
        <v>36</v>
      </c>
      <c r="H6773" s="1" t="s">
        <v>29</v>
      </c>
      <c r="I6773" s="1" t="str">
        <f ca="1">IFERROR(__xludf.DUMMYFUNCTION("GOOGLETRANSLATE(F6773, ""auto"", ""en"")
"),"I have been using a meat grinder for 2 years, I am very pleased, the case is always on my kitchen unit (takes up very little space), if necessary, I only take out the attachments, I use it almost every day, because... We cook it every day and sometimes mo"&amp;"re than once, and it can also be used as a food processor. This model is just for those who don’t like to use a grater in the kitchen. However, I have never used attachments for homemade sausage and kebbe for sausages, and I rarely use a citrus juicer. Co"&amp;"nvenient and easy to use, easy and quick to clean)))")</f>
        <v>I have been using a meat grinder for 2 years, I am very pleased, the case is always on my kitchen unit (takes up very little space), if necessary, I only take out the attachments, I use it almost every day, because... We cook it every day and sometimes more than once, and it can also be used as a food processor. This model is just for those who don’t like to use a grater in the kitchen. However, I have never used attachments for homemade sausage and kebbe for sausages, and I rarely use a citrus juicer. Convenient and easy to use, easy and quick to clean)))</v>
      </c>
    </row>
    <row r="6774" spans="1:9" x14ac:dyDescent="0.3">
      <c r="A6774" s="1" t="s">
        <v>211</v>
      </c>
      <c r="B6774" s="1" t="s">
        <v>410</v>
      </c>
      <c r="C6774" s="1" t="s">
        <v>213</v>
      </c>
      <c r="D6774" s="1" t="s">
        <v>10626</v>
      </c>
      <c r="E6774" s="1" t="s">
        <v>8952</v>
      </c>
      <c r="F6774" s="1" t="s">
        <v>10627</v>
      </c>
      <c r="G6774" s="1" t="s">
        <v>36</v>
      </c>
      <c r="H6774" s="1" t="s">
        <v>29</v>
      </c>
      <c r="I6774" s="1" t="str">
        <f ca="1">IFERROR(__xludf.DUMMYFUNCTION("GOOGLETRANSLATE(F6774, ""auto"", ""en"")
"),"no irritation, shaves perfectly, not noisy, holds a charge for a long time, excellent self-cleaning system! in a word, you won’t regret it!")</f>
        <v>no irritation, shaves perfectly, not noisy, holds a charge for a long time, excellent self-cleaning system! in a word, you won’t regret it!</v>
      </c>
    </row>
    <row r="6775" spans="1:9" x14ac:dyDescent="0.3">
      <c r="A6775" s="1" t="s">
        <v>624</v>
      </c>
      <c r="B6775" s="1" t="s">
        <v>2107</v>
      </c>
      <c r="C6775" s="1" t="s">
        <v>479</v>
      </c>
      <c r="D6775" s="1" t="s">
        <v>186</v>
      </c>
      <c r="E6775" s="1" t="s">
        <v>26</v>
      </c>
      <c r="F6775" s="1" t="s">
        <v>10628</v>
      </c>
      <c r="G6775" s="1" t="s">
        <v>36</v>
      </c>
      <c r="H6775" s="1" t="s">
        <v>29</v>
      </c>
      <c r="I6775" s="1" t="str">
        <f ca="1">IFERROR(__xludf.DUMMYFUNCTION("GOOGLETRANSLATE(F6775, ""auto"", ""en"")
"),"Remedy has truly produced one of the best gaming thrillers of recent years. The game has a great atmosphere, the plot is in the best traditions of Stephen King, and the graphics are simply excellent! The soundtrack is also great. The game can rightfully b"&amp;"e considered one of the main exclusives of the Xbox 360. I advise you to purchase it without hesitation!!))")</f>
        <v>Remedy has truly produced one of the best gaming thrillers of recent years. The game has a great atmosphere, the plot is in the best traditions of Stephen King, and the graphics are simply excellent! The soundtrack is also great. The game can rightfully be considered one of the main exclusives of the Xbox 360. I advise you to purchase it without hesitation!!))</v>
      </c>
    </row>
    <row r="6776" spans="1:9" x14ac:dyDescent="0.3">
      <c r="A6776" s="1" t="s">
        <v>61</v>
      </c>
      <c r="B6776" s="1" t="s">
        <v>180</v>
      </c>
      <c r="C6776" s="1" t="s">
        <v>69</v>
      </c>
      <c r="D6776" s="1" t="s">
        <v>152</v>
      </c>
      <c r="E6776" s="1" t="s">
        <v>1497</v>
      </c>
      <c r="F6776" s="1" t="s">
        <v>10629</v>
      </c>
      <c r="G6776" s="1" t="s">
        <v>36</v>
      </c>
      <c r="H6776" s="1" t="s">
        <v>29</v>
      </c>
      <c r="I6776" s="1" t="str">
        <f ca="1">IFERROR(__xludf.DUMMYFUNCTION("GOOGLETRANSLATE(F6776, ""auto"", ""en"")
"),"I have been using this product relatively recently. When selling it, the store consultant showed it from the good side, showing the pros and cons of this model. Although I’ve only been using it for a short time, I haven’t seen any downsides. Only one, sma"&amp;"ll one, is its coating, stainless steel... requires maintenance.  I would recommend this toaster model, especially to people who drink freshly brewed coffee in the morning, for them it will certainly be indispensable!  Thanks to the MVideo company and its"&amp;" employees for their help in choosing this product.")</f>
        <v>I have been using this product relatively recently. When selling it, the store consultant showed it from the good side, showing the pros and cons of this model. Although I’ve only been using it for a short time, I haven’t seen any downsides. Only one, small one, is its coating, stainless steel... requires maintenance.  I would recommend this toaster model, especially to people who drink freshly brewed coffee in the morning, for them it will certainly be indispensable!  Thanks to the MVideo company and its employees for their help in choosing this product.</v>
      </c>
    </row>
    <row r="6777" spans="1:9" x14ac:dyDescent="0.3">
      <c r="A6777" s="1" t="s">
        <v>211</v>
      </c>
      <c r="B6777" s="1" t="s">
        <v>265</v>
      </c>
      <c r="C6777" s="1" t="s">
        <v>381</v>
      </c>
      <c r="D6777" s="1" t="s">
        <v>64</v>
      </c>
      <c r="E6777" s="1" t="s">
        <v>82</v>
      </c>
      <c r="F6777" s="1" t="s">
        <v>10630</v>
      </c>
      <c r="G6777" s="1" t="s">
        <v>36</v>
      </c>
      <c r="H6777" s="1" t="s">
        <v>29</v>
      </c>
      <c r="I6777" s="1" t="str">
        <f ca="1">IFERROR(__xludf.DUMMYFUNCTION("GOOGLETRANSLATE(F6777, ""auto"", ""en"")
"),"We have been using the machine for 4 years, it’s excellent, it has never failed during this period, it works like a clock.")</f>
        <v>We have been using the machine for 4 years, it’s excellent, it has never failed during this period, it works like a clock.</v>
      </c>
    </row>
    <row r="6778" spans="1:9" x14ac:dyDescent="0.3">
      <c r="A6778" s="1" t="s">
        <v>67</v>
      </c>
      <c r="B6778" s="1" t="s">
        <v>68</v>
      </c>
      <c r="C6778" s="1" t="s">
        <v>69</v>
      </c>
      <c r="D6778" s="1" t="s">
        <v>75</v>
      </c>
      <c r="E6778" s="1" t="s">
        <v>3720</v>
      </c>
      <c r="F6778" s="1" t="s">
        <v>10631</v>
      </c>
      <c r="G6778" s="1" t="s">
        <v>28</v>
      </c>
      <c r="H6778" s="1" t="s">
        <v>29</v>
      </c>
      <c r="I6778" s="1" t="str">
        <f ca="1">IFERROR(__xludf.DUMMYFUNCTION("GOOGLETRANSLATE(F6778, ""auto"", ""en"")
"),"The iron irons well, the steam power is satisfactory. The cord is long and does not get twisted or tangled. You have to clean it more often than you would like, but this is not a minus of the iron, it’s just that the water is bad. But the fact that it per"&amp;"iodically flows is the worst thing.  Especially when you are in a hurry, and he is a little mean. The soleplate of the iron is great, it doesn’t burn anything and is always clean. I haven't cleaned the soles once in two years. The nose is narrow and he ca"&amp;"n handle all the folds.")</f>
        <v>The iron irons well, the steam power is satisfactory. The cord is long and does not get twisted or tangled. You have to clean it more often than you would like, but this is not a minus of the iron, it’s just that the water is bad. But the fact that it periodically flows is the worst thing.  Especially when you are in a hurry, and he is a little mean. The soleplate of the iron is great, it doesn’t burn anything and is always clean. I haven't cleaned the soles once in two years. The nose is narrow and he can handle all the folds.</v>
      </c>
    </row>
    <row r="6779" spans="1:9" x14ac:dyDescent="0.3">
      <c r="A6779" s="1" t="s">
        <v>169</v>
      </c>
      <c r="B6779" s="1" t="s">
        <v>170</v>
      </c>
      <c r="C6779" s="1" t="s">
        <v>69</v>
      </c>
      <c r="D6779" s="1" t="s">
        <v>152</v>
      </c>
      <c r="E6779" s="1" t="s">
        <v>320</v>
      </c>
      <c r="F6779" s="1" t="s">
        <v>10632</v>
      </c>
      <c r="G6779" s="1" t="s">
        <v>36</v>
      </c>
      <c r="H6779" s="1" t="s">
        <v>29</v>
      </c>
      <c r="I6779" s="1" t="str">
        <f ca="1">IFERROR(__xludf.DUMMYFUNCTION("GOOGLETRANSLATE(F6779, ""auto"", ""en"")
"),"I bought it a couple of months ago and was pleased: the sound for the money is excellent and you don’t disturb others.")</f>
        <v>I bought it a couple of months ago and was pleased: the sound for the money is excellent and you don’t disturb others.</v>
      </c>
    </row>
    <row r="6780" spans="1:9" x14ac:dyDescent="0.3">
      <c r="A6780" s="1" t="s">
        <v>211</v>
      </c>
      <c r="B6780" s="1" t="s">
        <v>212</v>
      </c>
      <c r="C6780" s="1" t="s">
        <v>213</v>
      </c>
      <c r="D6780" s="1" t="s">
        <v>1188</v>
      </c>
      <c r="E6780" s="1" t="s">
        <v>2514</v>
      </c>
      <c r="F6780" s="1" t="s">
        <v>10633</v>
      </c>
      <c r="G6780" s="1" t="s">
        <v>36</v>
      </c>
      <c r="H6780" s="1" t="s">
        <v>29</v>
      </c>
      <c r="I6780" s="1" t="str">
        <f ca="1">IFERROR(__xludf.DUMMYFUNCTION("GOOGLETRANSLATE(F6780, ""auto"", ""en"")
"),"I bought it almost 1.5 years ago as a gift for my mother, the main criteria were coverage, ionization and diameter, I use it with my mother, she has short hair, I have long hair, it curls perfectly. The adjustable temperature and coating, I don’t know wha"&amp;"t material it is made of, completely eliminate hair burning even with styling products, and if you turn on the ionization, there will be no electrification of the hair. Heats up and cools down quickly. I have thin hair, so the diameter is the most suitabl"&amp;"e, in general, if you buy it, you won’t regret it.")</f>
        <v>I bought it almost 1.5 years ago as a gift for my mother, the main criteria were coverage, ionization and diameter, I use it with my mother, she has short hair, I have long hair, it curls perfectly. The adjustable temperature and coating, I don’t know what material it is made of, completely eliminate hair burning even with styling products, and if you turn on the ionization, there will be no electrification of the hair. Heats up and cools down quickly. I have thin hair, so the diameter is the most suitable, in general, if you buy it, you won’t regret it.</v>
      </c>
    </row>
    <row r="6781" spans="1:9" x14ac:dyDescent="0.3">
      <c r="A6781" s="1" t="s">
        <v>55</v>
      </c>
      <c r="B6781" s="1" t="s">
        <v>184</v>
      </c>
      <c r="C6781" s="1" t="s">
        <v>85</v>
      </c>
      <c r="D6781" s="1" t="s">
        <v>39</v>
      </c>
      <c r="E6781" s="1" t="s">
        <v>628</v>
      </c>
      <c r="F6781" s="1" t="s">
        <v>10634</v>
      </c>
      <c r="G6781" s="1" t="s">
        <v>36</v>
      </c>
      <c r="H6781" s="1" t="s">
        <v>29</v>
      </c>
      <c r="I6781" s="1" t="str">
        <f ca="1">IFERROR(__xludf.DUMMYFUNCTION("GOOGLETRANSLATE(F6781, ""auto"", ""en"")
"),"I ordered by phone - everything was fine. There was a nice girl on the line. True, the courier turned out to be nervous - but oh well. About the Bork fan heater. The fan turned out to be modern, beautiful, silent and comfortable.    There is only one draw"&amp;"back. When you turn on the heating power to the second level: 2.8 kW, the power filter turns off, so you need to buy a new filter with more power.    So happy with everything, thanks to the M Video store!")</f>
        <v>I ordered by phone - everything was fine. There was a nice girl on the line. True, the courier turned out to be nervous - but oh well. About the Bork fan heater. The fan turned out to be modern, beautiful, silent and comfortable.    There is only one drawback. When you turn on the heating power to the second level: 2.8 kW, the power filter turns off, so you need to buy a new filter with more power.    So happy with everything, thanks to the M Video store!</v>
      </c>
    </row>
    <row r="6782" spans="1:9" x14ac:dyDescent="0.3">
      <c r="A6782" s="1" t="s">
        <v>361</v>
      </c>
      <c r="B6782" s="1" t="s">
        <v>362</v>
      </c>
      <c r="C6782" s="1" t="s">
        <v>561</v>
      </c>
      <c r="D6782" s="1" t="s">
        <v>280</v>
      </c>
      <c r="E6782" s="1" t="s">
        <v>1864</v>
      </c>
      <c r="F6782" s="1" t="s">
        <v>10635</v>
      </c>
      <c r="G6782" s="1" t="s">
        <v>49</v>
      </c>
      <c r="H6782" s="1" t="s">
        <v>16</v>
      </c>
      <c r="I6782" s="1" t="str">
        <f ca="1">IFERROR(__xludf.DUMMYFUNCTION("GOOGLETRANSLATE(F6782, ""auto"", ""en"")
"),"In the nozzles, the metal part is very poorly connected to the plastic, using rivets. After 4 uses, vegetables began to get stuck between the metal and plastic. The knives do not cut all the way through, but simply break off the food. I don't recommend sp"&amp;"ending money on it!")</f>
        <v>In the nozzles, the metal part is very poorly connected to the plastic, using rivets. After 4 uses, vegetables began to get stuck between the metal and plastic. The knives do not cut all the way through, but simply break off the food. I don't recommend spending money on it!</v>
      </c>
    </row>
    <row r="6783" spans="1:9" x14ac:dyDescent="0.3">
      <c r="A6783" s="1" t="s">
        <v>477</v>
      </c>
      <c r="B6783" s="1" t="s">
        <v>478</v>
      </c>
      <c r="C6783" s="1" t="s">
        <v>479</v>
      </c>
      <c r="D6783" s="1" t="s">
        <v>305</v>
      </c>
      <c r="E6783" s="1" t="s">
        <v>26</v>
      </c>
      <c r="F6783" s="1" t="s">
        <v>10636</v>
      </c>
      <c r="G6783" s="1" t="s">
        <v>36</v>
      </c>
      <c r="H6783" s="1" t="s">
        <v>29</v>
      </c>
      <c r="I6783" s="1" t="str">
        <f ca="1">IFERROR(__xludf.DUMMYFUNCTION("GOOGLETRANSLATE(F6783, ""auto"", ""en"")
"),"I bought it and really liked it! There were no problems through Steam, it just says: the game is entirely in Russian. But in fact in English. And I’m quite happy!")</f>
        <v>I bought it and really liked it! There were no problems through Steam, it just says: the game is entirely in Russian. But in fact in English. And I’m quite happy!</v>
      </c>
    </row>
    <row r="6784" spans="1:9" x14ac:dyDescent="0.3">
      <c r="A6784" s="1" t="s">
        <v>30</v>
      </c>
      <c r="B6784" s="1" t="s">
        <v>50</v>
      </c>
      <c r="C6784" s="1" t="s">
        <v>51</v>
      </c>
      <c r="D6784" s="1" t="s">
        <v>10637</v>
      </c>
      <c r="E6784" s="1" t="s">
        <v>750</v>
      </c>
      <c r="F6784" s="1" t="s">
        <v>10638</v>
      </c>
      <c r="G6784" s="1" t="s">
        <v>36</v>
      </c>
      <c r="H6784" s="1" t="s">
        <v>29</v>
      </c>
      <c r="I6784" s="1" t="str">
        <f ca="1">IFERROR(__xludf.DUMMYFUNCTION("GOOGLETRANSLATE(F6784, ""auto"", ""en"")
"),"I bought it - I'm happy, if you're talking about toys, then this is the laptop for you, it has a very strong video card, I tried it myself, I ran GTA 4 and stalker still flies.")</f>
        <v>I bought it - I'm happy, if you're talking about toys, then this is the laptop for you, it has a very strong video card, I tried it myself, I ran GTA 4 and stalker still flies.</v>
      </c>
    </row>
    <row r="6785" spans="1:9" x14ac:dyDescent="0.3">
      <c r="A6785" s="1" t="s">
        <v>61</v>
      </c>
      <c r="B6785" s="1" t="s">
        <v>318</v>
      </c>
      <c r="C6785" s="1" t="s">
        <v>85</v>
      </c>
      <c r="D6785" s="1" t="s">
        <v>545</v>
      </c>
      <c r="E6785" s="1" t="s">
        <v>5131</v>
      </c>
      <c r="F6785" s="1" t="s">
        <v>10639</v>
      </c>
      <c r="G6785" s="1" t="s">
        <v>28</v>
      </c>
      <c r="H6785" s="1" t="s">
        <v>29</v>
      </c>
      <c r="I6785" s="1" t="str">
        <f ca="1">IFERROR(__xludf.DUMMYFUNCTION("GOOGLETRANSLATE(F6785, ""auto"", ""en"")
"),"The tea brewing function itself is interesting.")</f>
        <v>The tea brewing function itself is interesting.</v>
      </c>
    </row>
    <row r="6786" spans="1:9" x14ac:dyDescent="0.3">
      <c r="A6786" s="1" t="s">
        <v>67</v>
      </c>
      <c r="B6786" s="1" t="s">
        <v>340</v>
      </c>
      <c r="C6786" s="1" t="s">
        <v>341</v>
      </c>
      <c r="D6786" s="1" t="s">
        <v>10640</v>
      </c>
      <c r="E6786" s="1" t="s">
        <v>182</v>
      </c>
      <c r="F6786" s="1" t="s">
        <v>10641</v>
      </c>
      <c r="G6786" s="1" t="s">
        <v>28</v>
      </c>
      <c r="H6786" s="1" t="s">
        <v>29</v>
      </c>
      <c r="I6786" s="1" t="str">
        <f ca="1">IFERROR(__xludf.DUMMYFUNCTION("GOOGLETRANSLATE(F6786, ""auto"", ""en"")
"),"Last night I bought a car as a gift for my wife and daughter. I chose it based on the principle: a fairly large number of functions and an affordable price. This model from those available was suitable. I was confused by the not very well-promoted brand. "&amp;"I decided to take a chance. I immediately sat down to test it at home. I glanced through the instructions and got to work. The first impression is very pleasant: the mechanism works quietly, the stitches are even, the pattern corresponds to the samples, t"&amp;"he loops are made well, the thread tension is adjusted normally (at 3 - optimal), the threader saves time and saves nerves. But after two hours of testing, the top thread got stuck in the bobbin holder. The machine categorically refused to work. I rethrea"&amp;"ded the thread - the same result. I thought about returning the goods to the store in the morning. After midnight, I managed to fix the problem with some difficulty: I removed the metal cover several times, all to no avail, it turned out that the main thi"&amp;"ng was to install the bobbin holder correctly. I came to a conclusion for myself - read the instructions carefully, there are answers to all your questions! If there are no serious breakdowns in the future, the machine can be praised.")</f>
        <v>Last night I bought a car as a gift for my wife and daughter. I chose it based on the principle: a fairly large number of functions and an affordable price. This model from those available was suitable. I was confused by the not very well-promoted brand. I decided to take a chance. I immediately sat down to test it at home. I glanced through the instructions and got to work. The first impression is very pleasant: the mechanism works quietly, the stitches are even, the pattern corresponds to the samples, the loops are made well, the thread tension is adjusted normally (at 3 - optimal), the threader saves time and saves nerves. But after two hours of testing, the top thread got stuck in the bobbin holder. The machine categorically refused to work. I rethreaded the thread - the same result. I thought about returning the goods to the store in the morning. After midnight, I managed to fix the problem with some difficulty: I removed the metal cover several times, all to no avail, it turned out that the main thing was to install the bobbin holder correctly. I came to a conclusion for myself - read the instructions carefully, there are answers to all your questions! If there are no serious breakdowns in the future, the machine can be praised.</v>
      </c>
    </row>
    <row r="6787" spans="1:9" x14ac:dyDescent="0.3">
      <c r="A6787" s="1" t="s">
        <v>105</v>
      </c>
      <c r="B6787" s="1" t="s">
        <v>106</v>
      </c>
      <c r="C6787" s="1" t="s">
        <v>1921</v>
      </c>
      <c r="D6787" s="1" t="s">
        <v>749</v>
      </c>
      <c r="E6787" s="1" t="s">
        <v>2693</v>
      </c>
      <c r="F6787" s="1" t="s">
        <v>10642</v>
      </c>
      <c r="G6787" s="1" t="s">
        <v>28</v>
      </c>
      <c r="H6787" s="1" t="s">
        <v>29</v>
      </c>
      <c r="I6787" s="1" t="str">
        <f ca="1">IFERROR(__xludf.DUMMYFUNCTION("GOOGLETRANSLATE(F6787, ""auto"", ""en"")
"),"This player was purchased recently, everything is fine, but the buttons are not blocked, so what, this is a small part of the problems, on some tracks the sound is bad, just terrible, but it’s easy to solve, just update the firmware to 4th, and that’s it,"&amp;" it’s transformed right away, no problems with glitches and delays, I’m happy with the player.")</f>
        <v>This player was purchased recently, everything is fine, but the buttons are not blocked, so what, this is a small part of the problems, on some tracks the sound is bad, just terrible, but it’s easy to solve, just update the firmware to 4th, and that’s it, it’s transformed right away, no problems with glitches and delays, I’m happy with the player.</v>
      </c>
    </row>
    <row r="6788" spans="1:9" x14ac:dyDescent="0.3">
      <c r="A6788" s="1" t="s">
        <v>61</v>
      </c>
      <c r="B6788" s="1" t="s">
        <v>318</v>
      </c>
      <c r="C6788" s="1" t="s">
        <v>101</v>
      </c>
      <c r="D6788" s="1" t="s">
        <v>10643</v>
      </c>
      <c r="E6788" s="1" t="s">
        <v>201</v>
      </c>
      <c r="F6788" s="1" t="s">
        <v>10644</v>
      </c>
      <c r="G6788" s="1" t="s">
        <v>36</v>
      </c>
      <c r="H6788" s="1" t="s">
        <v>29</v>
      </c>
      <c r="I6788" s="1" t="str">
        <f ca="1">IFERROR(__xludf.DUMMYFUNCTION("GOOGLETRANSLATE(F6788, ""auto"", ""en"")
"),"It has been working for a very long time, more than 2 years. Never caused any complaints. Not a single breakdown, even after my mother-in-law washed it under the tap, dried it and continued to work. Initially I was against the purchase, but now I have cha"&amp;"nged my mind). Very convenient, practical and reliable. Will not stand idle...")</f>
        <v>It has been working for a very long time, more than 2 years. Never caused any complaints. Not a single breakdown, even after my mother-in-law washed it under the tap, dried it and continued to work. Initially I was against the purchase, but now I have changed my mind). Very convenient, practical and reliable. Will not stand idle...</v>
      </c>
    </row>
    <row r="6789" spans="1:9" x14ac:dyDescent="0.3">
      <c r="A6789" s="1" t="s">
        <v>149</v>
      </c>
      <c r="B6789" s="1" t="s">
        <v>155</v>
      </c>
      <c r="C6789" s="1" t="s">
        <v>63</v>
      </c>
      <c r="D6789" s="1" t="s">
        <v>280</v>
      </c>
      <c r="E6789" s="1" t="s">
        <v>4458</v>
      </c>
      <c r="F6789" s="1" t="s">
        <v>10645</v>
      </c>
      <c r="G6789" s="1" t="s">
        <v>28</v>
      </c>
      <c r="H6789" s="1" t="s">
        <v>29</v>
      </c>
      <c r="I6789" s="1" t="str">
        <f ca="1">IFERROR(__xludf.DUMMYFUNCTION("GOOGLETRANSLATE(F6789, ""auto"", ""en"")
"),"You don’t even have to pick up the dust container from the store - it’s bad. Otherwise, when used with bags, it is a very decent model. There is enough power. In general, at the moment I’m happy with the vacuum cleaner, but I wouldn’t buy one like this a "&amp;"second time.")</f>
        <v>You don’t even have to pick up the dust container from the store - it’s bad. Otherwise, when used with bags, it is a very decent model. There is enough power. In general, at the moment I’m happy with the vacuum cleaner, but I wouldn’t buy one like this a second time.</v>
      </c>
    </row>
    <row r="6790" spans="1:9" x14ac:dyDescent="0.3">
      <c r="A6790" s="1" t="s">
        <v>9</v>
      </c>
      <c r="B6790" s="1" t="s">
        <v>137</v>
      </c>
      <c r="C6790" s="1" t="s">
        <v>63</v>
      </c>
      <c r="D6790" s="1" t="s">
        <v>3456</v>
      </c>
      <c r="E6790" s="1" t="s">
        <v>10646</v>
      </c>
      <c r="F6790" s="1" t="s">
        <v>10647</v>
      </c>
      <c r="G6790" s="1" t="s">
        <v>36</v>
      </c>
      <c r="H6790" s="1" t="s">
        <v>29</v>
      </c>
      <c r="I6790" s="1" t="str">
        <f ca="1">IFERROR(__xludf.DUMMYFUNCTION("GOOGLETRANSLATE(F6790, ""auto"", ""en"")
"),"I don’t cook often, so I didn’t really bother with the choice. I know that Bosch makes high-quality things. Everything here is state-of-the-art - touch control with precise adjustment of heating power, blocking against accidental pressing, sensor for the "&amp;"presence of dishes, timer, boiling control, two large expandable zones, on the near one it is convenient to cook pilaf in a Dutch oven, easy to clean.")</f>
        <v>I don’t cook often, so I didn’t really bother with the choice. I know that Bosch makes high-quality things. Everything here is state-of-the-art - touch control with precise adjustment of heating power, blocking against accidental pressing, sensor for the presence of dishes, timer, boiling control, two large expandable zones, on the near one it is convenient to cook pilaf in a Dutch oven, easy to clean.</v>
      </c>
    </row>
    <row r="6791" spans="1:9" x14ac:dyDescent="0.3">
      <c r="A6791" s="1" t="s">
        <v>61</v>
      </c>
      <c r="B6791" s="1" t="s">
        <v>977</v>
      </c>
      <c r="C6791" s="1" t="s">
        <v>63</v>
      </c>
      <c r="D6791" s="1" t="s">
        <v>10648</v>
      </c>
      <c r="E6791" s="1" t="s">
        <v>278</v>
      </c>
      <c r="F6791" s="1" t="s">
        <v>10649</v>
      </c>
      <c r="G6791" s="1" t="s">
        <v>36</v>
      </c>
      <c r="H6791" s="1" t="s">
        <v>29</v>
      </c>
      <c r="I6791" s="1" t="str">
        <f ca="1">IFERROR(__xludf.DUMMYFUNCTION("GOOGLETRANSLATE(F6791, ""auto"", ""en"")
"),"Very easy to use, comfortable handle that allows your hand not to slip. It makes it easy to bake for the whole family. The device's power of 350 W is enough to mix or beat liquid products, as well as knead soft dough. This convenient and reliable device s"&amp;"aves time and effort. An excellent assistant, simply not replaced in the kitchen. I bought it a year ago, spent a long time choosing it and am glad that I settled on it.")</f>
        <v>Very easy to use, comfortable handle that allows your hand not to slip. It makes it easy to bake for the whole family. The device's power of 350 W is enough to mix or beat liquid products, as well as knead soft dough. This convenient and reliable device saves time and effort. An excellent assistant, simply not replaced in the kitchen. I bought it a year ago, spent a long time choosing it and am glad that I settled on it.</v>
      </c>
    </row>
    <row r="6792" spans="1:9" x14ac:dyDescent="0.3">
      <c r="A6792" s="1" t="s">
        <v>624</v>
      </c>
      <c r="B6792" s="1" t="s">
        <v>625</v>
      </c>
      <c r="C6792" s="1" t="s">
        <v>479</v>
      </c>
      <c r="D6792" s="1" t="s">
        <v>52</v>
      </c>
      <c r="E6792" s="1" t="s">
        <v>4203</v>
      </c>
      <c r="F6792" s="1" t="s">
        <v>10650</v>
      </c>
      <c r="G6792" s="1" t="s">
        <v>36</v>
      </c>
      <c r="H6792" s="1" t="s">
        <v>29</v>
      </c>
      <c r="I6792" s="1" t="str">
        <f ca="1">IFERROR(__xludf.DUMMYFUNCTION("GOOGLETRANSLATE(F6792, ""auto"", ""en"")
"),"One of the most beautiful and interesting games (From racing)")</f>
        <v>One of the most beautiful and interesting games (From racing)</v>
      </c>
    </row>
    <row r="6793" spans="1:9" x14ac:dyDescent="0.3">
      <c r="A6793" s="1" t="s">
        <v>557</v>
      </c>
      <c r="B6793" s="1" t="s">
        <v>558</v>
      </c>
      <c r="C6793" s="1" t="s">
        <v>122</v>
      </c>
      <c r="D6793" s="1" t="s">
        <v>10651</v>
      </c>
      <c r="E6793" s="1" t="s">
        <v>4803</v>
      </c>
      <c r="F6793" s="1" t="s">
        <v>10652</v>
      </c>
      <c r="G6793" s="1" t="s">
        <v>36</v>
      </c>
      <c r="H6793" s="1" t="s">
        <v>29</v>
      </c>
      <c r="I6793" s="1" t="str">
        <f ca="1">IFERROR(__xludf.DUMMYFUNCTION("GOOGLETRANSLATE(F6793, ""auto"", ""en"")
"),"Excellent phone, I like that it has two handsets, it’s easy to use, I advise you to buy it - you won’t regret it!")</f>
        <v>Excellent phone, I like that it has two handsets, it’s easy to use, I advise you to buy it - you won’t regret it!</v>
      </c>
    </row>
    <row r="6794" spans="1:9" x14ac:dyDescent="0.3">
      <c r="A6794" s="1" t="s">
        <v>169</v>
      </c>
      <c r="B6794" s="1" t="s">
        <v>170</v>
      </c>
      <c r="C6794" s="1" t="s">
        <v>122</v>
      </c>
      <c r="D6794" s="1" t="s">
        <v>10653</v>
      </c>
      <c r="E6794" s="1" t="s">
        <v>225</v>
      </c>
      <c r="F6794" s="1" t="s">
        <v>10654</v>
      </c>
      <c r="G6794" s="1" t="s">
        <v>36</v>
      </c>
      <c r="H6794" s="1" t="s">
        <v>29</v>
      </c>
      <c r="I6794" s="1" t="str">
        <f ca="1">IFERROR(__xludf.DUMMYFUNCTION("GOOGLETRANSLATE(F6794, ""auto"", ""en"")
"),"The headphones themselves are quite large, so they will not suit every person - some will have speakers not on their ears, but on their cheeks. Overall we were very pleased. The sound is clear, very good bass, high frequencies are also good, and for the m"&amp;"oney this turned out to be an ideal option for me.")</f>
        <v>The headphones themselves are quite large, so they will not suit every person - some will have speakers not on their ears, but on their cheeks. Overall we were very pleased. The sound is clear, very good bass, high frequencies are also good, and for the money this turned out to be an ideal option for me.</v>
      </c>
    </row>
    <row r="6795" spans="1:9" x14ac:dyDescent="0.3">
      <c r="A6795" s="1" t="s">
        <v>965</v>
      </c>
      <c r="B6795" s="1" t="s">
        <v>966</v>
      </c>
      <c r="C6795" s="1" t="s">
        <v>967</v>
      </c>
      <c r="D6795" s="1" t="s">
        <v>1004</v>
      </c>
      <c r="E6795" s="1" t="s">
        <v>2874</v>
      </c>
      <c r="F6795" s="1" t="s">
        <v>10655</v>
      </c>
      <c r="G6795" s="1" t="s">
        <v>28</v>
      </c>
      <c r="H6795" s="1" t="s">
        <v>29</v>
      </c>
      <c r="I6795" s="1" t="str">
        <f ca="1">IFERROR(__xludf.DUMMYFUNCTION("GOOGLETRANSLATE(F6795, ""auto"", ""en"")
"),"Great speakers, sound good.")</f>
        <v>Great speakers, sound good.</v>
      </c>
    </row>
    <row r="6796" spans="1:9" x14ac:dyDescent="0.3">
      <c r="A6796" s="1" t="s">
        <v>111</v>
      </c>
      <c r="B6796" s="1" t="s">
        <v>112</v>
      </c>
      <c r="C6796" s="1" t="s">
        <v>1230</v>
      </c>
      <c r="D6796" s="1" t="s">
        <v>4433</v>
      </c>
      <c r="E6796" s="1" t="s">
        <v>8027</v>
      </c>
      <c r="F6796" s="1" t="s">
        <v>10656</v>
      </c>
      <c r="G6796" s="1" t="s">
        <v>36</v>
      </c>
      <c r="H6796" s="1" t="s">
        <v>29</v>
      </c>
      <c r="I6796" s="1" t="str">
        <f ca="1">IFERROR(__xludf.DUMMYFUNCTION("GOOGLETRANSLATE(F6796, ""auto"", ""en"")
"),"Quite low prices, the ability to order goods for pickup from a store within walking distance from your home. Short waiting time when redeeming a reserved order. I didn't find any particular shortcomings. APC is simply the best company on the market.")</f>
        <v>Quite low prices, the ability to order goods for pickup from a store within walking distance from your home. Short waiting time when redeeming a reserved order. I didn't find any particular shortcomings. APC is simply the best company on the market.</v>
      </c>
    </row>
    <row r="6797" spans="1:9" x14ac:dyDescent="0.3">
      <c r="A6797" s="1" t="s">
        <v>17</v>
      </c>
      <c r="B6797" s="1" t="s">
        <v>18</v>
      </c>
      <c r="C6797" s="1" t="s">
        <v>151</v>
      </c>
      <c r="D6797" s="1" t="s">
        <v>280</v>
      </c>
      <c r="E6797" s="1" t="s">
        <v>9995</v>
      </c>
      <c r="F6797" s="1" t="s">
        <v>10657</v>
      </c>
      <c r="G6797" s="1" t="s">
        <v>36</v>
      </c>
      <c r="H6797" s="1" t="s">
        <v>29</v>
      </c>
      <c r="I6797" s="1" t="str">
        <f ca="1">IFERROR(__xludf.DUMMYFUNCTION("GOOGLETRANSLATE(F6797, ""auto"", ""en"")
"),"We bought the car six months ago. Everything is great, no complaints, except for strong vibration, especially when spinning bed linen. I recommend it to everyone")</f>
        <v>We bought the car six months ago. Everything is great, no complaints, except for strong vibration, especially when spinning bed linen. I recommend it to everyone</v>
      </c>
    </row>
    <row r="6798" spans="1:9" x14ac:dyDescent="0.3">
      <c r="A6798" s="1" t="s">
        <v>206</v>
      </c>
      <c r="B6798" s="1" t="s">
        <v>207</v>
      </c>
      <c r="C6798" s="1" t="s">
        <v>1143</v>
      </c>
      <c r="D6798" s="1" t="s">
        <v>102</v>
      </c>
      <c r="E6798" s="1" t="s">
        <v>3472</v>
      </c>
      <c r="F6798" s="1" t="s">
        <v>10658</v>
      </c>
      <c r="G6798" s="1" t="s">
        <v>36</v>
      </c>
      <c r="H6798" s="1" t="s">
        <v>29</v>
      </c>
      <c r="I6798" s="1" t="str">
        <f ca="1">IFERROR(__xludf.DUMMYFUNCTION("GOOGLETRANSLATE(F6798, ""auto"", ""en"")
"),"I swapped my old Mystery mjb-120 (250/500 W) for this device, what can I say... This sub “sings”, the Mystery simply hums in many of the same moments, while the Jibiel plays absolutely clearly all the “short” booms. This really hurt your ears at first, bu"&amp;"t very quickly you realize that there are much more low-frequency details in music. As for the pressure... well, I don’t know, it doesn’t press much harder than the Mystery, but it’s better quality, yes. Auto - sedan, accent. The Helix amplifier gives a r"&amp;"ating of about 320 watts. Overall, a very good budget sub, not for turning on the alarms of parked cars, but for pleasant and clear bass inside.")</f>
        <v>I swapped my old Mystery mjb-120 (250/500 W) for this device, what can I say... This sub “sings”, the Mystery simply hums in many of the same moments, while the Jibiel plays absolutely clearly all the “short” booms. This really hurt your ears at first, but very quickly you realize that there are much more low-frequency details in music. As for the pressure... well, I don’t know, it doesn’t press much harder than the Mystery, but it’s better quality, yes. Auto - sedan, accent. The Helix amplifier gives a rating of about 320 watts. Overall, a very good budget sub, not for turning on the alarms of parked cars, but for pleasant and clear bass inside.</v>
      </c>
    </row>
    <row r="6799" spans="1:9" x14ac:dyDescent="0.3">
      <c r="A6799" s="1" t="s">
        <v>211</v>
      </c>
      <c r="B6799" s="1" t="s">
        <v>515</v>
      </c>
      <c r="C6799" s="1" t="s">
        <v>213</v>
      </c>
      <c r="D6799" s="1" t="s">
        <v>545</v>
      </c>
      <c r="E6799" s="1" t="s">
        <v>1434</v>
      </c>
      <c r="F6799" s="1" t="s">
        <v>10659</v>
      </c>
      <c r="G6799" s="1" t="s">
        <v>36</v>
      </c>
      <c r="H6799" s="1" t="s">
        <v>29</v>
      </c>
      <c r="I6799" s="1" t="str">
        <f ca="1">IFERROR(__xludf.DUMMYFUNCTION("GOOGLETRANSLATE(F6799, ""auto"", ""en"")
"),"Removes hair quickly enough")</f>
        <v>Removes hair quickly enough</v>
      </c>
    </row>
    <row r="6800" spans="1:9" x14ac:dyDescent="0.3">
      <c r="A6800" s="1" t="s">
        <v>30</v>
      </c>
      <c r="B6800" s="1" t="s">
        <v>50</v>
      </c>
      <c r="C6800" s="1" t="s">
        <v>51</v>
      </c>
      <c r="D6800" s="1" t="s">
        <v>10660</v>
      </c>
      <c r="E6800" s="1" t="s">
        <v>2050</v>
      </c>
      <c r="F6800" s="1" t="s">
        <v>10661</v>
      </c>
      <c r="G6800" s="1" t="s">
        <v>36</v>
      </c>
      <c r="H6800" s="1" t="s">
        <v>29</v>
      </c>
      <c r="I6800" s="1" t="str">
        <f ca="1">IFERROR(__xludf.DUMMYFUNCTION("GOOGLETRANSLATE(F6800, ""auto"", ""en"")
"),"I bought this laptop recently, and I’m happy with it, the toys are finally good))) but my brother accidentally deleted the webcam, now I can’t find this bug (((does anyone know where I can find it?")</f>
        <v>I bought this laptop recently, and I’m happy with it, the toys are finally good))) but my brother accidentally deleted the webcam, now I can’t find this bug (((does anyone know where I can find it?</v>
      </c>
    </row>
    <row r="6801" spans="1:9" x14ac:dyDescent="0.3">
      <c r="A6801" s="1" t="s">
        <v>17</v>
      </c>
      <c r="B6801" s="1" t="s">
        <v>18</v>
      </c>
      <c r="C6801" s="1" t="s">
        <v>19</v>
      </c>
      <c r="D6801" s="1" t="s">
        <v>568</v>
      </c>
      <c r="E6801" s="1" t="s">
        <v>4231</v>
      </c>
      <c r="F6801" s="1" t="s">
        <v>10662</v>
      </c>
      <c r="G6801" s="1" t="s">
        <v>15</v>
      </c>
      <c r="H6801" s="1" t="s">
        <v>16</v>
      </c>
      <c r="I6801" s="1" t="str">
        <f ca="1">IFERROR(__xludf.DUMMYFUNCTION("GOOGLETRANSLATE(F6801, ""auto"", ""en"")
"),"Overall I was happy with it, but it quickly broke down! After three years of operation the bearing became noisy")</f>
        <v>Overall I was happy with it, but it quickly broke down! After three years of operation the bearing became noisy</v>
      </c>
    </row>
    <row r="6802" spans="1:9" x14ac:dyDescent="0.3">
      <c r="A6802" s="1" t="s">
        <v>169</v>
      </c>
      <c r="B6802" s="1" t="s">
        <v>170</v>
      </c>
      <c r="C6802" s="1" t="s">
        <v>69</v>
      </c>
      <c r="D6802" s="1" t="s">
        <v>52</v>
      </c>
      <c r="E6802" s="1" t="s">
        <v>449</v>
      </c>
      <c r="F6802" s="1" t="s">
        <v>10663</v>
      </c>
      <c r="G6802" s="1" t="s">
        <v>36</v>
      </c>
      <c r="H6802" s="1" t="s">
        <v>29</v>
      </c>
      <c r="I6802" s="1" t="str">
        <f ca="1">IFERROR(__xludf.DUMMYFUNCTION("GOOGLETRANSLATE(F6802, ""auto"", ""en"")
"),"I bought headphones 3 months ago. I chose it based on characteristics. The first impression of the sound was not very good - the sound was too low, but after a fair amount of work with the equalizer, I finally got a very pleasant clear sound at the output"&amp;". The beauty of the sound is especially felt in games. Perhaps one of the best price/sound combinations. The best combination is probably only with the 150-ruble Dialogue M461.")</f>
        <v>I bought headphones 3 months ago. I chose it based on characteristics. The first impression of the sound was not very good - the sound was too low, but after a fair amount of work with the equalizer, I finally got a very pleasant clear sound at the output. The beauty of the sound is especially felt in games. Perhaps one of the best price/sound combinations. The best combination is probably only with the 150-ruble Dialogue M461.</v>
      </c>
    </row>
    <row r="6803" spans="1:9" x14ac:dyDescent="0.3">
      <c r="A6803" s="1" t="s">
        <v>43</v>
      </c>
      <c r="B6803" s="1" t="s">
        <v>303</v>
      </c>
      <c r="C6803" s="1" t="s">
        <v>304</v>
      </c>
      <c r="D6803" s="1" t="s">
        <v>471</v>
      </c>
      <c r="E6803" s="1" t="s">
        <v>10664</v>
      </c>
      <c r="F6803" s="1" t="s">
        <v>10665</v>
      </c>
      <c r="G6803" s="1" t="s">
        <v>36</v>
      </c>
      <c r="H6803" s="1" t="s">
        <v>29</v>
      </c>
      <c r="I6803" s="1" t="str">
        <f ca="1">IFERROR(__xludf.DUMMYFUNCTION("GOOGLETRANSLATE(F6803, ""auto"", ""en"")
"),"The water heater is excellent, we have been using it for a week, nothing drips or leaks anywhere! For the money this is a great option!")</f>
        <v>The water heater is excellent, we have been using it for a week, nothing drips or leaks anywhere! For the money this is a great option!</v>
      </c>
    </row>
    <row r="6804" spans="1:9" x14ac:dyDescent="0.3">
      <c r="A6804" s="1" t="s">
        <v>61</v>
      </c>
      <c r="B6804" s="1" t="s">
        <v>224</v>
      </c>
      <c r="C6804" s="1" t="s">
        <v>74</v>
      </c>
      <c r="D6804" s="1" t="s">
        <v>114</v>
      </c>
      <c r="E6804" s="1" t="s">
        <v>1203</v>
      </c>
      <c r="F6804" s="1" t="s">
        <v>10666</v>
      </c>
      <c r="G6804" s="1" t="s">
        <v>36</v>
      </c>
      <c r="H6804" s="1" t="s">
        <v>29</v>
      </c>
      <c r="I6804" s="1" t="str">
        <f ca="1">IFERROR(__xludf.DUMMYFUNCTION("GOOGLETRANSLATE(F6804, ""auto"", ""en"")
"),"The cake turns out to be very dry!! Makes a glass of natural juice from two apples")</f>
        <v>The cake turns out to be very dry!! Makes a glass of natural juice from two apples</v>
      </c>
    </row>
    <row r="6805" spans="1:9" x14ac:dyDescent="0.3">
      <c r="A6805" s="1" t="s">
        <v>61</v>
      </c>
      <c r="B6805" s="1" t="s">
        <v>726</v>
      </c>
      <c r="C6805" s="1" t="s">
        <v>74</v>
      </c>
      <c r="D6805" s="1" t="s">
        <v>10667</v>
      </c>
      <c r="E6805" s="1" t="s">
        <v>26</v>
      </c>
      <c r="F6805" s="1" t="s">
        <v>10668</v>
      </c>
      <c r="G6805" s="1" t="s">
        <v>36</v>
      </c>
      <c r="H6805" s="1" t="s">
        <v>29</v>
      </c>
      <c r="I6805" s="1" t="str">
        <f ca="1">IFERROR(__xludf.DUMMYFUNCTION("GOOGLETRANSLATE(F6805, ""auto"", ""en"")
"),"We gave the stove to my mother. I really like it. The pies turn out amazing!")</f>
        <v>We gave the stove to my mother. I really like it. The pies turn out amazing!</v>
      </c>
    </row>
    <row r="6806" spans="1:9" x14ac:dyDescent="0.3">
      <c r="A6806" s="1" t="s">
        <v>105</v>
      </c>
      <c r="B6806" s="1" t="s">
        <v>106</v>
      </c>
      <c r="C6806" s="1" t="s">
        <v>1921</v>
      </c>
      <c r="D6806" s="1" t="s">
        <v>10669</v>
      </c>
      <c r="E6806" s="1" t="s">
        <v>606</v>
      </c>
      <c r="F6806" s="1" t="s">
        <v>10670</v>
      </c>
      <c r="G6806" s="1" t="s">
        <v>49</v>
      </c>
      <c r="H6806" s="1" t="s">
        <v>16</v>
      </c>
      <c r="I6806" s="1" t="str">
        <f ca="1">IFERROR(__xludf.DUMMYFUNCTION("GOOGLETRANSLATE(F6806, ""auto"", ""en"")
"),"I bought a Texet T-590 player. At first everything was fine, but on the second day it stopped turning on (it turned itself off during operation), the computer did not recognize it either. As a result, I didn’t even have time to use the player. I had to ta"&amp;"ke it to the store and exchange it for another manufacturer. Moreover, the queue for the exchange of goods at M.Video was huge. Everyone needed to return or exchange something. Only one person was working from the staff, so we had to wait about 2 hours fo"&amp;"r the exchange. By the way, while I was waiting, I saw a woman, also with a Texet player. Her player was also glitchy. Therefore, I don’t recommend Texet, so as not to “sweat” in queues for an exchange of goods (or a refund) and not get on your nerves...")</f>
        <v>I bought a Texet T-590 player. At first everything was fine, but on the second day it stopped turning on (it turned itself off during operation), the computer did not recognize it either. As a result, I didn’t even have time to use the player. I had to take it to the store and exchange it for another manufacturer. Moreover, the queue for the exchange of goods at M.Video was huge. Everyone needed to return or exchange something. Only one person was working from the staff, so we had to wait about 2 hours for the exchange. By the way, while I was waiting, I saw a woman, also with a Texet player. Her player was also glitchy. Therefore, I don’t recommend Texet, so as not to “sweat” in queues for an exchange of goods (or a refund) and not get on your nerves...</v>
      </c>
    </row>
    <row r="6807" spans="1:9" x14ac:dyDescent="0.3">
      <c r="A6807" s="1" t="s">
        <v>37</v>
      </c>
      <c r="B6807" s="1" t="s">
        <v>38</v>
      </c>
      <c r="C6807" s="1" t="s">
        <v>163</v>
      </c>
      <c r="D6807" s="1" t="s">
        <v>653</v>
      </c>
      <c r="E6807" s="1" t="s">
        <v>1586</v>
      </c>
      <c r="F6807" s="1" t="s">
        <v>10671</v>
      </c>
      <c r="G6807" s="1" t="s">
        <v>36</v>
      </c>
      <c r="H6807" s="1" t="s">
        <v>29</v>
      </c>
      <c r="I6807" s="1" t="str">
        <f ca="1">IFERROR(__xludf.DUMMYFUNCTION("GOOGLETRANSLATE(F6807, ""auto"", ""en"")
"),"The blue Nokia is cool, I had it for 3 years until it crashed, I recently bought a gray one, such nonsense - after a month the screen began to show poorly and the blitosis began to not work. I bought a red one, just like the blue one, it works well and th"&amp;"e main thing is that in all phones there is a flash card for free. And it is now sold in any city in a megaphone store with a speaker for free.")</f>
        <v>The blue Nokia is cool, I had it for 3 years until it crashed, I recently bought a gray one, such nonsense - after a month the screen began to show poorly and the blitosis began to not work. I bought a red one, just like the blue one, it works well and the main thing is that in all phones there is a flash card for free. And it is now sold in any city in a megaphone store with a speaker for free.</v>
      </c>
    </row>
    <row r="6808" spans="1:9" x14ac:dyDescent="0.3">
      <c r="A6808" s="1" t="s">
        <v>43</v>
      </c>
      <c r="B6808" s="1" t="s">
        <v>1382</v>
      </c>
      <c r="C6808" s="1" t="s">
        <v>57</v>
      </c>
      <c r="D6808" s="1" t="s">
        <v>52</v>
      </c>
      <c r="E6808" s="1" t="s">
        <v>10672</v>
      </c>
      <c r="F6808" s="1" t="s">
        <v>10673</v>
      </c>
      <c r="G6808" s="1" t="s">
        <v>36</v>
      </c>
      <c r="H6808" s="1" t="s">
        <v>29</v>
      </c>
      <c r="I6808" s="1" t="str">
        <f ca="1">IFERROR(__xludf.DUMMYFUNCTION("GOOGLETRANSLATE(F6808, ""auto"", ""en"")
"),"At first I wanted to buy a column from Tefal, relying on a famous company, but when I came to the store and turned it on, I realized that the Tefal did not blow even at speed 3. I decided to try other columns and, when I turned on this model, I was very s"&amp;"urprised at how powerful it is. Even at speed 1 it blows powerfully enough to freshen up the room. In addition, I was amazed by its organomics. I recommend it to everyone.")</f>
        <v>At first I wanted to buy a column from Tefal, relying on a famous company, but when I came to the store and turned it on, I realized that the Tefal did not blow even at speed 3. I decided to try other columns and, when I turned on this model, I was very surprised at how powerful it is. Even at speed 1 it blows powerfully enough to freshen up the room. In addition, I was amazed by its organomics. I recommend it to everyone.</v>
      </c>
    </row>
    <row r="6809" spans="1:9" x14ac:dyDescent="0.3">
      <c r="A6809" s="1" t="s">
        <v>61</v>
      </c>
      <c r="B6809" s="1" t="s">
        <v>145</v>
      </c>
      <c r="C6809" s="1" t="s">
        <v>85</v>
      </c>
      <c r="D6809" s="1" t="s">
        <v>305</v>
      </c>
      <c r="E6809" s="1" t="s">
        <v>6442</v>
      </c>
      <c r="F6809" s="1" t="s">
        <v>10674</v>
      </c>
      <c r="G6809" s="1" t="s">
        <v>15</v>
      </c>
      <c r="H6809" s="1" t="s">
        <v>16</v>
      </c>
      <c r="I6809" s="1" t="str">
        <f ca="1">IFERROR(__xludf.DUMMYFUNCTION("GOOGLETRANSLATE(F6809, ""auto"", ""en"")
"),"The steamer is very convenient with its 3 separate parts. But the quality of transparent containers is terrible, cracks quickly appear, and each time there are more and more of them. The handle of one of the lids fell off. Not worth buying.")</f>
        <v>The steamer is very convenient with its 3 separate parts. But the quality of transparent containers is terrible, cracks quickly appear, and each time there are more and more of them. The handle of one of the lids fell off. Not worth buying.</v>
      </c>
    </row>
    <row r="6810" spans="1:9" x14ac:dyDescent="0.3">
      <c r="A6810" s="1" t="s">
        <v>43</v>
      </c>
      <c r="B6810" s="1" t="s">
        <v>44</v>
      </c>
      <c r="C6810" s="1" t="s">
        <v>101</v>
      </c>
      <c r="D6810" s="1" t="s">
        <v>10675</v>
      </c>
      <c r="E6810" s="1" t="s">
        <v>4702</v>
      </c>
      <c r="F6810" s="1" t="s">
        <v>10676</v>
      </c>
      <c r="G6810" s="1" t="s">
        <v>36</v>
      </c>
      <c r="H6810" s="1" t="s">
        <v>29</v>
      </c>
      <c r="I6810" s="1" t="str">
        <f ca="1">IFERROR(__xludf.DUMMYFUNCTION("GOOGLETRANSLATE(F6810, ""auto"", ""en"")
"),"We bought an inexpensive fan to escape the possible heat and smog in the summer, but that year in the summer the prices were such that greed was stifled. It is not known in advance whether it will be warm, it does not happen year after year, so there is n"&amp;"o point in buying something super expensive because of three hot days, IMHO. The fan is stable even when the blades are spinning at the highest speed. Doesn't tilt in any direction, doesn't wobble, the leg is strong. At the same time, it can be adjusted t"&amp;"o the desired height - higher or lower, I like it to be blown directly from above when I sleep, the fan can be tilted at an angle of 30 degrees.")</f>
        <v>We bought an inexpensive fan to escape the possible heat and smog in the summer, but that year in the summer the prices were such that greed was stifled. It is not known in advance whether it will be warm, it does not happen year after year, so there is no point in buying something super expensive because of three hot days, IMHO. The fan is stable even when the blades are spinning at the highest speed. Doesn't tilt in any direction, doesn't wobble, the leg is strong. At the same time, it can be adjusted to the desired height - higher or lower, I like it to be blown directly from above when I sleep, the fan can be tilted at an angle of 30 degrees.</v>
      </c>
    </row>
    <row r="6811" spans="1:9" x14ac:dyDescent="0.3">
      <c r="A6811" s="1" t="s">
        <v>78</v>
      </c>
      <c r="B6811" s="1" t="s">
        <v>79</v>
      </c>
      <c r="C6811" s="1" t="s">
        <v>351</v>
      </c>
      <c r="D6811" s="1" t="s">
        <v>420</v>
      </c>
      <c r="E6811" s="1" t="s">
        <v>82</v>
      </c>
      <c r="F6811" s="1" t="s">
        <v>10677</v>
      </c>
      <c r="G6811" s="1" t="s">
        <v>49</v>
      </c>
      <c r="H6811" s="1" t="s">
        <v>16</v>
      </c>
      <c r="I6811" s="1" t="str">
        <f ca="1">IFERROR(__xludf.DUMMYFUNCTION("GOOGLETRANSLATE(F6811, ""auto"", ""en"")
"),"Well, that's all. It worked for 6 days and stopped heating. I knew that I had to buy a guarantee. One of these days I’m going to go change it, while I was working they didn’t complain and then bam.")</f>
        <v>Well, that's all. It worked for 6 days and stopped heating. I knew that I had to buy a guarantee. One of these days I’m going to go change it, while I was working they didn’t complain and then bam.</v>
      </c>
    </row>
    <row r="6812" spans="1:9" x14ac:dyDescent="0.3">
      <c r="A6812" s="1" t="s">
        <v>120</v>
      </c>
      <c r="B6812" s="1" t="s">
        <v>196</v>
      </c>
      <c r="C6812" s="1" t="s">
        <v>69</v>
      </c>
      <c r="D6812" s="1" t="s">
        <v>10678</v>
      </c>
      <c r="E6812" s="1" t="s">
        <v>3203</v>
      </c>
      <c r="F6812" s="1" t="s">
        <v>10679</v>
      </c>
      <c r="G6812" s="1" t="s">
        <v>36</v>
      </c>
      <c r="H6812" s="1" t="s">
        <v>29</v>
      </c>
      <c r="I6812" s="1" t="str">
        <f ca="1">IFERROR(__xludf.DUMMYFUNCTION("GOOGLETRANSLATE(F6812, ""auto"", ""en"")
"),"Well, I decided to buy a big TV.) (before that I had a stupid 72cm Panasonic) I chose a large diagonal, with maximum resolution and so that it would not be expensive.  Most likely, the main role was played by the price of this model, which is why I took i"&amp;"t.  Tested by watching NTV+, HD, Blu-Ray rips with maximum resolution.  The picture quality is super.))) Among the shortcomings, I can highlight the low sound volume at the maximum setting. The old TV screamed about twice as much.  And I’m very pleased.))")</f>
        <v>Well, I decided to buy a big TV.) (before that I had a stupid 72cm Panasonic) I chose a large diagonal, with maximum resolution and so that it would not be expensive.  Most likely, the main role was played by the price of this model, which is why I took it.  Tested by watching NTV+, HD, Blu-Ray rips with maximum resolution.  The picture quality is super.))) Among the shortcomings, I can highlight the low sound volume at the maximum setting. The old TV screamed about twice as much.  And I’m very pleased.))</v>
      </c>
    </row>
    <row r="6813" spans="1:9" x14ac:dyDescent="0.3">
      <c r="A6813" s="1" t="s">
        <v>361</v>
      </c>
      <c r="B6813" s="1" t="s">
        <v>462</v>
      </c>
      <c r="C6813" s="1" t="s">
        <v>463</v>
      </c>
      <c r="D6813" s="1" t="s">
        <v>114</v>
      </c>
      <c r="E6813" s="1" t="s">
        <v>3550</v>
      </c>
      <c r="F6813" s="1" t="s">
        <v>10680</v>
      </c>
      <c r="G6813" s="1" t="s">
        <v>36</v>
      </c>
      <c r="H6813" s="1" t="s">
        <v>29</v>
      </c>
      <c r="I6813" s="1" t="str">
        <f ca="1">IFERROR(__xludf.DUMMYFUNCTION("GOOGLETRANSLATE(F6813, ""auto"", ""en"")
"),"A very good choice for those who live in a small apartment. Inexpensive and at the same time very convenient water filter. You can put it in the door of the refrigerator and drink cold water. I've had this for six months now and I'm very pleased!")</f>
        <v>A very good choice for those who live in a small apartment. Inexpensive and at the same time very convenient water filter. You can put it in the door of the refrigerator and drink cold water. I've had this for six months now and I'm very pleased!</v>
      </c>
    </row>
    <row r="6814" spans="1:9" x14ac:dyDescent="0.3">
      <c r="A6814" s="1" t="s">
        <v>78</v>
      </c>
      <c r="B6814" s="1" t="s">
        <v>493</v>
      </c>
      <c r="C6814" s="1" t="s">
        <v>996</v>
      </c>
      <c r="D6814" s="1" t="s">
        <v>6291</v>
      </c>
      <c r="E6814" s="1" t="s">
        <v>3512</v>
      </c>
      <c r="F6814" s="1" t="s">
        <v>10681</v>
      </c>
      <c r="G6814" s="1" t="s">
        <v>36</v>
      </c>
      <c r="H6814" s="1" t="s">
        <v>29</v>
      </c>
      <c r="I6814" s="1" t="str">
        <f ca="1">IFERROR(__xludf.DUMMYFUNCTION("GOOGLETRANSLATE(F6814, ""auto"", ""en"")
"),"I bought it on sale and have been using it for 3 months now; I still haven’t figured out how to bake bread. But the muffins and biscuits turn out great. I celebrated my birthday by grilling meat, it turned out almost like a kebab, only without the smoke. "&amp;"The most important thing is that you can bake pies and cakes, and you don’t have to take an oven or microwave to heat up your food.")</f>
        <v>I bought it on sale and have been using it for 3 months now; I still haven’t figured out how to bake bread. But the muffins and biscuits turn out great. I celebrated my birthday by grilling meat, it turned out almost like a kebab, only without the smoke. The most important thing is that you can bake pies and cakes, and you don’t have to take an oven or microwave to heat up your food.</v>
      </c>
    </row>
    <row r="6815" spans="1:9" x14ac:dyDescent="0.3">
      <c r="A6815" s="1" t="s">
        <v>30</v>
      </c>
      <c r="B6815" s="1" t="s">
        <v>50</v>
      </c>
      <c r="C6815" s="1" t="s">
        <v>1003</v>
      </c>
      <c r="D6815" s="1" t="s">
        <v>10682</v>
      </c>
      <c r="E6815" s="1" t="s">
        <v>717</v>
      </c>
      <c r="F6815" s="1" t="s">
        <v>10683</v>
      </c>
      <c r="G6815" s="1" t="s">
        <v>36</v>
      </c>
      <c r="H6815" s="1" t="s">
        <v>29</v>
      </c>
      <c r="I6815" s="1" t="str">
        <f ca="1">IFERROR(__xludf.DUMMYFUNCTION("GOOGLETRANSLATE(F6815, ""auto"", ""en"")
"),"Powerful in terms of parameters, beautiful case design, bright screen, Windows 7, convenient remote control included! I bought it yesterday, I advise everyone to buy it!")</f>
        <v>Powerful in terms of parameters, beautiful case design, bright screen, Windows 7, convenient remote control included! I bought it yesterday, I advise everyone to buy it!</v>
      </c>
    </row>
    <row r="6816" spans="1:9" x14ac:dyDescent="0.3">
      <c r="A6816" s="1" t="s">
        <v>373</v>
      </c>
      <c r="B6816" s="1" t="s">
        <v>374</v>
      </c>
      <c r="C6816" s="1" t="s">
        <v>19</v>
      </c>
      <c r="D6816" s="1" t="s">
        <v>81</v>
      </c>
      <c r="E6816" s="1" t="s">
        <v>10684</v>
      </c>
      <c r="F6816" s="1" t="s">
        <v>10685</v>
      </c>
      <c r="G6816" s="1" t="s">
        <v>49</v>
      </c>
      <c r="H6816" s="1" t="s">
        <v>16</v>
      </c>
      <c r="I6816" s="1" t="str">
        <f ca="1">IFERROR(__xludf.DUMMYFUNCTION("GOOGLETRANSLATE(F6816, ""auto"", ""en"")
"),"I bought it yesterday, connected it according to the instructions, the first wash and it started leaking, flooding the neighbors......")</f>
        <v>I bought it yesterday, connected it according to the instructions, the first wash and it started leaking, flooding the neighbors......</v>
      </c>
    </row>
    <row r="6817" spans="1:9" x14ac:dyDescent="0.3">
      <c r="A6817" s="1" t="s">
        <v>61</v>
      </c>
      <c r="B6817" s="1" t="s">
        <v>145</v>
      </c>
      <c r="C6817" s="1" t="s">
        <v>74</v>
      </c>
      <c r="D6817" s="1" t="s">
        <v>308</v>
      </c>
      <c r="E6817" s="1" t="s">
        <v>772</v>
      </c>
      <c r="F6817" s="1" t="s">
        <v>10686</v>
      </c>
      <c r="G6817" s="1" t="s">
        <v>28</v>
      </c>
      <c r="H6817" s="1" t="s">
        <v>29</v>
      </c>
      <c r="I6817" s="1" t="str">
        <f ca="1">IFERROR(__xludf.DUMMYFUNCTION("GOOGLETRANSLATE(F6817, ""auto"", ""en"")
"),"We have been using this yogurt maker for over a year now. It turns out to be an excellent product. To prevent overheating, I placed cardboard at the bottom under the jars. I make 3.2% milk + Activia without additives in a package + 3 tbsp of powdered milk"&amp;". 8 hours and done. I give it a 4 only because there is no automatic shutdown. But this is a different price. We can no longer live without this device. Thanks.")</f>
        <v>We have been using this yogurt maker for over a year now. It turns out to be an excellent product. To prevent overheating, I placed cardboard at the bottom under the jars. I make 3.2% milk + Activia without additives in a package + 3 tbsp of powdered milk. 8 hours and done. I give it a 4 only because there is no automatic shutdown. But this is a different price. We can no longer live without this device. Thanks.</v>
      </c>
    </row>
    <row r="6818" spans="1:9" x14ac:dyDescent="0.3">
      <c r="A6818" s="1" t="s">
        <v>120</v>
      </c>
      <c r="B6818" s="1" t="s">
        <v>256</v>
      </c>
      <c r="C6818" s="1" t="s">
        <v>151</v>
      </c>
      <c r="D6818" s="1" t="s">
        <v>203</v>
      </c>
      <c r="E6818" s="1" t="s">
        <v>717</v>
      </c>
      <c r="F6818" s="1" t="s">
        <v>10687</v>
      </c>
      <c r="G6818" s="1" t="s">
        <v>28</v>
      </c>
      <c r="H6818" s="1" t="s">
        <v>29</v>
      </c>
      <c r="I6818" s="1" t="str">
        <f ca="1">IFERROR(__xludf.DUMMYFUNCTION("GOOGLETRANSLATE(F6818, ""auto"", ""en"")
"),"I bought the TV on January 9, 2010. Overall, it's a decent box. The channels from the antenna show crap - the picture is blurry. DVD is better, but also not a fountain. In general, an average device for viewing news and saving space in the apartment.")</f>
        <v>I bought the TV on January 9, 2010. Overall, it's a decent box. The channels from the antenna show crap - the picture is blurry. DVD is better, but also not a fountain. In general, an average device for viewing news and saving space in the apartment.</v>
      </c>
    </row>
    <row r="6819" spans="1:9" x14ac:dyDescent="0.3">
      <c r="A6819" s="1" t="s">
        <v>61</v>
      </c>
      <c r="B6819" s="1" t="s">
        <v>977</v>
      </c>
      <c r="C6819" s="1" t="s">
        <v>74</v>
      </c>
      <c r="D6819" s="1" t="s">
        <v>2204</v>
      </c>
      <c r="E6819" s="1" t="s">
        <v>2156</v>
      </c>
      <c r="F6819" s="1" t="s">
        <v>10688</v>
      </c>
      <c r="G6819" s="1" t="s">
        <v>49</v>
      </c>
      <c r="H6819" s="1" t="s">
        <v>16</v>
      </c>
      <c r="I6819" s="1" t="str">
        <f ca="1">IFERROR(__xludf.DUMMYFUNCTION("GOOGLETRANSLATE(F6819, ""auto"", ""en"")
"),"&amp;nbsp;The fastenings are terrible, everything broke in the first week! The bowl began to leak, so I ordered a new bowl. I waited 2 months. And in this case the fastenings broke very quickly! Don't take it!")</f>
        <v>&amp;nbsp;The fastenings are terrible, everything broke in the first week! The bowl began to leak, so I ordered a new bowl. I waited 2 months. And in this case the fastenings broke very quickly! Don't take it!</v>
      </c>
    </row>
    <row r="6820" spans="1:9" x14ac:dyDescent="0.3">
      <c r="A6820" s="1" t="s">
        <v>43</v>
      </c>
      <c r="B6820" s="1" t="s">
        <v>334</v>
      </c>
      <c r="C6820" s="1" t="s">
        <v>101</v>
      </c>
      <c r="D6820" s="1" t="s">
        <v>305</v>
      </c>
      <c r="E6820" s="1" t="s">
        <v>10689</v>
      </c>
      <c r="F6820" s="1" t="s">
        <v>10690</v>
      </c>
      <c r="G6820" s="1" t="s">
        <v>15</v>
      </c>
      <c r="H6820" s="1" t="s">
        <v>16</v>
      </c>
      <c r="I6820" s="1" t="str">
        <f ca="1">IFERROR(__xludf.DUMMYFUNCTION("GOOGLETRANSLATE(F6820, ""auto"", ""en"")
"),"noisy. air flow is weak. it's better to take a floor one")</f>
        <v>noisy. air flow is weak. it's better to take a floor one</v>
      </c>
    </row>
    <row r="6821" spans="1:9" x14ac:dyDescent="0.3">
      <c r="A6821" s="1" t="s">
        <v>30</v>
      </c>
      <c r="B6821" s="1" t="s">
        <v>31</v>
      </c>
      <c r="C6821" s="1" t="s">
        <v>365</v>
      </c>
      <c r="D6821" s="1" t="s">
        <v>102</v>
      </c>
      <c r="E6821" s="1" t="s">
        <v>643</v>
      </c>
      <c r="F6821" s="1" t="s">
        <v>10691</v>
      </c>
      <c r="G6821" s="1" t="s">
        <v>28</v>
      </c>
      <c r="H6821" s="1" t="s">
        <v>29</v>
      </c>
      <c r="I6821" s="1" t="str">
        <f ca="1">IFERROR(__xludf.DUMMYFUNCTION("GOOGLETRANSLATE(F6821, ""auto"", ""en"")
"),"What does this have to do with a domestic computer when all the parts are Chinese?  assembly only, this is how all computers in Russia are assembled.  In terms of configuration, a normal computer is just the minimum for full HD")</f>
        <v>What does this have to do with a domestic computer when all the parts are Chinese?  assembly only, this is how all computers in Russia are assembled.  In terms of configuration, a normal computer is just the minimum for full HD</v>
      </c>
    </row>
    <row r="6822" spans="1:9" x14ac:dyDescent="0.3">
      <c r="A6822" s="1" t="s">
        <v>61</v>
      </c>
      <c r="B6822" s="1" t="s">
        <v>180</v>
      </c>
      <c r="C6822" s="1" t="s">
        <v>57</v>
      </c>
      <c r="D6822" s="1" t="s">
        <v>114</v>
      </c>
      <c r="E6822" s="1" t="s">
        <v>10692</v>
      </c>
      <c r="F6822" s="1" t="s">
        <v>10693</v>
      </c>
      <c r="G6822" s="1" t="s">
        <v>28</v>
      </c>
      <c r="H6822" s="1" t="s">
        <v>29</v>
      </c>
      <c r="I6822" s="1" t="str">
        <f ca="1">IFERROR(__xludf.DUMMYFUNCTION("GOOGLETRANSLATE(F6822, ""auto"", ""en"")
"),"We used a good toaster for two years, the other day it burned out, I will buy a new one. An excellent toaster, with the exception of one minus, on mode No. 3 you get only coals, and on mode 2 you get excellent toast. I advise you to buy it.")</f>
        <v>We used a good toaster for two years, the other day it burned out, I will buy a new one. An excellent toaster, with the exception of one minus, on mode No. 3 you get only coals, and on mode 2 you get excellent toast. I advise you to buy it.</v>
      </c>
    </row>
    <row r="6823" spans="1:9" x14ac:dyDescent="0.3">
      <c r="A6823" s="1" t="s">
        <v>120</v>
      </c>
      <c r="B6823" s="1" t="s">
        <v>196</v>
      </c>
      <c r="C6823" s="1" t="s">
        <v>69</v>
      </c>
      <c r="D6823" s="1" t="s">
        <v>10694</v>
      </c>
      <c r="E6823" s="1" t="s">
        <v>4327</v>
      </c>
      <c r="F6823" s="1" t="s">
        <v>10695</v>
      </c>
      <c r="G6823" s="1" t="s">
        <v>36</v>
      </c>
      <c r="H6823" s="1" t="s">
        <v>29</v>
      </c>
      <c r="I6823" s="1" t="str">
        <f ca="1">IFERROR(__xludf.DUMMYFUNCTION("GOOGLETRANSLATE(F6823, ""auto"", ""en"")
"),"I bought it by chance - I was aiming for 42PFL7404, but it turned out to be Russian-made and the last one in the city, accordingly, from the display case. Therefore, the choice fell on Philips 42 PFL 8694H/12. I really appreciated the Ambilight feature!!!"&amp;" In the store you won’t understand its charm, because... dark room required! :) I really liked the picture - Samsung TVs, in my opinion, greatly enhance the colors... Although here it doesn’t read DivX via USB, only MPEG4, but it’s not critical for me, be"&amp;"cause I connected the TV to my laptop via HDMI and it shows everything without problems :) In the future I plan to connect it to a Sony PS3 as a Blue-Ray player :) Happy shopping everyone!")</f>
        <v>I bought it by chance - I was aiming for 42PFL7404, but it turned out to be Russian-made and the last one in the city, accordingly, from the display case. Therefore, the choice fell on Philips 42 PFL 8694H/12. I really appreciated the Ambilight feature!!! In the store you won’t understand its charm, because... dark room required! :) I really liked the picture - Samsung TVs, in my opinion, greatly enhance the colors... Although here it doesn’t read DivX via USB, only MPEG4, but it’s not critical for me, because I connected the TV to my laptop via HDMI and it shows everything without problems :) In the future I plan to connect it to a Sony PS3 as a Blue-Ray player :) Happy shopping everyone!</v>
      </c>
    </row>
    <row r="6824" spans="1:9" x14ac:dyDescent="0.3">
      <c r="A6824" s="1" t="s">
        <v>211</v>
      </c>
      <c r="B6824" s="1" t="s">
        <v>212</v>
      </c>
      <c r="C6824" s="1" t="s">
        <v>381</v>
      </c>
      <c r="D6824" s="1" t="s">
        <v>589</v>
      </c>
      <c r="E6824" s="1" t="s">
        <v>10696</v>
      </c>
      <c r="F6824" s="1" t="s">
        <v>10697</v>
      </c>
      <c r="G6824" s="1" t="s">
        <v>36</v>
      </c>
      <c r="H6824" s="1" t="s">
        <v>29</v>
      </c>
      <c r="I6824" s="1" t="str">
        <f ca="1">IFERROR(__xludf.DUMMYFUNCTION("GOOGLETRANSLATE(F6824, ""auto"", ""en"")
"),"Great hairdryer!!! I bought it for a friend for her birthday, she is very pleased with it) the hair dryer is very light and easy to use. And at the same time it’s inexpensive, so I recommend it to everyone!!!-)")</f>
        <v>Great hairdryer!!! I bought it for a friend for her birthday, she is very pleased with it) the hair dryer is very light and easy to use. And at the same time it’s inexpensive, so I recommend it to everyone!!!-)</v>
      </c>
    </row>
    <row r="6825" spans="1:9" x14ac:dyDescent="0.3">
      <c r="A6825" s="1" t="s">
        <v>61</v>
      </c>
      <c r="B6825" s="1" t="s">
        <v>318</v>
      </c>
      <c r="C6825" s="1" t="s">
        <v>1461</v>
      </c>
      <c r="D6825" s="1" t="s">
        <v>10698</v>
      </c>
      <c r="E6825" s="1" t="s">
        <v>1497</v>
      </c>
      <c r="F6825" s="1" t="s">
        <v>10699</v>
      </c>
      <c r="G6825" s="1" t="s">
        <v>36</v>
      </c>
      <c r="H6825" s="1" t="s">
        <v>29</v>
      </c>
      <c r="I6825" s="1" t="str">
        <f ca="1">IFERROR(__xludf.DUMMYFUNCTION("GOOGLETRANSLATE(F6825, ""auto"", ""en"")
"),"I bought this kettle a week ago. No faults found. Works great. Boiled water has no foreign odors or tastes. If you do not tilt it excessively, the water is poured into the cup carefully and no steam comes out... The cord and plug do not heat up at all, as"&amp;" noted below.  The only thing that caught my eye, or rather my ears, was the noise. Compared to a kettle with an open heating element, this one makes a loud noise. The lid is fixed very loosely, but this does not affect ease of use.")</f>
        <v>I bought this kettle a week ago. No faults found. Works great. Boiled water has no foreign odors or tastes. If you do not tilt it excessively, the water is poured into the cup carefully and no steam comes out... The cord and plug do not heat up at all, as noted below.  The only thing that caught my eye, or rather my ears, was the noise. Compared to a kettle with an open heating element, this one makes a loud noise. The lid is fixed very loosely, but this does not affect ease of use.</v>
      </c>
    </row>
    <row r="6826" spans="1:9" x14ac:dyDescent="0.3">
      <c r="A6826" s="1" t="s">
        <v>811</v>
      </c>
      <c r="B6826" s="1" t="s">
        <v>812</v>
      </c>
      <c r="C6826" s="1" t="s">
        <v>813</v>
      </c>
      <c r="D6826" s="1" t="s">
        <v>186</v>
      </c>
      <c r="E6826" s="1" t="s">
        <v>4405</v>
      </c>
      <c r="F6826" s="1" t="s">
        <v>10700</v>
      </c>
      <c r="G6826" s="1" t="s">
        <v>36</v>
      </c>
      <c r="H6826" s="1" t="s">
        <v>29</v>
      </c>
      <c r="I6826" s="1" t="str">
        <f ca="1">IFERROR(__xludf.DUMMYFUNCTION("GOOGLETRANSLATE(F6826, ""auto"", ""en"")
"),"Excellent use for YouTubers - it stabilizes the shooting, there is a case included, the camera is detachable")</f>
        <v>Excellent use for YouTubers - it stabilizes the shooting, there is a case included, the camera is detachable</v>
      </c>
    </row>
    <row r="6827" spans="1:9" x14ac:dyDescent="0.3">
      <c r="A6827" s="1" t="s">
        <v>211</v>
      </c>
      <c r="B6827" s="1" t="s">
        <v>212</v>
      </c>
      <c r="C6827" s="1" t="s">
        <v>381</v>
      </c>
      <c r="D6827" s="1" t="s">
        <v>64</v>
      </c>
      <c r="E6827" s="1" t="s">
        <v>10701</v>
      </c>
      <c r="F6827" s="1" t="s">
        <v>10702</v>
      </c>
      <c r="G6827" s="1" t="s">
        <v>49</v>
      </c>
      <c r="H6827" s="1" t="s">
        <v>16</v>
      </c>
      <c r="I6827" s="1" t="str">
        <f ca="1">IFERROR(__xludf.DUMMYFUNCTION("GOOGLETRANSLATE(F6827, ""auto"", ""en"")
"),"I bought this curling iron a long time ago, but it heats up slightly and doesn’t curl anything, I have manageable hair, thin and slightly curly. Since I bought it, I haven’t been able to curl anything even once, I even tried it on my daughter, it’s useles"&amp;"s. It just sits idle, recently I decided to give it to someone, I climbed into the box, and the handle was all sticky, it was stored in a chest of drawers, at room temperature. I do not advise anyone to take this curling iron.")</f>
        <v>I bought this curling iron a long time ago, but it heats up slightly and doesn’t curl anything, I have manageable hair, thin and slightly curly. Since I bought it, I haven’t been able to curl anything even once, I even tried it on my daughter, it’s useless. It just sits idle, recently I decided to give it to someone, I climbed into the box, and the handle was all sticky, it was stored in a chest of drawers, at room temperature. I do not advise anyone to take this curling iron.</v>
      </c>
    </row>
    <row r="6828" spans="1:9" x14ac:dyDescent="0.3">
      <c r="A6828" s="1" t="s">
        <v>120</v>
      </c>
      <c r="B6828" s="1" t="s">
        <v>121</v>
      </c>
      <c r="C6828" s="1" t="s">
        <v>151</v>
      </c>
      <c r="D6828" s="1" t="s">
        <v>52</v>
      </c>
      <c r="E6828" s="1" t="s">
        <v>2815</v>
      </c>
      <c r="F6828" s="1" t="s">
        <v>10703</v>
      </c>
      <c r="G6828" s="1" t="s">
        <v>36</v>
      </c>
      <c r="H6828" s="1" t="s">
        <v>29</v>
      </c>
      <c r="I6828" s="1" t="str">
        <f ca="1">IFERROR(__xludf.DUMMYFUNCTION("GOOGLETRANSLATE(F6828, ""auto"", ""en"")
"),"Good TV, pleased with the clarity of the image and rich color rendition. Excellent depth of black tones, compared with a nearby LED-backlit TV (Samsung 6 series), I didn’t feel any difference. The price was the same (in the next department), everything wa"&amp;"s decided by additional advantages: - full functionality (there is no point in counting, as the drivers say, it’s all stuff) - excellent design and ergonomics.  Regarding the comments about analogue broadcasting, don’t worry. Anything is better than on a "&amp;"“loop” TV.  I was particularly pleased with the content and simplicity of the menu and the variety of settings. Maybe this exists in other TVs, but at least it didn’t fall into the shortcomings of this model, which very often happens.  No significant leap"&amp;"s are expected in the development of TV functionality in the near future. Therefore, for those who do not bother with ultra-fashionable new versions of all sorts of mythical picture image enhancers, buy this class of TV and do not overpay (there is no oth"&amp;"er difference in the new series, all this is advertising to promote demand. And in a few years it will be possible to buy an inexpensive 3D TV, but based on the modern technology of future years. Now these technologies are still being tested, and we will "&amp;"observe from the outside, maybe it is still harmful to the eyes.")</f>
        <v>Good TV, pleased with the clarity of the image and rich color rendition. Excellent depth of black tones, compared with a nearby LED-backlit TV (Samsung 6 series), I didn’t feel any difference. The price was the same (in the next department), everything was decided by additional advantages: - full functionality (there is no point in counting, as the drivers say, it’s all stuff) - excellent design and ergonomics.  Regarding the comments about analogue broadcasting, don’t worry. Anything is better than on a “loop” TV.  I was particularly pleased with the content and simplicity of the menu and the variety of settings. Maybe this exists in other TVs, but at least it didn’t fall into the shortcomings of this model, which very often happens.  No significant leaps are expected in the development of TV functionality in the near future. Therefore, for those who do not bother with ultra-fashionable new versions of all sorts of mythical picture image enhancers, buy this class of TV and do not overpay (there is no other difference in the new series, all this is advertising to promote demand. And in a few years it will be possible to buy an inexpensive 3D TV, but based on the modern technology of future years. Now these technologies are still being tested, and we will observe from the outside, maybe it is still harmful to the eyes.</v>
      </c>
    </row>
    <row r="6829" spans="1:9" x14ac:dyDescent="0.3">
      <c r="A6829" s="1" t="s">
        <v>105</v>
      </c>
      <c r="B6829" s="1" t="s">
        <v>106</v>
      </c>
      <c r="C6829" s="1" t="s">
        <v>69</v>
      </c>
      <c r="D6829" s="1" t="s">
        <v>10704</v>
      </c>
      <c r="E6829" s="1" t="s">
        <v>824</v>
      </c>
      <c r="F6829" s="1" t="s">
        <v>10705</v>
      </c>
      <c r="G6829" s="1" t="s">
        <v>28</v>
      </c>
      <c r="H6829" s="1" t="s">
        <v>29</v>
      </c>
      <c r="I6829" s="1" t="str">
        <f ca="1">IFERROR(__xludf.DUMMYFUNCTION("GOOGLETRANSLATE(F6829, ""auto"", ""en"")
"),"I've been using the player for two months now. I chose it carefully, read a huge number of reviews and decided to go with this model and I don’t regret it.  I wanted to buy it with 4GB, but at that time there was no such thing on sale, so I bought it with"&amp;" 2GB, I thought it would not be enough, but in the end this amount of memory is more than enough.  Pros of the model: - compact (like a lighter) - stylish design - convenient and intuitive controls - good sound - HOLDS CHARGING FOR A VERY LONG TIME!!!!!  "&amp;"-radio -dictaphone Disadvantages of the model: (unfortunately, we could not do without them) -uncomfortable standard headphones, after a long listening time my ears hurt (maybe only for me) -lack of a rewind function, which is not very convenient when lis"&amp;"tening to a long file, because... After pausing the player, it turns off after a while (or simply turning off the player), and when you turn it on, the file starts playing from the beginning - there is no mains charge included (sold separately for 250 rub"&amp;"les). RESULT: I advise those who need a player with a good battery, high-quality sound and a low price without overpaying for additional functions.")</f>
        <v>I've been using the player for two months now. I chose it carefully, read a huge number of reviews and decided to go with this model and I don’t regret it.  I wanted to buy it with 4GB, but at that time there was no such thing on sale, so I bought it with 2GB, I thought it would not be enough, but in the end this amount of memory is more than enough.  Pros of the model: - compact (like a lighter) - stylish design - convenient and intuitive controls - good sound - HOLDS CHARGING FOR A VERY LONG TIME!!!!!  -radio -dictaphone Disadvantages of the model: (unfortunately, we could not do without them) -uncomfortable standard headphones, after a long listening time my ears hurt (maybe only for me) -lack of a rewind function, which is not very convenient when listening to a long file, because... After pausing the player, it turns off after a while (or simply turning off the player), and when you turn it on, the file starts playing from the beginning - there is no mains charge included (sold separately for 250 rubles). RESULT: I advise those who need a player with a good battery, high-quality sound and a low price without overpaying for additional functions.</v>
      </c>
    </row>
    <row r="6830" spans="1:9" x14ac:dyDescent="0.3">
      <c r="A6830" s="1" t="s">
        <v>9</v>
      </c>
      <c r="B6830" s="1" t="s">
        <v>10</v>
      </c>
      <c r="C6830" s="1" t="s">
        <v>407</v>
      </c>
      <c r="D6830" s="1" t="s">
        <v>10706</v>
      </c>
      <c r="E6830" s="1" t="s">
        <v>2586</v>
      </c>
      <c r="F6830" s="1" t="s">
        <v>10707</v>
      </c>
      <c r="G6830" s="1" t="s">
        <v>36</v>
      </c>
      <c r="H6830" s="1" t="s">
        <v>29</v>
      </c>
      <c r="I6830" s="1" t="str">
        <f ca="1">IFERROR(__xludf.DUMMYFUNCTION("GOOGLETRANSLATE(F6830, ""auto"", ""en"")
"),"I have a small kitchen and it was important for me to find a not very expensive hood, but a modern one!!! This range hood is perfect for my small kitchen!!! It is elegant and practical. I did not regret my choice. Yes, I also received a carbon filter incl"&amp;"uded as a gift! I highly recommend it to anyone who wants to get a combination of price and quality in one!!!")</f>
        <v>I have a small kitchen and it was important for me to find a not very expensive hood, but a modern one!!! This range hood is perfect for my small kitchen!!! It is elegant and practical. I did not regret my choice. Yes, I also received a carbon filter included as a gift! I highly recommend it to anyone who wants to get a combination of price and quality in one!!!</v>
      </c>
    </row>
    <row r="6831" spans="1:9" x14ac:dyDescent="0.3">
      <c r="A6831" s="1" t="s">
        <v>61</v>
      </c>
      <c r="B6831" s="1" t="s">
        <v>318</v>
      </c>
      <c r="C6831" s="1" t="s">
        <v>2840</v>
      </c>
      <c r="D6831" s="1" t="s">
        <v>64</v>
      </c>
      <c r="E6831" s="1" t="s">
        <v>10689</v>
      </c>
      <c r="F6831" s="1" t="s">
        <v>10708</v>
      </c>
      <c r="G6831" s="1" t="s">
        <v>36</v>
      </c>
      <c r="H6831" s="1" t="s">
        <v>29</v>
      </c>
      <c r="I6831" s="1" t="str">
        <f ca="1">IFERROR(__xludf.DUMMYFUNCTION("GOOGLETRANSLATE(F6831, ""auto"", ""en"")
"),"We bought this kettle, and everything was not like other people’s, then I started reading the reviews. And I can say that most of what they write about here are purely subjective personal opinions, for example, I’m very glad that I didn’t read them before"&amp;" purchasing. Since most of the people writing here are purely nit-picking about the power button, for example, I got used to it right away on the first day! They write that the lid does not open completely, this is also nonsense, it opens very well and yo"&amp;"u can pour water without any problems! The only constructive feedback can be attributed to the fact that they write that the lid breaks, but again, how to use it! I can’t say anything about this yet. As a result, I can say that if you use it carefully, an"&amp;"y item will serve you for a long time and with pleasure! The teapot is simply a sight to behold, odorless, illuminated, and very convenient to pour into cups! They also often wrote that it doesn’t turn on immediately until it cools down, I don’t know, it "&amp;"turns on for me, we boiled it several times in a row and everything is great!")</f>
        <v>We bought this kettle, and everything was not like other people’s, then I started reading the reviews. And I can say that most of what they write about here are purely subjective personal opinions, for example, I’m very glad that I didn’t read them before purchasing. Since most of the people writing here are purely nit-picking about the power button, for example, I got used to it right away on the first day! They write that the lid does not open completely, this is also nonsense, it opens very well and you can pour water without any problems! The only constructive feedback can be attributed to the fact that they write that the lid breaks, but again, how to use it! I can’t say anything about this yet. As a result, I can say that if you use it carefully, any item will serve you for a long time and with pleasure! The teapot is simply a sight to behold, odorless, illuminated, and very convenient to pour into cups! They also often wrote that it doesn’t turn on immediately until it cools down, I don’t know, it turns on for me, we boiled it several times in a row and everything is great!</v>
      </c>
    </row>
    <row r="6832" spans="1:9" x14ac:dyDescent="0.3">
      <c r="A6832" s="1" t="s">
        <v>211</v>
      </c>
      <c r="B6832" s="1" t="s">
        <v>856</v>
      </c>
      <c r="C6832" s="1" t="s">
        <v>101</v>
      </c>
      <c r="D6832" s="1" t="s">
        <v>2016</v>
      </c>
      <c r="E6832" s="1" t="s">
        <v>3111</v>
      </c>
      <c r="F6832" s="1" t="s">
        <v>10709</v>
      </c>
      <c r="G6832" s="1" t="s">
        <v>36</v>
      </c>
      <c r="H6832" s="1" t="s">
        <v>29</v>
      </c>
      <c r="I6832" s="1" t="str">
        <f ca="1">IFERROR(__xludf.DUMMYFUNCTION("GOOGLETRANSLATE(F6832, ""auto"", ""en"")
"),"My wife has been using it for several months now and is very pleased!  The device works great, without any complaints.  Instead of batteries, I use AA batteries, so there are no problems with power!")</f>
        <v>My wife has been using it for several months now and is very pleased!  The device works great, without any complaints.  Instead of batteries, I use AA batteries, so there are no problems with power!</v>
      </c>
    </row>
    <row r="6833" spans="1:9" x14ac:dyDescent="0.3">
      <c r="A6833" s="1" t="s">
        <v>55</v>
      </c>
      <c r="B6833" s="1" t="s">
        <v>56</v>
      </c>
      <c r="C6833" s="1" t="s">
        <v>1373</v>
      </c>
      <c r="D6833" s="1" t="s">
        <v>308</v>
      </c>
      <c r="E6833" s="1" t="s">
        <v>9665</v>
      </c>
      <c r="F6833" s="1" t="s">
        <v>10710</v>
      </c>
      <c r="G6833" s="1" t="s">
        <v>28</v>
      </c>
      <c r="H6833" s="1" t="s">
        <v>29</v>
      </c>
      <c r="I6833" s="1" t="str">
        <f ca="1">IFERROR(__xludf.DUMMYFUNCTION("GOOGLETRANSLATE(F6833, ""auto"", ""en"")
"),"I bought this humidifier a year ago during pregnancy, because... began to react very strongly to excessive dryness in the house. Used it a couple of times and put it away. With the birth of a child, the issue of hydration has become relevant again. Now th"&amp;"e humidity in the children's room is about 24%, during the entire night of operation the humidifier raises the humidity to 40% (room 8 sq.m.). I was worried that when hot steam was supplied it would be hot - nothing like that, on the contrary, the room be"&amp;"comes cool, and if the stream of steam is directed towards yourself, it even becomes somehow cool. One of the downsides is that it is inconvenient to fill the water (you have to turn the water tank over and it turns out that everything around is splashed)"&amp;". When using the hot steam function, scale immediately appears (although this can only happen with our water. I fill the tank from the tap). He also gurgles, but you quickly get used to this - the child does not wake up, and for me this is the main argume"&amp;"nt. Summary: I wouldn’t buy this model a second time. Now I'm looking at air washers.")</f>
        <v>I bought this humidifier a year ago during pregnancy, because... began to react very strongly to excessive dryness in the house. Used it a couple of times and put it away. With the birth of a child, the issue of hydration has become relevant again. Now the humidity in the children's room is about 24%, during the entire night of operation the humidifier raises the humidity to 40% (room 8 sq.m.). I was worried that when hot steam was supplied it would be hot - nothing like that, on the contrary, the room becomes cool, and if the stream of steam is directed towards yourself, it even becomes somehow cool. One of the downsides is that it is inconvenient to fill the water (you have to turn the water tank over and it turns out that everything around is splashed). When using the hot steam function, scale immediately appears (although this can only happen with our water. I fill the tank from the tap). He also gurgles, but you quickly get used to this - the child does not wake up, and for me this is the main argument. Summary: I wouldn’t buy this model a second time. Now I'm looking at air washers.</v>
      </c>
    </row>
    <row r="6834" spans="1:9" x14ac:dyDescent="0.3">
      <c r="A6834" s="1" t="s">
        <v>111</v>
      </c>
      <c r="B6834" s="1" t="s">
        <v>112</v>
      </c>
      <c r="C6834" s="1" t="s">
        <v>1230</v>
      </c>
      <c r="D6834" s="1" t="s">
        <v>4546</v>
      </c>
      <c r="E6834" s="1" t="s">
        <v>3147</v>
      </c>
      <c r="F6834" s="1" t="s">
        <v>10711</v>
      </c>
      <c r="G6834" s="1" t="s">
        <v>36</v>
      </c>
      <c r="H6834" s="1" t="s">
        <v>29</v>
      </c>
      <c r="I6834" s="1" t="str">
        <f ca="1">IFERROR(__xludf.DUMMYFUNCTION("GOOGLETRANSLATE(F6834, ""auto"", ""en"")
"),"The filter is good and reliable.  Works for 2 years and no complaints")</f>
        <v>The filter is good and reliable.  Works for 2 years and no complaints</v>
      </c>
    </row>
    <row r="6835" spans="1:9" x14ac:dyDescent="0.3">
      <c r="A6835" s="1" t="s">
        <v>120</v>
      </c>
      <c r="B6835" s="1" t="s">
        <v>256</v>
      </c>
      <c r="C6835" s="1" t="s">
        <v>97</v>
      </c>
      <c r="D6835" s="1" t="s">
        <v>280</v>
      </c>
      <c r="E6835" s="1" t="s">
        <v>131</v>
      </c>
      <c r="F6835" s="1" t="s">
        <v>10712</v>
      </c>
      <c r="G6835" s="1" t="s">
        <v>36</v>
      </c>
      <c r="H6835" s="1" t="s">
        <v>29</v>
      </c>
      <c r="I6835" s="1" t="str">
        <f ca="1">IFERROR(__xludf.DUMMYFUNCTION("GOOGLETRANSLATE(F6835, ""auto"", ""en"")
"),"I purchased this model for my kitchen about a year ago. I’m incredibly happy, it shows the picture perfectly from any angle, just the perfect solution! I recommend it to everyone!")</f>
        <v>I purchased this model for my kitchen about a year ago. I’m incredibly happy, it shows the picture perfectly from any angle, just the perfect solution! I recommend it to everyone!</v>
      </c>
    </row>
    <row r="6836" spans="1:9" x14ac:dyDescent="0.3">
      <c r="A6836" s="1" t="s">
        <v>149</v>
      </c>
      <c r="B6836" s="1" t="s">
        <v>155</v>
      </c>
      <c r="C6836" s="1" t="s">
        <v>101</v>
      </c>
      <c r="D6836" s="1" t="s">
        <v>10713</v>
      </c>
      <c r="E6836" s="1" t="s">
        <v>3512</v>
      </c>
      <c r="F6836" s="1" t="s">
        <v>10714</v>
      </c>
      <c r="G6836" s="1" t="s">
        <v>36</v>
      </c>
      <c r="H6836" s="1" t="s">
        <v>29</v>
      </c>
      <c r="I6836" s="1" t="str">
        <f ca="1">IFERROR(__xludf.DUMMYFUNCTION("GOOGLETRANSLATE(F6836, ""auto"", ""en"")
"),"I have Dyson and can compare.  Lightweight, not very noisy, pulls almost like a Dyson, metal tube - what a gut!  We'll see how it performs in operation, but it's unlikely to disappoint. And if something is easier, it’s easier to buy a new one :) There was"&amp;" a Pilot surge protector on sale nearby for the same 1500 rubles - well, a vacuum cleaner - it seems to be more interesting! :)))")</f>
        <v>I have Dyson and can compare.  Lightweight, not very noisy, pulls almost like a Dyson, metal tube - what a gut!  We'll see how it performs in operation, but it's unlikely to disappoint. And if something is easier, it’s easier to buy a new one :) There was a Pilot surge protector on sale nearby for the same 1500 rubles - well, a vacuum cleaner - it seems to be more interesting! :)))</v>
      </c>
    </row>
    <row r="6837" spans="1:9" x14ac:dyDescent="0.3">
      <c r="A6837" s="1" t="s">
        <v>9</v>
      </c>
      <c r="B6837" s="1" t="s">
        <v>10</v>
      </c>
      <c r="C6837" s="1" t="s">
        <v>466</v>
      </c>
      <c r="D6837" s="1" t="s">
        <v>152</v>
      </c>
      <c r="E6837" s="1" t="s">
        <v>7720</v>
      </c>
      <c r="F6837" s="1" t="s">
        <v>10715</v>
      </c>
      <c r="G6837" s="1" t="s">
        <v>15</v>
      </c>
      <c r="H6837" s="1" t="s">
        <v>16</v>
      </c>
      <c r="I6837" s="1" t="str">
        <f ca="1">IFERROR(__xludf.DUMMYFUNCTION("GOOGLETRANSLATE(F6837, ""auto"", ""en"")
"),"After six months of operation, one of the two motors burned out, under warranty the spare part was waited for a month... as soon as the ordered motor arrived, the 2nd one burned out)))... now again, they say to wait a month)))... I will go demand a replac"&amp;"ement of the hood.")</f>
        <v>After six months of operation, one of the two motors burned out, under warranty the spare part was waited for a month... as soon as the ordered motor arrived, the 2nd one burned out)))... now again, they say to wait a month)))... I will go demand a replacement of the hood.</v>
      </c>
    </row>
    <row r="6838" spans="1:9" x14ac:dyDescent="0.3">
      <c r="A6838" s="1" t="s">
        <v>369</v>
      </c>
      <c r="B6838" s="1" t="s">
        <v>587</v>
      </c>
      <c r="C6838" s="1" t="s">
        <v>290</v>
      </c>
      <c r="D6838" s="1" t="s">
        <v>10716</v>
      </c>
      <c r="E6838" s="1" t="s">
        <v>7571</v>
      </c>
      <c r="F6838" s="1" t="s">
        <v>10717</v>
      </c>
      <c r="G6838" s="1" t="s">
        <v>36</v>
      </c>
      <c r="H6838" s="1" t="s">
        <v>29</v>
      </c>
      <c r="I6838" s="1" t="str">
        <f ca="1">IFERROR(__xludf.DUMMYFUNCTION("GOOGLETRANSLATE(F6838, ""auto"", ""en"")
"),"The stove looks nice, I would even say stylish - interesting silver color. The switches are convenient and the clock is not at all superfluous on the stove. There is also a timer, which is very helpful and has saved more than one of my dishes! It has four"&amp;" burners of different diameters and power, so you can always choose one that suits any size pan. The flame size is adjustable smoothly. The oven bakes everything perfectly - I’ve tried cooking meat in it and I bake pies regularly - everything turns out ve"&amp;"ry tasty! Two trays and a wire rack were included in the kit, which was just enough for me and I didn’t have to buy more. And another nice addition is that the oven cleans itself.")</f>
        <v>The stove looks nice, I would even say stylish - interesting silver color. The switches are convenient and the clock is not at all superfluous on the stove. There is also a timer, which is very helpful and has saved more than one of my dishes! It has four burners of different diameters and power, so you can always choose one that suits any size pan. The flame size is adjustable smoothly. The oven bakes everything perfectly - I’ve tried cooking meat in it and I bake pies regularly - everything turns out very tasty! Two trays and a wire rack were included in the kit, which was just enough for me and I didn’t have to buy more. And another nice addition is that the oven cleans itself.</v>
      </c>
    </row>
    <row r="6839" spans="1:9" x14ac:dyDescent="0.3">
      <c r="A6839" s="1" t="s">
        <v>211</v>
      </c>
      <c r="B6839" s="1" t="s">
        <v>212</v>
      </c>
      <c r="C6839" s="1" t="s">
        <v>101</v>
      </c>
      <c r="D6839" s="1" t="s">
        <v>64</v>
      </c>
      <c r="E6839" s="1" t="s">
        <v>1962</v>
      </c>
      <c r="F6839" s="1" t="s">
        <v>10718</v>
      </c>
      <c r="G6839" s="1" t="s">
        <v>36</v>
      </c>
      <c r="H6839" s="1" t="s">
        <v>29</v>
      </c>
      <c r="I6839" s="1" t="str">
        <f ca="1">IFERROR(__xludf.DUMMYFUNCTION("GOOGLETRANSLATE(F6839, ""auto"", ""en"")
"),"I’ve been using it for 2 years now, I’m crazy happy)))) 5+")</f>
        <v>I’ve been using it for 2 years now, I’m crazy happy)))) 5+</v>
      </c>
    </row>
    <row r="6840" spans="1:9" x14ac:dyDescent="0.3">
      <c r="A6840" s="1" t="s">
        <v>67</v>
      </c>
      <c r="B6840" s="1" t="s">
        <v>340</v>
      </c>
      <c r="C6840" s="1" t="s">
        <v>341</v>
      </c>
      <c r="D6840" s="1" t="s">
        <v>10719</v>
      </c>
      <c r="E6840" s="1" t="s">
        <v>1959</v>
      </c>
      <c r="F6840" s="1" t="s">
        <v>10720</v>
      </c>
      <c r="G6840" s="1" t="s">
        <v>36</v>
      </c>
      <c r="H6840" s="1" t="s">
        <v>29</v>
      </c>
      <c r="I6840" s="1" t="str">
        <f ca="1">IFERROR(__xludf.DUMMYFUNCTION("GOOGLETRANSLATE(F6840, ""auto"", ""en"")
"),"I’ve been using this machine for 2 years now, it sews great if my hands grow from the right place. To begin with, you need to carefully read the instructions, because... Most problems arise due to the fact that the thread is incorrectly threaded, the shut"&amp;"tle is inserted incorrectly, the needle is selected incorrectly, the thread or the bobbin winding pin is shifted to the right. Feet and needles also break, usually due to improper operation of a sewing machine, with any one, no matter what brand.")</f>
        <v>I’ve been using this machine for 2 years now, it sews great if my hands grow from the right place. To begin with, you need to carefully read the instructions, because... Most problems arise due to the fact that the thread is incorrectly threaded, the shuttle is inserted incorrectly, the needle is selected incorrectly, the thread or the bobbin winding pin is shifted to the right. Feet and needles also break, usually due to improper operation of a sewing machine, with any one, no matter what brand.</v>
      </c>
    </row>
    <row r="6841" spans="1:9" x14ac:dyDescent="0.3">
      <c r="A6841" s="1" t="s">
        <v>30</v>
      </c>
      <c r="B6841" s="1" t="s">
        <v>50</v>
      </c>
      <c r="C6841" s="1" t="s">
        <v>32</v>
      </c>
      <c r="D6841" s="1" t="s">
        <v>172</v>
      </c>
      <c r="E6841" s="1" t="s">
        <v>1742</v>
      </c>
      <c r="F6841" s="1" t="s">
        <v>10721</v>
      </c>
      <c r="G6841" s="1" t="s">
        <v>36</v>
      </c>
      <c r="H6841" s="1" t="s">
        <v>29</v>
      </c>
      <c r="I6841" s="1" t="str">
        <f ca="1">IFERROR(__xludf.DUMMYFUNCTION("GOOGLETRANSLATE(F6841, ""auto"", ""en"")
"),"Everything works fine under 7, it's 64-bit, it was installed without any problems or questions, the manufacturer's website has all the hardware, switching cards works without any flashing, though Yota dropped out, but that's okay - there's still no suppor"&amp;"t yet. The only thing I noticed is that when connecting a Megafon modem, the processor is loaded at 100%, but this is a problem with the modem drivers; this does not happen on a 32-bit modem. The car is great.")</f>
        <v>Everything works fine under 7, it's 64-bit, it was installed without any problems or questions, the manufacturer's website has all the hardware, switching cards works without any flashing, though Yota dropped out, but that's okay - there's still no support yet. The only thing I noticed is that when connecting a Megafon modem, the processor is loaded at 100%, but this is a problem with the modem drivers; this does not happen on a 32-bit modem. The car is great.</v>
      </c>
    </row>
    <row r="6842" spans="1:9" x14ac:dyDescent="0.3">
      <c r="A6842" s="1" t="s">
        <v>105</v>
      </c>
      <c r="B6842" s="1" t="s">
        <v>106</v>
      </c>
      <c r="C6842" s="1" t="s">
        <v>1209</v>
      </c>
      <c r="D6842" s="1" t="s">
        <v>10722</v>
      </c>
      <c r="E6842" s="1" t="s">
        <v>1398</v>
      </c>
      <c r="F6842" s="1" t="s">
        <v>10723</v>
      </c>
      <c r="G6842" s="1" t="s">
        <v>36</v>
      </c>
      <c r="H6842" s="1" t="s">
        <v>29</v>
      </c>
      <c r="I6842" s="1" t="str">
        <f ca="1">IFERROR(__xludf.DUMMYFUNCTION("GOOGLETRANSLATE(F6842, ""auto"", ""en"")
"),"excellent player!! Well, I don’t know why there is so much criticism directed at it!! It picks up the TV well, we have 14 terrestrial channels in the city and all 14 are on the player.")</f>
        <v>excellent player!! Well, I don’t know why there is so much criticism directed at it!! It picks up the TV well, we have 14 terrestrial channels in the city and all 14 are on the player.</v>
      </c>
    </row>
    <row r="6843" spans="1:9" x14ac:dyDescent="0.3">
      <c r="A6843" s="1" t="s">
        <v>369</v>
      </c>
      <c r="B6843" s="1" t="s">
        <v>370</v>
      </c>
      <c r="C6843" s="1" t="s">
        <v>290</v>
      </c>
      <c r="D6843" s="1" t="s">
        <v>247</v>
      </c>
      <c r="E6843" s="1" t="s">
        <v>3131</v>
      </c>
      <c r="F6843" s="1" t="s">
        <v>10724</v>
      </c>
      <c r="G6843" s="1" t="s">
        <v>36</v>
      </c>
      <c r="H6843" s="1" t="s">
        <v>29</v>
      </c>
      <c r="I6843" s="1" t="str">
        <f ca="1">IFERROR(__xludf.DUMMYFUNCTION("GOOGLETRANSLATE(F6843, ""auto"", ""en"")
"),"I ordered it from M-Video online and had it delivered to my home. Everything was delivered in the best possible condition, thank you! I have been using the stove for 3 weeks. I tried the oven and it bakes great. I'm happy with the timer, I can hear it fro"&amp;"m two rooms away. The instructions say that you can choose from three types of calls, and so it is. The only thing is that I didn’t notice that the stove heated the dishes faster than the old one. There was Lysva with pancakes. I really like the design, n"&amp;"eat. Below is a box.")</f>
        <v>I ordered it from M-Video online and had it delivered to my home. Everything was delivered in the best possible condition, thank you! I have been using the stove for 3 weeks. I tried the oven and it bakes great. I'm happy with the timer, I can hear it from two rooms away. The instructions say that you can choose from three types of calls, and so it is. The only thing is that I didn’t notice that the stove heated the dishes faster than the old one. There was Lysva with pancakes. I really like the design, neat. Below is a box.</v>
      </c>
    </row>
    <row r="6844" spans="1:9" x14ac:dyDescent="0.3">
      <c r="A6844" s="1" t="s">
        <v>120</v>
      </c>
      <c r="B6844" s="1" t="s">
        <v>126</v>
      </c>
      <c r="C6844" s="1" t="s">
        <v>151</v>
      </c>
      <c r="D6844" s="1" t="s">
        <v>10725</v>
      </c>
      <c r="E6844" s="1" t="s">
        <v>1992</v>
      </c>
      <c r="F6844" s="1" t="s">
        <v>10726</v>
      </c>
      <c r="G6844" s="1" t="s">
        <v>28</v>
      </c>
      <c r="H6844" s="1" t="s">
        <v>29</v>
      </c>
      <c r="I6844" s="1" t="str">
        <f ca="1">IFERROR(__xludf.DUMMYFUNCTION("GOOGLETRANSLATE(F6844, ""auto"", ""en"")
"),"Guys, who knows this plasma supports HDTV? It says on it that there is such a function, and there are HDMI inputs, so in theory it should. answer please)")</f>
        <v>Guys, who knows this plasma supports HDTV? It says on it that there is such a function, and there are HDMI inputs, so in theory it should. answer please)</v>
      </c>
    </row>
    <row r="6845" spans="1:9" x14ac:dyDescent="0.3">
      <c r="A6845" s="1" t="s">
        <v>61</v>
      </c>
      <c r="B6845" s="1" t="s">
        <v>977</v>
      </c>
      <c r="C6845" s="1" t="s">
        <v>69</v>
      </c>
      <c r="D6845" s="1" t="s">
        <v>114</v>
      </c>
      <c r="E6845" s="1" t="s">
        <v>508</v>
      </c>
      <c r="F6845" s="1" t="s">
        <v>10727</v>
      </c>
      <c r="G6845" s="1" t="s">
        <v>36</v>
      </c>
      <c r="H6845" s="1" t="s">
        <v>29</v>
      </c>
      <c r="I6845" s="1" t="str">
        <f ca="1">IFERROR(__xludf.DUMMYFUNCTION("GOOGLETRANSLATE(F6845, ""auto"", ""en"")
"),"I thought for a long time about which blender to buy and ultimately chose 1366, I am very pleased with its work and it whips mixes and makes pureed soups so that the mood is lifted, and if you wish, you can chop salads!!! I am super happy with this purcha"&amp;"se!!!")</f>
        <v>I thought for a long time about which blender to buy and ultimately chose 1366, I am very pleased with its work and it whips mixes and makes pureed soups so that the mood is lifted, and if you wish, you can chop salads!!! I am super happy with this purchase!!!</v>
      </c>
    </row>
    <row r="6846" spans="1:9" x14ac:dyDescent="0.3">
      <c r="A6846" s="1" t="s">
        <v>105</v>
      </c>
      <c r="B6846" s="1" t="s">
        <v>106</v>
      </c>
      <c r="C6846" s="1" t="s">
        <v>151</v>
      </c>
      <c r="D6846" s="1" t="s">
        <v>305</v>
      </c>
      <c r="E6846" s="1" t="s">
        <v>1886</v>
      </c>
      <c r="F6846" s="1" t="s">
        <v>10728</v>
      </c>
      <c r="G6846" s="1" t="s">
        <v>36</v>
      </c>
      <c r="H6846" s="1" t="s">
        <v>29</v>
      </c>
      <c r="I6846" s="1" t="str">
        <f ca="1">IFERROR(__xludf.DUMMYFUNCTION("GOOGLETRANSLATE(F6846, ""auto"", ""en"")
"),"I liked it very much. The two gig card handles great. I work all twenty-four hours.")</f>
        <v>I liked it very much. The two gig card handles great. I work all twenty-four hours.</v>
      </c>
    </row>
    <row r="6847" spans="1:9" x14ac:dyDescent="0.3">
      <c r="A6847" s="1" t="s">
        <v>67</v>
      </c>
      <c r="B6847" s="1" t="s">
        <v>68</v>
      </c>
      <c r="C6847" s="1" t="s">
        <v>101</v>
      </c>
      <c r="D6847" s="1" t="s">
        <v>1890</v>
      </c>
      <c r="E6847" s="1" t="s">
        <v>440</v>
      </c>
      <c r="F6847" s="1" t="s">
        <v>10729</v>
      </c>
      <c r="G6847" s="1" t="s">
        <v>28</v>
      </c>
      <c r="H6847" s="1" t="s">
        <v>29</v>
      </c>
      <c r="I6847" s="1" t="str">
        <f ca="1">IFERROR(__xludf.DUMMYFUNCTION("GOOGLETRANSLATE(F6847, ""auto"", ""en"")
"),"Wonderful mini iron! You can use it at home or on the road - it’s compact and irons well. But we must take into account that initially it is for travel, that is, it is not intended for something like bed linen.")</f>
        <v>Wonderful mini iron! You can use it at home or on the road - it’s compact and irons well. But we must take into account that initially it is for travel, that is, it is not intended for something like bed linen.</v>
      </c>
    </row>
    <row r="6848" spans="1:9" x14ac:dyDescent="0.3">
      <c r="A6848" s="1" t="s">
        <v>149</v>
      </c>
      <c r="B6848" s="1" t="s">
        <v>155</v>
      </c>
      <c r="C6848" s="1" t="s">
        <v>159</v>
      </c>
      <c r="D6848" s="1" t="s">
        <v>10730</v>
      </c>
      <c r="E6848" s="1" t="s">
        <v>2721</v>
      </c>
      <c r="F6848" s="1" t="s">
        <v>10731</v>
      </c>
      <c r="G6848" s="1" t="s">
        <v>36</v>
      </c>
      <c r="H6848" s="1" t="s">
        <v>29</v>
      </c>
      <c r="I6848" s="1" t="str">
        <f ca="1">IFERROR(__xludf.DUMMYFUNCTION("GOOGLETRANSLATE(F6848, ""auto"", ""en"")
"),"I’ve been using an excellent vacuum cleaner for 4 months now, it’s easy to use, although at first the lid didn’t close well when you took out the trash, but then everything fell into place =) I only washed the filter once.")</f>
        <v>I’ve been using an excellent vacuum cleaner for 4 months now, it’s easy to use, although at first the lid didn’t close well when you took out the trash, but then everything fell into place =) I only washed the filter once.</v>
      </c>
    </row>
    <row r="6849" spans="1:9" x14ac:dyDescent="0.3">
      <c r="A6849" s="1" t="s">
        <v>30</v>
      </c>
      <c r="B6849" s="1" t="s">
        <v>50</v>
      </c>
      <c r="C6849" s="1" t="s">
        <v>1386</v>
      </c>
      <c r="D6849" s="1" t="s">
        <v>139</v>
      </c>
      <c r="E6849" s="1" t="s">
        <v>201</v>
      </c>
      <c r="F6849" s="1" t="s">
        <v>10732</v>
      </c>
      <c r="G6849" s="1" t="s">
        <v>36</v>
      </c>
      <c r="H6849" s="1" t="s">
        <v>29</v>
      </c>
      <c r="I6849" s="1" t="str">
        <f ca="1">IFERROR(__xludf.DUMMYFUNCTION("GOOGLETRANSLATE(F6849, ""auto"", ""en"")
"),"I bought this device a week ago and I couldn’t be happier. Of course, there may be some things that it doesn’t pull off, and somewhere it slows down (a little), but it justifies itself. Answer to Anatoly - My sound is also quiet, headphones solve this pro"&amp;"blem)). The battery lasted for 6 hours, I was surfing the Internet, Skype and ICQ (I don’t need more from it). Overall an excellent device.")</f>
        <v>I bought this device a week ago and I couldn’t be happier. Of course, there may be some things that it doesn’t pull off, and somewhere it slows down (a little), but it justifies itself. Answer to Anatoly - My sound is also quiet, headphones solve this problem)). The battery lasted for 6 hours, I was surfing the Internet, Skype and ICQ (I don’t need more from it). Overall an excellent device.</v>
      </c>
    </row>
    <row r="6850" spans="1:9" x14ac:dyDescent="0.3">
      <c r="A6850" s="1" t="s">
        <v>206</v>
      </c>
      <c r="B6850" s="1" t="s">
        <v>207</v>
      </c>
      <c r="C6850" s="1" t="s">
        <v>45</v>
      </c>
      <c r="D6850" s="1" t="s">
        <v>172</v>
      </c>
      <c r="E6850" s="1" t="s">
        <v>285</v>
      </c>
      <c r="F6850" s="1" t="s">
        <v>10733</v>
      </c>
      <c r="G6850" s="1" t="s">
        <v>49</v>
      </c>
      <c r="H6850" s="1" t="s">
        <v>16</v>
      </c>
      <c r="I6850" s="1" t="str">
        <f ca="1">IFERROR(__xludf.DUMMYFUNCTION("GOOGLETRANSLATE(F6850, ""auto"", ""en"")
"),"It's strange that it's so cheap.  Their subwoofer only cost 5,000 rubles")</f>
        <v>It's strange that it's so cheap.  Their subwoofer only cost 5,000 rubles</v>
      </c>
    </row>
    <row r="6851" spans="1:9" x14ac:dyDescent="0.3">
      <c r="A6851" s="1" t="s">
        <v>43</v>
      </c>
      <c r="B6851" s="1" t="s">
        <v>44</v>
      </c>
      <c r="C6851" s="1" t="s">
        <v>101</v>
      </c>
      <c r="D6851" s="1" t="s">
        <v>32</v>
      </c>
      <c r="E6851" s="1" t="s">
        <v>4724</v>
      </c>
      <c r="F6851" s="1" t="s">
        <v>10734</v>
      </c>
      <c r="G6851" s="1" t="s">
        <v>28</v>
      </c>
      <c r="H6851" s="1" t="s">
        <v>29</v>
      </c>
      <c r="I6851" s="1" t="str">
        <f ca="1">IFERROR(__xludf.DUMMYFUNCTION("GOOGLETRANSLATE(F6851, ""auto"", ""en"")
"),"Not a bad fan, doesn’t make noise, just right for a small room, easy to assemble, looks flimsy, the rotation button cracks when turned on, but for the money it’s suitable, you can take it")</f>
        <v>Not a bad fan, doesn’t make noise, just right for a small room, easy to assemble, looks flimsy, the rotation button cracks when turned on, but for the money it’s suitable, you can take it</v>
      </c>
    </row>
    <row r="6852" spans="1:9" x14ac:dyDescent="0.3">
      <c r="A6852" s="1" t="s">
        <v>89</v>
      </c>
      <c r="B6852" s="1" t="s">
        <v>90</v>
      </c>
      <c r="C6852" s="1" t="s">
        <v>185</v>
      </c>
      <c r="D6852" s="1" t="s">
        <v>81</v>
      </c>
      <c r="E6852" s="1" t="s">
        <v>3718</v>
      </c>
      <c r="F6852" s="1" t="s">
        <v>10735</v>
      </c>
      <c r="G6852" s="1" t="s">
        <v>28</v>
      </c>
      <c r="H6852" s="1" t="s">
        <v>29</v>
      </c>
      <c r="I6852" s="1" t="str">
        <f ca="1">IFERROR(__xludf.DUMMYFUNCTION("GOOGLETRANSLATE(F6852, ""auto"", ""en"")
"),"I bought it two years ago. Nothing good, nothing bad... If you turn it the wrong way, it breaks and cannot be repaired. If you don't twist it where it shouldn't, it won't break. The grind is chopped, from fine to coarse, but it is still chopped in pieces,"&amp;" in general it is not very good. The flakes should be crushed (crushed, crushed) with millstones and not chopped into pieces, these are not knives! In short, it turns out to be a coarse grind, compared with LavAzza Tierra in an iron can, ground coffee 250"&amp;" g. which, there really was flour... Well, okay, this example is not correct, I’ll give another Paulg ground, the grind there was much finer, I wouldn’t say that it was finer, but finer - the coffee particles are thin and long, that’s how it should be, an"&amp;"d not in multi-faceted pieces, but in this coffee grinder the pieces are precisely multi-faceted. I don’t know what I’ll change it to, I couldn’t find a better one.")</f>
        <v>I bought it two years ago. Nothing good, nothing bad... If you turn it the wrong way, it breaks and cannot be repaired. If you don't twist it where it shouldn't, it won't break. The grind is chopped, from fine to coarse, but it is still chopped in pieces, in general it is not very good. The flakes should be crushed (crushed, crushed) with millstones and not chopped into pieces, these are not knives! In short, it turns out to be a coarse grind, compared with LavAzza Tierra in an iron can, ground coffee 250 g. which, there really was flour... Well, okay, this example is not correct, I’ll give another Paulg ground, the grind there was much finer, I wouldn’t say that it was finer, but finer - the coffee particles are thin and long, that’s how it should be, and not in multi-faceted pieces, but in this coffee grinder the pieces are precisely multi-faceted. I don’t know what I’ll change it to, I couldn’t find a better one.</v>
      </c>
    </row>
    <row r="6853" spans="1:9" x14ac:dyDescent="0.3">
      <c r="A6853" s="1" t="s">
        <v>211</v>
      </c>
      <c r="B6853" s="1" t="s">
        <v>212</v>
      </c>
      <c r="C6853" s="1" t="s">
        <v>381</v>
      </c>
      <c r="D6853" s="1" t="s">
        <v>10736</v>
      </c>
      <c r="E6853" s="1" t="s">
        <v>7655</v>
      </c>
      <c r="F6853" s="1" t="s">
        <v>10737</v>
      </c>
      <c r="G6853" s="1" t="s">
        <v>36</v>
      </c>
      <c r="H6853" s="1" t="s">
        <v>29</v>
      </c>
      <c r="I6853" s="1" t="str">
        <f ca="1">IFERROR(__xludf.DUMMYFUNCTION("GOOGLETRANSLATE(F6853, ""auto"", ""en"")
"),"Great hairdryer. My first household appliance that I wanted to write a review about. I have quite long (below my shoulders), unruly hair. Previously, I styled them for 30-40 minutes, using special products and a straightening comb. With the new hairdryer "&amp;"I forgot about all the problems, at minimum power and temperature I style it in 15 minutes without additional products, my hair is smooth and even. This is my best hair dryer, although before this I used a more expensive model. I highly recommend this pro"&amp;"duct to all women who, like me, like to sleep longer in the morning and get ready for work in a hurry)")</f>
        <v>Great hairdryer. My first household appliance that I wanted to write a review about. I have quite long (below my shoulders), unruly hair. Previously, I styled them for 30-40 minutes, using special products and a straightening comb. With the new hairdryer I forgot about all the problems, at minimum power and temperature I style it in 15 minutes without additional products, my hair is smooth and even. This is my best hair dryer, although before this I used a more expensive model. I highly recommend this product to all women who, like me, like to sleep longer in the morning and get ready for work in a hurry)</v>
      </c>
    </row>
    <row r="6854" spans="1:9" x14ac:dyDescent="0.3">
      <c r="A6854" s="1" t="s">
        <v>105</v>
      </c>
      <c r="B6854" s="1" t="s">
        <v>106</v>
      </c>
      <c r="C6854" s="1" t="s">
        <v>107</v>
      </c>
      <c r="D6854" s="1" t="s">
        <v>81</v>
      </c>
      <c r="E6854" s="1" t="s">
        <v>617</v>
      </c>
      <c r="F6854" s="1" t="s">
        <v>10738</v>
      </c>
      <c r="G6854" s="1" t="s">
        <v>28</v>
      </c>
      <c r="H6854" s="1" t="s">
        <v>29</v>
      </c>
      <c r="I6854" s="1" t="str">
        <f ca="1">IFERROR(__xludf.DUMMYFUNCTION("GOOGLETRANSLATE(F6854, ""auto"", ""en"")
"),"Cheap and functional player. I found everything that was stated in it.  The only problem is the insufficient sensitivity of the sensor, but otherwise everything is fine :)")</f>
        <v>Cheap and functional player. I found everything that was stated in it.  The only problem is the insufficient sensitivity of the sensor, but otherwise everything is fine :)</v>
      </c>
    </row>
    <row r="6855" spans="1:9" x14ac:dyDescent="0.3">
      <c r="A6855" s="1" t="s">
        <v>30</v>
      </c>
      <c r="B6855" s="1" t="s">
        <v>31</v>
      </c>
      <c r="C6855" s="1" t="s">
        <v>32</v>
      </c>
      <c r="D6855" s="1" t="s">
        <v>1877</v>
      </c>
      <c r="E6855" s="1" t="s">
        <v>3771</v>
      </c>
      <c r="F6855" s="1" t="s">
        <v>10739</v>
      </c>
      <c r="G6855" s="1" t="s">
        <v>28</v>
      </c>
      <c r="H6855" s="1" t="s">
        <v>29</v>
      </c>
      <c r="I6855" s="1" t="str">
        <f ca="1">IFERROR(__xludf.DUMMYFUNCTION("GOOGLETRANSLATE(F6855, ""auto"", ""en"")
"),"Will gtaIV work on this computer?")</f>
        <v>Will gtaIV work on this computer?</v>
      </c>
    </row>
    <row r="6856" spans="1:9" x14ac:dyDescent="0.3">
      <c r="A6856" s="1" t="s">
        <v>105</v>
      </c>
      <c r="B6856" s="1" t="s">
        <v>106</v>
      </c>
      <c r="C6856" s="1" t="s">
        <v>1209</v>
      </c>
      <c r="D6856" s="1" t="s">
        <v>10740</v>
      </c>
      <c r="E6856" s="1" t="s">
        <v>696</v>
      </c>
      <c r="F6856" s="1" t="s">
        <v>10741</v>
      </c>
      <c r="G6856" s="1" t="s">
        <v>28</v>
      </c>
      <c r="H6856" s="1" t="s">
        <v>29</v>
      </c>
      <c r="I6856" s="1" t="str">
        <f ca="1">IFERROR(__xludf.DUMMYFUNCTION("GOOGLETRANSLATE(F6856, ""auto"", ""en"")
"),"+Everything is fine. The sound is a solid four. Although the radio hisses, it is very rare. Mainly when you pull the cord.  I was pleasantly surprised that after purchasing it I didn’t charge it for 20 hours, but it still worked.  -1.The equalizer does no"&amp;"t work. Of course, rock, etc. work fine, but the special MS PlayFx function is pretty slow. It is never saved after shutdown. I wanted to update the firmware, but alas it was not available. Let's hope it comes out soon!  2. If you download an MP3 320 Kbs "&amp;"song, the player begins to seriously slow down, and therefore plays it slowly.      Despite the disadvantages, I recommend the player to all those who just want to put the player in their pocket, an earphone in their ear, and enjoy the music without break"&amp;"ing off)")</f>
        <v>+Everything is fine. The sound is a solid four. Although the radio hisses, it is very rare. Mainly when you pull the cord.  I was pleasantly surprised that after purchasing it I didn’t charge it for 20 hours, but it still worked.  -1.The equalizer does not work. Of course, rock, etc. work fine, but the special MS PlayFx function is pretty slow. It is never saved after shutdown. I wanted to update the firmware, but alas it was not available. Let's hope it comes out soon!  2. If you download an MP3 320 Kbs song, the player begins to seriously slow down, and therefore plays it slowly.      Despite the disadvantages, I recommend the player to all those who just want to put the player in their pocket, an earphone in their ear, and enjoy the music without breaking off)</v>
      </c>
    </row>
    <row r="6857" spans="1:9" x14ac:dyDescent="0.3">
      <c r="A6857" s="1" t="s">
        <v>624</v>
      </c>
      <c r="B6857" s="1" t="s">
        <v>625</v>
      </c>
      <c r="C6857" s="1" t="s">
        <v>479</v>
      </c>
      <c r="D6857" s="1" t="s">
        <v>280</v>
      </c>
      <c r="E6857" s="1" t="s">
        <v>937</v>
      </c>
      <c r="F6857" s="1" t="s">
        <v>10742</v>
      </c>
      <c r="G6857" s="1" t="s">
        <v>28</v>
      </c>
      <c r="H6857" s="1" t="s">
        <v>29</v>
      </c>
      <c r="I6857" s="1" t="str">
        <f ca="1">IFERROR(__xludf.DUMMYFUNCTION("GOOGLETRANSLATE(F6857, ""auto"", ""en"")
"),"I couldn’t find how to play the KHL league, but you can start the NHL league by going to “Game Modes” =&gt; “DYNASTE MODE” =&gt; “Create”.    The game as a whole is 5, but due to the absence of the KHL league, only 4.")</f>
        <v>I couldn’t find how to play the KHL league, but you can start the NHL league by going to “Game Modes” =&gt; “DYNASTE MODE” =&gt; “Create”.    The game as a whole is 5, but due to the absence of the KHL league, only 4.</v>
      </c>
    </row>
    <row r="6858" spans="1:9" x14ac:dyDescent="0.3">
      <c r="A6858" s="1" t="s">
        <v>120</v>
      </c>
      <c r="B6858" s="1" t="s">
        <v>126</v>
      </c>
      <c r="C6858" s="1" t="s">
        <v>80</v>
      </c>
      <c r="D6858" s="1" t="s">
        <v>152</v>
      </c>
      <c r="E6858" s="1" t="s">
        <v>41</v>
      </c>
      <c r="F6858" s="1" t="s">
        <v>10743</v>
      </c>
      <c r="G6858" s="1" t="s">
        <v>36</v>
      </c>
      <c r="H6858" s="1" t="s">
        <v>29</v>
      </c>
      <c r="I6858" s="1" t="str">
        <f ca="1">IFERROR(__xludf.DUMMYFUNCTION("GOOGLETRANSLATE(F6858, ""auto"", ""en"")
"),"I bought this plasma in winter, but the flash drive does not work!!! I don’t understand how to unlock it... can someone tell me??? With diodes it’s generally not clear how this is done!! someone says there are buttons on the remote control, but nothing wo"&amp;"rks??!?! people please, it’s really necessary!")</f>
        <v>I bought this plasma in winter, but the flash drive does not work!!! I don’t understand how to unlock it... can someone tell me??? With diodes it’s generally not clear how this is done!! someone says there are buttons on the remote control, but nothing works??!?! people please, it’s really necessary!</v>
      </c>
    </row>
    <row r="6859" spans="1:9" x14ac:dyDescent="0.3">
      <c r="A6859" s="1" t="s">
        <v>211</v>
      </c>
      <c r="B6859" s="1" t="s">
        <v>384</v>
      </c>
      <c r="C6859" s="1" t="s">
        <v>246</v>
      </c>
      <c r="D6859" s="1" t="s">
        <v>228</v>
      </c>
      <c r="E6859" s="1" t="s">
        <v>1273</v>
      </c>
      <c r="F6859" s="1" t="s">
        <v>10744</v>
      </c>
      <c r="G6859" s="1" t="s">
        <v>49</v>
      </c>
      <c r="H6859" s="1" t="s">
        <v>16</v>
      </c>
      <c r="I6859" s="1" t="str">
        <f ca="1">IFERROR(__xludf.DUMMYFUNCTION("GOOGLETRANSLATE(F6859, ""auto"", ""en"")
"),"Bought as a gift, unfortunately it was a waste of money. The “touch” buttons on the front panel are difficult to press; you’ll break your fingers faster. They often freeze when determining the weight; replacing the batteries with fresh ones does not help."&amp;" Apart from the “show-off” that these are the most expensive scales, which still sometimes work, there are no other advantages.")</f>
        <v>Bought as a gift, unfortunately it was a waste of money. The “touch” buttons on the front panel are difficult to press; you’ll break your fingers faster. They often freeze when determining the weight; replacing the batteries with fresh ones does not help. Apart from the “show-off” that these are the most expensive scales, which still sometimes work, there are no other advantages.</v>
      </c>
    </row>
    <row r="6860" spans="1:9" x14ac:dyDescent="0.3">
      <c r="A6860" s="1" t="s">
        <v>120</v>
      </c>
      <c r="B6860" s="1" t="s">
        <v>121</v>
      </c>
      <c r="C6860" s="1" t="s">
        <v>80</v>
      </c>
      <c r="D6860" s="1" t="s">
        <v>749</v>
      </c>
      <c r="E6860" s="1" t="s">
        <v>2746</v>
      </c>
      <c r="F6860" s="1" t="s">
        <v>10745</v>
      </c>
      <c r="G6860" s="1" t="s">
        <v>28</v>
      </c>
      <c r="H6860" s="1" t="s">
        <v>29</v>
      </c>
      <c r="I6860" s="1" t="str">
        <f ca="1">IFERROR(__xludf.DUMMYFUNCTION("GOOGLETRANSLATE(F6860, ""auto"", ""en"")
"),"The TV is normal, the picture on the channels is so-so, but the DVD is super, easy to use")</f>
        <v>The TV is normal, the picture on the channels is so-so, but the DVD is super, easy to use</v>
      </c>
    </row>
    <row r="6861" spans="1:9" x14ac:dyDescent="0.3">
      <c r="A6861" s="1" t="s">
        <v>43</v>
      </c>
      <c r="B6861" s="1" t="s">
        <v>219</v>
      </c>
      <c r="C6861" s="1" t="s">
        <v>220</v>
      </c>
      <c r="D6861" s="1" t="s">
        <v>10746</v>
      </c>
      <c r="E6861" s="1" t="s">
        <v>8918</v>
      </c>
      <c r="F6861" s="1" t="s">
        <v>10747</v>
      </c>
      <c r="G6861" s="1" t="s">
        <v>36</v>
      </c>
      <c r="H6861" s="1" t="s">
        <v>29</v>
      </c>
      <c r="I6861" s="1" t="str">
        <f ca="1">IFERROR(__xludf.DUMMYFUNCTION("GOOGLETRANSLATE(F6861, ""auto"", ""en"")
"),"It's been plowing for three years now, so it's a good thing!!")</f>
        <v>It's been plowing for three years now, so it's a good thing!!</v>
      </c>
    </row>
    <row r="6862" spans="1:9" x14ac:dyDescent="0.3">
      <c r="A6862" s="1" t="s">
        <v>373</v>
      </c>
      <c r="B6862" s="1" t="s">
        <v>374</v>
      </c>
      <c r="C6862" s="1" t="s">
        <v>19</v>
      </c>
      <c r="D6862" s="1" t="s">
        <v>10748</v>
      </c>
      <c r="E6862" s="1" t="s">
        <v>2028</v>
      </c>
      <c r="F6862" s="1" t="s">
        <v>10749</v>
      </c>
      <c r="G6862" s="1" t="s">
        <v>36</v>
      </c>
      <c r="H6862" s="1" t="s">
        <v>29</v>
      </c>
      <c r="I6862" s="1" t="str">
        <f ca="1">IFERROR(__xludf.DUMMYFUNCTION("GOOGLETRANSLATE(F6862, ""auto"", ""en"")
"),"Super machine, my husband gave it to me for his birthday, it washes perfectly. I mainly use 2 programs, because... I put dishes in there all day, and turn it on at night, it washes everything, the spoons really shine.")</f>
        <v>Super machine, my husband gave it to me for his birthday, it washes perfectly. I mainly use 2 programs, because... I put dishes in there all day, and turn it on at night, it washes everything, the spoons really shine.</v>
      </c>
    </row>
    <row r="6863" spans="1:9" x14ac:dyDescent="0.3">
      <c r="A6863" s="1" t="s">
        <v>149</v>
      </c>
      <c r="B6863" s="1" t="s">
        <v>155</v>
      </c>
      <c r="C6863" s="1" t="s">
        <v>159</v>
      </c>
      <c r="D6863" s="1" t="s">
        <v>4281</v>
      </c>
      <c r="E6863" s="1" t="s">
        <v>2853</v>
      </c>
      <c r="F6863" s="1" t="s">
        <v>10750</v>
      </c>
      <c r="G6863" s="1" t="s">
        <v>36</v>
      </c>
      <c r="H6863" s="1" t="s">
        <v>29</v>
      </c>
      <c r="I6863" s="1" t="str">
        <f ca="1">IFERROR(__xludf.DUMMYFUNCTION("GOOGLETRANSLATE(F6863, ""auto"", ""en"")
"),"The vacuum cleaner is excellent! The power is so strong that I can barely lift the brush off the floor. The turbo brush is miniature, but it works 5+. If you have animals in your home, don’t even think twice about it - this vacuum cleaner is what you need"&amp;".")</f>
        <v>The vacuum cleaner is excellent! The power is so strong that I can barely lift the brush off the floor. The turbo brush is miniature, but it works 5+. If you have animals in your home, don’t even think twice about it - this vacuum cleaner is what you need.</v>
      </c>
    </row>
    <row r="6864" spans="1:9" x14ac:dyDescent="0.3">
      <c r="A6864" s="1" t="s">
        <v>37</v>
      </c>
      <c r="B6864" s="1" t="s">
        <v>536</v>
      </c>
      <c r="C6864" s="1" t="s">
        <v>163</v>
      </c>
      <c r="D6864" s="1" t="s">
        <v>172</v>
      </c>
      <c r="E6864" s="1" t="s">
        <v>1646</v>
      </c>
      <c r="F6864" s="1" t="s">
        <v>10751</v>
      </c>
      <c r="G6864" s="1" t="s">
        <v>36</v>
      </c>
      <c r="H6864" s="1" t="s">
        <v>29</v>
      </c>
      <c r="I6864" s="1" t="str">
        <f ca="1">IFERROR(__xludf.DUMMYFUNCTION("GOOGLETRANSLATE(F6864, ""auto"", ""en"")
"),"The phone is great! Not an iPhone, of course, but it costs 2 times less))) The price-quality ratio IMHO is very close to ideal... if it were a thousand cheaper then you could tear it off with your hands!   I left for a week with black, everything suits me"&amp;" except the color and a small gap in the back cover... Threat, only one minus! I can't find the white and blue one(((")</f>
        <v>The phone is great! Not an iPhone, of course, but it costs 2 times less))) The price-quality ratio IMHO is very close to ideal... if it were a thousand cheaper then you could tear it off with your hands!   I left for a week with black, everything suits me except the color and a small gap in the back cover... Threat, only one minus! I can't find the white and blue one(((</v>
      </c>
    </row>
    <row r="6865" spans="1:9" x14ac:dyDescent="0.3">
      <c r="A6865" s="1" t="s">
        <v>43</v>
      </c>
      <c r="B6865" s="1" t="s">
        <v>1616</v>
      </c>
      <c r="C6865" s="1" t="s">
        <v>185</v>
      </c>
      <c r="D6865" s="1" t="s">
        <v>934</v>
      </c>
      <c r="E6865" s="1" t="s">
        <v>4980</v>
      </c>
      <c r="F6865" s="1" t="s">
        <v>10752</v>
      </c>
      <c r="G6865" s="1" t="s">
        <v>36</v>
      </c>
      <c r="H6865" s="1" t="s">
        <v>29</v>
      </c>
      <c r="I6865" s="1" t="str">
        <f ca="1">IFERROR(__xludf.DUMMYFUNCTION("GOOGLETRANSLATE(F6865, ""auto"", ""en"")
"),"We bought a DeLonhi PAC mobile air conditioner No. 120 for a city apartment! Very pleased! The apartment becomes cold after 10 minutes, then it maintains the set temperature itself. There is a humidification function - which is very important for the city"&amp;"! The pipe is thrown out the window and there are no problems! But you can take it to different rooms or to the kitchen when I’m cooking or it’s hot from the stove! (It’s on wheels!) Super! And hanging ones need to be installed in every room, it’s 3 times"&amp;" more expensive! My family is very happy. Thank you!")</f>
        <v>We bought a DeLonhi PAC mobile air conditioner No. 120 for a city apartment! Very pleased! The apartment becomes cold after 10 minutes, then it maintains the set temperature itself. There is a humidification function - which is very important for the city! The pipe is thrown out the window and there are no problems! But you can take it to different rooms or to the kitchen when I’m cooking or it’s hot from the stove! (It’s on wheels!) Super! And hanging ones need to be installed in every room, it’s 3 times more expensive! My family is very happy. Thank you!</v>
      </c>
    </row>
    <row r="6866" spans="1:9" x14ac:dyDescent="0.3">
      <c r="A6866" s="1" t="s">
        <v>61</v>
      </c>
      <c r="B6866" s="1" t="s">
        <v>726</v>
      </c>
      <c r="C6866" s="1" t="s">
        <v>85</v>
      </c>
      <c r="D6866" s="1" t="s">
        <v>4902</v>
      </c>
      <c r="E6866" s="1" t="s">
        <v>4540</v>
      </c>
      <c r="F6866" s="1" t="s">
        <v>10753</v>
      </c>
      <c r="G6866" s="1" t="s">
        <v>28</v>
      </c>
      <c r="H6866" s="1" t="s">
        <v>29</v>
      </c>
      <c r="I6866" s="1" t="str">
        <f ca="1">IFERROR(__xludf.DUMMYFUNCTION("GOOGLETRANSLATE(F6866, ""auto"", ""en"")
"),"I bought a bread maker a month ago and I cook in it almost every other day, either rolls or bread. French cheese bread works especially well. When making the pretzel dough, there was some flour left at the bottom that wasn't mixed in. During any baking, t"&amp;"he flag used to stir the dough always remains in the baked goods and has to be removed from the cooked bread.")</f>
        <v>I bought a bread maker a month ago and I cook in it almost every other day, either rolls or bread. French cheese bread works especially well. When making the pretzel dough, there was some flour left at the bottom that wasn't mixed in. During any baking, the flag used to stir the dough always remains in the baked goods and has to be removed from the cooked bread.</v>
      </c>
    </row>
    <row r="6867" spans="1:9" x14ac:dyDescent="0.3">
      <c r="A6867" s="1" t="s">
        <v>169</v>
      </c>
      <c r="B6867" s="1" t="s">
        <v>170</v>
      </c>
      <c r="C6867" s="1" t="s">
        <v>171</v>
      </c>
      <c r="D6867" s="1" t="s">
        <v>471</v>
      </c>
      <c r="E6867" s="1" t="s">
        <v>543</v>
      </c>
      <c r="F6867" s="1" t="s">
        <v>10754</v>
      </c>
      <c r="G6867" s="1" t="s">
        <v>36</v>
      </c>
      <c r="H6867" s="1" t="s">
        <v>29</v>
      </c>
      <c r="I6867" s="1" t="str">
        <f ca="1">IFERROR(__xludf.DUMMYFUNCTION("GOOGLETRANSLATE(F6867, ""auto"", ""en"")
"),"I bought headphones 4 years ago, but now they are broken. Maybe I was just lucky)))))")</f>
        <v>I bought headphones 4 years ago, but now they are broken. Maybe I was just lucky)))))</v>
      </c>
    </row>
    <row r="6868" spans="1:9" x14ac:dyDescent="0.3">
      <c r="A6868" s="1" t="s">
        <v>30</v>
      </c>
      <c r="B6868" s="1" t="s">
        <v>50</v>
      </c>
      <c r="C6868" s="1" t="s">
        <v>51</v>
      </c>
      <c r="D6868" s="1" t="s">
        <v>10755</v>
      </c>
      <c r="E6868" s="1" t="s">
        <v>594</v>
      </c>
      <c r="F6868" s="1" t="s">
        <v>10756</v>
      </c>
      <c r="G6868" s="1" t="s">
        <v>36</v>
      </c>
      <c r="H6868" s="1" t="s">
        <v>29</v>
      </c>
      <c r="I6868" s="1" t="str">
        <f ca="1">IFERROR(__xludf.DUMMYFUNCTION("GOOGLETRANSLATE(F6868, ""auto"", ""en"")
"),"I bought the laptop on 08/16/10 the laptop is just a bomb, it doesn’t heat up, although it’s very hot in the apartment everything works well ugh ugh all the games are running at maximum speed I advise everyone so far I haven’t found any cons I hope there "&amp;"won’t be any")</f>
        <v>I bought the laptop on 08/16/10 the laptop is just a bomb, it doesn’t heat up, although it’s very hot in the apartment everything works well ugh ugh all the games are running at maximum speed I advise everyone so far I haven’t found any cons I hope there won’t be any</v>
      </c>
    </row>
    <row r="6869" spans="1:9" x14ac:dyDescent="0.3">
      <c r="A6869" s="1" t="s">
        <v>61</v>
      </c>
      <c r="B6869" s="1" t="s">
        <v>145</v>
      </c>
      <c r="C6869" s="1" t="s">
        <v>57</v>
      </c>
      <c r="D6869" s="1" t="s">
        <v>64</v>
      </c>
      <c r="E6869" s="1" t="s">
        <v>4953</v>
      </c>
      <c r="F6869" s="1" t="s">
        <v>10757</v>
      </c>
      <c r="G6869" s="1" t="s">
        <v>36</v>
      </c>
      <c r="H6869" s="1" t="s">
        <v>29</v>
      </c>
      <c r="I6869" s="1" t="str">
        <f ca="1">IFERROR(__xludf.DUMMYFUNCTION("GOOGLETRANSLATE(F6869, ""auto"", ""en"")
"),"The deep fryer is simply super, it makes great fries, the oil consumption is simply amazing, just right for a small family.")</f>
        <v>The deep fryer is simply super, it makes great fries, the oil consumption is simply amazing, just right for a small family.</v>
      </c>
    </row>
    <row r="6870" spans="1:9" x14ac:dyDescent="0.3">
      <c r="A6870" s="1" t="s">
        <v>30</v>
      </c>
      <c r="B6870" s="1" t="s">
        <v>50</v>
      </c>
      <c r="C6870" s="1" t="s">
        <v>32</v>
      </c>
      <c r="D6870" s="1" t="s">
        <v>280</v>
      </c>
      <c r="E6870" s="1" t="s">
        <v>594</v>
      </c>
      <c r="F6870" s="1" t="s">
        <v>10758</v>
      </c>
      <c r="G6870" s="1" t="s">
        <v>28</v>
      </c>
      <c r="H6870" s="1" t="s">
        <v>29</v>
      </c>
      <c r="I6870" s="1" t="str">
        <f ca="1">IFERROR(__xludf.DUMMYFUNCTION("GOOGLETRANSLATE(F6870, ""auto"", ""en"")
"),"I like everything!!! True, in the first 4 days the right speaker died (like the guys). The problem is that you can’t find a case or bag for it!")</f>
        <v>I like everything!!! True, in the first 4 days the right speaker died (like the guys). The problem is that you can’t find a case or bag for it!</v>
      </c>
    </row>
    <row r="6871" spans="1:9" x14ac:dyDescent="0.3">
      <c r="A6871" s="1" t="s">
        <v>17</v>
      </c>
      <c r="B6871" s="1" t="s">
        <v>18</v>
      </c>
      <c r="C6871" s="1" t="s">
        <v>19</v>
      </c>
      <c r="D6871" s="1" t="s">
        <v>471</v>
      </c>
      <c r="E6871" s="1" t="s">
        <v>1434</v>
      </c>
      <c r="F6871" s="1" t="s">
        <v>10759</v>
      </c>
      <c r="G6871" s="1" t="s">
        <v>36</v>
      </c>
      <c r="H6871" s="1" t="s">
        <v>29</v>
      </c>
      <c r="I6871" s="1" t="str">
        <f ca="1">IFERROR(__xludf.DUMMYFUNCTION("GOOGLETRANSLATE(F6871, ""auto"", ""en"")
"),"Spacious, multifunctional, quiet")</f>
        <v>Spacious, multifunctional, quiet</v>
      </c>
    </row>
    <row r="6872" spans="1:9" x14ac:dyDescent="0.3">
      <c r="A6872" s="1" t="s">
        <v>9</v>
      </c>
      <c r="B6872" s="1" t="s">
        <v>10</v>
      </c>
      <c r="C6872" s="1" t="s">
        <v>3091</v>
      </c>
      <c r="D6872" s="1" t="s">
        <v>86</v>
      </c>
      <c r="E6872" s="1" t="s">
        <v>1513</v>
      </c>
      <c r="F6872" s="1" t="s">
        <v>10760</v>
      </c>
      <c r="G6872" s="1" t="s">
        <v>36</v>
      </c>
      <c r="H6872" s="1" t="s">
        <v>29</v>
      </c>
      <c r="I6872" s="1" t="str">
        <f ca="1">IFERROR(__xludf.DUMMYFUNCTION("GOOGLETRANSLATE(F6872, ""auto"", ""en"")
"),"In the specification column it is indicated that the lighting is in the front, but in fact it is behind this hood, i.e. against the wall. You can even see it in the pictures. And it’s a wonderful model, so as not to hit your head if you fold it, it’s perf"&amp;"ect for a small kitchen. Both quiet and powerful. I'm glad.")</f>
        <v>In the specification column it is indicated that the lighting is in the front, but in fact it is behind this hood, i.e. against the wall. You can even see it in the pictures. And it’s a wonderful model, so as not to hit your head if you fold it, it’s perfect for a small kitchen. Both quiet and powerful. I'm glad.</v>
      </c>
    </row>
    <row r="6873" spans="1:9" x14ac:dyDescent="0.3">
      <c r="A6873" s="1" t="s">
        <v>30</v>
      </c>
      <c r="B6873" s="1" t="s">
        <v>50</v>
      </c>
      <c r="C6873" s="1" t="s">
        <v>32</v>
      </c>
      <c r="D6873" s="1" t="s">
        <v>7879</v>
      </c>
      <c r="E6873" s="1" t="s">
        <v>3472</v>
      </c>
      <c r="F6873" s="1" t="s">
        <v>10761</v>
      </c>
      <c r="G6873" s="1" t="s">
        <v>36</v>
      </c>
      <c r="H6873" s="1" t="s">
        <v>29</v>
      </c>
      <c r="I6873" s="1" t="str">
        <f ca="1">IFERROR(__xludf.DUMMYFUNCTION("GOOGLETRANSLATE(F6873, ""auto"", ""en"")
"),"The laptop is super, everything is fine, but the volume control is inconvenient, too close to the right hand.")</f>
        <v>The laptop is super, everything is fine, but the volume control is inconvenient, too close to the right hand.</v>
      </c>
    </row>
    <row r="6874" spans="1:9" x14ac:dyDescent="0.3">
      <c r="A6874" s="1" t="s">
        <v>17</v>
      </c>
      <c r="B6874" s="1" t="s">
        <v>18</v>
      </c>
      <c r="C6874" s="1" t="s">
        <v>151</v>
      </c>
      <c r="D6874" s="1" t="s">
        <v>200</v>
      </c>
      <c r="E6874" s="1" t="s">
        <v>543</v>
      </c>
      <c r="F6874" s="1" t="s">
        <v>10762</v>
      </c>
      <c r="G6874" s="1" t="s">
        <v>36</v>
      </c>
      <c r="H6874" s="1" t="s">
        <v>29</v>
      </c>
      <c r="I6874" s="1" t="str">
        <f ca="1">IFERROR(__xludf.DUMMYFUNCTION("GOOGLETRANSLATE(F6874, ""auto"", ""en"")
"),"(( gives an error 2H in 3 modes, the time does not show. What kind of error is not clear, nothing is written about it in the instructions. THIS IS NOT AN ERROR, the two-digit display can only show 99 minutes. For longer times it shows 2n until there are 9"&amp;"9 minutes left until the end of the wash and then the countdown.")</f>
        <v>(( gives an error 2H in 3 modes, the time does not show. What kind of error is not clear, nothing is written about it in the instructions. THIS IS NOT AN ERROR, the two-digit display can only show 99 minutes. For longer times it shows 2n until there are 99 minutes left until the end of the wash and then the countdown.</v>
      </c>
    </row>
    <row r="6875" spans="1:9" x14ac:dyDescent="0.3">
      <c r="A6875" s="1" t="s">
        <v>61</v>
      </c>
      <c r="B6875" s="1" t="s">
        <v>318</v>
      </c>
      <c r="C6875" s="1" t="s">
        <v>246</v>
      </c>
      <c r="D6875" s="1" t="s">
        <v>589</v>
      </c>
      <c r="E6875" s="1" t="s">
        <v>631</v>
      </c>
      <c r="F6875" s="1" t="s">
        <v>10763</v>
      </c>
      <c r="G6875" s="1" t="s">
        <v>36</v>
      </c>
      <c r="H6875" s="1" t="s">
        <v>29</v>
      </c>
      <c r="I6875" s="1" t="str">
        <f ca="1">IFERROR(__xludf.DUMMYFUNCTION("GOOGLETRANSLATE(F6875, ""auto"", ""en"")
"),"After reading the previous review (from Alexey), I almost changed my mind about buying this kettle, but I bought it anyway. And I didn’t regret it! I really liked the model. Both design and functionality! There is no moisture on the lid when boiling, the "&amp;"thermostat works perfectly. It’s especially important to choose the temperature in the morning, when every minute counts and there’s no time to wait for the boiling water to cool down; you had to dilute it with cold water until it’s just hot. In general, "&amp;"I recommend it to everyone. In addition, it is quite quiet, unlike my previous metal Tefal, which drowned out the TV in the kitchen. Yes, and another plus of this kettle is that it does not stain!")</f>
        <v>After reading the previous review (from Alexey), I almost changed my mind about buying this kettle, but I bought it anyway. And I didn’t regret it! I really liked the model. Both design and functionality! There is no moisture on the lid when boiling, the thermostat works perfectly. It’s especially important to choose the temperature in the morning, when every minute counts and there’s no time to wait for the boiling water to cool down; you had to dilute it with cold water until it’s just hot. In general, I recommend it to everyone. In addition, it is quite quiet, unlike my previous metal Tefal, which drowned out the TV in the kitchen. Yes, and another plus of this kettle is that it does not stain!</v>
      </c>
    </row>
    <row r="6876" spans="1:9" x14ac:dyDescent="0.3">
      <c r="A6876" s="1" t="s">
        <v>17</v>
      </c>
      <c r="B6876" s="1" t="s">
        <v>18</v>
      </c>
      <c r="C6876" s="1" t="s">
        <v>870</v>
      </c>
      <c r="D6876" s="1" t="s">
        <v>232</v>
      </c>
      <c r="E6876" s="1" t="s">
        <v>10764</v>
      </c>
      <c r="F6876" s="1" t="s">
        <v>10765</v>
      </c>
      <c r="G6876" s="1" t="s">
        <v>36</v>
      </c>
      <c r="H6876" s="1" t="s">
        <v>29</v>
      </c>
      <c r="I6876" s="1" t="str">
        <f ca="1">IFERROR(__xludf.DUMMYFUNCTION("GOOGLETRANSLATE(F6876, ""auto"", ""en"")
"),"Bought, installed and forgotten! It has been working for more than six months and there have been no problems. He does laundry maybe once, sometimes more, a week. It vibrates during the spin cycle, but stays firmly in place; as for the noise, it’s quite t"&amp;"olerable, and if you close the door, you can’t hear it at all! For those who are limited on finances, I advise you to take it.")</f>
        <v>Bought, installed and forgotten! It has been working for more than six months and there have been no problems. He does laundry maybe once, sometimes more, a week. It vibrates during the spin cycle, but stays firmly in place; as for the noise, it’s quite tolerable, and if you close the door, you can’t hear it at all! For those who are limited on finances, I advise you to take it.</v>
      </c>
    </row>
    <row r="6877" spans="1:9" x14ac:dyDescent="0.3">
      <c r="A6877" s="1" t="s">
        <v>9</v>
      </c>
      <c r="B6877" s="1" t="s">
        <v>10</v>
      </c>
      <c r="C6877" s="1" t="s">
        <v>466</v>
      </c>
      <c r="D6877" s="1" t="s">
        <v>1890</v>
      </c>
      <c r="E6877" s="1" t="s">
        <v>903</v>
      </c>
      <c r="F6877" s="1" t="s">
        <v>10766</v>
      </c>
      <c r="G6877" s="1" t="s">
        <v>36</v>
      </c>
      <c r="H6877" s="1" t="s">
        <v>29</v>
      </c>
      <c r="I6877" s="1" t="str">
        <f ca="1">IFERROR(__xludf.DUMMYFUNCTION("GOOGLETRANSLATE(F6877, ""auto"", ""en"")
"),"The hood is awesome! If your built-in kitchen appliances have recessed buttons, then the hood will be a great addition. It looks very harmonious and has enough power to purify the air in a 9-meter kitchen in a matter of minutes. As a housewife, I am happy"&amp;" with it. The only negative is the fingerprints, which tend to remain on the surface, but can be removed quite easily.")</f>
        <v>The hood is awesome! If your built-in kitchen appliances have recessed buttons, then the hood will be a great addition. It looks very harmonious and has enough power to purify the air in a 9-meter kitchen in a matter of minutes. As a housewife, I am happy with it. The only negative is the fingerprints, which tend to remain on the surface, but can be removed quite easily.</v>
      </c>
    </row>
    <row r="6878" spans="1:9" x14ac:dyDescent="0.3">
      <c r="A6878" s="1" t="s">
        <v>557</v>
      </c>
      <c r="B6878" s="1" t="s">
        <v>558</v>
      </c>
      <c r="C6878" s="1" t="s">
        <v>69</v>
      </c>
      <c r="D6878" s="1" t="s">
        <v>305</v>
      </c>
      <c r="E6878" s="1" t="s">
        <v>1275</v>
      </c>
      <c r="F6878" s="1" t="s">
        <v>10767</v>
      </c>
      <c r="G6878" s="1" t="s">
        <v>28</v>
      </c>
      <c r="H6878" s="1" t="s">
        <v>29</v>
      </c>
      <c r="I6878" s="1" t="str">
        <f ca="1">IFERROR(__xludf.DUMMYFUNCTION("GOOGLETRANSLATE(F6878, ""auto"", ""en"")
"),"It’s good for everyone, but I couldn’t find an option to disable the caller ID. It always goes off after the 4th beep.  And the rest is 5!!!")</f>
        <v>It’s good for everyone, but I couldn’t find an option to disable the caller ID. It always goes off after the 4th beep.  And the rest is 5!!!</v>
      </c>
    </row>
    <row r="6879" spans="1:9" x14ac:dyDescent="0.3">
      <c r="A6879" s="1" t="s">
        <v>169</v>
      </c>
      <c r="B6879" s="1" t="s">
        <v>170</v>
      </c>
      <c r="C6879" s="1" t="s">
        <v>171</v>
      </c>
      <c r="D6879" s="1" t="s">
        <v>729</v>
      </c>
      <c r="E6879" s="1" t="s">
        <v>1197</v>
      </c>
      <c r="F6879" s="1" t="s">
        <v>10768</v>
      </c>
      <c r="G6879" s="1" t="s">
        <v>36</v>
      </c>
      <c r="H6879" s="1" t="s">
        <v>29</v>
      </c>
      <c r="I6879" s="1" t="str">
        <f ca="1">IFERROR(__xludf.DUMMYFUNCTION("GOOGLETRANSLATE(F6879, ""auto"", ""en"")
"),"The headphones are excellent, take them all! At first I thought for a long time whether to take it or not, but I still took it and now I don’t regret it; I listen to drum and dubstep, if you insert the headphones correctly, you can hear all the bass perfe"&amp;"ctly, at school you can’t hear anything during recess, they are very loud and well made, which made me very happy, because the original headphones from the Samsung YP-U6 player broke for 5 months; so take it, you won’t regret it, I’ve been using them for "&amp;"a little over a week.")</f>
        <v>The headphones are excellent, take them all! At first I thought for a long time whether to take it or not, but I still took it and now I don’t regret it; I listen to drum and dubstep, if you insert the headphones correctly, you can hear all the bass perfectly, at school you can’t hear anything during recess, they are very loud and well made, which made me very happy, because the original headphones from the Samsung YP-U6 player broke for 5 months; so take it, you won’t regret it, I’ve been using them for a little over a week.</v>
      </c>
    </row>
    <row r="6880" spans="1:9" x14ac:dyDescent="0.3">
      <c r="A6880" s="1" t="s">
        <v>30</v>
      </c>
      <c r="B6880" s="1" t="s">
        <v>50</v>
      </c>
      <c r="C6880" s="1" t="s">
        <v>51</v>
      </c>
      <c r="D6880" s="1" t="s">
        <v>10769</v>
      </c>
      <c r="E6880" s="1" t="s">
        <v>594</v>
      </c>
      <c r="F6880" s="1" t="s">
        <v>10770</v>
      </c>
      <c r="G6880" s="1" t="s">
        <v>36</v>
      </c>
      <c r="H6880" s="1" t="s">
        <v>29</v>
      </c>
      <c r="I6880" s="1" t="str">
        <f ca="1">IFERROR(__xludf.DUMMYFUNCTION("GOOGLETRANSLATE(F6880, ""auto"", ""en"")
"),"I've been wanting to buy a PB for a long time, I saw this beech - I fell in love! I specially went to M-Video, pressed the buttons - everything was fine. Ordered from the online store (price 29990, OS-Win 7 Pro. The rest of the filling is the same). They'"&amp;"ll bring it in a few days.")</f>
        <v>I've been wanting to buy a PB for a long time, I saw this beech - I fell in love! I specially went to M-Video, pressed the buttons - everything was fine. Ordered from the online store (price 29990, OS-Win 7 Pro. The rest of the filling is the same). They'll bring it in a few days.</v>
      </c>
    </row>
    <row r="6881" spans="1:9" x14ac:dyDescent="0.3">
      <c r="A6881" s="1" t="s">
        <v>111</v>
      </c>
      <c r="B6881" s="1" t="s">
        <v>1090</v>
      </c>
      <c r="C6881" s="1" t="s">
        <v>6206</v>
      </c>
      <c r="D6881" s="1" t="s">
        <v>39</v>
      </c>
      <c r="E6881" s="1" t="s">
        <v>269</v>
      </c>
      <c r="F6881" s="1" t="s">
        <v>10771</v>
      </c>
      <c r="G6881" s="1" t="s">
        <v>49</v>
      </c>
      <c r="H6881" s="1" t="s">
        <v>16</v>
      </c>
      <c r="I6881" s="1" t="str">
        <f ca="1">IFERROR(__xludf.DUMMYFUNCTION("GOOGLETRANSLATE(F6881, ""auto"", ""en"")
"),"I use a Fenix ​​TK40 MC-E J flashlight, I bought it in the fall of 2009 with a charger and batteries, I’m very pleased, the first mode of 13 lumens completely overwhelms this device, and in the turbo mode at 630 lumens \ 23000 lux, it shines like a spotli"&amp;"ght and all this in a body no more than that")</f>
        <v>I use a Fenix ​​TK40 MC-E J flashlight, I bought it in the fall of 2009 with a charger and batteries, I’m very pleased, the first mode of 13 lumens completely overwhelms this device, and in the turbo mode at 630 lumens \ 23000 lux, it shines like a spotlight and all this in a body no more than that</v>
      </c>
    </row>
    <row r="6882" spans="1:9" x14ac:dyDescent="0.3">
      <c r="A6882" s="1" t="s">
        <v>17</v>
      </c>
      <c r="B6882" s="1" t="s">
        <v>18</v>
      </c>
      <c r="C6882" s="1" t="s">
        <v>19</v>
      </c>
      <c r="D6882" s="1" t="s">
        <v>308</v>
      </c>
      <c r="E6882" s="1" t="s">
        <v>10772</v>
      </c>
      <c r="F6882" s="1" t="s">
        <v>10773</v>
      </c>
      <c r="G6882" s="1" t="s">
        <v>28</v>
      </c>
      <c r="H6882" s="1" t="s">
        <v>29</v>
      </c>
      <c r="I6882" s="1" t="str">
        <f ca="1">IFERROR(__xludf.DUMMYFUNCTION("GOOGLETRANSLATE(F6882, ""auto"", ""en"")
"),"I didn’t really like it, I’ve been using it for 3 months, it doesn’t wash well, I added vanish and changed powders - it’s useless, the spinning process is loud, whistling, the machine leaves much to be desired....")</f>
        <v>I didn’t really like it, I’ve been using it for 3 months, it doesn’t wash well, I added vanish and changed powders - it’s useless, the spinning process is loud, whistling, the machine leaves much to be desired....</v>
      </c>
    </row>
    <row r="6883" spans="1:9" x14ac:dyDescent="0.3">
      <c r="A6883" s="1" t="s">
        <v>89</v>
      </c>
      <c r="B6883" s="1" t="s">
        <v>231</v>
      </c>
      <c r="C6883" s="1" t="s">
        <v>185</v>
      </c>
      <c r="D6883" s="1" t="s">
        <v>474</v>
      </c>
      <c r="E6883" s="1" t="s">
        <v>4990</v>
      </c>
      <c r="F6883" s="1" t="s">
        <v>10774</v>
      </c>
      <c r="G6883" s="1" t="s">
        <v>36</v>
      </c>
      <c r="H6883" s="1" t="s">
        <v>29</v>
      </c>
      <c r="I6883" s="1" t="str">
        <f ca="1">IFERROR(__xludf.DUMMYFUNCTION("GOOGLETRANSLATE(F6883, ""auto"", ""en"")
"),"Simple and intuitive controls.")</f>
        <v>Simple and intuitive controls.</v>
      </c>
    </row>
    <row r="6884" spans="1:9" x14ac:dyDescent="0.3">
      <c r="A6884" s="1" t="s">
        <v>557</v>
      </c>
      <c r="B6884" s="1" t="s">
        <v>558</v>
      </c>
      <c r="C6884" s="1" t="s">
        <v>122</v>
      </c>
      <c r="D6884" s="1" t="s">
        <v>33</v>
      </c>
      <c r="E6884" s="1" t="s">
        <v>6621</v>
      </c>
      <c r="F6884" s="1" t="s">
        <v>10775</v>
      </c>
      <c r="G6884" s="1" t="s">
        <v>36</v>
      </c>
      <c r="H6884" s="1" t="s">
        <v>29</v>
      </c>
      <c r="I6884" s="1" t="str">
        <f ca="1">IFERROR(__xludf.DUMMYFUNCTION("GOOGLETRANSLATE(F6884, ""auto"", ""en"")
"),"A simple and reliable device. No deficiencies identified")</f>
        <v>A simple and reliable device. No deficiencies identified</v>
      </c>
    </row>
    <row r="6885" spans="1:9" x14ac:dyDescent="0.3">
      <c r="A6885" s="1" t="s">
        <v>9</v>
      </c>
      <c r="B6885" s="1" t="s">
        <v>23</v>
      </c>
      <c r="C6885" s="1" t="s">
        <v>134</v>
      </c>
      <c r="D6885" s="1" t="s">
        <v>545</v>
      </c>
      <c r="E6885" s="1" t="s">
        <v>92</v>
      </c>
      <c r="F6885" s="1" t="s">
        <v>10776</v>
      </c>
      <c r="G6885" s="1" t="s">
        <v>36</v>
      </c>
      <c r="H6885" s="1" t="s">
        <v>29</v>
      </c>
      <c r="I6885" s="1" t="str">
        <f ca="1">IFERROR(__xludf.DUMMYFUNCTION("GOOGLETRANSLATE(F6885, ""auto"", ""en"")
"),"useful and discreet assistant")</f>
        <v>useful and discreet assistant</v>
      </c>
    </row>
    <row r="6886" spans="1:9" x14ac:dyDescent="0.3">
      <c r="A6886" s="1" t="s">
        <v>61</v>
      </c>
      <c r="B6886" s="1" t="s">
        <v>224</v>
      </c>
      <c r="C6886" s="1" t="s">
        <v>74</v>
      </c>
      <c r="D6886" s="1" t="s">
        <v>474</v>
      </c>
      <c r="E6886" s="1" t="s">
        <v>4540</v>
      </c>
      <c r="F6886" s="1" t="s">
        <v>10777</v>
      </c>
      <c r="G6886" s="1" t="s">
        <v>36</v>
      </c>
      <c r="H6886" s="1" t="s">
        <v>29</v>
      </c>
      <c r="I6886" s="1" t="str">
        <f ca="1">IFERROR(__xludf.DUMMYFUNCTION("GOOGLETRANSLATE(F6886, ""auto"", ""en"")
"),"It squeezes out everything you put in it perfectly!!!")</f>
        <v>It squeezes out everything you put in it perfectly!!!</v>
      </c>
    </row>
    <row r="6887" spans="1:9" x14ac:dyDescent="0.3">
      <c r="A6887" s="1" t="s">
        <v>120</v>
      </c>
      <c r="B6887" s="1" t="s">
        <v>1205</v>
      </c>
      <c r="C6887" s="1" t="s">
        <v>1206</v>
      </c>
      <c r="D6887" s="1" t="s">
        <v>327</v>
      </c>
      <c r="E6887" s="1" t="s">
        <v>4424</v>
      </c>
      <c r="F6887" s="1" t="s">
        <v>10778</v>
      </c>
      <c r="G6887" s="1" t="s">
        <v>28</v>
      </c>
      <c r="H6887" s="1" t="s">
        <v>29</v>
      </c>
      <c r="I6887" s="1" t="str">
        <f ca="1">IFERROR(__xludf.DUMMYFUNCTION("GOOGLETRANSLATE(F6887, ""auto"", ""en"")
"),"In principle, I give preference to TK as an operator. I've been using it for 4 years now and I'm happy with everything. The only thing about this kit itself is that, in my opinion, it is somewhat outdated. If you take it, I would recommend Start/1.")</f>
        <v>In principle, I give preference to TK as an operator. I've been using it for 4 years now and I'm happy with everything. The only thing about this kit itself is that, in my opinion, it is somewhat outdated. If you take it, I would recommend Start/1.</v>
      </c>
    </row>
    <row r="6888" spans="1:9" x14ac:dyDescent="0.3">
      <c r="A6888" s="1" t="s">
        <v>61</v>
      </c>
      <c r="B6888" s="1" t="s">
        <v>73</v>
      </c>
      <c r="C6888" s="1" t="s">
        <v>146</v>
      </c>
      <c r="D6888" s="1" t="s">
        <v>411</v>
      </c>
      <c r="E6888" s="1" t="s">
        <v>5842</v>
      </c>
      <c r="F6888" s="1" t="s">
        <v>10779</v>
      </c>
      <c r="G6888" s="1" t="s">
        <v>36</v>
      </c>
      <c r="H6888" s="1" t="s">
        <v>29</v>
      </c>
      <c r="I6888" s="1" t="str">
        <f ca="1">IFERROR(__xludf.DUMMYFUNCTION("GOOGLETRANSLATE(F6888, ""auto"", ""en"")
"),"We’ve been using it for the second year now - it’s an excellent meat grinder, perfect for home use, I recommend it to everyone, the minced meat turns out great, it quickly copes with our volumes when we need to make cutlets or kebab...")</f>
        <v>We’ve been using it for the second year now - it’s an excellent meat grinder, perfect for home use, I recommend it to everyone, the minced meat turns out great, it quickly copes with our volumes when we need to make cutlets or kebab...</v>
      </c>
    </row>
    <row r="6889" spans="1:9" x14ac:dyDescent="0.3">
      <c r="A6889" s="1" t="s">
        <v>624</v>
      </c>
      <c r="B6889" s="1" t="s">
        <v>625</v>
      </c>
      <c r="C6889" s="1" t="s">
        <v>479</v>
      </c>
      <c r="D6889" s="1" t="s">
        <v>10780</v>
      </c>
      <c r="E6889" s="1" t="s">
        <v>2882</v>
      </c>
      <c r="F6889" s="1" t="s">
        <v>10781</v>
      </c>
      <c r="G6889" s="1" t="s">
        <v>36</v>
      </c>
      <c r="H6889" s="1" t="s">
        <v>29</v>
      </c>
      <c r="I6889" s="1" t="str">
        <f ca="1">IFERROR(__xludf.DUMMYFUNCTION("GOOGLETRANSLATE(F6889, ""auto"", ""en"")
"),"A great game for parties, festivals and just to have fun!     After playing DEMO, you will see this!")</f>
        <v>A great game for parties, festivals and just to have fun!     After playing DEMO, you will see this!</v>
      </c>
    </row>
    <row r="6890" spans="1:9" x14ac:dyDescent="0.3">
      <c r="A6890" s="1" t="s">
        <v>95</v>
      </c>
      <c r="B6890" s="1" t="s">
        <v>648</v>
      </c>
      <c r="C6890" s="1" t="s">
        <v>97</v>
      </c>
      <c r="D6890" s="1" t="s">
        <v>232</v>
      </c>
      <c r="E6890" s="1" t="s">
        <v>484</v>
      </c>
      <c r="F6890" s="1" t="s">
        <v>10782</v>
      </c>
      <c r="G6890" s="1" t="s">
        <v>36</v>
      </c>
      <c r="H6890" s="1" t="s">
        <v>29</v>
      </c>
      <c r="I6890" s="1" t="str">
        <f ca="1">IFERROR(__xludf.DUMMYFUNCTION("GOOGLETRANSLATE(F6890, ""auto"", ""en"")
"),"Overall Super!! My parents bought it for the end of 5th grade and I play it... The game is super!! Thanks to the Sony campaign for such a wonderful thing")</f>
        <v>Overall Super!! My parents bought it for the end of 5th grade and I play it... The game is super!! Thanks to the Sony campaign for such a wonderful thing</v>
      </c>
    </row>
    <row r="6891" spans="1:9" x14ac:dyDescent="0.3">
      <c r="A6891" s="1" t="s">
        <v>120</v>
      </c>
      <c r="B6891" s="1" t="s">
        <v>196</v>
      </c>
      <c r="C6891" s="1" t="s">
        <v>151</v>
      </c>
      <c r="D6891" s="1" t="s">
        <v>10783</v>
      </c>
      <c r="E6891" s="1" t="s">
        <v>1723</v>
      </c>
      <c r="F6891" s="1" t="s">
        <v>10784</v>
      </c>
      <c r="G6891" s="1" t="s">
        <v>36</v>
      </c>
      <c r="H6891" s="1" t="s">
        <v>29</v>
      </c>
      <c r="I6891" s="1" t="str">
        <f ca="1">IFERROR(__xludf.DUMMYFUNCTION("GOOGLETRANSLATE(F6891, ""auto"", ""en"")
"),"An exquisite and sophisticated flight of engineering has created this perfection!!! With so many advantages during its use, there will be no downsides! This is YOUR icon and you will look at it every evening, and maybe even day for the rest of your life, "&amp;"because its resource is not limited and the design is relevant at all times!!! A rich selection of settings, a convenient menu and a user-friendly interface will allow you to connect it even to a nail, because it has the ability to connect all MODERN devi"&amp;"ces play!!!!        If I had the money I would definitely buy it, otherwise this is all just my imagination)))")</f>
        <v>An exquisite and sophisticated flight of engineering has created this perfection!!! With so many advantages during its use, there will be no downsides! This is YOUR icon and you will look at it every evening, and maybe even day for the rest of your life, because its resource is not limited and the design is relevant at all times!!! A rich selection of settings, a convenient menu and a user-friendly interface will allow you to connect it even to a nail, because it has the ability to connect all MODERN devices play!!!!        If I had the money I would definitely buy it, otherwise this is all just my imagination)))</v>
      </c>
    </row>
    <row r="6892" spans="1:9" x14ac:dyDescent="0.3">
      <c r="A6892" s="1" t="s">
        <v>211</v>
      </c>
      <c r="B6892" s="1" t="s">
        <v>212</v>
      </c>
      <c r="C6892" s="1" t="s">
        <v>294</v>
      </c>
      <c r="D6892" s="1" t="s">
        <v>75</v>
      </c>
      <c r="E6892" s="1" t="s">
        <v>594</v>
      </c>
      <c r="F6892" s="1" t="s">
        <v>10785</v>
      </c>
      <c r="G6892" s="1" t="s">
        <v>36</v>
      </c>
      <c r="H6892" s="1" t="s">
        <v>29</v>
      </c>
      <c r="I6892" s="1" t="str">
        <f ca="1">IFERROR(__xludf.DUMMYFUNCTION("GOOGLETRANSLATE(F6892, ""auto"", ""en"")
"),"I was pleased too! I'm satisfied with everything: both quality and price ;) I recommend it!")</f>
        <v>I was pleased too! I'm satisfied with everything: both quality and price ;) I recommend it!</v>
      </c>
    </row>
    <row r="6893" spans="1:9" x14ac:dyDescent="0.3">
      <c r="A6893" s="1" t="s">
        <v>149</v>
      </c>
      <c r="B6893" s="1" t="s">
        <v>576</v>
      </c>
      <c r="C6893" s="1" t="s">
        <v>69</v>
      </c>
      <c r="D6893" s="1" t="s">
        <v>8321</v>
      </c>
      <c r="E6893" s="1" t="s">
        <v>9460</v>
      </c>
      <c r="F6893" s="1" t="s">
        <v>10786</v>
      </c>
      <c r="G6893" s="1" t="s">
        <v>36</v>
      </c>
      <c r="H6893" s="1" t="s">
        <v>29</v>
      </c>
      <c r="I6893" s="1" t="str">
        <f ca="1">IFERROR(__xludf.DUMMYFUNCTION("GOOGLETRANSLATE(F6893, ""auto"", ""en"")
"),"Before purchasing, like everyone else, I was torn in choice. At first I considered bagless ones, but I realized that filters with their constant washing are a real problem. Then I attracted attention to projects with an aquafilter, they seemed beautiful, "&amp;"but thanks to the consultant, he suggested about hemorrhoids with flushing the hoses. I settled on the classic - with a bag. This model: + for that kind of money you won’t find a competitor with such suction power, it is more than sufficient, it works at "&amp;"an average level for me, it’s quite enough; very low noise level - a pleasant surprise; comfortable brush - captures all corners; long electric cable. - the price to pay for the low noise is that the inside of the engine is sewn with felt, so it is advisa"&amp;"ble not to run the vacuum cleaner for a long time, although all the rooms are just right for me in a two-room apartment, I think whoever has a larger square footage will take a break of 5-7 minutes, this is not critical; the presence of consumables and a "&amp;"filter, but again it’s for two years, so it’s not critical. It’s been working for a month, I couldn’t be happier, I got everything I wanted. I recommend it to everyone")</f>
        <v>Before purchasing, like everyone else, I was torn in choice. At first I considered bagless ones, but I realized that filters with their constant washing are a real problem. Then I attracted attention to projects with an aquafilter, they seemed beautiful, but thanks to the consultant, he suggested about hemorrhoids with flushing the hoses. I settled on the classic - with a bag. This model: + for that kind of money you won’t find a competitor with such suction power, it is more than sufficient, it works at an average level for me, it’s quite enough; very low noise level - a pleasant surprise; comfortable brush - captures all corners; long electric cable. - the price to pay for the low noise is that the inside of the engine is sewn with felt, so it is advisable not to run the vacuum cleaner for a long time, although all the rooms are just right for me in a two-room apartment, I think whoever has a larger square footage will take a break of 5-7 minutes, this is not critical; the presence of consumables and a filter, but again it’s for two years, so it’s not critical. It’s been working for a month, I couldn’t be happier, I got everything I wanted. I recommend it to everyone</v>
      </c>
    </row>
    <row r="6894" spans="1:9" x14ac:dyDescent="0.3">
      <c r="A6894" s="1" t="s">
        <v>211</v>
      </c>
      <c r="B6894" s="1" t="s">
        <v>212</v>
      </c>
      <c r="C6894" s="1" t="s">
        <v>69</v>
      </c>
      <c r="D6894" s="1" t="s">
        <v>589</v>
      </c>
      <c r="E6894" s="1" t="s">
        <v>10787</v>
      </c>
      <c r="F6894" s="1" t="s">
        <v>10788</v>
      </c>
      <c r="G6894" s="1" t="s">
        <v>15</v>
      </c>
      <c r="H6894" s="1" t="s">
        <v>16</v>
      </c>
      <c r="I6894" s="1" t="str">
        <f ca="1">IFERROR(__xludf.DUMMYFUNCTION("GOOGLETRANSLATE(F6894, ""auto"", ""en"")
"),"The mode switch broke exactly 1 year later. Another month after the repair, the engine burned out...")</f>
        <v>The mode switch broke exactly 1 year later. Another month after the repair, the engine burned out...</v>
      </c>
    </row>
    <row r="6895" spans="1:9" x14ac:dyDescent="0.3">
      <c r="A6895" s="1" t="s">
        <v>61</v>
      </c>
      <c r="B6895" s="1" t="s">
        <v>726</v>
      </c>
      <c r="C6895" s="1" t="s">
        <v>146</v>
      </c>
      <c r="D6895" s="1" t="s">
        <v>411</v>
      </c>
      <c r="E6895" s="1" t="s">
        <v>883</v>
      </c>
      <c r="F6895" s="1" t="s">
        <v>10789</v>
      </c>
      <c r="G6895" s="1" t="s">
        <v>36</v>
      </c>
      <c r="H6895" s="1" t="s">
        <v>29</v>
      </c>
      <c r="I6895" s="1" t="str">
        <f ca="1">IFERROR(__xludf.DUMMYFUNCTION("GOOGLETRANSLATE(F6895, ""auto"", ""en"")
"),"I bought a bread machine and got bread the first time, 3 hours and delicious bread. I recommend it.")</f>
        <v>I bought a bread machine and got bread the first time, 3 hours and delicious bread. I recommend it.</v>
      </c>
    </row>
    <row r="6896" spans="1:9" x14ac:dyDescent="0.3">
      <c r="A6896" s="1" t="s">
        <v>169</v>
      </c>
      <c r="B6896" s="1" t="s">
        <v>170</v>
      </c>
      <c r="C6896" s="1" t="s">
        <v>69</v>
      </c>
      <c r="D6896" s="1" t="s">
        <v>4595</v>
      </c>
      <c r="E6896" s="1" t="s">
        <v>201</v>
      </c>
      <c r="F6896" s="1" t="s">
        <v>10790</v>
      </c>
      <c r="G6896" s="1" t="s">
        <v>36</v>
      </c>
      <c r="H6896" s="1" t="s">
        <v>29</v>
      </c>
      <c r="I6896" s="1" t="str">
        <f ca="1">IFERROR(__xludf.DUMMYFUNCTION("GOOGLETRANSLATE(F6896, ""auto"", ""en"")
"),"Excellent sound, especially low frequencies. I listen to music both through a laptop and through a mobile phone, Nokia 5130. I was pleased with the purchase")</f>
        <v>Excellent sound, especially low frequencies. I listen to music both through a laptop and through a mobile phone, Nokia 5130. I was pleased with the purchase</v>
      </c>
    </row>
    <row r="6897" spans="1:9" x14ac:dyDescent="0.3">
      <c r="A6897" s="1" t="s">
        <v>61</v>
      </c>
      <c r="B6897" s="1" t="s">
        <v>318</v>
      </c>
      <c r="C6897" s="1" t="s">
        <v>2840</v>
      </c>
      <c r="D6897" s="1" t="s">
        <v>10791</v>
      </c>
      <c r="E6897" s="1" t="s">
        <v>3979</v>
      </c>
      <c r="F6897" s="1" t="s">
        <v>10792</v>
      </c>
      <c r="G6897" s="1" t="s">
        <v>28</v>
      </c>
      <c r="H6897" s="1" t="s">
        <v>29</v>
      </c>
      <c r="I6897" s="1" t="str">
        <f ca="1">IFERROR(__xludf.DUMMYFUNCTION("GOOGLETRANSLATE(F6897, ""auto"", ""en"")
"),"The seller’s website states a maximum volume of 1.2 liters, but in fact it’s only 1 liter; you can’t add more water, as the instructions say. And also pay attention to the mark inside the kettle about the maximum water level, it is plastic, it was deliver"&amp;"ed to me with a broken mark. I noticed it only after I received the goods. It's a shame. I ordered it as a gift.")</f>
        <v>The seller’s website states a maximum volume of 1.2 liters, but in fact it’s only 1 liter; you can’t add more water, as the instructions say. And also pay attention to the mark inside the kettle about the maximum water level, it is plastic, it was delivered to me with a broken mark. I noticed it only after I received the goods. It's a shame. I ordered it as a gift.</v>
      </c>
    </row>
    <row r="6898" spans="1:9" x14ac:dyDescent="0.3">
      <c r="A6898" s="1" t="s">
        <v>30</v>
      </c>
      <c r="B6898" s="1" t="s">
        <v>50</v>
      </c>
      <c r="C6898" s="1" t="s">
        <v>658</v>
      </c>
      <c r="D6898" s="1" t="s">
        <v>52</v>
      </c>
      <c r="E6898" s="1" t="s">
        <v>6021</v>
      </c>
      <c r="F6898" s="1" t="s">
        <v>10793</v>
      </c>
      <c r="G6898" s="1" t="s">
        <v>28</v>
      </c>
      <c r="H6898" s="1" t="s">
        <v>29</v>
      </c>
      <c r="I6898" s="1" t="str">
        <f ca="1">IFERROR(__xludf.DUMMYFUNCTION("GOOGLETRANSLATE(F6898, ""auto"", ""en"")
"),"The laptop is super, there are some drawbacks, of course, but in general, compared to price and quality, this is the best mid-class option.  Disadvantages: no software on disk, software only for Vista, but if desired on XP you can download it from the Tos"&amp;"hiba website, no HDMI is bad.  The equipment is of course ridiculous, one might say that it does not exist AT ALL.  And so: it works quietly, there are no flashing lights that are very distracting, the sound is excellent, the sound control roller is old, "&amp;"but more practical than buttons, it’s convenient to open, the inscriptions on the keyboard are clearly visible in the evening without lighting, both Russian and Latin.  The toys work even the latest ones without freezing.    But why spoil such a machine w"&amp;"ith VIST?")</f>
        <v>The laptop is super, there are some drawbacks, of course, but in general, compared to price and quality, this is the best mid-class option.  Disadvantages: no software on disk, software only for Vista, but if desired on XP you can download it from the Toshiba website, no HDMI is bad.  The equipment is of course ridiculous, one might say that it does not exist AT ALL.  And so: it works quietly, there are no flashing lights that are very distracting, the sound is excellent, the sound control roller is old, but more practical than buttons, it’s convenient to open, the inscriptions on the keyboard are clearly visible in the evening without lighting, both Russian and Latin.  The toys work even the latest ones without freezing.    But why spoil such a machine with VIST?</v>
      </c>
    </row>
    <row r="6899" spans="1:9" x14ac:dyDescent="0.3">
      <c r="A6899" s="1" t="s">
        <v>361</v>
      </c>
      <c r="B6899" s="1" t="s">
        <v>462</v>
      </c>
      <c r="C6899" s="1" t="s">
        <v>463</v>
      </c>
      <c r="D6899" s="1" t="s">
        <v>922</v>
      </c>
      <c r="E6899" s="1" t="s">
        <v>3792</v>
      </c>
      <c r="F6899" s="1" t="s">
        <v>10794</v>
      </c>
      <c r="G6899" s="1" t="s">
        <v>36</v>
      </c>
      <c r="H6899" s="1" t="s">
        <v>29</v>
      </c>
      <c r="I6899" s="1" t="str">
        <f ca="1">IFERROR(__xludf.DUMMYFUNCTION("GOOGLETRANSLATE(F6899, ""auto"", ""en"")
"),"We have such a problem, hard water, and when you pour tea or coffee, there is some kind of film on top, I can’t drink tea like that, and for me this is always a problem, so I have to buy water separately for tea. We bought this filter a couple of days ago"&amp;", it cleans the water well, there is no film of any kind, and the water has no smell either. I hope that one filter will be enough for a month.")</f>
        <v>We have such a problem, hard water, and when you pour tea or coffee, there is some kind of film on top, I can’t drink tea like that, and for me this is always a problem, so I have to buy water separately for tea. We bought this filter a couple of days ago, it cleans the water well, there is no film of any kind, and the water has no smell either. I hope that one filter will be enough for a month.</v>
      </c>
    </row>
    <row r="6900" spans="1:9" x14ac:dyDescent="0.3">
      <c r="A6900" s="1" t="s">
        <v>211</v>
      </c>
      <c r="B6900" s="1" t="s">
        <v>601</v>
      </c>
      <c r="C6900" s="1" t="s">
        <v>602</v>
      </c>
      <c r="D6900" s="1" t="s">
        <v>280</v>
      </c>
      <c r="E6900" s="1" t="s">
        <v>3726</v>
      </c>
      <c r="F6900" s="1" t="s">
        <v>10795</v>
      </c>
      <c r="G6900" s="1" t="s">
        <v>36</v>
      </c>
      <c r="H6900" s="1" t="s">
        <v>29</v>
      </c>
      <c r="I6900" s="1" t="str">
        <f ca="1">IFERROR(__xludf.DUMMYFUNCTION("GOOGLETRANSLATE(F6900, ""auto"", ""en"")
"),"I change brushes periodically. This time I settled on this one. No complaints. After the procedure, you can feel your teeth being cleaned.")</f>
        <v>I change brushes periodically. This time I settled on this one. No complaints. After the procedure, you can feel your teeth being cleaned.</v>
      </c>
    </row>
    <row r="6901" spans="1:9" x14ac:dyDescent="0.3">
      <c r="A6901" s="1" t="s">
        <v>206</v>
      </c>
      <c r="B6901" s="1" t="s">
        <v>207</v>
      </c>
      <c r="C6901" s="1" t="s">
        <v>351</v>
      </c>
      <c r="D6901" s="1" t="s">
        <v>39</v>
      </c>
      <c r="E6901" s="1" t="s">
        <v>10796</v>
      </c>
      <c r="F6901" s="1" t="s">
        <v>10797</v>
      </c>
      <c r="G6901" s="1" t="s">
        <v>36</v>
      </c>
      <c r="H6901" s="1" t="s">
        <v>29</v>
      </c>
      <c r="I6901" s="1" t="str">
        <f ca="1">IFERROR(__xludf.DUMMYFUNCTION("GOOGLETRANSLATE(F6901, ""auto"", ""en"")
"),"Great sub. For that kind of money it is completely worth it. Today I installed a Ford Focus 2 sedan, excellent audibility and excellent pumping. I give it +5.")</f>
        <v>Great sub. For that kind of money it is completely worth it. Today I installed a Ford Focus 2 sedan, excellent audibility and excellent pumping. I give it +5.</v>
      </c>
    </row>
    <row r="6902" spans="1:9" x14ac:dyDescent="0.3">
      <c r="A6902" s="1" t="s">
        <v>9</v>
      </c>
      <c r="B6902" s="1" t="s">
        <v>133</v>
      </c>
      <c r="C6902" s="1" t="s">
        <v>24</v>
      </c>
      <c r="D6902" s="1" t="s">
        <v>483</v>
      </c>
      <c r="E6902" s="1" t="s">
        <v>128</v>
      </c>
      <c r="F6902" s="1" t="s">
        <v>10798</v>
      </c>
      <c r="G6902" s="1" t="s">
        <v>36</v>
      </c>
      <c r="H6902" s="1" t="s">
        <v>29</v>
      </c>
      <c r="I6902" s="1" t="str">
        <f ca="1">IFERROR(__xludf.DUMMYFUNCTION("GOOGLETRANSLATE(F6902, ""auto"", ""en"")
"),"I’ve been using the oven for a month now, but very often! There were no competitors when choosing! I was impressed by the equipment: spit, guides, and low energy consumption - 2500 kW. Cooks great! Lots of functions, we haven’t even explored them all yet!"&amp;" In general, some advantages! But there are also disadvantages: a specific smell is still released during cooking (the instructions say that it should only be present during the first heating), and sometimes the recessed temperature control knob gets slig"&amp;"htly stuck, the second knob is perfectly recessed and extends!")</f>
        <v>I’ve been using the oven for a month now, but very often! There were no competitors when choosing! I was impressed by the equipment: spit, guides, and low energy consumption - 2500 kW. Cooks great! Lots of functions, we haven’t even explored them all yet! In general, some advantages! But there are also disadvantages: a specific smell is still released during cooking (the instructions say that it should only be present during the first heating), and sometimes the recessed temperature control knob gets slightly stuck, the second knob is perfectly recessed and extends!</v>
      </c>
    </row>
    <row r="6903" spans="1:9" x14ac:dyDescent="0.3">
      <c r="A6903" s="1" t="s">
        <v>61</v>
      </c>
      <c r="B6903" s="1" t="s">
        <v>318</v>
      </c>
      <c r="C6903" s="1" t="s">
        <v>74</v>
      </c>
      <c r="D6903" s="1" t="s">
        <v>152</v>
      </c>
      <c r="E6903" s="1" t="s">
        <v>820</v>
      </c>
      <c r="F6903" s="1" t="s">
        <v>10799</v>
      </c>
      <c r="G6903" s="1" t="s">
        <v>36</v>
      </c>
      <c r="H6903" s="1" t="s">
        <v>29</v>
      </c>
      <c r="I6903" s="1" t="str">
        <f ca="1">IFERROR(__xludf.DUMMYFUNCTION("GOOGLETRANSLATE(F6903, ""auto"", ""en"")
"),"I chose between Bosch TWK 6801, Philips HD4654(64), Vitek VT-1106 and Moulinex BY500130. I read the reviews on these models and bought Moulinex BY500130, since it had the least number of negative reviews, and I can tell you that I am satisfied with the ch"&amp;"oice. The kettle is not noisy, but at first in the morning, in absolute silence, it seemed that it would wake up all the sleeping family members. The lid opens at an angle of 70 degrees, pouring water at first was inconvenient. Boils 1.7 liters of water i"&amp;"n ~5 minutes. Personally, after the purchase, I was worried about one thing: would there be problems with the kettle automatically turning off after boiling water and so that the kettle would not leak after a couple of days of use. Over 3 months of use, t"&amp;"he kettle did not automatically turn off 3 times after the water boiled, and the kettle was both full (1.7 l) and half full (~1 l). No other significant problems were found. Overall I'm happy with the purchase.")</f>
        <v>I chose between Bosch TWK 6801, Philips HD4654(64), Vitek VT-1106 and Moulinex BY500130. I read the reviews on these models and bought Moulinex BY500130, since it had the least number of negative reviews, and I can tell you that I am satisfied with the choice. The kettle is not noisy, but at first in the morning, in absolute silence, it seemed that it would wake up all the sleeping family members. The lid opens at an angle of 70 degrees, pouring water at first was inconvenient. Boils 1.7 liters of water in ~5 minutes. Personally, after the purchase, I was worried about one thing: would there be problems with the kettle automatically turning off after boiling water and so that the kettle would not leak after a couple of days of use. Over 3 months of use, the kettle did not automatically turn off 3 times after the water boiled, and the kettle was both full (1.7 l) and half full (~1 l). No other significant problems were found. Overall I'm happy with the purchase.</v>
      </c>
    </row>
    <row r="6904" spans="1:9" x14ac:dyDescent="0.3">
      <c r="A6904" s="1" t="s">
        <v>211</v>
      </c>
      <c r="B6904" s="1" t="s">
        <v>856</v>
      </c>
      <c r="C6904" s="1" t="s">
        <v>57</v>
      </c>
      <c r="D6904" s="1" t="s">
        <v>456</v>
      </c>
      <c r="E6904" s="1" t="s">
        <v>6180</v>
      </c>
      <c r="F6904" s="1" t="s">
        <v>10800</v>
      </c>
      <c r="G6904" s="1" t="s">
        <v>36</v>
      </c>
      <c r="H6904" s="1" t="s">
        <v>29</v>
      </c>
      <c r="I6904" s="1" t="str">
        <f ca="1">IFERROR(__xludf.DUMMYFUNCTION("GOOGLETRANSLATE(F6904, ""auto"", ""en"")
"),"A wonderful set, especially for the price. 3 years ago I saw it on the store’s website, however, it cost about 800 rubles at the time, and I asked my husband to give it to me. I have never regretted it. The battery, of course, is rather weak, but you can "&amp;"use it without disconnecting it from the network. And then that’s what you need. Of course, for those who, during the manicure process, want to completely cut off their entire nail plate and leave only the skin, this device is rather weak. And for normal,"&amp;" gentle processing it’s a wonderful thing!!!")</f>
        <v>A wonderful set, especially for the price. 3 years ago I saw it on the store’s website, however, it cost about 800 rubles at the time, and I asked my husband to give it to me. I have never regretted it. The battery, of course, is rather weak, but you can use it without disconnecting it from the network. And then that’s what you need. Of course, for those who, during the manicure process, want to completely cut off their entire nail plate and leave only the skin, this device is rather weak. And for normal, gentle processing it’s a wonderful thing!!!</v>
      </c>
    </row>
    <row r="6905" spans="1:9" x14ac:dyDescent="0.3">
      <c r="A6905" s="1" t="s">
        <v>43</v>
      </c>
      <c r="B6905" s="1" t="s">
        <v>1370</v>
      </c>
      <c r="C6905" s="1" t="s">
        <v>2137</v>
      </c>
      <c r="D6905" s="1" t="s">
        <v>102</v>
      </c>
      <c r="E6905" s="1" t="s">
        <v>10801</v>
      </c>
      <c r="F6905" s="1" t="s">
        <v>10802</v>
      </c>
      <c r="G6905" s="1" t="s">
        <v>36</v>
      </c>
      <c r="H6905" s="1" t="s">
        <v>29</v>
      </c>
      <c r="I6905" s="1" t="str">
        <f ca="1">IFERROR(__xludf.DUMMYFUNCTION("GOOGLETRANSLATE(F6905, ""auto"", ""en"")
"),"The water runs warm and pleasant. I tried it today and took a shower comfortably. The pressure is normal, I even inserted a second ring into the watering can, because it was really hot with the little one! In general, I’m happy, it’s easy to install, my h"&amp;"ouse is new, the voltage and power are at the right level, it happens in the summer)))")</f>
        <v>The water runs warm and pleasant. I tried it today and took a shower comfortably. The pressure is normal, I even inserted a second ring into the watering can, because it was really hot with the little one! In general, I’m happy, it’s easy to install, my house is new, the voltage and power are at the right level, it happens in the summer)))</v>
      </c>
    </row>
    <row r="6906" spans="1:9" x14ac:dyDescent="0.3">
      <c r="A6906" s="1" t="s">
        <v>43</v>
      </c>
      <c r="B6906" s="1" t="s">
        <v>303</v>
      </c>
      <c r="C6906" s="1" t="s">
        <v>665</v>
      </c>
      <c r="D6906" s="1" t="s">
        <v>208</v>
      </c>
      <c r="E6906" s="1" t="s">
        <v>651</v>
      </c>
      <c r="F6906" s="1" t="s">
        <v>10803</v>
      </c>
      <c r="G6906" s="1" t="s">
        <v>36</v>
      </c>
      <c r="H6906" s="1" t="s">
        <v>29</v>
      </c>
      <c r="I6906" s="1" t="str">
        <f ca="1">IFERROR(__xludf.DUMMYFUNCTION("GOOGLETRANSLATE(F6906, ""auto"", ""en"")
"),"Instead of a sink, I connected it with hoses, hot to hot, cold to cold. I shut off the hot water riser (so as not to supply the entire entrance). The result was a supply of hot water to the mixer in the bathtub. It heats up quite quickly, holds the temper"&amp;"ature very well, while the case is cold. It makes no noise at all when heating up. During the first set, the tank cracked from pressure. Everyone is happy, everything is fine.")</f>
        <v>Instead of a sink, I connected it with hoses, hot to hot, cold to cold. I shut off the hot water riser (so as not to supply the entire entrance). The result was a supply of hot water to the mixer in the bathtub. It heats up quite quickly, holds the temperature very well, while the case is cold. It makes no noise at all when heating up. During the first set, the tank cracked from pressure. Everyone is happy, everything is fine.</v>
      </c>
    </row>
    <row r="6907" spans="1:9" x14ac:dyDescent="0.3">
      <c r="A6907" s="1" t="s">
        <v>37</v>
      </c>
      <c r="B6907" s="1" t="s">
        <v>38</v>
      </c>
      <c r="C6907" s="1" t="s">
        <v>151</v>
      </c>
      <c r="D6907" s="1" t="s">
        <v>467</v>
      </c>
      <c r="E6907" s="1" t="s">
        <v>1586</v>
      </c>
      <c r="F6907" s="1" t="s">
        <v>10804</v>
      </c>
      <c r="G6907" s="1" t="s">
        <v>36</v>
      </c>
      <c r="H6907" s="1" t="s">
        <v>29</v>
      </c>
      <c r="I6907" s="1" t="str">
        <f ca="1">IFERROR(__xludf.DUMMYFUNCTION("GOOGLETRANSLATE(F6907, ""auto"", ""en"")
"),"I bought it 2 months ago. The phone is very good. For the money it's just a wonderful device. Camera 5+. I recently lost it((I will buy IT again!!!! I recommend it to everyone!")</f>
        <v>I bought it 2 months ago. The phone is very good. For the money it's just a wonderful device. Camera 5+. I recently lost it((I will buy IT again!!!! I recommend it to everyone!</v>
      </c>
    </row>
    <row r="6908" spans="1:9" x14ac:dyDescent="0.3">
      <c r="A6908" s="1" t="s">
        <v>43</v>
      </c>
      <c r="B6908" s="1" t="s">
        <v>44</v>
      </c>
      <c r="C6908" s="1" t="s">
        <v>185</v>
      </c>
      <c r="D6908" s="1" t="s">
        <v>52</v>
      </c>
      <c r="E6908" s="1" t="s">
        <v>2298</v>
      </c>
      <c r="F6908" s="1" t="s">
        <v>10805</v>
      </c>
      <c r="G6908" s="1" t="s">
        <v>36</v>
      </c>
      <c r="H6908" s="1" t="s">
        <v>29</v>
      </c>
      <c r="I6908" s="1" t="str">
        <f ca="1">IFERROR(__xludf.DUMMYFUNCTION("GOOGLETRANSLATE(F6908, ""auto"", ""en"")
"),"I purchased this fan yesterday. Happy! Works quietly. The remote control and timer are extremely useful things. I recommend it.")</f>
        <v>I purchased this fan yesterday. Happy! Works quietly. The remote control and timer are extremely useful things. I recommend it.</v>
      </c>
    </row>
    <row r="6909" spans="1:9" x14ac:dyDescent="0.3">
      <c r="A6909" s="1" t="s">
        <v>120</v>
      </c>
      <c r="B6909" s="1" t="s">
        <v>1205</v>
      </c>
      <c r="C6909" s="1" t="s">
        <v>1430</v>
      </c>
      <c r="D6909" s="1" t="s">
        <v>172</v>
      </c>
      <c r="E6909" s="1" t="s">
        <v>1467</v>
      </c>
      <c r="F6909" s="1" t="s">
        <v>10806</v>
      </c>
      <c r="G6909" s="1" t="s">
        <v>36</v>
      </c>
      <c r="H6909" s="1" t="s">
        <v>29</v>
      </c>
      <c r="I6909" s="1" t="str">
        <f ca="1">IFERROR(__xludf.DUMMYFUNCTION("GOOGLETRANSLATE(F6909, ""auto"", ""en"")
"),"I recently purchased this kit and had no problems with installation. I turned on the compass on my smartphone (available on any smartphone with an accelerometer), found the desired azimuth (available on the NTV+ website) and achieved 100% quality in liter"&amp;"ally 10 minutes. I connected to channel 941, activated the contract on the website and everything started showing. The Humax va-4sd receiver was immediately updated and the signal quality dropped slightly by 10%, and all the channels were lost, there were"&amp;" 1000+ of them and only 200. I adjusted it and tightened the bolts, and since then everything has been showing perfectly on the 40-inch Philips TV. I recommend it to everyone!  The only disadvantage I consider for myself is the time shift, in Tyumen the t"&amp;"ime zone is GMT +6 (+2 to Moscow time), and all channels on the eutelsat w4 satellite show Moscow time and nothing else. I don’t know yet how I’ll celebrate the New Year :)")</f>
        <v>I recently purchased this kit and had no problems with installation. I turned on the compass on my smartphone (available on any smartphone with an accelerometer), found the desired azimuth (available on the NTV+ website) and achieved 100% quality in literally 10 minutes. I connected to channel 941, activated the contract on the website and everything started showing. The Humax va-4sd receiver was immediately updated and the signal quality dropped slightly by 10%, and all the channels were lost, there were 1000+ of them and only 200. I adjusted it and tightened the bolts, and since then everything has been showing perfectly on the 40-inch Philips TV. I recommend it to everyone!  The only disadvantage I consider for myself is the time shift, in Tyumen the time zone is GMT +6 (+2 to Moscow time), and all channels on the eutelsat w4 satellite show Moscow time and nothing else. I don’t know yet how I’ll celebrate the New Year :)</v>
      </c>
    </row>
    <row r="6910" spans="1:9" x14ac:dyDescent="0.3">
      <c r="A6910" s="1" t="s">
        <v>149</v>
      </c>
      <c r="B6910" s="1" t="s">
        <v>423</v>
      </c>
      <c r="C6910" s="1" t="s">
        <v>531</v>
      </c>
      <c r="D6910" s="1" t="s">
        <v>411</v>
      </c>
      <c r="E6910" s="1" t="s">
        <v>6352</v>
      </c>
      <c r="F6910" s="1" t="s">
        <v>10807</v>
      </c>
      <c r="G6910" s="1" t="s">
        <v>28</v>
      </c>
      <c r="H6910" s="1" t="s">
        <v>29</v>
      </c>
      <c r="I6910" s="1" t="str">
        <f ca="1">IFERROR(__xludf.DUMMYFUNCTION("GOOGLETRANSLATE(F6910, ""auto"", ""en"")
"),"I've been using it for a year. Powerful, but a bit heavy. Stupid power regulator. Problem with cord winding (do not leave the cord extended for a long time). I cleaned the hose twice: its lumen is narrowed by the water supply tube and becomes clogged (my "&amp;"daughter’s long hair). I changed the filters - a set of 300 rubles. Cleaning up after cleaning is not difficult.")</f>
        <v>I've been using it for a year. Powerful, but a bit heavy. Stupid power regulator. Problem with cord winding (do not leave the cord extended for a long time). I cleaned the hose twice: its lumen is narrowed by the water supply tube and becomes clogged (my daughter’s long hair). I changed the filters - a set of 300 rubles. Cleaning up after cleaning is not difficult.</v>
      </c>
    </row>
    <row r="6911" spans="1:9" x14ac:dyDescent="0.3">
      <c r="A6911" s="1" t="s">
        <v>624</v>
      </c>
      <c r="B6911" s="1" t="s">
        <v>2107</v>
      </c>
      <c r="C6911" s="1" t="s">
        <v>479</v>
      </c>
      <c r="D6911" s="1" t="s">
        <v>4730</v>
      </c>
      <c r="E6911" s="1" t="s">
        <v>3284</v>
      </c>
      <c r="F6911" s="1" t="s">
        <v>10808</v>
      </c>
      <c r="G6911" s="1" t="s">
        <v>49</v>
      </c>
      <c r="H6911" s="1" t="s">
        <v>16</v>
      </c>
      <c r="I6911" s="1" t="str">
        <f ca="1">IFERROR(__xludf.DUMMYFUNCTION("GOOGLETRANSLATE(F6911, ""auto"", ""en"")
"),"I bought the game today! And it turned out to be a complete disappointment for me!  It seems that in the end the developer released it in a hurry! As a result, it is a very crude product, which also periodically “glitches”. The only thing that makes you p"&amp;"lay it is the presence of the Russian champion. If I were faced with a choice again, it would have ended clearly not in favor of this product from EA sports. The game was frankly disappointing.")</f>
        <v>I bought the game today! And it turned out to be a complete disappointment for me!  It seems that in the end the developer released it in a hurry! As a result, it is a very crude product, which also periodically “glitches”. The only thing that makes you play it is the presence of the Russian champion. If I were faced with a choice again, it would have ended clearly not in favor of this product from EA sports. The game was frankly disappointing.</v>
      </c>
    </row>
    <row r="6912" spans="1:9" x14ac:dyDescent="0.3">
      <c r="A6912" s="1" t="s">
        <v>211</v>
      </c>
      <c r="B6912" s="1" t="s">
        <v>789</v>
      </c>
      <c r="C6912" s="1" t="s">
        <v>69</v>
      </c>
      <c r="D6912" s="1" t="s">
        <v>308</v>
      </c>
      <c r="E6912" s="1" t="s">
        <v>661</v>
      </c>
      <c r="F6912" s="1" t="s">
        <v>10809</v>
      </c>
      <c r="G6912" s="1" t="s">
        <v>36</v>
      </c>
      <c r="H6912" s="1" t="s">
        <v>29</v>
      </c>
      <c r="I6912" s="1" t="str">
        <f ca="1">IFERROR(__xludf.DUMMYFUNCTION("GOOGLETRANSLATE(F6912, ""auto"", ""en"")
"),"A good food warmer, a necessary attribute for parents. It is not recommended to heat formulas and baby food (purees) in microwave ovens, so this accessory is very useful for young parents. It also heats not only bottles, but also VIA containers from Phili"&amp;"ps Avent with food (cereals, purees...)")</f>
        <v>A good food warmer, a necessary attribute for parents. It is not recommended to heat formulas and baby food (purees) in microwave ovens, so this accessory is very useful for young parents. It also heats not only bottles, but also VIA containers from Philips Avent with food (cereals, purees...)</v>
      </c>
    </row>
    <row r="6913" spans="1:9" x14ac:dyDescent="0.3">
      <c r="A6913" s="1" t="s">
        <v>211</v>
      </c>
      <c r="B6913" s="1" t="s">
        <v>2818</v>
      </c>
      <c r="C6913" s="1" t="s">
        <v>122</v>
      </c>
      <c r="D6913" s="1" t="s">
        <v>690</v>
      </c>
      <c r="E6913" s="1" t="s">
        <v>8366</v>
      </c>
      <c r="F6913" s="1" t="s">
        <v>10810</v>
      </c>
      <c r="G6913" s="1" t="s">
        <v>36</v>
      </c>
      <c r="H6913" s="1" t="s">
        <v>29</v>
      </c>
      <c r="I6913" s="1" t="str">
        <f ca="1">IFERROR(__xludf.DUMMYFUNCTION("GOOGLETRANSLATE(F6913, ""auto"", ""en"")
"),"I broke the supplied mesh through negligence, I thought that now I would have to throw away the razor, because it cannot be used without the mesh. I accidentally came across consumables in the mvideo. For ES8043 there was only this one. But I liked her. I"&amp;"nstalls just as easily as the original one. It feels a little thinner, doesn’t get hot when working, and lets every single hair through. The shave became subjectively cleaner.")</f>
        <v>I broke the supplied mesh through negligence, I thought that now I would have to throw away the razor, because it cannot be used without the mesh. I accidentally came across consumables in the mvideo. For ES8043 there was only this one. But I liked her. Installs just as easily as the original one. It feels a little thinner, doesn’t get hot when working, and lets every single hair through. The shave became subjectively cleaner.</v>
      </c>
    </row>
    <row r="6914" spans="1:9" x14ac:dyDescent="0.3">
      <c r="A6914" s="1" t="s">
        <v>211</v>
      </c>
      <c r="B6914" s="1" t="s">
        <v>212</v>
      </c>
      <c r="C6914" s="1" t="s">
        <v>101</v>
      </c>
      <c r="D6914" s="1" t="s">
        <v>2096</v>
      </c>
      <c r="E6914" s="1" t="s">
        <v>552</v>
      </c>
      <c r="F6914" s="1" t="s">
        <v>10811</v>
      </c>
      <c r="G6914" s="1" t="s">
        <v>15</v>
      </c>
      <c r="H6914" s="1" t="s">
        <v>16</v>
      </c>
      <c r="I6914" s="1" t="str">
        <f ca="1">IFERROR(__xludf.DUMMYFUNCTION("GOOGLETRANSLATE(F6914, ""auto"", ""en"")
"),"I have one like this now. I don't like. The hair is burnt and doesn't last long. After about three hours the hair becomes frizzy again. so get something better. don't spare money")</f>
        <v>I have one like this now. I don't like. The hair is burnt and doesn't last long. After about three hours the hair becomes frizzy again. so get something better. don't spare money</v>
      </c>
    </row>
    <row r="6915" spans="1:9" x14ac:dyDescent="0.3">
      <c r="A6915" s="1" t="s">
        <v>169</v>
      </c>
      <c r="B6915" s="1" t="s">
        <v>170</v>
      </c>
      <c r="C6915" s="1" t="s">
        <v>122</v>
      </c>
      <c r="D6915" s="1" t="s">
        <v>940</v>
      </c>
      <c r="E6915" s="1" t="s">
        <v>2938</v>
      </c>
      <c r="F6915" s="1" t="s">
        <v>10812</v>
      </c>
      <c r="G6915" s="1" t="s">
        <v>36</v>
      </c>
      <c r="H6915" s="1" t="s">
        <v>29</v>
      </c>
      <c r="I6915" s="1" t="str">
        <f ca="1">IFERROR(__xludf.DUMMYFUNCTION("GOOGLETRANSLATE(F6915, ""auto"", ""en"")
"),"All frequencies in moderation, sit comfortably, do not strain. I was looking for one with a long cable to connect to the TV. Very happy with the purchase")</f>
        <v>All frequencies in moderation, sit comfortably, do not strain. I was looking for one with a long cable to connect to the TV. Very happy with the purchase</v>
      </c>
    </row>
    <row r="6916" spans="1:9" x14ac:dyDescent="0.3">
      <c r="A6916" s="1" t="s">
        <v>17</v>
      </c>
      <c r="B6916" s="1" t="s">
        <v>18</v>
      </c>
      <c r="C6916" s="1" t="s">
        <v>151</v>
      </c>
      <c r="D6916" s="1" t="s">
        <v>280</v>
      </c>
      <c r="E6916" s="1" t="s">
        <v>3676</v>
      </c>
      <c r="F6916" s="1" t="s">
        <v>10813</v>
      </c>
      <c r="G6916" s="1" t="s">
        <v>28</v>
      </c>
      <c r="H6916" s="1" t="s">
        <v>29</v>
      </c>
      <c r="I6916" s="1" t="str">
        <f ca="1">IFERROR(__xludf.DUMMYFUNCTION("GOOGLETRANSLATE(F6916, ""auto"", ""en"")
"),"Delivered today 08/20/2010 (late).  I spent a long time choosing a machine to replace the Ariston AVSL109 (it worked for 5 years, the board burned out). Having narrowed the choice, I settled on two machines: LG F1068LD1 and Samsung WF 8590NFW. Main criter"&amp;"ia: 1) depth 45 cm; 2) 1000 rpm; 3) easy ironing; 4) children's things; 5) no more than 15 tr.  The following “chips” played in favor of choosing Samsung: 1) ceramic heating element (for a long time, despite the scale - our water is hard); 2) VoltControl "&amp;"system (I don’t know if this model has it - the seller said that more expensive ones have it); 3) Chinese, but Russian assembly (like LG).  The 5-year Certificate (no matter what happens) played in favor of choosing a car from M.video, although along the "&amp;"way this car was cheaper from another Seller, and they promised to deliver it on the same day or the next before lunch + I had previously bought various equipment from M.video (the certificate works).    The first difference from what was before is the so"&amp;"und. It feels like electricity was supplied to the engine, but there is not enough of it, the engine hums, but “does not work” - it is in a “stressed” state.  When the spin starts, the sound resembles the sound of an airplane about to take off; when it en"&amp;"ds, it resembles the sound of a landing airplane stopping its engines.  Regarding the quality of washing and the effectiveness of the modes (including the “light ironing” that interests me), I will write later, after using the machine more and longer.")</f>
        <v>Delivered today 08/20/2010 (late).  I spent a long time choosing a machine to replace the Ariston AVSL109 (it worked for 5 years, the board burned out). Having narrowed the choice, I settled on two machines: LG F1068LD1 and Samsung WF 8590NFW. Main criteria: 1) depth 45 cm; 2) 1000 rpm; 3) easy ironing; 4) children's things; 5) no more than 15 tr.  The following “chips” played in favor of choosing Samsung: 1) ceramic heating element (for a long time, despite the scale - our water is hard); 2) VoltControl system (I don’t know if this model has it - the seller said that more expensive ones have it); 3) Chinese, but Russian assembly (like LG).  The 5-year Certificate (no matter what happens) played in favor of choosing a car from M.video, although along the way this car was cheaper from another Seller, and they promised to deliver it on the same day or the next before lunch + I had previously bought various equipment from M.video (the certificate works).    The first difference from what was before is the sound. It feels like electricity was supplied to the engine, but there is not enough of it, the engine hums, but “does not work” - it is in a “stressed” state.  When the spin starts, the sound resembles the sound of an airplane about to take off; when it ends, it resembles the sound of a landing airplane stopping its engines.  Regarding the quality of washing and the effectiveness of the modes (including the “light ironing” that interests me), I will write later, after using the machine more and longer.</v>
      </c>
    </row>
    <row r="6917" spans="1:9" x14ac:dyDescent="0.3">
      <c r="A6917" s="1" t="s">
        <v>37</v>
      </c>
      <c r="B6917" s="1" t="s">
        <v>38</v>
      </c>
      <c r="C6917" s="1" t="s">
        <v>163</v>
      </c>
      <c r="D6917" s="1" t="s">
        <v>2130</v>
      </c>
      <c r="E6917" s="1" t="s">
        <v>26</v>
      </c>
      <c r="F6917" s="1" t="s">
        <v>10814</v>
      </c>
      <c r="G6917" s="1" t="s">
        <v>36</v>
      </c>
      <c r="H6917" s="1" t="s">
        <v>29</v>
      </c>
      <c r="I6917" s="1" t="str">
        <f ca="1">IFERROR(__xludf.DUMMYFUNCTION("GOOGLETRANSLATE(F6917, ""auto"", ""en"")
"),"good device!!!!!!")</f>
        <v>good device!!!!!!</v>
      </c>
    </row>
    <row r="6918" spans="1:9" x14ac:dyDescent="0.3">
      <c r="A6918" s="1" t="s">
        <v>9</v>
      </c>
      <c r="B6918" s="1" t="s">
        <v>133</v>
      </c>
      <c r="C6918" s="1" t="s">
        <v>24</v>
      </c>
      <c r="D6918" s="1" t="s">
        <v>1004</v>
      </c>
      <c r="E6918" s="1" t="s">
        <v>187</v>
      </c>
      <c r="F6918" s="1" t="s">
        <v>10815</v>
      </c>
      <c r="G6918" s="1" t="s">
        <v>36</v>
      </c>
      <c r="H6918" s="1" t="s">
        <v>29</v>
      </c>
      <c r="I6918" s="1" t="str">
        <f ca="1">IFERROR(__xludf.DUMMYFUNCTION("GOOGLETRANSLATE(F6918, ""auto"", ""en"")
"),"Very easy to use and multifunctional!")</f>
        <v>Very easy to use and multifunctional!</v>
      </c>
    </row>
    <row r="6919" spans="1:9" x14ac:dyDescent="0.3">
      <c r="A6919" s="1" t="s">
        <v>61</v>
      </c>
      <c r="B6919" s="1" t="s">
        <v>318</v>
      </c>
      <c r="C6919" s="1" t="s">
        <v>246</v>
      </c>
      <c r="D6919" s="1" t="s">
        <v>786</v>
      </c>
      <c r="E6919" s="1" t="s">
        <v>787</v>
      </c>
      <c r="F6919" s="1" t="s">
        <v>10816</v>
      </c>
      <c r="G6919" s="1" t="s">
        <v>36</v>
      </c>
      <c r="H6919" s="1" t="s">
        <v>29</v>
      </c>
      <c r="I6919" s="1" t="str">
        <f ca="1">IFERROR(__xludf.DUMMYFUNCTION("GOOGLETRANSLATE(F6919, ""auto"", ""en"")
"),"Super, it’s a little noisy, like the Boshevskie ones, but I use it to the fullest.  The thermostat must be installed clearly according to the division, otherwise the km will speed up and not heat up")</f>
        <v>Super, it’s a little noisy, like the Boshevskie ones, but I use it to the fullest.  The thermostat must be installed clearly according to the division, otherwise the km will speed up and not heat up</v>
      </c>
    </row>
    <row r="6920" spans="1:9" x14ac:dyDescent="0.3">
      <c r="A6920" s="1" t="s">
        <v>37</v>
      </c>
      <c r="B6920" s="1" t="s">
        <v>536</v>
      </c>
      <c r="C6920" s="1" t="s">
        <v>151</v>
      </c>
      <c r="D6920" s="1" t="s">
        <v>64</v>
      </c>
      <c r="E6920" s="1" t="s">
        <v>6851</v>
      </c>
      <c r="F6920" s="1" t="s">
        <v>10817</v>
      </c>
      <c r="G6920" s="1" t="s">
        <v>28</v>
      </c>
      <c r="H6920" s="1" t="s">
        <v>29</v>
      </c>
      <c r="I6920" s="1" t="str">
        <f ca="1">IFERROR(__xludf.DUMMYFUNCTION("GOOGLETRANSLATE(F6920, ""auto"", ""en"")
"),"Excellent device in terms of functions! But there is a defect - the screen is quickly scratched with a stylus and the screen is “recalibrated”. Replaced 2 devices under warranty")</f>
        <v>Excellent device in terms of functions! But there is a defect - the screen is quickly scratched with a stylus and the screen is “recalibrated”. Replaced 2 devices under warranty</v>
      </c>
    </row>
    <row r="6921" spans="1:9" x14ac:dyDescent="0.3">
      <c r="A6921" s="1" t="s">
        <v>61</v>
      </c>
      <c r="B6921" s="1" t="s">
        <v>224</v>
      </c>
      <c r="C6921" s="1" t="s">
        <v>74</v>
      </c>
      <c r="D6921" s="1" t="s">
        <v>1506</v>
      </c>
      <c r="E6921" s="1" t="s">
        <v>950</v>
      </c>
      <c r="F6921" s="1" t="s">
        <v>10818</v>
      </c>
      <c r="G6921" s="1" t="s">
        <v>36</v>
      </c>
      <c r="H6921" s="1" t="s">
        <v>29</v>
      </c>
      <c r="I6921" s="1" t="str">
        <f ca="1">IFERROR(__xludf.DUMMYFUNCTION("GOOGLETRANSLATE(F6921, ""auto"", ""en"")
"),"squeezes out perfectly, carrot cake turns into dry sawdust. washes easily and quickly, compact.")</f>
        <v>squeezes out perfectly, carrot cake turns into dry sawdust. washes easily and quickly, compact.</v>
      </c>
    </row>
    <row r="6922" spans="1:9" x14ac:dyDescent="0.3">
      <c r="A6922" s="1" t="s">
        <v>37</v>
      </c>
      <c r="B6922" s="1" t="s">
        <v>536</v>
      </c>
      <c r="C6922" s="1" t="s">
        <v>1419</v>
      </c>
      <c r="D6922" s="1" t="s">
        <v>10819</v>
      </c>
      <c r="E6922" s="1" t="s">
        <v>750</v>
      </c>
      <c r="F6922" s="1" t="s">
        <v>10820</v>
      </c>
      <c r="G6922" s="1" t="s">
        <v>36</v>
      </c>
      <c r="H6922" s="1" t="s">
        <v>29</v>
      </c>
      <c r="I6922" s="1" t="str">
        <f ca="1">IFERROR(__xludf.DUMMYFUNCTION("GOOGLETRANSLATE(F6922, ""auto"", ""en"")
"),"find a similar device within 10 thousand)))) if you install buggy programs? then any device will hang, drivers from shkoder and slabnoff regulate the processor frequency. No additional antenna is required; it picks up satellites in 4 minutes and doesn’t l"&amp;"et go. And what kind of registry editing are you talking about, even after flashing it is not required, you apparently mixed up the CHANt device")</f>
        <v>find a similar device within 10 thousand)))) if you install buggy programs? then any device will hang, drivers from shkoder and slabnoff regulate the processor frequency. No additional antenna is required; it picks up satellites in 4 minutes and doesn’t let go. And what kind of registry editing are you talking about, even after flashing it is not required, you apparently mixed up the CHANt device</v>
      </c>
    </row>
    <row r="6923" spans="1:9" x14ac:dyDescent="0.3">
      <c r="A6923" s="1" t="s">
        <v>9</v>
      </c>
      <c r="B6923" s="1" t="s">
        <v>137</v>
      </c>
      <c r="C6923" s="1" t="s">
        <v>24</v>
      </c>
      <c r="D6923" s="1" t="s">
        <v>10821</v>
      </c>
      <c r="E6923" s="1" t="s">
        <v>3805</v>
      </c>
      <c r="F6923" s="1" t="s">
        <v>10822</v>
      </c>
      <c r="G6923" s="1" t="s">
        <v>36</v>
      </c>
      <c r="H6923" s="1" t="s">
        <v>29</v>
      </c>
      <c r="I6923" s="1" t="str">
        <f ca="1">IFERROR(__xludf.DUMMYFUNCTION("GOOGLETRANSLATE(F6923, ""auto"", ""en"")
"),"Advantages: Real power control - three separate heating elements in each burner.    Disadvantages: Short cord - 95cm.  There is no residual heat indicator.  No expansion zones.    Details: Unlike all the pictures on the Internet (including on the manufact"&amp;"urer’s website), in reality the handles are completely different and the six positions of the handles are marked with numbers.  A 95cm long cable without a plug protrudes from the stove. If the socket is near the floor, this cable, alas, will not be enoug"&amp;"h.  It’s convenient that from position “0” the knob can be turned in any direction - both to “1” and immediately to a maximum of “6”.  The surface has spiral heating elements, and there are three of them in each burner. The handle switches them in series "&amp;"and in parallel. This gives you six different powers for each burner.  Warm-up speed is about 10 seconds.  I think the split coils are much better than the Hilight, where one coil cycles on and off to adjust power. Especially for a dacha, because there is"&amp;" no constant switching on and off of a large load. When turned on not at full power, the stove consumes less power.")</f>
        <v>Advantages: Real power control - three separate heating elements in each burner.    Disadvantages: Short cord - 95cm.  There is no residual heat indicator.  No expansion zones.    Details: Unlike all the pictures on the Internet (including on the manufacturer’s website), in reality the handles are completely different and the six positions of the handles are marked with numbers.  A 95cm long cable without a plug protrudes from the stove. If the socket is near the floor, this cable, alas, will not be enough.  It’s convenient that from position “0” the knob can be turned in any direction - both to “1” and immediately to a maximum of “6”.  The surface has spiral heating elements, and there are three of them in each burner. The handle switches them in series and in parallel. This gives you six different powers for each burner.  Warm-up speed is about 10 seconds.  I think the split coils are much better than the Hilight, where one coil cycles on and off to adjust power. Especially for a dacha, because there is no constant switching on and off of a large load. When turned on not at full power, the stove consumes less power.</v>
      </c>
    </row>
    <row r="6924" spans="1:9" x14ac:dyDescent="0.3">
      <c r="A6924" s="1" t="s">
        <v>30</v>
      </c>
      <c r="B6924" s="1" t="s">
        <v>31</v>
      </c>
      <c r="C6924" s="1" t="s">
        <v>32</v>
      </c>
      <c r="D6924" s="1" t="s">
        <v>679</v>
      </c>
      <c r="E6924" s="1" t="s">
        <v>1649</v>
      </c>
      <c r="F6924" s="1" t="s">
        <v>10823</v>
      </c>
      <c r="G6924" s="1" t="s">
        <v>36</v>
      </c>
      <c r="H6924" s="1" t="s">
        <v>29</v>
      </c>
      <c r="I6924" s="1" t="str">
        <f ca="1">IFERROR(__xludf.DUMMYFUNCTION("GOOGLETRANSLATE(F6924, ""auto"", ""en"")
"),"After working for a week on 32 bits it started to freeze again. I installed WIN7HP 64 bit back, updated the BIOS, updated Windows and it works great!!!! It froze when I installed K-lite codecs (32 bit), uninstalled it and so far no freeze!!!")</f>
        <v>After working for a week on 32 bits it started to freeze again. I installed WIN7HP 64 bit back, updated the BIOS, updated Windows and it works great!!!! It froze when I installed K-lite codecs (32 bit), uninstalled it and so far no freeze!!!</v>
      </c>
    </row>
    <row r="6925" spans="1:9" x14ac:dyDescent="0.3">
      <c r="A6925" s="1" t="s">
        <v>211</v>
      </c>
      <c r="B6925" s="1" t="s">
        <v>410</v>
      </c>
      <c r="C6925" s="1" t="s">
        <v>213</v>
      </c>
      <c r="D6925" s="1" t="s">
        <v>10824</v>
      </c>
      <c r="E6925" s="1" t="s">
        <v>2030</v>
      </c>
      <c r="F6925" s="1" t="s">
        <v>10825</v>
      </c>
      <c r="G6925" s="1" t="s">
        <v>28</v>
      </c>
      <c r="H6925" s="1" t="s">
        <v>29</v>
      </c>
      <c r="I6925" s="1" t="str">
        <f ca="1">IFERROR(__xludf.DUMMYFUNCTION("GOOGLETRANSLATE(F6925, ""auto"", ""en"")
"),"The razor is good, but it does not shave the chin and under the chin well, you have to go through it several times. The price-quality ratio is superb.")</f>
        <v>The razor is good, but it does not shave the chin and under the chin well, you have to go through it several times. The price-quality ratio is superb.</v>
      </c>
    </row>
    <row r="6926" spans="1:9" x14ac:dyDescent="0.3">
      <c r="A6926" s="1" t="s">
        <v>17</v>
      </c>
      <c r="B6926" s="1" t="s">
        <v>18</v>
      </c>
      <c r="C6926" s="1" t="s">
        <v>63</v>
      </c>
      <c r="D6926" s="1" t="s">
        <v>621</v>
      </c>
      <c r="E6926" s="1" t="s">
        <v>4953</v>
      </c>
      <c r="F6926" s="1" t="s">
        <v>10826</v>
      </c>
      <c r="G6926" s="1" t="s">
        <v>15</v>
      </c>
      <c r="H6926" s="1" t="s">
        <v>16</v>
      </c>
      <c r="I6926" s="1" t="str">
        <f ca="1">IFERROR(__xludf.DUMMYFUNCTION("GOOGLETRANSLATE(F6926, ""auto"", ""en"")
"),"I used the machine for 3.5 years, on a flat floor it vibrated so much that the neighbors probably flinched. The container for the conditioner is sealed, which leads to some kind of inconvenience. A year later the powder stopped coming out of the container"&amp;", but yesterday it started leaking and burned. When purchasing, I recommended it to a friend; today his car leaked and burned out. It’s a great shame that equipment that costs less than 1,000 rubles has such a short service life.")</f>
        <v>I used the machine for 3.5 years, on a flat floor it vibrated so much that the neighbors probably flinched. The container for the conditioner is sealed, which leads to some kind of inconvenience. A year later the powder stopped coming out of the container, but yesterday it started leaking and burned. When purchasing, I recommended it to a friend; today his car leaked and burned out. It’s a great shame that equipment that costs less than 1,000 rubles has such a short service life.</v>
      </c>
    </row>
    <row r="6927" spans="1:9" x14ac:dyDescent="0.3">
      <c r="A6927" s="1" t="s">
        <v>61</v>
      </c>
      <c r="B6927" s="1" t="s">
        <v>145</v>
      </c>
      <c r="C6927" s="1" t="s">
        <v>85</v>
      </c>
      <c r="D6927" s="1" t="s">
        <v>319</v>
      </c>
      <c r="E6927" s="1" t="s">
        <v>2341</v>
      </c>
      <c r="F6927" s="1" t="s">
        <v>10827</v>
      </c>
      <c r="G6927" s="1" t="s">
        <v>36</v>
      </c>
      <c r="H6927" s="1" t="s">
        <v>29</v>
      </c>
      <c r="I6927" s="1" t="str">
        <f ca="1">IFERROR(__xludf.DUMMYFUNCTION("GOOGLETRANSLATE(F6927, ""auto"", ""en"")
"),"I bought this steamer a month ago. Very pleased. Designer 5 points for the model. Now all the equipment I will buy will bear the BORK brand only.")</f>
        <v>I bought this steamer a month ago. Very pleased. Designer 5 points for the model. Now all the equipment I will buy will bear the BORK brand only.</v>
      </c>
    </row>
    <row r="6928" spans="1:9" x14ac:dyDescent="0.3">
      <c r="A6928" s="1" t="s">
        <v>61</v>
      </c>
      <c r="B6928" s="1" t="s">
        <v>318</v>
      </c>
      <c r="C6928" s="1" t="s">
        <v>85</v>
      </c>
      <c r="D6928" s="1" t="s">
        <v>589</v>
      </c>
      <c r="E6928" s="1" t="s">
        <v>7624</v>
      </c>
      <c r="F6928" s="1" t="s">
        <v>10828</v>
      </c>
      <c r="G6928" s="1" t="s">
        <v>15</v>
      </c>
      <c r="H6928" s="1" t="s">
        <v>16</v>
      </c>
      <c r="I6928" s="1" t="str">
        <f ca="1">IFERROR(__xludf.DUMMYFUNCTION("GOOGLETRANSLATE(F6928, ""auto"", ""en"")
"),"The kettle is extremely noisy. I specifically chose a quiet kettle for a small apartment with two small children. The first three boils worked well. Then he began to make noise in response to a complaint at the store and they advised me to descale and cha"&amp;"nge the water. I cleaned it and only filled it with bottled water. The result is zero. Plus it began to leak from below where the plastic bottom is at the joint. And this is after six months of use. For that kind of money, this is certainly a nightmare.")</f>
        <v>The kettle is extremely noisy. I specifically chose a quiet kettle for a small apartment with two small children. The first three boils worked well. Then he began to make noise in response to a complaint at the store and they advised me to descale and change the water. I cleaned it and only filled it with bottled water. The result is zero. Plus it began to leak from below where the plastic bottom is at the joint. And this is after six months of use. For that kind of money, this is certainly a nightmare.</v>
      </c>
    </row>
    <row r="6929" spans="1:9" x14ac:dyDescent="0.3">
      <c r="A6929" s="1" t="s">
        <v>811</v>
      </c>
      <c r="B6929" s="1" t="s">
        <v>1294</v>
      </c>
      <c r="C6929" s="1" t="s">
        <v>1295</v>
      </c>
      <c r="D6929" s="1" t="s">
        <v>10829</v>
      </c>
      <c r="E6929" s="1" t="s">
        <v>2251</v>
      </c>
      <c r="F6929" s="1" t="s">
        <v>10830</v>
      </c>
      <c r="G6929" s="1" t="s">
        <v>28</v>
      </c>
      <c r="H6929" s="1" t="s">
        <v>29</v>
      </c>
      <c r="I6929" s="1" t="str">
        <f ca="1">IFERROR(__xludf.DUMMYFUNCTION("GOOGLETRANSLATE(F6929, ""auto"", ""en"")
"),"In my opinion, the brush is a bit harsh, I rarely use it, I'm afraid of scratching the glass.")</f>
        <v>In my opinion, the brush is a bit harsh, I rarely use it, I'm afraid of scratching the glass.</v>
      </c>
    </row>
    <row r="6930" spans="1:9" x14ac:dyDescent="0.3">
      <c r="A6930" s="1" t="s">
        <v>61</v>
      </c>
      <c r="B6930" s="1" t="s">
        <v>73</v>
      </c>
      <c r="C6930" s="1" t="s">
        <v>146</v>
      </c>
      <c r="D6930" s="1" t="s">
        <v>75</v>
      </c>
      <c r="E6930" s="1" t="s">
        <v>3128</v>
      </c>
      <c r="F6930" s="1" t="s">
        <v>10831</v>
      </c>
      <c r="G6930" s="1" t="s">
        <v>36</v>
      </c>
      <c r="H6930" s="1" t="s">
        <v>29</v>
      </c>
      <c r="I6930" s="1" t="str">
        <f ca="1">IFERROR(__xludf.DUMMYFUNCTION("GOOGLETRANSLATE(F6930, ""auto"", ""en"")
"),"Gifted for my birthday, I've been using it for 2 months now, no complaints. After using the manual one, I’m just delighted, it turns everything very quickly, without any extra effort. Another plus to everything is a cool book with recipes for meat dishes.")</f>
        <v>Gifted for my birthday, I've been using it for 2 months now, no complaints. After using the manual one, I’m just delighted, it turns everything very quickly, without any extra effort. Another plus to everything is a cool book with recipes for meat dishes.</v>
      </c>
    </row>
    <row r="6931" spans="1:9" x14ac:dyDescent="0.3">
      <c r="A6931" s="1" t="s">
        <v>37</v>
      </c>
      <c r="B6931" s="1" t="s">
        <v>536</v>
      </c>
      <c r="C6931" s="1" t="s">
        <v>163</v>
      </c>
      <c r="D6931" s="1" t="s">
        <v>10832</v>
      </c>
      <c r="E6931" s="1" t="s">
        <v>2410</v>
      </c>
      <c r="F6931" s="1" t="s">
        <v>10833</v>
      </c>
      <c r="G6931" s="1" t="s">
        <v>36</v>
      </c>
      <c r="H6931" s="1" t="s">
        <v>29</v>
      </c>
      <c r="I6931" s="1" t="str">
        <f ca="1">IFERROR(__xludf.DUMMYFUNCTION("GOOGLETRANSLATE(F6931, ""auto"", ""en"")
"),"Please tell me, I’m not very good at technology, what is back cover play? And also6 which is better: 5530, 5800 or X6? Otherwise I’m tormented by doubts about what to take... The colors are not convenient: red plus black - a coffin, White and blue - it wi"&amp;"ll get dirty, pink - I’m generally silent ^_^.  I love the color blue, but with white... Eh...")</f>
        <v>Please tell me, I’m not very good at technology, what is back cover play? And also6 which is better: 5530, 5800 or X6? Otherwise I’m tormented by doubts about what to take... The colors are not convenient: red plus black - a coffin, White and blue - it will get dirty, pink - I’m generally silent ^_^.  I love the color blue, but with white... Eh...</v>
      </c>
    </row>
    <row r="6932" spans="1:9" x14ac:dyDescent="0.3">
      <c r="A6932" s="1" t="s">
        <v>149</v>
      </c>
      <c r="B6932" s="1" t="s">
        <v>576</v>
      </c>
      <c r="C6932" s="1" t="s">
        <v>63</v>
      </c>
      <c r="D6932" s="1" t="s">
        <v>417</v>
      </c>
      <c r="E6932" s="1" t="s">
        <v>730</v>
      </c>
      <c r="F6932" s="1" t="s">
        <v>10834</v>
      </c>
      <c r="G6932" s="1" t="s">
        <v>36</v>
      </c>
      <c r="H6932" s="1" t="s">
        <v>29</v>
      </c>
      <c r="I6932" s="1" t="str">
        <f ca="1">IFERROR(__xludf.DUMMYFUNCTION("GOOGLETRANSLATE(F6932, ""auto"", ""en"")
"),"What's good 1. Price 2. Bosch 3. Compact 4. Steel tubes What's not good 1. Color - only blue 2. There are no additional brush attachments Total I took 2 pieces))))))))")</f>
        <v>What's good 1. Price 2. Bosch 3. Compact 4. Steel tubes What's not good 1. Color - only blue 2. There are no additional brush attachments Total I took 2 pieces))))))))</v>
      </c>
    </row>
    <row r="6933" spans="1:9" x14ac:dyDescent="0.3">
      <c r="A6933" s="1" t="s">
        <v>61</v>
      </c>
      <c r="B6933" s="1" t="s">
        <v>1727</v>
      </c>
      <c r="C6933" s="1" t="s">
        <v>122</v>
      </c>
      <c r="D6933" s="1" t="s">
        <v>247</v>
      </c>
      <c r="E6933" s="1" t="s">
        <v>836</v>
      </c>
      <c r="F6933" s="1" t="s">
        <v>10835</v>
      </c>
      <c r="G6933" s="1" t="s">
        <v>36</v>
      </c>
      <c r="H6933" s="1" t="s">
        <v>29</v>
      </c>
      <c r="I6933" s="1" t="str">
        <f ca="1">IFERROR(__xludf.DUMMYFUNCTION("GOOGLETRANSLATE(F6933, ""auto"", ""en"")
"),"When choosing a multicooker, there were 2 most important criteria: ease of use and reliability of the manufacturer. In the end, we settled on this model, since there was a really large number of positive reviews both here and on professional forums. And t"&amp;"he consultant in the store absolutely supported us in our choice, although we could afford a larger budget. In general, our device will soon be half a year old, and so far no problems have arisen in use - we are happy with the purchase, we use it regularl"&amp;"y. The only drawback, as discussed above, is that the lid does not fully open, which gives some discomfort when washing after all sorts of soups. Otherwise, we got what we wanted 100%")</f>
        <v>When choosing a multicooker, there were 2 most important criteria: ease of use and reliability of the manufacturer. In the end, we settled on this model, since there was a really large number of positive reviews both here and on professional forums. And the consultant in the store absolutely supported us in our choice, although we could afford a larger budget. In general, our device will soon be half a year old, and so far no problems have arisen in use - we are happy with the purchase, we use it regularly. The only drawback, as discussed above, is that the lid does not fully open, which gives some discomfort when washing after all sorts of soups. Otherwise, we got what we wanted 100%</v>
      </c>
    </row>
    <row r="6934" spans="1:9" x14ac:dyDescent="0.3">
      <c r="A6934" s="1" t="s">
        <v>369</v>
      </c>
      <c r="B6934" s="1" t="s">
        <v>587</v>
      </c>
      <c r="C6934" s="1" t="s">
        <v>308</v>
      </c>
      <c r="D6934" s="1" t="s">
        <v>10836</v>
      </c>
      <c r="E6934" s="1" t="s">
        <v>1536</v>
      </c>
      <c r="F6934" s="1" t="s">
        <v>10837</v>
      </c>
      <c r="G6934" s="1" t="s">
        <v>36</v>
      </c>
      <c r="H6934" s="1" t="s">
        <v>29</v>
      </c>
      <c r="I6934" s="1" t="str">
        <f ca="1">IFERROR(__xludf.DUMMYFUNCTION("GOOGLETRANSLATE(F6934, ""auto"", ""en"")
"),"&amp;nbsp;Everything works properly. At first, such a low price alarmed me, but then when I bought it and cooked with it, I calmed down and relaxed. Everything works well.")</f>
        <v>&amp;nbsp;Everything works properly. At first, such a low price alarmed me, but then when I bought it and cooked with it, I calmed down and relaxed. Everything works well.</v>
      </c>
    </row>
    <row r="6935" spans="1:9" x14ac:dyDescent="0.3">
      <c r="A6935" s="1" t="s">
        <v>61</v>
      </c>
      <c r="B6935" s="1" t="s">
        <v>145</v>
      </c>
      <c r="C6935" s="1" t="s">
        <v>85</v>
      </c>
      <c r="D6935" s="1" t="s">
        <v>10838</v>
      </c>
      <c r="E6935" s="1" t="s">
        <v>4443</v>
      </c>
      <c r="F6935" s="1" t="s">
        <v>10839</v>
      </c>
      <c r="G6935" s="1" t="s">
        <v>15</v>
      </c>
      <c r="H6935" s="1" t="s">
        <v>16</v>
      </c>
      <c r="I6935" s="1" t="str">
        <f ca="1">IFERROR(__xludf.DUMMYFUNCTION("GOOGLETRANSLATE(F6935, ""auto"", ""en"")
"),"Terrible steamer, I didn’t like it! There is not enough steam in the large compartment and it does not cook food. Turns on every other time. In general, I threw the new steamer in the trash.")</f>
        <v>Terrible steamer, I didn’t like it! There is not enough steam in the large compartment and it does not cook food. Turns on every other time. In general, I threw the new steamer in the trash.</v>
      </c>
    </row>
    <row r="6936" spans="1:9" x14ac:dyDescent="0.3">
      <c r="A6936" s="1" t="s">
        <v>211</v>
      </c>
      <c r="B6936" s="1" t="s">
        <v>212</v>
      </c>
      <c r="C6936" s="1" t="s">
        <v>57</v>
      </c>
      <c r="D6936" s="1" t="s">
        <v>1188</v>
      </c>
      <c r="E6936" s="1" t="s">
        <v>4010</v>
      </c>
      <c r="F6936" s="1" t="s">
        <v>10840</v>
      </c>
      <c r="G6936" s="1" t="s">
        <v>36</v>
      </c>
      <c r="H6936" s="1" t="s">
        <v>29</v>
      </c>
      <c r="I6936" s="1" t="str">
        <f ca="1">IFERROR(__xludf.DUMMYFUNCTION("GOOGLETRANSLATE(F6936, ""auto"", ""en"")
"),"I received the tongs as a gift from my husband. Well, like any man (especially a techie), he approached the purchasing process extremely seriously - he compared a couple of dozen models, learned everything about their power, coating, heating temperature. "&amp;"I chose it based on three important criteria he defined: heating power, coverage, price. In the end, I chose curling irons that do not damage the hair and have the most gentle effect on it. I don’t understand the complaints when they say about curling iro"&amp;"ns that they are slow to form curls. Well, how would you like it to be? So that you smell like tarred chicken and within a month your hair starts falling off in bunches? The longer the curls take to form, the less harm there is to the hair structure - thi"&amp;"s is an axiom. Many experts generally do not even recommend drying your hair with a hairdryer, or drying it on a cold setting, without heating. Yes, and I wouldn’t say that you have to wait too long. The main secret is not to grab a lot of hair, let the c"&amp;"urls be thinner. Then there will be less time to fix them, and they will last longer. So this particular model of curling iron is an ideal option for those who care about their hair.")</f>
        <v>I received the tongs as a gift from my husband. Well, like any man (especially a techie), he approached the purchasing process extremely seriously - he compared a couple of dozen models, learned everything about their power, coating, heating temperature. I chose it based on three important criteria he defined: heating power, coverage, price. In the end, I chose curling irons that do not damage the hair and have the most gentle effect on it. I don’t understand the complaints when they say about curling irons that they are slow to form curls. Well, how would you like it to be? So that you smell like tarred chicken and within a month your hair starts falling off in bunches? The longer the curls take to form, the less harm there is to the hair structure - this is an axiom. Many experts generally do not even recommend drying your hair with a hairdryer, or drying it on a cold setting, without heating. Yes, and I wouldn’t say that you have to wait too long. The main secret is not to grab a lot of hair, let the curls be thinner. Then there will be less time to fix them, and they will last longer. So this particular model of curling iron is an ideal option for those who care about their hair.</v>
      </c>
    </row>
    <row r="6937" spans="1:9" x14ac:dyDescent="0.3">
      <c r="A6937" s="1" t="s">
        <v>43</v>
      </c>
      <c r="B6937" s="1" t="s">
        <v>303</v>
      </c>
      <c r="C6937" s="1" t="s">
        <v>304</v>
      </c>
      <c r="D6937" s="1" t="s">
        <v>232</v>
      </c>
      <c r="E6937" s="1" t="s">
        <v>10841</v>
      </c>
      <c r="F6937" s="1" t="s">
        <v>10842</v>
      </c>
      <c r="G6937" s="1" t="s">
        <v>15</v>
      </c>
      <c r="H6937" s="1" t="s">
        <v>16</v>
      </c>
      <c r="I6937" s="1" t="str">
        <f ca="1">IFERROR(__xludf.DUMMYFUNCTION("GOOGLETRANSLATE(F6937, ""auto"", ""en"")
"),"Leaked after 15 months.")</f>
        <v>Leaked after 15 months.</v>
      </c>
    </row>
    <row r="6938" spans="1:9" x14ac:dyDescent="0.3">
      <c r="A6938" s="1" t="s">
        <v>206</v>
      </c>
      <c r="B6938" s="1" t="s">
        <v>261</v>
      </c>
      <c r="C6938" s="1" t="s">
        <v>152</v>
      </c>
      <c r="D6938" s="1" t="s">
        <v>327</v>
      </c>
      <c r="E6938" s="1" t="s">
        <v>7587</v>
      </c>
      <c r="F6938" s="1" t="s">
        <v>10843</v>
      </c>
      <c r="G6938" s="1" t="s">
        <v>36</v>
      </c>
      <c r="H6938" s="1" t="s">
        <v>29</v>
      </c>
      <c r="I6938" s="1" t="str">
        <f ca="1">IFERROR(__xludf.DUMMYFUNCTION("GOOGLETRANSLATE(F6938, ""auto"", ""en"")
"),"Cool thing! Made with high quality. After installation, extraneous noise completely disappeared. The power cable was also replaced with a KG35 - there was no voltage drop. Now I'm completely satisfied.")</f>
        <v>Cool thing! Made with high quality. After installation, extraneous noise completely disappeared. The power cable was also replaced with a KG35 - there was no voltage drop. Now I'm completely satisfied.</v>
      </c>
    </row>
    <row r="6939" spans="1:9" x14ac:dyDescent="0.3">
      <c r="A6939" s="1" t="s">
        <v>211</v>
      </c>
      <c r="B6939" s="1" t="s">
        <v>212</v>
      </c>
      <c r="C6939" s="1" t="s">
        <v>213</v>
      </c>
      <c r="D6939" s="1" t="s">
        <v>1890</v>
      </c>
      <c r="E6939" s="1" t="s">
        <v>1494</v>
      </c>
      <c r="F6939" s="1" t="s">
        <v>10844</v>
      </c>
      <c r="G6939" s="1" t="s">
        <v>36</v>
      </c>
      <c r="H6939" s="1" t="s">
        <v>29</v>
      </c>
      <c r="I6939" s="1" t="str">
        <f ca="1">IFERROR(__xludf.DUMMYFUNCTION("GOOGLETRANSLATE(F6939, ""auto"", ""en"")
"),"Very pleased! Easy to use, lightweight, compact, heats up in 30 seconds. The heating temperature is up to 200 degrees, so it can handle both curly and “thick” hair. I use a gentle mode of 155 C, which is perfect for wavy, highlighted hair! There is a temp"&amp;"erature indicator, an ionizer, floating ceramic plates (which is very convenient, because if you take a thicker strand, the curling iron does not “get stuck” on the hair, but glides smoothly, automatic shutdown after 30 minutes, but you can continue by pr"&amp;"essing the on/off button, there is a quick maximum heating of up to 200 C for unruly strands.")</f>
        <v>Very pleased! Easy to use, lightweight, compact, heats up in 30 seconds. The heating temperature is up to 200 degrees, so it can handle both curly and “thick” hair. I use a gentle mode of 155 C, which is perfect for wavy, highlighted hair! There is a temperature indicator, an ionizer, floating ceramic plates (which is very convenient, because if you take a thicker strand, the curling iron does not “get stuck” on the hair, but glides smoothly, automatic shutdown after 30 minutes, but you can continue by pressing the on/off button, there is a quick maximum heating of up to 200 C for unruly strands.</v>
      </c>
    </row>
    <row r="6940" spans="1:9" x14ac:dyDescent="0.3">
      <c r="A6940" s="1" t="s">
        <v>169</v>
      </c>
      <c r="B6940" s="1" t="s">
        <v>170</v>
      </c>
      <c r="C6940" s="1" t="s">
        <v>69</v>
      </c>
      <c r="D6940" s="1" t="s">
        <v>20</v>
      </c>
      <c r="E6940" s="1" t="s">
        <v>9390</v>
      </c>
      <c r="F6940" s="1" t="s">
        <v>10845</v>
      </c>
      <c r="G6940" s="1" t="s">
        <v>28</v>
      </c>
      <c r="H6940" s="1" t="s">
        <v>29</v>
      </c>
      <c r="I6940" s="1" t="str">
        <f ca="1">IFERROR(__xludf.DUMMYFUNCTION("GOOGLETRANSLATE(F6940, ""auto"", ""en"")
"),"I bought them exactly a year ago, now I went to check the price - it hasn’t changed. The sound is quite, very even. I thought they would fall apart in three months, but despite the completely barbaric attitude towards them on my part, they are still holdi"&amp;"ng on. I recommend it in general.")</f>
        <v>I bought them exactly a year ago, now I went to check the price - it hasn’t changed. The sound is quite, very even. I thought they would fall apart in three months, but despite the completely barbaric attitude towards them on my part, they are still holding on. I recommend it in general.</v>
      </c>
    </row>
    <row r="6941" spans="1:9" x14ac:dyDescent="0.3">
      <c r="A6941" s="1" t="s">
        <v>120</v>
      </c>
      <c r="B6941" s="1" t="s">
        <v>196</v>
      </c>
      <c r="C6941" s="1" t="s">
        <v>151</v>
      </c>
      <c r="D6941" s="1" t="s">
        <v>139</v>
      </c>
      <c r="E6941" s="1" t="s">
        <v>956</v>
      </c>
      <c r="F6941" s="1" t="s">
        <v>10846</v>
      </c>
      <c r="G6941" s="1" t="s">
        <v>36</v>
      </c>
      <c r="H6941" s="1" t="s">
        <v>29</v>
      </c>
      <c r="I6941" s="1" t="str">
        <f ca="1">IFERROR(__xludf.DUMMYFUNCTION("GOOGLETRANSLATE(F6941, ""auto"", ""en"")
"),"I bought it in m video, the TV is super, the colors of the saturated faces are not stretched, in general I’m happy with everything.")</f>
        <v>I bought it in m video, the TV is super, the colors of the saturated faces are not stretched, in general I’m happy with everything.</v>
      </c>
    </row>
    <row r="6942" spans="1:9" x14ac:dyDescent="0.3">
      <c r="A6942" s="1" t="s">
        <v>17</v>
      </c>
      <c r="B6942" s="1" t="s">
        <v>18</v>
      </c>
      <c r="C6942" s="1" t="s">
        <v>63</v>
      </c>
      <c r="D6942" s="1" t="s">
        <v>10847</v>
      </c>
      <c r="E6942" s="1" t="s">
        <v>1457</v>
      </c>
      <c r="F6942" s="1" t="s">
        <v>10848</v>
      </c>
      <c r="G6942" s="1" t="s">
        <v>28</v>
      </c>
      <c r="H6942" s="1" t="s">
        <v>29</v>
      </c>
      <c r="I6942" s="1" t="str">
        <f ca="1">IFERROR(__xludf.DUMMYFUNCTION("GOOGLETRANSLATE(F6942, ""auto"", ""en"")
"),"We bought this washing machine because of traditional German reliability, but the reliability let us down. During the first wash, the car leaked, but it turned out to be no big deal, a repairman came and fixed the leak. Now we've had it for 6 months and h"&amp;"ave no more complaints. washes perfectly. I'm happy.")</f>
        <v>We bought this washing machine because of traditional German reliability, but the reliability let us down. During the first wash, the car leaked, but it turned out to be no big deal, a repairman came and fixed the leak. Now we've had it for 6 months and have no more complaints. washes perfectly. I'm happy.</v>
      </c>
    </row>
    <row r="6943" spans="1:9" x14ac:dyDescent="0.3">
      <c r="A6943" s="1" t="s">
        <v>9</v>
      </c>
      <c r="B6943" s="1" t="s">
        <v>133</v>
      </c>
      <c r="C6943" s="1" t="s">
        <v>159</v>
      </c>
      <c r="D6943" s="1" t="s">
        <v>64</v>
      </c>
      <c r="E6943" s="1" t="s">
        <v>2916</v>
      </c>
      <c r="F6943" s="1" t="s">
        <v>10849</v>
      </c>
      <c r="G6943" s="1" t="s">
        <v>36</v>
      </c>
      <c r="H6943" s="1" t="s">
        <v>29</v>
      </c>
      <c r="I6943" s="1" t="str">
        <f ca="1">IFERROR(__xludf.DUMMYFUNCTION("GOOGLETRANSLATE(F6943, ""auto"", ""en"")
"),"Excellent oven. All the functions are necessary and useful, I had to use them all. Unfortunately there is no protection against children, but then the cost would be higher. Take it, you won't regret it.")</f>
        <v>Excellent oven. All the functions are necessary and useful, I had to use them all. Unfortunately there is no protection against children, but then the cost would be higher. Take it, you won't regret it.</v>
      </c>
    </row>
    <row r="6944" spans="1:9" x14ac:dyDescent="0.3">
      <c r="A6944" s="1" t="s">
        <v>30</v>
      </c>
      <c r="B6944" s="1" t="s">
        <v>31</v>
      </c>
      <c r="C6944" s="1" t="s">
        <v>5122</v>
      </c>
      <c r="D6944" s="1" t="s">
        <v>10850</v>
      </c>
      <c r="E6944" s="1" t="s">
        <v>2120</v>
      </c>
      <c r="F6944" s="1" t="s">
        <v>10851</v>
      </c>
      <c r="G6944" s="1" t="s">
        <v>36</v>
      </c>
      <c r="H6944" s="1" t="s">
        <v>29</v>
      </c>
      <c r="I6944" s="1" t="str">
        <f ca="1">IFERROR(__xludf.DUMMYFUNCTION("GOOGLETRANSLATE(F6944, ""auto"", ""en"")
"),"A very good computer for the money! Pulls new games from the gaming industry. I bought it and use it with pleasure, it is not loud. I'M FOR!")</f>
        <v>A very good computer for the money! Pulls new games from the gaming industry. I bought it and use it with pleasure, it is not loud. I'M FOR!</v>
      </c>
    </row>
    <row r="6945" spans="1:9" x14ac:dyDescent="0.3">
      <c r="A6945" s="1" t="s">
        <v>43</v>
      </c>
      <c r="B6945" s="1" t="s">
        <v>1382</v>
      </c>
      <c r="C6945" s="1" t="s">
        <v>45</v>
      </c>
      <c r="D6945" s="1" t="s">
        <v>247</v>
      </c>
      <c r="E6945" s="1" t="s">
        <v>6496</v>
      </c>
      <c r="F6945" s="1" t="s">
        <v>10852</v>
      </c>
      <c r="G6945" s="1" t="s">
        <v>28</v>
      </c>
      <c r="H6945" s="1" t="s">
        <v>29</v>
      </c>
      <c r="I6945" s="1" t="str">
        <f ca="1">IFERROR(__xludf.DUMMYFUNCTION("GOOGLETRANSLATE(F6945, ""auto"", ""en"")
"),"I have 2 of these fans. I bought the first one 2 years ago, I liked it, that summer I bought a second one just like it, for another room. Very satisfied. Advantages: presence of a remote control, convenient support (small, round, not spread-out sticks), c"&amp;"ompactness and neatness, fairly good air flow (3 speeds), aesthetic appearance :-) Disadvantages: I found only one - at the third speed it is a bit noisy, but this is a drawback of many fans.")</f>
        <v>I have 2 of these fans. I bought the first one 2 years ago, I liked it, that summer I bought a second one just like it, for another room. Very satisfied. Advantages: presence of a remote control, convenient support (small, round, not spread-out sticks), compactness and neatness, fairly good air flow (3 speeds), aesthetic appearance :-) Disadvantages: I found only one - at the third speed it is a bit noisy, but this is a drawback of many fans.</v>
      </c>
    </row>
    <row r="6946" spans="1:9" x14ac:dyDescent="0.3">
      <c r="A6946" s="1" t="s">
        <v>211</v>
      </c>
      <c r="B6946" s="1" t="s">
        <v>212</v>
      </c>
      <c r="C6946" s="1" t="s">
        <v>294</v>
      </c>
      <c r="D6946" s="1" t="s">
        <v>10853</v>
      </c>
      <c r="E6946" s="1" t="s">
        <v>128</v>
      </c>
      <c r="F6946" s="1" t="s">
        <v>10854</v>
      </c>
      <c r="G6946" s="1" t="s">
        <v>36</v>
      </c>
      <c r="H6946" s="1" t="s">
        <v>29</v>
      </c>
      <c r="I6946" s="1" t="str">
        <f ca="1">IFERROR(__xludf.DUMMYFUNCTION("GOOGLETRANSLATE(F6946, ""auto"", ""en"")
"),"I really like it. The straightener is easy to use. Hair styling takes 5 (maximum 10) minutes. The hair looks beautiful, as if it just came from the salon. I couldn’t style it with a hairdryer and wasted a lot of time. No frizz in your hair. Highly recomme"&amp;"nd.")</f>
        <v>I really like it. The straightener is easy to use. Hair styling takes 5 (maximum 10) minutes. The hair looks beautiful, as if it just came from the salon. I couldn’t style it with a hairdryer and wasted a lot of time. No frizz in your hair. Highly recommend.</v>
      </c>
    </row>
    <row r="6947" spans="1:9" x14ac:dyDescent="0.3">
      <c r="A6947" s="1" t="s">
        <v>30</v>
      </c>
      <c r="B6947" s="1" t="s">
        <v>50</v>
      </c>
      <c r="C6947" s="1" t="s">
        <v>189</v>
      </c>
      <c r="D6947" s="1" t="s">
        <v>114</v>
      </c>
      <c r="E6947" s="1" t="s">
        <v>5011</v>
      </c>
      <c r="F6947" s="1" t="s">
        <v>10855</v>
      </c>
      <c r="G6947" s="1" t="s">
        <v>36</v>
      </c>
      <c r="H6947" s="1" t="s">
        <v>29</v>
      </c>
      <c r="I6947" s="1" t="str">
        <f ca="1">IFERROR(__xludf.DUMMYFUNCTION("GOOGLETRANSLATE(F6947, ""auto"", ""en"")
"),"I'm a fan of SONY, but ASUS prevailed over my ideas due to efficiency, design, ergonomics and its German superiority in the field of quality. I am writing this message from this excellent laptop...")</f>
        <v>I'm a fan of SONY, but ASUS prevailed over my ideas due to efficiency, design, ergonomics and its German superiority in the field of quality. I am writing this message from this excellent laptop...</v>
      </c>
    </row>
    <row r="6948" spans="1:9" x14ac:dyDescent="0.3">
      <c r="A6948" s="1" t="s">
        <v>206</v>
      </c>
      <c r="B6948" s="1" t="s">
        <v>2026</v>
      </c>
      <c r="C6948" s="1" t="s">
        <v>351</v>
      </c>
      <c r="D6948" s="1" t="s">
        <v>152</v>
      </c>
      <c r="E6948" s="1" t="s">
        <v>2325</v>
      </c>
      <c r="F6948" s="1" t="s">
        <v>10856</v>
      </c>
      <c r="G6948" s="1" t="s">
        <v>36</v>
      </c>
      <c r="H6948" s="1" t="s">
        <v>29</v>
      </c>
      <c r="I6948" s="1" t="str">
        <f ca="1">IFERROR(__xludf.DUMMYFUNCTION("GOOGLETRANSLATE(F6948, ""auto"", ""en"")
"),"I bought it almost a year ago. I haven’t tried the DVD with video, but everything is fine, no complaints.")</f>
        <v>I bought it almost a year ago. I haven’t tried the DVD with video, but everything is fine, no complaints.</v>
      </c>
    </row>
    <row r="6949" spans="1:9" x14ac:dyDescent="0.3">
      <c r="A6949" s="1" t="s">
        <v>149</v>
      </c>
      <c r="B6949" s="1" t="s">
        <v>576</v>
      </c>
      <c r="C6949" s="1" t="s">
        <v>151</v>
      </c>
      <c r="D6949" s="1" t="s">
        <v>10857</v>
      </c>
      <c r="E6949" s="1" t="s">
        <v>4110</v>
      </c>
      <c r="F6949" s="1" t="s">
        <v>10858</v>
      </c>
      <c r="G6949" s="1" t="s">
        <v>36</v>
      </c>
      <c r="H6949" s="1" t="s">
        <v>29</v>
      </c>
      <c r="I6949" s="1" t="str">
        <f ca="1">IFERROR(__xludf.DUMMYFUNCTION("GOOGLETRANSLATE(F6949, ""auto"", ""en"")
"),"The vacuum cleaner is good for its price! We got used to the noise, there are always bags in stock, we also bought a universal turbo brush for it, now the carpet is like new.")</f>
        <v>The vacuum cleaner is good for its price! We got used to the noise, there are always bags in stock, we also bought a universal turbo brush for it, now the carpet is like new.</v>
      </c>
    </row>
    <row r="6950" spans="1:9" x14ac:dyDescent="0.3">
      <c r="A6950" s="1" t="s">
        <v>43</v>
      </c>
      <c r="B6950" s="1" t="s">
        <v>1382</v>
      </c>
      <c r="C6950" s="1" t="s">
        <v>45</v>
      </c>
      <c r="D6950" s="1" t="s">
        <v>10859</v>
      </c>
      <c r="E6950" s="1" t="s">
        <v>10860</v>
      </c>
      <c r="F6950" s="1" t="s">
        <v>10861</v>
      </c>
      <c r="G6950" s="1" t="s">
        <v>36</v>
      </c>
      <c r="H6950" s="1" t="s">
        <v>29</v>
      </c>
      <c r="I6950" s="1" t="str">
        <f ca="1">IFERROR(__xludf.DUMMYFUNCTION("GOOGLETRANSLATE(F6950, ""auto"", ""en"")
"),"I've been using it for 2 summers and so far I'm very pleased.")</f>
        <v>I've been using it for 2 summers and so far I'm very pleased.</v>
      </c>
    </row>
    <row r="6951" spans="1:9" x14ac:dyDescent="0.3">
      <c r="A6951" s="1" t="s">
        <v>67</v>
      </c>
      <c r="B6951" s="1" t="s">
        <v>68</v>
      </c>
      <c r="C6951" s="1" t="s">
        <v>69</v>
      </c>
      <c r="D6951" s="1" t="s">
        <v>139</v>
      </c>
      <c r="E6951" s="1" t="s">
        <v>2043</v>
      </c>
      <c r="F6951" s="1" t="s">
        <v>10862</v>
      </c>
      <c r="G6951" s="1" t="s">
        <v>36</v>
      </c>
      <c r="H6951" s="1" t="s">
        <v>29</v>
      </c>
      <c r="I6951" s="1" t="str">
        <f ca="1">IFERROR(__xludf.DUMMYFUNCTION("GOOGLETRANSLATE(F6951, ""auto"", ""en"")
"),"The iron is great. The first impression is that there are dry jeans on the ironing iron, skeptical expectations, especially since the iron does not move over the fabric, but flies. And, lo and behold, it leaves behind a perfectly ironed trail. The same ap"&amp;"plies to all other linen. Plus an excellent steam boost. I'm very pleased.")</f>
        <v>The iron is great. The first impression is that there are dry jeans on the ironing iron, skeptical expectations, especially since the iron does not move over the fabric, but flies. And, lo and behold, it leaves behind a perfectly ironed trail. The same applies to all other linen. Plus an excellent steam boost. I'm very pleased.</v>
      </c>
    </row>
    <row r="6952" spans="1:9" x14ac:dyDescent="0.3">
      <c r="A6952" s="1" t="s">
        <v>149</v>
      </c>
      <c r="B6952" s="1" t="s">
        <v>576</v>
      </c>
      <c r="C6952" s="1" t="s">
        <v>80</v>
      </c>
      <c r="D6952" s="1" t="s">
        <v>10863</v>
      </c>
      <c r="E6952" s="1" t="s">
        <v>2298</v>
      </c>
      <c r="F6952" s="1" t="s">
        <v>10864</v>
      </c>
      <c r="G6952" s="1" t="s">
        <v>36</v>
      </c>
      <c r="H6952" s="1" t="s">
        <v>29</v>
      </c>
      <c r="I6952" s="1" t="str">
        <f ca="1">IFERROR(__xludf.DUMMYFUNCTION("GOOGLETRANSLATE(F6952, ""auto"", ""en"")
"),"The vacuum cleaner is excellent! The suction power is very good, but I didn't like the main floor nozzle! It is not of high quality, then I decided to buy a separate attachment for vacuum cleaners for 300 rubles and all the problems disappeared. The main "&amp;"thing is that the base of the telescopic tube is made of metal! (not plastic!). The Nera filter is very good!  This means that if you vacuum, the air in the apartment is also cleaned! Of course, I would buy a BORK vacuum cleaner, but a normal one costs ab"&amp;"out 3,000 rubles. Actually, for an everyday vacuum cleaner, I consider it normal! But not prestigious...")</f>
        <v>The vacuum cleaner is excellent! The suction power is very good, but I didn't like the main floor nozzle! It is not of high quality, then I decided to buy a separate attachment for vacuum cleaners for 300 rubles and all the problems disappeared. The main thing is that the base of the telescopic tube is made of metal! (not plastic!). The Nera filter is very good!  This means that if you vacuum, the air in the apartment is also cleaned! Of course, I would buy a BORK vacuum cleaner, but a normal one costs about 3,000 rubles. Actually, for an everyday vacuum cleaner, I consider it normal! But not prestigious...</v>
      </c>
    </row>
    <row r="6953" spans="1:9" x14ac:dyDescent="0.3">
      <c r="A6953" s="1" t="s">
        <v>120</v>
      </c>
      <c r="B6953" s="1" t="s">
        <v>196</v>
      </c>
      <c r="C6953" s="1" t="s">
        <v>151</v>
      </c>
      <c r="D6953" s="1" t="s">
        <v>139</v>
      </c>
      <c r="E6953" s="1" t="s">
        <v>21</v>
      </c>
      <c r="F6953" s="1" t="s">
        <v>10865</v>
      </c>
      <c r="G6953" s="1" t="s">
        <v>36</v>
      </c>
      <c r="H6953" s="1" t="s">
        <v>29</v>
      </c>
      <c r="I6953" s="1" t="str">
        <f ca="1">IFERROR(__xludf.DUMMYFUNCTION("GOOGLETRANSLATE(F6953, ""auto"", ""en"")
"),"I bought it in m video, the TV is super, the colors of the saturated faces are not stretched, in general I’m happy with everything.")</f>
        <v>I bought it in m video, the TV is super, the colors of the saturated faces are not stretched, in general I’m happy with everything.</v>
      </c>
    </row>
    <row r="6954" spans="1:9" x14ac:dyDescent="0.3">
      <c r="A6954" s="1" t="s">
        <v>61</v>
      </c>
      <c r="B6954" s="1" t="s">
        <v>145</v>
      </c>
      <c r="C6954" s="1" t="s">
        <v>45</v>
      </c>
      <c r="D6954" s="1" t="s">
        <v>64</v>
      </c>
      <c r="E6954" s="1" t="s">
        <v>792</v>
      </c>
      <c r="F6954" s="1" t="s">
        <v>10866</v>
      </c>
      <c r="G6954" s="1" t="s">
        <v>36</v>
      </c>
      <c r="H6954" s="1" t="s">
        <v>29</v>
      </c>
      <c r="I6954" s="1" t="str">
        <f ca="1">IFERROR(__xludf.DUMMYFUNCTION("GOOGLETRANSLATE(F6954, ""auto"", ""en"")
"),"Bought in September. We use it every weekend! I really like it!!! The meat turns out almost the same as on the fire. A very good thing for lovers of kebabs, chicken and grilled fish)))")</f>
        <v>Bought in September. We use it every weekend! I really like it!!! The meat turns out almost the same as on the fire. A very good thing for lovers of kebabs, chicken and grilled fish)))</v>
      </c>
    </row>
    <row r="6955" spans="1:9" x14ac:dyDescent="0.3">
      <c r="A6955" s="1" t="s">
        <v>61</v>
      </c>
      <c r="B6955" s="1" t="s">
        <v>318</v>
      </c>
      <c r="C6955" s="1" t="s">
        <v>246</v>
      </c>
      <c r="D6955" s="1" t="s">
        <v>232</v>
      </c>
      <c r="E6955" s="1" t="s">
        <v>2222</v>
      </c>
      <c r="F6955" s="1" t="s">
        <v>10867</v>
      </c>
      <c r="G6955" s="1" t="s">
        <v>28</v>
      </c>
      <c r="H6955" s="1" t="s">
        <v>29</v>
      </c>
      <c r="I6955" s="1" t="str">
        <f ca="1">IFERROR(__xludf.DUMMYFUNCTION("GOOGLETRANSLATE(F6955, ""auto"", ""en"")
"),"Well, I just bought it and thought I’d take it to change it, because I just turned it on and it doesn’t work, I changed the sockets and spit all sorts of different things, but it just doesn’t want to and that’s it. further interesting =) at home there is "&amp;"the same kettle alone, only without a temperature regulator, I put the new kettle in the old stand and lo and behold! - earned it! I put the old kettle in the new stand, it also works, the new one boiled, (it smelled like plastic from Chinese sneakers) I "&amp;"drain the water, put everything back as it should be and everything works =) in general, to say that the regulator works properly, I didn’t notice any jambs, the glass of the water level has become thinner in comparison with the old version and therefore "&amp;"you can clearly see the steam and how the bubbles run, this is not an acquired taste. the lid is not wet. It gets very hot, but the handle is not hot. I give it a 4, I could have given it a 5 if it weren’t for such nonsense with replacing the stands =(")</f>
        <v>Well, I just bought it and thought I’d take it to change it, because I just turned it on and it doesn’t work, I changed the sockets and spit all sorts of different things, but it just doesn’t want to and that’s it. further interesting =) at home there is the same kettle alone, only without a temperature regulator, I put the new kettle in the old stand and lo and behold! - earned it! I put the old kettle in the new stand, it also works, the new one boiled, (it smelled like plastic from Chinese sneakers) I drain the water, put everything back as it should be and everything works =) in general, to say that the regulator works properly, I didn’t notice any jambs, the glass of the water level has become thinner in comparison with the old version and therefore you can clearly see the steam and how the bubbles run, this is not an acquired taste. the lid is not wet. It gets very hot, but the handle is not hot. I give it a 4, I could have given it a 5 if it weren’t for such nonsense with replacing the stands =(</v>
      </c>
    </row>
    <row r="6956" spans="1:9" x14ac:dyDescent="0.3">
      <c r="A6956" s="1" t="s">
        <v>105</v>
      </c>
      <c r="B6956" s="1" t="s">
        <v>106</v>
      </c>
      <c r="C6956" s="1" t="s">
        <v>1921</v>
      </c>
      <c r="D6956" s="1" t="s">
        <v>4217</v>
      </c>
      <c r="E6956" s="1" t="s">
        <v>2057</v>
      </c>
      <c r="F6956" s="1" t="s">
        <v>10868</v>
      </c>
      <c r="G6956" s="1" t="s">
        <v>36</v>
      </c>
      <c r="H6956" s="1" t="s">
        <v>29</v>
      </c>
      <c r="I6956" s="1" t="str">
        <f ca="1">IFERROR(__xludf.DUMMYFUNCTION("GOOGLETRANSLATE(F6956, ""auto"", ""en"")
"),"a good player for the money, the sound is very loud, the maximum I listen to is 15 out of 32. I immediately bought other headphones. The video reads without problems. take it, you won't regret it.")</f>
        <v>a good player for the money, the sound is very loud, the maximum I listen to is 15 out of 32. I immediately bought other headphones. The video reads without problems. take it, you won't regret it.</v>
      </c>
    </row>
    <row r="6957" spans="1:9" x14ac:dyDescent="0.3">
      <c r="A6957" s="1" t="s">
        <v>30</v>
      </c>
      <c r="B6957" s="1" t="s">
        <v>50</v>
      </c>
      <c r="C6957" s="1" t="s">
        <v>1003</v>
      </c>
      <c r="D6957" s="1" t="s">
        <v>335</v>
      </c>
      <c r="E6957" s="1" t="s">
        <v>393</v>
      </c>
      <c r="F6957" s="1" t="s">
        <v>10869</v>
      </c>
      <c r="G6957" s="1" t="s">
        <v>36</v>
      </c>
      <c r="H6957" s="1" t="s">
        <v>29</v>
      </c>
      <c r="I6957" s="1" t="str">
        <f ca="1">IFERROR(__xludf.DUMMYFUNCTION("GOOGLETRANSLATE(F6957, ""auto"", ""en"")
"),"Very good laptop!!!! If you are looking for a stylish, functional and convenient laptop, then the HP pavilion dv6-2116er is simply made for you!!!!")</f>
        <v>Very good laptop!!!! If you are looking for a stylish, functional and convenient laptop, then the HP pavilion dv6-2116er is simply made for you!!!!</v>
      </c>
    </row>
    <row r="6958" spans="1:9" x14ac:dyDescent="0.3">
      <c r="A6958" s="1" t="s">
        <v>61</v>
      </c>
      <c r="B6958" s="1" t="s">
        <v>318</v>
      </c>
      <c r="C6958" s="1" t="s">
        <v>745</v>
      </c>
      <c r="D6958" s="1" t="s">
        <v>5031</v>
      </c>
      <c r="E6958" s="1" t="s">
        <v>10025</v>
      </c>
      <c r="F6958" s="1" t="s">
        <v>10870</v>
      </c>
      <c r="G6958" s="1" t="s">
        <v>36</v>
      </c>
      <c r="H6958" s="1" t="s">
        <v>29</v>
      </c>
      <c r="I6958" s="1" t="str">
        <f ca="1">IFERROR(__xludf.DUMMYFUNCTION("GOOGLETRANSLATE(F6958, ""auto"", ""en"")
"),"Convenient, fast, safe electric kettle")</f>
        <v>Convenient, fast, safe electric kettle</v>
      </c>
    </row>
    <row r="6959" spans="1:9" x14ac:dyDescent="0.3">
      <c r="A6959" s="1" t="s">
        <v>811</v>
      </c>
      <c r="B6959" s="1" t="s">
        <v>812</v>
      </c>
      <c r="C6959" s="1" t="s">
        <v>974</v>
      </c>
      <c r="D6959" s="1" t="s">
        <v>10871</v>
      </c>
      <c r="E6959" s="1" t="s">
        <v>6673</v>
      </c>
      <c r="F6959" s="1" t="s">
        <v>10872</v>
      </c>
      <c r="G6959" s="1" t="s">
        <v>36</v>
      </c>
      <c r="H6959" s="1" t="s">
        <v>29</v>
      </c>
      <c r="I6959" s="1" t="str">
        <f ca="1">IFERROR(__xludf.DUMMYFUNCTION("GOOGLETRANSLATE(F6959, ""auto"", ""en"")
"),"Awesome tripod. We shoot in the forest, park, wherever there is an opportunity to hook onto some kind of mount. It holds firmly, everyone is happy.")</f>
        <v>Awesome tripod. We shoot in the forest, park, wherever there is an opportunity to hook onto some kind of mount. It holds firmly, everyone is happy.</v>
      </c>
    </row>
    <row r="6960" spans="1:9" x14ac:dyDescent="0.3">
      <c r="A6960" s="1" t="s">
        <v>30</v>
      </c>
      <c r="B6960" s="1" t="s">
        <v>50</v>
      </c>
      <c r="C6960" s="1" t="s">
        <v>694</v>
      </c>
      <c r="D6960" s="1" t="s">
        <v>3049</v>
      </c>
      <c r="E6960" s="1" t="s">
        <v>2310</v>
      </c>
      <c r="F6960" s="1" t="s">
        <v>10873</v>
      </c>
      <c r="G6960" s="1" t="s">
        <v>36</v>
      </c>
      <c r="H6960" s="1" t="s">
        <v>29</v>
      </c>
      <c r="I6960" s="1" t="str">
        <f ca="1">IFERROR(__xludf.DUMMYFUNCTION("GOOGLETRANSLATE(F6960, ""auto"", ""en"")
"),"and, most importantly, QUIET!!  does not interfere with sleep when my husband is reading on the next pillow)))")</f>
        <v>and, most importantly, QUIET!!  does not interfere with sleep when my husband is reading on the next pillow)))</v>
      </c>
    </row>
    <row r="6961" spans="1:9" x14ac:dyDescent="0.3">
      <c r="A6961" s="1" t="s">
        <v>624</v>
      </c>
      <c r="B6961" s="1" t="s">
        <v>625</v>
      </c>
      <c r="C6961" s="1" t="s">
        <v>479</v>
      </c>
      <c r="D6961" s="1" t="s">
        <v>1851</v>
      </c>
      <c r="E6961" s="1" t="s">
        <v>585</v>
      </c>
      <c r="F6961" s="1" t="s">
        <v>10874</v>
      </c>
      <c r="G6961" s="1" t="s">
        <v>36</v>
      </c>
      <c r="H6961" s="1" t="s">
        <v>29</v>
      </c>
      <c r="I6961" s="1" t="str">
        <f ca="1">IFERROR(__xludf.DUMMYFUNCTION("GOOGLETRANSLATE(F6961, ""auto"", ""en"")
"),"This is a masterpiece! There are not enough swear words to describe how unbearable it is.    In fact, this game makes you think: How far are you willing to go to save the one you love?  A very powerful plot, and a story that touches to the core.  To be ho"&amp;"nest, I almost shed a tear. I recommend it to everyone.")</f>
        <v>This is a masterpiece! There are not enough swear words to describe how unbearable it is.    In fact, this game makes you think: How far are you willing to go to save the one you love?  A very powerful plot, and a story that touches to the core.  To be honest, I almost shed a tear. I recommend it to everyone.</v>
      </c>
    </row>
    <row r="6962" spans="1:9" x14ac:dyDescent="0.3">
      <c r="A6962" s="1" t="s">
        <v>89</v>
      </c>
      <c r="B6962" s="1" t="s">
        <v>1106</v>
      </c>
      <c r="C6962" s="1" t="s">
        <v>63</v>
      </c>
      <c r="D6962" s="1" t="s">
        <v>589</v>
      </c>
      <c r="E6962" s="1" t="s">
        <v>3811</v>
      </c>
      <c r="F6962" s="1" t="s">
        <v>10875</v>
      </c>
      <c r="G6962" s="1" t="s">
        <v>36</v>
      </c>
      <c r="H6962" s="1" t="s">
        <v>29</v>
      </c>
      <c r="I6962" s="1" t="str">
        <f ca="1">IFERROR(__xludf.DUMMYFUNCTION("GOOGLETRANSLATE(F6962, ""auto"", ""en"")
"),"We bought it 2 days ago and fell in love. At first I was captivated by the design - white and different from others. When I turned it on at home, it seemed a little noisy, but you quickly get used to it, since it only makes noise while it’s cooking - abou"&amp;"t 5 minutes. But the coffee turns out very tasty, especially if it sits for a while. The capacity of the flask, as described above, is a little inconvenient (to pour out all the water you need to completely turn the flask over), but I don’t consider it a "&amp;"significant disadvantage, since when pouring the last drops of coffee, if there is sediment, it just remains there. No filters are included in the kit - we immediately took disposable ones (reusable and not recommended to use, since particles of the previ"&amp;"ous coffee may remain in the frames and germs will be diluted). I used a disposable filter, threw it away and the inside is clean and almost dry. I wipe it after each filter removal just for my peace of mind - the cloth is a little damp, but clean. So far"&amp;" we are happy and I hope she will please us for a long time.")</f>
        <v>We bought it 2 days ago and fell in love. At first I was captivated by the design - white and different from others. When I turned it on at home, it seemed a little noisy, but you quickly get used to it, since it only makes noise while it’s cooking - about 5 minutes. But the coffee turns out very tasty, especially if it sits for a while. The capacity of the flask, as described above, is a little inconvenient (to pour out all the water you need to completely turn the flask over), but I don’t consider it a significant disadvantage, since when pouring the last drops of coffee, if there is sediment, it just remains there. No filters are included in the kit - we immediately took disposable ones (reusable and not recommended to use, since particles of the previous coffee may remain in the frames and germs will be diluted). I used a disposable filter, threw it away and the inside is clean and almost dry. I wipe it after each filter removal just for my peace of mind - the cloth is a little damp, but clean. So far we are happy and I hope she will please us for a long time.</v>
      </c>
    </row>
    <row r="6963" spans="1:9" x14ac:dyDescent="0.3">
      <c r="A6963" s="1" t="s">
        <v>43</v>
      </c>
      <c r="B6963" s="1" t="s">
        <v>502</v>
      </c>
      <c r="C6963" s="1" t="s">
        <v>159</v>
      </c>
      <c r="D6963" s="1" t="s">
        <v>891</v>
      </c>
      <c r="E6963" s="1" t="s">
        <v>4805</v>
      </c>
      <c r="F6963" s="1" t="s">
        <v>10876</v>
      </c>
      <c r="G6963" s="1" t="s">
        <v>28</v>
      </c>
      <c r="H6963" s="1" t="s">
        <v>29</v>
      </c>
      <c r="I6963" s="1" t="str">
        <f ca="1">IFERROR(__xludf.DUMMYFUNCTION("GOOGLETRANSLATE(F6963, ""auto"", ""en"")
"),"I bought this model at a promotion with free installation. I chose long and carefully. As a result, I didn’t regret it!) I was a little upset that the buttons on the remote control, which are responsible for selecting the position of the horizontal blinds"&amp;", turning on the ionization modes and the flow of fresh air, as well as the quiet mode, are absolutely not needed for this split system, since it actually doesn’t have these functions! But I was reassured by the fact that the horizontal blinds are at leas"&amp;"t manually adjustable; this air conditioner doesn’t need a quiet mode, because you can’t hear either the indoor or outdoor units at all, and I generally consider the ionization function in any technology to be questionable! I was pleased with the informat"&amp;"ion about energy consumption indicated in the instructions - 800 Wh, not 2000, as indicated on the website. The kit also included some colored sponges, like filters, but I still didn’t understand where exactly to put them.) There was no opportunity yet to"&amp;" see how the block defrosting system and auto-diagnosis work. In general, if you need a compact (and the indoor unit is actually smaller than the other nines) and high-quality air conditioner for 25 square meters, then this model is for you!)")</f>
        <v>I bought this model at a promotion with free installation. I chose long and carefully. As a result, I didn’t regret it!) I was a little upset that the buttons on the remote control, which are responsible for selecting the position of the horizontal blinds, turning on the ionization modes and the flow of fresh air, as well as the quiet mode, are absolutely not needed for this split system, since it actually doesn’t have these functions! But I was reassured by the fact that the horizontal blinds are at least manually adjustable; this air conditioner doesn’t need a quiet mode, because you can’t hear either the indoor or outdoor units at all, and I generally consider the ionization function in any technology to be questionable! I was pleased with the information about energy consumption indicated in the instructions - 800 Wh, not 2000, as indicated on the website. The kit also included some colored sponges, like filters, but I still didn’t understand where exactly to put them.) There was no opportunity yet to see how the block defrosting system and auto-diagnosis work. In general, if you need a compact (and the indoor unit is actually smaller than the other nines) and high-quality air conditioner for 25 square meters, then this model is for you!)</v>
      </c>
    </row>
    <row r="6964" spans="1:9" x14ac:dyDescent="0.3">
      <c r="A6964" s="1" t="s">
        <v>37</v>
      </c>
      <c r="B6964" s="1" t="s">
        <v>536</v>
      </c>
      <c r="C6964" s="1" t="s">
        <v>32</v>
      </c>
      <c r="D6964" s="1" t="s">
        <v>5784</v>
      </c>
      <c r="E6964" s="1" t="s">
        <v>2298</v>
      </c>
      <c r="F6964" s="1" t="s">
        <v>10877</v>
      </c>
      <c r="G6964" s="1" t="s">
        <v>28</v>
      </c>
      <c r="H6964" s="1" t="s">
        <v>29</v>
      </c>
      <c r="I6964" s="1" t="str">
        <f ca="1">IFERROR(__xludf.DUMMYFUNCTION("GOOGLETRANSLATE(F6964, ""auto"", ""en"")
"),"User E-101 for 2 months, so I’ll tell you the whole truth. Cons: 1. Bad camera (terrible pictures) 2. Incorrect operation of the TOUCH screen (this can be solved with new firmware) 3. Communication with satellites constantly breaks when working with GPS ("&amp;"GPS API 2 times per minute, and through COM7 every 5 seconds).  Pros: 1. The lowest price for a PDA of this level (CPU-528MGZ, RAM-256, ROM512) PS. The WIFI that is installed in a PDA does not know anything, unlike the WIFI installed in a PC, so its absen"&amp;"ce is only a plus because you do not need to install an additional antenna, and this place can be used by increasing the GSM antenna, i.e. increase the reception sensitivity of the GSM module.  Why didn't you choose ANDROID? Because 60% of the installed s"&amp;"oftware is designed for Internet services, and the PDA is not only Internet Explorer.  If it helped you choose, check ""YES""")</f>
        <v>User E-101 for 2 months, so I’ll tell you the whole truth. Cons: 1. Bad camera (terrible pictures) 2. Incorrect operation of the TOUCH screen (this can be solved with new firmware) 3. Communication with satellites constantly breaks when working with GPS (GPS API 2 times per minute, and through COM7 every 5 seconds).  Pros: 1. The lowest price for a PDA of this level (CPU-528MGZ, RAM-256, ROM512) PS. The WIFI that is installed in a PDA does not know anything, unlike the WIFI installed in a PC, so its absence is only a plus because you do not need to install an additional antenna, and this place can be used by increasing the GSM antenna, i.e. increase the reception sensitivity of the GSM module.  Why didn't you choose ANDROID? Because 60% of the installed software is designed for Internet services, and the PDA is not only Internet Explorer.  If it helped you choose, check "YES"</v>
      </c>
    </row>
    <row r="6965" spans="1:9" x14ac:dyDescent="0.3">
      <c r="A6965" s="1" t="s">
        <v>95</v>
      </c>
      <c r="B6965" s="1" t="s">
        <v>486</v>
      </c>
      <c r="C6965" s="1" t="s">
        <v>487</v>
      </c>
      <c r="D6965" s="1" t="s">
        <v>305</v>
      </c>
      <c r="E6965" s="1" t="s">
        <v>6994</v>
      </c>
      <c r="F6965" s="1" t="s">
        <v>10878</v>
      </c>
      <c r="G6965" s="1" t="s">
        <v>36</v>
      </c>
      <c r="H6965" s="1" t="s">
        <v>29</v>
      </c>
      <c r="I6965" s="1" t="str">
        <f ca="1">IFERROR(__xludf.DUMMYFUNCTION("GOOGLETRANSLATE(F6965, ""auto"", ""en"")
"),"Magnificent console!!! The only downside is that if you wipe the console with an ordinary rag, small but unpleasant scratches will remain on the body =(")</f>
        <v>Magnificent console!!! The only downside is that if you wipe the console with an ordinary rag, small but unpleasant scratches will remain on the body =(</v>
      </c>
    </row>
    <row r="6966" spans="1:9" x14ac:dyDescent="0.3">
      <c r="A6966" s="1" t="s">
        <v>17</v>
      </c>
      <c r="B6966" s="1" t="s">
        <v>18</v>
      </c>
      <c r="C6966" s="1" t="s">
        <v>243</v>
      </c>
      <c r="D6966" s="1" t="s">
        <v>5472</v>
      </c>
      <c r="E6966" s="1" t="s">
        <v>204</v>
      </c>
      <c r="F6966" s="1" t="s">
        <v>10879</v>
      </c>
      <c r="G6966" s="1" t="s">
        <v>49</v>
      </c>
      <c r="H6966" s="1" t="s">
        <v>16</v>
      </c>
      <c r="I6966" s="1" t="str">
        <f ca="1">IFERROR(__xludf.DUMMYFUNCTION("GOOGLETRANSLATE(F6966, ""auto"", ""en"")
"),"Disgusting quality of the product. The first wash was unsuccessful. The machine does not heat the water, after each cycle all the indicators begin to blink, at this time not a single button responds to pressing. More than unpleasantly surprised.")</f>
        <v>Disgusting quality of the product. The first wash was unsuccessful. The machine does not heat the water, after each cycle all the indicators begin to blink, at this time not a single button responds to pressing. More than unpleasantly surprised.</v>
      </c>
    </row>
    <row r="6967" spans="1:9" x14ac:dyDescent="0.3">
      <c r="A6967" s="1" t="s">
        <v>61</v>
      </c>
      <c r="B6967" s="1" t="s">
        <v>726</v>
      </c>
      <c r="C6967" s="1" t="s">
        <v>314</v>
      </c>
      <c r="D6967" s="1" t="s">
        <v>305</v>
      </c>
      <c r="E6967" s="1" t="s">
        <v>1452</v>
      </c>
      <c r="F6967" s="1" t="s">
        <v>10880</v>
      </c>
      <c r="G6967" s="1" t="s">
        <v>36</v>
      </c>
      <c r="H6967" s="1" t="s">
        <v>29</v>
      </c>
      <c r="I6967" s="1" t="str">
        <f ca="1">IFERROR(__xludf.DUMMYFUNCTION("GOOGLETRANSLATE(F6967, ""auto"", ""en"")
"),"I really liked it, it does everything as written, the price is great. Cons: The display is not bright, and the graduations on the measuring cup are difficult to see.")</f>
        <v>I really liked it, it does everything as written, the price is great. Cons: The display is not bright, and the graduations on the measuring cup are difficult to see.</v>
      </c>
    </row>
    <row r="6968" spans="1:9" x14ac:dyDescent="0.3">
      <c r="A6968" s="1" t="s">
        <v>30</v>
      </c>
      <c r="B6968" s="1" t="s">
        <v>50</v>
      </c>
      <c r="C6968" s="1" t="s">
        <v>32</v>
      </c>
      <c r="D6968" s="1" t="s">
        <v>139</v>
      </c>
      <c r="E6968" s="1" t="s">
        <v>2896</v>
      </c>
      <c r="F6968" s="1" t="s">
        <v>10881</v>
      </c>
      <c r="G6968" s="1" t="s">
        <v>36</v>
      </c>
      <c r="H6968" s="1" t="s">
        <v>29</v>
      </c>
      <c r="I6968" s="1" t="str">
        <f ca="1">IFERROR(__xludf.DUMMYFUNCTION("GOOGLETRANSLATE(F6968, ""auto"", ""en"")
"),"I'm happy with the laptop, for my money it's the best in its line, there are of course some disadvantages, but they are minor, I'll give you advice: change the code in the BIOS or disable it, otherwise you may end up in an unpleasant situation.  Tell me w"&amp;"here I can buy a remote control, is it really necessary?")</f>
        <v>I'm happy with the laptop, for my money it's the best in its line, there are of course some disadvantages, but they are minor, I'll give you advice: change the code in the BIOS or disable it, otherwise you may end up in an unpleasant situation.  Tell me where I can buy a remote control, is it really necessary?</v>
      </c>
    </row>
    <row r="6969" spans="1:9" x14ac:dyDescent="0.3">
      <c r="A6969" s="1" t="s">
        <v>30</v>
      </c>
      <c r="B6969" s="1" t="s">
        <v>50</v>
      </c>
      <c r="C6969" s="1" t="s">
        <v>1003</v>
      </c>
      <c r="D6969" s="1" t="s">
        <v>10882</v>
      </c>
      <c r="E6969" s="1" t="s">
        <v>622</v>
      </c>
      <c r="F6969" s="1" t="s">
        <v>10883</v>
      </c>
      <c r="G6969" s="1" t="s">
        <v>36</v>
      </c>
      <c r="H6969" s="1" t="s">
        <v>29</v>
      </c>
      <c r="I6969" s="1" t="str">
        <f ca="1">IFERROR(__xludf.DUMMYFUNCTION("GOOGLETRANSLATE(F6969, ""auto"", ""en"")
"),"I don’t play games anymore so as not to waste time. Otherwise, it works great. I haven’t used Windows yet, I’ve been using it for about three weeks, I took it with me on a trip to the Vologda region. Quiet, comfortable, original case! A good built-in came"&amp;"ra with the ability to “distort mirrors” greatly pleased me and my friends on Skype :)")</f>
        <v>I don’t play games anymore so as not to waste time. Otherwise, it works great. I haven’t used Windows yet, I’ve been using it for about three weeks, I took it with me on a trip to the Vologda region. Quiet, comfortable, original case! A good built-in camera with the ability to “distort mirrors” greatly pleased me and my friends on Skype :)</v>
      </c>
    </row>
    <row r="6970" spans="1:9" x14ac:dyDescent="0.3">
      <c r="A6970" s="1" t="s">
        <v>105</v>
      </c>
      <c r="B6970" s="1" t="s">
        <v>106</v>
      </c>
      <c r="C6970" s="1" t="s">
        <v>97</v>
      </c>
      <c r="D6970" s="1" t="s">
        <v>152</v>
      </c>
      <c r="E6970" s="1" t="s">
        <v>201</v>
      </c>
      <c r="F6970" s="1" t="s">
        <v>10884</v>
      </c>
      <c r="G6970" s="1" t="s">
        <v>36</v>
      </c>
      <c r="H6970" s="1" t="s">
        <v>29</v>
      </c>
      <c r="I6970" s="1" t="str">
        <f ca="1">IFERROR(__xludf.DUMMYFUNCTION("GOOGLETRANSLATE(F6970, ""auto"", ""en"")
"),"I bought a Sonya a month ago. I’m still happy with the purchase. An excellent player. The quality is, as always, at the highest level. The only negative is that the panel gets scratched quickly, but this is nothing compared to the sound quality. If you ch"&amp;"oose a player, then only Sony. You won’t regret it! Just don’t forget to buy a case for it.")</f>
        <v>I bought a Sonya a month ago. I’m still happy with the purchase. An excellent player. The quality is, as always, at the highest level. The only negative is that the panel gets scratched quickly, but this is nothing compared to the sound quality. If you choose a player, then only Sony. You won’t regret it! Just don’t forget to buy a case for it.</v>
      </c>
    </row>
    <row r="6971" spans="1:9" x14ac:dyDescent="0.3">
      <c r="A6971" s="1" t="s">
        <v>149</v>
      </c>
      <c r="B6971" s="1" t="s">
        <v>576</v>
      </c>
      <c r="C6971" s="1" t="s">
        <v>151</v>
      </c>
      <c r="D6971" s="1" t="s">
        <v>592</v>
      </c>
      <c r="E6971" s="1" t="s">
        <v>872</v>
      </c>
      <c r="F6971" s="1" t="s">
        <v>10885</v>
      </c>
      <c r="G6971" s="1" t="s">
        <v>36</v>
      </c>
      <c r="H6971" s="1" t="s">
        <v>29</v>
      </c>
      <c r="I6971" s="1" t="str">
        <f ca="1">IFERROR(__xludf.DUMMYFUNCTION("GOOGLETRANSLATE(F6971, ""auto"", ""en"")
"),"The vacuum cleaner has been serving faithfully without cleaning the engine for 3 years now, and, imagine, without losing suction power. I’m such a fan of Samsung (in my house there are TVs, radios and mobile phones, etc. from this company, but this model "&amp;"is just CLASS) - not heavy, nice, unpretentious.")</f>
        <v>The vacuum cleaner has been serving faithfully without cleaning the engine for 3 years now, and, imagine, without losing suction power. I’m such a fan of Samsung (in my house there are TVs, radios and mobile phones, etc. from this company, but this model is just CLASS) - not heavy, nice, unpretentious.</v>
      </c>
    </row>
    <row r="6972" spans="1:9" x14ac:dyDescent="0.3">
      <c r="A6972" s="1" t="s">
        <v>89</v>
      </c>
      <c r="B6972" s="1" t="s">
        <v>90</v>
      </c>
      <c r="C6972" s="1" t="s">
        <v>185</v>
      </c>
      <c r="D6972" s="1" t="s">
        <v>39</v>
      </c>
      <c r="E6972" s="1" t="s">
        <v>5687</v>
      </c>
      <c r="F6972" s="1" t="s">
        <v>10886</v>
      </c>
      <c r="G6972" s="1" t="s">
        <v>36</v>
      </c>
      <c r="H6972" s="1" t="s">
        <v>29</v>
      </c>
      <c r="I6972" s="1" t="str">
        <f ca="1">IFERROR(__xludf.DUMMYFUNCTION("GOOGLETRANSLATE(F6972, ""auto"", ""en"")
"),"The main advantage of this coffee grinder is that it grinds beans using millstones. You can adjust the degree of grinding. I have not seen such a function in ordinary typical coffee grinders. Moreover, many of my friends’ motors failed due to overheating."&amp;" There are millstones here, it is much more difficult to overheat the engine. The upper millstone is taken out, it actually feels like some kind of stone. The coffee grinder has a timer for a given number of mugs (spoons of coffee) - from 2 to 12. I check"&amp;"ed that if you put 2 full heaped tablespoons of bean coffee and put the pointer on the number 2, then in fact, that’s how long it will take. After this, the coffee grinder turns off. You can turn it off earlier by pressing the On\\Off button. If it turns "&amp;"off and the grains remain unground, you can turn it on again. In fact, this is not required at all; you can leave the beans unground in the upper bean compartment. When you are ready to make a couple of mugs of coffee, and the lower container with ground "&amp;"beans is empty, turn on the coffee grinder for 2 mugs, exactly the same amount and you will get ground coffee in the lower container. Very convenient. Of course, it is recommended to grind the coffee only as much as necessary so that it does not lose its "&amp;"aroma. Both compartments look quite sealed. High-quality plastic, beautiful design, the extra length of the cord is hidden under the bottom of the coffee grinder. Rubber feet. You can keep it on all the time. Just add beans from above and take the require"&amp;"d amount of ground coffee from below. Super!")</f>
        <v>The main advantage of this coffee grinder is that it grinds beans using millstones. You can adjust the degree of grinding. I have not seen such a function in ordinary typical coffee grinders. Moreover, many of my friends’ motors failed due to overheating. There are millstones here, it is much more difficult to overheat the engine. The upper millstone is taken out, it actually feels like some kind of stone. The coffee grinder has a timer for a given number of mugs (spoons of coffee) - from 2 to 12. I checked that if you put 2 full heaped tablespoons of bean coffee and put the pointer on the number 2, then in fact, that’s how long it will take. After this, the coffee grinder turns off. You can turn it off earlier by pressing the On\\Off button. If it turns off and the grains remain unground, you can turn it on again. In fact, this is not required at all; you can leave the beans unground in the upper bean compartment. When you are ready to make a couple of mugs of coffee, and the lower container with ground beans is empty, turn on the coffee grinder for 2 mugs, exactly the same amount and you will get ground coffee in the lower container. Very convenient. Of course, it is recommended to grind the coffee only as much as necessary so that it does not lose its aroma. Both compartments look quite sealed. High-quality plastic, beautiful design, the extra length of the cord is hidden under the bottom of the coffee grinder. Rubber feet. You can keep it on all the time. Just add beans from above and take the required amount of ground coffee from below. Super!</v>
      </c>
    </row>
    <row r="6973" spans="1:9" x14ac:dyDescent="0.3">
      <c r="A6973" s="1" t="s">
        <v>61</v>
      </c>
      <c r="B6973" s="1" t="s">
        <v>224</v>
      </c>
      <c r="C6973" s="1" t="s">
        <v>74</v>
      </c>
      <c r="D6973" s="1" t="s">
        <v>653</v>
      </c>
      <c r="E6973" s="1" t="s">
        <v>1448</v>
      </c>
      <c r="F6973" s="1" t="s">
        <v>10887</v>
      </c>
      <c r="G6973" s="1" t="s">
        <v>28</v>
      </c>
      <c r="H6973" s="1" t="s">
        <v>29</v>
      </c>
      <c r="I6973" s="1" t="str">
        <f ca="1">IFERROR(__xludf.DUMMYFUNCTION("GOOGLETRANSLATE(F6973, ""auto"", ""en"")
"),"We have been using this juicer for a year now and are very pleased. Squeezes vegetables and fruits well. Only it doesn’t squeeze the berries very well, the cake is wet and the remains of the berries end up in the juice.")</f>
        <v>We have been using this juicer for a year now and are very pleased. Squeezes vegetables and fruits well. Only it doesn’t squeeze the berries very well, the cake is wet and the remains of the berries end up in the juice.</v>
      </c>
    </row>
    <row r="6974" spans="1:9" x14ac:dyDescent="0.3">
      <c r="A6974" s="1" t="s">
        <v>206</v>
      </c>
      <c r="B6974" s="1" t="s">
        <v>261</v>
      </c>
      <c r="C6974" s="1" t="s">
        <v>262</v>
      </c>
      <c r="D6974" s="1" t="s">
        <v>64</v>
      </c>
      <c r="E6974" s="1" t="s">
        <v>6606</v>
      </c>
      <c r="F6974" s="1" t="s">
        <v>10888</v>
      </c>
      <c r="G6974" s="1" t="s">
        <v>36</v>
      </c>
      <c r="H6974" s="1" t="s">
        <v>29</v>
      </c>
      <c r="I6974" s="1" t="str">
        <f ca="1">IFERROR(__xludf.DUMMYFUNCTION("GOOGLETRANSLATE(F6974, ""auto"", ""en"")
"),"The antenna is good, it picks up all radio stations perfectly. It has been working for more than a year without any complaints. Very compact and unnoticeable.")</f>
        <v>The antenna is good, it picks up all radio stations perfectly. It has been working for more than a year without any complaints. Very compact and unnoticeable.</v>
      </c>
    </row>
    <row r="6975" spans="1:9" x14ac:dyDescent="0.3">
      <c r="A6975" s="1" t="s">
        <v>61</v>
      </c>
      <c r="B6975" s="1" t="s">
        <v>145</v>
      </c>
      <c r="C6975" s="1" t="s">
        <v>74</v>
      </c>
      <c r="D6975" s="1" t="s">
        <v>10889</v>
      </c>
      <c r="E6975" s="1" t="s">
        <v>5767</v>
      </c>
      <c r="F6975" s="1" t="s">
        <v>10890</v>
      </c>
      <c r="G6975" s="1" t="s">
        <v>49</v>
      </c>
      <c r="H6975" s="1" t="s">
        <v>16</v>
      </c>
      <c r="I6975" s="1" t="str">
        <f ca="1">IFERROR(__xludf.DUMMYFUNCTION("GOOGLETRANSLATE(F6975, ""auto"", ""en"")
"),"After reading the reviews, I was inspired by the idea of ​​purchasing this miracle device. I thought I’d buy Evitalia at the pharmacy, put it in the night, put it in the refrigerator in the morning, and everything’s great! I read that sometimes it overhea"&amp;"ts, but not that much! Burns your hands! Cardboard under the jars doesn't help. Maybe I'm just unlucky. I don’t even want to read advice on the Internet about dancing with tambourines around a simple device (temperature relay, thermometer, experiments on "&amp;"the number of hours). In the end, I'll try to return it to the store.")</f>
        <v>After reading the reviews, I was inspired by the idea of ​​purchasing this miracle device. I thought I’d buy Evitalia at the pharmacy, put it in the night, put it in the refrigerator in the morning, and everything’s great! I read that sometimes it overheats, but not that much! Burns your hands! Cardboard under the jars doesn't help. Maybe I'm just unlucky. I don’t even want to read advice on the Internet about dancing with tambourines around a simple device (temperature relay, thermometer, experiments on the number of hours). In the end, I'll try to return it to the store.</v>
      </c>
    </row>
    <row r="6976" spans="1:9" x14ac:dyDescent="0.3">
      <c r="A6976" s="1" t="s">
        <v>211</v>
      </c>
      <c r="B6976" s="1" t="s">
        <v>212</v>
      </c>
      <c r="C6976" s="1" t="s">
        <v>57</v>
      </c>
      <c r="D6976" s="1" t="s">
        <v>3923</v>
      </c>
      <c r="E6976" s="1" t="s">
        <v>2769</v>
      </c>
      <c r="F6976" s="1" t="s">
        <v>10891</v>
      </c>
      <c r="G6976" s="1" t="s">
        <v>28</v>
      </c>
      <c r="H6976" s="1" t="s">
        <v>29</v>
      </c>
      <c r="I6976" s="1" t="str">
        <f ca="1">IFERROR(__xludf.DUMMYFUNCTION("GOOGLETRANSLATE(F6976, ""auto"", ""en"")
"),"I bought this curling iron and didn’t regret it, it’s a worthy thing!!! However, the curling is bad, the curls are short-lived and immediately unravel!")</f>
        <v>I bought this curling iron and didn’t regret it, it’s a worthy thing!!! However, the curling is bad, the curls are short-lived and immediately unravel!</v>
      </c>
    </row>
    <row r="6977" spans="1:9" x14ac:dyDescent="0.3">
      <c r="A6977" s="1" t="s">
        <v>120</v>
      </c>
      <c r="B6977" s="1" t="s">
        <v>121</v>
      </c>
      <c r="C6977" s="1" t="s">
        <v>69</v>
      </c>
      <c r="D6977" s="1" t="s">
        <v>139</v>
      </c>
      <c r="E6977" s="1" t="s">
        <v>1886</v>
      </c>
      <c r="F6977" s="1" t="s">
        <v>10892</v>
      </c>
      <c r="G6977" s="1" t="s">
        <v>36</v>
      </c>
      <c r="H6977" s="1" t="s">
        <v>29</v>
      </c>
      <c r="I6977" s="1" t="str">
        <f ca="1">IFERROR(__xludf.DUMMYFUNCTION("GOOGLETRANSLATE(F6977, ""auto"", ""en"")
"),"I just purchased this TV today, but I was able to enjoy the quality of the image and sound in exactly 20 minutes. After which the TV made a terrible squeak/crackle and rebooted. I worked for a couple more minutes and did the same. I disconnected other dev"&amp;"ices from its surge protector - it didn’t help. I'll probably have to put it in the SC... It's a pity, it seems like a good TV.")</f>
        <v>I just purchased this TV today, but I was able to enjoy the quality of the image and sound in exactly 20 minutes. After which the TV made a terrible squeak/crackle and rebooted. I worked for a couple more minutes and did the same. I disconnected other devices from its surge protector - it didn’t help. I'll probably have to put it in the SC... It's a pity, it seems like a good TV.</v>
      </c>
    </row>
    <row r="6978" spans="1:9" x14ac:dyDescent="0.3">
      <c r="A6978" s="1" t="s">
        <v>169</v>
      </c>
      <c r="B6978" s="1" t="s">
        <v>170</v>
      </c>
      <c r="C6978" s="1" t="s">
        <v>69</v>
      </c>
      <c r="D6978" s="1" t="s">
        <v>152</v>
      </c>
      <c r="E6978" s="1" t="s">
        <v>1816</v>
      </c>
      <c r="F6978" s="1" t="s">
        <v>10893</v>
      </c>
      <c r="G6978" s="1" t="s">
        <v>36</v>
      </c>
      <c r="H6978" s="1" t="s">
        <v>29</v>
      </c>
      <c r="I6978" s="1" t="str">
        <f ca="1">IFERROR(__xludf.DUMMYFUNCTION("GOOGLETRANSLATE(F6978, ""auto"", ""en"")
"),"The headphones are great! I bought them 3-4 years ago. The sound and build quality is top notch! Excellent low frequencies. Good cord. They fit well on the head and are pressed tightly to the ears.   I recommend!")</f>
        <v>The headphones are great! I bought them 3-4 years ago. The sound and build quality is top notch! Excellent low frequencies. Good cord. They fit well on the head and are pressed tightly to the ears.   I recommend!</v>
      </c>
    </row>
    <row r="6979" spans="1:9" x14ac:dyDescent="0.3">
      <c r="A6979" s="1" t="s">
        <v>43</v>
      </c>
      <c r="B6979" s="1" t="s">
        <v>1616</v>
      </c>
      <c r="C6979" s="1" t="s">
        <v>185</v>
      </c>
      <c r="D6979" s="1" t="s">
        <v>171</v>
      </c>
      <c r="E6979" s="1" t="s">
        <v>5859</v>
      </c>
      <c r="F6979" s="1" t="s">
        <v>10894</v>
      </c>
      <c r="G6979" s="1" t="s">
        <v>36</v>
      </c>
      <c r="H6979" s="1" t="s">
        <v>29</v>
      </c>
      <c r="I6979" s="1" t="str">
        <f ca="1">IFERROR(__xludf.DUMMYFUNCTION("GOOGLETRANSLATE(F6979, ""auto"", ""en"")
"),"In my opinion, this is the most effective air conditioner in this price segment. Very powerful cooling capacity, the difference which can be felt even with just your hand compared to analogues. Very easy to operate and ready for use very quickly. Within a"&amp;" few seconds after switching on, it cools completely. I recommend!")</f>
        <v>In my opinion, this is the most effective air conditioner in this price segment. Very powerful cooling capacity, the difference which can be felt even with just your hand compared to analogues. Very easy to operate and ready for use very quickly. Within a few seconds after switching on, it cools completely. I recommend!</v>
      </c>
    </row>
    <row r="6980" spans="1:9" x14ac:dyDescent="0.3">
      <c r="A6980" s="1" t="s">
        <v>120</v>
      </c>
      <c r="B6980" s="1" t="s">
        <v>121</v>
      </c>
      <c r="C6980" s="1" t="s">
        <v>97</v>
      </c>
      <c r="D6980" s="1" t="s">
        <v>10895</v>
      </c>
      <c r="E6980" s="1" t="s">
        <v>131</v>
      </c>
      <c r="F6980" s="1" t="s">
        <v>10896</v>
      </c>
      <c r="G6980" s="1" t="s">
        <v>15</v>
      </c>
      <c r="H6980" s="1" t="s">
        <v>16</v>
      </c>
      <c r="I6980" s="1" t="str">
        <f ca="1">IFERROR(__xludf.DUMMYFUNCTION("GOOGLETRANSLATE(F6980, ""auto"", ""en"")
"),"We bought a Sonya on February 27, I’m still tormented by the thought of taking it and exchanging it for a Toshiba, the only consolation is that it will hang in the kitchen, maybe it will do for this room. I completely agree with all the negative reviews, "&amp;"except for the design there are no pluses. The image is terrible, there is no clarity, I tried to set it up for four days. I hope that the quality will be better from a satellite dish. A long pause when switching channels, for those who like to click butt"&amp;"ons is very a nervous activity. Plus, we bought it for 19 thousand rubles from Philips friends, I didn’t notice any flaws in the image.")</f>
        <v>We bought a Sonya on February 27, I’m still tormented by the thought of taking it and exchanging it for a Toshiba, the only consolation is that it will hang in the kitchen, maybe it will do for this room. I completely agree with all the negative reviews, except for the design there are no pluses. The image is terrible, there is no clarity, I tried to set it up for four days. I hope that the quality will be better from a satellite dish. A long pause when switching channels, for those who like to click buttons is very a nervous activity. Plus, we bought it for 19 thousand rubles from Philips friends, I didn’t notice any flaws in the image.</v>
      </c>
    </row>
    <row r="6981" spans="1:9" x14ac:dyDescent="0.3">
      <c r="A6981" s="1" t="s">
        <v>55</v>
      </c>
      <c r="B6981" s="1" t="s">
        <v>6412</v>
      </c>
      <c r="C6981" s="1" t="s">
        <v>57</v>
      </c>
      <c r="D6981" s="1" t="s">
        <v>10897</v>
      </c>
      <c r="E6981" s="1" t="s">
        <v>2669</v>
      </c>
      <c r="F6981" s="1" t="s">
        <v>10898</v>
      </c>
      <c r="G6981" s="1" t="s">
        <v>36</v>
      </c>
      <c r="H6981" s="1" t="s">
        <v>29</v>
      </c>
      <c r="I6981" s="1" t="str">
        <f ca="1">IFERROR(__xludf.DUMMYFUNCTION("GOOGLETRANSLATE(F6981, ""auto"", ""en"")
"),"A wonderful convector, it works absolutely silently, it was terribly cold at home and most importantly there was humidity, during the night of work it became hot so that we even crawled out from under the blankets, the humidity disappeared, we used to put"&amp;" on wet things in the morning, now it is absolutely normal, there was no foreign smell, a fairly powerful thing takes 25 square meters with ease. The downside, of course, is its volume, but it is easily mounted on the wall and generally does not interfere"&amp;". look at what they give you at the checkout as ours was slightly dented on the inside, but the dent is visible from the factory as the paint lies on it very neatly. In general, and overall we are very happy with the purchase.")</f>
        <v>A wonderful convector, it works absolutely silently, it was terribly cold at home and most importantly there was humidity, during the night of work it became hot so that we even crawled out from under the blankets, the humidity disappeared, we used to put on wet things in the morning, now it is absolutely normal, there was no foreign smell, a fairly powerful thing takes 25 square meters with ease. The downside, of course, is its volume, but it is easily mounted on the wall and generally does not interfere. look at what they give you at the checkout as ours was slightly dented on the inside, but the dent is visible from the factory as the paint lies on it very neatly. In general, and overall we are very happy with the purchase.</v>
      </c>
    </row>
    <row r="6982" spans="1:9" x14ac:dyDescent="0.3">
      <c r="A6982" s="1" t="s">
        <v>211</v>
      </c>
      <c r="B6982" s="1" t="s">
        <v>212</v>
      </c>
      <c r="C6982" s="1" t="s">
        <v>294</v>
      </c>
      <c r="D6982" s="1" t="s">
        <v>247</v>
      </c>
      <c r="E6982" s="1" t="s">
        <v>10899</v>
      </c>
      <c r="F6982" s="1" t="s">
        <v>10900</v>
      </c>
      <c r="G6982" s="1" t="s">
        <v>36</v>
      </c>
      <c r="H6982" s="1" t="s">
        <v>29</v>
      </c>
      <c r="I6982" s="1" t="str">
        <f ca="1">IFERROR(__xludf.DUMMYFUNCTION("GOOGLETRANSLATE(F6982, ""auto"", ""en"")
"),"A good iron, it lasted more than 5 years, the contact of the plastic is tight, it heats up quickly, I advise you to buy")</f>
        <v>A good iron, it lasted more than 5 years, the contact of the plastic is tight, it heats up quickly, I advise you to buy</v>
      </c>
    </row>
    <row r="6983" spans="1:9" x14ac:dyDescent="0.3">
      <c r="A6983" s="1" t="s">
        <v>169</v>
      </c>
      <c r="B6983" s="1" t="s">
        <v>170</v>
      </c>
      <c r="C6983" s="1" t="s">
        <v>171</v>
      </c>
      <c r="D6983" s="1" t="s">
        <v>1917</v>
      </c>
      <c r="E6983" s="1" t="s">
        <v>225</v>
      </c>
      <c r="F6983" s="1" t="s">
        <v>10901</v>
      </c>
      <c r="G6983" s="1" t="s">
        <v>49</v>
      </c>
      <c r="H6983" s="1" t="s">
        <v>16</v>
      </c>
      <c r="I6983" s="1" t="str">
        <f ca="1">IFERROR(__xludf.DUMMYFUNCTION("GOOGLETRANSLATE(F6983, ""auto"", ""en"")
"),"There is no bass at all(((Some kind of tweeters... They don’t justify their price... I don’t recommend taking them, look for something else... I foolishly took them, fell for the positive comments(((")</f>
        <v>There is no bass at all(((Some kind of tweeters... They don’t justify their price... I don’t recommend taking them, look for something else... I foolishly took them, fell for the positive comments(((</v>
      </c>
    </row>
    <row r="6984" spans="1:9" x14ac:dyDescent="0.3">
      <c r="A6984" s="1" t="s">
        <v>373</v>
      </c>
      <c r="B6984" s="1" t="s">
        <v>374</v>
      </c>
      <c r="C6984" s="1" t="s">
        <v>24</v>
      </c>
      <c r="D6984" s="1" t="s">
        <v>474</v>
      </c>
      <c r="E6984" s="1" t="s">
        <v>1210</v>
      </c>
      <c r="F6984" s="1" t="s">
        <v>10902</v>
      </c>
      <c r="G6984" s="1" t="s">
        <v>49</v>
      </c>
      <c r="H6984" s="1" t="s">
        <v>16</v>
      </c>
      <c r="I6984" s="1" t="str">
        <f ca="1">IFERROR(__xludf.DUMMYFUNCTION("GOOGLETRANSLATE(F6984, ""auto"", ""en"")
"),"I've been using it for a month, it doesn't wash, it only smears dirt, I don't advise anyone to buy this MIRACLE...")</f>
        <v>I've been using it for a month, it doesn't wash, it only smears dirt, I don't advise anyone to buy this MIRACLE...</v>
      </c>
    </row>
    <row r="6985" spans="1:9" x14ac:dyDescent="0.3">
      <c r="A6985" s="1" t="s">
        <v>37</v>
      </c>
      <c r="B6985" s="1" t="s">
        <v>38</v>
      </c>
      <c r="C6985" s="1" t="s">
        <v>69</v>
      </c>
      <c r="D6985" s="1" t="s">
        <v>64</v>
      </c>
      <c r="E6985" s="1" t="s">
        <v>2735</v>
      </c>
      <c r="F6985" s="1" t="s">
        <v>10903</v>
      </c>
      <c r="G6985" s="1" t="s">
        <v>49</v>
      </c>
      <c r="H6985" s="1" t="s">
        <v>16</v>
      </c>
      <c r="I6985" s="1" t="str">
        <f ca="1">IFERROR(__xludf.DUMMYFUNCTION("GOOGLETRANSLATE(F6985, ""auto"", ""en"")
"),"I bought it. It looks like nothing. Well, yes, thin, clear)). Right in the store they offered to set up the Internet and MMS. I paid 300 rubles, happy that everything would be done right away. After 15 minutes they said, sorry, this company is very diffic"&amp;"ult to work with, the phone cannot be set up. And they returned the money. A day later, the phone began to glitch in receiving SMS from the operator. And interestingly, the SMS comes, but not that, but for the tenth time the last text (from a friend, for "&amp;"example) although it doesn’t send anything. And if you delete all the SMS, then only a signal arrives, but the inbox is empty. Well, I’ve forgotten about the Internet, but I’ll deal with the SMS. Fortunately, Beeline gave me a customer support number dire"&amp;"ctly from the manufacturer. So I’m sitting and thinking, what will my new phone give me tomorrow?")</f>
        <v>I bought it. It looks like nothing. Well, yes, thin, clear)). Right in the store they offered to set up the Internet and MMS. I paid 300 rubles, happy that everything would be done right away. After 15 minutes they said, sorry, this company is very difficult to work with, the phone cannot be set up. And they returned the money. A day later, the phone began to glitch in receiving SMS from the operator. And interestingly, the SMS comes, but not that, but for the tenth time the last text (from a friend, for example) although it doesn’t send anything. And if you delete all the SMS, then only a signal arrives, but the inbox is empty. Well, I’ve forgotten about the Internet, but I’ll deal with the SMS. Fortunately, Beeline gave me a customer support number directly from the manufacturer. So I’m sitting and thinking, what will my new phone give me tomorrow?</v>
      </c>
    </row>
    <row r="6986" spans="1:9" x14ac:dyDescent="0.3">
      <c r="A6986" s="1" t="s">
        <v>557</v>
      </c>
      <c r="B6986" s="1" t="s">
        <v>1977</v>
      </c>
      <c r="C6986" s="1" t="s">
        <v>122</v>
      </c>
      <c r="D6986" s="1" t="s">
        <v>152</v>
      </c>
      <c r="E6986" s="1" t="s">
        <v>10904</v>
      </c>
      <c r="F6986" s="1" t="s">
        <v>10905</v>
      </c>
      <c r="G6986" s="1" t="s">
        <v>28</v>
      </c>
      <c r="H6986" s="1" t="s">
        <v>29</v>
      </c>
      <c r="I6986" s="1" t="str">
        <f ca="1">IFERROR(__xludf.DUMMYFUNCTION("GOOGLETRANSLATE(F6986, ""auto"", ""en"")
"),"Good phone, but the call is squeaky")</f>
        <v>Good phone, but the call is squeaky</v>
      </c>
    </row>
    <row r="6987" spans="1:9" x14ac:dyDescent="0.3">
      <c r="A6987" s="1" t="s">
        <v>361</v>
      </c>
      <c r="B6987" s="1" t="s">
        <v>1077</v>
      </c>
      <c r="C6987" s="1" t="s">
        <v>561</v>
      </c>
      <c r="D6987" s="1" t="s">
        <v>10906</v>
      </c>
      <c r="E6987" s="1" t="s">
        <v>1864</v>
      </c>
      <c r="F6987" s="1" t="s">
        <v>10907</v>
      </c>
      <c r="G6987" s="1" t="s">
        <v>49</v>
      </c>
      <c r="H6987" s="1" t="s">
        <v>16</v>
      </c>
      <c r="I6987" s="1" t="str">
        <f ca="1">IFERROR(__xludf.DUMMYFUNCTION("GOOGLETRANSLATE(F6987, ""auto"", ""en"")
"),"Immediately after the first boil, small spots like rust appeared on the bottom. So much for stainless steel... By the way, other buyers had the same problem with other models of Dekok kettles (and not only Dekok). Fortunately, the product was accepted bac"&amp;"k and the money was returned.")</f>
        <v>Immediately after the first boil, small spots like rust appeared on the bottom. So much for stainless steel... By the way, other buyers had the same problem with other models of Dekok kettles (and not only Dekok). Fortunately, the product was accepted back and the money was returned.</v>
      </c>
    </row>
    <row r="6988" spans="1:9" x14ac:dyDescent="0.3">
      <c r="A6988" s="1" t="s">
        <v>30</v>
      </c>
      <c r="B6988" s="1" t="s">
        <v>50</v>
      </c>
      <c r="C6988" s="1" t="s">
        <v>51</v>
      </c>
      <c r="D6988" s="1" t="s">
        <v>39</v>
      </c>
      <c r="E6988" s="1" t="s">
        <v>176</v>
      </c>
      <c r="F6988" s="1" t="s">
        <v>10908</v>
      </c>
      <c r="G6988" s="1" t="s">
        <v>36</v>
      </c>
      <c r="H6988" s="1" t="s">
        <v>29</v>
      </c>
      <c r="I6988" s="1" t="str">
        <f ca="1">IFERROR(__xludf.DUMMYFUNCTION("GOOGLETRANSLATE(F6988, ""auto"", ""en"")
"),"I use it and can’t get enough of it, everything doesn’t work, but it flies. I’m very pleased with the new OS, Microsoft’s Seven, everything that was on XP runs great here. In all games, maximum settings, normal flight. I recommend it as a worthy replaceme"&amp;"nt for a home PC.")</f>
        <v>I use it and can’t get enough of it, everything doesn’t work, but it flies. I’m very pleased with the new OS, Microsoft’s Seven, everything that was on XP runs great here. In all games, maximum settings, normal flight. I recommend it as a worthy replacement for a home PC.</v>
      </c>
    </row>
    <row r="6989" spans="1:9" x14ac:dyDescent="0.3">
      <c r="A6989" s="1" t="s">
        <v>149</v>
      </c>
      <c r="B6989" s="1" t="s">
        <v>150</v>
      </c>
      <c r="C6989" s="1" t="s">
        <v>57</v>
      </c>
      <c r="D6989" s="1" t="s">
        <v>10909</v>
      </c>
      <c r="E6989" s="1" t="s">
        <v>6907</v>
      </c>
      <c r="F6989" s="1" t="s">
        <v>10910</v>
      </c>
      <c r="G6989" s="1" t="s">
        <v>49</v>
      </c>
      <c r="H6989" s="1" t="s">
        <v>16</v>
      </c>
      <c r="I6989" s="1" t="str">
        <f ca="1">IFERROR(__xludf.DUMMYFUNCTION("GOOGLETRANSLATE(F6989, ""auto"", ""en"")
"),"I really regret purchasing this model and choosing this company. Disadvantages: suction power leaves much to be desired, noisy, large, not convenient to store, wash after cleaning.")</f>
        <v>I really regret purchasing this model and choosing this company. Disadvantages: suction power leaves much to be desired, noisy, large, not convenient to store, wash after cleaning.</v>
      </c>
    </row>
    <row r="6990" spans="1:9" x14ac:dyDescent="0.3">
      <c r="A6990" s="1" t="s">
        <v>30</v>
      </c>
      <c r="B6990" s="1" t="s">
        <v>50</v>
      </c>
      <c r="C6990" s="1" t="s">
        <v>32</v>
      </c>
      <c r="D6990" s="1" t="s">
        <v>10911</v>
      </c>
      <c r="E6990" s="1" t="s">
        <v>3594</v>
      </c>
      <c r="F6990" s="1" t="s">
        <v>10912</v>
      </c>
      <c r="G6990" s="1" t="s">
        <v>36</v>
      </c>
      <c r="H6990" s="1" t="s">
        <v>29</v>
      </c>
      <c r="I6990" s="1" t="str">
        <f ca="1">IFERROR(__xludf.DUMMYFUNCTION("GOOGLETRANSLATE(F6990, ""auto"", ""en"")
"),"Nice laptop! I installed Vista Ultimate X64 on it, since 4GB is enough for a 64-bit system. I bought a Bluetooth adapter. I like everything about this laptop.  And especially - the inscription acer on the lid of the laptop :-) I didn’t immediately notice "&amp;"it. Just at home, I saw it by chance at night. But to be honest, the processor doesn’t seem to be very good. Or am I wrong. In general, I don’t regret buying this laptop.")</f>
        <v>Nice laptop! I installed Vista Ultimate X64 on it, since 4GB is enough for a 64-bit system. I bought a Bluetooth adapter. I like everything about this laptop.  And especially - the inscription acer on the lid of the laptop :-) I didn’t immediately notice it. Just at home, I saw it by chance at night. But to be honest, the processor doesn’t seem to be very good. Or am I wrong. In general, I don’t regret buying this laptop.</v>
      </c>
    </row>
    <row r="6991" spans="1:9" x14ac:dyDescent="0.3">
      <c r="A6991" s="1" t="s">
        <v>61</v>
      </c>
      <c r="B6991" s="1" t="s">
        <v>180</v>
      </c>
      <c r="C6991" s="1" t="s">
        <v>101</v>
      </c>
      <c r="D6991" s="1" t="s">
        <v>1890</v>
      </c>
      <c r="E6991" s="1" t="s">
        <v>1833</v>
      </c>
      <c r="F6991" s="1" t="s">
        <v>10913</v>
      </c>
      <c r="G6991" s="1" t="s">
        <v>28</v>
      </c>
      <c r="H6991" s="1" t="s">
        <v>29</v>
      </c>
      <c r="I6991" s="1" t="str">
        <f ca="1">IFERROR(__xludf.DUMMYFUNCTION("GOOGLETRANSLATE(F6991, ""auto"", ""en"")
"),"Cool thing! Sandwiches come out quickly and are very tasty, especially when the cheese melts inside... There is no plastic smell, and the surface is easy and simple to clean. The main thing is to only grasp the handle when the machine is turned on, otherw"&amp;"ise you can get burned.")</f>
        <v>Cool thing! Sandwiches come out quickly and are very tasty, especially when the cheese melts inside... There is no plastic smell, and the surface is easy and simple to clean. The main thing is to only grasp the handle when the machine is turned on, otherwise you can get burned.</v>
      </c>
    </row>
    <row r="6992" spans="1:9" x14ac:dyDescent="0.3">
      <c r="A6992" s="1" t="s">
        <v>211</v>
      </c>
      <c r="B6992" s="1" t="s">
        <v>515</v>
      </c>
      <c r="C6992" s="1" t="s">
        <v>213</v>
      </c>
      <c r="D6992" s="1" t="s">
        <v>348</v>
      </c>
      <c r="E6992" s="1" t="s">
        <v>128</v>
      </c>
      <c r="F6992" s="1" t="s">
        <v>10914</v>
      </c>
      <c r="G6992" s="1" t="s">
        <v>28</v>
      </c>
      <c r="H6992" s="1" t="s">
        <v>29</v>
      </c>
      <c r="I6992" s="1" t="str">
        <f ca="1">IFERROR(__xludf.DUMMYFUNCTION("GOOGLETRANSLATE(F6992, ""auto"", ""en"")
"),"I bought two epilators today - one for myself, the other for a friend. the second one is Philips 6400. I compared it for fun. The Philips one hurts more, but the Brown one took longer, and it misses hairs. In general, it was not possible to achieve ideal "&amp;"smoothness with either one or the other. but I'm very happy with the purchase. For this price it's a great option!")</f>
        <v>I bought two epilators today - one for myself, the other for a friend. the second one is Philips 6400. I compared it for fun. The Philips one hurts more, but the Brown one took longer, and it misses hairs. In general, it was not possible to achieve ideal smoothness with either one or the other. but I'm very happy with the purchase. For this price it's a great option!</v>
      </c>
    </row>
    <row r="6993" spans="1:9" x14ac:dyDescent="0.3">
      <c r="A6993" s="1" t="s">
        <v>120</v>
      </c>
      <c r="B6993" s="1" t="s">
        <v>196</v>
      </c>
      <c r="C6993" s="1" t="s">
        <v>69</v>
      </c>
      <c r="D6993" s="1" t="s">
        <v>10915</v>
      </c>
      <c r="E6993" s="1" t="s">
        <v>1228</v>
      </c>
      <c r="F6993" s="1" t="s">
        <v>10916</v>
      </c>
      <c r="G6993" s="1" t="s">
        <v>36</v>
      </c>
      <c r="H6993" s="1" t="s">
        <v>29</v>
      </c>
      <c r="I6993" s="1" t="str">
        <f ca="1">IFERROR(__xludf.DUMMYFUNCTION("GOOGLETRANSLATE(F6993, ""auto"", ""en"")
"),"There were no problems with the TV! Just change the firmware on time! The previous review is complete nonsense! This TV is the best model for the money! In conjunction with the PS3 it’s just super!!! I recommend it to everyone!")</f>
        <v>There were no problems with the TV! Just change the firmware on time! The previous review is complete nonsense! This TV is the best model for the money! In conjunction with the PS3 it’s just super!!! I recommend it to everyone!</v>
      </c>
    </row>
    <row r="6994" spans="1:9" x14ac:dyDescent="0.3">
      <c r="A6994" s="1" t="s">
        <v>55</v>
      </c>
      <c r="B6994" s="1" t="s">
        <v>9144</v>
      </c>
      <c r="C6994" s="1" t="s">
        <v>3856</v>
      </c>
      <c r="D6994" s="1" t="s">
        <v>1659</v>
      </c>
      <c r="E6994" s="1" t="s">
        <v>1039</v>
      </c>
      <c r="F6994" s="1" t="s">
        <v>10917</v>
      </c>
      <c r="G6994" s="1" t="s">
        <v>28</v>
      </c>
      <c r="H6994" s="1" t="s">
        <v>29</v>
      </c>
      <c r="I6994" s="1" t="str">
        <f ca="1">IFERROR(__xludf.DUMMYFUNCTION("GOOGLETRANSLATE(F6994, ""auto"", ""en"")
"),"Very small selection of electric fireplaces!")</f>
        <v>Very small selection of electric fireplaces!</v>
      </c>
    </row>
    <row r="6995" spans="1:9" x14ac:dyDescent="0.3">
      <c r="A6995" s="1" t="s">
        <v>120</v>
      </c>
      <c r="B6995" s="1" t="s">
        <v>121</v>
      </c>
      <c r="C6995" s="1" t="s">
        <v>69</v>
      </c>
      <c r="D6995" s="1" t="s">
        <v>10918</v>
      </c>
      <c r="E6995" s="1" t="s">
        <v>1899</v>
      </c>
      <c r="F6995" s="1" t="s">
        <v>10919</v>
      </c>
      <c r="G6995" s="1" t="s">
        <v>36</v>
      </c>
      <c r="H6995" s="1" t="s">
        <v>29</v>
      </c>
      <c r="I6995" s="1" t="str">
        <f ca="1">IFERROR(__xludf.DUMMYFUNCTION("GOOGLETRANSLATE(F6995, ""auto"", ""en"")
"),"I look at the reviews and it is clear that there is a big difference between the 32PFL 5604/60 and the 32PFL5604/H12. I have the last one. Everything works great on my TV. Even the USB input reads video and music files from a removable drive. Although it "&amp;"didn’t work in regular DVD players. Overall I'm happy with my TV.")</f>
        <v>I look at the reviews and it is clear that there is a big difference between the 32PFL 5604/60 and the 32PFL5604/H12. I have the last one. Everything works great on my TV. Even the USB input reads video and music files from a removable drive. Although it didn’t work in regular DVD players. Overall I'm happy with my TV.</v>
      </c>
    </row>
    <row r="6996" spans="1:9" x14ac:dyDescent="0.3">
      <c r="A6996" s="1" t="s">
        <v>519</v>
      </c>
      <c r="B6996" s="1" t="s">
        <v>3212</v>
      </c>
      <c r="C6996" s="1" t="s">
        <v>561</v>
      </c>
      <c r="D6996" s="1" t="s">
        <v>10920</v>
      </c>
      <c r="E6996" s="1" t="s">
        <v>10921</v>
      </c>
      <c r="F6996" s="1" t="s">
        <v>10922</v>
      </c>
      <c r="G6996" s="1" t="s">
        <v>15</v>
      </c>
      <c r="H6996" s="1" t="s">
        <v>16</v>
      </c>
      <c r="I6996" s="1" t="str">
        <f ca="1">IFERROR(__xludf.DUMMYFUNCTION("GOOGLETRANSLATE(F6996, ""auto"", ""en"")
"),"They were very careful with the shape, but the Teflon coating began to peel off after 7-8 times of use.")</f>
        <v>They were very careful with the shape, but the Teflon coating began to peel off after 7-8 times of use.</v>
      </c>
    </row>
    <row r="6997" spans="1:9" x14ac:dyDescent="0.3">
      <c r="A6997" s="1" t="s">
        <v>55</v>
      </c>
      <c r="B6997" s="1" t="s">
        <v>6412</v>
      </c>
      <c r="C6997" s="1" t="s">
        <v>57</v>
      </c>
      <c r="D6997" s="1" t="s">
        <v>10923</v>
      </c>
      <c r="E6997" s="1" t="s">
        <v>5404</v>
      </c>
      <c r="F6997" s="1" t="s">
        <v>10924</v>
      </c>
      <c r="G6997" s="1" t="s">
        <v>36</v>
      </c>
      <c r="H6997" s="1" t="s">
        <v>29</v>
      </c>
      <c r="I6997" s="1" t="str">
        <f ca="1">IFERROR(__xludf.DUMMYFUNCTION("GOOGLETRANSLATE(F6997, ""auto"", ""en"")
"),"It is a budget convector and, as the practice of using Vitek technology has already shown, has decent overall quality. I have it installed at my dacha in a walk-through room; it warms up its 12 square meters in literally half an hour, while the “spirit” s"&amp;"preads to the neighboring rooms. It’s mobile, I didn’t hang it up permanently; on wheels it’s possible to move it freely throughout the house. It works quietly, you can breathe easily in the room, the air does not dry out, there is a thermostat with which"&amp;" the room is maintained at a constant temperature. I repeat that the cost is not high, and within a year of warranty the convector will already prove itself.")</f>
        <v>It is a budget convector and, as the practice of using Vitek technology has already shown, has decent overall quality. I have it installed at my dacha in a walk-through room; it warms up its 12 square meters in literally half an hour, while the “spirit” spreads to the neighboring rooms. It’s mobile, I didn’t hang it up permanently; on wheels it’s possible to move it freely throughout the house. It works quietly, you can breathe easily in the room, the air does not dry out, there is a thermostat with which the room is maintained at a constant temperature. I repeat that the cost is not high, and within a year of warranty the convector will already prove itself.</v>
      </c>
    </row>
    <row r="6998" spans="1:9" x14ac:dyDescent="0.3">
      <c r="A6998" s="1" t="s">
        <v>369</v>
      </c>
      <c r="B6998" s="1" t="s">
        <v>370</v>
      </c>
      <c r="C6998" s="1" t="s">
        <v>588</v>
      </c>
      <c r="D6998" s="1" t="s">
        <v>75</v>
      </c>
      <c r="E6998" s="1" t="s">
        <v>3219</v>
      </c>
      <c r="F6998" s="1" t="s">
        <v>10925</v>
      </c>
      <c r="G6998" s="1" t="s">
        <v>49</v>
      </c>
      <c r="H6998" s="1" t="s">
        <v>16</v>
      </c>
      <c r="I6998" s="1" t="str">
        <f ca="1">IFERROR(__xludf.DUMMYFUNCTION("GOOGLETRANSLATE(F6998, ""auto"", ""en"")
"),"Bought and worked for 2 days. And the rear comfort sparkled.  Very upset. I don’t recommend it!")</f>
        <v>Bought and worked for 2 days. And the rear comfort sparkled.  Very upset. I don’t recommend it!</v>
      </c>
    </row>
    <row r="6999" spans="1:9" x14ac:dyDescent="0.3">
      <c r="A6999" s="1" t="s">
        <v>37</v>
      </c>
      <c r="B6999" s="1" t="s">
        <v>38</v>
      </c>
      <c r="C6999" s="1" t="s">
        <v>151</v>
      </c>
      <c r="D6999" s="1" t="s">
        <v>208</v>
      </c>
      <c r="E6999" s="1" t="s">
        <v>2853</v>
      </c>
      <c r="F6999" s="1" t="s">
        <v>10926</v>
      </c>
      <c r="G6999" s="1" t="s">
        <v>36</v>
      </c>
      <c r="H6999" s="1" t="s">
        <v>29</v>
      </c>
      <c r="I6999" s="1" t="str">
        <f ca="1">IFERROR(__xludf.DUMMYFUNCTION("GOOGLETRANSLATE(F6999, ""auto"", ""en"")
"),"I bought this phone model a couple of months ago,...cool, it still works in my clumsy hands!  Overall the phone is excellent, but there are a number of disadvantages: a little slow! Before that I had a Samsung E200, it worked much faster!  It’s a shame th"&amp;"at the kit does not include cable and firewood!  The phone is very Internet oriented!  Although there are some advantages: I really liked the bright display! and the opportunity to create your own unique theme! ...original!  good loud and clear sound than"&amp;"ks to the additional speaker!  Working well with two SIM cards! (although the battery lasts 2-3 days) There are a lot of different fields in the contact book! ...you can just write a dossier for each contact))) I’ve been carrying it in my pocket for 2 mon"&amp;"ths - the case is still holding up, without scuffs!  Overall the phone is great")</f>
        <v>I bought this phone model a couple of months ago,...cool, it still works in my clumsy hands!  Overall the phone is excellent, but there are a number of disadvantages: a little slow! Before that I had a Samsung E200, it worked much faster!  It’s a shame that the kit does not include cable and firewood!  The phone is very Internet oriented!  Although there are some advantages: I really liked the bright display! and the opportunity to create your own unique theme! ...original!  good loud and clear sound thanks to the additional speaker!  Working well with two SIM cards! (although the battery lasts 2-3 days) There are a lot of different fields in the contact book! ...you can just write a dossier for each contact))) I’ve been carrying it in my pocket for 2 months - the case is still holding up, without scuffs!  Overall the phone is great</v>
      </c>
    </row>
    <row r="7000" spans="1:9" x14ac:dyDescent="0.3">
      <c r="A7000" s="1" t="s">
        <v>55</v>
      </c>
      <c r="B7000" s="1" t="s">
        <v>184</v>
      </c>
      <c r="C7000" s="1" t="s">
        <v>185</v>
      </c>
      <c r="D7000" s="1" t="s">
        <v>10927</v>
      </c>
      <c r="E7000" s="1" t="s">
        <v>1150</v>
      </c>
      <c r="F7000" s="1" t="s">
        <v>10928</v>
      </c>
      <c r="G7000" s="1" t="s">
        <v>36</v>
      </c>
      <c r="H7000" s="1" t="s">
        <v>29</v>
      </c>
      <c r="I7000" s="1" t="str">
        <f ca="1">IFERROR(__xludf.DUMMYFUNCTION("GOOGLETRANSLATE(F7000, ""auto"", ""en"")
"),"I liked the heater - stylish, small, all functions work, there is a dust filter. I like to click the remote control without getting up from my chair. But it’s strange and illogical, there is no timer button on the remote control - only on the heater panel"&amp;".")</f>
        <v>I liked the heater - stylish, small, all functions work, there is a dust filter. I like to click the remote control without getting up from my chair. But it’s strange and illogical, there is no timer button on the remote control - only on the heater panel.</v>
      </c>
    </row>
    <row r="7001" spans="1:9" x14ac:dyDescent="0.3">
      <c r="A7001" s="1" t="s">
        <v>1443</v>
      </c>
      <c r="B7001" s="1" t="s">
        <v>1444</v>
      </c>
      <c r="C7001" s="1" t="s">
        <v>1445</v>
      </c>
      <c r="D7001" s="1" t="s">
        <v>2595</v>
      </c>
      <c r="E7001" s="1" t="s">
        <v>4668</v>
      </c>
      <c r="F7001" s="1" t="s">
        <v>10929</v>
      </c>
      <c r="G7001" s="1" t="s">
        <v>49</v>
      </c>
      <c r="H7001" s="1" t="s">
        <v>16</v>
      </c>
      <c r="I7001" s="1" t="str">
        <f ca="1">IFERROR(__xludf.DUMMYFUNCTION("GOOGLETRANSLATE(F7001, ""auto"", ""en"")
"),"I bought this flash drive twice and was flattered by its appearance. The first time it malfunctioned after a couple of months of use, I didn’t apply for warranty, I thought it was my fault. I bought this flash drive for the second time, handled it very ca"&amp;"refully, but after a month or two it stopped working and, according to a specialist, could not be restored.")</f>
        <v>I bought this flash drive twice and was flattered by its appearance. The first time it malfunctioned after a couple of months of use, I didn’t apply for warranty, I thought it was my fault. I bought this flash drive for the second time, handled it very carefully, but after a month or two it stopped working and, according to a specialist, could not be restored.</v>
      </c>
    </row>
    <row r="7002" spans="1:9" x14ac:dyDescent="0.3">
      <c r="A7002" s="1" t="s">
        <v>30</v>
      </c>
      <c r="B7002" s="1" t="s">
        <v>50</v>
      </c>
      <c r="C7002" s="1" t="s">
        <v>32</v>
      </c>
      <c r="D7002" s="1" t="s">
        <v>81</v>
      </c>
      <c r="E7002" s="1" t="s">
        <v>41</v>
      </c>
      <c r="F7002" s="1" t="s">
        <v>10930</v>
      </c>
      <c r="G7002" s="1" t="s">
        <v>36</v>
      </c>
      <c r="H7002" s="1" t="s">
        <v>29</v>
      </c>
      <c r="I7002" s="1" t="str">
        <f ca="1">IFERROR(__xludf.DUMMYFUNCTION("GOOGLETRANSLATE(F7002, ""auto"", ""en"")
"),"I bought it two weeks ago - there are no comments, everything that is compatible with Windows 7 lasts for years! It doesn’t slow down, it doesn’t get hot, I drove it for 10-14 hours a day - there are no complaints - the equipment is excellent!")</f>
        <v>I bought it two weeks ago - there are no comments, everything that is compatible with Windows 7 lasts for years! It doesn’t slow down, it doesn’t get hot, I drove it for 10-14 hours a day - there are no complaints - the equipment is excellent!</v>
      </c>
    </row>
    <row r="7003" spans="1:9" x14ac:dyDescent="0.3">
      <c r="A7003" s="1" t="s">
        <v>206</v>
      </c>
      <c r="B7003" s="1" t="s">
        <v>261</v>
      </c>
      <c r="C7003" s="1" t="s">
        <v>262</v>
      </c>
      <c r="D7003" s="1" t="s">
        <v>10931</v>
      </c>
      <c r="E7003" s="1" t="s">
        <v>6791</v>
      </c>
      <c r="F7003" s="1" t="s">
        <v>10932</v>
      </c>
      <c r="G7003" s="1" t="s">
        <v>36</v>
      </c>
      <c r="H7003" s="1" t="s">
        <v>29</v>
      </c>
      <c r="I7003" s="1" t="str">
        <f ca="1">IFERROR(__xludf.DUMMYFUNCTION("GOOGLETRANSLATE(F7003, ""auto"", ""en"")
"),"I bought this antenna, mounted it on the window of my car within 15 minutes, carefully laid the cable, connecting it to the radio, but the connector on the TV had to be replaced with another one, the impressions are positive, I advise those who are thinki"&amp;"ng of getting something for their car, the signal in the city within a radius of 15 km is excellent, there is a convenient signal gain control for both radio and TV, I’m happy!")</f>
        <v>I bought this antenna, mounted it on the window of my car within 15 minutes, carefully laid the cable, connecting it to the radio, but the connector on the TV had to be replaced with another one, the impressions are positive, I advise those who are thinking of getting something for their car, the signal in the city within a radius of 15 km is excellent, there is a convenient signal gain control for both radio and TV, I’m happy!</v>
      </c>
    </row>
    <row r="7004" spans="1:9" x14ac:dyDescent="0.3">
      <c r="A7004" s="1" t="s">
        <v>211</v>
      </c>
      <c r="B7004" s="1" t="s">
        <v>384</v>
      </c>
      <c r="C7004" s="1" t="s">
        <v>246</v>
      </c>
      <c r="D7004" s="1" t="s">
        <v>10933</v>
      </c>
      <c r="E7004" s="1" t="s">
        <v>128</v>
      </c>
      <c r="F7004" s="1" t="s">
        <v>10934</v>
      </c>
      <c r="G7004" s="1" t="s">
        <v>49</v>
      </c>
      <c r="H7004" s="1" t="s">
        <v>16</v>
      </c>
      <c r="I7004" s="1" t="str">
        <f ca="1">IFERROR(__xludf.DUMMYFUNCTION("GOOGLETRANSLATE(F7004, ""auto"", ""en"")
"),"They worked for a year, then they started to creak and broke (or rather, they began to show a difference of 10 kg (it’s a shame.")</f>
        <v>They worked for a year, then they started to creak and broke (or rather, they began to show a difference of 10 kg (it’s a shame.</v>
      </c>
    </row>
    <row r="7005" spans="1:9" x14ac:dyDescent="0.3">
      <c r="A7005" s="1" t="s">
        <v>211</v>
      </c>
      <c r="B7005" s="1" t="s">
        <v>384</v>
      </c>
      <c r="C7005" s="1" t="s">
        <v>101</v>
      </c>
      <c r="D7005" s="1" t="s">
        <v>247</v>
      </c>
      <c r="E7005" s="1" t="s">
        <v>5073</v>
      </c>
      <c r="F7005" s="1" t="s">
        <v>10935</v>
      </c>
      <c r="G7005" s="1" t="s">
        <v>36</v>
      </c>
      <c r="H7005" s="1" t="s">
        <v>29</v>
      </c>
      <c r="I7005" s="1" t="str">
        <f ca="1">IFERROR(__xludf.DUMMYFUNCTION("GOOGLETRANSLATE(F7005, ""auto"", ""en"")
"),"We bought a scale half a year ago, it’s very good!! I really liked it.. but the other day for some reason it broke ((and it’s not the battery... oh, but I liked them so much:-((")</f>
        <v>We bought a scale half a year ago, it’s very good!! I really liked it.. but the other day for some reason it broke ((and it’s not the battery... oh, but I liked them so much:-((</v>
      </c>
    </row>
    <row r="7006" spans="1:9" x14ac:dyDescent="0.3">
      <c r="A7006" s="1" t="s">
        <v>149</v>
      </c>
      <c r="B7006" s="1" t="s">
        <v>155</v>
      </c>
      <c r="C7006" s="1" t="s">
        <v>80</v>
      </c>
      <c r="D7006" s="1" t="s">
        <v>171</v>
      </c>
      <c r="E7006" s="1" t="s">
        <v>8284</v>
      </c>
      <c r="F7006" s="1" t="s">
        <v>10936</v>
      </c>
      <c r="G7006" s="1" t="s">
        <v>49</v>
      </c>
      <c r="H7006" s="1" t="s">
        <v>16</v>
      </c>
      <c r="I7006" s="1" t="str">
        <f ca="1">IFERROR(__xludf.DUMMYFUNCTION("GOOGLETRANSLATE(F7006, ""auto"", ""en"")
"),"There was a good vacuum cleaner, until a month after purchase the motor burned out (noise, vibration and a burning smell appeared). We're bringing it in for repairs :(((")</f>
        <v>There was a good vacuum cleaner, until a month after purchase the motor burned out (noise, vibration and a burning smell appeared). We're bringing it in for repairs :(((</v>
      </c>
    </row>
    <row r="7007" spans="1:9" x14ac:dyDescent="0.3">
      <c r="A7007" s="1" t="s">
        <v>17</v>
      </c>
      <c r="B7007" s="1" t="s">
        <v>18</v>
      </c>
      <c r="C7007" s="1" t="s">
        <v>159</v>
      </c>
      <c r="D7007" s="1" t="s">
        <v>203</v>
      </c>
      <c r="E7007" s="1" t="s">
        <v>4012</v>
      </c>
      <c r="F7007" s="1" t="s">
        <v>10937</v>
      </c>
      <c r="G7007" s="1" t="s">
        <v>36</v>
      </c>
      <c r="H7007" s="1" t="s">
        <v>29</v>
      </c>
      <c r="I7007" s="1" t="str">
        <f ca="1">IFERROR(__xludf.DUMMYFUNCTION("GOOGLETRANSLATE(F7007, ""auto"", ""en"")
"),"Great machine, quiet, doesn’t jump and has a ton of features!")</f>
        <v>Great machine, quiet, doesn’t jump and has a ton of features!</v>
      </c>
    </row>
    <row r="7008" spans="1:9" x14ac:dyDescent="0.3">
      <c r="A7008" s="1" t="s">
        <v>61</v>
      </c>
      <c r="B7008" s="1" t="s">
        <v>726</v>
      </c>
      <c r="C7008" s="1" t="s">
        <v>146</v>
      </c>
      <c r="D7008" s="1" t="s">
        <v>295</v>
      </c>
      <c r="E7008" s="1" t="s">
        <v>2057</v>
      </c>
      <c r="F7008" s="1" t="s">
        <v>10938</v>
      </c>
      <c r="G7008" s="1" t="s">
        <v>36</v>
      </c>
      <c r="H7008" s="1" t="s">
        <v>29</v>
      </c>
      <c r="I7008" s="1" t="str">
        <f ca="1">IFERROR(__xludf.DUMMYFUNCTION("GOOGLETRANSLATE(F7008, ""auto"", ""en"")
"),"In general, for those whose hands grow in the wrong place. I’ll just say, you shouldn’t use technology at all! This bread maker is super! I haven’t tried many recipes in a month of use = everything works out! And very tasty!")</f>
        <v>In general, for those whose hands grow in the wrong place. I’ll just say, you shouldn’t use technology at all! This bread maker is super! I haven’t tried many recipes in a month of use = everything works out! And very tasty!</v>
      </c>
    </row>
    <row r="7009" spans="1:9" x14ac:dyDescent="0.3">
      <c r="A7009" s="1" t="s">
        <v>1443</v>
      </c>
      <c r="B7009" s="1" t="s">
        <v>1444</v>
      </c>
      <c r="C7009" s="1" t="s">
        <v>1445</v>
      </c>
      <c r="D7009" s="1" t="s">
        <v>483</v>
      </c>
      <c r="E7009" s="1" t="s">
        <v>6001</v>
      </c>
      <c r="F7009" s="1" t="s">
        <v>10939</v>
      </c>
      <c r="G7009" s="1" t="s">
        <v>36</v>
      </c>
      <c r="H7009" s="1" t="s">
        <v>29</v>
      </c>
      <c r="I7009" s="1" t="str">
        <f ca="1">IFERROR(__xludf.DUMMYFUNCTION("GOOGLETRANSLATE(F7009, ""auto"", ""en"")
"),"GOOD THING!")</f>
        <v>GOOD THING!</v>
      </c>
    </row>
    <row r="7010" spans="1:9" x14ac:dyDescent="0.3">
      <c r="A7010" s="1" t="s">
        <v>61</v>
      </c>
      <c r="B7010" s="1" t="s">
        <v>726</v>
      </c>
      <c r="C7010" s="1" t="s">
        <v>146</v>
      </c>
      <c r="D7010" s="1" t="s">
        <v>385</v>
      </c>
      <c r="E7010" s="1" t="s">
        <v>2321</v>
      </c>
      <c r="F7010" s="1" t="s">
        <v>10940</v>
      </c>
      <c r="G7010" s="1" t="s">
        <v>36</v>
      </c>
      <c r="H7010" s="1" t="s">
        <v>29</v>
      </c>
      <c r="I7010" s="1" t="str">
        <f ca="1">IFERROR(__xludf.DUMMYFUNCTION("GOOGLETRANSLATE(F7010, ""auto"", ""en"")
"),"The oven is simply great. Different types of bread and dough turn out just perfect. Very easy to use, simple accessible menu. The products are airy and the texture is uniform. For Easter we made several Easter cakes and treated them to our neighbors. Ever"&amp;"yone was delighted with the unique taste, splendor and external beauty of the resulting product. We often make dough for pizza, meat and cabbage pie. Try making Easter cake, it turns out something amazing!!!! We are very pleased, store-bought bread is no "&amp;"longer for us!")</f>
        <v>The oven is simply great. Different types of bread and dough turn out just perfect. Very easy to use, simple accessible menu. The products are airy and the texture is uniform. For Easter we made several Easter cakes and treated them to our neighbors. Everyone was delighted with the unique taste, splendor and external beauty of the resulting product. We often make dough for pizza, meat and cabbage pie. Try making Easter cake, it turns out something amazing!!!! We are very pleased, store-bought bread is no longer for us!</v>
      </c>
    </row>
    <row r="7011" spans="1:9" x14ac:dyDescent="0.3">
      <c r="A7011" s="1" t="s">
        <v>149</v>
      </c>
      <c r="B7011" s="1" t="s">
        <v>150</v>
      </c>
      <c r="C7011" s="1" t="s">
        <v>151</v>
      </c>
      <c r="D7011" s="1" t="s">
        <v>64</v>
      </c>
      <c r="E7011" s="1" t="s">
        <v>2393</v>
      </c>
      <c r="F7011" s="1" t="s">
        <v>10941</v>
      </c>
      <c r="G7011" s="1" t="s">
        <v>36</v>
      </c>
      <c r="H7011" s="1" t="s">
        <v>29</v>
      </c>
      <c r="I7011" s="1" t="str">
        <f ca="1">IFERROR(__xludf.DUMMYFUNCTION("GOOGLETRANSLATE(F7011, ""auto"", ""en"")
"),"I bought a vacuum cleaner at the end of 2016. After seven months of use, it performed very well.")</f>
        <v>I bought a vacuum cleaner at the end of 2016. After seven months of use, it performed very well.</v>
      </c>
    </row>
    <row r="7012" spans="1:9" x14ac:dyDescent="0.3">
      <c r="A7012" s="1" t="s">
        <v>37</v>
      </c>
      <c r="B7012" s="1" t="s">
        <v>536</v>
      </c>
      <c r="C7012" s="1" t="s">
        <v>163</v>
      </c>
      <c r="D7012" s="1" t="s">
        <v>171</v>
      </c>
      <c r="E7012" s="1" t="s">
        <v>128</v>
      </c>
      <c r="F7012" s="1" t="s">
        <v>10942</v>
      </c>
      <c r="G7012" s="1" t="s">
        <v>36</v>
      </c>
      <c r="H7012" s="1" t="s">
        <v>29</v>
      </c>
      <c r="I7012" s="1" t="str">
        <f ca="1">IFERROR(__xludf.DUMMYFUNCTION("GOOGLETRANSLATE(F7012, ""auto"", ""en"")
"),"So. I went to Mvidio, bought a mobile phone, I really liked it, it doesn’t freeze, it doesn’t reboot. I’m happy with the purchase, I advise")</f>
        <v>So. I went to Mvidio, bought a mobile phone, I really liked it, it doesn’t freeze, it doesn’t reboot. I’m happy with the purchase, I advise</v>
      </c>
    </row>
    <row r="7013" spans="1:9" x14ac:dyDescent="0.3">
      <c r="A7013" s="1" t="s">
        <v>211</v>
      </c>
      <c r="B7013" s="1" t="s">
        <v>515</v>
      </c>
      <c r="C7013" s="1" t="s">
        <v>381</v>
      </c>
      <c r="D7013" s="1" t="s">
        <v>308</v>
      </c>
      <c r="E7013" s="1" t="s">
        <v>4259</v>
      </c>
      <c r="F7013" s="1" t="s">
        <v>10943</v>
      </c>
      <c r="G7013" s="1" t="s">
        <v>94</v>
      </c>
      <c r="H7013" s="1" t="s">
        <v>29</v>
      </c>
      <c r="I7013" s="1" t="str">
        <f ca="1">IFERROR(__xludf.DUMMYFUNCTION("GOOGLETRANSLATE(F7013, ""auto"", ""en"")
"),"Lots of useful attachments")</f>
        <v>Lots of useful attachments</v>
      </c>
    </row>
    <row r="7014" spans="1:9" x14ac:dyDescent="0.3">
      <c r="A7014" s="1" t="s">
        <v>61</v>
      </c>
      <c r="B7014" s="1" t="s">
        <v>434</v>
      </c>
      <c r="C7014" s="1" t="s">
        <v>185</v>
      </c>
      <c r="D7014" s="1" t="s">
        <v>568</v>
      </c>
      <c r="E7014" s="1" t="s">
        <v>1310</v>
      </c>
      <c r="F7014" s="1" t="s">
        <v>10944</v>
      </c>
      <c r="G7014" s="1" t="s">
        <v>36</v>
      </c>
      <c r="H7014" s="1" t="s">
        <v>29</v>
      </c>
      <c r="I7014" s="1" t="str">
        <f ca="1">IFERROR(__xludf.DUMMYFUNCTION("GOOGLETRANSLATE(F7014, ""auto"", ""en"")
"),"Excellent product.  Cooking is always predictable.   Fries and bakes evenly.  In addition to the baking sheet, it fits a fairly large round frying pan (26 or 28 cm, it seems) due to the thickening in the back wall.  Of the minuses... the steel case is alw"&amp;"ays stained)) Perhaps it takes up a little too much space on the table.")</f>
        <v>Excellent product.  Cooking is always predictable.   Fries and bakes evenly.  In addition to the baking sheet, it fits a fairly large round frying pan (26 or 28 cm, it seems) due to the thickening in the back wall.  Of the minuses... the steel case is always stained)) Perhaps it takes up a little too much space on the table.</v>
      </c>
    </row>
    <row r="7015" spans="1:9" x14ac:dyDescent="0.3">
      <c r="A7015" s="1" t="s">
        <v>43</v>
      </c>
      <c r="B7015" s="1" t="s">
        <v>502</v>
      </c>
      <c r="C7015" s="1" t="s">
        <v>151</v>
      </c>
      <c r="D7015" s="1" t="s">
        <v>152</v>
      </c>
      <c r="E7015" s="1" t="s">
        <v>1371</v>
      </c>
      <c r="F7015" s="1" t="s">
        <v>10945</v>
      </c>
      <c r="G7015" s="1" t="s">
        <v>36</v>
      </c>
      <c r="H7015" s="1" t="s">
        <v>29</v>
      </c>
      <c r="I7015" s="1" t="str">
        <f ca="1">IFERROR(__xludf.DUMMYFUNCTION("GOOGLETRANSLATE(F7015, ""auto"", ""en"")
"),"I bought it and installed it. Works great. The block is not noisy. very pleased.")</f>
        <v>I bought it and installed it. Works great. The block is not noisy. very pleased.</v>
      </c>
    </row>
    <row r="7016" spans="1:9" x14ac:dyDescent="0.3">
      <c r="A7016" s="1" t="s">
        <v>169</v>
      </c>
      <c r="B7016" s="1" t="s">
        <v>170</v>
      </c>
      <c r="C7016" s="1" t="s">
        <v>122</v>
      </c>
      <c r="D7016" s="1" t="s">
        <v>10946</v>
      </c>
      <c r="E7016" s="1" t="s">
        <v>2742</v>
      </c>
      <c r="F7016" s="1" t="s">
        <v>10947</v>
      </c>
      <c r="G7016" s="1" t="s">
        <v>36</v>
      </c>
      <c r="H7016" s="1" t="s">
        <v>29</v>
      </c>
      <c r="I7016" s="1" t="str">
        <f ca="1">IFERROR(__xludf.DUMMYFUNCTION("GOOGLETRANSLATE(F7016, ""auto"", ""en"")
"),"I BOUGHT IN 2009, EVERYTHING WORKS PERFECT TO THIS DAY. NO COMPLAINTS.")</f>
        <v>I BOUGHT IN 2009, EVERYTHING WORKS PERFECT TO THIS DAY. NO COMPLAINTS.</v>
      </c>
    </row>
    <row r="7017" spans="1:9" x14ac:dyDescent="0.3">
      <c r="A7017" s="1" t="s">
        <v>17</v>
      </c>
      <c r="B7017" s="1" t="s">
        <v>18</v>
      </c>
      <c r="C7017" s="1" t="s">
        <v>63</v>
      </c>
      <c r="D7017" s="1" t="s">
        <v>1124</v>
      </c>
      <c r="E7017" s="1" t="s">
        <v>960</v>
      </c>
      <c r="F7017" s="1" t="s">
        <v>10948</v>
      </c>
      <c r="G7017" s="1" t="s">
        <v>36</v>
      </c>
      <c r="H7017" s="1" t="s">
        <v>29</v>
      </c>
      <c r="I7017" s="1" t="str">
        <f ca="1">IFERROR(__xludf.DUMMYFUNCTION("GOOGLETRANSLATE(F7017, ""auto"", ""en"")
"),"Mikhail, you are wrong ((.... Bosch! The number one washing machine in the world, in accordance with price and quality, even though it has no bells and whistles, it will safely last up to 15 years! Plus, production and assembly are all in Germany, and the"&amp;" assembly is partially manual! I recommend this machine to everyone, and Bosch in general))))! good luck to everyone in their choice")</f>
        <v>Mikhail, you are wrong ((.... Bosch! The number one washing machine in the world, in accordance with price and quality, even though it has no bells and whistles, it will safely last up to 15 years! Plus, production and assembly are all in Germany, and the assembly is partially manual! I recommend this machine to everyone, and Bosch in general))))! good luck to everyone in their choice</v>
      </c>
    </row>
    <row r="7018" spans="1:9" x14ac:dyDescent="0.3">
      <c r="A7018" s="1" t="s">
        <v>965</v>
      </c>
      <c r="B7018" s="1" t="s">
        <v>966</v>
      </c>
      <c r="C7018" s="1" t="s">
        <v>967</v>
      </c>
      <c r="D7018" s="1" t="s">
        <v>305</v>
      </c>
      <c r="E7018" s="1" t="s">
        <v>5241</v>
      </c>
      <c r="F7018" s="1" t="s">
        <v>10949</v>
      </c>
      <c r="G7018" s="1" t="s">
        <v>28</v>
      </c>
      <c r="H7018" s="1" t="s">
        <v>29</v>
      </c>
      <c r="I7018" s="1" t="str">
        <f ca="1">IFERROR(__xludf.DUMMYFUNCTION("GOOGLETRANSLATE(F7018, ""auto"", ""en"")
"),"solid 4...good speakers reproduce a wide range of frequencies. The subwoofer is excellent, if you adjust the equalizer correctly, everything will be ok.")</f>
        <v>solid 4...good speakers reproduce a wide range of frequencies. The subwoofer is excellent, if you adjust the equalizer correctly, everything will be ok.</v>
      </c>
    </row>
    <row r="7019" spans="1:9" x14ac:dyDescent="0.3">
      <c r="A7019" s="1" t="s">
        <v>149</v>
      </c>
      <c r="B7019" s="1" t="s">
        <v>576</v>
      </c>
      <c r="C7019" s="1" t="s">
        <v>151</v>
      </c>
      <c r="D7019" s="1" t="s">
        <v>565</v>
      </c>
      <c r="E7019" s="1" t="s">
        <v>1682</v>
      </c>
      <c r="F7019" s="1" t="s">
        <v>10950</v>
      </c>
      <c r="G7019" s="1" t="s">
        <v>28</v>
      </c>
      <c r="H7019" s="1" t="s">
        <v>29</v>
      </c>
      <c r="I7019" s="1" t="str">
        <f ca="1">IFERROR(__xludf.DUMMYFUNCTION("GOOGLETRANSLATE(F7019, ""auto"", ""en"")
"),"In general, the vacuum cleaner met expectations, but the description states that 5 bags are replaceable, but in fact it turned out to be only 2. If I had known this, I would have immediately ordered additional bags...")</f>
        <v>In general, the vacuum cleaner met expectations, but the description states that 5 bags are replaceable, but in fact it turned out to be only 2. If I had known this, I would have immediately ordered additional bags...</v>
      </c>
    </row>
    <row r="7020" spans="1:9" x14ac:dyDescent="0.3">
      <c r="A7020" s="1" t="s">
        <v>369</v>
      </c>
      <c r="B7020" s="1" t="s">
        <v>587</v>
      </c>
      <c r="C7020" s="1" t="s">
        <v>290</v>
      </c>
      <c r="D7020" s="1" t="s">
        <v>327</v>
      </c>
      <c r="E7020" s="1" t="s">
        <v>3794</v>
      </c>
      <c r="F7020" s="1" t="s">
        <v>10951</v>
      </c>
      <c r="G7020" s="1" t="s">
        <v>15</v>
      </c>
      <c r="H7020" s="1" t="s">
        <v>16</v>
      </c>
      <c r="I7020" s="1" t="str">
        <f ca="1">IFERROR(__xludf.DUMMYFUNCTION("GOOGLETRANSLATE(F7020, ""auto"", ""en"")
"),"Gas control - people lived all their lives without this security system and nothing. Every time you have to wait 3 seconds to light the burners, and the oven is already 30!!! seconds It seems like it won't last long, but it gets on your nerves. There is a"&amp;" similar model, without gas control, cheaper and has oven lighting. I regret that I didn't buy it. The legs, by the way, are non-adjustable.")</f>
        <v>Gas control - people lived all their lives without this security system and nothing. Every time you have to wait 3 seconds to light the burners, and the oven is already 30!!! seconds It seems like it won't last long, but it gets on your nerves. There is a similar model, without gas control, cheaper and has oven lighting. I regret that I didn't buy it. The legs, by the way, are non-adjustable.</v>
      </c>
    </row>
    <row r="7021" spans="1:9" x14ac:dyDescent="0.3">
      <c r="A7021" s="1" t="s">
        <v>30</v>
      </c>
      <c r="B7021" s="1" t="s">
        <v>50</v>
      </c>
      <c r="C7021" s="1" t="s">
        <v>1003</v>
      </c>
      <c r="D7021" s="1" t="s">
        <v>52</v>
      </c>
      <c r="E7021" s="1" t="s">
        <v>2321</v>
      </c>
      <c r="F7021" s="1" t="s">
        <v>10952</v>
      </c>
      <c r="G7021" s="1" t="s">
        <v>36</v>
      </c>
      <c r="H7021" s="1" t="s">
        <v>29</v>
      </c>
      <c r="I7021" s="1" t="str">
        <f ca="1">IFERROR(__xludf.DUMMYFUNCTION("GOOGLETRANSLATE(F7021, ""auto"", ""en"")
"),"I completely agree with the previous reviews :) The machine is simply magnificent! :) With such an enhanced configuration (processor, RAM, hard drive, 6-cell battery (!)), the device is absolutely not inferior to the newest N450 Mini 210. I installed it, "&amp;"Ultimate, I couldn’t resist, on standard Windows, compared to the standard configuration (Starter+HP soft), the performance and responsiveness of the system felt like it increased by 30 percent, which is simply wonderful ! We can safely recommend it for p"&amp;"urchase to both beginners and advanced users, given such a wonderful manufacturer and such an excellent price)")</f>
        <v>I completely agree with the previous reviews :) The machine is simply magnificent! :) With such an enhanced configuration (processor, RAM, hard drive, 6-cell battery (!)), the device is absolutely not inferior to the newest N450 Mini 210. I installed it, Ultimate, I couldn’t resist, on standard Windows, compared to the standard configuration (Starter+HP soft), the performance and responsiveness of the system felt like it increased by 30 percent, which is simply wonderful ! We can safely recommend it for purchase to both beginners and advanced users, given such a wonderful manufacturer and such an excellent price)</v>
      </c>
    </row>
    <row r="7022" spans="1:9" x14ac:dyDescent="0.3">
      <c r="A7022" s="1" t="s">
        <v>105</v>
      </c>
      <c r="B7022" s="1" t="s">
        <v>106</v>
      </c>
      <c r="C7022" s="1" t="s">
        <v>1209</v>
      </c>
      <c r="D7022" s="1" t="s">
        <v>922</v>
      </c>
      <c r="E7022" s="1" t="s">
        <v>229</v>
      </c>
      <c r="F7022" s="1" t="s">
        <v>10953</v>
      </c>
      <c r="G7022" s="1" t="s">
        <v>36</v>
      </c>
      <c r="H7022" s="1" t="s">
        <v>29</v>
      </c>
      <c r="I7022" s="1" t="str">
        <f ca="1">IFERROR(__xludf.DUMMYFUNCTION("GOOGLETRANSLATE(F7022, ""auto"", ""en"")
"),"Yesterday I bought this player. Excellent design, good memory. I was satisfied.  But there is a big minus - after the first charge it was no longer recognized by the computer. It was as if I hadn’t connected it at all..")</f>
        <v>Yesterday I bought this player. Excellent design, good memory. I was satisfied.  But there is a big minus - after the first charge it was no longer recognized by the computer. It was as if I hadn’t connected it at all..</v>
      </c>
    </row>
    <row r="7023" spans="1:9" x14ac:dyDescent="0.3">
      <c r="A7023" s="1" t="s">
        <v>61</v>
      </c>
      <c r="B7023" s="1" t="s">
        <v>62</v>
      </c>
      <c r="C7023" s="1" t="s">
        <v>146</v>
      </c>
      <c r="D7023" s="1" t="s">
        <v>39</v>
      </c>
      <c r="E7023" s="1" t="s">
        <v>5303</v>
      </c>
      <c r="F7023" s="1" t="s">
        <v>10954</v>
      </c>
      <c r="G7023" s="1" t="s">
        <v>28</v>
      </c>
      <c r="H7023" s="1" t="s">
        <v>29</v>
      </c>
      <c r="I7023" s="1" t="str">
        <f ca="1">IFERROR(__xludf.DUMMYFUNCTION("GOOGLETRANSLATE(F7023, ""auto"", ""en"")
"),"My first combine. Previously, when I ate traditional food, I didn’t even think about the food processor. And now that I’ve switched to a raw food diet, the first question is how we’ll dress up the vegetables. Therefore, I bought this unit, tried grinding "&amp;"cabbage - excellent, carrots - excellent, onions - good. Made citrus juice - great. Good unit, multifunctional. I think it’s worth the money, it will save your teeth and time.")</f>
        <v>My first combine. Previously, when I ate traditional food, I didn’t even think about the food processor. And now that I’ve switched to a raw food diet, the first question is how we’ll dress up the vegetables. Therefore, I bought this unit, tried grinding cabbage - excellent, carrots - excellent, onions - good. Made citrus juice - great. Good unit, multifunctional. I think it’s worth the money, it will save your teeth and time.</v>
      </c>
    </row>
    <row r="7024" spans="1:9" x14ac:dyDescent="0.3">
      <c r="A7024" s="1" t="s">
        <v>55</v>
      </c>
      <c r="B7024" s="1" t="s">
        <v>56</v>
      </c>
      <c r="C7024" s="1" t="s">
        <v>85</v>
      </c>
      <c r="D7024" s="1" t="s">
        <v>2546</v>
      </c>
      <c r="E7024" s="1" t="s">
        <v>41</v>
      </c>
      <c r="F7024" s="1" t="s">
        <v>10955</v>
      </c>
      <c r="G7024" s="1" t="s">
        <v>49</v>
      </c>
      <c r="H7024" s="1" t="s">
        <v>16</v>
      </c>
      <c r="I7024" s="1" t="str">
        <f ca="1">IFERROR(__xludf.DUMMYFUNCTION("GOOGLETRANSLATE(F7024, ""auto"", ""en"")
"),"After humidifying the air with this device, there is a continuous fog all around, and after all this has settled there is a solid white coating all around.. Everywhere.. On the furniture, on the floor, on TV-video-audio equipment.. Everywhere.. So in the "&amp;"lungs it will be the same...")</f>
        <v>After humidifying the air with this device, there is a continuous fog all around, and after all this has settled there is a solid white coating all around.. Everywhere.. On the furniture, on the floor, on TV-video-audio equipment.. Everywhere.. So in the lungs it will be the same...</v>
      </c>
    </row>
    <row r="7025" spans="1:9" x14ac:dyDescent="0.3">
      <c r="A7025" s="1" t="s">
        <v>211</v>
      </c>
      <c r="B7025" s="1" t="s">
        <v>515</v>
      </c>
      <c r="C7025" s="1" t="s">
        <v>213</v>
      </c>
      <c r="D7025" s="1" t="s">
        <v>247</v>
      </c>
      <c r="E7025" s="1" t="s">
        <v>10956</v>
      </c>
      <c r="F7025" s="1" t="s">
        <v>10957</v>
      </c>
      <c r="G7025" s="1" t="s">
        <v>28</v>
      </c>
      <c r="H7025" s="1" t="s">
        <v>29</v>
      </c>
      <c r="I7025" s="1" t="str">
        <f ca="1">IFERROR(__xludf.DUMMYFUNCTION("GOOGLETRANSLATE(F7025, ""auto"", ""en"")
"),"This is my first epilator, I couldn’t decide for a long time whether to buy it or not. I finally made up my mind. The epilator generally met my expectations - it removes even short hairs, although redness appears at first, but then goes away gradually. Wh"&amp;"en I epilated my legs, I only felt a slight tingling sensation, but epilating my armpits was of course painful) Overall, I’m happy with the purchase)")</f>
        <v>This is my first epilator, I couldn’t decide for a long time whether to buy it or not. I finally made up my mind. The epilator generally met my expectations - it removes even short hairs, although redness appears at first, but then goes away gradually. When I epilated my legs, I only felt a slight tingling sensation, but epilating my armpits was of course painful) Overall, I’m happy with the purchase)</v>
      </c>
    </row>
    <row r="7026" spans="1:9" x14ac:dyDescent="0.3">
      <c r="A7026" s="1" t="s">
        <v>95</v>
      </c>
      <c r="B7026" s="1" t="s">
        <v>486</v>
      </c>
      <c r="C7026" s="1" t="s">
        <v>487</v>
      </c>
      <c r="D7026" s="1" t="s">
        <v>10958</v>
      </c>
      <c r="E7026" s="1" t="s">
        <v>3284</v>
      </c>
      <c r="F7026" s="1" t="s">
        <v>10959</v>
      </c>
      <c r="G7026" s="1" t="s">
        <v>36</v>
      </c>
      <c r="H7026" s="1" t="s">
        <v>29</v>
      </c>
      <c r="I7026" s="1" t="str">
        <f ca="1">IFERROR(__xludf.DUMMYFUNCTION("GOOGLETRANSLATE(F7026, ""auto"", ""en"")
"),"Cool thing I'll buy soon, but probably won't be enough for xbox live.")</f>
        <v>Cool thing I'll buy soon, but probably won't be enough for xbox live.</v>
      </c>
    </row>
    <row r="7027" spans="1:9" x14ac:dyDescent="0.3">
      <c r="A7027" s="1" t="s">
        <v>238</v>
      </c>
      <c r="B7027" s="1" t="s">
        <v>276</v>
      </c>
      <c r="C7027" s="1" t="s">
        <v>138</v>
      </c>
      <c r="D7027" s="1" t="s">
        <v>1008</v>
      </c>
      <c r="E7027" s="1" t="s">
        <v>661</v>
      </c>
      <c r="F7027" s="1" t="s">
        <v>10960</v>
      </c>
      <c r="G7027" s="1" t="s">
        <v>28</v>
      </c>
      <c r="H7027" s="1" t="s">
        <v>29</v>
      </c>
      <c r="I7027" s="1" t="str">
        <f ca="1">IFERROR(__xludf.DUMMYFUNCTION("GOOGLETRANSLATE(F7027, ""auto"", ""en"")
"),"We've been using this model for probably the third year! It works great! The food has never gone missing! One minus is if you open and close the freezer, it sticks tightly! You have to pry it off, although after 5-10 minutes you can open it anyway! I reco"&amp;"mmend it to everyone")</f>
        <v>We've been using this model for probably the third year! It works great! The food has never gone missing! One minus is if you open and close the freezer, it sticks tightly! You have to pry it off, although after 5-10 minutes you can open it anyway! I recommend it to everyone</v>
      </c>
    </row>
    <row r="7028" spans="1:9" x14ac:dyDescent="0.3">
      <c r="A7028" s="1" t="s">
        <v>37</v>
      </c>
      <c r="B7028" s="1" t="s">
        <v>536</v>
      </c>
      <c r="C7028" s="1" t="s">
        <v>32</v>
      </c>
      <c r="D7028" s="1" t="s">
        <v>417</v>
      </c>
      <c r="E7028" s="1" t="s">
        <v>2008</v>
      </c>
      <c r="F7028" s="1" t="s">
        <v>10961</v>
      </c>
      <c r="G7028" s="1" t="s">
        <v>36</v>
      </c>
      <c r="H7028" s="1" t="s">
        <v>29</v>
      </c>
      <c r="I7028" s="1" t="str">
        <f ca="1">IFERROR(__xludf.DUMMYFUNCTION("GOOGLETRANSLATE(F7028, ""auto"", ""en"")
"),"I watched a bunch of videos, read a lot of descriptions and tests on this mobile phone. There are some minor negative aspects in terms of sound and minor imperfections. But the price and quality are high, and I’m sure the bugs are solved by software, so w"&amp;"e need to buy it urgently. I'll give myself a present by December :)")</f>
        <v>I watched a bunch of videos, read a lot of descriptions and tests on this mobile phone. There are some minor negative aspects in terms of sound and minor imperfections. But the price and quality are high, and I’m sure the bugs are solved by software, so we need to buy it urgently. I'll give myself a present by December :)</v>
      </c>
    </row>
    <row r="7029" spans="1:9" x14ac:dyDescent="0.3">
      <c r="A7029" s="1" t="s">
        <v>61</v>
      </c>
      <c r="B7029" s="1" t="s">
        <v>224</v>
      </c>
      <c r="C7029" s="1" t="s">
        <v>74</v>
      </c>
      <c r="D7029" s="1" t="s">
        <v>565</v>
      </c>
      <c r="E7029" s="1" t="s">
        <v>924</v>
      </c>
      <c r="F7029" s="1" t="s">
        <v>10962</v>
      </c>
      <c r="G7029" s="1" t="s">
        <v>36</v>
      </c>
      <c r="H7029" s="1" t="s">
        <v>29</v>
      </c>
      <c r="I7029" s="1" t="str">
        <f ca="1">IFERROR(__xludf.DUMMYFUNCTION("GOOGLETRANSLATE(F7029, ""auto"", ""en"")
"),"Purchased in June 2011. Quite satisfied. The cake is moist, but not wet. A bit dry for purees. The juice presses a lot and quickly, perfectly crushes vegetables - carrots, cabbage, beets, cucumbers, celery and tomatoes. Not too noisy. Stands firmly on its"&amp;" feet, because... there are suction cups. Doesn't bounce or vibrate much.   It washes quickly, the most inconvenient part is washing the mesh (but it comes with a convenient brush), the rest is easy to clean.")</f>
        <v>Purchased in June 2011. Quite satisfied. The cake is moist, but not wet. A bit dry for purees. The juice presses a lot and quickly, perfectly crushes vegetables - carrots, cabbage, beets, cucumbers, celery and tomatoes. Not too noisy. Stands firmly on its feet, because... there are suction cups. Doesn't bounce or vibrate much.   It washes quickly, the most inconvenient part is washing the mesh (but it comes with a convenient brush), the rest is easy to clean.</v>
      </c>
    </row>
    <row r="7030" spans="1:9" x14ac:dyDescent="0.3">
      <c r="A7030" s="1" t="s">
        <v>37</v>
      </c>
      <c r="B7030" s="1" t="s">
        <v>536</v>
      </c>
      <c r="C7030" s="1" t="s">
        <v>163</v>
      </c>
      <c r="D7030" s="1" t="s">
        <v>916</v>
      </c>
      <c r="E7030" s="1" t="s">
        <v>540</v>
      </c>
      <c r="F7030" s="1" t="s">
        <v>10963</v>
      </c>
      <c r="G7030" s="1" t="s">
        <v>28</v>
      </c>
      <c r="H7030" s="1" t="s">
        <v>29</v>
      </c>
      <c r="I7030" s="1" t="str">
        <f ca="1">IFERROR(__xludf.DUMMYFUNCTION("GOOGLETRANSLATE(F7030, ""auto"", ""en"")
"),"The phone number is quite good!!! But there are disadvantages: the back cover is loose, the lock button shakes terribly, well, you know, the large screen gets scratched quickly, the battery runs out quickly, you have to reduce the brightness, put it on si"&amp;"lent mode and with low vibration!!!   Then, a week after the purchase (I didn’t buy it from MVideo, but in vain), the loudspeaker broke (when they call me, I can’t hear it only on speakerphone). The loudspeakers (2 of them!!) are not bad, but not too loud"&amp;"!!! The phone slows down sometimes, you have to reboot!!!   It’s not convenient to use it in winter, I’ll honestly tell you it’s better to press the buttons on this with gloves on than to poke your fingers at the screen without gloves!! I have it under ex"&amp;"amination now, maybe I’ll change it!   Well, it’s a very criminal phone, everyone is scared away, thinking that it’s an iPhone! :D In short, a phone for young people and for SUMMER!!!! I can write additional detailed information for anyone who needs anyth"&amp;"ing, describe everything!!!")</f>
        <v>The phone number is quite good!!! But there are disadvantages: the back cover is loose, the lock button shakes terribly, well, you know, the large screen gets scratched quickly, the battery runs out quickly, you have to reduce the brightness, put it on silent mode and with low vibration!!!   Then, a week after the purchase (I didn’t buy it from MVideo, but in vain), the loudspeaker broke (when they call me, I can’t hear it only on speakerphone). The loudspeakers (2 of them!!) are not bad, but not too loud!!! The phone slows down sometimes, you have to reboot!!!   It’s not convenient to use it in winter, I’ll honestly tell you it’s better to press the buttons on this with gloves on than to poke your fingers at the screen without gloves!! I have it under examination now, maybe I’ll change it!   Well, it’s a very criminal phone, everyone is scared away, thinking that it’s an iPhone! :D In short, a phone for young people and for SUMMER!!!! I can write additional detailed information for anyone who needs anything, describe everything!!!</v>
      </c>
    </row>
    <row r="7031" spans="1:9" x14ac:dyDescent="0.3">
      <c r="A7031" s="1" t="s">
        <v>37</v>
      </c>
      <c r="B7031" s="1" t="s">
        <v>1829</v>
      </c>
      <c r="C7031" s="1" t="s">
        <v>151</v>
      </c>
      <c r="D7031" s="1" t="s">
        <v>2320</v>
      </c>
      <c r="E7031" s="1" t="s">
        <v>4956</v>
      </c>
      <c r="F7031" s="1" t="s">
        <v>10964</v>
      </c>
      <c r="G7031" s="1" t="s">
        <v>36</v>
      </c>
      <c r="H7031" s="1" t="s">
        <v>29</v>
      </c>
      <c r="I7031" s="1" t="str">
        <f ca="1">IFERROR(__xludf.DUMMYFUNCTION("GOOGLETRANSLATE(F7031, ""auto"", ""en"")
"),"I bought this Korean miracle... I'm happy as an elephant. Everything works smoothly, there are no lags either in the games or in the interface itself. The screen is clear, colors are rich, and bright. The battery lasts for 10-12 hours of operation. And th"&amp;"e camera is a miracle, better than a camera. But what surprised me most was the software. This is the best flagship.&amp;nbsp;")</f>
        <v>I bought this Korean miracle... I'm happy as an elephant. Everything works smoothly, there are no lags either in the games or in the interface itself. The screen is clear, colors are rich, and bright. The battery lasts for 10-12 hours of operation. And the camera is a miracle, better than a camera. But what surprised me most was the software. This is the best flagship.&amp;nbsp;</v>
      </c>
    </row>
    <row r="7032" spans="1:9" x14ac:dyDescent="0.3">
      <c r="A7032" s="1" t="s">
        <v>17</v>
      </c>
      <c r="B7032" s="1" t="s">
        <v>325</v>
      </c>
      <c r="C7032" s="1" t="s">
        <v>326</v>
      </c>
      <c r="D7032" s="1" t="s">
        <v>521</v>
      </c>
      <c r="E7032" s="1" t="s">
        <v>10965</v>
      </c>
      <c r="F7032" s="1" t="s">
        <v>10966</v>
      </c>
      <c r="G7032" s="1" t="s">
        <v>36</v>
      </c>
      <c r="H7032" s="1" t="s">
        <v>29</v>
      </c>
      <c r="I7032" s="1" t="str">
        <f ca="1">IFERROR(__xludf.DUMMYFUNCTION("GOOGLETRANSLATE(F7032, ""auto"", ""en"")
"),"I recently bought such a washing machine, I was pleased with the result, it takes up little space and is very easy to carry. It washes perfectly and does not curl the clothes. I recommend this car to everyone.")</f>
        <v>I recently bought such a washing machine, I was pleased with the result, it takes up little space and is very easy to carry. It washes perfectly and does not curl the clothes. I recommend this car to everyone.</v>
      </c>
    </row>
    <row r="7033" spans="1:9" x14ac:dyDescent="0.3">
      <c r="A7033" s="1" t="s">
        <v>30</v>
      </c>
      <c r="B7033" s="1" t="s">
        <v>50</v>
      </c>
      <c r="C7033" s="1" t="s">
        <v>694</v>
      </c>
      <c r="D7033" s="1" t="s">
        <v>305</v>
      </c>
      <c r="E7033" s="1" t="s">
        <v>225</v>
      </c>
      <c r="F7033" s="1" t="s">
        <v>10967</v>
      </c>
      <c r="G7033" s="1" t="s">
        <v>28</v>
      </c>
      <c r="H7033" s="1" t="s">
        <v>29</v>
      </c>
      <c r="I7033" s="1" t="str">
        <f ca="1">IFERROR(__xludf.DUMMYFUNCTION("GOOGLETRANSLATE(F7033, ""auto"", ""en"")
"),"I bought S12 a year ago. During use I did not cause any complaints. The only negative is that the battery charge is not enough even for an hour of browsing the Internet with an external 3G modem. True, I used it every day - maybe the capacity had already "&amp;"decreased. Yes, and it gets very hot if you load it (especially in the heat and with a 3G modem).     I'm pleased with the price, design (although the top cover is always stained because it's glossy), high-quality assembly, full-size keyboard, relatively "&amp;"large touchpad, presence of a blue tooth, lack of brakes (when working on the Internet and with office applications).     An excellent netbook - it performs its tasks at 5. Regarding recovery - no problems. Restores to factory settings by pressing one but"&amp;"ton in a few minutes. You can create your own restore point.    Before buying, you need to ask yourself the question: do you need a 12"" netbook? Because carrying it everywhere with you is not so easy: you need a separate bag, and together with the charge"&amp;"r, mouse and other devices it weighs more than 2 kg for sure. Are you ready to carry them with you every day.")</f>
        <v>I bought S12 a year ago. During use I did not cause any complaints. The only negative is that the battery charge is not enough even for an hour of browsing the Internet with an external 3G modem. True, I used it every day - maybe the capacity had already decreased. Yes, and it gets very hot if you load it (especially in the heat and with a 3G modem).     I'm pleased with the price, design (although the top cover is always stained because it's glossy), high-quality assembly, full-size keyboard, relatively large touchpad, presence of a blue tooth, lack of brakes (when working on the Internet and with office applications).     An excellent netbook - it performs its tasks at 5. Regarding recovery - no problems. Restores to factory settings by pressing one button in a few minutes. You can create your own restore point.    Before buying, you need to ask yourself the question: do you need a 12" netbook? Because carrying it everywhere with you is not so easy: you need a separate bag, and together with the charger, mouse and other devices it weighs more than 2 kg for sure. Are you ready to carry them with you every day.</v>
      </c>
    </row>
    <row r="7034" spans="1:9" x14ac:dyDescent="0.3">
      <c r="A7034" s="1" t="s">
        <v>105</v>
      </c>
      <c r="B7034" s="1" t="s">
        <v>106</v>
      </c>
      <c r="C7034" s="1" t="s">
        <v>151</v>
      </c>
      <c r="D7034" s="1" t="s">
        <v>10968</v>
      </c>
      <c r="E7034" s="1" t="s">
        <v>3954</v>
      </c>
      <c r="F7034" s="1" t="s">
        <v>10969</v>
      </c>
      <c r="G7034" s="1" t="s">
        <v>28</v>
      </c>
      <c r="H7034" s="1" t="s">
        <v>29</v>
      </c>
      <c r="I7034" s="1" t="str">
        <f ca="1">IFERROR(__xludf.DUMMYFUNCTION("GOOGLETRANSLATE(F7034, ""auto"", ""en"")
"),"The player is good, the sound is normal, the headphones don’t know, I haven’t used them, and the advantages I can note are that: 1. does not slow down when playing FLAC or video 2. there is a slot for a MicroSD card 3. The battery is enough to watch 4-5 m"&amp;"ovies for 45 minutes, with a screen brightness of no more than 5, which is enough in any lighting, the main thing is that there is no sunlight And of the disadvantages: 1. The headphone jack is not conveniently located 2. The upper right corner does not n"&amp;"aturally heat up too much when watching a video 3. An inconvenient scale that shows how much time has passed when watching a video or audio (a thin white stripe with a blue stripe creeping onto it!!! during the day on the street it is not visible at all ("&amp;"(maybe later when they release a new firmware this will be fixed, but I’m very pleased, although this is not ideal")</f>
        <v>The player is good, the sound is normal, the headphones don’t know, I haven’t used them, and the advantages I can note are that: 1. does not slow down when playing FLAC or video 2. there is a slot for a MicroSD card 3. The battery is enough to watch 4-5 movies for 45 minutes, with a screen brightness of no more than 5, which is enough in any lighting, the main thing is that there is no sunlight And of the disadvantages: 1. The headphone jack is not conveniently located 2. The upper right corner does not naturally heat up too much when watching a video 3. An inconvenient scale that shows how much time has passed when watching a video or audio (a thin white stripe with a blue stripe creeping onto it!!! during the day on the street it is not visible at all ((maybe later when they release a new firmware this will be fixed, but I’m very pleased, although this is not ideal</v>
      </c>
    </row>
    <row r="7035" spans="1:9" x14ac:dyDescent="0.3">
      <c r="A7035" s="1" t="s">
        <v>30</v>
      </c>
      <c r="B7035" s="1" t="s">
        <v>31</v>
      </c>
      <c r="C7035" s="1" t="s">
        <v>365</v>
      </c>
      <c r="D7035" s="1" t="s">
        <v>33</v>
      </c>
      <c r="E7035" s="1" t="s">
        <v>2215</v>
      </c>
      <c r="F7035" s="1" t="s">
        <v>10970</v>
      </c>
      <c r="G7035" s="1" t="s">
        <v>36</v>
      </c>
      <c r="H7035" s="1" t="s">
        <v>29</v>
      </c>
      <c r="I7035" s="1" t="str">
        <f ca="1">IFERROR(__xludf.DUMMYFUNCTION("GOOGLETRANSLATE(F7035, ""auto"", ""en"")
"),"It's great, especially in its price range. I give it a 5. But the video card is terrible. I don't know what to do with her. What's the point of 4 gigs of RAM and 4 cores at 2.2 GHz, if all relatively modern games slow down at minimum settings? Maybe I'm d"&amp;"oing something wrong? I know, off topic, but maybe someone knows why I often come across information on the Internet that all modern ones (2009) fly on it at maximum speed, but mine lag at minimum speed?")</f>
        <v>It's great, especially in its price range. I give it a 5. But the video card is terrible. I don't know what to do with her. What's the point of 4 gigs of RAM and 4 cores at 2.2 GHz, if all relatively modern games slow down at minimum settings? Maybe I'm doing something wrong? I know, off topic, but maybe someone knows why I often come across information on the Internet that all modern ones (2009) fly on it at maximum speed, but mine lag at minimum speed?</v>
      </c>
    </row>
    <row r="7036" spans="1:9" x14ac:dyDescent="0.3">
      <c r="A7036" s="1" t="s">
        <v>61</v>
      </c>
      <c r="B7036" s="1" t="s">
        <v>318</v>
      </c>
      <c r="C7036" s="1" t="s">
        <v>101</v>
      </c>
      <c r="D7036" s="1" t="s">
        <v>633</v>
      </c>
      <c r="E7036" s="1" t="s">
        <v>10971</v>
      </c>
      <c r="F7036" s="1" t="s">
        <v>10972</v>
      </c>
      <c r="G7036" s="1" t="s">
        <v>28</v>
      </c>
      <c r="H7036" s="1" t="s">
        <v>29</v>
      </c>
      <c r="I7036" s="1" t="str">
        <f ca="1">IFERROR(__xludf.DUMMYFUNCTION("GOOGLETRANSLATE(F7036, ""auto"", ""en"")
"),"I didn’t fully understand all the advantages of a thermopot until the hot water at home was turned off. That is, we quickly got used to the fact that there was always hot tea and no longer considered it anything special. But when you are in a hurry to run"&amp;" errands and realize that there is no hot water... In general, we began to appreciate the thermopot even more then. And he has been making us happy for two and a half years now.")</f>
        <v>I didn’t fully understand all the advantages of a thermopot until the hot water at home was turned off. That is, we quickly got used to the fact that there was always hot tea and no longer considered it anything special. But when you are in a hurry to run errands and realize that there is no hot water... In general, we began to appreciate the thermopot even more then. And he has been making us happy for two and a half years now.</v>
      </c>
    </row>
    <row r="7037" spans="1:9" x14ac:dyDescent="0.3">
      <c r="A7037" s="1" t="s">
        <v>211</v>
      </c>
      <c r="B7037" s="1" t="s">
        <v>212</v>
      </c>
      <c r="C7037" s="1" t="s">
        <v>381</v>
      </c>
      <c r="D7037" s="1" t="s">
        <v>247</v>
      </c>
      <c r="E7037" s="1" t="s">
        <v>2328</v>
      </c>
      <c r="F7037" s="1" t="s">
        <v>10973</v>
      </c>
      <c r="G7037" s="1" t="s">
        <v>28</v>
      </c>
      <c r="H7037" s="1" t="s">
        <v>29</v>
      </c>
      <c r="I7037" s="1" t="str">
        <f ca="1">IFERROR(__xludf.DUMMYFUNCTION("GOOGLETRANSLATE(F7037, ""auto"", ""en"")
"),"The hairdryer copes with its functions. Doesn't heat up, doesn't rattle. The plastic is hard and pleasant to the touch. The cord is long enough. There is a supply of cold air. Personally, I didn’t like several things about it: 1. It’s heavy. I am a petite"&amp;" woman and my hands are small, holding the hair dryer in my hands for a long time is noticeable for me.  2. Speed ​​change button on the outside of the handle. I don't feel comfortable switching.  3. Although the power is stated to be 1600W, there are vag"&amp;"ue doubts that in fact it is much lower. There is something to compare with.")</f>
        <v>The hairdryer copes with its functions. Doesn't heat up, doesn't rattle. The plastic is hard and pleasant to the touch. The cord is long enough. There is a supply of cold air. Personally, I didn’t like several things about it: 1. It’s heavy. I am a petite woman and my hands are small, holding the hair dryer in my hands for a long time is noticeable for me.  2. Speed ​​change button on the outside of the handle. I don't feel comfortable switching.  3. Although the power is stated to be 1600W, there are vague doubts that in fact it is much lower. There is something to compare with.</v>
      </c>
    </row>
    <row r="7038" spans="1:9" x14ac:dyDescent="0.3">
      <c r="A7038" s="1" t="s">
        <v>61</v>
      </c>
      <c r="B7038" s="1" t="s">
        <v>318</v>
      </c>
      <c r="C7038" s="1" t="s">
        <v>63</v>
      </c>
      <c r="D7038" s="1" t="s">
        <v>474</v>
      </c>
      <c r="E7038" s="1" t="s">
        <v>661</v>
      </c>
      <c r="F7038" s="1" t="s">
        <v>10974</v>
      </c>
      <c r="G7038" s="1" t="s">
        <v>49</v>
      </c>
      <c r="H7038" s="1" t="s">
        <v>16</v>
      </c>
      <c r="I7038" s="1" t="str">
        <f ca="1">IFERROR(__xludf.DUMMYFUNCTION("GOOGLETRANSLATE(F7038, ""auto"", ""en"")
"),"This miracle kettle captivated me with its appearance and Czech assembly. A spilling spout is nothing. The main thing is to get used to it! But after 4 months of work, he began to boil water like this every 5 times - he switched off on his own. And scale "&amp;"instantly forms in it and flakes into the cup...")</f>
        <v>This miracle kettle captivated me with its appearance and Czech assembly. A spilling spout is nothing. The main thing is to get used to it! But after 4 months of work, he began to boil water like this every 5 times - he switched off on his own. And scale instantly forms in it and flakes into the cup...</v>
      </c>
    </row>
    <row r="7039" spans="1:9" x14ac:dyDescent="0.3">
      <c r="A7039" s="1" t="s">
        <v>9</v>
      </c>
      <c r="B7039" s="1" t="s">
        <v>10</v>
      </c>
      <c r="C7039" s="1" t="s">
        <v>466</v>
      </c>
      <c r="D7039" s="1" t="s">
        <v>335</v>
      </c>
      <c r="E7039" s="1" t="s">
        <v>10975</v>
      </c>
      <c r="F7039" s="1" t="s">
        <v>10976</v>
      </c>
      <c r="G7039" s="1" t="s">
        <v>15</v>
      </c>
      <c r="H7039" s="1" t="s">
        <v>16</v>
      </c>
      <c r="I7039" s="1" t="str">
        <f ca="1">IFERROR(__xludf.DUMMYFUNCTION("GOOGLETRANSLATE(F7039, ""auto"", ""en"")
"),"Very, very noisy. Even at first speed it makes a lot of noise, I won’t say anything about the 3rd speed!! Even the radio is jammed. For that kind of money they could have installed a quieter engine.    I do not recommend buying!!")</f>
        <v>Very, very noisy. Even at first speed it makes a lot of noise, I won’t say anything about the 3rd speed!! Even the radio is jammed. For that kind of money they could have installed a quieter engine.    I do not recommend buying!!</v>
      </c>
    </row>
    <row r="7040" spans="1:9" x14ac:dyDescent="0.3">
      <c r="A7040" s="1" t="s">
        <v>211</v>
      </c>
      <c r="B7040" s="1" t="s">
        <v>410</v>
      </c>
      <c r="C7040" s="1" t="s">
        <v>213</v>
      </c>
      <c r="D7040" s="1" t="s">
        <v>152</v>
      </c>
      <c r="E7040" s="1" t="s">
        <v>2153</v>
      </c>
      <c r="F7040" s="1" t="s">
        <v>10977</v>
      </c>
      <c r="G7040" s="1" t="s">
        <v>36</v>
      </c>
      <c r="H7040" s="1" t="s">
        <v>29</v>
      </c>
      <c r="I7040" s="1" t="str">
        <f ca="1">IFERROR(__xludf.DUMMYFUNCTION("GOOGLETRANSLATE(F7040, ""auto"", ""en"")
"),"I bought this razor this evening. I immediately brought it home, charged it a little and shaved. It doesn't feel like shaving at all. I'm wondering why I didn't buy it earlier. After all, you don’t even need foam. And the cleaning system is like an additi"&amp;"on here. You can also clean it under running water - nothing complicated!!! I recommend it to EVERYONE!!!    S P A S I B O M - V I D E O! ! !")</f>
        <v>I bought this razor this evening. I immediately brought it home, charged it a little and shaved. It doesn't feel like shaving at all. I'm wondering why I didn't buy it earlier. After all, you don’t even need foam. And the cleaning system is like an addition here. You can also clean it under running water - nothing complicated!!! I recommend it to EVERYONE!!!    S P A S I B O M - V I D E O! ! !</v>
      </c>
    </row>
    <row r="7041" spans="1:9" x14ac:dyDescent="0.3">
      <c r="A7041" s="1" t="s">
        <v>61</v>
      </c>
      <c r="B7041" s="1" t="s">
        <v>318</v>
      </c>
      <c r="C7041" s="1" t="s">
        <v>745</v>
      </c>
      <c r="D7041" s="1" t="s">
        <v>171</v>
      </c>
      <c r="E7041" s="1" t="s">
        <v>1428</v>
      </c>
      <c r="F7041" s="1" t="s">
        <v>10978</v>
      </c>
      <c r="G7041" s="1" t="s">
        <v>36</v>
      </c>
      <c r="H7041" s="1" t="s">
        <v>29</v>
      </c>
      <c r="I7041" s="1" t="str">
        <f ca="1">IFERROR(__xludf.DUMMYFUNCTION("GOOGLETRANSLATE(F7041, ""auto"", ""en"")
"),"An excellent kettle, before this I had a kettle from a different brand, so I changed it twice in a year. And this handsome guy is already in his third year. It boils quickly, there is a backlight, I was generally pleased with this fact, I like it. There w"&amp;"as a plastic smell, but it disappeared very quickly))) I recommend it!")</f>
        <v>An excellent kettle, before this I had a kettle from a different brand, so I changed it twice in a year. And this handsome guy is already in his third year. It boils quickly, there is a backlight, I was generally pleased with this fact, I like it. There was a plastic smell, but it disappeared very quickly))) I recommend it!</v>
      </c>
    </row>
    <row r="7042" spans="1:9" x14ac:dyDescent="0.3">
      <c r="A7042" s="1" t="s">
        <v>43</v>
      </c>
      <c r="B7042" s="1" t="s">
        <v>502</v>
      </c>
      <c r="C7042" s="1" t="s">
        <v>151</v>
      </c>
      <c r="D7042" s="1" t="s">
        <v>46</v>
      </c>
      <c r="E7042" s="1" t="s">
        <v>10979</v>
      </c>
      <c r="F7042" s="1" t="s">
        <v>10980</v>
      </c>
      <c r="G7042" s="1" t="s">
        <v>36</v>
      </c>
      <c r="H7042" s="1" t="s">
        <v>29</v>
      </c>
      <c r="I7042" s="1" t="str">
        <f ca="1">IFERROR(__xludf.DUMMYFUNCTION("GOOGLETRANSLATE(F7042, ""auto"", ""en"")
"),"We bought the 12th model of this series of air conditioners in July 2013, we’ve been using it for a year now, the house is a panel house, built in the 70s... The unit is in an apartment, all functions work perfectly... It’s quite quiet. I didn’t even thin"&amp;"k about the external unit after installation until I read here that there could be noise and vibration, turned it on and checked. The external unit hangs directly under the kitchen window on brackets. When the window is open vertically, it is not audible;"&amp;" when the window is fully open, a hum is heard. But the air conditioner usually works with the windows closed - a priori! The neighbors below do not complain about the noise. There are no vibrations. The external unit does not bother me at all.")</f>
        <v>We bought the 12th model of this series of air conditioners in July 2013, we’ve been using it for a year now, the house is a panel house, built in the 70s... The unit is in an apartment, all functions work perfectly... It’s quite quiet. I didn’t even think about the external unit after installation until I read here that there could be noise and vibration, turned it on and checked. The external unit hangs directly under the kitchen window on brackets. When the window is open vertically, it is not audible; when the window is fully open, a hum is heard. But the air conditioner usually works with the windows closed - a priori! The neighbors below do not complain about the noise. There are no vibrations. The external unit does not bother me at all.</v>
      </c>
    </row>
    <row r="7043" spans="1:9" x14ac:dyDescent="0.3">
      <c r="A7043" s="1" t="s">
        <v>206</v>
      </c>
      <c r="B7043" s="1" t="s">
        <v>1253</v>
      </c>
      <c r="C7043" s="1" t="s">
        <v>1254</v>
      </c>
      <c r="D7043" s="1" t="s">
        <v>10981</v>
      </c>
      <c r="E7043" s="1" t="s">
        <v>9910</v>
      </c>
      <c r="F7043" s="1" t="s">
        <v>10982</v>
      </c>
      <c r="G7043" s="1" t="s">
        <v>28</v>
      </c>
      <c r="H7043" s="1" t="s">
        <v>29</v>
      </c>
      <c r="I7043" s="1" t="str">
        <f ca="1">IFERROR(__xludf.DUMMYFUNCTION("GOOGLETRANSLATE(F7043, ""auto"", ""en"")
"),"In the city there is a stable connection up to 500 meters. On the highway, when the distance between cars is more than 1 km, significant interference appears.  I bought it with a case, everything is there - two car chargers, two headsets and two chargers "&amp;"from a 220V network.  Suitable for use over short distances.")</f>
        <v>In the city there is a stable connection up to 500 meters. On the highway, when the distance between cars is more than 1 km, significant interference appears.  I bought it with a case, everything is there - two car chargers, two headsets and two chargers from a 220V network.  Suitable for use over short distances.</v>
      </c>
    </row>
    <row r="7044" spans="1:9" x14ac:dyDescent="0.3">
      <c r="A7044" s="1" t="s">
        <v>67</v>
      </c>
      <c r="B7044" s="1" t="s">
        <v>68</v>
      </c>
      <c r="C7044" s="1" t="s">
        <v>69</v>
      </c>
      <c r="D7044" s="1" t="s">
        <v>75</v>
      </c>
      <c r="E7044" s="1" t="s">
        <v>10983</v>
      </c>
      <c r="F7044" s="1" t="s">
        <v>10984</v>
      </c>
      <c r="G7044" s="1" t="s">
        <v>36</v>
      </c>
      <c r="H7044" s="1" t="s">
        <v>29</v>
      </c>
      <c r="I7044" s="1" t="str">
        <f ca="1">IFERROR(__xludf.DUMMYFUNCTION("GOOGLETRANSLATE(F7044, ""auto"", ""en"")
"),"The iron is ideal from many proven options.   In a small tailoring studio, believe me, we have already tried many options and for the last 2 years we have been using only this model. We also bought it for home use and recommended it to friends! Everyone i"&amp;"s happy.  The main advantage is that the iron is a little heavy, which helps in ironing things better. No complaints! The best iron!")</f>
        <v>The iron is ideal from many proven options.   In a small tailoring studio, believe me, we have already tried many options and for the last 2 years we have been using only this model. We also bought it for home use and recommended it to friends! Everyone is happy.  The main advantage is that the iron is a little heavy, which helps in ironing things better. No complaints! The best iron!</v>
      </c>
    </row>
    <row r="7045" spans="1:9" x14ac:dyDescent="0.3">
      <c r="A7045" s="1" t="s">
        <v>37</v>
      </c>
      <c r="B7045" s="1" t="s">
        <v>536</v>
      </c>
      <c r="C7045" s="1" t="s">
        <v>163</v>
      </c>
      <c r="D7045" s="1" t="s">
        <v>5864</v>
      </c>
      <c r="E7045" s="1" t="s">
        <v>2686</v>
      </c>
      <c r="F7045" s="1" t="s">
        <v>10985</v>
      </c>
      <c r="G7045" s="1" t="s">
        <v>36</v>
      </c>
      <c r="H7045" s="1" t="s">
        <v>29</v>
      </c>
      <c r="I7045" s="1" t="str">
        <f ca="1">IFERROR(__xludf.DUMMYFUNCTION("GOOGLETRANSLATE(F7045, ""auto"", ""en"")
"),"I bought it 2 weeks ago, everything is fine, but there is a small problem when I call someone or they call me and I set the speaker volume to maximum, I hear a small ringing when beeps or words sound. I thought there was something wrong with the speaker, "&amp;"I went to the store, they reset the settings to factory settings and it got better, but yesterday I noticed again that the ringing appeared even louder than usual, I also reset the settings and it got better, does anyone have this? help me fix this :(")</f>
        <v>I bought it 2 weeks ago, everything is fine, but there is a small problem when I call someone or they call me and I set the speaker volume to maximum, I hear a small ringing when beeps or words sound. I thought there was something wrong with the speaker, I went to the store, they reset the settings to factory settings and it got better, but yesterday I noticed again that the ringing appeared even louder than usual, I also reset the settings and it got better, does anyone have this? help me fix this :(</v>
      </c>
    </row>
    <row r="7046" spans="1:9" x14ac:dyDescent="0.3">
      <c r="A7046" s="1" t="s">
        <v>89</v>
      </c>
      <c r="B7046" s="1" t="s">
        <v>90</v>
      </c>
      <c r="C7046" s="1" t="s">
        <v>185</v>
      </c>
      <c r="D7046" s="1" t="s">
        <v>86</v>
      </c>
      <c r="E7046" s="1" t="s">
        <v>6989</v>
      </c>
      <c r="F7046" s="1" t="s">
        <v>10986</v>
      </c>
      <c r="G7046" s="1" t="s">
        <v>36</v>
      </c>
      <c r="H7046" s="1" t="s">
        <v>29</v>
      </c>
      <c r="I7046" s="1" t="str">
        <f ca="1">IFERROR(__xludf.DUMMYFUNCTION("GOOGLETRANSLATE(F7046, ""auto"", ""en"")
"),"I took a simple household espresso machine, set it to the finest fraction - an ideal result with the correct selection of pressing force, humidity, fat content and grind size of the coffee. You can achieve the perfect foam and, accordingly, taste. Compari"&amp;"son with a conventional centrifugal coffee grinder is useless. In a centrifugal machine, the coffee was ground into dust and granules up to 2 mm. This is unacceptable for an espresso machine. The dust hardly sticks out and the taste is bitter. Large granu"&amp;"les do not have time to release all the flavor under pressure. The millstone has the ideal fraction (grind size) and goes straight into the machine. The law of obtaining maximum aroma is to grind and brew immediately.")</f>
        <v>I took a simple household espresso machine, set it to the finest fraction - an ideal result with the correct selection of pressing force, humidity, fat content and grind size of the coffee. You can achieve the perfect foam and, accordingly, taste. Comparison with a conventional centrifugal coffee grinder is useless. In a centrifugal machine, the coffee was ground into dust and granules up to 2 mm. This is unacceptable for an espresso machine. The dust hardly sticks out and the taste is bitter. Large granules do not have time to release all the flavor under pressure. The millstone has the ideal fraction (grind size) and goes straight into the machine. The law of obtaining maximum aroma is to grind and brew immediately.</v>
      </c>
    </row>
    <row r="7047" spans="1:9" x14ac:dyDescent="0.3">
      <c r="A7047" s="1" t="s">
        <v>211</v>
      </c>
      <c r="B7047" s="1" t="s">
        <v>515</v>
      </c>
      <c r="C7047" s="1" t="s">
        <v>381</v>
      </c>
      <c r="D7047" s="1" t="s">
        <v>64</v>
      </c>
      <c r="E7047" s="1" t="s">
        <v>2423</v>
      </c>
      <c r="F7047" s="1" t="s">
        <v>10987</v>
      </c>
      <c r="G7047" s="1" t="s">
        <v>28</v>
      </c>
      <c r="H7047" s="1" t="s">
        <v>29</v>
      </c>
      <c r="I7047" s="1" t="str">
        <f ca="1">IFERROR(__xludf.DUMMYFUNCTION("GOOGLETRANSLATE(F7047, ""auto"", ""en"")
"),"I bought it a month ago. There are no complaints about hair removal. This is my first epilator and it removes hair perfectly! I don’t feel any particular pain; I epilate my legs, armpits, and bikini line. But....the razor head broke...")</f>
        <v>I bought it a month ago. There are no complaints about hair removal. This is my first epilator and it removes hair perfectly! I don’t feel any particular pain; I epilate my legs, armpits, and bikini line. But....the razor head broke...</v>
      </c>
    </row>
    <row r="7048" spans="1:9" x14ac:dyDescent="0.3">
      <c r="A7048" s="1" t="s">
        <v>37</v>
      </c>
      <c r="B7048" s="1" t="s">
        <v>38</v>
      </c>
      <c r="C7048" s="1" t="s">
        <v>163</v>
      </c>
      <c r="D7048" s="1" t="s">
        <v>200</v>
      </c>
      <c r="E7048" s="1" t="s">
        <v>4697</v>
      </c>
      <c r="F7048" s="1" t="s">
        <v>10988</v>
      </c>
      <c r="G7048" s="1" t="s">
        <v>36</v>
      </c>
      <c r="H7048" s="1" t="s">
        <v>29</v>
      </c>
      <c r="I7048" s="1" t="str">
        <f ca="1">IFERROR(__xludf.DUMMYFUNCTION("GOOGLETRANSLATE(F7048, ""auto"", ""en"")
"),"Just a great phone, easy to use.")</f>
        <v>Just a great phone, easy to use.</v>
      </c>
    </row>
    <row r="7049" spans="1:9" x14ac:dyDescent="0.3">
      <c r="A7049" s="1" t="s">
        <v>211</v>
      </c>
      <c r="B7049" s="1" t="s">
        <v>384</v>
      </c>
      <c r="C7049" s="1" t="s">
        <v>101</v>
      </c>
      <c r="D7049" s="1" t="s">
        <v>602</v>
      </c>
      <c r="E7049" s="1" t="s">
        <v>784</v>
      </c>
      <c r="F7049" s="1" t="s">
        <v>10989</v>
      </c>
      <c r="G7049" s="1" t="s">
        <v>36</v>
      </c>
      <c r="H7049" s="1" t="s">
        <v>29</v>
      </c>
      <c r="I7049" s="1" t="str">
        <f ca="1">IFERROR(__xludf.DUMMYFUNCTION("GOOGLETRANSLATE(F7049, ""auto"", ""en"")
"),"Electronic and cheaper ones - that's what I needed.  P.S.: I didn’t find the battery included, I had to buy it separately.")</f>
        <v>Electronic and cheaper ones - that's what I needed.  P.S.: I didn’t find the battery included, I had to buy it separately.</v>
      </c>
    </row>
    <row r="7050" spans="1:9" x14ac:dyDescent="0.3">
      <c r="A7050" s="1" t="s">
        <v>89</v>
      </c>
      <c r="B7050" s="1" t="s">
        <v>1106</v>
      </c>
      <c r="C7050" s="1" t="s">
        <v>57</v>
      </c>
      <c r="D7050" s="1" t="s">
        <v>305</v>
      </c>
      <c r="E7050" s="1" t="s">
        <v>1267</v>
      </c>
      <c r="F7050" s="1" t="s">
        <v>10990</v>
      </c>
      <c r="G7050" s="1" t="s">
        <v>28</v>
      </c>
      <c r="H7050" s="1" t="s">
        <v>29</v>
      </c>
      <c r="I7050" s="1" t="str">
        <f ca="1">IFERROR(__xludf.DUMMYFUNCTION("GOOGLETRANSLATE(F7050, ""auto"", ""en"")
"),"It works normally, although the coffee doesn’t turn out hotter, you’ll have to add boiling water, it’ll be 4 minus")</f>
        <v>It works normally, although the coffee doesn’t turn out hotter, you’ll have to add boiling water, it’ll be 4 minus</v>
      </c>
    </row>
    <row r="7051" spans="1:9" x14ac:dyDescent="0.3">
      <c r="A7051" s="1" t="s">
        <v>732</v>
      </c>
      <c r="B7051" s="1" t="s">
        <v>733</v>
      </c>
      <c r="C7051" s="1" t="s">
        <v>69</v>
      </c>
      <c r="D7051" s="1" t="s">
        <v>139</v>
      </c>
      <c r="E7051" s="1" t="s">
        <v>814</v>
      </c>
      <c r="F7051" s="1" t="s">
        <v>10991</v>
      </c>
      <c r="G7051" s="1" t="s">
        <v>36</v>
      </c>
      <c r="H7051" s="1" t="s">
        <v>29</v>
      </c>
      <c r="I7051" s="1" t="str">
        <f ca="1">IFERROR(__xludf.DUMMYFUNCTION("GOOGLETRANSLATE(F7051, ""auto"", ""en"")
"),"A very good monitor, I bought it a couple of weeks ago, I really like the pleasant blue backlight, it doesn’t strain my eyes. The big one can see everything. Buy it, you won't regret it.")</f>
        <v>A very good monitor, I bought it a couple of weeks ago, I really like the pleasant blue backlight, it doesn’t strain my eyes. The big one can see everything. Buy it, you won't regret it.</v>
      </c>
    </row>
    <row r="7052" spans="1:9" x14ac:dyDescent="0.3">
      <c r="A7052" s="1" t="s">
        <v>624</v>
      </c>
      <c r="B7052" s="1" t="s">
        <v>625</v>
      </c>
      <c r="C7052" s="1" t="s">
        <v>479</v>
      </c>
      <c r="D7052" s="1" t="s">
        <v>10992</v>
      </c>
      <c r="E7052" s="1" t="s">
        <v>1527</v>
      </c>
      <c r="F7052" s="1" t="s">
        <v>10993</v>
      </c>
      <c r="G7052" s="1" t="s">
        <v>36</v>
      </c>
      <c r="H7052" s="1" t="s">
        <v>29</v>
      </c>
      <c r="I7052" s="1" t="str">
        <f ca="1">IFERROR(__xludf.DUMMYFUNCTION("GOOGLETRANSLATE(F7052, ""auto"", ""en"")
"),"20 million dollars didn’t go to waste, the game is very dynamic, the graphics are excellent, the plot, although not new, is quite interesting. Playing on a large TV is like watching a movie about Indiana Jones (a worthwhile thing).")</f>
        <v>20 million dollars didn’t go to waste, the game is very dynamic, the graphics are excellent, the plot, although not new, is quite interesting. Playing on a large TV is like watching a movie about Indiana Jones (a worthwhile thing).</v>
      </c>
    </row>
    <row r="7053" spans="1:9" x14ac:dyDescent="0.3">
      <c r="A7053" s="1" t="s">
        <v>95</v>
      </c>
      <c r="B7053" s="1" t="s">
        <v>648</v>
      </c>
      <c r="C7053" s="1" t="s">
        <v>97</v>
      </c>
      <c r="D7053" s="1" t="s">
        <v>633</v>
      </c>
      <c r="E7053" s="1" t="s">
        <v>8106</v>
      </c>
      <c r="F7053" s="1" t="s">
        <v>10994</v>
      </c>
      <c r="G7053" s="1" t="s">
        <v>36</v>
      </c>
      <c r="H7053" s="1" t="s">
        <v>29</v>
      </c>
      <c r="I7053" s="1" t="str">
        <f ca="1">IFERROR(__xludf.DUMMYFUNCTION("GOOGLETRANSLATE(F7053, ""auto"", ""en"")
"),"I bought this PSP for myself. Very pleased, does not glitch, the color is wonderful. I recommend it to everyone!!!!")</f>
        <v>I bought this PSP for myself. Very pleased, does not glitch, the color is wonderful. I recommend it to everyone!!!!</v>
      </c>
    </row>
    <row r="7054" spans="1:9" x14ac:dyDescent="0.3">
      <c r="A7054" s="1" t="s">
        <v>43</v>
      </c>
      <c r="B7054" s="1" t="s">
        <v>1616</v>
      </c>
      <c r="C7054" s="1" t="s">
        <v>85</v>
      </c>
      <c r="D7054" s="1" t="s">
        <v>10995</v>
      </c>
      <c r="E7054" s="1" t="s">
        <v>1012</v>
      </c>
      <c r="F7054" s="1" t="s">
        <v>10996</v>
      </c>
      <c r="G7054" s="1" t="s">
        <v>36</v>
      </c>
      <c r="H7054" s="1" t="s">
        <v>29</v>
      </c>
      <c r="I7054" s="1" t="str">
        <f ca="1">IFERROR(__xludf.DUMMYFUNCTION("GOOGLETRANSLATE(F7054, ""auto"", ""en"")
"),"The thing is just normal, at first I was hesitant to buy it, but when I bought it I tried it, I don’t even regret that I bought it, I recommend it to everyone!!!!!")</f>
        <v>The thing is just normal, at first I was hesitant to buy it, but when I bought it I tried it, I don’t even regret that I bought it, I recommend it to everyone!!!!!</v>
      </c>
    </row>
    <row r="7055" spans="1:9" x14ac:dyDescent="0.3">
      <c r="A7055" s="1" t="s">
        <v>9</v>
      </c>
      <c r="B7055" s="1" t="s">
        <v>10</v>
      </c>
      <c r="C7055" s="1" t="s">
        <v>466</v>
      </c>
      <c r="D7055" s="1" t="s">
        <v>10997</v>
      </c>
      <c r="E7055" s="1" t="s">
        <v>10504</v>
      </c>
      <c r="F7055" s="1" t="s">
        <v>10998</v>
      </c>
      <c r="G7055" s="1" t="s">
        <v>36</v>
      </c>
      <c r="H7055" s="1" t="s">
        <v>29</v>
      </c>
      <c r="I7055" s="1" t="str">
        <f ca="1">IFERROR(__xludf.DUMMYFUNCTION("GOOGLETRANSLATE(F7055, ""auto"", ""en"")
"),"We have been wanting to buy a range hood for our kitchen for a long time. Tired of unpleasant odors, accumulation of steam and other nonsense that accompanies the cooking process. Besides, I love to cook and spend a lot of time in the kitchen. Cooking is "&amp;"my hobby, which means the kitchen should be appropriate for it. It was with these thoughts that I went in search of a decent hood. My choice was the Crohn's hood. This is a flat model and takes up little space compared to others. My kitchen is made in lig"&amp;"ht colors, so the white color of the hood suited me perfectly). This model looks quite classic, which suits me completely. It is easy and simple to operate using buttons, and there is also a digital display that helps you monitor the working process of th"&amp;"e device. The advantage of this technique is the presence of a timer). I think this is a very convenient feature. It works quite effectively both in air exhaust mode and in air recirculation mode. The noise level, in my opinion, is not high. So I don't re"&amp;"gret my purchase.")</f>
        <v>We have been wanting to buy a range hood for our kitchen for a long time. Tired of unpleasant odors, accumulation of steam and other nonsense that accompanies the cooking process. Besides, I love to cook and spend a lot of time in the kitchen. Cooking is my hobby, which means the kitchen should be appropriate for it. It was with these thoughts that I went in search of a decent hood. My choice was the Crohn's hood. This is a flat model and takes up little space compared to others. My kitchen is made in light colors, so the white color of the hood suited me perfectly). This model looks quite classic, which suits me completely. It is easy and simple to operate using buttons, and there is also a digital display that helps you monitor the working process of the device. The advantage of this technique is the presence of a timer). I think this is a very convenient feature. It works quite effectively both in air exhaust mode and in air recirculation mode. The noise level, in my opinion, is not high. So I don't regret my purchase.</v>
      </c>
    </row>
    <row r="7056" spans="1:9" x14ac:dyDescent="0.3">
      <c r="A7056" s="1" t="s">
        <v>89</v>
      </c>
      <c r="B7056" s="1" t="s">
        <v>90</v>
      </c>
      <c r="C7056" s="1" t="s">
        <v>185</v>
      </c>
      <c r="D7056" s="1" t="s">
        <v>565</v>
      </c>
      <c r="E7056" s="1" t="s">
        <v>6342</v>
      </c>
      <c r="F7056" s="1" t="s">
        <v>10999</v>
      </c>
      <c r="G7056" s="1" t="s">
        <v>36</v>
      </c>
      <c r="H7056" s="1" t="s">
        <v>29</v>
      </c>
      <c r="I7056" s="1" t="str">
        <f ca="1">IFERROR(__xludf.DUMMYFUNCTION("GOOGLETRANSLATE(F7056, ""auto"", ""en"")
"),"Excellent coffee grinder, very pleased. I bought it for my husband as a gift. At first I wanted a wooden handmade one, but I don’t regret it at all. The grind is selected. Everything is great!!!!!")</f>
        <v>Excellent coffee grinder, very pleased. I bought it for my husband as a gift. At first I wanted a wooden handmade one, but I don’t regret it at all. The grind is selected. Everything is great!!!!!</v>
      </c>
    </row>
    <row r="7057" spans="1:9" x14ac:dyDescent="0.3">
      <c r="A7057" s="1" t="s">
        <v>120</v>
      </c>
      <c r="B7057" s="1" t="s">
        <v>126</v>
      </c>
      <c r="C7057" s="1" t="s">
        <v>151</v>
      </c>
      <c r="D7057" s="1" t="s">
        <v>102</v>
      </c>
      <c r="E7057" s="1" t="s">
        <v>1742</v>
      </c>
      <c r="F7057" s="1" t="s">
        <v>11000</v>
      </c>
      <c r="G7057" s="1" t="s">
        <v>36</v>
      </c>
      <c r="H7057" s="1" t="s">
        <v>29</v>
      </c>
      <c r="I7057" s="1" t="str">
        <f ca="1">IFERROR(__xludf.DUMMYFUNCTION("GOOGLETRANSLATE(F7057, ""auto"", ""en"")
"),"Hi all!  Nikolay (Penza) - this is a jamb that needs to be changed Sergey (Lensk), Vyacheslav (Yoshkar-Ola) and all other cars on/off (turn off automatic software update, everything will work out, read the instructions) Andrey (Tchaikovsky) the power defe"&amp;"ct needs to be changed, the flash drive is only for updating the software Alexander (Moscow) do not make decisions based on reviews, check everything in the store before buying, draw conclusions")</f>
        <v>Hi all!  Nikolay (Penza) - this is a jamb that needs to be changed Sergey (Lensk), Vyacheslav (Yoshkar-Ola) and all other cars on/off (turn off automatic software update, everything will work out, read the instructions) Andrey (Tchaikovsky) the power defect needs to be changed, the flash drive is only for updating the software Alexander (Moscow) do not make decisions based on reviews, check everything in the store before buying, draw conclusions</v>
      </c>
    </row>
    <row r="7058" spans="1:9" x14ac:dyDescent="0.3">
      <c r="A7058" s="1" t="s">
        <v>1174</v>
      </c>
      <c r="B7058" s="1" t="s">
        <v>1175</v>
      </c>
      <c r="C7058" s="1" t="s">
        <v>356</v>
      </c>
      <c r="D7058" s="1" t="s">
        <v>52</v>
      </c>
      <c r="E7058" s="1" t="s">
        <v>800</v>
      </c>
      <c r="F7058" s="1" t="s">
        <v>11001</v>
      </c>
      <c r="G7058" s="1" t="s">
        <v>28</v>
      </c>
      <c r="H7058" s="1" t="s">
        <v>29</v>
      </c>
      <c r="I7058" s="1" t="str">
        <f ca="1">IFERROR(__xludf.DUMMYFUNCTION("GOOGLETRANSLATE(F7058, ""auto"", ""en"")
"),"I've been using them for 3 months. In principle, they are not bad for the average user. The only thing missing is bass. More precisely, there are almost none. But high frequencies are transmitted well.  p.s. I'll change it as soon as possible.")</f>
        <v>I've been using them for 3 months. In principle, they are not bad for the average user. The only thing missing is bass. More precisely, there are almost none. But high frequencies are transmitted well.  p.s. I'll change it as soon as possible.</v>
      </c>
    </row>
    <row r="7059" spans="1:9" x14ac:dyDescent="0.3">
      <c r="A7059" s="1" t="s">
        <v>61</v>
      </c>
      <c r="B7059" s="1" t="s">
        <v>224</v>
      </c>
      <c r="C7059" s="1" t="s">
        <v>314</v>
      </c>
      <c r="D7059" s="1" t="s">
        <v>3015</v>
      </c>
      <c r="E7059" s="1" t="s">
        <v>2616</v>
      </c>
      <c r="F7059" s="1" t="s">
        <v>11002</v>
      </c>
      <c r="G7059" s="1" t="s">
        <v>28</v>
      </c>
      <c r="H7059" s="1" t="s">
        <v>29</v>
      </c>
      <c r="I7059" s="1" t="str">
        <f ca="1">IFERROR(__xludf.DUMMYFUNCTION("GOOGLETRANSLATE(F7059, ""auto"", ""en"")
"),"We bought it 2 months ago. We squeeze the juice 3-4 times a week, and in the first days - every day and nothing burned out or broke. It harvests carrots, oranges, apples perfectly...they tried to rotate the cake again, but there was no more juice in the c"&amp;"ake. So it works!  Cons: the juice splashes a little... easy to clean, compact. The price for such a high-quality spin is excellent!  I recommend buying an additional service certificate (for 2 years it seemed to cost 490 rubles) in case of a breakdown - "&amp;"they will immediately replace it for you without an examination, because the price is small. And under the usual warranty, if it burns out, contact the manufacturer (it also seems to have a 2-year warranty), the examination period is max. 45 days. Then th"&amp;"ey will fix it or refuse if it is your fault.")</f>
        <v>We bought it 2 months ago. We squeeze the juice 3-4 times a week, and in the first days - every day and nothing burned out or broke. It harvests carrots, oranges, apples perfectly...they tried to rotate the cake again, but there was no more juice in the cake. So it works!  Cons: the juice splashes a little... easy to clean, compact. The price for such a high-quality spin is excellent!  I recommend buying an additional service certificate (for 2 years it seemed to cost 490 rubles) in case of a breakdown - they will immediately replace it for you without an examination, because the price is small. And under the usual warranty, if it burns out, contact the manufacturer (it also seems to have a 2-year warranty), the examination period is max. 45 days. Then they will fix it or refuse if it is your fault.</v>
      </c>
    </row>
    <row r="7060" spans="1:9" x14ac:dyDescent="0.3">
      <c r="A7060" s="1" t="s">
        <v>95</v>
      </c>
      <c r="B7060" s="1" t="s">
        <v>486</v>
      </c>
      <c r="C7060" s="1" t="s">
        <v>487</v>
      </c>
      <c r="D7060" s="1" t="s">
        <v>152</v>
      </c>
      <c r="E7060" s="1" t="s">
        <v>386</v>
      </c>
      <c r="F7060" s="1" t="s">
        <v>11003</v>
      </c>
      <c r="G7060" s="1" t="s">
        <v>36</v>
      </c>
      <c r="H7060" s="1" t="s">
        <v>29</v>
      </c>
      <c r="I7060" s="1" t="str">
        <f ca="1">IFERROR(__xludf.DUMMYFUNCTION("GOOGLETRANSLATE(F7060, ""auto"", ""en"")
"),"Hello everyone, I want to leave my feedback on this column.  I bought this console from M.Video as a set of 2 games Alan Wake and Forza Motorsport 3. The games themselves are in Russian (test only). As for the console, it looks nice, has good and quiet co"&amp;"oling, the wireless joystick on AA batteries works for quite a long time, the games don’t slow down, the graphics with an HDMI cable and an LCD or plasma TV are really impressive. The ability to connect flash drives, watch DVDs, about connecting to the In"&amp;"ternet, whose provider (Beeline in the old fashioned way Corbina Telecom) connects through another computer, I personally have the set-top box connected via WI-FI to the laptop and the laptop to the Internet. As for pirated discs, if someone decides to bu"&amp;"y and try to insert a pirated disc, or more precisely (a copy of a disc, or one downloaded from the Internet), then the console is automatically blocked and a BAN is issued, which will not allow in the future to play with other players via the Internet or"&amp;" download games, including free demos. The discs are really expensive, but there is a not entirely legal way to download licensed games from the official resource to your console and play without fear or risk and at 4 times cheaper than the declared cost.")</f>
        <v>Hello everyone, I want to leave my feedback on this column.  I bought this console from M.Video as a set of 2 games Alan Wake and Forza Motorsport 3. The games themselves are in Russian (test only). As for the console, it looks nice, has good and quiet cooling, the wireless joystick on AA batteries works for quite a long time, the games don’t slow down, the graphics with an HDMI cable and an LCD or plasma TV are really impressive. The ability to connect flash drives, watch DVDs, about connecting to the Internet, whose provider (Beeline in the old fashioned way Corbina Telecom) connects through another computer, I personally have the set-top box connected via WI-FI to the laptop and the laptop to the Internet. As for pirated discs, if someone decides to buy and try to insert a pirated disc, or more precisely (a copy of a disc, or one downloaded from the Internet), then the console is automatically blocked and a BAN is issued, which will not allow in the future to play with other players via the Internet or download games, including free demos. The discs are really expensive, but there is a not entirely legal way to download licensed games from the official resource to your console and play without fear or risk and at 4 times cheaper than the declared cost.</v>
      </c>
    </row>
    <row r="7061" spans="1:9" x14ac:dyDescent="0.3">
      <c r="A7061" s="1" t="s">
        <v>17</v>
      </c>
      <c r="B7061" s="1" t="s">
        <v>18</v>
      </c>
      <c r="C7061" s="1" t="s">
        <v>243</v>
      </c>
      <c r="D7061" s="1" t="s">
        <v>4136</v>
      </c>
      <c r="E7061" s="1" t="s">
        <v>9734</v>
      </c>
      <c r="F7061" s="1" t="s">
        <v>11004</v>
      </c>
      <c r="G7061" s="1" t="s">
        <v>36</v>
      </c>
      <c r="H7061" s="1" t="s">
        <v>29</v>
      </c>
      <c r="I7061" s="1" t="str">
        <f ca="1">IFERROR(__xludf.DUMMYFUNCTION("GOOGLETRANSLATE(F7061, ""auto"", ""en"")
"),"The machine is very good, it has been working for 5 years and no problems!!! I recommend it because it’s not expensive and washes well!")</f>
        <v>The machine is very good, it has been working for 5 years and no problems!!! I recommend it because it’s not expensive and washes well!</v>
      </c>
    </row>
    <row r="7062" spans="1:9" x14ac:dyDescent="0.3">
      <c r="A7062" s="1" t="s">
        <v>55</v>
      </c>
      <c r="B7062" s="1" t="s">
        <v>184</v>
      </c>
      <c r="C7062" s="1" t="s">
        <v>45</v>
      </c>
      <c r="D7062" s="1" t="s">
        <v>232</v>
      </c>
      <c r="E7062" s="1" t="s">
        <v>4306</v>
      </c>
      <c r="F7062" s="1" t="s">
        <v>11005</v>
      </c>
      <c r="G7062" s="1" t="s">
        <v>15</v>
      </c>
      <c r="H7062" s="1" t="s">
        <v>16</v>
      </c>
      <c r="I7062" s="1" t="str">
        <f ca="1">IFERROR(__xludf.DUMMYFUNCTION("GOOGLETRANSLATE(F7062, ""auto"", ""en"")
"),"Didn't last long, burned out.")</f>
        <v>Didn't last long, burned out.</v>
      </c>
    </row>
    <row r="7063" spans="1:9" x14ac:dyDescent="0.3">
      <c r="A7063" s="1" t="s">
        <v>120</v>
      </c>
      <c r="B7063" s="1" t="s">
        <v>121</v>
      </c>
      <c r="C7063" s="1" t="s">
        <v>80</v>
      </c>
      <c r="D7063" s="1" t="s">
        <v>11006</v>
      </c>
      <c r="E7063" s="1" t="s">
        <v>2627</v>
      </c>
      <c r="F7063" s="1" t="s">
        <v>11007</v>
      </c>
      <c r="G7063" s="1" t="s">
        <v>36</v>
      </c>
      <c r="H7063" s="1" t="s">
        <v>29</v>
      </c>
      <c r="I7063" s="1" t="str">
        <f ca="1">IFERROR(__xludf.DUMMYFUNCTION("GOOGLETRANSLATE(F7063, ""auto"", ""en"")
"),"Great TV, I unlocked the video in a minute.")</f>
        <v>Great TV, I unlocked the video in a minute.</v>
      </c>
    </row>
    <row r="7064" spans="1:9" x14ac:dyDescent="0.3">
      <c r="A7064" s="1" t="s">
        <v>149</v>
      </c>
      <c r="B7064" s="1" t="s">
        <v>576</v>
      </c>
      <c r="C7064" s="1" t="s">
        <v>151</v>
      </c>
      <c r="D7064" s="1" t="s">
        <v>11008</v>
      </c>
      <c r="E7064" s="1" t="s">
        <v>5800</v>
      </c>
      <c r="F7064" s="1" t="s">
        <v>11009</v>
      </c>
      <c r="G7064" s="1" t="s">
        <v>36</v>
      </c>
      <c r="H7064" s="1" t="s">
        <v>29</v>
      </c>
      <c r="I7064" s="1" t="str">
        <f ca="1">IFERROR(__xludf.DUMMYFUNCTION("GOOGLETRANSLATE(F7064, ""auto"", ""en"")
"),"I bought a similar vacuum cleaner back in 1995. Such vacuum cleaners had just appeared on the market. And it still works great. And the suction power has practically not decreased. True, the brush had to be replaced - it was worn out in 15 years. A wonder"&amp;"ful vacuum cleaner.")</f>
        <v>I bought a similar vacuum cleaner back in 1995. Such vacuum cleaners had just appeared on the market. And it still works great. And the suction power has practically not decreased. True, the brush had to be replaced - it was worn out in 15 years. A wonderful vacuum cleaner.</v>
      </c>
    </row>
    <row r="7065" spans="1:9" x14ac:dyDescent="0.3">
      <c r="A7065" s="1" t="s">
        <v>17</v>
      </c>
      <c r="B7065" s="1" t="s">
        <v>18</v>
      </c>
      <c r="C7065" s="1" t="s">
        <v>151</v>
      </c>
      <c r="D7065" s="1" t="s">
        <v>152</v>
      </c>
      <c r="E7065" s="1" t="s">
        <v>1470</v>
      </c>
      <c r="F7065" s="1" t="s">
        <v>11010</v>
      </c>
      <c r="G7065" s="1" t="s">
        <v>36</v>
      </c>
      <c r="H7065" s="1" t="s">
        <v>29</v>
      </c>
      <c r="I7065" s="1" t="str">
        <f ca="1">IFERROR(__xludf.DUMMYFUNCTION("GOOGLETRANSLATE(F7065, ""auto"", ""en"")
"),"Mom spent a long time choosing a washing machine after her old one, which had worked for 16 years, broke down! We tortured the consultant with questions! Thank him very much, he spent an hour explaining what and how! I didn’t want to take Samsung because "&amp;"it’s made in China and there’s an information window “where everything will be complicated, not clear, and in general.” In the end, we bought it, and everything turned out to be very, very simple! The ergonomics are excellent, it washes well, and in gener"&amp;"al everything is great! Thanks M-video!")</f>
        <v>Mom spent a long time choosing a washing machine after her old one, which had worked for 16 years, broke down! We tortured the consultant with questions! Thank him very much, he spent an hour explaining what and how! I didn’t want to take Samsung because it’s made in China and there’s an information window “where everything will be complicated, not clear, and in general.” In the end, we bought it, and everything turned out to be very, very simple! The ergonomics are excellent, it washes well, and in general everything is great! Thanks M-video!</v>
      </c>
    </row>
    <row r="7066" spans="1:9" x14ac:dyDescent="0.3">
      <c r="A7066" s="1" t="s">
        <v>37</v>
      </c>
      <c r="B7066" s="1" t="s">
        <v>536</v>
      </c>
      <c r="C7066" s="1" t="s">
        <v>537</v>
      </c>
      <c r="D7066" s="1" t="s">
        <v>5522</v>
      </c>
      <c r="E7066" s="1" t="s">
        <v>259</v>
      </c>
      <c r="F7066" s="1" t="s">
        <v>11011</v>
      </c>
      <c r="G7066" s="1" t="s">
        <v>36</v>
      </c>
      <c r="H7066" s="1" t="s">
        <v>29</v>
      </c>
      <c r="I7066" s="1" t="str">
        <f ca="1">IFERROR(__xludf.DUMMYFUNCTION("GOOGLETRANSLATE(F7066, ""auto"", ""en"")
"),"I've been using it for a year now, a couple of days ago a spot of dead pixels appeared. Overall the phone is excellent")</f>
        <v>I've been using it for a year now, a couple of days ago a spot of dead pixels appeared. Overall the phone is excellent</v>
      </c>
    </row>
    <row r="7067" spans="1:9" x14ac:dyDescent="0.3">
      <c r="A7067" s="1" t="s">
        <v>1443</v>
      </c>
      <c r="B7067" s="1" t="s">
        <v>1444</v>
      </c>
      <c r="C7067" s="1" t="s">
        <v>1489</v>
      </c>
      <c r="D7067" s="1" t="s">
        <v>64</v>
      </c>
      <c r="E7067" s="1" t="s">
        <v>3552</v>
      </c>
      <c r="F7067" s="1" t="s">
        <v>11012</v>
      </c>
      <c r="G7067" s="1" t="s">
        <v>36</v>
      </c>
      <c r="H7067" s="1" t="s">
        <v>29</v>
      </c>
      <c r="I7067" s="1" t="str">
        <f ca="1">IFERROR(__xludf.DUMMYFUNCTION("GOOGLETRANSLATE(F7067, ""auto"", ""en"")
"),"The advantages of this flash drive are its size and cost, the data transfer speed is generally good.")</f>
        <v>The advantages of this flash drive are its size and cost, the data transfer speed is generally good.</v>
      </c>
    </row>
    <row r="7068" spans="1:9" x14ac:dyDescent="0.3">
      <c r="A7068" s="1" t="s">
        <v>61</v>
      </c>
      <c r="B7068" s="1" t="s">
        <v>318</v>
      </c>
      <c r="C7068" s="1" t="s">
        <v>213</v>
      </c>
      <c r="D7068" s="1" t="s">
        <v>1744</v>
      </c>
      <c r="E7068" s="1" t="s">
        <v>2146</v>
      </c>
      <c r="F7068" s="1" t="s">
        <v>11013</v>
      </c>
      <c r="G7068" s="1" t="s">
        <v>28</v>
      </c>
      <c r="H7068" s="1" t="s">
        <v>29</v>
      </c>
      <c r="I7068" s="1" t="str">
        <f ca="1">IFERROR(__xludf.DUMMYFUNCTION("GOOGLETRANSLATE(F7068, ""auto"", ""en"")
"),"The kettle is not bad, but it’s not worthy of a five-star rating. It suddenly starts making noise. Before that there was Elenberg. Of course, it didn’t last that long - about a year and a half, but it worked quieter.")</f>
        <v>The kettle is not bad, but it’s not worthy of a five-star rating. It suddenly starts making noise. Before that there was Elenberg. Of course, it didn’t last that long - about a year and a half, but it worked quieter.</v>
      </c>
    </row>
    <row r="7069" spans="1:9" x14ac:dyDescent="0.3">
      <c r="A7069" s="1" t="s">
        <v>169</v>
      </c>
      <c r="B7069" s="1" t="s">
        <v>170</v>
      </c>
      <c r="C7069" s="1" t="s">
        <v>171</v>
      </c>
      <c r="D7069" s="1" t="s">
        <v>1776</v>
      </c>
      <c r="E7069" s="1" t="s">
        <v>1345</v>
      </c>
      <c r="F7069" s="1" t="s">
        <v>11014</v>
      </c>
      <c r="G7069" s="1" t="s">
        <v>28</v>
      </c>
      <c r="H7069" s="1" t="s">
        <v>29</v>
      </c>
      <c r="I7069" s="1" t="str">
        <f ca="1">IFERROR(__xludf.DUMMYFUNCTION("GOOGLETRANSLATE(F7069, ""auto"", ""en"")
"),"I bought it from M-Video 2 years ago.  They cut out external noise perfectly (you can easily get hit by a car or tram), but it takes getting used to the way you wear it.  Sturdy construction, bass.  Needs to be cleaned periodically.")</f>
        <v>I bought it from M-Video 2 years ago.  They cut out external noise perfectly (you can easily get hit by a car or tram), but it takes getting used to the way you wear it.  Sturdy construction, bass.  Needs to be cleaned periodically.</v>
      </c>
    </row>
    <row r="7070" spans="1:9" x14ac:dyDescent="0.3">
      <c r="A7070" s="1" t="s">
        <v>557</v>
      </c>
      <c r="B7070" s="1" t="s">
        <v>558</v>
      </c>
      <c r="C7070" s="1" t="s">
        <v>816</v>
      </c>
      <c r="D7070" s="1" t="s">
        <v>11015</v>
      </c>
      <c r="E7070" s="1" t="s">
        <v>954</v>
      </c>
      <c r="F7070" s="1" t="s">
        <v>11016</v>
      </c>
      <c r="G7070" s="1" t="s">
        <v>15</v>
      </c>
      <c r="H7070" s="1" t="s">
        <v>16</v>
      </c>
      <c r="I7070" s="1" t="str">
        <f ca="1">IFERROR(__xludf.DUMMYFUNCTION("GOOGLETRANSLATE(F7070, ""auto"", ""en"")
"),"I bought it a year ago.  Convenient, elementary, intuitive use, without problems.  BUT: immediately when dialing the number, it stopped dialing the first time; a year later, communication with the base began to disappear.  I don't recommend it.")</f>
        <v>I bought it a year ago.  Convenient, elementary, intuitive use, without problems.  BUT: immediately when dialing the number, it stopped dialing the first time; a year later, communication with the base began to disappear.  I don't recommend it.</v>
      </c>
    </row>
    <row r="7071" spans="1:9" x14ac:dyDescent="0.3">
      <c r="A7071" s="1" t="s">
        <v>61</v>
      </c>
      <c r="B7071" s="1" t="s">
        <v>145</v>
      </c>
      <c r="C7071" s="1" t="s">
        <v>246</v>
      </c>
      <c r="D7071" s="1" t="s">
        <v>247</v>
      </c>
      <c r="E7071" s="1" t="s">
        <v>1988</v>
      </c>
      <c r="F7071" s="1" t="s">
        <v>11017</v>
      </c>
      <c r="G7071" s="1" t="s">
        <v>28</v>
      </c>
      <c r="H7071" s="1" t="s">
        <v>29</v>
      </c>
      <c r="I7071" s="1" t="str">
        <f ca="1">IFERROR(__xludf.DUMMYFUNCTION("GOOGLETRANSLATE(F7071, ""auto"", ""en"")
"),"I doubt it very much... The heating element is quite large and after 15 minutes of cooking it begins to become exposed... what should I do? Can I use a steamer if the heating element is not completely immersed in water?")</f>
        <v>I doubt it very much... The heating element is quite large and after 15 minutes of cooking it begins to become exposed... what should I do? Can I use a steamer if the heating element is not completely immersed in water?</v>
      </c>
    </row>
    <row r="7072" spans="1:9" x14ac:dyDescent="0.3">
      <c r="A7072" s="1" t="s">
        <v>30</v>
      </c>
      <c r="B7072" s="1" t="s">
        <v>50</v>
      </c>
      <c r="C7072" s="1" t="s">
        <v>1003</v>
      </c>
      <c r="D7072" s="1" t="s">
        <v>102</v>
      </c>
      <c r="E7072" s="1" t="s">
        <v>427</v>
      </c>
      <c r="F7072" s="1" t="s">
        <v>11018</v>
      </c>
      <c r="G7072" s="1" t="s">
        <v>36</v>
      </c>
      <c r="H7072" s="1" t="s">
        <v>29</v>
      </c>
      <c r="I7072" s="1" t="str">
        <f ca="1">IFERROR(__xludf.DUMMYFUNCTION("GOOGLETRANSLATE(F7072, ""auto"", ""en"")
"),"Yesterday I bought this device, I’m very pleased, the laptop is made with high quality, I was pleased with the keyboard, although you’ll have to get used to the navigation keys, it’s a fairly fast machine for the money. The choice immediately fell on him,"&amp;" because... I didn't even consider other manufacturers. So far everything is just happy)))")</f>
        <v>Yesterday I bought this device, I’m very pleased, the laptop is made with high quality, I was pleased with the keyboard, although you’ll have to get used to the navigation keys, it’s a fairly fast machine for the money. The choice immediately fell on him, because... I didn't even consider other manufacturers. So far everything is just happy)))</v>
      </c>
    </row>
    <row r="7073" spans="1:9" x14ac:dyDescent="0.3">
      <c r="A7073" s="1" t="s">
        <v>30</v>
      </c>
      <c r="B7073" s="1" t="s">
        <v>31</v>
      </c>
      <c r="C7073" s="1" t="s">
        <v>32</v>
      </c>
      <c r="D7073" s="1" t="s">
        <v>114</v>
      </c>
      <c r="E7073" s="1" t="s">
        <v>6569</v>
      </c>
      <c r="F7073" s="1" t="s">
        <v>11019</v>
      </c>
      <c r="G7073" s="1" t="s">
        <v>36</v>
      </c>
      <c r="H7073" s="1" t="s">
        <v>29</v>
      </c>
      <c r="I7073" s="1" t="str">
        <f ca="1">IFERROR(__xludf.DUMMYFUNCTION("GOOGLETRANSLATE(F7073, ""auto"", ""en"")
"),"Hello. I want to ask, will the cs go game run on this PC, and if so, what are the requirements for the game. Thanks in advance.▶▶▶EXPERT ANSWER “M.VIDEO”◀◀◀Ivan, The system requirements of the games are presented on the manufacturer’s website, you can fam"&amp;"iliarize yourself with them and compare them with the characteristics of the c\block.")</f>
        <v>Hello. I want to ask, will the cs go game run on this PC, and if so, what are the requirements for the game. Thanks in advance.▶▶▶EXPERT ANSWER “M.VIDEO”◀◀◀Ivan, The system requirements of the games are presented on the manufacturer’s website, you can familiarize yourself with them and compare them with the characteristics of the c\block.</v>
      </c>
    </row>
    <row r="7074" spans="1:9" x14ac:dyDescent="0.3">
      <c r="A7074" s="1" t="s">
        <v>61</v>
      </c>
      <c r="B7074" s="1" t="s">
        <v>73</v>
      </c>
      <c r="C7074" s="1" t="s">
        <v>146</v>
      </c>
      <c r="D7074" s="1" t="s">
        <v>81</v>
      </c>
      <c r="E7074" s="1" t="s">
        <v>2680</v>
      </c>
      <c r="F7074" s="1" t="s">
        <v>11020</v>
      </c>
      <c r="G7074" s="1" t="s">
        <v>36</v>
      </c>
      <c r="H7074" s="1" t="s">
        <v>29</v>
      </c>
      <c r="I7074" s="1" t="str">
        <f ca="1">IFERROR(__xludf.DUMMYFUNCTION("GOOGLETRANSLATE(F7074, ""auto"", ""en"")
"),"I chose this meat grinder solely based on reviews, and I was not mistaken!!! To check, I bought 2 kg of beef with a bunch of stringy layers, as a result, minced meat in 2 minutes. Super 5+.")</f>
        <v>I chose this meat grinder solely based on reviews, and I was not mistaken!!! To check, I bought 2 kg of beef with a bunch of stringy layers, as a result, minced meat in 2 minutes. Super 5+.</v>
      </c>
    </row>
    <row r="7075" spans="1:9" x14ac:dyDescent="0.3">
      <c r="A7075" s="1" t="s">
        <v>61</v>
      </c>
      <c r="B7075" s="1" t="s">
        <v>224</v>
      </c>
      <c r="C7075" s="1" t="s">
        <v>63</v>
      </c>
      <c r="D7075" s="1" t="s">
        <v>633</v>
      </c>
      <c r="E7075" s="1" t="s">
        <v>2432</v>
      </c>
      <c r="F7075" s="1" t="s">
        <v>11021</v>
      </c>
      <c r="G7075" s="1" t="s">
        <v>49</v>
      </c>
      <c r="H7075" s="1" t="s">
        <v>16</v>
      </c>
      <c r="I7075" s="1" t="str">
        <f ca="1">IFERROR(__xludf.DUMMYFUNCTION("GOOGLETRANSLATE(F7075, ""auto"", ""en"")
"),"We bought it in December 2009. The seller advised us to take Bork, but to our misfortune, we decided to take a proven brand. It squeezes terribly. From 2 kilograms of apples you get 150 ml of juice and TWO glasses of foam. The mesh gets very clogged and n"&amp;"eeds to be washed frequently. According to the instructions, when squeezing hard products, you need to take a break every 40 seconds!!! This is nonsense! We wrote a statement to the store and returned it back (exchanged it for a bork). Ugh, I don’t recomm"&amp;"end it to anyone.")</f>
        <v>We bought it in December 2009. The seller advised us to take Bork, but to our misfortune, we decided to take a proven brand. It squeezes terribly. From 2 kilograms of apples you get 150 ml of juice and TWO glasses of foam. The mesh gets very clogged and needs to be washed frequently. According to the instructions, when squeezing hard products, you need to take a break every 40 seconds!!! This is nonsense! We wrote a statement to the store and returned it back (exchanged it for a bork). Ugh, I don’t recommend it to anyone.</v>
      </c>
    </row>
    <row r="7076" spans="1:9" x14ac:dyDescent="0.3">
      <c r="A7076" s="1" t="s">
        <v>211</v>
      </c>
      <c r="B7076" s="1" t="s">
        <v>212</v>
      </c>
      <c r="C7076" s="1" t="s">
        <v>63</v>
      </c>
      <c r="D7076" s="1" t="s">
        <v>64</v>
      </c>
      <c r="E7076" s="1" t="s">
        <v>7973</v>
      </c>
      <c r="F7076" s="1" t="s">
        <v>11022</v>
      </c>
      <c r="G7076" s="1" t="s">
        <v>49</v>
      </c>
      <c r="H7076" s="1" t="s">
        <v>16</v>
      </c>
      <c r="I7076" s="1" t="str">
        <f ca="1">IFERROR(__xludf.DUMMYFUNCTION("GOOGLETRANSLATE(F7076, ""auto"", ""en"")
"),"A year later, the hair dryer began to melt, and then a terrible thing happened - it burned half of my hair, so that it fell out, leaving a 2 cm hedgehog, and the rest of the hair was about 55 cm ((. The only thing is a convenient straightening attachment,"&amp;" I used it to style my bangs, but yesterday the hair dryer melted that too. So now I’m sitting and choosing a new hair dryer, obviously not the same one.")</f>
        <v>A year later, the hair dryer began to melt, and then a terrible thing happened - it burned half of my hair, so that it fell out, leaving a 2 cm hedgehog, and the rest of the hair was about 55 cm ((. The only thing is a convenient straightening attachment, I used it to style my bangs, but yesterday the hair dryer melted that too. So now I’m sitting and choosing a new hair dryer, obviously not the same one.</v>
      </c>
    </row>
    <row r="7077" spans="1:9" x14ac:dyDescent="0.3">
      <c r="A7077" s="1" t="s">
        <v>624</v>
      </c>
      <c r="B7077" s="1" t="s">
        <v>625</v>
      </c>
      <c r="C7077" s="1" t="s">
        <v>479</v>
      </c>
      <c r="D7077" s="1" t="s">
        <v>102</v>
      </c>
      <c r="E7077" s="1" t="s">
        <v>859</v>
      </c>
      <c r="F7077" s="1" t="s">
        <v>11023</v>
      </c>
      <c r="G7077" s="1" t="s">
        <v>15</v>
      </c>
      <c r="H7077" s="1" t="s">
        <v>16</v>
      </c>
      <c r="I7077" s="1" t="str">
        <f ca="1">IFERROR(__xludf.DUMMYFUNCTION("GOOGLETRANSLATE(F7077, ""auto"", ""en"")
"),"One of the first PS3 exclusives was a complete failure and received low ratings from gaming magazines around the world. A very boring and unoptimized game.  In addition, this is a waste of money, since the game is of very low quality, both in terms of int"&amp;"eresting plot and exciting gameplay.")</f>
        <v>One of the first PS3 exclusives was a complete failure and received low ratings from gaming magazines around the world. A very boring and unoptimized game.  In addition, this is a waste of money, since the game is of very low quality, both in terms of interesting plot and exciting gameplay.</v>
      </c>
    </row>
    <row r="7078" spans="1:9" x14ac:dyDescent="0.3">
      <c r="A7078" s="1" t="s">
        <v>120</v>
      </c>
      <c r="B7078" s="1" t="s">
        <v>256</v>
      </c>
      <c r="C7078" s="1" t="s">
        <v>151</v>
      </c>
      <c r="D7078" s="1" t="s">
        <v>11024</v>
      </c>
      <c r="E7078" s="1" t="s">
        <v>784</v>
      </c>
      <c r="F7078" s="1" t="s">
        <v>10558</v>
      </c>
      <c r="G7078" s="1" t="s">
        <v>36</v>
      </c>
      <c r="H7078" s="1" t="s">
        <v>29</v>
      </c>
      <c r="I7078" s="1" t="str">
        <f ca="1">IFERROR(__xludf.DUMMYFUNCTION("GOOGLETRANSLATE(F7078, ""auto"", ""en"")
"),"super!!!")</f>
        <v>super!!!</v>
      </c>
    </row>
    <row r="7079" spans="1:9" x14ac:dyDescent="0.3">
      <c r="A7079" s="1" t="s">
        <v>211</v>
      </c>
      <c r="B7079" s="1" t="s">
        <v>410</v>
      </c>
      <c r="C7079" s="1" t="s">
        <v>213</v>
      </c>
      <c r="D7079" s="1" t="s">
        <v>1520</v>
      </c>
      <c r="E7079" s="1" t="s">
        <v>1270</v>
      </c>
      <c r="F7079" s="1" t="s">
        <v>11025</v>
      </c>
      <c r="G7079" s="1" t="s">
        <v>49</v>
      </c>
      <c r="H7079" s="1" t="s">
        <v>16</v>
      </c>
      <c r="I7079" s="1" t="str">
        <f ca="1">IFERROR(__xludf.DUMMYFUNCTION("GOOGLETRANSLATE(F7079, ""auto"", ""en"")
"),"wasted my days!!! Doesn't shave at all!!! DON'T TAKE!!! And also a blade + mesh set for exactly the price of a razor...")</f>
        <v>wasted my days!!! Doesn't shave at all!!! DON'T TAKE!!! And also a blade + mesh set for exactly the price of a razor...</v>
      </c>
    </row>
    <row r="7080" spans="1:9" x14ac:dyDescent="0.3">
      <c r="A7080" s="1" t="s">
        <v>519</v>
      </c>
      <c r="B7080" s="1" t="s">
        <v>3088</v>
      </c>
      <c r="C7080" s="1" t="s">
        <v>246</v>
      </c>
      <c r="D7080" s="1" t="s">
        <v>81</v>
      </c>
      <c r="E7080" s="1" t="s">
        <v>540</v>
      </c>
      <c r="F7080" s="1" t="s">
        <v>11026</v>
      </c>
      <c r="G7080" s="1" t="s">
        <v>36</v>
      </c>
      <c r="H7080" s="1" t="s">
        <v>29</v>
      </c>
      <c r="I7080" s="1" t="str">
        <f ca="1">IFERROR(__xludf.DUMMYFUNCTION("GOOGLETRANSLATE(F7080, ""auto"", ""en"")
"),"I bought this set.  I really liked the set.  just the right size pans.  heating occurs evenly over the area, excellent stylish design, due to the transparency of the lid you can see how the food is being prepared.  I recommend it to everyone.")</f>
        <v>I bought this set.  I really liked the set.  just the right size pans.  heating occurs evenly over the area, excellent stylish design, due to the transparency of the lid you can see how the food is being prepared.  I recommend it to everyone.</v>
      </c>
    </row>
    <row r="7081" spans="1:9" x14ac:dyDescent="0.3">
      <c r="A7081" s="1" t="s">
        <v>120</v>
      </c>
      <c r="B7081" s="1" t="s">
        <v>126</v>
      </c>
      <c r="C7081" s="1" t="s">
        <v>80</v>
      </c>
      <c r="D7081" s="1" t="s">
        <v>152</v>
      </c>
      <c r="E7081" s="1" t="s">
        <v>5126</v>
      </c>
      <c r="F7081" s="1" t="s">
        <v>11027</v>
      </c>
      <c r="G7081" s="1" t="s">
        <v>36</v>
      </c>
      <c r="H7081" s="1" t="s">
        <v>29</v>
      </c>
      <c r="I7081" s="1" t="str">
        <f ca="1">IFERROR(__xludf.DUMMYFUNCTION("GOOGLETRANSLATE(F7081, ""auto"", ""en"")
"),"USB activation. We take any two ordinary red LEDs (not necessarily IR diodes), twist them parallel to each other with different poles, screw a wire to them, for those who like neatness, you can solder them, but not necessarily, and plug them into the outp"&amp;"ut of the amplifier, I connected them to computer speakers, to the plug going from the active speaker to the second speaker, instead.  The headphone output will not work; the power is not enough to drive ordinary diodes.  We bring the diodes to the TV, pl"&amp;"ay the file cyclically, which you will need to download from the forum (unfortunately I can’t give the link, the moderators will delete it), slowly selecting the volume, wait for the password prompt to appear on the screen, enter 0000 and we are in the EZ"&amp;" ADJUST menu. and then figure it out if you understand English.  This method works with ANY firmware; configured channels and other settings are not reset.  NEUCH ALEXANDER PGT AKHTYRSKY.  P/S This description is not entirely mine, but I used it and every"&amp;"thing worked, I just used one LED instead of 2. GOOD LUCK!!!")</f>
        <v>USB activation. We take any two ordinary red LEDs (not necessarily IR diodes), twist them parallel to each other with different poles, screw a wire to them, for those who like neatness, you can solder them, but not necessarily, and plug them into the output of the amplifier, I connected them to computer speakers, to the plug going from the active speaker to the second speaker, instead.  The headphone output will not work; the power is not enough to drive ordinary diodes.  We bring the diodes to the TV, play the file cyclically, which you will need to download from the forum (unfortunately I can’t give the link, the moderators will delete it), slowly selecting the volume, wait for the password prompt to appear on the screen, enter 0000 and we are in the EZ ADJUST menu. and then figure it out if you understand English.  This method works with ANY firmware; configured channels and other settings are not reset.  NEUCH ALEXANDER PGT AKHTYRSKY.  P/S This description is not entirely mine, but I used it and everything worked, I just used one LED instead of 2. GOOD LUCK!!!</v>
      </c>
    </row>
    <row r="7082" spans="1:9" x14ac:dyDescent="0.3">
      <c r="A7082" s="1" t="s">
        <v>55</v>
      </c>
      <c r="B7082" s="1" t="s">
        <v>184</v>
      </c>
      <c r="C7082" s="1" t="s">
        <v>101</v>
      </c>
      <c r="D7082" s="1" t="s">
        <v>11028</v>
      </c>
      <c r="E7082" s="1" t="s">
        <v>2921</v>
      </c>
      <c r="F7082" s="1" t="s">
        <v>11029</v>
      </c>
      <c r="G7082" s="1" t="s">
        <v>15</v>
      </c>
      <c r="H7082" s="1" t="s">
        <v>16</v>
      </c>
      <c r="I7082" s="1" t="str">
        <f ca="1">IFERROR(__xludf.DUMMYFUNCTION("GOOGLETRANSLATE(F7082, ""auto"", ""en"")
"),"I bought it 1.5 years ago and rarely used it. I turned it on, after a while the blades flew off the shaft, as it turned out after disassembling the blades were not secured to the shaft by anything. /p&gt;")</f>
        <v>I bought it 1.5 years ago and rarely used it. I turned it on, after a while the blades flew off the shaft, as it turned out after disassembling the blades were not secured to the shaft by anything. /p&gt;</v>
      </c>
    </row>
    <row r="7083" spans="1:9" x14ac:dyDescent="0.3">
      <c r="A7083" s="1" t="s">
        <v>61</v>
      </c>
      <c r="B7083" s="1" t="s">
        <v>145</v>
      </c>
      <c r="C7083" s="1" t="s">
        <v>74</v>
      </c>
      <c r="D7083" s="1" t="s">
        <v>295</v>
      </c>
      <c r="E7083" s="1" t="s">
        <v>11030</v>
      </c>
      <c r="F7083" s="1" t="s">
        <v>11031</v>
      </c>
      <c r="G7083" s="1" t="s">
        <v>36</v>
      </c>
      <c r="H7083" s="1" t="s">
        <v>29</v>
      </c>
      <c r="I7083" s="1" t="str">
        <f ca="1">IFERROR(__xludf.DUMMYFUNCTION("GOOGLETRANSLATE(F7083, ""auto"", ""en"")
"),"Comfortable, doesn't overheat")</f>
        <v>Comfortable, doesn't overheat</v>
      </c>
    </row>
    <row r="7084" spans="1:9" x14ac:dyDescent="0.3">
      <c r="A7084" s="1" t="s">
        <v>120</v>
      </c>
      <c r="B7084" s="1" t="s">
        <v>121</v>
      </c>
      <c r="C7084" s="1" t="s">
        <v>97</v>
      </c>
      <c r="D7084" s="1" t="s">
        <v>114</v>
      </c>
      <c r="E7084" s="1" t="s">
        <v>1510</v>
      </c>
      <c r="F7084" s="1" t="s">
        <v>11032</v>
      </c>
      <c r="G7084" s="1" t="s">
        <v>28</v>
      </c>
      <c r="H7084" s="1" t="s">
        <v>29</v>
      </c>
      <c r="I7084" s="1" t="str">
        <f ca="1">IFERROR(__xludf.DUMMYFUNCTION("GOOGLETRANSLATE(F7084, ""auto"", ""en"")
"),"A good TV with decent functionality. It easily reads video from a flash drive, there is a digital tuner, a fairly clear picture, and a clear menu. There are 4 minuses, the sound from the speakers is not very good, via hdmi with PS max. The resolution is 1"&amp;"280x1024, but with PC IN FullHD, there is no button to return to the previous channel, which is very annoying, since it was on the old one, and there is no picture in picture.")</f>
        <v>A good TV with decent functionality. It easily reads video from a flash drive, there is a digital tuner, a fairly clear picture, and a clear menu. There are 4 minuses, the sound from the speakers is not very good, via hdmi with PS max. The resolution is 1280x1024, but with PC IN FullHD, there is no button to return to the previous channel, which is very annoying, since it was on the old one, and there is no picture in picture.</v>
      </c>
    </row>
    <row r="7085" spans="1:9" x14ac:dyDescent="0.3">
      <c r="A7085" s="1" t="s">
        <v>61</v>
      </c>
      <c r="B7085" s="1" t="s">
        <v>318</v>
      </c>
      <c r="C7085" s="1" t="s">
        <v>69</v>
      </c>
      <c r="D7085" s="1" t="s">
        <v>75</v>
      </c>
      <c r="E7085" s="1" t="s">
        <v>9082</v>
      </c>
      <c r="F7085" s="1" t="s">
        <v>11033</v>
      </c>
      <c r="G7085" s="1" t="s">
        <v>36</v>
      </c>
      <c r="H7085" s="1" t="s">
        <v>29</v>
      </c>
      <c r="I7085" s="1" t="str">
        <f ca="1">IFERROR(__xludf.DUMMYFUNCTION("GOOGLETRANSLATE(F7085, ""auto"", ""en"")
"),"Everything ingenious is simple. We have been using kettles from this company for many years, they are already ugly, but they all work and it would be a shame to throw them away.")</f>
        <v>Everything ingenious is simple. We have been using kettles from this company for many years, they are already ugly, but they all work and it would be a shame to throw them away.</v>
      </c>
    </row>
    <row r="7086" spans="1:9" x14ac:dyDescent="0.3">
      <c r="A7086" s="1" t="s">
        <v>30</v>
      </c>
      <c r="B7086" s="1" t="s">
        <v>50</v>
      </c>
      <c r="C7086" s="1" t="s">
        <v>1003</v>
      </c>
      <c r="D7086" s="1" t="s">
        <v>411</v>
      </c>
      <c r="E7086" s="1" t="s">
        <v>832</v>
      </c>
      <c r="F7086" s="1" t="s">
        <v>11034</v>
      </c>
      <c r="G7086" s="1" t="s">
        <v>36</v>
      </c>
      <c r="H7086" s="1" t="s">
        <v>29</v>
      </c>
      <c r="I7086" s="1" t="str">
        <f ca="1">IFERROR(__xludf.DUMMYFUNCTION("GOOGLETRANSLATE(F7086, ""auto"", ""en"")
"),"I bought a laptop 2 months ago. Literally suits everything. Except of course the noise from the turbines when you play GTA4 for 3 hours. Regarding performance. Timings on RAM can be lowered with the OverDrive program. You can overclock your video card usi"&amp;"ng AMD GPU Clock Tools. My maximum frequencies are 601 for the core and 801 for the memory. This is enough for games to run at maximum settings. Overall I'm happy with the purchase.")</f>
        <v>I bought a laptop 2 months ago. Literally suits everything. Except of course the noise from the turbines when you play GTA4 for 3 hours. Regarding performance. Timings on RAM can be lowered with the OverDrive program. You can overclock your video card using AMD GPU Clock Tools. My maximum frequencies are 601 for the core and 801 for the memory. This is enough for games to run at maximum settings. Overall I'm happy with the purchase.</v>
      </c>
    </row>
    <row r="7087" spans="1:9" x14ac:dyDescent="0.3">
      <c r="A7087" s="1" t="s">
        <v>67</v>
      </c>
      <c r="B7087" s="1" t="s">
        <v>68</v>
      </c>
      <c r="C7087" s="1" t="s">
        <v>69</v>
      </c>
      <c r="D7087" s="1" t="s">
        <v>11035</v>
      </c>
      <c r="E7087" s="1" t="s">
        <v>6545</v>
      </c>
      <c r="F7087" s="1" t="s">
        <v>11036</v>
      </c>
      <c r="G7087" s="1" t="s">
        <v>36</v>
      </c>
      <c r="H7087" s="1" t="s">
        <v>29</v>
      </c>
      <c r="I7087" s="1" t="str">
        <f ca="1">IFERROR(__xludf.DUMMYFUNCTION("GOOGLETRANSLATE(F7087, ""auto"", ""en"")
"),"Long cord")</f>
        <v>Long cord</v>
      </c>
    </row>
    <row r="7088" spans="1:9" x14ac:dyDescent="0.3">
      <c r="A7088" s="1" t="s">
        <v>61</v>
      </c>
      <c r="B7088" s="1" t="s">
        <v>318</v>
      </c>
      <c r="C7088" s="1" t="s">
        <v>246</v>
      </c>
      <c r="D7088" s="1" t="s">
        <v>565</v>
      </c>
      <c r="E7088" s="1" t="s">
        <v>886</v>
      </c>
      <c r="F7088" s="1" t="s">
        <v>11037</v>
      </c>
      <c r="G7088" s="1" t="s">
        <v>36</v>
      </c>
      <c r="H7088" s="1" t="s">
        <v>29</v>
      </c>
      <c r="I7088" s="1" t="str">
        <f ca="1">IFERROR(__xludf.DUMMYFUNCTION("GOOGLETRANSLATE(F7088, ""auto"", ""en"")
"),"I have been using it since January 2011. I am satisfied. I chose it for its wonderful color (I have the same refrigerator), but I was pleased with everything.")</f>
        <v>I have been using it since January 2011. I am satisfied. I chose it for its wonderful color (I have the same refrigerator), but I was pleased with everything.</v>
      </c>
    </row>
    <row r="7089" spans="1:9" x14ac:dyDescent="0.3">
      <c r="A7089" s="1" t="s">
        <v>55</v>
      </c>
      <c r="B7089" s="1" t="s">
        <v>56</v>
      </c>
      <c r="C7089" s="1" t="s">
        <v>57</v>
      </c>
      <c r="D7089" s="1" t="s">
        <v>474</v>
      </c>
      <c r="E7089" s="1" t="s">
        <v>5561</v>
      </c>
      <c r="F7089" s="1" t="s">
        <v>11038</v>
      </c>
      <c r="G7089" s="1" t="s">
        <v>36</v>
      </c>
      <c r="H7089" s="1" t="s">
        <v>29</v>
      </c>
      <c r="I7089" s="1" t="str">
        <f ca="1">IFERROR(__xludf.DUMMYFUNCTION("GOOGLETRANSLATE(F7089, ""auto"", ""en"")
"),"Great moisturizer! I’ve had it for 4 years now, it moisturizes well, it’s easier to breathe, you can regulate the steam supply! But like any device you need to wash, wipe and clean, then it will serve for a long time and with high quality!!! Recommend!!!5"&amp;"+")</f>
        <v>Great moisturizer! I’ve had it for 4 years now, it moisturizes well, it’s easier to breathe, you can regulate the steam supply! But like any device you need to wash, wipe and clean, then it will serve for a long time and with high quality!!! Recommend!!!5+</v>
      </c>
    </row>
    <row r="7090" spans="1:9" x14ac:dyDescent="0.3">
      <c r="A7090" s="1" t="s">
        <v>61</v>
      </c>
      <c r="B7090" s="1" t="s">
        <v>224</v>
      </c>
      <c r="C7090" s="1" t="s">
        <v>74</v>
      </c>
      <c r="D7090" s="1" t="s">
        <v>6125</v>
      </c>
      <c r="E7090" s="1" t="s">
        <v>1201</v>
      </c>
      <c r="F7090" s="1" t="s">
        <v>11039</v>
      </c>
      <c r="G7090" s="1" t="s">
        <v>15</v>
      </c>
      <c r="H7090" s="1" t="s">
        <v>16</v>
      </c>
      <c r="I7090" s="1" t="str">
        <f ca="1">IFERROR(__xludf.DUMMYFUNCTION("GOOGLETRANSLATE(F7090, ""auto"", ""en"")
"),"After 2 weeks of use it started making noise and stopped working normally. It sounds like it has lost power and is now just humming.")</f>
        <v>After 2 weeks of use it started making noise and stopped working normally. It sounds like it has lost power and is now just humming.</v>
      </c>
    </row>
    <row r="7091" spans="1:9" x14ac:dyDescent="0.3">
      <c r="A7091" s="1" t="s">
        <v>149</v>
      </c>
      <c r="B7091" s="1" t="s">
        <v>155</v>
      </c>
      <c r="C7091" s="1" t="s">
        <v>151</v>
      </c>
      <c r="D7091" s="1" t="s">
        <v>64</v>
      </c>
      <c r="E7091" s="1" t="s">
        <v>454</v>
      </c>
      <c r="F7091" s="1" t="s">
        <v>11040</v>
      </c>
      <c r="G7091" s="1" t="s">
        <v>36</v>
      </c>
      <c r="H7091" s="1" t="s">
        <v>29</v>
      </c>
      <c r="I7091" s="1" t="str">
        <f ca="1">IFERROR(__xludf.DUMMYFUNCTION("GOOGLETRANSLATE(F7091, ""auto"", ""en"")
"),"Suction power, takes up little space")</f>
        <v>Suction power, takes up little space</v>
      </c>
    </row>
    <row r="7092" spans="1:9" x14ac:dyDescent="0.3">
      <c r="A7092" s="1" t="s">
        <v>811</v>
      </c>
      <c r="B7092" s="1" t="s">
        <v>4226</v>
      </c>
      <c r="C7092" s="1" t="s">
        <v>97</v>
      </c>
      <c r="D7092" s="1" t="s">
        <v>417</v>
      </c>
      <c r="E7092" s="1" t="s">
        <v>2459</v>
      </c>
      <c r="F7092" s="1" t="s">
        <v>11041</v>
      </c>
      <c r="G7092" s="1" t="s">
        <v>49</v>
      </c>
      <c r="H7092" s="1" t="s">
        <v>16</v>
      </c>
      <c r="I7092" s="1" t="str">
        <f ca="1">IFERROR(__xludf.DUMMYFUNCTION("GOOGLETRANSLATE(F7092, ""auto"", ""en"")
"),"price")</f>
        <v>price</v>
      </c>
    </row>
    <row r="7093" spans="1:9" x14ac:dyDescent="0.3">
      <c r="A7093" s="1" t="s">
        <v>149</v>
      </c>
      <c r="B7093" s="1" t="s">
        <v>576</v>
      </c>
      <c r="C7093" s="1" t="s">
        <v>69</v>
      </c>
      <c r="D7093" s="1" t="s">
        <v>417</v>
      </c>
      <c r="E7093" s="1" t="s">
        <v>11042</v>
      </c>
      <c r="F7093" s="1" t="s">
        <v>11043</v>
      </c>
      <c r="G7093" s="1" t="s">
        <v>36</v>
      </c>
      <c r="H7093" s="1" t="s">
        <v>29</v>
      </c>
      <c r="I7093" s="1" t="str">
        <f ca="1">IFERROR(__xludf.DUMMYFUNCTION("GOOGLETRANSLATE(F7093, ""auto"", ""en"")
"),"I bought a vacuum cleaner today and left only positive emotions. Very, very quiet. I didn’t even expect that a vacuum cleaner could work so quietly.  As it turned out, if you remove the hepa filter, then in the engine area there is sound insulation like i"&amp;"n cars. Very powerful, it almost lifts the linoleum off the floor at maximum power) It’s easy to change the bags, they’re expensive, but I’ve read reviews that say they last a long time. Time will show. In general, I recommend it to everyone, it’s a very "&amp;"cool vacuum cleaner.")</f>
        <v>I bought a vacuum cleaner today and left only positive emotions. Very, very quiet. I didn’t even expect that a vacuum cleaner could work so quietly.  As it turned out, if you remove the hepa filter, then in the engine area there is sound insulation like in cars. Very powerful, it almost lifts the linoleum off the floor at maximum power) It’s easy to change the bags, they’re expensive, but I’ve read reviews that say they last a long time. Time will show. In general, I recommend it to everyone, it’s a very cool vacuum cleaner.</v>
      </c>
    </row>
    <row r="7094" spans="1:9" x14ac:dyDescent="0.3">
      <c r="A7094" s="1" t="s">
        <v>149</v>
      </c>
      <c r="B7094" s="1" t="s">
        <v>155</v>
      </c>
      <c r="C7094" s="1" t="s">
        <v>159</v>
      </c>
      <c r="D7094" s="1" t="s">
        <v>1520</v>
      </c>
      <c r="E7094" s="1" t="s">
        <v>2684</v>
      </c>
      <c r="F7094" s="1" t="s">
        <v>11044</v>
      </c>
      <c r="G7094" s="1" t="s">
        <v>36</v>
      </c>
      <c r="H7094" s="1" t="s">
        <v>29</v>
      </c>
      <c r="I7094" s="1" t="str">
        <f ca="1">IFERROR(__xludf.DUMMYFUNCTION("GOOGLETRANSLATE(F7094, ""auto"", ""en"")
"),"Good evening.  I bought a vacuum cleaner on September 30, 2010, first tested it at home, the traction is very good, it works amazingly, and is easy to clean. True, there are 2 small drawbacks: the second lid is difficult to open, although this is not scar"&amp;"y, since the first one opens easily.")</f>
        <v>Good evening.  I bought a vacuum cleaner on September 30, 2010, first tested it at home, the traction is very good, it works amazingly, and is easy to clean. True, there are 2 small drawbacks: the second lid is difficult to open, although this is not scary, since the first one opens easily.</v>
      </c>
    </row>
    <row r="7095" spans="1:9" x14ac:dyDescent="0.3">
      <c r="A7095" s="1" t="s">
        <v>211</v>
      </c>
      <c r="B7095" s="1" t="s">
        <v>410</v>
      </c>
      <c r="C7095" s="1" t="s">
        <v>213</v>
      </c>
      <c r="D7095" s="1" t="s">
        <v>152</v>
      </c>
      <c r="E7095" s="1" t="s">
        <v>944</v>
      </c>
      <c r="F7095" s="1" t="s">
        <v>11045</v>
      </c>
      <c r="G7095" s="1" t="s">
        <v>36</v>
      </c>
      <c r="H7095" s="1" t="s">
        <v>29</v>
      </c>
      <c r="I7095" s="1" t="str">
        <f ca="1">IFERROR(__xludf.DUMMYFUNCTION("GOOGLETRANSLATE(F7095, ""auto"", ""en"")
"),"Simplicity and results")</f>
        <v>Simplicity and results</v>
      </c>
    </row>
    <row r="7096" spans="1:9" x14ac:dyDescent="0.3">
      <c r="A7096" s="1" t="s">
        <v>17</v>
      </c>
      <c r="B7096" s="1" t="s">
        <v>325</v>
      </c>
      <c r="C7096" s="1" t="s">
        <v>326</v>
      </c>
      <c r="D7096" s="1" t="s">
        <v>114</v>
      </c>
      <c r="E7096" s="1" t="s">
        <v>7990</v>
      </c>
      <c r="F7096" s="1" t="s">
        <v>11046</v>
      </c>
      <c r="G7096" s="1" t="s">
        <v>36</v>
      </c>
      <c r="H7096" s="1" t="s">
        <v>29</v>
      </c>
      <c r="I7096" s="1" t="str">
        <f ca="1">IFERROR(__xludf.DUMMYFUNCTION("GOOGLETRANSLATE(F7096, ""auto"", ""en"")
"),"The machine copes well with its main function. I immediately spat on the inlet hose, because it was designed strictly for thin Soviet-type goosenecks. It’s easier to drag water from a large bucket a couple of times. It is still difficult to judge the reli"&amp;"ability (the timing is not the same), but there are a couple of very important points: do not turn the timer counterclockwise (like turn it off quickly) - it will come up, and do not drive it without rest - the engine will burn out. 3-4 runs, and let it r"&amp;"est for at least half an hour. Don’t be lazy, study the manual (fortunately, there’s almost nothing to read there), where all the features of operation are in plain English.")</f>
        <v>The machine copes well with its main function. I immediately spat on the inlet hose, because it was designed strictly for thin Soviet-type goosenecks. It’s easier to drag water from a large bucket a couple of times. It is still difficult to judge the reliability (the timing is not the same), but there are a couple of very important points: do not turn the timer counterclockwise (like turn it off quickly) - it will come up, and do not drive it without rest - the engine will burn out. 3-4 runs, and let it rest for at least half an hour. Don’t be lazy, study the manual (fortunately, there’s almost nothing to read there), where all the features of operation are in plain English.</v>
      </c>
    </row>
    <row r="7097" spans="1:9" x14ac:dyDescent="0.3">
      <c r="A7097" s="1" t="s">
        <v>37</v>
      </c>
      <c r="B7097" s="1" t="s">
        <v>38</v>
      </c>
      <c r="C7097" s="1" t="s">
        <v>39</v>
      </c>
      <c r="D7097" s="1" t="s">
        <v>11047</v>
      </c>
      <c r="E7097" s="1" t="s">
        <v>1275</v>
      </c>
      <c r="F7097" s="1" t="s">
        <v>11048</v>
      </c>
      <c r="G7097" s="1" t="s">
        <v>36</v>
      </c>
      <c r="H7097" s="1" t="s">
        <v>29</v>
      </c>
      <c r="I7097" s="1" t="str">
        <f ca="1">IFERROR(__xludf.DUMMYFUNCTION("GOOGLETRANSLATE(F7097, ""auto"", ""en"")
"),"I didn’t regret that I bought this Sonierikson, on the contrary, I can’t part with it even for a second. Beautiful design, Camera, just lovely. MP3 player - AMAZING - a dream to dream about. In general, SUPERrrrr..... I recommend it to everyone!!!")</f>
        <v>I didn’t regret that I bought this Sonierikson, on the contrary, I can’t part with it even for a second. Beautiful design, Camera, just lovely. MP3 player - AMAZING - a dream to dream about. In general, SUPERrrrr..... I recommend it to everyone!!!</v>
      </c>
    </row>
    <row r="7098" spans="1:9" x14ac:dyDescent="0.3">
      <c r="A7098" s="1" t="s">
        <v>149</v>
      </c>
      <c r="B7098" s="1" t="s">
        <v>576</v>
      </c>
      <c r="C7098" s="1" t="s">
        <v>24</v>
      </c>
      <c r="D7098" s="1" t="s">
        <v>171</v>
      </c>
      <c r="E7098" s="1" t="s">
        <v>9010</v>
      </c>
      <c r="F7098" s="1" t="s">
        <v>11049</v>
      </c>
      <c r="G7098" s="1" t="s">
        <v>15</v>
      </c>
      <c r="H7098" s="1" t="s">
        <v>16</v>
      </c>
      <c r="I7098" s="1" t="str">
        <f ca="1">IFERROR(__xludf.DUMMYFUNCTION("GOOGLETRANSLATE(F7098, ""auto"", ""en"")
"),"Friends, who is planning to buy this vacuum cleaner, stop. The specification indicates a suction power of 220 W, which should please you, because... the size is decent. But there is no such power there. Even when you put your hand on the brush, you can’t "&amp;"feel the vacuum. Secondly, the cord is very short. I have to poke it three times in a one-room apartment. Be sure to pay attention when purchasing. After a year of operation, extraneous metallic sounds appeared in the engine, I was puzzled by the leisurel"&amp;"y purchase of a new one before this one died. And yet, he yells like crazy, the one who is vacuuming cannot even hear a strong shout from 5 meters away. Think before you buy.")</f>
        <v>Friends, who is planning to buy this vacuum cleaner, stop. The specification indicates a suction power of 220 W, which should please you, because... the size is decent. But there is no such power there. Even when you put your hand on the brush, you can’t feel the vacuum. Secondly, the cord is very short. I have to poke it three times in a one-room apartment. Be sure to pay attention when purchasing. After a year of operation, extraneous metallic sounds appeared in the engine, I was puzzled by the leisurely purchase of a new one before this one died. And yet, he yells like crazy, the one who is vacuuming cannot even hear a strong shout from 5 meters away. Think before you buy.</v>
      </c>
    </row>
    <row r="7099" spans="1:9" x14ac:dyDescent="0.3">
      <c r="A7099" s="1" t="s">
        <v>113</v>
      </c>
      <c r="B7099" s="1" t="s">
        <v>1251</v>
      </c>
      <c r="C7099" s="1" t="s">
        <v>2115</v>
      </c>
      <c r="D7099" s="1" t="s">
        <v>152</v>
      </c>
      <c r="E7099" s="1" t="s">
        <v>3472</v>
      </c>
      <c r="F7099" s="1" t="s">
        <v>11050</v>
      </c>
      <c r="G7099" s="1" t="s">
        <v>36</v>
      </c>
      <c r="H7099" s="1" t="s">
        <v>29</v>
      </c>
      <c r="I7099" s="1" t="str">
        <f ca="1">IFERROR(__xludf.DUMMYFUNCTION("GOOGLETRANSLATE(F7099, ""auto"", ""en"")
"),"I bought a camera with my last money and I’m very happy, I take pictures of everything, fortunately it’s very compact, I was very surprised when I looked at the quality on my computer, buy it, you won’t regret it, for that kind of money it’s just a godsen"&amp;"d!")</f>
        <v>I bought a camera with my last money and I’m very happy, I take pictures of everything, fortunately it’s very compact, I was very surprised when I looked at the quality on my computer, buy it, you won’t regret it, for that kind of money it’s just a godsend!</v>
      </c>
    </row>
    <row r="7100" spans="1:9" x14ac:dyDescent="0.3">
      <c r="A7100" s="1" t="s">
        <v>30</v>
      </c>
      <c r="B7100" s="1" t="s">
        <v>50</v>
      </c>
      <c r="C7100" s="1" t="s">
        <v>51</v>
      </c>
      <c r="D7100" s="1" t="s">
        <v>1431</v>
      </c>
      <c r="E7100" s="1" t="s">
        <v>824</v>
      </c>
      <c r="F7100" s="1" t="s">
        <v>11051</v>
      </c>
      <c r="G7100" s="1" t="s">
        <v>28</v>
      </c>
      <c r="H7100" s="1" t="s">
        <v>29</v>
      </c>
      <c r="I7100" s="1" t="str">
        <f ca="1">IFERROR(__xludf.DUMMYFUNCTION("GOOGLETRANSLATE(F7100, ""auto"", ""en"")
"),"The machine is excellent, the only problem is with the x64 bit system: the existing printer does not work and will not work. No x64 driver. Games: RE 5 runs smoothly on any settings.")</f>
        <v>The machine is excellent, the only problem is with the x64 bit system: the existing printer does not work and will not work. No x64 driver. Games: RE 5 runs smoothly on any settings.</v>
      </c>
    </row>
    <row r="7101" spans="1:9" x14ac:dyDescent="0.3">
      <c r="A7101" s="1" t="s">
        <v>557</v>
      </c>
      <c r="B7101" s="1" t="s">
        <v>1977</v>
      </c>
      <c r="C7101" s="1" t="s">
        <v>369</v>
      </c>
      <c r="D7101" s="1" t="s">
        <v>127</v>
      </c>
      <c r="E7101" s="1" t="s">
        <v>2845</v>
      </c>
      <c r="F7101" s="1" t="s">
        <v>11052</v>
      </c>
      <c r="G7101" s="1" t="s">
        <v>36</v>
      </c>
      <c r="H7101" s="1" t="s">
        <v>29</v>
      </c>
      <c r="I7101" s="1" t="str">
        <f ca="1">IFERROR(__xludf.DUMMYFUNCTION("GOOGLETRANSLATE(F7101, ""auto"", ""en"")
"),"The phone is great!  The characteristics do not indicate the following and most important: - works without batteries, from the phone. networks;  - shows the date;  - the handset cable is disconnected")</f>
        <v>The phone is great!  The characteristics do not indicate the following and most important: - works without batteries, from the phone. networks;  - shows the date;  - the handset cable is disconnected</v>
      </c>
    </row>
    <row r="7102" spans="1:9" x14ac:dyDescent="0.3">
      <c r="A7102" s="1" t="s">
        <v>105</v>
      </c>
      <c r="B7102" s="1" t="s">
        <v>106</v>
      </c>
      <c r="C7102" s="1" t="s">
        <v>97</v>
      </c>
      <c r="D7102" s="1" t="s">
        <v>1506</v>
      </c>
      <c r="E7102" s="1" t="s">
        <v>529</v>
      </c>
      <c r="F7102" s="1" t="s">
        <v>11053</v>
      </c>
      <c r="G7102" s="1" t="s">
        <v>36</v>
      </c>
      <c r="H7102" s="1" t="s">
        <v>29</v>
      </c>
      <c r="I7102" s="1" t="str">
        <f ca="1">IFERROR(__xludf.DUMMYFUNCTION("GOOGLETRANSLATE(F7102, ""auto"", ""en"")
"),"I purchased it about 2 months ago and couldn’t be happier. The sound quality is excellent, the controls are convenient, and you can record radio broadcasts.  It holds a charge well - I listen for about 2 hours every day, one charge lasts more than a week."&amp;"  The screen and back panel quickly got scuffed and scratched, but it's not that bad. In general, I recommend it to everyone!")</f>
        <v>I purchased it about 2 months ago and couldn’t be happier. The sound quality is excellent, the controls are convenient, and you can record radio broadcasts.  It holds a charge well - I listen for about 2 hours every day, one charge lasts more than a week.  The screen and back panel quickly got scuffed and scratched, but it's not that bad. In general, I recommend it to everyone!</v>
      </c>
    </row>
    <row r="7103" spans="1:9" x14ac:dyDescent="0.3">
      <c r="A7103" s="1" t="s">
        <v>113</v>
      </c>
      <c r="B7103" s="1" t="s">
        <v>1251</v>
      </c>
      <c r="C7103" s="1" t="s">
        <v>2115</v>
      </c>
      <c r="D7103" s="1" t="s">
        <v>11054</v>
      </c>
      <c r="E7103" s="1" t="s">
        <v>1576</v>
      </c>
      <c r="F7103" s="1" t="s">
        <v>11055</v>
      </c>
      <c r="G7103" s="1" t="s">
        <v>36</v>
      </c>
      <c r="H7103" s="1" t="s">
        <v>29</v>
      </c>
      <c r="I7103" s="1" t="str">
        <f ca="1">IFERROR(__xludf.DUMMYFUNCTION("GOOGLETRANSLATE(F7103, ""auto"", ""en"")
"),"I have L18. Good, inexpensive photo. Bright pictures, good video with sound, convenient menu. I'm satisfied!!!")</f>
        <v>I have L18. Good, inexpensive photo. Bright pictures, good video with sound, convenient menu. I'm satisfied!!!</v>
      </c>
    </row>
    <row r="7104" spans="1:9" x14ac:dyDescent="0.3">
      <c r="A7104" s="1" t="s">
        <v>120</v>
      </c>
      <c r="B7104" s="1" t="s">
        <v>126</v>
      </c>
      <c r="C7104" s="1" t="s">
        <v>151</v>
      </c>
      <c r="D7104" s="1" t="s">
        <v>2293</v>
      </c>
      <c r="E7104" s="1" t="s">
        <v>1190</v>
      </c>
      <c r="F7104" s="1" t="s">
        <v>11056</v>
      </c>
      <c r="G7104" s="1" t="s">
        <v>36</v>
      </c>
      <c r="H7104" s="1" t="s">
        <v>29</v>
      </c>
      <c r="I7104" s="1" t="str">
        <f ca="1">IFERROR(__xludf.DUMMYFUNCTION("GOOGLETRANSLATE(F7104, ""auto"", ""en"")
"),"plasma is normal! everything is buzzing! HDTV available.")</f>
        <v>plasma is normal! everything is buzzing! HDTV available.</v>
      </c>
    </row>
    <row r="7105" spans="1:9" x14ac:dyDescent="0.3">
      <c r="A7105" s="1" t="s">
        <v>30</v>
      </c>
      <c r="B7105" s="1" t="s">
        <v>50</v>
      </c>
      <c r="C7105" s="1" t="s">
        <v>1003</v>
      </c>
      <c r="D7105" s="1" t="s">
        <v>172</v>
      </c>
      <c r="E7105" s="1" t="s">
        <v>2011</v>
      </c>
      <c r="F7105" s="1" t="s">
        <v>11057</v>
      </c>
      <c r="G7105" s="1" t="s">
        <v>36</v>
      </c>
      <c r="H7105" s="1" t="s">
        <v>29</v>
      </c>
      <c r="I7105" s="1" t="str">
        <f ca="1">IFERROR(__xludf.DUMMYFUNCTION("GOOGLETRANSLATE(F7105, ""auto"", ""en"")
"),"The computer is good. But one thing is not clear - the specifications indicate that the RAM can be expanded to 4Gb, but there is only one memory slot...., and a 4 Gb memory module is somehow difficult to find.")</f>
        <v>The computer is good. But one thing is not clear - the specifications indicate that the RAM can be expanded to 4Gb, but there is only one memory slot...., and a 4 Gb memory module is somehow difficult to find.</v>
      </c>
    </row>
    <row r="7106" spans="1:9" x14ac:dyDescent="0.3">
      <c r="A7106" s="1" t="s">
        <v>61</v>
      </c>
      <c r="B7106" s="1" t="s">
        <v>977</v>
      </c>
      <c r="C7106" s="1" t="s">
        <v>213</v>
      </c>
      <c r="D7106" s="1" t="s">
        <v>247</v>
      </c>
      <c r="E7106" s="1" t="s">
        <v>2401</v>
      </c>
      <c r="F7106" s="1" t="s">
        <v>11058</v>
      </c>
      <c r="G7106" s="1" t="s">
        <v>36</v>
      </c>
      <c r="H7106" s="1" t="s">
        <v>29</v>
      </c>
      <c r="I7106" s="1" t="str">
        <f ca="1">IFERROR(__xludf.DUMMYFUNCTION("GOOGLETRANSLATE(F7106, ""auto"", ""en"")
"),"The blender is simply a delight, any cocktail, jam, mayonnaise in a few minutes!  He is not replaceable!")</f>
        <v>The blender is simply a delight, any cocktail, jam, mayonnaise in a few minutes!  He is not replaceable!</v>
      </c>
    </row>
    <row r="7107" spans="1:9" x14ac:dyDescent="0.3">
      <c r="A7107" s="1" t="s">
        <v>206</v>
      </c>
      <c r="B7107" s="1" t="s">
        <v>207</v>
      </c>
      <c r="C7107" s="1" t="s">
        <v>152</v>
      </c>
      <c r="D7107" s="1" t="s">
        <v>695</v>
      </c>
      <c r="E7107" s="1" t="s">
        <v>5119</v>
      </c>
      <c r="F7107" s="1" t="s">
        <v>11059</v>
      </c>
      <c r="G7107" s="1" t="s">
        <v>28</v>
      </c>
      <c r="H7107" s="1" t="s">
        <v>29</v>
      </c>
      <c r="I7107" s="1" t="str">
        <f ca="1">IFERROR(__xludf.DUMMYFUNCTION("GOOGLETRANSLATE(F7107, ""auto"", ""en"")
"),"The power is weak and it gets very hot! The quality looks good, the sound is pleasant, there is something to compare with.")</f>
        <v>The power is weak and it gets very hot! The quality looks good, the sound is pleasant, there is something to compare with.</v>
      </c>
    </row>
    <row r="7108" spans="1:9" x14ac:dyDescent="0.3">
      <c r="A7108" s="1" t="s">
        <v>61</v>
      </c>
      <c r="B7108" s="1" t="s">
        <v>73</v>
      </c>
      <c r="C7108" s="1" t="s">
        <v>63</v>
      </c>
      <c r="D7108" s="1" t="s">
        <v>11060</v>
      </c>
      <c r="E7108" s="1" t="s">
        <v>1905</v>
      </c>
      <c r="F7108" s="1" t="s">
        <v>11061</v>
      </c>
      <c r="G7108" s="1" t="s">
        <v>49</v>
      </c>
      <c r="H7108" s="1" t="s">
        <v>16</v>
      </c>
      <c r="I7108" s="1" t="str">
        <f ca="1">IFERROR(__xludf.DUMMYFUNCTION("GOOGLETRANSLATE(F7108, ""auto"", ""en"")
"),"Our meat grinder is a year old. The auger keeps breaking. If there is lard, then that’s it, it flies away. It's complete bullshit, they gave me so much money, but it's no use. I haven't seen anything worse. It barely grinds. It's better to get it cheaper,"&amp;" but it's worth it. And not this miracle in feathers. I do not recommend it to anyone!!!!!!!!!!!!")</f>
        <v>Our meat grinder is a year old. The auger keeps breaking. If there is lard, then that’s it, it flies away. It's complete bullshit, they gave me so much money, but it's no use. I haven't seen anything worse. It barely grinds. It's better to get it cheaper, but it's worth it. And not this miracle in feathers. I do not recommend it to anyone!!!!!!!!!!!!</v>
      </c>
    </row>
    <row r="7109" spans="1:9" x14ac:dyDescent="0.3">
      <c r="A7109" s="1" t="s">
        <v>61</v>
      </c>
      <c r="B7109" s="1" t="s">
        <v>73</v>
      </c>
      <c r="C7109" s="1" t="s">
        <v>314</v>
      </c>
      <c r="D7109" s="1" t="s">
        <v>247</v>
      </c>
      <c r="E7109" s="1" t="s">
        <v>8784</v>
      </c>
      <c r="F7109" s="1" t="s">
        <v>11062</v>
      </c>
      <c r="G7109" s="1" t="s">
        <v>36</v>
      </c>
      <c r="H7109" s="1" t="s">
        <v>29</v>
      </c>
      <c r="I7109" s="1" t="str">
        <f ca="1">IFERROR(__xludf.DUMMYFUNCTION("GOOGLETRANSLATE(F7109, ""auto"", ""en"")
"),"The meat grinder is excellent. Works quietly. The meat turns perfectly. I've been using it for a year now.")</f>
        <v>The meat grinder is excellent. Works quietly. The meat turns perfectly. I've been using it for a year now.</v>
      </c>
    </row>
    <row r="7110" spans="1:9" x14ac:dyDescent="0.3">
      <c r="A7110" s="1" t="s">
        <v>37</v>
      </c>
      <c r="B7110" s="1" t="s">
        <v>38</v>
      </c>
      <c r="C7110" s="1" t="s">
        <v>39</v>
      </c>
      <c r="D7110" s="1" t="s">
        <v>4546</v>
      </c>
      <c r="E7110" s="1" t="s">
        <v>26</v>
      </c>
      <c r="F7110" s="1" t="s">
        <v>11063</v>
      </c>
      <c r="G7110" s="1" t="s">
        <v>49</v>
      </c>
      <c r="H7110" s="1" t="s">
        <v>16</v>
      </c>
      <c r="I7110" s="1" t="str">
        <f ca="1">IFERROR(__xludf.DUMMYFUNCTION("GOOGLETRANSLATE(F7110, ""auto"", ""en"")
"),"The phone is not very good, it can be buggy, an iPhone is best")</f>
        <v>The phone is not very good, it can be buggy, an iPhone is best</v>
      </c>
    </row>
    <row r="7111" spans="1:9" x14ac:dyDescent="0.3">
      <c r="A7111" s="1" t="s">
        <v>30</v>
      </c>
      <c r="B7111" s="1" t="s">
        <v>50</v>
      </c>
      <c r="C7111" s="1" t="s">
        <v>51</v>
      </c>
      <c r="D7111" s="1" t="s">
        <v>5909</v>
      </c>
      <c r="E7111" s="1" t="s">
        <v>794</v>
      </c>
      <c r="F7111" s="1" t="s">
        <v>11064</v>
      </c>
      <c r="G7111" s="1" t="s">
        <v>36</v>
      </c>
      <c r="H7111" s="1" t="s">
        <v>29</v>
      </c>
      <c r="I7111" s="1" t="str">
        <f ca="1">IFERROR(__xludf.DUMMYFUNCTION("GOOGLETRANSLATE(F7111, ""auto"", ""en"")
"),"I bought it for 28,000. The laptop is quite powerful, the screen is quite large, I’ve never been upset in games! For that amount I recommend it! There are a couple of minor drawbacks, but that’s okay!")</f>
        <v>I bought it for 28,000. The laptop is quite powerful, the screen is quite large, I’ve never been upset in games! For that amount I recommend it! There are a couple of minor drawbacks, but that’s okay!</v>
      </c>
    </row>
    <row r="7112" spans="1:9" x14ac:dyDescent="0.3">
      <c r="A7112" s="1" t="s">
        <v>61</v>
      </c>
      <c r="B7112" s="1" t="s">
        <v>224</v>
      </c>
      <c r="C7112" s="1" t="s">
        <v>74</v>
      </c>
      <c r="D7112" s="1" t="s">
        <v>240</v>
      </c>
      <c r="E7112" s="1" t="s">
        <v>886</v>
      </c>
      <c r="F7112" s="1" t="s">
        <v>11065</v>
      </c>
      <c r="G7112" s="1" t="s">
        <v>28</v>
      </c>
      <c r="H7112" s="1" t="s">
        <v>29</v>
      </c>
      <c r="I7112" s="1" t="str">
        <f ca="1">IFERROR(__xludf.DUMMYFUNCTION("GOOGLETRANSLATE(F7112, ""auto"", ""en"")
"),"Yesterday I bought a juicer. In principle, not bad. Squeezes out tomato juice in a few seconds. It is easy to clean, and most importantly, it takes up little space.")</f>
        <v>Yesterday I bought a juicer. In principle, not bad. Squeezes out tomato juice in a few seconds. It is easy to clean, and most importantly, it takes up little space.</v>
      </c>
    </row>
    <row r="7113" spans="1:9" x14ac:dyDescent="0.3">
      <c r="A7113" s="1" t="s">
        <v>89</v>
      </c>
      <c r="B7113" s="1" t="s">
        <v>90</v>
      </c>
      <c r="C7113" s="1" t="s">
        <v>185</v>
      </c>
      <c r="D7113" s="1" t="s">
        <v>3525</v>
      </c>
      <c r="E7113" s="1" t="s">
        <v>6435</v>
      </c>
      <c r="F7113" s="1" t="s">
        <v>11066</v>
      </c>
      <c r="G7113" s="1" t="s">
        <v>36</v>
      </c>
      <c r="H7113" s="1" t="s">
        <v>29</v>
      </c>
      <c r="I7113" s="1" t="str">
        <f ca="1">IFERROR(__xludf.DUMMYFUNCTION("GOOGLETRANSLATE(F7113, ""auto"", ""en"")
"),"An excellent coffee grinder, according to the idea, there was a lot of choice in the store, which is why I settled on this model, just when I looked at the size of the tank to make it larger, I noticed in many brands a very pungent chemical smell of the p"&amp;"lastic itself came from, and I didn’t even notice that with Delonga, there was no smell there, so whoever thinks about health should think about it. De Longhi KG 40 Black - well done :)")</f>
        <v>An excellent coffee grinder, according to the idea, there was a lot of choice in the store, which is why I settled on this model, just when I looked at the size of the tank to make it larger, I noticed in many brands a very pungent chemical smell of the plastic itself came from, and I didn’t even notice that with Delonga, there was no smell there, so whoever thinks about health should think about it. De Longhi KG 40 Black - well done :)</v>
      </c>
    </row>
    <row r="7114" spans="1:9" x14ac:dyDescent="0.3">
      <c r="A7114" s="1" t="s">
        <v>811</v>
      </c>
      <c r="B7114" s="1" t="s">
        <v>812</v>
      </c>
      <c r="C7114" s="1" t="s">
        <v>813</v>
      </c>
      <c r="D7114" s="1" t="s">
        <v>568</v>
      </c>
      <c r="E7114" s="1" t="s">
        <v>3718</v>
      </c>
      <c r="F7114" s="1" t="s">
        <v>11067</v>
      </c>
      <c r="G7114" s="1" t="s">
        <v>49</v>
      </c>
      <c r="H7114" s="1" t="s">
        <v>16</v>
      </c>
      <c r="I7114" s="1" t="str">
        <f ca="1">IFERROR(__xludf.DUMMYFUNCTION("GOOGLETRANSLATE(F7114, ""auto"", ""en"")
"),"Disposable. If you want to buy a new one for every shoot, then buy it. The thread in the mount is plastic, 2 have already come out of standing, I used the tripod about 7 times. You shouldn’t skimp on this, it’s better to buy something more expensive, I’m "&amp;"already choosing a new one, this one is going to the dump.")</f>
        <v>Disposable. If you want to buy a new one for every shoot, then buy it. The thread in the mount is plastic, 2 have already come out of standing, I used the tripod about 7 times. You shouldn’t skimp on this, it’s better to buy something more expensive, I’m already choosing a new one, this one is going to the dump.</v>
      </c>
    </row>
    <row r="7115" spans="1:9" x14ac:dyDescent="0.3">
      <c r="A7115" s="1" t="s">
        <v>89</v>
      </c>
      <c r="B7115" s="1" t="s">
        <v>231</v>
      </c>
      <c r="C7115" s="1" t="s">
        <v>185</v>
      </c>
      <c r="D7115" s="1" t="s">
        <v>152</v>
      </c>
      <c r="E7115" s="1" t="s">
        <v>460</v>
      </c>
      <c r="F7115" s="1" t="s">
        <v>11068</v>
      </c>
      <c r="G7115" s="1" t="s">
        <v>36</v>
      </c>
      <c r="H7115" s="1" t="s">
        <v>29</v>
      </c>
      <c r="I7115" s="1" t="str">
        <f ca="1">IFERROR(__xludf.DUMMYFUNCTION("GOOGLETRANSLATE(F7115, ""auto"", ""en"")
"),"Good value for money. It took me a long time to choose and read reviews - I settled on this model. It does not require the constant purchase of cleaning products (as in other brands) due to the removable preparation unit, it is automatically washed and th"&amp;"e coffee is prepared tasty, aromatic and quickly. The same characteristics as models with electronic control and the price is captivating. Overall a great budget model!")</f>
        <v>Good value for money. It took me a long time to choose and read reviews - I settled on this model. It does not require the constant purchase of cleaning products (as in other brands) due to the removable preparation unit, it is automatically washed and the coffee is prepared tasty, aromatic and quickly. The same characteristics as models with electronic control and the price is captivating. Overall a great budget model!</v>
      </c>
    </row>
    <row r="7116" spans="1:9" x14ac:dyDescent="0.3">
      <c r="A7116" s="1" t="s">
        <v>17</v>
      </c>
      <c r="B7116" s="1" t="s">
        <v>18</v>
      </c>
      <c r="C7116" s="1" t="s">
        <v>19</v>
      </c>
      <c r="D7116" s="1" t="s">
        <v>2764</v>
      </c>
      <c r="E7116" s="1" t="s">
        <v>2769</v>
      </c>
      <c r="F7116" s="1" t="s">
        <v>11069</v>
      </c>
      <c r="G7116" s="1" t="s">
        <v>36</v>
      </c>
      <c r="H7116" s="1" t="s">
        <v>29</v>
      </c>
      <c r="I7116" s="1" t="str">
        <f ca="1">IFERROR(__xludf.DUMMYFUNCTION("GOOGLETRANSLATE(F7116, ""auto"", ""en"")
"),"I bought the machine in the summer, I’m very pleased with its performance, firstly, it washes perfectly, secondly, it’s very quiet, and thirdly, it’s the design, which, to be honest, was what won me over at the beginning. I have always recommended and sti"&amp;"ll recommend the Ariston technique to all my friends, it is a very practical technique. I recommend it, I really like it!")</f>
        <v>I bought the machine in the summer, I’m very pleased with its performance, firstly, it washes perfectly, secondly, it’s very quiet, and thirdly, it’s the design, which, to be honest, was what won me over at the beginning. I have always recommended and still recommend the Ariston technique to all my friends, it is a very practical technique. I recommend it, I really like it!</v>
      </c>
    </row>
    <row r="7117" spans="1:9" x14ac:dyDescent="0.3">
      <c r="A7117" s="1" t="s">
        <v>238</v>
      </c>
      <c r="B7117" s="1" t="s">
        <v>5666</v>
      </c>
      <c r="C7117" s="1" t="s">
        <v>240</v>
      </c>
      <c r="D7117" s="1" t="s">
        <v>11070</v>
      </c>
      <c r="E7117" s="1" t="s">
        <v>3835</v>
      </c>
      <c r="F7117" s="1" t="s">
        <v>11071</v>
      </c>
      <c r="G7117" s="1" t="s">
        <v>36</v>
      </c>
      <c r="H7117" s="1" t="s">
        <v>29</v>
      </c>
      <c r="I7117" s="1" t="str">
        <f ca="1">IFERROR(__xludf.DUMMYFUNCTION("GOOGLETRANSLATE(F7117, ""auto"", ""en"")
"),"It so happened that we always bring home local wine from our trips) And friends, knowing our strong love for this drink, constantly bring everything and bring us new bottles from different places. But these are not refrigerator magnets, wine needs to be s"&amp;"tored correctly and it has enough volume, even if you take 750 ml containers. This closet was a great purchase for us. And it seems like all the bottles are in sight, you can immediately see that someone’s gift is there or open a bottle from a certain cou"&amp;"ntry upon request of guests. But at the same time, they are in the right conditions so that the contents do not spoil!")</f>
        <v>It so happened that we always bring home local wine from our trips) And friends, knowing our strong love for this drink, constantly bring everything and bring us new bottles from different places. But these are not refrigerator magnets, wine needs to be stored correctly and it has enough volume, even if you take 750 ml containers. This closet was a great purchase for us. And it seems like all the bottles are in sight, you can immediately see that someone’s gift is there or open a bottle from a certain country upon request of guests. But at the same time, they are in the right conditions so that the contents do not spoil!</v>
      </c>
    </row>
    <row r="7118" spans="1:9" x14ac:dyDescent="0.3">
      <c r="A7118" s="1" t="s">
        <v>211</v>
      </c>
      <c r="B7118" s="1" t="s">
        <v>212</v>
      </c>
      <c r="C7118" s="1" t="s">
        <v>381</v>
      </c>
      <c r="D7118" s="1" t="s">
        <v>308</v>
      </c>
      <c r="E7118" s="1" t="s">
        <v>937</v>
      </c>
      <c r="F7118" s="1" t="s">
        <v>11072</v>
      </c>
      <c r="G7118" s="1" t="s">
        <v>49</v>
      </c>
      <c r="H7118" s="1" t="s">
        <v>16</v>
      </c>
      <c r="I7118" s="1" t="str">
        <f ca="1">IFERROR(__xludf.DUMMYFUNCTION("GOOGLETRANSLATE(F7118, ""auto"", ""en"")
"),"Convenient, beautiful, powerful, good for everyone, but its service life is short. Burned out without serving even a year :(")</f>
        <v>Convenient, beautiful, powerful, good for everyone, but its service life is short. Burned out without serving even a year :(</v>
      </c>
    </row>
    <row r="7119" spans="1:9" x14ac:dyDescent="0.3">
      <c r="A7119" s="1" t="s">
        <v>105</v>
      </c>
      <c r="B7119" s="1" t="s">
        <v>106</v>
      </c>
      <c r="C7119" s="1" t="s">
        <v>97</v>
      </c>
      <c r="D7119" s="1" t="s">
        <v>114</v>
      </c>
      <c r="E7119" s="1" t="s">
        <v>849</v>
      </c>
      <c r="F7119" s="1" t="s">
        <v>11073</v>
      </c>
      <c r="G7119" s="1" t="s">
        <v>36</v>
      </c>
      <c r="H7119" s="1" t="s">
        <v>29</v>
      </c>
      <c r="I7119" s="1" t="str">
        <f ca="1">IFERROR(__xludf.DUMMYFUNCTION("GOOGLETRANSLATE(F7119, ""auto"", ""en"")
"),"I bought it today, I like everything about it. The sound is excellent, (I bought headphones from Sony for 1150 rubles), convenient, charging does not take much time. I don't know about longevity, but so far I'm happy with the purchase.")</f>
        <v>I bought it today, I like everything about it. The sound is excellent, (I bought headphones from Sony for 1150 rubles), convenient, charging does not take much time. I don't know about longevity, but so far I'm happy with the purchase.</v>
      </c>
    </row>
    <row r="7120" spans="1:9" x14ac:dyDescent="0.3">
      <c r="A7120" s="1" t="s">
        <v>169</v>
      </c>
      <c r="B7120" s="1" t="s">
        <v>170</v>
      </c>
      <c r="C7120" s="1" t="s">
        <v>122</v>
      </c>
      <c r="D7120" s="1" t="s">
        <v>11074</v>
      </c>
      <c r="E7120" s="1" t="s">
        <v>11075</v>
      </c>
      <c r="F7120" s="1" t="s">
        <v>11076</v>
      </c>
      <c r="G7120" s="1" t="s">
        <v>36</v>
      </c>
      <c r="H7120" s="1" t="s">
        <v>29</v>
      </c>
      <c r="I7120" s="1" t="str">
        <f ca="1">IFERROR(__xludf.DUMMYFUNCTION("GOOGLETRANSLATE(F7120, ""auto"", ""en"")
"),"I don't like those. My head starts to hurt. But there are no others. I had to take these. The sound is excellent, clear, there is bass (I didn’t expect this from them). I listen to it on YP-U5 (old headphones died in the line of duty). Well, time will tel"&amp;"l about reliability (although the wiring is a bit flimsy).")</f>
        <v>I don't like those. My head starts to hurt. But there are no others. I had to take these. The sound is excellent, clear, there is bass (I didn’t expect this from them). I listen to it on YP-U5 (old headphones died in the line of duty). Well, time will tell about reliability (although the wiring is a bit flimsy).</v>
      </c>
    </row>
    <row r="7121" spans="1:9" x14ac:dyDescent="0.3">
      <c r="A7121" s="1" t="s">
        <v>89</v>
      </c>
      <c r="B7121" s="1" t="s">
        <v>1106</v>
      </c>
      <c r="C7121" s="1" t="s">
        <v>63</v>
      </c>
      <c r="D7121" s="1" t="s">
        <v>52</v>
      </c>
      <c r="E7121" s="1" t="s">
        <v>3560</v>
      </c>
      <c r="F7121" s="1" t="s">
        <v>11077</v>
      </c>
      <c r="G7121" s="1" t="s">
        <v>36</v>
      </c>
      <c r="H7121" s="1" t="s">
        <v>29</v>
      </c>
      <c r="I7121" s="1" t="str">
        <f ca="1">IFERROR(__xludf.DUMMYFUNCTION("GOOGLETRANSLATE(F7121, ""auto"", ""en"")
"),"The first coffee maker of this type. It makes excellent coffee, in my opinion. Without any unnecessary functions or other bells and whistles. The coffee turns out hot and strong (depending on how much coffee you pour, of course - at first I poured two tea"&amp;"spoons into 4 large cups - it didn’t turn out very well, but pouring 4 heaps - excellent, strong and aromatic coffee).  It should be noted that it is good, high-quality plastic. I consider replaceable filters a plus - it’s less hassle to wash and clean.")</f>
        <v>The first coffee maker of this type. It makes excellent coffee, in my opinion. Without any unnecessary functions or other bells and whistles. The coffee turns out hot and strong (depending on how much coffee you pour, of course - at first I poured two teaspoons into 4 large cups - it didn’t turn out very well, but pouring 4 heaps - excellent, strong and aromatic coffee).  It should be noted that it is good, high-quality plastic. I consider replaceable filters a plus - it’s less hassle to wash and clean.</v>
      </c>
    </row>
    <row r="7122" spans="1:9" x14ac:dyDescent="0.3">
      <c r="A7122" s="1" t="s">
        <v>149</v>
      </c>
      <c r="B7122" s="1" t="s">
        <v>150</v>
      </c>
      <c r="C7122" s="1" t="s">
        <v>151</v>
      </c>
      <c r="D7122" s="1" t="s">
        <v>75</v>
      </c>
      <c r="E7122" s="1" t="s">
        <v>11078</v>
      </c>
      <c r="F7122" s="1" t="s">
        <v>11079</v>
      </c>
      <c r="G7122" s="1" t="s">
        <v>36</v>
      </c>
      <c r="H7122" s="1" t="s">
        <v>29</v>
      </c>
      <c r="I7122" s="1" t="str">
        <f ca="1">IFERROR(__xludf.DUMMYFUNCTION("GOOGLETRANSLATE(F7122, ""auto"", ""en"")
"),"Let's start with the fact that I read the reviews here and decided to buy it. I bought this particular vacuum cleaner. I have no regrets: the vacuum cleaner is good. Of course it has its flaws, but nothing in the world is perfect. 3 weeks after purchase t"&amp;"he power remained the same. The result is obvious, or rather in the water =) It comes with several brushes, which is very good. If you don’t clean your house every day, then I think it won’t be difficult for you to spend a couple of minutes rinsing the co"&amp;"ntainer. Yes, it is big and heavy, but if you have an apartment, I don’t think this is a problem for you. He moves easily and softly. The filter (which is not in water) is washable, as indicated by the inscription on it and on the price tag in the store ("&amp;"although the same seller told us that we would have problems with it). Bottom line: price-quality, everything is good! I bought the chosen vacuum cleaner, and I don’t regret it.")</f>
        <v>Let's start with the fact that I read the reviews here and decided to buy it. I bought this particular vacuum cleaner. I have no regrets: the vacuum cleaner is good. Of course it has its flaws, but nothing in the world is perfect. 3 weeks after purchase the power remained the same. The result is obvious, or rather in the water =) It comes with several brushes, which is very good. If you don’t clean your house every day, then I think it won’t be difficult for you to spend a couple of minutes rinsing the container. Yes, it is big and heavy, but if you have an apartment, I don’t think this is a problem for you. He moves easily and softly. The filter (which is not in water) is washable, as indicated by the inscription on it and on the price tag in the store (although the same seller told us that we would have problems with it). Bottom line: price-quality, everything is good! I bought the chosen vacuum cleaner, and I don’t regret it.</v>
      </c>
    </row>
    <row r="7123" spans="1:9" x14ac:dyDescent="0.3">
      <c r="A7123" s="1" t="s">
        <v>61</v>
      </c>
      <c r="B7123" s="1" t="s">
        <v>224</v>
      </c>
      <c r="C7123" s="1" t="s">
        <v>314</v>
      </c>
      <c r="D7123" s="1" t="s">
        <v>11080</v>
      </c>
      <c r="E7123" s="1" t="s">
        <v>2240</v>
      </c>
      <c r="F7123" s="1" t="s">
        <v>11081</v>
      </c>
      <c r="G7123" s="1" t="s">
        <v>36</v>
      </c>
      <c r="H7123" s="1" t="s">
        <v>29</v>
      </c>
      <c r="I7123" s="1" t="str">
        <f ca="1">IFERROR(__xludf.DUMMYFUNCTION("GOOGLETRANSLATE(F7123, ""auto"", ""en"")
"),"Wonderful juicer! It has been working in my kitchen since 2009 and never fails. Serves two people without straining. Disassembles, assembles and washes in a matter of minutes. If you also take into account the price of this device, then there are simply a"&amp;"dvantages))")</f>
        <v>Wonderful juicer! It has been working in my kitchen since 2009 and never fails. Serves two people without straining. Disassembles, assembles and washes in a matter of minutes. If you also take into account the price of this device, then there are simply advantages))</v>
      </c>
    </row>
    <row r="7124" spans="1:9" x14ac:dyDescent="0.3">
      <c r="A7124" s="1" t="s">
        <v>37</v>
      </c>
      <c r="B7124" s="1" t="s">
        <v>38</v>
      </c>
      <c r="C7124" s="1" t="s">
        <v>39</v>
      </c>
      <c r="D7124" s="1" t="s">
        <v>807</v>
      </c>
      <c r="E7124" s="1" t="s">
        <v>3002</v>
      </c>
      <c r="F7124" s="1" t="s">
        <v>11082</v>
      </c>
      <c r="G7124" s="1" t="s">
        <v>36</v>
      </c>
      <c r="H7124" s="1" t="s">
        <v>29</v>
      </c>
      <c r="I7124" s="1" t="str">
        <f ca="1">IFERROR(__xludf.DUMMYFUNCTION("GOOGLETRANSLATE(F7124, ""auto"", ""en"")
"),"I bought it a month ago. The phone is excellent, the camera is super! Large and bright screen! No complaints about the assembly!! There are tons of programs and games on the internet! It feels very solid in the hand and looks great! I like it!")</f>
        <v>I bought it a month ago. The phone is excellent, the camera is super! Large and bright screen! No complaints about the assembly!! There are tons of programs and games on the internet! It feels very solid in the hand and looks great! I like it!</v>
      </c>
    </row>
    <row r="7125" spans="1:9" x14ac:dyDescent="0.3">
      <c r="A7125" s="1" t="s">
        <v>17</v>
      </c>
      <c r="B7125" s="1" t="s">
        <v>325</v>
      </c>
      <c r="C7125" s="1" t="s">
        <v>326</v>
      </c>
      <c r="D7125" s="1" t="s">
        <v>20</v>
      </c>
      <c r="E7125" s="1" t="s">
        <v>2948</v>
      </c>
      <c r="F7125" s="1" t="s">
        <v>11083</v>
      </c>
      <c r="G7125" s="1" t="s">
        <v>28</v>
      </c>
      <c r="H7125" s="1" t="s">
        <v>29</v>
      </c>
      <c r="I7125" s="1" t="str">
        <f ca="1">IFERROR(__xludf.DUMMYFUNCTION("GOOGLETRANSLATE(F7125, ""auto"", ""en"")
"),"This machine washed perfectly, until after three years of almost daily use it stopped... Completely (the engine makes a humming sound, but the activator does not spin, and when disassembled, the belt drive was in good condition. While the engine is hummin"&amp;"g, if the activator is manually moved, it will work, but when switching to reverse, it stops again, what happened is not clear). We used it as a second machine and rinsed in it. I didn’t even wash long winter down jackets! If the hose for draining the wat"&amp;"er is plugged, for example, with a wine stopper, then you can pour 10 liters more water (but I rarely did this, just when washing bulky items), I even washed sports shoes, 2 pairs of jeans at a time - everything is fine, BUT do not turn the timer in the o"&amp;"pposite direction! Most relay mechanisms are made of thin plastic!")</f>
        <v>This machine washed perfectly, until after three years of almost daily use it stopped... Completely (the engine makes a humming sound, but the activator does not spin, and when disassembled, the belt drive was in good condition. While the engine is humming, if the activator is manually moved, it will work, but when switching to reverse, it stops again, what happened is not clear). We used it as a second machine and rinsed in it. I didn’t even wash long winter down jackets! If the hose for draining the water is plugged, for example, with a wine stopper, then you can pour 10 liters more water (but I rarely did this, just when washing bulky items), I even washed sports shoes, 2 pairs of jeans at a time - everything is fine, BUT do not turn the timer in the opposite direction! Most relay mechanisms are made of thin plastic!</v>
      </c>
    </row>
    <row r="7126" spans="1:9" x14ac:dyDescent="0.3">
      <c r="A7126" s="1" t="s">
        <v>120</v>
      </c>
      <c r="B7126" s="1" t="s">
        <v>121</v>
      </c>
      <c r="C7126" s="1" t="s">
        <v>122</v>
      </c>
      <c r="D7126" s="1" t="s">
        <v>11084</v>
      </c>
      <c r="E7126" s="1" t="s">
        <v>2531</v>
      </c>
      <c r="F7126" s="1" t="s">
        <v>11085</v>
      </c>
      <c r="G7126" s="1" t="s">
        <v>36</v>
      </c>
      <c r="H7126" s="1" t="s">
        <v>29</v>
      </c>
      <c r="I7126" s="1" t="str">
        <f ca="1">IFERROR(__xludf.DUMMYFUNCTION("GOOGLETRANSLATE(F7126, ""auto"", ""en"")
"),"Great telly! Phillips is resting!")</f>
        <v>Great telly! Phillips is resting!</v>
      </c>
    </row>
    <row r="7127" spans="1:9" x14ac:dyDescent="0.3">
      <c r="A7127" s="1" t="s">
        <v>369</v>
      </c>
      <c r="B7127" s="1" t="s">
        <v>587</v>
      </c>
      <c r="C7127" s="1" t="s">
        <v>19</v>
      </c>
      <c r="D7127" s="1" t="s">
        <v>208</v>
      </c>
      <c r="E7127" s="1" t="s">
        <v>2746</v>
      </c>
      <c r="F7127" s="1" t="s">
        <v>11086</v>
      </c>
      <c r="G7127" s="1" t="s">
        <v>28</v>
      </c>
      <c r="H7127" s="1" t="s">
        <v>29</v>
      </c>
      <c r="I7127" s="1" t="str">
        <f ca="1">IFERROR(__xludf.DUMMYFUNCTION("GOOGLETRANSLATE(F7127, ""auto"", ""en"")
"),"I bought the stove 10 days ago. Everything is fine. Only when the grill is ignited does the fire constantly go out. If you hold it for a long time it still goes out. He transferred the box of matches to the grill. And there is no automatic ignition of the"&amp;" oven and grill...")</f>
        <v>I bought the stove 10 days ago. Everything is fine. Only when the grill is ignited does the fire constantly go out. If you hold it for a long time it still goes out. He transferred the box of matches to the grill. And there is no automatic ignition of the oven and grill...</v>
      </c>
    </row>
    <row r="7128" spans="1:9" x14ac:dyDescent="0.3">
      <c r="A7128" s="1" t="s">
        <v>37</v>
      </c>
      <c r="B7128" s="1" t="s">
        <v>38</v>
      </c>
      <c r="C7128" s="1" t="s">
        <v>151</v>
      </c>
      <c r="D7128" s="1" t="s">
        <v>11087</v>
      </c>
      <c r="E7128" s="1" t="s">
        <v>8735</v>
      </c>
      <c r="F7128" s="1" t="s">
        <v>11088</v>
      </c>
      <c r="G7128" s="1" t="s">
        <v>36</v>
      </c>
      <c r="H7128" s="1" t="s">
        <v>29</v>
      </c>
      <c r="I7128" s="1" t="str">
        <f ca="1">IFERROR(__xludf.DUMMYFUNCTION("GOOGLETRANSLATE(F7128, ""auto"", ""en"")
"),"Everything is super, simple, fast and the battery is powerful, but it’s expensive.")</f>
        <v>Everything is super, simple, fast and the battery is powerful, but it’s expensive.</v>
      </c>
    </row>
    <row r="7129" spans="1:9" x14ac:dyDescent="0.3">
      <c r="A7129" s="1" t="s">
        <v>169</v>
      </c>
      <c r="B7129" s="1" t="s">
        <v>170</v>
      </c>
      <c r="C7129" s="1" t="s">
        <v>122</v>
      </c>
      <c r="D7129" s="1" t="s">
        <v>1121</v>
      </c>
      <c r="E7129" s="1" t="s">
        <v>5013</v>
      </c>
      <c r="F7129" s="1" t="s">
        <v>11089</v>
      </c>
      <c r="G7129" s="1" t="s">
        <v>36</v>
      </c>
      <c r="H7129" s="1" t="s">
        <v>29</v>
      </c>
      <c r="I7129" s="1" t="str">
        <f ca="1">IFERROR(__xludf.DUMMYFUNCTION("GOOGLETRANSLATE(F7129, ""auto"", ""en"")
"),"I just bought it today, the sound is excellent, everything works fine, the pads are soft, albeit not very loud, but the bass is just a bomb. So take it, you won’t regret it!")</f>
        <v>I just bought it today, the sound is excellent, everything works fine, the pads are soft, albeit not very loud, but the bass is just a bomb. So take it, you won’t regret it!</v>
      </c>
    </row>
    <row r="7130" spans="1:9" x14ac:dyDescent="0.3">
      <c r="A7130" s="1" t="s">
        <v>282</v>
      </c>
      <c r="B7130" s="1" t="s">
        <v>283</v>
      </c>
      <c r="C7130" s="1" t="s">
        <v>284</v>
      </c>
      <c r="D7130" s="1" t="s">
        <v>11090</v>
      </c>
      <c r="E7130" s="1" t="s">
        <v>285</v>
      </c>
      <c r="F7130" s="1" t="s">
        <v>11091</v>
      </c>
      <c r="G7130" s="1" t="s">
        <v>28</v>
      </c>
      <c r="H7130" s="1" t="s">
        <v>29</v>
      </c>
      <c r="I7130" s="1" t="str">
        <f ca="1">IFERROR(__xludf.DUMMYFUNCTION("GOOGLETRANSLATE(F7130, ""auto"", ""en"")
"),"You can take a look. Doesn't bother me.")</f>
        <v>You can take a look. Doesn't bother me.</v>
      </c>
    </row>
    <row r="7131" spans="1:9" x14ac:dyDescent="0.3">
      <c r="A7131" s="1" t="s">
        <v>95</v>
      </c>
      <c r="B7131" s="1" t="s">
        <v>227</v>
      </c>
      <c r="C7131" s="1" t="s">
        <v>97</v>
      </c>
      <c r="D7131" s="1" t="s">
        <v>152</v>
      </c>
      <c r="E7131" s="1" t="s">
        <v>5653</v>
      </c>
      <c r="F7131" s="1" t="s">
        <v>11092</v>
      </c>
      <c r="G7131" s="1" t="s">
        <v>36</v>
      </c>
      <c r="H7131" s="1" t="s">
        <v>29</v>
      </c>
      <c r="I7131" s="1" t="str">
        <f ca="1">IFERROR(__xludf.DUMMYFUNCTION("GOOGLETRANSLATE(F7131, ""auto"", ""en"")
"),"I bought it for my son with the game Sports Festival. Found a side effect. I play tennis in the evening for 1 hour 2 times a week with weights on my hands. The result is 15 kilos in six months. I recommend it to everyone.")</f>
        <v>I bought it for my son with the game Sports Festival. Found a side effect. I play tennis in the evening for 1 hour 2 times a week with weights on my hands. The result is 15 kilos in six months. I recommend it to everyone.</v>
      </c>
    </row>
    <row r="7132" spans="1:9" x14ac:dyDescent="0.3">
      <c r="A7132" s="1" t="s">
        <v>149</v>
      </c>
      <c r="B7132" s="1" t="s">
        <v>150</v>
      </c>
      <c r="C7132" s="1" t="s">
        <v>57</v>
      </c>
      <c r="D7132" s="1" t="s">
        <v>86</v>
      </c>
      <c r="E7132" s="1" t="s">
        <v>11093</v>
      </c>
      <c r="F7132" s="1" t="s">
        <v>11094</v>
      </c>
      <c r="G7132" s="1" t="s">
        <v>36</v>
      </c>
      <c r="H7132" s="1" t="s">
        <v>29</v>
      </c>
      <c r="I7132" s="1" t="str">
        <f ca="1">IFERROR(__xludf.DUMMYFUNCTION("GOOGLETRANSLATE(F7132, ""auto"", ""en"")
"),"Compact, lots of attachments - overall I really liked it!")</f>
        <v>Compact, lots of attachments - overall I really liked it!</v>
      </c>
    </row>
    <row r="7133" spans="1:9" x14ac:dyDescent="0.3">
      <c r="A7133" s="1" t="s">
        <v>55</v>
      </c>
      <c r="B7133" s="1" t="s">
        <v>6412</v>
      </c>
      <c r="C7133" s="1" t="s">
        <v>57</v>
      </c>
      <c r="D7133" s="1" t="s">
        <v>52</v>
      </c>
      <c r="E7133" s="1" t="s">
        <v>3563</v>
      </c>
      <c r="F7133" s="1" t="s">
        <v>11095</v>
      </c>
      <c r="G7133" s="1" t="s">
        <v>36</v>
      </c>
      <c r="H7133" s="1" t="s">
        <v>29</v>
      </c>
      <c r="I7133" s="1" t="str">
        <f ca="1">IFERROR(__xludf.DUMMYFUNCTION("GOOGLETRANSLATE(F7133, ""auto"", ""en"")
"),"There was a slight smell when I first turned it on.")</f>
        <v>There was a slight smell when I first turned it on.</v>
      </c>
    </row>
    <row r="7134" spans="1:9" x14ac:dyDescent="0.3">
      <c r="A7134" s="1" t="s">
        <v>30</v>
      </c>
      <c r="B7134" s="1" t="s">
        <v>50</v>
      </c>
      <c r="C7134" s="1" t="s">
        <v>1003</v>
      </c>
      <c r="D7134" s="1" t="s">
        <v>11096</v>
      </c>
      <c r="E7134" s="1" t="s">
        <v>4728</v>
      </c>
      <c r="F7134" s="1" t="s">
        <v>11097</v>
      </c>
      <c r="G7134" s="1" t="s">
        <v>36</v>
      </c>
      <c r="H7134" s="1" t="s">
        <v>29</v>
      </c>
      <c r="I7134" s="1" t="str">
        <f ca="1">IFERROR(__xludf.DUMMYFUNCTION("GOOGLETRANSLATE(F7134, ""auto"", ""en"")
"),"Excellent choice - I recommend it to everyone. Original design, highest quality, powerful filling - that's what I got by purchasing this friend...")</f>
        <v>Excellent choice - I recommend it to everyone. Original design, highest quality, powerful filling - that's what I got by purchasing this friend...</v>
      </c>
    </row>
    <row r="7135" spans="1:9" x14ac:dyDescent="0.3">
      <c r="A7135" s="1" t="s">
        <v>43</v>
      </c>
      <c r="B7135" s="1" t="s">
        <v>1370</v>
      </c>
      <c r="C7135" s="1" t="s">
        <v>304</v>
      </c>
      <c r="D7135" s="1" t="s">
        <v>1659</v>
      </c>
      <c r="E7135" s="1" t="s">
        <v>8352</v>
      </c>
      <c r="F7135" s="1" t="s">
        <v>11098</v>
      </c>
      <c r="G7135" s="1" t="s">
        <v>28</v>
      </c>
      <c r="H7135" s="1" t="s">
        <v>29</v>
      </c>
      <c r="I7135" s="1" t="str">
        <f ca="1">IFERROR(__xludf.DUMMYFUNCTION("GOOGLETRANSLATE(F7135, ""auto"", ""en"")
"),"Hello everyone, I want to leave a good review for this device. Firstly, the price already says a lot, the consumption of water and electricity for an instantaneous water heater is low, and most importantly, install the device directly to the wall, otherwi"&amp;"se I burned the first one by placing it horizontally.  Now I use it on days when the hot water is turned off. It’s definitely more profitable to use the device than to heat pots!")</f>
        <v>Hello everyone, I want to leave a good review for this device. Firstly, the price already says a lot, the consumption of water and electricity for an instantaneous water heater is low, and most importantly, install the device directly to the wall, otherwise I burned the first one by placing it horizontally.  Now I use it on days when the hot water is turned off. It’s definitely more profitable to use the device than to heat pots!</v>
      </c>
    </row>
    <row r="7136" spans="1:9" x14ac:dyDescent="0.3">
      <c r="A7136" s="1" t="s">
        <v>67</v>
      </c>
      <c r="B7136" s="1" t="s">
        <v>68</v>
      </c>
      <c r="C7136" s="1" t="s">
        <v>246</v>
      </c>
      <c r="D7136" s="1" t="s">
        <v>308</v>
      </c>
      <c r="E7136" s="1" t="s">
        <v>1586</v>
      </c>
      <c r="F7136" s="1" t="s">
        <v>11099</v>
      </c>
      <c r="G7136" s="1" t="s">
        <v>36</v>
      </c>
      <c r="H7136" s="1" t="s">
        <v>29</v>
      </c>
      <c r="I7136" s="1" t="str">
        <f ca="1">IFERROR(__xludf.DUMMYFUNCTION("GOOGLETRANSLATE(F7136, ""auto"", ""en"")
"),"I recently bought this iron for my parents because the old one had died. I’m a fan of the Tefal brand; I have an iron of this brand right next to my house (albeit a different model, cheaper). My only regret is that I didn’t wait a little and didn’t get ca"&amp;"ught up in the promotion.  The iron is very comfortable, excellent build quality, irons perfectly, excellent vertical steaming. The parents are delighted, as am I, after petting them a couple of times, too. Now I’m thinking about buying the same model for"&amp;" my husband’s parents while there’s a discount.  I recommend it to everyone. Perhaps, when I need a new iron, I’ll take this particular model if I don’t find anything better.")</f>
        <v>I recently bought this iron for my parents because the old one had died. I’m a fan of the Tefal brand; I have an iron of this brand right next to my house (albeit a different model, cheaper). My only regret is that I didn’t wait a little and didn’t get caught up in the promotion.  The iron is very comfortable, excellent build quality, irons perfectly, excellent vertical steaming. The parents are delighted, as am I, after petting them a couple of times, too. Now I’m thinking about buying the same model for my husband’s parents while there’s a discount.  I recommend it to everyone. Perhaps, when I need a new iron, I’ll take this particular model if I don’t find anything better.</v>
      </c>
    </row>
    <row r="7137" spans="1:9" x14ac:dyDescent="0.3">
      <c r="A7137" s="1" t="s">
        <v>17</v>
      </c>
      <c r="B7137" s="1" t="s">
        <v>18</v>
      </c>
      <c r="C7137" s="1" t="s">
        <v>243</v>
      </c>
      <c r="D7137" s="1" t="s">
        <v>1681</v>
      </c>
      <c r="E7137" s="1" t="s">
        <v>3987</v>
      </c>
      <c r="F7137" s="1" t="s">
        <v>11100</v>
      </c>
      <c r="G7137" s="1" t="s">
        <v>36</v>
      </c>
      <c r="H7137" s="1" t="s">
        <v>29</v>
      </c>
      <c r="I7137" s="1" t="str">
        <f ca="1">IFERROR(__xludf.DUMMYFUNCTION("GOOGLETRANSLATE(F7137, ""auto"", ""en"")
"),"Narrow, economical wash mode, delayed start")</f>
        <v>Narrow, economical wash mode, delayed start</v>
      </c>
    </row>
    <row r="7138" spans="1:9" x14ac:dyDescent="0.3">
      <c r="A7138" s="1" t="s">
        <v>61</v>
      </c>
      <c r="B7138" s="1" t="s">
        <v>73</v>
      </c>
      <c r="C7138" s="1" t="s">
        <v>146</v>
      </c>
      <c r="D7138" s="1" t="s">
        <v>968</v>
      </c>
      <c r="E7138" s="1" t="s">
        <v>5554</v>
      </c>
      <c r="F7138" s="1" t="s">
        <v>11101</v>
      </c>
      <c r="G7138" s="1" t="s">
        <v>36</v>
      </c>
      <c r="H7138" s="1" t="s">
        <v>29</v>
      </c>
      <c r="I7138" s="1" t="str">
        <f ca="1">IFERROR(__xludf.DUMMYFUNCTION("GOOGLETRANSLATE(F7138, ""auto"", ""en"")
"),"I bought it as a gift for my mother, and when choosing it, I paid attention to the metal body and the sufficiently large output of minced meat per minute, as well as the powerful auger. Mom is happy.")</f>
        <v>I bought it as a gift for my mother, and when choosing it, I paid attention to the metal body and the sufficiently large output of minced meat per minute, as well as the powerful auger. Mom is happy.</v>
      </c>
    </row>
    <row r="7139" spans="1:9" x14ac:dyDescent="0.3">
      <c r="A7139" s="1" t="s">
        <v>17</v>
      </c>
      <c r="B7139" s="1" t="s">
        <v>18</v>
      </c>
      <c r="C7139" s="1" t="s">
        <v>243</v>
      </c>
      <c r="D7139" s="1" t="s">
        <v>1055</v>
      </c>
      <c r="E7139" s="1" t="s">
        <v>11102</v>
      </c>
      <c r="F7139" s="1" t="s">
        <v>11103</v>
      </c>
      <c r="G7139" s="1" t="s">
        <v>36</v>
      </c>
      <c r="H7139" s="1" t="s">
        <v>29</v>
      </c>
      <c r="I7139" s="1" t="str">
        <f ca="1">IFERROR(__xludf.DUMMYFUNCTION("GOOGLETRANSLATE(F7139, ""auto"", ""en"")
"),"We purchased the washing machine in February 2010, unfortunately in September of this year it broke down, the problem turned out to be in the drum. :( But the machine was just great! During the period of operation, it washed two children, sometimes it wor"&amp;"ked 3 or 4 times a day! All program modes washed well! It lasted for about three years. And now we bought the same one!")</f>
        <v>We purchased the washing machine in February 2010, unfortunately in September of this year it broke down, the problem turned out to be in the drum. :( But the machine was just great! During the period of operation, it washed two children, sometimes it worked 3 or 4 times a day! All program modes washed well! It lasted for about three years. And now we bought the same one!</v>
      </c>
    </row>
    <row r="7140" spans="1:9" x14ac:dyDescent="0.3">
      <c r="A7140" s="1" t="s">
        <v>9</v>
      </c>
      <c r="B7140" s="1" t="s">
        <v>23</v>
      </c>
      <c r="C7140" s="1" t="s">
        <v>466</v>
      </c>
      <c r="D7140" s="1" t="s">
        <v>52</v>
      </c>
      <c r="E7140" s="1" t="s">
        <v>1467</v>
      </c>
      <c r="F7140" s="1" t="s">
        <v>11104</v>
      </c>
      <c r="G7140" s="1" t="s">
        <v>49</v>
      </c>
      <c r="H7140" s="1" t="s">
        <v>16</v>
      </c>
      <c r="I7140" s="1" t="str">
        <f ca="1">IFERROR(__xludf.DUMMYFUNCTION("GOOGLETRANSLATE(F7140, ""auto"", ""en"")
"),"There is no worse car, it washes very poorly and makes constant mistakes. It also worked for friends for 2 months and turned into torture - service center - kitchen - service center. I had to buy a new one.")</f>
        <v>There is no worse car, it washes very poorly and makes constant mistakes. It also worked for friends for 2 months and turned into torture - service center - kitchen - service center. I had to buy a new one.</v>
      </c>
    </row>
    <row r="7141" spans="1:9" x14ac:dyDescent="0.3">
      <c r="A7141" s="1" t="s">
        <v>206</v>
      </c>
      <c r="B7141" s="1" t="s">
        <v>1349</v>
      </c>
      <c r="C7141" s="1" t="s">
        <v>262</v>
      </c>
      <c r="D7141" s="1" t="s">
        <v>11105</v>
      </c>
      <c r="E7141" s="1" t="s">
        <v>2323</v>
      </c>
      <c r="F7141" s="1" t="s">
        <v>11106</v>
      </c>
      <c r="G7141" s="1" t="s">
        <v>49</v>
      </c>
      <c r="H7141" s="1" t="s">
        <v>16</v>
      </c>
      <c r="I7141" s="1" t="str">
        <f ca="1">IFERROR(__xludf.DUMMYFUNCTION("GOOGLETRANSLATE(F7141, ""auto"", ""en"")
"),"I bought this device... I bought it for the ""no problem exchange"" promotion in addition to the navigator, so that the receipt would be no less than the previous one. I didn’t look closely at it... when I looked closer, it was terrible. Sound: I complete"&amp;"ly agree with other people’s reviews, that it’s like they put a tape recorder in the toilet. There are no mid frequencies at all. After much adjustment of the equalizers, it’s a little better, but still not great.  But this is not the worst thing. Panel! "&amp;"The buttons are oak, you need to press hard until you hear a characteristic click, there is a small knob for the volume, it’s a bit awkward to remove and insert the panel. Dubye.  And then there were joys: a couple of times in one day, when installing the"&amp;" panel, the volume was turned up to full. The effect of surprise + subwoofer with amplification almost stopped my heart. One time all the settings on the radio were lost. I had to fill it out again. Which is also not good.  Well, it would be dishonest not"&amp;" to mention the advantages: it reads everything in the world: both in formats and in the quality of the surface of the discs (in the store they played a disc on it that was treated with a grinding machine, it was so scratched); The USB for the flash drive"&amp;" is not on the front panel, but in the form of a cord is output to the glove compartment, which is very convenient; small TV with the ability to connect a rear view camera.  In general, this model especially is for lovers of all-format bells and whistles "&amp;"and all-in-one combines, but not for music lovers with absolute pitch...")</f>
        <v>I bought this device... I bought it for the "no problem exchange" promotion in addition to the navigator, so that the receipt would be no less than the previous one. I didn’t look closely at it... when I looked closer, it was terrible. Sound: I completely agree with other people’s reviews, that it’s like they put a tape recorder in the toilet. There are no mid frequencies at all. After much adjustment of the equalizers, it’s a little better, but still not great.  But this is not the worst thing. Panel! The buttons are oak, you need to press hard until you hear a characteristic click, there is a small knob for the volume, it’s a bit awkward to remove and insert the panel. Dubye.  And then there were joys: a couple of times in one day, when installing the panel, the volume was turned up to full. The effect of surprise + subwoofer with amplification almost stopped my heart. One time all the settings on the radio were lost. I had to fill it out again. Which is also not good.  Well, it would be dishonest not to mention the advantages: it reads everything in the world: both in formats and in the quality of the surface of the discs (in the store they played a disc on it that was treated with a grinding machine, it was so scratched); The USB for the flash drive is not on the front panel, but in the form of a cord is output to the glove compartment, which is very convenient; small TV with the ability to connect a rear view camera.  In general, this model especially is for lovers of all-format bells and whistles and all-in-one combines, but not for music lovers with absolute pitch...</v>
      </c>
    </row>
    <row r="7142" spans="1:9" x14ac:dyDescent="0.3">
      <c r="A7142" s="1" t="s">
        <v>211</v>
      </c>
      <c r="B7142" s="1" t="s">
        <v>410</v>
      </c>
      <c r="C7142" s="1" t="s">
        <v>213</v>
      </c>
      <c r="D7142" s="1" t="s">
        <v>327</v>
      </c>
      <c r="E7142" s="1" t="s">
        <v>7190</v>
      </c>
      <c r="F7142" s="1" t="s">
        <v>11107</v>
      </c>
      <c r="G7142" s="1" t="s">
        <v>15</v>
      </c>
      <c r="H7142" s="1" t="s">
        <v>16</v>
      </c>
      <c r="I7142" s="1" t="str">
        <f ca="1">IFERROR(__xludf.DUMMYFUNCTION("GOOGLETRANSLATE(F7142, ""auto"", ""en"")
"),"I bought it as a gift, the recipient was dissatisfied due to severe irritation... But the razor is expensive...")</f>
        <v>I bought it as a gift, the recipient was dissatisfied due to severe irritation... But the razor is expensive...</v>
      </c>
    </row>
    <row r="7143" spans="1:9" x14ac:dyDescent="0.3">
      <c r="A7143" s="1" t="s">
        <v>149</v>
      </c>
      <c r="B7143" s="1" t="s">
        <v>155</v>
      </c>
      <c r="C7143" s="1" t="s">
        <v>159</v>
      </c>
      <c r="D7143" s="1" t="s">
        <v>411</v>
      </c>
      <c r="E7143" s="1" t="s">
        <v>750</v>
      </c>
      <c r="F7143" s="1" t="s">
        <v>11108</v>
      </c>
      <c r="G7143" s="1" t="s">
        <v>36</v>
      </c>
      <c r="H7143" s="1" t="s">
        <v>29</v>
      </c>
      <c r="I7143" s="1" t="str">
        <f ca="1">IFERROR(__xludf.DUMMYFUNCTION("GOOGLETRANSLATE(F7143, ""auto"", ""en"")
"),"An excellent vacuum cleaner, especially since we got it at a promotional price of RUB 3,990! The suction power is such that it is difficult to lift the brush off the floor, especially since the power is adjustable. There are almost no shortcomings, except"&amp;" for one thing: the wheel on the brush gets clogged and it is difficult to move the brush.")</f>
        <v>An excellent vacuum cleaner, especially since we got it at a promotional price of RUB 3,990! The suction power is such that it is difficult to lift the brush off the floor, especially since the power is adjustable. There are almost no shortcomings, except for one thing: the wheel on the brush gets clogged and it is difficult to move the brush.</v>
      </c>
    </row>
    <row r="7144" spans="1:9" x14ac:dyDescent="0.3">
      <c r="A7144" s="1" t="s">
        <v>89</v>
      </c>
      <c r="B7144" s="1" t="s">
        <v>231</v>
      </c>
      <c r="C7144" s="1" t="s">
        <v>185</v>
      </c>
      <c r="D7144" s="1" t="s">
        <v>64</v>
      </c>
      <c r="E7144" s="1" t="s">
        <v>11109</v>
      </c>
      <c r="F7144" s="1" t="s">
        <v>11110</v>
      </c>
      <c r="G7144" s="1" t="s">
        <v>36</v>
      </c>
      <c r="H7144" s="1" t="s">
        <v>29</v>
      </c>
      <c r="I7144" s="1" t="str">
        <f ca="1">IFERROR(__xludf.DUMMYFUNCTION("GOOGLETRANSLATE(F7144, ""auto"", ""en"")
"),"I've been using the coffee machine for a month, I got it on sale. The coffee is excellent. We immediately learned how to froth milk with a cappuccino maker, the foam was thick, the milk was hot.  The coffee comes out hot!!! Someone wrote about cold coffee"&amp;"... You can pre-spill the system and boiling water comes out, everything is written in the instructions. The kit does not include instructions in Russian. I called the official website of this company, the call was free through 8800 and they immediately s"&amp;"ent the instructions by email.  The only thing I can’t do is load ground coffee!!!  I can’t get there, someone tell me how to load it, it wakes up and that’s it. I have to wash everything.  I want to be very happy with the coffee machine!")</f>
        <v>I've been using the coffee machine for a month, I got it on sale. The coffee is excellent. We immediately learned how to froth milk with a cappuccino maker, the foam was thick, the milk was hot.  The coffee comes out hot!!! Someone wrote about cold coffee... You can pre-spill the system and boiling water comes out, everything is written in the instructions. The kit does not include instructions in Russian. I called the official website of this company, the call was free through 8800 and they immediately sent the instructions by email.  The only thing I can’t do is load ground coffee!!!  I can’t get there, someone tell me how to load it, it wakes up and that’s it. I have to wash everything.  I want to be very happy with the coffee machine!</v>
      </c>
    </row>
    <row r="7145" spans="1:9" x14ac:dyDescent="0.3">
      <c r="A7145" s="1" t="s">
        <v>61</v>
      </c>
      <c r="B7145" s="1" t="s">
        <v>318</v>
      </c>
      <c r="C7145" s="1" t="s">
        <v>101</v>
      </c>
      <c r="D7145" s="1" t="s">
        <v>6172</v>
      </c>
      <c r="E7145" s="1" t="s">
        <v>8691</v>
      </c>
      <c r="F7145" s="1" t="s">
        <v>11111</v>
      </c>
      <c r="G7145" s="1" t="s">
        <v>28</v>
      </c>
      <c r="H7145" s="1" t="s">
        <v>29</v>
      </c>
      <c r="I7145" s="1" t="str">
        <f ca="1">IFERROR(__xludf.DUMMYFUNCTION("GOOGLETRANSLATE(F7145, ""auto"", ""en"")
"),"We've been using it every day in the office for over a year now. The water was imported and we never cleaned it of scale. Something can be seen at the bottom. It begins to make more noise and takes longer to switch off. Probably needs to be washed.")</f>
        <v>We've been using it every day in the office for over a year now. The water was imported and we never cleaned it of scale. Something can be seen at the bottom. It begins to make more noise and takes longer to switch off. Probably needs to be washed.</v>
      </c>
    </row>
    <row r="7146" spans="1:9" x14ac:dyDescent="0.3">
      <c r="A7146" s="1" t="s">
        <v>206</v>
      </c>
      <c r="B7146" s="1" t="s">
        <v>261</v>
      </c>
      <c r="C7146" s="1" t="s">
        <v>351</v>
      </c>
      <c r="D7146" s="1" t="s">
        <v>52</v>
      </c>
      <c r="E7146" s="1" t="s">
        <v>2139</v>
      </c>
      <c r="F7146" s="1" t="s">
        <v>11112</v>
      </c>
      <c r="G7146" s="1" t="s">
        <v>49</v>
      </c>
      <c r="H7146" s="1" t="s">
        <v>16</v>
      </c>
      <c r="I7146" s="1" t="str">
        <f ca="1">IFERROR(__xludf.DUMMYFUNCTION("GOOGLETRANSLATE(F7146, ""auto"", ""en"")
"),"I got this interconnect cable. The signal then disappears, then appears again, and then suddenly the tulip completely falls off. I carried out an audit with re-soldering - it helped for a short time. Complete bullshit. It's more pain than it's worth.")</f>
        <v>I got this interconnect cable. The signal then disappears, then appears again, and then suddenly the tulip completely falls off. I carried out an audit with re-soldering - it helped for a short time. Complete bullshit. It's more pain than it's worth.</v>
      </c>
    </row>
    <row r="7147" spans="1:9" x14ac:dyDescent="0.3">
      <c r="A7147" s="1" t="s">
        <v>61</v>
      </c>
      <c r="B7147" s="1" t="s">
        <v>318</v>
      </c>
      <c r="C7147" s="1" t="s">
        <v>213</v>
      </c>
      <c r="D7147" s="1" t="s">
        <v>64</v>
      </c>
      <c r="E7147" s="1" t="s">
        <v>1275</v>
      </c>
      <c r="F7147" s="1" t="s">
        <v>11113</v>
      </c>
      <c r="G7147" s="1" t="s">
        <v>36</v>
      </c>
      <c r="H7147" s="1" t="s">
        <v>29</v>
      </c>
      <c r="I7147" s="1" t="str">
        <f ca="1">IFERROR(__xludf.DUMMYFUNCTION("GOOGLETRANSLATE(F7147, ""auto"", ""en"")
"),"The kettle is excellent and has been working for three years, and everything is like new.")</f>
        <v>The kettle is excellent and has been working for three years, and everything is like new.</v>
      </c>
    </row>
    <row r="7148" spans="1:9" x14ac:dyDescent="0.3">
      <c r="A7148" s="1" t="s">
        <v>61</v>
      </c>
      <c r="B7148" s="1" t="s">
        <v>318</v>
      </c>
      <c r="C7148" s="1" t="s">
        <v>1461</v>
      </c>
      <c r="D7148" s="1" t="s">
        <v>52</v>
      </c>
      <c r="E7148" s="1" t="s">
        <v>4424</v>
      </c>
      <c r="F7148" s="1" t="s">
        <v>11114</v>
      </c>
      <c r="G7148" s="1" t="s">
        <v>15</v>
      </c>
      <c r="H7148" s="1" t="s">
        <v>16</v>
      </c>
      <c r="I7148" s="1" t="str">
        <f ca="1">IFERROR(__xludf.DUMMYFUNCTION("GOOGLETRANSLATE(F7148, ""auto"", ""en"")
"),"Don't buy these kettles! I bought it at a large supermarket, there was no stink from the stand, but when I unpacked the box at home, the chemical stench took my breath away. I boiled and drained the water 10 times, no improvement, I thought let it sit ope"&amp;"n for a few months, maybe it will stink. After 2 months, it really didn’t seem to stink anymore, but when I closed the lid, literally after a couple of hours the stink returned, i.e. The plastic constantly emits a stench that accumulates inside when the l"&amp;"id is closed. The instinct of self-preservation does not allow you to drink such stinking water. I think I will just have to throw out the kettle.")</f>
        <v>Don't buy these kettles! I bought it at a large supermarket, there was no stink from the stand, but when I unpacked the box at home, the chemical stench took my breath away. I boiled and drained the water 10 times, no improvement, I thought let it sit open for a few months, maybe it will stink. After 2 months, it really didn’t seem to stink anymore, but when I closed the lid, literally after a couple of hours the stink returned, i.e. The plastic constantly emits a stench that accumulates inside when the lid is closed. The instinct of self-preservation does not allow you to drink such stinking water. I think I will just have to throw out the kettle.</v>
      </c>
    </row>
    <row r="7149" spans="1:9" x14ac:dyDescent="0.3">
      <c r="A7149" s="1" t="s">
        <v>37</v>
      </c>
      <c r="B7149" s="1" t="s">
        <v>38</v>
      </c>
      <c r="C7149" s="1" t="s">
        <v>151</v>
      </c>
      <c r="D7149" s="1" t="s">
        <v>11115</v>
      </c>
      <c r="E7149" s="1" t="s">
        <v>118</v>
      </c>
      <c r="F7149" s="1" t="s">
        <v>11116</v>
      </c>
      <c r="G7149" s="1" t="s">
        <v>36</v>
      </c>
      <c r="H7149" s="1" t="s">
        <v>29</v>
      </c>
      <c r="I7149" s="1" t="str">
        <f ca="1">IFERROR(__xludf.DUMMYFUNCTION("GOOGLETRANSLATE(F7149, ""auto"", ""en"")
"),"I don’t know who has what is falling off, I’ve been using it for two months and nothing has ever fallen off, the phone is high quality, the set of functions is what you need, the price is more than decent, the battery keeps up!")</f>
        <v>I don’t know who has what is falling off, I’ve been using it for two months and nothing has ever fallen off, the phone is high quality, the set of functions is what you need, the price is more than decent, the battery keeps up!</v>
      </c>
    </row>
    <row r="7150" spans="1:9" x14ac:dyDescent="0.3">
      <c r="A7150" s="1" t="s">
        <v>9</v>
      </c>
      <c r="B7150" s="1" t="s">
        <v>137</v>
      </c>
      <c r="C7150" s="1" t="s">
        <v>134</v>
      </c>
      <c r="D7150" s="1" t="s">
        <v>11117</v>
      </c>
      <c r="E7150" s="1" t="s">
        <v>5979</v>
      </c>
      <c r="F7150" s="1" t="s">
        <v>11118</v>
      </c>
      <c r="G7150" s="1" t="s">
        <v>36</v>
      </c>
      <c r="H7150" s="1" t="s">
        <v>29</v>
      </c>
      <c r="I7150" s="1" t="str">
        <f ca="1">IFERROR(__xludf.DUMMYFUNCTION("GOOGLETRANSLATE(F7150, ""auto"", ""en"")
"),"The panel was chosen by my husband, who was busy renovating the apartment while I was in the maternity hospital, to make my life easier when I left) Yes, the panel is of excellent quality, at first, out of habit, I thought that it could be broken if somet"&amp;"hing heavy was dropped, but I was wrong, it turned out that nothing threatened it even if a cauldron of pilaf fell. Large burners, one (far left) fits perfectly under the cauldron. The burners heat up quickly, literally in a few seconds, and in general th"&amp;"e cooking process has now become many times faster than on an old conventional stove. At first, something even kept running away from me until I got used to its speed! Now about the safety of your family. We already have two children, so all the protectio"&amp;"n provided here is very necessary - both from children and automatic shutdown and indication of heat and power - the eldest already understands that it is impossible to put your hand on the red field. Plus there is self-diagnosis of any problems in operat"&amp;"ion. Everything here is done first class. The only thing that my husband could not take into account is that glass ceramics constantly leave stains. If I had taken it, I would have noticed this topic right away... The panel has to be washed constantly, bu"&amp;"t it always sparkles with cleanliness!")</f>
        <v>The panel was chosen by my husband, who was busy renovating the apartment while I was in the maternity hospital, to make my life easier when I left) Yes, the panel is of excellent quality, at first, out of habit, I thought that it could be broken if something heavy was dropped, but I was wrong, it turned out that nothing threatened it even if a cauldron of pilaf fell. Large burners, one (far left) fits perfectly under the cauldron. The burners heat up quickly, literally in a few seconds, and in general the cooking process has now become many times faster than on an old conventional stove. At first, something even kept running away from me until I got used to its speed! Now about the safety of your family. We already have two children, so all the protection provided here is very necessary - both from children and automatic shutdown and indication of heat and power - the eldest already understands that it is impossible to put your hand on the red field. Plus there is self-diagnosis of any problems in operation. Everything here is done first class. The only thing that my husband could not take into account is that glass ceramics constantly leave stains. If I had taken it, I would have noticed this topic right away... The panel has to be washed constantly, but it always sparkles with cleanliness!</v>
      </c>
    </row>
    <row r="7151" spans="1:9" x14ac:dyDescent="0.3">
      <c r="A7151" s="1" t="s">
        <v>67</v>
      </c>
      <c r="B7151" s="1" t="s">
        <v>68</v>
      </c>
      <c r="C7151" s="1" t="s">
        <v>69</v>
      </c>
      <c r="D7151" s="1" t="s">
        <v>152</v>
      </c>
      <c r="E7151" s="1" t="s">
        <v>6875</v>
      </c>
      <c r="F7151" s="1" t="s">
        <v>11119</v>
      </c>
      <c r="G7151" s="1" t="s">
        <v>36</v>
      </c>
      <c r="H7151" s="1" t="s">
        <v>29</v>
      </c>
      <c r="I7151" s="1" t="str">
        <f ca="1">IFERROR(__xludf.DUMMYFUNCTION("GOOGLETRANSLATE(F7151, ""auto"", ""en"")
"),"Today I bought it as a gift, the iron is gorgeous, not only is the cord long, it irons beautifully, it’s convenient and also has vertical steaming, my loved ones loved it! I recommend it to everyone!")</f>
        <v>Today I bought it as a gift, the iron is gorgeous, not only is the cord long, it irons beautifully, it’s convenient and also has vertical steaming, my loved ones loved it! I recommend it to everyone!</v>
      </c>
    </row>
    <row r="7152" spans="1:9" x14ac:dyDescent="0.3">
      <c r="A7152" s="1" t="s">
        <v>105</v>
      </c>
      <c r="B7152" s="1" t="s">
        <v>106</v>
      </c>
      <c r="C7152" s="1" t="s">
        <v>1921</v>
      </c>
      <c r="D7152" s="1" t="s">
        <v>200</v>
      </c>
      <c r="E7152" s="1" t="s">
        <v>680</v>
      </c>
      <c r="F7152" s="1" t="s">
        <v>11120</v>
      </c>
      <c r="G7152" s="1" t="s">
        <v>49</v>
      </c>
      <c r="H7152" s="1" t="s">
        <v>16</v>
      </c>
      <c r="I7152" s="1" t="str">
        <f ca="1">IFERROR(__xludf.DUMMYFUNCTION("GOOGLETRANSLATE(F7152, ""auto"", ""en"")
"),"I bought TEXET T-799, I was attracted by the appearance, but as it turned out later, it was in vain. Firstly, I suffered for a long time while trying to upload music, and then the player froze on the first photo and didn’t even turn off, not a single butt"&amp;"on responded to the action.")</f>
        <v>I bought TEXET T-799, I was attracted by the appearance, but as it turned out later, it was in vain. Firstly, I suffered for a long time while trying to upload music, and then the player froze on the first photo and didn’t even turn off, not a single button responded to the action.</v>
      </c>
    </row>
    <row r="7153" spans="1:9" x14ac:dyDescent="0.3">
      <c r="A7153" s="1" t="s">
        <v>95</v>
      </c>
      <c r="B7153" s="1" t="s">
        <v>227</v>
      </c>
      <c r="C7153" s="1" t="s">
        <v>97</v>
      </c>
      <c r="D7153" s="1" t="s">
        <v>940</v>
      </c>
      <c r="E7153" s="1" t="s">
        <v>1371</v>
      </c>
      <c r="F7153" s="1" t="s">
        <v>11121</v>
      </c>
      <c r="G7153" s="1" t="s">
        <v>36</v>
      </c>
      <c r="H7153" s="1" t="s">
        <v>29</v>
      </c>
      <c r="I7153" s="1" t="str">
        <f ca="1">IFERROR(__xludf.DUMMYFUNCTION("GOOGLETRANSLATE(F7153, ""auto"", ""en"")
"),"I bought this console today, I’m just delighted with it! The image is super, nothing slows down, a simple menu, a convenient gamepad. The best thing for a gamer! Don't miss the opportunity to buy this console!")</f>
        <v>I bought this console today, I’m just delighted with it! The image is super, nothing slows down, a simple menu, a convenient gamepad. The best thing for a gamer! Don't miss the opportunity to buy this console!</v>
      </c>
    </row>
    <row r="7154" spans="1:9" x14ac:dyDescent="0.3">
      <c r="A7154" s="1" t="s">
        <v>61</v>
      </c>
      <c r="B7154" s="1" t="s">
        <v>977</v>
      </c>
      <c r="C7154" s="1" t="s">
        <v>69</v>
      </c>
      <c r="D7154" s="1" t="s">
        <v>695</v>
      </c>
      <c r="E7154" s="1" t="s">
        <v>4152</v>
      </c>
      <c r="F7154" s="1" t="s">
        <v>11122</v>
      </c>
      <c r="G7154" s="1" t="s">
        <v>49</v>
      </c>
      <c r="H7154" s="1" t="s">
        <v>16</v>
      </c>
      <c r="I7154" s="1" t="str">
        <f ca="1">IFERROR(__xludf.DUMMYFUNCTION("GOOGLETRANSLATE(F7154, ""auto"", ""en"")
"),"I bought this product today! It worked for literally 10 seconds and broke down. The button was not pressed, the speeds were not switched. The blender was unstoppable. Only after pulling it out of the socket did he calm down.")</f>
        <v>I bought this product today! It worked for literally 10 seconds and broke down. The button was not pressed, the speeds were not switched. The blender was unstoppable. Only after pulling it out of the socket did he calm down.</v>
      </c>
    </row>
    <row r="7155" spans="1:9" x14ac:dyDescent="0.3">
      <c r="A7155" s="1" t="s">
        <v>149</v>
      </c>
      <c r="B7155" s="1" t="s">
        <v>150</v>
      </c>
      <c r="C7155" s="1" t="s">
        <v>57</v>
      </c>
      <c r="D7155" s="1" t="s">
        <v>11123</v>
      </c>
      <c r="E7155" s="1" t="s">
        <v>1773</v>
      </c>
      <c r="F7155" s="1" t="s">
        <v>11124</v>
      </c>
      <c r="G7155" s="1" t="s">
        <v>15</v>
      </c>
      <c r="H7155" s="1" t="s">
        <v>16</v>
      </c>
      <c r="I7155" s="1" t="str">
        <f ca="1">IFERROR(__xludf.DUMMYFUNCTION("GOOGLETRANSLATE(F7155, ""auto"", ""en"")
"),"I didn’t like this model, at first it sucked well, I was satisfied. Well, I’ve been using it for three months now and I’m very disappointed, I can’t even pick up dirt from the carpet, and the turbo brush won’t spin at all. I don’t even know what to do wit"&amp;"h him now. One plus is that you don’t have to buy garbage bags.")</f>
        <v>I didn’t like this model, at first it sucked well, I was satisfied. Well, I’ve been using it for three months now and I’m very disappointed, I can’t even pick up dirt from the carpet, and the turbo brush won’t spin at all. I don’t even know what to do with him now. One plus is that you don’t have to buy garbage bags.</v>
      </c>
    </row>
    <row r="7156" spans="1:9" x14ac:dyDescent="0.3">
      <c r="A7156" s="1" t="s">
        <v>61</v>
      </c>
      <c r="B7156" s="1" t="s">
        <v>224</v>
      </c>
      <c r="C7156" s="1" t="s">
        <v>85</v>
      </c>
      <c r="D7156" s="1" t="s">
        <v>139</v>
      </c>
      <c r="E7156" s="1" t="s">
        <v>3737</v>
      </c>
      <c r="F7156" s="1" t="s">
        <v>11125</v>
      </c>
      <c r="G7156" s="1" t="s">
        <v>49</v>
      </c>
      <c r="H7156" s="1" t="s">
        <v>16</v>
      </c>
      <c r="I7156" s="1" t="str">
        <f ca="1">IFERROR(__xludf.DUMMYFUNCTION("GOOGLETRANSLATE(F7156, ""auto"", ""en"")
"),"I have a feeling that those who first used a juicer write about dry pulp. Everything is learned by comparison. A friend's mom has a juicer. So there the cake is dry, it crumbles, and not like plasticine!! We bought ourselves a Bork because of the brand. W"&amp;"e only received the brand ((.")</f>
        <v>I have a feeling that those who first used a juicer write about dry pulp. Everything is learned by comparison. A friend's mom has a juicer. So there the cake is dry, it crumbles, and not like plasticine!! We bought ourselves a Bork because of the brand. We only received the brand ((.</v>
      </c>
    </row>
    <row r="7157" spans="1:9" x14ac:dyDescent="0.3">
      <c r="A7157" s="1" t="s">
        <v>211</v>
      </c>
      <c r="B7157" s="1" t="s">
        <v>212</v>
      </c>
      <c r="C7157" s="1" t="s">
        <v>69</v>
      </c>
      <c r="D7157" s="1" t="s">
        <v>4136</v>
      </c>
      <c r="E7157" s="1" t="s">
        <v>3769</v>
      </c>
      <c r="F7157" s="1" t="s">
        <v>11126</v>
      </c>
      <c r="G7157" s="1" t="s">
        <v>49</v>
      </c>
      <c r="H7157" s="1" t="s">
        <v>16</v>
      </c>
      <c r="I7157" s="1" t="str">
        <f ca="1">IFERROR(__xludf.DUMMYFUNCTION("GOOGLETRANSLATE(F7157, ""auto"", ""en"")
"),"Girls, I absolutely agree with the previous reviews! I chose it myself in the store, I rarely use it! It straightens terribly, it burns your hair, it doesn’t shine after it, the curling iron doesn’t curl well, I haven’t used the triangular attachment at a"&amp;"ll, I don’t know who invented it, but it’s definitely not for curling! They haven't given me the whole set of plastics yet! It also takes a very long time to heat up, if you forget you leave, you come back hot, and it takes a long time to cool down, it do"&amp;"esn’t turn off automatically! (I only liked the hairpins in this set))) Girls, don’t take them!")</f>
        <v>Girls, I absolutely agree with the previous reviews! I chose it myself in the store, I rarely use it! It straightens terribly, it burns your hair, it doesn’t shine after it, the curling iron doesn’t curl well, I haven’t used the triangular attachment at all, I don’t know who invented it, but it’s definitely not for curling! They haven't given me the whole set of plastics yet! It also takes a very long time to heat up, if you forget you leave, you come back hot, and it takes a long time to cool down, it doesn’t turn off automatically! (I only liked the hairpins in this set))) Girls, don’t take them!</v>
      </c>
    </row>
    <row r="7158" spans="1:9" x14ac:dyDescent="0.3">
      <c r="A7158" s="1" t="s">
        <v>120</v>
      </c>
      <c r="B7158" s="1" t="s">
        <v>121</v>
      </c>
      <c r="C7158" s="1" t="s">
        <v>97</v>
      </c>
      <c r="D7158" s="1" t="s">
        <v>172</v>
      </c>
      <c r="E7158" s="1" t="s">
        <v>543</v>
      </c>
      <c r="F7158" s="1" t="s">
        <v>11127</v>
      </c>
      <c r="G7158" s="1" t="s">
        <v>36</v>
      </c>
      <c r="H7158" s="1" t="s">
        <v>29</v>
      </c>
      <c r="I7158" s="1" t="str">
        <f ca="1">IFERROR(__xludf.DUMMYFUNCTION("GOOGLETRANSLATE(F7158, ""auto"", ""en"")
"),"Bought 06/14/2011 Very pleased with the TV: sound, picture, flash drive playback, external hard drive (931GB = 1TB), photos, everything is fine.  I would include the following as disadvantages: 1) When connecting flash drive and hard drive, the names are "&amp;"in an incomprehensible Egyptian language.  2) Slow scrolling of movies and videos with the same media player.  In short, the media player is rather weak.  Before purchasing, I relied on reviews from this site. In this regard, I would like to note that com"&amp;"ments about the black bar, the timer, and the inconvenience of the remote control have their place, but are far from critical.  Therefore my rating is a solid 5.")</f>
        <v>Bought 06/14/2011 Very pleased with the TV: sound, picture, flash drive playback, external hard drive (931GB = 1TB), photos, everything is fine.  I would include the following as disadvantages: 1) When connecting flash drive and hard drive, the names are in an incomprehensible Egyptian language.  2) Slow scrolling of movies and videos with the same media player.  In short, the media player is rather weak.  Before purchasing, I relied on reviews from this site. In this regard, I would like to note that comments about the black bar, the timer, and the inconvenience of the remote control have their place, but are far from critical.  Therefore my rating is a solid 5.</v>
      </c>
    </row>
    <row r="7159" spans="1:9" x14ac:dyDescent="0.3">
      <c r="A7159" s="1" t="s">
        <v>67</v>
      </c>
      <c r="B7159" s="1" t="s">
        <v>68</v>
      </c>
      <c r="C7159" s="1" t="s">
        <v>69</v>
      </c>
      <c r="D7159" s="1" t="s">
        <v>39</v>
      </c>
      <c r="E7159" s="1" t="s">
        <v>1992</v>
      </c>
      <c r="F7159" s="1" t="s">
        <v>11128</v>
      </c>
      <c r="G7159" s="1" t="s">
        <v>36</v>
      </c>
      <c r="H7159" s="1" t="s">
        <v>29</v>
      </c>
      <c r="I7159" s="1" t="str">
        <f ca="1">IFERROR(__xludf.DUMMYFUNCTION("GOOGLETRANSLATE(F7159, ""auto"", ""en"")
"),"I bought this device two days ago. So far it works great, best value for money. Amazing ergonomics and functionality. I recommend it to everyone.  And if something happens, the warranty is already 2 years.......")</f>
        <v>I bought this device two days ago. So far it works great, best value for money. Amazing ergonomics and functionality. I recommend it to everyone.  And if something happens, the warranty is already 2 years.......</v>
      </c>
    </row>
    <row r="7160" spans="1:9" x14ac:dyDescent="0.3">
      <c r="A7160" s="1" t="s">
        <v>30</v>
      </c>
      <c r="B7160" s="1" t="s">
        <v>50</v>
      </c>
      <c r="C7160" s="1" t="s">
        <v>1003</v>
      </c>
      <c r="D7160" s="1" t="s">
        <v>11129</v>
      </c>
      <c r="E7160" s="1" t="s">
        <v>1481</v>
      </c>
      <c r="F7160" s="1" t="s">
        <v>11130</v>
      </c>
      <c r="G7160" s="1" t="s">
        <v>36</v>
      </c>
      <c r="H7160" s="1" t="s">
        <v>29</v>
      </c>
      <c r="I7160" s="1" t="str">
        <f ca="1">IFERROR(__xludf.DUMMYFUNCTION("GOOGLETRANSLATE(F7160, ""auto"", ""en"")
"),"Awesome laptop! I've only been using it for 2 days. but for the price and quality it satisfies completely. great offer!!! although I didn’t find the bag included (((")</f>
        <v>Awesome laptop! I've only been using it for 2 days. but for the price and quality it satisfies completely. great offer!!! although I didn’t find the bag included (((</v>
      </c>
    </row>
    <row r="7161" spans="1:9" x14ac:dyDescent="0.3">
      <c r="A7161" s="1" t="s">
        <v>9</v>
      </c>
      <c r="B7161" s="1" t="s">
        <v>10</v>
      </c>
      <c r="C7161" s="1" t="s">
        <v>407</v>
      </c>
      <c r="D7161" s="1" t="s">
        <v>295</v>
      </c>
      <c r="E7161" s="1" t="s">
        <v>661</v>
      </c>
      <c r="F7161" s="1" t="s">
        <v>11131</v>
      </c>
      <c r="G7161" s="1" t="s">
        <v>36</v>
      </c>
      <c r="H7161" s="1" t="s">
        <v>29</v>
      </c>
      <c r="I7161" s="1" t="str">
        <f ca="1">IFERROR(__xludf.DUMMYFUNCTION("GOOGLETRANSLATE(F7161, ""auto"", ""en"")
"),"Real quality!    We purchased this model of hood back in 2008 (now 2011)), until now we haven’t even changed the light bulbs! Everything works perfectly, not to mention the design - such a stylish thing can easily not be hidden behind built-in cabinets. O"&amp;"dors are also eliminated normally if you turn it on a couple of minutes before frying/boiling the soup (and other temperature and culinary manipulations).    The certificate of additional service was put on a shelf and forgotten.")</f>
        <v>Real quality!    We purchased this model of hood back in 2008 (now 2011)), until now we haven’t even changed the light bulbs! Everything works perfectly, not to mention the design - such a stylish thing can easily not be hidden behind built-in cabinets. Odors are also eliminated normally if you turn it on a couple of minutes before frying/boiling the soup (and other temperature and culinary manipulations).    The certificate of additional service was put on a shelf and forgotten.</v>
      </c>
    </row>
    <row r="7162" spans="1:9" x14ac:dyDescent="0.3">
      <c r="A7162" s="1" t="s">
        <v>149</v>
      </c>
      <c r="B7162" s="1" t="s">
        <v>576</v>
      </c>
      <c r="C7162" s="1" t="s">
        <v>24</v>
      </c>
      <c r="D7162" s="1" t="s">
        <v>378</v>
      </c>
      <c r="E7162" s="1" t="s">
        <v>8624</v>
      </c>
      <c r="F7162" s="1" t="s">
        <v>11132</v>
      </c>
      <c r="G7162" s="1" t="s">
        <v>36</v>
      </c>
      <c r="H7162" s="1" t="s">
        <v>29</v>
      </c>
      <c r="I7162" s="1" t="str">
        <f ca="1">IFERROR(__xludf.DUMMYFUNCTION("GOOGLETRANSLATE(F7162, ""auto"", ""en"")
"),"Vacuums well, the power is great, very happy with the purchase")</f>
        <v>Vacuums well, the power is great, very happy with the purchase</v>
      </c>
    </row>
    <row r="7163" spans="1:9" x14ac:dyDescent="0.3">
      <c r="A7163" s="1" t="s">
        <v>61</v>
      </c>
      <c r="B7163" s="1" t="s">
        <v>318</v>
      </c>
      <c r="C7163" s="1" t="s">
        <v>85</v>
      </c>
      <c r="D7163" s="1" t="s">
        <v>102</v>
      </c>
      <c r="E7163" s="1" t="s">
        <v>8635</v>
      </c>
      <c r="F7163" s="1" t="s">
        <v>11133</v>
      </c>
      <c r="G7163" s="1" t="s">
        <v>36</v>
      </c>
      <c r="H7163" s="1" t="s">
        <v>29</v>
      </c>
      <c r="I7163" s="1" t="str">
        <f ca="1">IFERROR(__xludf.DUMMYFUNCTION("GOOGLETRANSLATE(F7163, ""auto"", ""en"")
"),"Girl, mineral water from a well is death to any kettle) study the oxidation processes) I’ve been using the kettle myself for almost two years! Ideal device! It brews correctly, and brews it in the morning so absolutely chic! And the fact that the iron has"&amp;" darkened is due to tea sediment and bad water! It is dangerous to clean with citric acid; you are using the device incorrectly))")</f>
        <v>Girl, mineral water from a well is death to any kettle) study the oxidation processes) I’ve been using the kettle myself for almost two years! Ideal device! It brews correctly, and brews it in the morning so absolutely chic! And the fact that the iron has darkened is due to tea sediment and bad water! It is dangerous to clean with citric acid; you are using the device incorrectly))</v>
      </c>
    </row>
    <row r="7164" spans="1:9" x14ac:dyDescent="0.3">
      <c r="A7164" s="1" t="s">
        <v>211</v>
      </c>
      <c r="B7164" s="1" t="s">
        <v>410</v>
      </c>
      <c r="C7164" s="1" t="s">
        <v>122</v>
      </c>
      <c r="D7164" s="1" t="s">
        <v>186</v>
      </c>
      <c r="E7164" s="1" t="s">
        <v>8922</v>
      </c>
      <c r="F7164" s="1" t="s">
        <v>11134</v>
      </c>
      <c r="G7164" s="1" t="s">
        <v>36</v>
      </c>
      <c r="H7164" s="1" t="s">
        <v>29</v>
      </c>
      <c r="I7164" s="1" t="str">
        <f ca="1">IFERROR(__xludf.DUMMYFUNCTION("GOOGLETRANSLATE(F7164, ""auto"", ""en"")
"),"The razor is decent. Buy and don't hesitate! WES9011PC - set of mesh and knives.")</f>
        <v>The razor is decent. Buy and don't hesitate! WES9011PC - set of mesh and knives.</v>
      </c>
    </row>
    <row r="7165" spans="1:9" x14ac:dyDescent="0.3">
      <c r="A7165" s="1" t="s">
        <v>624</v>
      </c>
      <c r="B7165" s="1" t="s">
        <v>625</v>
      </c>
      <c r="C7165" s="1" t="s">
        <v>479</v>
      </c>
      <c r="D7165" s="1" t="s">
        <v>280</v>
      </c>
      <c r="E7165" s="1" t="s">
        <v>6170</v>
      </c>
      <c r="F7165" s="1" t="s">
        <v>11135</v>
      </c>
      <c r="G7165" s="1" t="s">
        <v>36</v>
      </c>
      <c r="H7165" s="1" t="s">
        <v>29</v>
      </c>
      <c r="I7165" s="1" t="str">
        <f ca="1">IFERROR(__xludf.DUMMYFUNCTION("GOOGLETRANSLATE(F7165, ""auto"", ""en"")
"),"She made a huge impression. After it, even Uncharted 3 no longer looked like some kind of breakthrough among games.")</f>
        <v>She made a huge impression. After it, even Uncharted 3 no longer looked like some kind of breakthrough among games.</v>
      </c>
    </row>
    <row r="7166" spans="1:9" x14ac:dyDescent="0.3">
      <c r="A7166" s="1" t="s">
        <v>557</v>
      </c>
      <c r="B7166" s="1" t="s">
        <v>558</v>
      </c>
      <c r="C7166" s="1" t="s">
        <v>1921</v>
      </c>
      <c r="D7166" s="1" t="s">
        <v>11136</v>
      </c>
      <c r="E7166" s="1" t="s">
        <v>292</v>
      </c>
      <c r="F7166" s="1" t="s">
        <v>11137</v>
      </c>
      <c r="G7166" s="1" t="s">
        <v>36</v>
      </c>
      <c r="H7166" s="1" t="s">
        <v>29</v>
      </c>
      <c r="I7166" s="1" t="str">
        <f ca="1">IFERROR(__xludf.DUMMYFUNCTION("GOOGLETRANSLATE(F7166, ""auto"", ""en"")
"),"It's been working for a year now. You can hear it well, there are no glitches. The disadvantages are the cover that covers the batteries, the design of the latch is poor, it flies off when pressed hard.")</f>
        <v>It's been working for a year now. You can hear it well, there are no glitches. The disadvantages are the cover that covers the batteries, the design of the latch is poor, it flies off when pressed hard.</v>
      </c>
    </row>
    <row r="7167" spans="1:9" x14ac:dyDescent="0.3">
      <c r="A7167" s="1" t="s">
        <v>17</v>
      </c>
      <c r="B7167" s="1" t="s">
        <v>18</v>
      </c>
      <c r="C7167" s="1" t="s">
        <v>63</v>
      </c>
      <c r="D7167" s="1" t="s">
        <v>11138</v>
      </c>
      <c r="E7167" s="1" t="s">
        <v>214</v>
      </c>
      <c r="F7167" s="1" t="s">
        <v>11139</v>
      </c>
      <c r="G7167" s="1" t="s">
        <v>36</v>
      </c>
      <c r="H7167" s="1" t="s">
        <v>29</v>
      </c>
      <c r="I7167" s="1" t="str">
        <f ca="1">IFERROR(__xludf.DUMMYFUNCTION("GOOGLETRANSLATE(F7167, ""auto"", ""en"")
"),"The washer is great!!! I bought it on sale for only 10,000 rubles!!! Very pleased!!!")</f>
        <v>The washer is great!!! I bought it on sale for only 10,000 rubles!!! Very pleased!!!</v>
      </c>
    </row>
    <row r="7168" spans="1:9" x14ac:dyDescent="0.3">
      <c r="A7168" s="1" t="s">
        <v>369</v>
      </c>
      <c r="B7168" s="1" t="s">
        <v>2480</v>
      </c>
      <c r="C7168" s="1" t="s">
        <v>453</v>
      </c>
      <c r="D7168" s="1" t="s">
        <v>247</v>
      </c>
      <c r="E7168" s="1" t="s">
        <v>7081</v>
      </c>
      <c r="F7168" s="1" t="s">
        <v>11140</v>
      </c>
      <c r="G7168" s="1" t="s">
        <v>36</v>
      </c>
      <c r="H7168" s="1" t="s">
        <v>29</v>
      </c>
      <c r="I7168" s="1" t="str">
        <f ca="1">IFERROR(__xludf.DUMMYFUNCTION("GOOGLETRANSLATE(F7168, ""auto"", ""en"")
"),"We bought the tiles two weeks ago, we are always cooking something. The tile cooks great! Heats up very quickly and cools down quickly too. As a result, the rate of decrease and increase in fire is the same as on gas. The temperature range is wide. You ca"&amp;"n slowly heat it up, or you can fry it at a very high temperature. In the end, the option turned out to be the best! It’s not very convenient that there is only one burner, but it justifies itself because it works from a regular outlet. The cost is also j"&amp;"ustified. Compared to cast iron electric stoves, this tile is incomparably better and consumes less energy, since it raises the temperature very quickly. There is heating with a timer. If for a summer residence - the option of two such tiles is ideal, if "&amp;"for the home as a temporary option or for one person - it is also very good. True, you need dishes with a bottom that is magnetic. You'll have to go through the one you have or buy something else. We were very pleased with the purchase.")</f>
        <v>We bought the tiles two weeks ago, we are always cooking something. The tile cooks great! Heats up very quickly and cools down quickly too. As a result, the rate of decrease and increase in fire is the same as on gas. The temperature range is wide. You can slowly heat it up, or you can fry it at a very high temperature. In the end, the option turned out to be the best! It’s not very convenient that there is only one burner, but it justifies itself because it works from a regular outlet. The cost is also justified. Compared to cast iron electric stoves, this tile is incomparably better and consumes less energy, since it raises the temperature very quickly. There is heating with a timer. If for a summer residence - the option of two such tiles is ideal, if for the home as a temporary option or for one person - it is also very good. True, you need dishes with a bottom that is magnetic. You'll have to go through the one you have or buy something else. We were very pleased with the purchase.</v>
      </c>
    </row>
    <row r="7169" spans="1:9" x14ac:dyDescent="0.3">
      <c r="A7169" s="1" t="s">
        <v>61</v>
      </c>
      <c r="B7169" s="1" t="s">
        <v>180</v>
      </c>
      <c r="C7169" s="1" t="s">
        <v>101</v>
      </c>
      <c r="D7169" s="1" t="s">
        <v>20</v>
      </c>
      <c r="E7169" s="1" t="s">
        <v>7833</v>
      </c>
      <c r="F7169" s="1" t="s">
        <v>11141</v>
      </c>
      <c r="G7169" s="1" t="s">
        <v>49</v>
      </c>
      <c r="H7169" s="1" t="s">
        <v>16</v>
      </c>
      <c r="I7169" s="1" t="str">
        <f ca="1">IFERROR(__xludf.DUMMYFUNCTION("GOOGLETRANSLATE(F7169, ""auto"", ""en"")
"),"Firstly, the build quality leaves much to be desired.   Secondly, the case cracked after three months; due to constant heating, the plastic lost its flexibility and cracked.  Add some and buy another one.")</f>
        <v>Firstly, the build quality leaves much to be desired.   Secondly, the case cracked after three months; due to constant heating, the plastic lost its flexibility and cracked.  Add some and buy another one.</v>
      </c>
    </row>
    <row r="7170" spans="1:9" x14ac:dyDescent="0.3">
      <c r="A7170" s="1" t="s">
        <v>624</v>
      </c>
      <c r="B7170" s="1" t="s">
        <v>881</v>
      </c>
      <c r="C7170" s="1" t="s">
        <v>479</v>
      </c>
      <c r="D7170" s="1" t="s">
        <v>11142</v>
      </c>
      <c r="E7170" s="1" t="s">
        <v>956</v>
      </c>
      <c r="F7170" s="1" t="s">
        <v>11143</v>
      </c>
      <c r="G7170" s="1" t="s">
        <v>36</v>
      </c>
      <c r="H7170" s="1" t="s">
        <v>29</v>
      </c>
      <c r="I7170" s="1" t="str">
        <f ca="1">IFERROR(__xludf.DUMMYFUNCTION("GOOGLETRANSLATE(F7170, ""auto"", ""en"")
"),"This is the coolest game I've played on a PSP, this series is also great on a computer. I recommend it to everyone!")</f>
        <v>This is the coolest game I've played on a PSP, this series is also great on a computer. I recommend it to everyone!</v>
      </c>
    </row>
    <row r="7171" spans="1:9" x14ac:dyDescent="0.3">
      <c r="A7171" s="1" t="s">
        <v>37</v>
      </c>
      <c r="B7171" s="1" t="s">
        <v>38</v>
      </c>
      <c r="C7171" s="1" t="s">
        <v>151</v>
      </c>
      <c r="D7171" s="1" t="s">
        <v>327</v>
      </c>
      <c r="E7171" s="1" t="s">
        <v>3730</v>
      </c>
      <c r="F7171" s="1" t="s">
        <v>11144</v>
      </c>
      <c r="G7171" s="1" t="s">
        <v>36</v>
      </c>
      <c r="H7171" s="1" t="s">
        <v>29</v>
      </c>
      <c r="I7171" s="1" t="str">
        <f ca="1">IFERROR(__xludf.DUMMYFUNCTION("GOOGLETRANSLATE(F7171, ""auto"", ""en"")
"),"to anyone who has problems removing the back cover!!!  ATTENTION!!! She is whole!!! It just seems to be divided into two parts!  Read the instructions - and carefully move in the direction of the arrow without any extra effort!!!  Good luck!")</f>
        <v>to anyone who has problems removing the back cover!!!  ATTENTION!!! She is whole!!! It just seems to be divided into two parts!  Read the instructions - and carefully move in the direction of the arrow without any extra effort!!!  Good luck!</v>
      </c>
    </row>
    <row r="7172" spans="1:9" x14ac:dyDescent="0.3">
      <c r="A7172" s="1" t="s">
        <v>120</v>
      </c>
      <c r="B7172" s="1" t="s">
        <v>196</v>
      </c>
      <c r="C7172" s="1" t="s">
        <v>151</v>
      </c>
      <c r="D7172" s="1" t="s">
        <v>4773</v>
      </c>
      <c r="E7172" s="1" t="s">
        <v>1871</v>
      </c>
      <c r="F7172" s="1" t="s">
        <v>11145</v>
      </c>
      <c r="G7172" s="1" t="s">
        <v>49</v>
      </c>
      <c r="H7172" s="1" t="s">
        <v>16</v>
      </c>
      <c r="I7172" s="1" t="str">
        <f ca="1">IFERROR(__xludf.DUMMYFUNCTION("GOOGLETRANSLATE(F7172, ""auto"", ""en"")
"),"after purchasing this product, after 3 months it began to turn off on its own, clicking on channels. When connecting HDMI to port 1,2,4, after a while the image becomes multi-colored, shimmering with all the colors of the rainbow. As a result, a TERRIBLE "&amp;"model for a LOT of MONEY.")</f>
        <v>after purchasing this product, after 3 months it began to turn off on its own, clicking on channels. When connecting HDMI to port 1,2,4, after a while the image becomes multi-colored, shimmering with all the colors of the rainbow. As a result, a TERRIBLE model for a LOT of MONEY.</v>
      </c>
    </row>
    <row r="7173" spans="1:9" x14ac:dyDescent="0.3">
      <c r="A7173" s="1" t="s">
        <v>9</v>
      </c>
      <c r="B7173" s="1" t="s">
        <v>137</v>
      </c>
      <c r="C7173" s="1" t="s">
        <v>138</v>
      </c>
      <c r="D7173" s="1" t="s">
        <v>152</v>
      </c>
      <c r="E7173" s="1" t="s">
        <v>5461</v>
      </c>
      <c r="F7173" s="1" t="s">
        <v>11146</v>
      </c>
      <c r="G7173" s="1" t="s">
        <v>28</v>
      </c>
      <c r="H7173" s="1" t="s">
        <v>29</v>
      </c>
      <c r="I7173" s="1" t="str">
        <f ca="1">IFERROR(__xludf.DUMMYFUNCTION("GOOGLETRANSLATE(F7173, ""auto"", ""en"")
"),"In general, I'm happy with the panel!  I've been using it for a month and haven't found any critical flaws.  Notes: -the shutdown button gets hot when cooking for more than an hour on the burner next to it;  -sometimes some stains are difficult to wash of"&amp;"f;  Advantages: -heats up quickly;  -easy to cook, I hardly noticed any difference after the gas;")</f>
        <v>In general, I'm happy with the panel!  I've been using it for a month and haven't found any critical flaws.  Notes: -the shutdown button gets hot when cooking for more than an hour on the burner next to it;  -sometimes some stains are difficult to wash off;  Advantages: -heats up quickly;  -easy to cook, I hardly noticed any difference after the gas;</v>
      </c>
    </row>
    <row r="7174" spans="1:9" x14ac:dyDescent="0.3">
      <c r="A7174" s="1" t="s">
        <v>61</v>
      </c>
      <c r="B7174" s="1" t="s">
        <v>224</v>
      </c>
      <c r="C7174" s="1" t="s">
        <v>85</v>
      </c>
      <c r="D7174" s="1" t="s">
        <v>295</v>
      </c>
      <c r="E7174" s="1" t="s">
        <v>2186</v>
      </c>
      <c r="F7174" s="1" t="s">
        <v>11147</v>
      </c>
      <c r="G7174" s="1" t="s">
        <v>36</v>
      </c>
      <c r="H7174" s="1" t="s">
        <v>29</v>
      </c>
      <c r="I7174" s="1" t="str">
        <f ca="1">IFERROR(__xludf.DUMMYFUNCTION("GOOGLETRANSLATE(F7174, ""auto"", ""en"")
"),"We bought a juicer a week ago. There are two more juicers lying around at home, purchased earlier, but cheap! So - what I mean is that there is something to compare with! Once again I am convinced that it is better to “pull yourself up” and buy an expensi"&amp;"ve and high-quality item! I truly enjoyed the process itself, although I hadn’t noticed it before! We took it solely to give our son something to drink and try to strengthen the immune system in this way! I added parsley, celery (though in small quantitie"&amp;"s) to the juice, then a banana (it’s really better to break it up with a blender, but if you don’t want to wash another device, run it in a juicer, just, the cake is a bit damp), carrots, orange, grapefruit, lemon - the cake comes out dry! What I like is "&amp;"that an apple can be used throw in the whole thing without trying to get rid of the seeds, same with lemon! You really get a lot of juice, however, in a 200 gram glass there is 1/3 foam, but it drinks well, the juice with foam looks very appetizing! In ge"&amp;"neral, I am not disappointed and I dare to recommend this model to everyone! HEALTH TO ALL!!!")</f>
        <v>We bought a juicer a week ago. There are two more juicers lying around at home, purchased earlier, but cheap! So - what I mean is that there is something to compare with! Once again I am convinced that it is better to “pull yourself up” and buy an expensive and high-quality item! I truly enjoyed the process itself, although I hadn’t noticed it before! We took it solely to give our son something to drink and try to strengthen the immune system in this way! I added parsley, celery (though in small quantities) to the juice, then a banana (it’s really better to break it up with a blender, but if you don’t want to wash another device, run it in a juicer, just, the cake is a bit damp), carrots, orange, grapefruit, lemon - the cake comes out dry! What I like is that an apple can be used throw in the whole thing without trying to get rid of the seeds, same with lemon! You really get a lot of juice, however, in a 200 gram glass there is 1/3 foam, but it drinks well, the juice with foam looks very appetizing! In general, I am not disappointed and I dare to recommend this model to everyone! HEALTH TO ALL!!!</v>
      </c>
    </row>
    <row r="7175" spans="1:9" x14ac:dyDescent="0.3">
      <c r="A7175" s="1" t="s">
        <v>169</v>
      </c>
      <c r="B7175" s="1" t="s">
        <v>170</v>
      </c>
      <c r="C7175" s="1" t="s">
        <v>193</v>
      </c>
      <c r="D7175" s="1" t="s">
        <v>11148</v>
      </c>
      <c r="E7175" s="1" t="s">
        <v>1988</v>
      </c>
      <c r="F7175" s="1" t="s">
        <v>11149</v>
      </c>
      <c r="G7175" s="1" t="s">
        <v>36</v>
      </c>
      <c r="H7175" s="1" t="s">
        <v>29</v>
      </c>
      <c r="I7175" s="1" t="str">
        <f ca="1">IFERROR(__xludf.DUMMYFUNCTION("GOOGLETRANSLATE(F7175, ""auto"", ""en"")
"),"Really guys have the best ears for games like CSS, Cs 1.6. or COD4, which I play, very high-quality sound and strong bass without any distortion, I listen to music, it really feels like they are singing live, by the way, download HD movies and listen to t"&amp;"he sound in these headphones.  In short, the headphones are super, at this price, too!")</f>
        <v>Really guys have the best ears for games like CSS, Cs 1.6. or COD4, which I play, very high-quality sound and strong bass without any distortion, I listen to music, it really feels like they are singing live, by the way, download HD movies and listen to the sound in these headphones.  In short, the headphones are super, at this price, too!</v>
      </c>
    </row>
    <row r="7176" spans="1:9" x14ac:dyDescent="0.3">
      <c r="A7176" s="1" t="s">
        <v>61</v>
      </c>
      <c r="B7176" s="1" t="s">
        <v>318</v>
      </c>
      <c r="C7176" s="1" t="s">
        <v>85</v>
      </c>
      <c r="D7176" s="1" t="s">
        <v>1581</v>
      </c>
      <c r="E7176" s="1" t="s">
        <v>606</v>
      </c>
      <c r="F7176" s="1" t="s">
        <v>11150</v>
      </c>
      <c r="G7176" s="1" t="s">
        <v>28</v>
      </c>
      <c r="H7176" s="1" t="s">
        <v>29</v>
      </c>
      <c r="I7176" s="1" t="str">
        <f ca="1">IFERROR(__xludf.DUMMYFUNCTION("GOOGLETRANSLATE(F7176, ""auto"", ""en"")
"),"I bought an Electric Kettle Bork K 711, they said it was silent - A SCAM! From the very first day it makes noise like the old one.")</f>
        <v>I bought an Electric Kettle Bork K 711, they said it was silent - A SCAM! From the very first day it makes noise like the old one.</v>
      </c>
    </row>
    <row r="7177" spans="1:9" x14ac:dyDescent="0.3">
      <c r="A7177" s="1" t="s">
        <v>211</v>
      </c>
      <c r="B7177" s="1" t="s">
        <v>515</v>
      </c>
      <c r="C7177" s="1" t="s">
        <v>213</v>
      </c>
      <c r="D7177" s="1" t="s">
        <v>6840</v>
      </c>
      <c r="E7177" s="1" t="s">
        <v>1597</v>
      </c>
      <c r="F7177" s="1" t="s">
        <v>11151</v>
      </c>
      <c r="G7177" s="1" t="s">
        <v>36</v>
      </c>
      <c r="H7177" s="1" t="s">
        <v>29</v>
      </c>
      <c r="I7177" s="1" t="str">
        <f ca="1">IFERROR(__xludf.DUMMYFUNCTION("GOOGLETRANSLATE(F7177, ""auto"", ""en"")
"),"First aid for feminine hygiene, I recommend it, super!")</f>
        <v>First aid for feminine hygiene, I recommend it, super!</v>
      </c>
    </row>
    <row r="7178" spans="1:9" x14ac:dyDescent="0.3">
      <c r="A7178" s="1" t="s">
        <v>30</v>
      </c>
      <c r="B7178" s="1" t="s">
        <v>50</v>
      </c>
      <c r="C7178" s="1" t="s">
        <v>51</v>
      </c>
      <c r="D7178" s="1" t="s">
        <v>471</v>
      </c>
      <c r="E7178" s="1" t="s">
        <v>491</v>
      </c>
      <c r="F7178" s="1" t="s">
        <v>11152</v>
      </c>
      <c r="G7178" s="1" t="s">
        <v>36</v>
      </c>
      <c r="H7178" s="1" t="s">
        <v>29</v>
      </c>
      <c r="I7178" s="1" t="str">
        <f ca="1">IFERROR(__xludf.DUMMYFUNCTION("GOOGLETRANSLATE(F7178, ""auto"", ""en"")
"),"The laptop is really excellent.)) I recommend it to everyone :)")</f>
        <v>The laptop is really excellent.)) I recommend it to everyone :)</v>
      </c>
    </row>
    <row r="7179" spans="1:9" x14ac:dyDescent="0.3">
      <c r="A7179" s="1" t="s">
        <v>211</v>
      </c>
      <c r="B7179" s="1" t="s">
        <v>789</v>
      </c>
      <c r="C7179" s="1" t="s">
        <v>3628</v>
      </c>
      <c r="D7179" s="1" t="s">
        <v>11153</v>
      </c>
      <c r="E7179" s="1" t="s">
        <v>8483</v>
      </c>
      <c r="F7179" s="1" t="s">
        <v>11154</v>
      </c>
      <c r="G7179" s="1" t="s">
        <v>36</v>
      </c>
      <c r="H7179" s="1" t="s">
        <v>29</v>
      </c>
      <c r="I7179" s="1" t="str">
        <f ca="1">IFERROR(__xludf.DUMMYFUNCTION("GOOGLETRANSLATE(F7179, ""auto"", ""en"")
"),"No problems, shows accurately, looks cute, easy to wash")</f>
        <v>No problems, shows accurately, looks cute, easy to wash</v>
      </c>
    </row>
    <row r="7180" spans="1:9" x14ac:dyDescent="0.3">
      <c r="A7180" s="1" t="s">
        <v>120</v>
      </c>
      <c r="B7180" s="1" t="s">
        <v>121</v>
      </c>
      <c r="C7180" s="1" t="s">
        <v>122</v>
      </c>
      <c r="D7180" s="1" t="s">
        <v>1894</v>
      </c>
      <c r="E7180" s="1" t="s">
        <v>1376</v>
      </c>
      <c r="F7180" s="1" t="s">
        <v>11155</v>
      </c>
      <c r="G7180" s="1" t="s">
        <v>36</v>
      </c>
      <c r="H7180" s="1" t="s">
        <v>29</v>
      </c>
      <c r="I7180" s="1" t="str">
        <f ca="1">IFERROR(__xludf.DUMMYFUNCTION("GOOGLETRANSLATE(F7180, ""auto"", ""en"")
"),"I bought it for working with my laptop, watching movies and playing games. I chose LCD because plasmas are more expensive, plus they are better suited for a computer. The quality is not bad, the air pressure is a little tight, and there are not enough con"&amp;"nectors. Otherwise everything is fine, worth the money.")</f>
        <v>I bought it for working with my laptop, watching movies and playing games. I chose LCD because plasmas are more expensive, plus they are better suited for a computer. The quality is not bad, the air pressure is a little tight, and there are not enough connectors. Otherwise everything is fine, worth the money.</v>
      </c>
    </row>
    <row r="7181" spans="1:9" x14ac:dyDescent="0.3">
      <c r="A7181" s="1" t="s">
        <v>55</v>
      </c>
      <c r="B7181" s="1" t="s">
        <v>3549</v>
      </c>
      <c r="C7181" s="1" t="s">
        <v>57</v>
      </c>
      <c r="D7181" s="1" t="s">
        <v>891</v>
      </c>
      <c r="E7181" s="1" t="s">
        <v>597</v>
      </c>
      <c r="F7181" s="1" t="s">
        <v>11156</v>
      </c>
      <c r="G7181" s="1" t="s">
        <v>15</v>
      </c>
      <c r="H7181" s="1" t="s">
        <v>16</v>
      </c>
      <c r="I7181" s="1" t="str">
        <f ca="1">IFERROR(__xludf.DUMMYFUNCTION("GOOGLETRANSLATE(F7181, ""auto"", ""en"")
"),"Broke after a few months of fairly light use. Moreover, it broke so bad that the service center couldn’t even fix it.")</f>
        <v>Broke after a few months of fairly light use. Moreover, it broke so bad that the service center couldn’t even fix it.</v>
      </c>
    </row>
    <row r="7182" spans="1:9" x14ac:dyDescent="0.3">
      <c r="A7182" s="1" t="s">
        <v>9</v>
      </c>
      <c r="B7182" s="1" t="s">
        <v>137</v>
      </c>
      <c r="C7182" s="1" t="s">
        <v>63</v>
      </c>
      <c r="D7182" s="1" t="s">
        <v>308</v>
      </c>
      <c r="E7182" s="1" t="s">
        <v>11157</v>
      </c>
      <c r="F7182" s="1" t="s">
        <v>11158</v>
      </c>
      <c r="G7182" s="1" t="s">
        <v>49</v>
      </c>
      <c r="H7182" s="1" t="s">
        <v>16</v>
      </c>
      <c r="I7182" s="1" t="str">
        <f ca="1">IFERROR(__xludf.DUMMYFUNCTION("GOOGLETRANSLATE(F7182, ""auto"", ""en"")
"),"Installed a year after purchase for a number of reasons. The warranty has naturally expired.  The panel was stored in a cool, dark place :D But one of the taps does not hold and gas flows from it and from the burner when turned off.   This is the new Bosc"&amp;"h socket.  Of course, I do not recommend buying it.")</f>
        <v>Installed a year after purchase for a number of reasons. The warranty has naturally expired.  The panel was stored in a cool, dark place :D But one of the taps does not hold and gas flows from it and from the burner when turned off.   This is the new Bosch socket.  Of course, I do not recommend buying it.</v>
      </c>
    </row>
    <row r="7183" spans="1:9" x14ac:dyDescent="0.3">
      <c r="A7183" s="1" t="s">
        <v>37</v>
      </c>
      <c r="B7183" s="1" t="s">
        <v>38</v>
      </c>
      <c r="C7183" s="1" t="s">
        <v>39</v>
      </c>
      <c r="D7183" s="1" t="s">
        <v>11159</v>
      </c>
      <c r="E7183" s="1" t="s">
        <v>994</v>
      </c>
      <c r="F7183" s="1" t="s">
        <v>11160</v>
      </c>
      <c r="G7183" s="1" t="s">
        <v>36</v>
      </c>
      <c r="H7183" s="1" t="s">
        <v>29</v>
      </c>
      <c r="I7183" s="1" t="str">
        <f ca="1">IFERROR(__xludf.DUMMYFUNCTION("GOOGLETRANSLATE(F7183, ""auto"", ""en"")
"),"The phone is good, but I don’t recommend discharging it before turning it off")</f>
        <v>The phone is good, but I don’t recommend discharging it before turning it off</v>
      </c>
    </row>
    <row r="7184" spans="1:9" x14ac:dyDescent="0.3">
      <c r="A7184" s="1" t="s">
        <v>30</v>
      </c>
      <c r="B7184" s="1" t="s">
        <v>50</v>
      </c>
      <c r="C7184" s="1" t="s">
        <v>51</v>
      </c>
      <c r="D7184" s="1" t="s">
        <v>11161</v>
      </c>
      <c r="E7184" s="1" t="s">
        <v>225</v>
      </c>
      <c r="F7184" s="1" t="s">
        <v>11162</v>
      </c>
      <c r="G7184" s="1" t="s">
        <v>36</v>
      </c>
      <c r="H7184" s="1" t="s">
        <v>29</v>
      </c>
      <c r="I7184" s="1" t="str">
        <f ca="1">IFERROR(__xludf.DUMMYFUNCTION("GOOGLETRANSLATE(F7184, ""auto"", ""en"")
"),"A friend bought it at the beginning of summer!!! It’s a beast and not a laptop!!! Also from the beginning I thought that it had 4 cores!!! In general, I advise everyone who likes to play modern games at high settings!!! There was only 1 minus, a problem w"&amp;"ith directx 10!!! It seems like the potos has been fixed!!!")</f>
        <v>A friend bought it at the beginning of summer!!! It’s a beast and not a laptop!!! Also from the beginning I thought that it had 4 cores!!! In general, I advise everyone who likes to play modern games at high settings!!! There was only 1 minus, a problem with directx 10!!! It seems like the potos has been fixed!!!</v>
      </c>
    </row>
    <row r="7185" spans="1:9" x14ac:dyDescent="0.3">
      <c r="A7185" s="1" t="s">
        <v>17</v>
      </c>
      <c r="B7185" s="1" t="s">
        <v>18</v>
      </c>
      <c r="C7185" s="1" t="s">
        <v>151</v>
      </c>
      <c r="D7185" s="1" t="s">
        <v>39</v>
      </c>
      <c r="E7185" s="1" t="s">
        <v>2371</v>
      </c>
      <c r="F7185" s="1" t="s">
        <v>11163</v>
      </c>
      <c r="G7185" s="1" t="s">
        <v>28</v>
      </c>
      <c r="H7185" s="1" t="s">
        <v>29</v>
      </c>
      <c r="I7185" s="1" t="str">
        <f ca="1">IFERROR(__xludf.DUMMYFUNCTION("GOOGLETRANSLATE(F7185, ""auto"", ""en"")
"),"I purchased this machine a couple of days ago. I won’t describe it for a long time, but I will say that it copes with its functions well, but it rattles quite a lot when spinning (it is installed correctly) and the engine makes strange sounds a la a trans"&amp;"former. After chatting online, I realized that no one has had this happen to me and this is within the rules.&amp;nbsp;")</f>
        <v>I purchased this machine a couple of days ago. I won’t describe it for a long time, but I will say that it copes with its functions well, but it rattles quite a lot when spinning (it is installed correctly) and the engine makes strange sounds a la a transformer. After chatting online, I realized that no one has had this happen to me and this is within the rules.&amp;nbsp;</v>
      </c>
    </row>
    <row r="7186" spans="1:9" x14ac:dyDescent="0.3">
      <c r="A7186" s="1" t="s">
        <v>95</v>
      </c>
      <c r="B7186" s="1" t="s">
        <v>648</v>
      </c>
      <c r="C7186" s="1" t="s">
        <v>97</v>
      </c>
      <c r="D7186" s="1" t="s">
        <v>891</v>
      </c>
      <c r="E7186" s="1" t="s">
        <v>2432</v>
      </c>
      <c r="F7186" s="1" t="s">
        <v>11164</v>
      </c>
      <c r="G7186" s="1" t="s">
        <v>36</v>
      </c>
      <c r="H7186" s="1" t="s">
        <v>29</v>
      </c>
      <c r="I7186" s="1" t="str">
        <f ca="1">IFERROR(__xludf.DUMMYFUNCTION("GOOGLETRANSLATE(F7186, ""auto"", ""en"")
"),"In my opinion, this is the best of all psps - stylish, convenient, fast multimedia and a super thing.")</f>
        <v>In my opinion, this is the best of all psps - stylish, convenient, fast multimedia and a super thing.</v>
      </c>
    </row>
    <row r="7187" spans="1:9" x14ac:dyDescent="0.3">
      <c r="A7187" s="1" t="s">
        <v>61</v>
      </c>
      <c r="B7187" s="1" t="s">
        <v>224</v>
      </c>
      <c r="C7187" s="1" t="s">
        <v>85</v>
      </c>
      <c r="D7187" s="1" t="s">
        <v>11165</v>
      </c>
      <c r="E7187" s="1" t="s">
        <v>4648</v>
      </c>
      <c r="F7187" s="1" t="s">
        <v>11166</v>
      </c>
      <c r="G7187" s="1" t="s">
        <v>28</v>
      </c>
      <c r="H7187" s="1" t="s">
        <v>29</v>
      </c>
      <c r="I7187" s="1" t="str">
        <f ca="1">IFERROR(__xludf.DUMMYFUNCTION("GOOGLETRANSLATE(F7187, ""auto"", ""en"")
"),"This is actually an old model, mine is 3 years old. During this time, I harvested 2 apple crops on the plot, and it is still working. Pros: works great. Remember that raw materials vary. The electrical part is very well made - it does not overheat, does n"&amp;"ot flood, and is easy to clean. Disadvantages: for large volumes, the round pulp container must be removed and cleaned endlessly, approximately once per liter. There are internal cavities that cannot be washed; pulp accumulates there.")</f>
        <v>This is actually an old model, mine is 3 years old. During this time, I harvested 2 apple crops on the plot, and it is still working. Pros: works great. Remember that raw materials vary. The electrical part is very well made - it does not overheat, does not flood, and is easy to clean. Disadvantages: for large volumes, the round pulp container must be removed and cleaned endlessly, approximately once per liter. There are internal cavities that cannot be washed; pulp accumulates there.</v>
      </c>
    </row>
    <row r="7188" spans="1:9" x14ac:dyDescent="0.3">
      <c r="A7188" s="1" t="s">
        <v>120</v>
      </c>
      <c r="B7188" s="1" t="s">
        <v>121</v>
      </c>
      <c r="C7188" s="1" t="s">
        <v>69</v>
      </c>
      <c r="D7188" s="1" t="s">
        <v>52</v>
      </c>
      <c r="E7188" s="1" t="s">
        <v>1228</v>
      </c>
      <c r="F7188" s="1" t="s">
        <v>11167</v>
      </c>
      <c r="G7188" s="1" t="s">
        <v>36</v>
      </c>
      <c r="H7188" s="1" t="s">
        <v>29</v>
      </c>
      <c r="I7188" s="1" t="str">
        <f ca="1">IFERROR(__xludf.DUMMYFUNCTION("GOOGLETRANSLATE(F7188, ""auto"", ""en"")
"),"I chose the TV for SP3. When I had a choice in purchasing, I first chose Sonya (50 hertz), the seller said that a 100 hertz TV was better for SP3, I bought a Philips 32 PFL 7404H/60. I also bought an HDMI cable. I connected all this, and lo and behold, fo"&amp;"r the first time, everything in technology suits me. with a small but very important BUT! Now future SP3 owners pay attention! I encountered the following problem: when I turned on SP3 via HDMI, ripples (flickering dots) appeared. This problem occurs when"&amp;" using a cheap HDMI cable. And this can be solved very simply: in the settings we set “interference suppression”, select the “medium” level - and the picture is perfect.")</f>
        <v>I chose the TV for SP3. When I had a choice in purchasing, I first chose Sonya (50 hertz), the seller said that a 100 hertz TV was better for SP3, I bought a Philips 32 PFL 7404H/60. I also bought an HDMI cable. I connected all this, and lo and behold, for the first time, everything in technology suits me. with a small but very important BUT! Now future SP3 owners pay attention! I encountered the following problem: when I turned on SP3 via HDMI, ripples (flickering dots) appeared. This problem occurs when using a cheap HDMI cable. And this can be solved very simply: in the settings we set “interference suppression”, select the “medium” level - and the picture is perfect.</v>
      </c>
    </row>
    <row r="7189" spans="1:9" x14ac:dyDescent="0.3">
      <c r="A7189" s="1" t="s">
        <v>9</v>
      </c>
      <c r="B7189" s="1" t="s">
        <v>23</v>
      </c>
      <c r="C7189" s="1" t="s">
        <v>63</v>
      </c>
      <c r="D7189" s="1" t="s">
        <v>471</v>
      </c>
      <c r="E7189" s="1" t="s">
        <v>11168</v>
      </c>
      <c r="F7189" s="1" t="s">
        <v>11169</v>
      </c>
      <c r="G7189" s="1" t="s">
        <v>36</v>
      </c>
      <c r="H7189" s="1" t="s">
        <v>29</v>
      </c>
      <c r="I7189" s="1" t="str">
        <f ca="1">IFERROR(__xludf.DUMMYFUNCTION("GOOGLETRANSLATE(F7189, ""auto"", ""en"")
"),"Cool machine! Even if you leave it for 29 minutes (45 degrees), it will wash all the dishes, leaving them without streaks and scale.")</f>
        <v>Cool machine! Even if you leave it for 29 minutes (45 degrees), it will wash all the dishes, leaving them without streaks and scale.</v>
      </c>
    </row>
    <row r="7190" spans="1:9" x14ac:dyDescent="0.3">
      <c r="A7190" s="1" t="s">
        <v>61</v>
      </c>
      <c r="B7190" s="1" t="s">
        <v>977</v>
      </c>
      <c r="C7190" s="1" t="s">
        <v>101</v>
      </c>
      <c r="D7190" s="1" t="s">
        <v>1042</v>
      </c>
      <c r="E7190" s="1" t="s">
        <v>9041</v>
      </c>
      <c r="F7190" s="1" t="s">
        <v>11170</v>
      </c>
      <c r="G7190" s="1" t="s">
        <v>28</v>
      </c>
      <c r="H7190" s="1" t="s">
        <v>29</v>
      </c>
      <c r="I7190" s="1" t="str">
        <f ca="1">IFERROR(__xludf.DUMMYFUNCTION("GOOGLETRANSLATE(F7190, ""auto"", ""en"")
"),"I had one of these at work, I work as a cook myself, I was very pleased with it. Lasted for 4 years, with heavy use. I ordered it on the Internet and it was much cheaper.) I’m waiting for it to arrive) So I think it’s a great thing)")</f>
        <v>I had one of these at work, I work as a cook myself, I was very pleased with it. Lasted for 4 years, with heavy use. I ordered it on the Internet and it was much cheaper.) I’m waiting for it to arrive) So I think it’s a great thing)</v>
      </c>
    </row>
    <row r="7191" spans="1:9" x14ac:dyDescent="0.3">
      <c r="A7191" s="1" t="s">
        <v>17</v>
      </c>
      <c r="B7191" s="1" t="s">
        <v>18</v>
      </c>
      <c r="C7191" s="1" t="s">
        <v>134</v>
      </c>
      <c r="D7191" s="1" t="s">
        <v>6081</v>
      </c>
      <c r="E7191" s="1" t="s">
        <v>10576</v>
      </c>
      <c r="F7191" s="1" t="s">
        <v>11171</v>
      </c>
      <c r="G7191" s="1" t="s">
        <v>36</v>
      </c>
      <c r="H7191" s="1" t="s">
        <v>29</v>
      </c>
      <c r="I7191" s="1" t="str">
        <f ca="1">IFERROR(__xludf.DUMMYFUNCTION("GOOGLETRANSLATE(F7191, ""auto"", ""en"")
"),"To say that the car is excellent is to say nothing. There is a new, reliable, silent engine. It washes very quietly, the engine noise is almost inaudible, only the squelching of things. Very little water is spent on washing, and besides, it determines how"&amp;" much to add, and at the same time rinses perfectly. We don’t use conditioner, but at the same time, the laundry turns out soft. Add just a little powder. The washing quality is excellent. It squeezes like a beast, but at the same time very delicately. Du"&amp;"ring the spin process, the laundry is balanced, due to which the machine does not jump at maximum speed. And there are many more advantages. Compared to the old one, heaven and earth. Take it - you won't regret it.")</f>
        <v>To say that the car is excellent is to say nothing. There is a new, reliable, silent engine. It washes very quietly, the engine noise is almost inaudible, only the squelching of things. Very little water is spent on washing, and besides, it determines how much to add, and at the same time rinses perfectly. We don’t use conditioner, but at the same time, the laundry turns out soft. Add just a little powder. The washing quality is excellent. It squeezes like a beast, but at the same time very delicately. During the spin process, the laundry is balanced, due to which the machine does not jump at maximum speed. And there are many more advantages. Compared to the old one, heaven and earth. Take it - you won't regret it.</v>
      </c>
    </row>
    <row r="7192" spans="1:9" x14ac:dyDescent="0.3">
      <c r="A7192" s="1" t="s">
        <v>120</v>
      </c>
      <c r="B7192" s="1" t="s">
        <v>121</v>
      </c>
      <c r="C7192" s="1" t="s">
        <v>80</v>
      </c>
      <c r="D7192" s="1" t="s">
        <v>335</v>
      </c>
      <c r="E7192" s="1" t="s">
        <v>2298</v>
      </c>
      <c r="F7192" s="1" t="s">
        <v>11172</v>
      </c>
      <c r="G7192" s="1" t="s">
        <v>28</v>
      </c>
      <c r="H7192" s="1" t="s">
        <v>29</v>
      </c>
      <c r="I7192" s="1" t="str">
        <f ca="1">IFERROR(__xludf.DUMMYFUNCTION("GOOGLETRANSLATE(F7192, ""auto"", ""en"")
"),"Hello to all users of this TV. I have 2 questions, I ask for your help! (When we bought it, we were told that it supports digital TV, so I looked - and indeed there is a digital tuner, DVB-T (SO!), and our cable operator switched to digital mode, for whic"&amp;"h we need a DVB-C digital tuner! What should we do now? Shouldn’t we watch digital TV? (And another question in the descriptions is there a “picture in picture” function... I don’t see it instructions for this... how to do this? Isn’t this just “extra adv"&amp;"ertising” to mislead buyers? Also, teletext doesn’t work for me and I have questions about the firmware... I ask you to contact me on ICQ if you have any questions :* But in general, the TV is good for the money :) Thanks for your attention.")</f>
        <v>Hello to all users of this TV. I have 2 questions, I ask for your help! (When we bought it, we were told that it supports digital TV, so I looked - and indeed there is a digital tuner, DVB-T (SO!), and our cable operator switched to digital mode, for which we need a DVB-C digital tuner! What should we do now? Shouldn’t we watch digital TV? (And another question in the descriptions is there a “picture in picture” function... I don’t see it instructions for this... how to do this? Isn’t this just “extra advertising” to mislead buyers? Also, teletext doesn’t work for me and I have questions about the firmware... I ask you to contact me on ICQ if you have any questions :* But in general, the TV is good for the money :) Thanks for your attention.</v>
      </c>
    </row>
    <row r="7193" spans="1:9" x14ac:dyDescent="0.3">
      <c r="A7193" s="1" t="s">
        <v>30</v>
      </c>
      <c r="B7193" s="1" t="s">
        <v>50</v>
      </c>
      <c r="C7193" s="1" t="s">
        <v>151</v>
      </c>
      <c r="D7193" s="1" t="s">
        <v>521</v>
      </c>
      <c r="E7193" s="1" t="s">
        <v>750</v>
      </c>
      <c r="F7193" s="1" t="s">
        <v>11173</v>
      </c>
      <c r="G7193" s="1" t="s">
        <v>36</v>
      </c>
      <c r="H7193" s="1" t="s">
        <v>29</v>
      </c>
      <c r="I7193" s="1" t="str">
        <f ca="1">IFERROR(__xludf.DUMMYFUNCTION("GOOGLETRANSLATE(F7193, ""auto"", ""en"")
"),"I really liked the laptop, but I just don’t understand why it doesn’t watch DVDs - it writes something in English, something needs to be activated, enter some kind of key or code - I don’t understand, can someone help me, where can I get it from?")</f>
        <v>I really liked the laptop, but I just don’t understand why it doesn’t watch DVDs - it writes something in English, something needs to be activated, enter some kind of key or code - I don’t understand, can someone help me, where can I get it from?</v>
      </c>
    </row>
    <row r="7194" spans="1:9" x14ac:dyDescent="0.3">
      <c r="A7194" s="1" t="s">
        <v>43</v>
      </c>
      <c r="B7194" s="1" t="s">
        <v>303</v>
      </c>
      <c r="C7194" s="1" t="s">
        <v>220</v>
      </c>
      <c r="D7194" s="1" t="s">
        <v>896</v>
      </c>
      <c r="E7194" s="1" t="s">
        <v>3444</v>
      </c>
      <c r="F7194" s="1" t="s">
        <v>11174</v>
      </c>
      <c r="G7194" s="1" t="s">
        <v>28</v>
      </c>
      <c r="H7194" s="1" t="s">
        <v>29</v>
      </c>
      <c r="I7194" s="1" t="str">
        <f ca="1">IFERROR(__xludf.DUMMYFUNCTION("GOOGLETRANSLATE(F7194, ""auto"", ""en"")
"),"An excellent water heater, we have been using it for many years now and the whole family remains satisfied year after year! The main thing is not to forget to drain the water from the tank at the end of using the water heater and then there will be no pro"&amp;"blems with it. We have a family of 4 people and it is enough for us, it heats up quite quickly and maintains the temperature for a long time. In general, we are very pleased with this device and would hardly agree to another!!!")</f>
        <v>An excellent water heater, we have been using it for many years now and the whole family remains satisfied year after year! The main thing is not to forget to drain the water from the tank at the end of using the water heater and then there will be no problems with it. We have a family of 4 people and it is enough for us, it heats up quite quickly and maintains the temperature for a long time. In general, we are very pleased with this device and would hardly agree to another!!!</v>
      </c>
    </row>
    <row r="7195" spans="1:9" x14ac:dyDescent="0.3">
      <c r="A7195" s="1" t="s">
        <v>9</v>
      </c>
      <c r="B7195" s="1" t="s">
        <v>133</v>
      </c>
      <c r="C7195" s="1" t="s">
        <v>466</v>
      </c>
      <c r="D7195" s="1" t="s">
        <v>1055</v>
      </c>
      <c r="E7195" s="1" t="s">
        <v>1051</v>
      </c>
      <c r="F7195" s="1" t="s">
        <v>11175</v>
      </c>
      <c r="G7195" s="1" t="s">
        <v>49</v>
      </c>
      <c r="H7195" s="1" t="s">
        <v>16</v>
      </c>
      <c r="I7195" s="1" t="str">
        <f ca="1">IFERROR(__xludf.DUMMYFUNCTION("GOOGLETRANSLATE(F7195, ""auto"", ""en"")
"),"After a year of use, and we did not use it often, the lower heating element gradually stopped heating - it turned out to be burnt out, and the thermostat light was also missing, we discovered this too late, it was a dummy. It always gave off an unpleasant"&amp;" smell when cooking (even the hood didn’t help). We really regretted the purchase.")</f>
        <v>After a year of use, and we did not use it often, the lower heating element gradually stopped heating - it turned out to be burnt out, and the thermostat light was also missing, we discovered this too late, it was a dummy. It always gave off an unpleasant smell when cooking (even the hood didn’t help). We really regretted the purchase.</v>
      </c>
    </row>
    <row r="7196" spans="1:9" x14ac:dyDescent="0.3">
      <c r="A7196" s="1" t="s">
        <v>61</v>
      </c>
      <c r="B7196" s="1" t="s">
        <v>224</v>
      </c>
      <c r="C7196" s="1" t="s">
        <v>85</v>
      </c>
      <c r="D7196" s="1" t="s">
        <v>11176</v>
      </c>
      <c r="E7196" s="1" t="s">
        <v>715</v>
      </c>
      <c r="F7196" s="1" t="s">
        <v>11177</v>
      </c>
      <c r="G7196" s="1" t="s">
        <v>36</v>
      </c>
      <c r="H7196" s="1" t="s">
        <v>29</v>
      </c>
      <c r="I7196" s="1" t="str">
        <f ca="1">IFERROR(__xludf.DUMMYFUNCTION("GOOGLETRANSLATE(F7196, ""auto"", ""en"")
"),"I bought Sednya, it produces good juice and is silent. So far I'm happy with the purchase, it was delivered quickly.")</f>
        <v>I bought Sednya, it produces good juice and is silent. So far I'm happy with the purchase, it was delivered quickly.</v>
      </c>
    </row>
    <row r="7197" spans="1:9" x14ac:dyDescent="0.3">
      <c r="A7197" s="1" t="s">
        <v>43</v>
      </c>
      <c r="B7197" s="1" t="s">
        <v>44</v>
      </c>
      <c r="C7197" s="1" t="s">
        <v>45</v>
      </c>
      <c r="D7197" s="1" t="s">
        <v>385</v>
      </c>
      <c r="E7197" s="1" t="s">
        <v>2998</v>
      </c>
      <c r="F7197" s="1" t="s">
        <v>11178</v>
      </c>
      <c r="G7197" s="1" t="s">
        <v>49</v>
      </c>
      <c r="H7197" s="1" t="s">
        <v>16</v>
      </c>
      <c r="I7197" s="1" t="str">
        <f ca="1">IFERROR(__xludf.DUMMYFUNCTION("GOOGLETRANSLATE(F7197, ""auto"", ""en"")
"),"Not the best choice of my life! I bought it, assembled it, worked for exactly 4 days, then it just didn’t turn on and that’s it. I went to exchange, they took it without any problems, money on the card. I do not recommend this product!")</f>
        <v>Not the best choice of my life! I bought it, assembled it, worked for exactly 4 days, then it just didn’t turn on and that’s it. I went to exchange, they took it without any problems, money on the card. I do not recommend this product!</v>
      </c>
    </row>
    <row r="7198" spans="1:9" x14ac:dyDescent="0.3">
      <c r="A7198" s="1" t="s">
        <v>30</v>
      </c>
      <c r="B7198" s="1" t="s">
        <v>50</v>
      </c>
      <c r="C7198" s="1" t="s">
        <v>32</v>
      </c>
      <c r="D7198" s="1" t="s">
        <v>1835</v>
      </c>
      <c r="E7198" s="1" t="s">
        <v>998</v>
      </c>
      <c r="F7198" s="1" t="s">
        <v>11179</v>
      </c>
      <c r="G7198" s="1" t="s">
        <v>28</v>
      </c>
      <c r="H7198" s="1" t="s">
        <v>29</v>
      </c>
      <c r="I7198" s="1" t="str">
        <f ca="1">IFERROR(__xludf.DUMMYFUNCTION("GOOGLETRANSLATE(F7198, ""auto"", ""en"")
"),"With firewood, everything goes with the current zver cd\dvd, it’s better to install it, but it will consume more RAM")</f>
        <v>With firewood, everything goes with the current zver cd\dvd, it’s better to install it, but it will consume more RAM</v>
      </c>
    </row>
    <row r="7199" spans="1:9" x14ac:dyDescent="0.3">
      <c r="A7199" s="1" t="s">
        <v>557</v>
      </c>
      <c r="B7199" s="1" t="s">
        <v>558</v>
      </c>
      <c r="C7199" s="1" t="s">
        <v>11180</v>
      </c>
      <c r="D7199" s="1" t="s">
        <v>1613</v>
      </c>
      <c r="E7199" s="1" t="s">
        <v>8466</v>
      </c>
      <c r="F7199" s="1" t="s">
        <v>11181</v>
      </c>
      <c r="G7199" s="1" t="s">
        <v>15</v>
      </c>
      <c r="H7199" s="1" t="s">
        <v>16</v>
      </c>
      <c r="I7199" s="1" t="str">
        <f ca="1">IFERROR(__xludf.DUMMYFUNCTION("GOOGLETRANSLATE(F7199, ""auto"", ""en"")
"),"Stylish phone, but unfinished. The buttons are pressed poorly and squeak. Sometimes you have to push to listen to messages on your answering machine. A year later the battery died, which you can’t buy anywhere either, you have to go to a service center.")</f>
        <v>Stylish phone, but unfinished. The buttons are pressed poorly and squeak. Sometimes you have to push to listen to messages on your answering machine. A year later the battery died, which you can’t buy anywhere either, you have to go to a service center.</v>
      </c>
    </row>
    <row r="7200" spans="1:9" x14ac:dyDescent="0.3">
      <c r="A7200" s="1" t="s">
        <v>30</v>
      </c>
      <c r="B7200" s="1" t="s">
        <v>50</v>
      </c>
      <c r="C7200" s="1" t="s">
        <v>32</v>
      </c>
      <c r="D7200" s="1" t="s">
        <v>11182</v>
      </c>
      <c r="E7200" s="1" t="s">
        <v>2735</v>
      </c>
      <c r="F7200" s="1" t="s">
        <v>11183</v>
      </c>
      <c r="G7200" s="1" t="s">
        <v>36</v>
      </c>
      <c r="H7200" s="1" t="s">
        <v>29</v>
      </c>
      <c r="I7200" s="1" t="str">
        <f ca="1">IFERROR(__xludf.DUMMYFUNCTION("GOOGLETRANSLATE(F7200, ""auto"", ""en"")
"),"2 Sergey. The laptop has a connector called SATA 2, it is universal, you can also insert a regular USB there, so all 4 USB connectors are in place.")</f>
        <v>2 Sergey. The laptop has a connector called SATA 2, it is universal, you can also insert a regular USB there, so all 4 USB connectors are in place.</v>
      </c>
    </row>
    <row r="7201" spans="1:9" x14ac:dyDescent="0.3">
      <c r="A7201" s="1" t="s">
        <v>61</v>
      </c>
      <c r="B7201" s="1" t="s">
        <v>145</v>
      </c>
      <c r="C7201" s="1" t="s">
        <v>45</v>
      </c>
      <c r="D7201" s="1" t="s">
        <v>8069</v>
      </c>
      <c r="E7201" s="1" t="s">
        <v>3080</v>
      </c>
      <c r="F7201" s="1" t="s">
        <v>11184</v>
      </c>
      <c r="G7201" s="1" t="s">
        <v>36</v>
      </c>
      <c r="H7201" s="1" t="s">
        <v>29</v>
      </c>
      <c r="I7201" s="1" t="str">
        <f ca="1">IFERROR(__xludf.DUMMYFUNCTION("GOOGLETRANSLATE(F7201, ""auto"", ""en"")
"),"Cool thing!!!!!!fast, beautifully delicious!!!! I recommend it to everyone")</f>
        <v>Cool thing!!!!!!fast, beautifully delicious!!!! I recommend it to everyone</v>
      </c>
    </row>
    <row r="7202" spans="1:9" x14ac:dyDescent="0.3">
      <c r="A7202" s="1" t="s">
        <v>55</v>
      </c>
      <c r="B7202" s="1" t="s">
        <v>752</v>
      </c>
      <c r="C7202" s="1" t="s">
        <v>185</v>
      </c>
      <c r="D7202" s="1" t="s">
        <v>695</v>
      </c>
      <c r="E7202" s="1" t="s">
        <v>5081</v>
      </c>
      <c r="F7202" s="1" t="s">
        <v>11185</v>
      </c>
      <c r="G7202" s="1" t="s">
        <v>36</v>
      </c>
      <c r="H7202" s="1" t="s">
        <v>29</v>
      </c>
      <c r="I7202" s="1" t="str">
        <f ca="1">IFERROR(__xludf.DUMMYFUNCTION("GOOGLETRANSLATE(F7202, ""auto"", ""en"")
"),"Great radiator! Nice design, very powerful, silent. Buy it, you won't regret it!")</f>
        <v>Great radiator! Nice design, very powerful, silent. Buy it, you won't regret it!</v>
      </c>
    </row>
    <row r="7203" spans="1:9" x14ac:dyDescent="0.3">
      <c r="A7203" s="1" t="s">
        <v>61</v>
      </c>
      <c r="B7203" s="1" t="s">
        <v>318</v>
      </c>
      <c r="C7203" s="1" t="s">
        <v>63</v>
      </c>
      <c r="D7203" s="1" t="s">
        <v>589</v>
      </c>
      <c r="E7203" s="1" t="s">
        <v>9445</v>
      </c>
      <c r="F7203" s="1" t="s">
        <v>11186</v>
      </c>
      <c r="G7203" s="1" t="s">
        <v>15</v>
      </c>
      <c r="H7203" s="1" t="s">
        <v>16</v>
      </c>
      <c r="I7203" s="1" t="str">
        <f ca="1">IFERROR(__xludf.DUMMYFUNCTION("GOOGLETRANSLATE(F7203, ""auto"", ""en"")
"),"Beautiful and stylish. This is where all its advantages end. I'll start with the fact that very... It is inconvenient to pour water into the kettle - the design of the lid is poor. The water level is not very clearly visible through the window, because..."&amp;" The plastic of the window is not completely transparent, but matte. Well, the most important thing is that the kettle leaked after 1.5 years of operation, for Bosch this is simply unforgivable. I don't recommend it")</f>
        <v>Beautiful and stylish. This is where all its advantages end. I'll start with the fact that very... It is inconvenient to pour water into the kettle - the design of the lid is poor. The water level is not very clearly visible through the window, because... The plastic of the window is not completely transparent, but matte. Well, the most important thing is that the kettle leaked after 1.5 years of operation, for Bosch this is simply unforgivable. I don't recommend it</v>
      </c>
    </row>
    <row r="7204" spans="1:9" x14ac:dyDescent="0.3">
      <c r="A7204" s="1" t="s">
        <v>211</v>
      </c>
      <c r="B7204" s="1" t="s">
        <v>212</v>
      </c>
      <c r="C7204" s="1" t="s">
        <v>63</v>
      </c>
      <c r="D7204" s="1" t="s">
        <v>32</v>
      </c>
      <c r="E7204" s="1" t="s">
        <v>3244</v>
      </c>
      <c r="F7204" s="1" t="s">
        <v>11187</v>
      </c>
      <c r="G7204" s="1" t="s">
        <v>36</v>
      </c>
      <c r="H7204" s="1" t="s">
        <v>29</v>
      </c>
      <c r="I7204" s="1" t="str">
        <f ca="1">IFERROR(__xludf.DUMMYFUNCTION("GOOGLETRANSLATE(F7204, ""auto"", ""en"")
"),"Very pleased! I have been using it daily for 8 years. I have medium length hair, first I use a regular hairdryer with a power of 2000, then I style it with a brush. I only use one attachment, the rest are really useless!!! Over time, the nozzle began to m"&amp;"elt and become slightly deformed at the base ((It’s a pity that you can’t buy the nozzle separately. I’m very used to it, I’ll buy a new one!")</f>
        <v>Very pleased! I have been using it daily for 8 years. I have medium length hair, first I use a regular hairdryer with a power of 2000, then I style it with a brush. I only use one attachment, the rest are really useless!!! Over time, the nozzle began to melt and become slightly deformed at the base ((It’s a pity that you can’t buy the nozzle separately. I’m very used to it, I’ll buy a new one!</v>
      </c>
    </row>
    <row r="7205" spans="1:9" x14ac:dyDescent="0.3">
      <c r="A7205" s="1" t="s">
        <v>169</v>
      </c>
      <c r="B7205" s="1" t="s">
        <v>170</v>
      </c>
      <c r="C7205" s="1" t="s">
        <v>122</v>
      </c>
      <c r="D7205" s="1" t="s">
        <v>152</v>
      </c>
      <c r="E7205" s="1" t="s">
        <v>3861</v>
      </c>
      <c r="F7205" s="1" t="s">
        <v>11188</v>
      </c>
      <c r="G7205" s="1" t="s">
        <v>36</v>
      </c>
      <c r="H7205" s="1" t="s">
        <v>29</v>
      </c>
      <c r="I7205" s="1" t="str">
        <f ca="1">IFERROR(__xludf.DUMMYFUNCTION("GOOGLETRANSLATE(F7205, ""auto"", ""en"")
"),"It depends on everyone, but for me the main thing was the length of 5 meters of cable, and in addition the sound is simply super!!!")</f>
        <v>It depends on everyone, but for me the main thing was the length of 5 meters of cable, and in addition the sound is simply super!!!</v>
      </c>
    </row>
    <row r="7206" spans="1:9" x14ac:dyDescent="0.3">
      <c r="A7206" s="1" t="s">
        <v>149</v>
      </c>
      <c r="B7206" s="1" t="s">
        <v>155</v>
      </c>
      <c r="C7206" s="1" t="s">
        <v>80</v>
      </c>
      <c r="D7206" s="1" t="s">
        <v>247</v>
      </c>
      <c r="E7206" s="1" t="s">
        <v>6875</v>
      </c>
      <c r="F7206" s="1" t="s">
        <v>11189</v>
      </c>
      <c r="G7206" s="1" t="s">
        <v>36</v>
      </c>
      <c r="H7206" s="1" t="s">
        <v>29</v>
      </c>
      <c r="I7206" s="1" t="str">
        <f ca="1">IFERROR(__xludf.DUMMYFUNCTION("GOOGLETRANSLATE(F7206, ""auto"", ""en"")
"),"We spent a long time choosing a vacuum cleaner model from this brand and settled on this unit. Just bought it today and tried it right away. So far we have only used a regular carpet brush, so I can’t say anything about the turbo brush yet. The suction po"&amp;"wer (despite the fact that 370 W compared to the same ones with 420 W) is very good - if you vacuum at full power, it is really difficult to tear the brush off the carpet! It collected a lot of dust and dirt, and of course, compared to vacuum cleaners of "&amp;"older models, the collected dust is not thrown back into the air. Very compact, easy to use, beautiful design. Assembled REALLY IN KOREA - not China. It collects dust and debris into compressed lumps and makes a sound when turned on and when the garbage c"&amp;"ontainer is full. Very happy with the purchase, I recommend it to everyone!")</f>
        <v>We spent a long time choosing a vacuum cleaner model from this brand and settled on this unit. Just bought it today and tried it right away. So far we have only used a regular carpet brush, so I can’t say anything about the turbo brush yet. The suction power (despite the fact that 370 W compared to the same ones with 420 W) is very good - if you vacuum at full power, it is really difficult to tear the brush off the carpet! It collected a lot of dust and dirt, and of course, compared to vacuum cleaners of older models, the collected dust is not thrown back into the air. Very compact, easy to use, beautiful design. Assembled REALLY IN KOREA - not China. It collects dust and debris into compressed lumps and makes a sound when turned on and when the garbage container is full. Very happy with the purchase, I recommend it to everyone!</v>
      </c>
    </row>
    <row r="7207" spans="1:9" x14ac:dyDescent="0.3">
      <c r="A7207" s="1" t="s">
        <v>89</v>
      </c>
      <c r="B7207" s="1" t="s">
        <v>90</v>
      </c>
      <c r="C7207" s="1" t="s">
        <v>57</v>
      </c>
      <c r="D7207" s="1" t="s">
        <v>171</v>
      </c>
      <c r="E7207" s="1" t="s">
        <v>7593</v>
      </c>
      <c r="F7207" s="1" t="s">
        <v>11190</v>
      </c>
      <c r="G7207" s="1" t="s">
        <v>28</v>
      </c>
      <c r="H7207" s="1" t="s">
        <v>29</v>
      </c>
      <c r="I7207" s="1" t="str">
        <f ca="1">IFERROR(__xludf.DUMMYFUNCTION("GOOGLETRANSLATE(F7207, ""auto"", ""en"")
"),"The coffee grinder is excellent. Quiet in terms of noise. I give it a 4 only for the tightness of the lid - coffee gets into the crack.")</f>
        <v>The coffee grinder is excellent. Quiet in terms of noise. I give it a 4 only for the tightness of the lid - coffee gets into the crack.</v>
      </c>
    </row>
    <row r="7208" spans="1:9" x14ac:dyDescent="0.3">
      <c r="A7208" s="1" t="s">
        <v>17</v>
      </c>
      <c r="B7208" s="1" t="s">
        <v>18</v>
      </c>
      <c r="C7208" s="1" t="s">
        <v>243</v>
      </c>
      <c r="D7208" s="1" t="s">
        <v>11191</v>
      </c>
      <c r="E7208" s="1" t="s">
        <v>661</v>
      </c>
      <c r="F7208" s="1" t="s">
        <v>11192</v>
      </c>
      <c r="G7208" s="1" t="s">
        <v>28</v>
      </c>
      <c r="H7208" s="1" t="s">
        <v>29</v>
      </c>
      <c r="I7208" s="1" t="str">
        <f ca="1">IFERROR(__xludf.DUMMYFUNCTION("GOOGLETRANSLATE(F7208, ""auto"", ""en"")
"),"I bought Indesit 6105 under the recycling program on May 1, 2011, and received a 2000 ruble discount on it!!! Satisfied, washes perfectly, quiet.")</f>
        <v>I bought Indesit 6105 under the recycling program on May 1, 2011, and received a 2000 ruble discount on it!!! Satisfied, washes perfectly, quiet.</v>
      </c>
    </row>
    <row r="7209" spans="1:9" x14ac:dyDescent="0.3">
      <c r="A7209" s="1" t="s">
        <v>211</v>
      </c>
      <c r="B7209" s="1" t="s">
        <v>212</v>
      </c>
      <c r="C7209" s="1" t="s">
        <v>294</v>
      </c>
      <c r="D7209" s="1" t="s">
        <v>4004</v>
      </c>
      <c r="E7209" s="1" t="s">
        <v>3038</v>
      </c>
      <c r="F7209" s="1" t="s">
        <v>11193</v>
      </c>
      <c r="G7209" s="1" t="s">
        <v>36</v>
      </c>
      <c r="H7209" s="1" t="s">
        <v>29</v>
      </c>
      <c r="I7209" s="1" t="str">
        <f ca="1">IFERROR(__xludf.DUMMYFUNCTION("GOOGLETRANSLATE(F7209, ""auto"", ""en"")
"),"Great hair device! I use it with pleasure - it pulls out even large strands of hair at once, there is no need to go over the same strand many times, which means it doesn’t burn the hair! Great effect for long hair! I recommend it to everyone! I want to bu"&amp;"y a second one (store it in another apartment).")</f>
        <v>Great hair device! I use it with pleasure - it pulls out even large strands of hair at once, there is no need to go over the same strand many times, which means it doesn’t burn the hair! Great effect for long hair! I recommend it to everyone! I want to buy a second one (store it in another apartment).</v>
      </c>
    </row>
    <row r="7210" spans="1:9" x14ac:dyDescent="0.3">
      <c r="A7210" s="1" t="s">
        <v>211</v>
      </c>
      <c r="B7210" s="1" t="s">
        <v>212</v>
      </c>
      <c r="C7210" s="1" t="s">
        <v>213</v>
      </c>
      <c r="D7210" s="1" t="s">
        <v>10335</v>
      </c>
      <c r="E7210" s="1" t="s">
        <v>2896</v>
      </c>
      <c r="F7210" s="1" t="s">
        <v>11194</v>
      </c>
      <c r="G7210" s="1" t="s">
        <v>36</v>
      </c>
      <c r="H7210" s="1" t="s">
        <v>29</v>
      </c>
      <c r="I7210" s="1" t="str">
        <f ca="1">IFERROR(__xludf.DUMMYFUNCTION("GOOGLETRANSLATE(F7210, ""auto"", ""en"")
"),"I went to the store to buy good quality tongs. I spent a long time choosing, of course, at first I was confused by the price, but I decided not to skimp, but to buy something worthwhile and of high quality. I am very pleased with the choice, although I wa"&amp;"nted to buy one with an ionizer so that my hair would not be electrified. I want to say that these tongs work great even without an ionizer. The ceramic plate heats up very quickly. I've probably had the tongs for over a year now and they still haven't le"&amp;"t me down, I use them very often. I’m also glad that you can regulate the temperature, naturally you don’t want to burn your hair =) I’m happy with the choice, and if I ever have to buy a new one, I’ll probably buy the same one.")</f>
        <v>I went to the store to buy good quality tongs. I spent a long time choosing, of course, at first I was confused by the price, but I decided not to skimp, but to buy something worthwhile and of high quality. I am very pleased with the choice, although I wanted to buy one with an ionizer so that my hair would not be electrified. I want to say that these tongs work great even without an ionizer. The ceramic plate heats up very quickly. I've probably had the tongs for over a year now and they still haven't let me down, I use them very often. I’m also glad that you can regulate the temperature, naturally you don’t want to burn your hair =) I’m happy with the choice, and if I ever have to buy a new one, I’ll probably buy the same one.</v>
      </c>
    </row>
    <row r="7211" spans="1:9" x14ac:dyDescent="0.3">
      <c r="A7211" s="1" t="s">
        <v>30</v>
      </c>
      <c r="B7211" s="1" t="s">
        <v>31</v>
      </c>
      <c r="C7211" s="1" t="s">
        <v>32</v>
      </c>
      <c r="D7211" s="1" t="s">
        <v>11195</v>
      </c>
      <c r="E7211" s="1" t="s">
        <v>1931</v>
      </c>
      <c r="F7211" s="1" t="s">
        <v>11196</v>
      </c>
      <c r="G7211" s="1" t="s">
        <v>36</v>
      </c>
      <c r="H7211" s="1" t="s">
        <v>29</v>
      </c>
      <c r="I7211" s="1" t="str">
        <f ca="1">IFERROR(__xludf.DUMMYFUNCTION("GOOGLETRANSLATE(F7211, ""auto"", ""en"")
"),"Arthur, gts240 is already a lot, the letter “s” says a lot about what gts240 is a gaming video card and games that require high numbers from the system will simply fly on this video card =) And besides, memory means a lot)) I know that")</f>
        <v>Arthur, gts240 is already a lot, the letter “s” says a lot about what gts240 is a gaming video card and games that require high numbers from the system will simply fly on this video card =) And besides, memory means a lot)) I know that</v>
      </c>
    </row>
    <row r="7212" spans="1:9" x14ac:dyDescent="0.3">
      <c r="A7212" s="1" t="s">
        <v>169</v>
      </c>
      <c r="B7212" s="1" t="s">
        <v>170</v>
      </c>
      <c r="C7212" s="1" t="s">
        <v>122</v>
      </c>
      <c r="D7212" s="1" t="s">
        <v>545</v>
      </c>
      <c r="E7212" s="1" t="s">
        <v>2802</v>
      </c>
      <c r="F7212" s="1" t="s">
        <v>11197</v>
      </c>
      <c r="G7212" s="1" t="s">
        <v>36</v>
      </c>
      <c r="H7212" s="1" t="s">
        <v>29</v>
      </c>
      <c r="I7212" s="1" t="str">
        <f ca="1">IFERROR(__xludf.DUMMYFUNCTION("GOOGLETRANSLATE(F7212, ""auto"", ""en"")
"),"Bought for a tablet for a child. Very comfortable: wide headband, very soft. No shortcomings have been identified so far.")</f>
        <v>Bought for a tablet for a child. Very comfortable: wide headband, very soft. No shortcomings have been identified so far.</v>
      </c>
    </row>
    <row r="7213" spans="1:9" x14ac:dyDescent="0.3">
      <c r="A7213" s="1" t="s">
        <v>169</v>
      </c>
      <c r="B7213" s="1" t="s">
        <v>170</v>
      </c>
      <c r="C7213" s="1" t="s">
        <v>69</v>
      </c>
      <c r="D7213" s="1" t="s">
        <v>3130</v>
      </c>
      <c r="E7213" s="1" t="s">
        <v>1086</v>
      </c>
      <c r="F7213" s="1" t="s">
        <v>11198</v>
      </c>
      <c r="G7213" s="1" t="s">
        <v>28</v>
      </c>
      <c r="H7213" s="1" t="s">
        <v>29</v>
      </c>
      <c r="I7213" s="1" t="str">
        <f ca="1">IFERROR(__xludf.DUMMYFUNCTION("GOOGLETRANSLATE(F7213, ""auto"", ""en"")
"),"Not bad headphones, the sound is clear, but the volume is not enough when you are traveling in public transport.")</f>
        <v>Not bad headphones, the sound is clear, but the volume is not enough when you are traveling in public transport.</v>
      </c>
    </row>
    <row r="7214" spans="1:9" x14ac:dyDescent="0.3">
      <c r="A7214" s="1" t="s">
        <v>61</v>
      </c>
      <c r="B7214" s="1" t="s">
        <v>977</v>
      </c>
      <c r="C7214" s="1" t="s">
        <v>85</v>
      </c>
      <c r="D7214" s="1" t="s">
        <v>305</v>
      </c>
      <c r="E7214" s="1" t="s">
        <v>6618</v>
      </c>
      <c r="F7214" s="1" t="s">
        <v>11199</v>
      </c>
      <c r="G7214" s="1" t="s">
        <v>36</v>
      </c>
      <c r="H7214" s="1" t="s">
        <v>29</v>
      </c>
      <c r="I7214" s="1" t="str">
        <f ca="1">IFERROR(__xludf.DUMMYFUNCTION("GOOGLETRANSLATE(F7214, ""auto"", ""en"")
"),"In short: I’ve been using it for over a year: the cocktails are great, if you know the recipes, you can make a lot of delicious sauces, it chops everything down to minced meat. Very powerful, very stylish, takes up little space! I have never regretted the"&amp;" purchase!")</f>
        <v>In short: I’ve been using it for over a year: the cocktails are great, if you know the recipes, you can make a lot of delicious sauces, it chops everything down to minced meat. Very powerful, very stylish, takes up little space! I have never regretted the purchase!</v>
      </c>
    </row>
    <row r="7215" spans="1:9" x14ac:dyDescent="0.3">
      <c r="A7215" s="1" t="s">
        <v>120</v>
      </c>
      <c r="B7215" s="1" t="s">
        <v>196</v>
      </c>
      <c r="C7215" s="1" t="s">
        <v>80</v>
      </c>
      <c r="D7215" s="1" t="s">
        <v>11200</v>
      </c>
      <c r="E7215" s="1" t="s">
        <v>288</v>
      </c>
      <c r="F7215" s="1" t="s">
        <v>11201</v>
      </c>
      <c r="G7215" s="1" t="s">
        <v>36</v>
      </c>
      <c r="H7215" s="1" t="s">
        <v>29</v>
      </c>
      <c r="I7215" s="1" t="str">
        <f ca="1">IFERROR(__xludf.DUMMYFUNCTION("GOOGLETRANSLATE(F7215, ""auto"", ""en"")
"),"I checked everything, everything seems to be fine. Ilya, correct the instructions a little.... Contact me, I’ll help!")</f>
        <v>I checked everything, everything seems to be fine. Ilya, correct the instructions a little.... Contact me, I’ll help!</v>
      </c>
    </row>
    <row r="7216" spans="1:9" x14ac:dyDescent="0.3">
      <c r="A7216" s="1" t="s">
        <v>111</v>
      </c>
      <c r="B7216" s="1" t="s">
        <v>636</v>
      </c>
      <c r="C7216" s="1" t="s">
        <v>2610</v>
      </c>
      <c r="D7216" s="1" t="s">
        <v>11202</v>
      </c>
      <c r="E7216" s="1" t="s">
        <v>2611</v>
      </c>
      <c r="F7216" s="1" t="s">
        <v>11203</v>
      </c>
      <c r="G7216" s="1" t="s">
        <v>36</v>
      </c>
      <c r="H7216" s="1" t="s">
        <v>29</v>
      </c>
      <c r="I7216" s="1" t="str">
        <f ca="1">IFERROR(__xludf.DUMMYFUNCTION("GOOGLETRANSLATE(F7216, ""auto"", ""en"")
"),"Nice desk clock. They don’t take much time, but they bring significant benefits. and an alarm clock in them, and a thermometer. excellent in quality. My daughter gave it to us a long time ago, so we use it and recommend it to others.")</f>
        <v>Nice desk clock. They don’t take much time, but they bring significant benefits. and an alarm clock in them, and a thermometer. excellent in quality. My daughter gave it to us a long time ago, so we use it and recommend it to others.</v>
      </c>
    </row>
    <row r="7217" spans="1:9" x14ac:dyDescent="0.3">
      <c r="A7217" s="1" t="s">
        <v>30</v>
      </c>
      <c r="B7217" s="1" t="s">
        <v>50</v>
      </c>
      <c r="C7217" s="1" t="s">
        <v>658</v>
      </c>
      <c r="D7217" s="1" t="s">
        <v>114</v>
      </c>
      <c r="E7217" s="1" t="s">
        <v>7995</v>
      </c>
      <c r="F7217" s="1" t="s">
        <v>11204</v>
      </c>
      <c r="G7217" s="1" t="s">
        <v>36</v>
      </c>
      <c r="H7217" s="1" t="s">
        <v>29</v>
      </c>
      <c r="I7217" s="1" t="str">
        <f ca="1">IFERROR(__xludf.DUMMYFUNCTION("GOOGLETRANSLATE(F7217, ""auto"", ""en"")
"),"The machine is good, purchased it on October 10, 2009, before that you had your eye on Acer? but since it was torn out of my hands and I didn’t have time to buy it, I was looking for something close in parameters, which turned out to be Toshiba. The chara"&amp;"cteristics are very pleasing, for a laptop it copes well with modern games, the cooling system works like a clock, which has a positive effect on performance. The laptop is made for people who are conscious of their style and looks like a machine for a we"&amp;"althy executive, the only thing is that you have to wipe it down more often.  The matrix is ​​very clear and has a good response, which is almost inferior to the new LED matrix in terms of color contrast. The weight, unlike the Acer, is the most optimal, "&amp;"a whole kg lighter, which is much more convenient when working on your knees. And most importantly, it is made ethically and ergonomically, nothing superfluous.   The sound system, which is capable of reproducing wideband compositions, performed very well"&amp;".")</f>
        <v>The machine is good, purchased it on October 10, 2009, before that you had your eye on Acer? but since it was torn out of my hands and I didn’t have time to buy it, I was looking for something close in parameters, which turned out to be Toshiba. The characteristics are very pleasing, for a laptop it copes well with modern games, the cooling system works like a clock, which has a positive effect on performance. The laptop is made for people who are conscious of their style and looks like a machine for a wealthy executive, the only thing is that you have to wipe it down more often.  The matrix is ​​very clear and has a good response, which is almost inferior to the new LED matrix in terms of color contrast. The weight, unlike the Acer, is the most optimal, a whole kg lighter, which is much more convenient when working on your knees. And most importantly, it is made ethically and ergonomically, nothing superfluous.   The sound system, which is capable of reproducing wideband compositions, performed very well.</v>
      </c>
    </row>
    <row r="7218" spans="1:9" x14ac:dyDescent="0.3">
      <c r="A7218" s="1" t="s">
        <v>67</v>
      </c>
      <c r="B7218" s="1" t="s">
        <v>68</v>
      </c>
      <c r="C7218" s="1" t="s">
        <v>69</v>
      </c>
      <c r="D7218" s="1" t="s">
        <v>86</v>
      </c>
      <c r="E7218" s="1" t="s">
        <v>9148</v>
      </c>
      <c r="F7218" s="1" t="s">
        <v>11205</v>
      </c>
      <c r="G7218" s="1" t="s">
        <v>36</v>
      </c>
      <c r="H7218" s="1" t="s">
        <v>29</v>
      </c>
      <c r="I7218" s="1" t="str">
        <f ca="1">IFERROR(__xludf.DUMMYFUNCTION("GOOGLETRANSLATE(F7218, ""auto"", ""en"")
"),"We have been using it since 2007 and knew no grief until, by an absurd accident, it fell off the ironing board. After that it started leaking. I'm going to buy the same new one.")</f>
        <v>We have been using it since 2007 and knew no grief until, by an absurd accident, it fell off the ironing board. After that it started leaking. I'm going to buy the same new one.</v>
      </c>
    </row>
    <row r="7219" spans="1:9" x14ac:dyDescent="0.3">
      <c r="A7219" s="1" t="s">
        <v>9</v>
      </c>
      <c r="B7219" s="1" t="s">
        <v>10</v>
      </c>
      <c r="C7219" s="1" t="s">
        <v>466</v>
      </c>
      <c r="D7219" s="1" t="s">
        <v>2217</v>
      </c>
      <c r="E7219" s="1" t="s">
        <v>3151</v>
      </c>
      <c r="F7219" s="1" t="s">
        <v>11206</v>
      </c>
      <c r="G7219" s="1" t="s">
        <v>36</v>
      </c>
      <c r="H7219" s="1" t="s">
        <v>29</v>
      </c>
      <c r="I7219" s="1" t="str">
        <f ca="1">IFERROR(__xludf.DUMMYFUNCTION("GOOGLETRANSLATE(F7219, ""auto"", ""en"")
"),"With such quality and characteristics, there is nothing cheaper than 7,000 rubles, and here is such a price!")</f>
        <v>With such quality and characteristics, there is nothing cheaper than 7,000 rubles, and here is such a price!</v>
      </c>
    </row>
    <row r="7220" spans="1:9" x14ac:dyDescent="0.3">
      <c r="A7220" s="1" t="s">
        <v>30</v>
      </c>
      <c r="B7220" s="1" t="s">
        <v>50</v>
      </c>
      <c r="C7220" s="1" t="s">
        <v>1003</v>
      </c>
      <c r="D7220" s="1" t="s">
        <v>11207</v>
      </c>
      <c r="E7220" s="1" t="s">
        <v>1056</v>
      </c>
      <c r="F7220" s="1" t="s">
        <v>11208</v>
      </c>
      <c r="G7220" s="1" t="s">
        <v>36</v>
      </c>
      <c r="H7220" s="1" t="s">
        <v>29</v>
      </c>
      <c r="I7220" s="1" t="str">
        <f ca="1">IFERROR(__xludf.DUMMYFUNCTION("GOOGLETRANSLATE(F7220, ""auto"", ""en"")
"),"Great laptop for sure!!! I bought it as soon as this model came out - the parameters and characteristics met my expectations!!! I recommend it to everyone!!!  Seven is the ideal platform for it, so I don’t recommend changing to xp!!!  Harmony of power wit"&amp;"h a multimedia center!!! For those who find the battery weak, there is an economy mode for this option!!!  I advise!!!")</f>
        <v>Great laptop for sure!!! I bought it as soon as this model came out - the parameters and characteristics met my expectations!!! I recommend it to everyone!!!  Seven is the ideal platform for it, so I don’t recommend changing to xp!!!  Harmony of power with a multimedia center!!! For those who find the battery weak, there is an economy mode for this option!!!  I advise!!!</v>
      </c>
    </row>
    <row r="7221" spans="1:9" x14ac:dyDescent="0.3">
      <c r="A7221" s="1" t="s">
        <v>61</v>
      </c>
      <c r="B7221" s="1" t="s">
        <v>726</v>
      </c>
      <c r="C7221" s="1" t="s">
        <v>74</v>
      </c>
      <c r="D7221" s="1" t="s">
        <v>471</v>
      </c>
      <c r="E7221" s="1" t="s">
        <v>794</v>
      </c>
      <c r="F7221" s="1" t="s">
        <v>11209</v>
      </c>
      <c r="G7221" s="1" t="s">
        <v>36</v>
      </c>
      <c r="H7221" s="1" t="s">
        <v>29</v>
      </c>
      <c r="I7221" s="1" t="str">
        <f ca="1">IFERROR(__xludf.DUMMYFUNCTION("GOOGLETRANSLATE(F7221, ""auto"", ""en"")
"),"Apparently you are just lucky)) As they say, it doesn’t happen once in a while.")</f>
        <v>Apparently you are just lucky)) As they say, it doesn’t happen once in a while.</v>
      </c>
    </row>
    <row r="7222" spans="1:9" x14ac:dyDescent="0.3">
      <c r="A7222" s="1" t="s">
        <v>61</v>
      </c>
      <c r="B7222" s="1" t="s">
        <v>318</v>
      </c>
      <c r="C7222" s="1" t="s">
        <v>57</v>
      </c>
      <c r="D7222" s="1" t="s">
        <v>1289</v>
      </c>
      <c r="E7222" s="1" t="s">
        <v>11210</v>
      </c>
      <c r="F7222" s="1" t="s">
        <v>11211</v>
      </c>
      <c r="G7222" s="1" t="s">
        <v>28</v>
      </c>
      <c r="H7222" s="1" t="s">
        <v>29</v>
      </c>
      <c r="I7222" s="1" t="str">
        <f ca="1">IFERROR(__xludf.DUMMYFUNCTION("GOOGLETRANSLATE(F7222, ""auto"", ""en"")
"),"I bought this kettle 1 month ago. It took me a long time to choose, I didn’t know which one to buy, I wanted something interesting. I really liked the design, and the lighting makes me happy, now I have a place for a lamp in the kitchen. It works great, t"&amp;"he water boils quickly.   Overall I like the kettle.")</f>
        <v>I bought this kettle 1 month ago. It took me a long time to choose, I didn’t know which one to buy, I wanted something interesting. I really liked the design, and the lighting makes me happy, now I have a place for a lamp in the kitchen. It works great, the water boils quickly.   Overall I like the kettle.</v>
      </c>
    </row>
    <row r="7223" spans="1:9" x14ac:dyDescent="0.3">
      <c r="A7223" s="1" t="s">
        <v>206</v>
      </c>
      <c r="B7223" s="1" t="s">
        <v>207</v>
      </c>
      <c r="C7223" s="1" t="s">
        <v>97</v>
      </c>
      <c r="D7223" s="1" t="s">
        <v>52</v>
      </c>
      <c r="E7223" s="1" t="s">
        <v>956</v>
      </c>
      <c r="F7223" s="1" t="s">
        <v>11212</v>
      </c>
      <c r="G7223" s="1" t="s">
        <v>36</v>
      </c>
      <c r="H7223" s="1" t="s">
        <v>29</v>
      </c>
      <c r="I7223" s="1" t="str">
        <f ca="1">IFERROR(__xludf.DUMMYFUNCTION("GOOGLETRANSLATE(F7223, ""auto"", ""en"")
"),"it pumps what it needs...I really liked the sound! 100% worth the money!!!")</f>
        <v>it pumps what it needs...I really liked the sound! 100% worth the money!!!</v>
      </c>
    </row>
    <row r="7224" spans="1:9" x14ac:dyDescent="0.3">
      <c r="A7224" s="1" t="s">
        <v>120</v>
      </c>
      <c r="B7224" s="1" t="s">
        <v>196</v>
      </c>
      <c r="C7224" s="1" t="s">
        <v>658</v>
      </c>
      <c r="D7224" s="1" t="s">
        <v>811</v>
      </c>
      <c r="E7224" s="1" t="s">
        <v>822</v>
      </c>
      <c r="F7224" s="1" t="s">
        <v>11213</v>
      </c>
      <c r="G7224" s="1" t="s">
        <v>36</v>
      </c>
      <c r="H7224" s="1" t="s">
        <v>29</v>
      </c>
      <c r="I7224" s="1" t="str">
        <f ca="1">IFERROR(__xludf.DUMMYFUNCTION("GOOGLETRANSLATE(F7224, ""auto"", ""en"")
"),"I bought it today and have been looking at it all day! I’m watching IP-TV, I’m pleased with the quality - the picture is excellent, I also want to connect to a computer to watch movies, I don’t have a DVD yet. I was very pleased with the proportions - the"&amp;" faces are not stretched, but only on some channels it automatically switches to 4:3, I haven’t figured out how to turn it off yet. I’m not picky about sound: the sound is like sound - nothing magical... I liked the quality of the body - there’s nothing t"&amp;"o complain about, and the Toshiba illumination makes me so delighted... I didn’t like the location of the control keys on the TV itself - it’s practically impossible to use them if you don’t see them - Samsung, for example, has well-defined and intuitive "&amp;"buttons, even if you don’t see them. but these are minor things. In general, I'm as happy with the TV as an elephant!! By the way, when I bought it, I chose 40 inches, my eyes fell on Toshiba, only at home I noticed that the diagonal was 106.6, I was, of "&amp;"course, happy about the purchase)))")</f>
        <v>I bought it today and have been looking at it all day! I’m watching IP-TV, I’m pleased with the quality - the picture is excellent, I also want to connect to a computer to watch movies, I don’t have a DVD yet. I was very pleased with the proportions - the faces are not stretched, but only on some channels it automatically switches to 4:3, I haven’t figured out how to turn it off yet. I’m not picky about sound: the sound is like sound - nothing magical... I liked the quality of the body - there’s nothing to complain about, and the Toshiba illumination makes me so delighted... I didn’t like the location of the control keys on the TV itself - it’s practically impossible to use them if you don’t see them - Samsung, for example, has well-defined and intuitive buttons, even if you don’t see them. but these are minor things. In general, I'm as happy with the TV as an elephant!! By the way, when I bought it, I chose 40 inches, my eyes fell on Toshiba, only at home I noticed that the diagonal was 106.6, I was, of course, happy about the purchase)))</v>
      </c>
    </row>
    <row r="7225" spans="1:9" x14ac:dyDescent="0.3">
      <c r="A7225" s="1" t="s">
        <v>149</v>
      </c>
      <c r="B7225" s="1" t="s">
        <v>155</v>
      </c>
      <c r="C7225" s="1" t="s">
        <v>151</v>
      </c>
      <c r="D7225" s="1" t="s">
        <v>139</v>
      </c>
      <c r="E7225" s="1" t="s">
        <v>926</v>
      </c>
      <c r="F7225" s="1" t="s">
        <v>11214</v>
      </c>
      <c r="G7225" s="1" t="s">
        <v>49</v>
      </c>
      <c r="H7225" s="1" t="s">
        <v>16</v>
      </c>
      <c r="I7225" s="1" t="str">
        <f ca="1">IFERROR(__xludf.DUMMYFUNCTION("GOOGLETRANSLATE(F7225, ""auto"", ""en"")
"),"After a year of operation, the winding of the traction motor burned out. The quality is disgusting")</f>
        <v>After a year of operation, the winding of the traction motor burned out. The quality is disgusting</v>
      </c>
    </row>
    <row r="7226" spans="1:9" x14ac:dyDescent="0.3">
      <c r="A7226" s="1" t="s">
        <v>149</v>
      </c>
      <c r="B7226" s="1" t="s">
        <v>150</v>
      </c>
      <c r="C7226" s="1" t="s">
        <v>151</v>
      </c>
      <c r="D7226" s="1" t="s">
        <v>102</v>
      </c>
      <c r="E7226" s="1" t="s">
        <v>2338</v>
      </c>
      <c r="F7226" s="1" t="s">
        <v>11215</v>
      </c>
      <c r="G7226" s="1" t="s">
        <v>28</v>
      </c>
      <c r="H7226" s="1" t="s">
        <v>29</v>
      </c>
      <c r="I7226" s="1" t="str">
        <f ca="1">IFERROR(__xludf.DUMMYFUNCTION("GOOGLETRANSLATE(F7226, ""auto"", ""en"")
"),"I bought a vacuum cleaner today and took the last one. What can I say, it’s an excellent device, high-quality assembly, superb appearance, all the parts are also of high quality, before this I had siking skis, so compared to this it’s just heaven and eart"&amp;"h. Vacuums excellently. I think I just need to buy a spare filter right away (let it be). And I'm happy with the purchase. Yes, he rolls around the apartment really easily and does not roll over. The weight is heavy and it will take up a lot of space in t"&amp;"he apartment, but that’s not a big deal.")</f>
        <v>I bought a vacuum cleaner today and took the last one. What can I say, it’s an excellent device, high-quality assembly, superb appearance, all the parts are also of high quality, before this I had siking skis, so compared to this it’s just heaven and earth. Vacuums excellently. I think I just need to buy a spare filter right away (let it be). And I'm happy with the purchase. Yes, he rolls around the apartment really easily and does not roll over. The weight is heavy and it will take up a lot of space in the apartment, but that’s not a big deal.</v>
      </c>
    </row>
    <row r="7227" spans="1:9" x14ac:dyDescent="0.3">
      <c r="A7227" s="1" t="s">
        <v>149</v>
      </c>
      <c r="B7227" s="1" t="s">
        <v>423</v>
      </c>
      <c r="C7227" s="1" t="s">
        <v>314</v>
      </c>
      <c r="D7227" s="1" t="s">
        <v>695</v>
      </c>
      <c r="E7227" s="1" t="s">
        <v>7367</v>
      </c>
      <c r="F7227" s="1" t="s">
        <v>11216</v>
      </c>
      <c r="G7227" s="1" t="s">
        <v>94</v>
      </c>
      <c r="H7227" s="1" t="s">
        <v>29</v>
      </c>
      <c r="I7227" s="1" t="str">
        <f ca="1">IFERROR(__xludf.DUMMYFUNCTION("GOOGLETRANSLATE(F7227, ""auto"", ""en"")
"),"An inexpensive washing vacuum cleaner, with a rich set of equipment, a 4-year warranty - which is also very good)))")</f>
        <v>An inexpensive washing vacuum cleaner, with a rich set of equipment, a 4-year warranty - which is also very good)))</v>
      </c>
    </row>
    <row r="7228" spans="1:9" x14ac:dyDescent="0.3">
      <c r="A7228" s="1" t="s">
        <v>89</v>
      </c>
      <c r="B7228" s="1" t="s">
        <v>231</v>
      </c>
      <c r="C7228" s="1" t="s">
        <v>185</v>
      </c>
      <c r="D7228" s="1" t="s">
        <v>2697</v>
      </c>
      <c r="E7228" s="1" t="s">
        <v>5902</v>
      </c>
      <c r="F7228" s="1" t="s">
        <v>11217</v>
      </c>
      <c r="G7228" s="1" t="s">
        <v>36</v>
      </c>
      <c r="H7228" s="1" t="s">
        <v>29</v>
      </c>
      <c r="I7228" s="1" t="str">
        <f ca="1">IFERROR(__xludf.DUMMYFUNCTION("GOOGLETRANSLATE(F7228, ""auto"", ""en"")
"),"I bought it on sale. I compared it with other models from this company and other manufacturers, this one has maximum functionality, close to the most expensive models, only the auto-cappuccino maker is missing. There is a setting for the level of water ha"&amp;"rdness, temperature of the final product, volume of the final product and strength - all of the above functions are practically not found in coffee machines even in the price segment up to 30 thousand!!! Regarding the pump, when I first turned it on, the "&amp;"machine refused to pump water, I struggled with it for two hours. I even called the Delonghi hotline, where a polite girl advised me to return the coffee maker to the store.  And yet I defeated the pump on my own!!! Apparently, when you first start it, th"&amp;"ere is air in the pump, and it cannot pump water (although you can hear the pump clicking). I did the following - at the moment when the pump starts working, in the mode of supplying hot water from the cappuccino maker, with careful movements I inserted/p"&amp;"ulled out a container with water. As a result, at one point the water started flowing as it should (the air plug went away and water got into the system). Since then everything has been working great! The coffee brews great and quickly. Maximum functional"&amp;"ity for minimal money!!! I recommend!")</f>
        <v>I bought it on sale. I compared it with other models from this company and other manufacturers, this one has maximum functionality, close to the most expensive models, only the auto-cappuccino maker is missing. There is a setting for the level of water hardness, temperature of the final product, volume of the final product and strength - all of the above functions are practically not found in coffee machines even in the price segment up to 30 thousand!!! Regarding the pump, when I first turned it on, the machine refused to pump water, I struggled with it for two hours. I even called the Delonghi hotline, where a polite girl advised me to return the coffee maker to the store.  And yet I defeated the pump on my own!!! Apparently, when you first start it, there is air in the pump, and it cannot pump water (although you can hear the pump clicking). I did the following - at the moment when the pump starts working, in the mode of supplying hot water from the cappuccino maker, with careful movements I inserted/pulled out a container with water. As a result, at one point the water started flowing as it should (the air plug went away and water got into the system). Since then everything has been working great! The coffee brews great and quickly. Maximum functionality for minimal money!!! I recommend!</v>
      </c>
    </row>
    <row r="7229" spans="1:9" x14ac:dyDescent="0.3">
      <c r="A7229" s="1" t="s">
        <v>78</v>
      </c>
      <c r="B7229" s="1" t="s">
        <v>1163</v>
      </c>
      <c r="C7229" s="1" t="s">
        <v>80</v>
      </c>
      <c r="D7229" s="1" t="s">
        <v>1147</v>
      </c>
      <c r="E7229" s="1" t="s">
        <v>1201</v>
      </c>
      <c r="F7229" s="1" t="s">
        <v>11218</v>
      </c>
      <c r="G7229" s="1" t="s">
        <v>28</v>
      </c>
      <c r="H7229" s="1" t="s">
        <v>29</v>
      </c>
      <c r="I7229" s="1" t="str">
        <f ca="1">IFERROR(__xludf.DUMMYFUNCTION("GOOGLETRANSLATE(F7229, ""auto"", ""en"")
"),"The stove is a solid B, and that’s because it looks budget-friendly! Indeed, all the basic functions are there, I even cooked something quickly in it.")</f>
        <v>The stove is a solid B, and that’s because it looks budget-friendly! Indeed, all the basic functions are there, I even cooked something quickly in it.</v>
      </c>
    </row>
    <row r="7230" spans="1:9" x14ac:dyDescent="0.3">
      <c r="A7230" s="1" t="s">
        <v>105</v>
      </c>
      <c r="B7230" s="1" t="s">
        <v>106</v>
      </c>
      <c r="C7230" s="1" t="s">
        <v>69</v>
      </c>
      <c r="D7230" s="1" t="s">
        <v>33</v>
      </c>
      <c r="E7230" s="1" t="s">
        <v>7715</v>
      </c>
      <c r="F7230" s="1" t="s">
        <v>11219</v>
      </c>
      <c r="G7230" s="1" t="s">
        <v>15</v>
      </c>
      <c r="H7230" s="1" t="s">
        <v>16</v>
      </c>
      <c r="I7230" s="1" t="str">
        <f ca="1">IFERROR(__xludf.DUMMYFUNCTION("GOOGLETRANSLATE(F7230, ""auto"", ""en"")
"),"Burnt out after 4 months of careful use. I don't recommend it. Very capricious.")</f>
        <v>Burnt out after 4 months of careful use. I don't recommend it. Very capricious.</v>
      </c>
    </row>
    <row r="7231" spans="1:9" x14ac:dyDescent="0.3">
      <c r="A7231" s="1" t="s">
        <v>120</v>
      </c>
      <c r="B7231" s="1" t="s">
        <v>121</v>
      </c>
      <c r="C7231" s="1" t="s">
        <v>97</v>
      </c>
      <c r="D7231" s="1" t="s">
        <v>568</v>
      </c>
      <c r="E7231" s="1" t="s">
        <v>10787</v>
      </c>
      <c r="F7231" s="1" t="s">
        <v>11220</v>
      </c>
      <c r="G7231" s="1" t="s">
        <v>36</v>
      </c>
      <c r="H7231" s="1" t="s">
        <v>29</v>
      </c>
      <c r="I7231" s="1" t="str">
        <f ca="1">IFERROR(__xludf.DUMMYFUNCTION("GOOGLETRANSLATE(F7231, ""auto"", ""en"")
"),"If you can no longer see the flash drive, reset the TV settings to factory settings. I had a similar problem after connecting the hdd (without a separate power supply) - and the screw was not detected and the TV stopped seeing the flash drive. After reset"&amp;"ting the settings I saw the flash drive again. A 1.5 TB HDD with its own power supply can be seen without problems.")</f>
        <v>If you can no longer see the flash drive, reset the TV settings to factory settings. I had a similar problem after connecting the hdd (without a separate power supply) - and the screw was not detected and the TV stopped seeing the flash drive. After resetting the settings I saw the flash drive again. A 1.5 TB HDD with its own power supply can be seen without problems.</v>
      </c>
    </row>
    <row r="7232" spans="1:9" x14ac:dyDescent="0.3">
      <c r="A7232" s="1" t="s">
        <v>30</v>
      </c>
      <c r="B7232" s="1" t="s">
        <v>50</v>
      </c>
      <c r="C7232" s="1" t="s">
        <v>1003</v>
      </c>
      <c r="D7232" s="1" t="s">
        <v>11221</v>
      </c>
      <c r="E7232" s="1" t="s">
        <v>4176</v>
      </c>
      <c r="F7232" s="1" t="s">
        <v>11222</v>
      </c>
      <c r="G7232" s="1" t="s">
        <v>36</v>
      </c>
      <c r="H7232" s="1" t="s">
        <v>29</v>
      </c>
      <c r="I7232" s="1" t="str">
        <f ca="1">IFERROR(__xludf.DUMMYFUNCTION("GOOGLETRANSLATE(F7232, ""auto"", ""en"")
"),"I bought it 2 months ago. All games work, but some lag due to the lack of drivers for Radeon. I advise everyone to buy it! If anyone knows where to get drivers, please write.")</f>
        <v>I bought it 2 months ago. All games work, but some lag due to the lack of drivers for Radeon. I advise everyone to buy it! If anyone knows where to get drivers, please write.</v>
      </c>
    </row>
    <row r="7233" spans="1:9" x14ac:dyDescent="0.3">
      <c r="A7233" s="1" t="s">
        <v>361</v>
      </c>
      <c r="B7233" s="1" t="s">
        <v>462</v>
      </c>
      <c r="C7233" s="1" t="s">
        <v>463</v>
      </c>
      <c r="D7233" s="1" t="s">
        <v>1289</v>
      </c>
      <c r="E7233" s="1" t="s">
        <v>5402</v>
      </c>
      <c r="F7233" s="1" t="s">
        <v>11223</v>
      </c>
      <c r="G7233" s="1" t="s">
        <v>36</v>
      </c>
      <c r="H7233" s="1" t="s">
        <v>29</v>
      </c>
      <c r="I7233" s="1" t="str">
        <f ca="1">IFERROR(__xludf.DUMMYFUNCTION("GOOGLETRANSLATE(F7233, ""auto"", ""en"")
"),"The volume of this filter is simply huge - 4 liters. We bought it for our dorm so we could use the entire room. Its design stands out noticeably compared to other jugs. But the main advantage of the barrier is not this, but the quality of cleaning. The co"&amp;"nsultant at the store immediately warned that if the tap water is not ice, it is better to buy a more “pumped up” cassette model. As a result, I purchased the “hardness” model because our kettle is always covered in white flakes, no matter how long it is "&amp;"mine. Overall, I was very pleased with the film.")</f>
        <v>The volume of this filter is simply huge - 4 liters. We bought it for our dorm so we could use the entire room. Its design stands out noticeably compared to other jugs. But the main advantage of the barrier is not this, but the quality of cleaning. The consultant at the store immediately warned that if the tap water is not ice, it is better to buy a more “pumped up” cassette model. As a result, I purchased the “hardness” model because our kettle is always covered in white flakes, no matter how long it is mine. Overall, I was very pleased with the film.</v>
      </c>
    </row>
    <row r="7234" spans="1:9" x14ac:dyDescent="0.3">
      <c r="A7234" s="1" t="s">
        <v>211</v>
      </c>
      <c r="B7234" s="1" t="s">
        <v>212</v>
      </c>
      <c r="C7234" s="1" t="s">
        <v>294</v>
      </c>
      <c r="D7234" s="1" t="s">
        <v>896</v>
      </c>
      <c r="E7234" s="1" t="s">
        <v>1109</v>
      </c>
      <c r="F7234" s="1" t="s">
        <v>11224</v>
      </c>
      <c r="G7234" s="1" t="s">
        <v>36</v>
      </c>
      <c r="H7234" s="1" t="s">
        <v>29</v>
      </c>
      <c r="I7234" s="1" t="str">
        <f ca="1">IFERROR(__xludf.DUMMYFUNCTION("GOOGLETRANSLATE(F7234, ""auto"", ""en"")
"),"The iron is really excellent, it straightened quickly, didn’t overheat and left my hair shiny. It’s a pity it broke, began to pull out hair, didn’t straighten it well, and stopped sliding BUT it lasted for almost 6 years!!!")</f>
        <v>The iron is really excellent, it straightened quickly, didn’t overheat and left my hair shiny. It’s a pity it broke, began to pull out hair, didn’t straighten it well, and stopped sliding BUT it lasted for almost 6 years!!!</v>
      </c>
    </row>
    <row r="7235" spans="1:9" x14ac:dyDescent="0.3">
      <c r="A7235" s="1" t="s">
        <v>211</v>
      </c>
      <c r="B7235" s="1" t="s">
        <v>212</v>
      </c>
      <c r="C7235" s="1" t="s">
        <v>294</v>
      </c>
      <c r="D7235" s="1" t="s">
        <v>545</v>
      </c>
      <c r="E7235" s="1" t="s">
        <v>87</v>
      </c>
      <c r="F7235" s="1" t="s">
        <v>11225</v>
      </c>
      <c r="G7235" s="1" t="s">
        <v>36</v>
      </c>
      <c r="H7235" s="1" t="s">
        <v>29</v>
      </c>
      <c r="I7235" s="1" t="str">
        <f ca="1">IFERROR(__xludf.DUMMYFUNCTION("GOOGLETRANSLATE(F7235, ""auto"", ""en"")
"),"When choosing a hair dryer, I paid attention to the power, temperature conditions, and the presence of ionization, because... I pack every day.  I wanted to buy Philips, but it wasn’t in the store. The consultant recommended Remington, which, according to"&amp;" her, is much better. At first I thought it wasn’t worth it, but nevertheless I bought it. I was very pleased with the result, thank you, you didn’t deceive me.")</f>
        <v>When choosing a hair dryer, I paid attention to the power, temperature conditions, and the presence of ionization, because... I pack every day.  I wanted to buy Philips, but it wasn’t in the store. The consultant recommended Remington, which, according to her, is much better. At first I thought it wasn’t worth it, but nevertheless I bought it. I was very pleased with the result, thank you, you didn’t deceive me.</v>
      </c>
    </row>
    <row r="7236" spans="1:9" x14ac:dyDescent="0.3">
      <c r="A7236" s="1" t="s">
        <v>61</v>
      </c>
      <c r="B7236" s="1" t="s">
        <v>318</v>
      </c>
      <c r="C7236" s="1" t="s">
        <v>246</v>
      </c>
      <c r="D7236" s="1" t="s">
        <v>75</v>
      </c>
      <c r="E7236" s="1" t="s">
        <v>1986</v>
      </c>
      <c r="F7236" s="1" t="s">
        <v>11226</v>
      </c>
      <c r="G7236" s="1" t="s">
        <v>36</v>
      </c>
      <c r="H7236" s="1" t="s">
        <v>29</v>
      </c>
      <c r="I7236" s="1" t="str">
        <f ca="1">IFERROR(__xludf.DUMMYFUNCTION("GOOGLETRANSLATE(F7236, ""auto"", ""en"")
"),"I'm happy with the kettle. I didn’t notice that he was somehow noisier than the previous ones. It boils well. The design is simply captivating - especially the spout - it doesn’t drop drops. So a solid 5")</f>
        <v>I'm happy with the kettle. I didn’t notice that he was somehow noisier than the previous ones. It boils well. The design is simply captivating - especially the spout - it doesn’t drop drops. So a solid 5</v>
      </c>
    </row>
    <row r="7237" spans="1:9" x14ac:dyDescent="0.3">
      <c r="A7237" s="1" t="s">
        <v>61</v>
      </c>
      <c r="B7237" s="1" t="s">
        <v>726</v>
      </c>
      <c r="C7237" s="1" t="s">
        <v>146</v>
      </c>
      <c r="D7237" s="1" t="s">
        <v>280</v>
      </c>
      <c r="E7237" s="1" t="s">
        <v>4206</v>
      </c>
      <c r="F7237" s="1" t="s">
        <v>11227</v>
      </c>
      <c r="G7237" s="1" t="s">
        <v>3927</v>
      </c>
      <c r="H7237" s="1" t="s">
        <v>16</v>
      </c>
      <c r="I7237" s="1" t="str">
        <f ca="1">IFERROR(__xludf.DUMMYFUNCTION("GOOGLETRANSLATE(F7237, ""auto"", ""en"")
"),"only visible through the window")</f>
        <v>only visible through the window</v>
      </c>
    </row>
    <row r="7238" spans="1:9" x14ac:dyDescent="0.3">
      <c r="A7238" s="1" t="s">
        <v>238</v>
      </c>
      <c r="B7238" s="1" t="s">
        <v>239</v>
      </c>
      <c r="C7238" s="1" t="s">
        <v>151</v>
      </c>
      <c r="D7238" s="1" t="s">
        <v>385</v>
      </c>
      <c r="E7238" s="1" t="s">
        <v>1553</v>
      </c>
      <c r="F7238" s="1" t="s">
        <v>11228</v>
      </c>
      <c r="G7238" s="1" t="s">
        <v>36</v>
      </c>
      <c r="H7238" s="1" t="s">
        <v>29</v>
      </c>
      <c r="I7238" s="1" t="str">
        <f ca="1">IFERROR(__xludf.DUMMYFUNCTION("GOOGLETRANSLATE(F7238, ""auto"", ""en"")
"),"The refrigerator is excellent, we’ve been using it for 2 years (ugh, so as not to jinx it)")</f>
        <v>The refrigerator is excellent, we’ve been using it for 2 years (ugh, so as not to jinx it)</v>
      </c>
    </row>
    <row r="7239" spans="1:9" x14ac:dyDescent="0.3">
      <c r="A7239" s="1" t="s">
        <v>519</v>
      </c>
      <c r="B7239" s="1" t="s">
        <v>520</v>
      </c>
      <c r="C7239" s="1" t="s">
        <v>3571</v>
      </c>
      <c r="D7239" s="1" t="s">
        <v>11229</v>
      </c>
      <c r="E7239" s="1" t="s">
        <v>9852</v>
      </c>
      <c r="F7239" s="1" t="s">
        <v>11230</v>
      </c>
      <c r="G7239" s="1" t="s">
        <v>36</v>
      </c>
      <c r="H7239" s="1" t="s">
        <v>29</v>
      </c>
      <c r="I7239" s="1" t="str">
        <f ca="1">IFERROR(__xludf.DUMMYFUNCTION("GOOGLETRANSLATE(F7239, ""auto"", ""en"")
"),"The dishes are wonderful. But you can’t bake in it; the main thing is that it doesn’t get scratched by metal utensils.")</f>
        <v>The dishes are wonderful. But you can’t bake in it; the main thing is that it doesn’t get scratched by metal utensils.</v>
      </c>
    </row>
    <row r="7240" spans="1:9" x14ac:dyDescent="0.3">
      <c r="A7240" s="1" t="s">
        <v>732</v>
      </c>
      <c r="B7240" s="1" t="s">
        <v>733</v>
      </c>
      <c r="C7240" s="1" t="s">
        <v>32</v>
      </c>
      <c r="D7240" s="1" t="s">
        <v>152</v>
      </c>
      <c r="E7240" s="1" t="s">
        <v>1012</v>
      </c>
      <c r="F7240" s="1" t="s">
        <v>11231</v>
      </c>
      <c r="G7240" s="1" t="s">
        <v>36</v>
      </c>
      <c r="H7240" s="1" t="s">
        <v>29</v>
      </c>
      <c r="I7240" s="1" t="str">
        <f ca="1">IFERROR(__xludf.DUMMYFUNCTION("GOOGLETRANSLATE(F7240, ""auto"", ""en"")
"),"The monitor is just great")</f>
        <v>The monitor is just great</v>
      </c>
    </row>
    <row r="7241" spans="1:9" x14ac:dyDescent="0.3">
      <c r="A7241" s="1" t="s">
        <v>61</v>
      </c>
      <c r="B7241" s="1" t="s">
        <v>1727</v>
      </c>
      <c r="C7241" s="1" t="s">
        <v>122</v>
      </c>
      <c r="D7241" s="1" t="s">
        <v>64</v>
      </c>
      <c r="E7241" s="1" t="s">
        <v>6098</v>
      </c>
      <c r="F7241" s="1" t="s">
        <v>11232</v>
      </c>
      <c r="G7241" s="1" t="s">
        <v>36</v>
      </c>
      <c r="H7241" s="1" t="s">
        <v>29</v>
      </c>
      <c r="I7241" s="1" t="str">
        <f ca="1">IFERROR(__xludf.DUMMYFUNCTION("GOOGLETRANSLATE(F7241, ""auto"", ""en"")
"),"My beloved husband gave me this robotic potty for New Year. The first thing we did in it was manna. Great! In terms of doneness, there are no complaints, I just wanted a darker crust. Then there was charlotte, and pea soup with smoked meats, and chicken i"&amp;"n honey. In general, there is no limit to imagination, and the food for it is a huge number of recipes on the Internet. I’m very pleased that nothing burns in it, doesn’t boil over, and washing the pan is as easy as shelling pears.")</f>
        <v>My beloved husband gave me this robotic potty for New Year. The first thing we did in it was manna. Great! In terms of doneness, there are no complaints, I just wanted a darker crust. Then there was charlotte, and pea soup with smoked meats, and chicken in honey. In general, there is no limit to imagination, and the food for it is a huge number of recipes on the Internet. I’m very pleased that nothing burns in it, doesn’t boil over, and washing the pan is as easy as shelling pears.</v>
      </c>
    </row>
    <row r="7242" spans="1:9" x14ac:dyDescent="0.3">
      <c r="A7242" s="1" t="s">
        <v>61</v>
      </c>
      <c r="B7242" s="1" t="s">
        <v>318</v>
      </c>
      <c r="C7242" s="1" t="s">
        <v>246</v>
      </c>
      <c r="D7242" s="1" t="s">
        <v>52</v>
      </c>
      <c r="E7242" s="1" t="s">
        <v>7122</v>
      </c>
      <c r="F7242" s="1" t="s">
        <v>11233</v>
      </c>
      <c r="G7242" s="1" t="s">
        <v>49</v>
      </c>
      <c r="H7242" s="1" t="s">
        <v>16</v>
      </c>
      <c r="I7242" s="1" t="str">
        <f ca="1">IFERROR(__xludf.DUMMYFUNCTION("GOOGLETRANSLATE(F7242, ""auto"", ""en"")
"),"I don't know this.")</f>
        <v>I don't know this.</v>
      </c>
    </row>
    <row r="7243" spans="1:9" x14ac:dyDescent="0.3">
      <c r="A7243" s="1" t="s">
        <v>852</v>
      </c>
      <c r="B7243" s="1" t="s">
        <v>853</v>
      </c>
      <c r="C7243" s="1" t="s">
        <v>356</v>
      </c>
      <c r="D7243" s="1" t="s">
        <v>152</v>
      </c>
      <c r="E7243" s="1" t="s">
        <v>4398</v>
      </c>
      <c r="F7243" s="1" t="s">
        <v>11234</v>
      </c>
      <c r="G7243" s="1" t="s">
        <v>36</v>
      </c>
      <c r="H7243" s="1" t="s">
        <v>29</v>
      </c>
      <c r="I7243" s="1" t="str">
        <f ca="1">IFERROR(__xludf.DUMMYFUNCTION("GOOGLETRANSLATE(F7243, ""auto"", ""en"")
"),"Pros: Stability (you won’t find such optimization in any laptop or desktop (PC), that’s what it means to work on the assembly, not the number of gigabytes. Even Windows installed on this laptop works much “straighter”) Screen (not only the resolution and "&amp;"diagonal, also LED backlighting, grain quality, contrast and especially color rendition, this is the best color rendition I have seen in laptops of this price) Housing (Excellent machined from aluminum, no seams or glue, no creaking plastic, pleasant to t"&amp;"he touch, looks prestigious. The screen is covered with glossy glass that does not cloud the image) Operating system (Having figured out MacOS, I simply fell in love with this OS, if you are buying a laptop for toys (or work in the style of “I don’t know "&amp;"how to use a computer, where’s the joke?”) then this is it. operating system for you) and you better build (namely build!) some desktop with Dx11 video) Multi-Touch Pad (if you buy it, you’ll find out what it is)) Cons: You need to get used to the new OS."&amp;" If you don’t want to learn to work not in Windows or Linux (although with penguins it’s a controversial issue, these will learn to work everywhere!)) then you’d better take a non-Mac (you can install Windows on a Mac, but it will be very expensive)) Pric"&amp;"e (I don’t mind the money for this, but it took me a long time to save) Result: I recommend this laptop to all designers, people who value image and style, those who are hesitant from the glitches of Windows, those who want to try something new, people wh"&amp;"o value quality, and just people who for whom the main time spent on the computer is not completing the next level in a line or playing solitaire with Excel in 'parallel', but watching movies, surfing the Internet, Photoshop or Draw, and so on.")</f>
        <v>Pros: Stability (you won’t find such optimization in any laptop or desktop (PC), that’s what it means to work on the assembly, not the number of gigabytes. Even Windows installed on this laptop works much “straighter”) Screen (not only the resolution and diagonal, also LED backlighting, grain quality, contrast and especially color rendition, this is the best color rendition I have seen in laptops of this price) Housing (Excellent machined from aluminum, no seams or glue, no creaking plastic, pleasant to the touch, looks prestigious. The screen is covered with glossy glass that does not cloud the image) Operating system (Having figured out MacOS, I simply fell in love with this OS, if you are buying a laptop for toys (or work in the style of “I don’t know how to use a computer, where’s the joke?”) then this is it. operating system for you) and you better build (namely build!) some desktop with Dx11 video) Multi-Touch Pad (if you buy it, you’ll find out what it is)) Cons: You need to get used to the new OS. If you don’t want to learn to work not in Windows or Linux (although with penguins it’s a controversial issue, these will learn to work everywhere!)) then you’d better take a non-Mac (you can install Windows on a Mac, but it will be very expensive)) Price (I don’t mind the money for this, but it took me a long time to save) Result: I recommend this laptop to all designers, people who value image and style, those who are hesitant from the glitches of Windows, those who want to try something new, people who value quality, and just people who for whom the main time spent on the computer is not completing the next level in a line or playing solitaire with Excel in 'parallel', but watching movies, surfing the Internet, Photoshop or Draw, and so on.</v>
      </c>
    </row>
    <row r="7244" spans="1:9" x14ac:dyDescent="0.3">
      <c r="A7244" s="1" t="s">
        <v>67</v>
      </c>
      <c r="B7244" s="1" t="s">
        <v>340</v>
      </c>
      <c r="C7244" s="1" t="s">
        <v>341</v>
      </c>
      <c r="D7244" s="1" t="s">
        <v>33</v>
      </c>
      <c r="E7244" s="1" t="s">
        <v>10646</v>
      </c>
      <c r="F7244" s="1" t="s">
        <v>11235</v>
      </c>
      <c r="G7244" s="1" t="s">
        <v>36</v>
      </c>
      <c r="H7244" s="1" t="s">
        <v>29</v>
      </c>
      <c r="I7244" s="1" t="str">
        <f ca="1">IFERROR(__xludf.DUMMYFUNCTION("GOOGLETRANSLATE(F7244, ""auto"", ""en"")
"),"The machine is very good for those who are starting to sew and those who do it for themselves. It has all the necessary functions: it sews a straight stitch and a zigzag, there is a reverse stitch, sews on buttons, sews in zippers, you can even do embroid"&amp;"ery (if you know how). Not very noisy, relatively light, accessible even to beginners. If you buy an overlock foot, this function will also be performed. We are very pleased with the purchase!")</f>
        <v>The machine is very good for those who are starting to sew and those who do it for themselves. It has all the necessary functions: it sews a straight stitch and a zigzag, there is a reverse stitch, sews on buttons, sews in zippers, you can even do embroidery (if you know how). Not very noisy, relatively light, accessible even to beginners. If you buy an overlock foot, this function will also be performed. We are very pleased with the purchase!</v>
      </c>
    </row>
    <row r="7245" spans="1:9" x14ac:dyDescent="0.3">
      <c r="A7245" s="1" t="s">
        <v>67</v>
      </c>
      <c r="B7245" s="1" t="s">
        <v>68</v>
      </c>
      <c r="C7245" s="1" t="s">
        <v>69</v>
      </c>
      <c r="D7245" s="1" t="s">
        <v>152</v>
      </c>
      <c r="E7245" s="1" t="s">
        <v>1504</v>
      </c>
      <c r="F7245" s="1" t="s">
        <v>11236</v>
      </c>
      <c r="G7245" s="1" t="s">
        <v>36</v>
      </c>
      <c r="H7245" s="1" t="s">
        <v>29</v>
      </c>
      <c r="I7245" s="1" t="str">
        <f ca="1">IFERROR(__xludf.DUMMYFUNCTION("GOOGLETRANSLATE(F7245, ""auto"", ""en"")
"),"A weighty iron with a pleasant milky color.  Powerful steam, comfortable long cord, all buttons and controls work easily, effortlessly.  Makes a solid impression. I hope it works for more than a year.  I bought it for my wife as a gift. She has one compla"&amp;"int, that it is heavy.  But a real iron should be like that.  I also remember my grandmother’s iron made of cast iron on coals. Look, that one was definitely suitable as a dumbbell!")</f>
        <v>A weighty iron with a pleasant milky color.  Powerful steam, comfortable long cord, all buttons and controls work easily, effortlessly.  Makes a solid impression. I hope it works for more than a year.  I bought it for my wife as a gift. She has one complaint, that it is heavy.  But a real iron should be like that.  I also remember my grandmother’s iron made of cast iron on coals. Look, that one was definitely suitable as a dumbbell!</v>
      </c>
    </row>
    <row r="7246" spans="1:9" x14ac:dyDescent="0.3">
      <c r="A7246" s="1" t="s">
        <v>149</v>
      </c>
      <c r="B7246" s="1" t="s">
        <v>576</v>
      </c>
      <c r="C7246" s="1" t="s">
        <v>80</v>
      </c>
      <c r="D7246" s="1" t="s">
        <v>39</v>
      </c>
      <c r="E7246" s="1" t="s">
        <v>1129</v>
      </c>
      <c r="F7246" s="1" t="s">
        <v>11237</v>
      </c>
      <c r="G7246" s="1" t="s">
        <v>49</v>
      </c>
      <c r="H7246" s="1" t="s">
        <v>16</v>
      </c>
      <c r="I7246" s="1" t="str">
        <f ca="1">IFERROR(__xludf.DUMMYFUNCTION("GOOGLETRANSLATE(F7246, ""auto"", ""en"")
"),"The new bag doesn't work well at all. The brush doesn't even try to stick to the carpet. There seems to be no noticeable air leak. There may be some kind of defect or low voltage in the network... But the fact is that it doesn’t work at all.")</f>
        <v>The new bag doesn't work well at all. The brush doesn't even try to stick to the carpet. There seems to be no noticeable air leak. There may be some kind of defect or low voltage in the network... But the fact is that it doesn’t work at all.</v>
      </c>
    </row>
    <row r="7247" spans="1:9" x14ac:dyDescent="0.3">
      <c r="A7247" s="1" t="s">
        <v>95</v>
      </c>
      <c r="B7247" s="1" t="s">
        <v>486</v>
      </c>
      <c r="C7247" s="1" t="s">
        <v>487</v>
      </c>
      <c r="D7247" s="1" t="s">
        <v>11238</v>
      </c>
      <c r="E7247" s="1" t="s">
        <v>1287</v>
      </c>
      <c r="F7247" s="1" t="s">
        <v>11239</v>
      </c>
      <c r="G7247" s="1" t="s">
        <v>36</v>
      </c>
      <c r="H7247" s="1" t="s">
        <v>29</v>
      </c>
      <c r="I7247" s="1" t="str">
        <f ca="1">IFERROR(__xludf.DUMMYFUNCTION("GOOGLETRANSLATE(F7247, ""auto"", ""en"")
"),"There's almost no big difference between them? It’s like saying, if you think that all the difference in power consumption is in vain, the technical process of the video chip is reduced due to this, there is less heat generation and power consumption, i.e"&amp;". The console will live longer, unlike the Falcon, which lasts a maximum of 1.5 years, and then the E74! If you don’t really know about modifications, there’s nothing to talk about but those. data and the difference in power, because The main problem of t"&amp;"he set-top box before Jasper was overheating of the video chip")</f>
        <v>There's almost no big difference between them? It’s like saying, if you think that all the difference in power consumption is in vain, the technical process of the video chip is reduced due to this, there is less heat generation and power consumption, i.e. The console will live longer, unlike the Falcon, which lasts a maximum of 1.5 years, and then the E74! If you don’t really know about modifications, there’s nothing to talk about but those. data and the difference in power, because The main problem of the set-top box before Jasper was overheating of the video chip</v>
      </c>
    </row>
    <row r="7248" spans="1:9" x14ac:dyDescent="0.3">
      <c r="A7248" s="1" t="s">
        <v>37</v>
      </c>
      <c r="B7248" s="1" t="s">
        <v>38</v>
      </c>
      <c r="C7248" s="1" t="s">
        <v>3332</v>
      </c>
      <c r="D7248" s="1" t="s">
        <v>319</v>
      </c>
      <c r="E7248" s="1" t="s">
        <v>3465</v>
      </c>
      <c r="F7248" s="1" t="s">
        <v>11240</v>
      </c>
      <c r="G7248" s="1" t="s">
        <v>28</v>
      </c>
      <c r="H7248" s="1" t="s">
        <v>29</v>
      </c>
      <c r="I7248" s="1" t="str">
        <f ca="1">IFERROR(__xludf.DUMMYFUNCTION("GOOGLETRANSLATE(F7248, ""auto"", ""en"")
"),"The phone for the elderly is not bad, there is no alternative yet, but there are still a couple of miscalculations: 1. small font of all text messages, incl. Don’t expect to be able to use a notebook, SMS, etc... only 3 buttons M1, M2, M3 are actually use"&amp;"d.  2. The volume of the conversation could be louder for the elderly, if a person is hard of hearing, the interlocutor will also not be able to hear 3. The call is normal, again it could be louder... but let me emphasize, there is no accessible alternati"&amp;"ve for the elderly, my grandfather has been using it for 80 years, it’s tolerable...")</f>
        <v>The phone for the elderly is not bad, there is no alternative yet, but there are still a couple of miscalculations: 1. small font of all text messages, incl. Don’t expect to be able to use a notebook, SMS, etc... only 3 buttons M1, M2, M3 are actually used.  2. The volume of the conversation could be louder for the elderly, if a person is hard of hearing, the interlocutor will also not be able to hear 3. The call is normal, again it could be louder... but let me emphasize, there is no accessible alternative for the elderly, my grandfather has been using it for 80 years, it’s tolerable...</v>
      </c>
    </row>
    <row r="7249" spans="1:9" x14ac:dyDescent="0.3">
      <c r="A7249" s="1" t="s">
        <v>149</v>
      </c>
      <c r="B7249" s="1" t="s">
        <v>576</v>
      </c>
      <c r="C7249" s="1" t="s">
        <v>85</v>
      </c>
      <c r="D7249" s="1" t="s">
        <v>139</v>
      </c>
      <c r="E7249" s="1" t="s">
        <v>201</v>
      </c>
      <c r="F7249" s="1" t="s">
        <v>11241</v>
      </c>
      <c r="G7249" s="1" t="s">
        <v>36</v>
      </c>
      <c r="H7249" s="1" t="s">
        <v>29</v>
      </c>
      <c r="I7249" s="1" t="str">
        <f ca="1">IFERROR(__xludf.DUMMYFUNCTION("GOOGLETRANSLATE(F7249, ""auto"", ""en"")
"),"I was looking for a gift for my wife's birthday. Tsatski... banal. I wanted to save her time to create comfort in the house... sometimes it’s so lacking, really, guys! I was ready to buy one that does everything itself. I thought it was a detergent. And m"&amp;"y wife seemed to be thinking about detergent. But my friends dissuaded me. They said buy a good one, comfortable, powerful and... I bought a Bork V7011. Now it's time to vacuum at home. This is Formula 1 for me and my son, cleaning has been reduced by 78."&amp;"9% (this is my rough estimate). My wife misses the mop, but she’s glad... In general, trust the simple consumer. Just buy additional bags right away... I don’t know if they’re too small or if we didn’t expect so much dust. But the vacuum cleaner is a fact"&amp;", a good one. I haven’t issued an additional warranty, but my car has been... a car for 2 years already! And now at home... by candlelight... on a clean carpet... I RECOMMEND!!!!!!")</f>
        <v>I was looking for a gift for my wife's birthday. Tsatski... banal. I wanted to save her time to create comfort in the house... sometimes it’s so lacking, really, guys! I was ready to buy one that does everything itself. I thought it was a detergent. And my wife seemed to be thinking about detergent. But my friends dissuaded me. They said buy a good one, comfortable, powerful and... I bought a Bork V7011. Now it's time to vacuum at home. This is Formula 1 for me and my son, cleaning has been reduced by 78.9% (this is my rough estimate). My wife misses the mop, but she’s glad... In general, trust the simple consumer. Just buy additional bags right away... I don’t know if they’re too small or if we didn’t expect so much dust. But the vacuum cleaner is a fact, a good one. I haven’t issued an additional warranty, but my car has been... a car for 2 years already! And now at home... by candlelight... on a clean carpet... I RECOMMEND!!!!!!</v>
      </c>
    </row>
    <row r="7250" spans="1:9" x14ac:dyDescent="0.3">
      <c r="A7250" s="1" t="s">
        <v>120</v>
      </c>
      <c r="B7250" s="1" t="s">
        <v>121</v>
      </c>
      <c r="C7250" s="1" t="s">
        <v>80</v>
      </c>
      <c r="D7250" s="1" t="s">
        <v>152</v>
      </c>
      <c r="E7250" s="1" t="s">
        <v>3147</v>
      </c>
      <c r="F7250" s="1" t="s">
        <v>11242</v>
      </c>
      <c r="G7250" s="1" t="s">
        <v>36</v>
      </c>
      <c r="H7250" s="1" t="s">
        <v>29</v>
      </c>
      <c r="I7250" s="1" t="str">
        <f ca="1">IFERROR(__xludf.DUMMYFUNCTION("GOOGLETRANSLATE(F7250, ""auto"", ""en"")
"),"I've had this for 3 months. I connected an external 1.5 TB HHD with its own power supply, everything goes with a bang. I think it will take more. It doesn't read some codecs. I recently found out that you can change the audio tracks in MKV. (Russian, Engl"&amp;"ish, etc.) First of all, I deleted the films, not knowing what I could switch.")</f>
        <v>I've had this for 3 months. I connected an external 1.5 TB HHD with its own power supply, everything goes with a bang. I think it will take more. It doesn't read some codecs. I recently found out that you can change the audio tracks in MKV. (Russian, English, etc.) First of all, I deleted the films, not knowing what I could switch.</v>
      </c>
    </row>
    <row r="7251" spans="1:9" x14ac:dyDescent="0.3">
      <c r="A7251" s="1" t="s">
        <v>89</v>
      </c>
      <c r="B7251" s="1" t="s">
        <v>8418</v>
      </c>
      <c r="C7251" s="1" t="s">
        <v>61</v>
      </c>
      <c r="D7251" s="1" t="s">
        <v>295</v>
      </c>
      <c r="E7251" s="1" t="s">
        <v>4967</v>
      </c>
      <c r="F7251" s="1" t="s">
        <v>11243</v>
      </c>
      <c r="G7251" s="1" t="s">
        <v>36</v>
      </c>
      <c r="H7251" s="1" t="s">
        <v>29</v>
      </c>
      <c r="I7251" s="1" t="str">
        <f ca="1">IFERROR(__xludf.DUMMYFUNCTION("GOOGLETRANSLATE(F7251, ""auto"", ""en"")
"),"A couple of months ago I bought a Jura 61848 coffee machine. After a certain time, a problem arose about how to clean it and with what. I tried every possible means. I didn’t see any special results. Then I heard that you can’t clean it with anything, tha"&amp;"t there is a special cleaning agent. I scoured the Internet and found a cleaning product specifically for my brand of car. This is a decalcification tablet. It turned out to be an effective remedy. All the raid is gone. I recommend it.")</f>
        <v>A couple of months ago I bought a Jura 61848 coffee machine. After a certain time, a problem arose about how to clean it and with what. I tried every possible means. I didn’t see any special results. Then I heard that you can’t clean it with anything, that there is a special cleaning agent. I scoured the Internet and found a cleaning product specifically for my brand of car. This is a decalcification tablet. It turned out to be an effective remedy. All the raid is gone. I recommend it.</v>
      </c>
    </row>
    <row r="7252" spans="1:9" x14ac:dyDescent="0.3">
      <c r="A7252" s="1" t="s">
        <v>149</v>
      </c>
      <c r="B7252" s="1" t="s">
        <v>155</v>
      </c>
      <c r="C7252" s="1" t="s">
        <v>80</v>
      </c>
      <c r="D7252" s="1" t="s">
        <v>2771</v>
      </c>
      <c r="E7252" s="1" t="s">
        <v>11244</v>
      </c>
      <c r="F7252" s="1" t="s">
        <v>11245</v>
      </c>
      <c r="G7252" s="1" t="s">
        <v>36</v>
      </c>
      <c r="H7252" s="1" t="s">
        <v>29</v>
      </c>
      <c r="I7252" s="1" t="str">
        <f ca="1">IFERROR(__xludf.DUMMYFUNCTION("GOOGLETRANSLATE(F7252, ""auto"", ""en"")
"),"We bought this vacuum cleaner after the old one spoiled, it was quite inconvenient and of poor quality, this time we decided to take something more reliable. We settled on this one from LG.  I can say that the vacuum cleaner copes with cleaning one hundre"&amp;"d percent, the motor is powerful and any debris and dust is easily sucked up. By the way, there is much less dust in our house. There is an indicator that notifies you that the container is already full and needs to be cleaned.  The set includes as many a"&amp;"s five attachments. I was very happy when I found out that there is a special attachment for carpets and furniture. There were no such things on the old vacuum cleaner and there was a wild shortage of them. Overall much better than what we had before. We "&amp;"were very pleased.")</f>
        <v>We bought this vacuum cleaner after the old one spoiled, it was quite inconvenient and of poor quality, this time we decided to take something more reliable. We settled on this one from LG.  I can say that the vacuum cleaner copes with cleaning one hundred percent, the motor is powerful and any debris and dust is easily sucked up. By the way, there is much less dust in our house. There is an indicator that notifies you that the container is already full and needs to be cleaned.  The set includes as many as five attachments. I was very happy when I found out that there is a special attachment for carpets and furniture. There were no such things on the old vacuum cleaner and there was a wild shortage of them. Overall much better than what we had before. We were very pleased.</v>
      </c>
    </row>
    <row r="7253" spans="1:9" x14ac:dyDescent="0.3">
      <c r="A7253" s="1" t="s">
        <v>61</v>
      </c>
      <c r="B7253" s="1" t="s">
        <v>145</v>
      </c>
      <c r="C7253" s="1" t="s">
        <v>246</v>
      </c>
      <c r="D7253" s="1" t="s">
        <v>39</v>
      </c>
      <c r="E7253" s="1" t="s">
        <v>6289</v>
      </c>
      <c r="F7253" s="1" t="s">
        <v>11246</v>
      </c>
      <c r="G7253" s="1" t="s">
        <v>36</v>
      </c>
      <c r="H7253" s="1" t="s">
        <v>29</v>
      </c>
      <c r="I7253" s="1" t="str">
        <f ca="1">IFERROR(__xludf.DUMMYFUNCTION("GOOGLETRANSLATE(F7253, ""auto"", ""en"")
"),"I recommend it to everyone! A necessary thing in everyday life! It does the tedious job of sharpening knives in a time or two. It also opens cans well, without effort, and most importantly, without injury. It doesn’t even leave sharp burrs on the edges of"&amp;" the can, absolutely smooth and even.")</f>
        <v>I recommend it to everyone! A necessary thing in everyday life! It does the tedious job of sharpening knives in a time or two. It also opens cans well, without effort, and most importantly, without injury. It doesn’t even leave sharp burrs on the edges of the can, absolutely smooth and even.</v>
      </c>
    </row>
    <row r="7254" spans="1:9" x14ac:dyDescent="0.3">
      <c r="A7254" s="1" t="s">
        <v>477</v>
      </c>
      <c r="B7254" s="1" t="s">
        <v>478</v>
      </c>
      <c r="C7254" s="1" t="s">
        <v>479</v>
      </c>
      <c r="D7254" s="1" t="s">
        <v>949</v>
      </c>
      <c r="E7254" s="1" t="s">
        <v>3796</v>
      </c>
      <c r="F7254" s="1" t="s">
        <v>11247</v>
      </c>
      <c r="G7254" s="1" t="s">
        <v>15</v>
      </c>
      <c r="H7254" s="1" t="s">
        <v>16</v>
      </c>
      <c r="I7254" s="1" t="str">
        <f ca="1">IFERROR(__xludf.DUMMYFUNCTION("GOOGLETRANSLATE(F7254, ""auto"", ""en"")
"),"I bought this game, installed it for an hour!!! I also had to re-install.... However, I launched the game and.... It is not in Russian! It seems that in Czech I had to ignore this. I was playing and the game froze. I stood in one place, didn’t even log in"&amp;"to Windows, had to turn the computer off and on. Tomorrow I will go to return the money.")</f>
        <v>I bought this game, installed it for an hour!!! I also had to re-install.... However, I launched the game and.... It is not in Russian! It seems that in Czech I had to ignore this. I was playing and the game froze. I stood in one place, didn’t even log into Windows, had to turn the computer off and on. Tomorrow I will go to return the money.</v>
      </c>
    </row>
    <row r="7255" spans="1:9" x14ac:dyDescent="0.3">
      <c r="A7255" s="1" t="s">
        <v>67</v>
      </c>
      <c r="B7255" s="1" t="s">
        <v>68</v>
      </c>
      <c r="C7255" s="1" t="s">
        <v>246</v>
      </c>
      <c r="D7255" s="1" t="s">
        <v>4036</v>
      </c>
      <c r="E7255" s="1" t="s">
        <v>379</v>
      </c>
      <c r="F7255" s="1" t="s">
        <v>11248</v>
      </c>
      <c r="G7255" s="1" t="s">
        <v>36</v>
      </c>
      <c r="H7255" s="1" t="s">
        <v>29</v>
      </c>
      <c r="I7255" s="1" t="str">
        <f ca="1">IFERROR(__xludf.DUMMYFUNCTION("GOOGLETRANSLATE(F7255, ""auto"", ""en"")
"),"I bought it last week, I rate it as a person who irons practically nothing, the device is great and smoothes everything without any problems, especially with steam, so I recommend it!")</f>
        <v>I bought it last week, I rate it as a person who irons practically nothing, the device is great and smoothes everything without any problems, especially with steam, so I recommend it!</v>
      </c>
    </row>
    <row r="7256" spans="1:9" x14ac:dyDescent="0.3">
      <c r="A7256" s="1" t="s">
        <v>61</v>
      </c>
      <c r="B7256" s="1" t="s">
        <v>726</v>
      </c>
      <c r="C7256" s="1" t="s">
        <v>122</v>
      </c>
      <c r="D7256" s="1" t="s">
        <v>11249</v>
      </c>
      <c r="E7256" s="1" t="s">
        <v>854</v>
      </c>
      <c r="F7256" s="1" t="s">
        <v>11250</v>
      </c>
      <c r="G7256" s="1" t="s">
        <v>36</v>
      </c>
      <c r="H7256" s="1" t="s">
        <v>29</v>
      </c>
      <c r="I7256" s="1" t="str">
        <f ca="1">IFERROR(__xludf.DUMMYFUNCTION("GOOGLETRANSLATE(F7256, ""auto"", ""en"")
"),"We've been using this bread maker for almost a year now. I especially like the presence of programs for various types of dough (dumplings, pizza, butter). The shortcomings have not yet been replaced. The bread turns out great. We recommend it to everyone.")</f>
        <v>We've been using this bread maker for almost a year now. I especially like the presence of programs for various types of dough (dumplings, pizza, butter). The shortcomings have not yet been replaced. The bread turns out great. We recommend it to everyone.</v>
      </c>
    </row>
    <row r="7257" spans="1:9" x14ac:dyDescent="0.3">
      <c r="A7257" s="1" t="s">
        <v>61</v>
      </c>
      <c r="B7257" s="1" t="s">
        <v>73</v>
      </c>
      <c r="C7257" s="1" t="s">
        <v>146</v>
      </c>
      <c r="D7257" s="1" t="s">
        <v>114</v>
      </c>
      <c r="E7257" s="1" t="s">
        <v>4080</v>
      </c>
      <c r="F7257" s="1" t="s">
        <v>11251</v>
      </c>
      <c r="G7257" s="1" t="s">
        <v>36</v>
      </c>
      <c r="H7257" s="1" t="s">
        <v>29</v>
      </c>
      <c r="I7257" s="1" t="str">
        <f ca="1">IFERROR(__xludf.DUMMYFUNCTION("GOOGLETRANSLATE(F7257, ""auto"", ""en"")
"),"I purchased this meat grinder a couple of months ago, and during its use I accumulated some information. Makes minced meat perfectly!!! I made 10 kg of meat at once, nothing overheated or turned off. The all-metal body is very convenient, there’s nothing "&amp;"left in the flesh from your hands, just wipe it with a cloth and that’s it, nothing sticks in anywhere! The recipe book is a small bonus, we save money on purchasing it)) I recommend it.")</f>
        <v>I purchased this meat grinder a couple of months ago, and during its use I accumulated some information. Makes minced meat perfectly!!! I made 10 kg of meat at once, nothing overheated or turned off. The all-metal body is very convenient, there’s nothing left in the flesh from your hands, just wipe it with a cloth and that’s it, nothing sticks in anywhere! The recipe book is a small bonus, we save money on purchasing it)) I recommend it.</v>
      </c>
    </row>
    <row r="7258" spans="1:9" x14ac:dyDescent="0.3">
      <c r="A7258" s="1" t="s">
        <v>149</v>
      </c>
      <c r="B7258" s="1" t="s">
        <v>423</v>
      </c>
      <c r="C7258" s="1" t="s">
        <v>424</v>
      </c>
      <c r="D7258" s="1" t="s">
        <v>474</v>
      </c>
      <c r="E7258" s="1" t="s">
        <v>1228</v>
      </c>
      <c r="F7258" s="1" t="s">
        <v>11252</v>
      </c>
      <c r="G7258" s="1" t="s">
        <v>15</v>
      </c>
      <c r="H7258" s="1" t="s">
        <v>16</v>
      </c>
      <c r="I7258" s="1" t="str">
        <f ca="1">IFERROR(__xludf.DUMMYFUNCTION("GOOGLETRANSLATE(F7258, ""auto"", ""en"")
"),"I purchased this vacuum cleaner about 2 years ago. Absolutely no different from a regular average vacuum cleaner. 2 nozzles are broken. the wheels of one fell off, and the water supply tube of the second broke.  For some reason, a socket on the case also "&amp;"flew off. Some kind of motor burned out (they told me to take it to a service center, but most likely this is not a warranty case, i.e. you will have to repair it at your own expense. They say that this is a common problem with them due to voltage drops) "&amp;"It’s good that the husband is a jack of all trades and did everything himself very quickly.  Very bulky and inconvenient to pour out water. The water supply tube on the hose keeps getting twisted and has to be adjusted periodically. Our next vacuum cleane"&amp;"r (I suspect that this one doesn’t have long to live) will be the most ordinary and most likely non-washing, because I consider this procedure (based on my experience with this vacuum cleaner) to be very complicated and unnecessary!")</f>
        <v>I purchased this vacuum cleaner about 2 years ago. Absolutely no different from a regular average vacuum cleaner. 2 nozzles are broken. the wheels of one fell off, and the water supply tube of the second broke.  For some reason, a socket on the case also flew off. Some kind of motor burned out (they told me to take it to a service center, but most likely this is not a warranty case, i.e. you will have to repair it at your own expense. They say that this is a common problem with them due to voltage drops) It’s good that the husband is a jack of all trades and did everything himself very quickly.  Very bulky and inconvenient to pour out water. The water supply tube on the hose keeps getting twisted and has to be adjusted periodically. Our next vacuum cleaner (I suspect that this one doesn’t have long to live) will be the most ordinary and most likely non-washing, because I consider this procedure (based on my experience with this vacuum cleaner) to be very complicated and unnecessary!</v>
      </c>
    </row>
    <row r="7259" spans="1:9" x14ac:dyDescent="0.3">
      <c r="A7259" s="1" t="s">
        <v>67</v>
      </c>
      <c r="B7259" s="1" t="s">
        <v>68</v>
      </c>
      <c r="C7259" s="1" t="s">
        <v>69</v>
      </c>
      <c r="D7259" s="1" t="s">
        <v>33</v>
      </c>
      <c r="E7259" s="1" t="s">
        <v>1905</v>
      </c>
      <c r="F7259" s="1" t="s">
        <v>11253</v>
      </c>
      <c r="G7259" s="1" t="s">
        <v>36</v>
      </c>
      <c r="H7259" s="1" t="s">
        <v>29</v>
      </c>
      <c r="I7259" s="1" t="str">
        <f ca="1">IFERROR(__xludf.DUMMYFUNCTION("GOOGLETRANSLATE(F7259, ""auto"", ""en"")
"),"The iron is truly gorgeous and smoothes even dry laundry very easily. Heats up quickly (I take one minute and ten seconds) to maximum heat, a good steam boost and a very useful steam ionization function. The sole of the iron glides perfectly without pinch"&amp;"ing clothes and is easy to clean. What I was most pleased with was the auto shut-off feature, so you don’t have to pull it out of the socket at all. I really like the iron.")</f>
        <v>The iron is truly gorgeous and smoothes even dry laundry very easily. Heats up quickly (I take one minute and ten seconds) to maximum heat, a good steam boost and a very useful steam ionization function. The sole of the iron glides perfectly without pinching clothes and is easy to clean. What I was most pleased with was the auto shut-off feature, so you don’t have to pull it out of the socket at all. I really like the iron.</v>
      </c>
    </row>
    <row r="7260" spans="1:9" x14ac:dyDescent="0.3">
      <c r="A7260" s="1" t="s">
        <v>624</v>
      </c>
      <c r="B7260" s="1" t="s">
        <v>881</v>
      </c>
      <c r="C7260" s="1" t="s">
        <v>479</v>
      </c>
      <c r="D7260" s="1" t="s">
        <v>1917</v>
      </c>
      <c r="E7260" s="1" t="s">
        <v>4735</v>
      </c>
      <c r="F7260" s="1" t="s">
        <v>11254</v>
      </c>
      <c r="G7260" s="1" t="s">
        <v>28</v>
      </c>
      <c r="H7260" s="1" t="s">
        <v>29</v>
      </c>
      <c r="I7260" s="1" t="str">
        <f ca="1">IFERROR(__xludf.DUMMYFUNCTION("GOOGLETRANSLATE(F7260, ""auto"", ""en"")
"),"Overall the game is not bad, one of my first games on PSP. If you play for a long time, it becomes boring, because... The game has only shootouts and nothing else, which of course quickly gets boring. If you play it, then not often, so as not to get tired"&amp;" and disappointed in it after that. The graphics for PSP are acceptable, the plot is so-so. Worth playing, but don't replay")</f>
        <v>Overall the game is not bad, one of my first games on PSP. If you play for a long time, it becomes boring, because... The game has only shootouts and nothing else, which of course quickly gets boring. If you play it, then not often, so as not to get tired and disappointed in it after that. The graphics for PSP are acceptable, the plot is so-so. Worth playing, but don't replay</v>
      </c>
    </row>
    <row r="7261" spans="1:9" x14ac:dyDescent="0.3">
      <c r="A7261" s="1" t="s">
        <v>61</v>
      </c>
      <c r="B7261" s="1" t="s">
        <v>318</v>
      </c>
      <c r="C7261" s="1" t="s">
        <v>85</v>
      </c>
      <c r="D7261" s="1" t="s">
        <v>1890</v>
      </c>
      <c r="E7261" s="1" t="s">
        <v>11255</v>
      </c>
      <c r="F7261" s="1" t="s">
        <v>11256</v>
      </c>
      <c r="G7261" s="1" t="s">
        <v>15</v>
      </c>
      <c r="H7261" s="1" t="s">
        <v>16</v>
      </c>
      <c r="I7261" s="1" t="str">
        <f ca="1">IFERROR(__xludf.DUMMYFUNCTION("GOOGLETRANSLATE(F7261, ""auto"", ""en"")
"),"Overall the kettle is good! Heats up great, the only thing that irritates me is the lid!!! When boiling, it constantly opens, and it doesn’t close the first time!) For that kind of money we didn’t expect this!")</f>
        <v>Overall the kettle is good! Heats up great, the only thing that irritates me is the lid!!! When boiling, it constantly opens, and it doesn’t close the first time!) For that kind of money we didn’t expect this!</v>
      </c>
    </row>
    <row r="7262" spans="1:9" x14ac:dyDescent="0.3">
      <c r="A7262" s="1" t="s">
        <v>61</v>
      </c>
      <c r="B7262" s="1" t="s">
        <v>726</v>
      </c>
      <c r="C7262" s="1" t="s">
        <v>146</v>
      </c>
      <c r="D7262" s="1" t="s">
        <v>565</v>
      </c>
      <c r="E7262" s="1" t="s">
        <v>11257</v>
      </c>
      <c r="F7262" s="1" t="s">
        <v>11258</v>
      </c>
      <c r="G7262" s="1" t="s">
        <v>36</v>
      </c>
      <c r="H7262" s="1" t="s">
        <v>29</v>
      </c>
      <c r="I7262" s="1" t="str">
        <f ca="1">IFERROR(__xludf.DUMMYFUNCTION("GOOGLETRANSLATE(F7262, ""auto"", ""en"")
"),"Those who write badly about it, just cook according to the recipe and be sure to use a scale (you can’t do without them) Everything is fried and stirred, my family is very happy! Reliable and easy to use, what more do you need?")</f>
        <v>Those who write badly about it, just cook according to the recipe and be sure to use a scale (you can’t do without them) Everything is fried and stirred, my family is very happy! Reliable and easy to use, what more do you need?</v>
      </c>
    </row>
    <row r="7263" spans="1:9" x14ac:dyDescent="0.3">
      <c r="A7263" s="1" t="s">
        <v>17</v>
      </c>
      <c r="B7263" s="1" t="s">
        <v>18</v>
      </c>
      <c r="C7263" s="1" t="s">
        <v>63</v>
      </c>
      <c r="D7263" s="1" t="s">
        <v>280</v>
      </c>
      <c r="E7263" s="1" t="s">
        <v>2131</v>
      </c>
      <c r="F7263" s="1" t="s">
        <v>11259</v>
      </c>
      <c r="G7263" s="1" t="s">
        <v>36</v>
      </c>
      <c r="H7263" s="1" t="s">
        <v>29</v>
      </c>
      <c r="I7263" s="1" t="str">
        <f ca="1">IFERROR(__xludf.DUMMYFUNCTION("GOOGLETRANSLATE(F7263, ""auto"", ""en"")
"),"Too good to be good. There's nothing to complain about. You are just waiting for some hole in the machine, but for some reason it (the hole) stubbornly does not pop up. The machine washes and spins wonderfully, that’s for sure. The machine is medium-quiet"&amp;".")</f>
        <v>Too good to be good. There's nothing to complain about. You are just waiting for some hole in the machine, but for some reason it (the hole) stubbornly does not pop up. The machine washes and spins wonderfully, that’s for sure. The machine is medium-quiet.</v>
      </c>
    </row>
    <row r="7264" spans="1:9" x14ac:dyDescent="0.3">
      <c r="A7264" s="1" t="s">
        <v>30</v>
      </c>
      <c r="B7264" s="1" t="s">
        <v>50</v>
      </c>
      <c r="C7264" s="1" t="s">
        <v>51</v>
      </c>
      <c r="D7264" s="1" t="s">
        <v>127</v>
      </c>
      <c r="E7264" s="1" t="s">
        <v>379</v>
      </c>
      <c r="F7264" s="1" t="s">
        <v>11260</v>
      </c>
      <c r="G7264" s="1" t="s">
        <v>36</v>
      </c>
      <c r="H7264" s="1" t="s">
        <v>29</v>
      </c>
      <c r="I7264" s="1" t="str">
        <f ca="1">IFERROR(__xludf.DUMMYFUNCTION("GOOGLETRANSLATE(F7264, ""auto"", ""en"")
"),"I made my choice in favor of this laptop twice: first in absentia, comparing the characteristics and cost of computers on the Internet, and then in the store, “feeling” the devices selected at the first stage.  I needed a powerful laptop with a large moni"&amp;"tor to replace my desktop computer. This is what I found for myself.  I can’t find fault with the quality: everything is neatly assembled and doesn’t wobble. Only the laptop lid sometimes creaks in the area of ​​the camera when opening the computer.  I li"&amp;"ked the keyboard: it looks great and typing on it is a pleasure once you get used to the laptop keys. I like the font for the keys.  The screen of this model is perhaps one of the best in laptops. Pay attention to its resolution and compare how it shows b"&amp;"lack color - the “gray” glow typical of laptop screens is not as much as in most modern classmates of this model. The brightness of the screen is absolutely amazing: you can use it instead of a lamp in the room :-).  In conclusion, I will say that I spent"&amp;" a long time and meticulously choosing a suitable laptop for myself and ultimately chose this model.")</f>
        <v>I made my choice in favor of this laptop twice: first in absentia, comparing the characteristics and cost of computers on the Internet, and then in the store, “feeling” the devices selected at the first stage.  I needed a powerful laptop with a large monitor to replace my desktop computer. This is what I found for myself.  I can’t find fault with the quality: everything is neatly assembled and doesn’t wobble. Only the laptop lid sometimes creaks in the area of ​​the camera when opening the computer.  I liked the keyboard: it looks great and typing on it is a pleasure once you get used to the laptop keys. I like the font for the keys.  The screen of this model is perhaps one of the best in laptops. Pay attention to its resolution and compare how it shows black color - the “gray” glow typical of laptop screens is not as much as in most modern classmates of this model. The brightness of the screen is absolutely amazing: you can use it instead of a lamp in the room :-).  In conclusion, I will say that I spent a long time and meticulously choosing a suitable laptop for myself and ultimately chose this model.</v>
      </c>
    </row>
    <row r="7265" spans="1:9" x14ac:dyDescent="0.3">
      <c r="A7265" s="1" t="s">
        <v>43</v>
      </c>
      <c r="B7265" s="1" t="s">
        <v>334</v>
      </c>
      <c r="C7265" s="1" t="s">
        <v>101</v>
      </c>
      <c r="D7265" s="1" t="s">
        <v>545</v>
      </c>
      <c r="E7265" s="1" t="s">
        <v>4634</v>
      </c>
      <c r="F7265" s="1" t="s">
        <v>11261</v>
      </c>
      <c r="G7265" s="1" t="s">
        <v>28</v>
      </c>
      <c r="H7265" s="1" t="s">
        <v>29</v>
      </c>
      <c r="I7265" s="1" t="str">
        <f ca="1">IFERROR(__xludf.DUMMYFUNCTION("GOOGLETRANSLATE(F7265, ""auto"", ""en"")
"),"Compact and inexpensive, convenient that there are two installation options (on a stand and on a clothespin)")</f>
        <v>Compact and inexpensive, convenient that there are two installation options (on a stand and on a clothespin)</v>
      </c>
    </row>
    <row r="7266" spans="1:9" x14ac:dyDescent="0.3">
      <c r="A7266" s="1" t="s">
        <v>30</v>
      </c>
      <c r="B7266" s="1" t="s">
        <v>50</v>
      </c>
      <c r="C7266" s="1" t="s">
        <v>1003</v>
      </c>
      <c r="D7266" s="1" t="s">
        <v>934</v>
      </c>
      <c r="E7266" s="1" t="s">
        <v>1454</v>
      </c>
      <c r="F7266" s="1" t="s">
        <v>11262</v>
      </c>
      <c r="G7266" s="1" t="s">
        <v>36</v>
      </c>
      <c r="H7266" s="1" t="s">
        <v>29</v>
      </c>
      <c r="I7266" s="1" t="str">
        <f ca="1">IFERROR(__xludf.DUMMYFUNCTION("GOOGLETRANSLATE(F7266, ""auto"", ""en"")
"),"Nice laptop. Works great. Very pleased with the purchase. In particular, the fact that there are no fingerprints on it.")</f>
        <v>Nice laptop. Works great. Very pleased with the purchase. In particular, the fact that there are no fingerprints on it.</v>
      </c>
    </row>
    <row r="7267" spans="1:9" x14ac:dyDescent="0.3">
      <c r="A7267" s="1" t="s">
        <v>211</v>
      </c>
      <c r="B7267" s="1" t="s">
        <v>212</v>
      </c>
      <c r="C7267" s="1" t="s">
        <v>69</v>
      </c>
      <c r="D7267" s="1" t="s">
        <v>474</v>
      </c>
      <c r="E7267" s="1" t="s">
        <v>5185</v>
      </c>
      <c r="F7267" s="1" t="s">
        <v>11263</v>
      </c>
      <c r="G7267" s="1" t="s">
        <v>36</v>
      </c>
      <c r="H7267" s="1" t="s">
        <v>29</v>
      </c>
      <c r="I7267" s="1" t="str">
        <f ca="1">IFERROR(__xludf.DUMMYFUNCTION("GOOGLETRANSLATE(F7267, ""auto"", ""en"")
"),"I bought a hairdryer for travel, it’s very powerful and doesn’t damage your hair, very nice folding handle")</f>
        <v>I bought a hairdryer for travel, it’s very powerful and doesn’t damage your hair, very nice folding handle</v>
      </c>
    </row>
    <row r="7268" spans="1:9" x14ac:dyDescent="0.3">
      <c r="A7268" s="1" t="s">
        <v>17</v>
      </c>
      <c r="B7268" s="1" t="s">
        <v>18</v>
      </c>
      <c r="C7268" s="1" t="s">
        <v>277</v>
      </c>
      <c r="D7268" s="1" t="s">
        <v>621</v>
      </c>
      <c r="E7268" s="1" t="s">
        <v>8941</v>
      </c>
      <c r="F7268" s="1" t="s">
        <v>11264</v>
      </c>
      <c r="G7268" s="1" t="s">
        <v>36</v>
      </c>
      <c r="H7268" s="1" t="s">
        <v>29</v>
      </c>
      <c r="I7268" s="1" t="str">
        <f ca="1">IFERROR(__xludf.DUMMYFUNCTION("GOOGLETRANSLATE(F7268, ""auto"", ""en"")
"),"I don’t agree with the bad reviews, the machine is excellent, it performs all its functions, I didn’t notice anything about the volume, it works great, I’m very pleased, it has everything I need. I highly recommend it! Excellent model!")</f>
        <v>I don’t agree with the bad reviews, the machine is excellent, it performs all its functions, I didn’t notice anything about the volume, it works great, I’m very pleased, it has everything I need. I highly recommend it! Excellent model!</v>
      </c>
    </row>
    <row r="7269" spans="1:9" x14ac:dyDescent="0.3">
      <c r="A7269" s="1" t="s">
        <v>30</v>
      </c>
      <c r="B7269" s="1" t="s">
        <v>50</v>
      </c>
      <c r="C7269" s="1" t="s">
        <v>2550</v>
      </c>
      <c r="D7269" s="1" t="s">
        <v>3962</v>
      </c>
      <c r="E7269" s="1" t="s">
        <v>2702</v>
      </c>
      <c r="F7269" s="1" t="s">
        <v>11265</v>
      </c>
      <c r="G7269" s="1" t="s">
        <v>49</v>
      </c>
      <c r="H7269" s="1" t="s">
        <v>16</v>
      </c>
      <c r="I7269" s="1" t="str">
        <f ca="1">IFERROR(__xludf.DUMMYFUNCTION("GOOGLETRANSLATE(F7269, ""auto"", ""en"")
"),"I bought this laptop, worked on it, everything was fine, everything was fine, after 2 weeks the screen and laptop turned off while working. The next day I took it to the service center and returned it under warranty. A couple of days later I came to pick "&amp;"it up and was told that the laptop was defective, the hard drive had failed, since laptops are repaired in Moscow, I was offered to exchange the product for a similar one. For now I’m thinking about taking the same one or a time-tested brand.")</f>
        <v>I bought this laptop, worked on it, everything was fine, everything was fine, after 2 weeks the screen and laptop turned off while working. The next day I took it to the service center and returned it under warranty. A couple of days later I came to pick it up and was told that the laptop was defective, the hard drive had failed, since laptops are repaired in Moscow, I was offered to exchange the product for a similar one. For now I’m thinking about taking the same one or a time-tested brand.</v>
      </c>
    </row>
    <row r="7270" spans="1:9" x14ac:dyDescent="0.3">
      <c r="A7270" s="1" t="s">
        <v>120</v>
      </c>
      <c r="B7270" s="1" t="s">
        <v>126</v>
      </c>
      <c r="C7270" s="1" t="s">
        <v>151</v>
      </c>
      <c r="D7270" s="1" t="s">
        <v>11266</v>
      </c>
      <c r="E7270" s="1" t="s">
        <v>1905</v>
      </c>
      <c r="F7270" s="1" t="s">
        <v>11267</v>
      </c>
      <c r="G7270" s="1" t="s">
        <v>28</v>
      </c>
      <c r="H7270" s="1" t="s">
        <v>29</v>
      </c>
      <c r="I7270" s="1" t="str">
        <f ca="1">IFERROR(__xludf.DUMMYFUNCTION("GOOGLETRANSLATE(F7270, ""auto"", ""en"")
"),"The choice was only among Samsung. As a result, before that there was also a Sams Le32. What I liked about the new TV: the diagonal - now the room looks like a small cinema. What I didn’t like was that the image is blurry when compared with LED models. Th"&amp;"e switched off screen itself is not black, but gray. It gets warm)) Overall very satisfied. Oh, another problem - I could barely push it into the car)) In general, I recommend it!")</f>
        <v>The choice was only among Samsung. As a result, before that there was also a Sams Le32. What I liked about the new TV: the diagonal - now the room looks like a small cinema. What I didn’t like was that the image is blurry when compared with LED models. The switched off screen itself is not black, but gray. It gets warm)) Overall very satisfied. Oh, another problem - I could barely push it into the car)) In general, I recommend it!</v>
      </c>
    </row>
    <row r="7271" spans="1:9" x14ac:dyDescent="0.3">
      <c r="A7271" s="1" t="s">
        <v>557</v>
      </c>
      <c r="B7271" s="1" t="s">
        <v>1977</v>
      </c>
      <c r="C7271" s="1" t="s">
        <v>122</v>
      </c>
      <c r="D7271" s="1" t="s">
        <v>11268</v>
      </c>
      <c r="E7271" s="1" t="s">
        <v>1816</v>
      </c>
      <c r="F7271" s="1" t="s">
        <v>11269</v>
      </c>
      <c r="G7271" s="1" t="s">
        <v>36</v>
      </c>
      <c r="H7271" s="1" t="s">
        <v>29</v>
      </c>
      <c r="I7271" s="1" t="str">
        <f ca="1">IFERROR(__xludf.DUMMYFUNCTION("GOOGLETRANSLATE(F7271, ""auto"", ""en"")
"),"The Panasonic KX-TS2358 RU-B phone I purchased from you turned out to be the most reliable and flawlessly working of all the phones. devices we have in our apartment.   You can buy it with confidence and without hesitation.     Luck, M.M.")</f>
        <v>The Panasonic KX-TS2358 RU-B phone I purchased from you turned out to be the most reliable and flawlessly working of all the phones. devices we have in our apartment.   You can buy it with confidence and without hesitation.     Luck, M.M.</v>
      </c>
    </row>
    <row r="7272" spans="1:9" x14ac:dyDescent="0.3">
      <c r="A7272" s="1" t="s">
        <v>17</v>
      </c>
      <c r="B7272" s="1" t="s">
        <v>18</v>
      </c>
      <c r="C7272" s="1" t="s">
        <v>80</v>
      </c>
      <c r="D7272" s="1" t="s">
        <v>1659</v>
      </c>
      <c r="E7272" s="1" t="s">
        <v>1490</v>
      </c>
      <c r="F7272" s="1" t="s">
        <v>11270</v>
      </c>
      <c r="G7272" s="1" t="s">
        <v>36</v>
      </c>
      <c r="H7272" s="1" t="s">
        <v>29</v>
      </c>
      <c r="I7272" s="1" t="str">
        <f ca="1">IFERROR(__xludf.DUMMYFUNCTION("GOOGLETRANSLATE(F7272, ""auto"", ""en"")
"),"Quiet, washes clothes perfectly")</f>
        <v>Quiet, washes clothes perfectly</v>
      </c>
    </row>
    <row r="7273" spans="1:9" x14ac:dyDescent="0.3">
      <c r="A7273" s="1" t="s">
        <v>1119</v>
      </c>
      <c r="B7273" s="1" t="s">
        <v>1120</v>
      </c>
      <c r="C7273" s="1" t="s">
        <v>97</v>
      </c>
      <c r="D7273" s="1" t="s">
        <v>11271</v>
      </c>
      <c r="E7273" s="1" t="s">
        <v>864</v>
      </c>
      <c r="F7273" s="1" t="s">
        <v>11272</v>
      </c>
      <c r="G7273" s="1" t="s">
        <v>28</v>
      </c>
      <c r="H7273" s="1" t="s">
        <v>29</v>
      </c>
      <c r="I7273" s="1" t="str">
        <f ca="1">IFERROR(__xludf.DUMMYFUNCTION("GOOGLETRANSLATE(F7273, ""auto"", ""en"")
"),"This sound from extending the lens is very upsetting... We went out into nature and filmed: birds are singing and this sound is tzzzzzzzzz ((((But the camera is nothing. I don’t recommend taking photos with it - poor quality. But there are no complaints a"&amp;"bout the quality of the video picture itself, and everything from the screens is good, clear)")</f>
        <v>This sound from extending the lens is very upsetting... We went out into nature and filmed: birds are singing and this sound is tzzzzzzzzz ((((But the camera is nothing. I don’t recommend taking photos with it - poor quality. But there are no complaints about the quality of the video picture itself, and everything from the screens is good, clear)</v>
      </c>
    </row>
    <row r="7274" spans="1:9" x14ac:dyDescent="0.3">
      <c r="A7274" s="1" t="s">
        <v>120</v>
      </c>
      <c r="B7274" s="1" t="s">
        <v>121</v>
      </c>
      <c r="C7274" s="1" t="s">
        <v>97</v>
      </c>
      <c r="D7274" s="1" t="s">
        <v>1681</v>
      </c>
      <c r="E7274" s="1" t="s">
        <v>2829</v>
      </c>
      <c r="F7274" s="1" t="s">
        <v>11273</v>
      </c>
      <c r="G7274" s="1" t="s">
        <v>36</v>
      </c>
      <c r="H7274" s="1" t="s">
        <v>29</v>
      </c>
      <c r="I7274" s="1" t="str">
        <f ca="1">IFERROR(__xludf.DUMMYFUNCTION("GOOGLETRANSLATE(F7274, ""auto"", ""en"")
"),"SONY knows how to make technology and this model is a clear confirmation of this. Excellent image quality, beautiful and convenient menu, impeccable appearance. In a word, a quality item that will please you for a very long time. Take it - you won't regre"&amp;"t it! I recommend it with a clear conscience!")</f>
        <v>SONY knows how to make technology and this model is a clear confirmation of this. Excellent image quality, beautiful and convenient menu, impeccable appearance. In a word, a quality item that will please you for a very long time. Take it - you won't regret it! I recommend it with a clear conscience!</v>
      </c>
    </row>
    <row r="7275" spans="1:9" x14ac:dyDescent="0.3">
      <c r="A7275" s="1" t="s">
        <v>17</v>
      </c>
      <c r="B7275" s="1" t="s">
        <v>18</v>
      </c>
      <c r="C7275" s="1" t="s">
        <v>243</v>
      </c>
      <c r="D7275" s="1" t="s">
        <v>545</v>
      </c>
      <c r="E7275" s="1" t="s">
        <v>11274</v>
      </c>
      <c r="F7275" s="1" t="s">
        <v>11275</v>
      </c>
      <c r="G7275" s="1" t="s">
        <v>36</v>
      </c>
      <c r="H7275" s="1" t="s">
        <v>29</v>
      </c>
      <c r="I7275" s="1" t="str">
        <f ca="1">IFERROR(__xludf.DUMMYFUNCTION("GOOGLETRANSLATE(F7275, ""auto"", ""en"")
"),"I've had it for 5 years now.  Works great, compact, easy to use. No complaints, washes well. I recommend it.")</f>
        <v>I've had it for 5 years now.  Works great, compact, easy to use. No complaints, washes well. I recommend it.</v>
      </c>
    </row>
    <row r="7276" spans="1:9" x14ac:dyDescent="0.3">
      <c r="A7276" s="1" t="s">
        <v>361</v>
      </c>
      <c r="B7276" s="1" t="s">
        <v>462</v>
      </c>
      <c r="C7276" s="1" t="s">
        <v>698</v>
      </c>
      <c r="D7276" s="1" t="s">
        <v>280</v>
      </c>
      <c r="E7276" s="1" t="s">
        <v>862</v>
      </c>
      <c r="F7276" s="1" t="s">
        <v>11276</v>
      </c>
      <c r="G7276" s="1" t="s">
        <v>28</v>
      </c>
      <c r="H7276" s="1" t="s">
        <v>29</v>
      </c>
      <c r="I7276" s="1" t="str">
        <f ca="1">IFERROR(__xludf.DUMMYFUNCTION("GOOGLETRANSLATE(F7276, ""auto"", ""en"")
"),"The cartridge is easy to install. Ready to go straight away. The resource has been increased compared to the old B100. A little expensive, but there is no other alternative.  I am satisfied with the quality of the water.")</f>
        <v>The cartridge is easy to install. Ready to go straight away. The resource has been increased compared to the old B100. A little expensive, but there is no other alternative.  I am satisfied with the quality of the water.</v>
      </c>
    </row>
    <row r="7277" spans="1:9" x14ac:dyDescent="0.3">
      <c r="A7277" s="1" t="s">
        <v>211</v>
      </c>
      <c r="B7277" s="1" t="s">
        <v>515</v>
      </c>
      <c r="C7277" s="1" t="s">
        <v>381</v>
      </c>
      <c r="D7277" s="1" t="s">
        <v>11277</v>
      </c>
      <c r="E7277" s="1" t="s">
        <v>4939</v>
      </c>
      <c r="F7277" s="1" t="s">
        <v>11278</v>
      </c>
      <c r="G7277" s="1" t="s">
        <v>15</v>
      </c>
      <c r="H7277" s="1" t="s">
        <v>16</v>
      </c>
      <c r="I7277" s="1" t="str">
        <f ca="1">IFERROR(__xludf.DUMMYFUNCTION("GOOGLETRANSLATE(F7277, ""auto"", ""en"")
"),"I bought it yesterday, tried it and didn’t like it. It breaks a lot of hair. In order to capture small hairs, you need to move it several times over the same place; in the bikini area and in the armpits, due to the nozzle, it doesn’t reach the hairs at al"&amp;"l, you need to press hard, which leads to damage to the skin. In general, there are many disadvantages. Pros: price, warranty, cooling flow and lighting")</f>
        <v>I bought it yesterday, tried it and didn’t like it. It breaks a lot of hair. In order to capture small hairs, you need to move it several times over the same place; in the bikini area and in the armpits, due to the nozzle, it doesn’t reach the hairs at all, you need to press hard, which leads to damage to the skin. In general, there are many disadvantages. Pros: price, warranty, cooling flow and lighting</v>
      </c>
    </row>
    <row r="7278" spans="1:9" x14ac:dyDescent="0.3">
      <c r="A7278" s="1" t="s">
        <v>61</v>
      </c>
      <c r="B7278" s="1" t="s">
        <v>145</v>
      </c>
      <c r="C7278" s="1" t="s">
        <v>45</v>
      </c>
      <c r="D7278" s="1" t="s">
        <v>52</v>
      </c>
      <c r="E7278" s="1" t="s">
        <v>784</v>
      </c>
      <c r="F7278" s="1" t="s">
        <v>11279</v>
      </c>
      <c r="G7278" s="1" t="s">
        <v>49</v>
      </c>
      <c r="H7278" s="1" t="s">
        <v>16</v>
      </c>
      <c r="I7278" s="1" t="str">
        <f ca="1">IFERROR(__xludf.DUMMYFUNCTION("GOOGLETRANSLATE(F7278, ""auto"", ""en"")
"),"bought in May, yesterday it broke down, today I took it to the store to accept it and exchange it, they refused because there is no service in Sochi, they sent it for an independent examination, although the manufacturing defect is visible to the naked ey"&amp;"e, I stood in line for two hours due to the defect, the people were like going to the Mausoleum.  p/s. Never set foot in Mvideo again")</f>
        <v>bought in May, yesterday it broke down, today I took it to the store to accept it and exchange it, they refused because there is no service in Sochi, they sent it for an independent examination, although the manufacturing defect is visible to the naked eye, I stood in line for two hours due to the defect, the people were like going to the Mausoleum.  p/s. Never set foot in Mvideo again</v>
      </c>
    </row>
    <row r="7279" spans="1:9" x14ac:dyDescent="0.3">
      <c r="A7279" s="1" t="s">
        <v>211</v>
      </c>
      <c r="B7279" s="1" t="s">
        <v>384</v>
      </c>
      <c r="C7279" s="1" t="s">
        <v>57</v>
      </c>
      <c r="D7279" s="1" t="s">
        <v>483</v>
      </c>
      <c r="E7279" s="1" t="s">
        <v>2502</v>
      </c>
      <c r="F7279" s="1" t="s">
        <v>11280</v>
      </c>
      <c r="G7279" s="1" t="s">
        <v>49</v>
      </c>
      <c r="H7279" s="1" t="s">
        <v>16</v>
      </c>
      <c r="I7279" s="1" t="str">
        <f ca="1">IFERROR(__xludf.DUMMYFUNCTION("GOOGLETRANSLATE(F7279, ""auto"", ""en"")
"),"As soon as I bought it, I immediately started testing it on linoleum. The error reached 10!!! kg. I opened the instructions and it says that on soft surfaces such as carpets, the measurement accuracy decreases. I checked the work on a hard surface (the su"&amp;"rface of a stool), and the declared accuracy was confirmed. What kind of scales are these if they can’t even measure on linoleum? Tomorrow I will lay the laminate flooring. In general, the scales are disgusting, be sure to take a scale with a built-in bot"&amp;"tom support. Tefal seems to have all the same scales.")</f>
        <v>As soon as I bought it, I immediately started testing it on linoleum. The error reached 10!!! kg. I opened the instructions and it says that on soft surfaces such as carpets, the measurement accuracy decreases. I checked the work on a hard surface (the surface of a stool), and the declared accuracy was confirmed. What kind of scales are these if they can’t even measure on linoleum? Tomorrow I will lay the laminate flooring. In general, the scales are disgusting, be sure to take a scale with a built-in bottom support. Tefal seems to have all the same scales.</v>
      </c>
    </row>
    <row r="7280" spans="1:9" x14ac:dyDescent="0.3">
      <c r="A7280" s="1" t="s">
        <v>211</v>
      </c>
      <c r="B7280" s="1" t="s">
        <v>212</v>
      </c>
      <c r="C7280" s="1" t="s">
        <v>213</v>
      </c>
      <c r="D7280" s="1" t="s">
        <v>896</v>
      </c>
      <c r="E7280" s="1" t="s">
        <v>2265</v>
      </c>
      <c r="F7280" s="1" t="s">
        <v>11281</v>
      </c>
      <c r="G7280" s="1" t="s">
        <v>36</v>
      </c>
      <c r="H7280" s="1" t="s">
        <v>29</v>
      </c>
      <c r="I7280" s="1" t="str">
        <f ca="1">IFERROR(__xludf.DUMMYFUNCTION("GOOGLETRANSLATE(F7280, ""auto"", ""en"")
"),"The thing is just super!! Easy to use. Straightens instantly and, most importantly, evenly. I have long hair of medium curl :) I used to have a cheap one (some it was, some it wasn’t) After this purchase I got rid of it with pleasure. I recommend it!")</f>
        <v>The thing is just super!! Easy to use. Straightens instantly and, most importantly, evenly. I have long hair of medium curl :) I used to have a cheap one (some it was, some it wasn’t) After this purchase I got rid of it with pleasure. I recommend it!</v>
      </c>
    </row>
    <row r="7281" spans="1:9" x14ac:dyDescent="0.3">
      <c r="A7281" s="1" t="s">
        <v>105</v>
      </c>
      <c r="B7281" s="1" t="s">
        <v>106</v>
      </c>
      <c r="C7281" s="1" t="s">
        <v>1209</v>
      </c>
      <c r="D7281" s="1" t="s">
        <v>280</v>
      </c>
      <c r="E7281" s="1" t="s">
        <v>194</v>
      </c>
      <c r="F7281" s="1" t="s">
        <v>11282</v>
      </c>
      <c r="G7281" s="1" t="s">
        <v>28</v>
      </c>
      <c r="H7281" s="1" t="s">
        <v>29</v>
      </c>
      <c r="I7281" s="1" t="str">
        <f ca="1">IFERROR(__xludf.DUMMYFUNCTION("GOOGLETRANSLATE(F7281, ""auto"", ""en"")
"),"I bought an M8 player, of course it’s excellent, but it takes about 7 hours to charge")</f>
        <v>I bought an M8 player, of course it’s excellent, but it takes about 7 hours to charge</v>
      </c>
    </row>
    <row r="7282" spans="1:9" x14ac:dyDescent="0.3">
      <c r="A7282" s="1" t="s">
        <v>61</v>
      </c>
      <c r="B7282" s="1" t="s">
        <v>224</v>
      </c>
      <c r="C7282" s="1" t="s">
        <v>74</v>
      </c>
      <c r="D7282" s="1" t="s">
        <v>86</v>
      </c>
      <c r="E7282" s="1" t="s">
        <v>3166</v>
      </c>
      <c r="F7282" s="1" t="s">
        <v>11283</v>
      </c>
      <c r="G7282" s="1" t="s">
        <v>36</v>
      </c>
      <c r="H7282" s="1" t="s">
        <v>29</v>
      </c>
      <c r="I7282" s="1" t="str">
        <f ca="1">IFERROR(__xludf.DUMMYFUNCTION("GOOGLETRANSLATE(F7282, ""auto"", ""en"")
"),"overall rating: ""5"".  pros: a large opening for loading - you don’t need to cut many fruits, the pulp remains dry - you can’t squeeze anything else out of it, the juice is made in seconds.  The suction cups are reliable - they don’t jump on the table wh"&amp;"ile working. I was pleased with the auto-discard function of the cake - no need to stop every minute.   you need to wash four parts: 3 plastic ones - easily and quickly (if immediately after spinning, then a stream of water washes everything off) and a si"&amp;"eve, for which there is a special brush. Cons: the sieve takes longer to wash - after citrus fruits, but this is a dubious disadvantage - just an extra 2-3 minutes, just a matter of habit.")</f>
        <v>overall rating: "5".  pros: a large opening for loading - you don’t need to cut many fruits, the pulp remains dry - you can’t squeeze anything else out of it, the juice is made in seconds.  The suction cups are reliable - they don’t jump on the table while working. I was pleased with the auto-discard function of the cake - no need to stop every minute.   you need to wash four parts: 3 plastic ones - easily and quickly (if immediately after spinning, then a stream of water washes everything off) and a sieve, for which there is a special brush. Cons: the sieve takes longer to wash - after citrus fruits, but this is a dubious disadvantage - just an extra 2-3 minutes, just a matter of habit.</v>
      </c>
    </row>
    <row r="7283" spans="1:9" x14ac:dyDescent="0.3">
      <c r="A7283" s="1" t="s">
        <v>169</v>
      </c>
      <c r="B7283" s="1" t="s">
        <v>170</v>
      </c>
      <c r="C7283" s="1" t="s">
        <v>97</v>
      </c>
      <c r="D7283" s="1" t="s">
        <v>19</v>
      </c>
      <c r="E7283" s="1" t="s">
        <v>2563</v>
      </c>
      <c r="F7283" s="1" t="s">
        <v>11284</v>
      </c>
      <c r="G7283" s="1" t="s">
        <v>36</v>
      </c>
      <c r="H7283" s="1" t="s">
        <v>29</v>
      </c>
      <c r="I7283" s="1" t="str">
        <f ca="1">IFERROR(__xludf.DUMMYFUNCTION("GOOGLETRANSLATE(F7283, ""auto"", ""en"")
"),"I don’t know who got which ones and who connected them how, but in my case everything is great! I was especially pleased with how they fit on the galya :)) They fit tightly, but do not press. The sound is SONY! Nothing to add. The only drawback (although "&amp;"this is not a drawback, but simply not provided for such and such a price) is the need for them to be located in the area of ​​the IR receiver. That is, when you go out to another room you lose the sound in your ears, but when you come back you find it!.."&amp;" :)) I’m thinking of buying more. In any case, they will come in handy.")</f>
        <v>I don’t know who got which ones and who connected them how, but in my case everything is great! I was especially pleased with how they fit on the galya :)) They fit tightly, but do not press. The sound is SONY! Nothing to add. The only drawback (although this is not a drawback, but simply not provided for such and such a price) is the need for them to be located in the area of ​​the IR receiver. That is, when you go out to another room you lose the sound in your ears, but when you come back you find it!.. :)) I’m thinking of buying more. In any case, they will come in handy.</v>
      </c>
    </row>
    <row r="7284" spans="1:9" x14ac:dyDescent="0.3">
      <c r="A7284" s="1" t="s">
        <v>149</v>
      </c>
      <c r="B7284" s="1" t="s">
        <v>155</v>
      </c>
      <c r="C7284" s="1" t="s">
        <v>151</v>
      </c>
      <c r="D7284" s="1" t="s">
        <v>474</v>
      </c>
      <c r="E7284" s="1" t="s">
        <v>1967</v>
      </c>
      <c r="F7284" s="1" t="s">
        <v>11285</v>
      </c>
      <c r="G7284" s="1" t="s">
        <v>36</v>
      </c>
      <c r="H7284" s="1" t="s">
        <v>29</v>
      </c>
      <c r="I7284" s="1" t="str">
        <f ca="1">IFERROR(__xludf.DUMMYFUNCTION("GOOGLETRANSLATE(F7284, ""auto"", ""en"")
"),"I have been using this vacuum cleaner for more than 5 years, it has gone through two repairs, and has not lost its qualities. It is enough to wash all the filters with soap and warm water once every six months and it will vacuum like new!")</f>
        <v>I have been using this vacuum cleaner for more than 5 years, it has gone through two repairs, and has not lost its qualities. It is enough to wash all the filters with soap and warm water once every six months and it will vacuum like new!</v>
      </c>
    </row>
    <row r="7285" spans="1:9" x14ac:dyDescent="0.3">
      <c r="A7285" s="1" t="s">
        <v>211</v>
      </c>
      <c r="B7285" s="1" t="s">
        <v>410</v>
      </c>
      <c r="C7285" s="1" t="s">
        <v>69</v>
      </c>
      <c r="D7285" s="1" t="s">
        <v>152</v>
      </c>
      <c r="E7285" s="1" t="s">
        <v>696</v>
      </c>
      <c r="F7285" s="1" t="s">
        <v>11286</v>
      </c>
      <c r="G7285" s="1" t="s">
        <v>49</v>
      </c>
      <c r="H7285" s="1" t="s">
        <v>16</v>
      </c>
      <c r="I7285" s="1" t="str">
        <f ca="1">IFERROR(__xludf.DUMMYFUNCTION("GOOGLETRANSLATE(F7285, ""auto"", ""en"")
"),"I've been trying to use this razor for half a year now. Personally, I didn’t like it, it doesn’t shave well, and it doesn’t self-clean well. In short, a waste of money. I'll try Panasonic or go back to the machine.")</f>
        <v>I've been trying to use this razor for half a year now. Personally, I didn’t like it, it doesn’t shave well, and it doesn’t self-clean well. In short, a waste of money. I'll try Panasonic or go back to the machine.</v>
      </c>
    </row>
    <row r="7286" spans="1:9" x14ac:dyDescent="0.3">
      <c r="A7286" s="1" t="s">
        <v>149</v>
      </c>
      <c r="B7286" s="1" t="s">
        <v>150</v>
      </c>
      <c r="C7286" s="1" t="s">
        <v>151</v>
      </c>
      <c r="D7286" s="1" t="s">
        <v>295</v>
      </c>
      <c r="E7286" s="1" t="s">
        <v>3864</v>
      </c>
      <c r="F7286" s="1" t="s">
        <v>11287</v>
      </c>
      <c r="G7286" s="1" t="s">
        <v>49</v>
      </c>
      <c r="H7286" s="1" t="s">
        <v>16</v>
      </c>
      <c r="I7286" s="1" t="str">
        <f ca="1">IFERROR(__xludf.DUMMYFUNCTION("GOOGLETRANSLATE(F7286, ""auto"", ""en"")
"),"I was given this vacuum cleaner as a gift, the power is very weak. It will take about 8 hours to vacuum your car really well. I don’t recommend buying this model, it will be very disappointing")</f>
        <v>I was given this vacuum cleaner as a gift, the power is very weak. It will take about 8 hours to vacuum your car really well. I don’t recommend buying this model, it will be very disappointing</v>
      </c>
    </row>
    <row r="7287" spans="1:9" x14ac:dyDescent="0.3">
      <c r="A7287" s="1" t="s">
        <v>30</v>
      </c>
      <c r="B7287" s="1" t="s">
        <v>50</v>
      </c>
      <c r="C7287" s="1" t="s">
        <v>694</v>
      </c>
      <c r="D7287" s="1" t="s">
        <v>1092</v>
      </c>
      <c r="E7287" s="1" t="s">
        <v>1273</v>
      </c>
      <c r="F7287" s="1" t="s">
        <v>11288</v>
      </c>
      <c r="G7287" s="1" t="s">
        <v>36</v>
      </c>
      <c r="H7287" s="1" t="s">
        <v>29</v>
      </c>
      <c r="I7287" s="1" t="str">
        <f ca="1">IFERROR(__xludf.DUMMYFUNCTION("GOOGLETRANSLATE(F7287, ""auto"", ""en"")
"),"I bought this machine 2 weeks ago. I'm almost completely satisfied with it. Wonderful display, very comfortable keyboard, correct card reader, loud speakers with very decent sound. This model, compared to all other netbooks at this price, has somewhat exp"&amp;"anded graphics capabilities (this is even symbolized by a special Nano by VIA sticker =)), but the most it can handle is games like Need For Speed ​​Porsche or (NFS 5). Undoubtedly, its capabilities are enough to work in Photoshop, CorelDRAW, office appli"&amp;"cations and even simple work in KOMPAS. It copes well with HD quality films. But of course we must adequately accept the capabilities of this baby. For this price there is hardly anything better among the new ones.  It has a duplicate operating system ""q"&amp;"uickstart"". I think its only advantage is that from the state of the computer being turned off, without loading Windows, you can be online in about 10 seconds if you have WiFi access.  Initially, the downside is that the hard drive is broken up very inco"&amp;"rrectly, in my opinion. 100Gb is allocated for the system, 40Gb for all sorts of things at your discretion, and approximately 15Gb is hidden for system backup (This section is occupied by a backup copy of Windows in the factory state weighing approximatel"&amp;"y 3.5Gb). This negligence is easily corrected by repartitioning the disks with an appropriate program, for example Acronis. And most importantly, the lack of a built-in optical drive is not a problem at all if you have it on a regular PC. You pick it out "&amp;"and connect it using a mobile chassis (it costs about 800 rubles) and the netbook sees and uses this drive without problems, even under Windows or in the BIOS.  But the big question for me remains whether it’s worth expanding the RAM on this baby.....!!!!"&amp;"!  Standing machine! I RECOMMEND!!!=0")</f>
        <v>I bought this machine 2 weeks ago. I'm almost completely satisfied with it. Wonderful display, very comfortable keyboard, correct card reader, loud speakers with very decent sound. This model, compared to all other netbooks at this price, has somewhat expanded graphics capabilities (this is even symbolized by a special Nano by VIA sticker =)), but the most it can handle is games like Need For Speed ​​Porsche or (NFS 5). Undoubtedly, its capabilities are enough to work in Photoshop, CorelDRAW, office applications and even simple work in KOMPAS. It copes well with HD quality films. But of course we must adequately accept the capabilities of this baby. For this price there is hardly anything better among the new ones.  It has a duplicate operating system "quickstart". I think its only advantage is that from the state of the computer being turned off, without loading Windows, you can be online in about 10 seconds if you have WiFi access.  Initially, the downside is that the hard drive is broken up very incorrectly, in my opinion. 100Gb is allocated for the system, 40Gb for all sorts of things at your discretion, and approximately 15Gb is hidden for system backup (This section is occupied by a backup copy of Windows in the factory state weighing approximately 3.5Gb). This negligence is easily corrected by repartitioning the disks with an appropriate program, for example Acronis. And most importantly, the lack of a built-in optical drive is not a problem at all if you have it on a regular PC. You pick it out and connect it using a mobile chassis (it costs about 800 rubles) and the netbook sees and uses this drive without problems, even under Windows or in the BIOS.  But the big question for me remains whether it’s worth expanding the RAM on this baby.....!!!!!  Standing machine! I RECOMMEND!!!=0</v>
      </c>
    </row>
    <row r="7288" spans="1:9" x14ac:dyDescent="0.3">
      <c r="A7288" s="1" t="s">
        <v>9</v>
      </c>
      <c r="B7288" s="1" t="s">
        <v>23</v>
      </c>
      <c r="C7288" s="1" t="s">
        <v>159</v>
      </c>
      <c r="D7288" s="1" t="s">
        <v>922</v>
      </c>
      <c r="E7288" s="1" t="s">
        <v>1219</v>
      </c>
      <c r="F7288" s="1" t="s">
        <v>11289</v>
      </c>
      <c r="G7288" s="1" t="s">
        <v>36</v>
      </c>
      <c r="H7288" s="1" t="s">
        <v>29</v>
      </c>
      <c r="I7288" s="1" t="str">
        <f ca="1">IFERROR(__xludf.DUMMYFUNCTION("GOOGLETRANSLATE(F7288, ""auto"", ""en"")
"),"I purchased this dishwasher in the M.Video store on Gogol, 15. At first I had doubts, I was choosing between BOSCH and SIEMENS (I didn’t consider ELECTROLUX as an option at all!!!!) but after talking with a wonderful specialist and consultant Natalya, I o"&amp;"pted for this model of dishwasher - and I don’t regret my choice! The dishwasher is excellent! It works practically silent, no need to come up and see if the program has ended - the indicator is on. The dishes are crystal clear, without smudges or streaks"&amp;"! I recommend it to everyone!!")</f>
        <v>I purchased this dishwasher in the M.Video store on Gogol, 15. At first I had doubts, I was choosing between BOSCH and SIEMENS (I didn’t consider ELECTROLUX as an option at all!!!!) but after talking with a wonderful specialist and consultant Natalya, I opted for this model of dishwasher - and I don’t regret my choice! The dishwasher is excellent! It works practically silent, no need to come up and see if the program has ended - the indicator is on. The dishes are crystal clear, without smudges or streaks! I recommend it to everyone!!</v>
      </c>
    </row>
    <row r="7289" spans="1:9" x14ac:dyDescent="0.3">
      <c r="A7289" s="1" t="s">
        <v>9</v>
      </c>
      <c r="B7289" s="1" t="s">
        <v>137</v>
      </c>
      <c r="C7289" s="1" t="s">
        <v>870</v>
      </c>
      <c r="D7289" s="1" t="s">
        <v>6528</v>
      </c>
      <c r="E7289" s="1" t="s">
        <v>2910</v>
      </c>
      <c r="F7289" s="1" t="s">
        <v>11290</v>
      </c>
      <c r="G7289" s="1" t="s">
        <v>94</v>
      </c>
      <c r="H7289" s="1" t="s">
        <v>29</v>
      </c>
      <c r="I7289" s="1" t="str">
        <f ca="1">IFERROR(__xludf.DUMMYFUNCTION("GOOGLETRANSLATE(F7289, ""auto"", ""en"")
"),"Beautiful design, shapes that are easy to clean, pleasant and beautiful handles. ")</f>
        <v xml:space="preserve">Beautiful design, shapes that are easy to clean, pleasant and beautiful handles. </v>
      </c>
    </row>
    <row r="7290" spans="1:9" x14ac:dyDescent="0.3">
      <c r="A7290" s="1" t="s">
        <v>149</v>
      </c>
      <c r="B7290" s="1" t="s">
        <v>423</v>
      </c>
      <c r="C7290" s="1" t="s">
        <v>314</v>
      </c>
      <c r="D7290" s="1" t="s">
        <v>916</v>
      </c>
      <c r="E7290" s="1" t="s">
        <v>8513</v>
      </c>
      <c r="F7290" s="1" t="s">
        <v>11291</v>
      </c>
      <c r="G7290" s="1" t="s">
        <v>1580</v>
      </c>
      <c r="H7290" s="1" t="s">
        <v>29</v>
      </c>
      <c r="I7290" s="1" t="str">
        <f ca="1">IFERROR(__xludf.DUMMYFUNCTION("GOOGLETRANSLATE(F7290, ""auto"", ""en"")
"),"Cleans well and washes upholstered furniture.")</f>
        <v>Cleans well and washes upholstered furniture.</v>
      </c>
    </row>
    <row r="7291" spans="1:9" x14ac:dyDescent="0.3">
      <c r="A7291" s="1" t="s">
        <v>43</v>
      </c>
      <c r="B7291" s="1" t="s">
        <v>502</v>
      </c>
      <c r="C7291" s="1" t="s">
        <v>1627</v>
      </c>
      <c r="D7291" s="1" t="s">
        <v>232</v>
      </c>
      <c r="E7291" s="1" t="s">
        <v>1155</v>
      </c>
      <c r="F7291" s="1" t="s">
        <v>11292</v>
      </c>
      <c r="G7291" s="1" t="s">
        <v>36</v>
      </c>
      <c r="H7291" s="1" t="s">
        <v>29</v>
      </c>
      <c r="I7291" s="1" t="str">
        <f ca="1">IFERROR(__xludf.DUMMYFUNCTION("GOOGLETRANSLATE(F7291, ""auto"", ""en"")
"),"I took it because it is a universal thing - it cools, heats, and dries. It copes with all of the above points just fine! I like the good performance and power of this system. At the same time, it is not noisy at all! There is an antibacterial filter, whic"&amp;"h is nice. There are several modes, including night mode - it works even quieter and gradually lowers the temperature little by little. The remote control is included, making it easy to control the system. Based on the high humidity in the room, it immedi"&amp;"ately figures out what’s what and turns on the dryer. The security system is simply well thought out. There is a self-diagnosis of faults, which issues a code - in the event of a sudden breakdown, you can always find out what exactly happened.")</f>
        <v>I took it because it is a universal thing - it cools, heats, and dries. It copes with all of the above points just fine! I like the good performance and power of this system. At the same time, it is not noisy at all! There is an antibacterial filter, which is nice. There are several modes, including night mode - it works even quieter and gradually lowers the temperature little by little. The remote control is included, making it easy to control the system. Based on the high humidity in the room, it immediately figures out what’s what and turns on the dryer. The security system is simply well thought out. There is a self-diagnosis of faults, which issues a code - in the event of a sudden breakdown, you can always find out what exactly happened.</v>
      </c>
    </row>
    <row r="7292" spans="1:9" x14ac:dyDescent="0.3">
      <c r="A7292" s="1" t="s">
        <v>95</v>
      </c>
      <c r="B7292" s="1" t="s">
        <v>402</v>
      </c>
      <c r="C7292" s="1" t="s">
        <v>403</v>
      </c>
      <c r="D7292" s="1" t="s">
        <v>1659</v>
      </c>
      <c r="E7292" s="1" t="s">
        <v>886</v>
      </c>
      <c r="F7292" s="1" t="s">
        <v>11293</v>
      </c>
      <c r="G7292" s="1" t="s">
        <v>49</v>
      </c>
      <c r="H7292" s="1" t="s">
        <v>16</v>
      </c>
      <c r="I7292" s="1" t="str">
        <f ca="1">IFERROR(__xludf.DUMMYFUNCTION("GOOGLETRANSLATE(F7292, ""auto"", ""en"")
"),"Not worth anything, the starting lineup is a nightmare. There is nothing to play, the count has reached the level of psp. 3D is nothing impressive, but from E3 there are only incidents of Nintendo, non-typical Mario 100500 and Zelda 32184321, Nintendo is "&amp;"leaking...")</f>
        <v>Not worth anything, the starting lineup is a nightmare. There is nothing to play, the count has reached the level of psp. 3D is nothing impressive, but from E3 there are only incidents of Nintendo, non-typical Mario 100500 and Zelda 32184321, Nintendo is leaking...</v>
      </c>
    </row>
    <row r="7293" spans="1:9" x14ac:dyDescent="0.3">
      <c r="A7293" s="1" t="s">
        <v>55</v>
      </c>
      <c r="B7293" s="1" t="s">
        <v>184</v>
      </c>
      <c r="C7293" s="1" t="s">
        <v>185</v>
      </c>
      <c r="D7293" s="1" t="s">
        <v>39</v>
      </c>
      <c r="E7293" s="1" t="s">
        <v>2236</v>
      </c>
      <c r="F7293" s="1" t="s">
        <v>11294</v>
      </c>
      <c r="G7293" s="1" t="s">
        <v>28</v>
      </c>
      <c r="H7293" s="1" t="s">
        <v>29</v>
      </c>
      <c r="I7293" s="1" t="str">
        <f ca="1">IFERROR(__xludf.DUMMYFUNCTION("GOOGLETRANSLATE(F7293, ""auto"", ""en"")
"),"I just bought it yesterday. I was choosing between it and buttered ones.   I started assembling and found out that the bolts that secure the fan heater itself to the base stand were not included in the kit. Very sad. We had to carry out the first launch i"&amp;"n a surrogate version (we leaned it against the wall). Heated a bedroom of 18 square meters very quickly. This evening I will assemble it and use it to its full potential.")</f>
        <v>I just bought it yesterday. I was choosing between it and buttered ones.   I started assembling and found out that the bolts that secure the fan heater itself to the base stand were not included in the kit. Very sad. We had to carry out the first launch in a surrogate version (we leaned it against the wall). Heated a bedroom of 18 square meters very quickly. This evening I will assemble it and use it to its full potential.</v>
      </c>
    </row>
    <row r="7294" spans="1:9" x14ac:dyDescent="0.3">
      <c r="A7294" s="1" t="s">
        <v>17</v>
      </c>
      <c r="B7294" s="1" t="s">
        <v>18</v>
      </c>
      <c r="C7294" s="1" t="s">
        <v>243</v>
      </c>
      <c r="D7294" s="1" t="s">
        <v>247</v>
      </c>
      <c r="E7294" s="1" t="s">
        <v>11295</v>
      </c>
      <c r="F7294" s="1" t="s">
        <v>11296</v>
      </c>
      <c r="G7294" s="1" t="s">
        <v>1580</v>
      </c>
      <c r="H7294" s="1" t="s">
        <v>29</v>
      </c>
      <c r="I7294" s="1" t="str">
        <f ca="1">IFERROR(__xludf.DUMMYFUNCTION("GOOGLETRANSLATE(F7294, ""auto"", ""en"")
"),"Narrow - fits perfectly in a small 2x2 bathroom, easy to install and connect to communications. When set correctly in level, the machine does not jump during the spin cycle even on bare tiles.")</f>
        <v>Narrow - fits perfectly in a small 2x2 bathroom, easy to install and connect to communications. When set correctly in level, the machine does not jump during the spin cycle even on bare tiles.</v>
      </c>
    </row>
    <row r="7295" spans="1:9" x14ac:dyDescent="0.3">
      <c r="A7295" s="1" t="s">
        <v>9</v>
      </c>
      <c r="B7295" s="1" t="s">
        <v>133</v>
      </c>
      <c r="C7295" s="1" t="s">
        <v>588</v>
      </c>
      <c r="D7295" s="1" t="s">
        <v>521</v>
      </c>
      <c r="E7295" s="1" t="s">
        <v>8206</v>
      </c>
      <c r="F7295" s="1" t="s">
        <v>11297</v>
      </c>
      <c r="G7295" s="1" t="s">
        <v>1580</v>
      </c>
      <c r="H7295" s="1" t="s">
        <v>29</v>
      </c>
      <c r="I7295" s="1" t="str">
        <f ca="1">IFERROR(__xludf.DUMMYFUNCTION("GOOGLETRANSLATE(F7295, ""auto"", ""en"")
"),"Not an expensive price for the amount of functions")</f>
        <v>Not an expensive price for the amount of functions</v>
      </c>
    </row>
    <row r="7296" spans="1:9" x14ac:dyDescent="0.3">
      <c r="A7296" s="1" t="s">
        <v>95</v>
      </c>
      <c r="B7296" s="1" t="s">
        <v>648</v>
      </c>
      <c r="C7296" s="1" t="s">
        <v>97</v>
      </c>
      <c r="D7296" s="1" t="s">
        <v>11298</v>
      </c>
      <c r="E7296" s="1" t="s">
        <v>285</v>
      </c>
      <c r="F7296" s="1" t="s">
        <v>11299</v>
      </c>
      <c r="G7296" s="1" t="s">
        <v>36</v>
      </c>
      <c r="H7296" s="1" t="s">
        <v>29</v>
      </c>
      <c r="I7296" s="1" t="str">
        <f ca="1">IFERROR(__xludf.DUMMYFUNCTION("GOOGLETRANSLATE(F7296, ""auto"", ""en"")
"),"The thing is certainly very cool")</f>
        <v>The thing is certainly very cool</v>
      </c>
    </row>
    <row r="7297" spans="1:9" x14ac:dyDescent="0.3">
      <c r="A7297" s="1" t="s">
        <v>61</v>
      </c>
      <c r="B7297" s="1" t="s">
        <v>224</v>
      </c>
      <c r="C7297" s="1" t="s">
        <v>57</v>
      </c>
      <c r="D7297" s="1" t="s">
        <v>11300</v>
      </c>
      <c r="E7297" s="1" t="s">
        <v>4284</v>
      </c>
      <c r="F7297" s="1" t="s">
        <v>11301</v>
      </c>
      <c r="G7297" s="1" t="s">
        <v>36</v>
      </c>
      <c r="H7297" s="1" t="s">
        <v>29</v>
      </c>
      <c r="I7297" s="1" t="str">
        <f ca="1">IFERROR(__xludf.DUMMYFUNCTION("GOOGLETRANSLATE(F7297, ""auto"", ""en"")
"),"I bought this model today. I tried it. I like it very much!!! for such a price I’m very happy! Among the shortcomings I can say is that it is not very convenient, that you cannot work on it for more than 1 minute without a break. but you can get a glass o"&amp;"f juice in less than a minute, so I don’t pay much attention to it. Otherwise, it’s an excellent juicer, I hope it will last a long time.   I recommend")</f>
        <v>I bought this model today. I tried it. I like it very much!!! for such a price I’m very happy! Among the shortcomings I can say is that it is not very convenient, that you cannot work on it for more than 1 minute without a break. but you can get a glass of juice in less than a minute, so I don’t pay much attention to it. Otherwise, it’s an excellent juicer, I hope it will last a long time.   I recommend</v>
      </c>
    </row>
    <row r="7298" spans="1:9" x14ac:dyDescent="0.3">
      <c r="A7298" s="1" t="s">
        <v>30</v>
      </c>
      <c r="B7298" s="1" t="s">
        <v>50</v>
      </c>
      <c r="C7298" s="1" t="s">
        <v>32</v>
      </c>
      <c r="D7298" s="1" t="s">
        <v>232</v>
      </c>
      <c r="E7298" s="1" t="s">
        <v>41</v>
      </c>
      <c r="F7298" s="1" t="s">
        <v>11302</v>
      </c>
      <c r="G7298" s="1" t="s">
        <v>36</v>
      </c>
      <c r="H7298" s="1" t="s">
        <v>29</v>
      </c>
      <c r="I7298" s="1" t="str">
        <f ca="1">IFERROR(__xludf.DUMMYFUNCTION("GOOGLETRANSLATE(F7298, ""auto"", ""en"")
"),"excellent laptop, quiet, before that I had an MSI S300, so after it it’s a fairy tale, the sound is good, everything suits me, I’ve had Windows 7 in my hands for one month - I was pleasantly surprised! Can't compare with Vista. The only thing that was a l"&amp;"ittle disappointing is that there is no bluetooth, but that’s a minor thing. I advise anyone who has that amount of money, this is the best choice.")</f>
        <v>excellent laptop, quiet, before that I had an MSI S300, so after it it’s a fairy tale, the sound is good, everything suits me, I’ve had Windows 7 in my hands for one month - I was pleasantly surprised! Can't compare with Vista. The only thing that was a little disappointing is that there is no bluetooth, but that’s a minor thing. I advise anyone who has that amount of money, this is the best choice.</v>
      </c>
    </row>
    <row r="7299" spans="1:9" x14ac:dyDescent="0.3">
      <c r="A7299" s="1" t="s">
        <v>67</v>
      </c>
      <c r="B7299" s="1" t="s">
        <v>68</v>
      </c>
      <c r="C7299" s="1" t="s">
        <v>246</v>
      </c>
      <c r="D7299" s="1" t="s">
        <v>1008</v>
      </c>
      <c r="E7299" s="1" t="s">
        <v>3928</v>
      </c>
      <c r="F7299" s="1" t="s">
        <v>11303</v>
      </c>
      <c r="G7299" s="1" t="s">
        <v>36</v>
      </c>
      <c r="H7299" s="1" t="s">
        <v>29</v>
      </c>
      <c r="I7299" s="1" t="str">
        <f ca="1">IFERROR(__xludf.DUMMYFUNCTION("GOOGLETRANSLATE(F7299, ""auto"", ""en"")
"),"I bought the iron on September 1, 2011. It works flawlessly, I iron shirts every day with a steaming effect, heats up quickly, has a good ironing surface that is easy to clean, light and comfortable!")</f>
        <v>I bought the iron on September 1, 2011. It works flawlessly, I iron shirts every day with a steaming effect, heats up quickly, has a good ironing surface that is easy to clean, light and comfortable!</v>
      </c>
    </row>
    <row r="7300" spans="1:9" x14ac:dyDescent="0.3">
      <c r="A7300" s="1" t="s">
        <v>9</v>
      </c>
      <c r="B7300" s="1" t="s">
        <v>10</v>
      </c>
      <c r="C7300" s="1" t="s">
        <v>407</v>
      </c>
      <c r="D7300" s="1" t="s">
        <v>1152</v>
      </c>
      <c r="E7300" s="1" t="s">
        <v>92</v>
      </c>
      <c r="F7300" s="1" t="s">
        <v>11304</v>
      </c>
      <c r="G7300" s="1" t="s">
        <v>28</v>
      </c>
      <c r="H7300" s="1" t="s">
        <v>29</v>
      </c>
      <c r="I7300" s="1" t="str">
        <f ca="1">IFERROR(__xludf.DUMMYFUNCTION("GOOGLETRANSLATE(F7300, ""auto"", ""en"")
"),"Stretches out, nice appearance, value for money")</f>
        <v>Stretches out, nice appearance, value for money</v>
      </c>
    </row>
    <row r="7301" spans="1:9" x14ac:dyDescent="0.3">
      <c r="A7301" s="1" t="s">
        <v>61</v>
      </c>
      <c r="B7301" s="1" t="s">
        <v>318</v>
      </c>
      <c r="C7301" s="1" t="s">
        <v>745</v>
      </c>
      <c r="D7301" s="1" t="s">
        <v>12</v>
      </c>
      <c r="E7301" s="1" t="s">
        <v>7819</v>
      </c>
      <c r="F7301" s="1" t="s">
        <v>11305</v>
      </c>
      <c r="G7301" s="1" t="s">
        <v>36</v>
      </c>
      <c r="H7301" s="1" t="s">
        <v>29</v>
      </c>
      <c r="I7301" s="1" t="str">
        <f ca="1">IFERROR(__xludf.DUMMYFUNCTION("GOOGLETRANSLATE(F7301, ""auto"", ""en"")
"),"boils quickly, reliable")</f>
        <v>boils quickly, reliable</v>
      </c>
    </row>
    <row r="7302" spans="1:9" x14ac:dyDescent="0.3">
      <c r="A7302" s="1" t="s">
        <v>61</v>
      </c>
      <c r="B7302" s="1" t="s">
        <v>224</v>
      </c>
      <c r="C7302" s="1" t="s">
        <v>213</v>
      </c>
      <c r="D7302" s="1" t="s">
        <v>545</v>
      </c>
      <c r="E7302" s="1" t="s">
        <v>4259</v>
      </c>
      <c r="F7302" s="1" t="s">
        <v>11306</v>
      </c>
      <c r="G7302" s="1" t="s">
        <v>36</v>
      </c>
      <c r="H7302" s="1" t="s">
        <v>29</v>
      </c>
      <c r="I7302" s="1" t="str">
        <f ca="1">IFERROR(__xludf.DUMMYFUNCTION("GOOGLETRANSLATE(F7302, ""auto"", ""en"")
"),"Small, light, convenient. The price is also within acceptable policy.")</f>
        <v>Small, light, convenient. The price is also within acceptable policy.</v>
      </c>
    </row>
    <row r="7303" spans="1:9" x14ac:dyDescent="0.3">
      <c r="A7303" s="1" t="s">
        <v>211</v>
      </c>
      <c r="B7303" s="1" t="s">
        <v>212</v>
      </c>
      <c r="C7303" s="1" t="s">
        <v>294</v>
      </c>
      <c r="D7303" s="1" t="s">
        <v>247</v>
      </c>
      <c r="E7303" s="1" t="s">
        <v>1649</v>
      </c>
      <c r="F7303" s="1" t="s">
        <v>11307</v>
      </c>
      <c r="G7303" s="1" t="s">
        <v>36</v>
      </c>
      <c r="H7303" s="1" t="s">
        <v>29</v>
      </c>
      <c r="I7303" s="1" t="str">
        <f ca="1">IFERROR(__xludf.DUMMYFUNCTION("GOOGLETRANSLATE(F7303, ""auto"", ""en"")
"),"I’ve been using it recently, but I’m VERY happy with the result!!! After straightening, my hair shines, just like in the advertisement))) I was also pleased with the price, and so was the quality. I recommend it!")</f>
        <v>I’ve been using it recently, but I’m VERY happy with the result!!! After straightening, my hair shines, just like in the advertisement))) I was also pleased with the price, and so was the quality. I recommend it!</v>
      </c>
    </row>
    <row r="7304" spans="1:9" x14ac:dyDescent="0.3">
      <c r="A7304" s="1" t="s">
        <v>61</v>
      </c>
      <c r="B7304" s="1" t="s">
        <v>977</v>
      </c>
      <c r="C7304" s="1" t="s">
        <v>63</v>
      </c>
      <c r="D7304" s="1" t="s">
        <v>280</v>
      </c>
      <c r="E7304" s="1" t="s">
        <v>421</v>
      </c>
      <c r="F7304" s="1" t="s">
        <v>11308</v>
      </c>
      <c r="G7304" s="1" t="s">
        <v>36</v>
      </c>
      <c r="H7304" s="1" t="s">
        <v>29</v>
      </c>
      <c r="I7304" s="1" t="str">
        <f ca="1">IFERROR(__xludf.DUMMYFUNCTION("GOOGLETRANSLATE(F7304, ""auto"", ""en"")
"),"I bought it this week and have used it once so far. But I was pleased. I especially liked that the cup rotates itself during kneading and you don’t have to hold the mixer. You can do other things.")</f>
        <v>I bought it this week and have used it once so far. But I was pleased. I especially liked that the cup rotates itself during kneading and you don’t have to hold the mixer. You can do other things.</v>
      </c>
    </row>
    <row r="7305" spans="1:9" x14ac:dyDescent="0.3">
      <c r="A7305" s="1" t="s">
        <v>149</v>
      </c>
      <c r="B7305" s="1" t="s">
        <v>576</v>
      </c>
      <c r="C7305" s="1" t="s">
        <v>159</v>
      </c>
      <c r="D7305" s="1" t="s">
        <v>11309</v>
      </c>
      <c r="E7305" s="1" t="s">
        <v>2341</v>
      </c>
      <c r="F7305" s="1" t="s">
        <v>11310</v>
      </c>
      <c r="G7305" s="1" t="s">
        <v>28</v>
      </c>
      <c r="H7305" s="1" t="s">
        <v>29</v>
      </c>
      <c r="I7305" s="1" t="str">
        <f ca="1">IFERROR(__xludf.DUMMYFUNCTION("GOOGLETRANSLATE(F7305, ""auto"", ""en"")
"),"good vacuum cleaner with high suction power and filtration - cheap assembly (plastic wheels, floor-to-carpet brush) worth the money")</f>
        <v>good vacuum cleaner with high suction power and filtration - cheap assembly (plastic wheels, floor-to-carpet brush) worth the money</v>
      </c>
    </row>
    <row r="7306" spans="1:9" x14ac:dyDescent="0.3">
      <c r="A7306" s="1" t="s">
        <v>30</v>
      </c>
      <c r="B7306" s="1" t="s">
        <v>50</v>
      </c>
      <c r="C7306" s="1" t="s">
        <v>32</v>
      </c>
      <c r="D7306" s="1" t="s">
        <v>280</v>
      </c>
      <c r="E7306" s="1" t="s">
        <v>2735</v>
      </c>
      <c r="F7306" s="1" t="s">
        <v>11311</v>
      </c>
      <c r="G7306" s="1" t="s">
        <v>36</v>
      </c>
      <c r="H7306" s="1" t="s">
        <v>29</v>
      </c>
      <c r="I7306" s="1" t="str">
        <f ca="1">IFERROR(__xludf.DUMMYFUNCTION("GOOGLETRANSLATE(F7306, ""auto"", ""en"")
"),"The model is good, convenient, it also works without problems, special thanks to the developers for the 8-hour battery, the only bad thing is that when removing Windows, it doesn’t find the integrated video card and the memory shows 2.89GB instead of 4 an"&amp;"d for some reason the video in the manager says not 4330 but 4300. Anyone who was able to reinstall on xp without any problems, please let me know, maybe I’m doing something wrong. And the general conclusion: I was pleased with the model, I did not regret"&amp;" the money spent.")</f>
        <v>The model is good, convenient, it also works without problems, special thanks to the developers for the 8-hour battery, the only bad thing is that when removing Windows, it doesn’t find the integrated video card and the memory shows 2.89GB instead of 4 and for some reason the video in the manager says not 4330 but 4300. Anyone who was able to reinstall on xp without any problems, please let me know, maybe I’m doing something wrong. And the general conclusion: I was pleased with the model, I did not regret the money spent.</v>
      </c>
    </row>
    <row r="7307" spans="1:9" x14ac:dyDescent="0.3">
      <c r="A7307" s="1" t="s">
        <v>624</v>
      </c>
      <c r="B7307" s="1" t="s">
        <v>6461</v>
      </c>
      <c r="C7307" s="1" t="s">
        <v>479</v>
      </c>
      <c r="D7307" s="1" t="s">
        <v>327</v>
      </c>
      <c r="E7307" s="1" t="s">
        <v>5078</v>
      </c>
      <c r="F7307" s="1" t="s">
        <v>11312</v>
      </c>
      <c r="G7307" s="1" t="s">
        <v>36</v>
      </c>
      <c r="H7307" s="1" t="s">
        <v>29</v>
      </c>
      <c r="I7307" s="1" t="str">
        <f ca="1">IFERROR(__xludf.DUMMYFUNCTION("GOOGLETRANSLATE(F7307, ""auto"", ""en"")
"),"In my opinion, this part revealed all the charms of its series of games, I completed it 100 years ago on PS2, the coolest game on this console.")</f>
        <v>In my opinion, this part revealed all the charms of its series of games, I completed it 100 years ago on PS2, the coolest game on this console.</v>
      </c>
    </row>
    <row r="7308" spans="1:9" x14ac:dyDescent="0.3">
      <c r="A7308" s="1" t="s">
        <v>206</v>
      </c>
      <c r="B7308" s="1" t="s">
        <v>1349</v>
      </c>
      <c r="C7308" s="1" t="s">
        <v>351</v>
      </c>
      <c r="D7308" s="1" t="s">
        <v>411</v>
      </c>
      <c r="E7308" s="1" t="s">
        <v>1273</v>
      </c>
      <c r="F7308" s="1" t="s">
        <v>11313</v>
      </c>
      <c r="G7308" s="1" t="s">
        <v>36</v>
      </c>
      <c r="H7308" s="1" t="s">
        <v>29</v>
      </c>
      <c r="I7308" s="1" t="str">
        <f ca="1">IFERROR(__xludf.DUMMYFUNCTION("GOOGLETRANSLATE(F7308, ""auto"", ""en"")
"),"I gave myself the first similar device to N.G. I thought about the settings a little, but everything is fine with both the sound and the picture. The car has standard acoustics (Japanese auto) without amplifiers, but with high-quality wires.")</f>
        <v>I gave myself the first similar device to N.G. I thought about the settings a little, but everything is fine with both the sound and the picture. The car has standard acoustics (Japanese auto) without amplifiers, but with high-quality wires.</v>
      </c>
    </row>
    <row r="7309" spans="1:9" x14ac:dyDescent="0.3">
      <c r="A7309" s="1" t="s">
        <v>211</v>
      </c>
      <c r="B7309" s="1" t="s">
        <v>515</v>
      </c>
      <c r="C7309" s="1" t="s">
        <v>213</v>
      </c>
      <c r="D7309" s="1" t="s">
        <v>653</v>
      </c>
      <c r="E7309" s="1" t="s">
        <v>11314</v>
      </c>
      <c r="F7309" s="1" t="s">
        <v>11315</v>
      </c>
      <c r="G7309" s="1" t="s">
        <v>36</v>
      </c>
      <c r="H7309" s="1" t="s">
        <v>29</v>
      </c>
      <c r="I7309" s="1" t="str">
        <f ca="1">IFERROR(__xludf.DUMMYFUNCTION("GOOGLETRANSLATE(F7309, ""auto"", ""en"")
"),"inexpensive, efficient, compact")</f>
        <v>inexpensive, efficient, compact</v>
      </c>
    </row>
    <row r="7310" spans="1:9" x14ac:dyDescent="0.3">
      <c r="A7310" s="1" t="s">
        <v>105</v>
      </c>
      <c r="B7310" s="1" t="s">
        <v>106</v>
      </c>
      <c r="C7310" s="1" t="s">
        <v>97</v>
      </c>
      <c r="D7310" s="1" t="s">
        <v>2893</v>
      </c>
      <c r="E7310" s="1" t="s">
        <v>4184</v>
      </c>
      <c r="F7310" s="1" t="s">
        <v>11316</v>
      </c>
      <c r="G7310" s="1" t="s">
        <v>36</v>
      </c>
      <c r="H7310" s="1" t="s">
        <v>29</v>
      </c>
      <c r="I7310" s="1" t="str">
        <f ca="1">IFERROR(__xludf.DUMMYFUNCTION("GOOGLETRANSLATE(F7310, ""auto"", ""en"")
"),"I've been using it for six months now. The device is really convenient. And, what is really important for me, the battery charge actually lasts for 26-27 hours (at an average volume level), and it charges in just 25-30 minutes. And the menu is simple and "&amp;"convenient. I drowned it once, dried it and as if nothing had happened, the headphones are original - so-so, but everything is better than many others come with. Conclusion: if you need a relatively easy-to-use, reliable and good-sounding player at a reas"&amp;"onable price, then this is it.")</f>
        <v>I've been using it for six months now. The device is really convenient. And, what is really important for me, the battery charge actually lasts for 26-27 hours (at an average volume level), and it charges in just 25-30 minutes. And the menu is simple and convenient. I drowned it once, dried it and as if nothing had happened, the headphones are original - so-so, but everything is better than many others come with. Conclusion: if you need a relatively easy-to-use, reliable and good-sounding player at a reasonable price, then this is it.</v>
      </c>
    </row>
    <row r="7311" spans="1:9" x14ac:dyDescent="0.3">
      <c r="A7311" s="1" t="s">
        <v>496</v>
      </c>
      <c r="B7311" s="1" t="s">
        <v>497</v>
      </c>
      <c r="C7311" s="1" t="s">
        <v>1520</v>
      </c>
      <c r="D7311" s="1" t="s">
        <v>295</v>
      </c>
      <c r="E7311" s="1" t="s">
        <v>1212</v>
      </c>
      <c r="F7311" s="1" t="s">
        <v>11317</v>
      </c>
      <c r="G7311" s="1" t="s">
        <v>36</v>
      </c>
      <c r="H7311" s="1" t="s">
        <v>29</v>
      </c>
      <c r="I7311" s="1" t="str">
        <f ca="1">IFERROR(__xludf.DUMMYFUNCTION("GOOGLETRANSLATE(F7311, ""auto"", ""en"")
"),"I recommend it to everyone, it's a very good antivirus. I've been using it for 2 years now and am very pleased. Catches almost all viruses. But there are 2 disadvantages: it weighs a lot and screams like a victim if it catches the virus.")</f>
        <v>I recommend it to everyone, it's a very good antivirus. I've been using it for 2 years now and am very pleased. Catches almost all viruses. But there are 2 disadvantages: it weighs a lot and screams like a victim if it catches the virus.</v>
      </c>
    </row>
    <row r="7312" spans="1:9" x14ac:dyDescent="0.3">
      <c r="A7312" s="1" t="s">
        <v>206</v>
      </c>
      <c r="B7312" s="1" t="s">
        <v>261</v>
      </c>
      <c r="C7312" s="1" t="s">
        <v>45</v>
      </c>
      <c r="D7312" s="1" t="s">
        <v>152</v>
      </c>
      <c r="E7312" s="1" t="s">
        <v>680</v>
      </c>
      <c r="F7312" s="1" t="s">
        <v>11318</v>
      </c>
      <c r="G7312" s="1" t="s">
        <v>49</v>
      </c>
      <c r="H7312" s="1" t="s">
        <v>16</v>
      </c>
      <c r="I7312" s="1" t="str">
        <f ca="1">IFERROR(__xludf.DUMMYFUNCTION("GOOGLETRANSLATE(F7312, ""auto"", ""en"")
"),"Face the fact that there are no high-quality FM modulators and there never will be. All modulators are equally poor in terms of the quality of signal transmission to the radio. Buy any radio with USB and you will be happy.")</f>
        <v>Face the fact that there are no high-quality FM modulators and there never will be. All modulators are equally poor in terms of the quality of signal transmission to the radio. Buy any radio with USB and you will be happy.</v>
      </c>
    </row>
    <row r="7313" spans="1:9" x14ac:dyDescent="0.3">
      <c r="A7313" s="1" t="s">
        <v>61</v>
      </c>
      <c r="B7313" s="1" t="s">
        <v>318</v>
      </c>
      <c r="C7313" s="1" t="s">
        <v>57</v>
      </c>
      <c r="D7313" s="1" t="s">
        <v>592</v>
      </c>
      <c r="E7313" s="1" t="s">
        <v>1845</v>
      </c>
      <c r="F7313" s="1" t="s">
        <v>11319</v>
      </c>
      <c r="G7313" s="1" t="s">
        <v>36</v>
      </c>
      <c r="H7313" s="1" t="s">
        <v>29</v>
      </c>
      <c r="I7313" s="1" t="str">
        <f ca="1">IFERROR(__xludf.DUMMYFUNCTION("GOOGLETRANSLATE(F7313, ""auto"", ""en"")
"),"This is the third thermopot, the previous ones worked for 5 years, were of large volume, 6 liters each. Always hot water, no need to wait for the water to boil. Very beautiful, you can see in the dark how much you need to pour, the volume of 3.3 liters is"&amp;" enough for two people for a long time.")</f>
        <v>This is the third thermopot, the previous ones worked for 5 years, were of large volume, 6 liters each. Always hot water, no need to wait for the water to boil. Very beautiful, you can see in the dark how much you need to pour, the volume of 3.3 liters is enough for two people for a long time.</v>
      </c>
    </row>
    <row r="7314" spans="1:9" x14ac:dyDescent="0.3">
      <c r="A7314" s="1" t="s">
        <v>89</v>
      </c>
      <c r="B7314" s="1" t="s">
        <v>90</v>
      </c>
      <c r="C7314" s="1" t="s">
        <v>745</v>
      </c>
      <c r="D7314" s="1" t="s">
        <v>295</v>
      </c>
      <c r="E7314" s="1" t="s">
        <v>11320</v>
      </c>
      <c r="F7314" s="1" t="s">
        <v>11321</v>
      </c>
      <c r="G7314" s="1" t="s">
        <v>36</v>
      </c>
      <c r="H7314" s="1" t="s">
        <v>29</v>
      </c>
      <c r="I7314" s="1" t="str">
        <f ca="1">IFERROR(__xludf.DUMMYFUNCTION("GOOGLETRANSLATE(F7314, ""auto"", ""en"")
"),"I looked at a lot of coffee grinders from inexpensive options. I liked this one more than others, even more expensive ones. It’s comfortable to hold in your hands, which turns out to be important, not slippery plastic, like many that you don’t know how to"&amp;" grip when you pour out the ground coffee.  Not noisy and the grind is good. I'm very pleased. True, the first one turned out to be a marriage. They changed it without any problems. Thank you, very attentive, polite, neat guys and girls at the checkout)))")</f>
        <v>I looked at a lot of coffee grinders from inexpensive options. I liked this one more than others, even more expensive ones. It’s comfortable to hold in your hands, which turns out to be important, not slippery plastic, like many that you don’t know how to grip when you pour out the ground coffee.  Not noisy and the grind is good. I'm very pleased. True, the first one turned out to be a marriage. They changed it without any problems. Thank you, very attentive, polite, neat guys and girls at the checkout)))</v>
      </c>
    </row>
    <row r="7315" spans="1:9" x14ac:dyDescent="0.3">
      <c r="A7315" s="1" t="s">
        <v>369</v>
      </c>
      <c r="B7315" s="1" t="s">
        <v>587</v>
      </c>
      <c r="C7315" s="1" t="s">
        <v>159</v>
      </c>
      <c r="D7315" s="1" t="s">
        <v>152</v>
      </c>
      <c r="E7315" s="1" t="s">
        <v>233</v>
      </c>
      <c r="F7315" s="1" t="s">
        <v>11322</v>
      </c>
      <c r="G7315" s="1" t="s">
        <v>36</v>
      </c>
      <c r="H7315" s="1" t="s">
        <v>29</v>
      </c>
      <c r="I7315" s="1" t="str">
        <f ca="1">IFERROR(__xludf.DUMMYFUNCTION("GOOGLETRANSLATE(F7315, ""auto"", ""en"")
"),"The stove is wonderful! The oven bakes perfectly, is easy to use, and simple to set up. The ignition works as it should. There are no problems after a year and a half of operation. The whole family is very happy. The instructions are quite clear, there ar"&amp;"e no recipes, look on the Internet. After using a gas oven (even a good one), you realize that an electric one is like night and day. We recommend it to everyone.")</f>
        <v>The stove is wonderful! The oven bakes perfectly, is easy to use, and simple to set up. The ignition works as it should. There are no problems after a year and a half of operation. The whole family is very happy. The instructions are quite clear, there are no recipes, look on the Internet. After using a gas oven (even a good one), you realize that an electric one is like night and day. We recommend it to everyone.</v>
      </c>
    </row>
    <row r="7316" spans="1:9" x14ac:dyDescent="0.3">
      <c r="A7316" s="1" t="s">
        <v>120</v>
      </c>
      <c r="B7316" s="1" t="s">
        <v>126</v>
      </c>
      <c r="C7316" s="1" t="s">
        <v>80</v>
      </c>
      <c r="D7316" s="1" t="s">
        <v>52</v>
      </c>
      <c r="E7316" s="1" t="s">
        <v>191</v>
      </c>
      <c r="F7316" s="1" t="s">
        <v>11323</v>
      </c>
      <c r="G7316" s="1" t="s">
        <v>36</v>
      </c>
      <c r="H7316" s="1" t="s">
        <v>29</v>
      </c>
      <c r="I7316" s="1" t="str">
        <f ca="1">IFERROR(__xludf.DUMMYFUNCTION("GOOGLETRANSLATE(F7316, ""auto"", ""en"")
"),"I bought it today, to say that I am pleased is to say nothing. Excellent model from LG. I set up and connected everything quickly, the quality of the HD content is SUPER!!! Although of course avi is also okay. I watch MKV and rips in Full HD quality from "&amp;"my computer - the picture is simply amazing in its detail. THANK YOU SO MUCH to M. VIDEO for such a price on this TV! YOU ARE THE BEST!!!")</f>
        <v>I bought it today, to say that I am pleased is to say nothing. Excellent model from LG. I set up and connected everything quickly, the quality of the HD content is SUPER!!! Although of course avi is also okay. I watch MKV and rips in Full HD quality from my computer - the picture is simply amazing in its detail. THANK YOU SO MUCH to M. VIDEO for such a price on this TV! YOU ARE THE BEST!!!</v>
      </c>
    </row>
    <row r="7317" spans="1:9" x14ac:dyDescent="0.3">
      <c r="A7317" s="1" t="s">
        <v>17</v>
      </c>
      <c r="B7317" s="1" t="s">
        <v>18</v>
      </c>
      <c r="C7317" s="1" t="s">
        <v>63</v>
      </c>
      <c r="D7317" s="1" t="s">
        <v>1008</v>
      </c>
      <c r="E7317" s="1" t="s">
        <v>1992</v>
      </c>
      <c r="F7317" s="1" t="s">
        <v>11324</v>
      </c>
      <c r="G7317" s="1" t="s">
        <v>36</v>
      </c>
      <c r="H7317" s="1" t="s">
        <v>29</v>
      </c>
      <c r="I7317" s="1" t="str">
        <f ca="1">IFERROR(__xludf.DUMMYFUNCTION("GOOGLETRANSLATE(F7317, ""auto"", ""en"")
"),"The machine has been working for a year now - no complaints. The only thing I don’t like is that after the cycle is completed, it beeps for a long, long time. And it's a great machine.")</f>
        <v>The machine has been working for a year now - no complaints. The only thing I don’t like is that after the cycle is completed, it beeps for a long, long time. And it's a great machine.</v>
      </c>
    </row>
    <row r="7318" spans="1:9" x14ac:dyDescent="0.3">
      <c r="A7318" s="1" t="s">
        <v>61</v>
      </c>
      <c r="B7318" s="1" t="s">
        <v>318</v>
      </c>
      <c r="C7318" s="1" t="s">
        <v>122</v>
      </c>
      <c r="D7318" s="1" t="s">
        <v>3273</v>
      </c>
      <c r="E7318" s="1" t="s">
        <v>6891</v>
      </c>
      <c r="F7318" s="1" t="s">
        <v>11325</v>
      </c>
      <c r="G7318" s="1" t="s">
        <v>36</v>
      </c>
      <c r="H7318" s="1" t="s">
        <v>29</v>
      </c>
      <c r="I7318" s="1" t="str">
        <f ca="1">IFERROR(__xludf.DUMMYFUNCTION("GOOGLETRANSLATE(F7318, ""auto"", ""en"")
"),"Before the thermopot, I had a kettle from the same company, it worked for 10 years, and it never broke. I’ve had a thermopot from this company for 7 years, it needs to be cleaned periodically, then it will serve you for a long time. Once a month I add 100"&amp;"g of citric acid and put it on cleaning and it’s as good as new!")</f>
        <v>Before the thermopot, I had a kettle from the same company, it worked for 10 years, and it never broke. I’ve had a thermopot from this company for 7 years, it needs to be cleaned periodically, then it will serve you for a long time. Once a month I add 100g of citric acid and put it on cleaning and it’s as good as new!</v>
      </c>
    </row>
    <row r="7319" spans="1:9" x14ac:dyDescent="0.3">
      <c r="A7319" s="1" t="s">
        <v>95</v>
      </c>
      <c r="B7319" s="1" t="s">
        <v>96</v>
      </c>
      <c r="C7319" s="1" t="s">
        <v>97</v>
      </c>
      <c r="D7319" s="1" t="s">
        <v>11326</v>
      </c>
      <c r="E7319" s="1" t="s">
        <v>164</v>
      </c>
      <c r="F7319" s="1" t="s">
        <v>11327</v>
      </c>
      <c r="G7319" s="1" t="s">
        <v>36</v>
      </c>
      <c r="H7319" s="1" t="s">
        <v>29</v>
      </c>
      <c r="I7319" s="1" t="str">
        <f ca="1">IFERROR(__xludf.DUMMYFUNCTION("GOOGLETRANSLATE(F7319, ""auto"", ""en"")
"),"This is the most wonderful portable device! It has what you need for long trips! An improved screen compared to the previous version, and also a microphone for communicating on the Skype network!")</f>
        <v>This is the most wonderful portable device! It has what you need for long trips! An improved screen compared to the previous version, and also a microphone for communicating on the Skype network!</v>
      </c>
    </row>
    <row r="7320" spans="1:9" x14ac:dyDescent="0.3">
      <c r="A7320" s="1" t="s">
        <v>120</v>
      </c>
      <c r="B7320" s="1" t="s">
        <v>126</v>
      </c>
      <c r="C7320" s="1" t="s">
        <v>80</v>
      </c>
      <c r="D7320" s="1" t="s">
        <v>203</v>
      </c>
      <c r="E7320" s="1" t="s">
        <v>1742</v>
      </c>
      <c r="F7320" s="1" t="s">
        <v>11328</v>
      </c>
      <c r="G7320" s="1" t="s">
        <v>36</v>
      </c>
      <c r="H7320" s="1" t="s">
        <v>29</v>
      </c>
      <c r="I7320" s="1" t="str">
        <f ca="1">IFERROR(__xludf.DUMMYFUNCTION("GOOGLETRANSLATE(F7320, ""auto"", ""en"")
"),"I bought it in January 2010. For a low price - an excellent TV. It shows great both cable and cinema, and they hooked it up to a beech tree - everything is great... I didn’t understand about USB, but the cinema has USB, so I don’t bother with this issue.."&amp;"... I advise everyone...")</f>
        <v>I bought it in January 2010. For a low price - an excellent TV. It shows great both cable and cinema, and they hooked it up to a beech tree - everything is great... I didn’t understand about USB, but the cinema has USB, so I don’t bother with this issue..... I advise everyone...</v>
      </c>
    </row>
    <row r="7321" spans="1:9" x14ac:dyDescent="0.3">
      <c r="A7321" s="1" t="s">
        <v>169</v>
      </c>
      <c r="B7321" s="1" t="s">
        <v>170</v>
      </c>
      <c r="C7321" s="1" t="s">
        <v>69</v>
      </c>
      <c r="D7321" s="1" t="s">
        <v>11329</v>
      </c>
      <c r="E7321" s="1" t="s">
        <v>1909</v>
      </c>
      <c r="F7321" s="1" t="s">
        <v>11330</v>
      </c>
      <c r="G7321" s="1" t="s">
        <v>28</v>
      </c>
      <c r="H7321" s="1" t="s">
        <v>29</v>
      </c>
      <c r="I7321" s="1" t="str">
        <f ca="1">IFERROR(__xludf.DUMMYFUNCTION("GOOGLETRANSLATE(F7321, ""auto"", ""en"")
"),"The sound for me is pretty decent (in terms of volume and clarity of sound), but the only thing for me is that the little ones are uncomfortable. They justify their price, so for those who have a small budget, this is the best...")</f>
        <v>The sound for me is pretty decent (in terms of volume and clarity of sound), but the only thing for me is that the little ones are uncomfortable. They justify their price, so for those who have a small budget, this is the best...</v>
      </c>
    </row>
    <row r="7322" spans="1:9" x14ac:dyDescent="0.3">
      <c r="A7322" s="1" t="s">
        <v>369</v>
      </c>
      <c r="B7322" s="1" t="s">
        <v>370</v>
      </c>
      <c r="C7322" s="1" t="s">
        <v>138</v>
      </c>
      <c r="D7322" s="1" t="s">
        <v>385</v>
      </c>
      <c r="E7322" s="1" t="s">
        <v>3089</v>
      </c>
      <c r="F7322" s="1" t="s">
        <v>11331</v>
      </c>
      <c r="G7322" s="1" t="s">
        <v>28</v>
      </c>
      <c r="H7322" s="1" t="s">
        <v>29</v>
      </c>
      <c r="I7322" s="1" t="str">
        <f ca="1">IFERROR(__xludf.DUMMYFUNCTION("GOOGLETRANSLATE(F7322, ""auto"", ""en"")
"),"The stove is good, I’ve been using it for several years now, the warranty has long expired, but there are also problems with the enamel, which arose as soon as the warranty ended (((")</f>
        <v>The stove is good, I’ve been using it for several years now, the warranty has long expired, but there are also problems with the enamel, which arose as soon as the warranty ended (((</v>
      </c>
    </row>
    <row r="7323" spans="1:9" x14ac:dyDescent="0.3">
      <c r="A7323" s="1" t="s">
        <v>9</v>
      </c>
      <c r="B7323" s="1" t="s">
        <v>10</v>
      </c>
      <c r="C7323" s="1" t="s">
        <v>407</v>
      </c>
      <c r="D7323" s="1" t="s">
        <v>385</v>
      </c>
      <c r="E7323" s="1" t="s">
        <v>3648</v>
      </c>
      <c r="F7323" s="1" t="s">
        <v>11332</v>
      </c>
      <c r="G7323" s="1" t="s">
        <v>28</v>
      </c>
      <c r="H7323" s="1" t="s">
        <v>29</v>
      </c>
      <c r="I7323" s="1" t="str">
        <f ca="1">IFERROR(__xludf.DUMMYFUNCTION("GOOGLETRANSLATE(F7323, ""auto"", ""en"")
"),"Good hood, easy to clean, a little noisy, but this is not critical, price/quality ratio is 5")</f>
        <v>Good hood, easy to clean, a little noisy, but this is not critical, price/quality ratio is 5</v>
      </c>
    </row>
    <row r="7324" spans="1:9" x14ac:dyDescent="0.3">
      <c r="A7324" s="1" t="s">
        <v>105</v>
      </c>
      <c r="B7324" s="1" t="s">
        <v>106</v>
      </c>
      <c r="C7324" s="1" t="s">
        <v>69</v>
      </c>
      <c r="D7324" s="1" t="s">
        <v>5606</v>
      </c>
      <c r="E7324" s="1" t="s">
        <v>646</v>
      </c>
      <c r="F7324" s="1" t="s">
        <v>11333</v>
      </c>
      <c r="G7324" s="1" t="s">
        <v>36</v>
      </c>
      <c r="H7324" s="1" t="s">
        <v>29</v>
      </c>
      <c r="I7324" s="1" t="str">
        <f ca="1">IFERROR(__xludf.DUMMYFUNCTION("GOOGLETRANSLATE(F7324, ""auto"", ""en"")
"),"When choosing from players, I bought this one. I run in the morning and its compact size + display won me over :) it doesn’t hang around my neck or get in the way in my pocket :) the aluminum body is absolutely super! I listened to the sound - I liked it "&amp;"more than Apple (my husband has it).   Yes, and it works for a very long time.")</f>
        <v>When choosing from players, I bought this one. I run in the morning and its compact size + display won me over :) it doesn’t hang around my neck or get in the way in my pocket :) the aluminum body is absolutely super! I listened to the sound - I liked it more than Apple (my husband has it).   Yes, and it works for a very long time.</v>
      </c>
    </row>
    <row r="7325" spans="1:9" x14ac:dyDescent="0.3">
      <c r="A7325" s="1" t="s">
        <v>61</v>
      </c>
      <c r="B7325" s="1" t="s">
        <v>977</v>
      </c>
      <c r="C7325" s="1" t="s">
        <v>101</v>
      </c>
      <c r="D7325" s="1" t="s">
        <v>11334</v>
      </c>
      <c r="E7325" s="1" t="s">
        <v>1589</v>
      </c>
      <c r="F7325" s="1" t="s">
        <v>11335</v>
      </c>
      <c r="G7325" s="1" t="s">
        <v>36</v>
      </c>
      <c r="H7325" s="1" t="s">
        <v>29</v>
      </c>
      <c r="I7325" s="1" t="str">
        <f ca="1">IFERROR(__xludf.DUMMYFUNCTION("GOOGLETRANSLATE(F7325, ""auto"", ""en"")
"),"Excellent blender, I cook with it almost every day! It served me faithfully for a whole year, until it fell and broke, so I decided to buy the same one.")</f>
        <v>Excellent blender, I cook with it almost every day! It served me faithfully for a whole year, until it fell and broke, so I decided to buy the same one.</v>
      </c>
    </row>
    <row r="7326" spans="1:9" x14ac:dyDescent="0.3">
      <c r="A7326" s="1" t="s">
        <v>61</v>
      </c>
      <c r="B7326" s="1" t="s">
        <v>977</v>
      </c>
      <c r="C7326" s="1" t="s">
        <v>101</v>
      </c>
      <c r="D7326" s="1" t="s">
        <v>46</v>
      </c>
      <c r="E7326" s="1" t="s">
        <v>2240</v>
      </c>
      <c r="F7326" s="1" t="s">
        <v>11336</v>
      </c>
      <c r="G7326" s="1" t="s">
        <v>36</v>
      </c>
      <c r="H7326" s="1" t="s">
        <v>29</v>
      </c>
      <c r="I7326" s="1" t="str">
        <f ca="1">IFERROR(__xludf.DUMMYFUNCTION("GOOGLETRANSLATE(F7326, ""auto"", ""en"")
"),"Wonderful blender. At this price, the quality is simply excellent... and all the necessary accessories are included! Very pleased")</f>
        <v>Wonderful blender. At this price, the quality is simply excellent... and all the necessary accessories are included! Very pleased</v>
      </c>
    </row>
    <row r="7327" spans="1:9" x14ac:dyDescent="0.3">
      <c r="A7327" s="1" t="s">
        <v>89</v>
      </c>
      <c r="B7327" s="1" t="s">
        <v>231</v>
      </c>
      <c r="C7327" s="1" t="s">
        <v>185</v>
      </c>
      <c r="D7327" s="1" t="s">
        <v>39</v>
      </c>
      <c r="E7327" s="1" t="s">
        <v>11337</v>
      </c>
      <c r="F7327" s="1" t="s">
        <v>11338</v>
      </c>
      <c r="G7327" s="1" t="s">
        <v>36</v>
      </c>
      <c r="H7327" s="1" t="s">
        <v>29</v>
      </c>
      <c r="I7327" s="1" t="str">
        <f ca="1">IFERROR(__xludf.DUMMYFUNCTION("GOOGLETRANSLATE(F7327, ""auto"", ""en"")
"),"An excellent coffee machine, I can tell you for sure. To be honest, I chose it based on appearance - I really liked the design, the switches and buttons were interestingly made, and in general it was also classy. The consultant in the store explained for "&amp;"a long time about some kind of super brewing unit, but I still didn’t understand anything, and I couldn’t be happier with how I bought it: it’s removable, compact, I take it out once a month and wash it, and I don’t need any consumables (just clean it fro"&amp;"m time to time), and I’m sure that it won’t break in a year because something gets clogged in there. I’ve been using it for six months now - delicious espresso, cappuccino can be prepared without problems, in general I recommend it - an excellent device!")</f>
        <v>An excellent coffee machine, I can tell you for sure. To be honest, I chose it based on appearance - I really liked the design, the switches and buttons were interestingly made, and in general it was also classy. The consultant in the store explained for a long time about some kind of super brewing unit, but I still didn’t understand anything, and I couldn’t be happier with how I bought it: it’s removable, compact, I take it out once a month and wash it, and I don’t need any consumables (just clean it from time to time), and I’m sure that it won’t break in a year because something gets clogged in there. I’ve been using it for six months now - delicious espresso, cappuccino can be prepared without problems, in general I recommend it - an excellent device!</v>
      </c>
    </row>
    <row r="7328" spans="1:9" x14ac:dyDescent="0.3">
      <c r="A7328" s="1" t="s">
        <v>206</v>
      </c>
      <c r="B7328" s="1" t="s">
        <v>207</v>
      </c>
      <c r="C7328" s="1" t="s">
        <v>45</v>
      </c>
      <c r="D7328" s="1" t="s">
        <v>1851</v>
      </c>
      <c r="E7328" s="1" t="s">
        <v>285</v>
      </c>
      <c r="F7328" s="1" t="s">
        <v>11339</v>
      </c>
      <c r="G7328" s="1" t="s">
        <v>28</v>
      </c>
      <c r="H7328" s="1" t="s">
        <v>29</v>
      </c>
      <c r="I7328" s="1" t="str">
        <f ca="1">IFERROR(__xludf.DUMMYFUNCTION("GOOGLETRANSLATE(F7328, ""auto"", ""en"")
"),"He wins back his money, he just needs a more powerful amplifier, but nothing!!!")</f>
        <v>He wins back his money, he just needs a more powerful amplifier, but nothing!!!</v>
      </c>
    </row>
    <row r="7329" spans="1:9" x14ac:dyDescent="0.3">
      <c r="A7329" s="1" t="s">
        <v>61</v>
      </c>
      <c r="B7329" s="1" t="s">
        <v>318</v>
      </c>
      <c r="C7329" s="1" t="s">
        <v>57</v>
      </c>
      <c r="D7329" s="1" t="s">
        <v>4103</v>
      </c>
      <c r="E7329" s="1" t="s">
        <v>11340</v>
      </c>
      <c r="F7329" s="1" t="s">
        <v>11341</v>
      </c>
      <c r="G7329" s="1" t="s">
        <v>28</v>
      </c>
      <c r="H7329" s="1" t="s">
        <v>29</v>
      </c>
      <c r="I7329" s="1" t="str">
        <f ca="1">IFERROR(__xludf.DUMMYFUNCTION("GOOGLETRANSLATE(F7329, ""auto"", ""en"")
"),"Its main advantages: 1. price (bought on sale). 2. stylish appearance (suitable for any kitchen). 3. High power 2200 W (heats up quickly compared to my old one). 3. quite quiet.  The disadvantages are: 1. small neck diameter (inconvenient to wash). 2. spe"&amp;"cific taste of “iron” (thank God it went away within a week after I washed it with a special product). 3. Fingers remain on the body of the kettle.  I’ve been using it for six months now and even if it’s just henna, it works great, it heats up in one fell"&amp;" swoop. In all this time I have never regretted it. If you need a stylish, reliable stainless steel kettle at an affordable price, be sure to take it.")</f>
        <v>Its main advantages: 1. price (bought on sale). 2. stylish appearance (suitable for any kitchen). 3. High power 2200 W (heats up quickly compared to my old one). 3. quite quiet.  The disadvantages are: 1. small neck diameter (inconvenient to wash). 2. specific taste of “iron” (thank God it went away within a week after I washed it with a special product). 3. Fingers remain on the body of the kettle.  I’ve been using it for six months now and even if it’s just henna, it works great, it heats up in one fell swoop. In all this time I have never regretted it. If you need a stylish, reliable stainless steel kettle at an affordable price, be sure to take it.</v>
      </c>
    </row>
    <row r="7330" spans="1:9" x14ac:dyDescent="0.3">
      <c r="A7330" s="1" t="s">
        <v>169</v>
      </c>
      <c r="B7330" s="1" t="s">
        <v>170</v>
      </c>
      <c r="C7330" s="1" t="s">
        <v>171</v>
      </c>
      <c r="D7330" s="1" t="s">
        <v>11342</v>
      </c>
      <c r="E7330" s="1" t="s">
        <v>1762</v>
      </c>
      <c r="F7330" s="1" t="s">
        <v>11343</v>
      </c>
      <c r="G7330" s="1" t="s">
        <v>49</v>
      </c>
      <c r="H7330" s="1" t="s">
        <v>16</v>
      </c>
      <c r="I7330" s="1" t="str">
        <f ca="1">IFERROR(__xludf.DUMMYFUNCTION("GOOGLETRANSLATE(F7330, ""auto"", ""en"")
"),"The sound quality of the headphones is good, but I was not pleased with the build quality - traces of glue and dents on the iron protection of the membrane are visible. But I was annoyed by one thing - first the right earphone began to crackle, and then b"&amp;"egan to turn off completely. See for yourself, is it worth taking these for 200 rubles? I think it’s better to pay extra and get bigger ones :)")</f>
        <v>The sound quality of the headphones is good, but I was not pleased with the build quality - traces of glue and dents on the iron protection of the membrane are visible. But I was annoyed by one thing - first the right earphone began to crackle, and then began to turn off completely. See for yourself, is it worth taking these for 200 rubles? I think it’s better to pay extra and get bigger ones :)</v>
      </c>
    </row>
    <row r="7331" spans="1:9" x14ac:dyDescent="0.3">
      <c r="A7331" s="1" t="s">
        <v>169</v>
      </c>
      <c r="B7331" s="1" t="s">
        <v>170</v>
      </c>
      <c r="C7331" s="1" t="s">
        <v>69</v>
      </c>
      <c r="D7331" s="1" t="s">
        <v>7192</v>
      </c>
      <c r="E7331" s="1" t="s">
        <v>140</v>
      </c>
      <c r="F7331" s="1" t="s">
        <v>11344</v>
      </c>
      <c r="G7331" s="1" t="s">
        <v>28</v>
      </c>
      <c r="H7331" s="1" t="s">
        <v>29</v>
      </c>
      <c r="I7331" s="1" t="str">
        <f ca="1">IFERROR(__xludf.DUMMYFUNCTION("GOOGLETRANSLATE(F7331, ""auto"", ""en"")
"),"Good choice. No batteries, the kit includes 2 batteries, which are charged directly in the headphones when connected to the docking base. The base turns off (important if you have a lot of wireless electronics) and does not interfere with other devices. Y"&amp;"ou can jump, run, lie down, everything is possible, the main thing is that you are in direct line of sight from the emitter, there is no difference in sound. The bass is rather weak.")</f>
        <v>Good choice. No batteries, the kit includes 2 batteries, which are charged directly in the headphones when connected to the docking base. The base turns off (important if you have a lot of wireless electronics) and does not interfere with other devices. You can jump, run, lie down, everything is possible, the main thing is that you are in direct line of sight from the emitter, there is no difference in sound. The bass is rather weak.</v>
      </c>
    </row>
    <row r="7332" spans="1:9" x14ac:dyDescent="0.3">
      <c r="A7332" s="1" t="s">
        <v>61</v>
      </c>
      <c r="B7332" s="1" t="s">
        <v>224</v>
      </c>
      <c r="C7332" s="1" t="s">
        <v>246</v>
      </c>
      <c r="D7332" s="1" t="s">
        <v>166</v>
      </c>
      <c r="E7332" s="1" t="s">
        <v>2004</v>
      </c>
      <c r="F7332" s="1" t="s">
        <v>11345</v>
      </c>
      <c r="G7332" s="1" t="s">
        <v>36</v>
      </c>
      <c r="H7332" s="1" t="s">
        <v>29</v>
      </c>
      <c r="I7332" s="1" t="str">
        <f ca="1">IFERROR(__xludf.DUMMYFUNCTION("GOOGLETRANSLATE(F7332, ""auto"", ""en"")
"),"Excellent juicer. At first it may not seem powerful, but it squeezes out the fruit to the last drop. Easy to clean, easy to handle. I'm happy with this choice.")</f>
        <v>Excellent juicer. At first it may not seem powerful, but it squeezes out the fruit to the last drop. Easy to clean, easy to handle. I'm happy with this choice.</v>
      </c>
    </row>
    <row r="7333" spans="1:9" x14ac:dyDescent="0.3">
      <c r="A7333" s="1" t="s">
        <v>120</v>
      </c>
      <c r="B7333" s="1" t="s">
        <v>121</v>
      </c>
      <c r="C7333" s="1" t="s">
        <v>151</v>
      </c>
      <c r="D7333" s="1" t="s">
        <v>4136</v>
      </c>
      <c r="E7333" s="1" t="s">
        <v>2383</v>
      </c>
      <c r="F7333" s="1" t="s">
        <v>11346</v>
      </c>
      <c r="G7333" s="1" t="s">
        <v>36</v>
      </c>
      <c r="H7333" s="1" t="s">
        <v>29</v>
      </c>
      <c r="I7333" s="1" t="str">
        <f ca="1">IFERROR(__xludf.DUMMYFUNCTION("GOOGLETRANSLATE(F7333, ""auto"", ""en"")
"),"The design and quality of the TV is excellent, I really like everything, the only thing is how to save the image settings? You turn off the TV and the settings are reset and not saved.")</f>
        <v>The design and quality of the TV is excellent, I really like everything, the only thing is how to save the image settings? You turn off the TV and the settings are reset and not saved.</v>
      </c>
    </row>
    <row r="7334" spans="1:9" x14ac:dyDescent="0.3">
      <c r="A7334" s="1" t="s">
        <v>149</v>
      </c>
      <c r="B7334" s="1" t="s">
        <v>423</v>
      </c>
      <c r="C7334" s="1" t="s">
        <v>314</v>
      </c>
      <c r="D7334" s="1" t="s">
        <v>280</v>
      </c>
      <c r="E7334" s="1" t="s">
        <v>1948</v>
      </c>
      <c r="F7334" s="1" t="s">
        <v>11347</v>
      </c>
      <c r="G7334" s="1" t="s">
        <v>36</v>
      </c>
      <c r="H7334" s="1" t="s">
        <v>29</v>
      </c>
      <c r="I7334" s="1" t="str">
        <f ca="1">IFERROR(__xludf.DUMMYFUNCTION("GOOGLETRANSLATE(F7334, ""auto"", ""en"")
"),"Well, today my wife and I tried our new vacuum cleaner ZELMER Aquawelt 919.0 ST.  We read the instructions, there are only 3 pages, everything is described in detail, everything is in pictures. We took a hose (by the way, it’s very strong and reinforced; "&amp;"I used it to carry a vacuum cleaner while working without any problems), connected it to the vacuum cleaner (it’s also securely attached). At the other end we attached a telescopic pipe, connected a turbo brush, poured water into the tank and began dry cl"&amp;"eaning. The power is controlled by buttons on the body of the vacuum cleaner; by default, medium power was turned on; it seemed sufficient to me, but for the first time I decided to clean the apartment at maximum. Quite quickly I vacuumed 3 carpets and a "&amp;"7-meter path in the hallway. At first glance, the vacuum cleaner collected everything it could, it didn’t find any missing threads, feathers, or debris (my old cheap LG always refused to suck up anything larger than dust). Having looked at the swamp that "&amp;"had formed in the tank, my wife and I were amazed, well, we didn’t expect to see this, because we clean thoroughly and completely once every two weeks (and by the way, the apartment and the carpets are only one year old). Once again we were happy with our"&amp;" purchase.  Next we decided to wash the carpets. We poured 1.5 liters of solution into a special tank; according to the instructions, the large tank was supposed to be empty, so we did so. A tube for supplying the solution was attached to the hose; it is "&amp;"attached with clips; the button for supplying the solution is on the handle, which is attached to the tube and attached to the main handle from below. We put on the spray nozzle and turned on the power again, turned on the pump, I again set the power to m"&amp;"aximum. We started spraying the solution onto the carpet over an area of ​​approximately 0.5 m2, then, without supplying the solution, we began to collect the liquid on ourselves with movements, then spray it again, and so on until the carpet was finished"&amp;". Then we put on the nozzle to collect the liquid and went over the entire carpet again. The residual humidity is very low, after 1 hour everything was dry. I’m writing now and I’m thinking that maybe I shouldn’t have collected the liquid with a spray noz"&amp;"zle and then collected it from the entire surface of the carpet with a liquid collection nozzle. What if the carpet gets very wet then??? In general, I don’t know. After 3 carpets, the solution ran out and I had to make another 1.5 liters. We washed the h"&amp;"allway and decided to use the remaining solution to wash the sofa. When we were finishing the sofa, the vacuum cleaner suddenly wet itself and made a puddle on the floor. I quickly turned it off, I was scared, because this shouldn’t have happened. Water l"&amp;"eaked from the compartment where the hepa filter is located. We looked at the puddle, turned on the vacuum cleaner, collected this puddle and decided that from now on we definitely need to add anti-foam liquid (we thought that due to its absence there was"&amp;" a leak).  It's time to wash off the dust. turned on the vacuum cleaner and rinsed the hoses and nozzles. There was again a lot of dirt in the tank, they drained it, washed it, washed the tank, washed all the filters they could find (it might not have bee"&amp;"n all of them, but they washed it all) and left everything to dry.  In the end, we liked the cleaning, everything was clean, the air was fresh, there was no dust flying in the air, there was enough power, everything was simple to use (my wife figured it o"&amp;"ut right away), the size of the dust was not that big, it was simple and easy to clean. It seemed a little noisy, but it was tolerable. So far we are happy with the purchase, we haven’t found any cons yet. If something happens, I will definitely share it."&amp;"  By the way, the 4-year warranty applies only to the engine; everything else, as I understand it, is out of warranty.")</f>
        <v>Well, today my wife and I tried our new vacuum cleaner ZELMER Aquawelt 919.0 ST.  We read the instructions, there are only 3 pages, everything is described in detail, everything is in pictures. We took a hose (by the way, it’s very strong and reinforced; I used it to carry a vacuum cleaner while working without any problems), connected it to the vacuum cleaner (it’s also securely attached). At the other end we attached a telescopic pipe, connected a turbo brush, poured water into the tank and began dry cleaning. The power is controlled by buttons on the body of the vacuum cleaner; by default, medium power was turned on; it seemed sufficient to me, but for the first time I decided to clean the apartment at maximum. Quite quickly I vacuumed 3 carpets and a 7-meter path in the hallway. At first glance, the vacuum cleaner collected everything it could, it didn’t find any missing threads, feathers, or debris (my old cheap LG always refused to suck up anything larger than dust). Having looked at the swamp that had formed in the tank, my wife and I were amazed, well, we didn’t expect to see this, because we clean thoroughly and completely once every two weeks (and by the way, the apartment and the carpets are only one year old). Once again we were happy with our purchase.  Next we decided to wash the carpets. We poured 1.5 liters of solution into a special tank; according to the instructions, the large tank was supposed to be empty, so we did so. A tube for supplying the solution was attached to the hose; it is attached with clips; the button for supplying the solution is on the handle, which is attached to the tube and attached to the main handle from below. We put on the spray nozzle and turned on the power again, turned on the pump, I again set the power to maximum. We started spraying the solution onto the carpet over an area of ​​approximately 0.5 m2, then, without supplying the solution, we began to collect the liquid on ourselves with movements, then spray it again, and so on until the carpet was finished. Then we put on the nozzle to collect the liquid and went over the entire carpet again. The residual humidity is very low, after 1 hour everything was dry. I’m writing now and I’m thinking that maybe I shouldn’t have collected the liquid with a spray nozzle and then collected it from the entire surface of the carpet with a liquid collection nozzle. What if the carpet gets very wet then??? In general, I don’t know. After 3 carpets, the solution ran out and I had to make another 1.5 liters. We washed the hallway and decided to use the remaining solution to wash the sofa. When we were finishing the sofa, the vacuum cleaner suddenly wet itself and made a puddle on the floor. I quickly turned it off, I was scared, because this shouldn’t have happened. Water leaked from the compartment where the hepa filter is located. We looked at the puddle, turned on the vacuum cleaner, collected this puddle and decided that from now on we definitely need to add anti-foam liquid (we thought that due to its absence there was a leak).  It's time to wash off the dust. turned on the vacuum cleaner and rinsed the hoses and nozzles. There was again a lot of dirt in the tank, they drained it, washed it, washed the tank, washed all the filters they could find (it might not have been all of them, but they washed it all) and left everything to dry.  In the end, we liked the cleaning, everything was clean, the air was fresh, there was no dust flying in the air, there was enough power, everything was simple to use (my wife figured it out right away), the size of the dust was not that big, it was simple and easy to clean. It seemed a little noisy, but it was tolerable. So far we are happy with the purchase, we haven’t found any cons yet. If something happens, I will definitely share it.  By the way, the 4-year warranty applies only to the engine; everything else, as I understand it, is out of warranty.</v>
      </c>
    </row>
    <row r="7335" spans="1:9" x14ac:dyDescent="0.3">
      <c r="A7335" s="1" t="s">
        <v>519</v>
      </c>
      <c r="B7335" s="1" t="s">
        <v>520</v>
      </c>
      <c r="C7335" s="1" t="s">
        <v>3571</v>
      </c>
      <c r="D7335" s="1" t="s">
        <v>565</v>
      </c>
      <c r="E7335" s="1" t="s">
        <v>10689</v>
      </c>
      <c r="F7335" s="1" t="s">
        <v>11348</v>
      </c>
      <c r="G7335" s="1" t="s">
        <v>15</v>
      </c>
      <c r="H7335" s="1" t="s">
        <v>16</v>
      </c>
      <c r="I7335" s="1" t="str">
        <f ca="1">IFERROR(__xludf.DUMMYFUNCTION("GOOGLETRANSLATE(F7335, ""auto"", ""en"")
"),"The set itself is not bad, but 1. it is not convenient to wash, because... the bolts that secure the handle to the surface protrude from the inside of the cookware. 2. It’s not convenient to store because The lids have wide sides, the pots are placed insi"&amp;"de each other, but there are no lids, and as a result the set takes up a lot of space. 3.dirt constantly gets under the side of the lid, which is very difficult to wash off. 4. When cooking in ordinary water (from the tap), stains appear that are quite di"&amp;"fficult to wash off. But you can drain the water without a colander.")</f>
        <v>The set itself is not bad, but 1. it is not convenient to wash, because... the bolts that secure the handle to the surface protrude from the inside of the cookware. 2. It’s not convenient to store because The lids have wide sides, the pots are placed inside each other, but there are no lids, and as a result the set takes up a lot of space. 3.dirt constantly gets under the side of the lid, which is very difficult to wash off. 4. When cooking in ordinary water (from the tap), stains appear that are quite difficult to wash off. But you can drain the water without a colander.</v>
      </c>
    </row>
    <row r="7336" spans="1:9" x14ac:dyDescent="0.3">
      <c r="A7336" s="1" t="s">
        <v>211</v>
      </c>
      <c r="B7336" s="1" t="s">
        <v>410</v>
      </c>
      <c r="C7336" s="1" t="s">
        <v>122</v>
      </c>
      <c r="D7336" s="1" t="s">
        <v>280</v>
      </c>
      <c r="E7336" s="1" t="s">
        <v>11349</v>
      </c>
      <c r="F7336" s="1" t="s">
        <v>11350</v>
      </c>
      <c r="G7336" s="1" t="s">
        <v>36</v>
      </c>
      <c r="H7336" s="1" t="s">
        <v>29</v>
      </c>
      <c r="I7336" s="1" t="str">
        <f ca="1">IFERROR(__xludf.DUMMYFUNCTION("GOOGLETRANSLATE(F7336, ""auto"", ""en"")
"),"I've been using it for about a year, I'm very pleased!")</f>
        <v>I've been using it for about a year, I'm very pleased!</v>
      </c>
    </row>
    <row r="7337" spans="1:9" x14ac:dyDescent="0.3">
      <c r="A7337" s="1" t="s">
        <v>43</v>
      </c>
      <c r="B7337" s="1" t="s">
        <v>219</v>
      </c>
      <c r="C7337" s="1" t="s">
        <v>665</v>
      </c>
      <c r="D7337" s="1" t="s">
        <v>86</v>
      </c>
      <c r="E7337" s="1" t="s">
        <v>2197</v>
      </c>
      <c r="F7337" s="1" t="s">
        <v>11351</v>
      </c>
      <c r="G7337" s="1" t="s">
        <v>36</v>
      </c>
      <c r="H7337" s="1" t="s">
        <v>29</v>
      </c>
      <c r="I7337" s="1" t="str">
        <f ca="1">IFERROR(__xludf.DUMMYFUNCTION("GOOGLETRANSLATE(F7337, ""auto"", ""en"")
"),"Very helpful when the hot water is turned off. And you can wash the dishes and wash your face. Heats water quickly, up to a maximum of 75 degrees. The inside of the tank is enamel. This heater can be mounted to the wall vertically, which is very convenien"&amp;"t. And its size is small. There is a power indicator function. Due to the fact that it is electric, at first I was worried and afraid, although they said that it was 100% protection, but now all doubts have disappeared. We didn’t regret that we bought it,"&amp;" because our water is often turned off. I recommend it to those who often don’t have hot water and have small children, it really helps!")</f>
        <v>Very helpful when the hot water is turned off. And you can wash the dishes and wash your face. Heats water quickly, up to a maximum of 75 degrees. The inside of the tank is enamel. This heater can be mounted to the wall vertically, which is very convenient. And its size is small. There is a power indicator function. Due to the fact that it is electric, at first I was worried and afraid, although they said that it was 100% protection, but now all doubts have disappeared. We didn’t regret that we bought it, because our water is often turned off. I recommend it to those who often don’t have hot water and have small children, it really helps!</v>
      </c>
    </row>
    <row r="7338" spans="1:9" x14ac:dyDescent="0.3">
      <c r="A7338" s="1" t="s">
        <v>17</v>
      </c>
      <c r="B7338" s="1" t="s">
        <v>18</v>
      </c>
      <c r="C7338" s="1" t="s">
        <v>80</v>
      </c>
      <c r="D7338" s="1" t="s">
        <v>308</v>
      </c>
      <c r="E7338" s="1" t="s">
        <v>2236</v>
      </c>
      <c r="F7338" s="1" t="s">
        <v>11352</v>
      </c>
      <c r="G7338" s="1" t="s">
        <v>36</v>
      </c>
      <c r="H7338" s="1" t="s">
        <v>29</v>
      </c>
      <c r="I7338" s="1" t="str">
        <f ca="1">IFERROR(__xludf.DUMMYFUNCTION("GOOGLETRANSLATE(F7338, ""auto"", ""en"")
"),"We bought it today, waiting for it tomorrow!  We hope for better results... It took us a long time to choose, the appearance is okay, and they say that it is good for hard water.    I hope for better feedback from myself after checking)))")</f>
        <v>We bought it today, waiting for it tomorrow!  We hope for better results... It took us a long time to choose, the appearance is okay, and they say that it is good for hard water.    I hope for better feedback from myself after checking)))</v>
      </c>
    </row>
    <row r="7339" spans="1:9" x14ac:dyDescent="0.3">
      <c r="A7339" s="1" t="s">
        <v>17</v>
      </c>
      <c r="B7339" s="1" t="s">
        <v>18</v>
      </c>
      <c r="C7339" s="1" t="s">
        <v>19</v>
      </c>
      <c r="D7339" s="1" t="s">
        <v>335</v>
      </c>
      <c r="E7339" s="1" t="s">
        <v>6631</v>
      </c>
      <c r="F7339" s="1" t="s">
        <v>11353</v>
      </c>
      <c r="G7339" s="1" t="s">
        <v>49</v>
      </c>
      <c r="H7339" s="1" t="s">
        <v>16</v>
      </c>
      <c r="I7339" s="1" t="str">
        <f ca="1">IFERROR(__xludf.DUMMYFUNCTION("GOOGLETRANSLATE(F7339, ""auto"", ""en"")
"),"We bought this in December 2012, installed it after renovation in the bathroom on 02/02/2013. The washing was so-so, even the vaunted 1200 rpm. did not differ much from 500 rpm. (on an old typewriter). And this is not an economy class with Italian assembl"&amp;"y! I worked for 3 months and... the control unit broke down. It's been under renovation for a month now. If they don’t meet the 45 days, definitely return and buy another model.")</f>
        <v>We bought this in December 2012, installed it after renovation in the bathroom on 02/02/2013. The washing was so-so, even the vaunted 1200 rpm. did not differ much from 500 rpm. (on an old typewriter). And this is not an economy class with Italian assembly! I worked for 3 months and... the control unit broke down. It's been under renovation for a month now. If they don’t meet the 45 days, definitely return and buy another model.</v>
      </c>
    </row>
    <row r="7340" spans="1:9" x14ac:dyDescent="0.3">
      <c r="A7340" s="1" t="s">
        <v>211</v>
      </c>
      <c r="B7340" s="1" t="s">
        <v>515</v>
      </c>
      <c r="C7340" s="1" t="s">
        <v>69</v>
      </c>
      <c r="D7340" s="1" t="s">
        <v>348</v>
      </c>
      <c r="E7340" s="1" t="s">
        <v>128</v>
      </c>
      <c r="F7340" s="1" t="s">
        <v>11354</v>
      </c>
      <c r="G7340" s="1" t="s">
        <v>28</v>
      </c>
      <c r="H7340" s="1" t="s">
        <v>29</v>
      </c>
      <c r="I7340" s="1" t="str">
        <f ca="1">IFERROR(__xludf.DUMMYFUNCTION("GOOGLETRANSLATE(F7340, ""auto"", ""en"")
"),"I bought it today. The price corresponds to the quality - it was not possible to achieve ideal smoothness. The pain is tolerable, and so is the noise. Let's see how long it will take to repeat the procedure) OVERALL - I liked the epilator.")</f>
        <v>I bought it today. The price corresponds to the quality - it was not possible to achieve ideal smoothness. The pain is tolerable, and so is the noise. Let's see how long it will take to repeat the procedure) OVERALL - I liked the epilator.</v>
      </c>
    </row>
    <row r="7341" spans="1:9" x14ac:dyDescent="0.3">
      <c r="A7341" s="1" t="s">
        <v>61</v>
      </c>
      <c r="B7341" s="1" t="s">
        <v>145</v>
      </c>
      <c r="C7341" s="1" t="s">
        <v>246</v>
      </c>
      <c r="D7341" s="1" t="s">
        <v>589</v>
      </c>
      <c r="E7341" s="1" t="s">
        <v>4082</v>
      </c>
      <c r="F7341" s="1" t="s">
        <v>11355</v>
      </c>
      <c r="G7341" s="1" t="s">
        <v>36</v>
      </c>
      <c r="H7341" s="1" t="s">
        <v>29</v>
      </c>
      <c r="I7341" s="1" t="str">
        <f ca="1">IFERROR(__xludf.DUMMYFUNCTION("GOOGLETRANSLATE(F7341, ""auto"", ""en"")
"),"Super thing! We have been using this electric pancake maker for four years. The pancakes turn out thin and lacy! The whole family likes it. You get a decent stack of pancakes in a short amount of time!")</f>
        <v>Super thing! We have been using this electric pancake maker for four years. The pancakes turn out thin and lacy! The whole family likes it. You get a decent stack of pancakes in a short amount of time!</v>
      </c>
    </row>
    <row r="7342" spans="1:9" x14ac:dyDescent="0.3">
      <c r="A7342" s="1" t="s">
        <v>169</v>
      </c>
      <c r="B7342" s="1" t="s">
        <v>170</v>
      </c>
      <c r="C7342" s="1" t="s">
        <v>122</v>
      </c>
      <c r="D7342" s="1" t="s">
        <v>11356</v>
      </c>
      <c r="E7342" s="1" t="s">
        <v>4552</v>
      </c>
      <c r="F7342" s="1" t="s">
        <v>11357</v>
      </c>
      <c r="G7342" s="1" t="s">
        <v>36</v>
      </c>
      <c r="H7342" s="1" t="s">
        <v>29</v>
      </c>
      <c r="I7342" s="1" t="str">
        <f ca="1">IFERROR(__xludf.DUMMYFUNCTION("GOOGLETRANSLATE(F7342, ""auto"", ""en"")
"),"This is not the first time I have bought these headphones, I really like the bass sound in them, they isolate my ears well from noise, they are warm in winter)) They are comfortable to wear and the design is very stylish. A favorite in this price category"&amp;". I haven’t seen them on sale in Bryansk for a long time, I would like to buy them again, the old ones have fallen into disrepair")</f>
        <v>This is not the first time I have bought these headphones, I really like the bass sound in them, they isolate my ears well from noise, they are warm in winter)) They are comfortable to wear and the design is very stylish. A favorite in this price category. I haven’t seen them on sale in Bryansk for a long time, I would like to buy them again, the old ones have fallen into disrepair</v>
      </c>
    </row>
    <row r="7343" spans="1:9" x14ac:dyDescent="0.3">
      <c r="A7343" s="1" t="s">
        <v>89</v>
      </c>
      <c r="B7343" s="1" t="s">
        <v>90</v>
      </c>
      <c r="C7343" s="1" t="s">
        <v>185</v>
      </c>
      <c r="D7343" s="1" t="s">
        <v>1605</v>
      </c>
      <c r="E7343" s="1" t="s">
        <v>4803</v>
      </c>
      <c r="F7343" s="1" t="s">
        <v>11358</v>
      </c>
      <c r="G7343" s="1" t="s">
        <v>28</v>
      </c>
      <c r="H7343" s="1" t="s">
        <v>29</v>
      </c>
      <c r="I7343" s="1" t="str">
        <f ca="1">IFERROR(__xludf.DUMMYFUNCTION("GOOGLETRANSLATE(F7343, ""auto"", ""en"")
"),"A normal coffee grinder, the grinding at the minimum level is quite fine, but if you need it straight into the dust, then there are many guides on the Internet for finishing the mechanism. There are many levels of grinding regulation, which is very pleasi"&amp;"ng. The grinding itself is uniform, no matter what they say. Ergonomics and design are good, but nothing supernatural. I bought it using bonus points, but the price is generally reasonable; good burr coffee grinders are difficult to find.")</f>
        <v>A normal coffee grinder, the grinding at the minimum level is quite fine, but if you need it straight into the dust, then there are many guides on the Internet for finishing the mechanism. There are many levels of grinding regulation, which is very pleasing. The grinding itself is uniform, no matter what they say. Ergonomics and design are good, but nothing supernatural. I bought it using bonus points, but the price is generally reasonable; good burr coffee grinders are difficult to find.</v>
      </c>
    </row>
    <row r="7344" spans="1:9" x14ac:dyDescent="0.3">
      <c r="A7344" s="1" t="s">
        <v>624</v>
      </c>
      <c r="B7344" s="1" t="s">
        <v>625</v>
      </c>
      <c r="C7344" s="1" t="s">
        <v>479</v>
      </c>
      <c r="D7344" s="1" t="s">
        <v>327</v>
      </c>
      <c r="E7344" s="1" t="s">
        <v>4875</v>
      </c>
      <c r="F7344" s="1" t="s">
        <v>11359</v>
      </c>
      <c r="G7344" s="1" t="s">
        <v>36</v>
      </c>
      <c r="H7344" s="1" t="s">
        <v>29</v>
      </c>
      <c r="I7344" s="1" t="str">
        <f ca="1">IFERROR(__xludf.DUMMYFUNCTION("GOOGLETRANSLATE(F7344, ""auto"", ""en"")
"),"Mikhail is wrong - the game itself offers a choice - will you play with one or two controllers!")</f>
        <v>Mikhail is wrong - the game itself offers a choice - will you play with one or two controllers!</v>
      </c>
    </row>
    <row r="7345" spans="1:9" x14ac:dyDescent="0.3">
      <c r="A7345" s="1" t="s">
        <v>55</v>
      </c>
      <c r="B7345" s="1" t="s">
        <v>56</v>
      </c>
      <c r="C7345" s="1" t="s">
        <v>1373</v>
      </c>
      <c r="D7345" s="1" t="s">
        <v>86</v>
      </c>
      <c r="E7345" s="1" t="s">
        <v>11360</v>
      </c>
      <c r="F7345" s="1" t="s">
        <v>11361</v>
      </c>
      <c r="G7345" s="1" t="s">
        <v>36</v>
      </c>
      <c r="H7345" s="1" t="s">
        <v>29</v>
      </c>
      <c r="I7345" s="1" t="str">
        <f ca="1">IFERROR(__xludf.DUMMYFUNCTION("GOOGLETRANSLATE(F7345, ""auto"", ""en"")
"),"I bought it in December 2012. I settled on Boneco, since they specialize in climate control equipment, they have been on the market for a long time, which means they have a lot of experience. Of all, I chose 7135, since in this price category it was the o"&amp;"nly one that had a copper membrane with some kind of special double cooling and coating. The seller told me that the copper one is the most durable, the rest are for the season, but the price for them is not a pity, up to 3000 thousand approximately. I to"&amp;"ok it on sale. I was confused by the display, because I thought it would be annoying at night (the display is clearly visible during the day and does not irritate at night, pleasant greenish). Advantages: build quality, good plastic does not stink, is not"&amp;" noisy, quieter than a laptop, the display is not annoying, the buttons do not stick out at random, it is well assembled, both outside and inside, there is no white residue, but I pass the water through a filter before filling it, plus it has its own filt"&amp;"er, humidifies from 30% to 50% in two hours 20 sq. meters, but the most interesting thing is that I bought a specially analog hygrometer and hung it at the other end of the room, it shows 60% (the analog one works 100% correctly), while on the humidifier "&amp;"it is 50%, so maybe it reaches all 60 in the whole room, and the manufacturer, since the built-in hygrometer in the humidifier, deliberately underestimated the readings of the built-in one. Disadvantages: I didn’t find any, I’m very pleased, the room is f"&amp;"resh, good, you don’t get tired when sitting at the computer, I actually started getting enough sleep at night, as people write on the forums. Just don’t expect that you bought a humidifier, it has reached 60% humidity and will remain so, no, for this you"&amp;" need the furniture and wallpaper to be saturated, this is not only related to this humidifier. Overnight in the first days the humidity returns to what it was before. In the future, it evens out from daily work. Price-quality, satisfied, I took an additi"&amp;"onal two-year warranty, which implies an unlimited number of exchanges in case of breakdown, and generally scored if something breaks)))")</f>
        <v>I bought it in December 2012. I settled on Boneco, since they specialize in climate control equipment, they have been on the market for a long time, which means they have a lot of experience. Of all, I chose 7135, since in this price category it was the only one that had a copper membrane with some kind of special double cooling and coating. The seller told me that the copper one is the most durable, the rest are for the season, but the price for them is not a pity, up to 3000 thousand approximately. I took it on sale. I was confused by the display, because I thought it would be annoying at night (the display is clearly visible during the day and does not irritate at night, pleasant greenish). Advantages: build quality, good plastic does not stink, is not noisy, quieter than a laptop, the display is not annoying, the buttons do not stick out at random, it is well assembled, both outside and inside, there is no white residue, but I pass the water through a filter before filling it, plus it has its own filter, humidifies from 30% to 50% in two hours 20 sq. meters, but the most interesting thing is that I bought a specially analog hygrometer and hung it at the other end of the room, it shows 60% (the analog one works 100% correctly), while on the humidifier it is 50%, so maybe it reaches all 60 in the whole room, and the manufacturer, since the built-in hygrometer in the humidifier, deliberately underestimated the readings of the built-in one. Disadvantages: I didn’t find any, I’m very pleased, the room is fresh, good, you don’t get tired when sitting at the computer, I actually started getting enough sleep at night, as people write on the forums. Just don’t expect that you bought a humidifier, it has reached 60% humidity and will remain so, no, for this you need the furniture and wallpaper to be saturated, this is not only related to this humidifier. Overnight in the first days the humidity returns to what it was before. In the future, it evens out from daily work. Price-quality, satisfied, I took an additional two-year warranty, which implies an unlimited number of exchanges in case of breakdown, and generally scored if something breaks)))</v>
      </c>
    </row>
    <row r="7346" spans="1:9" x14ac:dyDescent="0.3">
      <c r="A7346" s="1" t="s">
        <v>30</v>
      </c>
      <c r="B7346" s="1" t="s">
        <v>50</v>
      </c>
      <c r="C7346" s="1" t="s">
        <v>32</v>
      </c>
      <c r="D7346" s="1" t="s">
        <v>20</v>
      </c>
      <c r="E7346" s="1" t="s">
        <v>1139</v>
      </c>
      <c r="F7346" s="1" t="s">
        <v>11362</v>
      </c>
      <c r="G7346" s="1" t="s">
        <v>36</v>
      </c>
      <c r="H7346" s="1" t="s">
        <v>29</v>
      </c>
      <c r="I7346" s="1" t="str">
        <f ca="1">IFERROR(__xludf.DUMMYFUNCTION("GOOGLETRANSLATE(F7346, ""auto"", ""en"")
"),"call of duty mw2 flies just at max, DAO also at max, the laptop is just gorgeous")</f>
        <v>call of duty mw2 flies just at max, DAO also at max, the laptop is just gorgeous</v>
      </c>
    </row>
    <row r="7347" spans="1:9" x14ac:dyDescent="0.3">
      <c r="A7347" s="1" t="s">
        <v>211</v>
      </c>
      <c r="B7347" s="1" t="s">
        <v>856</v>
      </c>
      <c r="C7347" s="1" t="s">
        <v>101</v>
      </c>
      <c r="D7347" s="1" t="s">
        <v>11363</v>
      </c>
      <c r="E7347" s="1" t="s">
        <v>11364</v>
      </c>
      <c r="F7347" s="1" t="s">
        <v>11365</v>
      </c>
      <c r="G7347" s="1" t="s">
        <v>36</v>
      </c>
      <c r="H7347" s="1" t="s">
        <v>29</v>
      </c>
      <c r="I7347" s="1" t="str">
        <f ca="1">IFERROR(__xludf.DUMMYFUNCTION("GOOGLETRANSLATE(F7347, ""auto"", ""en"")
"),"I'm choosing a gift for my younger sister on March 8th. I came across this set at such an incredibly low price! I had one like this before and bought it for more. At the same time, it’s wonderful, just plain and without any particularly cool features. I t"&amp;"hink I’ll buy this for my sister – it’s a great start in handling such manicure devices.")</f>
        <v>I'm choosing a gift for my younger sister on March 8th. I came across this set at such an incredibly low price! I had one like this before and bought it for more. At the same time, it’s wonderful, just plain and without any particularly cool features. I think I’ll buy this for my sister – it’s a great start in handling such manicure devices.</v>
      </c>
    </row>
    <row r="7348" spans="1:9" x14ac:dyDescent="0.3">
      <c r="A7348" s="1" t="s">
        <v>61</v>
      </c>
      <c r="B7348" s="1" t="s">
        <v>224</v>
      </c>
      <c r="C7348" s="1" t="s">
        <v>74</v>
      </c>
      <c r="D7348" s="1" t="s">
        <v>280</v>
      </c>
      <c r="E7348" s="1" t="s">
        <v>6232</v>
      </c>
      <c r="F7348" s="1" t="s">
        <v>11366</v>
      </c>
      <c r="G7348" s="1" t="s">
        <v>36</v>
      </c>
      <c r="H7348" s="1" t="s">
        <v>29</v>
      </c>
      <c r="I7348" s="1" t="str">
        <f ca="1">IFERROR(__xludf.DUMMYFUNCTION("GOOGLETRANSLATE(F7348, ""auto"", ""en"")
"),"I bought it today (09/05/2010) It just has a gigantic opening for loading, very good power, nice design, it’s easy to clean, it presses amazingly in 2 minutes, it handles 3 kilograms of apples, nothing overheats and it works amazingly.")</f>
        <v>I bought it today (09/05/2010) It just has a gigantic opening for loading, very good power, nice design, it’s easy to clean, it presses amazingly in 2 minutes, it handles 3 kilograms of apples, nothing overheats and it works amazingly.</v>
      </c>
    </row>
    <row r="7349" spans="1:9" x14ac:dyDescent="0.3">
      <c r="A7349" s="1" t="s">
        <v>149</v>
      </c>
      <c r="B7349" s="1" t="s">
        <v>576</v>
      </c>
      <c r="C7349" s="1" t="s">
        <v>151</v>
      </c>
      <c r="D7349" s="1" t="s">
        <v>545</v>
      </c>
      <c r="E7349" s="1" t="s">
        <v>135</v>
      </c>
      <c r="F7349" s="1" t="s">
        <v>11367</v>
      </c>
      <c r="G7349" s="1" t="s">
        <v>36</v>
      </c>
      <c r="H7349" s="1" t="s">
        <v>29</v>
      </c>
      <c r="I7349" s="1" t="str">
        <f ca="1">IFERROR(__xludf.DUMMYFUNCTION("GOOGLETRANSLATE(F7349, ""auto"", ""en"")
"),"I have also been using it for over 5 years. It's not much louder than others. There are no problems with him. The only negative is the plastic attachment and wheels - if sharp debris sticks, it will scratch the floor (parquet while you are carrying it). E"&amp;"ats everything - construction waste, etc. down to small rubber balls.")</f>
        <v>I have also been using it for over 5 years. It's not much louder than others. There are no problems with him. The only negative is the plastic attachment and wheels - if sharp debris sticks, it will scratch the floor (parquet while you are carrying it). Eats everything - construction waste, etc. down to small rubber balls.</v>
      </c>
    </row>
    <row r="7350" spans="1:9" x14ac:dyDescent="0.3">
      <c r="A7350" s="1" t="s">
        <v>37</v>
      </c>
      <c r="B7350" s="1" t="s">
        <v>355</v>
      </c>
      <c r="C7350" s="1" t="s">
        <v>356</v>
      </c>
      <c r="D7350" s="1" t="s">
        <v>127</v>
      </c>
      <c r="E7350" s="1" t="s">
        <v>1826</v>
      </c>
      <c r="F7350" s="1" t="s">
        <v>11368</v>
      </c>
      <c r="G7350" s="1" t="s">
        <v>36</v>
      </c>
      <c r="H7350" s="1" t="s">
        <v>29</v>
      </c>
      <c r="I7350" s="1" t="str">
        <f ca="1">IFERROR(__xludf.DUMMYFUNCTION("GOOGLETRANSLATE(F7350, ""auto"", ""en"")
"),"Excellent phone, I used it for 2 years, everything was fine. Switched to 3Gs - even better. There is also the ability to shoot video, multitasking and performance, a bunch of different software, and most importantly a fairly powerful battery, but 3G is al"&amp;"so not weak.")</f>
        <v>Excellent phone, I used it for 2 years, everything was fine. Switched to 3Gs - even better. There is also the ability to shoot video, multitasking and performance, a bunch of different software, and most importantly a fairly powerful battery, but 3G is also not weak.</v>
      </c>
    </row>
    <row r="7351" spans="1:9" x14ac:dyDescent="0.3">
      <c r="A7351" s="1" t="s">
        <v>95</v>
      </c>
      <c r="B7351" s="1" t="s">
        <v>648</v>
      </c>
      <c r="C7351" s="1" t="s">
        <v>97</v>
      </c>
      <c r="D7351" s="1" t="s">
        <v>280</v>
      </c>
      <c r="E7351" s="1" t="s">
        <v>798</v>
      </c>
      <c r="F7351" s="1" t="s">
        <v>11369</v>
      </c>
      <c r="G7351" s="1" t="s">
        <v>36</v>
      </c>
      <c r="H7351" s="1" t="s">
        <v>29</v>
      </c>
      <c r="I7351" s="1" t="str">
        <f ca="1">IFERROR(__xludf.DUMMYFUNCTION("GOOGLETRANSLATE(F7351, ""auto"", ""en"")
"),"I bought it a year ago, it’s been through thick and thin and it hasn’t let me down once, SUPER!!! I simply recommend it to everyone, thank you m-video for the quality product.")</f>
        <v>I bought it a year ago, it’s been through thick and thin and it hasn’t let me down once, SUPER!!! I simply recommend it to everyone, thank you m-video for the quality product.</v>
      </c>
    </row>
    <row r="7352" spans="1:9" x14ac:dyDescent="0.3">
      <c r="A7352" s="1" t="s">
        <v>211</v>
      </c>
      <c r="B7352" s="1" t="s">
        <v>212</v>
      </c>
      <c r="C7352" s="1" t="s">
        <v>69</v>
      </c>
      <c r="D7352" s="1" t="s">
        <v>545</v>
      </c>
      <c r="E7352" s="1" t="s">
        <v>4528</v>
      </c>
      <c r="F7352" s="1" t="s">
        <v>11370</v>
      </c>
      <c r="G7352" s="1" t="s">
        <v>49</v>
      </c>
      <c r="H7352" s="1" t="s">
        <v>16</v>
      </c>
      <c r="I7352" s="1" t="str">
        <f ca="1">IFERROR(__xludf.DUMMYFUNCTION("GOOGLETRANSLATE(F7352, ""auto"", ""en"")
"),"I bought a hair dryer, compared it with the power of the previous one and found out - it’s rubbish, there’s nothing more to say.")</f>
        <v>I bought a hair dryer, compared it with the power of the previous one and found out - it’s rubbish, there’s nothing more to say.</v>
      </c>
    </row>
    <row r="7353" spans="1:9" x14ac:dyDescent="0.3">
      <c r="A7353" s="1" t="s">
        <v>17</v>
      </c>
      <c r="B7353" s="1" t="s">
        <v>18</v>
      </c>
      <c r="C7353" s="1" t="s">
        <v>885</v>
      </c>
      <c r="D7353" s="1" t="s">
        <v>1890</v>
      </c>
      <c r="E7353" s="1" t="s">
        <v>1470</v>
      </c>
      <c r="F7353" s="1" t="s">
        <v>11371</v>
      </c>
      <c r="G7353" s="1" t="s">
        <v>36</v>
      </c>
      <c r="H7353" s="1" t="s">
        <v>29</v>
      </c>
      <c r="I7353" s="1" t="str">
        <f ca="1">IFERROR(__xludf.DUMMYFUNCTION("GOOGLETRANSLATE(F7353, ""auto"", ""en"")
"),"I bought this washing machine in the fall of 2008, and it still works great! There were no problems during this time. Takes up little space, very easy to use!")</f>
        <v>I bought this washing machine in the fall of 2008, and it still works great! There were no problems during this time. Takes up little space, very easy to use!</v>
      </c>
    </row>
    <row r="7354" spans="1:9" x14ac:dyDescent="0.3">
      <c r="A7354" s="1" t="s">
        <v>811</v>
      </c>
      <c r="B7354" s="1" t="s">
        <v>812</v>
      </c>
      <c r="C7354" s="1" t="s">
        <v>813</v>
      </c>
      <c r="D7354" s="1" t="s">
        <v>11372</v>
      </c>
      <c r="E7354" s="1" t="s">
        <v>2156</v>
      </c>
      <c r="F7354" s="1" t="s">
        <v>11373</v>
      </c>
      <c r="G7354" s="1" t="s">
        <v>49</v>
      </c>
      <c r="H7354" s="1" t="s">
        <v>16</v>
      </c>
      <c r="I7354" s="1" t="str">
        <f ca="1">IFERROR(__xludf.DUMMYFUNCTION("GOOGLETRANSLATE(F7354, ""auto"", ""en"")
"),"I bought a tripod, brought it home, and the mount on one leg came off. I exchanged it for the same model and again it was defective: a crack on the leg mounts. I took the money. I advise you to take a more expensive model.")</f>
        <v>I bought a tripod, brought it home, and the mount on one leg came off. I exchanged it for the same model and again it was defective: a crack on the leg mounts. I took the money. I advise you to take a more expensive model.</v>
      </c>
    </row>
    <row r="7355" spans="1:9" x14ac:dyDescent="0.3">
      <c r="A7355" s="1" t="s">
        <v>61</v>
      </c>
      <c r="B7355" s="1" t="s">
        <v>977</v>
      </c>
      <c r="C7355" s="1" t="s">
        <v>85</v>
      </c>
      <c r="D7355" s="1" t="s">
        <v>247</v>
      </c>
      <c r="E7355" s="1" t="s">
        <v>1728</v>
      </c>
      <c r="F7355" s="1" t="s">
        <v>11374</v>
      </c>
      <c r="G7355" s="1" t="s">
        <v>49</v>
      </c>
      <c r="H7355" s="1" t="s">
        <v>16</v>
      </c>
      <c r="I7355" s="1" t="str">
        <f ca="1">IFERROR(__xludf.DUMMYFUNCTION("GOOGLETRANSLATE(F7355, ""auto"", ""en"")
"),"I bought this “miracle blender” on March 8, 2012 at the Mvideo store in my city. The consultant guy praised him. I can say that he only mixes bananas and milk normally, the rest is absolutely fine! at the same time, a terrible burning smell of a burnt eng"&amp;"ine emanates from the engine; The instructions say that after the first use a specific smell may emanate, but not after the 20th use! In addition, after the first use the knives unscrewed, but now they won’t unscrew at all, as if they were stuck or broken"&amp;"! the quality is terrible. It’s not worth the money claimed. I wouldn’t even give a thousand for it. So I’m going to return it! I absolutely do not recommend it.")</f>
        <v>I bought this “miracle blender” on March 8, 2012 at the Mvideo store in my city. The consultant guy praised him. I can say that he only mixes bananas and milk normally, the rest is absolutely fine! at the same time, a terrible burning smell of a burnt engine emanates from the engine; The instructions say that after the first use a specific smell may emanate, but not after the 20th use! In addition, after the first use the knives unscrewed, but now they won’t unscrew at all, as if they were stuck or broken! the quality is terrible. It’s not worth the money claimed. I wouldn’t even give a thousand for it. So I’m going to return it! I absolutely do not recommend it.</v>
      </c>
    </row>
    <row r="7356" spans="1:9" x14ac:dyDescent="0.3">
      <c r="A7356" s="1" t="s">
        <v>78</v>
      </c>
      <c r="B7356" s="1" t="s">
        <v>79</v>
      </c>
      <c r="C7356" s="1" t="s">
        <v>122</v>
      </c>
      <c r="D7356" s="1" t="s">
        <v>565</v>
      </c>
      <c r="E7356" s="1" t="s">
        <v>1287</v>
      </c>
      <c r="F7356" s="1" t="s">
        <v>11375</v>
      </c>
      <c r="G7356" s="1" t="s">
        <v>36</v>
      </c>
      <c r="H7356" s="1" t="s">
        <v>29</v>
      </c>
      <c r="I7356" s="1" t="str">
        <f ca="1">IFERROR(__xludf.DUMMYFUNCTION("GOOGLETRANSLATE(F7356, ""auto"", ""en"")
"),"I’m very happy with the stove! I’ve already been “burned” with LG! That’s why I decided to buy a Panasonic. Thanks to the inverter, less electricity is actually consumed! And the grill is just a fairy tale! Easy to clean! And the design is just right!")</f>
        <v>I’m very happy with the stove! I’ve already been “burned” with LG! That’s why I decided to buy a Panasonic. Thanks to the inverter, less electricity is actually consumed! And the grill is just a fairy tale! Easy to clean! And the design is just right!</v>
      </c>
    </row>
    <row r="7357" spans="1:9" x14ac:dyDescent="0.3">
      <c r="A7357" s="1" t="s">
        <v>105</v>
      </c>
      <c r="B7357" s="1" t="s">
        <v>106</v>
      </c>
      <c r="C7357" s="1" t="s">
        <v>69</v>
      </c>
      <c r="D7357" s="1" t="s">
        <v>1894</v>
      </c>
      <c r="E7357" s="1" t="s">
        <v>397</v>
      </c>
      <c r="F7357" s="1" t="s">
        <v>11376</v>
      </c>
      <c r="G7357" s="1" t="s">
        <v>36</v>
      </c>
      <c r="H7357" s="1" t="s">
        <v>29</v>
      </c>
      <c r="I7357" s="1" t="str">
        <f ca="1">IFERROR(__xludf.DUMMYFUNCTION("GOOGLETRANSLATE(F7357, ""auto"", ""en"")
"),"Easy to use, the battery charge really lasts the specified time, good sound and small size are the main qualities of a good player that this one has. I'm happy with my purchase.")</f>
        <v>Easy to use, the battery charge really lasts the specified time, good sound and small size are the main qualities of a good player that this one has. I'm happy with my purchase.</v>
      </c>
    </row>
    <row r="7358" spans="1:9" x14ac:dyDescent="0.3">
      <c r="A7358" s="1" t="s">
        <v>61</v>
      </c>
      <c r="B7358" s="1" t="s">
        <v>318</v>
      </c>
      <c r="C7358" s="1" t="s">
        <v>85</v>
      </c>
      <c r="D7358" s="1" t="s">
        <v>280</v>
      </c>
      <c r="E7358" s="1" t="s">
        <v>3128</v>
      </c>
      <c r="F7358" s="1" t="s">
        <v>11377</v>
      </c>
      <c r="G7358" s="1" t="s">
        <v>36</v>
      </c>
      <c r="H7358" s="1" t="s">
        <v>29</v>
      </c>
      <c r="I7358" s="1" t="str">
        <f ca="1">IFERROR(__xludf.DUMMYFUNCTION("GOOGLETRANSLATE(F7358, ""auto"", ""en"")
"),"I have been using this kettle for 3 years... After 2.5 years of use, sometimes it would not turn off. And after 3 years, the lid opening button began to stick. I believe that 2.5 years is a normal period for a teapot.")</f>
        <v>I have been using this kettle for 3 years... After 2.5 years of use, sometimes it would not turn off. And after 3 years, the lid opening button began to stick. I believe that 2.5 years is a normal period for a teapot.</v>
      </c>
    </row>
    <row r="7359" spans="1:9" x14ac:dyDescent="0.3">
      <c r="A7359" s="1" t="s">
        <v>120</v>
      </c>
      <c r="B7359" s="1" t="s">
        <v>121</v>
      </c>
      <c r="C7359" s="1" t="s">
        <v>151</v>
      </c>
      <c r="D7359" s="1" t="s">
        <v>52</v>
      </c>
      <c r="E7359" s="1" t="s">
        <v>696</v>
      </c>
      <c r="F7359" s="1" t="s">
        <v>11378</v>
      </c>
      <c r="G7359" s="1" t="s">
        <v>36</v>
      </c>
      <c r="H7359" s="1" t="s">
        <v>29</v>
      </c>
      <c r="I7359" s="1" t="str">
        <f ca="1">IFERROR(__xludf.DUMMYFUNCTION("GOOGLETRANSLATE(F7359, ""auto"", ""en"")
"),"Excellent panel, sound, image excellent. I wanted to take a Philips, but the quality of the TV signal is poor (I haven’t compared it with this panel yet). I don’t regret that I took this particular model, and the price is acceptable.")</f>
        <v>Excellent panel, sound, image excellent. I wanted to take a Philips, but the quality of the TV signal is poor (I haven’t compared it with this panel yet). I don’t regret that I took this particular model, and the price is acceptable.</v>
      </c>
    </row>
    <row r="7360" spans="1:9" x14ac:dyDescent="0.3">
      <c r="A7360" s="1" t="s">
        <v>169</v>
      </c>
      <c r="B7360" s="1" t="s">
        <v>170</v>
      </c>
      <c r="C7360" s="1" t="s">
        <v>69</v>
      </c>
      <c r="D7360" s="1" t="s">
        <v>742</v>
      </c>
      <c r="E7360" s="1" t="s">
        <v>382</v>
      </c>
      <c r="F7360" s="1" t="s">
        <v>11379</v>
      </c>
      <c r="G7360" s="1" t="s">
        <v>28</v>
      </c>
      <c r="H7360" s="1" t="s">
        <v>29</v>
      </c>
      <c r="I7360" s="1" t="str">
        <f ca="1">IFERROR(__xludf.DUMMYFUNCTION("GOOGLETRANSLATE(F7360, ""auto"", ""en"")
"),"Good headphones. The sound is excellent and comfortable to wear. They lasted about 8 months. Can be recommended for purchase.")</f>
        <v>Good headphones. The sound is excellent and comfortable to wear. They lasted about 8 months. Can be recommended for purchase.</v>
      </c>
    </row>
    <row r="7361" spans="1:9" x14ac:dyDescent="0.3">
      <c r="A7361" s="1" t="s">
        <v>61</v>
      </c>
      <c r="B7361" s="1" t="s">
        <v>318</v>
      </c>
      <c r="C7361" s="1" t="s">
        <v>85</v>
      </c>
      <c r="D7361" s="1" t="s">
        <v>911</v>
      </c>
      <c r="E7361" s="1" t="s">
        <v>9367</v>
      </c>
      <c r="F7361" s="1" t="s">
        <v>11380</v>
      </c>
      <c r="G7361" s="1" t="s">
        <v>49</v>
      </c>
      <c r="H7361" s="1" t="s">
        <v>16</v>
      </c>
      <c r="I7361" s="1" t="str">
        <f ca="1">IFERROR(__xludf.DUMMYFUNCTION("GOOGLETRANSLATE(F7361, ""auto"", ""en"")
"),"We bought the kettle as silent, but it turned out to be the complete opposite!!!  I don't recommend it. After a month of use, I lost my nerves! It makes a lot of noise. The feeling is that you are not at home, but at the airport on the runway!")</f>
        <v>We bought the kettle as silent, but it turned out to be the complete opposite!!!  I don't recommend it. After a month of use, I lost my nerves! It makes a lot of noise. The feeling is that you are not at home, but at the airport on the runway!</v>
      </c>
    </row>
    <row r="7362" spans="1:9" x14ac:dyDescent="0.3">
      <c r="A7362" s="1" t="s">
        <v>1119</v>
      </c>
      <c r="B7362" s="1" t="s">
        <v>1120</v>
      </c>
      <c r="C7362" s="1" t="s">
        <v>1152</v>
      </c>
      <c r="D7362" s="1" t="s">
        <v>4835</v>
      </c>
      <c r="E7362" s="1" t="s">
        <v>1139</v>
      </c>
      <c r="F7362" s="1" t="s">
        <v>11381</v>
      </c>
      <c r="G7362" s="1" t="s">
        <v>28</v>
      </c>
      <c r="H7362" s="1" t="s">
        <v>29</v>
      </c>
      <c r="I7362" s="1" t="str">
        <f ca="1">IFERROR(__xludf.DUMMYFUNCTION("GOOGLETRANSLATE(F7362, ""auto"", ""en"")
"),"I bought myself such a camera! In my opinion, it’s super. Good video quality, easy to use. Well there are some downsides.")</f>
        <v>I bought myself such a camera! In my opinion, it’s super. Good video quality, easy to use. Well there are some downsides.</v>
      </c>
    </row>
    <row r="7363" spans="1:9" x14ac:dyDescent="0.3">
      <c r="A7363" s="1" t="s">
        <v>67</v>
      </c>
      <c r="B7363" s="1" t="s">
        <v>68</v>
      </c>
      <c r="C7363" s="1" t="s">
        <v>69</v>
      </c>
      <c r="D7363" s="1" t="s">
        <v>308</v>
      </c>
      <c r="E7363" s="1" t="s">
        <v>4670</v>
      </c>
      <c r="F7363" s="1" t="s">
        <v>11382</v>
      </c>
      <c r="G7363" s="1" t="s">
        <v>49</v>
      </c>
      <c r="H7363" s="1" t="s">
        <v>16</v>
      </c>
      <c r="I7363" s="1" t="str">
        <f ca="1">IFERROR(__xludf.DUMMYFUNCTION("GOOGLETRANSLATE(F7363, ""auto"", ""en"")
"),"Terrible iron((doesn’t iron at all. By the way, water leaks out when steaming and how")</f>
        <v>Terrible iron((doesn’t iron at all. By the way, water leaks out when steaming and how</v>
      </c>
    </row>
    <row r="7364" spans="1:9" x14ac:dyDescent="0.3">
      <c r="A7364" s="1" t="s">
        <v>211</v>
      </c>
      <c r="B7364" s="1" t="s">
        <v>384</v>
      </c>
      <c r="C7364" s="1" t="s">
        <v>101</v>
      </c>
      <c r="D7364" s="1" t="s">
        <v>75</v>
      </c>
      <c r="E7364" s="1" t="s">
        <v>2176</v>
      </c>
      <c r="F7364" s="1" t="s">
        <v>11383</v>
      </c>
      <c r="G7364" s="1" t="s">
        <v>36</v>
      </c>
      <c r="H7364" s="1" t="s">
        <v>29</v>
      </c>
      <c r="I7364" s="1" t="str">
        <f ca="1">IFERROR(__xludf.DUMMYFUNCTION("GOOGLETRANSLATE(F7364, ""auto"", ""en"")
"),"I really liked it, although not expensive, but the accuracy is like in a pharmacy =)) memory for how many users, they immediately show how much you lost and how much you gained, I’ve had them for six months, I stand on the scales every morning =) and the "&amp;"battery is still alive. and they look beautiful! but be careful! read the instructions CAREFULLY. Do not under any circumstances stand on them after a shower with wet feet. deadly slippery! =))")</f>
        <v>I really liked it, although not expensive, but the accuracy is like in a pharmacy =)) memory for how many users, they immediately show how much you lost and how much you gained, I’ve had them for six months, I stand on the scales every morning =) and the battery is still alive. and they look beautiful! but be careful! read the instructions CAREFULLY. Do not under any circumstances stand on them after a shower with wet feet. deadly slippery! =))</v>
      </c>
    </row>
    <row r="7365" spans="1:9" x14ac:dyDescent="0.3">
      <c r="A7365" s="1" t="s">
        <v>169</v>
      </c>
      <c r="B7365" s="1" t="s">
        <v>170</v>
      </c>
      <c r="C7365" s="1" t="s">
        <v>171</v>
      </c>
      <c r="D7365" s="1" t="s">
        <v>280</v>
      </c>
      <c r="E7365" s="1" t="s">
        <v>2769</v>
      </c>
      <c r="F7365" s="1" t="s">
        <v>11384</v>
      </c>
      <c r="G7365" s="1" t="s">
        <v>36</v>
      </c>
      <c r="H7365" s="1" t="s">
        <v>29</v>
      </c>
      <c r="I7365" s="1" t="str">
        <f ca="1">IFERROR(__xludf.DUMMYFUNCTION("GOOGLETRANSLATE(F7365, ""auto"", ""en"")
"),"I listened for six months - no complaints. The lows sound good, oddly enough. I was pleasantly surprised by such sound quality!")</f>
        <v>I listened for six months - no complaints. The lows sound good, oddly enough. I was pleasantly surprised by such sound quality!</v>
      </c>
    </row>
    <row r="7366" spans="1:9" x14ac:dyDescent="0.3">
      <c r="A7366" s="1" t="s">
        <v>519</v>
      </c>
      <c r="B7366" s="1" t="s">
        <v>3340</v>
      </c>
      <c r="C7366" s="1" t="s">
        <v>3571</v>
      </c>
      <c r="D7366" s="1" t="s">
        <v>8132</v>
      </c>
      <c r="E7366" s="1" t="s">
        <v>11385</v>
      </c>
      <c r="F7366" s="1" t="s">
        <v>11386</v>
      </c>
      <c r="G7366" s="1" t="s">
        <v>36</v>
      </c>
      <c r="H7366" s="1" t="s">
        <v>29</v>
      </c>
      <c r="I7366" s="1" t="str">
        <f ca="1">IFERROR(__xludf.DUMMYFUNCTION("GOOGLETRANSLATE(F7366, ""auto"", ""en"")
"),"Ergonomic, easy to clean, pleasant both in appearance and to the touch")</f>
        <v>Ergonomic, easy to clean, pleasant both in appearance and to the touch</v>
      </c>
    </row>
    <row r="7367" spans="1:9" x14ac:dyDescent="0.3">
      <c r="A7367" s="1" t="s">
        <v>206</v>
      </c>
      <c r="B7367" s="1" t="s">
        <v>261</v>
      </c>
      <c r="C7367" s="1" t="s">
        <v>45</v>
      </c>
      <c r="D7367" s="1" t="s">
        <v>3293</v>
      </c>
      <c r="E7367" s="1" t="s">
        <v>8735</v>
      </c>
      <c r="F7367" s="1" t="s">
        <v>11387</v>
      </c>
      <c r="G7367" s="1" t="s">
        <v>49</v>
      </c>
      <c r="H7367" s="1" t="s">
        <v>16</v>
      </c>
      <c r="I7367" s="1" t="str">
        <f ca="1">IFERROR(__xludf.DUMMYFUNCTION("GOOGLETRANSLATE(F7367, ""auto"", ""en"")
"),"I bought it for that kind of money, but it still doesn’t play albums, reads songs at random from a flash drive, and plays only 511 songs, which they haven’t done .. just terrible .. for 800 rubles. better.")</f>
        <v>I bought it for that kind of money, but it still doesn’t play albums, reads songs at random from a flash drive, and plays only 511 songs, which they haven’t done .. just terrible .. for 800 rubles. better.</v>
      </c>
    </row>
    <row r="7368" spans="1:9" x14ac:dyDescent="0.3">
      <c r="A7368" s="1" t="s">
        <v>211</v>
      </c>
      <c r="B7368" s="1" t="s">
        <v>212</v>
      </c>
      <c r="C7368" s="1" t="s">
        <v>69</v>
      </c>
      <c r="D7368" s="1" t="s">
        <v>46</v>
      </c>
      <c r="E7368" s="1" t="s">
        <v>3764</v>
      </c>
      <c r="F7368" s="1" t="s">
        <v>11388</v>
      </c>
      <c r="G7368" s="1" t="s">
        <v>36</v>
      </c>
      <c r="H7368" s="1" t="s">
        <v>29</v>
      </c>
      <c r="I7368" s="1" t="str">
        <f ca="1">IFERROR(__xludf.DUMMYFUNCTION("GOOGLETRANSLATE(F7368, ""auto"", ""en"")
"),"Pros: Quite powerful. Waist-length hair, thick, thin. Dries at full power with a “warm” mode in 10 minutes. It’s comfortable to hold in the hand, not heavy. I don’t know if the ionization function really works, I always use a balm, so my hair was already "&amp;"combed well, but perhaps it really shines more :-) Cons: when using for the first time there was a slight smell of plastic, but with further use it disappeared.  Service life: 1 month. Excellent hair dryer at a great price!")</f>
        <v>Pros: Quite powerful. Waist-length hair, thick, thin. Dries at full power with a “warm” mode in 10 minutes. It’s comfortable to hold in the hand, not heavy. I don’t know if the ionization function really works, I always use a balm, so my hair was already combed well, but perhaps it really shines more :-) Cons: when using for the first time there was a slight smell of plastic, but with further use it disappeared.  Service life: 1 month. Excellent hair dryer at a great price!</v>
      </c>
    </row>
    <row r="7369" spans="1:9" x14ac:dyDescent="0.3">
      <c r="A7369" s="1" t="s">
        <v>95</v>
      </c>
      <c r="B7369" s="1" t="s">
        <v>227</v>
      </c>
      <c r="C7369" s="1" t="s">
        <v>97</v>
      </c>
      <c r="D7369" s="1" t="s">
        <v>891</v>
      </c>
      <c r="E7369" s="1" t="s">
        <v>2057</v>
      </c>
      <c r="F7369" s="1" t="s">
        <v>11389</v>
      </c>
      <c r="G7369" s="1" t="s">
        <v>28</v>
      </c>
      <c r="H7369" s="1" t="s">
        <v>29</v>
      </c>
      <c r="I7369" s="1" t="str">
        <f ca="1">IFERROR(__xludf.DUMMYFUNCTION("GOOGLETRANSLATE(F7369, ""auto"", ""en"")
"),"Why does everyone like ps3? For example, I like PSP. I have it. PSP is the same as ps3, only portable. And you can connect it to a TV. It’s only about the “exclusive” thing that everyone is obsessed with ps3. That’s why Assassin’s creed 2 was released onl"&amp;"y on ps3? But what about PSP and ps2? Thank you for releasing Little big planet and Modnation racers on PSP.")</f>
        <v>Why does everyone like ps3? For example, I like PSP. I have it. PSP is the same as ps3, only portable. And you can connect it to a TV. It’s only about the “exclusive” thing that everyone is obsessed with ps3. That’s why Assassin’s creed 2 was released only on ps3? But what about PSP and ps2? Thank you for releasing Little big planet and Modnation racers on PSP.</v>
      </c>
    </row>
    <row r="7370" spans="1:9" x14ac:dyDescent="0.3">
      <c r="A7370" s="1" t="s">
        <v>61</v>
      </c>
      <c r="B7370" s="1" t="s">
        <v>318</v>
      </c>
      <c r="C7370" s="1" t="s">
        <v>45</v>
      </c>
      <c r="D7370" s="1" t="s">
        <v>247</v>
      </c>
      <c r="E7370" s="1" t="s">
        <v>3044</v>
      </c>
      <c r="F7370" s="1" t="s">
        <v>11390</v>
      </c>
      <c r="G7370" s="1" t="s">
        <v>15</v>
      </c>
      <c r="H7370" s="1" t="s">
        <v>16</v>
      </c>
      <c r="I7370" s="1" t="str">
        <f ca="1">IFERROR(__xludf.DUMMYFUNCTION("GOOGLETRANSLATE(F7370, ""auto"", ""en"")
"),"Ours lasted almost a year, after which it still leaked in the same place. Apparently a manufacturing defect.    Plus - design. Very cute.")</f>
        <v>Ours lasted almost a year, after which it still leaked in the same place. Apparently a manufacturing defect.    Plus - design. Very cute.</v>
      </c>
    </row>
    <row r="7371" spans="1:9" x14ac:dyDescent="0.3">
      <c r="A7371" s="1" t="s">
        <v>211</v>
      </c>
      <c r="B7371" s="1" t="s">
        <v>410</v>
      </c>
      <c r="C7371" s="1" t="s">
        <v>69</v>
      </c>
      <c r="D7371" s="1" t="s">
        <v>6081</v>
      </c>
      <c r="E7371" s="1" t="s">
        <v>187</v>
      </c>
      <c r="F7371" s="1" t="s">
        <v>11391</v>
      </c>
      <c r="G7371" s="1" t="s">
        <v>36</v>
      </c>
      <c r="H7371" s="1" t="s">
        <v>29</v>
      </c>
      <c r="I7371" s="1" t="str">
        <f ca="1">IFERROR(__xludf.DUMMYFUNCTION("GOOGLETRANSLATE(F7371, ""auto"", ""en"")
"),"about three weeks ago I bought one for myself, I’ll say it’s convenient (no foam, no irritation, no steaming), the whole process takes about 2 minutes, I recommend it if you decide to keep up with technology!")</f>
        <v>about three weeks ago I bought one for myself, I’ll say it’s convenient (no foam, no irritation, no steaming), the whole process takes about 2 minutes, I recommend it if you decide to keep up with technology!</v>
      </c>
    </row>
    <row r="7372" spans="1:9" x14ac:dyDescent="0.3">
      <c r="A7372" s="1" t="s">
        <v>17</v>
      </c>
      <c r="B7372" s="1" t="s">
        <v>18</v>
      </c>
      <c r="C7372" s="1" t="s">
        <v>80</v>
      </c>
      <c r="D7372" s="1" t="s">
        <v>247</v>
      </c>
      <c r="E7372" s="1" t="s">
        <v>7367</v>
      </c>
      <c r="F7372" s="1" t="s">
        <v>11392</v>
      </c>
      <c r="G7372" s="1" t="s">
        <v>94</v>
      </c>
      <c r="H7372" s="1" t="s">
        <v>29</v>
      </c>
      <c r="I7372" s="1" t="str">
        <f ca="1">IFERROR(__xludf.DUMMYFUNCTION("GOOGLETRANSLATE(F7372, ""auto"", ""en"")
"),"Reliability. Pleasant and clear controls.")</f>
        <v>Reliability. Pleasant and clear controls.</v>
      </c>
    </row>
    <row r="7373" spans="1:9" x14ac:dyDescent="0.3">
      <c r="A7373" s="1" t="s">
        <v>149</v>
      </c>
      <c r="B7373" s="1" t="s">
        <v>155</v>
      </c>
      <c r="C7373" s="1" t="s">
        <v>1187</v>
      </c>
      <c r="D7373" s="1" t="s">
        <v>1021</v>
      </c>
      <c r="E7373" s="1" t="s">
        <v>661</v>
      </c>
      <c r="F7373" s="1" t="s">
        <v>11393</v>
      </c>
      <c r="G7373" s="1" t="s">
        <v>36</v>
      </c>
      <c r="H7373" s="1" t="s">
        <v>29</v>
      </c>
      <c r="I7373" s="1" t="str">
        <f ca="1">IFERROR(__xludf.DUMMYFUNCTION("GOOGLETRANSLATE(F7373, ""auto"", ""en"")
"),"My husband and I bought a vacuum cleaner a week ago. We chose it based on reviews on the Internet. And I really liked the design. After the first cleaning, we immediately noticed the difference between this vacuum cleaner and the previous one (HOOVER). Th"&amp;"e vacuum cleaner collected all the dust, all the hair from the carpets. I was very pleased with my vacuum cleaner! I recommend it to everyone. You won't regret it!!!")</f>
        <v>My husband and I bought a vacuum cleaner a week ago. We chose it based on reviews on the Internet. And I really liked the design. After the first cleaning, we immediately noticed the difference between this vacuum cleaner and the previous one (HOOVER). The vacuum cleaner collected all the dust, all the hair from the carpets. I was very pleased with my vacuum cleaner! I recommend it to everyone. You won't regret it!!!</v>
      </c>
    </row>
    <row r="7374" spans="1:9" x14ac:dyDescent="0.3">
      <c r="A7374" s="1" t="s">
        <v>149</v>
      </c>
      <c r="B7374" s="1" t="s">
        <v>576</v>
      </c>
      <c r="C7374" s="1" t="s">
        <v>69</v>
      </c>
      <c r="D7374" s="1" t="s">
        <v>1055</v>
      </c>
      <c r="E7374" s="1" t="s">
        <v>10302</v>
      </c>
      <c r="F7374" s="1" t="s">
        <v>11394</v>
      </c>
      <c r="G7374" s="1" t="s">
        <v>28</v>
      </c>
      <c r="H7374" s="1" t="s">
        <v>29</v>
      </c>
      <c r="I7374" s="1" t="str">
        <f ca="1">IFERROR(__xludf.DUMMYFUNCTION("GOOGLETRANSLATE(F7374, ""auto"", ""en"")
"),"I bought a vacuum cleaner the other day. Vacuum cleaner 4+ on a five-point scale. +: The vacuum cleaner is very powerful, even with excess power. Perhaps the only vacuum cleaner that really needs a power regulator. The engine runs quite quietly. My husban"&amp;"d is happy, he can watch TV while I clean. -: the noise of the intake air at maximum power is annoying. The metal telescopic rod is a bit heavy. Conclusion: a cool, powerful and quiet vacuum cleaner. The design is beyond any praise.")</f>
        <v>I bought a vacuum cleaner the other day. Vacuum cleaner 4+ on a five-point scale. +: The vacuum cleaner is very powerful, even with excess power. Perhaps the only vacuum cleaner that really needs a power regulator. The engine runs quite quietly. My husband is happy, he can watch TV while I clean. -: the noise of the intake air at maximum power is annoying. The metal telescopic rod is a bit heavy. Conclusion: a cool, powerful and quiet vacuum cleaner. The design is beyond any praise.</v>
      </c>
    </row>
    <row r="7375" spans="1:9" x14ac:dyDescent="0.3">
      <c r="A7375" s="1" t="s">
        <v>89</v>
      </c>
      <c r="B7375" s="1" t="s">
        <v>231</v>
      </c>
      <c r="C7375" s="1" t="s">
        <v>185</v>
      </c>
      <c r="D7375" s="1" t="s">
        <v>295</v>
      </c>
      <c r="E7375" s="1" t="s">
        <v>7624</v>
      </c>
      <c r="F7375" s="1" t="s">
        <v>11395</v>
      </c>
      <c r="G7375" s="1" t="s">
        <v>1580</v>
      </c>
      <c r="H7375" s="1" t="s">
        <v>29</v>
      </c>
      <c r="I7375" s="1" t="str">
        <f ca="1">IFERROR(__xludf.DUMMYFUNCTION("GOOGLETRANSLATE(F7375, ""auto"", ""en"")
"),"Delicious coffee, the machine makes coffee quickly, there is a cappuccino maker, you can turn on the economy mode and at the same time consume little water and electricity, the machine is easy to use.")</f>
        <v>Delicious coffee, the machine makes coffee quickly, there is a cappuccino maker, you can turn on the economy mode and at the same time consume little water and electricity, the machine is easy to use.</v>
      </c>
    </row>
    <row r="7376" spans="1:9" x14ac:dyDescent="0.3">
      <c r="A7376" s="1" t="s">
        <v>61</v>
      </c>
      <c r="B7376" s="1" t="s">
        <v>73</v>
      </c>
      <c r="C7376" s="1" t="s">
        <v>146</v>
      </c>
      <c r="D7376" s="1" t="s">
        <v>545</v>
      </c>
      <c r="E7376" s="1" t="s">
        <v>5456</v>
      </c>
      <c r="F7376" s="1" t="s">
        <v>11396</v>
      </c>
      <c r="G7376" s="1" t="s">
        <v>49</v>
      </c>
      <c r="H7376" s="1" t="s">
        <v>16</v>
      </c>
      <c r="I7376" s="1" t="str">
        <f ca="1">IFERROR(__xludf.DUMMYFUNCTION("GOOGLETRANSLATE(F7376, ""auto"", ""en"")
"),"I bought this meat grinder in September. I shredded the markings on it a couple of times, and when it came to the meat, it stopped turning. I took it to repair, they replaced the gear and the master said that the gears were constantly flying into them. Ap"&amp;"parently something was not finalized during the production of this model. Don't buy this model, it's not worth the money.")</f>
        <v>I bought this meat grinder in September. I shredded the markings on it a couple of times, and when it came to the meat, it stopped turning. I took it to repair, they replaced the gear and the master said that the gears were constantly flying into them. Apparently something was not finalized during the production of this model. Don't buy this model, it's not worth the money.</v>
      </c>
    </row>
    <row r="7377" spans="1:9" x14ac:dyDescent="0.3">
      <c r="A7377" s="1" t="s">
        <v>111</v>
      </c>
      <c r="B7377" s="1" t="s">
        <v>636</v>
      </c>
      <c r="C7377" s="1" t="s">
        <v>637</v>
      </c>
      <c r="D7377" s="1" t="s">
        <v>305</v>
      </c>
      <c r="E7377" s="1" t="s">
        <v>4366</v>
      </c>
      <c r="F7377" s="1" t="s">
        <v>11397</v>
      </c>
      <c r="G7377" s="1" t="s">
        <v>28</v>
      </c>
      <c r="H7377" s="1" t="s">
        <v>29</v>
      </c>
      <c r="I7377" s="1" t="str">
        <f ca="1">IFERROR(__xludf.DUMMYFUNCTION("GOOGLETRANSLATE(F7377, ""auto"", ""en"")
"),"I purchased this particular model only because of the projection. The impressions are positive. The picture is good, focusing works. Unfortunately, there is no possibility to change the direction of the beam. The controls take a little getting used to, bu"&amp;"t without a bunch of buttons on the panel. The external sensor works great, the batteries lasted the whole winter without problems, even -34 C.")</f>
        <v>I purchased this particular model only because of the projection. The impressions are positive. The picture is good, focusing works. Unfortunately, there is no possibility to change the direction of the beam. The controls take a little getting used to, but without a bunch of buttons on the panel. The external sensor works great, the batteries lasted the whole winter without problems, even -34 C.</v>
      </c>
    </row>
    <row r="7378" spans="1:9" x14ac:dyDescent="0.3">
      <c r="A7378" s="1" t="s">
        <v>111</v>
      </c>
      <c r="B7378" s="1" t="s">
        <v>112</v>
      </c>
      <c r="C7378" s="1" t="s">
        <v>113</v>
      </c>
      <c r="D7378" s="1" t="s">
        <v>152</v>
      </c>
      <c r="E7378" s="1" t="s">
        <v>3621</v>
      </c>
      <c r="F7378" s="1" t="s">
        <v>11398</v>
      </c>
      <c r="G7378" s="1" t="s">
        <v>49</v>
      </c>
      <c r="H7378" s="1" t="s">
        <v>16</v>
      </c>
      <c r="I7378" s="1" t="str">
        <f ca="1">IFERROR(__xludf.DUMMYFUNCTION("GOOGLETRANSLATE(F7378, ""auto"", ""en"")
"),"High-quality external performance ")</f>
        <v xml:space="preserve">High-quality external performance </v>
      </c>
    </row>
    <row r="7379" spans="1:9" x14ac:dyDescent="0.3">
      <c r="A7379" s="1" t="s">
        <v>206</v>
      </c>
      <c r="B7379" s="1" t="s">
        <v>1253</v>
      </c>
      <c r="C7379" s="1" t="s">
        <v>1254</v>
      </c>
      <c r="D7379" s="1" t="s">
        <v>232</v>
      </c>
      <c r="E7379" s="1" t="s">
        <v>11399</v>
      </c>
      <c r="F7379" s="1" t="s">
        <v>11400</v>
      </c>
      <c r="G7379" s="1" t="s">
        <v>36</v>
      </c>
      <c r="H7379" s="1" t="s">
        <v>29</v>
      </c>
      <c r="I7379" s="1" t="str">
        <f ca="1">IFERROR(__xludf.DUMMYFUNCTION("GOOGLETRANSLATE(F7379, ""auto"", ""en"")
"),"I worked as a surveyor, we bought 8 of these about 3 years ago. The radio is simply super, in open areas it takes approximately 8 km, we went on a commando to Agansk (North), the dense forest height is up to 20 meters Coniferous + swamp at 5.5 km we check"&amp;"ed the beret! I’m very pleased with the walkie-talkie, I didn’t work in the city, I won’t lie, maybe, as they say, after 2 houses it won’t shoot through. Functions (VOX) - voice recognition generally helps out, snow, rain, walkie-talkie in your pocket, ea"&amp;"rphone in your ear and pedal to work! The only downside to this is that you sneeze, cough, and not only that... everyone can hear it on the radio!)")</f>
        <v>I worked as a surveyor, we bought 8 of these about 3 years ago. The radio is simply super, in open areas it takes approximately 8 km, we went on a commando to Agansk (North), the dense forest height is up to 20 meters Coniferous + swamp at 5.5 km we checked the beret! I’m very pleased with the walkie-talkie, I didn’t work in the city, I won’t lie, maybe, as they say, after 2 houses it won’t shoot through. Functions (VOX) - voice recognition generally helps out, snow, rain, walkie-talkie in your pocket, earphone in your ear and pedal to work! The only downside to this is that you sneeze, cough, and not only that... everyone can hear it on the radio!)</v>
      </c>
    </row>
    <row r="7380" spans="1:9" x14ac:dyDescent="0.3">
      <c r="A7380" s="1" t="s">
        <v>37</v>
      </c>
      <c r="B7380" s="1" t="s">
        <v>38</v>
      </c>
      <c r="C7380" s="1" t="s">
        <v>163</v>
      </c>
      <c r="D7380" s="1" t="s">
        <v>114</v>
      </c>
      <c r="E7380" s="1" t="s">
        <v>41</v>
      </c>
      <c r="F7380" s="1" t="s">
        <v>11401</v>
      </c>
      <c r="G7380" s="1" t="s">
        <v>36</v>
      </c>
      <c r="H7380" s="1" t="s">
        <v>29</v>
      </c>
      <c r="I7380" s="1" t="str">
        <f ca="1">IFERROR(__xludf.DUMMYFUNCTION("GOOGLETRANSLATE(F7380, ""auto"", ""en"")
"),"A great phone, I got one in August, I’m still happy!!!)) the sound quality is very good, and the 3.5 connector is the most convenient, like at a rehearsal, when I didn’t have a laptop at hand, they hooked my phone up to a speaker and everything was great!"&amp;"! One problem: one earphone died (as I understand it was due to the cold, or maybe not), but nevertheless these are “trial” ears, now I bought myself cooler ones...")</f>
        <v>A great phone, I got one in August, I’m still happy!!!)) the sound quality is very good, and the 3.5 connector is the most convenient, like at a rehearsal, when I didn’t have a laptop at hand, they hooked my phone up to a speaker and everything was great!! One problem: one earphone died (as I understand it was due to the cold, or maybe not), but nevertheless these are “trial” ears, now I bought myself cooler ones...</v>
      </c>
    </row>
    <row r="7381" spans="1:9" x14ac:dyDescent="0.3">
      <c r="A7381" s="1" t="s">
        <v>43</v>
      </c>
      <c r="B7381" s="1" t="s">
        <v>303</v>
      </c>
      <c r="C7381" s="1" t="s">
        <v>665</v>
      </c>
      <c r="D7381" s="1" t="s">
        <v>39</v>
      </c>
      <c r="E7381" s="1" t="s">
        <v>8624</v>
      </c>
      <c r="F7381" s="1" t="s">
        <v>11402</v>
      </c>
      <c r="G7381" s="1" t="s">
        <v>36</v>
      </c>
      <c r="H7381" s="1" t="s">
        <v>29</v>
      </c>
      <c r="I7381" s="1" t="str">
        <f ca="1">IFERROR(__xludf.DUMMYFUNCTION("GOOGLETRANSLATE(F7381, ""auto"", ""en"")
"),"I bought it and connected it. I turned it on, set the regulator to about half the temperature, heated it up, the water was hot, I decided to use it at a quarter temperature, I still need to dilute it with cold water. I bought it for the dacha so as not to"&amp;" bother with dilution, apparently I will have to dilute it. Silent, even the relay is almost inaudible (in an electric heating boiler, the magnetic relay knocks throughout the house). I was especially pleased with the quality of the insulation of the tank"&amp;" itself, the water is hot - the outside of the body is absolutely cold and the water in the tank maintained its temperature for more than an hour without turning on for heating, which saves electricity. Maybe it will keep the temperature longer, I was jus"&amp;"t tired of waiting and went to wash. At a pressure of 2.5 atmospheres, nothing comes out of the valve, and I don’t see the point of keeping a higher pressure at the dacha, and I’ve already lowered it to 2.3 and will probably lower it to 2. So far I’m happ"&amp;"y with the price and quality, let’s see how long it will last in my country and field conditions. I can’t advise anything, because I don’t know how long it will work, but so far I like everything. The installation, by the way, is simple, but the wall moun"&amp;"t seemed a little weak to me, and maybe this is prejudice, but I screwed two additional corners under it and now I sleep peacefully/p&gt;")</f>
        <v>I bought it and connected it. I turned it on, set the regulator to about half the temperature, heated it up, the water was hot, I decided to use it at a quarter temperature, I still need to dilute it with cold water. I bought it for the dacha so as not to bother with dilution, apparently I will have to dilute it. Silent, even the relay is almost inaudible (in an electric heating boiler, the magnetic relay knocks throughout the house). I was especially pleased with the quality of the insulation of the tank itself, the water is hot - the outside of the body is absolutely cold and the water in the tank maintained its temperature for more than an hour without turning on for heating, which saves electricity. Maybe it will keep the temperature longer, I was just tired of waiting and went to wash. At a pressure of 2.5 atmospheres, nothing comes out of the valve, and I don’t see the point of keeping a higher pressure at the dacha, and I’ve already lowered it to 2.3 and will probably lower it to 2. So far I’m happy with the price and quality, let’s see how long it will last in my country and field conditions. I can’t advise anything, because I don’t know how long it will work, but so far I like everything. The installation, by the way, is simple, but the wall mount seemed a little weak to me, and maybe this is prejudice, but I screwed two additional corners under it and now I sleep peacefully/p&gt;</v>
      </c>
    </row>
    <row r="7382" spans="1:9" x14ac:dyDescent="0.3">
      <c r="A7382" s="1" t="s">
        <v>149</v>
      </c>
      <c r="B7382" s="1" t="s">
        <v>155</v>
      </c>
      <c r="C7382" s="1" t="s">
        <v>159</v>
      </c>
      <c r="D7382" s="1" t="s">
        <v>280</v>
      </c>
      <c r="E7382" s="1" t="s">
        <v>1931</v>
      </c>
      <c r="F7382" s="1" t="s">
        <v>11403</v>
      </c>
      <c r="G7382" s="1" t="s">
        <v>36</v>
      </c>
      <c r="H7382" s="1" t="s">
        <v>29</v>
      </c>
      <c r="I7382" s="1" t="str">
        <f ca="1">IFERROR(__xludf.DUMMYFUNCTION("GOOGLETRANSLATE(F7382, ""auto"", ""en"")
"),"Powerful, easy to wash and clean, beautiful in appearance.")</f>
        <v>Powerful, easy to wash and clean, beautiful in appearance.</v>
      </c>
    </row>
    <row r="7383" spans="1:9" x14ac:dyDescent="0.3">
      <c r="A7383" s="1" t="s">
        <v>95</v>
      </c>
      <c r="B7383" s="1" t="s">
        <v>227</v>
      </c>
      <c r="C7383" s="1" t="s">
        <v>97</v>
      </c>
      <c r="D7383" s="1" t="s">
        <v>442</v>
      </c>
      <c r="E7383" s="1" t="s">
        <v>5456</v>
      </c>
      <c r="F7383" s="1" t="s">
        <v>11404</v>
      </c>
      <c r="G7383" s="1" t="s">
        <v>36</v>
      </c>
      <c r="H7383" s="1" t="s">
        <v>29</v>
      </c>
      <c r="I7383" s="1" t="str">
        <f ca="1">IFERROR(__xludf.DUMMYFUNCTION("GOOGLETRANSLATE(F7383, ""auto"", ""en"")
"),"I bought it and am working. Excellent thing, the movie is a separate topic altogether, connected + acc &amp;nbsp;Downloading the game for free on the 3rd day =D . And unlike boxing, it almost doesn’t heat up, although, as I already said, I haven’t turned it o"&amp;"ff for 3 days. I play and download games.")</f>
        <v>I bought it and am working. Excellent thing, the movie is a separate topic altogether, connected + acc &amp;nbsp;Downloading the game for free on the 3rd day =D . And unlike boxing, it almost doesn’t heat up, although, as I already said, I haven’t turned it off for 3 days. I play and download games.</v>
      </c>
    </row>
    <row r="7384" spans="1:9" x14ac:dyDescent="0.3">
      <c r="A7384" s="1" t="s">
        <v>61</v>
      </c>
      <c r="B7384" s="1" t="s">
        <v>62</v>
      </c>
      <c r="C7384" s="1" t="s">
        <v>146</v>
      </c>
      <c r="D7384" s="1" t="s">
        <v>2233</v>
      </c>
      <c r="E7384" s="1" t="s">
        <v>4437</v>
      </c>
      <c r="F7384" s="1" t="s">
        <v>11405</v>
      </c>
      <c r="G7384" s="1" t="s">
        <v>36</v>
      </c>
      <c r="H7384" s="1" t="s">
        <v>29</v>
      </c>
      <c r="I7384" s="1" t="str">
        <f ca="1">IFERROR(__xludf.DUMMYFUNCTION("GOOGLETRANSLATE(F7384, ""auto"", ""en"")
"),"I have been using almost all functions for 3 years. No complaints. An excellent assistant in kitchen matters) The price-quality ratio is obvious. I recommend it.")</f>
        <v>I have been using almost all functions for 3 years. No complaints. An excellent assistant in kitchen matters) The price-quality ratio is obvious. I recommend it.</v>
      </c>
    </row>
    <row r="7385" spans="1:9" x14ac:dyDescent="0.3">
      <c r="A7385" s="1" t="s">
        <v>238</v>
      </c>
      <c r="B7385" s="1" t="s">
        <v>276</v>
      </c>
      <c r="C7385" s="1" t="s">
        <v>277</v>
      </c>
      <c r="D7385" s="1" t="s">
        <v>247</v>
      </c>
      <c r="E7385" s="1" t="s">
        <v>6038</v>
      </c>
      <c r="F7385" s="1" t="s">
        <v>11406</v>
      </c>
      <c r="G7385" s="1" t="s">
        <v>28</v>
      </c>
      <c r="H7385" s="1" t="s">
        <v>29</v>
      </c>
      <c r="I7385" s="1" t="str">
        <f ca="1">IFERROR(__xludf.DUMMYFUNCTION("GOOGLETRANSLATE(F7385, ""auto"", ""en"")
"),"A simple and unpretentious thing without unnecessary functions. Anyone who adheres to this principle, buy it. But this refrigerator is for a maximum family of 2 people. The chamber is separate, it freezes perfectly on average -14C. I've been using it for "&amp;"2 weeks.")</f>
        <v>A simple and unpretentious thing without unnecessary functions. Anyone who adheres to this principle, buy it. But this refrigerator is for a maximum family of 2 people. The chamber is separate, it freezes perfectly on average -14C. I've been using it for 2 weeks.</v>
      </c>
    </row>
    <row r="7386" spans="1:9" x14ac:dyDescent="0.3">
      <c r="A7386" s="1" t="s">
        <v>211</v>
      </c>
      <c r="B7386" s="1" t="s">
        <v>410</v>
      </c>
      <c r="C7386" s="1" t="s">
        <v>213</v>
      </c>
      <c r="D7386" s="1" t="s">
        <v>968</v>
      </c>
      <c r="E7386" s="1" t="s">
        <v>2251</v>
      </c>
      <c r="F7386" s="1" t="s">
        <v>11407</v>
      </c>
      <c r="G7386" s="1" t="s">
        <v>36</v>
      </c>
      <c r="H7386" s="1" t="s">
        <v>29</v>
      </c>
      <c r="I7386" s="1" t="str">
        <f ca="1">IFERROR(__xludf.DUMMYFUNCTION("GOOGLETRANSLATE(F7386, ""auto"", ""en"")
"),"I bought it yesterday as part of the ""Exchange old for new"" promotion. I brought a kettle and received a 500 ruble discount.  Before this I always used the machine - I got tired of it.  I have shaved with brown twice so far. I really liked the shaving p"&amp;"rocess, it glides well on the skin and shave almost immediately, depending on how you do it.  I recommend it to anyone interested!")</f>
        <v>I bought it yesterday as part of the "Exchange old for new" promotion. I brought a kettle and received a 500 ruble discount.  Before this I always used the machine - I got tired of it.  I have shaved with brown twice so far. I really liked the shaving process, it glides well on the skin and shave almost immediately, depending on how you do it.  I recommend it to anyone interested!</v>
      </c>
    </row>
    <row r="7387" spans="1:9" x14ac:dyDescent="0.3">
      <c r="A7387" s="1" t="s">
        <v>105</v>
      </c>
      <c r="B7387" s="1" t="s">
        <v>106</v>
      </c>
      <c r="C7387" s="1" t="s">
        <v>107</v>
      </c>
      <c r="D7387" s="1" t="s">
        <v>11408</v>
      </c>
      <c r="E7387" s="1" t="s">
        <v>3454</v>
      </c>
      <c r="F7387" s="1" t="s">
        <v>11409</v>
      </c>
      <c r="G7387" s="1" t="s">
        <v>36</v>
      </c>
      <c r="H7387" s="1" t="s">
        <v>29</v>
      </c>
      <c r="I7387" s="1" t="str">
        <f ca="1">IFERROR(__xludf.DUMMYFUNCTION("GOOGLETRANSLATE(F7387, ""auto"", ""en"")
"),"A normal player, if you develop a joystick, you won’t have to poke it 200 times to switch the song. The sound is excellent, the only thing is that the converter is crap, there are constant discrepancies between the picture and the chatter. Convenient menu"&amp;" and enough memory to download your favorite songs. I don't know about others, but I like it.")</f>
        <v>A normal player, if you develop a joystick, you won’t have to poke it 200 times to switch the song. The sound is excellent, the only thing is that the converter is crap, there are constant discrepancies between the picture and the chatter. Convenient menu and enough memory to download your favorite songs. I don't know about others, but I like it.</v>
      </c>
    </row>
    <row r="7388" spans="1:9" x14ac:dyDescent="0.3">
      <c r="A7388" s="1" t="s">
        <v>211</v>
      </c>
      <c r="B7388" s="1" t="s">
        <v>410</v>
      </c>
      <c r="C7388" s="1" t="s">
        <v>213</v>
      </c>
      <c r="D7388" s="1" t="s">
        <v>11410</v>
      </c>
      <c r="E7388" s="1" t="s">
        <v>2739</v>
      </c>
      <c r="F7388" s="1" t="s">
        <v>11411</v>
      </c>
      <c r="G7388" s="1" t="s">
        <v>49</v>
      </c>
      <c r="H7388" s="1" t="s">
        <v>16</v>
      </c>
      <c r="I7388" s="1" t="str">
        <f ca="1">IFERROR(__xludf.DUMMYFUNCTION("GOOGLETRANSLATE(F7388, ""auto"", ""en"")
"),"I bought a razor with a foil - they said it was better than rotary ones. I shaved once and was very unhappy with the quality of the shave. You have to shave several times over one area; it doesn’t cut all the hairs at once, which irritates the skin of the"&amp;" face. As a result, I had to finish it with a machine. I didn't expect such a quality shave.")</f>
        <v>I bought a razor with a foil - they said it was better than rotary ones. I shaved once and was very unhappy with the quality of the shave. You have to shave several times over one area; it doesn’t cut all the hairs at once, which irritates the skin of the face. As a result, I had to finish it with a machine. I didn't expect such a quality shave.</v>
      </c>
    </row>
    <row r="7389" spans="1:9" x14ac:dyDescent="0.3">
      <c r="A7389" s="1" t="s">
        <v>169</v>
      </c>
      <c r="B7389" s="1" t="s">
        <v>170</v>
      </c>
      <c r="C7389" s="1" t="s">
        <v>193</v>
      </c>
      <c r="D7389" s="1" t="s">
        <v>2809</v>
      </c>
      <c r="E7389" s="1" t="s">
        <v>11412</v>
      </c>
      <c r="F7389" s="1" t="s">
        <v>11413</v>
      </c>
      <c r="G7389" s="1" t="s">
        <v>94</v>
      </c>
      <c r="H7389" s="1" t="s">
        <v>29</v>
      </c>
      <c r="I7389" s="1" t="str">
        <f ca="1">IFERROR(__xludf.DUMMYFUNCTION("GOOGLETRANSLATE(F7389, ""auto"", ""en"")
"),"Pleasant sound, price-quality ratio was a pleasant surprise.")</f>
        <v>Pleasant sound, price-quality ratio was a pleasant surprise.</v>
      </c>
    </row>
    <row r="7390" spans="1:9" x14ac:dyDescent="0.3">
      <c r="A7390" s="1" t="s">
        <v>369</v>
      </c>
      <c r="B7390" s="1" t="s">
        <v>587</v>
      </c>
      <c r="C7390" s="1" t="s">
        <v>138</v>
      </c>
      <c r="D7390" s="1" t="s">
        <v>896</v>
      </c>
      <c r="E7390" s="1" t="s">
        <v>897</v>
      </c>
      <c r="F7390" s="1" t="s">
        <v>11414</v>
      </c>
      <c r="G7390" s="1" t="s">
        <v>36</v>
      </c>
      <c r="H7390" s="1" t="s">
        <v>29</v>
      </c>
      <c r="I7390" s="1" t="str">
        <f ca="1">IFERROR(__xludf.DUMMYFUNCTION("GOOGLETRANSLATE(F7390, ""auto"", ""en"")
"),"The stove is just super, especially when it comes to the oven! The baking is excellent, convection is the most necessary function for a good housewife! The only small negative is the width of the stove is 50 cm, which is still not enough, especially when "&amp;"you place large pots, you are constantly afraid that the pots will all fly, and because of this, fat is splashed onto the kitchen set. True, its advantages outweigh this small drawback!")</f>
        <v>The stove is just super, especially when it comes to the oven! The baking is excellent, convection is the most necessary function for a good housewife! The only small negative is the width of the stove is 50 cm, which is still not enough, especially when you place large pots, you are constantly afraid that the pots will all fly, and because of this, fat is splashed onto the kitchen set. True, its advantages outweigh this small drawback!</v>
      </c>
    </row>
    <row r="7391" spans="1:9" x14ac:dyDescent="0.3">
      <c r="A7391" s="1" t="s">
        <v>30</v>
      </c>
      <c r="B7391" s="1" t="s">
        <v>50</v>
      </c>
      <c r="C7391" s="1" t="s">
        <v>32</v>
      </c>
      <c r="D7391" s="1" t="s">
        <v>8712</v>
      </c>
      <c r="E7391" s="1" t="s">
        <v>820</v>
      </c>
      <c r="F7391" s="1" t="s">
        <v>11415</v>
      </c>
      <c r="G7391" s="1" t="s">
        <v>15</v>
      </c>
      <c r="H7391" s="1" t="s">
        <v>16</v>
      </c>
      <c r="I7391" s="1" t="str">
        <f ca="1">IFERROR(__xludf.DUMMYFUNCTION("GOOGLETRANSLATE(F7391, ""auto"", ""en"")
"),"I've been using it for a year, now a fully charged battery lasts for 10 minutes!")</f>
        <v>I've been using it for a year, now a fully charged battery lasts for 10 minutes!</v>
      </c>
    </row>
    <row r="7392" spans="1:9" x14ac:dyDescent="0.3">
      <c r="A7392" s="1" t="s">
        <v>211</v>
      </c>
      <c r="B7392" s="1" t="s">
        <v>856</v>
      </c>
      <c r="C7392" s="1" t="s">
        <v>57</v>
      </c>
      <c r="D7392" s="1" t="s">
        <v>378</v>
      </c>
      <c r="E7392" s="1" t="s">
        <v>11416</v>
      </c>
      <c r="F7392" s="1" t="s">
        <v>11417</v>
      </c>
      <c r="G7392" s="1" t="s">
        <v>36</v>
      </c>
      <c r="H7392" s="1" t="s">
        <v>29</v>
      </c>
      <c r="I7392" s="1" t="str">
        <f ca="1">IFERROR(__xludf.DUMMYFUNCTION("GOOGLETRANSLATE(F7392, ""auto"", ""en"")
"),"The set is very cool, the battery lasts a long time, the attachments polish perfectly, I recommend it to everyone)")</f>
        <v>The set is very cool, the battery lasts a long time, the attachments polish perfectly, I recommend it to everyone)</v>
      </c>
    </row>
    <row r="7393" spans="1:9" x14ac:dyDescent="0.3">
      <c r="A7393" s="1" t="s">
        <v>30</v>
      </c>
      <c r="B7393" s="1" t="s">
        <v>31</v>
      </c>
      <c r="C7393" s="1" t="s">
        <v>32</v>
      </c>
      <c r="D7393" s="1" t="s">
        <v>152</v>
      </c>
      <c r="E7393" s="1" t="s">
        <v>717</v>
      </c>
      <c r="F7393" s="1" t="s">
        <v>11418</v>
      </c>
      <c r="G7393" s="1" t="s">
        <v>36</v>
      </c>
      <c r="H7393" s="1" t="s">
        <v>29</v>
      </c>
      <c r="I7393" s="1" t="str">
        <f ca="1">IFERROR(__xludf.DUMMYFUNCTION("GOOGLETRANSLATE(F7393, ""auto"", ""en"")
"),"Great option for home use! You can’t hear how it works at all, it’s quite productive for its size and filling! And Windows 7 works great compared to the previous version. The only thing is that when working with Wi-Fi, there is a very strange crackling an"&amp;"d clicking sound in this tiny system unit. It seems that Wi-Fi works on some kind of relay. This turned out to be a strange circumstance for me. Considering that I constantly use Wi-Fi, it starts to get annoying. But in general, an excellent device for wo"&amp;"rking with the Internet, office, Corel, and you can even play with toys)")</f>
        <v>Great option for home use! You can’t hear how it works at all, it’s quite productive for its size and filling! And Windows 7 works great compared to the previous version. The only thing is that when working with Wi-Fi, there is a very strange crackling and clicking sound in this tiny system unit. It seems that Wi-Fi works on some kind of relay. This turned out to be a strange circumstance for me. Considering that I constantly use Wi-Fi, it starts to get annoying. But in general, an excellent device for working with the Internet, office, Corel, and you can even play with toys)</v>
      </c>
    </row>
    <row r="7394" spans="1:9" x14ac:dyDescent="0.3">
      <c r="A7394" s="1" t="s">
        <v>211</v>
      </c>
      <c r="B7394" s="1" t="s">
        <v>515</v>
      </c>
      <c r="C7394" s="1" t="s">
        <v>69</v>
      </c>
      <c r="D7394" s="1" t="s">
        <v>565</v>
      </c>
      <c r="E7394" s="1" t="s">
        <v>3775</v>
      </c>
      <c r="F7394" s="1" t="s">
        <v>11419</v>
      </c>
      <c r="G7394" s="1" t="s">
        <v>36</v>
      </c>
      <c r="H7394" s="1" t="s">
        <v>29</v>
      </c>
      <c r="I7394" s="1" t="str">
        <f ca="1">IFERROR(__xludf.DUMMYFUNCTION("GOOGLETRANSLATE(F7394, ""auto"", ""en"")
"),"I liked it very much, the pain is tolerable.")</f>
        <v>I liked it very much, the pain is tolerable.</v>
      </c>
    </row>
    <row r="7395" spans="1:9" x14ac:dyDescent="0.3">
      <c r="A7395" s="1" t="s">
        <v>61</v>
      </c>
      <c r="B7395" s="1" t="s">
        <v>977</v>
      </c>
      <c r="C7395" s="1" t="s">
        <v>101</v>
      </c>
      <c r="D7395" s="1" t="s">
        <v>11420</v>
      </c>
      <c r="E7395" s="1" t="s">
        <v>4881</v>
      </c>
      <c r="F7395" s="1" t="s">
        <v>11421</v>
      </c>
      <c r="G7395" s="1" t="s">
        <v>15</v>
      </c>
      <c r="H7395" s="1" t="s">
        <v>16</v>
      </c>
      <c r="I7395" s="1" t="str">
        <f ca="1">IFERROR(__xludf.DUMMYFUNCTION("GOOGLETRANSLATE(F7395, ""auto"", ""en"")
"),"I purchased this blender for myself, but was disappointed! It worked for a month and the motor burned out.")</f>
        <v>I purchased this blender for myself, but was disappointed! It worked for a month and the motor burned out.</v>
      </c>
    </row>
    <row r="7396" spans="1:9" x14ac:dyDescent="0.3">
      <c r="A7396" s="1" t="s">
        <v>61</v>
      </c>
      <c r="B7396" s="1" t="s">
        <v>180</v>
      </c>
      <c r="C7396" s="1" t="s">
        <v>85</v>
      </c>
      <c r="D7396" s="1" t="s">
        <v>280</v>
      </c>
      <c r="E7396" s="1" t="s">
        <v>1784</v>
      </c>
      <c r="F7396" s="1" t="s">
        <v>11422</v>
      </c>
      <c r="G7396" s="1" t="s">
        <v>36</v>
      </c>
      <c r="H7396" s="1" t="s">
        <v>29</v>
      </c>
      <c r="I7396" s="1" t="str">
        <f ca="1">IFERROR(__xludf.DUMMYFUNCTION("GOOGLETRANSLATE(F7396, ""auto"", ""en"")
"),"My wife and I bought this toaster before the New Year. What can we say - a modern device both externally and internally. There are no levers, none like the old ones had. The controls are very easy, all you have to do is press the buttons. I made a sound, "&amp;"the toast came out, you know when it was ready. I also own a kettle from this company; even their buttons light up the same way. I'm glad that there is a unified style of devices.")</f>
        <v>My wife and I bought this toaster before the New Year. What can we say - a modern device both externally and internally. There are no levers, none like the old ones had. The controls are very easy, all you have to do is press the buttons. I made a sound, the toast came out, you know when it was ready. I also own a kettle from this company; even their buttons light up the same way. I'm glad that there is a unified style of devices.</v>
      </c>
    </row>
    <row r="7397" spans="1:9" x14ac:dyDescent="0.3">
      <c r="A7397" s="1" t="s">
        <v>67</v>
      </c>
      <c r="B7397" s="1" t="s">
        <v>68</v>
      </c>
      <c r="C7397" s="1" t="s">
        <v>69</v>
      </c>
      <c r="D7397" s="1" t="s">
        <v>463</v>
      </c>
      <c r="E7397" s="1" t="s">
        <v>820</v>
      </c>
      <c r="F7397" s="1" t="s">
        <v>11423</v>
      </c>
      <c r="G7397" s="1" t="s">
        <v>28</v>
      </c>
      <c r="H7397" s="1" t="s">
        <v>29</v>
      </c>
      <c r="I7397" s="1" t="str">
        <f ca="1">IFERROR(__xludf.DUMMYFUNCTION("GOOGLETRANSLATE(F7397, ""auto"", ""en"")
"),"The iron is good, irons quickly due to its high power. The wire is long and bends in all directions, which is also convenient (no extension cord needed). Everything is fine, it just hisses a lot, but this is apparently due to the fact that he is trying ve"&amp;"ry hard :) Take it, you won’t regret it!")</f>
        <v>The iron is good, irons quickly due to its high power. The wire is long and bends in all directions, which is also convenient (no extension cord needed). Everything is fine, it just hisses a lot, but this is apparently due to the fact that he is trying very hard :) Take it, you won’t regret it!</v>
      </c>
    </row>
    <row r="7398" spans="1:9" x14ac:dyDescent="0.3">
      <c r="A7398" s="1" t="s">
        <v>30</v>
      </c>
      <c r="B7398" s="1" t="s">
        <v>31</v>
      </c>
      <c r="C7398" s="1" t="s">
        <v>32</v>
      </c>
      <c r="D7398" s="1" t="s">
        <v>4415</v>
      </c>
      <c r="E7398" s="1" t="s">
        <v>4860</v>
      </c>
      <c r="F7398" s="1" t="s">
        <v>11424</v>
      </c>
      <c r="G7398" s="1" t="s">
        <v>36</v>
      </c>
      <c r="H7398" s="1" t="s">
        <v>29</v>
      </c>
      <c r="I7398" s="1" t="str">
        <f ca="1">IFERROR(__xludf.DUMMYFUNCTION("GOOGLETRANSLATE(F7398, ""auto"", ""en"")
"),"I want this very much!")</f>
        <v>I want this very much!</v>
      </c>
    </row>
    <row r="7399" spans="1:9" x14ac:dyDescent="0.3">
      <c r="A7399" s="1" t="s">
        <v>211</v>
      </c>
      <c r="B7399" s="1" t="s">
        <v>856</v>
      </c>
      <c r="C7399" s="1" t="s">
        <v>57</v>
      </c>
      <c r="D7399" s="1" t="s">
        <v>232</v>
      </c>
      <c r="E7399" s="1" t="s">
        <v>7855</v>
      </c>
      <c r="F7399" s="1" t="s">
        <v>11425</v>
      </c>
      <c r="G7399" s="1" t="s">
        <v>28</v>
      </c>
      <c r="H7399" s="1" t="s">
        <v>29</v>
      </c>
      <c r="I7399" s="1" t="str">
        <f ca="1">IFERROR(__xludf.DUMMYFUNCTION("GOOGLETRANSLATE(F7399, ""auto"", ""en"")
"),"I bought it as a gift for my wife, I looked at the reviews before, I think I liked it, my wife tried it, but she didn’t really understand it yet!  I liked the pearl bath in the sanatorium, she did too, but this mini jacuzzi bathtub, pearl foot bath for th"&amp;"at price is normal, it’s probably not worth buying more expensive")</f>
        <v>I bought it as a gift for my wife, I looked at the reviews before, I think I liked it, my wife tried it, but she didn’t really understand it yet!  I liked the pearl bath in the sanatorium, she did too, but this mini jacuzzi bathtub, pearl foot bath for that price is normal, it’s probably not worth buying more expensive</v>
      </c>
    </row>
    <row r="7400" spans="1:9" x14ac:dyDescent="0.3">
      <c r="A7400" s="1" t="s">
        <v>111</v>
      </c>
      <c r="B7400" s="1" t="s">
        <v>112</v>
      </c>
      <c r="C7400" s="1" t="s">
        <v>967</v>
      </c>
      <c r="D7400" s="1" t="s">
        <v>742</v>
      </c>
      <c r="E7400" s="1" t="s">
        <v>4152</v>
      </c>
      <c r="F7400" s="1" t="s">
        <v>11426</v>
      </c>
      <c r="G7400" s="1" t="s">
        <v>49</v>
      </c>
      <c r="H7400" s="1" t="s">
        <v>16</v>
      </c>
      <c r="I7400" s="1" t="str">
        <f ca="1">IFERROR(__xludf.DUMMYFUNCTION("GOOGLETRANSLATE(F7400, ""auto"", ""en"")
"),"I bought NEO R1000 a week ago, connected it at home, did not exceed the load, checked everything. Burnt out after 10 minutes. I don't recommend it. Disgusting quality.")</f>
        <v>I bought NEO R1000 a week ago, connected it at home, did not exceed the load, checked everything. Burnt out after 10 minutes. I don't recommend it. Disgusting quality.</v>
      </c>
    </row>
    <row r="7401" spans="1:9" x14ac:dyDescent="0.3">
      <c r="A7401" s="1" t="s">
        <v>169</v>
      </c>
      <c r="B7401" s="1" t="s">
        <v>170</v>
      </c>
      <c r="C7401" s="1" t="s">
        <v>171</v>
      </c>
      <c r="D7401" s="1" t="s">
        <v>420</v>
      </c>
      <c r="E7401" s="1" t="s">
        <v>3494</v>
      </c>
      <c r="F7401" s="1" t="s">
        <v>11427</v>
      </c>
      <c r="G7401" s="1" t="s">
        <v>36</v>
      </c>
      <c r="H7401" s="1" t="s">
        <v>29</v>
      </c>
      <c r="I7401" s="1" t="str">
        <f ca="1">IFERROR(__xludf.DUMMYFUNCTION("GOOGLETRANSLATE(F7401, ""auto"", ""en"")
"),"The best sounding ears in their class, and I had a lot of them. The price of similar ones from other brands is 2 times higher (at least).  I broke the same ones a couple of years ago. Now I discovered it by accident and took it without hesitation.")</f>
        <v>The best sounding ears in their class, and I had a lot of them. The price of similar ones from other brands is 2 times higher (at least).  I broke the same ones a couple of years ago. Now I discovered it by accident and took it without hesitation.</v>
      </c>
    </row>
    <row r="7402" spans="1:9" x14ac:dyDescent="0.3">
      <c r="A7402" s="1" t="s">
        <v>30</v>
      </c>
      <c r="B7402" s="1" t="s">
        <v>50</v>
      </c>
      <c r="C7402" s="1" t="s">
        <v>32</v>
      </c>
      <c r="D7402" s="1" t="s">
        <v>420</v>
      </c>
      <c r="E7402" s="1" t="s">
        <v>1457</v>
      </c>
      <c r="F7402" s="1" t="s">
        <v>11428</v>
      </c>
      <c r="G7402" s="1" t="s">
        <v>36</v>
      </c>
      <c r="H7402" s="1" t="s">
        <v>29</v>
      </c>
      <c r="I7402" s="1" t="str">
        <f ca="1">IFERROR(__xludf.DUMMYFUNCTION("GOOGLETRANSLATE(F7402, ""auto"", ""en"")
"),"I bought it half a month ago, and I don’t regret it.. a reliable machine with good performance for such a low price is a blast, unless of course you are going to abuse it for days without unloading.. there is not a large gap with the screen, in normal lig"&amp;"hting you won’t see much if you look at the display from the side, but remembering the price and forgetting about this small drawback, we look at the screen directly!.. In general, this is the best option among laptops with a large screen in terms of pric"&amp;"e and quality..")</f>
        <v>I bought it half a month ago, and I don’t regret it.. a reliable machine with good performance for such a low price is a blast, unless of course you are going to abuse it for days without unloading.. there is not a large gap with the screen, in normal lighting you won’t see much if you look at the display from the side, but remembering the price and forgetting about this small drawback, we look at the screen directly!.. In general, this is the best option among laptops with a large screen in terms of price and quality..</v>
      </c>
    </row>
    <row r="7403" spans="1:9" x14ac:dyDescent="0.3">
      <c r="A7403" s="1" t="s">
        <v>67</v>
      </c>
      <c r="B7403" s="1" t="s">
        <v>68</v>
      </c>
      <c r="C7403" s="1" t="s">
        <v>69</v>
      </c>
      <c r="D7403" s="1" t="s">
        <v>295</v>
      </c>
      <c r="E7403" s="1" t="s">
        <v>529</v>
      </c>
      <c r="F7403" s="1" t="s">
        <v>11429</v>
      </c>
      <c r="G7403" s="1" t="s">
        <v>28</v>
      </c>
      <c r="H7403" s="1" t="s">
        <v>29</v>
      </c>
      <c r="I7403" s="1" t="str">
        <f ca="1">IFERROR(__xludf.DUMMYFUNCTION("GOOGLETRANSLATE(F7403, ""auto"", ""en"")
"),"I bought an iron to replace a burnt-out KRUPS - it worked for 20 years and would have continued to work if I had not decided to add anti-scale agent and plug it into the network. I liked the Philips GC 3630 iron for the price - they knocked off 1000 ruble"&amp;"s, which is money. But it’s difficult to check whether it holds the temperature correctly - I iron polyester on max and it doesn’t melt, but on the old iron it immediately melted. I need to glue the double sheet to the fabric with an iron - the glue on th"&amp;"e double sheet doesn’t melt, even at max. Maybe it's not suitable for ""sewing""? It smooths things out perfectly, the handle is comfortable, the cord is 3 meters long - I need it, the sole is not stainless steel. The iron corresponds to the current price"&amp;" and quality.")</f>
        <v>I bought an iron to replace a burnt-out KRUPS - it worked for 20 years and would have continued to work if I had not decided to add anti-scale agent and plug it into the network. I liked the Philips GC 3630 iron for the price - they knocked off 1000 rubles, which is money. But it’s difficult to check whether it holds the temperature correctly - I iron polyester on max and it doesn’t melt, but on the old iron it immediately melted. I need to glue the double sheet to the fabric with an iron - the glue on the double sheet doesn’t melt, even at max. Maybe it's not suitable for "sewing"? It smooths things out perfectly, the handle is comfortable, the cord is 3 meters long - I need it, the sole is not stainless steel. The iron corresponds to the current price and quality.</v>
      </c>
    </row>
    <row r="7404" spans="1:9" x14ac:dyDescent="0.3">
      <c r="A7404" s="1" t="s">
        <v>9</v>
      </c>
      <c r="B7404" s="1" t="s">
        <v>10</v>
      </c>
      <c r="C7404" s="1" t="s">
        <v>466</v>
      </c>
      <c r="D7404" s="1" t="s">
        <v>729</v>
      </c>
      <c r="E7404" s="1" t="s">
        <v>6752</v>
      </c>
      <c r="F7404" s="1" t="s">
        <v>11430</v>
      </c>
      <c r="G7404" s="1" t="s">
        <v>49</v>
      </c>
      <c r="H7404" s="1" t="s">
        <v>16</v>
      </c>
      <c r="I7404" s="1" t="str">
        <f ca="1">IFERROR(__xludf.DUMMYFUNCTION("GOOGLETRANSLATE(F7404, ""auto"", ""en"")
"),"Today it shortened and burned out. Worked for a little over a year")</f>
        <v>Today it shortened and burned out. Worked for a little over a year</v>
      </c>
    </row>
    <row r="7405" spans="1:9" x14ac:dyDescent="0.3">
      <c r="A7405" s="1" t="s">
        <v>61</v>
      </c>
      <c r="B7405" s="1" t="s">
        <v>1727</v>
      </c>
      <c r="C7405" s="1" t="s">
        <v>122</v>
      </c>
      <c r="D7405" s="1" t="s">
        <v>142</v>
      </c>
      <c r="E7405" s="1" t="s">
        <v>3903</v>
      </c>
      <c r="F7405" s="1" t="s">
        <v>11431</v>
      </c>
      <c r="G7405" s="1" t="s">
        <v>36</v>
      </c>
      <c r="H7405" s="1" t="s">
        <v>29</v>
      </c>
      <c r="I7405" s="1" t="str">
        <f ca="1">IFERROR(__xludf.DUMMYFUNCTION("GOOGLETRANSLATE(F7405, ""auto"", ""en"")
"),"We ordered multi online. We've been using it for a month and are sooooo happy!! Indeed, you can’t cook cereal like that on the stove... And people who write that there are no recipes smell like plastic, etc. - these are typical quibbles! It seems to me th"&amp;"at this is the best option among the multicookers offered)) Buy it, you won’t regret it))")</f>
        <v>We ordered multi online. We've been using it for a month and are sooooo happy!! Indeed, you can’t cook cereal like that on the stove... And people who write that there are no recipes smell like plastic, etc. - these are typical quibbles! It seems to me that this is the best option among the multicookers offered)) Buy it, you won’t regret it))</v>
      </c>
    </row>
    <row r="7406" spans="1:9" x14ac:dyDescent="0.3">
      <c r="A7406" s="1" t="s">
        <v>149</v>
      </c>
      <c r="B7406" s="1" t="s">
        <v>423</v>
      </c>
      <c r="C7406" s="1" t="s">
        <v>314</v>
      </c>
      <c r="D7406" s="1" t="s">
        <v>20</v>
      </c>
      <c r="E7406" s="1" t="s">
        <v>4069</v>
      </c>
      <c r="F7406" s="1" t="s">
        <v>11432</v>
      </c>
      <c r="G7406" s="1" t="s">
        <v>28</v>
      </c>
      <c r="H7406" s="1" t="s">
        <v>29</v>
      </c>
      <c r="I7406" s="1" t="str">
        <f ca="1">IFERROR(__xludf.DUMMYFUNCTION("GOOGLETRANSLATE(F7406, ""auto"", ""en"")
"),"cleans floors very well ")</f>
        <v xml:space="preserve">cleans floors very well </v>
      </c>
    </row>
    <row r="7407" spans="1:9" x14ac:dyDescent="0.3">
      <c r="A7407" s="1" t="s">
        <v>211</v>
      </c>
      <c r="B7407" s="1" t="s">
        <v>212</v>
      </c>
      <c r="C7407" s="1" t="s">
        <v>63</v>
      </c>
      <c r="D7407" s="1" t="s">
        <v>774</v>
      </c>
      <c r="E7407" s="1" t="s">
        <v>1864</v>
      </c>
      <c r="F7407" s="1" t="s">
        <v>11433</v>
      </c>
      <c r="G7407" s="1" t="s">
        <v>36</v>
      </c>
      <c r="H7407" s="1" t="s">
        <v>29</v>
      </c>
      <c r="I7407" s="1" t="str">
        <f ca="1">IFERROR(__xludf.DUMMYFUNCTION("GOOGLETRANSLATE(F7407, ""auto"", ""en"")
"),"I’ve been using it for four years now, no complaints, nothing breaks, my hair doesn’t burn. I really like it. Apparently they were once made better than in the last year.")</f>
        <v>I’ve been using it for four years now, no complaints, nothing breaks, my hair doesn’t burn. I really like it. Apparently they were once made better than in the last year.</v>
      </c>
    </row>
    <row r="7408" spans="1:9" x14ac:dyDescent="0.3">
      <c r="A7408" s="1" t="s">
        <v>211</v>
      </c>
      <c r="B7408" s="1" t="s">
        <v>212</v>
      </c>
      <c r="C7408" s="1" t="s">
        <v>266</v>
      </c>
      <c r="D7408" s="1" t="s">
        <v>2096</v>
      </c>
      <c r="E7408" s="1" t="s">
        <v>2998</v>
      </c>
      <c r="F7408" s="1" t="s">
        <v>11434</v>
      </c>
      <c r="G7408" s="1" t="s">
        <v>36</v>
      </c>
      <c r="H7408" s="1" t="s">
        <v>29</v>
      </c>
      <c r="I7408" s="1" t="str">
        <f ca="1">IFERROR(__xludf.DUMMYFUNCTION("GOOGLETRANSLATE(F7408, ""auto"", ""en"")
"),"I’ve been using them for five years now and have tried a lot of other styling devices. Conclusion: either go to the salon or use curlers. Curl your hair in the morning: 10 minutes - timed, walk for 5-10 minutes while you get dressed/make-up/have breakfast"&amp;", take it off for one minute. Excellent curls and most importantly, volume for the whole day! Which for thin (like mine) hair is very important and difficult to achieve. It is very convenient that they are velvet - they hold the curl perfectly and do not "&amp;"spoil the hair, do not curl it too hot. But! Much depends on the type of hair and humidity: freshly washed and dried hair curls and holds perfectly, slightly damp hair does not hold at all, washed yesterday - even worse))) a friend has thick hair - it hol"&amp;"ds a curl for an hour, for her curlers are a waste of money. I've been enjoying using curlers for many years now. None of the other devices are so pleasing)")</f>
        <v>I’ve been using them for five years now and have tried a lot of other styling devices. Conclusion: either go to the salon or use curlers. Curl your hair in the morning: 10 minutes - timed, walk for 5-10 minutes while you get dressed/make-up/have breakfast, take it off for one minute. Excellent curls and most importantly, volume for the whole day! Which for thin (like mine) hair is very important and difficult to achieve. It is very convenient that they are velvet - they hold the curl perfectly and do not spoil the hair, do not curl it too hot. But! Much depends on the type of hair and humidity: freshly washed and dried hair curls and holds perfectly, slightly damp hair does not hold at all, washed yesterday - even worse))) a friend has thick hair - it holds a curl for an hour, for her curlers are a waste of money. I've been enjoying using curlers for many years now. None of the other devices are so pleasing)</v>
      </c>
    </row>
    <row r="7409" spans="1:9" x14ac:dyDescent="0.3">
      <c r="A7409" s="1" t="s">
        <v>17</v>
      </c>
      <c r="B7409" s="1" t="s">
        <v>18</v>
      </c>
      <c r="C7409" s="1" t="s">
        <v>24</v>
      </c>
      <c r="D7409" s="1" t="s">
        <v>295</v>
      </c>
      <c r="E7409" s="1" t="s">
        <v>4012</v>
      </c>
      <c r="F7409" s="1" t="s">
        <v>11435</v>
      </c>
      <c r="G7409" s="1" t="s">
        <v>28</v>
      </c>
      <c r="H7409" s="1" t="s">
        <v>29</v>
      </c>
      <c r="I7409" s="1" t="str">
        <f ca="1">IFERROR(__xludf.DUMMYFUNCTION("GOOGLETRANSLATE(F7409, ""auto"", ""en"")
"),"We've had the car for almost 2 years now. I like. Not capricious. Convenient. It beeps loudly when washing. You definitely won't forget!  The only thing is that it is a little noisy when squeezing. But this is a very small minus compared to the advantages"&amp;".")</f>
        <v>We've had the car for almost 2 years now. I like. Not capricious. Convenient. It beeps loudly when washing. You definitely won't forget!  The only thing is that it is a little noisy when squeezing. But this is a very small minus compared to the advantages.</v>
      </c>
    </row>
    <row r="7410" spans="1:9" x14ac:dyDescent="0.3">
      <c r="A7410" s="1" t="s">
        <v>211</v>
      </c>
      <c r="B7410" s="1" t="s">
        <v>515</v>
      </c>
      <c r="C7410" s="1" t="s">
        <v>213</v>
      </c>
      <c r="D7410" s="1" t="s">
        <v>75</v>
      </c>
      <c r="E7410" s="1" t="s">
        <v>11436</v>
      </c>
      <c r="F7410" s="1" t="s">
        <v>413</v>
      </c>
      <c r="G7410" s="1" t="s">
        <v>49</v>
      </c>
      <c r="H7410" s="1" t="s">
        <v>16</v>
      </c>
      <c r="I7410" s="1" t="str">
        <f ca="1">IFERROR(__xludf.DUMMYFUNCTION("GOOGLETRANSLATE(F7410, ""auto"", ""en"")
"),"No")</f>
        <v>No</v>
      </c>
    </row>
    <row r="7411" spans="1:9" x14ac:dyDescent="0.3">
      <c r="A7411" s="1" t="s">
        <v>30</v>
      </c>
      <c r="B7411" s="1" t="s">
        <v>31</v>
      </c>
      <c r="C7411" s="1" t="s">
        <v>32</v>
      </c>
      <c r="D7411" s="1" t="s">
        <v>4412</v>
      </c>
      <c r="E7411" s="1" t="s">
        <v>3542</v>
      </c>
      <c r="F7411" s="1" t="s">
        <v>11437</v>
      </c>
      <c r="G7411" s="1" t="s">
        <v>36</v>
      </c>
      <c r="H7411" s="1" t="s">
        <v>29</v>
      </c>
      <c r="I7411" s="1" t="str">
        <f ca="1">IFERROR(__xludf.DUMMYFUNCTION("GOOGLETRANSLATE(F7411, ""auto"", ""en"")
"),"Excellent PC, stylish design, small size, works quietly With firewood, everything is fine - the system immediately recommends making backup copies of Windows and drivers on disks upon first startup. Impressive filling - you will need to change the video c"&amp;"ard in a year (if necessary) One problem was - I couldn’t understand how to press the power button on the unit - I spent 5 minutes fiddling with the button to turn it on - it turned out to be simple: from the edge you need to move your finger to the cente"&amp;"r + press As for the price - yes, you can save 1.5k rubles if you assemble it yourself - well, you need to know in advance the compatibility of everything and spend quite a lot of time ZY: I recommend this model to everyone (for 16k) for this amount I don"&amp;"’t see any competitors yet")</f>
        <v>Excellent PC, stylish design, small size, works quietly With firewood, everything is fine - the system immediately recommends making backup copies of Windows and drivers on disks upon first startup. Impressive filling - you will need to change the video card in a year (if necessary) One problem was - I couldn’t understand how to press the power button on the unit - I spent 5 minutes fiddling with the button to turn it on - it turned out to be simple: from the edge you need to move your finger to the center + press As for the price - yes, you can save 1.5k rubles if you assemble it yourself - well, you need to know in advance the compatibility of everything and spend quite a lot of time ZY: I recommend this model to everyone (for 16k) for this amount I don’t see any competitors yet</v>
      </c>
    </row>
    <row r="7412" spans="1:9" x14ac:dyDescent="0.3">
      <c r="A7412" s="1" t="s">
        <v>169</v>
      </c>
      <c r="B7412" s="1" t="s">
        <v>170</v>
      </c>
      <c r="C7412" s="1" t="s">
        <v>69</v>
      </c>
      <c r="D7412" s="1" t="s">
        <v>7505</v>
      </c>
      <c r="E7412" s="1" t="s">
        <v>1723</v>
      </c>
      <c r="F7412" s="1" t="s">
        <v>11438</v>
      </c>
      <c r="G7412" s="1" t="s">
        <v>28</v>
      </c>
      <c r="H7412" s="1" t="s">
        <v>29</v>
      </c>
      <c r="I7412" s="1" t="str">
        <f ca="1">IFERROR(__xludf.DUMMYFUNCTION("GOOGLETRANSLATE(F7412, ""auto"", ""en"")
"),"In principle, the best option for price and quality, because my second choice was the sunhizer HD 201, they cost 1090 wooden, and these 690 are in no way inferior and even better, I really liked the bass because they are good, but with Hard Rock they crea"&amp;"k a little =)) With the help of an equalizer I press all of them. The volume reserve is simply amazing, I really liked the classic “round” design of the headphones.  You can't go wrong in any case =)")</f>
        <v>In principle, the best option for price and quality, because my second choice was the sunhizer HD 201, they cost 1090 wooden, and these 690 are in no way inferior and even better, I really liked the bass because they are good, but with Hard Rock they creak a little =)) With the help of an equalizer I press all of them. The volume reserve is simply amazing, I really liked the classic “round” design of the headphones.  You can't go wrong in any case =)</v>
      </c>
    </row>
    <row r="7413" spans="1:9" x14ac:dyDescent="0.3">
      <c r="A7413" s="1" t="s">
        <v>369</v>
      </c>
      <c r="B7413" s="1" t="s">
        <v>370</v>
      </c>
      <c r="C7413" s="1" t="s">
        <v>159</v>
      </c>
      <c r="D7413" s="1" t="s">
        <v>203</v>
      </c>
      <c r="E7413" s="1" t="s">
        <v>3095</v>
      </c>
      <c r="F7413" s="1" t="s">
        <v>11439</v>
      </c>
      <c r="G7413" s="1" t="s">
        <v>36</v>
      </c>
      <c r="H7413" s="1" t="s">
        <v>29</v>
      </c>
      <c r="I7413" s="1" t="str">
        <f ca="1">IFERROR(__xludf.DUMMYFUNCTION("GOOGLETRANSLATE(F7413, ""auto"", ""en"")
"),"excellent stove, three months of use and no complaints, but be careful, the oven heats exactly the number of degrees indicated, it takes a habit because at first I had to throw out a couple of dishes, they were burnt, but the ceramics are beyond praise, p"&amp;"ah-pah-pah.")</f>
        <v>excellent stove, three months of use and no complaints, but be careful, the oven heats exactly the number of degrees indicated, it takes a habit because at first I had to throw out a couple of dishes, they were burnt, but the ceramics are beyond praise, pah-pah-pah.</v>
      </c>
    </row>
    <row r="7414" spans="1:9" x14ac:dyDescent="0.3">
      <c r="A7414" s="1" t="s">
        <v>9</v>
      </c>
      <c r="B7414" s="1" t="s">
        <v>10</v>
      </c>
      <c r="C7414" s="1" t="s">
        <v>466</v>
      </c>
      <c r="D7414" s="1" t="s">
        <v>11440</v>
      </c>
      <c r="E7414" s="1" t="s">
        <v>11441</v>
      </c>
      <c r="F7414" s="1" t="s">
        <v>11442</v>
      </c>
      <c r="G7414" s="1" t="s">
        <v>36</v>
      </c>
      <c r="H7414" s="1" t="s">
        <v>29</v>
      </c>
      <c r="I7414" s="1" t="str">
        <f ca="1">IFERROR(__xludf.DUMMYFUNCTION("GOOGLETRANSLATE(F7414, ""auto"", ""en"")
"),"Easy to use, compact and quiet.")</f>
        <v>Easy to use, compact and quiet.</v>
      </c>
    </row>
    <row r="7415" spans="1:9" x14ac:dyDescent="0.3">
      <c r="A7415" s="1" t="s">
        <v>17</v>
      </c>
      <c r="B7415" s="1" t="s">
        <v>18</v>
      </c>
      <c r="C7415" s="1" t="s">
        <v>243</v>
      </c>
      <c r="D7415" s="1" t="s">
        <v>2045</v>
      </c>
      <c r="E7415" s="1" t="s">
        <v>3026</v>
      </c>
      <c r="F7415" s="1" t="s">
        <v>11443</v>
      </c>
      <c r="G7415" s="1" t="s">
        <v>28</v>
      </c>
      <c r="H7415" s="1" t="s">
        <v>29</v>
      </c>
      <c r="I7415" s="1" t="str">
        <f ca="1">IFERROR(__xludf.DUMMYFUNCTION("GOOGLETRANSLATE(F7415, ""auto"", ""en"")
"),"We bought the car exactly 6 years ago. It works flawlessly for six years! I have four children, so we do laundry every day, and not just one item at a time. Yes, it makes noise, like a plane taking off. You can hear the pump. But we close the door to the "&amp;"kitchen and its noise doesn’t bother us. DOES NOT JUMP, stands rooted to the spot!  We repaired it twice last year, once we cleaned the electronic module, twice we changed the carbon brushes, EVERYTHING was 90 degrees. I wash it very often, it washes well"&amp;", but what could be better than grandma’s boiling)))) The question arose about buying a new car, I don’t see an alternative in this price range, we’ll buy it again")</f>
        <v>We bought the car exactly 6 years ago. It works flawlessly for six years! I have four children, so we do laundry every day, and not just one item at a time. Yes, it makes noise, like a plane taking off. You can hear the pump. But we close the door to the kitchen and its noise doesn’t bother us. DOES NOT JUMP, stands rooted to the spot!  We repaired it twice last year, once we cleaned the electronic module, twice we changed the carbon brushes, EVERYTHING was 90 degrees. I wash it very often, it washes well, but what could be better than grandma’s boiling)))) The question arose about buying a new car, I don’t see an alternative in this price range, we’ll buy it again</v>
      </c>
    </row>
    <row r="7416" spans="1:9" x14ac:dyDescent="0.3">
      <c r="A7416" s="1" t="s">
        <v>61</v>
      </c>
      <c r="B7416" s="1" t="s">
        <v>180</v>
      </c>
      <c r="C7416" s="1" t="s">
        <v>63</v>
      </c>
      <c r="D7416" s="1" t="s">
        <v>420</v>
      </c>
      <c r="E7416" s="1" t="s">
        <v>4803</v>
      </c>
      <c r="F7416" s="1" t="s">
        <v>11444</v>
      </c>
      <c r="G7416" s="1" t="s">
        <v>28</v>
      </c>
      <c r="H7416" s="1" t="s">
        <v>29</v>
      </c>
      <c r="I7416" s="1" t="str">
        <f ca="1">IFERROR(__xludf.DUMMYFUNCTION("GOOGLETRANSLATE(F7416, ""auto"", ""en"")
"),"The toaster is excellent, the toasts are fried evenly, there is a function for heating the buns and defrosting them. The only negative is the large size; if I had seen it on a shelf in a store, I would probably have taken a smaller one.")</f>
        <v>The toaster is excellent, the toasts are fried evenly, there is a function for heating the buns and defrosting them. The only negative is the large size; if I had seen it on a shelf in a store, I would probably have taken a smaller one.</v>
      </c>
    </row>
    <row r="7417" spans="1:9" x14ac:dyDescent="0.3">
      <c r="A7417" s="1" t="s">
        <v>30</v>
      </c>
      <c r="B7417" s="1" t="s">
        <v>50</v>
      </c>
      <c r="C7417" s="1" t="s">
        <v>1003</v>
      </c>
      <c r="D7417" s="1" t="s">
        <v>9203</v>
      </c>
      <c r="E7417" s="1" t="s">
        <v>832</v>
      </c>
      <c r="F7417" s="1" t="s">
        <v>11445</v>
      </c>
      <c r="G7417" s="1" t="s">
        <v>36</v>
      </c>
      <c r="H7417" s="1" t="s">
        <v>29</v>
      </c>
      <c r="I7417" s="1" t="str">
        <f ca="1">IFERROR(__xludf.DUMMYFUNCTION("GOOGLETRANSLATE(F7417, ""auto"", ""en"")
"),"Which axis should I put on it x32/x86 or 64 bit?")</f>
        <v>Which axis should I put on it x32/x86 or 64 bit?</v>
      </c>
    </row>
    <row r="7418" spans="1:9" x14ac:dyDescent="0.3">
      <c r="A7418" s="1" t="s">
        <v>61</v>
      </c>
      <c r="B7418" s="1" t="s">
        <v>73</v>
      </c>
      <c r="C7418" s="1" t="s">
        <v>146</v>
      </c>
      <c r="D7418" s="1" t="s">
        <v>351</v>
      </c>
      <c r="E7418" s="1" t="s">
        <v>3059</v>
      </c>
      <c r="F7418" s="1" t="s">
        <v>11446</v>
      </c>
      <c r="G7418" s="1" t="s">
        <v>36</v>
      </c>
      <c r="H7418" s="1" t="s">
        <v>29</v>
      </c>
      <c r="I7418" s="1" t="str">
        <f ca="1">IFERROR(__xludf.DUMMYFUNCTION("GOOGLETRANSLATE(F7418, ""auto"", ""en"")
"),"An excellent meat grinder! It copes with any meat with a bang. Powerful motor... I really don’t know why the reverse is there, because it chops any meat, even pork with veins! I recommend!")</f>
        <v>An excellent meat grinder! It copes with any meat with a bang. Powerful motor... I really don’t know why the reverse is there, because it chops any meat, even pork with veins! I recommend!</v>
      </c>
    </row>
    <row r="7419" spans="1:9" x14ac:dyDescent="0.3">
      <c r="A7419" s="1" t="s">
        <v>61</v>
      </c>
      <c r="B7419" s="1" t="s">
        <v>318</v>
      </c>
      <c r="C7419" s="1" t="s">
        <v>74</v>
      </c>
      <c r="D7419" s="1" t="s">
        <v>308</v>
      </c>
      <c r="E7419" s="1" t="s">
        <v>4540</v>
      </c>
      <c r="F7419" s="1" t="s">
        <v>11447</v>
      </c>
      <c r="G7419" s="1" t="s">
        <v>49</v>
      </c>
      <c r="H7419" s="1" t="s">
        <v>16</v>
      </c>
      <c r="I7419" s="1" t="str">
        <f ca="1">IFERROR(__xludf.DUMMYFUNCTION("GOOGLETRANSLATE(F7419, ""auto"", ""en"")
"),"I thought it just started leaking here... So much for the company... Before that there was Vitek, even his quality is better.")</f>
        <v>I thought it just started leaking here... So much for the company... Before that there was Vitek, even his quality is better.</v>
      </c>
    </row>
    <row r="7420" spans="1:9" x14ac:dyDescent="0.3">
      <c r="A7420" s="1" t="s">
        <v>61</v>
      </c>
      <c r="B7420" s="1" t="s">
        <v>977</v>
      </c>
      <c r="C7420" s="1" t="s">
        <v>85</v>
      </c>
      <c r="D7420" s="1" t="s">
        <v>247</v>
      </c>
      <c r="E7420" s="1" t="s">
        <v>11448</v>
      </c>
      <c r="F7420" s="1" t="s">
        <v>11449</v>
      </c>
      <c r="G7420" s="1" t="s">
        <v>28</v>
      </c>
      <c r="H7420" s="1" t="s">
        <v>29</v>
      </c>
      <c r="I7420" s="1" t="str">
        <f ca="1">IFERROR(__xludf.DUMMYFUNCTION("GOOGLETRANSLATE(F7420, ""auto"", ""en"")
"),"Good, but nothing more. The consultant advertised it to us, so we took it. But my opinion is that it is not worth the money for which it is sold. I agree with Anna from Barnaul - some products (with dried fruits, for example) smear on the walls and the kn"&amp;"ives spin in vain")</f>
        <v>Good, but nothing more. The consultant advertised it to us, so we took it. But my opinion is that it is not worth the money for which it is sold. I agree with Anna from Barnaul - some products (with dried fruits, for example) smear on the walls and the knives spin in vain</v>
      </c>
    </row>
    <row r="7421" spans="1:9" x14ac:dyDescent="0.3">
      <c r="A7421" s="1" t="s">
        <v>120</v>
      </c>
      <c r="B7421" s="1" t="s">
        <v>121</v>
      </c>
      <c r="C7421" s="1" t="s">
        <v>151</v>
      </c>
      <c r="D7421" s="1" t="s">
        <v>2217</v>
      </c>
      <c r="E7421" s="1" t="s">
        <v>2565</v>
      </c>
      <c r="F7421" s="1" t="s">
        <v>11450</v>
      </c>
      <c r="G7421" s="1" t="s">
        <v>28</v>
      </c>
      <c r="H7421" s="1" t="s">
        <v>29</v>
      </c>
      <c r="I7421" s="1" t="str">
        <f ca="1">IFERROR(__xludf.DUMMYFUNCTION("GOOGLETRANSLATE(F7421, ""auto"", ""en"")
"),"The Clock setting is lost")</f>
        <v>The Clock setting is lost</v>
      </c>
    </row>
    <row r="7422" spans="1:9" x14ac:dyDescent="0.3">
      <c r="A7422" s="1" t="s">
        <v>61</v>
      </c>
      <c r="B7422" s="1" t="s">
        <v>73</v>
      </c>
      <c r="C7422" s="1" t="s">
        <v>146</v>
      </c>
      <c r="D7422" s="1" t="s">
        <v>152</v>
      </c>
      <c r="E7422" s="1" t="s">
        <v>559</v>
      </c>
      <c r="F7422" s="1" t="s">
        <v>11451</v>
      </c>
      <c r="G7422" s="1" t="s">
        <v>36</v>
      </c>
      <c r="H7422" s="1" t="s">
        <v>29</v>
      </c>
      <c r="I7422" s="1" t="str">
        <f ca="1">IFERROR(__xludf.DUMMYFUNCTION("GOOGLETRANSLATE(F7422, ""auto"", ""en"")
"),"Excellent meat grinder. I recommend this one to anyone who is thinking of purchasing!")</f>
        <v>Excellent meat grinder. I recommend this one to anyone who is thinking of purchasing!</v>
      </c>
    </row>
    <row r="7423" spans="1:9" x14ac:dyDescent="0.3">
      <c r="A7423" s="1" t="s">
        <v>17</v>
      </c>
      <c r="B7423" s="1" t="s">
        <v>18</v>
      </c>
      <c r="C7423" s="1" t="s">
        <v>243</v>
      </c>
      <c r="D7423" s="1" t="s">
        <v>1055</v>
      </c>
      <c r="E7423" s="1" t="s">
        <v>1688</v>
      </c>
      <c r="F7423" s="1" t="s">
        <v>11452</v>
      </c>
      <c r="G7423" s="1" t="s">
        <v>28</v>
      </c>
      <c r="H7423" s="1" t="s">
        <v>29</v>
      </c>
      <c r="I7423" s="1" t="str">
        <f ca="1">IFERROR(__xludf.DUMMYFUNCTION("GOOGLETRANSLATE(F7423, ""auto"", ""en"")
"),"The machine is 13 years old, works great, we use it to the fullest. We have children at home, so the laundry is done almost every day. Recently it started leaking, the technician fixed the problem. He said another 5 years will definitely be enough)).")</f>
        <v>The machine is 13 years old, works great, we use it to the fullest. We have children at home, so the laundry is done almost every day. Recently it started leaking, the technician fixed the problem. He said another 5 years will definitely be enough)).</v>
      </c>
    </row>
    <row r="7424" spans="1:9" x14ac:dyDescent="0.3">
      <c r="A7424" s="1" t="s">
        <v>30</v>
      </c>
      <c r="B7424" s="1" t="s">
        <v>31</v>
      </c>
      <c r="C7424" s="1" t="s">
        <v>32</v>
      </c>
      <c r="D7424" s="1" t="s">
        <v>1996</v>
      </c>
      <c r="E7424" s="1" t="s">
        <v>2571</v>
      </c>
      <c r="F7424" s="1" t="s">
        <v>11453</v>
      </c>
      <c r="G7424" s="1" t="s">
        <v>28</v>
      </c>
      <c r="H7424" s="1" t="s">
        <v>29</v>
      </c>
      <c r="I7424" s="1" t="str">
        <f ca="1">IFERROR(__xludf.DUMMYFUNCTION("GOOGLETRANSLATE(F7424, ""auto"", ""en"")
"),"I bought a computer in December 2009, I also had the same problem, it seemed to have stopped, but the other day I took it to the Taganka service center for the reason that the video card began to overheat up to 115 degrees, this is a lot of artifacts bega"&amp;"n to appear in games and there was a black screen for a second, I think that the problem is not in the video card, but in the incompatibility of some components, and which ones I would like to know.")</f>
        <v>I bought a computer in December 2009, I also had the same problem, it seemed to have stopped, but the other day I took it to the Taganka service center for the reason that the video card began to overheat up to 115 degrees, this is a lot of artifacts began to appear in games and there was a black screen for a second, I think that the problem is not in the video card, but in the incompatibility of some components, and which ones I would like to know.</v>
      </c>
    </row>
    <row r="7425" spans="1:9" x14ac:dyDescent="0.3">
      <c r="A7425" s="1" t="s">
        <v>624</v>
      </c>
      <c r="B7425" s="1" t="s">
        <v>2107</v>
      </c>
      <c r="C7425" s="1" t="s">
        <v>479</v>
      </c>
      <c r="D7425" s="1" t="s">
        <v>139</v>
      </c>
      <c r="E7425" s="1" t="s">
        <v>1075</v>
      </c>
      <c r="F7425" s="1" t="s">
        <v>11454</v>
      </c>
      <c r="G7425" s="1" t="s">
        <v>28</v>
      </c>
      <c r="H7425" s="1" t="s">
        <v>29</v>
      </c>
      <c r="I7425" s="1" t="str">
        <f ca="1">IFERROR(__xludf.DUMMYFUNCTION("GOOGLETRANSLATE(F7425, ""auto"", ""en"")
"),"The game is very interesting and more similar to the Gta series (freedom of action), the game contains just a sea of ​​weapons (any item) and of course a bunch of voracious dead who will not give you passage, the only negative is that on the PC the game i"&amp;"s in Russian (entirely) and on the Xbox 360, as always, in English.")</f>
        <v>The game is very interesting and more similar to the Gta series (freedom of action), the game contains just a sea of ​​weapons (any item) and of course a bunch of voracious dead who will not give you passage, the only negative is that on the PC the game is in Russian (entirely) and on the Xbox 360, as always, in English.</v>
      </c>
    </row>
    <row r="7426" spans="1:9" x14ac:dyDescent="0.3">
      <c r="A7426" s="1" t="s">
        <v>95</v>
      </c>
      <c r="B7426" s="1" t="s">
        <v>11455</v>
      </c>
      <c r="C7426" s="1" t="s">
        <v>97</v>
      </c>
      <c r="D7426" s="1" t="s">
        <v>67</v>
      </c>
      <c r="E7426" s="1" t="s">
        <v>412</v>
      </c>
      <c r="F7426" s="1" t="s">
        <v>11456</v>
      </c>
      <c r="G7426" s="1" t="s">
        <v>36</v>
      </c>
      <c r="H7426" s="1" t="s">
        <v>29</v>
      </c>
      <c r="I7426" s="1" t="str">
        <f ca="1">IFERROR(__xludf.DUMMYFUNCTION("GOOGLETRANSLATE(F7426, ""auto"", ""en"")
"),"Sturdy in terms of materials, obviously not fragile and carefully assembled. Everything is fitted neatly.  The seams and adhesions are perfect. The buttons do not wobble, are elastic, and react quickly to pressing. The battery lasts for 30 hours, a gaming"&amp;" marathon lasts for a day only on the road.")</f>
        <v>Sturdy in terms of materials, obviously not fragile and carefully assembled. Everything is fitted neatly.  The seams and adhesions are perfect. The buttons do not wobble, are elastic, and react quickly to pressing. The battery lasts for 30 hours, a gaming marathon lasts for a day only on the road.</v>
      </c>
    </row>
    <row r="7427" spans="1:9" x14ac:dyDescent="0.3">
      <c r="A7427" s="1" t="s">
        <v>732</v>
      </c>
      <c r="B7427" s="1" t="s">
        <v>733</v>
      </c>
      <c r="C7427" s="1" t="s">
        <v>80</v>
      </c>
      <c r="D7427" s="1" t="s">
        <v>11457</v>
      </c>
      <c r="E7427" s="1" t="s">
        <v>2896</v>
      </c>
      <c r="F7427" s="1" t="s">
        <v>11458</v>
      </c>
      <c r="G7427" s="1" t="s">
        <v>36</v>
      </c>
      <c r="H7427" s="1" t="s">
        <v>29</v>
      </c>
      <c r="I7427" s="1" t="str">
        <f ca="1">IFERROR(__xludf.DUMMYFUNCTION("GOOGLETRANSLATE(F7427, ""auto"", ""en"")
"),"I bought it two months ago and I’m not complaining, for the price, the image quality, power consumption and all other characteristics are very good, HD flies even at 1920x1080p. In general, if you need a cheap, excellent monitor, take this")</f>
        <v>I bought it two months ago and I’m not complaining, for the price, the image quality, power consumption and all other characteristics are very good, HD flies even at 1920x1080p. In general, if you need a cheap, excellent monitor, take this</v>
      </c>
    </row>
    <row r="7428" spans="1:9" x14ac:dyDescent="0.3">
      <c r="A7428" s="1" t="s">
        <v>149</v>
      </c>
      <c r="B7428" s="1" t="s">
        <v>155</v>
      </c>
      <c r="C7428" s="1" t="s">
        <v>63</v>
      </c>
      <c r="D7428" s="1" t="s">
        <v>3137</v>
      </c>
      <c r="E7428" s="1" t="s">
        <v>3918</v>
      </c>
      <c r="F7428" s="1" t="s">
        <v>11459</v>
      </c>
      <c r="G7428" s="1" t="s">
        <v>36</v>
      </c>
      <c r="H7428" s="1" t="s">
        <v>29</v>
      </c>
      <c r="I7428" s="1" t="str">
        <f ca="1">IFERROR(__xludf.DUMMYFUNCTION("GOOGLETRANSLATE(F7428, ""auto"", ""en"")
"),"We purchased this vacuum cleaner not so long ago, but we are so pleased that we simply recommend it to everyone!! Comfortable, quiet, powerful, high quality! Very easy to clean! This company did not disappoint at all!! Thanks a lot!")</f>
        <v>We purchased this vacuum cleaner not so long ago, but we are so pleased that we simply recommend it to everyone!! Comfortable, quiet, powerful, high quality! Very easy to clean! This company did not disappoint at all!! Thanks a lot!</v>
      </c>
    </row>
    <row r="7429" spans="1:9" x14ac:dyDescent="0.3">
      <c r="A7429" s="1" t="s">
        <v>811</v>
      </c>
      <c r="B7429" s="1" t="s">
        <v>812</v>
      </c>
      <c r="C7429" s="1" t="s">
        <v>813</v>
      </c>
      <c r="D7429" s="1" t="s">
        <v>152</v>
      </c>
      <c r="E7429" s="1" t="s">
        <v>1792</v>
      </c>
      <c r="F7429" s="1" t="s">
        <v>11460</v>
      </c>
      <c r="G7429" s="1" t="s">
        <v>49</v>
      </c>
      <c r="H7429" s="1" t="s">
        <v>16</v>
      </c>
      <c r="I7429" s="1" t="str">
        <f ca="1">IFERROR(__xludf.DUMMYFUNCTION("GOOGLETRANSLATE(F7429, ""auto"", ""en"")
"),"It is very inconvenient to shoot with it at long shutter speeds, because... the picture turns out blurry, even if you set the timer to 10 seconds, in most cases everything is blurry too. Unsuccessful model.")</f>
        <v>It is very inconvenient to shoot with it at long shutter speeds, because... the picture turns out blurry, even if you set the timer to 10 seconds, in most cases everything is blurry too. Unsuccessful model.</v>
      </c>
    </row>
    <row r="7430" spans="1:9" x14ac:dyDescent="0.3">
      <c r="A7430" s="1" t="s">
        <v>211</v>
      </c>
      <c r="B7430" s="1" t="s">
        <v>410</v>
      </c>
      <c r="C7430" s="1" t="s">
        <v>122</v>
      </c>
      <c r="D7430" s="1" t="s">
        <v>152</v>
      </c>
      <c r="E7430" s="1" t="s">
        <v>7286</v>
      </c>
      <c r="F7430" s="1" t="s">
        <v>11461</v>
      </c>
      <c r="G7430" s="1" t="s">
        <v>36</v>
      </c>
      <c r="H7430" s="1" t="s">
        <v>29</v>
      </c>
      <c r="I7430" s="1" t="str">
        <f ca="1">IFERROR(__xludf.DUMMYFUNCTION("GOOGLETRANSLATE(F7430, ""auto"", ""en"")
"),"a regular foil razor, like all other similar ones, shave well, the drawback is that the battery only lasts for a few times, I charge it once or twice a week")</f>
        <v>a regular foil razor, like all other similar ones, shave well, the drawback is that the battery only lasts for a few times, I charge it once or twice a week</v>
      </c>
    </row>
    <row r="7431" spans="1:9" x14ac:dyDescent="0.3">
      <c r="A7431" s="1" t="s">
        <v>9</v>
      </c>
      <c r="B7431" s="1" t="s">
        <v>10</v>
      </c>
      <c r="C7431" s="1" t="s">
        <v>466</v>
      </c>
      <c r="D7431" s="1" t="s">
        <v>11462</v>
      </c>
      <c r="E7431" s="1" t="s">
        <v>1070</v>
      </c>
      <c r="F7431" s="1" t="s">
        <v>11463</v>
      </c>
      <c r="G7431" s="1" t="s">
        <v>28</v>
      </c>
      <c r="H7431" s="1" t="s">
        <v>29</v>
      </c>
      <c r="I7431" s="1" t="str">
        <f ca="1">IFERROR(__xludf.DUMMYFUNCTION("GOOGLETRANSLATE(F7431, ""auto"", ""en"")
"),"We've been using it for three months now. There are three speed modes. Backlight on/off button. When the hood is pulled out, it turns on. When we cook on three burners and turn the hood speed to three, then after some time the hood turns off by itself bec"&amp;"ause... It gets very hot from the fumes and from the operation of the motor. (Not very pleasant) Immediately after I bought it I replaced the 2x25W incandescent lamps with a 2*9W energy-saving one in the form of a candle. This was done so that the transpa"&amp;"rent plastic covers under the lamps would not melt and darken like on the previous hood. I advise everyone to do this.")</f>
        <v>We've been using it for three months now. There are three speed modes. Backlight on/off button. When the hood is pulled out, it turns on. When we cook on three burners and turn the hood speed to three, then after some time the hood turns off by itself because... It gets very hot from the fumes and from the operation of the motor. (Not very pleasant) Immediately after I bought it I replaced the 2x25W incandescent lamps with a 2*9W energy-saving one in the form of a candle. This was done so that the transparent plastic covers under the lamps would not melt and darken like on the previous hood. I advise everyone to do this.</v>
      </c>
    </row>
    <row r="7432" spans="1:9" x14ac:dyDescent="0.3">
      <c r="A7432" s="1" t="s">
        <v>211</v>
      </c>
      <c r="B7432" s="1" t="s">
        <v>265</v>
      </c>
      <c r="C7432" s="1" t="s">
        <v>69</v>
      </c>
      <c r="D7432" s="1" t="s">
        <v>1917</v>
      </c>
      <c r="E7432" s="1" t="s">
        <v>864</v>
      </c>
      <c r="F7432" s="1" t="s">
        <v>11464</v>
      </c>
      <c r="G7432" s="1" t="s">
        <v>36</v>
      </c>
      <c r="H7432" s="1" t="s">
        <v>29</v>
      </c>
      <c r="I7432" s="1" t="str">
        <f ca="1">IFERROR(__xludf.DUMMYFUNCTION("GOOGLETRANSLATE(F7432, ""auto"", ""en"")
"),"Great hair clipper! The set includes 2 adjustable attachments, in total the length of the cut hair can be adjusted in the range of 3-41 mm, plus a removable 1.6mm attachment - for shaving “headless”. This machine is also simply great for trimming a beard "&amp;"- no other trimmer can compare, I've tried a bunch of them, each one more terrible than the other. With this machine, trimming your beard and mustache takes about 2 minutes.  Does not require lubrication and does not get clogged with hair. The cord is fle"&amp;"xible and long enough.")</f>
        <v>Great hair clipper! The set includes 2 adjustable attachments, in total the length of the cut hair can be adjusted in the range of 3-41 mm, plus a removable 1.6mm attachment - for shaving “headless”. This machine is also simply great for trimming a beard - no other trimmer can compare, I've tried a bunch of them, each one more terrible than the other. With this machine, trimming your beard and mustache takes about 2 minutes.  Does not require lubrication and does not get clogged with hair. The cord is flexible and long enough.</v>
      </c>
    </row>
    <row r="7433" spans="1:9" x14ac:dyDescent="0.3">
      <c r="A7433" s="1" t="s">
        <v>30</v>
      </c>
      <c r="B7433" s="1" t="s">
        <v>50</v>
      </c>
      <c r="C7433" s="1" t="s">
        <v>32</v>
      </c>
      <c r="D7433" s="1" t="s">
        <v>11465</v>
      </c>
      <c r="E7433" s="1" t="s">
        <v>1788</v>
      </c>
      <c r="F7433" s="1" t="s">
        <v>11466</v>
      </c>
      <c r="G7433" s="1" t="s">
        <v>15</v>
      </c>
      <c r="H7433" s="1" t="s">
        <v>16</v>
      </c>
      <c r="I7433" s="1" t="str">
        <f ca="1">IFERROR(__xludf.DUMMYFUNCTION("GOOGLETRANSLATE(F7433, ""auto"", ""en"")
"),"I never thought that I would leave a negative review about this laptop.   When I first saw this laptop I fell in love! This huge screen and sound are just a miracle! so what if it’s heavy (4kg) - that’s all I want!   And now I'm upset.   It takes a very l"&amp;"ong time to turn on = 2-3 minutes, the touch keyboard does not work;  The speaker, when you listen to music for a long time at a volume of 70, starts to wheeze!   The ""accountant"" keyboard does not work - it is so needed. With this screen resolution, ma"&amp;"ny pictures become simply ugly (this is not important, but sometimes annoying).  PROS - great to watch movies - just a cinema!  The sound is spacious and full. Cool design, the keyboard is pleasant to use.   320 Gig - I love it when there is a lot of memo"&amp;"ry!! In general, for those who are planning to buy it, I will say - a good laptop worthy of admiration!     But I probably just got a defective one (as usual), I’ll take it in for repairs under warranty tomorrow. :(")</f>
        <v>I never thought that I would leave a negative review about this laptop.   When I first saw this laptop I fell in love! This huge screen and sound are just a miracle! so what if it’s heavy (4kg) - that’s all I want!   And now I'm upset.   It takes a very long time to turn on = 2-3 minutes, the touch keyboard does not work;  The speaker, when you listen to music for a long time at a volume of 70, starts to wheeze!   The "accountant" keyboard does not work - it is so needed. With this screen resolution, many pictures become simply ugly (this is not important, but sometimes annoying).  PROS - great to watch movies - just a cinema!  The sound is spacious and full. Cool design, the keyboard is pleasant to use.   320 Gig - I love it when there is a lot of memory!! In general, for those who are planning to buy it, I will say - a good laptop worthy of admiration!     But I probably just got a defective one (as usual), I’ll take it in for repairs under warranty tomorrow. :(</v>
      </c>
    </row>
    <row r="7434" spans="1:9" x14ac:dyDescent="0.3">
      <c r="A7434" s="1" t="s">
        <v>61</v>
      </c>
      <c r="B7434" s="1" t="s">
        <v>145</v>
      </c>
      <c r="C7434" s="1" t="s">
        <v>246</v>
      </c>
      <c r="D7434" s="1" t="s">
        <v>75</v>
      </c>
      <c r="E7434" s="1" t="s">
        <v>559</v>
      </c>
      <c r="F7434" s="1" t="s">
        <v>11467</v>
      </c>
      <c r="G7434" s="1" t="s">
        <v>36</v>
      </c>
      <c r="H7434" s="1" t="s">
        <v>29</v>
      </c>
      <c r="I7434" s="1" t="str">
        <f ca="1">IFERROR(__xludf.DUMMYFUNCTION("GOOGLETRANSLATE(F7434, ""auto"", ""en"")
"),"We were given a Tefal yogurt maker for our wedding anniversary. I bought Narine sourdough and did everything according to the instructions. It turned out to be a wonderful yogurt, I really liked it. Now I will experiment with additives! I recommend it to "&amp;"everyone! The main thing is that yoghurts are very healthy!")</f>
        <v>We were given a Tefal yogurt maker for our wedding anniversary. I bought Narine sourdough and did everything according to the instructions. It turned out to be a wonderful yogurt, I really liked it. Now I will experiment with additives! I recommend it to everyone! The main thing is that yoghurts are very healthy!</v>
      </c>
    </row>
    <row r="7435" spans="1:9" x14ac:dyDescent="0.3">
      <c r="A7435" s="1" t="s">
        <v>78</v>
      </c>
      <c r="B7435" s="1" t="s">
        <v>493</v>
      </c>
      <c r="C7435" s="1" t="s">
        <v>122</v>
      </c>
      <c r="D7435" s="1" t="s">
        <v>308</v>
      </c>
      <c r="E7435" s="1" t="s">
        <v>8466</v>
      </c>
      <c r="F7435" s="1" t="s">
        <v>11468</v>
      </c>
      <c r="G7435" s="1" t="s">
        <v>49</v>
      </c>
      <c r="H7435" s="1" t="s">
        <v>16</v>
      </c>
      <c r="I7435" s="1" t="str">
        <f ca="1">IFERROR(__xludf.DUMMYFUNCTION("GOOGLETRANSLATE(F7435, ""auto"", ""en"")
"),"I liked the stove until it broke today after working for two years. Alas.")</f>
        <v>I liked the stove until it broke today after working for two years. Alas.</v>
      </c>
    </row>
    <row r="7436" spans="1:9" x14ac:dyDescent="0.3">
      <c r="A7436" s="1" t="s">
        <v>149</v>
      </c>
      <c r="B7436" s="1" t="s">
        <v>155</v>
      </c>
      <c r="C7436" s="1" t="s">
        <v>151</v>
      </c>
      <c r="D7436" s="1" t="s">
        <v>171</v>
      </c>
      <c r="E7436" s="1" t="s">
        <v>1702</v>
      </c>
      <c r="F7436" s="1" t="s">
        <v>11469</v>
      </c>
      <c r="G7436" s="1" t="s">
        <v>28</v>
      </c>
      <c r="H7436" s="1" t="s">
        <v>29</v>
      </c>
      <c r="I7436" s="1" t="str">
        <f ca="1">IFERROR(__xludf.DUMMYFUNCTION("GOOGLETRANSLATE(F7436, ""auto"", ""en"")
"),"Does his job well")</f>
        <v>Does his job well</v>
      </c>
    </row>
    <row r="7437" spans="1:9" x14ac:dyDescent="0.3">
      <c r="A7437" s="1" t="s">
        <v>89</v>
      </c>
      <c r="B7437" s="1" t="s">
        <v>90</v>
      </c>
      <c r="C7437" s="1" t="s">
        <v>63</v>
      </c>
      <c r="D7437" s="1" t="s">
        <v>247</v>
      </c>
      <c r="E7437" s="1" t="s">
        <v>11470</v>
      </c>
      <c r="F7437" s="1" t="s">
        <v>11471</v>
      </c>
      <c r="G7437" s="1" t="s">
        <v>36</v>
      </c>
      <c r="H7437" s="1" t="s">
        <v>29</v>
      </c>
      <c r="I7437" s="1" t="str">
        <f ca="1">IFERROR(__xludf.DUMMYFUNCTION("GOOGLETRANSLATE(F7437, ""auto"", ""en"")
"),"good. almost two years. body that inspires confidence. nothing extra. the power is sufficient. Grinded over 3 kg of coffee. I process at least half a kg at a time. It does its job perfectly! normal flight)")</f>
        <v>good. almost two years. body that inspires confidence. nothing extra. the power is sufficient. Grinded over 3 kg of coffee. I process at least half a kg at a time. It does its job perfectly! normal flight)</v>
      </c>
    </row>
    <row r="7438" spans="1:9" x14ac:dyDescent="0.3">
      <c r="A7438" s="1" t="s">
        <v>369</v>
      </c>
      <c r="B7438" s="1" t="s">
        <v>2480</v>
      </c>
      <c r="C7438" s="1" t="s">
        <v>453</v>
      </c>
      <c r="D7438" s="1" t="s">
        <v>152</v>
      </c>
      <c r="E7438" s="1" t="s">
        <v>4386</v>
      </c>
      <c r="F7438" s="1" t="s">
        <v>11472</v>
      </c>
      <c r="G7438" s="1" t="s">
        <v>36</v>
      </c>
      <c r="H7438" s="1" t="s">
        <v>29</v>
      </c>
      <c r="I7438" s="1" t="str">
        <f ca="1">IFERROR(__xludf.DUMMYFUNCTION("GOOGLETRANSLATE(F7438, ""auto"", ""en"")
"),"Decent thermoregulation, compact, quite reliable.")</f>
        <v>Decent thermoregulation, compact, quite reliable.</v>
      </c>
    </row>
    <row r="7439" spans="1:9" x14ac:dyDescent="0.3">
      <c r="A7439" s="1" t="s">
        <v>37</v>
      </c>
      <c r="B7439" s="1" t="s">
        <v>536</v>
      </c>
      <c r="C7439" s="1" t="s">
        <v>32</v>
      </c>
      <c r="D7439" s="1" t="s">
        <v>152</v>
      </c>
      <c r="E7439" s="1" t="s">
        <v>2011</v>
      </c>
      <c r="F7439" s="1" t="s">
        <v>11473</v>
      </c>
      <c r="G7439" s="1" t="s">
        <v>36</v>
      </c>
      <c r="H7439" s="1" t="s">
        <v>29</v>
      </c>
      <c r="I7439" s="1" t="str">
        <f ca="1">IFERROR(__xludf.DUMMYFUNCTION("GOOGLETRANSLATE(F7439, ""auto"", ""en"")
"),"A wonderful communicator, inexpensive, and you don’t need wi-fi, using bluetooth on your computer and ActiveSync (it’s free on the Microsoft website). The white version is less prone to fingerprints.")</f>
        <v>A wonderful communicator, inexpensive, and you don’t need wi-fi, using bluetooth on your computer and ActiveSync (it’s free on the Microsoft website). The white version is less prone to fingerprints.</v>
      </c>
    </row>
    <row r="7440" spans="1:9" x14ac:dyDescent="0.3">
      <c r="A7440" s="1" t="s">
        <v>105</v>
      </c>
      <c r="B7440" s="1" t="s">
        <v>106</v>
      </c>
      <c r="C7440" s="1" t="s">
        <v>1209</v>
      </c>
      <c r="D7440" s="1" t="s">
        <v>2923</v>
      </c>
      <c r="E7440" s="1" t="s">
        <v>1463</v>
      </c>
      <c r="F7440" s="1" t="s">
        <v>11474</v>
      </c>
      <c r="G7440" s="1" t="s">
        <v>28</v>
      </c>
      <c r="H7440" s="1" t="s">
        <v>29</v>
      </c>
      <c r="I7440" s="1" t="str">
        <f ca="1">IFERROR(__xludf.DUMMYFUNCTION("GOOGLETRANSLATE(F7440, ""auto"", ""en"")
"),"Quickly broke the connector under the headphones, and so everything is fine!")</f>
        <v>Quickly broke the connector under the headphones, and so everything is fine!</v>
      </c>
    </row>
    <row r="7441" spans="1:9" x14ac:dyDescent="0.3">
      <c r="A7441" s="1" t="s">
        <v>17</v>
      </c>
      <c r="B7441" s="1" t="s">
        <v>18</v>
      </c>
      <c r="C7441" s="1" t="s">
        <v>243</v>
      </c>
      <c r="D7441" s="1" t="s">
        <v>7841</v>
      </c>
      <c r="E7441" s="1" t="s">
        <v>4972</v>
      </c>
      <c r="F7441" s="1" t="s">
        <v>11475</v>
      </c>
      <c r="G7441" s="1" t="s">
        <v>36</v>
      </c>
      <c r="H7441" s="1" t="s">
        <v>29</v>
      </c>
      <c r="I7441" s="1" t="str">
        <f ca="1">IFERROR(__xludf.DUMMYFUNCTION("GOOGLETRANSLATE(F7441, ""auto"", ""en"")
"),"I bought it just recently. I'm happy with the purchase, it's quiet, there are many modes, the load is a little small, and the machine is small. Before that there was ARDO for 16,000 rubles. two breakdowns in 4 years costing 4,000 rubles pushed me to buy a"&amp;" new simple washing machine. M-video made a super price offer and I made my choice. I took PDS for 3 years and use it for my health. I advise everyone")</f>
        <v>I bought it just recently. I'm happy with the purchase, it's quiet, there are many modes, the load is a little small, and the machine is small. Before that there was ARDO for 16,000 rubles. two breakdowns in 4 years costing 4,000 rubles pushed me to buy a new simple washing machine. M-video made a super price offer and I made my choice. I took PDS for 3 years and use it for my health. I advise everyone</v>
      </c>
    </row>
    <row r="7442" spans="1:9" x14ac:dyDescent="0.3">
      <c r="A7442" s="1" t="s">
        <v>211</v>
      </c>
      <c r="B7442" s="1" t="s">
        <v>899</v>
      </c>
      <c r="C7442" s="1" t="s">
        <v>213</v>
      </c>
      <c r="D7442" s="1" t="s">
        <v>12</v>
      </c>
      <c r="E7442" s="1" t="s">
        <v>5419</v>
      </c>
      <c r="F7442" s="1" t="s">
        <v>11476</v>
      </c>
      <c r="G7442" s="1" t="s">
        <v>36</v>
      </c>
      <c r="H7442" s="1" t="s">
        <v>29</v>
      </c>
      <c r="I7442" s="1" t="str">
        <f ca="1">IFERROR(__xludf.DUMMYFUNCTION("GOOGLETRANSLATE(F7442, ""auto"", ""en"")
"),"I've been using this brush for a year now and have noticed no shortcomings. In terms of price/quality ratio, it is perhaps the best offer on the market. After it, ordinary manual brushes are a stone age.")</f>
        <v>I've been using this brush for a year now and have noticed no shortcomings. In terms of price/quality ratio, it is perhaps the best offer on the market. After it, ordinary manual brushes are a stone age.</v>
      </c>
    </row>
    <row r="7443" spans="1:9" x14ac:dyDescent="0.3">
      <c r="A7443" s="1" t="s">
        <v>30</v>
      </c>
      <c r="B7443" s="1" t="s">
        <v>50</v>
      </c>
      <c r="C7443" s="1" t="s">
        <v>32</v>
      </c>
      <c r="D7443" s="1" t="s">
        <v>130</v>
      </c>
      <c r="E7443" s="1" t="s">
        <v>118</v>
      </c>
      <c r="F7443" s="1" t="s">
        <v>11477</v>
      </c>
      <c r="G7443" s="1" t="s">
        <v>36</v>
      </c>
      <c r="H7443" s="1" t="s">
        <v>29</v>
      </c>
      <c r="I7443" s="1" t="str">
        <f ca="1">IFERROR(__xludf.DUMMYFUNCTION("GOOGLETRANSLATE(F7443, ""auto"", ""en"")
"),"Great laptop. Vista does not slow down, it installed normally the first time. The sound is amazing, but I immediately connected large conventional SVEN speakers. Call of Duty 4 flies at its native resolution of 1600*900 with maximum parameters. The coolin"&amp;"g system hardly gets hot and makes no noise. I am completely satisfied with the laptop!")</f>
        <v>Great laptop. Vista does not slow down, it installed normally the first time. The sound is amazing, but I immediately connected large conventional SVEN speakers. Call of Duty 4 flies at its native resolution of 1600*900 with maximum parameters. The cooling system hardly gets hot and makes no noise. I am completely satisfied with the laptop!</v>
      </c>
    </row>
    <row r="7444" spans="1:9" x14ac:dyDescent="0.3">
      <c r="A7444" s="1" t="s">
        <v>811</v>
      </c>
      <c r="B7444" s="1" t="s">
        <v>812</v>
      </c>
      <c r="C7444" s="1" t="s">
        <v>813</v>
      </c>
      <c r="D7444" s="1" t="s">
        <v>385</v>
      </c>
      <c r="E7444" s="1" t="s">
        <v>1847</v>
      </c>
      <c r="F7444" s="1" t="s">
        <v>11478</v>
      </c>
      <c r="G7444" s="1" t="s">
        <v>36</v>
      </c>
      <c r="H7444" s="1" t="s">
        <v>29</v>
      </c>
      <c r="I7444" s="1" t="str">
        <f ca="1">IFERROR(__xludf.DUMMYFUNCTION("GOOGLETRANSLATE(F7444, ""auto"", ""en"")
"),"In addition to my previous review. The tripod does not have instructions, so you have to figure out what to adjust with what by trial and error. Using this method, it was found that the handle with which the head moves rotates, as a result of which the up"&amp;" and down movements of the head become smoother. So now I have no complaints about the tripod. For a beginner - just right. Thanks to the store consultants for the good recommendation.")</f>
        <v>In addition to my previous review. The tripod does not have instructions, so you have to figure out what to adjust with what by trial and error. Using this method, it was found that the handle with which the head moves rotates, as a result of which the up and down movements of the head become smoother. So now I have no complaints about the tripod. For a beginner - just right. Thanks to the store consultants for the good recommendation.</v>
      </c>
    </row>
    <row r="7445" spans="1:9" x14ac:dyDescent="0.3">
      <c r="A7445" s="1" t="s">
        <v>519</v>
      </c>
      <c r="B7445" s="1" t="s">
        <v>520</v>
      </c>
      <c r="C7445" s="1" t="s">
        <v>3571</v>
      </c>
      <c r="D7445" s="1" t="s">
        <v>208</v>
      </c>
      <c r="E7445" s="1" t="s">
        <v>7547</v>
      </c>
      <c r="F7445" s="1" t="s">
        <v>11479</v>
      </c>
      <c r="G7445" s="1" t="s">
        <v>28</v>
      </c>
      <c r="H7445" s="1" t="s">
        <v>29</v>
      </c>
      <c r="I7445" s="1" t="str">
        <f ca="1">IFERROR(__xludf.DUMMYFUNCTION("GOOGLETRANSLATE(F7445, ""auto"", ""en"")
"),"High quality and comfortable")</f>
        <v>High quality and comfortable</v>
      </c>
    </row>
    <row r="7446" spans="1:9" x14ac:dyDescent="0.3">
      <c r="A7446" s="1" t="s">
        <v>9</v>
      </c>
      <c r="B7446" s="1" t="s">
        <v>137</v>
      </c>
      <c r="C7446" s="1" t="s">
        <v>870</v>
      </c>
      <c r="D7446" s="1" t="s">
        <v>11480</v>
      </c>
      <c r="E7446" s="1" t="s">
        <v>1723</v>
      </c>
      <c r="F7446" s="1" t="s">
        <v>11481</v>
      </c>
      <c r="G7446" s="1" t="s">
        <v>28</v>
      </c>
      <c r="H7446" s="1" t="s">
        <v>29</v>
      </c>
      <c r="I7446" s="1" t="str">
        <f ca="1">IFERROR(__xludf.DUMMYFUNCTION("GOOGLETRANSLATE(F7446, ""auto"", ""en"")
"),"I bought it over the weekend, but of course I haven't used it yet.    It's nice to have a powerful 3kW burner - the kettle should boil quickly.")</f>
        <v>I bought it over the weekend, but of course I haven't used it yet.    It's nice to have a powerful 3kW burner - the kettle should boil quickly.</v>
      </c>
    </row>
    <row r="7447" spans="1:9" x14ac:dyDescent="0.3">
      <c r="A7447" s="1" t="s">
        <v>30</v>
      </c>
      <c r="B7447" s="1" t="s">
        <v>50</v>
      </c>
      <c r="C7447" s="1" t="s">
        <v>189</v>
      </c>
      <c r="D7447" s="1" t="s">
        <v>186</v>
      </c>
      <c r="E7447" s="1" t="s">
        <v>2298</v>
      </c>
      <c r="F7447" s="1" t="s">
        <v>11482</v>
      </c>
      <c r="G7447" s="1" t="s">
        <v>36</v>
      </c>
      <c r="H7447" s="1" t="s">
        <v>29</v>
      </c>
      <c r="I7447" s="1" t="str">
        <f ca="1">IFERROR(__xludf.DUMMYFUNCTION("GOOGLETRANSLATE(F7447, ""auto"", ""en"")
"),"Tell me if it will be possible to overclock the processor.")</f>
        <v>Tell me if it will be possible to overclock the processor.</v>
      </c>
    </row>
    <row r="7448" spans="1:9" x14ac:dyDescent="0.3">
      <c r="A7448" s="1" t="s">
        <v>211</v>
      </c>
      <c r="B7448" s="1" t="s">
        <v>856</v>
      </c>
      <c r="C7448" s="1" t="s">
        <v>57</v>
      </c>
      <c r="D7448" s="1" t="s">
        <v>3923</v>
      </c>
      <c r="E7448" s="1" t="s">
        <v>11483</v>
      </c>
      <c r="F7448" s="1" t="s">
        <v>11484</v>
      </c>
      <c r="G7448" s="1" t="s">
        <v>36</v>
      </c>
      <c r="H7448" s="1" t="s">
        <v>29</v>
      </c>
      <c r="I7448" s="1" t="str">
        <f ca="1">IFERROR(__xludf.DUMMYFUNCTION("GOOGLETRANSLATE(F7448, ""auto"", ""en"")
"),"For the price this is a pretty decent bath! I took it for myself, my legs have been hurting a lot lately, I come in the evening and relax just with her. Everything works fine, except, perhaps, for heating (when I took it I already knew that it would not w"&amp;"ork), I believe that the temperature does not hold because of the low power, so I just pour hotter water (in 15 minutes it does not have time to become cold).")</f>
        <v>For the price this is a pretty decent bath! I took it for myself, my legs have been hurting a lot lately, I come in the evening and relax just with her. Everything works fine, except, perhaps, for heating (when I took it I already knew that it would not work), I believe that the temperature does not hold because of the low power, so I just pour hotter water (in 15 minutes it does not have time to become cold).</v>
      </c>
    </row>
    <row r="7449" spans="1:9" x14ac:dyDescent="0.3">
      <c r="A7449" s="1" t="s">
        <v>238</v>
      </c>
      <c r="B7449" s="1" t="s">
        <v>239</v>
      </c>
      <c r="C7449" s="1" t="s">
        <v>240</v>
      </c>
      <c r="D7449" s="1" t="s">
        <v>305</v>
      </c>
      <c r="E7449" s="1" t="s">
        <v>5402</v>
      </c>
      <c r="F7449" s="1" t="s">
        <v>11485</v>
      </c>
      <c r="G7449" s="1" t="s">
        <v>36</v>
      </c>
      <c r="H7449" s="1" t="s">
        <v>29</v>
      </c>
      <c r="I7449" s="1" t="str">
        <f ca="1">IFERROR(__xludf.DUMMYFUNCTION("GOOGLETRANSLATE(F7449, ""auto"", ""en"")
"),"German quality: made of quality materials. The doors are made of stainless steel, the sides are painted to resemble “stainless steel”. The compressor on the freezer is Austrian, the one on the refrigerator is Italian, if anyone is interested. Both work qu"&amp;"ietly, you have to listen. Cooling and freezing is excellent. Very roomy and functional; The freezer is a “bomb” compared to “Samsungs and LZ” in this price category. Easy to install refrigerators in a side-by-side configuration. I recommend, despite the "&amp;"price, compare with analogues from other manufacturers and make sure that Liebher is better!!!!!")</f>
        <v>German quality: made of quality materials. The doors are made of stainless steel, the sides are painted to resemble “stainless steel”. The compressor on the freezer is Austrian, the one on the refrigerator is Italian, if anyone is interested. Both work quietly, you have to listen. Cooling and freezing is excellent. Very roomy and functional; The freezer is a “bomb” compared to “Samsungs and LZ” in this price category. Easy to install refrigerators in a side-by-side configuration. I recommend, despite the price, compare with analogues from other manufacturers and make sure that Liebher is better!!!!!</v>
      </c>
    </row>
    <row r="7450" spans="1:9" x14ac:dyDescent="0.3">
      <c r="A7450" s="1" t="s">
        <v>105</v>
      </c>
      <c r="B7450" s="1" t="s">
        <v>106</v>
      </c>
      <c r="C7450" s="1" t="s">
        <v>1209</v>
      </c>
      <c r="D7450" s="1" t="s">
        <v>411</v>
      </c>
      <c r="E7450" s="1" t="s">
        <v>201</v>
      </c>
      <c r="F7450" s="1" t="s">
        <v>11486</v>
      </c>
      <c r="G7450" s="1" t="s">
        <v>15</v>
      </c>
      <c r="H7450" s="1" t="s">
        <v>16</v>
      </c>
      <c r="I7450" s="1" t="str">
        <f ca="1">IFERROR(__xludf.DUMMYFUNCTION("GOOGLETRANSLATE(F7450, ""auto"", ""en"")
"),"I would give up such a player, because... Duration of operation is a very important parameter")</f>
        <v>I would give up such a player, because... Duration of operation is a very important parameter</v>
      </c>
    </row>
    <row r="7451" spans="1:9" x14ac:dyDescent="0.3">
      <c r="A7451" s="1" t="s">
        <v>557</v>
      </c>
      <c r="B7451" s="1" t="s">
        <v>1977</v>
      </c>
      <c r="C7451" s="1" t="s">
        <v>122</v>
      </c>
      <c r="D7451" s="1" t="s">
        <v>1121</v>
      </c>
      <c r="E7451" s="1" t="s">
        <v>6200</v>
      </c>
      <c r="F7451" s="1" t="s">
        <v>11487</v>
      </c>
      <c r="G7451" s="1" t="s">
        <v>36</v>
      </c>
      <c r="H7451" s="1" t="s">
        <v>29</v>
      </c>
      <c r="I7451" s="1" t="str">
        <f ca="1">IFERROR(__xludf.DUMMYFUNCTION("GOOGLETRANSLATE(F7451, ""auto"", ""en"")
"),"This model has a problem with the [ENTER] button.  When you buy, take 3 AA batteries with you to check the operation of the setting buttons, including the above! This model works with the specified batteries (setting the clock, etc.) The buttons are press"&amp;"ed, there is no hope that it will last a long time.")</f>
        <v>This model has a problem with the [ENTER] button.  When you buy, take 3 AA batteries with you to check the operation of the setting buttons, including the above! This model works with the specified batteries (setting the clock, etc.) The buttons are pressed, there is no hope that it will last a long time.</v>
      </c>
    </row>
    <row r="7452" spans="1:9" x14ac:dyDescent="0.3">
      <c r="A7452" s="1" t="s">
        <v>9</v>
      </c>
      <c r="B7452" s="1" t="s">
        <v>137</v>
      </c>
      <c r="C7452" s="1" t="s">
        <v>159</v>
      </c>
      <c r="D7452" s="1" t="s">
        <v>4999</v>
      </c>
      <c r="E7452" s="1" t="s">
        <v>379</v>
      </c>
      <c r="F7452" s="1" t="s">
        <v>11488</v>
      </c>
      <c r="G7452" s="1" t="s">
        <v>28</v>
      </c>
      <c r="H7452" s="1" t="s">
        <v>29</v>
      </c>
      <c r="I7452" s="1" t="str">
        <f ca="1">IFERROR(__xludf.DUMMYFUNCTION("GOOGLETRANSLATE(F7452, ""auto"", ""en"")
"),"In general, the stove is not bad, of high quality, but not well thought out... I was upset at home by the fact that the largest burner is at the back, and the distance to the end of the panel is very short, so I can’t cook on this burner. The racks are al"&amp;"so not very comfortable, it’s not clear why they were moved to the outer sides, the dishes don’t hold very well... In general, it’ll do just fine...")</f>
        <v>In general, the stove is not bad, of high quality, but not well thought out... I was upset at home by the fact that the largest burner is at the back, and the distance to the end of the panel is very short, so I can’t cook on this burner. The racks are also not very comfortable, it’s not clear why they were moved to the outer sides, the dishes don’t hold very well... In general, it’ll do just fine...</v>
      </c>
    </row>
    <row r="7453" spans="1:9" x14ac:dyDescent="0.3">
      <c r="A7453" s="1" t="s">
        <v>149</v>
      </c>
      <c r="B7453" s="1" t="s">
        <v>155</v>
      </c>
      <c r="C7453" s="1" t="s">
        <v>63</v>
      </c>
      <c r="D7453" s="1" t="s">
        <v>11489</v>
      </c>
      <c r="E7453" s="1" t="s">
        <v>1492</v>
      </c>
      <c r="F7453" s="1" t="s">
        <v>11490</v>
      </c>
      <c r="G7453" s="1" t="s">
        <v>15</v>
      </c>
      <c r="H7453" s="1" t="s">
        <v>16</v>
      </c>
      <c r="I7453" s="1" t="str">
        <f ca="1">IFERROR(__xludf.DUMMYFUNCTION("GOOGLETRANSLATE(F7453, ""auto"", ""en"")
"),"It worked for exactly one year and one month, from the beginning it began to hum like an airplane, then it smelled like engine windings, the result: it is beyond repair!!!")</f>
        <v>It worked for exactly one year and one month, from the beginning it began to hum like an airplane, then it smelled like engine windings, the result: it is beyond repair!!!</v>
      </c>
    </row>
    <row r="7454" spans="1:9" x14ac:dyDescent="0.3">
      <c r="A7454" s="1" t="s">
        <v>149</v>
      </c>
      <c r="B7454" s="1" t="s">
        <v>423</v>
      </c>
      <c r="C7454" s="1" t="s">
        <v>424</v>
      </c>
      <c r="D7454" s="1" t="s">
        <v>11491</v>
      </c>
      <c r="E7454" s="1" t="s">
        <v>675</v>
      </c>
      <c r="F7454" s="1" t="s">
        <v>11492</v>
      </c>
      <c r="G7454" s="1" t="s">
        <v>36</v>
      </c>
      <c r="H7454" s="1" t="s">
        <v>29</v>
      </c>
      <c r="I7454" s="1" t="str">
        <f ca="1">IFERROR(__xludf.DUMMYFUNCTION("GOOGLETRANSLATE(F7454, ""auto"", ""en"")
"),"The best washing vacuum cleaner in terms of price-quality ratio. It is extremely easy to use, and the quality of cleaning corresponds to the declared one - AAA (highest class).   I advise you to buy from M-Video, where the sellers know the product thoroug"&amp;"hly, they immediately said that the kit includes 2 free branded products for cleaning floors and carpets. But online stores either don’t have this vacuum cleaner, or they deliver it while I’m at work, and they don’t work on weekends.")</f>
        <v>The best washing vacuum cleaner in terms of price-quality ratio. It is extremely easy to use, and the quality of cleaning corresponds to the declared one - AAA (highest class).   I advise you to buy from M-Video, where the sellers know the product thoroughly, they immediately said that the kit includes 2 free branded products for cleaning floors and carpets. But online stores either don’t have this vacuum cleaner, or they deliver it while I’m at work, and they don’t work on weekends.</v>
      </c>
    </row>
    <row r="7455" spans="1:9" x14ac:dyDescent="0.3">
      <c r="A7455" s="1" t="s">
        <v>9</v>
      </c>
      <c r="B7455" s="1" t="s">
        <v>874</v>
      </c>
      <c r="C7455" s="1" t="s">
        <v>588</v>
      </c>
      <c r="D7455" s="1" t="s">
        <v>2336</v>
      </c>
      <c r="E7455" s="1" t="s">
        <v>8999</v>
      </c>
      <c r="F7455" s="1" t="s">
        <v>11493</v>
      </c>
      <c r="G7455" s="1" t="s">
        <v>28</v>
      </c>
      <c r="H7455" s="1" t="s">
        <v>29</v>
      </c>
      <c r="I7455" s="1" t="str">
        <f ca="1">IFERROR(__xludf.DUMMYFUNCTION("GOOGLETRANSLATE(F7455, ""auto"", ""en"")
"),"The technology is great. Excellent! It has many advantages, including an unusual and bright design. I have been using it for 8 months and I think that the stove will last for a long time. Glass ceramics are a thing that heats up quickly and does not burn,"&amp;" and is also easy and simple to clean. I recommend it to everyone! Don't doubt your choice!")</f>
        <v>The technology is great. Excellent! It has many advantages, including an unusual and bright design. I have been using it for 8 months and I think that the stove will last for a long time. Glass ceramics are a thing that heats up quickly and does not burn, and is also easy and simple to clean. I recommend it to everyone! Don't doubt your choice!</v>
      </c>
    </row>
    <row r="7456" spans="1:9" x14ac:dyDescent="0.3">
      <c r="A7456" s="1" t="s">
        <v>95</v>
      </c>
      <c r="B7456" s="1" t="s">
        <v>486</v>
      </c>
      <c r="C7456" s="1" t="s">
        <v>487</v>
      </c>
      <c r="D7456" s="1" t="s">
        <v>172</v>
      </c>
      <c r="E7456" s="1" t="s">
        <v>3219</v>
      </c>
      <c r="F7456" s="1" t="s">
        <v>11494</v>
      </c>
      <c r="G7456" s="1" t="s">
        <v>36</v>
      </c>
      <c r="H7456" s="1" t="s">
        <v>29</v>
      </c>
      <c r="I7456" s="1" t="str">
        <f ca="1">IFERROR(__xludf.DUMMYFUNCTION("GOOGLETRANSLATE(F7456, ""auto"", ""en"")
"),"It will work great on a large plasma, but you will need to purchase an HDMI cable, and I don’t recommend saving on its cost; if you want perfect quality, you’ll have to pay for it!")</f>
        <v>It will work great on a large plasma, but you will need to purchase an HDMI cable, and I don’t recommend saving on its cost; if you want perfect quality, you’ll have to pay for it!</v>
      </c>
    </row>
    <row r="7457" spans="1:9" x14ac:dyDescent="0.3">
      <c r="A7457" s="1" t="s">
        <v>89</v>
      </c>
      <c r="B7457" s="1" t="s">
        <v>1106</v>
      </c>
      <c r="C7457" s="1" t="s">
        <v>74</v>
      </c>
      <c r="D7457" s="1" t="s">
        <v>295</v>
      </c>
      <c r="E7457" s="1" t="s">
        <v>432</v>
      </c>
      <c r="F7457" s="1" t="s">
        <v>11495</v>
      </c>
      <c r="G7457" s="1" t="s">
        <v>36</v>
      </c>
      <c r="H7457" s="1" t="s">
        <v>29</v>
      </c>
      <c r="I7457" s="1" t="str">
        <f ca="1">IFERROR(__xludf.DUMMYFUNCTION("GOOGLETRANSLATE(F7457, ""auto"", ""en"")
"),"Great coffee maker! It has been in service for more than 2 years. Brews coffee quickly, the size of the flask is enough for 2-3 people. I'm very pleased. Only the anti-drip system does not hold drops :( one drop will fall on the heating disk, but this is "&amp;"not a minus for me.")</f>
        <v>Great coffee maker! It has been in service for more than 2 years. Brews coffee quickly, the size of the flask is enough for 2-3 people. I'm very pleased. Only the anti-drip system does not hold drops :( one drop will fall on the heating disk, but this is not a minus for me.</v>
      </c>
    </row>
    <row r="7458" spans="1:9" x14ac:dyDescent="0.3">
      <c r="A7458" s="1" t="s">
        <v>17</v>
      </c>
      <c r="B7458" s="1" t="s">
        <v>18</v>
      </c>
      <c r="C7458" s="1" t="s">
        <v>885</v>
      </c>
      <c r="D7458" s="1" t="s">
        <v>11496</v>
      </c>
      <c r="E7458" s="1" t="s">
        <v>2265</v>
      </c>
      <c r="F7458" s="1" t="s">
        <v>11497</v>
      </c>
      <c r="G7458" s="1" t="s">
        <v>36</v>
      </c>
      <c r="H7458" s="1" t="s">
        <v>29</v>
      </c>
      <c r="I7458" s="1" t="str">
        <f ca="1">IFERROR(__xludf.DUMMYFUNCTION("GOOGLETRANSLATE(F7458, ""auto"", ""en"")
"),"We've been doing laundry on it for over a year now, including washing children's clothes. There were no problems, it washes well, there is a convenient quick wash mode, it’s quite quiet, in a word, we like it))")</f>
        <v>We've been doing laundry on it for over a year now, including washing children's clothes. There were no problems, it washes well, there is a convenient quick wash mode, it’s quite quiet, in a word, we like it))</v>
      </c>
    </row>
    <row r="7459" spans="1:9" x14ac:dyDescent="0.3">
      <c r="A7459" s="1" t="s">
        <v>120</v>
      </c>
      <c r="B7459" s="1" t="s">
        <v>834</v>
      </c>
      <c r="C7459" s="1" t="s">
        <v>97</v>
      </c>
      <c r="D7459" s="1" t="s">
        <v>695</v>
      </c>
      <c r="E7459" s="1" t="s">
        <v>634</v>
      </c>
      <c r="F7459" s="1" t="s">
        <v>11498</v>
      </c>
      <c r="G7459" s="1" t="s">
        <v>36</v>
      </c>
      <c r="H7459" s="1" t="s">
        <v>29</v>
      </c>
      <c r="I7459" s="1" t="str">
        <f ca="1">IFERROR(__xludf.DUMMYFUNCTION("GOOGLETRANSLATE(F7459, ""auto"", ""en"")
"),"Very cool residential complex!!! The excellent picture differs from its predecessor: 100,000:1 contrast and 100 Hz technology. I'm looking forward to it in Omsk!")</f>
        <v>Very cool residential complex!!! The excellent picture differs from its predecessor: 100,000:1 contrast and 100 Hz technology. I'm looking forward to it in Omsk!</v>
      </c>
    </row>
    <row r="7460" spans="1:9" x14ac:dyDescent="0.3">
      <c r="A7460" s="1" t="s">
        <v>61</v>
      </c>
      <c r="B7460" s="1" t="s">
        <v>318</v>
      </c>
      <c r="C7460" s="1" t="s">
        <v>2840</v>
      </c>
      <c r="D7460" s="1" t="s">
        <v>52</v>
      </c>
      <c r="E7460" s="1" t="s">
        <v>5078</v>
      </c>
      <c r="F7460" s="1" t="s">
        <v>11499</v>
      </c>
      <c r="G7460" s="1" t="s">
        <v>49</v>
      </c>
      <c r="H7460" s="1" t="s">
        <v>16</v>
      </c>
      <c r="I7460" s="1" t="str">
        <f ca="1">IFERROR(__xludf.DUMMYFUNCTION("GOOGLETRANSLATE(F7460, ""auto"", ""en"")
"),"It began to leak a little after a couple of months of operation, and after six months it began to leak so much that it became dangerous to operate.   We took the kettle because it’s ceramic, it’s environmentally friendly, but the quality of workmanship le"&amp;"aves much to be desired. Now, after not using it for even a year, we are forced to buy another kettle :(")</f>
        <v>It began to leak a little after a couple of months of operation, and after six months it began to leak so much that it became dangerous to operate.   We took the kettle because it’s ceramic, it’s environmentally friendly, but the quality of workmanship leaves much to be desired. Now, after not using it for even a year, we are forced to buy another kettle :(</v>
      </c>
    </row>
    <row r="7461" spans="1:9" x14ac:dyDescent="0.3">
      <c r="A7461" s="1" t="s">
        <v>30</v>
      </c>
      <c r="B7461" s="1" t="s">
        <v>31</v>
      </c>
      <c r="C7461" s="1" t="s">
        <v>32</v>
      </c>
      <c r="D7461" s="1" t="s">
        <v>445</v>
      </c>
      <c r="E7461" s="1" t="s">
        <v>2432</v>
      </c>
      <c r="F7461" s="1" t="s">
        <v>11500</v>
      </c>
      <c r="G7461" s="1" t="s">
        <v>28</v>
      </c>
      <c r="H7461" s="1" t="s">
        <v>29</v>
      </c>
      <c r="I7461" s="1" t="str">
        <f ca="1">IFERROR(__xludf.DUMMYFUNCTION("GOOGLETRANSLATE(F7461, ""auto"", ""en"")
"),"The product is not bad, the current actually gets very hot, the games run well. Overall rating of the product is 4!")</f>
        <v>The product is not bad, the current actually gets very hot, the games run well. Overall rating of the product is 4!</v>
      </c>
    </row>
    <row r="7462" spans="1:9" x14ac:dyDescent="0.3">
      <c r="A7462" s="1" t="s">
        <v>211</v>
      </c>
      <c r="B7462" s="1" t="s">
        <v>515</v>
      </c>
      <c r="C7462" s="1" t="s">
        <v>381</v>
      </c>
      <c r="D7462" s="1" t="s">
        <v>12</v>
      </c>
      <c r="E7462" s="1" t="s">
        <v>10860</v>
      </c>
      <c r="F7462" s="1" t="s">
        <v>11501</v>
      </c>
      <c r="G7462" s="1" t="s">
        <v>36</v>
      </c>
      <c r="H7462" s="1" t="s">
        <v>29</v>
      </c>
      <c r="I7462" s="1" t="str">
        <f ca="1">IFERROR(__xludf.DUMMYFUNCTION("GOOGLETRANSLATE(F7462, ""auto"", ""en"")
"),"I chose this epilator because of the large number of attachments and pleasant color. Vibrating balls and cold air relieve pain. I use all attachments except the bikini trimmer. Thanks to the backlight, all the hairs are visible. The exfoliating attachment"&amp;" helps prevent ingrown hairs and leaves your skin feeling super smooth. The nozzles can be washed, but in addition I treat them with chlorohexidine.")</f>
        <v>I chose this epilator because of the large number of attachments and pleasant color. Vibrating balls and cold air relieve pain. I use all attachments except the bikini trimmer. Thanks to the backlight, all the hairs are visible. The exfoliating attachment helps prevent ingrown hairs and leaves your skin feeling super smooth. The nozzles can be washed, but in addition I treat them with chlorohexidine.</v>
      </c>
    </row>
    <row r="7463" spans="1:9" x14ac:dyDescent="0.3">
      <c r="A7463" s="1" t="s">
        <v>211</v>
      </c>
      <c r="B7463" s="1" t="s">
        <v>2818</v>
      </c>
      <c r="C7463" s="1" t="s">
        <v>122</v>
      </c>
      <c r="D7463" s="1" t="s">
        <v>186</v>
      </c>
      <c r="E7463" s="1" t="s">
        <v>11502</v>
      </c>
      <c r="F7463" s="1" t="s">
        <v>11503</v>
      </c>
      <c r="G7463" s="1" t="s">
        <v>36</v>
      </c>
      <c r="H7463" s="1" t="s">
        <v>29</v>
      </c>
      <c r="I7463" s="1" t="str">
        <f ca="1">IFERROR(__xludf.DUMMYFUNCTION("GOOGLETRANSLATE(F7463, ""auto"", ""en"")
"),"For the last year I have been using a Panasonic es rw 805 razor. Everything is fine, but I have to regularly change its cutting units. At first I thought that there might be problems with this, but then I realized that they are sold quite constantly in th"&amp;"is online store. And the price for them is quite reasonable. And they are very easy to rearrange. Moreover, the razor itself continues to work perfectly, so if there are cutting blocks on sale, it is fashionable to hope that you will not have to buy a new"&amp;" razor for a long time.")</f>
        <v>For the last year I have been using a Panasonic es rw 805 razor. Everything is fine, but I have to regularly change its cutting units. At first I thought that there might be problems with this, but then I realized that they are sold quite constantly in this online store. And the price for them is quite reasonable. And they are very easy to rearrange. Moreover, the razor itself continues to work perfectly, so if there are cutting blocks on sale, it is fashionable to hope that you will not have to buy a new razor for a long time.</v>
      </c>
    </row>
    <row r="7464" spans="1:9" x14ac:dyDescent="0.3">
      <c r="A7464" s="1" t="s">
        <v>111</v>
      </c>
      <c r="B7464" s="1" t="s">
        <v>112</v>
      </c>
      <c r="C7464" s="1" t="s">
        <v>8229</v>
      </c>
      <c r="D7464" s="1" t="s">
        <v>11504</v>
      </c>
      <c r="E7464" s="1" t="s">
        <v>10345</v>
      </c>
      <c r="F7464" s="1" t="s">
        <v>11505</v>
      </c>
      <c r="G7464" s="1" t="s">
        <v>36</v>
      </c>
      <c r="H7464" s="1" t="s">
        <v>29</v>
      </c>
      <c r="I7464" s="1" t="str">
        <f ca="1">IFERROR(__xludf.DUMMYFUNCTION("GOOGLETRANSLATE(F7464, ""auto"", ""en"")
"),"Good adapter :) Fits :) High quality :)")</f>
        <v>Good adapter :) Fits :) High quality :)</v>
      </c>
    </row>
    <row r="7465" spans="1:9" x14ac:dyDescent="0.3">
      <c r="A7465" s="1" t="s">
        <v>30</v>
      </c>
      <c r="B7465" s="1" t="s">
        <v>31</v>
      </c>
      <c r="C7465" s="1" t="s">
        <v>32</v>
      </c>
      <c r="D7465" s="1" t="s">
        <v>11506</v>
      </c>
      <c r="E7465" s="1" t="s">
        <v>8059</v>
      </c>
      <c r="F7465" s="1" t="s">
        <v>11507</v>
      </c>
      <c r="G7465" s="1" t="s">
        <v>36</v>
      </c>
      <c r="H7465" s="1" t="s">
        <v>29</v>
      </c>
      <c r="I7465" s="1" t="str">
        <f ca="1">IFERROR(__xludf.DUMMYFUNCTION("GOOGLETRANSLATE(F7465, ""auto"", ""en"")
"),"I have not used a similar product yet. I want to build a fairly powerful computer and decided to start with the main thing - with a selection of the system unit. After comparing several copies of different companies and manufacturers, I came to the conclu"&amp;"sion that the “Acer Aspire M3202 M7A.R7B system unit” is an ideal ratio of price and quality. In all the main characteristics, the “Acer Aspire M3202 M7A.R7B system unit” is practically in no way inferior to other similar expensive products. Price and qua"&amp;"lity is ideally harmonized in this product, which is a significant positive point when choosing this type of product, which predetermines the initial choice of the buyer. I advise you to pay attention to this product if you are planning to purchase a PC i"&amp;"n the near future.  However, I decided to opt for the “Acer Aspire M3202 M7A.R7B” system unit and I really hope to soon become its proud owner))))))")</f>
        <v>I have not used a similar product yet. I want to build a fairly powerful computer and decided to start with the main thing - with a selection of the system unit. After comparing several copies of different companies and manufacturers, I came to the conclusion that the “Acer Aspire M3202 M7A.R7B system unit” is an ideal ratio of price and quality. In all the main characteristics, the “Acer Aspire M3202 M7A.R7B system unit” is practically in no way inferior to other similar expensive products. Price and quality is ideally harmonized in this product, which is a significant positive point when choosing this type of product, which predetermines the initial choice of the buyer. I advise you to pay attention to this product if you are planning to purchase a PC in the near future.  However, I decided to opt for the “Acer Aspire M3202 M7A.R7B” system unit and I really hope to soon become its proud owner))))))</v>
      </c>
    </row>
    <row r="7466" spans="1:9" x14ac:dyDescent="0.3">
      <c r="A7466" s="1" t="s">
        <v>43</v>
      </c>
      <c r="B7466" s="1" t="s">
        <v>502</v>
      </c>
      <c r="C7466" s="1" t="s">
        <v>151</v>
      </c>
      <c r="D7466" s="1" t="s">
        <v>11508</v>
      </c>
      <c r="E7466" s="1" t="s">
        <v>2028</v>
      </c>
      <c r="F7466" s="1" t="s">
        <v>11509</v>
      </c>
      <c r="G7466" s="1" t="s">
        <v>36</v>
      </c>
      <c r="H7466" s="1" t="s">
        <v>29</v>
      </c>
      <c r="I7466" s="1" t="str">
        <f ca="1">IFERROR(__xludf.DUMMYFUNCTION("GOOGLETRANSLATE(F7466, ""auto"", ""en"")
"),"We are very pleased with the purchase, not big, cute, quiet, cools the room in a matter of minutes!")</f>
        <v>We are very pleased with the purchase, not big, cute, quiet, cools the room in a matter of minutes!</v>
      </c>
    </row>
    <row r="7467" spans="1:9" x14ac:dyDescent="0.3">
      <c r="A7467" s="1" t="s">
        <v>67</v>
      </c>
      <c r="B7467" s="1" t="s">
        <v>68</v>
      </c>
      <c r="C7467" s="1" t="s">
        <v>381</v>
      </c>
      <c r="D7467" s="1" t="s">
        <v>589</v>
      </c>
      <c r="E7467" s="1" t="s">
        <v>11510</v>
      </c>
      <c r="F7467" s="1" t="s">
        <v>11511</v>
      </c>
      <c r="G7467" s="1" t="s">
        <v>36</v>
      </c>
      <c r="H7467" s="1" t="s">
        <v>29</v>
      </c>
      <c r="I7467" s="1" t="str">
        <f ca="1">IFERROR(__xludf.DUMMYFUNCTION("GOOGLETRANSLATE(F7467, ""auto"", ""en"")
"),"I bought it in March, especially for a vacation in April, I took things with me that were wrinkled after the winter, I ironed everything on vacation, it heats up quickly, it irons well, I even ironed silk. I recommend)))")</f>
        <v>I bought it in March, especially for a vacation in April, I took things with me that were wrinkled after the winter, I ironed everything on vacation, it heats up quickly, it irons well, I even ironed silk. I recommend)))</v>
      </c>
    </row>
    <row r="7468" spans="1:9" x14ac:dyDescent="0.3">
      <c r="A7468" s="1" t="s">
        <v>211</v>
      </c>
      <c r="B7468" s="1" t="s">
        <v>212</v>
      </c>
      <c r="C7468" s="1" t="s">
        <v>294</v>
      </c>
      <c r="D7468" s="1" t="s">
        <v>4281</v>
      </c>
      <c r="E7468" s="1" t="s">
        <v>5517</v>
      </c>
      <c r="F7468" s="1" t="s">
        <v>11512</v>
      </c>
      <c r="G7468" s="1" t="s">
        <v>36</v>
      </c>
      <c r="H7468" s="1" t="s">
        <v>29</v>
      </c>
      <c r="I7468" s="1" t="str">
        <f ca="1">IFERROR(__xludf.DUMMYFUNCTION("GOOGLETRANSLATE(F7468, ""auto"", ""en"")
"),"I bought it at a discount and am very pleased, my hair looks very well-groomed, soft and shiny after it. But there really were brushes, and the box was very beautiful)))")</f>
        <v>I bought it at a discount and am very pleased, my hair looks very well-groomed, soft and shiny after it. But there really were brushes, and the box was very beautiful)))</v>
      </c>
    </row>
    <row r="7469" spans="1:9" x14ac:dyDescent="0.3">
      <c r="A7469" s="1" t="s">
        <v>67</v>
      </c>
      <c r="B7469" s="1" t="s">
        <v>340</v>
      </c>
      <c r="C7469" s="1" t="s">
        <v>1634</v>
      </c>
      <c r="D7469" s="1" t="s">
        <v>695</v>
      </c>
      <c r="E7469" s="1" t="s">
        <v>92</v>
      </c>
      <c r="F7469" s="1" t="s">
        <v>11513</v>
      </c>
      <c r="G7469" s="1" t="s">
        <v>36</v>
      </c>
      <c r="H7469" s="1" t="s">
        <v>29</v>
      </c>
      <c r="I7469" s="1" t="str">
        <f ca="1">IFERROR(__xludf.DUMMYFUNCTION("GOOGLETRANSLATE(F7469, ""auto"", ""en"")
"),"Value for money, good set of stitch types, vertical shuttle")</f>
        <v>Value for money, good set of stitch types, vertical shuttle</v>
      </c>
    </row>
    <row r="7470" spans="1:9" x14ac:dyDescent="0.3">
      <c r="A7470" s="1" t="s">
        <v>37</v>
      </c>
      <c r="B7470" s="1" t="s">
        <v>536</v>
      </c>
      <c r="C7470" s="1" t="s">
        <v>151</v>
      </c>
      <c r="D7470" s="1" t="s">
        <v>4546</v>
      </c>
      <c r="E7470" s="1" t="s">
        <v>1345</v>
      </c>
      <c r="F7470" s="1" t="s">
        <v>11514</v>
      </c>
      <c r="G7470" s="1" t="s">
        <v>36</v>
      </c>
      <c r="H7470" s="1" t="s">
        <v>29</v>
      </c>
      <c r="I7470" s="1" t="str">
        <f ca="1">IFERROR(__xludf.DUMMYFUNCTION("GOOGLETRANSLATE(F7470, ""auto"", ""en"")
"),"The i8000 is an excellent smartphone, it’s worth the money, unlike the new gt-s8500")</f>
        <v>The i8000 is an excellent smartphone, it’s worth the money, unlike the new gt-s8500</v>
      </c>
    </row>
    <row r="7471" spans="1:9" x14ac:dyDescent="0.3">
      <c r="A7471" s="1" t="s">
        <v>30</v>
      </c>
      <c r="B7471" s="1" t="s">
        <v>50</v>
      </c>
      <c r="C7471" s="1" t="s">
        <v>377</v>
      </c>
      <c r="D7471" s="1" t="s">
        <v>11515</v>
      </c>
      <c r="E7471" s="1" t="s">
        <v>8184</v>
      </c>
      <c r="F7471" s="1" t="s">
        <v>11516</v>
      </c>
      <c r="G7471" s="1" t="s">
        <v>28</v>
      </c>
      <c r="H7471" s="1" t="s">
        <v>29</v>
      </c>
      <c r="I7471" s="1" t="str">
        <f ca="1">IFERROR(__xludf.DUMMYFUNCTION("GOOGLETRANSLATE(F7471, ""auto"", ""en"")
"),"Same problem with this Windows 7! It would be better if they installed XP in the end! And the laptop is decent, now I’m looking for drivers for XP!")</f>
        <v>Same problem with this Windows 7! It would be better if they installed XP in the end! And the laptop is decent, now I’m looking for drivers for XP!</v>
      </c>
    </row>
    <row r="7472" spans="1:9" x14ac:dyDescent="0.3">
      <c r="A7472" s="1" t="s">
        <v>61</v>
      </c>
      <c r="B7472" s="1" t="s">
        <v>145</v>
      </c>
      <c r="C7472" s="1" t="s">
        <v>69</v>
      </c>
      <c r="D7472" s="1" t="s">
        <v>471</v>
      </c>
      <c r="E7472" s="1" t="s">
        <v>3527</v>
      </c>
      <c r="F7472" s="1" t="s">
        <v>11517</v>
      </c>
      <c r="G7472" s="1" t="s">
        <v>36</v>
      </c>
      <c r="H7472" s="1" t="s">
        <v>29</v>
      </c>
      <c r="I7472" s="1" t="str">
        <f ca="1">IFERROR(__xludf.DUMMYFUNCTION("GOOGLETRANSLATE(F7472, ""auto"", ""en"")
"),"Excellent steamer. Everything you need is there. simple and easy to use. Regarding the constantly flashing REFILL LED and the intermittent beeping signal, I can say that the problem is not with the steamer, but with the quality of our water. I encountered"&amp;" this problem myself after 1 month of use. But after descaling, the problem disappeared. Now nothing blinks or beeps. So don’t rush to return the steamer right away.")</f>
        <v>Excellent steamer. Everything you need is there. simple and easy to use. Regarding the constantly flashing REFILL LED and the intermittent beeping signal, I can say that the problem is not with the steamer, but with the quality of our water. I encountered this problem myself after 1 month of use. But after descaling, the problem disappeared. Now nothing blinks or beeps. So don’t rush to return the steamer right away.</v>
      </c>
    </row>
    <row r="7473" spans="1:9" x14ac:dyDescent="0.3">
      <c r="A7473" s="1" t="s">
        <v>120</v>
      </c>
      <c r="B7473" s="1" t="s">
        <v>121</v>
      </c>
      <c r="C7473" s="1" t="s">
        <v>122</v>
      </c>
      <c r="D7473" s="1" t="s">
        <v>200</v>
      </c>
      <c r="E7473" s="1" t="s">
        <v>2251</v>
      </c>
      <c r="F7473" s="1" t="s">
        <v>11518</v>
      </c>
      <c r="G7473" s="1" t="s">
        <v>36</v>
      </c>
      <c r="H7473" s="1" t="s">
        <v>29</v>
      </c>
      <c r="I7473" s="1" t="str">
        <f ca="1">IFERROR(__xludf.DUMMYFUNCTION("GOOGLETRANSLATE(F7473, ""auto"", ""en"")
"),"An excellent TV in all respects, a clear and bright picture without blurry jitters, etc. It doesn’t even read encoded video, only from Panasonic cameras. 100% choice only because of the picture. opinion: the quality matches the brand. I suggest everyone t"&amp;"o take advantage of the ""Your price"" promotion")</f>
        <v>An excellent TV in all respects, a clear and bright picture without blurry jitters, etc. It doesn’t even read encoded video, only from Panasonic cameras. 100% choice only because of the picture. opinion: the quality matches the brand. I suggest everyone to take advantage of the "Your price" promotion</v>
      </c>
    </row>
    <row r="7474" spans="1:9" x14ac:dyDescent="0.3">
      <c r="A7474" s="1" t="s">
        <v>211</v>
      </c>
      <c r="B7474" s="1" t="s">
        <v>265</v>
      </c>
      <c r="C7474" s="1" t="s">
        <v>69</v>
      </c>
      <c r="D7474" s="1" t="s">
        <v>474</v>
      </c>
      <c r="E7474" s="1" t="s">
        <v>3967</v>
      </c>
      <c r="F7474" s="1" t="s">
        <v>11519</v>
      </c>
      <c r="G7474" s="1" t="s">
        <v>36</v>
      </c>
      <c r="H7474" s="1" t="s">
        <v>29</v>
      </c>
      <c r="I7474" s="1" t="str">
        <f ca="1">IFERROR(__xludf.DUMMYFUNCTION("GOOGLETRANSLATE(F7474, ""auto"", ""en"")
"),"I've had this machine for about 10 years.  And only now the teeth on the nozzle began to break. The machine is easy to use, ideal for home use.")</f>
        <v>I've had this machine for about 10 years.  And only now the teeth on the nozzle began to break. The machine is easy to use, ideal for home use.</v>
      </c>
    </row>
    <row r="7475" spans="1:9" x14ac:dyDescent="0.3">
      <c r="A7475" s="1" t="s">
        <v>61</v>
      </c>
      <c r="B7475" s="1" t="s">
        <v>318</v>
      </c>
      <c r="C7475" s="1" t="s">
        <v>122</v>
      </c>
      <c r="D7475" s="1" t="s">
        <v>171</v>
      </c>
      <c r="E7475" s="1" t="s">
        <v>6363</v>
      </c>
      <c r="F7475" s="1" t="s">
        <v>11520</v>
      </c>
      <c r="G7475" s="1" t="s">
        <v>36</v>
      </c>
      <c r="H7475" s="1" t="s">
        <v>29</v>
      </c>
      <c r="I7475" s="1" t="str">
        <f ca="1">IFERROR(__xludf.DUMMYFUNCTION("GOOGLETRANSLATE(F7475, ""auto"", ""en"")
"),"A very convenient device for those who need hot water and don’t have time to run to the kitchen and put on the kettle. Convenient for those who have a small child, this model has a choice of temperature and has a hot water supply block.")</f>
        <v>A very convenient device for those who need hot water and don’t have time to run to the kitchen and put on the kettle. Convenient for those who have a small child, this model has a choice of temperature and has a hot water supply block.</v>
      </c>
    </row>
    <row r="7476" spans="1:9" x14ac:dyDescent="0.3">
      <c r="A7476" s="1" t="s">
        <v>120</v>
      </c>
      <c r="B7476" s="1" t="s">
        <v>126</v>
      </c>
      <c r="C7476" s="1" t="s">
        <v>122</v>
      </c>
      <c r="D7476" s="1" t="s">
        <v>39</v>
      </c>
      <c r="E7476" s="1" t="s">
        <v>1742</v>
      </c>
      <c r="F7476" s="1" t="s">
        <v>11521</v>
      </c>
      <c r="G7476" s="1" t="s">
        <v>28</v>
      </c>
      <c r="H7476" s="1" t="s">
        <v>29</v>
      </c>
      <c r="I7476" s="1" t="str">
        <f ca="1">IFERROR(__xludf.DUMMYFUNCTION("GOOGLETRANSLATE(F7476, ""auto"", ""en"")
"),"The model is no longer new, at this price you should take the PR42G10.")</f>
        <v>The model is no longer new, at this price you should take the PR42G10.</v>
      </c>
    </row>
    <row r="7477" spans="1:9" x14ac:dyDescent="0.3">
      <c r="A7477" s="1" t="s">
        <v>105</v>
      </c>
      <c r="B7477" s="1" t="s">
        <v>106</v>
      </c>
      <c r="C7477" s="1" t="s">
        <v>151</v>
      </c>
      <c r="D7477" s="1" t="s">
        <v>11522</v>
      </c>
      <c r="E7477" s="1" t="s">
        <v>4409</v>
      </c>
      <c r="F7477" s="1" t="s">
        <v>11523</v>
      </c>
      <c r="G7477" s="1" t="s">
        <v>36</v>
      </c>
      <c r="H7477" s="1" t="s">
        <v>29</v>
      </c>
      <c r="I7477" s="1" t="str">
        <f ca="1">IFERROR(__xludf.DUMMYFUNCTION("GOOGLETRANSLATE(F7477, ""auto"", ""en"")
"),"I have been the owner of this player for 4 days, I still can’t stop enjoying myself, every day the player surprises me with its simplicity and good sound quality. Take it, you won't regret it!")</f>
        <v>I have been the owner of this player for 4 days, I still can’t stop enjoying myself, every day the player surprises me with its simplicity and good sound quality. Take it, you won't regret it!</v>
      </c>
    </row>
    <row r="7478" spans="1:9" x14ac:dyDescent="0.3">
      <c r="A7478" s="1" t="s">
        <v>78</v>
      </c>
      <c r="B7478" s="1" t="s">
        <v>79</v>
      </c>
      <c r="C7478" s="1" t="s">
        <v>1224</v>
      </c>
      <c r="D7478" s="1" t="s">
        <v>10096</v>
      </c>
      <c r="E7478" s="1" t="s">
        <v>2035</v>
      </c>
      <c r="F7478" s="1" t="s">
        <v>11524</v>
      </c>
      <c r="G7478" s="1" t="s">
        <v>36</v>
      </c>
      <c r="H7478" s="1" t="s">
        <v>29</v>
      </c>
      <c r="I7478" s="1" t="str">
        <f ca="1">IFERROR(__xludf.DUMMYFUNCTION("GOOGLETRANSLATE(F7478, ""auto"", ""en"")
"),"I wanted to support the Belarusian manufacturer, so I bought a microwave from this manufacturer. I am very pleased with the microwave, the interface is very convenient, despite the fact that the door has a handle and does not open with a key - you don’t h"&amp;"ave to hold the microwave like many models with a handle, the door opens easily, the twist wheel is very convenient to set the clock and choose what needs to be heated/defrosted. Absolutely no worse than touch sensors in terms of convenience! Everything h"&amp;"eats up just fine too, no complaints, and I recommend that the author of the first review read the instructions and adjust the power of the microwaves and grill. My second plate takes no more than 1 minute to heat up.")</f>
        <v>I wanted to support the Belarusian manufacturer, so I bought a microwave from this manufacturer. I am very pleased with the microwave, the interface is very convenient, despite the fact that the door has a handle and does not open with a key - you don’t have to hold the microwave like many models with a handle, the door opens easily, the twist wheel is very convenient to set the clock and choose what needs to be heated/defrosted. Absolutely no worse than touch sensors in terms of convenience! Everything heats up just fine too, no complaints, and I recommend that the author of the first review read the instructions and adjust the power of the microwaves and grill. My second plate takes no more than 1 minute to heat up.</v>
      </c>
    </row>
    <row r="7479" spans="1:9" x14ac:dyDescent="0.3">
      <c r="A7479" s="1" t="s">
        <v>17</v>
      </c>
      <c r="B7479" s="1" t="s">
        <v>18</v>
      </c>
      <c r="C7479" s="1" t="s">
        <v>80</v>
      </c>
      <c r="D7479" s="1" t="s">
        <v>2499</v>
      </c>
      <c r="E7479" s="1" t="s">
        <v>2453</v>
      </c>
      <c r="F7479" s="1" t="s">
        <v>11525</v>
      </c>
      <c r="G7479" s="1" t="s">
        <v>36</v>
      </c>
      <c r="H7479" s="1" t="s">
        <v>29</v>
      </c>
      <c r="I7479" s="1" t="str">
        <f ca="1">IFERROR(__xludf.DUMMYFUNCTION("GOOGLETRANSLATE(F7479, ""auto"", ""en"")
"),"Great laundry and great music")</f>
        <v>Great laundry and great music</v>
      </c>
    </row>
    <row r="7480" spans="1:9" x14ac:dyDescent="0.3">
      <c r="A7480" s="1" t="s">
        <v>149</v>
      </c>
      <c r="B7480" s="1" t="s">
        <v>576</v>
      </c>
      <c r="C7480" s="1" t="s">
        <v>159</v>
      </c>
      <c r="D7480" s="1" t="s">
        <v>171</v>
      </c>
      <c r="E7480" s="1" t="s">
        <v>1039</v>
      </c>
      <c r="F7480" s="1" t="s">
        <v>11526</v>
      </c>
      <c r="G7480" s="1" t="s">
        <v>36</v>
      </c>
      <c r="H7480" s="1" t="s">
        <v>29</v>
      </c>
      <c r="I7480" s="1" t="str">
        <f ca="1">IFERROR(__xludf.DUMMYFUNCTION("GOOGLETRANSLATE(F7480, ""auto"", ""en"")
"),"I BOUGHT A VACUUM CLEANER 7 MONTHS AGO AND I AM VERY SATISFIED. THE VACUUM CLEANER IS QUIET AND POWERFUL, AND MY WIFE REALLY LIKED THE DESIGN. What pleased me most was that there are bags in every store, which I can’t say about the Samsung that came befor"&amp;"e.")</f>
        <v>I BOUGHT A VACUUM CLEANER 7 MONTHS AGO AND I AM VERY SATISFIED. THE VACUUM CLEANER IS QUIET AND POWERFUL, AND MY WIFE REALLY LIKED THE DESIGN. What pleased me most was that there are bags in every store, which I can’t say about the Samsung that came before.</v>
      </c>
    </row>
    <row r="7481" spans="1:9" x14ac:dyDescent="0.3">
      <c r="A7481" s="1" t="s">
        <v>30</v>
      </c>
      <c r="B7481" s="1" t="s">
        <v>31</v>
      </c>
      <c r="C7481" s="1" t="s">
        <v>5122</v>
      </c>
      <c r="D7481" s="1" t="s">
        <v>232</v>
      </c>
      <c r="E7481" s="1" t="s">
        <v>1723</v>
      </c>
      <c r="F7481" s="1" t="s">
        <v>11527</v>
      </c>
      <c r="G7481" s="1" t="s">
        <v>36</v>
      </c>
      <c r="H7481" s="1" t="s">
        <v>29</v>
      </c>
      <c r="I7481" s="1" t="str">
        <f ca="1">IFERROR(__xludf.DUMMYFUNCTION("GOOGLETRANSLATE(F7481, ""auto"", ""en"")
"),"Best in its category!!!     I agree with the above-mentioned drawback, and there is only one - it is quite noisy.     But still, this minor minus pales against the background of all the advantages of this machine.")</f>
        <v>Best in its category!!!     I agree with the above-mentioned drawback, and there is only one - it is quite noisy.     But still, this minor minus pales against the background of all the advantages of this machine.</v>
      </c>
    </row>
    <row r="7482" spans="1:9" x14ac:dyDescent="0.3">
      <c r="A7482" s="1" t="s">
        <v>30</v>
      </c>
      <c r="B7482" s="1" t="s">
        <v>31</v>
      </c>
      <c r="C7482" s="1" t="s">
        <v>32</v>
      </c>
      <c r="D7482" s="1" t="s">
        <v>280</v>
      </c>
      <c r="E7482" s="1" t="s">
        <v>1723</v>
      </c>
      <c r="F7482" s="1" t="s">
        <v>11528</v>
      </c>
      <c r="G7482" s="1" t="s">
        <v>36</v>
      </c>
      <c r="H7482" s="1" t="s">
        <v>29</v>
      </c>
      <c r="I7482" s="1" t="str">
        <f ca="1">IFERROR(__xludf.DUMMYFUNCTION("GOOGLETRANSLATE(F7482, ""auto"", ""en"")
"),"Awesome computer. Not very expensive and good. I recommend it to everyone)))")</f>
        <v>Awesome computer. Not very expensive and good. I recommend it to everyone)))</v>
      </c>
    </row>
    <row r="7483" spans="1:9" x14ac:dyDescent="0.3">
      <c r="A7483" s="1" t="s">
        <v>149</v>
      </c>
      <c r="B7483" s="1" t="s">
        <v>155</v>
      </c>
      <c r="C7483" s="1" t="s">
        <v>151</v>
      </c>
      <c r="D7483" s="1" t="s">
        <v>568</v>
      </c>
      <c r="E7483" s="1" t="s">
        <v>2348</v>
      </c>
      <c r="F7483" s="1" t="s">
        <v>11529</v>
      </c>
      <c r="G7483" s="1" t="s">
        <v>49</v>
      </c>
      <c r="H7483" s="1" t="s">
        <v>16</v>
      </c>
      <c r="I7483" s="1" t="str">
        <f ca="1">IFERROR(__xludf.DUMMYFUNCTION("GOOGLETRANSLATE(F7483, ""auto"", ""en"")
"),"I bought it almost a year ago, to be honest, I chose the cheaper one.  I'd rather buy anything with a trash bag.  The filters clog instantly, washing the filters doesn’t help much, all the fine dust flies out. It makes noise like a fighter jet on takeoff."&amp;"  I think this is a poorly designed model. Before this I had one of the first Samsungs with a container - VC-8715, I couldn’t get enough of it, but it has already served its purpose.")</f>
        <v>I bought it almost a year ago, to be honest, I chose the cheaper one.  I'd rather buy anything with a trash bag.  The filters clog instantly, washing the filters doesn’t help much, all the fine dust flies out. It makes noise like a fighter jet on takeoff.  I think this is a poorly designed model. Before this I had one of the first Samsungs with a container - VC-8715, I couldn’t get enough of it, but it has already served its purpose.</v>
      </c>
    </row>
    <row r="7484" spans="1:9" x14ac:dyDescent="0.3">
      <c r="A7484" s="1" t="s">
        <v>206</v>
      </c>
      <c r="B7484" s="1" t="s">
        <v>1349</v>
      </c>
      <c r="C7484" s="1" t="s">
        <v>262</v>
      </c>
      <c r="D7484" s="1" t="s">
        <v>33</v>
      </c>
      <c r="E7484" s="1" t="s">
        <v>1312</v>
      </c>
      <c r="F7484" s="1" t="s">
        <v>11530</v>
      </c>
      <c r="G7484" s="1" t="s">
        <v>49</v>
      </c>
      <c r="H7484" s="1" t="s">
        <v>16</v>
      </c>
      <c r="I7484" s="1" t="str">
        <f ca="1">IFERROR(__xludf.DUMMYFUNCTION("GOOGLETRANSLATE(F7484, ""auto"", ""en"")
"),"This device began to become very dull after just a few weeks of use, then it completely switched off and did not turn on again. In a fever he smashed it with a hammer. The device is bad or I’m just lucky with it, I don’t know, but I will never buy anythin"&amp;"g like it again.")</f>
        <v>This device began to become very dull after just a few weeks of use, then it completely switched off and did not turn on again. In a fever he smashed it with a hammer. The device is bad or I’m just lucky with it, I don’t know, but I will never buy anything like it again.</v>
      </c>
    </row>
    <row r="7485" spans="1:9" x14ac:dyDescent="0.3">
      <c r="A7485" s="1" t="s">
        <v>61</v>
      </c>
      <c r="B7485" s="1" t="s">
        <v>62</v>
      </c>
      <c r="C7485" s="1" t="s">
        <v>63</v>
      </c>
      <c r="D7485" s="1" t="s">
        <v>3097</v>
      </c>
      <c r="E7485" s="1" t="s">
        <v>1905</v>
      </c>
      <c r="F7485" s="1" t="s">
        <v>11531</v>
      </c>
      <c r="G7485" s="1" t="s">
        <v>36</v>
      </c>
      <c r="H7485" s="1" t="s">
        <v>29</v>
      </c>
      <c r="I7485" s="1" t="str">
        <f ca="1">IFERROR(__xludf.DUMMYFUNCTION("GOOGLETRANSLATE(F7485, ""auto"", ""en"")
"),"I recommend it to everyone! Very convenient, easy to use, functional. I've been using it for 2 months!")</f>
        <v>I recommend it to everyone! Very convenient, easy to use, functional. I've been using it for 2 months!</v>
      </c>
    </row>
    <row r="7486" spans="1:9" x14ac:dyDescent="0.3">
      <c r="A7486" s="1" t="s">
        <v>17</v>
      </c>
      <c r="B7486" s="1" t="s">
        <v>18</v>
      </c>
      <c r="C7486" s="1" t="s">
        <v>138</v>
      </c>
      <c r="D7486" s="1" t="s">
        <v>114</v>
      </c>
      <c r="E7486" s="1" t="s">
        <v>889</v>
      </c>
      <c r="F7486" s="1" t="s">
        <v>11532</v>
      </c>
      <c r="G7486" s="1" t="s">
        <v>28</v>
      </c>
      <c r="H7486" s="1" t="s">
        <v>29</v>
      </c>
      <c r="I7486" s="1" t="str">
        <f ca="1">IFERROR(__xludf.DUMMYFUNCTION("GOOGLETRANSLATE(F7486, ""auto"", ""en"")
"),"The machine is new, after 10-12 washes everything is fine, it hasn’t broken down, pah-pah-pah)) During the spin cycle, the vibration is very slight, and there is no question of the machine “stirring”. I managed to buy it on sale for another 6 thousand and"&amp;" am very pleased. At least it seems to me that it washes no worse than machines in the price category of 10-15 thousand. I hope everything will continue to be fine")</f>
        <v>The machine is new, after 10-12 washes everything is fine, it hasn’t broken down, pah-pah-pah)) During the spin cycle, the vibration is very slight, and there is no question of the machine “stirring”. I managed to buy it on sale for another 6 thousand and am very pleased. At least it seems to me that it washes no worse than machines in the price category of 10-15 thousand. I hope everything will continue to be fine</v>
      </c>
    </row>
    <row r="7487" spans="1:9" x14ac:dyDescent="0.3">
      <c r="A7487" s="1" t="s">
        <v>211</v>
      </c>
      <c r="B7487" s="1" t="s">
        <v>856</v>
      </c>
      <c r="C7487" s="1" t="s">
        <v>57</v>
      </c>
      <c r="D7487" s="1" t="s">
        <v>11533</v>
      </c>
      <c r="E7487" s="1" t="s">
        <v>6363</v>
      </c>
      <c r="F7487" s="1" t="s">
        <v>11534</v>
      </c>
      <c r="G7487" s="1" t="s">
        <v>36</v>
      </c>
      <c r="H7487" s="1" t="s">
        <v>29</v>
      </c>
      <c r="I7487" s="1" t="str">
        <f ca="1">IFERROR(__xludf.DUMMYFUNCTION("GOOGLETRANSLATE(F7487, ""auto"", ""en"")
"),"I bought it in February 2009 on the recommendation of a doctor. My daughter often suffered from acute respiratory infections. They started doing inhalation and it helped a lot... A wonderful thing! Unfortunately, I wanted to buy another one for my mother,"&amp;" but the M.Video store in Nalchik no longer had them. :-(")</f>
        <v>I bought it in February 2009 on the recommendation of a doctor. My daughter often suffered from acute respiratory infections. They started doing inhalation and it helped a lot... A wonderful thing! Unfortunately, I wanted to buy another one for my mother, but the M.Video store in Nalchik no longer had them. :-(</v>
      </c>
    </row>
    <row r="7488" spans="1:9" x14ac:dyDescent="0.3">
      <c r="A7488" s="1" t="s">
        <v>9</v>
      </c>
      <c r="B7488" s="1" t="s">
        <v>137</v>
      </c>
      <c r="C7488" s="1" t="s">
        <v>870</v>
      </c>
      <c r="D7488" s="1" t="s">
        <v>11535</v>
      </c>
      <c r="E7488" s="1" t="s">
        <v>1093</v>
      </c>
      <c r="F7488" s="1" t="s">
        <v>11536</v>
      </c>
      <c r="G7488" s="1" t="s">
        <v>36</v>
      </c>
      <c r="H7488" s="1" t="s">
        <v>29</v>
      </c>
      <c r="I7488" s="1" t="str">
        <f ca="1">IFERROR(__xludf.DUMMYFUNCTION("GOOGLETRANSLATE(F7488, ""auto"", ""en"")
"),"Oh, and it looks beautiful, the appearance is simply chic - retro style combined with modern design! I had never used kitchen appliances from Whirlpool before, for some reason I thought that this manufacturer was only known for washing machines, but when "&amp;"I bought this stove, I quickly changed my mind, its quality is excellent)) I consider the lack of automatic ignition to be only a plus, no squeezing of handles or long waits, everything lights up immediately without effort) The surface is slippery by tact"&amp;"ile sensations, so grease and other stains can be washed off very easily. It’s also easy to move a cloth around the burners back and forth; they are slightly raised above the surface, so the possibility of liquid spilling inside is very unlikely. I think "&amp;"this stove pays for itself quite well!")</f>
        <v>Oh, and it looks beautiful, the appearance is simply chic - retro style combined with modern design! I had never used kitchen appliances from Whirlpool before, for some reason I thought that this manufacturer was only known for washing machines, but when I bought this stove, I quickly changed my mind, its quality is excellent)) I consider the lack of automatic ignition to be only a plus, no squeezing of handles or long waits, everything lights up immediately without effort) The surface is slippery by tactile sensations, so grease and other stains can be washed off very easily. It’s also easy to move a cloth around the burners back and forth; they are slightly raised above the surface, so the possibility of liquid spilling inside is very unlikely. I think this stove pays for itself quite well!</v>
      </c>
    </row>
    <row r="7489" spans="1:9" x14ac:dyDescent="0.3">
      <c r="A7489" s="1" t="s">
        <v>361</v>
      </c>
      <c r="B7489" s="1" t="s">
        <v>462</v>
      </c>
      <c r="C7489" s="1" t="s">
        <v>698</v>
      </c>
      <c r="D7489" s="1" t="s">
        <v>52</v>
      </c>
      <c r="E7489" s="1" t="s">
        <v>6526</v>
      </c>
      <c r="F7489" s="1" t="s">
        <v>11537</v>
      </c>
      <c r="G7489" s="1" t="s">
        <v>36</v>
      </c>
      <c r="H7489" s="1" t="s">
        <v>29</v>
      </c>
      <c r="I7489" s="1" t="str">
        <f ca="1">IFERROR(__xludf.DUMMYFUNCTION("GOOGLETRANSLATE(F7489, ""auto"", ""en"")
"),"I have been using BRITA filters for 10 years, the quality is very high. It may not be the cheapest filter, but health is more expensive. Filters up to 3-4 liters of water per day, family of two, I change the filter every month. It is profitable to buy a p"&amp;"ack of two pieces.")</f>
        <v>I have been using BRITA filters for 10 years, the quality is very high. It may not be the cheapest filter, but health is more expensive. Filters up to 3-4 liters of water per day, family of two, I change the filter every month. It is profitable to buy a pack of two pieces.</v>
      </c>
    </row>
    <row r="7490" spans="1:9" x14ac:dyDescent="0.3">
      <c r="A7490" s="1" t="s">
        <v>852</v>
      </c>
      <c r="B7490" s="1" t="s">
        <v>2476</v>
      </c>
      <c r="C7490" s="1" t="s">
        <v>356</v>
      </c>
      <c r="D7490" s="1" t="s">
        <v>152</v>
      </c>
      <c r="E7490" s="1" t="s">
        <v>1852</v>
      </c>
      <c r="F7490" s="1" t="s">
        <v>11538</v>
      </c>
      <c r="G7490" s="1" t="s">
        <v>36</v>
      </c>
      <c r="H7490" s="1" t="s">
        <v>29</v>
      </c>
      <c r="I7490" s="1" t="str">
        <f ca="1">IFERROR(__xludf.DUMMYFUNCTION("GOOGLETRANSLATE(F7490, ""auto"", ""en"")
"),"Not a computer, but something incredible. The screen is surprisingly bright and large. I got used to Mac OS X the very next day. A very convenient system with NO VIRUSES. I am very pleased with both the mouse and the keyboard; I don’t want to change to ot"&amp;"hers at all.    Very often, when you want to turn on the computer, you see that it is already working, you just can’t hear it at all. There is no proprietary computer buzz. The iMac is as quiet as a mobile phone.  The speakers are quite small, but they so"&amp;"und like a cool stereo system that is installed in expensive cars. The performance is excellent, for a dual-core processor this is somehow a lot, usually this kind of performance happens on a quad-core processor.  The video card is quite average, but like"&amp;" the processor, it demonstrates ultra-performance.    Next to this iMac stood a Sony all-in-one with a smaller screen diagonal, a weak processor and video card, and such pleasure cost 85,000 rubles.    The only drawback of the computer is that there are f"&amp;"ew games on Makos, but you can easily install Windows on part of the hard drive using the standard Boot Camp program.    One problem arose while working with the computer, and I called the support service, where within three minutes they answered all my q"&amp;"uestions and helped me solve the problem.    Take this computer without a doubt - it will last 4-5 years and will not become outdated. So far, my only regret is that I didn’t use Macami before")</f>
        <v>Not a computer, but something incredible. The screen is surprisingly bright and large. I got used to Mac OS X the very next day. A very convenient system with NO VIRUSES. I am very pleased with both the mouse and the keyboard; I don’t want to change to others at all.    Very often, when you want to turn on the computer, you see that it is already working, you just can’t hear it at all. There is no proprietary computer buzz. The iMac is as quiet as a mobile phone.  The speakers are quite small, but they sound like a cool stereo system that is installed in expensive cars. The performance is excellent, for a dual-core processor this is somehow a lot, usually this kind of performance happens on a quad-core processor.  The video card is quite average, but like the processor, it demonstrates ultra-performance.    Next to this iMac stood a Sony all-in-one with a smaller screen diagonal, a weak processor and video card, and such pleasure cost 85,000 rubles.    The only drawback of the computer is that there are few games on Makos, but you can easily install Windows on part of the hard drive using the standard Boot Camp program.    One problem arose while working with the computer, and I called the support service, where within three minutes they answered all my questions and helped me solve the problem.    Take this computer without a doubt - it will last 4-5 years and will not become outdated. So far, my only regret is that I didn’t use Macami before</v>
      </c>
    </row>
    <row r="7491" spans="1:9" x14ac:dyDescent="0.3">
      <c r="A7491" s="1" t="s">
        <v>1443</v>
      </c>
      <c r="B7491" s="1" t="s">
        <v>1444</v>
      </c>
      <c r="C7491" s="1" t="s">
        <v>1489</v>
      </c>
      <c r="D7491" s="1" t="s">
        <v>471</v>
      </c>
      <c r="E7491" s="1" t="s">
        <v>1273</v>
      </c>
      <c r="F7491" s="1" t="s">
        <v>11539</v>
      </c>
      <c r="G7491" s="1" t="s">
        <v>36</v>
      </c>
      <c r="H7491" s="1" t="s">
        <v>29</v>
      </c>
      <c r="I7491" s="1" t="str">
        <f ca="1">IFERROR(__xludf.DUMMYFUNCTION("GOOGLETRANSLATE(F7491, ""auto"", ""en"")
"),"I bought this flash drive and have no complaints, it works properly, no glitches, the speeds exceeded all my expectations, a large amount of memory. enough for anything, interesting design. The only pity is that the lid is not attached to the body with a "&amp;"cord; I always run the risk of losing it. The price is also acceptable, especially for such a volume. Overall, a great flash drive!")</f>
        <v>I bought this flash drive and have no complaints, it works properly, no glitches, the speeds exceeded all my expectations, a large amount of memory. enough for anything, interesting design. The only pity is that the lid is not attached to the body with a cord; I always run the risk of losing it. The price is also acceptable, especially for such a volume. Overall, a great flash drive!</v>
      </c>
    </row>
    <row r="7492" spans="1:9" x14ac:dyDescent="0.3">
      <c r="A7492" s="1" t="s">
        <v>61</v>
      </c>
      <c r="B7492" s="1" t="s">
        <v>73</v>
      </c>
      <c r="C7492" s="1" t="s">
        <v>63</v>
      </c>
      <c r="D7492" s="1" t="s">
        <v>247</v>
      </c>
      <c r="E7492" s="1" t="s">
        <v>2341</v>
      </c>
      <c r="F7492" s="1" t="s">
        <v>11540</v>
      </c>
      <c r="G7492" s="1" t="s">
        <v>15</v>
      </c>
      <c r="H7492" s="1" t="s">
        <v>16</v>
      </c>
      <c r="I7492" s="1" t="str">
        <f ca="1">IFERROR(__xludf.DUMMYFUNCTION("GOOGLETRANSLATE(F7492, ""auto"", ""en"")
"),"We bought this model yesterday. Of course, when you buy something for such a price, you understand that this product is not the most reliable. But when the thing stopped working on the day of purchase, it simply exceeded all expectations!!  I just want to"&amp;" cry :(")</f>
        <v>We bought this model yesterday. Of course, when you buy something for such a price, you understand that this product is not the most reliable. But when the thing stopped working on the day of purchase, it simply exceeded all expectations!!  I just want to cry :(</v>
      </c>
    </row>
    <row r="7493" spans="1:9" x14ac:dyDescent="0.3">
      <c r="A7493" s="1" t="s">
        <v>9</v>
      </c>
      <c r="B7493" s="1" t="s">
        <v>133</v>
      </c>
      <c r="C7493" s="1" t="s">
        <v>588</v>
      </c>
      <c r="D7493" s="1" t="s">
        <v>52</v>
      </c>
      <c r="E7493" s="1" t="s">
        <v>10358</v>
      </c>
      <c r="F7493" s="1" t="s">
        <v>11541</v>
      </c>
      <c r="G7493" s="1" t="s">
        <v>36</v>
      </c>
      <c r="H7493" s="1" t="s">
        <v>29</v>
      </c>
      <c r="I7493" s="1" t="str">
        <f ca="1">IFERROR(__xludf.DUMMYFUNCTION("GOOGLETRANSLATE(F7493, ""auto"", ""en"")
"),"Cooks well, does not burn, mirror-like")</f>
        <v>Cooks well, does not burn, mirror-like</v>
      </c>
    </row>
    <row r="7494" spans="1:9" x14ac:dyDescent="0.3">
      <c r="A7494" s="1" t="s">
        <v>120</v>
      </c>
      <c r="B7494" s="1" t="s">
        <v>121</v>
      </c>
      <c r="C7494" s="1" t="s">
        <v>151</v>
      </c>
      <c r="D7494" s="1" t="s">
        <v>152</v>
      </c>
      <c r="E7494" s="1" t="s">
        <v>3542</v>
      </c>
      <c r="F7494" s="1" t="s">
        <v>11542</v>
      </c>
      <c r="G7494" s="1" t="s">
        <v>36</v>
      </c>
      <c r="H7494" s="1" t="s">
        <v>29</v>
      </c>
      <c r="I7494" s="1" t="str">
        <f ca="1">IFERROR(__xludf.DUMMYFUNCTION("GOOGLETRANSLATE(F7494, ""auto"", ""en"")
"),"Great TV! We spent a long time choosing between Philips and Samsung - in the end we chose this one! So far completely satisfied! The only negative is the terrible remote control! It’s good that there is another Samsung TV at home with a convenient remote "&amp;"control (an older one)! I recommend it to everyone!")</f>
        <v>Great TV! We spent a long time choosing between Philips and Samsung - in the end we chose this one! So far completely satisfied! The only negative is the terrible remote control! It’s good that there is another Samsung TV at home with a convenient remote control (an older one)! I recommend it to everyone!</v>
      </c>
    </row>
    <row r="7495" spans="1:9" x14ac:dyDescent="0.3">
      <c r="A7495" s="1" t="s">
        <v>1031</v>
      </c>
      <c r="B7495" s="1" t="s">
        <v>1032</v>
      </c>
      <c r="C7495" s="1" t="s">
        <v>6206</v>
      </c>
      <c r="D7495" s="1" t="s">
        <v>742</v>
      </c>
      <c r="E7495" s="1" t="s">
        <v>1868</v>
      </c>
      <c r="F7495" s="1" t="s">
        <v>11543</v>
      </c>
      <c r="G7495" s="1" t="s">
        <v>36</v>
      </c>
      <c r="H7495" s="1" t="s">
        <v>29</v>
      </c>
      <c r="I7495" s="1" t="str">
        <f ca="1">IFERROR(__xludf.DUMMYFUNCTION("GOOGLETRANSLATE(F7495, ""auto"", ""en"")
"),"Great timer")</f>
        <v>Great timer</v>
      </c>
    </row>
    <row r="7496" spans="1:9" x14ac:dyDescent="0.3">
      <c r="A7496" s="1" t="s">
        <v>477</v>
      </c>
      <c r="B7496" s="1" t="s">
        <v>478</v>
      </c>
      <c r="C7496" s="1" t="s">
        <v>479</v>
      </c>
      <c r="D7496" s="1" t="s">
        <v>172</v>
      </c>
      <c r="E7496" s="1" t="s">
        <v>994</v>
      </c>
      <c r="F7496" s="1" t="s">
        <v>11544</v>
      </c>
      <c r="G7496" s="1" t="s">
        <v>28</v>
      </c>
      <c r="H7496" s="1" t="s">
        <v>29</v>
      </c>
      <c r="I7496" s="1" t="str">
        <f ca="1">IFERROR(__xludf.DUMMYFUNCTION("GOOGLETRANSLATE(F7496, ""auto"", ""en"")
"),"The game is good. Plot, graphics, music. The network is generally great. The only downside is that, as always, you have to play against the Russians (I won’t talk about the mission at the airport). And so, in principle, a normal game, except for this.")</f>
        <v>The game is good. Plot, graphics, music. The network is generally great. The only downside is that, as always, you have to play against the Russians (I won’t talk about the mission at the airport). And so, in principle, a normal game, except for this.</v>
      </c>
    </row>
    <row r="7497" spans="1:9" x14ac:dyDescent="0.3">
      <c r="A7497" s="1" t="s">
        <v>169</v>
      </c>
      <c r="B7497" s="1" t="s">
        <v>170</v>
      </c>
      <c r="C7497" s="1" t="s">
        <v>122</v>
      </c>
      <c r="D7497" s="1" t="s">
        <v>172</v>
      </c>
      <c r="E7497" s="1" t="s">
        <v>1688</v>
      </c>
      <c r="F7497" s="1" t="s">
        <v>11545</v>
      </c>
      <c r="G7497" s="1" t="s">
        <v>28</v>
      </c>
      <c r="H7497" s="1" t="s">
        <v>29</v>
      </c>
      <c r="I7497" s="1" t="str">
        <f ca="1">IFERROR(__xludf.DUMMYFUNCTION("GOOGLETRANSLATE(F7497, ""auto"", ""en"")
"),"The headphones are very good + Good sound + Long wire + The price is very good, I got it for 590 +++ The ears were wrapped in a bag with bursting balls!  - Maybe for me personally, maybe everyone is like this, or maybe my ear is like this: The earphone pu"&amp;"ts a lot of pressure on my right ear, but there is no discomfort with the left. If you are thinking about whether to take them or not, then definitely YES! Healthy ears!")</f>
        <v>The headphones are very good + Good sound + Long wire + The price is very good, I got it for 590 +++ The ears were wrapped in a bag with bursting balls!  - Maybe for me personally, maybe everyone is like this, or maybe my ear is like this: The earphone puts a lot of pressure on my right ear, but there is no discomfort with the left. If you are thinking about whether to take them or not, then definitely YES! Healthy ears!</v>
      </c>
    </row>
    <row r="7498" spans="1:9" x14ac:dyDescent="0.3">
      <c r="A7498" s="1" t="s">
        <v>67</v>
      </c>
      <c r="B7498" s="1" t="s">
        <v>68</v>
      </c>
      <c r="C7498" s="1" t="s">
        <v>1461</v>
      </c>
      <c r="D7498" s="1" t="s">
        <v>32</v>
      </c>
      <c r="E7498" s="1" t="s">
        <v>320</v>
      </c>
      <c r="F7498" s="1" t="s">
        <v>11546</v>
      </c>
      <c r="G7498" s="1" t="s">
        <v>36</v>
      </c>
      <c r="H7498" s="1" t="s">
        <v>29</v>
      </c>
      <c r="I7498" s="1" t="str">
        <f ca="1">IFERROR(__xludf.DUMMYFUNCTION("GOOGLETRANSLATE(F7498, ""auto"", ""en"")
"),"I bought two on sale at once, for myself and my mother, there are no complaints at all, it heats up quickly, steams well, sometimes the smoothing is not very good, in this case the steam boost helps. I asked my mother - she didn’t have any problems either"&amp;".")</f>
        <v>I bought two on sale at once, for myself and my mother, there are no complaints at all, it heats up quickly, steams well, sometimes the smoothing is not very good, in this case the steam boost helps. I asked my mother - she didn’t have any problems either.</v>
      </c>
    </row>
    <row r="7499" spans="1:9" x14ac:dyDescent="0.3">
      <c r="A7499" s="1" t="s">
        <v>9</v>
      </c>
      <c r="B7499" s="1" t="s">
        <v>23</v>
      </c>
      <c r="C7499" s="1" t="s">
        <v>134</v>
      </c>
      <c r="D7499" s="1" t="s">
        <v>86</v>
      </c>
      <c r="E7499" s="1" t="s">
        <v>11412</v>
      </c>
      <c r="F7499" s="1" t="s">
        <v>11547</v>
      </c>
      <c r="G7499" s="1" t="s">
        <v>94</v>
      </c>
      <c r="H7499" s="1" t="s">
        <v>29</v>
      </c>
      <c r="I7499" s="1" t="str">
        <f ca="1">IFERROR(__xludf.DUMMYFUNCTION("GOOGLETRANSLATE(F7499, ""auto"", ""en"")
"),"Quiet operation, quality")</f>
        <v>Quiet operation, quality</v>
      </c>
    </row>
    <row r="7500" spans="1:9" x14ac:dyDescent="0.3">
      <c r="A7500" s="1" t="s">
        <v>17</v>
      </c>
      <c r="B7500" s="1" t="s">
        <v>18</v>
      </c>
      <c r="C7500" s="1" t="s">
        <v>63</v>
      </c>
      <c r="D7500" s="1" t="s">
        <v>52</v>
      </c>
      <c r="E7500" s="1" t="s">
        <v>4486</v>
      </c>
      <c r="F7500" s="1" t="s">
        <v>11548</v>
      </c>
      <c r="G7500" s="1" t="s">
        <v>36</v>
      </c>
      <c r="H7500" s="1" t="s">
        <v>29</v>
      </c>
      <c r="I7500" s="1" t="str">
        <f ca="1">IFERROR(__xludf.DUMMYFUNCTION("GOOGLETRANSLATE(F7500, ""auto"", ""en"")
"),"A month ago I bought a Bosch WLX20462. I spent a long time choosing and reading reviews. The criteria that were important to me were: German assembly, quick wash, 1000 rpm spin. Well, it is advisable to see the washing mode, and not cram in what mode, for"&amp;" example, what temperature or spin speed.   I made the right choice. I have a white kimono whose collar has long since lost its white color.   I washed it with a ryton, and then immediately on the maximum mode in Samsung. The gate became just a little bet"&amp;"ter. After the purchase I decided to try it at BOSCH. I set the wash to cotton, temperature 90, spin 1000 rpm and + pre-wash! I was surprised by the result! To be honest, I didn't expect it. The collar became as white as everything else! :)")</f>
        <v>A month ago I bought a Bosch WLX20462. I spent a long time choosing and reading reviews. The criteria that were important to me were: German assembly, quick wash, 1000 rpm spin. Well, it is advisable to see the washing mode, and not cram in what mode, for example, what temperature or spin speed.   I made the right choice. I have a white kimono whose collar has long since lost its white color.   I washed it with a ryton, and then immediately on the maximum mode in Samsung. The gate became just a little better. After the purchase I decided to try it at BOSCH. I set the wash to cotton, temperature 90, spin 1000 rpm and + pre-wash! I was surprised by the result! To be honest, I didn't expect it. The collar became as white as everything else! :)</v>
      </c>
    </row>
    <row r="7501" spans="1:9" x14ac:dyDescent="0.3">
      <c r="A7501" s="1" t="s">
        <v>61</v>
      </c>
      <c r="B7501" s="1" t="s">
        <v>977</v>
      </c>
      <c r="C7501" s="1" t="s">
        <v>63</v>
      </c>
      <c r="D7501" s="1" t="s">
        <v>305</v>
      </c>
      <c r="E7501" s="1" t="s">
        <v>1099</v>
      </c>
      <c r="F7501" s="1" t="s">
        <v>11549</v>
      </c>
      <c r="G7501" s="1" t="s">
        <v>36</v>
      </c>
      <c r="H7501" s="1" t="s">
        <v>29</v>
      </c>
      <c r="I7501" s="1" t="str">
        <f ca="1">IFERROR(__xludf.DUMMYFUNCTION("GOOGLETRANSLATE(F7501, ""auto"", ""en"")
"),"The mixer is about 3 years old. At first my wife was wary. Yes, me too. Everything is made of plastic - how long will it last? But then we tried it. The mixer is excellent. You throw everything into it and go about your business. And the other day we beca"&amp;"me convinced that it was safe. Before we knew it, the granddaughter stuck her finger between the gears... Of course, the roar was from fear, but the finger was unharmed. And the mixer is also intact. I recommend...")</f>
        <v>The mixer is about 3 years old. At first my wife was wary. Yes, me too. Everything is made of plastic - how long will it last? But then we tried it. The mixer is excellent. You throw everything into it and go about your business. And the other day we became convinced that it was safe. Before we knew it, the granddaughter stuck her finger between the gears... Of course, the roar was from fear, but the finger was unharmed. And the mixer is also intact. I recommend...</v>
      </c>
    </row>
    <row r="7502" spans="1:9" x14ac:dyDescent="0.3">
      <c r="A7502" s="1" t="s">
        <v>67</v>
      </c>
      <c r="B7502" s="1" t="s">
        <v>68</v>
      </c>
      <c r="C7502" s="1" t="s">
        <v>246</v>
      </c>
      <c r="D7502" s="1" t="s">
        <v>11550</v>
      </c>
      <c r="E7502" s="1" t="s">
        <v>1248</v>
      </c>
      <c r="F7502" s="1" t="s">
        <v>11551</v>
      </c>
      <c r="G7502" s="1" t="s">
        <v>28</v>
      </c>
      <c r="H7502" s="1" t="s">
        <v>29</v>
      </c>
      <c r="I7502" s="1" t="str">
        <f ca="1">IFERROR(__xludf.DUMMYFUNCTION("GOOGLETRANSLATE(F7502, ""auto"", ""en"")
"),"Not a bad iron! Worth the money")</f>
        <v>Not a bad iron! Worth the money</v>
      </c>
    </row>
    <row r="7503" spans="1:9" x14ac:dyDescent="0.3">
      <c r="A7503" s="1" t="s">
        <v>43</v>
      </c>
      <c r="B7503" s="1" t="s">
        <v>334</v>
      </c>
      <c r="C7503" s="1" t="s">
        <v>185</v>
      </c>
      <c r="D7503" s="1" t="s">
        <v>11552</v>
      </c>
      <c r="E7503" s="1" t="s">
        <v>1332</v>
      </c>
      <c r="F7503" s="1" t="s">
        <v>11553</v>
      </c>
      <c r="G7503" s="1" t="s">
        <v>36</v>
      </c>
      <c r="H7503" s="1" t="s">
        <v>29</v>
      </c>
      <c r="I7503" s="1" t="str">
        <f ca="1">IFERROR(__xludf.DUMMYFUNCTION("GOOGLETRANSLATE(F7503, ""auto"", ""en"")
"),"I’ve been using it for 2 years. It’s a high-quality item, you won’t be able to brush it off and drop it - 9 kilos are going to be easy to clean, also from small flaws - at the highest speed the screws become loose within 2 hours, you need to put it either"&amp;" on a latch or tighten it, ascetic design, nothing superfluous - no timer, no remote control")</f>
        <v>I’ve been using it for 2 years. It’s a high-quality item, you won’t be able to brush it off and drop it - 9 kilos are going to be easy to clean, also from small flaws - at the highest speed the screws become loose within 2 hours, you need to put it either on a latch or tighten it, ascetic design, nothing superfluous - no timer, no remote control</v>
      </c>
    </row>
    <row r="7504" spans="1:9" x14ac:dyDescent="0.3">
      <c r="A7504" s="1" t="s">
        <v>61</v>
      </c>
      <c r="B7504" s="1" t="s">
        <v>318</v>
      </c>
      <c r="C7504" s="1" t="s">
        <v>246</v>
      </c>
      <c r="D7504" s="1" t="s">
        <v>11554</v>
      </c>
      <c r="E7504" s="1" t="s">
        <v>3550</v>
      </c>
      <c r="F7504" s="1" t="s">
        <v>11555</v>
      </c>
      <c r="G7504" s="1" t="s">
        <v>36</v>
      </c>
      <c r="H7504" s="1" t="s">
        <v>29</v>
      </c>
      <c r="I7504" s="1" t="str">
        <f ca="1">IFERROR(__xludf.DUMMYFUNCTION("GOOGLETRANSLATE(F7504, ""auto"", ""en"")
"),"The kettle is good: the body material is beautiful and strong; The heating element is very polished, so that scale does not appear on it. The coloring is very pleasant and non-standard - it brings bright features to the interior of the kitchen. It’s just "&amp;"noisy, but this is probably a problem with all kettles of this type. I advise you to buy it.")</f>
        <v>The kettle is good: the body material is beautiful and strong; The heating element is very polished, so that scale does not appear on it. The coloring is very pleasant and non-standard - it brings bright features to the interior of the kitchen. It’s just noisy, but this is probably a problem with all kettles of this type. I advise you to buy it.</v>
      </c>
    </row>
    <row r="7505" spans="1:9" x14ac:dyDescent="0.3">
      <c r="A7505" s="1" t="s">
        <v>206</v>
      </c>
      <c r="B7505" s="1" t="s">
        <v>207</v>
      </c>
      <c r="C7505" s="1" t="s">
        <v>152</v>
      </c>
      <c r="D7505" s="1" t="s">
        <v>1509</v>
      </c>
      <c r="E7505" s="1" t="s">
        <v>1034</v>
      </c>
      <c r="F7505" s="1" t="s">
        <v>11556</v>
      </c>
      <c r="G7505" s="1" t="s">
        <v>49</v>
      </c>
      <c r="H7505" s="1" t="s">
        <v>16</v>
      </c>
      <c r="I7505" s="1" t="str">
        <f ca="1">IFERROR(__xludf.DUMMYFUNCTION("GOOGLETRANSLATE(F7505, ""auto"", ""en"")
"),"Don’t even think about taking them! You can’t hear them at all, my phone plays louder!")</f>
        <v>Don’t even think about taking them! You can’t hear them at all, my phone plays louder!</v>
      </c>
    </row>
    <row r="7506" spans="1:9" x14ac:dyDescent="0.3">
      <c r="A7506" s="1" t="s">
        <v>519</v>
      </c>
      <c r="B7506" s="1" t="s">
        <v>1026</v>
      </c>
      <c r="C7506" s="1" t="s">
        <v>246</v>
      </c>
      <c r="D7506" s="1" t="s">
        <v>11557</v>
      </c>
      <c r="E7506" s="1" t="s">
        <v>1982</v>
      </c>
      <c r="F7506" s="1" t="s">
        <v>11558</v>
      </c>
      <c r="G7506" s="1" t="s">
        <v>28</v>
      </c>
      <c r="H7506" s="1" t="s">
        <v>29</v>
      </c>
      <c r="I7506" s="1" t="str">
        <f ca="1">IFERROR(__xludf.DUMMYFUNCTION("GOOGLETRANSLATE(F7506, ""auto"", ""en"")
"),"I've been using the lid for two years now, the only drawback is that the handle is made of fragile carbolite, I dropped it on the floor and a piece broke off. It fits tightly only on original frying pans, the glass practically does not heat up even during"&amp;" prolonged frying.")</f>
        <v>I've been using the lid for two years now, the only drawback is that the handle is made of fragile carbolite, I dropped it on the floor and a piece broke off. It fits tightly only on original frying pans, the glass practically does not heat up even during prolonged frying.</v>
      </c>
    </row>
    <row r="7507" spans="1:9" x14ac:dyDescent="0.3">
      <c r="A7507" s="1" t="s">
        <v>61</v>
      </c>
      <c r="B7507" s="1" t="s">
        <v>977</v>
      </c>
      <c r="C7507" s="1" t="s">
        <v>85</v>
      </c>
      <c r="D7507" s="1" t="s">
        <v>1499</v>
      </c>
      <c r="E7507" s="1" t="s">
        <v>11559</v>
      </c>
      <c r="F7507" s="1" t="s">
        <v>11560</v>
      </c>
      <c r="G7507" s="1" t="s">
        <v>49</v>
      </c>
      <c r="H7507" s="1" t="s">
        <v>16</v>
      </c>
      <c r="I7507" s="1" t="str">
        <f ca="1">IFERROR(__xludf.DUMMYFUNCTION("GOOGLETRANSLATE(F7507, ""auto"", ""en"")
"),"It only worked for half a year, I was kneading dough for bread, it started smoking and stopped working!!!  The whisk is disgusting!!! The rods at the corolla have come off, apparently they got stuck badly! I don't recommend it!")</f>
        <v>It only worked for half a year, I was kneading dough for bread, it started smoking and stopped working!!!  The whisk is disgusting!!! The rods at the corolla have come off, apparently they got stuck badly! I don't recommend it!</v>
      </c>
    </row>
    <row r="7508" spans="1:9" x14ac:dyDescent="0.3">
      <c r="A7508" s="1" t="s">
        <v>30</v>
      </c>
      <c r="B7508" s="1" t="s">
        <v>50</v>
      </c>
      <c r="C7508" s="1" t="s">
        <v>32</v>
      </c>
      <c r="D7508" s="1" t="s">
        <v>102</v>
      </c>
      <c r="E7508" s="1" t="s">
        <v>292</v>
      </c>
      <c r="F7508" s="1" t="s">
        <v>11561</v>
      </c>
      <c r="G7508" s="1" t="s">
        <v>36</v>
      </c>
      <c r="H7508" s="1" t="s">
        <v>29</v>
      </c>
      <c r="I7508" s="1" t="str">
        <f ca="1">IFERROR(__xludf.DUMMYFUNCTION("GOOGLETRANSLATE(F7508, ""auto"", ""en"")
"),"My wife and I bought this laptop from MVideo, we don’t regret anything! It has been working like a Swiss watch for us for 2 weeks now! Cool book!!! Very powerful! At first they wanted an even more sophisticated one for 54,000 rubles. there was an i7 proce"&amp;"ssor and a better vidyuha, but I am more or less versed in hardware, I didn’t deceive myself and use extra power and said HE’S OURS!!! I found only one minus: The screen flickers (flickers) at an angle of more than 90 degrees, maybe it’s like that for me!"&amp;".. But I’m happy with everything!")</f>
        <v>My wife and I bought this laptop from MVideo, we don’t regret anything! It has been working like a Swiss watch for us for 2 weeks now! Cool book!!! Very powerful! At first they wanted an even more sophisticated one for 54,000 rubles. there was an i7 processor and a better vidyuha, but I am more or less versed in hardware, I didn’t deceive myself and use extra power and said HE’S OURS!!! I found only one minus: The screen flickers (flickers) at an angle of more than 90 degrees, maybe it’s like that for me!.. But I’m happy with everything!</v>
      </c>
    </row>
    <row r="7509" spans="1:9" x14ac:dyDescent="0.3">
      <c r="A7509" s="1" t="s">
        <v>211</v>
      </c>
      <c r="B7509" s="1" t="s">
        <v>212</v>
      </c>
      <c r="C7509" s="1" t="s">
        <v>294</v>
      </c>
      <c r="D7509" s="1" t="s">
        <v>11562</v>
      </c>
      <c r="E7509" s="1" t="s">
        <v>3848</v>
      </c>
      <c r="F7509" s="1" t="s">
        <v>11563</v>
      </c>
      <c r="G7509" s="1" t="s">
        <v>36</v>
      </c>
      <c r="H7509" s="1" t="s">
        <v>29</v>
      </c>
      <c r="I7509" s="1" t="str">
        <f ca="1">IFERROR(__xludf.DUMMYFUNCTION("GOOGLETRANSLATE(F7509, ""auto"", ""en"")
"),"I’ve been using this hairdryer for over two years now, it’s an excellent hairdryer without exaggeration. Very light, dries hair well. I tried almost all companies, but I finally found my own. Good luck everyone!!!")</f>
        <v>I’ve been using this hairdryer for over two years now, it’s an excellent hairdryer without exaggeration. Very light, dries hair well. I tried almost all companies, but I finally found my own. Good luck everyone!!!</v>
      </c>
    </row>
    <row r="7510" spans="1:9" x14ac:dyDescent="0.3">
      <c r="A7510" s="1" t="s">
        <v>61</v>
      </c>
      <c r="B7510" s="1" t="s">
        <v>73</v>
      </c>
      <c r="C7510" s="1" t="s">
        <v>74</v>
      </c>
      <c r="D7510" s="1" t="s">
        <v>39</v>
      </c>
      <c r="E7510" s="1" t="s">
        <v>3652</v>
      </c>
      <c r="F7510" s="1" t="s">
        <v>11564</v>
      </c>
      <c r="G7510" s="1" t="s">
        <v>28</v>
      </c>
      <c r="H7510" s="1" t="s">
        <v>29</v>
      </c>
      <c r="I7510" s="1" t="str">
        <f ca="1">IFERROR(__xludf.DUMMYFUNCTION("GOOGLETRANSLATE(F7510, ""auto"", ""en"")
"),"The meat grinder is cool, it grinds once or twice, the only downside is that it makes noise. But given the 2-year warranty, as well as additional features, I recommend it!")</f>
        <v>The meat grinder is cool, it grinds once or twice, the only downside is that it makes noise. But given the 2-year warranty, as well as additional features, I recommend it!</v>
      </c>
    </row>
    <row r="7511" spans="1:9" x14ac:dyDescent="0.3">
      <c r="A7511" s="1" t="s">
        <v>624</v>
      </c>
      <c r="B7511" s="1" t="s">
        <v>625</v>
      </c>
      <c r="C7511" s="1" t="s">
        <v>479</v>
      </c>
      <c r="D7511" s="1" t="s">
        <v>1152</v>
      </c>
      <c r="E7511" s="1" t="s">
        <v>7187</v>
      </c>
      <c r="F7511" s="1" t="s">
        <v>11565</v>
      </c>
      <c r="G7511" s="1" t="s">
        <v>36</v>
      </c>
      <c r="H7511" s="1" t="s">
        <v>29</v>
      </c>
      <c r="I7511" s="1" t="str">
        <f ca="1">IFERROR(__xludf.DUMMYFUNCTION("GOOGLETRANSLATE(F7511, ""auto"", ""en"")
"),"The game is very dynamic and adrenaline filled with heaps of corpses and bloody scraps :). I advise everyone to buy it, especially at this price :)")</f>
        <v>The game is very dynamic and adrenaline filled with heaps of corpses and bloody scraps :). I advise everyone to buy it, especially at this price :)</v>
      </c>
    </row>
    <row r="7512" spans="1:9" x14ac:dyDescent="0.3">
      <c r="A7512" s="1" t="s">
        <v>61</v>
      </c>
      <c r="B7512" s="1" t="s">
        <v>5714</v>
      </c>
      <c r="C7512" s="1" t="s">
        <v>146</v>
      </c>
      <c r="D7512" s="1" t="s">
        <v>282</v>
      </c>
      <c r="E7512" s="1" t="s">
        <v>4803</v>
      </c>
      <c r="F7512" s="1" t="s">
        <v>11566</v>
      </c>
      <c r="G7512" s="1" t="s">
        <v>36</v>
      </c>
      <c r="H7512" s="1" t="s">
        <v>29</v>
      </c>
      <c r="I7512" s="1" t="str">
        <f ca="1">IFERROR(__xludf.DUMMYFUNCTION("GOOGLETRANSLATE(F7512, ""auto"", ""en"")
"),"The attachment for the Kenwood AT641 food processor is perfect for making juices from vegetables, fruits and herbs. The hole diameter is 75mm, which allows you to easily add large items such as an apple. The nozzle is made of durable materials that extend"&amp;" its service life. The device is protected against accidental activation. Installation of the nozzle is quick and effortless. The components of the nozzle can be easily washed in the dishwasher. The Kenwood AT641 attachment makes preparing drinks simple a"&amp;"nd accessible.")</f>
        <v>The attachment for the Kenwood AT641 food processor is perfect for making juices from vegetables, fruits and herbs. The hole diameter is 75mm, which allows you to easily add large items such as an apple. The nozzle is made of durable materials that extend its service life. The device is protected against accidental activation. Installation of the nozzle is quick and effortless. The components of the nozzle can be easily washed in the dishwasher. The Kenwood AT641 attachment makes preparing drinks simple and accessible.</v>
      </c>
    </row>
    <row r="7513" spans="1:9" x14ac:dyDescent="0.3">
      <c r="A7513" s="1" t="s">
        <v>61</v>
      </c>
      <c r="B7513" s="1" t="s">
        <v>73</v>
      </c>
      <c r="C7513" s="1" t="s">
        <v>63</v>
      </c>
      <c r="D7513" s="1" t="s">
        <v>2045</v>
      </c>
      <c r="E7513" s="1" t="s">
        <v>10078</v>
      </c>
      <c r="F7513" s="1" t="s">
        <v>11567</v>
      </c>
      <c r="G7513" s="1" t="s">
        <v>36</v>
      </c>
      <c r="H7513" s="1" t="s">
        <v>29</v>
      </c>
      <c r="I7513" s="1" t="str">
        <f ca="1">IFERROR(__xludf.DUMMYFUNCTION("GOOGLETRANSLATE(F7513, ""auto"", ""en"")
"),"This is our second year using it quite regularly. Satisfied. Never had any problems. Does his job quickly and efficiently!")</f>
        <v>This is our second year using it quite regularly. Satisfied. Never had any problems. Does his job quickly and efficiently!</v>
      </c>
    </row>
    <row r="7514" spans="1:9" x14ac:dyDescent="0.3">
      <c r="A7514" s="1" t="s">
        <v>369</v>
      </c>
      <c r="B7514" s="1" t="s">
        <v>370</v>
      </c>
      <c r="C7514" s="1" t="s">
        <v>63</v>
      </c>
      <c r="D7514" s="1" t="s">
        <v>11568</v>
      </c>
      <c r="E7514" s="1" t="s">
        <v>11569</v>
      </c>
      <c r="F7514" s="1" t="s">
        <v>11570</v>
      </c>
      <c r="G7514" s="1" t="s">
        <v>36</v>
      </c>
      <c r="H7514" s="1" t="s">
        <v>29</v>
      </c>
      <c r="I7514" s="1" t="str">
        <f ca="1">IFERROR(__xludf.DUMMYFUNCTION("GOOGLETRANSLATE(F7514, ""auto"", ""en"")
"),"We have been using the stove since October 2011, my wife is very pleased. The cord was left from an old Russian stove, there were no difficulties when connecting, I know a little about electrics, the oven works when the time is set on the display. Minor i"&amp;"nconvenience: the electricity is turned off, the time must be set again. The recessed “handles” do not spoil the look. Glass ceramics require more careful care, and the dishes are not all complete Suitable. You definitely need a scraper for glass ceramics"&amp;"; cleaning products will not always help remove burnt-on food from the surface of the stove. But it consumes noticeably less energy than a stove with pancakes. There are enough programs for cooking in the oven. The appearance of the stove is super.")</f>
        <v>We have been using the stove since October 2011, my wife is very pleased. The cord was left from an old Russian stove, there were no difficulties when connecting, I know a little about electrics, the oven works when the time is set on the display. Minor inconvenience: the electricity is turned off, the time must be set again. The recessed “handles” do not spoil the look. Glass ceramics require more careful care, and the dishes are not all complete Suitable. You definitely need a scraper for glass ceramics; cleaning products will not always help remove burnt-on food from the surface of the stove. But it consumes noticeably less energy than a stove with pancakes. There are enough programs for cooking in the oven. The appearance of the stove is super.</v>
      </c>
    </row>
    <row r="7515" spans="1:9" x14ac:dyDescent="0.3">
      <c r="A7515" s="1" t="s">
        <v>89</v>
      </c>
      <c r="B7515" s="1" t="s">
        <v>90</v>
      </c>
      <c r="C7515" s="1" t="s">
        <v>57</v>
      </c>
      <c r="D7515" s="1" t="s">
        <v>11571</v>
      </c>
      <c r="E7515" s="1" t="s">
        <v>8801</v>
      </c>
      <c r="F7515" s="1" t="s">
        <v>11572</v>
      </c>
      <c r="G7515" s="1" t="s">
        <v>36</v>
      </c>
      <c r="H7515" s="1" t="s">
        <v>29</v>
      </c>
      <c r="I7515" s="1" t="str">
        <f ca="1">IFERROR(__xludf.DUMMYFUNCTION("GOOGLETRANSLATE(F7515, ""auto"", ""en"")
"),"Capacity (50g of coffee at a time), protection against turning on when the lid is open/or not tightly closed - children won’t just turn it on, cord storage compartment, rubberized feet.")</f>
        <v>Capacity (50g of coffee at a time), protection against turning on when the lid is open/or not tightly closed - children won’t just turn it on, cord storage compartment, rubberized feet.</v>
      </c>
    </row>
    <row r="7516" spans="1:9" x14ac:dyDescent="0.3">
      <c r="A7516" s="1" t="s">
        <v>120</v>
      </c>
      <c r="B7516" s="1" t="s">
        <v>126</v>
      </c>
      <c r="C7516" s="1" t="s">
        <v>122</v>
      </c>
      <c r="D7516" s="1" t="s">
        <v>152</v>
      </c>
      <c r="E7516" s="1" t="s">
        <v>1695</v>
      </c>
      <c r="F7516" s="1" t="s">
        <v>11573</v>
      </c>
      <c r="G7516" s="1" t="s">
        <v>28</v>
      </c>
      <c r="H7516" s="1" t="s">
        <v>29</v>
      </c>
      <c r="I7516" s="1" t="str">
        <f ca="1">IFERROR(__xludf.DUMMYFUNCTION("GOOGLETRANSLATE(F7516, ""auto"", ""en"")
"),"I bought it six months ago. In comparison with the LCD TVs that I saw (also HD), heaven and earth! The picture, of course, is a little less “colorful” than on the LCD, but you can’t only watch cartoons on it?) I watch HD and regular channels from the dish"&amp;" and a little terrestrial, the broadcast seems no worse than the former 32-inch glass Rolsen, the quality from the dish is above all praise, the HD channels are already “ringing”. The biggest disadvantage in my opinion is that it doubles as a heating radi"&amp;"ator: after 3-4 hours of viewing, the room becomes noticeably warmer. I'm sadly waiting for summer...")</f>
        <v>I bought it six months ago. In comparison with the LCD TVs that I saw (also HD), heaven and earth! The picture, of course, is a little less “colorful” than on the LCD, but you can’t only watch cartoons on it?) I watch HD and regular channels from the dish and a little terrestrial, the broadcast seems no worse than the former 32-inch glass Rolsen, the quality from the dish is above all praise, the HD channels are already “ringing”. The biggest disadvantage in my opinion is that it doubles as a heating radiator: after 3-4 hours of viewing, the room becomes noticeably warmer. I'm sadly waiting for summer...</v>
      </c>
    </row>
    <row r="7517" spans="1:9" x14ac:dyDescent="0.3">
      <c r="A7517" s="1" t="s">
        <v>211</v>
      </c>
      <c r="B7517" s="1" t="s">
        <v>265</v>
      </c>
      <c r="C7517" s="1" t="s">
        <v>122</v>
      </c>
      <c r="D7517" s="1" t="s">
        <v>7505</v>
      </c>
      <c r="E7517" s="1" t="s">
        <v>2030</v>
      </c>
      <c r="F7517" s="1" t="s">
        <v>11574</v>
      </c>
      <c r="G7517" s="1" t="s">
        <v>49</v>
      </c>
      <c r="H7517" s="1" t="s">
        <v>16</v>
      </c>
      <c r="I7517" s="1" t="str">
        <f ca="1">IFERROR(__xludf.DUMMYFUNCTION("GOOGLETRANSLATE(F7517, ""auto"", ""en"")
"),"The Panasonic ER131H 520 hair clipper completely sucks..... jerks when cutting, does not have time to cut... in a word, I am not happy with my purchase. I'm thinking of getting a moser now.")</f>
        <v>The Panasonic ER131H 520 hair clipper completely sucks..... jerks when cutting, does not have time to cut... in a word, I am not happy with my purchase. I'm thinking of getting a moser now.</v>
      </c>
    </row>
    <row r="7518" spans="1:9" x14ac:dyDescent="0.3">
      <c r="A7518" s="1" t="s">
        <v>61</v>
      </c>
      <c r="B7518" s="1" t="s">
        <v>318</v>
      </c>
      <c r="C7518" s="1" t="s">
        <v>213</v>
      </c>
      <c r="D7518" s="1" t="s">
        <v>172</v>
      </c>
      <c r="E7518" s="1" t="s">
        <v>3775</v>
      </c>
      <c r="F7518" s="1" t="s">
        <v>11575</v>
      </c>
      <c r="G7518" s="1" t="s">
        <v>15</v>
      </c>
      <c r="H7518" s="1" t="s">
        <v>16</v>
      </c>
      <c r="I7518" s="1" t="str">
        <f ca="1">IFERROR(__xludf.DUMMYFUNCTION("GOOGLETRANSLATE(F7518, ""auto"", ""en"")
"),"The kettle was quite noisy and worked like nothing, but recently it started leaking.  Worked for half a year.")</f>
        <v>The kettle was quite noisy and worked like nothing, but recently it started leaking.  Worked for half a year.</v>
      </c>
    </row>
    <row r="7519" spans="1:9" x14ac:dyDescent="0.3">
      <c r="A7519" s="1" t="s">
        <v>61</v>
      </c>
      <c r="B7519" s="1" t="s">
        <v>145</v>
      </c>
      <c r="C7519" s="1" t="s">
        <v>45</v>
      </c>
      <c r="D7519" s="1" t="s">
        <v>11576</v>
      </c>
      <c r="E7519" s="1" t="s">
        <v>1321</v>
      </c>
      <c r="F7519" s="1" t="s">
        <v>11577</v>
      </c>
      <c r="G7519" s="1" t="s">
        <v>49</v>
      </c>
      <c r="H7519" s="1" t="s">
        <v>16</v>
      </c>
      <c r="I7519" s="1" t="str">
        <f ca="1">IFERROR(__xludf.DUMMYFUNCTION("GOOGLETRANSLATE(F7519, ""auto"", ""en"")
"),"there’s nothing good about it, the plastic manages to heat up, and if you wait, it seems it might melt, the smell of plastic is in the kitchen when it’s working, the fan speed doesn’t change, so the fish dries out and burns, it’s all kind of defective - i"&amp;"t’s from China and China is in China)))")</f>
        <v>there’s nothing good about it, the plastic manages to heat up, and if you wait, it seems it might melt, the smell of plastic is in the kitchen when it’s working, the fan speed doesn’t change, so the fish dries out and burns, it’s all kind of defective - it’s from China and China is in China)))</v>
      </c>
    </row>
    <row r="7520" spans="1:9" x14ac:dyDescent="0.3">
      <c r="A7520" s="1" t="s">
        <v>149</v>
      </c>
      <c r="B7520" s="1" t="s">
        <v>155</v>
      </c>
      <c r="C7520" s="1" t="s">
        <v>63</v>
      </c>
      <c r="D7520" s="1" t="s">
        <v>2045</v>
      </c>
      <c r="E7520" s="1" t="s">
        <v>11578</v>
      </c>
      <c r="F7520" s="1" t="s">
        <v>11579</v>
      </c>
      <c r="G7520" s="1" t="s">
        <v>28</v>
      </c>
      <c r="H7520" s="1" t="s">
        <v>29</v>
      </c>
      <c r="I7520" s="1" t="str">
        <f ca="1">IFERROR(__xludf.DUMMYFUNCTION("GOOGLETRANSLATE(F7520, ""auto"", ""en"")
"),"I have been using the device for more than a year, during which time it has shown itself only from its best side. I chose this model because of two types of dust collection (bag and container). Easy to use, low maintenance, quick to assemble, disassemble "&amp;"and clean. I gave it a 4 only because at the moment, when turning on full power, the indicator shows a full garbage bag, although the bag is empty. Perhaps it's time to change the filter. :)")</f>
        <v>I have been using the device for more than a year, during which time it has shown itself only from its best side. I chose this model because of two types of dust collection (bag and container). Easy to use, low maintenance, quick to assemble, disassemble and clean. I gave it a 4 only because at the moment, when turning on full power, the indicator shows a full garbage bag, although the bag is empty. Perhaps it's time to change the filter. :)</v>
      </c>
    </row>
    <row r="7521" spans="1:9" x14ac:dyDescent="0.3">
      <c r="A7521" s="1" t="s">
        <v>61</v>
      </c>
      <c r="B7521" s="1" t="s">
        <v>318</v>
      </c>
      <c r="C7521" s="1" t="s">
        <v>246</v>
      </c>
      <c r="D7521" s="1" t="s">
        <v>12</v>
      </c>
      <c r="E7521" s="1" t="s">
        <v>3399</v>
      </c>
      <c r="F7521" s="1" t="s">
        <v>11580</v>
      </c>
      <c r="G7521" s="1" t="s">
        <v>36</v>
      </c>
      <c r="H7521" s="1" t="s">
        <v>29</v>
      </c>
      <c r="I7521" s="1" t="str">
        <f ca="1">IFERROR(__xludf.DUMMYFUNCTION("GOOGLETRANSLATE(F7521, ""auto"", ""en"")
"),"Simply perfect for traveling! Before the first use, the water was boiled three times and poured out. There is no plastic smell! The set includes two plastic cups and spoons. In general, a miniature (compared to a regular kettle) cute, useful little thing."&amp;" I'm happy!")</f>
        <v>Simply perfect for traveling! Before the first use, the water was boiled three times and poured out. There is no plastic smell! The set includes two plastic cups and spoons. In general, a miniature (compared to a regular kettle) cute, useful little thing. I'm happy!</v>
      </c>
    </row>
    <row r="7522" spans="1:9" x14ac:dyDescent="0.3">
      <c r="A7522" s="1" t="s">
        <v>149</v>
      </c>
      <c r="B7522" s="1" t="s">
        <v>576</v>
      </c>
      <c r="C7522" s="1" t="s">
        <v>69</v>
      </c>
      <c r="D7522" s="1" t="s">
        <v>1890</v>
      </c>
      <c r="E7522" s="1" t="s">
        <v>7248</v>
      </c>
      <c r="F7522" s="1" t="s">
        <v>11581</v>
      </c>
      <c r="G7522" s="1" t="s">
        <v>36</v>
      </c>
      <c r="H7522" s="1" t="s">
        <v>29</v>
      </c>
      <c r="I7522" s="1" t="str">
        <f ca="1">IFERROR(__xludf.DUMMYFUNCTION("GOOGLETRANSLATE(F7522, ""auto"", ""en"")
"),"Suction power, brushes and design")</f>
        <v>Suction power, brushes and design</v>
      </c>
    </row>
    <row r="7523" spans="1:9" x14ac:dyDescent="0.3">
      <c r="A7523" s="1" t="s">
        <v>37</v>
      </c>
      <c r="B7523" s="1" t="s">
        <v>536</v>
      </c>
      <c r="C7523" s="1" t="s">
        <v>537</v>
      </c>
      <c r="D7523" s="1" t="s">
        <v>1004</v>
      </c>
      <c r="E7523" s="1" t="s">
        <v>229</v>
      </c>
      <c r="F7523" s="1" t="s">
        <v>11582</v>
      </c>
      <c r="G7523" s="1" t="s">
        <v>15</v>
      </c>
      <c r="H7523" s="1" t="s">
        <v>16</v>
      </c>
      <c r="I7523" s="1" t="str">
        <f ca="1">IFERROR(__xludf.DUMMYFUNCTION("GOOGLETRANSLATE(F7523, ""auto"", ""en"")
"),"I’m not happy, I’m having a hard time getting used to it, it’s been 2 months now. but I still can’t get used to it...")</f>
        <v>I’m not happy, I’m having a hard time getting used to it, it’s been 2 months now. but I still can’t get used to it...</v>
      </c>
    </row>
    <row r="7524" spans="1:9" x14ac:dyDescent="0.3">
      <c r="A7524" s="1" t="s">
        <v>37</v>
      </c>
      <c r="B7524" s="1" t="s">
        <v>38</v>
      </c>
      <c r="C7524" s="1" t="s">
        <v>151</v>
      </c>
      <c r="D7524" s="1" t="s">
        <v>3923</v>
      </c>
      <c r="E7524" s="1" t="s">
        <v>1248</v>
      </c>
      <c r="F7524" s="1" t="s">
        <v>11583</v>
      </c>
      <c r="G7524" s="1" t="s">
        <v>36</v>
      </c>
      <c r="H7524" s="1" t="s">
        <v>29</v>
      </c>
      <c r="I7524" s="1" t="str">
        <f ca="1">IFERROR(__xludf.DUMMYFUNCTION("GOOGLETRANSLATE(F7524, ""auto"", ""en"")
"),"I've had my phone for a year now. The camera is good, 2MP is quite enough. The battery is also normal. I recommend it.  =)")</f>
        <v>I've had my phone for a year now. The camera is good, 2MP is quite enough. The battery is also normal. I recommend it.  =)</v>
      </c>
    </row>
    <row r="7525" spans="1:9" x14ac:dyDescent="0.3">
      <c r="A7525" s="1" t="s">
        <v>149</v>
      </c>
      <c r="B7525" s="1" t="s">
        <v>576</v>
      </c>
      <c r="C7525" s="1" t="s">
        <v>24</v>
      </c>
      <c r="D7525" s="1" t="s">
        <v>75</v>
      </c>
      <c r="E7525" s="1" t="s">
        <v>4458</v>
      </c>
      <c r="F7525" s="1" t="s">
        <v>11584</v>
      </c>
      <c r="G7525" s="1" t="s">
        <v>36</v>
      </c>
      <c r="H7525" s="1" t="s">
        <v>29</v>
      </c>
      <c r="I7525" s="1" t="str">
        <f ca="1">IFERROR(__xludf.DUMMYFUNCTION("GOOGLETRANSLATE(F7525, ""auto"", ""en"")
"),"I recently bought this vacuum cleaner. So far I’m very happy with the purchase, it sucks well and doesn’t make much noise, unlike the previous one. I haven't found any downsides yet. The price pleased me)")</f>
        <v>I recently bought this vacuum cleaner. So far I’m very happy with the purchase, it sucks well and doesn’t make much noise, unlike the previous one. I haven't found any downsides yet. The price pleased me)</v>
      </c>
    </row>
    <row r="7526" spans="1:9" x14ac:dyDescent="0.3">
      <c r="A7526" s="1" t="s">
        <v>149</v>
      </c>
      <c r="B7526" s="1" t="s">
        <v>155</v>
      </c>
      <c r="C7526" s="1" t="s">
        <v>101</v>
      </c>
      <c r="D7526" s="1" t="s">
        <v>102</v>
      </c>
      <c r="E7526" s="1" t="s">
        <v>3444</v>
      </c>
      <c r="F7526" s="1" t="s">
        <v>11585</v>
      </c>
      <c r="G7526" s="1" t="s">
        <v>49</v>
      </c>
      <c r="H7526" s="1" t="s">
        <v>16</v>
      </c>
      <c r="I7526" s="1" t="str">
        <f ca="1">IFERROR(__xludf.DUMMYFUNCTION("GOOGLETRANSLATE(F7526, ""auto"", ""en"")
"),"I took it in September 2011. This vacuum cleaner &amp;mdash; just some kind of misunderstanding. So bad it's creepy. Clogs quickly; suction power is extremely low; The noise from it is so loud that you can't hear a jet engine. There is no power regulator. Red"&amp;" price for him &amp;mdash; 500 rubles. I, of course, understood that it would be a low-quality product for that price, but not to that extent. Well, at least they installed a power regulator!")</f>
        <v>I took it in September 2011. This vacuum cleaner &amp;mdash; just some kind of misunderstanding. So bad it's creepy. Clogs quickly; suction power is extremely low; The noise from it is so loud that you can't hear a jet engine. There is no power regulator. Red price for him &amp;mdash; 500 rubles. I, of course, understood that it would be a low-quality product for that price, but not to that extent. Well, at least they installed a power regulator!</v>
      </c>
    </row>
    <row r="7527" spans="1:9" x14ac:dyDescent="0.3">
      <c r="A7527" s="1" t="s">
        <v>120</v>
      </c>
      <c r="B7527" s="1" t="s">
        <v>121</v>
      </c>
      <c r="C7527" s="1" t="s">
        <v>80</v>
      </c>
      <c r="D7527" s="1" t="s">
        <v>2145</v>
      </c>
      <c r="E7527" s="1" t="s">
        <v>3664</v>
      </c>
      <c r="F7527" s="1" t="s">
        <v>11586</v>
      </c>
      <c r="G7527" s="1" t="s">
        <v>36</v>
      </c>
      <c r="H7527" s="1" t="s">
        <v>29</v>
      </c>
      <c r="I7527" s="1" t="str">
        <f ca="1">IFERROR(__xludf.DUMMYFUNCTION("GOOGLETRANSLATE(F7527, ""auto"", ""en"")
"),"People take it, you won't regret it. For this money the best purchase, besides, with simple manipulations you can activate the service usb and watch videos from the flash drive in HD")</f>
        <v>People take it, you won't regret it. For this money the best purchase, besides, with simple manipulations you can activate the service usb and watch videos from the flash drive in HD</v>
      </c>
    </row>
    <row r="7528" spans="1:9" x14ac:dyDescent="0.3">
      <c r="A7528" s="1" t="s">
        <v>43</v>
      </c>
      <c r="B7528" s="1" t="s">
        <v>334</v>
      </c>
      <c r="C7528" s="1" t="s">
        <v>101</v>
      </c>
      <c r="D7528" s="1" t="s">
        <v>12</v>
      </c>
      <c r="E7528" s="1" t="s">
        <v>1048</v>
      </c>
      <c r="F7528" s="1" t="s">
        <v>11587</v>
      </c>
      <c r="G7528" s="1" t="s">
        <v>28</v>
      </c>
      <c r="H7528" s="1" t="s">
        <v>29</v>
      </c>
      <c r="I7528" s="1" t="str">
        <f ca="1">IFERROR(__xludf.DUMMYFUNCTION("GOOGLETRANSLATE(F7528, ""auto"", ""en"")
"),"The controls are very simple and clear, there are only 2 buttons - on/off, mode 1 and mode 2. It is worth noting that already in mode 1 the fan copes well with dispersing stuffiness and blows normally, so there is practically no need in the second mode. I"&amp;"t's not completely silent, just very quiet.")</f>
        <v>The controls are very simple and clear, there are only 2 buttons - on/off, mode 1 and mode 2. It is worth noting that already in mode 1 the fan copes well with dispersing stuffiness and blows normally, so there is practically no need in the second mode. It's not completely silent, just very quiet.</v>
      </c>
    </row>
    <row r="7529" spans="1:9" x14ac:dyDescent="0.3">
      <c r="A7529" s="1" t="s">
        <v>17</v>
      </c>
      <c r="B7529" s="1" t="s">
        <v>18</v>
      </c>
      <c r="C7529" s="1" t="s">
        <v>243</v>
      </c>
      <c r="D7529" s="1" t="s">
        <v>139</v>
      </c>
      <c r="E7529" s="1" t="s">
        <v>6167</v>
      </c>
      <c r="F7529" s="1" t="s">
        <v>11588</v>
      </c>
      <c r="G7529" s="1" t="s">
        <v>36</v>
      </c>
      <c r="H7529" s="1" t="s">
        <v>29</v>
      </c>
      <c r="I7529" s="1" t="str">
        <f ca="1">IFERROR(__xludf.DUMMYFUNCTION("GOOGLETRANSLATE(F7529, ""auto"", ""en"")
"),"compact")</f>
        <v>compact</v>
      </c>
    </row>
    <row r="7530" spans="1:9" x14ac:dyDescent="0.3">
      <c r="A7530" s="1" t="s">
        <v>17</v>
      </c>
      <c r="B7530" s="1" t="s">
        <v>18</v>
      </c>
      <c r="C7530" s="1" t="s">
        <v>63</v>
      </c>
      <c r="D7530" s="1" t="s">
        <v>682</v>
      </c>
      <c r="E7530" s="1" t="s">
        <v>2360</v>
      </c>
      <c r="F7530" s="1" t="s">
        <v>11589</v>
      </c>
      <c r="G7530" s="1" t="s">
        <v>36</v>
      </c>
      <c r="H7530" s="1" t="s">
        <v>29</v>
      </c>
      <c r="I7530" s="1" t="str">
        <f ca="1">IFERROR(__xludf.DUMMYFUNCTION("GOOGLETRANSLATE(F7530, ""auto"", ""en"")
"),"I’ve been using it for about 1.5 years, it’s made in Germany, but it whistles loudly during the spin cycle. If you plan to do the laundry at night, then this machine is not for you. Overall a great machine. I recommend it.")</f>
        <v>I’ve been using it for about 1.5 years, it’s made in Germany, but it whistles loudly during the spin cycle. If you plan to do the laundry at night, then this machine is not for you. Overall a great machine. I recommend it.</v>
      </c>
    </row>
    <row r="7531" spans="1:9" x14ac:dyDescent="0.3">
      <c r="A7531" s="1" t="s">
        <v>17</v>
      </c>
      <c r="B7531" s="1" t="s">
        <v>18</v>
      </c>
      <c r="C7531" s="1" t="s">
        <v>80</v>
      </c>
      <c r="D7531" s="1" t="s">
        <v>64</v>
      </c>
      <c r="E7531" s="1" t="s">
        <v>2057</v>
      </c>
      <c r="F7531" s="1" t="s">
        <v>11590</v>
      </c>
      <c r="G7531" s="1" t="s">
        <v>28</v>
      </c>
      <c r="H7531" s="1" t="s">
        <v>29</v>
      </c>
      <c r="I7531" s="1" t="str">
        <f ca="1">IFERROR(__xludf.DUMMYFUNCTION("GOOGLETRANSLATE(F7531, ""auto"", ""en"")
"),"This week on Tuesday the car was delivered to us.  The design is excellent, the functions are also good.  There is one “BUT”, how the lid should open, hard or easy. For example, I need to make an effort to close the machine, but it’s not easy for my husba"&amp;"nd, of course, but it’s also not easy. Yesterday I washed my clothes, 1 wash in the “hand wash” mode, everything washed very well. and the 2nd wash was on the “delicate mode”, then some kind of grinding noise was heard. What did it help to be from? Help p"&amp;"lease. Thanks in advance!")</f>
        <v>This week on Tuesday the car was delivered to us.  The design is excellent, the functions are also good.  There is one “BUT”, how the lid should open, hard or easy. For example, I need to make an effort to close the machine, but it’s not easy for my husband, of course, but it’s also not easy. Yesterday I washed my clothes, 1 wash in the “hand wash” mode, everything washed very well. and the 2nd wash was on the “delicate mode”, then some kind of grinding noise was heard. What did it help to be from? Help please. Thanks in advance!</v>
      </c>
    </row>
    <row r="7532" spans="1:9" x14ac:dyDescent="0.3">
      <c r="A7532" s="1" t="s">
        <v>149</v>
      </c>
      <c r="B7532" s="1" t="s">
        <v>150</v>
      </c>
      <c r="C7532" s="1" t="s">
        <v>57</v>
      </c>
      <c r="D7532" s="1" t="s">
        <v>11591</v>
      </c>
      <c r="E7532" s="1" t="s">
        <v>8604</v>
      </c>
      <c r="F7532" s="1" t="s">
        <v>413</v>
      </c>
      <c r="G7532" s="1" t="s">
        <v>49</v>
      </c>
      <c r="H7532" s="1" t="s">
        <v>16</v>
      </c>
      <c r="I7532" s="1" t="str">
        <f ca="1">IFERROR(__xludf.DUMMYFUNCTION("GOOGLETRANSLATE(F7532, ""auto"", ""en"")
"),"No")</f>
        <v>No</v>
      </c>
    </row>
    <row r="7533" spans="1:9" x14ac:dyDescent="0.3">
      <c r="A7533" s="1" t="s">
        <v>17</v>
      </c>
      <c r="B7533" s="1" t="s">
        <v>18</v>
      </c>
      <c r="C7533" s="1" t="s">
        <v>19</v>
      </c>
      <c r="D7533" s="1" t="s">
        <v>11592</v>
      </c>
      <c r="E7533" s="1" t="s">
        <v>886</v>
      </c>
      <c r="F7533" s="1" t="s">
        <v>11593</v>
      </c>
      <c r="G7533" s="1" t="s">
        <v>36</v>
      </c>
      <c r="H7533" s="1" t="s">
        <v>29</v>
      </c>
      <c r="I7533" s="1" t="str">
        <f ca="1">IFERROR(__xludf.DUMMYFUNCTION("GOOGLETRANSLATE(F7533, ""auto"", ""en"")
"),"The machine has been working for four years now. True, it was assembled in Italy - there was no Russian assembly then. Very quiet. Management without bells and whistles, but everything is there. Disadvantages: it does not always completely wash away the p"&amp;"owder poured into the receiver; loud click when the door unlocks at the end of the program. First, you need to get used to it and not fall asleep at random (the completeness of the flush depends on the water pressure). The second drawback is insignificant"&amp;". I even like it: you can immediately hear that you have finished the program. Everything else is excellent. Recommend!  For those whose machine is noisy: the main thing is to adjust the machine to the horizon and use ALL four legs. Again, the best floori"&amp;"ng base is tiles.  I really trust this brand. The previous Ariston machine worked for 12 years and was retired in working condition due to wear of the bearings (it began to make a lot of noise when spinning) and the impracticality of repair. We still some"&amp;"times turn it on at the dacha. It's a shame to even throw it away.")</f>
        <v>The machine has been working for four years now. True, it was assembled in Italy - there was no Russian assembly then. Very quiet. Management without bells and whistles, but everything is there. Disadvantages: it does not always completely wash away the powder poured into the receiver; loud click when the door unlocks at the end of the program. First, you need to get used to it and not fall asleep at random (the completeness of the flush depends on the water pressure). The second drawback is insignificant. I even like it: you can immediately hear that you have finished the program. Everything else is excellent. Recommend!  For those whose machine is noisy: the main thing is to adjust the machine to the horizon and use ALL four legs. Again, the best flooring base is tiles.  I really trust this brand. The previous Ariston machine worked for 12 years and was retired in working condition due to wear of the bearings (it began to make a lot of noise when spinning) and the impracticality of repair. We still sometimes turn it on at the dacha. It's a shame to even throw it away.</v>
      </c>
    </row>
    <row r="7534" spans="1:9" x14ac:dyDescent="0.3">
      <c r="A7534" s="1" t="s">
        <v>369</v>
      </c>
      <c r="B7534" s="1" t="s">
        <v>370</v>
      </c>
      <c r="C7534" s="1" t="s">
        <v>63</v>
      </c>
      <c r="D7534" s="1" t="s">
        <v>102</v>
      </c>
      <c r="E7534" s="1" t="s">
        <v>161</v>
      </c>
      <c r="F7534" s="1" t="s">
        <v>11594</v>
      </c>
      <c r="G7534" s="1" t="s">
        <v>36</v>
      </c>
      <c r="H7534" s="1" t="s">
        <v>29</v>
      </c>
      <c r="I7534" s="1" t="str">
        <f ca="1">IFERROR(__xludf.DUMMYFUNCTION("GOOGLETRANSLATE(F7534, ""auto"", ""en"")
"),"I have been using this stove for 4 months.   1. There is no cord included as with all stoves. So the cord must first be purchased or removed from the old stove.  2. Bosch requires a technician to connect the stove; he called and they gave a guarantee for "&amp;"the connection.  3. The technician who connected it said that such stoves last for at least 10 years without breakdowns. The hob has an advantage over the built-in one because the control is not touch-sensitive (this is a plus), no one has come up with an"&amp;"ything better than mechanics.  Heating is very fast. Residual heat function at 5+.  Really a good thing.")</f>
        <v>I have been using this stove for 4 months.   1. There is no cord included as with all stoves. So the cord must first be purchased or removed from the old stove.  2. Bosch requires a technician to connect the stove; he called and they gave a guarantee for the connection.  3. The technician who connected it said that such stoves last for at least 10 years without breakdowns. The hob has an advantage over the built-in one because the control is not touch-sensitive (this is a plus), no one has come up with anything better than mechanics.  Heating is very fast. Residual heat function at 5+.  Really a good thing.</v>
      </c>
    </row>
    <row r="7535" spans="1:9" x14ac:dyDescent="0.3">
      <c r="A7535" s="1" t="s">
        <v>67</v>
      </c>
      <c r="B7535" s="1" t="s">
        <v>68</v>
      </c>
      <c r="C7535" s="1" t="s">
        <v>246</v>
      </c>
      <c r="D7535" s="1" t="s">
        <v>1890</v>
      </c>
      <c r="E7535" s="1" t="s">
        <v>11595</v>
      </c>
      <c r="F7535" s="1" t="s">
        <v>11596</v>
      </c>
      <c r="G7535" s="1" t="s">
        <v>36</v>
      </c>
      <c r="H7535" s="1" t="s">
        <v>29</v>
      </c>
      <c r="I7535" s="1" t="str">
        <f ca="1">IFERROR(__xludf.DUMMYFUNCTION("GOOGLETRANSLATE(F7535, ""auto"", ""en"")
"),"We have been using this iron for about 5 years. Very pleased. Irons well, no problems. There is no water cup included.")</f>
        <v>We have been using this iron for about 5 years. Very pleased. Irons well, no problems. There is no water cup included.</v>
      </c>
    </row>
    <row r="7536" spans="1:9" x14ac:dyDescent="0.3">
      <c r="A7536" s="1" t="s">
        <v>37</v>
      </c>
      <c r="B7536" s="1" t="s">
        <v>38</v>
      </c>
      <c r="C7536" s="1" t="s">
        <v>39</v>
      </c>
      <c r="D7536" s="1" t="s">
        <v>2233</v>
      </c>
      <c r="E7536" s="1" t="s">
        <v>5947</v>
      </c>
      <c r="F7536" s="1" t="s">
        <v>11597</v>
      </c>
      <c r="G7536" s="1" t="s">
        <v>49</v>
      </c>
      <c r="H7536" s="1" t="s">
        <v>16</v>
      </c>
      <c r="I7536" s="1" t="str">
        <f ca="1">IFERROR(__xludf.DUMMYFUNCTION("GOOGLETRANSLATE(F7536, ""auto"", ""en"")
"),"I bought this phone, the sellers said that everything I needed was there, in general, it was a super phone. When I got home, I was convinced that not all functions were working properly, namely: applications did not minimize, it brought closer not like a "&amp;"normal dream book on the side key, but through functions and only in a certain place... in general, the phone is terrible! I advise you not to buy this!!")</f>
        <v>I bought this phone, the sellers said that everything I needed was there, in general, it was a super phone. When I got home, I was convinced that not all functions were working properly, namely: applications did not minimize, it brought closer not like a normal dream book on the side key, but through functions and only in a certain place... in general, the phone is terrible! I advise you not to buy this!!</v>
      </c>
    </row>
    <row r="7537" spans="1:9" x14ac:dyDescent="0.3">
      <c r="A7537" s="1" t="s">
        <v>519</v>
      </c>
      <c r="B7537" s="1" t="s">
        <v>3088</v>
      </c>
      <c r="C7537" s="1" t="s">
        <v>246</v>
      </c>
      <c r="D7537" s="1" t="s">
        <v>545</v>
      </c>
      <c r="E7537" s="1" t="s">
        <v>563</v>
      </c>
      <c r="F7537" s="1" t="s">
        <v>11598</v>
      </c>
      <c r="G7537" s="1" t="s">
        <v>28</v>
      </c>
      <c r="H7537" s="1" t="s">
        <v>29</v>
      </c>
      <c r="I7537" s="1" t="str">
        <f ca="1">IFERROR(__xludf.DUMMYFUNCTION("GOOGLETRANSLATE(F7537, ""auto"", ""en"")
"),"I've been using this frying pan for three years now. The bottom is in place, the coating too. Food does not stick to the pan.")</f>
        <v>I've been using this frying pan for three years now. The bottom is in place, the coating too. Food does not stick to the pan.</v>
      </c>
    </row>
    <row r="7538" spans="1:9" x14ac:dyDescent="0.3">
      <c r="A7538" s="1" t="s">
        <v>30</v>
      </c>
      <c r="B7538" s="1" t="s">
        <v>50</v>
      </c>
      <c r="C7538" s="1" t="s">
        <v>1386</v>
      </c>
      <c r="D7538" s="1" t="s">
        <v>32</v>
      </c>
      <c r="E7538" s="1" t="s">
        <v>1888</v>
      </c>
      <c r="F7538" s="1" t="s">
        <v>11599</v>
      </c>
      <c r="G7538" s="1" t="s">
        <v>36</v>
      </c>
      <c r="H7538" s="1" t="s">
        <v>29</v>
      </c>
      <c r="I7538" s="1" t="str">
        <f ca="1">IFERROR(__xludf.DUMMYFUNCTION("GOOGLETRANSLATE(F7538, ""auto"", ""en"")
"),"I bought it in April! Works with Hurray (ugh ugh ugh) and the games are on and the movies are on! I access the Internet via a modem! I installed the antivirus and forgot it, no crashes! In general, I'm happy! The only thing is the screen is too small! :)")</f>
        <v>I bought it in April! Works with Hurray (ugh ugh ugh) and the games are on and the movies are on! I access the Internet via a modem! I installed the antivirus and forgot it, no crashes! In general, I'm happy! The only thing is the screen is too small! :)</v>
      </c>
    </row>
    <row r="7539" spans="1:9" x14ac:dyDescent="0.3">
      <c r="A7539" s="1" t="s">
        <v>149</v>
      </c>
      <c r="B7539" s="1" t="s">
        <v>150</v>
      </c>
      <c r="C7539" s="1" t="s">
        <v>2016</v>
      </c>
      <c r="D7539" s="1" t="s">
        <v>64</v>
      </c>
      <c r="E7539" s="1" t="s">
        <v>1946</v>
      </c>
      <c r="F7539" s="1" t="s">
        <v>11600</v>
      </c>
      <c r="G7539" s="1" t="s">
        <v>49</v>
      </c>
      <c r="H7539" s="1" t="s">
        <v>16</v>
      </c>
      <c r="I7539" s="1" t="str">
        <f ca="1">IFERROR(__xludf.DUMMYFUNCTION("GOOGLETRANSLATE(F7539, ""auto"", ""en"")
"),"I just upset myself and upset my husband. The vacuum cleaner does not pull at all; you will never collect dirt under the rubber mats. Don’t buy into the brand and don’t think that the high (for such a unit) price of a vacuum cleaner is a guarantee of its "&amp;"quality. I barely returned the product to the store because even after 10 seconds of operation, its boiling-white filter attracted a thin layer of dust between its paper corrugations and turned gray.")</f>
        <v>I just upset myself and upset my husband. The vacuum cleaner does not pull at all; you will never collect dirt under the rubber mats. Don’t buy into the brand and don’t think that the high (for such a unit) price of a vacuum cleaner is a guarantee of its quality. I barely returned the product to the store because even after 10 seconds of operation, its boiling-white filter attracted a thin layer of dust between its paper corrugations and turned gray.</v>
      </c>
    </row>
    <row r="7540" spans="1:9" x14ac:dyDescent="0.3">
      <c r="A7540" s="1" t="s">
        <v>111</v>
      </c>
      <c r="B7540" s="1" t="s">
        <v>636</v>
      </c>
      <c r="C7540" s="1" t="s">
        <v>637</v>
      </c>
      <c r="D7540" s="1" t="s">
        <v>127</v>
      </c>
      <c r="E7540" s="1" t="s">
        <v>2582</v>
      </c>
      <c r="F7540" s="1" t="s">
        <v>11601</v>
      </c>
      <c r="G7540" s="1" t="s">
        <v>36</v>
      </c>
      <c r="H7540" s="1" t="s">
        <v>29</v>
      </c>
      <c r="I7540" s="1" t="str">
        <f ca="1">IFERROR(__xludf.DUMMYFUNCTION("GOOGLETRANSLATE(F7540, ""auto"", ""en"")
"),"The device is very good. Temp. shows correctly. I've been using it for 2 years, I haven't changed the batteries. The weather forecast is really 50/50. You can buy with confidence.")</f>
        <v>The device is very good. Temp. shows correctly. I've been using it for 2 years, I haven't changed the batteries. The weather forecast is really 50/50. You can buy with confidence.</v>
      </c>
    </row>
    <row r="7541" spans="1:9" x14ac:dyDescent="0.3">
      <c r="A7541" s="1" t="s">
        <v>105</v>
      </c>
      <c r="B7541" s="1" t="s">
        <v>106</v>
      </c>
      <c r="C7541" s="1" t="s">
        <v>1209</v>
      </c>
      <c r="D7541" s="1" t="s">
        <v>3589</v>
      </c>
      <c r="E7541" s="1" t="s">
        <v>2502</v>
      </c>
      <c r="F7541" s="1" t="s">
        <v>11602</v>
      </c>
      <c r="G7541" s="1" t="s">
        <v>36</v>
      </c>
      <c r="H7541" s="1" t="s">
        <v>29</v>
      </c>
      <c r="I7541" s="1" t="str">
        <f ca="1">IFERROR(__xludf.DUMMYFUNCTION("GOOGLETRANSLATE(F7541, ""auto"", ""en"")
"),"everything that was written here before me is NOT TRUE, the player is cool, just super!!!!!!  reads everything, excellent quality!!!!!!!!!!!!")</f>
        <v>everything that was written here before me is NOT TRUE, the player is cool, just super!!!!!!  reads everything, excellent quality!!!!!!!!!!!!</v>
      </c>
    </row>
    <row r="7542" spans="1:9" x14ac:dyDescent="0.3">
      <c r="A7542" s="1" t="s">
        <v>61</v>
      </c>
      <c r="B7542" s="1" t="s">
        <v>145</v>
      </c>
      <c r="C7542" s="1" t="s">
        <v>74</v>
      </c>
      <c r="D7542" s="1" t="s">
        <v>565</v>
      </c>
      <c r="E7542" s="1" t="s">
        <v>1051</v>
      </c>
      <c r="F7542" s="1" t="s">
        <v>11603</v>
      </c>
      <c r="G7542" s="1" t="s">
        <v>15</v>
      </c>
      <c r="H7542" s="1" t="s">
        <v>16</v>
      </c>
      <c r="I7542" s="1" t="str">
        <f ca="1">IFERROR(__xludf.DUMMYFUNCTION("GOOGLETRANSLATE(F7542, ""auto"", ""en"")
"),"I bought a yogurt maker a week ago, tried to make it 2 times with Narine dry sourdough, it turned out that they put it on at 5 o’clock, and by 11 pm it was not ready yet, they set an alarm clock to check at night, in the end, by 6 am it looked like yogurt"&amp;", but since there was almost half of the whey, no one in the family wanted to eat it, we didn’t find anything thick and tasty there. We are now thinking of changing it.")</f>
        <v>I bought a yogurt maker a week ago, tried to make it 2 times with Narine dry sourdough, it turned out that they put it on at 5 o’clock, and by 11 pm it was not ready yet, they set an alarm clock to check at night, in the end, by 6 am it looked like yogurt, but since there was almost half of the whey, no one in the family wanted to eat it, we didn’t find anything thick and tasty there. We are now thinking of changing it.</v>
      </c>
    </row>
    <row r="7543" spans="1:9" x14ac:dyDescent="0.3">
      <c r="A7543" s="1" t="s">
        <v>61</v>
      </c>
      <c r="B7543" s="1" t="s">
        <v>318</v>
      </c>
      <c r="C7543" s="1" t="s">
        <v>85</v>
      </c>
      <c r="D7543" s="1" t="s">
        <v>1431</v>
      </c>
      <c r="E7543" s="1" t="s">
        <v>1016</v>
      </c>
      <c r="F7543" s="1" t="s">
        <v>11604</v>
      </c>
      <c r="G7543" s="1" t="s">
        <v>36</v>
      </c>
      <c r="H7543" s="1" t="s">
        <v>29</v>
      </c>
      <c r="I7543" s="1" t="str">
        <f ca="1">IFERROR(__xludf.DUMMYFUNCTION("GOOGLETRANSLATE(F7543, ""auto"", ""en"")
"),"style.quality,")</f>
        <v>style.quality,</v>
      </c>
    </row>
    <row r="7544" spans="1:9" x14ac:dyDescent="0.3">
      <c r="A7544" s="1" t="s">
        <v>149</v>
      </c>
      <c r="B7544" s="1" t="s">
        <v>155</v>
      </c>
      <c r="C7544" s="1" t="s">
        <v>80</v>
      </c>
      <c r="D7544" s="1" t="s">
        <v>3253</v>
      </c>
      <c r="E7544" s="1" t="s">
        <v>4670</v>
      </c>
      <c r="F7544" s="1" t="s">
        <v>11605</v>
      </c>
      <c r="G7544" s="1" t="s">
        <v>36</v>
      </c>
      <c r="H7544" s="1" t="s">
        <v>29</v>
      </c>
      <c r="I7544" s="1" t="str">
        <f ca="1">IFERROR(__xludf.DUMMYFUNCTION("GOOGLETRANSLATE(F7544, ""auto"", ""en"")
"),"I bought it recently, but so far I’m happy with everything: it’s powerful and small, and the container is easy to clean, and it easily follows me along the floor when cleaning, and it sucks up any dirt well (dust, sand, threads, hair), and the controls on"&amp;" the handle are convenient. By the way, the handle is also convenient because you don’t have to bend over when working with the vacuum cleaner - your back doesn’t get tired.")</f>
        <v>I bought it recently, but so far I’m happy with everything: it’s powerful and small, and the container is easy to clean, and it easily follows me along the floor when cleaning, and it sucks up any dirt well (dust, sand, threads, hair), and the controls on the handle are convenient. By the way, the handle is also convenient because you don’t have to bend over when working with the vacuum cleaner - your back doesn’t get tired.</v>
      </c>
    </row>
    <row r="7545" spans="1:9" x14ac:dyDescent="0.3">
      <c r="A7545" s="1" t="s">
        <v>37</v>
      </c>
      <c r="B7545" s="1" t="s">
        <v>536</v>
      </c>
      <c r="C7545" s="1" t="s">
        <v>537</v>
      </c>
      <c r="D7545" s="1" t="s">
        <v>39</v>
      </c>
      <c r="E7545" s="1" t="s">
        <v>5126</v>
      </c>
      <c r="F7545" s="1" t="s">
        <v>11606</v>
      </c>
      <c r="G7545" s="1" t="s">
        <v>36</v>
      </c>
      <c r="H7545" s="1" t="s">
        <v>29</v>
      </c>
      <c r="I7545" s="1" t="str">
        <f ca="1">IFERROR(__xludf.DUMMYFUNCTION("GOOGLETRANSLATE(F7545, ""auto"", ""en"")
"),"This device's operating system has long been 6.5, not 6.1, ""HTC-Care"" will be rearranged.  The device itself is 5+. The battery lasts a very long time, the interface is very user-friendly. Absolutely not “buggy”.     Ilya You're wrong. The device actual"&amp;"ly comes with the WM 6.1 operating system, and not as previously stated WM 6.5, but it is possible to update the operating system!")</f>
        <v>This device's operating system has long been 6.5, not 6.1, "HTC-Care" will be rearranged.  The device itself is 5+. The battery lasts a very long time, the interface is very user-friendly. Absolutely not “buggy”.     Ilya You're wrong. The device actually comes with the WM 6.1 operating system, and not as previously stated WM 6.5, but it is possible to update the operating system!</v>
      </c>
    </row>
    <row r="7546" spans="1:9" x14ac:dyDescent="0.3">
      <c r="A7546" s="1" t="s">
        <v>17</v>
      </c>
      <c r="B7546" s="1" t="s">
        <v>18</v>
      </c>
      <c r="C7546" s="1" t="s">
        <v>151</v>
      </c>
      <c r="D7546" s="1" t="s">
        <v>352</v>
      </c>
      <c r="E7546" s="1" t="s">
        <v>2321</v>
      </c>
      <c r="F7546" s="1" t="s">
        <v>11607</v>
      </c>
      <c r="G7546" s="1" t="s">
        <v>36</v>
      </c>
      <c r="H7546" s="1" t="s">
        <v>29</v>
      </c>
      <c r="I7546" s="1" t="str">
        <f ca="1">IFERROR(__xludf.DUMMYFUNCTION("GOOGLETRANSLATE(F7546, ""auto"", ""en"")
"),"Bought recently. It stands in the kitchen, where the floor is plank, next to the gas stove. I set it according to the level, she doesn’t run or jump anywhere. But during the spin cycle, especially at maximum load, the gas stove begins to “jump”; the pots,"&amp;" of course, do not fall, but together with the burners they rattle loudly. And the car itself begins to vibrate and everything standing on it runs away. What do you recommend? Cut the floor and cement it?  PS: the machine is super, so far everything is fi"&amp;"ne and nothing is acting up =))")</f>
        <v>Bought recently. It stands in the kitchen, where the floor is plank, next to the gas stove. I set it according to the level, she doesn’t run or jump anywhere. But during the spin cycle, especially at maximum load, the gas stove begins to “jump”; the pots, of course, do not fall, but together with the burners they rattle loudly. And the car itself begins to vibrate and everything standing on it runs away. What do you recommend? Cut the floor and cement it?  PS: the machine is super, so far everything is fine and nothing is acting up =))</v>
      </c>
    </row>
    <row r="7547" spans="1:9" x14ac:dyDescent="0.3">
      <c r="A7547" s="1" t="s">
        <v>67</v>
      </c>
      <c r="B7547" s="1" t="s">
        <v>68</v>
      </c>
      <c r="C7547" s="1" t="s">
        <v>69</v>
      </c>
      <c r="D7547" s="1" t="s">
        <v>280</v>
      </c>
      <c r="E7547" s="1" t="s">
        <v>11608</v>
      </c>
      <c r="F7547" s="1" t="s">
        <v>11609</v>
      </c>
      <c r="G7547" s="1" t="s">
        <v>15</v>
      </c>
      <c r="H7547" s="1" t="s">
        <v>16</v>
      </c>
      <c r="I7547" s="1" t="str">
        <f ca="1">IFERROR(__xludf.DUMMYFUNCTION("GOOGLETRANSLATE(F7547, ""auto"", ""en"")
"),"Pros: - Quite impressive weight allows ironing without pressure.  -The cord is quite long -The water fill hole is wide Minus: -The iron NEEDS TO BE PUSHED WITH INCREDIBLE EFFORT. The sole of the iron is rough and does not slip at all. Only ironing with st"&amp;"eam somehow reduces the braking of the iron.  Before this, I intensively used an iron from the same company, bought 19 years ago, and it still works and irons like clockwork even without steam, but it has an AzurExcel soleplate.  And this iron was purchas"&amp;"ed to protect against the breakdown of the old one. I'm very dissatisfied with the purchase. If my man's hand cannot withstand an hour's ironing without steam, then what can we say about the woman's hand.   As a result, I do not recommend it for purchase,"&amp;" except as a gift to an enemy.")</f>
        <v>Pros: - Quite impressive weight allows ironing without pressure.  -The cord is quite long -The water fill hole is wide Minus: -The iron NEEDS TO BE PUSHED WITH INCREDIBLE EFFORT. The sole of the iron is rough and does not slip at all. Only ironing with steam somehow reduces the braking of the iron.  Before this, I intensively used an iron from the same company, bought 19 years ago, and it still works and irons like clockwork even without steam, but it has an AzurExcel soleplate.  And this iron was purchased to protect against the breakdown of the old one. I'm very dissatisfied with the purchase. If my man's hand cannot withstand an hour's ironing without steam, then what can we say about the woman's hand.   As a result, I do not recommend it for purchase, except as a gift to an enemy.</v>
      </c>
    </row>
    <row r="7548" spans="1:9" x14ac:dyDescent="0.3">
      <c r="A7548" s="1" t="s">
        <v>211</v>
      </c>
      <c r="B7548" s="1" t="s">
        <v>265</v>
      </c>
      <c r="C7548" s="1" t="s">
        <v>1591</v>
      </c>
      <c r="D7548" s="1" t="s">
        <v>2764</v>
      </c>
      <c r="E7548" s="1" t="s">
        <v>11610</v>
      </c>
      <c r="F7548" s="1" t="s">
        <v>11611</v>
      </c>
      <c r="G7548" s="1" t="s">
        <v>36</v>
      </c>
      <c r="H7548" s="1" t="s">
        <v>29</v>
      </c>
      <c r="I7548" s="1" t="str">
        <f ca="1">IFERROR(__xludf.DUMMYFUNCTION("GOOGLETRANSLATE(F7548, ""auto"", ""en"")
"),"I bought it for my husband as a gift, he is very pleased! For that kind of money, there are quite a lot of useful functions, it’s small and convenient, nothing breaks yet, the attachments hold up perfectly!")</f>
        <v>I bought it for my husband as a gift, he is very pleased! For that kind of money, there are quite a lot of useful functions, it’s small and convenient, nothing breaks yet, the attachments hold up perfectly!</v>
      </c>
    </row>
    <row r="7549" spans="1:9" x14ac:dyDescent="0.3">
      <c r="A7549" s="1" t="s">
        <v>61</v>
      </c>
      <c r="B7549" s="1" t="s">
        <v>73</v>
      </c>
      <c r="C7549" s="1" t="s">
        <v>101</v>
      </c>
      <c r="D7549" s="1" t="s">
        <v>943</v>
      </c>
      <c r="E7549" s="1" t="s">
        <v>11612</v>
      </c>
      <c r="F7549" s="1" t="s">
        <v>11613</v>
      </c>
      <c r="G7549" s="1" t="s">
        <v>15</v>
      </c>
      <c r="H7549" s="1" t="s">
        <v>16</v>
      </c>
      <c r="I7549" s="1" t="str">
        <f ca="1">IFERROR(__xludf.DUMMYFUNCTION("GOOGLETRANSLATE(F7549, ""auto"", ""en"")
"),"I didn’t use it for long, about a month, until this meat grinder started working. In the process, something grunted - and that’s it, it doesn’t turn. My husband took it apart and some gear broke. In general, the quality is appropriate, I see here people h"&amp;"ave different problems with it :( I don’t recommend taking it, I’ve already burned myself.")</f>
        <v>I didn’t use it for long, about a month, until this meat grinder started working. In the process, something grunted - and that’s it, it doesn’t turn. My husband took it apart and some gear broke. In general, the quality is appropriate, I see here people have different problems with it :( I don’t recommend taking it, I’ve already burned myself.</v>
      </c>
    </row>
    <row r="7550" spans="1:9" x14ac:dyDescent="0.3">
      <c r="A7550" s="1" t="s">
        <v>67</v>
      </c>
      <c r="B7550" s="1" t="s">
        <v>68</v>
      </c>
      <c r="C7550" s="1" t="s">
        <v>69</v>
      </c>
      <c r="D7550" s="1" t="s">
        <v>474</v>
      </c>
      <c r="E7550" s="1" t="s">
        <v>71</v>
      </c>
      <c r="F7550" s="1" t="s">
        <v>11614</v>
      </c>
      <c r="G7550" s="1" t="s">
        <v>28</v>
      </c>
      <c r="H7550" s="1" t="s">
        <v>29</v>
      </c>
      <c r="I7550" s="1" t="str">
        <f ca="1">IFERROR(__xludf.DUMMYFUNCTION("GOOGLETRANSLATE(F7550, ""auto"", ""en"")
"),"The iron worked for 3 years without problems! Then he began to cleanse himself. The scale flew out in pieces. The steam power switch has fallen off. No buttons worked.")</f>
        <v>The iron worked for 3 years without problems! Then he began to cleanse himself. The scale flew out in pieces. The steam power switch has fallen off. No buttons worked.</v>
      </c>
    </row>
    <row r="7551" spans="1:9" x14ac:dyDescent="0.3">
      <c r="A7551" s="1" t="s">
        <v>61</v>
      </c>
      <c r="B7551" s="1" t="s">
        <v>73</v>
      </c>
      <c r="C7551" s="1" t="s">
        <v>146</v>
      </c>
      <c r="D7551" s="1" t="s">
        <v>10308</v>
      </c>
      <c r="E7551" s="1" t="s">
        <v>481</v>
      </c>
      <c r="F7551" s="1" t="s">
        <v>11615</v>
      </c>
      <c r="G7551" s="1" t="s">
        <v>36</v>
      </c>
      <c r="H7551" s="1" t="s">
        <v>29</v>
      </c>
      <c r="I7551" s="1" t="str">
        <f ca="1">IFERROR(__xludf.DUMMYFUNCTION("GOOGLETRANSLATE(F7551, ""auto"", ""en"")
"),"The meat grinder is very good, I’ve had it for 3 years now (ugh, ugh), I recommend it to everyone, it’s really good, I don’t use the attachments as they are unnecessary. they wrote here that it winds the veins, nothing like it, like a tank - it will grind"&amp;" everything. As for the noise, this is not the main thing in a meat grinder, but if you need a silent one, there is a MANUAL one, so turn it.")</f>
        <v>The meat grinder is very good, I’ve had it for 3 years now (ugh, ugh), I recommend it to everyone, it’s really good, I don’t use the attachments as they are unnecessary. they wrote here that it winds the veins, nothing like it, like a tank - it will grind everything. As for the noise, this is not the main thing in a meat grinder, but if you need a silent one, there is a MANUAL one, so turn it.</v>
      </c>
    </row>
    <row r="7552" spans="1:9" x14ac:dyDescent="0.3">
      <c r="A7552" s="1" t="s">
        <v>2087</v>
      </c>
      <c r="B7552" s="1" t="s">
        <v>2088</v>
      </c>
      <c r="C7552" s="1" t="s">
        <v>69</v>
      </c>
      <c r="D7552" s="1" t="s">
        <v>39</v>
      </c>
      <c r="E7552" s="1" t="s">
        <v>5011</v>
      </c>
      <c r="F7552" s="1" t="s">
        <v>11616</v>
      </c>
      <c r="G7552" s="1" t="s">
        <v>36</v>
      </c>
      <c r="H7552" s="1" t="s">
        <v>29</v>
      </c>
      <c r="I7552" s="1" t="str">
        <f ca="1">IFERROR(__xludf.DUMMYFUNCTION("GOOGLETRANSLATE(F7552, ""auto"", ""en"")
"),"The device itself is 5+ for video and sound quality.  The presence of a 7.1 analog output allows you to use old audio equipment.    But there's a problem.  Periodically loses the video signal from HDMI :( At the same time, the device itself sees the TV se"&amp;"t. It is corrected by wiggling the cord in the connector. The cord was turned over - tsh. There is no other cord, and somehow, while the toad is choking, there is nowhere to buy another one for testing. It’s sad that if the reason turns out to be in the c"&amp;"onnector, you will have to change it, but only with the same one.")</f>
        <v>The device itself is 5+ for video and sound quality.  The presence of a 7.1 analog output allows you to use old audio equipment.    But there's a problem.  Periodically loses the video signal from HDMI :( At the same time, the device itself sees the TV set. It is corrected by wiggling the cord in the connector. The cord was turned over - tsh. There is no other cord, and somehow, while the toad is choking, there is nowhere to buy another one for testing. It’s sad that if the reason turns out to be in the connector, you will have to change it, but only with the same one.</v>
      </c>
    </row>
    <row r="7553" spans="1:9" x14ac:dyDescent="0.3">
      <c r="A7553" s="1" t="s">
        <v>211</v>
      </c>
      <c r="B7553" s="1" t="s">
        <v>856</v>
      </c>
      <c r="C7553" s="1" t="s">
        <v>57</v>
      </c>
      <c r="D7553" s="1" t="s">
        <v>52</v>
      </c>
      <c r="E7553" s="1" t="s">
        <v>6232</v>
      </c>
      <c r="F7553" s="1" t="s">
        <v>11617</v>
      </c>
      <c r="G7553" s="1" t="s">
        <v>36</v>
      </c>
      <c r="H7553" s="1" t="s">
        <v>29</v>
      </c>
      <c r="I7553" s="1" t="str">
        <f ca="1">IFERROR(__xludf.DUMMYFUNCTION("GOOGLETRANSLATE(F7553, ""auto"", ""en"")
"),"We bought a facial sauna and it also has an inhaler function!!! My wife was delighted and bought 2 in one for both beauty and health!!! I recommend it to all men as a gift for their wife or girlfriend!!!")</f>
        <v>We bought a facial sauna and it also has an inhaler function!!! My wife was delighted and bought 2 in one for both beauty and health!!! I recommend it to all men as a gift for their wife or girlfriend!!!</v>
      </c>
    </row>
    <row r="7554" spans="1:9" x14ac:dyDescent="0.3">
      <c r="A7554" s="1" t="s">
        <v>30</v>
      </c>
      <c r="B7554" s="1" t="s">
        <v>50</v>
      </c>
      <c r="C7554" s="1" t="s">
        <v>1003</v>
      </c>
      <c r="D7554" s="1" t="s">
        <v>568</v>
      </c>
      <c r="E7554" s="1" t="s">
        <v>3169</v>
      </c>
      <c r="F7554" s="1" t="s">
        <v>11618</v>
      </c>
      <c r="G7554" s="1" t="s">
        <v>36</v>
      </c>
      <c r="H7554" s="1" t="s">
        <v>29</v>
      </c>
      <c r="I7554" s="1" t="str">
        <f ca="1">IFERROR(__xludf.DUMMYFUNCTION("GOOGLETRANSLATE(F7554, ""auto"", ""en"")
"),"I fell in love with the laptop at first sight - the ice screen is triple-core, the battery lasts about 3 hours.")</f>
        <v>I fell in love with the laptop at first sight - the ice screen is triple-core, the battery lasts about 3 hours.</v>
      </c>
    </row>
    <row r="7555" spans="1:9" x14ac:dyDescent="0.3">
      <c r="A7555" s="1" t="s">
        <v>105</v>
      </c>
      <c r="B7555" s="1" t="s">
        <v>106</v>
      </c>
      <c r="C7555" s="1" t="s">
        <v>1209</v>
      </c>
      <c r="D7555" s="1" t="s">
        <v>39</v>
      </c>
      <c r="E7555" s="1" t="s">
        <v>4951</v>
      </c>
      <c r="F7555" s="1" t="s">
        <v>11619</v>
      </c>
      <c r="G7555" s="1" t="s">
        <v>36</v>
      </c>
      <c r="H7555" s="1" t="s">
        <v>29</v>
      </c>
      <c r="I7555" s="1" t="str">
        <f ca="1">IFERROR(__xludf.DUMMYFUNCTION("GOOGLETRANSLATE(F7555, ""auto"", ""en"")
"),"The player is really excellent, functional, support for almost all formats makes it more convenient to use, thanks to the wide display it is convenient to prepare any text hints for yourself + supports changing the font, the built-in 8GB memory allows you"&amp;" to store a lot of your favorite movies and music on the player, and the good thing is that you can import a 4GB flash card, which further improves the player, I bought and now advise my friends to buy, and I also advise you to buy this excellent player, "&amp;"it will never disappoint you and its ease of use will make everything easier")</f>
        <v>The player is really excellent, functional, support for almost all formats makes it more convenient to use, thanks to the wide display it is convenient to prepare any text hints for yourself + supports changing the font, the built-in 8GB memory allows you to store a lot of your favorite movies and music on the player, and the good thing is that you can import a 4GB flash card, which further improves the player, I bought and now advise my friends to buy, and I also advise you to buy this excellent player, it will never disappoint you and its ease of use will make everything easier</v>
      </c>
    </row>
    <row r="7556" spans="1:9" x14ac:dyDescent="0.3">
      <c r="A7556" s="1" t="s">
        <v>61</v>
      </c>
      <c r="B7556" s="1" t="s">
        <v>224</v>
      </c>
      <c r="C7556" s="1" t="s">
        <v>63</v>
      </c>
      <c r="D7556" s="1" t="s">
        <v>81</v>
      </c>
      <c r="E7556" s="1" t="s">
        <v>3664</v>
      </c>
      <c r="F7556" s="1" t="s">
        <v>11620</v>
      </c>
      <c r="G7556" s="1" t="s">
        <v>36</v>
      </c>
      <c r="H7556" s="1" t="s">
        <v>29</v>
      </c>
      <c r="I7556" s="1" t="str">
        <f ca="1">IFERROR(__xludf.DUMMYFUNCTION("GOOGLETRANSLATE(F7556, ""auto"", ""en"")
"),"good juicer, works well")</f>
        <v>good juicer, works well</v>
      </c>
    </row>
    <row r="7557" spans="1:9" x14ac:dyDescent="0.3">
      <c r="A7557" s="1" t="s">
        <v>78</v>
      </c>
      <c r="B7557" s="1" t="s">
        <v>79</v>
      </c>
      <c r="C7557" s="1" t="s">
        <v>80</v>
      </c>
      <c r="D7557" s="1" t="s">
        <v>11621</v>
      </c>
      <c r="E7557" s="1" t="s">
        <v>11622</v>
      </c>
      <c r="F7557" s="1" t="s">
        <v>11623</v>
      </c>
      <c r="G7557" s="1" t="s">
        <v>36</v>
      </c>
      <c r="H7557" s="1" t="s">
        <v>29</v>
      </c>
      <c r="I7557" s="1" t="str">
        <f ca="1">IFERROR(__xludf.DUMMYFUNCTION("GOOGLETRANSLATE(F7557, ""auto"", ""en"")
"),"We bought it and have been using it constantly for a month now. Grilled meat is wonderful, not dry, but juicy and crusty! Potatoes, porridge, everything is quick and convenient! And most importantly, I cleaned it, installed it, and forgot about it. In 20-"&amp;"30 minutes a wonderful dinner is ready! I'm happy! As for breakdowns, in any case, out of 1000, there will be about 15 defective devices. It's like that everywhere. I myself have been supplying electronics for a long time, so I know what I’m talking about"&amp;". And this depends to a lesser extent on the manufacturer. My parents have been using the Brown blender for three years, mine broke after six months, according to the law of meanness, I can’t find a warranty, and I can’t fix it for money - it’s not a coll"&amp;"apsible body, however! So if something breaks, it’s just bad luck. And the microwave is great! I recommend!")</f>
        <v>We bought it and have been using it constantly for a month now. Grilled meat is wonderful, not dry, but juicy and crusty! Potatoes, porridge, everything is quick and convenient! And most importantly, I cleaned it, installed it, and forgot about it. In 20-30 minutes a wonderful dinner is ready! I'm happy! As for breakdowns, in any case, out of 1000, there will be about 15 defective devices. It's like that everywhere. I myself have been supplying electronics for a long time, so I know what I’m talking about. And this depends to a lesser extent on the manufacturer. My parents have been using the Brown blender for three years, mine broke after six months, according to the law of meanness, I can’t find a warranty, and I can’t fix it for money - it’s not a collapsible body, however! So if something breaks, it’s just bad luck. And the microwave is great! I recommend!</v>
      </c>
    </row>
    <row r="7558" spans="1:9" x14ac:dyDescent="0.3">
      <c r="A7558" s="1" t="s">
        <v>37</v>
      </c>
      <c r="B7558" s="1" t="s">
        <v>536</v>
      </c>
      <c r="C7558" s="1" t="s">
        <v>39</v>
      </c>
      <c r="D7558" s="1" t="s">
        <v>1121</v>
      </c>
      <c r="E7558" s="1" t="s">
        <v>9663</v>
      </c>
      <c r="F7558" s="1" t="s">
        <v>11624</v>
      </c>
      <c r="G7558" s="1" t="s">
        <v>36</v>
      </c>
      <c r="H7558" s="1" t="s">
        <v>29</v>
      </c>
      <c r="I7558" s="1" t="str">
        <f ca="1">IFERROR(__xludf.DUMMYFUNCTION("GOOGLETRANSLATE(F7558, ""auto"", ""en"")
"),"Touch screen with a resolution of 640x360 16 million colors. But in fact, the screen is slightly larger, somewhere around 720x420. The phone impressed with its responsiveness to pressure. The clarity of the sensor is no different from an iPhone; the scree"&amp;"n, in my opinion, has no analogues at all. - Camera 12 megapixels. This is the most important benefit of the phone; photos weigh up to 30 MB on average). All the bells and whistles are present here - panorama (yes, that same 360 ​​degrees), Bestpic, Cyber"&amp;"shot, touch shooting and much more. Photo resolution ~ 4000x3000. The video being shot is also very good. Any video camera with the same matrix will be jealous.  The video recording resolution is 640x480, but even on my 22-inch full-screen monitor the vid"&amp;"eo did not lose its quality. - Operating system Simbion 9.5. - Google GPS navigation. There are 2 cards here. 1 is designed to view possible flights on an airplane from one country to another (i.e., a world navigator) and a regular navigator in Russia. It"&amp;"’s a little strange that the map was not loaded by default, you have to download it at your own expense for Internet traffic, but the map is very detailed, I didn’t expect that in my city almost all the houses would be numbered. The view can be switched b"&amp;"oth from a satellite and in the form of a diagram. It’s just a pity that in large cases the route has to be set manually, because... Unfortunately, the navigator does not know many routes in my city. - WiFi. A very serious built-in router. In almost all c"&amp;"afes where there is WiFi, the download speed is 500 kB/sec. - Bluetooth. Literally 2 words - the sending and receiving speed reaches 469 kB/sec. - HD Games. This is a new generation of games ported from PSP to phone. Unfortunately, I found only 1 such thi"&amp;"ng on the Internet - Ferrari GT Evoluthion. The game weighs about 50 MB, the graphics are simply amazing. Normally, again, it only works on Aino, Satio, Vivaz. On analogue Nokia and iPhone it even slows down (I checked it personally). - Speaker. Very clea"&amp;"r sound, although a little quiet. There is a built-in active subbuffer (mini subbuffer 2 quat, significantly enhances the bass, especially in headphones). - Software. It’s a little damp, but understandably, the phone is still brand new, just released. As "&amp;"I already said, the navigator is a bit damp. But there is Microsoft Office and Adobe Reader. But unfortunately they are paid, they cost 550 rubles each. As for me, I am completely satisfied with the software, especially the very interesting player. - Equi"&amp;"pment. Here's the most interesting thing. - HD Flash Drive 16 GB (I have the exact size of 15.25 GB). Micro HD is a new generation of flash drives, similar to real hard drives. The speed of working with it is very fast. The same Ferrari game weighing 50 M"&amp;"B took only 1 minute to install on my flash drive. - Bluetooth headset VH310. Quite a cheap option, there is no volume threshold, at first it screamed too loudly, but then I got used to it. Still very pleased with her. - Stereo Vacuum headphones. There ar"&amp;"e no complaints here at all. I have never heard such a sound anywhere else.  Battery. Lasts 11 hours. That is, I fully charged it, watched 4 movies, played for another 2 hours, and only then the phone wrote that I couldn’t work like this anymore, I was ti"&amp;"red. On average, he worked 11 hours. - Magnetized rubber stylus. This is a very convenient thing that is magnetized specifically for the sensor. Produced exclusively by Sony. - Leather case. Real leather...")</f>
        <v>Touch screen with a resolution of 640x360 16 million colors. But in fact, the screen is slightly larger, somewhere around 720x420. The phone impressed with its responsiveness to pressure. The clarity of the sensor is no different from an iPhone; the screen, in my opinion, has no analogues at all. - Camera 12 megapixels. This is the most important benefit of the phone; photos weigh up to 30 MB on average). All the bells and whistles are present here - panorama (yes, that same 360 ​​degrees), Bestpic, Cybershot, touch shooting and much more. Photo resolution ~ 4000x3000. The video being shot is also very good. Any video camera with the same matrix will be jealous.  The video recording resolution is 640x480, but even on my 22-inch full-screen monitor the video did not lose its quality. - Operating system Simbion 9.5. - Google GPS navigation. There are 2 cards here. 1 is designed to view possible flights on an airplane from one country to another (i.e., a world navigator) and a regular navigator in Russia. It’s a little strange that the map was not loaded by default, you have to download it at your own expense for Internet traffic, but the map is very detailed, I didn’t expect that in my city almost all the houses would be numbered. The view can be switched both from a satellite and in the form of a diagram. It’s just a pity that in large cases the route has to be set manually, because... Unfortunately, the navigator does not know many routes in my city. - WiFi. A very serious built-in router. In almost all cafes where there is WiFi, the download speed is 500 kB/sec. - Bluetooth. Literally 2 words - the sending and receiving speed reaches 469 kB/sec. - HD Games. This is a new generation of games ported from PSP to phone. Unfortunately, I found only 1 such thing on the Internet - Ferrari GT Evoluthion. The game weighs about 50 MB, the graphics are simply amazing. Normally, again, it only works on Aino, Satio, Vivaz. On analogue Nokia and iPhone it even slows down (I checked it personally). - Speaker. Very clear sound, although a little quiet. There is a built-in active subbuffer (mini subbuffer 2 quat, significantly enhances the bass, especially in headphones). - Software. It’s a little damp, but understandably, the phone is still brand new, just released. As I already said, the navigator is a bit damp. But there is Microsoft Office and Adobe Reader. But unfortunately they are paid, they cost 550 rubles each. As for me, I am completely satisfied with the software, especially the very interesting player. - Equipment. Here's the most interesting thing. - HD Flash Drive 16 GB (I have the exact size of 15.25 GB). Micro HD is a new generation of flash drives, similar to real hard drives. The speed of working with it is very fast. The same Ferrari game weighing 50 MB took only 1 minute to install on my flash drive. - Bluetooth headset VH310. Quite a cheap option, there is no volume threshold, at first it screamed too loudly, but then I got used to it. Still very pleased with her. - Stereo Vacuum headphones. There are no complaints here at all. I have never heard such a sound anywhere else.  Battery. Lasts 11 hours. That is, I fully charged it, watched 4 movies, played for another 2 hours, and only then the phone wrote that I couldn’t work like this anymore, I was tired. On average, he worked 11 hours. - Magnetized rubber stylus. This is a very convenient thing that is magnetized specifically for the sensor. Produced exclusively by Sony. - Leather case. Real leather...</v>
      </c>
    </row>
    <row r="7559" spans="1:9" x14ac:dyDescent="0.3">
      <c r="A7559" s="1" t="s">
        <v>120</v>
      </c>
      <c r="B7559" s="1" t="s">
        <v>121</v>
      </c>
      <c r="C7559" s="1" t="s">
        <v>97</v>
      </c>
      <c r="D7559" s="1" t="s">
        <v>200</v>
      </c>
      <c r="E7559" s="1" t="s">
        <v>3594</v>
      </c>
      <c r="F7559" s="1" t="s">
        <v>11625</v>
      </c>
      <c r="G7559" s="1" t="s">
        <v>36</v>
      </c>
      <c r="H7559" s="1" t="s">
        <v>29</v>
      </c>
      <c r="I7559" s="1" t="str">
        <f ca="1">IFERROR(__xludf.DUMMYFUNCTION("GOOGLETRANSLATE(F7559, ""auto"", ""en"")
"),"The TV is simply excellent, everything pleases with the clear menu and sound and image, a huge number of inputs (you can connect everything in the world), the video quality (especially through the HDMI input) is simply amazing in its clarity. The only thi"&amp;"ng that personally upset me is that through the USB input you cannot watch video downloaded to a flash drive (the TV does not read these files), only photos.")</f>
        <v>The TV is simply excellent, everything pleases with the clear menu and sound and image, a huge number of inputs (you can connect everything in the world), the video quality (especially through the HDMI input) is simply amazing in its clarity. The only thing that personally upset me is that through the USB input you cannot watch video downloaded to a flash drive (the TV does not read these files), only photos.</v>
      </c>
    </row>
    <row r="7560" spans="1:9" x14ac:dyDescent="0.3">
      <c r="A7560" s="1" t="s">
        <v>17</v>
      </c>
      <c r="B7560" s="1" t="s">
        <v>18</v>
      </c>
      <c r="C7560" s="1" t="s">
        <v>138</v>
      </c>
      <c r="D7560" s="1" t="s">
        <v>411</v>
      </c>
      <c r="E7560" s="1" t="s">
        <v>449</v>
      </c>
      <c r="F7560" s="1" t="s">
        <v>11626</v>
      </c>
      <c r="G7560" s="1" t="s">
        <v>36</v>
      </c>
      <c r="H7560" s="1" t="s">
        <v>29</v>
      </c>
      <c r="I7560" s="1" t="str">
        <f ca="1">IFERROR(__xludf.DUMMYFUNCTION("GOOGLETRANSLATE(F7560, ""auto"", ""en"")
"),"I've been using it for a month now, I'm happy with everything.  Standing in the bathroom, the whistle from the electric motor is almost inaudible.")</f>
        <v>I've been using it for a month now, I'm happy with everything.  Standing in the bathroom, the whistle from the electric motor is almost inaudible.</v>
      </c>
    </row>
    <row r="7561" spans="1:9" x14ac:dyDescent="0.3">
      <c r="A7561" s="1" t="s">
        <v>477</v>
      </c>
      <c r="B7561" s="1" t="s">
        <v>478</v>
      </c>
      <c r="C7561" s="1" t="s">
        <v>479</v>
      </c>
      <c r="D7561" s="1" t="s">
        <v>5431</v>
      </c>
      <c r="E7561" s="1" t="s">
        <v>2360</v>
      </c>
      <c r="F7561" s="1" t="s">
        <v>11627</v>
      </c>
      <c r="G7561" s="1" t="s">
        <v>36</v>
      </c>
      <c r="H7561" s="1" t="s">
        <v>29</v>
      </c>
      <c r="I7561" s="1" t="str">
        <f ca="1">IFERROR(__xludf.DUMMYFUNCTION("GOOGLETRANSLATE(F7561, ""auto"", ""en"")
"),"Pros: highest quality graphics, high frame rate even with 8x anti-aliasing, large space for military operations, colorful explosions, realistic destruction, high-quality voice acting and music, varied tasks Cons: same-type cities and military bases, few d"&amp;"ialogues and words of the main character, stupid police, unrealistic shooting sounds")</f>
        <v>Pros: highest quality graphics, high frame rate even with 8x anti-aliasing, large space for military operations, colorful explosions, realistic destruction, high-quality voice acting and music, varied tasks Cons: same-type cities and military bases, few dialogues and words of the main character, stupid police, unrealistic shooting sounds</v>
      </c>
    </row>
    <row r="7562" spans="1:9" x14ac:dyDescent="0.3">
      <c r="A7562" s="1" t="s">
        <v>120</v>
      </c>
      <c r="B7562" s="1" t="s">
        <v>256</v>
      </c>
      <c r="C7562" s="1" t="s">
        <v>658</v>
      </c>
      <c r="D7562" s="1" t="s">
        <v>52</v>
      </c>
      <c r="E7562" s="1" t="s">
        <v>3367</v>
      </c>
      <c r="F7562" s="1" t="s">
        <v>11628</v>
      </c>
      <c r="G7562" s="1" t="s">
        <v>36</v>
      </c>
      <c r="H7562" s="1" t="s">
        <v>29</v>
      </c>
      <c r="I7562" s="1" t="str">
        <f ca="1">IFERROR(__xludf.DUMMYFUNCTION("GOOGLETRANSLATE(F7562, ""auto"", ""en"")
"),"It’s just superb to play on Xbox-360 (by the way, I bought it in M.video)! I advise everyone to take the TV for their room, it’s the best thing for yourself")</f>
        <v>It’s just superb to play on Xbox-360 (by the way, I bought it in M.video)! I advise everyone to take the TV for their room, it’s the best thing for yourself</v>
      </c>
    </row>
    <row r="7563" spans="1:9" x14ac:dyDescent="0.3">
      <c r="A7563" s="1" t="s">
        <v>61</v>
      </c>
      <c r="B7563" s="1" t="s">
        <v>224</v>
      </c>
      <c r="C7563" s="1" t="s">
        <v>85</v>
      </c>
      <c r="D7563" s="1" t="s">
        <v>64</v>
      </c>
      <c r="E7563" s="1" t="s">
        <v>1487</v>
      </c>
      <c r="F7563" s="1" t="s">
        <v>11629</v>
      </c>
      <c r="G7563" s="1" t="s">
        <v>36</v>
      </c>
      <c r="H7563" s="1" t="s">
        <v>29</v>
      </c>
      <c r="I7563" s="1" t="str">
        <f ca="1">IFERROR(__xludf.DUMMYFUNCTION("GOOGLETRANSLATE(F7563, ""auto"", ""en"")
"),"(+)Pros: Very easy to clean! If you put a bag in the cake tray, the washing time is cut in half; you just throw it away and that’s it. Perfectly squeezes all fruits and vegetables. Children simply love orange juice from this squeezer; they don’t like it f"&amp;"rom a squeezer)))) The juice turns out very tasty! The glass filters the foam when pouring juice, and removes air when squeezing - in general, everything is very thoughtful!    (-) Cons: I haven’t had much experience with other squeezers except the combin"&amp;"e)) it seems that the pulp is thrown out too quickly... it turns out that I’m writing pros in the cons!")</f>
        <v>(+)Pros: Very easy to clean! If you put a bag in the cake tray, the washing time is cut in half; you just throw it away and that’s it. Perfectly squeezes all fruits and vegetables. Children simply love orange juice from this squeezer; they don’t like it from a squeezer)))) The juice turns out very tasty! The glass filters the foam when pouring juice, and removes air when squeezing - in general, everything is very thoughtful!    (-) Cons: I haven’t had much experience with other squeezers except the combine)) it seems that the pulp is thrown out too quickly... it turns out that I’m writing pros in the cons!</v>
      </c>
    </row>
    <row r="7564" spans="1:9" x14ac:dyDescent="0.3">
      <c r="A7564" s="1" t="s">
        <v>37</v>
      </c>
      <c r="B7564" s="1" t="s">
        <v>536</v>
      </c>
      <c r="C7564" s="1" t="s">
        <v>189</v>
      </c>
      <c r="D7564" s="1" t="s">
        <v>52</v>
      </c>
      <c r="E7564" s="1" t="s">
        <v>164</v>
      </c>
      <c r="F7564" s="1" t="s">
        <v>11630</v>
      </c>
      <c r="G7564" s="1" t="s">
        <v>36</v>
      </c>
      <c r="H7564" s="1" t="s">
        <v>29</v>
      </c>
      <c r="I7564" s="1" t="str">
        <f ca="1">IFERROR(__xludf.DUMMYFUNCTION("GOOGLETRANSLATE(F7564, ""auto"", ""en"")
"),"I agree, I used to have a P750, I’m not used to it without a telephone keypad, but I was pleased with the design and power of the communicators. Super model!")</f>
        <v>I agree, I used to have a P750, I’m not used to it without a telephone keypad, but I was pleased with the design and power of the communicators. Super model!</v>
      </c>
    </row>
    <row r="7565" spans="1:9" x14ac:dyDescent="0.3">
      <c r="A7565" s="1" t="s">
        <v>30</v>
      </c>
      <c r="B7565" s="1" t="s">
        <v>50</v>
      </c>
      <c r="C7565" s="1" t="s">
        <v>51</v>
      </c>
      <c r="D7565" s="1" t="s">
        <v>305</v>
      </c>
      <c r="E7565" s="1" t="s">
        <v>594</v>
      </c>
      <c r="F7565" s="1" t="s">
        <v>11631</v>
      </c>
      <c r="G7565" s="1" t="s">
        <v>36</v>
      </c>
      <c r="H7565" s="1" t="s">
        <v>29</v>
      </c>
      <c r="I7565" s="1" t="str">
        <f ca="1">IFERROR(__xludf.DUMMYFUNCTION("GOOGLETRANSLATE(F7565, ""auto"", ""en"")
"),"There is nothing missing, they have a difference in diagonal.  If you choose a laptop for gaming - 17"" would be preferable - it will be more comfortable to play, similar to movies")</f>
        <v>There is nothing missing, they have a difference in diagonal.  If you choose a laptop for gaming - 17" would be preferable - it will be more comfortable to play, similar to movies</v>
      </c>
    </row>
    <row r="7566" spans="1:9" x14ac:dyDescent="0.3">
      <c r="A7566" s="1" t="s">
        <v>361</v>
      </c>
      <c r="B7566" s="1" t="s">
        <v>462</v>
      </c>
      <c r="C7566" s="1" t="s">
        <v>698</v>
      </c>
      <c r="D7566" s="1" t="s">
        <v>39</v>
      </c>
      <c r="E7566" s="1" t="s">
        <v>3960</v>
      </c>
      <c r="F7566" s="1" t="s">
        <v>11632</v>
      </c>
      <c r="G7566" s="1" t="s">
        <v>36</v>
      </c>
      <c r="H7566" s="1" t="s">
        <v>29</v>
      </c>
      <c r="I7566" s="1" t="str">
        <f ca="1">IFERROR(__xludf.DUMMYFUNCTION("GOOGLETRANSLATE(F7566, ""auto"", ""en"")
"),"Good filter yes. I've been using it for 10 years or so. Of course, I also used store-bought water, but somehow I like this brand. It also cleans normally from chlorine (there are no odors) and softens the water - there is no scale (if the cartridge is cha"&amp;"nged once a month or more often).   I was somehow pleasantly surprised by the price; it was not made here in England (sometimes in Germany, but this copy is in England). Inflation is high, but somehow they managed to get them cheap somewhere)) - For the l"&amp;"ast few years I bought directly from England, but now it turned out to be about 2 times cheaper to buy here. Well, besides, I was pleasantly surprised that M-Video still keeps its word - and if they announced a program - “find it cheaper and we will reduc"&amp;"e the price”, then they fulfill it - which pleasantly surprised me (not all companies keep their word, including their competitors from the “approved list”. So today they called me, I won’t say who exactly, but they also have the same program - I found a "&amp;"cartridge cheaper, M-Video sent a coupon for the difference in price instantly, but a competitor I just called, apologized and said that their managers thought about it and decided that they couldn’t reduce it.. disgraces)) And M-Video - well done, respec"&amp;"t. If they promised, they did it. the difference is not very big, but I was just curious whether this program works in practice or not, so I pressed the button. An SMS with a coupon for the difference in price arrived within 10 minutes. That is, they are "&amp;"working, well done. Yes, and last time I didn’t like one of the M-Video chain stores, I wrote a bad review. And today I was in another - in another, a completely different picture - very kind staff, polite, prompt, competent, incredibly friendly. - I chos"&amp;"e this store as my favorite.  Well, as for the cartridges - take them, you won’t regret it, I already checked them today, good quality - not fake, real.")</f>
        <v>Good filter yes. I've been using it for 10 years or so. Of course, I also used store-bought water, but somehow I like this brand. It also cleans normally from chlorine (there are no odors) and softens the water - there is no scale (if the cartridge is changed once a month or more often).   I was somehow pleasantly surprised by the price; it was not made here in England (sometimes in Germany, but this copy is in England). Inflation is high, but somehow they managed to get them cheap somewhere)) - For the last few years I bought directly from England, but now it turned out to be about 2 times cheaper to buy here. Well, besides, I was pleasantly surprised that M-Video still keeps its word - and if they announced a program - “find it cheaper and we will reduce the price”, then they fulfill it - which pleasantly surprised me (not all companies keep their word, including their competitors from the “approved list”. So today they called me, I won’t say who exactly, but they also have the same program - I found a cartridge cheaper, M-Video sent a coupon for the difference in price instantly, but a competitor I just called, apologized and said that their managers thought about it and decided that they couldn’t reduce it.. disgraces)) And M-Video - well done, respect. If they promised, they did it. the difference is not very big, but I was just curious whether this program works in practice or not, so I pressed the button. An SMS with a coupon for the difference in price arrived within 10 minutes. That is, they are working, well done. Yes, and last time I didn’t like one of the M-Video chain stores, I wrote a bad review. And today I was in another - in another, a completely different picture - very kind staff, polite, prompt, competent, incredibly friendly. - I chose this store as my favorite.  Well, as for the cartridges - take them, you won’t regret it, I already checked them today, good quality - not fake, real.</v>
      </c>
    </row>
    <row r="7567" spans="1:9" x14ac:dyDescent="0.3">
      <c r="A7567" s="1" t="s">
        <v>149</v>
      </c>
      <c r="B7567" s="1" t="s">
        <v>150</v>
      </c>
      <c r="C7567" s="1" t="s">
        <v>2016</v>
      </c>
      <c r="D7567" s="1" t="s">
        <v>568</v>
      </c>
      <c r="E7567" s="1" t="s">
        <v>386</v>
      </c>
      <c r="F7567" s="1" t="s">
        <v>11633</v>
      </c>
      <c r="G7567" s="1" t="s">
        <v>36</v>
      </c>
      <c r="H7567" s="1" t="s">
        <v>29</v>
      </c>
      <c r="I7567" s="1" t="str">
        <f ca="1">IFERROR(__xludf.DUMMYFUNCTION("GOOGLETRANSLATE(F7567, ""auto"", ""en"")
"),"Having bought this device, it fully met my expectations. Before that I had three vacuum cleaners, mostly similar to each other from 400 to 1200 rubles. But since I love cleanliness in the car, the price did not stop me and I got to perfection and now I en"&amp;"joy cleaning. A little about the advantages of the device: Its power is similar to 500 W. If you compare it with my home at 1400 W, this is without jokes. Convenient handle and rubber hose, unlike the other model 1205, it is plastic and the power is much "&amp;"less, and your hand quickly gets tired of moving it back and forth, but here you hold a comfortable handle with a hose, another plus is that the bristles fold up, you don’t have to take it out forever and then look for where you put it. In general, it’s u"&amp;"p to you, if you like cleanliness, then it’s yours. And if not, then take it the easier way.!!!")</f>
        <v>Having bought this device, it fully met my expectations. Before that I had three vacuum cleaners, mostly similar to each other from 400 to 1200 rubles. But since I love cleanliness in the car, the price did not stop me and I got to perfection and now I enjoy cleaning. A little about the advantages of the device: Its power is similar to 500 W. If you compare it with my home at 1400 W, this is without jokes. Convenient handle and rubber hose, unlike the other model 1205, it is plastic and the power is much less, and your hand quickly gets tired of moving it back and forth, but here you hold a comfortable handle with a hose, another plus is that the bristles fold up, you don’t have to take it out forever and then look for where you put it. In general, it’s up to you, if you like cleanliness, then it’s yours. And if not, then take it the easier way.!!!</v>
      </c>
    </row>
    <row r="7568" spans="1:9" x14ac:dyDescent="0.3">
      <c r="A7568" s="1" t="s">
        <v>1031</v>
      </c>
      <c r="B7568" s="1" t="s">
        <v>1032</v>
      </c>
      <c r="C7568" s="1" t="s">
        <v>159</v>
      </c>
      <c r="D7568" s="1" t="s">
        <v>127</v>
      </c>
      <c r="E7568" s="1" t="s">
        <v>4939</v>
      </c>
      <c r="F7568" s="1" t="s">
        <v>11634</v>
      </c>
      <c r="G7568" s="1" t="s">
        <v>36</v>
      </c>
      <c r="H7568" s="1" t="s">
        <v>29</v>
      </c>
      <c r="I7568" s="1" t="str">
        <f ca="1">IFERROR(__xludf.DUMMYFUNCTION("GOOGLETRANSLATE(F7568, ""auto"", ""en"")
"),"An excellent remedy. Removed fingerprints from the surface of a stainless steel hood. A film formed on the surface that protects against the appearance of new fingerprints. There were fingerprints on the kitchen sink, the Electrolux product removed them, "&amp;"new fingerprints are not formed. The appearance also improved, the thing shone in a new way. The product is economical. I recommend!")</f>
        <v>An excellent remedy. Removed fingerprints from the surface of a stainless steel hood. A film formed on the surface that protects against the appearance of new fingerprints. There were fingerprints on the kitchen sink, the Electrolux product removed them, new fingerprints are not formed. The appearance also improved, the thing shone in a new way. The product is economical. I recommend!</v>
      </c>
    </row>
    <row r="7569" spans="1:9" x14ac:dyDescent="0.3">
      <c r="A7569" s="1" t="s">
        <v>149</v>
      </c>
      <c r="B7569" s="1" t="s">
        <v>423</v>
      </c>
      <c r="C7569" s="1" t="s">
        <v>314</v>
      </c>
      <c r="D7569" s="1" t="s">
        <v>86</v>
      </c>
      <c r="E7569" s="1" t="s">
        <v>9574</v>
      </c>
      <c r="F7569" s="1" t="s">
        <v>11635</v>
      </c>
      <c r="G7569" s="1" t="s">
        <v>1580</v>
      </c>
      <c r="H7569" s="1" t="s">
        <v>29</v>
      </c>
      <c r="I7569" s="1" t="str">
        <f ca="1">IFERROR(__xludf.DUMMYFUNCTION("GOOGLETRANSLATE(F7569, ""auto"", ""en"")
"),"Stylish, convenient, powerful vacuum cleaner. The biggest plus is that it is washable. In general, all the advantages of the difference between a washing and a conventional vacuum cleaner are included and clearly expressed here.")</f>
        <v>Stylish, convenient, powerful vacuum cleaner. The biggest plus is that it is washable. In general, all the advantages of the difference between a washing and a conventional vacuum cleaner are included and clearly expressed here.</v>
      </c>
    </row>
    <row r="7570" spans="1:9" x14ac:dyDescent="0.3">
      <c r="A7570" s="1" t="s">
        <v>43</v>
      </c>
      <c r="B7570" s="1" t="s">
        <v>44</v>
      </c>
      <c r="C7570" s="1" t="s">
        <v>185</v>
      </c>
      <c r="D7570" s="1" t="s">
        <v>203</v>
      </c>
      <c r="E7570" s="1" t="s">
        <v>2994</v>
      </c>
      <c r="F7570" s="1" t="s">
        <v>11636</v>
      </c>
      <c r="G7570" s="1" t="s">
        <v>36</v>
      </c>
      <c r="H7570" s="1" t="s">
        <v>29</v>
      </c>
      <c r="I7570" s="1" t="str">
        <f ca="1">IFERROR(__xludf.DUMMYFUNCTION("GOOGLETRANSLATE(F7570, ""auto"", ""en"")
"),"I bought a fan in May, the build quality is better than a similar product from another inexpensive brand (although that one has been plowing for 5 years already, I buy all the fans only with a remote control - I don’t regret it. Minimal noise +, design +,"&amp;" excellent reception from the remote control, quality +. There is a horizontal heater, with a remote control - their remote controls are completely interchangeable! The signals to the buttons (functions) are the same. I took it apart once because it becam"&amp;"e difficult rotate, lubricated it, now it’s the only way it spins!")</f>
        <v>I bought a fan in May, the build quality is better than a similar product from another inexpensive brand (although that one has been plowing for 5 years already, I buy all the fans only with a remote control - I don’t regret it. Minimal noise +, design +, excellent reception from the remote control, quality +. There is a horizontal heater, with a remote control - their remote controls are completely interchangeable! The signals to the buttons (functions) are the same. I took it apart once because it became difficult rotate, lubricated it, now it’s the only way it spins!</v>
      </c>
    </row>
    <row r="7571" spans="1:9" x14ac:dyDescent="0.3">
      <c r="A7571" s="1" t="s">
        <v>169</v>
      </c>
      <c r="B7571" s="1" t="s">
        <v>170</v>
      </c>
      <c r="C7571" s="1" t="s">
        <v>193</v>
      </c>
      <c r="D7571" s="1" t="s">
        <v>86</v>
      </c>
      <c r="E7571" s="1" t="s">
        <v>3771</v>
      </c>
      <c r="F7571" s="1" t="s">
        <v>11637</v>
      </c>
      <c r="G7571" s="1" t="s">
        <v>36</v>
      </c>
      <c r="H7571" s="1" t="s">
        <v>29</v>
      </c>
      <c r="I7571" s="1" t="str">
        <f ca="1">IFERROR(__xludf.DUMMYFUNCTION("GOOGLETRANSLATE(F7571, ""auto"", ""en"")
"),"I bought these ears today) I was pleased with the build quality... They fit perfectly on my head.  The sound is very high quality, and, most importantly, alive. The headphones are suitable both for home and outside (But I bought it specifically for home)."&amp;" The cord is quite durable. A convenient reel for winding the wire is included.  I'm happy with the purchase, these headphones are worth the money...=*")</f>
        <v>I bought these ears today) I was pleased with the build quality... They fit perfectly on my head.  The sound is very high quality, and, most importantly, alive. The headphones are suitable both for home and outside (But I bought it specifically for home). The cord is quite durable. A convenient reel for winding the wire is included.  I'm happy with the purchase, these headphones are worth the money...=*</v>
      </c>
    </row>
    <row r="7572" spans="1:9" x14ac:dyDescent="0.3">
      <c r="A7572" s="1" t="s">
        <v>30</v>
      </c>
      <c r="B7572" s="1" t="s">
        <v>50</v>
      </c>
      <c r="C7572" s="1" t="s">
        <v>32</v>
      </c>
      <c r="D7572" s="1" t="s">
        <v>11638</v>
      </c>
      <c r="E7572" s="1" t="s">
        <v>824</v>
      </c>
      <c r="F7572" s="1" t="s">
        <v>11639</v>
      </c>
      <c r="G7572" s="1" t="s">
        <v>36</v>
      </c>
      <c r="H7572" s="1" t="s">
        <v>29</v>
      </c>
      <c r="I7572" s="1" t="str">
        <f ca="1">IFERROR(__xludf.DUMMYFUNCTION("GOOGLETRANSLATE(F7572, ""auto"", ""en"")
"),"There are absolutely no problems!!! the only thing I did was install WINDOWS, not the home version as it was, but the maximum version!!! Ideal netbook!!")</f>
        <v>There are absolutely no problems!!! the only thing I did was install WINDOWS, not the home version as it was, but the maximum version!!! Ideal netbook!!</v>
      </c>
    </row>
    <row r="7573" spans="1:9" x14ac:dyDescent="0.3">
      <c r="A7573" s="1" t="s">
        <v>9</v>
      </c>
      <c r="B7573" s="1" t="s">
        <v>137</v>
      </c>
      <c r="C7573" s="1" t="s">
        <v>159</v>
      </c>
      <c r="D7573" s="1" t="s">
        <v>565</v>
      </c>
      <c r="E7573" s="1" t="s">
        <v>386</v>
      </c>
      <c r="F7573" s="1" t="s">
        <v>11640</v>
      </c>
      <c r="G7573" s="1" t="s">
        <v>36</v>
      </c>
      <c r="H7573" s="1" t="s">
        <v>29</v>
      </c>
      <c r="I7573" s="1" t="str">
        <f ca="1">IFERROR(__xludf.DUMMYFUNCTION("GOOGLETRANSLATE(F7573, ""auto"", ""en"")
"),"I have been using this stove for more than 3 years, it has never broken down, it works perfectly.")</f>
        <v>I have been using this stove for more than 3 years, it has never broken down, it works perfectly.</v>
      </c>
    </row>
    <row r="7574" spans="1:9" x14ac:dyDescent="0.3">
      <c r="A7574" s="1" t="s">
        <v>78</v>
      </c>
      <c r="B7574" s="1" t="s">
        <v>79</v>
      </c>
      <c r="C7574" s="1" t="s">
        <v>1677</v>
      </c>
      <c r="D7574" s="1" t="s">
        <v>64</v>
      </c>
      <c r="E7574" s="1" t="s">
        <v>1929</v>
      </c>
      <c r="F7574" s="1" t="s">
        <v>11641</v>
      </c>
      <c r="G7574" s="1" t="s">
        <v>36</v>
      </c>
      <c r="H7574" s="1" t="s">
        <v>29</v>
      </c>
      <c r="I7574" s="1" t="str">
        <f ca="1">IFERROR(__xludf.DUMMYFUNCTION("GOOGLETRANSLATE(F7574, ""auto"", ""en"")
"),"We purchased this stove a long time ago. Very simple and accessible menu, quite powerful. We did not find any shortcomings during use. We recommend it to everyone!")</f>
        <v>We purchased this stove a long time ago. Very simple and accessible menu, quite powerful. We did not find any shortcomings during use. We recommend it to everyone!</v>
      </c>
    </row>
    <row r="7575" spans="1:9" x14ac:dyDescent="0.3">
      <c r="A7575" s="1" t="s">
        <v>149</v>
      </c>
      <c r="B7575" s="1" t="s">
        <v>576</v>
      </c>
      <c r="C7575" s="1" t="s">
        <v>151</v>
      </c>
      <c r="D7575" s="1" t="s">
        <v>1004</v>
      </c>
      <c r="E7575" s="1" t="s">
        <v>1792</v>
      </c>
      <c r="F7575" s="1" t="s">
        <v>11642</v>
      </c>
      <c r="G7575" s="1" t="s">
        <v>28</v>
      </c>
      <c r="H7575" s="1" t="s">
        <v>29</v>
      </c>
      <c r="I7575" s="1" t="str">
        <f ca="1">IFERROR(__xludf.DUMMYFUNCTION("GOOGLETRANSLATE(F7575, ""auto"", ""en"")
"),"Compact and good vacuum cleaner. Easy to use. Convenient hose, washing filter. Served for 5 years. The truth is that it doesn’t suck up dust as effectively as before. For that kind of money, you won’t find a better cleaner on the farm.")</f>
        <v>Compact and good vacuum cleaner. Easy to use. Convenient hose, washing filter. Served for 5 years. The truth is that it doesn’t suck up dust as effectively as before. For that kind of money, you won’t find a better cleaner on the farm.</v>
      </c>
    </row>
    <row r="7576" spans="1:9" x14ac:dyDescent="0.3">
      <c r="A7576" s="1" t="s">
        <v>61</v>
      </c>
      <c r="B7576" s="1" t="s">
        <v>180</v>
      </c>
      <c r="C7576" s="1" t="s">
        <v>101</v>
      </c>
      <c r="D7576" s="1" t="s">
        <v>247</v>
      </c>
      <c r="E7576" s="1" t="s">
        <v>8151</v>
      </c>
      <c r="F7576" s="1" t="s">
        <v>413</v>
      </c>
      <c r="G7576" s="1" t="s">
        <v>36</v>
      </c>
      <c r="H7576" s="1" t="s">
        <v>29</v>
      </c>
      <c r="I7576" s="1" t="str">
        <f ca="1">IFERROR(__xludf.DUMMYFUNCTION("GOOGLETRANSLATE(F7576, ""auto"", ""en"")
"),"No")</f>
        <v>No</v>
      </c>
    </row>
    <row r="7577" spans="1:9" x14ac:dyDescent="0.3">
      <c r="A7577" s="1" t="s">
        <v>369</v>
      </c>
      <c r="B7577" s="1" t="s">
        <v>370</v>
      </c>
      <c r="C7577" s="1" t="s">
        <v>290</v>
      </c>
      <c r="D7577" s="1" t="s">
        <v>3923</v>
      </c>
      <c r="E7577" s="1" t="s">
        <v>128</v>
      </c>
      <c r="F7577" s="1" t="s">
        <v>11643</v>
      </c>
      <c r="G7577" s="1" t="s">
        <v>36</v>
      </c>
      <c r="H7577" s="1" t="s">
        <v>29</v>
      </c>
      <c r="I7577" s="1" t="str">
        <f ca="1">IFERROR(__xludf.DUMMYFUNCTION("GOOGLETRANSLATE(F7577, ""auto"", ""en"")
"),"Great stove! I didn't regret the money spent. I am happy with my choice every time I cook! Buy it, you won't regret it.")</f>
        <v>Great stove! I didn't regret the money spent. I am happy with my choice every time I cook! Buy it, you won't regret it.</v>
      </c>
    </row>
    <row r="7578" spans="1:9" x14ac:dyDescent="0.3">
      <c r="A7578" s="1" t="s">
        <v>61</v>
      </c>
      <c r="B7578" s="1" t="s">
        <v>318</v>
      </c>
      <c r="C7578" s="1" t="s">
        <v>246</v>
      </c>
      <c r="D7578" s="1" t="s">
        <v>4333</v>
      </c>
      <c r="E7578" s="1" t="s">
        <v>1736</v>
      </c>
      <c r="F7578" s="1" t="s">
        <v>11644</v>
      </c>
      <c r="G7578" s="1" t="s">
        <v>36</v>
      </c>
      <c r="H7578" s="1" t="s">
        <v>29</v>
      </c>
      <c r="I7578" s="1" t="str">
        <f ca="1">IFERROR(__xludf.DUMMYFUNCTION("GOOGLETRANSLATE(F7578, ""auto"", ""en"")
"),"The kettle is great!!! It has never let me down since 2008, it has been in service since 2013, it is noisy, yes, but no more than others, as for stains, yes it depends on the water and its quality and quantity, as for the minimum volume, why buy such kett"&amp;"les, use a boiler!!")</f>
        <v>The kettle is great!!! It has never let me down since 2008, it has been in service since 2013, it is noisy, yes, but no more than others, as for stains, yes it depends on the water and its quality and quantity, as for the minimum volume, why buy such kettles, use a boiler!!</v>
      </c>
    </row>
    <row r="7579" spans="1:9" x14ac:dyDescent="0.3">
      <c r="A7579" s="1" t="s">
        <v>211</v>
      </c>
      <c r="B7579" s="1" t="s">
        <v>265</v>
      </c>
      <c r="C7579" s="1" t="s">
        <v>57</v>
      </c>
      <c r="D7579" s="1" t="s">
        <v>114</v>
      </c>
      <c r="E7579" s="1" t="s">
        <v>128</v>
      </c>
      <c r="F7579" s="1" t="s">
        <v>11645</v>
      </c>
      <c r="G7579" s="1" t="s">
        <v>49</v>
      </c>
      <c r="H7579" s="1" t="s">
        <v>16</v>
      </c>
      <c r="I7579" s="1" t="str">
        <f ca="1">IFERROR(__xludf.DUMMYFUNCTION("GOOGLETRANSLATE(F7579, ""auto"", ""en"")
"),"You can call it a hair clipper purely by its external distinctive features! According to my feelings - It seemed to me that some kind of “inadequate creature” or a huge evil, at times, “insect” was swarming in my hair...")</f>
        <v>You can call it a hair clipper purely by its external distinctive features! According to my feelings - It seemed to me that some kind of “inadequate creature” or a huge evil, at times, “insect” was swarming in my hair...</v>
      </c>
    </row>
    <row r="7580" spans="1:9" x14ac:dyDescent="0.3">
      <c r="A7580" s="1" t="s">
        <v>149</v>
      </c>
      <c r="B7580" s="1" t="s">
        <v>423</v>
      </c>
      <c r="C7580" s="1" t="s">
        <v>314</v>
      </c>
      <c r="D7580" s="1" t="s">
        <v>305</v>
      </c>
      <c r="E7580" s="1" t="s">
        <v>1408</v>
      </c>
      <c r="F7580" s="1" t="s">
        <v>11646</v>
      </c>
      <c r="G7580" s="1" t="s">
        <v>36</v>
      </c>
      <c r="H7580" s="1" t="s">
        <v>29</v>
      </c>
      <c r="I7580" s="1" t="str">
        <f ca="1">IFERROR(__xludf.DUMMYFUNCTION("GOOGLETRANSLATE(F7580, ""auto"", ""en"")
"),"There are too many advantages to list ")</f>
        <v xml:space="preserve">There are too many advantages to list </v>
      </c>
    </row>
    <row r="7581" spans="1:9" x14ac:dyDescent="0.3">
      <c r="A7581" s="1" t="s">
        <v>61</v>
      </c>
      <c r="B7581" s="1" t="s">
        <v>318</v>
      </c>
      <c r="C7581" s="1" t="s">
        <v>85</v>
      </c>
      <c r="D7581" s="1" t="s">
        <v>152</v>
      </c>
      <c r="E7581" s="1" t="s">
        <v>4166</v>
      </c>
      <c r="F7581" s="1" t="s">
        <v>11647</v>
      </c>
      <c r="G7581" s="1" t="s">
        <v>36</v>
      </c>
      <c r="H7581" s="1" t="s">
        <v>29</v>
      </c>
      <c r="I7581" s="1" t="str">
        <f ca="1">IFERROR(__xludf.DUMMYFUNCTION("GOOGLETRANSLATE(F7581, ""auto"", ""en"")
"),"This kettle is for those who appreciate tea. The taste of tea in it is original, thanks to setting the desired temperature when brewing. The quality of the kettle is excellent, after all, it’s a bork. I recommend it to those who love tea.")</f>
        <v>This kettle is for those who appreciate tea. The taste of tea in it is original, thanks to setting the desired temperature when brewing. The quality of the kettle is excellent, after all, it’s a bork. I recommend it to those who love tea.</v>
      </c>
    </row>
    <row r="7582" spans="1:9" x14ac:dyDescent="0.3">
      <c r="A7582" s="1" t="s">
        <v>149</v>
      </c>
      <c r="B7582" s="1" t="s">
        <v>150</v>
      </c>
      <c r="C7582" s="1" t="s">
        <v>314</v>
      </c>
      <c r="D7582" s="1" t="s">
        <v>565</v>
      </c>
      <c r="E7582" s="1" t="s">
        <v>6685</v>
      </c>
      <c r="F7582" s="1" t="s">
        <v>11648</v>
      </c>
      <c r="G7582" s="1" t="s">
        <v>28</v>
      </c>
      <c r="H7582" s="1" t="s">
        <v>29</v>
      </c>
      <c r="I7582" s="1" t="str">
        <f ca="1">IFERROR(__xludf.DUMMYFUNCTION("GOOGLETRANSLATE(F7582, ""auto"", ""en"")
"),"We also bought it a long time ago under the Bork brand. It vacuums well, but over time there was also a problem with retracting the cord and the button stuck, the mount on the brush and the brush itself broke. A huge minus is that the kit includes dust ba"&amp;"gs, but when they ran out the fun began. How many times have you asked in the store, there are never such bags. We have already asked to order them somehow, no, they are not available anywhere!!! They offered similar bags, but they didn’t fit, and they bo"&amp;"ught sucking bags, but they fell off during the cleaning process. A question arises for manufacturers: why make such a vacuum cleaner and not take care of the availability of components. In general, the vacuum cleaner is good, but if you prefer cleaning w"&amp;"ith a dust collector, think carefully!!! Or still try to find them somewhere.")</f>
        <v>We also bought it a long time ago under the Bork brand. It vacuums well, but over time there was also a problem with retracting the cord and the button stuck, the mount on the brush and the brush itself broke. A huge minus is that the kit includes dust bags, but when they ran out the fun began. How many times have you asked in the store, there are never such bags. We have already asked to order them somehow, no, they are not available anywhere!!! They offered similar bags, but they didn’t fit, and they bought sucking bags, but they fell off during the cleaning process. A question arises for manufacturers: why make such a vacuum cleaner and not take care of the availability of components. In general, the vacuum cleaner is good, but if you prefer cleaning with a dust collector, think carefully!!! Or still try to find them somewhere.</v>
      </c>
    </row>
    <row r="7583" spans="1:9" x14ac:dyDescent="0.3">
      <c r="A7583" s="1" t="s">
        <v>206</v>
      </c>
      <c r="B7583" s="1" t="s">
        <v>207</v>
      </c>
      <c r="C7583" s="1" t="s">
        <v>152</v>
      </c>
      <c r="D7583" s="1" t="s">
        <v>10177</v>
      </c>
      <c r="E7583" s="1" t="s">
        <v>3416</v>
      </c>
      <c r="F7583" s="1" t="s">
        <v>11649</v>
      </c>
      <c r="G7583" s="1" t="s">
        <v>36</v>
      </c>
      <c r="H7583" s="1" t="s">
        <v>29</v>
      </c>
      <c r="I7583" s="1" t="str">
        <f ca="1">IFERROR(__xludf.DUMMYFUNCTION("GOOGLETRANSLATE(F7583, ""auto"", ""en"")
"),"I was mistaken, it was 220 microfarads, connected to the head. It was conceived as a third stripe instead of plastic tweeters. It’s strange that one of them wheezed, but the other one is holding up perfectly. I set it to 100 microfarads and got dips in th"&amp;"e sound. So, although they sound great, without replacing or throwing out the condenser, you won’t hear anything worthwhile from them, and replacing (increasing) the condenser can lead to their failure.")</f>
        <v>I was mistaken, it was 220 microfarads, connected to the head. It was conceived as a third stripe instead of plastic tweeters. It’s strange that one of them wheezed, but the other one is holding up perfectly. I set it to 100 microfarads and got dips in the sound. So, although they sound great, without replacing or throwing out the condenser, you won’t hear anything worthwhile from them, and replacing (increasing) the condenser can lead to their failure.</v>
      </c>
    </row>
    <row r="7584" spans="1:9" x14ac:dyDescent="0.3">
      <c r="A7584" s="1" t="s">
        <v>282</v>
      </c>
      <c r="B7584" s="1" t="s">
        <v>806</v>
      </c>
      <c r="C7584" s="1" t="s">
        <v>284</v>
      </c>
      <c r="D7584" s="1" t="s">
        <v>1008</v>
      </c>
      <c r="E7584" s="1" t="s">
        <v>1826</v>
      </c>
      <c r="F7584" s="1" t="s">
        <v>11650</v>
      </c>
      <c r="G7584" s="1" t="s">
        <v>36</v>
      </c>
      <c r="H7584" s="1" t="s">
        <v>29</v>
      </c>
      <c r="I7584" s="1" t="str">
        <f ca="1">IFERROR(__xludf.DUMMYFUNCTION("GOOGLETRANSLATE(F7584, ""auto"", ""en"")
"),"I recommend it to all men, despite the fact that the film is for girls at first sight! I was struck by the look of the main character, so soulful, I honestly went crazy from such a look! Danielle is so beautiful!")</f>
        <v>I recommend it to all men, despite the fact that the film is for girls at first sight! I was struck by the look of the main character, so soulful, I honestly went crazy from such a look! Danielle is so beautiful!</v>
      </c>
    </row>
    <row r="7585" spans="1:9" x14ac:dyDescent="0.3">
      <c r="A7585" s="1" t="s">
        <v>9</v>
      </c>
      <c r="B7585" s="1" t="s">
        <v>133</v>
      </c>
      <c r="C7585" s="1" t="s">
        <v>151</v>
      </c>
      <c r="D7585" s="1" t="s">
        <v>685</v>
      </c>
      <c r="E7585" s="1" t="s">
        <v>2240</v>
      </c>
      <c r="F7585" s="1" t="s">
        <v>11651</v>
      </c>
      <c r="G7585" s="1" t="s">
        <v>36</v>
      </c>
      <c r="H7585" s="1" t="s">
        <v>29</v>
      </c>
      <c r="I7585" s="1" t="str">
        <f ca="1">IFERROR(__xludf.DUMMYFUNCTION("GOOGLETRANSLATE(F7585, ""auto"", ""en"")
"),"Good oven, stylish, bakes evenly! Everyone is happy, but the clock actually moves by a minute a week, I’m tired of adjusting it. It looks like this problem is in the controller, Samsung gets a minus for this.")</f>
        <v>Good oven, stylish, bakes evenly! Everyone is happy, but the clock actually moves by a minute a week, I’m tired of adjusting it. It looks like this problem is in the controller, Samsung gets a minus for this.</v>
      </c>
    </row>
    <row r="7586" spans="1:9" x14ac:dyDescent="0.3">
      <c r="A7586" s="1" t="s">
        <v>43</v>
      </c>
      <c r="B7586" s="1" t="s">
        <v>334</v>
      </c>
      <c r="C7586" s="1" t="s">
        <v>85</v>
      </c>
      <c r="D7586" s="1" t="s">
        <v>152</v>
      </c>
      <c r="E7586" s="1" t="s">
        <v>886</v>
      </c>
      <c r="F7586" s="1" t="s">
        <v>11652</v>
      </c>
      <c r="G7586" s="1" t="s">
        <v>36</v>
      </c>
      <c r="H7586" s="1" t="s">
        <v>29</v>
      </c>
      <c r="I7586" s="1" t="str">
        <f ca="1">IFERROR(__xludf.DUMMYFUNCTION("GOOGLETRANSLATE(F7586, ""auto"", ""en"")
"),"Excellent fan, high-quality manufacturing and assembly, balanced propeller, low noise. Easily disassembled (for washing). It was purchased more than five years ago, still like new, although it had to work a lot.")</f>
        <v>Excellent fan, high-quality manufacturing and assembly, balanced propeller, low noise. Easily disassembled (for washing). It was purchased more than five years ago, still like new, although it had to work a lot.</v>
      </c>
    </row>
    <row r="7587" spans="1:9" x14ac:dyDescent="0.3">
      <c r="A7587" s="1" t="s">
        <v>61</v>
      </c>
      <c r="B7587" s="1" t="s">
        <v>318</v>
      </c>
      <c r="C7587" s="1" t="s">
        <v>57</v>
      </c>
      <c r="D7587" s="1" t="s">
        <v>11653</v>
      </c>
      <c r="E7587" s="1" t="s">
        <v>11654</v>
      </c>
      <c r="F7587" s="1" t="s">
        <v>11655</v>
      </c>
      <c r="G7587" s="1" t="s">
        <v>36</v>
      </c>
      <c r="H7587" s="1" t="s">
        <v>29</v>
      </c>
      <c r="I7587" s="1" t="str">
        <f ca="1">IFERROR(__xludf.DUMMYFUNCTION("GOOGLETRANSLATE(F7587, ""auto"", ""en"")
"),"If your kettle boils slowly and takes a long time, read the instructions carefully! What position is your voltage switch in? And those who write that the water is overflowing - read how much water should be poured. And for those who urgently need to boil "&amp;"the liquid a second time, read how long it takes to turn it on again! If you use it correctly, then everything will be OK. Great kettle!")</f>
        <v>If your kettle boils slowly and takes a long time, read the instructions carefully! What position is your voltage switch in? And those who write that the water is overflowing - read how much water should be poured. And for those who urgently need to boil the liquid a second time, read how long it takes to turn it on again! If you use it correctly, then everything will be OK. Great kettle!</v>
      </c>
    </row>
    <row r="7588" spans="1:9" x14ac:dyDescent="0.3">
      <c r="A7588" s="1" t="s">
        <v>120</v>
      </c>
      <c r="B7588" s="1" t="s">
        <v>256</v>
      </c>
      <c r="C7588" s="1" t="s">
        <v>32</v>
      </c>
      <c r="D7588" s="1" t="s">
        <v>11656</v>
      </c>
      <c r="E7588" s="1" t="s">
        <v>4628</v>
      </c>
      <c r="F7588" s="1" t="s">
        <v>11657</v>
      </c>
      <c r="G7588" s="1" t="s">
        <v>36</v>
      </c>
      <c r="H7588" s="1" t="s">
        <v>29</v>
      </c>
      <c r="I7588" s="1" t="str">
        <f ca="1">IFERROR(__xludf.DUMMYFUNCTION("GOOGLETRANSLATE(F7588, ""auto"", ""en"")
"),"Great TV for a small room. The broadcast runs quite well. I was especially pleased with the 16:10 resolution; for watching broadcasts, it’s again better than 16:9. The sound is loud and clear for such power. The menu is sorted out in 5 minutes. I recommen"&amp;"d")</f>
        <v>Great TV for a small room. The broadcast runs quite well. I was especially pleased with the 16:10 resolution; for watching broadcasts, it’s again better than 16:9. The sound is loud and clear for such power. The menu is sorted out in 5 minutes. I recommend</v>
      </c>
    </row>
    <row r="7589" spans="1:9" x14ac:dyDescent="0.3">
      <c r="A7589" s="1" t="s">
        <v>61</v>
      </c>
      <c r="B7589" s="1" t="s">
        <v>318</v>
      </c>
      <c r="C7589" s="1" t="s">
        <v>57</v>
      </c>
      <c r="D7589" s="1" t="s">
        <v>2045</v>
      </c>
      <c r="E7589" s="1" t="s">
        <v>5241</v>
      </c>
      <c r="F7589" s="1" t="s">
        <v>11658</v>
      </c>
      <c r="G7589" s="1" t="s">
        <v>28</v>
      </c>
      <c r="H7589" s="1" t="s">
        <v>29</v>
      </c>
      <c r="I7589" s="1" t="str">
        <f ca="1">IFERROR(__xludf.DUMMYFUNCTION("GOOGLETRANSLATE(F7589, ""auto"", ""en"")
"),"Pros: 1. Very beautiful, stylish design 2. Doesn’t smell anything, doesn’t spoil the taste of water 3. Quiet compared to other kettles Cons: 1. To pour water out of it, you need to turn it vertically upside down, the ball flask holds the water until the l"&amp;"ast and does not let it go to the spout. You get used to it, but those who like to pour water by slightly tilting the teapot will be unhappy.  2. It boils to the bitter end, especially when there is not enough water (it may not turn off at all). It’s bett"&amp;"er to sit next to it and turn it off manually if you don’t want the water to boil over. It's a pity that there is no water heating temperature regulator. It would be an ideal teapot.  3. Parts that appear to be metal are actually painted plastic. Most lik"&amp;"ely it will get ripped off.  4. The heating disk is not steel and polished, but coated with some kind of non-stick coating. I really don’t know whether this is a plus or a minus... Even when the water is heated, it becomes covered with condensation from t"&amp;"he inside. Drops of water remain on the walls even when the kettle cools down. In principle, this is normal, just don’t think that it will delight you with transparent, clean glass. There are suspicions that over time, traces of scale and other deposits f"&amp;"rom not very high-quality water will remain on the glass.")</f>
        <v>Pros: 1. Very beautiful, stylish design 2. Doesn’t smell anything, doesn’t spoil the taste of water 3. Quiet compared to other kettles Cons: 1. To pour water out of it, you need to turn it vertically upside down, the ball flask holds the water until the last and does not let it go to the spout. You get used to it, but those who like to pour water by slightly tilting the teapot will be unhappy.  2. It boils to the bitter end, especially when there is not enough water (it may not turn off at all). It’s better to sit next to it and turn it off manually if you don’t want the water to boil over. It's a pity that there is no water heating temperature regulator. It would be an ideal teapot.  3. Parts that appear to be metal are actually painted plastic. Most likely it will get ripped off.  4. The heating disk is not steel and polished, but coated with some kind of non-stick coating. I really don’t know whether this is a plus or a minus... Even when the water is heated, it becomes covered with condensation from the inside. Drops of water remain on the walls even when the kettle cools down. In principle, this is normal, just don’t think that it will delight you with transparent, clean glass. There are suspicions that over time, traces of scale and other deposits from not very high-quality water will remain on the glass.</v>
      </c>
    </row>
    <row r="7590" spans="1:9" x14ac:dyDescent="0.3">
      <c r="A7590" s="1" t="s">
        <v>61</v>
      </c>
      <c r="B7590" s="1" t="s">
        <v>318</v>
      </c>
      <c r="C7590" s="1" t="s">
        <v>57</v>
      </c>
      <c r="D7590" s="1" t="s">
        <v>232</v>
      </c>
      <c r="E7590" s="1" t="s">
        <v>3983</v>
      </c>
      <c r="F7590" s="1" t="s">
        <v>11659</v>
      </c>
      <c r="G7590" s="1" t="s">
        <v>28</v>
      </c>
      <c r="H7590" s="1" t="s">
        <v>29</v>
      </c>
      <c r="I7590" s="1" t="str">
        <f ca="1">IFERROR(__xludf.DUMMYFUNCTION("GOOGLETRANSLATE(F7590, ""auto"", ""en"")
"),"Price, quality")</f>
        <v>Price, quality</v>
      </c>
    </row>
    <row r="7591" spans="1:9" x14ac:dyDescent="0.3">
      <c r="A7591" s="1" t="s">
        <v>149</v>
      </c>
      <c r="B7591" s="1" t="s">
        <v>155</v>
      </c>
      <c r="C7591" s="1" t="s">
        <v>80</v>
      </c>
      <c r="D7591" s="1" t="s">
        <v>64</v>
      </c>
      <c r="E7591" s="1" t="s">
        <v>251</v>
      </c>
      <c r="F7591" s="1" t="s">
        <v>11660</v>
      </c>
      <c r="G7591" s="1" t="s">
        <v>15</v>
      </c>
      <c r="H7591" s="1" t="s">
        <v>16</v>
      </c>
      <c r="I7591" s="1" t="str">
        <f ca="1">IFERROR(__xludf.DUMMYFUNCTION("GOOGLETRANSLATE(F7591, ""auto"", ""en"")
"),"I also took mine back to the store, but they told me that the vacuum cleaner was working, that there was something wrong with me. They didn't change it.  But about the gift card for 3,000 rubles, complete nonsense! All other normal stores don’t come up wi"&amp;"th such an excuse. At the same time, when I bought a vacuum cleaner, I bought a laptop from another store and they gave me a gift card. After purchasing accessories using this card, I came for an exchange and they replaced them without any problems.")</f>
        <v>I also took mine back to the store, but they told me that the vacuum cleaner was working, that there was something wrong with me. They didn't change it.  But about the gift card for 3,000 rubles, complete nonsense! All other normal stores don’t come up with such an excuse. At the same time, when I bought a vacuum cleaner, I bought a laptop from another store and they gave me a gift card. After purchasing accessories using this card, I came for an exchange and they replaced them without any problems.</v>
      </c>
    </row>
    <row r="7592" spans="1:9" x14ac:dyDescent="0.3">
      <c r="A7592" s="1" t="s">
        <v>211</v>
      </c>
      <c r="B7592" s="1" t="s">
        <v>212</v>
      </c>
      <c r="C7592" s="1" t="s">
        <v>294</v>
      </c>
      <c r="D7592" s="1" t="s">
        <v>474</v>
      </c>
      <c r="E7592" s="1" t="s">
        <v>513</v>
      </c>
      <c r="F7592" s="1" t="s">
        <v>11661</v>
      </c>
      <c r="G7592" s="1" t="s">
        <v>36</v>
      </c>
      <c r="H7592" s="1" t="s">
        <v>29</v>
      </c>
      <c r="I7592" s="1" t="str">
        <f ca="1">IFERROR(__xludf.DUMMYFUNCTION("GOOGLETRANSLATE(F7592, ""auto"", ""en"")
"),"The tongs are just super!!! I was looking for such tongs for a long time and finally I found them. I am very pleased with this purchase!!!")</f>
        <v>The tongs are just super!!! I was looking for such tongs for a long time and finally I found them. I am very pleased with this purchase!!!</v>
      </c>
    </row>
    <row r="7593" spans="1:9" x14ac:dyDescent="0.3">
      <c r="A7593" s="1" t="s">
        <v>30</v>
      </c>
      <c r="B7593" s="1" t="s">
        <v>50</v>
      </c>
      <c r="C7593" s="1" t="s">
        <v>1003</v>
      </c>
      <c r="D7593" s="1" t="s">
        <v>11662</v>
      </c>
      <c r="E7593" s="1" t="s">
        <v>1852</v>
      </c>
      <c r="F7593" s="1" t="s">
        <v>11663</v>
      </c>
      <c r="G7593" s="1" t="s">
        <v>36</v>
      </c>
      <c r="H7593" s="1" t="s">
        <v>29</v>
      </c>
      <c r="I7593" s="1" t="str">
        <f ca="1">IFERROR(__xludf.DUMMYFUNCTION("GOOGLETRANSLATE(F7593, ""auto"", ""en"")
"),"Like. There is also Bluetooth (you need to turn it on)")</f>
        <v>Like. There is also Bluetooth (you need to turn it on)</v>
      </c>
    </row>
    <row r="7594" spans="1:9" x14ac:dyDescent="0.3">
      <c r="A7594" s="1" t="s">
        <v>211</v>
      </c>
      <c r="B7594" s="1" t="s">
        <v>212</v>
      </c>
      <c r="C7594" s="1" t="s">
        <v>294</v>
      </c>
      <c r="D7594" s="1" t="s">
        <v>1506</v>
      </c>
      <c r="E7594" s="1" t="s">
        <v>1277</v>
      </c>
      <c r="F7594" s="1" t="s">
        <v>11664</v>
      </c>
      <c r="G7594" s="1" t="s">
        <v>28</v>
      </c>
      <c r="H7594" s="1" t="s">
        <v>29</v>
      </c>
      <c r="I7594" s="1" t="str">
        <f ca="1">IFERROR(__xludf.DUMMYFUNCTION("GOOGLETRANSLATE(F7594, ""auto"", ""en"")
"),"Straightens well, heats up quickly, making curls is convenient. Very high quality heat resistant case. The kit included: a set of brushes and an eyelash curler... never used it. It worked for 2 years (intensive use), then the wire at the base began to com"&amp;"e off, soon it stopped working completely... It cannot be repaired (( There are suspicions that the wire broke because of the cover... it was very cramped in there. It seems to me that the price is too high... because of the brushes (which I did not need)"&amp;", I will buy from another company.")</f>
        <v>Straightens well, heats up quickly, making curls is convenient. Very high quality heat resistant case. The kit included: a set of brushes and an eyelash curler... never used it. It worked for 2 years (intensive use), then the wire at the base began to come off, soon it stopped working completely... It cannot be repaired (( There are suspicions that the wire broke because of the cover... it was very cramped in there. It seems to me that the price is too high... because of the brushes (which I did not need), I will buy from another company.</v>
      </c>
    </row>
    <row r="7595" spans="1:9" x14ac:dyDescent="0.3">
      <c r="A7595" s="1" t="s">
        <v>61</v>
      </c>
      <c r="B7595" s="1" t="s">
        <v>180</v>
      </c>
      <c r="C7595" s="1" t="s">
        <v>101</v>
      </c>
      <c r="D7595" s="1" t="s">
        <v>1092</v>
      </c>
      <c r="E7595" s="1" t="s">
        <v>11665</v>
      </c>
      <c r="F7595" s="1" t="s">
        <v>11666</v>
      </c>
      <c r="G7595" s="1" t="s">
        <v>36</v>
      </c>
      <c r="H7595" s="1" t="s">
        <v>29</v>
      </c>
      <c r="I7595" s="1" t="str">
        <f ca="1">IFERROR(__xludf.DUMMYFUNCTION("GOOGLETRANSLATE(F7595, ""auto"", ""en"")
"),"The sandwiches are very tasty)) We've only recently had one and it hasn't let us down yet, especially since the price isn't high. I'm very glad that we have him. I recommend it!)")</f>
        <v>The sandwiches are very tasty)) We've only recently had one and it hasn't let us down yet, especially since the price isn't high. I'm very glad that we have him. I recommend it!)</v>
      </c>
    </row>
    <row r="7596" spans="1:9" x14ac:dyDescent="0.3">
      <c r="A7596" s="1" t="s">
        <v>89</v>
      </c>
      <c r="B7596" s="1" t="s">
        <v>231</v>
      </c>
      <c r="C7596" s="1" t="s">
        <v>63</v>
      </c>
      <c r="D7596" s="1" t="s">
        <v>75</v>
      </c>
      <c r="E7596" s="1" t="s">
        <v>3402</v>
      </c>
      <c r="F7596" s="1" t="s">
        <v>11667</v>
      </c>
      <c r="G7596" s="1" t="s">
        <v>36</v>
      </c>
      <c r="H7596" s="1" t="s">
        <v>29</v>
      </c>
      <c r="I7596" s="1" t="str">
        <f ca="1">IFERROR(__xludf.DUMMYFUNCTION("GOOGLETRANSLATE(F7596, ""auto"", ""en"")
"),"We bought it 2 years ago. Thanks to the manufacturer for a quality product. Works every day and not a single failure. Easy to use, like twice two, brews wonderful coffee")</f>
        <v>We bought it 2 years ago. Thanks to the manufacturer for a quality product. Works every day and not a single failure. Easy to use, like twice two, brews wonderful coffee</v>
      </c>
    </row>
    <row r="7597" spans="1:9" x14ac:dyDescent="0.3">
      <c r="A7597" s="1" t="s">
        <v>120</v>
      </c>
      <c r="B7597" s="1" t="s">
        <v>196</v>
      </c>
      <c r="C7597" s="1" t="s">
        <v>151</v>
      </c>
      <c r="D7597" s="1" t="s">
        <v>305</v>
      </c>
      <c r="E7597" s="1" t="s">
        <v>225</v>
      </c>
      <c r="F7597" s="1" t="s">
        <v>11668</v>
      </c>
      <c r="G7597" s="1" t="s">
        <v>36</v>
      </c>
      <c r="H7597" s="1" t="s">
        <v>29</v>
      </c>
      <c r="I7597" s="1" t="str">
        <f ca="1">IFERROR(__xludf.DUMMYFUNCTION("GOOGLETRANSLATE(F7597, ""auto"", ""en"")
"),"Probably each of you knows that in addition to the device menu available to all users, the TV has a so-called engineering menu of the device, which is called up by pressing a certain key combination when the device is turned off. These are the so-called “"&amp;"fine” settings of the TV. Which are used by specialists from service centers. So, after rummaging around the Internet, I found a way to enter this menu. I was interested in activating the function of viewing MKV video files from a flash drive. Alas, in th"&amp;"is series of the device There is no such function. Or rather, it exists, but only 1/3 of the necessary commands. But I learned a lot of interesting things for myself. By the way, you can activate watching videos and listening to music files through the en"&amp;"gineering menu on TVs of the 6.7 series.")</f>
        <v>Probably each of you knows that in addition to the device menu available to all users, the TV has a so-called engineering menu of the device, which is called up by pressing a certain key combination when the device is turned off. These are the so-called “fine” settings of the TV. Which are used by specialists from service centers. So, after rummaging around the Internet, I found a way to enter this menu. I was interested in activating the function of viewing MKV video files from a flash drive. Alas, in this series of the device There is no such function. Or rather, it exists, but only 1/3 of the necessary commands. But I learned a lot of interesting things for myself. By the way, you can activate watching videos and listening to music files through the engineering menu on TVs of the 6.7 series.</v>
      </c>
    </row>
    <row r="7598" spans="1:9" x14ac:dyDescent="0.3">
      <c r="A7598" s="1" t="s">
        <v>89</v>
      </c>
      <c r="B7598" s="1" t="s">
        <v>90</v>
      </c>
      <c r="C7598" s="1" t="s">
        <v>57</v>
      </c>
      <c r="D7598" s="1" t="s">
        <v>142</v>
      </c>
      <c r="E7598" s="1" t="s">
        <v>3095</v>
      </c>
      <c r="F7598" s="1" t="s">
        <v>11669</v>
      </c>
      <c r="G7598" s="1" t="s">
        <v>49</v>
      </c>
      <c r="H7598" s="1" t="s">
        <v>16</v>
      </c>
      <c r="I7598" s="1" t="str">
        <f ca="1">IFERROR(__xludf.DUMMYFUNCTION("GOOGLETRANSLATE(F7598, ""auto"", ""en"")
"),"The coffee grinder is noisy. It grinds exactly once, even if you follow the instructions for use: 30 seconds - work, 1-2 minutes - rest. The lid is not airtight: when grinding, powder comes out of it.  Well, as I already wrote, one-time use.")</f>
        <v>The coffee grinder is noisy. It grinds exactly once, even if you follow the instructions for use: 30 seconds - work, 1-2 minutes - rest. The lid is not airtight: when grinding, powder comes out of it.  Well, as I already wrote, one-time use.</v>
      </c>
    </row>
    <row r="7599" spans="1:9" x14ac:dyDescent="0.3">
      <c r="A7599" s="1" t="s">
        <v>149</v>
      </c>
      <c r="B7599" s="1" t="s">
        <v>423</v>
      </c>
      <c r="C7599" s="1" t="s">
        <v>531</v>
      </c>
      <c r="D7599" s="1" t="s">
        <v>1890</v>
      </c>
      <c r="E7599" s="1" t="s">
        <v>4043</v>
      </c>
      <c r="F7599" s="1" t="s">
        <v>11670</v>
      </c>
      <c r="G7599" s="1" t="s">
        <v>36</v>
      </c>
      <c r="H7599" s="1" t="s">
        <v>29</v>
      </c>
      <c r="I7599" s="1" t="str">
        <f ca="1">IFERROR(__xludf.DUMMYFUNCTION("GOOGLETRANSLATE(F7599, ""auto"", ""en"")
"),"Not very large, maneuverable, easy to move around the apartment, easy to clean, relatively quiet")</f>
        <v>Not very large, maneuverable, easy to move around the apartment, easy to clean, relatively quiet</v>
      </c>
    </row>
    <row r="7600" spans="1:9" x14ac:dyDescent="0.3">
      <c r="A7600" s="1" t="s">
        <v>61</v>
      </c>
      <c r="B7600" s="1" t="s">
        <v>977</v>
      </c>
      <c r="C7600" s="1" t="s">
        <v>85</v>
      </c>
      <c r="D7600" s="1" t="s">
        <v>86</v>
      </c>
      <c r="E7600" s="1" t="s">
        <v>9060</v>
      </c>
      <c r="F7600" s="1" t="s">
        <v>11671</v>
      </c>
      <c r="G7600" s="1" t="s">
        <v>36</v>
      </c>
      <c r="H7600" s="1" t="s">
        <v>29</v>
      </c>
      <c r="I7600" s="1" t="str">
        <f ca="1">IFERROR(__xludf.DUMMYFUNCTION("GOOGLETRANSLATE(F7600, ""auto"", ""en"")
"),"Many thanks to mvideo consultants! They know what they are saying! They recommended this blender, I am very glad that I listened to the advice and chose this one. It grinds everything I put in there. Cape into minced meat, ice into snow, and cocktails... "&amp;"I love smoothies) compared other blenders with the seller, the connecting parts are everywhere so that I would be afraid to put something harder than tomatoes in them, this one has a serious metal connection and at the same time the power is high! I was p"&amp;"leased with the purchase! I recommend it to everyone!")</f>
        <v>Many thanks to mvideo consultants! They know what they are saying! They recommended this blender, I am very glad that I listened to the advice and chose this one. It grinds everything I put in there. Cape into minced meat, ice into snow, and cocktails... I love smoothies) compared other blenders with the seller, the connecting parts are everywhere so that I would be afraid to put something harder than tomatoes in them, this one has a serious metal connection and at the same time the power is high! I was pleased with the purchase! I recommend it to everyone!</v>
      </c>
    </row>
    <row r="7601" spans="1:9" x14ac:dyDescent="0.3">
      <c r="A7601" s="1" t="s">
        <v>61</v>
      </c>
      <c r="B7601" s="1" t="s">
        <v>977</v>
      </c>
      <c r="C7601" s="1" t="s">
        <v>101</v>
      </c>
      <c r="D7601" s="1" t="s">
        <v>545</v>
      </c>
      <c r="E7601" s="1" t="s">
        <v>7720</v>
      </c>
      <c r="F7601" s="1" t="s">
        <v>11672</v>
      </c>
      <c r="G7601" s="1" t="s">
        <v>36</v>
      </c>
      <c r="H7601" s="1" t="s">
        <v>29</v>
      </c>
      <c r="I7601" s="1" t="str">
        <f ca="1">IFERROR(__xludf.DUMMYFUNCTION("GOOGLETRANSLATE(F7601, ""auto"", ""en"")
"),"I've been using this blender for almost a year. It works great, I’m especially pleased with its capabilities - practically a mini-harvester, the only criticism is that the button is not very convenient; if you use it for a long time, your finger starts to"&amp;" hurt, but overall it’s a great thing!")</f>
        <v>I've been using this blender for almost a year. It works great, I’m especially pleased with its capabilities - practically a mini-harvester, the only criticism is that the button is not very convenient; if you use it for a long time, your finger starts to hurt, but overall it’s a great thing!</v>
      </c>
    </row>
    <row r="7602" spans="1:9" x14ac:dyDescent="0.3">
      <c r="A7602" s="1" t="s">
        <v>67</v>
      </c>
      <c r="B7602" s="1" t="s">
        <v>68</v>
      </c>
      <c r="C7602" s="1" t="s">
        <v>69</v>
      </c>
      <c r="D7602" s="1" t="s">
        <v>1520</v>
      </c>
      <c r="E7602" s="1" t="s">
        <v>511</v>
      </c>
      <c r="F7602" s="1" t="s">
        <v>11673</v>
      </c>
      <c r="G7602" s="1" t="s">
        <v>28</v>
      </c>
      <c r="H7602" s="1" t="s">
        <v>29</v>
      </c>
      <c r="I7602" s="1" t="str">
        <f ca="1">IFERROR(__xludf.DUMMYFUNCTION("GOOGLETRANSLATE(F7602, ""auto"", ""en"")
"),"We've owned it for six months. The handle is very uncomfortable, we had to get it with rubber pads, but in general it's not bad, although we hardly use the steamer.")</f>
        <v>We've owned it for six months. The handle is very uncomfortable, we had to get it with rubber pads, but in general it's not bad, although we hardly use the steamer.</v>
      </c>
    </row>
    <row r="7603" spans="1:9" x14ac:dyDescent="0.3">
      <c r="A7603" s="1" t="s">
        <v>9</v>
      </c>
      <c r="B7603" s="1" t="s">
        <v>133</v>
      </c>
      <c r="C7603" s="1" t="s">
        <v>588</v>
      </c>
      <c r="D7603" s="1" t="s">
        <v>2217</v>
      </c>
      <c r="E7603" s="1" t="s">
        <v>11674</v>
      </c>
      <c r="F7603" s="1" t="s">
        <v>11675</v>
      </c>
      <c r="G7603" s="1" t="s">
        <v>36</v>
      </c>
      <c r="H7603" s="1" t="s">
        <v>29</v>
      </c>
      <c r="I7603" s="1" t="str">
        <f ca="1">IFERROR(__xludf.DUMMYFUNCTION("GOOGLETRANSLATE(F7603, ""auto"", ""en"")
"),"class design, retractable things, programming on and off by time. cooking signal")</f>
        <v>class design, retractable things, programming on and off by time. cooking signal</v>
      </c>
    </row>
    <row r="7604" spans="1:9" x14ac:dyDescent="0.3">
      <c r="A7604" s="1" t="s">
        <v>95</v>
      </c>
      <c r="B7604" s="1" t="s">
        <v>227</v>
      </c>
      <c r="C7604" s="1" t="s">
        <v>97</v>
      </c>
      <c r="D7604" s="1" t="s">
        <v>308</v>
      </c>
      <c r="E7604" s="1" t="s">
        <v>11360</v>
      </c>
      <c r="F7604" s="1" t="s">
        <v>11676</v>
      </c>
      <c r="G7604" s="1" t="s">
        <v>36</v>
      </c>
      <c r="H7604" s="1" t="s">
        <v>29</v>
      </c>
      <c r="I7604" s="1" t="str">
        <f ca="1">IFERROR(__xludf.DUMMYFUNCTION("GOOGLETRANSLATE(F7604, ""auto"", ""en"")
"),"We are happy children, a 7-year-old child exclaimed for himself and for his older 16-year-old brother, having received this game console as a gift for the New Year! All the guests are delighted - they also dream of such a game console. During the game the"&amp;"re is joy for success and tears for loss. The quality and virtuality are incredible. Lots of games at a discount! Thank you!!!!!!")</f>
        <v>We are happy children, a 7-year-old child exclaimed for himself and for his older 16-year-old brother, having received this game console as a gift for the New Year! All the guests are delighted - they also dream of such a game console. During the game there is joy for success and tears for loss. The quality and virtuality are incredible. Lots of games at a discount! Thank you!!!!!!</v>
      </c>
    </row>
    <row r="7605" spans="1:9" x14ac:dyDescent="0.3">
      <c r="A7605" s="1" t="s">
        <v>149</v>
      </c>
      <c r="B7605" s="1" t="s">
        <v>423</v>
      </c>
      <c r="C7605" s="1" t="s">
        <v>531</v>
      </c>
      <c r="D7605" s="1" t="s">
        <v>12</v>
      </c>
      <c r="E7605" s="1" t="s">
        <v>6606</v>
      </c>
      <c r="F7605" s="1" t="s">
        <v>11677</v>
      </c>
      <c r="G7605" s="1" t="s">
        <v>36</v>
      </c>
      <c r="H7605" s="1" t="s">
        <v>29</v>
      </c>
      <c r="I7605" s="1" t="str">
        <f ca="1">IFERROR(__xludf.DUMMYFUNCTION("GOOGLETRANSLATE(F7605, ""auto"", ""en"")
"),"We have been using it for 3 years now, both for dry and wet cleaning. It is very convenient to wash laminate flooring - no need to sweep first. An apartment of 50 square meters can be cleaned in 30-40 minutes, although you have to add water. Dust does not"&amp;" rise into the air, the air becomes humidified, and there are no unpleasant odors like from a bagged vacuum cleaner. Excellent for removing sand from carpets and walkways. The convenient nozzle fits close to the baseboards, due to which all corners are wa"&amp;"shed out. Suitable for families with small children. The main thing is not to forget to change filters on time; fortunately, M.video now sells inexpensive replacement filter sets.")</f>
        <v>We have been using it for 3 years now, both for dry and wet cleaning. It is very convenient to wash laminate flooring - no need to sweep first. An apartment of 50 square meters can be cleaned in 30-40 minutes, although you have to add water. Dust does not rise into the air, the air becomes humidified, and there are no unpleasant odors like from a bagged vacuum cleaner. Excellent for removing sand from carpets and walkways. The convenient nozzle fits close to the baseboards, due to which all corners are washed out. Suitable for families with small children. The main thing is not to forget to change filters on time; fortunately, M.video now sells inexpensive replacement filter sets.</v>
      </c>
    </row>
    <row r="7606" spans="1:9" x14ac:dyDescent="0.3">
      <c r="A7606" s="1" t="s">
        <v>61</v>
      </c>
      <c r="B7606" s="1" t="s">
        <v>726</v>
      </c>
      <c r="C7606" s="1" t="s">
        <v>146</v>
      </c>
      <c r="D7606" s="1" t="s">
        <v>64</v>
      </c>
      <c r="E7606" s="1" t="s">
        <v>323</v>
      </c>
      <c r="F7606" s="1" t="s">
        <v>11678</v>
      </c>
      <c r="G7606" s="1" t="s">
        <v>1580</v>
      </c>
      <c r="H7606" s="1" t="s">
        <v>29</v>
      </c>
      <c r="I7606" s="1" t="str">
        <f ca="1">IFERROR(__xludf.DUMMYFUNCTION("GOOGLETRANSLATE(F7606, ""auto"", ""en"")
"),"appearance. dispenser")</f>
        <v>appearance. dispenser</v>
      </c>
    </row>
    <row r="7607" spans="1:9" x14ac:dyDescent="0.3">
      <c r="A7607" s="1" t="s">
        <v>206</v>
      </c>
      <c r="B7607" s="1" t="s">
        <v>207</v>
      </c>
      <c r="C7607" s="1" t="s">
        <v>152</v>
      </c>
      <c r="D7607" s="1" t="s">
        <v>280</v>
      </c>
      <c r="E7607" s="1" t="s">
        <v>1678</v>
      </c>
      <c r="F7607" s="1" t="s">
        <v>11679</v>
      </c>
      <c r="G7607" s="1" t="s">
        <v>28</v>
      </c>
      <c r="H7607" s="1" t="s">
        <v>29</v>
      </c>
      <c r="I7607" s="1" t="str">
        <f ca="1">IFERROR(__xludf.DUMMYFUNCTION("GOOGLETRANSLATE(F7607, ""auto"", ""en"")
"),"Good tweeters, but it seemed to me that they were a little quiet. I don’t hear them in the general stream of sound, I need to move the sound forward and turn up the highs all the way, and remove the lows and chatter the sound, then you can hear (feel) the"&amp;"m!!! And the tweeters are not bad! Of course, the fastenings with which they are attached to the racks are very flimsy latches.")</f>
        <v>Good tweeters, but it seemed to me that they were a little quiet. I don’t hear them in the general stream of sound, I need to move the sound forward and turn up the highs all the way, and remove the lows and chatter the sound, then you can hear (feel) them!!! And the tweeters are not bad! Of course, the fastenings with which they are attached to the racks are very flimsy latches.</v>
      </c>
    </row>
    <row r="7608" spans="1:9" x14ac:dyDescent="0.3">
      <c r="A7608" s="1" t="s">
        <v>61</v>
      </c>
      <c r="B7608" s="1" t="s">
        <v>977</v>
      </c>
      <c r="C7608" s="1" t="s">
        <v>101</v>
      </c>
      <c r="D7608" s="1" t="s">
        <v>11680</v>
      </c>
      <c r="E7608" s="1" t="s">
        <v>11681</v>
      </c>
      <c r="F7608" s="1" t="s">
        <v>11682</v>
      </c>
      <c r="G7608" s="1" t="s">
        <v>49</v>
      </c>
      <c r="H7608" s="1" t="s">
        <v>16</v>
      </c>
      <c r="I7608" s="1" t="str">
        <f ca="1">IFERROR(__xludf.DUMMYFUNCTION("GOOGLETRANSLATE(F7608, ""auto"", ""en"")
"),"We bought it, flattered by the functionality, and regretted it! You can't take noname equipment! 3 weeks have passed since the purchase, during this time I have used it 5-6 times with a blender and mixer attachment, but the rest have not gotten around to "&amp;"it. Firstly: it heats up until hot in less than a minute, therefore it is not designed to work for a longer time, therefore it loses its main function. Secondly: it makes a LOT of noise, and the noise is like metal grinding. Thirdly: the whisks are rusty."&amp;" We washed it by hand immediately after use, nothing dried out, we didn’t soak it in water, just with a regular soft foam sponge. Such materials should not come into contact with food, so we will take them back to the store.")</f>
        <v>We bought it, flattered by the functionality, and regretted it! You can't take noname equipment! 3 weeks have passed since the purchase, during this time I have used it 5-6 times with a blender and mixer attachment, but the rest have not gotten around to it. Firstly: it heats up until hot in less than a minute, therefore it is not designed to work for a longer time, therefore it loses its main function. Secondly: it makes a LOT of noise, and the noise is like metal grinding. Thirdly: the whisks are rusty. We washed it by hand immediately after use, nothing dried out, we didn’t soak it in water, just with a regular soft foam sponge. Such materials should not come into contact with food, so we will take them back to the store.</v>
      </c>
    </row>
    <row r="7609" spans="1:9" x14ac:dyDescent="0.3">
      <c r="A7609" s="1" t="s">
        <v>149</v>
      </c>
      <c r="B7609" s="1" t="s">
        <v>155</v>
      </c>
      <c r="C7609" s="1" t="s">
        <v>351</v>
      </c>
      <c r="D7609" s="1" t="s">
        <v>152</v>
      </c>
      <c r="E7609" s="1" t="s">
        <v>3537</v>
      </c>
      <c r="F7609" s="1" t="s">
        <v>11683</v>
      </c>
      <c r="G7609" s="1" t="s">
        <v>28</v>
      </c>
      <c r="H7609" s="1" t="s">
        <v>29</v>
      </c>
      <c r="I7609" s="1" t="str">
        <f ca="1">IFERROR(__xludf.DUMMYFUNCTION("GOOGLETRANSLATE(F7609, ""auto"", ""en"")
"),"I bought it 4 months ago, when it still cost 1990, I chose it based on suction power, and it met all expectations.  I won’t give it a five for one reason - if it were washable HEPA and not removable, it would be a five!")</f>
        <v>I bought it 4 months ago, when it still cost 1990, I chose it based on suction power, and it met all expectations.  I won’t give it a five for one reason - if it were washable HEPA and not removable, it would be a five!</v>
      </c>
    </row>
    <row r="7610" spans="1:9" x14ac:dyDescent="0.3">
      <c r="A7610" s="1" t="s">
        <v>120</v>
      </c>
      <c r="B7610" s="1" t="s">
        <v>256</v>
      </c>
      <c r="C7610" s="1" t="s">
        <v>151</v>
      </c>
      <c r="D7610" s="1" t="s">
        <v>39</v>
      </c>
      <c r="E7610" s="1" t="s">
        <v>1384</v>
      </c>
      <c r="F7610" s="1" t="s">
        <v>11684</v>
      </c>
      <c r="G7610" s="1" t="s">
        <v>36</v>
      </c>
      <c r="H7610" s="1" t="s">
        <v>29</v>
      </c>
      <c r="I7610" s="1" t="str">
        <f ca="1">IFERROR(__xludf.DUMMYFUNCTION("GOOGLETRANSLATE(F7610, ""auto"", ""en"")
"),"The TV is excellent. Picture, sound, everything is fine, menu is clear, so far everything is fine. Does anyone know if it is possible to somehow use the USB port for a flash drive?")</f>
        <v>The TV is excellent. Picture, sound, everything is fine, menu is clear, so far everything is fine. Does anyone know if it is possible to somehow use the USB port for a flash drive?</v>
      </c>
    </row>
    <row r="7611" spans="1:9" x14ac:dyDescent="0.3">
      <c r="A7611" s="1" t="s">
        <v>17</v>
      </c>
      <c r="B7611" s="1" t="s">
        <v>18</v>
      </c>
      <c r="C7611" s="1" t="s">
        <v>19</v>
      </c>
      <c r="D7611" s="1" t="s">
        <v>12</v>
      </c>
      <c r="E7611" s="1" t="s">
        <v>1651</v>
      </c>
      <c r="F7611" s="1" t="s">
        <v>11685</v>
      </c>
      <c r="G7611" s="1" t="s">
        <v>36</v>
      </c>
      <c r="H7611" s="1" t="s">
        <v>29</v>
      </c>
      <c r="I7611" s="1" t="str">
        <f ca="1">IFERROR(__xludf.DUMMYFUNCTION("GOOGLETRANSLATE(F7611, ""auto"", ""en"")
"),"I’ve been using the machine for 4 months - the washing quality is 5, I’d even like to add a plus!!!   I read the reviews of others and, frankly, smacks of a lack of objectivity in the assessments :-) On purpose, I again went for a consultation to the stor"&amp;"e, where the guys explained it well to me (another thanks to the aerobatics of M.Video) that the machine has a washing class that is tested on “coffee and chocolate” stains - the highest class A, which Ariston guarantees the complete removal of such persi"&amp;"stent stains with a normal program, and the test itself is carried out not by the manufacturer, but by an independent Institute, in my opinion, from Switzerland.   So, if the quality of the wash did not correspond to what was declared, you had to contact "&amp;"the service - suddenly, the program itself was not doing something correctly, and not “suffer for 2 years” and watch how “parents” have a machine with the same washing class! I get a “DIFFERENT” result! :-)))")</f>
        <v>I’ve been using the machine for 4 months - the washing quality is 5, I’d even like to add a plus!!!   I read the reviews of others and, frankly, smacks of a lack of objectivity in the assessments :-) On purpose, I again went for a consultation to the store, where the guys explained it well to me (another thanks to the aerobatics of M.Video) that the machine has a washing class that is tested on “coffee and chocolate” stains - the highest class A, which Ariston guarantees the complete removal of such persistent stains with a normal program, and the test itself is carried out not by the manufacturer, but by an independent Institute, in my opinion, from Switzerland.   So, if the quality of the wash did not correspond to what was declared, you had to contact the service - suddenly, the program itself was not doing something correctly, and not “suffer for 2 years” and watch how “parents” have a machine with the same washing class! I get a “DIFFERENT” result! :-)))</v>
      </c>
    </row>
    <row r="7612" spans="1:9" x14ac:dyDescent="0.3">
      <c r="A7612" s="1" t="s">
        <v>9</v>
      </c>
      <c r="B7612" s="1" t="s">
        <v>874</v>
      </c>
      <c r="C7612" s="1" t="s">
        <v>588</v>
      </c>
      <c r="D7612" s="1" t="s">
        <v>282</v>
      </c>
      <c r="E7612" s="1" t="s">
        <v>5879</v>
      </c>
      <c r="F7612" s="1" t="s">
        <v>11686</v>
      </c>
      <c r="G7612" s="1" t="s">
        <v>36</v>
      </c>
      <c r="H7612" s="1" t="s">
        <v>29</v>
      </c>
      <c r="I7612" s="1" t="str">
        <f ca="1">IFERROR(__xludf.DUMMYFUNCTION("GOOGLETRANSLATE(F7612, ""auto"", ""en"")
"),"Alexandra, for your purposes it is necessary to consider an independent built-in panel and an independent built-in oven, and this set consists of interconnected electrical appliances. hob and oven, the control knobs for the hob burners are located on the "&amp;"oven control panel.")</f>
        <v>Alexandra, for your purposes it is necessary to consider an independent built-in panel and an independent built-in oven, and this set consists of interconnected electrical appliances. hob and oven, the control knobs for the hob burners are located on the oven control panel.</v>
      </c>
    </row>
    <row r="7613" spans="1:9" x14ac:dyDescent="0.3">
      <c r="A7613" s="1" t="s">
        <v>17</v>
      </c>
      <c r="B7613" s="1" t="s">
        <v>18</v>
      </c>
      <c r="C7613" s="1" t="s">
        <v>151</v>
      </c>
      <c r="D7613" s="1" t="s">
        <v>521</v>
      </c>
      <c r="E7613" s="1" t="s">
        <v>1181</v>
      </c>
      <c r="F7613" s="1" t="s">
        <v>11687</v>
      </c>
      <c r="G7613" s="1" t="s">
        <v>36</v>
      </c>
      <c r="H7613" s="1" t="s">
        <v>29</v>
      </c>
      <c r="I7613" s="1" t="str">
        <f ca="1">IFERROR(__xludf.DUMMYFUNCTION("GOOGLETRANSLATE(F7613, ""auto"", ""en"")
"),"Agree, there are no silent washing machines, but this one is practically inaudible!!! Even being in another room, you have to listen closely to see if it’s working. It washes amazingly! In general, a high-quality and decent washing machine. I think many w"&amp;"ill agree with me. I recommend it, the whole family loves it!")</f>
        <v>Agree, there are no silent washing machines, but this one is practically inaudible!!! Even being in another room, you have to listen closely to see if it’s working. It washes amazingly! In general, a high-quality and decent washing machine. I think many will agree with me. I recommend it, the whole family loves it!</v>
      </c>
    </row>
    <row r="7614" spans="1:9" x14ac:dyDescent="0.3">
      <c r="A7614" s="1" t="s">
        <v>9</v>
      </c>
      <c r="B7614" s="1" t="s">
        <v>10</v>
      </c>
      <c r="C7614" s="1" t="s">
        <v>3438</v>
      </c>
      <c r="D7614" s="1" t="s">
        <v>305</v>
      </c>
      <c r="E7614" s="1" t="s">
        <v>1510</v>
      </c>
      <c r="F7614" s="1" t="s">
        <v>11688</v>
      </c>
      <c r="G7614" s="1" t="s">
        <v>36</v>
      </c>
      <c r="H7614" s="1" t="s">
        <v>29</v>
      </c>
      <c r="I7614" s="1" t="str">
        <f ca="1">IFERROR(__xludf.DUMMYFUNCTION("GOOGLETRANSLATE(F7614, ""auto"", ""en"")
"),"Excellent hood, I use it in air exhaust mode. Quite pleased with the hood")</f>
        <v>Excellent hood, I use it in air exhaust mode. Quite pleased with the hood</v>
      </c>
    </row>
    <row r="7615" spans="1:9" x14ac:dyDescent="0.3">
      <c r="A7615" s="1" t="s">
        <v>211</v>
      </c>
      <c r="B7615" s="1" t="s">
        <v>212</v>
      </c>
      <c r="C7615" s="1" t="s">
        <v>63</v>
      </c>
      <c r="D7615" s="1" t="s">
        <v>11689</v>
      </c>
      <c r="E7615" s="1" t="s">
        <v>5222</v>
      </c>
      <c r="F7615" s="1" t="s">
        <v>11690</v>
      </c>
      <c r="G7615" s="1" t="s">
        <v>36</v>
      </c>
      <c r="H7615" s="1" t="s">
        <v>29</v>
      </c>
      <c r="I7615" s="1" t="str">
        <f ca="1">IFERROR(__xludf.DUMMYFUNCTION("GOOGLETRANSLATE(F7615, ""auto"", ""en"")
"),"Dear girls, whose hair dryer overheats after a year and a half, and so on, the problem is not at all in the brand of the hair dryer itself, and whether it is good or bad. You just need to clean it, capturing air, it also takes dust with it, the dust settl"&amp;"es on the filter and draws in air. It simply becomes difficult for him, so he turns off, this is a solvable problem, and you say that the hair dryer is bad...")</f>
        <v>Dear girls, whose hair dryer overheats after a year and a half, and so on, the problem is not at all in the brand of the hair dryer itself, and whether it is good or bad. You just need to clean it, capturing air, it also takes dust with it, the dust settles on the filter and draws in air. It simply becomes difficult for him, so he turns off, this is a solvable problem, and you say that the hair dryer is bad...</v>
      </c>
    </row>
    <row r="7616" spans="1:9" x14ac:dyDescent="0.3">
      <c r="A7616" s="1" t="s">
        <v>9</v>
      </c>
      <c r="B7616" s="1" t="s">
        <v>10</v>
      </c>
      <c r="C7616" s="1" t="s">
        <v>407</v>
      </c>
      <c r="D7616" s="1" t="s">
        <v>6814</v>
      </c>
      <c r="E7616" s="1" t="s">
        <v>1553</v>
      </c>
      <c r="F7616" s="1" t="s">
        <v>11691</v>
      </c>
      <c r="G7616" s="1" t="s">
        <v>36</v>
      </c>
      <c r="H7616" s="1" t="s">
        <v>29</v>
      </c>
      <c r="I7616" s="1" t="str">
        <f ca="1">IFERROR(__xludf.DUMMYFUNCTION("GOOGLETRANSLATE(F7616, ""auto"", ""en"")
"),"It’s a good hood, it washes really well. In addition, we bought Optima grease cleaner, sprayed the hood mesh and immediately washed it with hot water - the hood is like new! It eliminates odors well, it’s noisy at high speed, but it doesn’t interfere at a"&amp;"ll. As for the buttons and height, it depends on how high you hang it, I’m 160 cm tall. There are no problems with that at all! It’s a great model! I recommend it!")</f>
        <v>It’s a good hood, it washes really well. In addition, we bought Optima grease cleaner, sprayed the hood mesh and immediately washed it with hot water - the hood is like new! It eliminates odors well, it’s noisy at high speed, but it doesn’t interfere at all. As for the buttons and height, it depends on how high you hang it, I’m 160 cm tall. There are no problems with that at all! It’s a great model! I recommend it!</v>
      </c>
    </row>
    <row r="7617" spans="1:9" x14ac:dyDescent="0.3">
      <c r="A7617" s="1" t="s">
        <v>211</v>
      </c>
      <c r="B7617" s="1" t="s">
        <v>212</v>
      </c>
      <c r="C7617" s="1" t="s">
        <v>381</v>
      </c>
      <c r="D7617" s="1" t="s">
        <v>653</v>
      </c>
      <c r="E7617" s="1" t="s">
        <v>2110</v>
      </c>
      <c r="F7617" s="1" t="s">
        <v>11692</v>
      </c>
      <c r="G7617" s="1" t="s">
        <v>28</v>
      </c>
      <c r="H7617" s="1" t="s">
        <v>29</v>
      </c>
      <c r="I7617" s="1" t="str">
        <f ca="1">IFERROR(__xludf.DUMMYFUNCTION("GOOGLETRANSLATE(F7617, ""auto"", ""en"")
"),"I bought them about 7 years ago. They work great to this day, but take a long time to heat up. I got the hang of it - I put them on to warm up and go about my business for about 10 minutes, then I curl my hair.")</f>
        <v>I bought them about 7 years ago. They work great to this day, but take a long time to heat up. I got the hang of it - I put them on to warm up and go about my business for about 10 minutes, then I curl my hair.</v>
      </c>
    </row>
    <row r="7618" spans="1:9" x14ac:dyDescent="0.3">
      <c r="A7618" s="1" t="s">
        <v>37</v>
      </c>
      <c r="B7618" s="1" t="s">
        <v>536</v>
      </c>
      <c r="C7618" s="1" t="s">
        <v>537</v>
      </c>
      <c r="D7618" s="1" t="s">
        <v>305</v>
      </c>
      <c r="E7618" s="1" t="s">
        <v>191</v>
      </c>
      <c r="F7618" s="1" t="s">
        <v>11693</v>
      </c>
      <c r="G7618" s="1" t="s">
        <v>36</v>
      </c>
      <c r="H7618" s="1" t="s">
        <v>29</v>
      </c>
      <c r="I7618" s="1" t="str">
        <f ca="1">IFERROR(__xludf.DUMMYFUNCTION("GOOGLETRANSLATE(F7618, ""auto"", ""en"")
"),"This communicator is the best I have used! A real workhorse. The device is so good and easy to use that the lack of a WEB camera is really annoying. However, even with this disadvantage, it is difficult to find something better. I have already bought thre"&amp;"e pieces, one for myself and two for gifts.")</f>
        <v>This communicator is the best I have used! A real workhorse. The device is so good and easy to use that the lack of a WEB camera is really annoying. However, even with this disadvantage, it is difficult to find something better. I have already bought three pieces, one for myself and two for gifts.</v>
      </c>
    </row>
    <row r="7619" spans="1:9" x14ac:dyDescent="0.3">
      <c r="A7619" s="1" t="s">
        <v>61</v>
      </c>
      <c r="B7619" s="1" t="s">
        <v>318</v>
      </c>
      <c r="C7619" s="1" t="s">
        <v>63</v>
      </c>
      <c r="D7619" s="1" t="s">
        <v>308</v>
      </c>
      <c r="E7619" s="1" t="s">
        <v>481</v>
      </c>
      <c r="F7619" s="1" t="s">
        <v>11694</v>
      </c>
      <c r="G7619" s="1" t="s">
        <v>49</v>
      </c>
      <c r="H7619" s="1" t="s">
        <v>16</v>
      </c>
      <c r="I7619" s="1" t="str">
        <f ca="1">IFERROR(__xludf.DUMMYFUNCTION("GOOGLETRANSLATE(F7619, ""auto"", ""en"")
"),"Disgusting kettle! It is not possible to pour water into a cup normally, everything around it is poured, apparently it was not designed correctly. After six months, the lid no longer fit tightly, and the kettle did not turn off on its own, so I had to put"&amp;" something heavy on top. Thank God, this winter they forgot to pour water out of him at the dacha and he “committed suicide”! Hooray!!!     Yesterday I bought a new kettle and was shocked that this model had not yet been taken off sale, it was showing off"&amp;", like a toadstool, on the shelves, it was a disgrace!")</f>
        <v>Disgusting kettle! It is not possible to pour water into a cup normally, everything around it is poured, apparently it was not designed correctly. After six months, the lid no longer fit tightly, and the kettle did not turn off on its own, so I had to put something heavy on top. Thank God, this winter they forgot to pour water out of him at the dacha and he “committed suicide”! Hooray!!!     Yesterday I bought a new kettle and was shocked that this model had not yet been taken off sale, it was showing off, like a toadstool, on the shelves, it was a disgrace!</v>
      </c>
    </row>
    <row r="7620" spans="1:9" x14ac:dyDescent="0.3">
      <c r="A7620" s="1" t="s">
        <v>95</v>
      </c>
      <c r="B7620" s="1" t="s">
        <v>96</v>
      </c>
      <c r="C7620" s="1" t="s">
        <v>97</v>
      </c>
      <c r="D7620" s="1" t="s">
        <v>81</v>
      </c>
      <c r="E7620" s="1" t="s">
        <v>8648</v>
      </c>
      <c r="F7620" s="1" t="s">
        <v>11695</v>
      </c>
      <c r="G7620" s="1" t="s">
        <v>28</v>
      </c>
      <c r="H7620" s="1" t="s">
        <v>29</v>
      </c>
      <c r="I7620" s="1" t="str">
        <f ca="1">IFERROR(__xludf.DUMMYFUNCTION("GOOGLETRANSLATE(F7620, ""auto"", ""en"")
"),"I took Vita 1108 in a gift set from KillZone. A day later a dead pixel appeared. Today I will try to exchange it for a similar price. And the machine is super, it can be used in different directions (Skype, chats, videos, maps)")</f>
        <v>I took Vita 1108 in a gift set from KillZone. A day later a dead pixel appeared. Today I will try to exchange it for a similar price. And the machine is super, it can be used in different directions (Skype, chats, videos, maps)</v>
      </c>
    </row>
    <row r="7621" spans="1:9" x14ac:dyDescent="0.3">
      <c r="A7621" s="1" t="s">
        <v>211</v>
      </c>
      <c r="B7621" s="1" t="s">
        <v>212</v>
      </c>
      <c r="C7621" s="1" t="s">
        <v>381</v>
      </c>
      <c r="D7621" s="1" t="s">
        <v>682</v>
      </c>
      <c r="E7621" s="1" t="s">
        <v>1352</v>
      </c>
      <c r="F7621" s="1" t="s">
        <v>11696</v>
      </c>
      <c r="G7621" s="1" t="s">
        <v>36</v>
      </c>
      <c r="H7621" s="1" t="s">
        <v>29</v>
      </c>
      <c r="I7621" s="1" t="str">
        <f ca="1">IFERROR(__xludf.DUMMYFUNCTION("GOOGLETRANSLATE(F7621, ""auto"", ""en"")
"),"I bought it a long time ago, but it still works great, I can’t say anything bad about this thing. I recommend it to everyone!")</f>
        <v>I bought it a long time ago, but it still works great, I can’t say anything bad about this thing. I recommend it to everyone!</v>
      </c>
    </row>
    <row r="7622" spans="1:9" x14ac:dyDescent="0.3">
      <c r="A7622" s="1" t="s">
        <v>1119</v>
      </c>
      <c r="B7622" s="1" t="s">
        <v>1120</v>
      </c>
      <c r="C7622" s="1" t="s">
        <v>151</v>
      </c>
      <c r="D7622" s="1" t="s">
        <v>52</v>
      </c>
      <c r="E7622" s="1" t="s">
        <v>1723</v>
      </c>
      <c r="F7622" s="1" t="s">
        <v>11697</v>
      </c>
      <c r="G7622" s="1" t="s">
        <v>28</v>
      </c>
      <c r="H7622" s="1" t="s">
        <v>29</v>
      </c>
      <c r="I7622" s="1" t="str">
        <f ca="1">IFERROR(__xludf.DUMMYFUNCTION("GOOGLETRANSLATE(F7622, ""auto"", ""en"")
"),"Today I bought exactly the same camera Samsung SMX-C10 Red, tested it all day and I was happy with everything about it, only there is one thing... I set it to the highest resolution and 16:9 - everything was ok, the shooting went great, as I wanted and ag"&amp;"ain but... When I uploaded the video to (the computer) and started watching it, I got this picture, but I shot it at 16:9 for some reason it shows 4:3 and everything is stretched upward (the person’s head turned out to be egg) although 16:9 should be norm"&amp;"al. That's the problem. Otherwise I like what I wanted. PS: I always write without mistakes ;)))")</f>
        <v>Today I bought exactly the same camera Samsung SMX-C10 Red, tested it all day and I was happy with everything about it, only there is one thing... I set it to the highest resolution and 16:9 - everything was ok, the shooting went great, as I wanted and again but... When I uploaded the video to (the computer) and started watching it, I got this picture, but I shot it at 16:9 for some reason it shows 4:3 and everything is stretched upward (the person’s head turned out to be egg) although 16:9 should be normal. That's the problem. Otherwise I like what I wanted. PS: I always write without mistakes ;)))</v>
      </c>
    </row>
    <row r="7623" spans="1:9" x14ac:dyDescent="0.3">
      <c r="A7623" s="1" t="s">
        <v>120</v>
      </c>
      <c r="B7623" s="1" t="s">
        <v>121</v>
      </c>
      <c r="C7623" s="1" t="s">
        <v>658</v>
      </c>
      <c r="D7623" s="1" t="s">
        <v>280</v>
      </c>
      <c r="E7623" s="1" t="s">
        <v>460</v>
      </c>
      <c r="F7623" s="1" t="s">
        <v>11698</v>
      </c>
      <c r="G7623" s="1" t="s">
        <v>36</v>
      </c>
      <c r="H7623" s="1" t="s">
        <v>29</v>
      </c>
      <c r="I7623" s="1" t="str">
        <f ca="1">IFERROR(__xludf.DUMMYFUNCTION("GOOGLETRANSLATE(F7623, ""auto"", ""en"")
"),"A normal TV for this price, although I could have thought faster when choosing a channel. In all other respects, I'm happy with it!")</f>
        <v>A normal TV for this price, although I could have thought faster when choosing a channel. In all other respects, I'm happy with it!</v>
      </c>
    </row>
    <row r="7624" spans="1:9" x14ac:dyDescent="0.3">
      <c r="A7624" s="1" t="s">
        <v>30</v>
      </c>
      <c r="B7624" s="1" t="s">
        <v>50</v>
      </c>
      <c r="C7624" s="1" t="s">
        <v>377</v>
      </c>
      <c r="D7624" s="1" t="s">
        <v>171</v>
      </c>
      <c r="E7624" s="1" t="s">
        <v>8177</v>
      </c>
      <c r="F7624" s="1" t="s">
        <v>11699</v>
      </c>
      <c r="G7624" s="1" t="s">
        <v>36</v>
      </c>
      <c r="H7624" s="1" t="s">
        <v>29</v>
      </c>
      <c r="I7624" s="1" t="str">
        <f ca="1">IFERROR(__xludf.DUMMYFUNCTION("GOOGLETRANSLATE(F7624, ""auto"", ""en"")
"),"A friend bought one of these. Considered. I really liked it. The location and size of the keys means that the touchpad has a shutdown button right on it. The sound is quite good for laptop speakers. When it opens, the screen seems to move back - that is, "&amp;"it is “correctly” positioned. We tried applications, the Internet, movies - everything works.   Disadvantage: the viewing angle of the screen is slightly narrowed when compared with conventional LCD monitors.  Advantages: besides those listed - a large 17"&amp;""" screen! ""Big"" for such a price-package package, of course.)) I'm not a fan of laptops at all - I prefer full-fledged gaming computers. But if I take a laptop for the Internet and movies, this is definitely the one.")</f>
        <v>A friend bought one of these. Considered. I really liked it. The location and size of the keys means that the touchpad has a shutdown button right on it. The sound is quite good for laptop speakers. When it opens, the screen seems to move back - that is, it is “correctly” positioned. We tried applications, the Internet, movies - everything works.   Disadvantage: the viewing angle of the screen is slightly narrowed when compared with conventional LCD monitors.  Advantages: besides those listed - a large 17" screen! "Big" for such a price-package package, of course.)) I'm not a fan of laptops at all - I prefer full-fledged gaming computers. But if I take a laptop for the Internet and movies, this is definitely the one.</v>
      </c>
    </row>
    <row r="7625" spans="1:9" x14ac:dyDescent="0.3">
      <c r="A7625" s="1" t="s">
        <v>30</v>
      </c>
      <c r="B7625" s="1" t="s">
        <v>50</v>
      </c>
      <c r="C7625" s="1" t="s">
        <v>189</v>
      </c>
      <c r="D7625" s="1" t="s">
        <v>39</v>
      </c>
      <c r="E7625" s="1" t="s">
        <v>225</v>
      </c>
      <c r="F7625" s="1" t="s">
        <v>11700</v>
      </c>
      <c r="G7625" s="1" t="s">
        <v>28</v>
      </c>
      <c r="H7625" s="1" t="s">
        <v>29</v>
      </c>
      <c r="I7625" s="1" t="str">
        <f ca="1">IFERROR(__xludf.DUMMYFUNCTION("GOOGLETRANSLATE(F7625, ""auto"", ""en"")
"),"The laptop is quite good, but there are small shortcomings, and these are due to errors in the specifications both on the M-Video website and many others: 1. This model does not have Bluetooth, although you can find out by looking at the sticker under the"&amp;" keyboard, but the seller and the website assure that it should be there?  2. USB 3.0 port one and 2 USB 2.0 on the site it says 3 USB 3.0 So, dear employees, correct the errors in the specification, but it’s quite a good laptop")</f>
        <v>The laptop is quite good, but there are small shortcomings, and these are due to errors in the specifications both on the M-Video website and many others: 1. This model does not have Bluetooth, although you can find out by looking at the sticker under the keyboard, but the seller and the website assure that it should be there?  2. USB 3.0 port one and 2 USB 2.0 on the site it says 3 USB 3.0 So, dear employees, correct the errors in the specification, but it’s quite a good laptop</v>
      </c>
    </row>
    <row r="7626" spans="1:9" x14ac:dyDescent="0.3">
      <c r="A7626" s="1" t="s">
        <v>169</v>
      </c>
      <c r="B7626" s="1" t="s">
        <v>170</v>
      </c>
      <c r="C7626" s="1" t="s">
        <v>193</v>
      </c>
      <c r="D7626" s="1" t="s">
        <v>916</v>
      </c>
      <c r="E7626" s="1" t="s">
        <v>3203</v>
      </c>
      <c r="F7626" s="1" t="s">
        <v>11701</v>
      </c>
      <c r="G7626" s="1" t="s">
        <v>36</v>
      </c>
      <c r="H7626" s="1" t="s">
        <v>29</v>
      </c>
      <c r="I7626" s="1" t="str">
        <f ca="1">IFERROR(__xludf.DUMMYFUNCTION("GOOGLETRANSLATE(F7626, ""auto"", ""en"")
"),"Excellent sound quality, durable body. I recommend!")</f>
        <v>Excellent sound quality, durable body. I recommend!</v>
      </c>
    </row>
    <row r="7627" spans="1:9" x14ac:dyDescent="0.3">
      <c r="A7627" s="1" t="s">
        <v>30</v>
      </c>
      <c r="B7627" s="1" t="s">
        <v>50</v>
      </c>
      <c r="C7627" s="1" t="s">
        <v>32</v>
      </c>
      <c r="D7627" s="1" t="s">
        <v>3996</v>
      </c>
      <c r="E7627" s="1" t="s">
        <v>800</v>
      </c>
      <c r="F7627" s="1" t="s">
        <v>11702</v>
      </c>
      <c r="G7627" s="1" t="s">
        <v>36</v>
      </c>
      <c r="H7627" s="1" t="s">
        <v>29</v>
      </c>
      <c r="I7627" s="1" t="str">
        <f ca="1">IFERROR(__xludf.DUMMYFUNCTION("GOOGLETRANSLATE(F7627, ""auto"", ""en"")
"),"I’ve been using it for 2 months already!, no complaints, everything flies,.... a real alternative to a stationary PC, enough power!.....Very satisfied!!!...I recommend!!!")</f>
        <v>I’ve been using it for 2 months already!, no complaints, everything flies,.... a real alternative to a stationary PC, enough power!.....Very satisfied!!!...I recommend!!!</v>
      </c>
    </row>
    <row r="7628" spans="1:9" x14ac:dyDescent="0.3">
      <c r="A7628" s="1" t="s">
        <v>67</v>
      </c>
      <c r="B7628" s="1" t="s">
        <v>68</v>
      </c>
      <c r="C7628" s="1" t="s">
        <v>101</v>
      </c>
      <c r="D7628" s="1" t="s">
        <v>305</v>
      </c>
      <c r="E7628" s="1" t="s">
        <v>6569</v>
      </c>
      <c r="F7628" s="1" t="s">
        <v>11703</v>
      </c>
      <c r="G7628" s="1" t="s">
        <v>36</v>
      </c>
      <c r="H7628" s="1" t="s">
        <v>29</v>
      </c>
      <c r="I7628" s="1" t="str">
        <f ca="1">IFERROR(__xludf.DUMMYFUNCTION("GOOGLETRANSLATE(F7628, ""auto"", ""en"")
"),"price, compactness and quality!")</f>
        <v>price, compactness and quality!</v>
      </c>
    </row>
    <row r="7629" spans="1:9" x14ac:dyDescent="0.3">
      <c r="A7629" s="1" t="s">
        <v>169</v>
      </c>
      <c r="B7629" s="1" t="s">
        <v>170</v>
      </c>
      <c r="C7629" s="1" t="s">
        <v>69</v>
      </c>
      <c r="D7629" s="1" t="s">
        <v>10730</v>
      </c>
      <c r="E7629" s="1" t="s">
        <v>4335</v>
      </c>
      <c r="F7629" s="1" t="s">
        <v>11704</v>
      </c>
      <c r="G7629" s="1" t="s">
        <v>15</v>
      </c>
      <c r="H7629" s="1" t="s">
        <v>16</v>
      </c>
      <c r="I7629" s="1" t="str">
        <f ca="1">IFERROR(__xludf.DUMMYFUNCTION("GOOGLETRANSLATE(F7629, ""auto"", ""en"")
"),"From a distance of 3-4 meters, noise appears, which is especially noticeable when watching TV, during pauses (of which there are plenty in films). When listening to music it is hardly noticeable.  To verify this, you can connect to any device on which you"&amp;" need to pause playback or, if on a TV, use the “MUTE” button, and, turning the headphone volume to maximum, move away to the specified distance.")</f>
        <v>From a distance of 3-4 meters, noise appears, which is especially noticeable when watching TV, during pauses (of which there are plenty in films). When listening to music it is hardly noticeable.  To verify this, you can connect to any device on which you need to pause playback or, if on a TV, use the “MUTE” button, and, turning the headphone volume to maximum, move away to the specified distance.</v>
      </c>
    </row>
    <row r="7630" spans="1:9" x14ac:dyDescent="0.3">
      <c r="A7630" s="1" t="s">
        <v>211</v>
      </c>
      <c r="B7630" s="1" t="s">
        <v>265</v>
      </c>
      <c r="C7630" s="1" t="s">
        <v>1591</v>
      </c>
      <c r="D7630" s="1" t="s">
        <v>565</v>
      </c>
      <c r="E7630" s="1" t="s">
        <v>4713</v>
      </c>
      <c r="F7630" s="1" t="s">
        <v>11705</v>
      </c>
      <c r="G7630" s="1" t="s">
        <v>36</v>
      </c>
      <c r="H7630" s="1" t="s">
        <v>29</v>
      </c>
      <c r="I7630" s="1" t="str">
        <f ca="1">IFERROR(__xludf.DUMMYFUNCTION("GOOGLETRANSLATE(F7630, ""auto"", ""en"")
"),"My husband was very pleased with the purchase. Cuts great. We have been using it for a very long time and everyone is happy.")</f>
        <v>My husband was very pleased with the purchase. Cuts great. We have been using it for a very long time and everyone is happy.</v>
      </c>
    </row>
    <row r="7631" spans="1:9" x14ac:dyDescent="0.3">
      <c r="A7631" s="1" t="s">
        <v>43</v>
      </c>
      <c r="B7631" s="1" t="s">
        <v>44</v>
      </c>
      <c r="C7631" s="1" t="s">
        <v>101</v>
      </c>
      <c r="D7631" s="1" t="s">
        <v>11706</v>
      </c>
      <c r="E7631" s="1" t="s">
        <v>3792</v>
      </c>
      <c r="F7631" s="1" t="s">
        <v>11707</v>
      </c>
      <c r="G7631" s="1" t="s">
        <v>36</v>
      </c>
      <c r="H7631" s="1" t="s">
        <v>29</v>
      </c>
      <c r="I7631" s="1" t="str">
        <f ca="1">IFERROR(__xludf.DUMMYFUNCTION("GOOGLETRANSLATE(F7631, ""auto"", ""en"")
"),"1. Pros: it blows great, for the money 2. I haven’t found any cons yet")</f>
        <v>1. Pros: it blows great, for the money 2. I haven’t found any cons yet</v>
      </c>
    </row>
    <row r="7632" spans="1:9" x14ac:dyDescent="0.3">
      <c r="A7632" s="1" t="s">
        <v>67</v>
      </c>
      <c r="B7632" s="1" t="s">
        <v>68</v>
      </c>
      <c r="C7632" s="1" t="s">
        <v>213</v>
      </c>
      <c r="D7632" s="1" t="s">
        <v>280</v>
      </c>
      <c r="E7632" s="1" t="s">
        <v>994</v>
      </c>
      <c r="F7632" s="1" t="s">
        <v>11708</v>
      </c>
      <c r="G7632" s="1" t="s">
        <v>36</v>
      </c>
      <c r="H7632" s="1" t="s">
        <v>29</v>
      </c>
      <c r="I7632" s="1" t="str">
        <f ca="1">IFERROR(__xludf.DUMMYFUNCTION("GOOGLETRANSLATE(F7632, ""auto"", ""en"")
"),"Great iron. Irons, steams, and is ready for use two seconds after switching on. Original color scheme of the case. All other functions for the iron are unnecessary. 5 points")</f>
        <v>Great iron. Irons, steams, and is ready for use two seconds after switching on. Original color scheme of the case. All other functions for the iron are unnecessary. 5 points</v>
      </c>
    </row>
    <row r="7633" spans="1:9" x14ac:dyDescent="0.3">
      <c r="A7633" s="1" t="s">
        <v>211</v>
      </c>
      <c r="B7633" s="1" t="s">
        <v>856</v>
      </c>
      <c r="C7633" s="1" t="s">
        <v>101</v>
      </c>
      <c r="D7633" s="1" t="s">
        <v>633</v>
      </c>
      <c r="E7633" s="1" t="s">
        <v>8680</v>
      </c>
      <c r="F7633" s="1" t="s">
        <v>11709</v>
      </c>
      <c r="G7633" s="1" t="s">
        <v>28</v>
      </c>
      <c r="H7633" s="1" t="s">
        <v>29</v>
      </c>
      <c r="I7633" s="1" t="str">
        <f ca="1">IFERROR(__xludf.DUMMYFUNCTION("GOOGLETRANSLATE(F7633, ""auto"", ""en"")
"),"A compact and useful set, I carry it with me all the time in my purse just in case. This, of course, is not a professional set and you shouldn’t expect the same functionality as in more expensive ones, but for such a price it still has a lot of useful thi"&amp;"ngs and for an easy home manicure-pedicure to keep your nails in decent shape, it’s quite enough.")</f>
        <v>A compact and useful set, I carry it with me all the time in my purse just in case. This, of course, is not a professional set and you shouldn’t expect the same functionality as in more expensive ones, but for such a price it still has a lot of useful things and for an easy home manicure-pedicure to keep your nails in decent shape, it’s quite enough.</v>
      </c>
    </row>
    <row r="7634" spans="1:9" x14ac:dyDescent="0.3">
      <c r="A7634" s="1" t="s">
        <v>61</v>
      </c>
      <c r="B7634" s="1" t="s">
        <v>318</v>
      </c>
      <c r="C7634" s="1" t="s">
        <v>63</v>
      </c>
      <c r="D7634" s="1" t="s">
        <v>2595</v>
      </c>
      <c r="E7634" s="1" t="s">
        <v>11510</v>
      </c>
      <c r="F7634" s="1" t="s">
        <v>11710</v>
      </c>
      <c r="G7634" s="1" t="s">
        <v>49</v>
      </c>
      <c r="H7634" s="1" t="s">
        <v>16</v>
      </c>
      <c r="I7634" s="1" t="str">
        <f ca="1">IFERROR(__xludf.DUMMYFUNCTION("GOOGLETRANSLATE(F7634, ""auto"", ""en"")
"),"The kettle was delivered yesterday. The design is excellent, but today the power button is broken. After reading the reviews above, I realized that this was a factory defect. It's a shame if you have to do an exchange or return at a retail store. The driv"&amp;"e to it is oh-oh-oh..")</f>
        <v>The kettle was delivered yesterday. The design is excellent, but today the power button is broken. After reading the reviews above, I realized that this was a factory defect. It's a shame if you have to do an exchange or return at a retail store. The drive to it is oh-oh-oh..</v>
      </c>
    </row>
    <row r="7635" spans="1:9" x14ac:dyDescent="0.3">
      <c r="A7635" s="1" t="s">
        <v>78</v>
      </c>
      <c r="B7635" s="1" t="s">
        <v>1163</v>
      </c>
      <c r="C7635" s="1" t="s">
        <v>80</v>
      </c>
      <c r="D7635" s="1" t="s">
        <v>7752</v>
      </c>
      <c r="E7635" s="1" t="s">
        <v>1352</v>
      </c>
      <c r="F7635" s="1" t="s">
        <v>11711</v>
      </c>
      <c r="G7635" s="1" t="s">
        <v>36</v>
      </c>
      <c r="H7635" s="1" t="s">
        <v>29</v>
      </c>
      <c r="I7635" s="1" t="str">
        <f ca="1">IFERROR(__xludf.DUMMYFUNCTION("GOOGLETRANSLATE(F7635, ""auto"", ""en"")
"),"For those who just reheat, defrost and cook in a hurry - just perfect! very satisfied!")</f>
        <v>For those who just reheat, defrost and cook in a hurry - just perfect! very satisfied!</v>
      </c>
    </row>
    <row r="7636" spans="1:9" x14ac:dyDescent="0.3">
      <c r="A7636" s="1" t="s">
        <v>120</v>
      </c>
      <c r="B7636" s="1" t="s">
        <v>126</v>
      </c>
      <c r="C7636" s="1" t="s">
        <v>151</v>
      </c>
      <c r="D7636" s="1" t="s">
        <v>114</v>
      </c>
      <c r="E7636" s="1" t="s">
        <v>2038</v>
      </c>
      <c r="F7636" s="1" t="s">
        <v>11712</v>
      </c>
      <c r="G7636" s="1" t="s">
        <v>28</v>
      </c>
      <c r="H7636" s="1" t="s">
        <v>29</v>
      </c>
      <c r="I7636" s="1" t="str">
        <f ca="1">IFERROR(__xludf.DUMMYFUNCTION("GOOGLETRANSLATE(F7636, ""auto"", ""en"")
"),"I bought a TV for my father for his anniversary, he really liked it, he watches it and can’t get enough of it. But the quality of the signal from the satellite is not very clear; if an object is shown nearby, then it’s excellent, but if something is small"&amp;" or recedes into the background, small cubes are visible. And so everything suits me.")</f>
        <v>I bought a TV for my father for his anniversary, he really liked it, he watches it and can’t get enough of it. But the quality of the signal from the satellite is not very clear; if an object is shown nearby, then it’s excellent, but if something is small or recedes into the background, small cubes are visible. And so everything suits me.</v>
      </c>
    </row>
    <row r="7637" spans="1:9" x14ac:dyDescent="0.3">
      <c r="A7637" s="1" t="s">
        <v>67</v>
      </c>
      <c r="B7637" s="1" t="s">
        <v>68</v>
      </c>
      <c r="C7637" s="1" t="s">
        <v>1461</v>
      </c>
      <c r="D7637" s="1" t="s">
        <v>75</v>
      </c>
      <c r="E7637" s="1" t="s">
        <v>128</v>
      </c>
      <c r="F7637" s="1" t="s">
        <v>11713</v>
      </c>
      <c r="G7637" s="1" t="s">
        <v>49</v>
      </c>
      <c r="H7637" s="1" t="s">
        <v>16</v>
      </c>
      <c r="I7637" s="1" t="str">
        <f ca="1">IFERROR(__xludf.DUMMYFUNCTION("GOOGLETRANSLATE(F7637, ""auto"", ""en"")
"),"Yesterday I bought this iron for use at the dacha, today I tried to iron it... it feels like it doesn’t iron at all. I'll go today and try to change it to a more expensive one.")</f>
        <v>Yesterday I bought this iron for use at the dacha, today I tried to iron it... it feels like it doesn’t iron at all. I'll go today and try to change it to a more expensive one.</v>
      </c>
    </row>
    <row r="7638" spans="1:9" x14ac:dyDescent="0.3">
      <c r="A7638" s="1" t="s">
        <v>451</v>
      </c>
      <c r="B7638" s="1" t="s">
        <v>452</v>
      </c>
      <c r="C7638" s="1" t="s">
        <v>453</v>
      </c>
      <c r="D7638" s="1" t="s">
        <v>308</v>
      </c>
      <c r="E7638" s="1" t="s">
        <v>985</v>
      </c>
      <c r="F7638" s="1" t="s">
        <v>11714</v>
      </c>
      <c r="G7638" s="1" t="s">
        <v>36</v>
      </c>
      <c r="H7638" s="1" t="s">
        <v>29</v>
      </c>
      <c r="I7638" s="1" t="str">
        <f ca="1">IFERROR(__xludf.DUMMYFUNCTION("GOOGLETRANSLATE(F7638, ""auto"", ""en"")
"),"Cleans quickly and cleanly - a few minutes and your sweater is like straight from the store!")</f>
        <v>Cleans quickly and cleanly - a few minutes and your sweater is like straight from the store!</v>
      </c>
    </row>
    <row r="7639" spans="1:9" x14ac:dyDescent="0.3">
      <c r="A7639" s="1" t="s">
        <v>169</v>
      </c>
      <c r="B7639" s="1" t="s">
        <v>170</v>
      </c>
      <c r="C7639" s="1" t="s">
        <v>122</v>
      </c>
      <c r="D7639" s="1" t="s">
        <v>46</v>
      </c>
      <c r="E7639" s="1" t="s">
        <v>1109</v>
      </c>
      <c r="F7639" s="1" t="s">
        <v>11715</v>
      </c>
      <c r="G7639" s="1" t="s">
        <v>36</v>
      </c>
      <c r="H7639" s="1" t="s">
        <v>29</v>
      </c>
      <c r="I7639" s="1" t="str">
        <f ca="1">IFERROR(__xludf.DUMMYFUNCTION("GOOGLETRANSLATE(F7639, ""auto"", ""en"")
"),"I fully support it! The headphones are great! When I bought, I was mainly guided by the price; I bought the cheapest ones. I've been using them for about 2 years. I appreciated them when I purchased a Philips SHE3590WT/10 at almost 3 times the price, but "&amp;"I didn’t hear much of a difference. Panasonic RP-HV094GU-K is better!")</f>
        <v>I fully support it! The headphones are great! When I bought, I was mainly guided by the price; I bought the cheapest ones. I've been using them for about 2 years. I appreciated them when I purchased a Philips SHE3590WT/10 at almost 3 times the price, but I didn’t hear much of a difference. Panasonic RP-HV094GU-K is better!</v>
      </c>
    </row>
    <row r="7640" spans="1:9" x14ac:dyDescent="0.3">
      <c r="A7640" s="1" t="s">
        <v>37</v>
      </c>
      <c r="B7640" s="1" t="s">
        <v>38</v>
      </c>
      <c r="C7640" s="1" t="s">
        <v>163</v>
      </c>
      <c r="D7640" s="1" t="s">
        <v>729</v>
      </c>
      <c r="E7640" s="1" t="s">
        <v>750</v>
      </c>
      <c r="F7640" s="1" t="s">
        <v>11716</v>
      </c>
      <c r="G7640" s="1" t="s">
        <v>28</v>
      </c>
      <c r="H7640" s="1" t="s">
        <v>29</v>
      </c>
      <c r="I7640" s="1" t="str">
        <f ca="1">IFERROR(__xludf.DUMMYFUNCTION("GOOGLETRANSLATE(F7640, ""auto"", ""en"")
"),"I'll write briefly. Overall the phone is not bad. It has 1 speaker, it is not very loud, but in your pocket the call will be clearly audible. qwerty keyboard - typing text is convenient and after getting used to it is quite fast, but no more. If you don’t"&amp;" really need this qwerty keyboard and are used to a regular one, then you shouldn’t stop looking at this phone. It would be better to choose, for example, the same n78 + you will save a couple of thousand.")</f>
        <v>I'll write briefly. Overall the phone is not bad. It has 1 speaker, it is not very loud, but in your pocket the call will be clearly audible. qwerty keyboard - typing text is convenient and after getting used to it is quite fast, but no more. If you don’t really need this qwerty keyboard and are used to a regular one, then you shouldn’t stop looking at this phone. It would be better to choose, for example, the same n78 + you will save a couple of thousand.</v>
      </c>
    </row>
    <row r="7641" spans="1:9" x14ac:dyDescent="0.3">
      <c r="A7641" s="1" t="s">
        <v>61</v>
      </c>
      <c r="B7641" s="1" t="s">
        <v>318</v>
      </c>
      <c r="C7641" s="1" t="s">
        <v>101</v>
      </c>
      <c r="D7641" s="1" t="s">
        <v>2764</v>
      </c>
      <c r="E7641" s="1" t="s">
        <v>4490</v>
      </c>
      <c r="F7641" s="1" t="s">
        <v>11717</v>
      </c>
      <c r="G7641" s="1" t="s">
        <v>36</v>
      </c>
      <c r="H7641" s="1" t="s">
        <v>29</v>
      </c>
      <c r="I7641" s="1" t="str">
        <f ca="1">IFERROR(__xludf.DUMMYFUNCTION("GOOGLETRANSLATE(F7641, ""auto"", ""en"")
"),"The teapot is very good, glows with a beautiful blue light. Boils quickly. But it's noisy. I recommend it for a large company.")</f>
        <v>The teapot is very good, glows with a beautiful blue light. Boils quickly. But it's noisy. I recommend it for a large company.</v>
      </c>
    </row>
    <row r="7642" spans="1:9" x14ac:dyDescent="0.3">
      <c r="A7642" s="1" t="s">
        <v>9</v>
      </c>
      <c r="B7642" s="1" t="s">
        <v>133</v>
      </c>
      <c r="C7642" s="1" t="s">
        <v>159</v>
      </c>
      <c r="D7642" s="1" t="s">
        <v>11718</v>
      </c>
      <c r="E7642" s="1" t="s">
        <v>386</v>
      </c>
      <c r="F7642" s="1" t="s">
        <v>11719</v>
      </c>
      <c r="G7642" s="1" t="s">
        <v>36</v>
      </c>
      <c r="H7642" s="1" t="s">
        <v>29</v>
      </c>
      <c r="I7642" s="1" t="str">
        <f ca="1">IFERROR(__xludf.DUMMYFUNCTION("GOOGLETRANSLATE(F7642, ""auto"", ""en"")
"),"I am very pleased with the oven. Beautiful, easy to use, bakes great. Normal price. I recommend it.")</f>
        <v>I am very pleased with the oven. Beautiful, easy to use, bakes great. Normal price. I recommend it.</v>
      </c>
    </row>
    <row r="7643" spans="1:9" x14ac:dyDescent="0.3">
      <c r="A7643" s="1" t="s">
        <v>624</v>
      </c>
      <c r="B7643" s="1" t="s">
        <v>2107</v>
      </c>
      <c r="C7643" s="1" t="s">
        <v>479</v>
      </c>
      <c r="D7643" s="1" t="s">
        <v>208</v>
      </c>
      <c r="E7643" s="1" t="s">
        <v>2686</v>
      </c>
      <c r="F7643" s="1" t="s">
        <v>11720</v>
      </c>
      <c r="G7643" s="1" t="s">
        <v>36</v>
      </c>
      <c r="H7643" s="1" t="s">
        <v>29</v>
      </c>
      <c r="I7643" s="1" t="str">
        <f ca="1">IFERROR(__xludf.DUMMYFUNCTION("GOOGLETRANSLATE(F7643, ""auto"", ""en"")
"),"After an hour of playing, I got the feeling that the game strongly resembles a mixture of two other games: The Suffering and Alone in the Dark (2008). The plot is linear, at least until now it was so. The on-rail nature of what is happening is slightly ve"&amp;"iled by a certain illusion of freedom due to the forest being quite well worked out to the smallest detail, but all the same, you won’t be able to take a walk anywhere, you won’t be allowed to go far from the path.  Of course, it’s still somewhat puzzling"&amp;" that a 5-year-old set-top box with hardware that’s a little worse than a run-down office computer manages to produce, without any brakes, a picture comparable to top-end video cards with support for all sorts of newfangled DX 11, etc.")</f>
        <v>After an hour of playing, I got the feeling that the game strongly resembles a mixture of two other games: The Suffering and Alone in the Dark (2008). The plot is linear, at least until now it was so. The on-rail nature of what is happening is slightly veiled by a certain illusion of freedom due to the forest being quite well worked out to the smallest detail, but all the same, you won’t be able to take a walk anywhere, you won’t be allowed to go far from the path.  Of course, it’s still somewhat puzzling that a 5-year-old set-top box with hardware that’s a little worse than a run-down office computer manages to produce, without any brakes, a picture comparable to top-end video cards with support for all sorts of newfangled DX 11, etc.</v>
      </c>
    </row>
    <row r="7644" spans="1:9" x14ac:dyDescent="0.3">
      <c r="A7644" s="1" t="s">
        <v>30</v>
      </c>
      <c r="B7644" s="1" t="s">
        <v>31</v>
      </c>
      <c r="C7644" s="1" t="s">
        <v>365</v>
      </c>
      <c r="D7644" s="1" t="s">
        <v>1917</v>
      </c>
      <c r="E7644" s="1" t="s">
        <v>3241</v>
      </c>
      <c r="F7644" s="1" t="s">
        <v>11721</v>
      </c>
      <c r="G7644" s="1" t="s">
        <v>49</v>
      </c>
      <c r="H7644" s="1" t="s">
        <v>16</v>
      </c>
      <c r="I7644" s="1" t="str">
        <f ca="1">IFERROR(__xludf.DUMMYFUNCTION("GOOGLETRANSLATE(F7644, ""auto"", ""en"")
"),"Do not buy this computer under any circumstances! I’ve had it for a year and it’s frayed my nerves immensely! Firstly: yes, it freezes regularly, especially when using Video games, it doesn’t even freeze, it just stops (without rebooting at all), i.e. You"&amp;" won't have enough nerves to get through any game. It’s the same thing if you throw video files in a row into the player after a minute it will freeze the same way. Plus, it’s incredibly noisy, it works like a mini vacuum cleaner, i.e. the options of leav"&amp;"ing it to work overnight disappear completely! The parts may be Korean, but they are assembled by Russian hands... maybe. It’s just that the housing is so clumsy that it regularly overheats. N")</f>
        <v>Do not buy this computer under any circumstances! I’ve had it for a year and it’s frayed my nerves immensely! Firstly: yes, it freezes regularly, especially when using Video games, it doesn’t even freeze, it just stops (without rebooting at all), i.e. You won't have enough nerves to get through any game. It’s the same thing if you throw video files in a row into the player after a minute it will freeze the same way. Plus, it’s incredibly noisy, it works like a mini vacuum cleaner, i.e. the options of leaving it to work overnight disappear completely! The parts may be Korean, but they are assembled by Russian hands... maybe. It’s just that the housing is so clumsy that it regularly overheats. N</v>
      </c>
    </row>
    <row r="7645" spans="1:9" x14ac:dyDescent="0.3">
      <c r="A7645" s="1" t="s">
        <v>61</v>
      </c>
      <c r="B7645" s="1" t="s">
        <v>977</v>
      </c>
      <c r="C7645" s="1" t="s">
        <v>213</v>
      </c>
      <c r="D7645" s="1" t="s">
        <v>10308</v>
      </c>
      <c r="E7645" s="1" t="s">
        <v>491</v>
      </c>
      <c r="F7645" s="1" t="s">
        <v>11722</v>
      </c>
      <c r="G7645" s="1" t="s">
        <v>36</v>
      </c>
      <c r="H7645" s="1" t="s">
        <v>29</v>
      </c>
      <c r="I7645" s="1" t="str">
        <f ca="1">IFERROR(__xludf.DUMMYFUNCTION("GOOGLETRANSLATE(F7645, ""auto"", ""en"")
"),"I don’t know about the others, but wall mounts are included in the package, but there’s definitely no cover, and it’s not really needed.")</f>
        <v>I don’t know about the others, but wall mounts are included in the package, but there’s definitely no cover, and it’s not really needed.</v>
      </c>
    </row>
    <row r="7646" spans="1:9" x14ac:dyDescent="0.3">
      <c r="A7646" s="1" t="s">
        <v>169</v>
      </c>
      <c r="B7646" s="1" t="s">
        <v>170</v>
      </c>
      <c r="C7646" s="1" t="s">
        <v>193</v>
      </c>
      <c r="D7646" s="1" t="s">
        <v>11723</v>
      </c>
      <c r="E7646" s="1" t="s">
        <v>1992</v>
      </c>
      <c r="F7646" s="1" t="s">
        <v>11724</v>
      </c>
      <c r="G7646" s="1" t="s">
        <v>36</v>
      </c>
      <c r="H7646" s="1" t="s">
        <v>29</v>
      </c>
      <c r="I7646" s="1" t="str">
        <f ca="1">IFERROR(__xludf.DUMMYFUNCTION("GOOGLETRANSLATE(F7646, ""auto"", ""en"")
"),"The sound of these ears is simply amazing!!!  I would like to say that they clearly sound “more expensive” than they cost. For 2 rubles, they produce such a gorgeous sound.  Respect to M.Video, I only found them in stock here in Omsk =) Light, comfortable"&amp;" - I sat in them for several hours, I didn’t even get tired, it was as if they weren’t there at all, like fluff. The sound is bright, colorful, pleasant, powerful, rich and distinct bass.  The choice of ears, as you know, is a purely individual matter, an"&amp;"d convenience is also an important fact, so in them, I feel very comfortable and comfortable, even when I bought them in the store, I noticed how cozy they would be.  Definitely recommend!")</f>
        <v>The sound of these ears is simply amazing!!!  I would like to say that they clearly sound “more expensive” than they cost. For 2 rubles, they produce such a gorgeous sound.  Respect to M.Video, I only found them in stock here in Omsk =) Light, comfortable - I sat in them for several hours, I didn’t even get tired, it was as if they weren’t there at all, like fluff. The sound is bright, colorful, pleasant, powerful, rich and distinct bass.  The choice of ears, as you know, is a purely individual matter, and convenience is also an important fact, so in them, I feel very comfortable and comfortable, even when I bought them in the store, I noticed how cozy they would be.  Definitely recommend!</v>
      </c>
    </row>
    <row r="7647" spans="1:9" x14ac:dyDescent="0.3">
      <c r="A7647" s="1" t="s">
        <v>557</v>
      </c>
      <c r="B7647" s="1" t="s">
        <v>558</v>
      </c>
      <c r="C7647" s="1" t="s">
        <v>122</v>
      </c>
      <c r="D7647" s="1" t="s">
        <v>1659</v>
      </c>
      <c r="E7647" s="1" t="s">
        <v>1044</v>
      </c>
      <c r="F7647" s="1" t="s">
        <v>11725</v>
      </c>
      <c r="G7647" s="1" t="s">
        <v>36</v>
      </c>
      <c r="H7647" s="1" t="s">
        <v>29</v>
      </c>
      <c r="I7647" s="1" t="str">
        <f ca="1">IFERROR(__xludf.DUMMYFUNCTION("GOOGLETRANSLATE(F7647, ""auto"", ""en"")
"),"I bought this phone a week ago. It looks good, the battery lasts a very long time, the call quality is good.  I am completely satisfied with the purchase!")</f>
        <v>I bought this phone a week ago. It looks good, the battery lasts a very long time, the call quality is good.  I am completely satisfied with the purchase!</v>
      </c>
    </row>
    <row r="7648" spans="1:9" x14ac:dyDescent="0.3">
      <c r="A7648" s="1" t="s">
        <v>30</v>
      </c>
      <c r="B7648" s="1" t="s">
        <v>50</v>
      </c>
      <c r="C7648" s="1" t="s">
        <v>694</v>
      </c>
      <c r="D7648" s="1" t="s">
        <v>152</v>
      </c>
      <c r="E7648" s="1" t="s">
        <v>201</v>
      </c>
      <c r="F7648" s="1" t="s">
        <v>11726</v>
      </c>
      <c r="G7648" s="1" t="s">
        <v>36</v>
      </c>
      <c r="H7648" s="1" t="s">
        <v>29</v>
      </c>
      <c r="I7648" s="1" t="str">
        <f ca="1">IFERROR(__xludf.DUMMYFUNCTION("GOOGLETRANSLATE(F7648, ""auto"", ""en"")
"),"An excellent laptop for the money. I installed Win 7 64 bit, everything is fine, the only thing is that I can’t install Wi-Fi. The performance is excellent, I immediately installed a Seagate 320GB 7200rpm HDD. Data exchange happens faster even by eye")</f>
        <v>An excellent laptop for the money. I installed Win 7 64 bit, everything is fine, the only thing is that I can’t install Wi-Fi. The performance is excellent, I immediately installed a Seagate 320GB 7200rpm HDD. Data exchange happens faster even by eye</v>
      </c>
    </row>
    <row r="7649" spans="1:9" x14ac:dyDescent="0.3">
      <c r="A7649" s="1" t="s">
        <v>9</v>
      </c>
      <c r="B7649" s="1" t="s">
        <v>133</v>
      </c>
      <c r="C7649" s="1" t="s">
        <v>24</v>
      </c>
      <c r="D7649" s="1" t="s">
        <v>742</v>
      </c>
      <c r="E7649" s="1" t="s">
        <v>2358</v>
      </c>
      <c r="F7649" s="1" t="s">
        <v>11727</v>
      </c>
      <c r="G7649" s="1" t="s">
        <v>36</v>
      </c>
      <c r="H7649" s="1" t="s">
        <v>29</v>
      </c>
      <c r="I7649" s="1" t="str">
        <f ca="1">IFERROR(__xludf.DUMMYFUNCTION("GOOGLETRANSLATE(F7649, ""auto"", ""en"")
"),"Great oven. I only used it once, though. I made a cod pie. It turned out perfect. It was baked and browned evenly and even on the sides.")</f>
        <v>Great oven. I only used it once, though. I made a cod pie. It turned out perfect. It was baked and browned evenly and even on the sides.</v>
      </c>
    </row>
    <row r="7650" spans="1:9" x14ac:dyDescent="0.3">
      <c r="A7650" s="1" t="s">
        <v>61</v>
      </c>
      <c r="B7650" s="1" t="s">
        <v>318</v>
      </c>
      <c r="C7650" s="1" t="s">
        <v>101</v>
      </c>
      <c r="D7650" s="1" t="s">
        <v>113</v>
      </c>
      <c r="E7650" s="1" t="s">
        <v>3084</v>
      </c>
      <c r="F7650" s="1" t="s">
        <v>11728</v>
      </c>
      <c r="G7650" s="1" t="s">
        <v>49</v>
      </c>
      <c r="H7650" s="1" t="s">
        <v>16</v>
      </c>
      <c r="I7650" s="1" t="str">
        <f ca="1">IFERROR(__xludf.DUMMYFUNCTION("GOOGLETRANSLATE(F7650, ""auto"", ""en"")
"),"The backlight doesn't work, but the kettle doesn't really make any noise")</f>
        <v>The backlight doesn't work, but the kettle doesn't really make any noise</v>
      </c>
    </row>
    <row r="7651" spans="1:9" x14ac:dyDescent="0.3">
      <c r="A7651" s="1" t="s">
        <v>61</v>
      </c>
      <c r="B7651" s="1" t="s">
        <v>73</v>
      </c>
      <c r="C7651" s="1" t="s">
        <v>314</v>
      </c>
      <c r="D7651" s="1" t="s">
        <v>12</v>
      </c>
      <c r="E7651" s="1" t="s">
        <v>8552</v>
      </c>
      <c r="F7651" s="1" t="s">
        <v>11729</v>
      </c>
      <c r="G7651" s="1" t="s">
        <v>15</v>
      </c>
      <c r="H7651" s="1" t="s">
        <v>16</v>
      </c>
      <c r="I7651" s="1" t="str">
        <f ca="1">IFERROR(__xludf.DUMMYFUNCTION("GOOGLETRANSLATE(F7651, ""auto"", ""en"")
"),"How is it possible that there are so many good reviews, but I can barely turn it? Not cooking, but one torment - once again you will think about making minced meat or not.")</f>
        <v>How is it possible that there are so many good reviews, but I can barely turn it? Not cooking, but one torment - once again you will think about making minced meat or not.</v>
      </c>
    </row>
    <row r="7652" spans="1:9" x14ac:dyDescent="0.3">
      <c r="A7652" s="1" t="s">
        <v>211</v>
      </c>
      <c r="B7652" s="1" t="s">
        <v>212</v>
      </c>
      <c r="C7652" s="1" t="s">
        <v>381</v>
      </c>
      <c r="D7652" s="1" t="s">
        <v>113</v>
      </c>
      <c r="E7652" s="1" t="s">
        <v>233</v>
      </c>
      <c r="F7652" s="1" t="s">
        <v>11730</v>
      </c>
      <c r="G7652" s="1" t="s">
        <v>49</v>
      </c>
      <c r="H7652" s="1" t="s">
        <v>16</v>
      </c>
      <c r="I7652" s="1" t="str">
        <f ca="1">IFERROR(__xludf.DUMMYFUNCTION("GOOGLETRANSLATE(F7652, ""auto"", ""en"")
"),"The curling irons are bad, no curls come out.")</f>
        <v>The curling irons are bad, no curls come out.</v>
      </c>
    </row>
    <row r="7653" spans="1:9" x14ac:dyDescent="0.3">
      <c r="A7653" s="1" t="s">
        <v>17</v>
      </c>
      <c r="B7653" s="1" t="s">
        <v>18</v>
      </c>
      <c r="C7653" s="1" t="s">
        <v>151</v>
      </c>
      <c r="D7653" s="1" t="s">
        <v>64</v>
      </c>
      <c r="E7653" s="1" t="s">
        <v>580</v>
      </c>
      <c r="F7653" s="1" t="s">
        <v>11731</v>
      </c>
      <c r="G7653" s="1" t="s">
        <v>36</v>
      </c>
      <c r="H7653" s="1" t="s">
        <v>29</v>
      </c>
      <c r="I7653" s="1" t="str">
        <f ca="1">IFERROR(__xludf.DUMMYFUNCTION("GOOGLETRANSLATE(F7653, ""auto"", ""en"")
"),"We bought it yesterday, we’ve already washed it three times, no problems, it washes, it wrings out as expected, it makes noise when it’s wringing, we bought it to replace the old one, which lasted 8 years, I don’t regret it.")</f>
        <v>We bought it yesterday, we’ve already washed it three times, no problems, it washes, it wrings out as expected, it makes noise when it’s wringing, we bought it to replace the old one, which lasted 8 years, I don’t regret it.</v>
      </c>
    </row>
    <row r="7654" spans="1:9" x14ac:dyDescent="0.3">
      <c r="A7654" s="1" t="s">
        <v>2087</v>
      </c>
      <c r="B7654" s="1" t="s">
        <v>2088</v>
      </c>
      <c r="C7654" s="1" t="s">
        <v>69</v>
      </c>
      <c r="D7654" s="1" t="s">
        <v>280</v>
      </c>
      <c r="E7654" s="1" t="s">
        <v>4860</v>
      </c>
      <c r="F7654" s="1" t="s">
        <v>11732</v>
      </c>
      <c r="G7654" s="1" t="s">
        <v>28</v>
      </c>
      <c r="H7654" s="1" t="s">
        <v>29</v>
      </c>
      <c r="I7654" s="1" t="str">
        <f ca="1">IFERROR(__xludf.DUMMYFUNCTION("GOOGLETRANSLATE(F7654, ""auto"", ""en"")
"),"According to the instructions, I quote: ""NTFS (New Technology File System) data format is not supported""")</f>
        <v>According to the instructions, I quote: "NTFS (New Technology File System) data format is not supported"</v>
      </c>
    </row>
    <row r="7655" spans="1:9" x14ac:dyDescent="0.3">
      <c r="A7655" s="1" t="s">
        <v>211</v>
      </c>
      <c r="B7655" s="1" t="s">
        <v>2818</v>
      </c>
      <c r="C7655" s="1" t="s">
        <v>69</v>
      </c>
      <c r="D7655" s="1" t="s">
        <v>52</v>
      </c>
      <c r="E7655" s="1" t="s">
        <v>8237</v>
      </c>
      <c r="F7655" s="1" t="s">
        <v>11733</v>
      </c>
      <c r="G7655" s="1" t="s">
        <v>15</v>
      </c>
      <c r="H7655" s="1" t="s">
        <v>16</v>
      </c>
      <c r="I7655" s="1" t="str">
        <f ca="1">IFERROR(__xludf.DUMMYFUNCTION("GOOGLETRANSLATE(F7655, ""auto"", ""en"")
"),"The quality of the steel of the cutting unit leaves much to be desired, but the electric razor itself is comfortable")</f>
        <v>The quality of the steel of the cutting unit leaves much to be desired, but the electric razor itself is comfortable</v>
      </c>
    </row>
    <row r="7656" spans="1:9" x14ac:dyDescent="0.3">
      <c r="A7656" s="1" t="s">
        <v>111</v>
      </c>
      <c r="B7656" s="1" t="s">
        <v>112</v>
      </c>
      <c r="C7656" s="1" t="s">
        <v>1230</v>
      </c>
      <c r="D7656" s="1" t="s">
        <v>326</v>
      </c>
      <c r="E7656" s="1" t="s">
        <v>5548</v>
      </c>
      <c r="F7656" s="1" t="s">
        <v>11734</v>
      </c>
      <c r="G7656" s="1" t="s">
        <v>49</v>
      </c>
      <c r="H7656" s="1" t="s">
        <v>16</v>
      </c>
      <c r="I7656" s="1" t="str">
        <f ca="1">IFERROR(__xludf.DUMMYFUNCTION("GOOGLETRANSLATE(F7656, ""auto"", ""en"")
"),"In four years, two of these filters burned out. Next time I'll take another manufacturer.")</f>
        <v>In four years, two of these filters burned out. Next time I'll take another manufacturer.</v>
      </c>
    </row>
    <row r="7657" spans="1:9" x14ac:dyDescent="0.3">
      <c r="A7657" s="1" t="s">
        <v>206</v>
      </c>
      <c r="B7657" s="1" t="s">
        <v>261</v>
      </c>
      <c r="C7657" s="1" t="s">
        <v>262</v>
      </c>
      <c r="D7657" s="1" t="s">
        <v>11735</v>
      </c>
      <c r="E7657" s="1" t="s">
        <v>5294</v>
      </c>
      <c r="F7657" s="1" t="s">
        <v>11736</v>
      </c>
      <c r="G7657" s="1" t="s">
        <v>49</v>
      </c>
      <c r="H7657" s="1" t="s">
        <v>16</v>
      </c>
      <c r="I7657" s="1" t="str">
        <f ca="1">IFERROR(__xludf.DUMMYFUNCTION("GOOGLETRANSLATE(F7657, ""auto"", ""en"")
"),"I bought it 4 years ago, the battery drains terribly, if you leave it for 5 days without starting the engine, you will walk, it has a very high leakage current, 5 times more than stated, but it works great, only you have to buy a new battery every year, t"&amp;"ested on two new cars of different brands, now I’ll throw it away and buy another one of better quality.")</f>
        <v>I bought it 4 years ago, the battery drains terribly, if you leave it for 5 days without starting the engine, you will walk, it has a very high leakage current, 5 times more than stated, but it works great, only you have to buy a new battery every year, tested on two new cars of different brands, now I’ll throw it away and buy another one of better quality.</v>
      </c>
    </row>
    <row r="7658" spans="1:9" x14ac:dyDescent="0.3">
      <c r="A7658" s="1" t="s">
        <v>95</v>
      </c>
      <c r="B7658" s="1" t="s">
        <v>648</v>
      </c>
      <c r="C7658" s="1" t="s">
        <v>97</v>
      </c>
      <c r="D7658" s="1" t="s">
        <v>172</v>
      </c>
      <c r="E7658" s="1" t="s">
        <v>3169</v>
      </c>
      <c r="F7658" s="1" t="s">
        <v>11737</v>
      </c>
      <c r="G7658" s="1" t="s">
        <v>36</v>
      </c>
      <c r="H7658" s="1" t="s">
        <v>29</v>
      </c>
      <c r="I7658" s="1" t="str">
        <f ca="1">IFERROR(__xludf.DUMMYFUNCTION("GOOGLETRANSLATE(F7658, ""auto"", ""en"")
"),"Andrey, good news! They promise to break 6.20 by the new year")</f>
        <v>Andrey, good news! They promise to break 6.20 by the new year</v>
      </c>
    </row>
    <row r="7659" spans="1:9" x14ac:dyDescent="0.3">
      <c r="A7659" s="1" t="s">
        <v>37</v>
      </c>
      <c r="B7659" s="1" t="s">
        <v>536</v>
      </c>
      <c r="C7659" s="1" t="s">
        <v>163</v>
      </c>
      <c r="D7659" s="1" t="s">
        <v>404</v>
      </c>
      <c r="E7659" s="1" t="s">
        <v>1037</v>
      </c>
      <c r="F7659" s="1" t="s">
        <v>11738</v>
      </c>
      <c r="G7659" s="1" t="s">
        <v>36</v>
      </c>
      <c r="H7659" s="1" t="s">
        <v>29</v>
      </c>
      <c r="I7659" s="1" t="str">
        <f ca="1">IFERROR(__xludf.DUMMYFUNCTION("GOOGLETRANSLATE(F7659, ""auto"", ""en"")
"),"I bought a phone the other day. in a word, exceeded my expectations...")</f>
        <v>I bought a phone the other day. in a word, exceeded my expectations...</v>
      </c>
    </row>
    <row r="7660" spans="1:9" x14ac:dyDescent="0.3">
      <c r="A7660" s="1" t="s">
        <v>206</v>
      </c>
      <c r="B7660" s="1" t="s">
        <v>207</v>
      </c>
      <c r="C7660" s="1" t="s">
        <v>1143</v>
      </c>
      <c r="D7660" s="1" t="s">
        <v>327</v>
      </c>
      <c r="E7660" s="1" t="s">
        <v>1305</v>
      </c>
      <c r="F7660" s="1" t="s">
        <v>11739</v>
      </c>
      <c r="G7660" s="1" t="s">
        <v>36</v>
      </c>
      <c r="H7660" s="1" t="s">
        <v>29</v>
      </c>
      <c r="I7660" s="1" t="str">
        <f ca="1">IFERROR(__xludf.DUMMYFUNCTION("GOOGLETRANSLATE(F7660, ""auto"", ""en"")
"),"Don’t read those comments that don’t write very well and so on!!! The sub is cool, and the pressure is such that you just go and have fun (with the correct settings of the amplifier standards, not junk) I advise everyone, you won’t be disappointed with th"&amp;"e bass quality)))")</f>
        <v>Don’t read those comments that don’t write very well and so on!!! The sub is cool, and the pressure is such that you just go and have fun (with the correct settings of the amplifier standards, not junk) I advise everyone, you won’t be disappointed with the bass quality)))</v>
      </c>
    </row>
    <row r="7661" spans="1:9" x14ac:dyDescent="0.3">
      <c r="A7661" s="1" t="s">
        <v>30</v>
      </c>
      <c r="B7661" s="1" t="s">
        <v>50</v>
      </c>
      <c r="C7661" s="1" t="s">
        <v>32</v>
      </c>
      <c r="D7661" s="1" t="s">
        <v>1456</v>
      </c>
      <c r="E7661" s="1" t="s">
        <v>6851</v>
      </c>
      <c r="F7661" s="1" t="s">
        <v>11740</v>
      </c>
      <c r="G7661" s="1" t="s">
        <v>28</v>
      </c>
      <c r="H7661" s="1" t="s">
        <v>29</v>
      </c>
      <c r="I7661" s="1" t="str">
        <f ca="1">IFERROR(__xludf.DUMMYFUNCTION("GOOGLETRANSLATE(F7661, ""auto"", ""en"")
"),"I bought it for 29990, I’m very pleased with it, it’s nice, fast, and with the addition of touch sound you can play all day =)")</f>
        <v>I bought it for 29990, I’m very pleased with it, it’s nice, fast, and with the addition of touch sound you can play all day =)</v>
      </c>
    </row>
    <row r="7662" spans="1:9" x14ac:dyDescent="0.3">
      <c r="A7662" s="1" t="s">
        <v>43</v>
      </c>
      <c r="B7662" s="1" t="s">
        <v>303</v>
      </c>
      <c r="C7662" s="1" t="s">
        <v>220</v>
      </c>
      <c r="D7662" s="1" t="s">
        <v>280</v>
      </c>
      <c r="E7662" s="1" t="s">
        <v>4990</v>
      </c>
      <c r="F7662" s="1" t="s">
        <v>11741</v>
      </c>
      <c r="G7662" s="1" t="s">
        <v>49</v>
      </c>
      <c r="H7662" s="1" t="s">
        <v>16</v>
      </c>
      <c r="I7662" s="1" t="str">
        <f ca="1">IFERROR(__xludf.DUMMYFUNCTION("GOOGLETRANSLATE(F7662, ""auto"", ""en"")
"),"compact")</f>
        <v>compact</v>
      </c>
    </row>
    <row r="7663" spans="1:9" x14ac:dyDescent="0.3">
      <c r="A7663" s="1" t="s">
        <v>624</v>
      </c>
      <c r="B7663" s="1" t="s">
        <v>2107</v>
      </c>
      <c r="C7663" s="1" t="s">
        <v>479</v>
      </c>
      <c r="D7663" s="1" t="s">
        <v>114</v>
      </c>
      <c r="E7663" s="1" t="s">
        <v>3775</v>
      </c>
      <c r="F7663" s="1" t="s">
        <v>11742</v>
      </c>
      <c r="G7663" s="1" t="s">
        <v>36</v>
      </c>
      <c r="H7663" s="1" t="s">
        <v>29</v>
      </c>
      <c r="I7663" s="1" t="str">
        <f ca="1">IFERROR(__xludf.DUMMYFUNCTION("GOOGLETRANSLATE(F7663, ""auto"", ""en"")
"),"Great game. Nice graphics. Great sound. Dynamic gameplay. I recommend it to everyone.")</f>
        <v>Great game. Nice graphics. Great sound. Dynamic gameplay. I recommend it to everyone.</v>
      </c>
    </row>
    <row r="7664" spans="1:9" x14ac:dyDescent="0.3">
      <c r="A7664" s="1" t="s">
        <v>43</v>
      </c>
      <c r="B7664" s="1" t="s">
        <v>303</v>
      </c>
      <c r="C7664" s="1" t="s">
        <v>665</v>
      </c>
      <c r="D7664" s="1" t="s">
        <v>247</v>
      </c>
      <c r="E7664" s="1" t="s">
        <v>2669</v>
      </c>
      <c r="F7664" s="1" t="s">
        <v>11743</v>
      </c>
      <c r="G7664" s="1" t="s">
        <v>36</v>
      </c>
      <c r="H7664" s="1" t="s">
        <v>29</v>
      </c>
      <c r="I7664" s="1" t="str">
        <f ca="1">IFERROR(__xludf.DUMMYFUNCTION("GOOGLETRANSLATE(F7664, ""auto"", ""en"")
"),"The water heater works great. We suffered a little with the installation. But otherwise, everything is fine with the price, quality and ease of use!")</f>
        <v>The water heater works great. We suffered a little with the installation. But otherwise, everything is fine with the price, quality and ease of use!</v>
      </c>
    </row>
    <row r="7665" spans="1:9" x14ac:dyDescent="0.3">
      <c r="A7665" s="1" t="s">
        <v>169</v>
      </c>
      <c r="B7665" s="1" t="s">
        <v>170</v>
      </c>
      <c r="C7665" s="1" t="s">
        <v>69</v>
      </c>
      <c r="D7665" s="1" t="s">
        <v>52</v>
      </c>
      <c r="E7665" s="1" t="s">
        <v>11470</v>
      </c>
      <c r="F7665" s="1" t="s">
        <v>11744</v>
      </c>
      <c r="G7665" s="1" t="s">
        <v>15</v>
      </c>
      <c r="H7665" s="1" t="s">
        <v>16</v>
      </c>
      <c r="I7665" s="1" t="str">
        <f ca="1">IFERROR(__xludf.DUMMYFUNCTION("GOOGLETRANSLATE(F7665, ""auto"", ""en"")
"),"The sound is not bad, but the clamps weakened so quickly that I remember them as constant drops from my ears. I used them in the office, I liked them because they did not isolate them from the environment, they could be quickly removed when the director c"&amp;"ame in :) And they ended their life when the plug fell off, and the life was short-lived, maybe a couple of years. The design did not seem reliable to me, although it corresponds to the price. I won’t buy these again, I need a better holder.")</f>
        <v>The sound is not bad, but the clamps weakened so quickly that I remember them as constant drops from my ears. I used them in the office, I liked them because they did not isolate them from the environment, they could be quickly removed when the director came in :) And they ended their life when the plug fell off, and the life was short-lived, maybe a couple of years. The design did not seem reliable to me, although it corresponds to the price. I won’t buy these again, I need a better holder.</v>
      </c>
    </row>
    <row r="7666" spans="1:9" x14ac:dyDescent="0.3">
      <c r="A7666" s="1" t="s">
        <v>1119</v>
      </c>
      <c r="B7666" s="1" t="s">
        <v>1120</v>
      </c>
      <c r="C7666" s="1" t="s">
        <v>97</v>
      </c>
      <c r="D7666" s="1" t="s">
        <v>11745</v>
      </c>
      <c r="E7666" s="1" t="s">
        <v>2153</v>
      </c>
      <c r="F7666" s="1" t="s">
        <v>11746</v>
      </c>
      <c r="G7666" s="1" t="s">
        <v>36</v>
      </c>
      <c r="H7666" s="1" t="s">
        <v>29</v>
      </c>
      <c r="I7666" s="1" t="str">
        <f ca="1">IFERROR(__xludf.DUMMYFUNCTION("GOOGLETRANSLATE(F7666, ""auto"", ""en"")
"),"I bought it in September 2010 and am happy with the camera. The quality of the image and sound is also quite good. The battery charge lasts me a long time, on trips of 3-4 days with average use it was enough, more than half of the charge remained, taken w"&amp;"ith me by the charger. wasn't needed. I’ve had it charged at home for over a month; I can safely take it with me on a trip without recharging it.")</f>
        <v>I bought it in September 2010 and am happy with the camera. The quality of the image and sound is also quite good. The battery charge lasts me a long time, on trips of 3-4 days with average use it was enough, more than half of the charge remained, taken with me by the charger. wasn't needed. I’ve had it charged at home for over a month; I can safely take it with me on a trip without recharging it.</v>
      </c>
    </row>
    <row r="7667" spans="1:9" x14ac:dyDescent="0.3">
      <c r="A7667" s="1" t="s">
        <v>17</v>
      </c>
      <c r="B7667" s="1" t="s">
        <v>18</v>
      </c>
      <c r="C7667" s="1" t="s">
        <v>277</v>
      </c>
      <c r="D7667" s="1" t="s">
        <v>247</v>
      </c>
      <c r="E7667" s="1" t="s">
        <v>1129</v>
      </c>
      <c r="F7667" s="1" t="s">
        <v>11747</v>
      </c>
      <c r="G7667" s="1" t="s">
        <v>28</v>
      </c>
      <c r="H7667" s="1" t="s">
        <v>29</v>
      </c>
      <c r="I7667" s="1" t="str">
        <f ca="1">IFERROR(__xludf.DUMMYFUNCTION("GOOGLETRANSLATE(F7667, ""auto"", ""en"")
"),"During all the time I used it, there were no problems. I don’t agree about the noise; it washes like all other models if you set the position of the legs correctly (by level). If the machine is loaded with a large amount of laundry, then nothing falls out"&amp;" of it, but it simply does not start the washing process, which allows you to reduce the amount of laundry loaded. The only negative is that during the washing process water accumulates in the air conditioner compartment, so I haven’t figured out how to d"&amp;"eal with this yet. So I think that it is in no way inferior in quality to other more popular washing machines.")</f>
        <v>During all the time I used it, there were no problems. I don’t agree about the noise; it washes like all other models if you set the position of the legs correctly (by level). If the machine is loaded with a large amount of laundry, then nothing falls out of it, but it simply does not start the washing process, which allows you to reduce the amount of laundry loaded. The only negative is that during the washing process water accumulates in the air conditioner compartment, so I haven’t figured out how to deal with this yet. So I think that it is in no way inferior in quality to other more popular washing machines.</v>
      </c>
    </row>
    <row r="7668" spans="1:9" x14ac:dyDescent="0.3">
      <c r="A7668" s="1" t="s">
        <v>30</v>
      </c>
      <c r="B7668" s="1" t="s">
        <v>50</v>
      </c>
      <c r="C7668" s="1" t="s">
        <v>51</v>
      </c>
      <c r="D7668" s="1" t="s">
        <v>11748</v>
      </c>
      <c r="E7668" s="1" t="s">
        <v>2206</v>
      </c>
      <c r="F7668" s="1" t="s">
        <v>11749</v>
      </c>
      <c r="G7668" s="1" t="s">
        <v>28</v>
      </c>
      <c r="H7668" s="1" t="s">
        <v>29</v>
      </c>
      <c r="I7668" s="1" t="str">
        <f ca="1">IFERROR(__xludf.DUMMYFUNCTION("GOOGLETRANSLATE(F7668, ""auto"", ""en"")
"),"But my subwoofer doesn’t work at all, don’t update the driver, you can’t hear it... it looks like some kind of defect.. (((can everyone clearly hear their subwoofer??? or is it just me?")</f>
        <v>But my subwoofer doesn’t work at all, don’t update the driver, you can’t hear it... it looks like some kind of defect.. (((can everyone clearly hear their subwoofer??? or is it just me?</v>
      </c>
    </row>
    <row r="7669" spans="1:9" x14ac:dyDescent="0.3">
      <c r="A7669" s="1" t="s">
        <v>211</v>
      </c>
      <c r="B7669" s="1" t="s">
        <v>515</v>
      </c>
      <c r="C7669" s="1" t="s">
        <v>213</v>
      </c>
      <c r="D7669" s="1" t="s">
        <v>11180</v>
      </c>
      <c r="E7669" s="1" t="s">
        <v>1864</v>
      </c>
      <c r="F7669" s="1" t="s">
        <v>11750</v>
      </c>
      <c r="G7669" s="1" t="s">
        <v>15</v>
      </c>
      <c r="H7669" s="1" t="s">
        <v>16</v>
      </c>
      <c r="I7669" s="1" t="str">
        <f ca="1">IFERROR(__xludf.DUMMYFUNCTION("GOOGLETRANSLATE(F7669, ""auto"", ""en"")
"),"It's a terrible thing. I've had it for 5 years now.  Suitable for feet only. Armpits and other sensitive areas with it are like torture. And on the legs alone it takes an average of 1.5-2 hours, because you have to treat the same place many times.  In gen"&amp;"eral, it’s better not to.")</f>
        <v>It's a terrible thing. I've had it for 5 years now.  Suitable for feet only. Armpits and other sensitive areas with it are like torture. And on the legs alone it takes an average of 1.5-2 hours, because you have to treat the same place many times.  In general, it’s better not to.</v>
      </c>
    </row>
    <row r="7670" spans="1:9" x14ac:dyDescent="0.3">
      <c r="A7670" s="1" t="s">
        <v>238</v>
      </c>
      <c r="B7670" s="1" t="s">
        <v>276</v>
      </c>
      <c r="C7670" s="1" t="s">
        <v>277</v>
      </c>
      <c r="D7670" s="1" t="s">
        <v>52</v>
      </c>
      <c r="E7670" s="1" t="s">
        <v>2486</v>
      </c>
      <c r="F7670" s="1" t="s">
        <v>11751</v>
      </c>
      <c r="G7670" s="1" t="s">
        <v>36</v>
      </c>
      <c r="H7670" s="1" t="s">
        <v>29</v>
      </c>
      <c r="I7670" s="1" t="str">
        <f ca="1">IFERROR(__xludf.DUMMYFUNCTION("GOOGLETRANSLATE(F7670, ""auto"", ""en"")
"),"I would like to note that the drops on the back wall are a drip defrosting system; condensation along the wall flows through a channel to the compressor, from where it evaporates. This defrosting system is better than no-frost, because The refrigerator ma"&amp;"intains the natural moisture of the food.")</f>
        <v>I would like to note that the drops on the back wall are a drip defrosting system; condensation along the wall flows through a channel to the compressor, from where it evaporates. This defrosting system is better than no-frost, because The refrigerator maintains the natural moisture of the food.</v>
      </c>
    </row>
    <row r="7671" spans="1:9" x14ac:dyDescent="0.3">
      <c r="A7671" s="1" t="s">
        <v>120</v>
      </c>
      <c r="B7671" s="1" t="s">
        <v>126</v>
      </c>
      <c r="C7671" s="1" t="s">
        <v>151</v>
      </c>
      <c r="D7671" s="1" t="s">
        <v>52</v>
      </c>
      <c r="E7671" s="1" t="s">
        <v>2298</v>
      </c>
      <c r="F7671" s="1" t="s">
        <v>11752</v>
      </c>
      <c r="G7671" s="1" t="s">
        <v>28</v>
      </c>
      <c r="H7671" s="1" t="s">
        <v>29</v>
      </c>
      <c r="I7671" s="1" t="str">
        <f ca="1">IFERROR(__xludf.DUMMYFUNCTION("GOOGLETRANSLATE(F7671, ""auto"", ""en"")
"),"I got this device, everything is good, the picture quality is super, but it’s not clear from the USB!  Is it possible to flash it so that you can watch videos from USB????  If so, tell me how to do it!!!")</f>
        <v>I got this device, everything is good, the picture quality is super, but it’s not clear from the USB!  Is it possible to flash it so that you can watch videos from USB????  If so, tell me how to do it!!!</v>
      </c>
    </row>
    <row r="7672" spans="1:9" x14ac:dyDescent="0.3">
      <c r="A7672" s="1" t="s">
        <v>477</v>
      </c>
      <c r="B7672" s="1" t="s">
        <v>478</v>
      </c>
      <c r="C7672" s="1" t="s">
        <v>479</v>
      </c>
      <c r="D7672" s="1" t="s">
        <v>11753</v>
      </c>
      <c r="E7672" s="1" t="s">
        <v>661</v>
      </c>
      <c r="F7672" s="1" t="s">
        <v>11754</v>
      </c>
      <c r="G7672" s="1" t="s">
        <v>36</v>
      </c>
      <c r="H7672" s="1" t="s">
        <v>29</v>
      </c>
      <c r="I7672" s="1" t="str">
        <f ca="1">IFERROR(__xludf.DUMMYFUNCTION("GOOGLETRANSLATE(F7672, ""auto"", ""en"")
"),"Due to the lack of PR campaigns and the repeated postponement of the release, almost no one knows about this game.    But this is truly an EPIC game.     I recommend it to all people with a sense of humor. Gamers should play it.")</f>
        <v>Due to the lack of PR campaigns and the repeated postponement of the release, almost no one knows about this game.    But this is truly an EPIC game.     I recommend it to all people with a sense of humor. Gamers should play it.</v>
      </c>
    </row>
    <row r="7673" spans="1:9" x14ac:dyDescent="0.3">
      <c r="A7673" s="1" t="s">
        <v>120</v>
      </c>
      <c r="B7673" s="1" t="s">
        <v>256</v>
      </c>
      <c r="C7673" s="1" t="s">
        <v>80</v>
      </c>
      <c r="D7673" s="1" t="s">
        <v>203</v>
      </c>
      <c r="E7673" s="1" t="s">
        <v>2468</v>
      </c>
      <c r="F7673" s="1" t="s">
        <v>11755</v>
      </c>
      <c r="G7673" s="1" t="s">
        <v>36</v>
      </c>
      <c r="H7673" s="1" t="s">
        <v>29</v>
      </c>
      <c r="I7673" s="1" t="str">
        <f ca="1">IFERROR(__xludf.DUMMYFUNCTION("GOOGLETRANSLATE(F7673, ""auto"", ""en"")
"),"I have a Philips - you can make a normal image without cutting off the edges, even the original “square”.")</f>
        <v>I have a Philips - you can make a normal image without cutting off the edges, even the original “square”.</v>
      </c>
    </row>
    <row r="7674" spans="1:9" x14ac:dyDescent="0.3">
      <c r="A7674" s="1" t="s">
        <v>149</v>
      </c>
      <c r="B7674" s="1" t="s">
        <v>155</v>
      </c>
      <c r="C7674" s="1" t="s">
        <v>80</v>
      </c>
      <c r="D7674" s="1" t="s">
        <v>11756</v>
      </c>
      <c r="E7674" s="1" t="s">
        <v>3999</v>
      </c>
      <c r="F7674" s="1" t="s">
        <v>11757</v>
      </c>
      <c r="G7674" s="1" t="s">
        <v>36</v>
      </c>
      <c r="H7674" s="1" t="s">
        <v>29</v>
      </c>
      <c r="I7674" s="1" t="str">
        <f ca="1">IFERROR(__xludf.DUMMYFUNCTION("GOOGLETRANSLATE(F7674, ""auto"", ""en"")
"),"The vacuum cleaners in this series are the most powerful and I think there are no cyclonic cleaners that compete with them yet.  I've been using this vacuum cleaner for over six months now. Incredibly pleased.  Pros: 1) UNREALLY powerful. Usually we vacuu"&amp;"m only on power 2, and there are 5 of them!!   2) We decided to check how much capacity is enough. Didn't clean it until it rang. We vacuumed a 3-room apartment once a week. We haven’t thrown dust out of it for 3-4 months!!!  3) Very convenient and all co"&amp;"mponents are easy to clean.    Minus (possible only in this model) - the turbo brush is not thought out =( And practical notes: 1) It produces fairly heated (but clean) air, this is a vacuum cleaner not with an aqua filter.  2) HEPA 13 filter is not washa"&amp;"ble, but it does not need to be washed!!! Micro dust particles reach it, and it will clog only after 5 years of intensive use!!    BUT!!! BUT: The creators did not think through one of the filters and because of this the vacuum cleaner overheated very qui"&amp;"ckly and stopped vacuuming altogether!!! THERE IS A WAY OUT!!!    Instructions: 1) Remove all filters.  2) In a plastic box with a mesh (where the foam filter is located), you need to carefully tear off the upper part of the mesh (it is two-layer). This c"&amp;"an be done with a scalp or something sharp or in another way.  3) After this, the vacuum cleaner will return to its previous state!!!!    I hope this review helps you in choosing a vacuum cleaner!! If you are a cyclone, then only this one (of this series "&amp;"and the more expensive the better ;) )!!!")</f>
        <v>The vacuum cleaners in this series are the most powerful and I think there are no cyclonic cleaners that compete with them yet.  I've been using this vacuum cleaner for over six months now. Incredibly pleased.  Pros: 1) UNREALLY powerful. Usually we vacuum only on power 2, and there are 5 of them!!   2) We decided to check how much capacity is enough. Didn't clean it until it rang. We vacuumed a 3-room apartment once a week. We haven’t thrown dust out of it for 3-4 months!!!  3) Very convenient and all components are easy to clean.    Minus (possible only in this model) - the turbo brush is not thought out =( And practical notes: 1) It produces fairly heated (but clean) air, this is a vacuum cleaner not with an aqua filter.  2) HEPA 13 filter is not washable, but it does not need to be washed!!! Micro dust particles reach it, and it will clog only after 5 years of intensive use!!    BUT!!! BUT: The creators did not think through one of the filters and because of this the vacuum cleaner overheated very quickly and stopped vacuuming altogether!!! THERE IS A WAY OUT!!!    Instructions: 1) Remove all filters.  2) In a plastic box with a mesh (where the foam filter is located), you need to carefully tear off the upper part of the mesh (it is two-layer). This can be done with a scalp or something sharp or in another way.  3) After this, the vacuum cleaner will return to its previous state!!!!    I hope this review helps you in choosing a vacuum cleaner!! If you are a cyclone, then only this one (of this series and the more expensive the better ;) )!!!</v>
      </c>
    </row>
    <row r="7675" spans="1:9" x14ac:dyDescent="0.3">
      <c r="A7675" s="1" t="s">
        <v>238</v>
      </c>
      <c r="B7675" s="1" t="s">
        <v>276</v>
      </c>
      <c r="C7675" s="1" t="s">
        <v>1677</v>
      </c>
      <c r="D7675" s="1" t="s">
        <v>64</v>
      </c>
      <c r="E7675" s="1" t="s">
        <v>1732</v>
      </c>
      <c r="F7675" s="1" t="s">
        <v>11758</v>
      </c>
      <c r="G7675" s="1" t="s">
        <v>36</v>
      </c>
      <c r="H7675" s="1" t="s">
        <v>29</v>
      </c>
      <c r="I7675" s="1" t="str">
        <f ca="1">IFERROR(__xludf.DUMMYFUNCTION("GOOGLETRANSLATE(F7675, ""auto"", ""en"")
"),"Great refrigerator. It preserves food wonderfully and is very convenient for the housewife. quiet and beautiful. I'm in love with him...")</f>
        <v>Great refrigerator. It preserves food wonderfully and is very convenient for the housewife. quiet and beautiful. I'm in love with him...</v>
      </c>
    </row>
    <row r="7676" spans="1:9" x14ac:dyDescent="0.3">
      <c r="A7676" s="1" t="s">
        <v>149</v>
      </c>
      <c r="B7676" s="1" t="s">
        <v>576</v>
      </c>
      <c r="C7676" s="1" t="s">
        <v>122</v>
      </c>
      <c r="D7676" s="1" t="s">
        <v>11759</v>
      </c>
      <c r="E7676" s="1" t="s">
        <v>994</v>
      </c>
      <c r="F7676" s="1" t="s">
        <v>11760</v>
      </c>
      <c r="G7676" s="1" t="s">
        <v>36</v>
      </c>
      <c r="H7676" s="1" t="s">
        <v>29</v>
      </c>
      <c r="I7676" s="1" t="str">
        <f ca="1">IFERROR(__xludf.DUMMYFUNCTION("GOOGLETRANSLATE(F7676, ""auto"", ""en"")
"),"I bought it and have been using it for a week, when there is a cat and a dog in the house, a vacuum cleaner with a suction power of 550w is simply irreplaceable, I chose it based on this criterion. After cleaning, I sweated a little, and my wife’s abs hur"&amp;"t))) it’s a little difficult to vacuum the carpet at maximum speed)).   Question! Why is there a switch on the turbo brush itself? Visually, it duplicates the modes as on the vacuum cleaner body (parquet, carpet, etc.), but when switching, nothing visuall"&amp;"y changes. And the store managers couldn’t explain it, no one knows. Anyone in the know, please tell me. Maybe my brush is defective!? :(")</f>
        <v>I bought it and have been using it for a week, when there is a cat and a dog in the house, a vacuum cleaner with a suction power of 550w is simply irreplaceable, I chose it based on this criterion. After cleaning, I sweated a little, and my wife’s abs hurt))) it’s a little difficult to vacuum the carpet at maximum speed)).   Question! Why is there a switch on the turbo brush itself? Visually, it duplicates the modes as on the vacuum cleaner body (parquet, carpet, etc.), but when switching, nothing visually changes. And the store managers couldn’t explain it, no one knows. Anyone in the know, please tell me. Maybe my brush is defective!? :(</v>
      </c>
    </row>
    <row r="7677" spans="1:9" x14ac:dyDescent="0.3">
      <c r="A7677" s="1" t="s">
        <v>373</v>
      </c>
      <c r="B7677" s="1" t="s">
        <v>374</v>
      </c>
      <c r="C7677" s="1" t="s">
        <v>63</v>
      </c>
      <c r="D7677" s="1" t="s">
        <v>1042</v>
      </c>
      <c r="E7677" s="1" t="s">
        <v>1221</v>
      </c>
      <c r="F7677" s="1" t="s">
        <v>11761</v>
      </c>
      <c r="G7677" s="1" t="s">
        <v>28</v>
      </c>
      <c r="H7677" s="1" t="s">
        <v>29</v>
      </c>
      <c r="I7677" s="1" t="str">
        <f ca="1">IFERROR(__xludf.DUMMYFUNCTION("GOOGLETRANSLATE(F7677, ""auto"", ""en"")
"),"We have been using this model for about two months. In general, the model is good if you arrange the dishes correctly, as indicated in the instructions, and do not try to cram more dishes in a different order, i.e. If you don’t put the pots at the beginni"&amp;"ng of the machine at the door, then there are no problems, everything is washed perfectly, we use 3 in 1 products. of the minuses: the location of the baking sheets from the oven is difficult to fit into the wide compartments for plates, in general, the c"&amp;"ells move apart and the sheet fits, but the cells can probably break over time, we used the attachment for baking sheets, it washes perfectly with it.     As for its noiselessness, this is said loudly, our old washing machine, which is about 5 years old, "&amp;"is much quieter, although our apartment is not small, but this dishwasher is very loud, we usually leave it on to wash dishes at night, so it’s impossible to fall asleep, if it’s working, we use a delay start, it helps a lot.  Also, plates with a large di"&amp;"ameter and depth do not fit into the compartments for ordinary plates, so they have to be washed separately, i.e. run the car half empty.  Also, the dishwashing cycle is quite long; if you wash it in automatic mode, it takes 140 minutes, i.e. more than 2 "&amp;"hours. If you set the quick wash mode, the dishes are not washed well, maybe it depends on the detergent, but others haven’t tried it yet.  Sometimes the dishes do not dry completely, droplets remain, but for me this is not critical.  BUT THE MOST IMPORTA"&amp;"NT thing is that all these disadvantages are filled by one big plus, that washing dishes without hands saves a lot of time, and the dishes have become much cleaner, especially pots and pans with accumulated carbon deposits over many years, than before!!!")</f>
        <v>We have been using this model for about two months. In general, the model is good if you arrange the dishes correctly, as indicated in the instructions, and do not try to cram more dishes in a different order, i.e. If you don’t put the pots at the beginning of the machine at the door, then there are no problems, everything is washed perfectly, we use 3 in 1 products. of the minuses: the location of the baking sheets from the oven is difficult to fit into the wide compartments for plates, in general, the cells move apart and the sheet fits, but the cells can probably break over time, we used the attachment for baking sheets, it washes perfectly with it.     As for its noiselessness, this is said loudly, our old washing machine, which is about 5 years old, is much quieter, although our apartment is not small, but this dishwasher is very loud, we usually leave it on to wash dishes at night, so it’s impossible to fall asleep, if it’s working, we use a delay start, it helps a lot.  Also, plates with a large diameter and depth do not fit into the compartments for ordinary plates, so they have to be washed separately, i.e. run the car half empty.  Also, the dishwashing cycle is quite long; if you wash it in automatic mode, it takes 140 minutes, i.e. more than 2 hours. If you set the quick wash mode, the dishes are not washed well, maybe it depends on the detergent, but others haven’t tried it yet.  Sometimes the dishes do not dry completely, droplets remain, but for me this is not critical.  BUT THE MOST IMPORTANT thing is that all these disadvantages are filled by one big plus, that washing dishes without hands saves a lot of time, and the dishes have become much cleaner, especially pots and pans with accumulated carbon deposits over many years, than before!!!</v>
      </c>
    </row>
    <row r="7678" spans="1:9" x14ac:dyDescent="0.3">
      <c r="A7678" s="1" t="s">
        <v>624</v>
      </c>
      <c r="B7678" s="1" t="s">
        <v>625</v>
      </c>
      <c r="C7678" s="1" t="s">
        <v>479</v>
      </c>
      <c r="D7678" s="1" t="s">
        <v>6254</v>
      </c>
      <c r="E7678" s="1" t="s">
        <v>1203</v>
      </c>
      <c r="F7678" s="1" t="s">
        <v>11762</v>
      </c>
      <c r="G7678" s="1" t="s">
        <v>36</v>
      </c>
      <c r="H7678" s="1" t="s">
        <v>29</v>
      </c>
      <c r="I7678" s="1" t="str">
        <f ca="1">IFERROR(__xludf.DUMMYFUNCTION("GOOGLETRANSLATE(F7678, ""auto"", ""en"")
"),"The game is great!!! An exciting plot, unexpected twists, well-developed characters and excellent gameplay make the game the best and unique! Buy it, you won't regret it!")</f>
        <v>The game is great!!! An exciting plot, unexpected twists, well-developed characters and excellent gameplay make the game the best and unique! Buy it, you won't regret it!</v>
      </c>
    </row>
    <row r="7679" spans="1:9" x14ac:dyDescent="0.3">
      <c r="A7679" s="1" t="s">
        <v>169</v>
      </c>
      <c r="B7679" s="1" t="s">
        <v>170</v>
      </c>
      <c r="C7679" s="1" t="s">
        <v>193</v>
      </c>
      <c r="D7679" s="1" t="s">
        <v>280</v>
      </c>
      <c r="E7679" s="1" t="s">
        <v>1463</v>
      </c>
      <c r="F7679" s="1" t="s">
        <v>11763</v>
      </c>
      <c r="G7679" s="1" t="s">
        <v>36</v>
      </c>
      <c r="H7679" s="1" t="s">
        <v>29</v>
      </c>
      <c r="I7679" s="1" t="str">
        <f ca="1">IFERROR(__xludf.DUMMYFUNCTION("GOOGLETRANSLATE(F7679, ""auto"", ""en"")
"),"Excellent headphones, listened to many options. The sound is clear and soft. The shells themselves are comfortable, which is important, they are very light.")</f>
        <v>Excellent headphones, listened to many options. The sound is clear and soft. The shells themselves are comfortable, which is important, they are very light.</v>
      </c>
    </row>
    <row r="7680" spans="1:9" x14ac:dyDescent="0.3">
      <c r="A7680" s="1" t="s">
        <v>206</v>
      </c>
      <c r="B7680" s="1" t="s">
        <v>207</v>
      </c>
      <c r="C7680" s="1" t="s">
        <v>351</v>
      </c>
      <c r="D7680" s="1" t="s">
        <v>1605</v>
      </c>
      <c r="E7680" s="1" t="s">
        <v>8951</v>
      </c>
      <c r="F7680" s="1" t="s">
        <v>11764</v>
      </c>
      <c r="G7680" s="1" t="s">
        <v>36</v>
      </c>
      <c r="H7680" s="1" t="s">
        <v>29</v>
      </c>
      <c r="I7680" s="1" t="str">
        <f ca="1">IFERROR(__xludf.DUMMYFUNCTION("GOOGLETRANSLATE(F7680, ""auto"", ""en"")
"),"Plays and doesn't cause any problems")</f>
        <v>Plays and doesn't cause any problems</v>
      </c>
    </row>
    <row r="7681" spans="1:9" x14ac:dyDescent="0.3">
      <c r="A7681" s="1" t="s">
        <v>61</v>
      </c>
      <c r="B7681" s="1" t="s">
        <v>224</v>
      </c>
      <c r="C7681" s="1" t="s">
        <v>246</v>
      </c>
      <c r="D7681" s="1" t="s">
        <v>295</v>
      </c>
      <c r="E7681" s="1" t="s">
        <v>10899</v>
      </c>
      <c r="F7681" s="1" t="s">
        <v>11765</v>
      </c>
      <c r="G7681" s="1" t="s">
        <v>28</v>
      </c>
      <c r="H7681" s="1" t="s">
        <v>29</v>
      </c>
      <c r="I7681" s="1" t="str">
        <f ca="1">IFERROR(__xludf.DUMMYFUNCTION("GOOGLETRANSLATE(F7681, ""auto"", ""en"")
"),"It works quietly, rotates in both directions (which allows you to squeeze out the juice as fully as possible), and is easy to disassemble and clean. In general, an excellent combination of price and quality.")</f>
        <v>It works quietly, rotates in both directions (which allows you to squeeze out the juice as fully as possible), and is easy to disassemble and clean. In general, an excellent combination of price and quality.</v>
      </c>
    </row>
    <row r="7682" spans="1:9" x14ac:dyDescent="0.3">
      <c r="A7682" s="1" t="s">
        <v>30</v>
      </c>
      <c r="B7682" s="1" t="s">
        <v>31</v>
      </c>
      <c r="C7682" s="1" t="s">
        <v>32</v>
      </c>
      <c r="D7682" s="1" t="s">
        <v>52</v>
      </c>
      <c r="E7682" s="1" t="s">
        <v>659</v>
      </c>
      <c r="F7682" s="1" t="s">
        <v>11766</v>
      </c>
      <c r="G7682" s="1" t="s">
        <v>49</v>
      </c>
      <c r="H7682" s="1" t="s">
        <v>16</v>
      </c>
      <c r="I7682" s="1" t="str">
        <f ca="1">IFERROR(__xludf.DUMMYFUNCTION("GOOGLETRANSLATE(F7682, ""auto"", ""en"")
"),"I bought it the day before yesterday. On a 46-inch Samsung TV, even the windows have brakes. It is impossible to watch movies in HD format. I don’t know how it is in Khabarovsk, but when I went to the store to exchange for a desktop computer, the sellers "&amp;"were surprised why I bought Revo. They said the Atom processor can’t cope with HD at all!")</f>
        <v>I bought it the day before yesterday. On a 46-inch Samsung TV, even the windows have brakes. It is impossible to watch movies in HD format. I don’t know how it is in Khabarovsk, but when I went to the store to exchange for a desktop computer, the sellers were surprised why I bought Revo. They said the Atom processor can’t cope with HD at all!</v>
      </c>
    </row>
    <row r="7683" spans="1:9" x14ac:dyDescent="0.3">
      <c r="A7683" s="1" t="s">
        <v>149</v>
      </c>
      <c r="B7683" s="1" t="s">
        <v>155</v>
      </c>
      <c r="C7683" s="1" t="s">
        <v>151</v>
      </c>
      <c r="D7683" s="1" t="s">
        <v>11767</v>
      </c>
      <c r="E7683" s="1" t="s">
        <v>2118</v>
      </c>
      <c r="F7683" s="1" t="s">
        <v>11768</v>
      </c>
      <c r="G7683" s="1" t="s">
        <v>36</v>
      </c>
      <c r="H7683" s="1" t="s">
        <v>29</v>
      </c>
      <c r="I7683" s="1" t="str">
        <f ca="1">IFERROR(__xludf.DUMMYFUNCTION("GOOGLETRANSLATE(F7683, ""auto"", ""en"")
"),"I ordered it on sale and it arrived home today. So far I'm happy with everything! Featuring suction power!!beautiful! The container can be easily removed! And it’s also budget-friendly! I’m 100% satisfied!")</f>
        <v>I ordered it on sale and it arrived home today. So far I'm happy with everything! Featuring suction power!!beautiful! The container can be easily removed! And it’s also budget-friendly! I’m 100% satisfied!</v>
      </c>
    </row>
    <row r="7684" spans="1:9" x14ac:dyDescent="0.3">
      <c r="A7684" s="1" t="s">
        <v>238</v>
      </c>
      <c r="B7684" s="1" t="s">
        <v>276</v>
      </c>
      <c r="C7684" s="1" t="s">
        <v>5118</v>
      </c>
      <c r="D7684" s="1" t="s">
        <v>280</v>
      </c>
      <c r="E7684" s="1" t="s">
        <v>2110</v>
      </c>
      <c r="F7684" s="1" t="s">
        <v>11769</v>
      </c>
      <c r="G7684" s="1" t="s">
        <v>36</v>
      </c>
      <c r="H7684" s="1" t="s">
        <v>29</v>
      </c>
      <c r="I7684" s="1" t="str">
        <f ca="1">IFERROR(__xludf.DUMMYFUNCTION("GOOGLETRANSLATE(F7684, ""auto"", ""en"")
"),"We bought a refrigerator for a rented apartment, the main criterion, of course, was the price, plus they also gave a discount. In general, we didn’t regret it, it works great, it doesn’t take up much space in the kitchen, it’s roomy. In short, there are n"&amp;"o problems with him, I think that he will come with us to the new apartment))")</f>
        <v>We bought a refrigerator for a rented apartment, the main criterion, of course, was the price, plus they also gave a discount. In general, we didn’t regret it, it works great, it doesn’t take up much space in the kitchen, it’s roomy. In short, there are no problems with him, I think that he will come with us to the new apartment))</v>
      </c>
    </row>
    <row r="7685" spans="1:9" x14ac:dyDescent="0.3">
      <c r="A7685" s="1" t="s">
        <v>67</v>
      </c>
      <c r="B7685" s="1" t="s">
        <v>68</v>
      </c>
      <c r="C7685" s="1" t="s">
        <v>69</v>
      </c>
      <c r="D7685" s="1" t="s">
        <v>52</v>
      </c>
      <c r="E7685" s="1" t="s">
        <v>1946</v>
      </c>
      <c r="F7685" s="1" t="s">
        <v>11770</v>
      </c>
      <c r="G7685" s="1" t="s">
        <v>36</v>
      </c>
      <c r="H7685" s="1" t="s">
        <v>29</v>
      </c>
      <c r="I7685" s="1" t="str">
        <f ca="1">IFERROR(__xludf.DUMMYFUNCTION("GOOGLETRANSLATE(F7685, ""auto"", ""en"")
"),"Worth the money: beautiful, although this is not the most important thing, glides well, soars well, optimal weight, the lid for filling the water is rather weak, but if treated with care it will last just like the iron itself. Powerful and stands upright."&amp;" The ball cord fastening does not interfere. Vertical steaming is unsatisfactory, I don’t know what can be steamed with it. Overall this is the best for the money!")</f>
        <v>Worth the money: beautiful, although this is not the most important thing, glides well, soars well, optimal weight, the lid for filling the water is rather weak, but if treated with care it will last just like the iron itself. Powerful and stands upright. The ball cord fastening does not interfere. Vertical steaming is unsatisfactory, I don’t know what can be steamed with it. Overall this is the best for the money!</v>
      </c>
    </row>
    <row r="7686" spans="1:9" x14ac:dyDescent="0.3">
      <c r="A7686" s="1" t="s">
        <v>30</v>
      </c>
      <c r="B7686" s="1" t="s">
        <v>50</v>
      </c>
      <c r="C7686" s="1" t="s">
        <v>32</v>
      </c>
      <c r="D7686" s="1" t="s">
        <v>11771</v>
      </c>
      <c r="E7686" s="1" t="s">
        <v>1762</v>
      </c>
      <c r="F7686" s="1" t="s">
        <v>11772</v>
      </c>
      <c r="G7686" s="1" t="s">
        <v>36</v>
      </c>
      <c r="H7686" s="1" t="s">
        <v>29</v>
      </c>
      <c r="I7686" s="1" t="str">
        <f ca="1">IFERROR(__xludf.DUMMYFUNCTION("GOOGLETRANSLATE(F7686, ""auto"", ""en"")
"),"Yesterday I bought this laptop at Chongarsky.  Just a great laptop! Especially for that kind of money.  Very comfortable touchpad.   I don’t play games, but today the kids will try something, I’ll definitely write back.  I managed to try Photoshop (CS1) a"&amp;"nd Corel. Work comfortably.   Among the shortcomings (for me personally) is the lack of IEEE1394 and an ExpressCard slot. But this can be critical only for those who are going to upload video from a digital camera.")</f>
        <v>Yesterday I bought this laptop at Chongarsky.  Just a great laptop! Especially for that kind of money.  Very comfortable touchpad.   I don’t play games, but today the kids will try something, I’ll definitely write back.  I managed to try Photoshop (CS1) and Corel. Work comfortably.   Among the shortcomings (for me personally) is the lack of IEEE1394 and an ExpressCard slot. But this can be critical only for those who are going to upload video from a digital camera.</v>
      </c>
    </row>
    <row r="7687" spans="1:9" x14ac:dyDescent="0.3">
      <c r="A7687" s="1" t="s">
        <v>169</v>
      </c>
      <c r="B7687" s="1" t="s">
        <v>170</v>
      </c>
      <c r="C7687" s="1" t="s">
        <v>171</v>
      </c>
      <c r="D7687" s="1" t="s">
        <v>152</v>
      </c>
      <c r="E7687" s="1" t="s">
        <v>2815</v>
      </c>
      <c r="F7687" s="1" t="s">
        <v>11773</v>
      </c>
      <c r="G7687" s="1" t="s">
        <v>36</v>
      </c>
      <c r="H7687" s="1" t="s">
        <v>29</v>
      </c>
      <c r="I7687" s="1" t="str">
        <f ca="1">IFERROR(__xludf.DUMMYFUNCTION("GOOGLETRANSLATE(F7687, ""auto"", ""en"")
"),"I bought these headphones and am very pleased. Before this I had a Panasonic RP-HJE170 (~900 rubles, my left ear burned out), on my computer I use a Sennheiser HD 215 (~3000 rubles), so I have something to compare with. The bass holds well, the highs are "&amp;"fine, I don’t know what Pavel from Sevastopol didn’t like) Of course, this is not an AKG or some Shure, but it justifies its price, even more than that. The only thing is that the “native” double rubber bands are, to put it mildly, not very good, with the"&amp;"m the sound is somehow unnatural, plastic, but the kit comes with 3 more pairs of single rubber bands, so this is not a problem. I’m very pleased, I recommend it to everyone) Take it, you won’t regret it)")</f>
        <v>I bought these headphones and am very pleased. Before this I had a Panasonic RP-HJE170 (~900 rubles, my left ear burned out), on my computer I use a Sennheiser HD 215 (~3000 rubles), so I have something to compare with. The bass holds well, the highs are fine, I don’t know what Pavel from Sevastopol didn’t like) Of course, this is not an AKG or some Shure, but it justifies its price, even more than that. The only thing is that the “native” double rubber bands are, to put it mildly, not very good, with them the sound is somehow unnatural, plastic, but the kit comes with 3 more pairs of single rubber bands, so this is not a problem. I’m very pleased, I recommend it to everyone) Take it, you won’t regret it)</v>
      </c>
    </row>
    <row r="7688" spans="1:9" x14ac:dyDescent="0.3">
      <c r="A7688" s="1" t="s">
        <v>211</v>
      </c>
      <c r="B7688" s="1" t="s">
        <v>384</v>
      </c>
      <c r="C7688" s="1" t="s">
        <v>63</v>
      </c>
      <c r="D7688" s="1" t="s">
        <v>774</v>
      </c>
      <c r="E7688" s="1" t="s">
        <v>1742</v>
      </c>
      <c r="F7688" s="1" t="s">
        <v>11774</v>
      </c>
      <c r="G7688" s="1" t="s">
        <v>49</v>
      </c>
      <c r="H7688" s="1" t="s">
        <v>16</v>
      </c>
      <c r="I7688" s="1" t="str">
        <f ca="1">IFERROR(__xludf.DUMMYFUNCTION("GOOGLETRANSLATE(F7688, ""auto"", ""en"")
"),"The store manager advised me to buy Bosch. We came home and were immediately disappointed. Numbers are not printed. They thought it was the battery. We bought it, the situation remained the same. Let's go exchange.")</f>
        <v>The store manager advised me to buy Bosch. We came home and were immediately disappointed. Numbers are not printed. They thought it was the battery. We bought it, the situation remained the same. Let's go exchange.</v>
      </c>
    </row>
    <row r="7689" spans="1:9" x14ac:dyDescent="0.3">
      <c r="A7689" s="1" t="s">
        <v>61</v>
      </c>
      <c r="B7689" s="1" t="s">
        <v>434</v>
      </c>
      <c r="C7689" s="1" t="s">
        <v>101</v>
      </c>
      <c r="D7689" s="1" t="s">
        <v>32</v>
      </c>
      <c r="E7689" s="1" t="s">
        <v>2611</v>
      </c>
      <c r="F7689" s="1" t="s">
        <v>11775</v>
      </c>
      <c r="G7689" s="1" t="s">
        <v>36</v>
      </c>
      <c r="H7689" s="1" t="s">
        <v>29</v>
      </c>
      <c r="I7689" s="1" t="str">
        <f ca="1">IFERROR(__xludf.DUMMYFUNCTION("GOOGLETRANSLATE(F7689, ""auto"", ""en"")
"),"Happy with the stove! Very compact. It makes excellent casseroles and hot sandwiches. It’s convenient that you can choose three modes: oven from above, from below and from all sides. True, the volume is small, a large baking sheet does not fit, but for a "&amp;"small family it’s just right. And when they cooked it for the first time, it began to smoke and stink. But then everything was fine.")</f>
        <v>Happy with the stove! Very compact. It makes excellent casseroles and hot sandwiches. It’s convenient that you can choose three modes: oven from above, from below and from all sides. True, the volume is small, a large baking sheet does not fit, but for a small family it’s just right. And when they cooked it for the first time, it began to smoke and stink. But then everything was fine.</v>
      </c>
    </row>
    <row r="7690" spans="1:9" x14ac:dyDescent="0.3">
      <c r="A7690" s="1" t="s">
        <v>61</v>
      </c>
      <c r="B7690" s="1" t="s">
        <v>726</v>
      </c>
      <c r="C7690" s="1" t="s">
        <v>146</v>
      </c>
      <c r="D7690" s="1" t="s">
        <v>75</v>
      </c>
      <c r="E7690" s="1" t="s">
        <v>386</v>
      </c>
      <c r="F7690" s="1" t="s">
        <v>11776</v>
      </c>
      <c r="G7690" s="1" t="s">
        <v>36</v>
      </c>
      <c r="H7690" s="1" t="s">
        <v>29</v>
      </c>
      <c r="I7690" s="1" t="str">
        <f ca="1">IFERROR(__xludf.DUMMYFUNCTION("GOOGLETRANSLATE(F7690, ""auto"", ""en"")
"),"Excellent bread maker!!!! Only I have the BM350 model. I've been using it for almost 2 years. It bakes and finishes perfectly. And I only pour water with a measuring cup. I don't use scales at all. I got used to it by eye, and if I don’t get enough sleep,"&amp;" I look at the lump. To prevent flour from remaining, use a spatula.  And I completely agree with Tatyana about the hands from the wrong place!!! If they are not from there, then no other model will help!!!")</f>
        <v>Excellent bread maker!!!! Only I have the BM350 model. I've been using it for almost 2 years. It bakes and finishes perfectly. And I only pour water with a measuring cup. I don't use scales at all. I got used to it by eye, and if I don’t get enough sleep, I look at the lump. To prevent flour from remaining, use a spatula.  And I completely agree with Tatyana about the hands from the wrong place!!! If they are not from there, then no other model will help!!!</v>
      </c>
    </row>
    <row r="7691" spans="1:9" x14ac:dyDescent="0.3">
      <c r="A7691" s="1" t="s">
        <v>37</v>
      </c>
      <c r="B7691" s="1" t="s">
        <v>536</v>
      </c>
      <c r="C7691" s="1" t="s">
        <v>1419</v>
      </c>
      <c r="D7691" s="1" t="s">
        <v>4773</v>
      </c>
      <c r="E7691" s="1" t="s">
        <v>634</v>
      </c>
      <c r="F7691" s="1" t="s">
        <v>11777</v>
      </c>
      <c r="G7691" s="1" t="s">
        <v>36</v>
      </c>
      <c r="H7691" s="1" t="s">
        <v>29</v>
      </c>
      <c r="I7691" s="1" t="str">
        <f ca="1">IFERROR(__xludf.DUMMYFUNCTION("GOOGLETRANSLATE(F7691, ""auto"", ""en"")
"),"The device is excellent, I had to tinker with it for a week to figure out the settings and capabilities, but when you figure out all the bells and whistles, you just enjoy the device. This is a normal, I would even say “brutal” design. The presence of wi-"&amp;"fi is very necessary, when choosing, it was a dilemma to take Acer101 or Rover v7. Acer101 does not have wi-fi, the choice fell on Rover. In the 2 months I've been using it I haven't had a single glitch or freeze. I recommend it to those who are thinking,"&amp;" for that kind of money there are simply no analogues!!!")</f>
        <v>The device is excellent, I had to tinker with it for a week to figure out the settings and capabilities, but when you figure out all the bells and whistles, you just enjoy the device. This is a normal, I would even say “brutal” design. The presence of wi-fi is very necessary, when choosing, it was a dilemma to take Acer101 or Rover v7. Acer101 does not have wi-fi, the choice fell on Rover. In the 2 months I've been using it I haven't had a single glitch or freeze. I recommend it to those who are thinking, for that kind of money there are simply no analogues!!!</v>
      </c>
    </row>
    <row r="7692" spans="1:9" x14ac:dyDescent="0.3">
      <c r="A7692" s="1" t="s">
        <v>43</v>
      </c>
      <c r="B7692" s="1" t="s">
        <v>303</v>
      </c>
      <c r="C7692" s="1" t="s">
        <v>220</v>
      </c>
      <c r="D7692" s="1" t="s">
        <v>589</v>
      </c>
      <c r="E7692" s="1" t="s">
        <v>10427</v>
      </c>
      <c r="F7692" s="1" t="s">
        <v>11778</v>
      </c>
      <c r="G7692" s="1" t="s">
        <v>36</v>
      </c>
      <c r="H7692" s="1" t="s">
        <v>29</v>
      </c>
      <c r="I7692" s="1" t="str">
        <f ca="1">IFERROR(__xludf.DUMMYFUNCTION("GOOGLETRANSLATE(F7692, ""auto"", ""en"")
"),"When moving to a new apartment, it leaked during installation, they sent it in for warranty repairs, it turned out to be a technical fault, they exchanged it for a new one after 2 years of use, they gave me a new one with a touch panel and a control panel"&amp;", there were no comments, it has been working perfectly for 6 years. Friends also bought from the same company only 30 liters, they are also happy, I recommend it to everyone.")</f>
        <v>When moving to a new apartment, it leaked during installation, they sent it in for warranty repairs, it turned out to be a technical fault, they exchanged it for a new one after 2 years of use, they gave me a new one with a touch panel and a control panel, there were no comments, it has been working perfectly for 6 years. Friends also bought from the same company only 30 liters, they are also happy, I recommend it to everyone.</v>
      </c>
    </row>
    <row r="7693" spans="1:9" x14ac:dyDescent="0.3">
      <c r="A7693" s="1" t="s">
        <v>78</v>
      </c>
      <c r="B7693" s="1" t="s">
        <v>1163</v>
      </c>
      <c r="C7693" s="1" t="s">
        <v>151</v>
      </c>
      <c r="D7693" s="1" t="s">
        <v>521</v>
      </c>
      <c r="E7693" s="1" t="s">
        <v>285</v>
      </c>
      <c r="F7693" s="1" t="s">
        <v>11779</v>
      </c>
      <c r="G7693" s="1" t="s">
        <v>36</v>
      </c>
      <c r="H7693" s="1" t="s">
        <v>29</v>
      </c>
      <c r="I7693" s="1" t="str">
        <f ca="1">IFERROR(__xludf.DUMMYFUNCTION("GOOGLETRANSLATE(F7693, ""auto"", ""en"")
"),"We've been using it at work for 2 years now, no complaints :)")</f>
        <v>We've been using it at work for 2 years now, no complaints :)</v>
      </c>
    </row>
    <row r="7694" spans="1:9" x14ac:dyDescent="0.3">
      <c r="A7694" s="1" t="s">
        <v>120</v>
      </c>
      <c r="B7694" s="1" t="s">
        <v>121</v>
      </c>
      <c r="C7694" s="1" t="s">
        <v>69</v>
      </c>
      <c r="D7694" s="1" t="s">
        <v>568</v>
      </c>
      <c r="E7694" s="1" t="s">
        <v>1553</v>
      </c>
      <c r="F7694" s="1" t="s">
        <v>11780</v>
      </c>
      <c r="G7694" s="1" t="s">
        <v>49</v>
      </c>
      <c r="H7694" s="1" t="s">
        <v>16</v>
      </c>
      <c r="I7694" s="1" t="str">
        <f ca="1">IFERROR(__xludf.DUMMYFUNCTION("GOOGLETRANSLATE(F7694, ""auto"", ""en"")
"),"I've been using this TV for a little over a year. As soon as the warranty expired it burned out. The repair costs approximately 17,000 rubles (14,000 fee + labor). I read it on the forks, it turned out that they have this disease.   Don't buy!!! very bad "&amp;"TV!!")</f>
        <v>I've been using this TV for a little over a year. As soon as the warranty expired it burned out. The repair costs approximately 17,000 rubles (14,000 fee + labor). I read it on the forks, it turned out that they have this disease.   Don't buy!!! very bad TV!!</v>
      </c>
    </row>
    <row r="7695" spans="1:9" x14ac:dyDescent="0.3">
      <c r="A7695" s="1" t="s">
        <v>373</v>
      </c>
      <c r="B7695" s="1" t="s">
        <v>374</v>
      </c>
      <c r="C7695" s="1" t="s">
        <v>134</v>
      </c>
      <c r="D7695" s="1" t="s">
        <v>171</v>
      </c>
      <c r="E7695" s="1" t="s">
        <v>1866</v>
      </c>
      <c r="F7695" s="1" t="s">
        <v>11781</v>
      </c>
      <c r="G7695" s="1" t="s">
        <v>36</v>
      </c>
      <c r="H7695" s="1" t="s">
        <v>29</v>
      </c>
      <c r="I7695" s="1" t="str">
        <f ca="1">IFERROR(__xludf.DUMMYFUNCTION("GOOGLETRANSLATE(F7695, ""auto"", ""en"")
"),"Great purchase, I recommend it to everyone. I've been using it for half a year, no complaints. A big plus is washing at 70 degrees. Cleans almost everything that a dishwasher can wash. Dries well too. It is only important to get the hang of stacking the d"&amp;"ishes correctly so that everything is washed and dried well. I wash almost everything in it - there are only advantages: free time, perfectly clean dishes, a clean kitchen all the time without a visible accumulation of dirty dishes. Simple and easy to use"&amp;". One piece of advice to all those who doubt it - take it, you won’t regret it.")</f>
        <v>Great purchase, I recommend it to everyone. I've been using it for half a year, no complaints. A big plus is washing at 70 degrees. Cleans almost everything that a dishwasher can wash. Dries well too. It is only important to get the hang of stacking the dishes correctly so that everything is washed and dried well. I wash almost everything in it - there are only advantages: free time, perfectly clean dishes, a clean kitchen all the time without a visible accumulation of dirty dishes. Simple and easy to use. One piece of advice to all those who doubt it - take it, you won’t regret it.</v>
      </c>
    </row>
    <row r="7696" spans="1:9" x14ac:dyDescent="0.3">
      <c r="A7696" s="1" t="s">
        <v>43</v>
      </c>
      <c r="B7696" s="1" t="s">
        <v>1382</v>
      </c>
      <c r="C7696" s="1" t="s">
        <v>57</v>
      </c>
      <c r="D7696" s="1" t="s">
        <v>565</v>
      </c>
      <c r="E7696" s="1" t="s">
        <v>11782</v>
      </c>
      <c r="F7696" s="1" t="s">
        <v>11783</v>
      </c>
      <c r="G7696" s="1" t="s">
        <v>36</v>
      </c>
      <c r="H7696" s="1" t="s">
        <v>29</v>
      </c>
      <c r="I7696" s="1" t="str">
        <f ca="1">IFERROR(__xludf.DUMMYFUNCTION("GOOGLETRANSLATE(F7696, ""auto"", ""en"")
"),"The fan, indeed, is almost similar to an air conditioner, if it is directed straight, and if when it rotates, it blows less coolly, that is, like a fan narrower. At 2nd and 3rd speed you can cool down, even during fainting, since the heat in Volgograd is "&amp;"like in Africa. Super fan! Has been working for more than 2 years.")</f>
        <v>The fan, indeed, is almost similar to an air conditioner, if it is directed straight, and if when it rotates, it blows less coolly, that is, like a fan narrower. At 2nd and 3rd speed you can cool down, even during fainting, since the heat in Volgograd is like in Africa. Super fan! Has been working for more than 2 years.</v>
      </c>
    </row>
    <row r="7697" spans="1:9" x14ac:dyDescent="0.3">
      <c r="A7697" s="1" t="s">
        <v>211</v>
      </c>
      <c r="B7697" s="1" t="s">
        <v>384</v>
      </c>
      <c r="C7697" s="1" t="s">
        <v>246</v>
      </c>
      <c r="D7697" s="1" t="s">
        <v>114</v>
      </c>
      <c r="E7697" s="1" t="s">
        <v>1219</v>
      </c>
      <c r="F7697" s="1" t="s">
        <v>11784</v>
      </c>
      <c r="G7697" s="1" t="s">
        <v>36</v>
      </c>
      <c r="H7697" s="1" t="s">
        <v>29</v>
      </c>
      <c r="I7697" s="1" t="str">
        <f ca="1">IFERROR(__xludf.DUMMYFUNCTION("GOOGLETRANSLATE(F7697, ""auto"", ""en"")
"),"stylish little thing that also shows the weight)) we’ve been using it for 3 years until it broke))")</f>
        <v>stylish little thing that also shows the weight)) we’ve been using it for 3 years until it broke))</v>
      </c>
    </row>
    <row r="7698" spans="1:9" x14ac:dyDescent="0.3">
      <c r="A7698" s="1" t="s">
        <v>61</v>
      </c>
      <c r="B7698" s="1" t="s">
        <v>73</v>
      </c>
      <c r="C7698" s="1" t="s">
        <v>85</v>
      </c>
      <c r="D7698" s="1" t="s">
        <v>5897</v>
      </c>
      <c r="E7698" s="1" t="s">
        <v>7756</v>
      </c>
      <c r="F7698" s="1" t="s">
        <v>11785</v>
      </c>
      <c r="G7698" s="1" t="s">
        <v>36</v>
      </c>
      <c r="H7698" s="1" t="s">
        <v>29</v>
      </c>
      <c r="I7698" s="1" t="str">
        <f ca="1">IFERROR(__xludf.DUMMYFUNCTION("GOOGLETRANSLATE(F7698, ""auto"", ""en"")
"),"Very happy with the purchase! Takes up little space, easy to clean, works quickly! I recommend!")</f>
        <v>Very happy with the purchase! Takes up little space, easy to clean, works quickly! I recommend!</v>
      </c>
    </row>
    <row r="7699" spans="1:9" x14ac:dyDescent="0.3">
      <c r="A7699" s="1" t="s">
        <v>61</v>
      </c>
      <c r="B7699" s="1" t="s">
        <v>318</v>
      </c>
      <c r="C7699" s="1" t="s">
        <v>69</v>
      </c>
      <c r="D7699" s="1" t="s">
        <v>1890</v>
      </c>
      <c r="E7699" s="1" t="s">
        <v>11786</v>
      </c>
      <c r="F7699" s="1" t="s">
        <v>11787</v>
      </c>
      <c r="G7699" s="1" t="s">
        <v>36</v>
      </c>
      <c r="H7699" s="1" t="s">
        <v>29</v>
      </c>
      <c r="I7699" s="1" t="str">
        <f ca="1">IFERROR(__xludf.DUMMYFUNCTION("GOOGLETRANSLATE(F7699, ""auto"", ""en"")
"),"I’ve been using the kettle for several years now, I like that it rotates 360*, it’s convenient to take with either free hand, it heats up quickly, the noise doesn’t bother me at all - I won’t say that it’s that noisy, the handle is comfortable even for my"&amp;" small hand, scale appeared only after a year, it was easily cleaned off by just boiling it with a spoonful of citric acid and leaving it for 2 hours - the heating element is again shiny and snow-white inside, personally I’m happy with its performance. An"&amp;"d everything is fine with the weight too. I'm going to buy the same one as a gift. The only thing I have on one side is the paint on the Philips letters - but this is so insignificant when everything else is good. There is no plastic smell, even if you le"&amp;"ave the water overnight. Personally, I advise price-quality - everything is there. And the power indicator is useless - after all, the button indicates (0) or (I) - everything is clear when it is on and when it is not.")</f>
        <v>I’ve been using the kettle for several years now, I like that it rotates 360*, it’s convenient to take with either free hand, it heats up quickly, the noise doesn’t bother me at all - I won’t say that it’s that noisy, the handle is comfortable even for my small hand, scale appeared only after a year, it was easily cleaned off by just boiling it with a spoonful of citric acid and leaving it for 2 hours - the heating element is again shiny and snow-white inside, personally I’m happy with its performance. And everything is fine with the weight too. I'm going to buy the same one as a gift. The only thing I have on one side is the paint on the Philips letters - but this is so insignificant when everything else is good. There is no plastic smell, even if you leave the water overnight. Personally, I advise price-quality - everything is there. And the power indicator is useless - after all, the button indicates (0) or (I) - everything is clear when it is on and when it is not.</v>
      </c>
    </row>
    <row r="7700" spans="1:9" x14ac:dyDescent="0.3">
      <c r="A7700" s="1" t="s">
        <v>211</v>
      </c>
      <c r="B7700" s="1" t="s">
        <v>899</v>
      </c>
      <c r="C7700" s="1" t="s">
        <v>213</v>
      </c>
      <c r="D7700" s="1" t="s">
        <v>940</v>
      </c>
      <c r="E7700" s="1" t="s">
        <v>2514</v>
      </c>
      <c r="F7700" s="1" t="s">
        <v>11788</v>
      </c>
      <c r="G7700" s="1" t="s">
        <v>28</v>
      </c>
      <c r="H7700" s="1" t="s">
        <v>29</v>
      </c>
      <c r="I7700" s="1" t="str">
        <f ca="1">IFERROR(__xludf.DUMMYFUNCTION("GOOGLETRANSLATE(F7700, ""auto"", ""en"")
"),"I bought a brush. At home I discovered that the package was incomplete; there was no attachment. Although it is included in the kit. And the sellers assure that all goods have been checked. Check the package. Otherwise, good quality for little money.")</f>
        <v>I bought a brush. At home I discovered that the package was incomplete; there was no attachment. Although it is included in the kit. And the sellers assure that all goods have been checked. Check the package. Otherwise, good quality for little money.</v>
      </c>
    </row>
    <row r="7701" spans="1:9" x14ac:dyDescent="0.3">
      <c r="A7701" s="1" t="s">
        <v>61</v>
      </c>
      <c r="B7701" s="1" t="s">
        <v>318</v>
      </c>
      <c r="C7701" s="1" t="s">
        <v>246</v>
      </c>
      <c r="D7701" s="1" t="s">
        <v>295</v>
      </c>
      <c r="E7701" s="1" t="s">
        <v>3269</v>
      </c>
      <c r="F7701" s="1" t="s">
        <v>11789</v>
      </c>
      <c r="G7701" s="1" t="s">
        <v>15</v>
      </c>
      <c r="H7701" s="1" t="s">
        <v>16</v>
      </c>
      <c r="I7701" s="1" t="str">
        <f ca="1">IFERROR(__xludf.DUMMYFUNCTION("GOOGLETRANSLATE(F7701, ""auto"", ""en"")
"),"Today we bought this kettle on sale. I liked it at first sight. BUT: It has such a short wire that my husband had to cut another hole in the stand so that the wire would not be so tight. This is not our first kettle - I have never seen such a short wire. "&amp;"A very awkward moment.")</f>
        <v>Today we bought this kettle on sale. I liked it at first sight. BUT: It has such a short wire that my husband had to cut another hole in the stand so that the wire would not be so tight. This is not our first kettle - I have never seen such a short wire. A very awkward moment.</v>
      </c>
    </row>
    <row r="7702" spans="1:9" x14ac:dyDescent="0.3">
      <c r="A7702" s="1" t="s">
        <v>55</v>
      </c>
      <c r="B7702" s="1" t="s">
        <v>184</v>
      </c>
      <c r="C7702" s="1" t="s">
        <v>101</v>
      </c>
      <c r="D7702" s="1" t="s">
        <v>742</v>
      </c>
      <c r="E7702" s="1" t="s">
        <v>5346</v>
      </c>
      <c r="F7702" s="1" t="s">
        <v>11790</v>
      </c>
      <c r="G7702" s="1" t="s">
        <v>49</v>
      </c>
      <c r="H7702" s="1" t="s">
        <v>16</v>
      </c>
      <c r="I7702" s="1" t="str">
        <f ca="1">IFERROR(__xludf.DUMMYFUNCTION("GOOGLETRANSLATE(F7702, ""auto"", ""en"")
"),"Worked for about 20 minutes. It doesn't react to anything anymore. It didn’t overheat, didn’t open, I stupidly plugged it in, 20 minutes passed and now it doesn’t work. Scarlett is such a Scarlett... Don’t take it even at gunpoint, you’ll still soon go to"&amp;" replace it or send it in for repairs.")</f>
        <v>Worked for about 20 minutes. It doesn't react to anything anymore. It didn’t overheat, didn’t open, I stupidly plugged it in, 20 minutes passed and now it doesn’t work. Scarlett is such a Scarlett... Don’t take it even at gunpoint, you’ll still soon go to replace it or send it in for repairs.</v>
      </c>
    </row>
    <row r="7703" spans="1:9" x14ac:dyDescent="0.3">
      <c r="A7703" s="1" t="s">
        <v>17</v>
      </c>
      <c r="B7703" s="1" t="s">
        <v>18</v>
      </c>
      <c r="C7703" s="1" t="s">
        <v>243</v>
      </c>
      <c r="D7703" s="1" t="s">
        <v>81</v>
      </c>
      <c r="E7703" s="1" t="s">
        <v>4383</v>
      </c>
      <c r="F7703" s="1" t="s">
        <v>11791</v>
      </c>
      <c r="G7703" s="1" t="s">
        <v>94</v>
      </c>
      <c r="H7703" s="1" t="s">
        <v>29</v>
      </c>
      <c r="I7703" s="1" t="str">
        <f ca="1">IFERROR(__xludf.DUMMYFUNCTION("GOOGLETRANSLATE(F7703, ""auto"", ""en"")
"),"quiet and does not vibrate")</f>
        <v>quiet and does not vibrate</v>
      </c>
    </row>
    <row r="7704" spans="1:9" x14ac:dyDescent="0.3">
      <c r="A7704" s="1" t="s">
        <v>149</v>
      </c>
      <c r="B7704" s="1" t="s">
        <v>423</v>
      </c>
      <c r="C7704" s="1" t="s">
        <v>424</v>
      </c>
      <c r="D7704" s="1" t="s">
        <v>3130</v>
      </c>
      <c r="E7704" s="1" t="s">
        <v>1467</v>
      </c>
      <c r="F7704" s="1" t="s">
        <v>11792</v>
      </c>
      <c r="G7704" s="1" t="s">
        <v>36</v>
      </c>
      <c r="H7704" s="1" t="s">
        <v>29</v>
      </c>
      <c r="I7704" s="1" t="str">
        <f ca="1">IFERROR(__xludf.DUMMYFUNCTION("GOOGLETRANSLATE(F7704, ""auto"", ""en"")
"),"A year later, after purchasing this unit, we decided to write a review.   We have been using a vacuum cleaner for a year, we do wet cleaning (washing the carpet) once a month (we have a small child, so often). We are very pleased, the carpet turns white b"&amp;"efore our eyes, as for dry cleaning, like all conventional vacuum cleaners, we didn’t notice the difference, but this does not matter since there is a small household one for dry cleaning. In general, we advise you to take it, you won’t regret it. Especia"&amp;"lly if you have a small child.  Among the shortcomings, in our opinion, is a small tank for clean water, only enough for one carpet. And there is no electric beater like the Bork, it’s not even possible to buy it separately.")</f>
        <v>A year later, after purchasing this unit, we decided to write a review.   We have been using a vacuum cleaner for a year, we do wet cleaning (washing the carpet) once a month (we have a small child, so often). We are very pleased, the carpet turns white before our eyes, as for dry cleaning, like all conventional vacuum cleaners, we didn’t notice the difference, but this does not matter since there is a small household one for dry cleaning. In general, we advise you to take it, you won’t regret it. Especially if you have a small child.  Among the shortcomings, in our opinion, is a small tank for clean water, only enough for one carpet. And there is no electric beater like the Bork, it’s not even possible to buy it separately.</v>
      </c>
    </row>
    <row r="7705" spans="1:9" x14ac:dyDescent="0.3">
      <c r="A7705" s="1" t="s">
        <v>95</v>
      </c>
      <c r="B7705" s="1" t="s">
        <v>4131</v>
      </c>
      <c r="C7705" s="1" t="s">
        <v>97</v>
      </c>
      <c r="D7705" s="1" t="s">
        <v>280</v>
      </c>
      <c r="E7705" s="1" t="s">
        <v>4750</v>
      </c>
      <c r="F7705" s="1" t="s">
        <v>11793</v>
      </c>
      <c r="G7705" s="1" t="s">
        <v>36</v>
      </c>
      <c r="H7705" s="1" t="s">
        <v>29</v>
      </c>
      <c r="I7705" s="1" t="str">
        <f ca="1">IFERROR(__xludf.DUMMYFUNCTION("GOOGLETRANSLATE(F7705, ""auto"", ""en"")
"),"Very pleased with the purchase! The set is good - super game + 8Gb card, excellent controls, battery life is good! I don't regret the money spent!")</f>
        <v>Very pleased with the purchase! The set is good - super game + 8Gb card, excellent controls, battery life is good! I don't regret the money spent!</v>
      </c>
    </row>
    <row r="7706" spans="1:9" x14ac:dyDescent="0.3">
      <c r="A7706" s="1" t="s">
        <v>61</v>
      </c>
      <c r="B7706" s="1" t="s">
        <v>977</v>
      </c>
      <c r="C7706" s="1" t="s">
        <v>213</v>
      </c>
      <c r="D7706" s="1" t="s">
        <v>64</v>
      </c>
      <c r="E7706" s="1" t="s">
        <v>540</v>
      </c>
      <c r="F7706" s="1" t="s">
        <v>11794</v>
      </c>
      <c r="G7706" s="1" t="s">
        <v>36</v>
      </c>
      <c r="H7706" s="1" t="s">
        <v>29</v>
      </c>
      <c r="I7706" s="1" t="str">
        <f ca="1">IFERROR(__xludf.DUMMYFUNCTION("GOOGLETRANSLATE(F7706, ""auto"", ""en"")
"),"super thing!!!!!! I’ve been using it myself for 4 years, I even bought it yesterday as a gift for my parents, but the package does not include a wall mount or a lid for the glass!!!! although the website says that it should be!")</f>
        <v>super thing!!!!!! I’ve been using it myself for 4 years, I even bought it yesterday as a gift for my parents, but the package does not include a wall mount or a lid for the glass!!!! although the website says that it should be!</v>
      </c>
    </row>
    <row r="7707" spans="1:9" x14ac:dyDescent="0.3">
      <c r="A7707" s="1" t="s">
        <v>61</v>
      </c>
      <c r="B7707" s="1" t="s">
        <v>726</v>
      </c>
      <c r="C7707" s="1" t="s">
        <v>85</v>
      </c>
      <c r="D7707" s="1" t="s">
        <v>247</v>
      </c>
      <c r="E7707" s="1" t="s">
        <v>9663</v>
      </c>
      <c r="F7707" s="1" t="s">
        <v>11795</v>
      </c>
      <c r="G7707" s="1" t="s">
        <v>49</v>
      </c>
      <c r="H7707" s="1" t="s">
        <v>16</v>
      </c>
      <c r="I7707" s="1" t="str">
        <f ca="1">IFERROR(__xludf.DUMMYFUNCTION("GOOGLETRANSLATE(F7707, ""auto"", ""en"")
"),"It bakes disgustingly. The bread comes out in one go. I make it strictly according to the recipe. We even bought electronic scales - we weigh everything down to the gram. They changed the yeast - without result. I'm not happy. It's not worth this money.")</f>
        <v>It bakes disgustingly. The bread comes out in one go. I make it strictly according to the recipe. We even bought electronic scales - we weigh everything down to the gram. They changed the yeast - without result. I'm not happy. It's not worth this money.</v>
      </c>
    </row>
    <row r="7708" spans="1:9" x14ac:dyDescent="0.3">
      <c r="A7708" s="1" t="s">
        <v>120</v>
      </c>
      <c r="B7708" s="1" t="s">
        <v>196</v>
      </c>
      <c r="C7708" s="1" t="s">
        <v>69</v>
      </c>
      <c r="D7708" s="1" t="s">
        <v>411</v>
      </c>
      <c r="E7708" s="1" t="s">
        <v>824</v>
      </c>
      <c r="F7708" s="1" t="s">
        <v>11796</v>
      </c>
      <c r="G7708" s="1" t="s">
        <v>36</v>
      </c>
      <c r="H7708" s="1" t="s">
        <v>29</v>
      </c>
      <c r="I7708" s="1" t="str">
        <f ca="1">IFERROR(__xludf.DUMMYFUNCTION("GOOGLETRANSLATE(F7708, ""auto"", ""en"")
"),"A very good copy. The broadcast shows an honest 4+, 4+ because it’s a budget option, and in its class it’s a pure 5, but again I have a good signal from the antenna... From a computer it’s just great! Now I need to buy wireless peripherals and surf the In"&amp;"ternet on the sofa... Overall, I’m more than satisfied, I saw the budget Sonya - it can’t even be compared with this unit!    If anyone chooses in this price range, then, in my opinion, this is the best option, and M.Video has a wonderful price tag, simil"&amp;"ar ones in other magicians are 3-5 thousand more expensive.")</f>
        <v>A very good copy. The broadcast shows an honest 4+, 4+ because it’s a budget option, and in its class it’s a pure 5, but again I have a good signal from the antenna... From a computer it’s just great! Now I need to buy wireless peripherals and surf the Internet on the sofa... Overall, I’m more than satisfied, I saw the budget Sonya - it can’t even be compared with this unit!    If anyone chooses in this price range, then, in my opinion, this is the best option, and M.Video has a wonderful price tag, similar ones in other magicians are 3-5 thousand more expensive.</v>
      </c>
    </row>
    <row r="7709" spans="1:9" x14ac:dyDescent="0.3">
      <c r="A7709" s="1" t="s">
        <v>17</v>
      </c>
      <c r="B7709" s="1" t="s">
        <v>18</v>
      </c>
      <c r="C7709" s="1" t="s">
        <v>243</v>
      </c>
      <c r="D7709" s="1" t="s">
        <v>64</v>
      </c>
      <c r="E7709" s="1" t="s">
        <v>3337</v>
      </c>
      <c r="F7709" s="1" t="s">
        <v>11797</v>
      </c>
      <c r="G7709" s="1" t="s">
        <v>36</v>
      </c>
      <c r="H7709" s="1" t="s">
        <v>29</v>
      </c>
      <c r="I7709" s="1" t="str">
        <f ca="1">IFERROR(__xludf.DUMMYFUNCTION("GOOGLETRANSLATE(F7709, ""auto"", ""en"")
"),"An excellent machine, for such a price!) It does its job well!))")</f>
        <v>An excellent machine, for such a price!) It does its job well!))</v>
      </c>
    </row>
    <row r="7710" spans="1:9" x14ac:dyDescent="0.3">
      <c r="A7710" s="1" t="s">
        <v>211</v>
      </c>
      <c r="B7710" s="1" t="s">
        <v>899</v>
      </c>
      <c r="C7710" s="1" t="s">
        <v>213</v>
      </c>
      <c r="D7710" s="1" t="s">
        <v>295</v>
      </c>
      <c r="E7710" s="1" t="s">
        <v>225</v>
      </c>
      <c r="F7710" s="1" t="s">
        <v>11798</v>
      </c>
      <c r="G7710" s="1" t="s">
        <v>36</v>
      </c>
      <c r="H7710" s="1" t="s">
        <v>29</v>
      </c>
      <c r="I7710" s="1" t="str">
        <f ca="1">IFERROR(__xludf.DUMMYFUNCTION("GOOGLETRANSLATE(F7710, ""auto"", ""en"")
"),"I've been using it for more than 1.5 years, I'm very satisfied. To this tooth. The brush has different attachments. The small nozzle is very convenient for cleaning hard-to-reach places. After cleaning, you feel like your plugs are clean and shiny!")</f>
        <v>I've been using it for more than 1.5 years, I'm very satisfied. To this tooth. The brush has different attachments. The small nozzle is very convenient for cleaning hard-to-reach places. After cleaning, you feel like your plugs are clean and shiny!</v>
      </c>
    </row>
    <row r="7711" spans="1:9" x14ac:dyDescent="0.3">
      <c r="A7711" s="1" t="s">
        <v>120</v>
      </c>
      <c r="B7711" s="1" t="s">
        <v>121</v>
      </c>
      <c r="C7711" s="1" t="s">
        <v>151</v>
      </c>
      <c r="D7711" s="1" t="s">
        <v>11799</v>
      </c>
      <c r="E7711" s="1" t="s">
        <v>794</v>
      </c>
      <c r="F7711" s="1" t="s">
        <v>11800</v>
      </c>
      <c r="G7711" s="1" t="s">
        <v>28</v>
      </c>
      <c r="H7711" s="1" t="s">
        <v>29</v>
      </c>
      <c r="I7711" s="1" t="str">
        <f ca="1">IFERROR(__xludf.DUMMYFUNCTION("GOOGLETRANSLATE(F7711, ""auto"", ""en"")
"),"In general, the TV is good, I bought it a month and a half ago, the remote control is convenient, the settings are also intuitive, and you can turn off the sound when turning it on and off from the main menu, almost at the end of the speaker. I, too, when"&amp;" I turned it on for the first time, strained the sound. Then I found the setting and turned it off. I watch movies from the laptop, the sound is output to the receiver through additional audio outputs. I’ll soon get satellite TV so that the quality of the"&amp;" channels will please me. Otherwise, with a regular “snow and blizzard” antenna, I advise you to buy a TV set - you’re happy with the design and functionality.")</f>
        <v>In general, the TV is good, I bought it a month and a half ago, the remote control is convenient, the settings are also intuitive, and you can turn off the sound when turning it on and off from the main menu, almost at the end of the speaker. I, too, when I turned it on for the first time, strained the sound. Then I found the setting and turned it off. I watch movies from the laptop, the sound is output to the receiver through additional audio outputs. I’ll soon get satellite TV so that the quality of the channels will please me. Otherwise, with a regular “snow and blizzard” antenna, I advise you to buy a TV set - you’re happy with the design and functionality.</v>
      </c>
    </row>
    <row r="7712" spans="1:9" x14ac:dyDescent="0.3">
      <c r="A7712" s="1" t="s">
        <v>61</v>
      </c>
      <c r="B7712" s="1" t="s">
        <v>1126</v>
      </c>
      <c r="C7712" s="1" t="s">
        <v>57</v>
      </c>
      <c r="D7712" s="1" t="s">
        <v>64</v>
      </c>
      <c r="E7712" s="1" t="s">
        <v>9945</v>
      </c>
      <c r="F7712" s="1" t="s">
        <v>11801</v>
      </c>
      <c r="G7712" s="1" t="s">
        <v>36</v>
      </c>
      <c r="H7712" s="1" t="s">
        <v>29</v>
      </c>
      <c r="I7712" s="1" t="str">
        <f ca="1">IFERROR(__xludf.DUMMYFUNCTION("GOOGLETRANSLATE(F7712, ""auto"", ""en"")
"),"I've been using it for 1.5 years and it works perfectly. I use it all the time. They accidentally fell into the water once, I thought they were all broken, but a day later I turned them on and they worked as if nothing had happened.")</f>
        <v>I've been using it for 1.5 years and it works perfectly. I use it all the time. They accidentally fell into the water once, I thought they were all broken, but a day later I turned them on and they worked as if nothing had happened.</v>
      </c>
    </row>
    <row r="7713" spans="1:9" x14ac:dyDescent="0.3">
      <c r="A7713" s="1" t="s">
        <v>557</v>
      </c>
      <c r="B7713" s="1" t="s">
        <v>558</v>
      </c>
      <c r="C7713" s="1" t="s">
        <v>122</v>
      </c>
      <c r="D7713" s="1" t="s">
        <v>81</v>
      </c>
      <c r="E7713" s="1" t="s">
        <v>164</v>
      </c>
      <c r="F7713" s="1" t="s">
        <v>11802</v>
      </c>
      <c r="G7713" s="1" t="s">
        <v>36</v>
      </c>
      <c r="H7713" s="1" t="s">
        <v>29</v>
      </c>
      <c r="I7713" s="1" t="str">
        <f ca="1">IFERROR(__xludf.DUMMYFUNCTION("GOOGLETRANSLATE(F7713, ""auto"", ""en"")
"),"Excellent device, stylish and elegant design, decent functionality. Ideal for home and office.    The only disadvantage is that it is not always possible to connect Caller ID and send SMS; in this case, simpler and cheaper models are preferable.")</f>
        <v>Excellent device, stylish and elegant design, decent functionality. Ideal for home and office.    The only disadvantage is that it is not always possible to connect Caller ID and send SMS; in this case, simpler and cheaper models are preferable.</v>
      </c>
    </row>
    <row r="7714" spans="1:9" x14ac:dyDescent="0.3">
      <c r="A7714" s="1" t="s">
        <v>1443</v>
      </c>
      <c r="B7714" s="1" t="s">
        <v>1444</v>
      </c>
      <c r="C7714" s="1" t="s">
        <v>1489</v>
      </c>
      <c r="D7714" s="1" t="s">
        <v>1383</v>
      </c>
      <c r="E7714" s="1" t="s">
        <v>343</v>
      </c>
      <c r="F7714" s="1" t="s">
        <v>11803</v>
      </c>
      <c r="G7714" s="1" t="s">
        <v>49</v>
      </c>
      <c r="H7714" s="1" t="s">
        <v>16</v>
      </c>
      <c r="I7714" s="1" t="str">
        <f ca="1">IFERROR(__xludf.DUMMYFUNCTION("GOOGLETRANSLATE(F7714, ""auto"", ""en"")
"),"I took it only because I liked the case and the metal rim")</f>
        <v>I took it only because I liked the case and the metal rim</v>
      </c>
    </row>
    <row r="7715" spans="1:9" x14ac:dyDescent="0.3">
      <c r="A7715" s="1" t="s">
        <v>43</v>
      </c>
      <c r="B7715" s="1" t="s">
        <v>502</v>
      </c>
      <c r="C7715" s="1" t="s">
        <v>138</v>
      </c>
      <c r="D7715" s="1" t="s">
        <v>940</v>
      </c>
      <c r="E7715" s="1" t="s">
        <v>2280</v>
      </c>
      <c r="F7715" s="1" t="s">
        <v>11804</v>
      </c>
      <c r="G7715" s="1" t="s">
        <v>49</v>
      </c>
      <c r="H7715" s="1" t="s">
        <v>16</v>
      </c>
      <c r="I7715" s="1" t="str">
        <f ca="1">IFERROR(__xludf.DUMMYFUNCTION("GOOGLETRANSLATE(F7715, ""auto"", ""en"")
"),"Terrible quality. After installation, it says error F6 (internal fan does not work). I don’t know how long to suffer with the warranty. As far as I understand, this model has been discontinued. The lesson for me is that it’s cheap and it works.")</f>
        <v>Terrible quality. After installation, it says error F6 (internal fan does not work). I don’t know how long to suffer with the warranty. As far as I understand, this model has been discontinued. The lesson for me is that it’s cheap and it works.</v>
      </c>
    </row>
    <row r="7716" spans="1:9" x14ac:dyDescent="0.3">
      <c r="A7716" s="1" t="s">
        <v>965</v>
      </c>
      <c r="B7716" s="1" t="s">
        <v>966</v>
      </c>
      <c r="C7716" s="1" t="s">
        <v>166</v>
      </c>
      <c r="D7716" s="1" t="s">
        <v>152</v>
      </c>
      <c r="E7716" s="1" t="s">
        <v>1172</v>
      </c>
      <c r="F7716" s="1" t="s">
        <v>11805</v>
      </c>
      <c r="G7716" s="1" t="s">
        <v>15</v>
      </c>
      <c r="H7716" s="1" t="s">
        <v>16</v>
      </c>
      <c r="I7716" s="1" t="str">
        <f ca="1">IFERROR(__xludf.DUMMYFUNCTION("GOOGLETRANSLATE(F7716, ""auto"", ""en"")
"),"Low frequencies are practically inaudible (very weak bass). It’s better not to save, add 200 rubles and buy something of better quality.")</f>
        <v>Low frequencies are practically inaudible (very weak bass). It’s better not to save, add 200 rubles and buy something of better quality.</v>
      </c>
    </row>
    <row r="7717" spans="1:9" x14ac:dyDescent="0.3">
      <c r="A7717" s="1" t="s">
        <v>811</v>
      </c>
      <c r="B7717" s="1" t="s">
        <v>1294</v>
      </c>
      <c r="C7717" s="1" t="s">
        <v>1295</v>
      </c>
      <c r="D7717" s="1" t="s">
        <v>11806</v>
      </c>
      <c r="E7717" s="1" t="s">
        <v>2126</v>
      </c>
      <c r="F7717" s="1" t="s">
        <v>11807</v>
      </c>
      <c r="G7717" s="1" t="s">
        <v>36</v>
      </c>
      <c r="H7717" s="1" t="s">
        <v>29</v>
      </c>
      <c r="I7717" s="1" t="str">
        <f ca="1">IFERROR(__xludf.DUMMYFUNCTION("GOOGLETRANSLATE(F7717, ""auto"", ""en"")
"),"Tired of wiping the lens of a camera (video camera) with a T-shirt or other cloth, I decided to purchase this Cleaning Pencil. Cleans efficiently, removes dirt, dust, greasy stains. Doesn't scratch the lens. I'm happy.")</f>
        <v>Tired of wiping the lens of a camera (video camera) with a T-shirt or other cloth, I decided to purchase this Cleaning Pencil. Cleans efficiently, removes dirt, dust, greasy stains. Doesn't scratch the lens. I'm happy.</v>
      </c>
    </row>
    <row r="7718" spans="1:9" x14ac:dyDescent="0.3">
      <c r="A7718" s="1" t="s">
        <v>61</v>
      </c>
      <c r="B7718" s="1" t="s">
        <v>318</v>
      </c>
      <c r="C7718" s="1" t="s">
        <v>101</v>
      </c>
      <c r="D7718" s="1" t="s">
        <v>12</v>
      </c>
      <c r="E7718" s="1" t="s">
        <v>3811</v>
      </c>
      <c r="F7718" s="1" t="s">
        <v>11808</v>
      </c>
      <c r="G7718" s="1" t="s">
        <v>49</v>
      </c>
      <c r="H7718" s="1" t="s">
        <v>16</v>
      </c>
      <c r="I7718" s="1" t="str">
        <f ca="1">IFERROR(__xludf.DUMMYFUNCTION("GOOGLETRANSLATE(F7718, ""auto"", ""en"")
"),"I didn’t like the kettle, the thermostat works disgustingly, if you need to boil water several times in a row, adding cold water, the kettle does not turn on. After 5 months the kettle died completely.")</f>
        <v>I didn’t like the kettle, the thermostat works disgustingly, if you need to boil water several times in a row, adding cold water, the kettle does not turn on. After 5 months the kettle died completely.</v>
      </c>
    </row>
    <row r="7719" spans="1:9" x14ac:dyDescent="0.3">
      <c r="A7719" s="1" t="s">
        <v>9</v>
      </c>
      <c r="B7719" s="1" t="s">
        <v>10</v>
      </c>
      <c r="C7719" s="1" t="s">
        <v>466</v>
      </c>
      <c r="D7719" s="1" t="s">
        <v>11809</v>
      </c>
      <c r="E7719" s="1" t="s">
        <v>5879</v>
      </c>
      <c r="F7719" s="1" t="s">
        <v>11810</v>
      </c>
      <c r="G7719" s="1" t="s">
        <v>36</v>
      </c>
      <c r="H7719" s="1" t="s">
        <v>29</v>
      </c>
      <c r="I7719" s="1" t="str">
        <f ca="1">IFERROR(__xludf.DUMMYFUNCTION("GOOGLETRANSLATE(F7719, ""auto"", ""en"")
"),"Beauty! It’s almost a year since we bought it and the hood is only pleasing with its performance)) It’s very easy to use, there are no unnecessary bells and whistles in the controls, everything is very clear and even without a manual you can understand th"&amp;"e principle of its operation. It fits well into any interior, in our case it was bought for a wooden kitchen and looks very beautiful in combination with it))) I noticed that I began to wipe the tiled walls around the working surface of the stove less oft"&amp;"en - the fat simply evaporates after cooking, in addition, it also removes odors with a bang, especially after frying fish or meat. The noise at first speed does not bother you, but speed two and three are already louder, however, the sound is quite toler"&amp;"able. Among the shortcomings, only fingerprints on the surface of the hood bother me, but other than that everything is fine))")</f>
        <v>Beauty! It’s almost a year since we bought it and the hood is only pleasing with its performance)) It’s very easy to use, there are no unnecessary bells and whistles in the controls, everything is very clear and even without a manual you can understand the principle of its operation. It fits well into any interior, in our case it was bought for a wooden kitchen and looks very beautiful in combination with it))) I noticed that I began to wipe the tiled walls around the working surface of the stove less often - the fat simply evaporates after cooking, in addition, it also removes odors with a bang, especially after frying fish or meat. The noise at first speed does not bother you, but speed two and three are already louder, however, the sound is quite tolerable. Among the shortcomings, only fingerprints on the surface of the hood bother me, but other than that everything is fine))</v>
      </c>
    </row>
    <row r="7720" spans="1:9" x14ac:dyDescent="0.3">
      <c r="A7720" s="1" t="s">
        <v>9</v>
      </c>
      <c r="B7720" s="1" t="s">
        <v>23</v>
      </c>
      <c r="C7720" s="1" t="s">
        <v>466</v>
      </c>
      <c r="D7720" s="1" t="s">
        <v>247</v>
      </c>
      <c r="E7720" s="1" t="s">
        <v>8242</v>
      </c>
      <c r="F7720" s="1" t="s">
        <v>11811</v>
      </c>
      <c r="G7720" s="1" t="s">
        <v>15</v>
      </c>
      <c r="H7720" s="1" t="s">
        <v>16</v>
      </c>
      <c r="I7720" s="1" t="str">
        <f ca="1">IFERROR(__xludf.DUMMYFUNCTION("GOOGLETRANSLATE(F7720, ""auto"", ""en"")
"),"I bought it and immediately thought it was defective. I changed the means - the same result. Soap was poor, powder residues, lids from soup pots - everything was covered in residue. Since they refused to take it to the store for examination, I took it mys"&amp;"elf. The result of the examination is normal. So it’s been there for 2 years now, I use it very rarely, then I rinse it again. I still feel bitter about wasted money!")</f>
        <v>I bought it and immediately thought it was defective. I changed the means - the same result. Soap was poor, powder residues, lids from soup pots - everything was covered in residue. Since they refused to take it to the store for examination, I took it myself. The result of the examination is normal. So it’s been there for 2 years now, I use it very rarely, then I rinse it again. I still feel bitter about wasted money!</v>
      </c>
    </row>
    <row r="7721" spans="1:9" x14ac:dyDescent="0.3">
      <c r="A7721" s="1" t="s">
        <v>451</v>
      </c>
      <c r="B7721" s="1" t="s">
        <v>452</v>
      </c>
      <c r="C7721" s="1" t="s">
        <v>710</v>
      </c>
      <c r="D7721" s="1" t="s">
        <v>940</v>
      </c>
      <c r="E7721" s="1" t="s">
        <v>670</v>
      </c>
      <c r="F7721" s="1" t="s">
        <v>11812</v>
      </c>
      <c r="G7721" s="1" t="s">
        <v>49</v>
      </c>
      <c r="H7721" s="1" t="s">
        <v>16</v>
      </c>
      <c r="I7721" s="1" t="str">
        <f ca="1">IFERROR(__xludf.DUMMYFUNCTION("GOOGLETRANSLATE(F7721, ""auto"", ""en"")
"),"Review - everything is very simple, like this knife. Suitable for exactly 1 time. I killed 2 knives with faith in the theory of probability, but miracles do not happen.  Bottom line - I don’t recommend buying it, the knife is of low quality.")</f>
        <v>Review - everything is very simple, like this knife. Suitable for exactly 1 time. I killed 2 knives with faith in the theory of probability, but miracles do not happen.  Bottom line - I don’t recommend buying it, the knife is of low quality.</v>
      </c>
    </row>
    <row r="7722" spans="1:9" x14ac:dyDescent="0.3">
      <c r="A7722" s="1" t="s">
        <v>811</v>
      </c>
      <c r="B7722" s="1" t="s">
        <v>1599</v>
      </c>
      <c r="C7722" s="1" t="s">
        <v>3051</v>
      </c>
      <c r="D7722" s="1" t="s">
        <v>11813</v>
      </c>
      <c r="E7722" s="1" t="s">
        <v>2280</v>
      </c>
      <c r="F7722" s="1" t="s">
        <v>11814</v>
      </c>
      <c r="G7722" s="1" t="s">
        <v>28</v>
      </c>
      <c r="H7722" s="1" t="s">
        <v>29</v>
      </c>
      <c r="I7722" s="1" t="str">
        <f ca="1">IFERROR(__xludf.DUMMYFUNCTION("GOOGLETRANSLATE(F7722, ""auto"", ""en"")
"),"For K-7 with 50-135, the lower compartment had to be redesigned, and a makrik fit on top.  This backpack is more suitable for separately transporting the carcass and lenses.")</f>
        <v>For K-7 with 50-135, the lower compartment had to be redesigned, and a makrik fit on top.  This backpack is more suitable for separately transporting the carcass and lenses.</v>
      </c>
    </row>
    <row r="7723" spans="1:9" x14ac:dyDescent="0.3">
      <c r="A7723" s="1" t="s">
        <v>17</v>
      </c>
      <c r="B7723" s="1" t="s">
        <v>18</v>
      </c>
      <c r="C7723" s="1" t="s">
        <v>885</v>
      </c>
      <c r="D7723" s="1" t="s">
        <v>11815</v>
      </c>
      <c r="E7723" s="1" t="s">
        <v>1864</v>
      </c>
      <c r="F7723" s="1" t="s">
        <v>11816</v>
      </c>
      <c r="G7723" s="1" t="s">
        <v>36</v>
      </c>
      <c r="H7723" s="1" t="s">
        <v>29</v>
      </c>
      <c r="I7723" s="1" t="str">
        <f ca="1">IFERROR(__xludf.DUMMYFUNCTION("GOOGLETRANSLATE(F7723, ""auto"", ""en"")
"),"We bought this washing machine as a wedding gift for our brother; it’s an excellent machine; he and his wife really liked it; they haven’t had any breakdowns for half a year!")</f>
        <v>We bought this washing machine as a wedding gift for our brother; it’s an excellent machine; he and his wife really liked it; they haven’t had any breakdowns for half a year!</v>
      </c>
    </row>
    <row r="7724" spans="1:9" x14ac:dyDescent="0.3">
      <c r="A7724" s="1" t="s">
        <v>43</v>
      </c>
      <c r="B7724" s="1" t="s">
        <v>44</v>
      </c>
      <c r="C7724" s="1" t="s">
        <v>257</v>
      </c>
      <c r="D7724" s="1" t="s">
        <v>11817</v>
      </c>
      <c r="E7724" s="1" t="s">
        <v>1332</v>
      </c>
      <c r="F7724" s="1" t="s">
        <v>11818</v>
      </c>
      <c r="G7724" s="1" t="s">
        <v>28</v>
      </c>
      <c r="H7724" s="1" t="s">
        <v>29</v>
      </c>
      <c r="I7724" s="1" t="str">
        <f ca="1">IFERROR(__xludf.DUMMYFUNCTION("GOOGLETRANSLATE(F7724, ""auto"", ""en"")
"),"Almost silent, 1st, 2nd and 3rd speeds are almost the same when turning left all the way you hear a small click, there is no click to the right, maybe it was assembled incorrectly? If you use it without turning, you can sleep quietly under it, you won’t n"&amp;"otice any noise!")</f>
        <v>Almost silent, 1st, 2nd and 3rd speeds are almost the same when turning left all the way you hear a small click, there is no click to the right, maybe it was assembled incorrectly? If you use it without turning, you can sleep quietly under it, you won’t notice any noise!</v>
      </c>
    </row>
    <row r="7725" spans="1:9" x14ac:dyDescent="0.3">
      <c r="A7725" s="1" t="s">
        <v>61</v>
      </c>
      <c r="B7725" s="1" t="s">
        <v>145</v>
      </c>
      <c r="C7725" s="1" t="s">
        <v>314</v>
      </c>
      <c r="D7725" s="1" t="s">
        <v>232</v>
      </c>
      <c r="E7725" s="1" t="s">
        <v>2656</v>
      </c>
      <c r="F7725" s="1" t="s">
        <v>11819</v>
      </c>
      <c r="G7725" s="1" t="s">
        <v>36</v>
      </c>
      <c r="H7725" s="1" t="s">
        <v>29</v>
      </c>
      <c r="I7725" s="1" t="str">
        <f ca="1">IFERROR(__xludf.DUMMYFUNCTION("GOOGLETRANSLATE(F7725, ""auto"", ""en"")
"),"I bought this device in February, I didn’t use it often, but when I used it, it was super impressive, on the DR a couple of loaves of sausage, half a kilo of brisket, a couple of loaves of bread and also cheese were cut very quickly, without unnecessary c"&amp;"rumbs, etc., and the pieces were all even. It disassembles quickly and washes too.")</f>
        <v>I bought this device in February, I didn’t use it often, but when I used it, it was super impressive, on the DR a couple of loaves of sausage, half a kilo of brisket, a couple of loaves of bread and also cheese were cut very quickly, without unnecessary crumbs, etc., and the pieces were all even. It disassembles quickly and washes too.</v>
      </c>
    </row>
    <row r="7726" spans="1:9" x14ac:dyDescent="0.3">
      <c r="A7726" s="1" t="s">
        <v>120</v>
      </c>
      <c r="B7726" s="1" t="s">
        <v>121</v>
      </c>
      <c r="C7726" s="1" t="s">
        <v>80</v>
      </c>
      <c r="D7726" s="1" t="s">
        <v>107</v>
      </c>
      <c r="E7726" s="1" t="s">
        <v>1909</v>
      </c>
      <c r="F7726" s="1" t="s">
        <v>11820</v>
      </c>
      <c r="G7726" s="1" t="s">
        <v>36</v>
      </c>
      <c r="H7726" s="1" t="s">
        <v>29</v>
      </c>
      <c r="I7726" s="1" t="str">
        <f ca="1">IFERROR(__xludf.DUMMYFUNCTION("GOOGLETRANSLATE(F7726, ""auto"", ""en"")
"),"Does anyone know about the WIRELESS CONTROL connector on the rear panel?  what is it and what is it for?")</f>
        <v>Does anyone know about the WIRELESS CONTROL connector on the rear panel?  what is it and what is it for?</v>
      </c>
    </row>
    <row r="7727" spans="1:9" x14ac:dyDescent="0.3">
      <c r="A7727" s="1" t="s">
        <v>9</v>
      </c>
      <c r="B7727" s="1" t="s">
        <v>10</v>
      </c>
      <c r="C7727" s="1" t="s">
        <v>3091</v>
      </c>
      <c r="D7727" s="1" t="s">
        <v>11821</v>
      </c>
      <c r="E7727" s="1" t="s">
        <v>4182</v>
      </c>
      <c r="F7727" s="1" t="s">
        <v>11822</v>
      </c>
      <c r="G7727" s="1" t="s">
        <v>36</v>
      </c>
      <c r="H7727" s="1" t="s">
        <v>29</v>
      </c>
      <c r="I7727" s="1" t="str">
        <f ca="1">IFERROR(__xludf.DUMMYFUNCTION("GOOGLETRANSLATE(F7727, ""auto"", ""en"")
"),"After renovating the kitchen, we decided to definitely equip it with a hood so that the freshly whitewashed walls would not darken due to smoke. I personally was attracted to this model by its design - it looks rich and beautiful, no worse than expensive "&amp;"hoods from popular brands! The canopy is stylish and perfectly covers the working surface of the stove, I tested the purchase of hot cutlets - in the kitchen there is practically no smell, and there is no smoke at all))) It definitely copes with its task "&amp;"perfectly well, its speeds are very powerful - one is usually enough to extract steam from boiling pans, and I always turn on two and three when frying. It hums not very quietly, but this noise suits me quite well, the main thing is that it keeps the kitc"&amp;"hen clean and the smells go away)) The only thing is that it’s better not to wipe it with a wet cloth - stains instantly remain, but barely damp is just right, then it looks neater.")</f>
        <v>After renovating the kitchen, we decided to definitely equip it with a hood so that the freshly whitewashed walls would not darken due to smoke. I personally was attracted to this model by its design - it looks rich and beautiful, no worse than expensive hoods from popular brands! The canopy is stylish and perfectly covers the working surface of the stove, I tested the purchase of hot cutlets - in the kitchen there is practically no smell, and there is no smoke at all))) It definitely copes with its task perfectly well, its speeds are very powerful - one is usually enough to extract steam from boiling pans, and I always turn on two and three when frying. It hums not very quietly, but this noise suits me quite well, the main thing is that it keeps the kitchen clean and the smells go away)) The only thing is that it’s better not to wipe it with a wet cloth - stains instantly remain, but barely damp is just right, then it looks neater.</v>
      </c>
    </row>
    <row r="7728" spans="1:9" x14ac:dyDescent="0.3">
      <c r="A7728" s="1" t="s">
        <v>89</v>
      </c>
      <c r="B7728" s="1" t="s">
        <v>90</v>
      </c>
      <c r="C7728" s="1" t="s">
        <v>185</v>
      </c>
      <c r="D7728" s="1" t="s">
        <v>308</v>
      </c>
      <c r="E7728" s="1" t="s">
        <v>128</v>
      </c>
      <c r="F7728" s="1" t="s">
        <v>11823</v>
      </c>
      <c r="G7728" s="1" t="s">
        <v>36</v>
      </c>
      <c r="H7728" s="1" t="s">
        <v>29</v>
      </c>
      <c r="I7728" s="1" t="str">
        <f ca="1">IFERROR(__xludf.DUMMYFUNCTION("GOOGLETRANSLATE(F7728, ""auto"", ""en"")
"),"I bought it for my mother's birthday to complement the coffee maker. A great thing for all coffee lovers and connoisseurs! The coffee grinds were amazing! What’s most important is that you can set the grinding level yourself: fine-medium-coarse. Press the"&amp;" button and you're done!  I'm happy with the purchase, I recommend it to everyone!")</f>
        <v>I bought it for my mother's birthday to complement the coffee maker. A great thing for all coffee lovers and connoisseurs! The coffee grinds were amazing! What’s most important is that you can set the grinding level yourself: fine-medium-coarse. Press the button and you're done!  I'm happy with the purchase, I recommend it to everyone!</v>
      </c>
    </row>
    <row r="7729" spans="1:9" x14ac:dyDescent="0.3">
      <c r="A7729" s="1" t="s">
        <v>9</v>
      </c>
      <c r="B7729" s="1" t="s">
        <v>137</v>
      </c>
      <c r="C7729" s="1" t="s">
        <v>159</v>
      </c>
      <c r="D7729" s="1" t="s">
        <v>2771</v>
      </c>
      <c r="E7729" s="1" t="s">
        <v>3928</v>
      </c>
      <c r="F7729" s="1" t="s">
        <v>11824</v>
      </c>
      <c r="G7729" s="1" t="s">
        <v>15</v>
      </c>
      <c r="H7729" s="1" t="s">
        <v>16</v>
      </c>
      <c r="I7729" s="1" t="str">
        <f ca="1">IFERROR(__xludf.DUMMYFUNCTION("GOOGLETRANSLATE(F7729, ""auto"", ""en"")
"),"I didn’t like it, I want to change it quickly.  Cons: 1) The handles get hot, someone wrote that it is impossible to get burned, this is not true! I got burned, and if you have children, they can easily get burned.  2) The large burner is located closer t"&amp;"o the wall; our plastic panel began to melt.  3) The pots really don’t fit.  4) After 5 months of use, the ignition began to jam.  5) I wash cast iron panels all the time. I have to rub it with a special one. means.")</f>
        <v>I didn’t like it, I want to change it quickly.  Cons: 1) The handles get hot, someone wrote that it is impossible to get burned, this is not true! I got burned, and if you have children, they can easily get burned.  2) The large burner is located closer to the wall; our plastic panel began to melt.  3) The pots really don’t fit.  4) After 5 months of use, the ignition began to jam.  5) I wash cast iron panels all the time. I have to rub it with a special one. means.</v>
      </c>
    </row>
    <row r="7730" spans="1:9" x14ac:dyDescent="0.3">
      <c r="A7730" s="1" t="s">
        <v>9</v>
      </c>
      <c r="B7730" s="1" t="s">
        <v>133</v>
      </c>
      <c r="C7730" s="1" t="s">
        <v>588</v>
      </c>
      <c r="D7730" s="1" t="s">
        <v>64</v>
      </c>
      <c r="E7730" s="1" t="s">
        <v>87</v>
      </c>
      <c r="F7730" s="1" t="s">
        <v>11825</v>
      </c>
      <c r="G7730" s="1" t="s">
        <v>36</v>
      </c>
      <c r="H7730" s="1" t="s">
        <v>29</v>
      </c>
      <c r="I7730" s="1" t="str">
        <f ca="1">IFERROR(__xludf.DUMMYFUNCTION("GOOGLETRANSLATE(F7730, ""auto"", ""en"")
"),"It bakes perfectly, there is a bell after a certain time and a timer that turns the oven on and off. Telescopic guides are also convenient - when you check readiness, you don’t need to put it on the table. We got everything we wanted for good money!")</f>
        <v>It bakes perfectly, there is a bell after a certain time and a timer that turns the oven on and off. Telescopic guides are also convenient - when you check readiness, you don’t need to put it on the table. We got everything we wanted for good money!</v>
      </c>
    </row>
    <row r="7731" spans="1:9" x14ac:dyDescent="0.3">
      <c r="A7731" s="1" t="s">
        <v>30</v>
      </c>
      <c r="B7731" s="1" t="s">
        <v>50</v>
      </c>
      <c r="C7731" s="1" t="s">
        <v>1003</v>
      </c>
      <c r="D7731" s="1" t="s">
        <v>247</v>
      </c>
      <c r="E7731" s="1" t="s">
        <v>430</v>
      </c>
      <c r="F7731" s="1" t="s">
        <v>11826</v>
      </c>
      <c r="G7731" s="1" t="s">
        <v>28</v>
      </c>
      <c r="H7731" s="1" t="s">
        <v>29</v>
      </c>
      <c r="I7731" s="1" t="str">
        <f ca="1">IFERROR(__xludf.DUMMYFUNCTION("GOOGLETRANSLATE(F7731, ""auto"", ""en"")
"),"Of course, everyone understands that you already pay more for the HP brand than, say, for Samsung. I am very glad that I bought such a laptop for 19900 (compared with other brands - at the moment you can’t even buy E-Machines with such parameters, althoug"&amp;"h E-Machines was not next to HP).  But it’s high time for HP to think about the design of its computers - you shouldn’t fall asleep on your laurels, there will always be a faster opponent.    To Lyudmila from Pushkino: sellers will never tell the truth, b"&amp;"ecause... they don’t know it - they are just like you and me, simple USERS. and you're right, consult with the pros first. HP always has problems with firewood. HP burns wood to make extra money.")</f>
        <v>Of course, everyone understands that you already pay more for the HP brand than, say, for Samsung. I am very glad that I bought such a laptop for 19900 (compared with other brands - at the moment you can’t even buy E-Machines with such parameters, although E-Machines was not next to HP).  But it’s high time for HP to think about the design of its computers - you shouldn’t fall asleep on your laurels, there will always be a faster opponent.    To Lyudmila from Pushkino: sellers will never tell the truth, because... they don’t know it - they are just like you and me, simple USERS. and you're right, consult with the pros first. HP always has problems with firewood. HP burns wood to make extra money.</v>
      </c>
    </row>
    <row r="7732" spans="1:9" x14ac:dyDescent="0.3">
      <c r="A7732" s="1" t="s">
        <v>111</v>
      </c>
      <c r="B7732" s="1" t="s">
        <v>1090</v>
      </c>
      <c r="C7732" s="1" t="s">
        <v>1091</v>
      </c>
      <c r="D7732" s="1" t="s">
        <v>39</v>
      </c>
      <c r="E7732" s="1" t="s">
        <v>4086</v>
      </c>
      <c r="F7732" s="1" t="s">
        <v>11827</v>
      </c>
      <c r="G7732" s="1" t="s">
        <v>28</v>
      </c>
      <c r="H7732" s="1" t="s">
        <v>29</v>
      </c>
      <c r="I7732" s="1" t="str">
        <f ca="1">IFERROR(__xludf.DUMMYFUNCTION("GOOGLETRANSLATE(F7732, ""auto"", ""en"")
"),"In general, a good lamp, minus the plastic leg, which seems a little unstable, the rest of the price and comfort are all good.")</f>
        <v>In general, a good lamp, minus the plastic leg, which seems a little unstable, the rest of the price and comfort are all good.</v>
      </c>
    </row>
    <row r="7733" spans="1:9" x14ac:dyDescent="0.3">
      <c r="A7733" s="1" t="s">
        <v>95</v>
      </c>
      <c r="B7733" s="1" t="s">
        <v>486</v>
      </c>
      <c r="C7733" s="1" t="s">
        <v>487</v>
      </c>
      <c r="D7733" s="1" t="s">
        <v>11828</v>
      </c>
      <c r="E7733" s="1" t="s">
        <v>3095</v>
      </c>
      <c r="F7733" s="1" t="s">
        <v>11829</v>
      </c>
      <c r="G7733" s="1" t="s">
        <v>36</v>
      </c>
      <c r="H7733" s="1" t="s">
        <v>29</v>
      </c>
      <c r="I7733" s="1" t="str">
        <f ca="1">IFERROR(__xludf.DUMMYFUNCTION("GOOGLETRANSLATE(F7733, ""auto"", ""en"")
"),"I have both consoles... so everyone is jealous))))")</f>
        <v>I have both consoles... so everyone is jealous))))</v>
      </c>
    </row>
    <row r="7734" spans="1:9" x14ac:dyDescent="0.3">
      <c r="A7734" s="1" t="s">
        <v>1443</v>
      </c>
      <c r="B7734" s="1" t="s">
        <v>1444</v>
      </c>
      <c r="C7734" s="1" t="s">
        <v>1445</v>
      </c>
      <c r="D7734" s="1" t="s">
        <v>2145</v>
      </c>
      <c r="E7734" s="1" t="s">
        <v>5819</v>
      </c>
      <c r="F7734" s="1" t="s">
        <v>11830</v>
      </c>
      <c r="G7734" s="1" t="s">
        <v>28</v>
      </c>
      <c r="H7734" s="1" t="s">
        <v>29</v>
      </c>
      <c r="I7734" s="1" t="str">
        <f ca="1">IFERROR(__xludf.DUMMYFUNCTION("GOOGLETRANSLATE(F7734, ""auto"", ""en"")
"),"Good flash drive, satisfied with the quality.")</f>
        <v>Good flash drive, satisfied with the quality.</v>
      </c>
    </row>
    <row r="7735" spans="1:9" x14ac:dyDescent="0.3">
      <c r="A7735" s="1" t="s">
        <v>30</v>
      </c>
      <c r="B7735" s="1" t="s">
        <v>31</v>
      </c>
      <c r="C7735" s="1" t="s">
        <v>1386</v>
      </c>
      <c r="D7735" s="1" t="s">
        <v>11831</v>
      </c>
      <c r="E7735" s="1" t="s">
        <v>1608</v>
      </c>
      <c r="F7735" s="1" t="s">
        <v>11832</v>
      </c>
      <c r="G7735" s="1" t="s">
        <v>36</v>
      </c>
      <c r="H7735" s="1" t="s">
        <v>29</v>
      </c>
      <c r="I7735" s="1" t="str">
        <f ca="1">IFERROR(__xludf.DUMMYFUNCTION("GOOGLETRANSLATE(F7735, ""auto"", ""en"")
"),"normal system unit for internet and office...small, quiet...doesn't get hot...")</f>
        <v>normal system unit for internet and office...small, quiet...doesn't get hot...</v>
      </c>
    </row>
    <row r="7736" spans="1:9" x14ac:dyDescent="0.3">
      <c r="A7736" s="1" t="s">
        <v>105</v>
      </c>
      <c r="B7736" s="1" t="s">
        <v>106</v>
      </c>
      <c r="C7736" s="1" t="s">
        <v>1209</v>
      </c>
      <c r="D7736" s="1" t="s">
        <v>11833</v>
      </c>
      <c r="E7736" s="1" t="s">
        <v>1219</v>
      </c>
      <c r="F7736" s="1" t="s">
        <v>11834</v>
      </c>
      <c r="G7736" s="1" t="s">
        <v>28</v>
      </c>
      <c r="H7736" s="1" t="s">
        <v>29</v>
      </c>
      <c r="I7736" s="1" t="str">
        <f ca="1">IFERROR(__xludf.DUMMYFUNCTION("GOOGLETRANSLATE(F7736, ""auto"", ""en"")
"),"player great sound OK! Only the headphones are not very good, but everything is OK!")</f>
        <v>player great sound OK! Only the headphones are not very good, but everything is OK!</v>
      </c>
    </row>
    <row r="7737" spans="1:9" x14ac:dyDescent="0.3">
      <c r="A7737" s="1" t="s">
        <v>211</v>
      </c>
      <c r="B7737" s="1" t="s">
        <v>212</v>
      </c>
      <c r="C7737" s="1" t="s">
        <v>381</v>
      </c>
      <c r="D7737" s="1" t="s">
        <v>1241</v>
      </c>
      <c r="E7737" s="1" t="s">
        <v>1745</v>
      </c>
      <c r="F7737" s="1" t="s">
        <v>11835</v>
      </c>
      <c r="G7737" s="1" t="s">
        <v>36</v>
      </c>
      <c r="H7737" s="1" t="s">
        <v>29</v>
      </c>
      <c r="I7737" s="1" t="str">
        <f ca="1">IFERROR(__xludf.DUMMYFUNCTION("GOOGLETRANSLATE(F7737, ""auto"", ""en"")
"),"I’ve been using this hair dryer for more than 3 years, I’m happy with everything, I’m going to give it to my mom for the New Year!")</f>
        <v>I’ve been using this hair dryer for more than 3 years, I’m happy with everything, I’m going to give it to my mom for the New Year!</v>
      </c>
    </row>
    <row r="7738" spans="1:9" x14ac:dyDescent="0.3">
      <c r="A7738" s="1" t="s">
        <v>37</v>
      </c>
      <c r="B7738" s="1" t="s">
        <v>38</v>
      </c>
      <c r="C7738" s="1" t="s">
        <v>151</v>
      </c>
      <c r="D7738" s="1" t="s">
        <v>521</v>
      </c>
      <c r="E7738" s="1" t="s">
        <v>386</v>
      </c>
      <c r="F7738" s="1" t="s">
        <v>11836</v>
      </c>
      <c r="G7738" s="1" t="s">
        <v>36</v>
      </c>
      <c r="H7738" s="1" t="s">
        <v>29</v>
      </c>
      <c r="I7738" s="1" t="str">
        <f ca="1">IFERROR(__xludf.DUMMYFUNCTION("GOOGLETRANSLATE(F7738, ""auto"", ""en"")
"),"I also had a sesor phone before, but I gladly exchanged it for this one. I’ve had this device for six months now and it has never let me down. The GT-S3600 is an excellent model!!!")</f>
        <v>I also had a sesor phone before, but I gladly exchanged it for this one. I’ve had this device for six months now and it has never let me down. The GT-S3600 is an excellent model!!!</v>
      </c>
    </row>
    <row r="7739" spans="1:9" x14ac:dyDescent="0.3">
      <c r="A7739" s="1" t="s">
        <v>67</v>
      </c>
      <c r="B7739" s="1" t="s">
        <v>68</v>
      </c>
      <c r="C7739" s="1" t="s">
        <v>246</v>
      </c>
      <c r="D7739" s="1" t="s">
        <v>39</v>
      </c>
      <c r="E7739" s="1" t="s">
        <v>11837</v>
      </c>
      <c r="F7739" s="1" t="s">
        <v>11838</v>
      </c>
      <c r="G7739" s="1" t="s">
        <v>28</v>
      </c>
      <c r="H7739" s="1" t="s">
        <v>29</v>
      </c>
      <c r="I7739" s="1" t="str">
        <f ca="1">IFERROR(__xludf.DUMMYFUNCTION("GOOGLETRANSLATE(F7739, ""auto"", ""en"")
"),"I purchased this device due to the failure of an old iron with a steam generator (it was also Tefal).  Pros: convenient removable container, I liked that the cord is retracted inside the body, it produces good steam, and is quite quiet (the previous iron "&amp;"was much noisier).  Cons: the cord would still be a little longer, but everything is fine")</f>
        <v>I purchased this device due to the failure of an old iron with a steam generator (it was also Tefal).  Pros: convenient removable container, I liked that the cord is retracted inside the body, it produces good steam, and is quite quiet (the previous iron was much noisier).  Cons: the cord would still be a little longer, but everything is fine</v>
      </c>
    </row>
    <row r="7740" spans="1:9" x14ac:dyDescent="0.3">
      <c r="A7740" s="1" t="s">
        <v>30</v>
      </c>
      <c r="B7740" s="1" t="s">
        <v>50</v>
      </c>
      <c r="C7740" s="1" t="s">
        <v>51</v>
      </c>
      <c r="D7740" s="1" t="s">
        <v>1008</v>
      </c>
      <c r="E7740" s="1" t="s">
        <v>794</v>
      </c>
      <c r="F7740" s="1" t="s">
        <v>11839</v>
      </c>
      <c r="G7740" s="1" t="s">
        <v>36</v>
      </c>
      <c r="H7740" s="1" t="s">
        <v>29</v>
      </c>
      <c r="I7740" s="1" t="str">
        <f ca="1">IFERROR(__xludf.DUMMYFUNCTION("GOOGLETRANSLATE(F7740, ""auto"", ""en"")
"),"I bought this laptop today, I really don’t understand it very well, I wanted to buy a Lenovo y450, it turned out to be the last one and that sample.) It wasn’t around the whole city, I saw this sample, I’m testing it, I’ll write in a week.")</f>
        <v>I bought this laptop today, I really don’t understand it very well, I wanted to buy a Lenovo y450, it turned out to be the last one and that sample.) It wasn’t around the whole city, I saw this sample, I’m testing it, I’ll write in a week.</v>
      </c>
    </row>
    <row r="7741" spans="1:9" x14ac:dyDescent="0.3">
      <c r="A7741" s="1" t="s">
        <v>120</v>
      </c>
      <c r="B7741" s="1" t="s">
        <v>256</v>
      </c>
      <c r="C7741" s="1" t="s">
        <v>32</v>
      </c>
      <c r="D7741" s="1" t="s">
        <v>916</v>
      </c>
      <c r="E7741" s="1" t="s">
        <v>1327</v>
      </c>
      <c r="F7741" s="1" t="s">
        <v>11840</v>
      </c>
      <c r="G7741" s="1" t="s">
        <v>36</v>
      </c>
      <c r="H7741" s="1" t="s">
        <v>29</v>
      </c>
      <c r="I7741" s="1" t="str">
        <f ca="1">IFERROR(__xludf.DUMMYFUNCTION("GOOGLETRANSLATE(F7741, ""auto"", ""en"")
"),"I bought it a week ago. Very pleased. The tuner is good, works from an antenna. The color rendition is excellent, what I like most is the wide viewing angle.")</f>
        <v>I bought it a week ago. Very pleased. The tuner is good, works from an antenna. The color rendition is excellent, what I like most is the wide viewing angle.</v>
      </c>
    </row>
    <row r="7742" spans="1:9" x14ac:dyDescent="0.3">
      <c r="A7742" s="1" t="s">
        <v>30</v>
      </c>
      <c r="B7742" s="1" t="s">
        <v>31</v>
      </c>
      <c r="C7742" s="1" t="s">
        <v>32</v>
      </c>
      <c r="D7742" s="1" t="s">
        <v>152</v>
      </c>
      <c r="E7742" s="1" t="s">
        <v>540</v>
      </c>
      <c r="F7742" s="1" t="s">
        <v>11841</v>
      </c>
      <c r="G7742" s="1" t="s">
        <v>36</v>
      </c>
      <c r="H7742" s="1" t="s">
        <v>29</v>
      </c>
      <c r="I7742" s="1" t="str">
        <f ca="1">IFERROR(__xludf.DUMMYFUNCTION("GOOGLETRANSLATE(F7742, ""auto"", ""en"")
"),"I recently purchased this Desktop.  Very pleased, perfect value for money. All games run on Maxim and do not slow down. Just a wonderful video card, Nvidia, as always, pleased me.  As for the work, it handles a lot of processes and doesn’t glitch. Simply "&amp;"ideal for watching movies with Dolby Digital sound support. Even on the oldest speakers it produces very high-quality sound thanks to Dolby Home Theater.  Pros: Excellent processor, the latest type of DDR3 RAM, Dolby home theater, Card reader that reads t"&amp;"he most popular flash drive formats, silent coolers and an excellent cooling system. Huge amount of video memory.  Cons: Video card is DDR2, Windows Vista, with which no application is compatible, which causes many conflicts.  P.S Wishes Acer. Dear compan"&amp;"y, NEVER install VISTA on your Desktops again!! Give it a SEVEN and please people!!    I don't agree with Se®gio. The desktop is completely inaudible.")</f>
        <v>I recently purchased this Desktop.  Very pleased, perfect value for money. All games run on Maxim and do not slow down. Just a wonderful video card, Nvidia, as always, pleased me.  As for the work, it handles a lot of processes and doesn’t glitch. Simply ideal for watching movies with Dolby Digital sound support. Even on the oldest speakers it produces very high-quality sound thanks to Dolby Home Theater.  Pros: Excellent processor, the latest type of DDR3 RAM, Dolby home theater, Card reader that reads the most popular flash drive formats, silent coolers and an excellent cooling system. Huge amount of video memory.  Cons: Video card is DDR2, Windows Vista, with which no application is compatible, which causes many conflicts.  P.S Wishes Acer. Dear company, NEVER install VISTA on your Desktops again!! Give it a SEVEN and please people!!    I don't agree with Se®gio. The desktop is completely inaudible.</v>
      </c>
    </row>
    <row r="7743" spans="1:9" x14ac:dyDescent="0.3">
      <c r="A7743" s="1" t="s">
        <v>61</v>
      </c>
      <c r="B7743" s="1" t="s">
        <v>318</v>
      </c>
      <c r="C7743" s="1" t="s">
        <v>1461</v>
      </c>
      <c r="D7743" s="1" t="s">
        <v>11842</v>
      </c>
      <c r="E7743" s="1" t="s">
        <v>4054</v>
      </c>
      <c r="F7743" s="1" t="s">
        <v>11843</v>
      </c>
      <c r="G7743" s="1" t="s">
        <v>15</v>
      </c>
      <c r="H7743" s="1" t="s">
        <v>16</v>
      </c>
      <c r="I7743" s="1" t="str">
        <f ca="1">IFERROR(__xludf.DUMMYFUNCTION("GOOGLETRANSLATE(F7743, ""auto"", ""en"")
"),"They gave me a kettle today. The lid is not fixed; rust spots appeared on the bottom after the first boil. And there seems to be a smell. It's a shame I'll have to buy a new one!")</f>
        <v>They gave me a kettle today. The lid is not fixed; rust spots appeared on the bottom after the first boil. And there seems to be a smell. It's a shame I'll have to buy a new one!</v>
      </c>
    </row>
    <row r="7744" spans="1:9" x14ac:dyDescent="0.3">
      <c r="A7744" s="1" t="s">
        <v>17</v>
      </c>
      <c r="B7744" s="1" t="s">
        <v>18</v>
      </c>
      <c r="C7744" s="1" t="s">
        <v>80</v>
      </c>
      <c r="D7744" s="1" t="s">
        <v>11844</v>
      </c>
      <c r="E7744" s="1" t="s">
        <v>680</v>
      </c>
      <c r="F7744" s="1" t="s">
        <v>11845</v>
      </c>
      <c r="G7744" s="1" t="s">
        <v>36</v>
      </c>
      <c r="H7744" s="1" t="s">
        <v>29</v>
      </c>
      <c r="I7744" s="1" t="str">
        <f ca="1">IFERROR(__xludf.DUMMYFUNCTION("GOOGLETRANSLATE(F7744, ""auto"", ""en"")
"),"It washes and spins perfectly, it is almost inaudible during operation. Yes, plus direct drive to the electric motor. Before this, I had an LG intellowasher washing machine, it worked for almost 10 years and is still working; only the heating element was "&amp;"changed, because... the water is too hard and anti-scale agent was not added. Based on this, we chose LG again when purchasing.")</f>
        <v>It washes and spins perfectly, it is almost inaudible during operation. Yes, plus direct drive to the electric motor. Before this, I had an LG intellowasher washing machine, it worked for almost 10 years and is still working; only the heating element was changed, because... the water is too hard and anti-scale agent was not added. Based on this, we chose LG again when purchasing.</v>
      </c>
    </row>
    <row r="7745" spans="1:9" x14ac:dyDescent="0.3">
      <c r="A7745" s="1" t="s">
        <v>17</v>
      </c>
      <c r="B7745" s="1" t="s">
        <v>18</v>
      </c>
      <c r="C7745" s="1" t="s">
        <v>243</v>
      </c>
      <c r="D7745" s="1" t="s">
        <v>81</v>
      </c>
      <c r="E7745" s="1" t="s">
        <v>2880</v>
      </c>
      <c r="F7745" s="1" t="s">
        <v>11846</v>
      </c>
      <c r="G7745" s="1" t="s">
        <v>36</v>
      </c>
      <c r="H7745" s="1" t="s">
        <v>29</v>
      </c>
      <c r="I7745" s="1" t="str">
        <f ca="1">IFERROR(__xludf.DUMMYFUNCTION("GOOGLETRANSLATE(F7745, ""auto"", ""en"")
"),"Quiet, narrow, inexpensive. lifting capacity - 5 kg, what else is needed for a home. I'm happy...")</f>
        <v>Quiet, narrow, inexpensive. lifting capacity - 5 kg, what else is needed for a home. I'm happy...</v>
      </c>
    </row>
    <row r="7746" spans="1:9" x14ac:dyDescent="0.3">
      <c r="A7746" s="1" t="s">
        <v>78</v>
      </c>
      <c r="B7746" s="1" t="s">
        <v>493</v>
      </c>
      <c r="C7746" s="1" t="s">
        <v>80</v>
      </c>
      <c r="D7746" s="1" t="s">
        <v>81</v>
      </c>
      <c r="E7746" s="1" t="s">
        <v>1190</v>
      </c>
      <c r="F7746" s="1" t="s">
        <v>11847</v>
      </c>
      <c r="G7746" s="1" t="s">
        <v>49</v>
      </c>
      <c r="H7746" s="1" t="s">
        <v>16</v>
      </c>
      <c r="I7746" s="1" t="str">
        <f ca="1">IFERROR(__xludf.DUMMYFUNCTION("GOOGLETRANSLATE(F7746, ""auto"", ""en"")
"),"The first time I turned on the grill, the door melted on the inside.")</f>
        <v>The first time I turned on the grill, the door melted on the inside.</v>
      </c>
    </row>
    <row r="7747" spans="1:9" x14ac:dyDescent="0.3">
      <c r="A7747" s="1" t="s">
        <v>149</v>
      </c>
      <c r="B7747" s="1" t="s">
        <v>576</v>
      </c>
      <c r="C7747" s="1" t="s">
        <v>151</v>
      </c>
      <c r="D7747" s="1" t="s">
        <v>11848</v>
      </c>
      <c r="E7747" s="1" t="s">
        <v>124</v>
      </c>
      <c r="F7747" s="1" t="s">
        <v>11849</v>
      </c>
      <c r="G7747" s="1" t="s">
        <v>36</v>
      </c>
      <c r="H7747" s="1" t="s">
        <v>29</v>
      </c>
      <c r="I7747" s="1" t="str">
        <f ca="1">IFERROR(__xludf.DUMMYFUNCTION("GOOGLETRANSLATE(F7747, ""auto"", ""en"")
"),"We bought it today, it’s very light, beautiful, and most importantly powerful, but there were only two bags in the set, but it doesn’t matter, the main thing is that the vacuum cleaner is good!!!!")</f>
        <v>We bought it today, it’s very light, beautiful, and most importantly powerful, but there were only two bags in the set, but it doesn’t matter, the main thing is that the vacuum cleaner is good!!!!</v>
      </c>
    </row>
    <row r="7748" spans="1:9" x14ac:dyDescent="0.3">
      <c r="A7748" s="1" t="s">
        <v>965</v>
      </c>
      <c r="B7748" s="1" t="s">
        <v>966</v>
      </c>
      <c r="C7748" s="1" t="s">
        <v>2149</v>
      </c>
      <c r="D7748" s="1" t="s">
        <v>305</v>
      </c>
      <c r="E7748" s="1" t="s">
        <v>2176</v>
      </c>
      <c r="F7748" s="1" t="s">
        <v>11850</v>
      </c>
      <c r="G7748" s="1" t="s">
        <v>36</v>
      </c>
      <c r="H7748" s="1" t="s">
        <v>29</v>
      </c>
      <c r="I7748" s="1" t="str">
        <f ca="1">IFERROR(__xludf.DUMMYFUNCTION("GOOGLETRANSLATE(F7748, ""auto"", ""en"")
"),"The buffer is simply wonderful, I’ve been listening to it for 3 months now, nothing breaks, everything is holding up perfectly. The neighbors are complaining)) I'm afraid to set the buffer to maximum, but the speakers could be better, and the buffer is ex"&amp;"cellent!! overall 5+")</f>
        <v>The buffer is simply wonderful, I’ve been listening to it for 3 months now, nothing breaks, everything is holding up perfectly. The neighbors are complaining)) I'm afraid to set the buffer to maximum, but the speakers could be better, and the buffer is excellent!! overall 5+</v>
      </c>
    </row>
    <row r="7749" spans="1:9" x14ac:dyDescent="0.3">
      <c r="A7749" s="1" t="s">
        <v>43</v>
      </c>
      <c r="B7749" s="1" t="s">
        <v>303</v>
      </c>
      <c r="C7749" s="1" t="s">
        <v>220</v>
      </c>
      <c r="D7749" s="1" t="s">
        <v>305</v>
      </c>
      <c r="E7749" s="1" t="s">
        <v>6357</v>
      </c>
      <c r="F7749" s="1" t="s">
        <v>11851</v>
      </c>
      <c r="G7749" s="1" t="s">
        <v>36</v>
      </c>
      <c r="H7749" s="1" t="s">
        <v>29</v>
      </c>
      <c r="I7749" s="1" t="str">
        <f ca="1">IFERROR(__xludf.DUMMYFUNCTION("GOOGLETRANSLATE(F7749, ""auto"", ""en"")
"),"price-quality, touch screen with indication of operating mode and water temperature, built-in timer, clock, buzzer. 2 heating elements. Appearance, flat shape. Automatically maintains the set temperature")</f>
        <v>price-quality, touch screen with indication of operating mode and water temperature, built-in timer, clock, buzzer. 2 heating elements. Appearance, flat shape. Automatically maintains the set temperature</v>
      </c>
    </row>
    <row r="7750" spans="1:9" x14ac:dyDescent="0.3">
      <c r="A7750" s="1" t="s">
        <v>43</v>
      </c>
      <c r="B7750" s="1" t="s">
        <v>502</v>
      </c>
      <c r="C7750" s="1" t="s">
        <v>151</v>
      </c>
      <c r="D7750" s="1" t="s">
        <v>305</v>
      </c>
      <c r="E7750" s="1" t="s">
        <v>3089</v>
      </c>
      <c r="F7750" s="1" t="s">
        <v>11852</v>
      </c>
      <c r="G7750" s="1" t="s">
        <v>36</v>
      </c>
      <c r="H7750" s="1" t="s">
        <v>29</v>
      </c>
      <c r="I7750" s="1" t="str">
        <f ca="1">IFERROR(__xludf.DUMMYFUNCTION("GOOGLETRANSLATE(F7750, ""auto"", ""en"")
"),"I bought it and installed it from another company, since M.Video does not have an installation (at least in our city). The air conditioner is super, it does its job perfectly, the indoor unit is quiet, in the bedroom there is an Electrolux - for some reas"&amp;"on it is louder, although it is 7 in power. The external unit is plastic, it’s a pity that the screen on the remote control is not backlit. The installers said that the device will more than last 5 years")</f>
        <v>I bought it and installed it from another company, since M.Video does not have an installation (at least in our city). The air conditioner is super, it does its job perfectly, the indoor unit is quiet, in the bedroom there is an Electrolux - for some reason it is louder, although it is 7 in power. The external unit is plastic, it’s a pity that the screen on the remote control is not backlit. The installers said that the device will more than last 5 years</v>
      </c>
    </row>
    <row r="7751" spans="1:9" x14ac:dyDescent="0.3">
      <c r="A7751" s="1" t="s">
        <v>149</v>
      </c>
      <c r="B7751" s="1" t="s">
        <v>423</v>
      </c>
      <c r="C7751" s="1" t="s">
        <v>424</v>
      </c>
      <c r="D7751" s="1" t="s">
        <v>64</v>
      </c>
      <c r="E7751" s="1" t="s">
        <v>1467</v>
      </c>
      <c r="F7751" s="1" t="s">
        <v>11853</v>
      </c>
      <c r="G7751" s="1" t="s">
        <v>36</v>
      </c>
      <c r="H7751" s="1" t="s">
        <v>29</v>
      </c>
      <c r="I7751" s="1" t="str">
        <f ca="1">IFERROR(__xludf.DUMMYFUNCTION("GOOGLETRANSLATE(F7751, ""auto"", ""en"")
"),"Was purchased 15 years ago. And it’s still like new, although it’s been used a lot and for a long time (there’s carpet and tiles everywhere in the apartment). Only now, from apparently great effort, the husband broke (cracked along the stiffener) the pipe"&amp;". There is indeed a lot of water, but the entire carpet dries in one night. A bit noisy. Arsen’s comment just made me laugh - how do you have to “actively” vacuum the apartment so that such a carcass falls on its side)")</f>
        <v>Was purchased 15 years ago. And it’s still like new, although it’s been used a lot and for a long time (there’s carpet and tiles everywhere in the apartment). Only now, from apparently great effort, the husband broke (cracked along the stiffener) the pipe. There is indeed a lot of water, but the entire carpet dries in one night. A bit noisy. Arsen’s comment just made me laugh - how do you have to “actively” vacuum the apartment so that such a carcass falls on its side)</v>
      </c>
    </row>
    <row r="7752" spans="1:9" x14ac:dyDescent="0.3">
      <c r="A7752" s="1" t="s">
        <v>37</v>
      </c>
      <c r="B7752" s="1" t="s">
        <v>536</v>
      </c>
      <c r="C7752" s="1" t="s">
        <v>189</v>
      </c>
      <c r="D7752" s="1" t="s">
        <v>171</v>
      </c>
      <c r="E7752" s="1" t="s">
        <v>3829</v>
      </c>
      <c r="F7752" s="1" t="s">
        <v>11854</v>
      </c>
      <c r="G7752" s="1" t="s">
        <v>49</v>
      </c>
      <c r="H7752" s="1" t="s">
        <v>16</v>
      </c>
      <c r="I7752" s="1" t="str">
        <f ca="1">IFERROR(__xludf.DUMMYFUNCTION("GOOGLETRANSLATE(F7752, ""auto"", ""en"")
"),"The communicator is terrible. Not enough memory. If ICQ is open, then you should launch Navitel or a browser, then ICQ will close. Only 2 firmwares from the manufacturer. The camera is crap, the connection is unstable, the network reception is poor, it of"&amp;"ten misses calls, it’s hard to hear, the speaker is very quiet, the body is made of waste - I’ve already replaced it twice. The keyboard wears out after 6 months, everything that shines will peel off in a month, the built-in software is buggy, the alarm c"&amp;"lock sometimes freezes and can only be turned off by removing the battery. I'm afraid there isn't enough space to list all the glitches.")</f>
        <v>The communicator is terrible. Not enough memory. If ICQ is open, then you should launch Navitel or a browser, then ICQ will close. Only 2 firmwares from the manufacturer. The camera is crap, the connection is unstable, the network reception is poor, it often misses calls, it’s hard to hear, the speaker is very quiet, the body is made of waste - I’ve already replaced it twice. The keyboard wears out after 6 months, everything that shines will peel off in a month, the built-in software is buggy, the alarm clock sometimes freezes and can only be turned off by removing the battery. I'm afraid there isn't enough space to list all the glitches.</v>
      </c>
    </row>
    <row r="7753" spans="1:9" x14ac:dyDescent="0.3">
      <c r="A7753" s="1" t="s">
        <v>373</v>
      </c>
      <c r="B7753" s="1" t="s">
        <v>374</v>
      </c>
      <c r="C7753" s="1" t="s">
        <v>63</v>
      </c>
      <c r="D7753" s="1" t="s">
        <v>749</v>
      </c>
      <c r="E7753" s="1" t="s">
        <v>2525</v>
      </c>
      <c r="F7753" s="1" t="s">
        <v>11855</v>
      </c>
      <c r="G7753" s="1" t="s">
        <v>28</v>
      </c>
      <c r="H7753" s="1" t="s">
        <v>29</v>
      </c>
      <c r="I7753" s="1" t="str">
        <f ca="1">IFERROR(__xludf.DUMMYFUNCTION("GOOGLETRANSLATE(F7753, ""auto"", ""en"")
"),"I've been using the machine for about two years. Once the lid for the powder malfunctioned and did not open while working. If your kitchen size allows it, then buy a full-size machine, it will fit much more dishes in one wash. During all the time of opera"&amp;"tion, we have never used the attachment for baking sheets, although I chose it with this attachment.")</f>
        <v>I've been using the machine for about two years. Once the lid for the powder malfunctioned and did not open while working. If your kitchen size allows it, then buy a full-size machine, it will fit much more dishes in one wash. During all the time of operation, we have never used the attachment for baking sheets, although I chose it with this attachment.</v>
      </c>
    </row>
    <row r="7754" spans="1:9" x14ac:dyDescent="0.3">
      <c r="A7754" s="1" t="s">
        <v>149</v>
      </c>
      <c r="B7754" s="1" t="s">
        <v>576</v>
      </c>
      <c r="C7754" s="1" t="s">
        <v>80</v>
      </c>
      <c r="D7754" s="1" t="s">
        <v>247</v>
      </c>
      <c r="E7754" s="1" t="s">
        <v>1905</v>
      </c>
      <c r="F7754" s="1" t="s">
        <v>11856</v>
      </c>
      <c r="G7754" s="1" t="s">
        <v>36</v>
      </c>
      <c r="H7754" s="1" t="s">
        <v>29</v>
      </c>
      <c r="I7754" s="1" t="str">
        <f ca="1">IFERROR(__xludf.DUMMYFUNCTION("GOOGLETRANSLATE(F7754, ""auto"", ""en"")
"),"The vacuum cleaner is very good, you don’t need anything else for your home. I bought it for myself, recommended it to all my relatives and they bought it too. Everyone really liked it. I recommend it to everyone!!!")</f>
        <v>The vacuum cleaner is very good, you don’t need anything else for your home. I bought it for myself, recommended it to all my relatives and they bought it too. Everyone really liked it. I recommend it to everyone!!!</v>
      </c>
    </row>
    <row r="7755" spans="1:9" x14ac:dyDescent="0.3">
      <c r="A7755" s="1" t="s">
        <v>30</v>
      </c>
      <c r="B7755" s="1" t="s">
        <v>50</v>
      </c>
      <c r="C7755" s="1" t="s">
        <v>32</v>
      </c>
      <c r="D7755" s="1" t="s">
        <v>4716</v>
      </c>
      <c r="E7755" s="1" t="s">
        <v>2896</v>
      </c>
      <c r="F7755" s="1" t="s">
        <v>11857</v>
      </c>
      <c r="G7755" s="1" t="s">
        <v>36</v>
      </c>
      <c r="H7755" s="1" t="s">
        <v>29</v>
      </c>
      <c r="I7755" s="1" t="str">
        <f ca="1">IFERROR(__xludf.DUMMYFUNCTION("GOOGLETRANSLATE(F7755, ""auto"", ""en"")
"),"the laptop is just super")</f>
        <v>the laptop is just super</v>
      </c>
    </row>
    <row r="7756" spans="1:9" x14ac:dyDescent="0.3">
      <c r="A7756" s="1" t="s">
        <v>67</v>
      </c>
      <c r="B7756" s="1" t="s">
        <v>68</v>
      </c>
      <c r="C7756" s="1" t="s">
        <v>1461</v>
      </c>
      <c r="D7756" s="1" t="s">
        <v>3253</v>
      </c>
      <c r="E7756" s="1" t="s">
        <v>1287</v>
      </c>
      <c r="F7756" s="1" t="s">
        <v>11858</v>
      </c>
      <c r="G7756" s="1" t="s">
        <v>36</v>
      </c>
      <c r="H7756" s="1" t="s">
        <v>29</v>
      </c>
      <c r="I7756" s="1" t="str">
        <f ca="1">IFERROR(__xludf.DUMMYFUNCTION("GOOGLETRANSLATE(F7756, ""auto"", ""en"")
"),"Cool iron, I really like it! I iron children's things. Small, light and convenient! Take it, you won't regret it!!!")</f>
        <v>Cool iron, I really like it! I iron children's things. Small, light and convenient! Take it, you won't regret it!!!</v>
      </c>
    </row>
    <row r="7757" spans="1:9" x14ac:dyDescent="0.3">
      <c r="A7757" s="1" t="s">
        <v>211</v>
      </c>
      <c r="B7757" s="1" t="s">
        <v>212</v>
      </c>
      <c r="C7757" s="1" t="s">
        <v>381</v>
      </c>
      <c r="D7757" s="1" t="s">
        <v>545</v>
      </c>
      <c r="E7757" s="1" t="s">
        <v>1838</v>
      </c>
      <c r="F7757" s="1" t="s">
        <v>11859</v>
      </c>
      <c r="G7757" s="1" t="s">
        <v>36</v>
      </c>
      <c r="H7757" s="1" t="s">
        <v>29</v>
      </c>
      <c r="I7757" s="1" t="str">
        <f ca="1">IFERROR(__xludf.DUMMYFUNCTION("GOOGLETRANSLATE(F7757, ""auto"", ""en"")
"),"I bought it today. Already tried it. I really liked it. Really hair like after a hairdresser! Although mine are long. I think that for the square they are not replaceable at all! And the price now makes me happy! Mom needs to buy some too!")</f>
        <v>I bought it today. Already tried it. I really liked it. Really hair like after a hairdresser! Although mine are long. I think that for the square they are not replaceable at all! And the price now makes me happy! Mom needs to buy some too!</v>
      </c>
    </row>
    <row r="7758" spans="1:9" x14ac:dyDescent="0.3">
      <c r="A7758" s="1" t="s">
        <v>451</v>
      </c>
      <c r="B7758" s="1" t="s">
        <v>452</v>
      </c>
      <c r="C7758" s="1" t="s">
        <v>710</v>
      </c>
      <c r="D7758" s="1" t="s">
        <v>305</v>
      </c>
      <c r="E7758" s="1" t="s">
        <v>2891</v>
      </c>
      <c r="F7758" s="1" t="s">
        <v>11860</v>
      </c>
      <c r="G7758" s="1" t="s">
        <v>28</v>
      </c>
      <c r="H7758" s="1" t="s">
        <v>29</v>
      </c>
      <c r="I7758" s="1" t="str">
        <f ca="1">IFERROR(__xludf.DUMMYFUNCTION("GOOGLETRANSLATE(F7758, ""auto"", ""en"")
"),"My knife didn't crack. But it became dull within a year. In principle, with my active use this is normal. During this time, ordinary knives in the kitchen also turn into something...")</f>
        <v>My knife didn't crack. But it became dull within a year. In principle, with my active use this is normal. During this time, ordinary knives in the kitchen also turn into something...</v>
      </c>
    </row>
    <row r="7759" spans="1:9" x14ac:dyDescent="0.3">
      <c r="A7759" s="1" t="s">
        <v>37</v>
      </c>
      <c r="B7759" s="1" t="s">
        <v>38</v>
      </c>
      <c r="C7759" s="1" t="s">
        <v>163</v>
      </c>
      <c r="D7759" s="1" t="s">
        <v>356</v>
      </c>
      <c r="E7759" s="1" t="s">
        <v>2565</v>
      </c>
      <c r="F7759" s="1" t="s">
        <v>11861</v>
      </c>
      <c r="G7759" s="1" t="s">
        <v>36</v>
      </c>
      <c r="H7759" s="1" t="s">
        <v>29</v>
      </c>
      <c r="I7759" s="1" t="str">
        <f ca="1">IFERROR(__xludf.DUMMYFUNCTION("GOOGLETRANSLATE(F7759, ""auto"", ""en"")
"),"in general, I tell everyone right away, this phone is for VIPs, but it’s worth the money, everything about it is excellent, only the speakers wheeze (but this is normal, all modern phones always have not very good speakers), but the manufacturers didn’t s"&amp;"ave on the battery!    I advise everyone who can buy a phone for this money!")</f>
        <v>in general, I tell everyone right away, this phone is for VIPs, but it’s worth the money, everything about it is excellent, only the speakers wheeze (but this is normal, all modern phones always have not very good speakers), but the manufacturers didn’t save on the battery!    I advise everyone who can buy a phone for this money!</v>
      </c>
    </row>
    <row r="7760" spans="1:9" x14ac:dyDescent="0.3">
      <c r="A7760" s="1" t="s">
        <v>169</v>
      </c>
      <c r="B7760" s="1" t="s">
        <v>170</v>
      </c>
      <c r="C7760" s="1" t="s">
        <v>122</v>
      </c>
      <c r="D7760" s="1" t="s">
        <v>10177</v>
      </c>
      <c r="E7760" s="1" t="s">
        <v>1611</v>
      </c>
      <c r="F7760" s="1" t="s">
        <v>11862</v>
      </c>
      <c r="G7760" s="1" t="s">
        <v>36</v>
      </c>
      <c r="H7760" s="1" t="s">
        <v>29</v>
      </c>
      <c r="I7760" s="1" t="str">
        <f ca="1">IFERROR(__xludf.DUMMYFUNCTION("GOOGLETRANSLATE(F7760, ""auto"", ""en"")
"),"Gorgeous thing.")</f>
        <v>Gorgeous thing.</v>
      </c>
    </row>
    <row r="7761" spans="1:9" x14ac:dyDescent="0.3">
      <c r="A7761" s="1" t="s">
        <v>30</v>
      </c>
      <c r="B7761" s="1" t="s">
        <v>50</v>
      </c>
      <c r="C7761" s="1" t="s">
        <v>32</v>
      </c>
      <c r="D7761" s="1" t="s">
        <v>280</v>
      </c>
      <c r="E7761" s="1" t="s">
        <v>2321</v>
      </c>
      <c r="F7761" s="1" t="s">
        <v>11863</v>
      </c>
      <c r="G7761" s="1" t="s">
        <v>36</v>
      </c>
      <c r="H7761" s="1" t="s">
        <v>29</v>
      </c>
      <c r="I7761" s="1" t="str">
        <f ca="1">IFERROR(__xludf.DUMMYFUNCTION("GOOGLETRANSLATE(F7761, ""auto"", ""en"")
"),"I bought it a month ago, I’m very pleased. (Metro 2033 just flies, I haven’t tried Call of Duty)")</f>
        <v>I bought it a month ago, I’m very pleased. (Metro 2033 just flies, I haven’t tried Call of Duty)</v>
      </c>
    </row>
    <row r="7762" spans="1:9" x14ac:dyDescent="0.3">
      <c r="A7762" s="1" t="s">
        <v>30</v>
      </c>
      <c r="B7762" s="1" t="s">
        <v>50</v>
      </c>
      <c r="C7762" s="1" t="s">
        <v>51</v>
      </c>
      <c r="D7762" s="1" t="s">
        <v>11864</v>
      </c>
      <c r="E7762" s="1" t="s">
        <v>1275</v>
      </c>
      <c r="F7762" s="1" t="s">
        <v>11865</v>
      </c>
      <c r="G7762" s="1" t="s">
        <v>28</v>
      </c>
      <c r="H7762" s="1" t="s">
        <v>29</v>
      </c>
      <c r="I7762" s="1" t="str">
        <f ca="1">IFERROR(__xludf.DUMMYFUNCTION("GOOGLETRANSLATE(F7762, ""auto"", ""en"")
"),"I recently picked it up too. Only 1 problem. When bluetooth starts, nothing visible happens, but the process appears in RAM. The firewood seems to be the same (nothing has been changed at all since the purchase). Is something not working correctly or am I"&amp;" just doing something wrong?")</f>
        <v>I recently picked it up too. Only 1 problem. When bluetooth starts, nothing visible happens, but the process appears in RAM. The firewood seems to be the same (nothing has been changed at all since the purchase). Is something not working correctly or am I just doing something wrong?</v>
      </c>
    </row>
    <row r="7763" spans="1:9" x14ac:dyDescent="0.3">
      <c r="A7763" s="1" t="s">
        <v>17</v>
      </c>
      <c r="B7763" s="1" t="s">
        <v>18</v>
      </c>
      <c r="C7763" s="1" t="s">
        <v>80</v>
      </c>
      <c r="D7763" s="1" t="s">
        <v>1121</v>
      </c>
      <c r="E7763" s="1" t="s">
        <v>1408</v>
      </c>
      <c r="F7763" s="1" t="s">
        <v>11866</v>
      </c>
      <c r="G7763" s="1" t="s">
        <v>36</v>
      </c>
      <c r="H7763" s="1" t="s">
        <v>29</v>
      </c>
      <c r="I7763" s="1" t="str">
        <f ca="1">IFERROR(__xludf.DUMMYFUNCTION("GOOGLETRANSLATE(F7763, ""auto"", ""en"")
"),"Quiet, washes well, convenient control, engine, capacity.")</f>
        <v>Quiet, washes well, convenient control, engine, capacity.</v>
      </c>
    </row>
    <row r="7764" spans="1:9" x14ac:dyDescent="0.3">
      <c r="A7764" s="1" t="s">
        <v>37</v>
      </c>
      <c r="B7764" s="1" t="s">
        <v>1829</v>
      </c>
      <c r="C7764" s="1" t="s">
        <v>151</v>
      </c>
      <c r="D7764" s="1" t="s">
        <v>11867</v>
      </c>
      <c r="E7764" s="1" t="s">
        <v>769</v>
      </c>
      <c r="F7764" s="1" t="s">
        <v>11868</v>
      </c>
      <c r="G7764" s="1" t="s">
        <v>36</v>
      </c>
      <c r="H7764" s="1" t="s">
        <v>29</v>
      </c>
      <c r="I7764" s="1" t="str">
        <f ca="1">IFERROR(__xludf.DUMMYFUNCTION("GOOGLETRANSLATE(F7764, ""auto"", ""en"")
"),"I myself have been using the smart phone for about more than 1.5 years and have no complaints, well, if only the battery charge is rather weak. Updated to 5.0 it became a couple of advantages better, BUT! The usual dark theme has changed to lighter colors"&amp;". The camera is super, if your hands are sharpened for taking photos, if you don’t have a DSLR at hand, then you can take a photo. The games run perfectly without any stutters or bugs. So I advise everyone to take it, to those who decide to take this part"&amp;"icular model.")</f>
        <v>I myself have been using the smart phone for about more than 1.5 years and have no complaints, well, if only the battery charge is rather weak. Updated to 5.0 it became a couple of advantages better, BUT! The usual dark theme has changed to lighter colors. The camera is super, if your hands are sharpened for taking photos, if you don’t have a DSLR at hand, then you can take a photo. The games run perfectly without any stutters or bugs. So I advise everyone to take it, to those who decide to take this particular model.</v>
      </c>
    </row>
    <row r="7765" spans="1:9" x14ac:dyDescent="0.3">
      <c r="A7765" s="1" t="s">
        <v>211</v>
      </c>
      <c r="B7765" s="1" t="s">
        <v>410</v>
      </c>
      <c r="C7765" s="1" t="s">
        <v>213</v>
      </c>
      <c r="D7765" s="1" t="s">
        <v>305</v>
      </c>
      <c r="E7765" s="1" t="s">
        <v>750</v>
      </c>
      <c r="F7765" s="1" t="s">
        <v>11869</v>
      </c>
      <c r="G7765" s="1" t="s">
        <v>36</v>
      </c>
      <c r="H7765" s="1" t="s">
        <v>29</v>
      </c>
      <c r="I7765" s="1" t="str">
        <f ca="1">IFERROR(__xludf.DUMMYFUNCTION("GOOGLETRANSLATE(F7765, ""auto"", ""en"")
"),"I bought this razor a month ago. Super, I’m happy with everything.")</f>
        <v>I bought this razor a month ago. Super, I’m happy with everything.</v>
      </c>
    </row>
    <row r="7766" spans="1:9" x14ac:dyDescent="0.3">
      <c r="A7766" s="1" t="s">
        <v>111</v>
      </c>
      <c r="B7766" s="1" t="s">
        <v>636</v>
      </c>
      <c r="C7766" s="1" t="s">
        <v>637</v>
      </c>
      <c r="D7766" s="1" t="s">
        <v>139</v>
      </c>
      <c r="E7766" s="1" t="s">
        <v>2634</v>
      </c>
      <c r="F7766" s="1" t="s">
        <v>11870</v>
      </c>
      <c r="G7766" s="1" t="s">
        <v>36</v>
      </c>
      <c r="H7766" s="1" t="s">
        <v>29</v>
      </c>
      <c r="I7766" s="1" t="str">
        <f ca="1">IFERROR(__xludf.DUMMYFUNCTION("GOOGLETRANSLATE(F7766, ""auto"", ""en"")
"),"We bought it 1.5 years ago, everything is fine, it measures temperature and humidity perfectly. The weather forecast is, of course, more of a marketing ploy than a working function, it matches 50/50. By the way, about batteries, I read that an external se"&amp;"nsor will not work in the cold with ordinary batteries, I bought the first ones I came across in MVideo, I was pleasantly surprised: we survived 2 winters without problems, despite the fact that for 3 months the temperature was -35, -40 degrees. And the "&amp;"""Ice alert"" LED doesn't do anything special, it just blinks in the range from +2 to -2, that's what the instructions say")</f>
        <v>We bought it 1.5 years ago, everything is fine, it measures temperature and humidity perfectly. The weather forecast is, of course, more of a marketing ploy than a working function, it matches 50/50. By the way, about batteries, I read that an external sensor will not work in the cold with ordinary batteries, I bought the first ones I came across in MVideo, I was pleasantly surprised: we survived 2 winters without problems, despite the fact that for 3 months the temperature was -35, -40 degrees. And the "Ice alert" LED doesn't do anything special, it just blinks in the range from +2 to -2, that's what the instructions say</v>
      </c>
    </row>
    <row r="7767" spans="1:9" x14ac:dyDescent="0.3">
      <c r="A7767" s="1" t="s">
        <v>211</v>
      </c>
      <c r="B7767" s="1" t="s">
        <v>212</v>
      </c>
      <c r="C7767" s="1" t="s">
        <v>69</v>
      </c>
      <c r="D7767" s="1" t="s">
        <v>64</v>
      </c>
      <c r="E7767" s="1" t="s">
        <v>4458</v>
      </c>
      <c r="F7767" s="1" t="s">
        <v>11871</v>
      </c>
      <c r="G7767" s="1" t="s">
        <v>36</v>
      </c>
      <c r="H7767" s="1" t="s">
        <v>29</v>
      </c>
      <c r="I7767" s="1" t="str">
        <f ca="1">IFERROR(__xludf.DUMMYFUNCTION("GOOGLETRANSLATE(F7767, ""auto"", ""en"")
"),"The most powerful of the compact hair dryers that were presented: I bought it based on this, plus it comes with a carrying bag, it is also equipped with an overheat shut-off, the previous hair dryer burned out precisely because this function was not there"&amp;".")</f>
        <v>The most powerful of the compact hair dryers that were presented: I bought it based on this, plus it comes with a carrying bag, it is also equipped with an overheat shut-off, the previous hair dryer burned out precisely because this function was not there.</v>
      </c>
    </row>
    <row r="7768" spans="1:9" x14ac:dyDescent="0.3">
      <c r="A7768" s="1" t="s">
        <v>17</v>
      </c>
      <c r="B7768" s="1" t="s">
        <v>18</v>
      </c>
      <c r="C7768" s="1" t="s">
        <v>151</v>
      </c>
      <c r="D7768" s="1" t="s">
        <v>11872</v>
      </c>
      <c r="E7768" s="1" t="s">
        <v>3872</v>
      </c>
      <c r="F7768" s="1" t="s">
        <v>11873</v>
      </c>
      <c r="G7768" s="1" t="s">
        <v>36</v>
      </c>
      <c r="H7768" s="1" t="s">
        <v>29</v>
      </c>
      <c r="I7768" s="1" t="str">
        <f ca="1">IFERROR(__xludf.DUMMYFUNCTION("GOOGLETRANSLATE(F7768, ""auto"", ""en"")
"),"I spent a month choosing a machine, I was so tormented: I searched all the sites, read all the reviews, tortured all the sellers in the city (they already began to recognize me by sight))) and why? I wanted to choose a machine for a long time, so that the"&amp;"re was an optimal set of functions and so that the price was not prohibitive... I settled on a Samsung and a ski... Many friends have a ski, well, the one with direct drive, everyone is happy and satisfied, they unanimously repeat - buy it, you won’t regr"&amp;"et it... but somehow I still had doubts about it - what to expect from this direct drive? but there’s a lot of electronics for a Korean car... in general, I decided that the difference in cars wasn’t worth 4 thousand and took the Samsung)) (even if, of co"&amp;"urse, the ski has more modes, but you must admit, no one uses most of them). my first washing machine, my friend’s favorite, I was satisfied! easy to operate, everything can be adjusted, large loading volume, and all sorts of ceramic heaters, protection a"&amp;"gainst power surges and leaks like) oh, yes, and a super-duper drum))))))))))")</f>
        <v>I spent a month choosing a machine, I was so tormented: I searched all the sites, read all the reviews, tortured all the sellers in the city (they already began to recognize me by sight))) and why? I wanted to choose a machine for a long time, so that there was an optimal set of functions and so that the price was not prohibitive... I settled on a Samsung and a ski... Many friends have a ski, well, the one with direct drive, everyone is happy and satisfied, they unanimously repeat - buy it, you won’t regret it... but somehow I still had doubts about it - what to expect from this direct drive? but there’s a lot of electronics for a Korean car... in general, I decided that the difference in cars wasn’t worth 4 thousand and took the Samsung)) (even if, of course, the ski has more modes, but you must admit, no one uses most of them). my first washing machine, my friend’s favorite, I was satisfied! easy to operate, everything can be adjusted, large loading volume, and all sorts of ceramic heaters, protection against power surges and leaks like) oh, yes, and a super-duper drum))))))))))</v>
      </c>
    </row>
    <row r="7769" spans="1:9" x14ac:dyDescent="0.3">
      <c r="A7769" s="1" t="s">
        <v>211</v>
      </c>
      <c r="B7769" s="1" t="s">
        <v>212</v>
      </c>
      <c r="C7769" s="1" t="s">
        <v>69</v>
      </c>
      <c r="D7769" s="1" t="s">
        <v>11874</v>
      </c>
      <c r="E7769" s="1" t="s">
        <v>47</v>
      </c>
      <c r="F7769" s="1" t="s">
        <v>11875</v>
      </c>
      <c r="G7769" s="1" t="s">
        <v>36</v>
      </c>
      <c r="H7769" s="1" t="s">
        <v>29</v>
      </c>
      <c r="I7769" s="1" t="str">
        <f ca="1">IFERROR(__xludf.DUMMYFUNCTION("GOOGLETRANSLATE(F7769, ""auto"", ""en"")
"),"I bought it recently, but I already consider it the best invention of mankind. Regarding the power - I have short hair (bob), even 2 dries it in 10 minutes. The styling is airy and lasts all day. So far I have only used 3 attachments, and they have paid o"&amp;"ff.")</f>
        <v>I bought it recently, but I already consider it the best invention of mankind. Regarding the power - I have short hair (bob), even 2 dries it in 10 minutes. The styling is airy and lasts all day. So far I have only used 3 attachments, and they have paid off.</v>
      </c>
    </row>
    <row r="7770" spans="1:9" x14ac:dyDescent="0.3">
      <c r="A7770" s="1" t="s">
        <v>557</v>
      </c>
      <c r="B7770" s="1" t="s">
        <v>558</v>
      </c>
      <c r="C7770" s="1" t="s">
        <v>122</v>
      </c>
      <c r="D7770" s="1" t="s">
        <v>12</v>
      </c>
      <c r="E7770" s="1" t="s">
        <v>1524</v>
      </c>
      <c r="F7770" s="1" t="s">
        <v>11876</v>
      </c>
      <c r="G7770" s="1" t="s">
        <v>28</v>
      </c>
      <c r="H7770" s="1" t="s">
        <v>29</v>
      </c>
      <c r="I7770" s="1" t="str">
        <f ca="1">IFERROR(__xludf.DUMMYFUNCTION("GOOGLETRANSLATE(F7770, ""auto"", ""en"")
"),"The telephone is very nice, but it doesn’t identify the numbers...))) I did all the manipulations according to the instructions, but there was no result. Maybe I need to press some secret button...")</f>
        <v>The telephone is very nice, but it doesn’t identify the numbers...))) I did all the manipulations according to the instructions, but there was no result. Maybe I need to press some secret button...</v>
      </c>
    </row>
    <row r="7771" spans="1:9" x14ac:dyDescent="0.3">
      <c r="A7771" s="1" t="s">
        <v>95</v>
      </c>
      <c r="B7771" s="1" t="s">
        <v>227</v>
      </c>
      <c r="C7771" s="1" t="s">
        <v>97</v>
      </c>
      <c r="D7771" s="1" t="s">
        <v>3962</v>
      </c>
      <c r="E7771" s="1" t="s">
        <v>2593</v>
      </c>
      <c r="F7771" s="1" t="s">
        <v>11877</v>
      </c>
      <c r="G7771" s="1" t="s">
        <v>36</v>
      </c>
      <c r="H7771" s="1" t="s">
        <v>29</v>
      </c>
      <c r="I7771" s="1" t="str">
        <f ca="1">IFERROR(__xludf.DUMMYFUNCTION("GOOGLETRANSLATE(F7771, ""auto"", ""en"")
"),"Super thing!!!! I recommend it to everyone! Don’t even think about the box! Everyone is using a curling iron3!!!!!!!!!")</f>
        <v>Super thing!!!! I recommend it to everyone! Don’t even think about the box! Everyone is using a curling iron3!!!!!!!!!</v>
      </c>
    </row>
    <row r="7772" spans="1:9" x14ac:dyDescent="0.3">
      <c r="A7772" s="1" t="s">
        <v>37</v>
      </c>
      <c r="B7772" s="1" t="s">
        <v>38</v>
      </c>
      <c r="C7772" s="1" t="s">
        <v>163</v>
      </c>
      <c r="D7772" s="1" t="s">
        <v>52</v>
      </c>
      <c r="E7772" s="1" t="s">
        <v>312</v>
      </c>
      <c r="F7772" s="1" t="s">
        <v>11878</v>
      </c>
      <c r="G7772" s="1" t="s">
        <v>36</v>
      </c>
      <c r="H7772" s="1" t="s">
        <v>29</v>
      </c>
      <c r="I7772" s="1" t="str">
        <f ca="1">IFERROR(__xludf.DUMMYFUNCTION("GOOGLETRANSLATE(F7772, ""auto"", ""en"")
"),"I bought a very good phone a year ago, the speakers work great, they scream at the whole apartment when at home, the only downside is that the calculator has disappeared somewhere, but this is a nonsense because you can download it")</f>
        <v>I bought a very good phone a year ago, the speakers work great, they scream at the whole apartment when at home, the only downside is that the calculator has disappeared somewhere, but this is a nonsense because you can download it</v>
      </c>
    </row>
    <row r="7773" spans="1:9" x14ac:dyDescent="0.3">
      <c r="A7773" s="1" t="s">
        <v>37</v>
      </c>
      <c r="B7773" s="1" t="s">
        <v>38</v>
      </c>
      <c r="C7773" s="1" t="s">
        <v>163</v>
      </c>
      <c r="D7773" s="1" t="s">
        <v>232</v>
      </c>
      <c r="E7773" s="1" t="s">
        <v>5696</v>
      </c>
      <c r="F7773" s="1" t="s">
        <v>11879</v>
      </c>
      <c r="G7773" s="1" t="s">
        <v>49</v>
      </c>
      <c r="H7773" s="1" t="s">
        <v>16</v>
      </c>
      <c r="I7773" s="1" t="str">
        <f ca="1">IFERROR(__xludf.DUMMYFUNCTION("GOOGLETRANSLATE(F7773, ""auto"", ""en"")
"),"Not very... The case is flimsy, the buttons crackle. When you press the button, as many as three characters come out. The screen is very dirty. Freezes. The camera is bad. After eight months, the speaker began to wheeze. Nine months, it began to turn itse"&amp;"lf off when updating pages on the net.  I don't recommend it.")</f>
        <v>Not very... The case is flimsy, the buttons crackle. When you press the button, as many as three characters come out. The screen is very dirty. Freezes. The camera is bad. After eight months, the speaker began to wheeze. Nine months, it began to turn itself off when updating pages on the net.  I don't recommend it.</v>
      </c>
    </row>
    <row r="7774" spans="1:9" x14ac:dyDescent="0.3">
      <c r="A7774" s="1" t="s">
        <v>17</v>
      </c>
      <c r="B7774" s="1" t="s">
        <v>18</v>
      </c>
      <c r="C7774" s="1" t="s">
        <v>870</v>
      </c>
      <c r="D7774" s="1" t="s">
        <v>592</v>
      </c>
      <c r="E7774" s="1" t="s">
        <v>11880</v>
      </c>
      <c r="F7774" s="1" t="s">
        <v>11881</v>
      </c>
      <c r="G7774" s="1" t="s">
        <v>36</v>
      </c>
      <c r="H7774" s="1" t="s">
        <v>29</v>
      </c>
      <c r="I7774" s="1" t="str">
        <f ca="1">IFERROR(__xludf.DUMMYFUNCTION("GOOGLETRANSLATE(F7774, ""auto"", ""en"")
"),"Washes well, clean clothes")</f>
        <v>Washes well, clean clothes</v>
      </c>
    </row>
    <row r="7775" spans="1:9" x14ac:dyDescent="0.3">
      <c r="A7775" s="1" t="s">
        <v>120</v>
      </c>
      <c r="B7775" s="1" t="s">
        <v>11882</v>
      </c>
      <c r="C7775" s="1" t="s">
        <v>69</v>
      </c>
      <c r="D7775" s="1" t="s">
        <v>916</v>
      </c>
      <c r="E7775" s="1" t="s">
        <v>794</v>
      </c>
      <c r="F7775" s="1" t="s">
        <v>11883</v>
      </c>
      <c r="G7775" s="1" t="s">
        <v>15</v>
      </c>
      <c r="H7775" s="1" t="s">
        <v>16</v>
      </c>
      <c r="I7775" s="1" t="str">
        <f ca="1">IFERROR(__xludf.DUMMYFUNCTION("GOOGLETRANSLATE(F7775, ""auto"", ""en"")
"),"A terrible picture, whether DVD or cable TV. Without HD MOTION this TV is at rest. Better take Philips 52 PFL 7203H/10, or which is 100 Hz of the seventh series")</f>
        <v>A terrible picture, whether DVD or cable TV. Without HD MOTION this TV is at rest. Better take Philips 52 PFL 7203H/10, or which is 100 Hz of the seventh series</v>
      </c>
    </row>
    <row r="7776" spans="1:9" x14ac:dyDescent="0.3">
      <c r="A7776" s="1" t="s">
        <v>61</v>
      </c>
      <c r="B7776" s="1" t="s">
        <v>1727</v>
      </c>
      <c r="C7776" s="1" t="s">
        <v>122</v>
      </c>
      <c r="D7776" s="1" t="s">
        <v>2233</v>
      </c>
      <c r="E7776" s="1" t="s">
        <v>11884</v>
      </c>
      <c r="F7776" s="1" t="s">
        <v>11885</v>
      </c>
      <c r="G7776" s="1" t="s">
        <v>36</v>
      </c>
      <c r="H7776" s="1" t="s">
        <v>29</v>
      </c>
      <c r="I7776" s="1" t="str">
        <f ca="1">IFERROR(__xludf.DUMMYFUNCTION("GOOGLETRANSLATE(F7776, ""auto"", ""en"")
"),"I have had a 4.5 liter multicooker for six months. Everything about her suits her! It’s good that they didn’t take the 2.5 liter. The porridges turn out great. The pilaf didn’t work out the first time - it turned out to be a mess. Next time I poured less "&amp;"water and added more oil than what was written in the instructions - it turned out great! Now I take all the recipes from the Internet and am very pleased. I steamed fish (wrapped in foil) - quickly and tasty. Stewed cabbage with rice; I made fish and pot"&amp;"atoes, roast meat and mushrooms, French-style meat. Everything turns out very tasty! In general, a multicooker is a useful and necessary thing for everyone - both for those who have small children, and for those who need dietary nutrition, and who have no"&amp;" time to stand at the stove. And when you are expecting guests, it is better to have a 4.5 liter multicooker. You won't regret it!")</f>
        <v>I have had a 4.5 liter multicooker for six months. Everything about her suits her! It’s good that they didn’t take the 2.5 liter. The porridges turn out great. The pilaf didn’t work out the first time - it turned out to be a mess. Next time I poured less water and added more oil than what was written in the instructions - it turned out great! Now I take all the recipes from the Internet and am very pleased. I steamed fish (wrapped in foil) - quickly and tasty. Stewed cabbage with rice; I made fish and potatoes, roast meat and mushrooms, French-style meat. Everything turns out very tasty! In general, a multicooker is a useful and necessary thing for everyone - both for those who have small children, and for those who need dietary nutrition, and who have no time to stand at the stove. And when you are expecting guests, it is better to have a 4.5 liter multicooker. You won't regret it!</v>
      </c>
    </row>
    <row r="7777" spans="1:9" x14ac:dyDescent="0.3">
      <c r="A7777" s="1" t="s">
        <v>105</v>
      </c>
      <c r="B7777" s="1" t="s">
        <v>106</v>
      </c>
      <c r="C7777" s="1" t="s">
        <v>1209</v>
      </c>
      <c r="D7777" s="1" t="s">
        <v>75</v>
      </c>
      <c r="E7777" s="1" t="s">
        <v>886</v>
      </c>
      <c r="F7777" s="1" t="s">
        <v>11886</v>
      </c>
      <c r="G7777" s="1" t="s">
        <v>36</v>
      </c>
      <c r="H7777" s="1" t="s">
        <v>29</v>
      </c>
      <c r="I7777" s="1" t="str">
        <f ca="1">IFERROR(__xludf.DUMMYFUNCTION("GOOGLETRANSLATE(F7777, ""auto"", ""en"")
"),"An excellent player, I bought this miracle a long time ago, I probably had it for 2 years or a little more, everything was fine, nothing broke, everything worked at 5+, but unfortunately it fell from a great height, one button fell out, the case began to "&amp;"be easily removed, I somehow left it in my bag, and my mother washed it, and that’s the end of it. The best, I plan to buy it again. Nothing has ever broken or glitched, unlike some!!!")</f>
        <v>An excellent player, I bought this miracle a long time ago, I probably had it for 2 years or a little more, everything was fine, nothing broke, everything worked at 5+, but unfortunately it fell from a great height, one button fell out, the case began to be easily removed, I somehow left it in my bag, and my mother washed it, and that’s the end of it. The best, I plan to buy it again. Nothing has ever broken or glitched, unlike some!!!</v>
      </c>
    </row>
    <row r="7778" spans="1:9" x14ac:dyDescent="0.3">
      <c r="A7778" s="1" t="s">
        <v>624</v>
      </c>
      <c r="B7778" s="1" t="s">
        <v>2107</v>
      </c>
      <c r="C7778" s="1" t="s">
        <v>479</v>
      </c>
      <c r="D7778" s="1" t="s">
        <v>11887</v>
      </c>
      <c r="E7778" s="1" t="s">
        <v>395</v>
      </c>
      <c r="F7778" s="1" t="s">
        <v>11888</v>
      </c>
      <c r="G7778" s="1" t="s">
        <v>36</v>
      </c>
      <c r="H7778" s="1" t="s">
        <v>29</v>
      </c>
      <c r="I7778" s="1" t="str">
        <f ca="1">IFERROR(__xludf.DUMMYFUNCTION("GOOGLETRANSLATE(F7778, ""auto"", ""en"")
"),"A game for connoisseurs of ninja games. Must have. Great action, lots of different weapons. Mortal Kombat would envy some of the techniques.")</f>
        <v>A game for connoisseurs of ninja games. Must have. Great action, lots of different weapons. Mortal Kombat would envy some of the techniques.</v>
      </c>
    </row>
    <row r="7779" spans="1:9" x14ac:dyDescent="0.3">
      <c r="A7779" s="1" t="s">
        <v>149</v>
      </c>
      <c r="B7779" s="1" t="s">
        <v>155</v>
      </c>
      <c r="C7779" s="1" t="s">
        <v>24</v>
      </c>
      <c r="D7779" s="1" t="s">
        <v>33</v>
      </c>
      <c r="E7779" s="1" t="s">
        <v>10801</v>
      </c>
      <c r="F7779" s="1" t="s">
        <v>11889</v>
      </c>
      <c r="G7779" s="1" t="s">
        <v>28</v>
      </c>
      <c r="H7779" s="1" t="s">
        <v>29</v>
      </c>
      <c r="I7779" s="1" t="str">
        <f ca="1">IFERROR(__xludf.DUMMYFUNCTION("GOOGLETRANSLATE(F7779, ""auto"", ""en"")
"),"Basically the vacuum cleaner is good, but I can’t find a spare filter for it!!!! Wherever I looked, it was nowhere!!!")</f>
        <v>Basically the vacuum cleaner is good, but I can’t find a spare filter for it!!!! Wherever I looked, it was nowhere!!!</v>
      </c>
    </row>
    <row r="7780" spans="1:9" x14ac:dyDescent="0.3">
      <c r="A7780" s="1" t="s">
        <v>17</v>
      </c>
      <c r="B7780" s="1" t="s">
        <v>18</v>
      </c>
      <c r="C7780" s="1" t="s">
        <v>151</v>
      </c>
      <c r="D7780" s="1" t="s">
        <v>52</v>
      </c>
      <c r="E7780" s="1" t="s">
        <v>2262</v>
      </c>
      <c r="F7780" s="1" t="s">
        <v>11890</v>
      </c>
      <c r="G7780" s="1" t="s">
        <v>28</v>
      </c>
      <c r="H7780" s="1" t="s">
        <v>29</v>
      </c>
      <c r="I7780" s="1" t="str">
        <f ca="1">IFERROR(__xludf.DUMMYFUNCTION("GOOGLETRANSLATE(F7780, ""auto"", ""en"")
"),"It washes great, but makes a noise when spinning and rinsing, like a plane taking off! Very noisy, although installed 100% correctly!")</f>
        <v>It washes great, but makes a noise when spinning and rinsing, like a plane taking off! Very noisy, although installed 100% correctly!</v>
      </c>
    </row>
    <row r="7781" spans="1:9" x14ac:dyDescent="0.3">
      <c r="A7781" s="1" t="s">
        <v>89</v>
      </c>
      <c r="B7781" s="1" t="s">
        <v>1106</v>
      </c>
      <c r="C7781" s="1" t="s">
        <v>74</v>
      </c>
      <c r="D7781" s="1" t="s">
        <v>11891</v>
      </c>
      <c r="E7781" s="1" t="s">
        <v>191</v>
      </c>
      <c r="F7781" s="1" t="s">
        <v>11892</v>
      </c>
      <c r="G7781" s="1" t="s">
        <v>36</v>
      </c>
      <c r="H7781" s="1" t="s">
        <v>29</v>
      </c>
      <c r="I7781" s="1" t="str">
        <f ca="1">IFERROR(__xludf.DUMMYFUNCTION("GOOGLETRANSLATE(F7781, ""auto"", ""en"")
"),"Yes and more! 0.6l is enough for 2 large mugs! or for 3 glasses... Just right for 3 people.")</f>
        <v>Yes and more! 0.6l is enough for 2 large mugs! or for 3 glasses... Just right for 3 people.</v>
      </c>
    </row>
    <row r="7782" spans="1:9" x14ac:dyDescent="0.3">
      <c r="A7782" s="1" t="s">
        <v>17</v>
      </c>
      <c r="B7782" s="1" t="s">
        <v>18</v>
      </c>
      <c r="C7782" s="1" t="s">
        <v>870</v>
      </c>
      <c r="D7782" s="1" t="s">
        <v>11893</v>
      </c>
      <c r="E7782" s="1" t="s">
        <v>1586</v>
      </c>
      <c r="F7782" s="1" t="s">
        <v>11894</v>
      </c>
      <c r="G7782" s="1" t="s">
        <v>36</v>
      </c>
      <c r="H7782" s="1" t="s">
        <v>29</v>
      </c>
      <c r="I7782" s="1" t="str">
        <f ca="1">IFERROR(__xludf.DUMMYFUNCTION("GOOGLETRANSLATE(F7782, ""auto"", ""en"")
"),"Good machine, satisfied with the price-quality ratio. True, in the first year of use, the elastic band on the drum stretched and got tangled (as it later turned out, it was a factory defect), so I replaced it with the same new one. It's been working like "&amp;"clockwork for a couple of years now. I agree with the noise during the spin cycle - I'm afraid it will take off :) There are no more complaints. They recommend it to everyone if there is no money for Miele :))")</f>
        <v>Good machine, satisfied with the price-quality ratio. True, in the first year of use, the elastic band on the drum stretched and got tangled (as it later turned out, it was a factory defect), so I replaced it with the same new one. It's been working like clockwork for a couple of years now. I agree with the noise during the spin cycle - I'm afraid it will take off :) There are no more complaints. They recommend it to everyone if there is no money for Miele :))</v>
      </c>
    </row>
    <row r="7783" spans="1:9" x14ac:dyDescent="0.3">
      <c r="A7783" s="1" t="s">
        <v>811</v>
      </c>
      <c r="B7783" s="1" t="s">
        <v>1599</v>
      </c>
      <c r="C7783" s="1" t="s">
        <v>3051</v>
      </c>
      <c r="D7783" s="1" t="s">
        <v>232</v>
      </c>
      <c r="E7783" s="1" t="s">
        <v>7050</v>
      </c>
      <c r="F7783" s="1" t="s">
        <v>11895</v>
      </c>
      <c r="G7783" s="1" t="s">
        <v>15</v>
      </c>
      <c r="H7783" s="1" t="s">
        <v>16</v>
      </c>
      <c r="I7783" s="1" t="str">
        <f ca="1">IFERROR(__xludf.DUMMYFUNCTION("GOOGLETRANSLATE(F7783, ""auto"", ""en"")
"),"I don’t understand how the author of the previous review pushed a DSLR with a lens there. The Canon SX50 didn't fit in at all. The internal dimensions turned out to be smaller than written in the specifications. Without trying on - do not buy")</f>
        <v>I don’t understand how the author of the previous review pushed a DSLR with a lens there. The Canon SX50 didn't fit in at all. The internal dimensions turned out to be smaller than written in the specifications. Without trying on - do not buy</v>
      </c>
    </row>
    <row r="7784" spans="1:9" x14ac:dyDescent="0.3">
      <c r="A7784" s="1" t="s">
        <v>120</v>
      </c>
      <c r="B7784" s="1" t="s">
        <v>196</v>
      </c>
      <c r="C7784" s="1" t="s">
        <v>69</v>
      </c>
      <c r="D7784" s="1" t="s">
        <v>568</v>
      </c>
      <c r="E7784" s="1" t="s">
        <v>1167</v>
      </c>
      <c r="F7784" s="1" t="s">
        <v>11896</v>
      </c>
      <c r="G7784" s="1" t="s">
        <v>36</v>
      </c>
      <c r="H7784" s="1" t="s">
        <v>29</v>
      </c>
      <c r="I7784" s="1" t="str">
        <f ca="1">IFERROR(__xludf.DUMMYFUNCTION("GOOGLETRANSLATE(F7784, ""auto"", ""en"")
"),"I took it at the beginning of November, and so far I’m very pleased. Only the VGA input did not work, and automatic adjustment of the screen size does not work. Before that I had PHILIPS 5404, everything was fine there. But these are small things, the pic"&amp;"ture is amazing, the nature is especially beautifully drawn. The DVD shows 4+ (although again it depends on the recording and the player) But Blu-ray does not cause any complaints. With FULL HD the TV copes with all 5+. I liked the sound, quite a decent s"&amp;"ystem. You can watch the film without turning on the DC system, but at a volume of more than half the sound is slightly distorted at low frequencies. But this again does not work at higher bass settings. There are no such problems in the linear equalizer "&amp;"mode. I'm happy with the purchase!!! only for a room of 22 sq.m. The TV is too big, your eyes get tired at night and it illuminates everything as if it were day. Even in energy saving mode.((")</f>
        <v>I took it at the beginning of November, and so far I’m very pleased. Only the VGA input did not work, and automatic adjustment of the screen size does not work. Before that I had PHILIPS 5404, everything was fine there. But these are small things, the picture is amazing, the nature is especially beautifully drawn. The DVD shows 4+ (although again it depends on the recording and the player) But Blu-ray does not cause any complaints. With FULL HD the TV copes with all 5+. I liked the sound, quite a decent system. You can watch the film without turning on the DC system, but at a volume of more than half the sound is slightly distorted at low frequencies. But this again does not work at higher bass settings. There are no such problems in the linear equalizer mode. I'm happy with the purchase!!! only for a room of 22 sq.m. The TV is too big, your eyes get tired at night and it illuminates everything as if it were day. Even in energy saving mode.((</v>
      </c>
    </row>
    <row r="7785" spans="1:9" x14ac:dyDescent="0.3">
      <c r="A7785" s="1" t="s">
        <v>169</v>
      </c>
      <c r="B7785" s="1" t="s">
        <v>170</v>
      </c>
      <c r="C7785" s="1" t="s">
        <v>122</v>
      </c>
      <c r="D7785" s="1" t="s">
        <v>2668</v>
      </c>
      <c r="E7785" s="1" t="s">
        <v>3166</v>
      </c>
      <c r="F7785" s="1" t="s">
        <v>11897</v>
      </c>
      <c r="G7785" s="1" t="s">
        <v>36</v>
      </c>
      <c r="H7785" s="1" t="s">
        <v>29</v>
      </c>
      <c r="I7785" s="1" t="str">
        <f ca="1">IFERROR(__xludf.DUMMYFUNCTION("GOOGLETRANSLATE(F7785, ""auto"", ""en"")
"),"I've already taken down 4 of these. I change it not because there is something wrong with the headphones, but because I use them very actively. And I combine listening with different types of activities))), in a word, ITSELF was ALWAYS to blame for breakd"&amp;"owns, others, in their place, do not withstand even half the term.    The headphones are simply excellent!!! I don’t feel sorry for the money paid for them at all, and there’s nothing to complain about.")</f>
        <v>I've already taken down 4 of these. I change it not because there is something wrong with the headphones, but because I use them very actively. And I combine listening with different types of activities))), in a word, ITSELF was ALWAYS to blame for breakdowns, others, in their place, do not withstand even half the term.    The headphones are simply excellent!!! I don’t feel sorry for the money paid for them at all, and there’s nothing to complain about.</v>
      </c>
    </row>
    <row r="7786" spans="1:9" x14ac:dyDescent="0.3">
      <c r="A7786" s="1" t="s">
        <v>557</v>
      </c>
      <c r="B7786" s="1" t="s">
        <v>558</v>
      </c>
      <c r="C7786" s="1" t="s">
        <v>122</v>
      </c>
      <c r="D7786" s="1" t="s">
        <v>11898</v>
      </c>
      <c r="E7786" s="1" t="s">
        <v>1481</v>
      </c>
      <c r="F7786" s="1" t="s">
        <v>11899</v>
      </c>
      <c r="G7786" s="1" t="s">
        <v>36</v>
      </c>
      <c r="H7786" s="1" t="s">
        <v>29</v>
      </c>
      <c r="I7786" s="1" t="str">
        <f ca="1">IFERROR(__xludf.DUMMYFUNCTION("GOOGLETRANSLATE(F7786, ""auto"", ""en"")
"),"Yesterday we bought such a phone, it’s quite a decent model. It’s nice, comfortable in the hand, and you can hear it perfectly.")</f>
        <v>Yesterday we bought such a phone, it’s quite a decent model. It’s nice, comfortable in the hand, and you can hear it perfectly.</v>
      </c>
    </row>
    <row r="7787" spans="1:9" x14ac:dyDescent="0.3">
      <c r="A7787" s="1" t="s">
        <v>78</v>
      </c>
      <c r="B7787" s="1" t="s">
        <v>1163</v>
      </c>
      <c r="C7787" s="1" t="s">
        <v>1224</v>
      </c>
      <c r="D7787" s="1" t="s">
        <v>3253</v>
      </c>
      <c r="E7787" s="1" t="s">
        <v>1287</v>
      </c>
      <c r="F7787" s="1" t="s">
        <v>11900</v>
      </c>
      <c r="G7787" s="1" t="s">
        <v>36</v>
      </c>
      <c r="H7787" s="1" t="s">
        <v>29</v>
      </c>
      <c r="I7787" s="1" t="str">
        <f ca="1">IFERROR(__xludf.DUMMYFUNCTION("GOOGLETRANSLATE(F7787, ""auto"", ""en"")
"),"For the money this oven is perfect!!! I really like it!")</f>
        <v>For the money this oven is perfect!!! I really like it!</v>
      </c>
    </row>
    <row r="7788" spans="1:9" x14ac:dyDescent="0.3">
      <c r="A7788" s="1" t="s">
        <v>61</v>
      </c>
      <c r="B7788" s="1" t="s">
        <v>224</v>
      </c>
      <c r="C7788" s="1" t="s">
        <v>85</v>
      </c>
      <c r="D7788" s="1" t="s">
        <v>11901</v>
      </c>
      <c r="E7788" s="1" t="s">
        <v>109</v>
      </c>
      <c r="F7788" s="1" t="s">
        <v>11902</v>
      </c>
      <c r="G7788" s="1" t="s">
        <v>36</v>
      </c>
      <c r="H7788" s="1" t="s">
        <v>29</v>
      </c>
      <c r="I7788" s="1" t="str">
        <f ca="1">IFERROR(__xludf.DUMMYFUNCTION("GOOGLETRANSLATE(F7788, ""auto"", ""en"")
"),"I completely agree - this juicer deserves to be called the best!!! I am pleased with the quality of the juice, its appearance, and most importantly, it does not need to be turned off after some time so that it does not overheat, unlike Philips, Mulenex, e"&amp;"tc.! Super! I'm happy! Thanks to the Bork company for the product... and for the experienced and knowledgeable representatives in M.Video stores!")</f>
        <v>I completely agree - this juicer deserves to be called the best!!! I am pleased with the quality of the juice, its appearance, and most importantly, it does not need to be turned off after some time so that it does not overheat, unlike Philips, Mulenex, etc.! Super! I'm happy! Thanks to the Bork company for the product... and for the experienced and knowledgeable representatives in M.Video stores!</v>
      </c>
    </row>
    <row r="7789" spans="1:9" x14ac:dyDescent="0.3">
      <c r="A7789" s="1" t="s">
        <v>61</v>
      </c>
      <c r="B7789" s="1" t="s">
        <v>977</v>
      </c>
      <c r="C7789" s="1" t="s">
        <v>69</v>
      </c>
      <c r="D7789" s="1" t="s">
        <v>247</v>
      </c>
      <c r="E7789" s="1" t="s">
        <v>8003</v>
      </c>
      <c r="F7789" s="1" t="s">
        <v>11903</v>
      </c>
      <c r="G7789" s="1" t="s">
        <v>36</v>
      </c>
      <c r="H7789" s="1" t="s">
        <v>29</v>
      </c>
      <c r="I7789" s="1" t="str">
        <f ca="1">IFERROR(__xludf.DUMMYFUNCTION("GOOGLETRANSLATE(F7789, ""auto"", ""en"")
"),"I use it every day to make purees for my baby. Comfortable, no problems encountered.")</f>
        <v>I use it every day to make purees for my baby. Comfortable, no problems encountered.</v>
      </c>
    </row>
    <row r="7790" spans="1:9" x14ac:dyDescent="0.3">
      <c r="A7790" s="1" t="s">
        <v>105</v>
      </c>
      <c r="B7790" s="1" t="s">
        <v>106</v>
      </c>
      <c r="C7790" s="1" t="s">
        <v>107</v>
      </c>
      <c r="D7790" s="1" t="s">
        <v>11904</v>
      </c>
      <c r="E7790" s="1" t="s">
        <v>734</v>
      </c>
      <c r="F7790" s="1" t="s">
        <v>11905</v>
      </c>
      <c r="G7790" s="1" t="s">
        <v>15</v>
      </c>
      <c r="H7790" s="1" t="s">
        <v>16</v>
      </c>
      <c r="I7790" s="1" t="str">
        <f ca="1">IFERROR(__xludf.DUMMYFUNCTION("GOOGLETRANSLATE(F7790, ""auto"", ""en"")
"),"I bought the player, I thought it was normal, a great price, but here’s a bummer. You can listen to music, but there is no video, to switch something you need to at least 2 times or press hard. You can only delete it from your computer, the charge is smal"&amp;"l, in the cold the sound cuts off or is completely cut off. The sound goes from normal to too quiet, then from normal to too loud. In general, I don't recommend it.")</f>
        <v>I bought the player, I thought it was normal, a great price, but here’s a bummer. You can listen to music, but there is no video, to switch something you need to at least 2 times or press hard. You can only delete it from your computer, the charge is small, in the cold the sound cuts off or is completely cut off. The sound goes from normal to too quiet, then from normal to too loud. In general, I don't recommend it.</v>
      </c>
    </row>
    <row r="7791" spans="1:9" x14ac:dyDescent="0.3">
      <c r="A7791" s="1" t="s">
        <v>61</v>
      </c>
      <c r="B7791" s="1" t="s">
        <v>726</v>
      </c>
      <c r="C7791" s="1" t="s">
        <v>74</v>
      </c>
      <c r="D7791" s="1" t="s">
        <v>86</v>
      </c>
      <c r="E7791" s="1" t="s">
        <v>4366</v>
      </c>
      <c r="F7791" s="1" t="s">
        <v>11906</v>
      </c>
      <c r="G7791" s="1" t="s">
        <v>36</v>
      </c>
      <c r="H7791" s="1" t="s">
        <v>29</v>
      </c>
      <c r="I7791" s="1" t="str">
        <f ca="1">IFERROR(__xludf.DUMMYFUNCTION("GOOGLETRANSLATE(F7791, ""auto"", ""en"")
"),"My wife and I decided to buy a bread machine. It took us a long time to choose, but we settled on this model. We read the reviews, everyone likes it. We arrived at the store and looked at it, also assessed the appearance and functionality and chose it. We"&amp;" bought it yesterday and immediately baked white bread using the first program. The bread turned out toasty, crispy, aromatic and VERY TASTY!!! The aroma was throughout the whole house!!! We are very pleased with the purchase. We recommend this SUPER Brea"&amp;"d Oven to everyone))))")</f>
        <v>My wife and I decided to buy a bread machine. It took us a long time to choose, but we settled on this model. We read the reviews, everyone likes it. We arrived at the store and looked at it, also assessed the appearance and functionality and chose it. We bought it yesterday and immediately baked white bread using the first program. The bread turned out toasty, crispy, aromatic and VERY TASTY!!! The aroma was throughout the whole house!!! We are very pleased with the purchase. We recommend this SUPER Bread Oven to everyone))))</v>
      </c>
    </row>
    <row r="7792" spans="1:9" x14ac:dyDescent="0.3">
      <c r="A7792" s="1" t="s">
        <v>30</v>
      </c>
      <c r="B7792" s="1" t="s">
        <v>50</v>
      </c>
      <c r="C7792" s="1" t="s">
        <v>32</v>
      </c>
      <c r="D7792" s="1" t="s">
        <v>139</v>
      </c>
      <c r="E7792" s="1" t="s">
        <v>2280</v>
      </c>
      <c r="F7792" s="1" t="s">
        <v>11907</v>
      </c>
      <c r="G7792" s="1" t="s">
        <v>36</v>
      </c>
      <c r="H7792" s="1" t="s">
        <v>29</v>
      </c>
      <c r="I7792" s="1" t="str">
        <f ca="1">IFERROR(__xludf.DUMMYFUNCTION("GOOGLETRANSLATE(F7792, ""auto"", ""en"")
"),"I bought a laptop and was very happy about it.  The laptop is about a month old, no problems, cool design and content")</f>
        <v>I bought a laptop and was very happy about it.  The laptop is about a month old, no problems, cool design and content</v>
      </c>
    </row>
    <row r="7793" spans="1:9" x14ac:dyDescent="0.3">
      <c r="A7793" s="1" t="s">
        <v>373</v>
      </c>
      <c r="B7793" s="1" t="s">
        <v>374</v>
      </c>
      <c r="C7793" s="1" t="s">
        <v>19</v>
      </c>
      <c r="D7793" s="1" t="s">
        <v>896</v>
      </c>
      <c r="E7793" s="1" t="s">
        <v>11908</v>
      </c>
      <c r="F7793" s="1" t="s">
        <v>11909</v>
      </c>
      <c r="G7793" s="1" t="s">
        <v>36</v>
      </c>
      <c r="H7793" s="1" t="s">
        <v>29</v>
      </c>
      <c r="I7793" s="1" t="str">
        <f ca="1">IFERROR(__xludf.DUMMYFUNCTION("GOOGLETRANSLATE(F7793, ""auto"", ""en"")
"),"I bought this dishwasher about 2 months ago. The quality of the wash is simply excellent!  But I definitely add salt and conditioner!!! As for drying, of course there are drops. But this is not critical.")</f>
        <v>I bought this dishwasher about 2 months ago. The quality of the wash is simply excellent!  But I definitely add salt and conditioner!!! As for drying, of course there are drops. But this is not critical.</v>
      </c>
    </row>
    <row r="7794" spans="1:9" x14ac:dyDescent="0.3">
      <c r="A7794" s="1" t="s">
        <v>61</v>
      </c>
      <c r="B7794" s="1" t="s">
        <v>318</v>
      </c>
      <c r="C7794" s="1" t="s">
        <v>74</v>
      </c>
      <c r="D7794" s="1" t="s">
        <v>64</v>
      </c>
      <c r="E7794" s="1" t="s">
        <v>4860</v>
      </c>
      <c r="F7794" s="1" t="s">
        <v>11910</v>
      </c>
      <c r="G7794" s="1" t="s">
        <v>36</v>
      </c>
      <c r="H7794" s="1" t="s">
        <v>29</v>
      </c>
      <c r="I7794" s="1" t="str">
        <f ca="1">IFERROR(__xludf.DUMMYFUNCTION("GOOGLETRANSLATE(F7794, ""auto"", ""en"")
"),"This kettle served in our family for 5 (!!!) years, during this time there were no complaints, it boiled water, turned off when it boiled, nothing broke or fell off. In general, a very reliable kettle))) I had to replace it this year, because... the case "&amp;"was slightly worn, yellowed, it was still plastic, but this was to be expected after so many years of continuous use.")</f>
        <v>This kettle served in our family for 5 (!!!) years, during this time there were no complaints, it boiled water, turned off when it boiled, nothing broke or fell off. In general, a very reliable kettle))) I had to replace it this year, because... the case was slightly worn, yellowed, it was still plastic, but this was to be expected after so many years of continuous use.</v>
      </c>
    </row>
    <row r="7795" spans="1:9" x14ac:dyDescent="0.3">
      <c r="A7795" s="1" t="s">
        <v>211</v>
      </c>
      <c r="B7795" s="1" t="s">
        <v>212</v>
      </c>
      <c r="C7795" s="1" t="s">
        <v>294</v>
      </c>
      <c r="D7795" s="1" t="s">
        <v>2682</v>
      </c>
      <c r="E7795" s="1" t="s">
        <v>3673</v>
      </c>
      <c r="F7795" s="1" t="s">
        <v>11911</v>
      </c>
      <c r="G7795" s="1" t="s">
        <v>36</v>
      </c>
      <c r="H7795" s="1" t="s">
        <v>29</v>
      </c>
      <c r="I7795" s="1" t="str">
        <f ca="1">IFERROR(__xludf.DUMMYFUNCTION("GOOGLETRANSLATE(F7795, ""auto"", ""en"")
"),"I bought this straightener a year ago, I use it all the time and I’m very pleased, it straightens my hair very quickly and practically doesn’t damage it, in general I recommend it to everyone.")</f>
        <v>I bought this straightener a year ago, I use it all the time and I’m very pleased, it straightens my hair very quickly and practically doesn’t damage it, in general I recommend it to everyone.</v>
      </c>
    </row>
    <row r="7796" spans="1:9" x14ac:dyDescent="0.3">
      <c r="A7796" s="1" t="s">
        <v>9</v>
      </c>
      <c r="B7796" s="1" t="s">
        <v>133</v>
      </c>
      <c r="C7796" s="1" t="s">
        <v>290</v>
      </c>
      <c r="D7796" s="1" t="s">
        <v>295</v>
      </c>
      <c r="E7796" s="1" t="s">
        <v>4668</v>
      </c>
      <c r="F7796" s="1" t="s">
        <v>11912</v>
      </c>
      <c r="G7796" s="1" t="s">
        <v>28</v>
      </c>
      <c r="H7796" s="1" t="s">
        <v>29</v>
      </c>
      <c r="I7796" s="1" t="str">
        <f ca="1">IFERROR(__xludf.DUMMYFUNCTION("GOOGLETRANSLATE(F7796, ""auto"", ""en"")
"),"I really liked the oven. Firstly, the size inside. It bakes well. Nothing burns.  Disadvantages: Firstly, it’s a small thing, but it’s unpleasant. Some sites say there should be 3 baking sheets. And we bought two there. There is no glass.  Secondly, I was"&amp;" very upset that I cooked fish (pink salmon), during the cooking process, fat began to splatter, then flowed down the wall. As a result, it stuck so tightly that no means could wash it off. And the most annoying thing is that I started washing it as soon "&amp;"as it cooled down, but it felt like I hadn’t washed it for a year.")</f>
        <v>I really liked the oven. Firstly, the size inside. It bakes well. Nothing burns.  Disadvantages: Firstly, it’s a small thing, but it’s unpleasant. Some sites say there should be 3 baking sheets. And we bought two there. There is no glass.  Secondly, I was very upset that I cooked fish (pink salmon), during the cooking process, fat began to splatter, then flowed down the wall. As a result, it stuck so tightly that no means could wash it off. And the most annoying thing is that I started washing it as soon as it cooled down, but it felt like I hadn’t washed it for a year.</v>
      </c>
    </row>
    <row r="7797" spans="1:9" x14ac:dyDescent="0.3">
      <c r="A7797" s="1" t="s">
        <v>55</v>
      </c>
      <c r="B7797" s="1" t="s">
        <v>56</v>
      </c>
      <c r="C7797" s="1" t="s">
        <v>3651</v>
      </c>
      <c r="D7797" s="1" t="s">
        <v>171</v>
      </c>
      <c r="E7797" s="1" t="s">
        <v>4029</v>
      </c>
      <c r="F7797" s="1" t="s">
        <v>11913</v>
      </c>
      <c r="G7797" s="1" t="s">
        <v>36</v>
      </c>
      <c r="H7797" s="1" t="s">
        <v>29</v>
      </c>
      <c r="I7797" s="1" t="str">
        <f ca="1">IFERROR(__xludf.DUMMYFUNCTION("GOOGLETRANSLATE(F7797, ""auto"", ""en"")
"),"6,990 rub. good price for this device. Works quietly. We don't notice any white coating. We pour water from the tap. Before the first use, the filter was kept in water for a day. I don’t know how effective the silver rod is, but it exists. After some time"&amp;", condensation does form on top, but I think there’s nothing wrong with that. Made quite well.")</f>
        <v>6,990 rub. good price for this device. Works quietly. We don't notice any white coating. We pour water from the tap. Before the first use, the filter was kept in water for a day. I don’t know how effective the silver rod is, but it exists. After some time, condensation does form on top, but I think there’s nothing wrong with that. Made quite well.</v>
      </c>
    </row>
    <row r="7798" spans="1:9" x14ac:dyDescent="0.3">
      <c r="A7798" s="1" t="s">
        <v>496</v>
      </c>
      <c r="B7798" s="1" t="s">
        <v>497</v>
      </c>
      <c r="C7798" s="1" t="s">
        <v>487</v>
      </c>
      <c r="D7798" s="1" t="s">
        <v>152</v>
      </c>
      <c r="E7798" s="1" t="s">
        <v>3089</v>
      </c>
      <c r="F7798" s="1" t="s">
        <v>11914</v>
      </c>
      <c r="G7798" s="1" t="s">
        <v>36</v>
      </c>
      <c r="H7798" s="1" t="s">
        <v>29</v>
      </c>
      <c r="I7798" s="1" t="str">
        <f ca="1">IFERROR(__xludf.DUMMYFUNCTION("GOOGLETRANSLATE(F7798, ""auto"", ""en"")
"),"A year ago I bought a Toshiba laptop from M-video. (AMD 2.2 GHz processor, RAM = 3 gig, dual core). Windows Home Extended 7 x 64 was pre-installed. I lost it while trying to install XPi, which is native and familiar :). But it turns out that the cluster s"&amp;"ize of the laptop’s hard drives does not support XP. I had to put the seven back from the resuscitator disk, but it was already 32-bit. Then I got used to it completely, found all the programs I used to work on Xpi, and which now work on the seven. I deci"&amp;"ded to install 64-bit maximum. And here’s the problem: the laptop itself dies from time to time and turns back on. I suspect that AMD is overheating, because the cooler almost always runs at high speeds. The neighbor has an Intel processor, also a 2-core "&amp;"one, but there is a gigabyte of less RAM. So I gave it to him six months ago - he is happy as an elephant :) Vre works and breathes life. So, those who say that it doesn’t work well, then most likely AMD is worth it (although not a fact). And those who bu"&amp;"y 14 and a half kilos of rubles, I don’t understand them :). The Internet is littered with assemblies and original versions and activators, all for free. Windows successfully receives updates, just like the licensed version.  P/S: No, I’m not calling for "&amp;"breaking the law on software rights, but why raise such prices for them :). Would pirated versions come to light if Microsoft were a little more generous)")</f>
        <v>A year ago I bought a Toshiba laptop from M-video. (AMD 2.2 GHz processor, RAM = 3 gig, dual core). Windows Home Extended 7 x 64 was pre-installed. I lost it while trying to install XPi, which is native and familiar :). But it turns out that the cluster size of the laptop’s hard drives does not support XP. I had to put the seven back from the resuscitator disk, but it was already 32-bit. Then I got used to it completely, found all the programs I used to work on Xpi, and which now work on the seven. I decided to install 64-bit maximum. And here’s the problem: the laptop itself dies from time to time and turns back on. I suspect that AMD is overheating, because the cooler almost always runs at high speeds. The neighbor has an Intel processor, also a 2-core one, but there is a gigabyte of less RAM. So I gave it to him six months ago - he is happy as an elephant :) Vre works and breathes life. So, those who say that it doesn’t work well, then most likely AMD is worth it (although not a fact). And those who buy 14 and a half kilos of rubles, I don’t understand them :). The Internet is littered with assemblies and original versions and activators, all for free. Windows successfully receives updates, just like the licensed version.  P/S: No, I’m not calling for breaking the law on software rights, but why raise such prices for them :). Would pirated versions come to light if Microsoft were a little more generous)</v>
      </c>
    </row>
    <row r="7799" spans="1:9" x14ac:dyDescent="0.3">
      <c r="A7799" s="1" t="s">
        <v>8626</v>
      </c>
      <c r="B7799" s="1" t="s">
        <v>8627</v>
      </c>
      <c r="C7799" s="1" t="s">
        <v>1003</v>
      </c>
      <c r="D7799" s="1" t="s">
        <v>11915</v>
      </c>
      <c r="E7799" s="1" t="s">
        <v>9164</v>
      </c>
      <c r="F7799" s="1" t="s">
        <v>11916</v>
      </c>
      <c r="G7799" s="1" t="s">
        <v>36</v>
      </c>
      <c r="H7799" s="1" t="s">
        <v>29</v>
      </c>
      <c r="I7799" s="1" t="str">
        <f ca="1">IFERROR(__xludf.DUMMYFUNCTION("GOOGLETRANSLATE(F7799, ""auto"", ""en"")
"),"Great printer. I've been using it almost every day for a month now. At work, I have to print large volumes of documents, including files with polychrome content in PDF format. Among the advantages, I can note the productivity and print quality, as well as"&amp;" quite economical consumption of cartridges, especially if you set the appropriate mode in the settings. The device does not “chew” paper. I am not picky about the paper manufacturer, although I try to use a good one. I did not find any significant shortc"&amp;"omings in this printer. I'm happy with the purchase.")</f>
        <v>Great printer. I've been using it almost every day for a month now. At work, I have to print large volumes of documents, including files with polychrome content in PDF format. Among the advantages, I can note the productivity and print quality, as well as quite economical consumption of cartridges, especially if you set the appropriate mode in the settings. The device does not “chew” paper. I am not picky about the paper manufacturer, although I try to use a good one. I did not find any significant shortcomings in this printer. I'm happy with the purchase.</v>
      </c>
    </row>
    <row r="7800" spans="1:9" x14ac:dyDescent="0.3">
      <c r="A7800" s="1" t="s">
        <v>732</v>
      </c>
      <c r="B7800" s="1" t="s">
        <v>733</v>
      </c>
      <c r="C7800" s="1" t="s">
        <v>80</v>
      </c>
      <c r="D7800" s="1" t="s">
        <v>280</v>
      </c>
      <c r="E7800" s="1" t="s">
        <v>750</v>
      </c>
      <c r="F7800" s="1" t="s">
        <v>11917</v>
      </c>
      <c r="G7800" s="1" t="s">
        <v>36</v>
      </c>
      <c r="H7800" s="1" t="s">
        <v>29</v>
      </c>
      <c r="I7800" s="1" t="str">
        <f ca="1">IFERROR(__xludf.DUMMYFUNCTION("GOOGLETRANSLATE(F7800, ""auto"", ""en"")
"),"I've been using it for about six months. I chose it because I was more attracted by the design and its characteristics. I did not find any shortcomings in the monitor itself. The drawback was discovered at home in that the M-Video (Kuzminki) store did not"&amp;" provide any instructions.  And so, everything is great - I recommend it!")</f>
        <v>I've been using it for about six months. I chose it because I was more attracted by the design and its characteristics. I did not find any shortcomings in the monitor itself. The drawback was discovered at home in that the M-Video (Kuzminki) store did not provide any instructions.  And so, everything is great - I recommend it!</v>
      </c>
    </row>
    <row r="7801" spans="1:9" x14ac:dyDescent="0.3">
      <c r="A7801" s="1" t="s">
        <v>30</v>
      </c>
      <c r="B7801" s="1" t="s">
        <v>50</v>
      </c>
      <c r="C7801" s="1" t="s">
        <v>694</v>
      </c>
      <c r="D7801" s="1" t="s">
        <v>232</v>
      </c>
      <c r="E7801" s="1" t="s">
        <v>118</v>
      </c>
      <c r="F7801" s="1" t="s">
        <v>11918</v>
      </c>
      <c r="G7801" s="1" t="s">
        <v>36</v>
      </c>
      <c r="H7801" s="1" t="s">
        <v>29</v>
      </c>
      <c r="I7801" s="1" t="str">
        <f ca="1">IFERROR(__xludf.DUMMYFUNCTION("GOOGLETRANSLATE(F7801, ""auto"", ""en"")
"),"Good laptop. Gorgeous keyboard. One of the few netbooks with a diagonal of 12 inches, which makes it very attractive. The price leaves no competition.   The operating time is modest: 1.5 - 2 hours, it is impossible to ask for more with such a battery. The"&amp;" rest is chocolate.")</f>
        <v>Good laptop. Gorgeous keyboard. One of the few netbooks with a diagonal of 12 inches, which makes it very attractive. The price leaves no competition.   The operating time is modest: 1.5 - 2 hours, it is impossible to ask for more with such a battery. The rest is chocolate.</v>
      </c>
    </row>
    <row r="7802" spans="1:9" x14ac:dyDescent="0.3">
      <c r="A7802" s="1" t="s">
        <v>120</v>
      </c>
      <c r="B7802" s="1" t="s">
        <v>256</v>
      </c>
      <c r="C7802" s="1" t="s">
        <v>1008</v>
      </c>
      <c r="D7802" s="1" t="s">
        <v>86</v>
      </c>
      <c r="E7802" s="1" t="s">
        <v>6250</v>
      </c>
      <c r="F7802" s="1" t="s">
        <v>11919</v>
      </c>
      <c r="G7802" s="1" t="s">
        <v>15</v>
      </c>
      <c r="H7802" s="1" t="s">
        <v>16</v>
      </c>
      <c r="I7802" s="1" t="str">
        <f ca="1">IFERROR(__xludf.DUMMYFUNCTION("GOOGLETRANSLATE(F7802, ""auto"", ""en"")
"),"I bought this TV about a year ago.  I brought it home, turned it on and was immediately disappointed.  The image is pale, low-contrast, the sound is mono with one speaker - a tweeter, although the website says: NICAM stereo, AC 2 x 3 W.  I worked a little"&amp;" and immediately broke down, the power supply flew off. It was fixed under warranty, but they did it quickly.   Before this I had a Polar 37CTV4415 (picture tube), it often broke down, while it was under warranty I fixed it, but now it’s like an unnecessa"&amp;"ry suitcase: sometimes it works, sometimes it doesn’t. Sometimes it turns off by itself.  I wrote a letter to hotline@polartv.ru, no response, not a hello, complete indifference.  A similar Philips TV has been working for 10 years, you just turn it on and"&amp;" it works, turn it on and it works!  How SIMPLE!")</f>
        <v>I bought this TV about a year ago.  I brought it home, turned it on and was immediately disappointed.  The image is pale, low-contrast, the sound is mono with one speaker - a tweeter, although the website says: NICAM stereo, AC 2 x 3 W.  I worked a little and immediately broke down, the power supply flew off. It was fixed under warranty, but they did it quickly.   Before this I had a Polar 37CTV4415 (picture tube), it often broke down, while it was under warranty I fixed it, but now it’s like an unnecessary suitcase: sometimes it works, sometimes it doesn’t. Sometimes it turns off by itself.  I wrote a letter to hotline@polartv.ru, no response, not a hello, complete indifference.  A similar Philips TV has been working for 10 years, you just turn it on and it works, turn it on and it works!  How SIMPLE!</v>
      </c>
    </row>
    <row r="7803" spans="1:9" x14ac:dyDescent="0.3">
      <c r="A7803" s="1" t="s">
        <v>120</v>
      </c>
      <c r="B7803" s="1" t="s">
        <v>196</v>
      </c>
      <c r="C7803" s="1" t="s">
        <v>80</v>
      </c>
      <c r="D7803" s="1" t="s">
        <v>152</v>
      </c>
      <c r="E7803" s="1" t="s">
        <v>1172</v>
      </c>
      <c r="F7803" s="1" t="s">
        <v>11920</v>
      </c>
      <c r="G7803" s="1" t="s">
        <v>36</v>
      </c>
      <c r="H7803" s="1" t="s">
        <v>29</v>
      </c>
      <c r="I7803" s="1" t="str">
        <f ca="1">IFERROR(__xludf.DUMMYFUNCTION("GOOGLETRANSLATE(F7803, ""auto"", ""en"")
"),"Excellent TV. I checked it again, it shows everything.")</f>
        <v>Excellent TV. I checked it again, it shows everything.</v>
      </c>
    </row>
    <row r="7804" spans="1:9" x14ac:dyDescent="0.3">
      <c r="A7804" s="1" t="s">
        <v>30</v>
      </c>
      <c r="B7804" s="1" t="s">
        <v>50</v>
      </c>
      <c r="C7804" s="1" t="s">
        <v>51</v>
      </c>
      <c r="D7804" s="1" t="s">
        <v>545</v>
      </c>
      <c r="E7804" s="1" t="s">
        <v>2323</v>
      </c>
      <c r="F7804" s="1" t="s">
        <v>11921</v>
      </c>
      <c r="G7804" s="1" t="s">
        <v>36</v>
      </c>
      <c r="H7804" s="1" t="s">
        <v>29</v>
      </c>
      <c r="I7804" s="1" t="str">
        <f ca="1">IFERROR(__xludf.DUMMYFUNCTION("GOOGLETRANSLATE(F7804, ""auto"", ""en"")
"),"I bought it a week ago, but the touch buttons are no longer illuminated, although they work. but otherwise I’m very happy with it.")</f>
        <v>I bought it a week ago, but the touch buttons are no longer illuminated, although they work. but otherwise I’m very happy with it.</v>
      </c>
    </row>
    <row r="7805" spans="1:9" x14ac:dyDescent="0.3">
      <c r="A7805" s="1" t="s">
        <v>30</v>
      </c>
      <c r="B7805" s="1" t="s">
        <v>31</v>
      </c>
      <c r="C7805" s="1" t="s">
        <v>32</v>
      </c>
      <c r="D7805" s="1" t="s">
        <v>11922</v>
      </c>
      <c r="E7805" s="1" t="s">
        <v>1321</v>
      </c>
      <c r="F7805" s="1" t="s">
        <v>11923</v>
      </c>
      <c r="G7805" s="1" t="s">
        <v>36</v>
      </c>
      <c r="H7805" s="1" t="s">
        <v>29</v>
      </c>
      <c r="I7805" s="1" t="str">
        <f ca="1">IFERROR(__xludf.DUMMYFUNCTION("GOOGLETRANSLATE(F7805, ""auto"", ""en"")
"),"This is not China, but Korea actually, and Korea is doing good things at the moment. System engineer bomb +5")</f>
        <v>This is not China, but Korea actually, and Korea is doing good things at the moment. System engineer bomb +5</v>
      </c>
    </row>
    <row r="7806" spans="1:9" x14ac:dyDescent="0.3">
      <c r="A7806" s="1" t="s">
        <v>211</v>
      </c>
      <c r="B7806" s="1" t="s">
        <v>515</v>
      </c>
      <c r="C7806" s="1" t="s">
        <v>381</v>
      </c>
      <c r="D7806" s="1" t="s">
        <v>12</v>
      </c>
      <c r="E7806" s="1" t="s">
        <v>10383</v>
      </c>
      <c r="F7806" s="1" t="s">
        <v>11924</v>
      </c>
      <c r="G7806" s="1" t="s">
        <v>36</v>
      </c>
      <c r="H7806" s="1" t="s">
        <v>29</v>
      </c>
      <c r="I7806" s="1" t="str">
        <f ca="1">IFERROR(__xludf.DUMMYFUNCTION("GOOGLETRANSLATE(F7806, ""auto"", ""en"")
"),"I've been using it for six months now. Convenient, compact, does not heat up and there is no irritation on the skin after use.")</f>
        <v>I've been using it for six months now. Convenient, compact, does not heat up and there is no irritation on the skin after use.</v>
      </c>
    </row>
    <row r="7807" spans="1:9" x14ac:dyDescent="0.3">
      <c r="A7807" s="1" t="s">
        <v>61</v>
      </c>
      <c r="B7807" s="1" t="s">
        <v>726</v>
      </c>
      <c r="C7807" s="1" t="s">
        <v>122</v>
      </c>
      <c r="D7807" s="1" t="s">
        <v>3097</v>
      </c>
      <c r="E7807" s="1" t="s">
        <v>2896</v>
      </c>
      <c r="F7807" s="1" t="s">
        <v>11925</v>
      </c>
      <c r="G7807" s="1" t="s">
        <v>36</v>
      </c>
      <c r="H7807" s="1" t="s">
        <v>29</v>
      </c>
      <c r="I7807" s="1" t="str">
        <f ca="1">IFERROR(__xludf.DUMMYFUNCTION("GOOGLETRANSLATE(F7807, ""auto"", ""en"")
"),"I have been using this bread maker for almost a year and a half and during this time there have been no complaints. The yeast dough turns out fluffy, and what a jam... The bread is wonderful, although I had to adjust a couple of recipes. Someone here said"&amp;" that the dough for dumplings turns out to be runny, I don’t agree with this, it all depends on the flour, on the contrary, I always add more water so as not to torment my assistant. Some friends have bread machines of other brands, but they don’t bake br"&amp;"ead in them often because they don’t like them. Therefore, if you decide to buy, then take this bread machine, you won’t regret it!!!")</f>
        <v>I have been using this bread maker for almost a year and a half and during this time there have been no complaints. The yeast dough turns out fluffy, and what a jam... The bread is wonderful, although I had to adjust a couple of recipes. Someone here said that the dough for dumplings turns out to be runny, I don’t agree with this, it all depends on the flour, on the contrary, I always add more water so as not to torment my assistant. Some friends have bread machines of other brands, but they don’t bake bread in them often because they don’t like them. Therefore, if you decide to buy, then take this bread machine, you won’t regret it!!!</v>
      </c>
    </row>
    <row r="7808" spans="1:9" x14ac:dyDescent="0.3">
      <c r="A7808" s="1" t="s">
        <v>211</v>
      </c>
      <c r="B7808" s="1" t="s">
        <v>856</v>
      </c>
      <c r="C7808" s="1" t="s">
        <v>57</v>
      </c>
      <c r="D7808" s="1" t="s">
        <v>11926</v>
      </c>
      <c r="E7808" s="1" t="s">
        <v>6180</v>
      </c>
      <c r="F7808" s="1" t="s">
        <v>11927</v>
      </c>
      <c r="G7808" s="1" t="s">
        <v>28</v>
      </c>
      <c r="H7808" s="1" t="s">
        <v>29</v>
      </c>
      <c r="I7808" s="1" t="str">
        <f ca="1">IFERROR(__xludf.DUMMYFUNCTION("GOOGLETRANSLATE(F7808, ""auto"", ""en"")
"),"I took it for a friend as a gift, she likes it. Suitable for LOVERS. For pros, powerful units are better. An amateur with a powerful thing can get hurt, but this one is just right.")</f>
        <v>I took it for a friend as a gift, she likes it. Suitable for LOVERS. For pros, powerful units are better. An amateur with a powerful thing can get hurt, but this one is just right.</v>
      </c>
    </row>
    <row r="7809" spans="1:9" x14ac:dyDescent="0.3">
      <c r="A7809" s="1" t="s">
        <v>9</v>
      </c>
      <c r="B7809" s="1" t="s">
        <v>10</v>
      </c>
      <c r="C7809" s="1" t="s">
        <v>407</v>
      </c>
      <c r="D7809" s="1" t="s">
        <v>39</v>
      </c>
      <c r="E7809" s="1" t="s">
        <v>11928</v>
      </c>
      <c r="F7809" s="1" t="s">
        <v>11929</v>
      </c>
      <c r="G7809" s="1" t="s">
        <v>49</v>
      </c>
      <c r="H7809" s="1" t="s">
        <v>16</v>
      </c>
      <c r="I7809" s="1" t="str">
        <f ca="1">IFERROR(__xludf.DUMMYFUNCTION("GOOGLETRANSLATE(F7809, ""auto"", ""en"")
"),"The hood is powerful, but a month later the motor burned out... I'm waiting for repairs, sitting without a hood :(")</f>
        <v>The hood is powerful, but a month later the motor burned out... I'm waiting for repairs, sitting without a hood :(</v>
      </c>
    </row>
    <row r="7810" spans="1:9" x14ac:dyDescent="0.3">
      <c r="A7810" s="1" t="s">
        <v>30</v>
      </c>
      <c r="B7810" s="1" t="s">
        <v>50</v>
      </c>
      <c r="C7810" s="1" t="s">
        <v>32</v>
      </c>
      <c r="D7810" s="1" t="s">
        <v>11930</v>
      </c>
      <c r="E7810" s="1" t="s">
        <v>4697</v>
      </c>
      <c r="F7810" s="1" t="s">
        <v>11931</v>
      </c>
      <c r="G7810" s="1" t="s">
        <v>36</v>
      </c>
      <c r="H7810" s="1" t="s">
        <v>29</v>
      </c>
      <c r="I7810" s="1" t="str">
        <f ca="1">IFERROR(__xludf.DUMMYFUNCTION("GOOGLETRANSLATE(F7810, ""auto"", ""en"")
"),"I was looking for a book for a week and this is the best thing I found... I would like to know from you how games play on it, for example, crysis stalker gat4 and other top games")</f>
        <v>I was looking for a book for a week and this is the best thing I found... I would like to know from you how games play on it, for example, crysis stalker gat4 and other top games</v>
      </c>
    </row>
    <row r="7811" spans="1:9" x14ac:dyDescent="0.3">
      <c r="A7811" s="1" t="s">
        <v>67</v>
      </c>
      <c r="B7811" s="1" t="s">
        <v>340</v>
      </c>
      <c r="C7811" s="1" t="s">
        <v>341</v>
      </c>
      <c r="D7811" s="1" t="s">
        <v>8069</v>
      </c>
      <c r="E7811" s="1" t="s">
        <v>1434</v>
      </c>
      <c r="F7811" s="1" t="s">
        <v>11932</v>
      </c>
      <c r="G7811" s="1" t="s">
        <v>36</v>
      </c>
      <c r="H7811" s="1" t="s">
        <v>29</v>
      </c>
      <c r="I7811" s="1" t="str">
        <f ca="1">IFERROR(__xludf.DUMMYFUNCTION("GOOGLETRANSLATE(F7811, ""auto"", ""en"")
"),"simpathyaga, very srochek, 5 lapok")</f>
        <v>simpathyaga, very srochek, 5 lapok</v>
      </c>
    </row>
    <row r="7812" spans="1:9" x14ac:dyDescent="0.3">
      <c r="A7812" s="1" t="s">
        <v>369</v>
      </c>
      <c r="B7812" s="1" t="s">
        <v>370</v>
      </c>
      <c r="C7812" s="1" t="s">
        <v>290</v>
      </c>
      <c r="D7812" s="1" t="s">
        <v>152</v>
      </c>
      <c r="E7812" s="1" t="s">
        <v>1553</v>
      </c>
      <c r="F7812" s="1" t="s">
        <v>11933</v>
      </c>
      <c r="G7812" s="1" t="s">
        <v>36</v>
      </c>
      <c r="H7812" s="1" t="s">
        <v>29</v>
      </c>
      <c r="I7812" s="1" t="str">
        <f ca="1">IFERROR(__xludf.DUMMYFUNCTION("GOOGLETRANSLATE(F7812, ""auto"", ""en"")
"),"The stove is great!!!!!!!!!!!")</f>
        <v>The stove is great!!!!!!!!!!!</v>
      </c>
    </row>
    <row r="7813" spans="1:9" x14ac:dyDescent="0.3">
      <c r="A7813" s="1" t="s">
        <v>211</v>
      </c>
      <c r="B7813" s="1" t="s">
        <v>212</v>
      </c>
      <c r="C7813" s="1" t="s">
        <v>381</v>
      </c>
      <c r="D7813" s="1" t="s">
        <v>456</v>
      </c>
      <c r="E7813" s="1" t="s">
        <v>6989</v>
      </c>
      <c r="F7813" s="1" t="s">
        <v>11934</v>
      </c>
      <c r="G7813" s="1" t="s">
        <v>36</v>
      </c>
      <c r="H7813" s="1" t="s">
        <v>29</v>
      </c>
      <c r="I7813" s="1" t="str">
        <f ca="1">IFERROR(__xludf.DUMMYFUNCTION("GOOGLETRANSLATE(F7813, ""auto"", ""en"")
"),"The hairdryer is just great. My husband gave it to me about a year ago. Works great. After drying, the hair is gorgeous and combs perfectly. Despite the fact that the hair is long and thick, it dries quickly enough.")</f>
        <v>The hairdryer is just great. My husband gave it to me about a year ago. Works great. After drying, the hair is gorgeous and combs perfectly. Despite the fact that the hair is long and thick, it dries quickly enough.</v>
      </c>
    </row>
    <row r="7814" spans="1:9" x14ac:dyDescent="0.3">
      <c r="A7814" s="1" t="s">
        <v>89</v>
      </c>
      <c r="B7814" s="1" t="s">
        <v>1106</v>
      </c>
      <c r="C7814" s="1" t="s">
        <v>74</v>
      </c>
      <c r="D7814" s="1" t="s">
        <v>33</v>
      </c>
      <c r="E7814" s="1" t="s">
        <v>1332</v>
      </c>
      <c r="F7814" s="1" t="s">
        <v>11935</v>
      </c>
      <c r="G7814" s="1" t="s">
        <v>36</v>
      </c>
      <c r="H7814" s="1" t="s">
        <v>29</v>
      </c>
      <c r="I7814" s="1" t="str">
        <f ca="1">IFERROR(__xludf.DUMMYFUNCTION("GOOGLETRANSLATE(F7814, ""auto"", ""en"")
"),"I recommend it to everyone.    The best option among drip coffee makers. She served for two years. It became ancient and was replaced with a new one exactly the same.    I recommend it to everyone.    Drink coffee.")</f>
        <v>I recommend it to everyone.    The best option among drip coffee makers. She served for two years. It became ancient and was replaced with a new one exactly the same.    I recommend it to everyone.    Drink coffee.</v>
      </c>
    </row>
    <row r="7815" spans="1:9" x14ac:dyDescent="0.3">
      <c r="A7815" s="1" t="s">
        <v>30</v>
      </c>
      <c r="B7815" s="1" t="s">
        <v>50</v>
      </c>
      <c r="C7815" s="1" t="s">
        <v>694</v>
      </c>
      <c r="D7815" s="1" t="s">
        <v>280</v>
      </c>
      <c r="E7815" s="1" t="s">
        <v>2298</v>
      </c>
      <c r="F7815" s="1" t="s">
        <v>11936</v>
      </c>
      <c r="G7815" s="1" t="s">
        <v>36</v>
      </c>
      <c r="H7815" s="1" t="s">
        <v>29</v>
      </c>
      <c r="I7815" s="1" t="str">
        <f ca="1">IFERROR(__xludf.DUMMYFUNCTION("GOOGLETRANSLATE(F7815, ""auto"", ""en"")
"),"A very powerful device. Tested in all respects. In no way inferior to average laptops. The only negative is that there is no disk drive. Everything is there. Everything works. I’m happy with everything. I write from it. Even games with average characteris"&amp;"tics are played.")</f>
        <v>A very powerful device. Tested in all respects. In no way inferior to average laptops. The only negative is that there is no disk drive. Everything is there. Everything works. I’m happy with everything. I write from it. Even games with average characteristics are played.</v>
      </c>
    </row>
    <row r="7816" spans="1:9" x14ac:dyDescent="0.3">
      <c r="A7816" s="1" t="s">
        <v>43</v>
      </c>
      <c r="B7816" s="1" t="s">
        <v>303</v>
      </c>
      <c r="C7816" s="1" t="s">
        <v>304</v>
      </c>
      <c r="D7816" s="1" t="s">
        <v>139</v>
      </c>
      <c r="E7816" s="1" t="s">
        <v>1282</v>
      </c>
      <c r="F7816" s="1" t="s">
        <v>11937</v>
      </c>
      <c r="G7816" s="1" t="s">
        <v>36</v>
      </c>
      <c r="H7816" s="1" t="s">
        <v>29</v>
      </c>
      <c r="I7816" s="1" t="str">
        <f ca="1">IFERROR(__xludf.DUMMYFUNCTION("GOOGLETRANSLATE(F7816, ""auto"", ""en"")
"),"Low price, fast heating.")</f>
        <v>Low price, fast heating.</v>
      </c>
    </row>
    <row r="7817" spans="1:9" x14ac:dyDescent="0.3">
      <c r="A7817" s="1" t="s">
        <v>1443</v>
      </c>
      <c r="B7817" s="1" t="s">
        <v>4684</v>
      </c>
      <c r="C7817" s="1" t="s">
        <v>4685</v>
      </c>
      <c r="D7817" s="1" t="s">
        <v>922</v>
      </c>
      <c r="E7817" s="1" t="s">
        <v>5882</v>
      </c>
      <c r="F7817" s="1" t="s">
        <v>11938</v>
      </c>
      <c r="G7817" s="1" t="s">
        <v>15</v>
      </c>
      <c r="H7817" s="1" t="s">
        <v>16</v>
      </c>
      <c r="I7817" s="1" t="str">
        <f ca="1">IFERROR(__xludf.DUMMYFUNCTION("GOOGLETRANSLATE(F7817, ""auto"", ""en"")
"),"Out of 25 discs, 2 are defective")</f>
        <v>Out of 25 discs, 2 are defective</v>
      </c>
    </row>
    <row r="7818" spans="1:9" x14ac:dyDescent="0.3">
      <c r="A7818" s="1" t="s">
        <v>78</v>
      </c>
      <c r="B7818" s="1" t="s">
        <v>493</v>
      </c>
      <c r="C7818" s="1" t="s">
        <v>80</v>
      </c>
      <c r="D7818" s="1" t="s">
        <v>11939</v>
      </c>
      <c r="E7818" s="1" t="s">
        <v>3573</v>
      </c>
      <c r="F7818" s="1" t="s">
        <v>11940</v>
      </c>
      <c r="G7818" s="1" t="s">
        <v>36</v>
      </c>
      <c r="H7818" s="1" t="s">
        <v>29</v>
      </c>
      <c r="I7818" s="1" t="str">
        <f ca="1">IFERROR(__xludf.DUMMYFUNCTION("GOOGLETRANSLATE(F7818, ""auto"", ""en"")
"),"Advantages: Huge volume, grill, convection, lots of automatic functions.  Disadvantages: Size, you will have to build a separate shelf. Also weight, more than 20 kilograms.  The stove is excellent, it heats super well, the volume is amazing, very good for"&amp;" making pizzas. We tried cooking, the chicken turned out tastier than in a slow cooker! I recommend it to everyone.")</f>
        <v>Advantages: Huge volume, grill, convection, lots of automatic functions.  Disadvantages: Size, you will have to build a separate shelf. Also weight, more than 20 kilograms.  The stove is excellent, it heats super well, the volume is amazing, very good for making pizzas. We tried cooking, the chicken turned out tastier than in a slow cooker! I recommend it to everyone.</v>
      </c>
    </row>
    <row r="7819" spans="1:9" x14ac:dyDescent="0.3">
      <c r="A7819" s="1" t="s">
        <v>211</v>
      </c>
      <c r="B7819" s="1" t="s">
        <v>789</v>
      </c>
      <c r="C7819" s="1" t="s">
        <v>69</v>
      </c>
      <c r="D7819" s="1" t="s">
        <v>545</v>
      </c>
      <c r="E7819" s="1" t="s">
        <v>2990</v>
      </c>
      <c r="F7819" s="1" t="s">
        <v>11941</v>
      </c>
      <c r="G7819" s="1" t="s">
        <v>49</v>
      </c>
      <c r="H7819" s="1" t="s">
        <v>16</v>
      </c>
      <c r="I7819" s="1" t="str">
        <f ca="1">IFERROR(__xludf.DUMMYFUNCTION("GOOGLETRANSLATE(F7819, ""auto"", ""en"")
"),"I didn't like it either. The child must already be bursting with screaming in order to hear anything on the parent block.. I'm disappointed.")</f>
        <v>I didn't like it either. The child must already be bursting with screaming in order to hear anything on the parent block.. I'm disappointed.</v>
      </c>
    </row>
    <row r="7820" spans="1:9" x14ac:dyDescent="0.3">
      <c r="A7820" s="1" t="s">
        <v>2087</v>
      </c>
      <c r="B7820" s="1" t="s">
        <v>2088</v>
      </c>
      <c r="C7820" s="1" t="s">
        <v>69</v>
      </c>
      <c r="D7820" s="1" t="s">
        <v>2886</v>
      </c>
      <c r="E7820" s="1" t="s">
        <v>11942</v>
      </c>
      <c r="F7820" s="1" t="s">
        <v>11943</v>
      </c>
      <c r="G7820" s="1" t="s">
        <v>15</v>
      </c>
      <c r="H7820" s="1" t="s">
        <v>16</v>
      </c>
      <c r="I7820" s="1" t="str">
        <f ca="1">IFERROR(__xludf.DUMMYFUNCTION("GOOGLETRANSLATE(F7820, ""auto"", ""en"")
"),"When watching movies from an external hard drive, it freezes, does not respond to buttons, I have to unplug it - I regret that I bought it")</f>
        <v>When watching movies from an external hard drive, it freezes, does not respond to buttons, I have to unplug it - I regret that I bought it</v>
      </c>
    </row>
    <row r="7821" spans="1:9" x14ac:dyDescent="0.3">
      <c r="A7821" s="1" t="s">
        <v>61</v>
      </c>
      <c r="B7821" s="1" t="s">
        <v>1727</v>
      </c>
      <c r="C7821" s="1" t="s">
        <v>122</v>
      </c>
      <c r="D7821" s="1" t="s">
        <v>58</v>
      </c>
      <c r="E7821" s="1" t="s">
        <v>6382</v>
      </c>
      <c r="F7821" s="1" t="s">
        <v>11944</v>
      </c>
      <c r="G7821" s="1" t="s">
        <v>36</v>
      </c>
      <c r="H7821" s="1" t="s">
        <v>29</v>
      </c>
      <c r="I7821" s="1" t="str">
        <f ca="1">IFERROR(__xludf.DUMMYFUNCTION("GOOGLETRANSLATE(F7821, ""auto"", ""en"")
"),"A popular model, several of my friends have the same one, it cooks normally, the bowl is large, sensory cooking, the porridges are very tasty, for a long time they only cooked them on it, but then they mastered other dishes, nothing ever burned")</f>
        <v>A popular model, several of my friends have the same one, it cooks normally, the bowl is large, sensory cooking, the porridges are very tasty, for a long time they only cooked them on it, but then they mastered other dishes, nothing ever burned</v>
      </c>
    </row>
    <row r="7822" spans="1:9" x14ac:dyDescent="0.3">
      <c r="A7822" s="1" t="s">
        <v>61</v>
      </c>
      <c r="B7822" s="1" t="s">
        <v>145</v>
      </c>
      <c r="C7822" s="1" t="s">
        <v>69</v>
      </c>
      <c r="D7822" s="1" t="s">
        <v>11945</v>
      </c>
      <c r="E7822" s="1" t="s">
        <v>1150</v>
      </c>
      <c r="F7822" s="1" t="s">
        <v>11946</v>
      </c>
      <c r="G7822" s="1" t="s">
        <v>49</v>
      </c>
      <c r="H7822" s="1" t="s">
        <v>16</v>
      </c>
      <c r="I7822" s="1" t="str">
        <f ca="1">IFERROR(__xludf.DUMMYFUNCTION("GOOGLETRANSLATE(F7822, ""auto"", ""en"")
"),"Grease and drops easily fall into the water compartment, which can clog the water intake. As a result, fat and pieces of food float in the compartment with water. The drip tray doesn't help because it has a gap in the center where grease gets into the dra"&amp;"inage compartment. Therefore, you must either place the food in such a way that the center of the cooking cup is not filled, or boil only eggs, or the like.")</f>
        <v>Grease and drops easily fall into the water compartment, which can clog the water intake. As a result, fat and pieces of food float in the compartment with water. The drip tray doesn't help because it has a gap in the center where grease gets into the drainage compartment. Therefore, you must either place the food in such a way that the center of the cooking cup is not filled, or boil only eggs, or the like.</v>
      </c>
    </row>
    <row r="7823" spans="1:9" x14ac:dyDescent="0.3">
      <c r="A7823" s="1" t="s">
        <v>61</v>
      </c>
      <c r="B7823" s="1" t="s">
        <v>318</v>
      </c>
      <c r="C7823" s="1" t="s">
        <v>57</v>
      </c>
      <c r="D7823" s="1" t="s">
        <v>1520</v>
      </c>
      <c r="E7823" s="1" t="s">
        <v>5849</v>
      </c>
      <c r="F7823" s="1" t="s">
        <v>11947</v>
      </c>
      <c r="G7823" s="1" t="s">
        <v>36</v>
      </c>
      <c r="H7823" s="1" t="s">
        <v>29</v>
      </c>
      <c r="I7823" s="1" t="str">
        <f ca="1">IFERROR(__xludf.DUMMYFUNCTION("GOOGLETRANSLATE(F7823, ""auto"", ""en"")
"),"5 years in operation no complaints, no complaints, the chrome has come off on the lid and started to make a little noise, but it works, it works, I’ll take the same one")</f>
        <v>5 years in operation no complaints, no complaints, the chrome has come off on the lid and started to make a little noise, but it works, it works, I’ll take the same one</v>
      </c>
    </row>
    <row r="7824" spans="1:9" x14ac:dyDescent="0.3">
      <c r="A7824" s="1" t="s">
        <v>624</v>
      </c>
      <c r="B7824" s="1" t="s">
        <v>625</v>
      </c>
      <c r="C7824" s="1" t="s">
        <v>479</v>
      </c>
      <c r="D7824" s="1" t="s">
        <v>280</v>
      </c>
      <c r="E7824" s="1" t="s">
        <v>2525</v>
      </c>
      <c r="F7824" s="1" t="s">
        <v>11948</v>
      </c>
      <c r="G7824" s="1" t="s">
        <v>36</v>
      </c>
      <c r="H7824" s="1" t="s">
        <v>29</v>
      </c>
      <c r="I7824" s="1" t="str">
        <f ca="1">IFERROR(__xludf.DUMMYFUNCTION("GOOGLETRANSLATE(F7824, ""auto"", ""en"")
"),"This is the best game in the Final Fantasy universe to date!")</f>
        <v>This is the best game in the Final Fantasy universe to date!</v>
      </c>
    </row>
    <row r="7825" spans="1:9" x14ac:dyDescent="0.3">
      <c r="A7825" s="1" t="s">
        <v>17</v>
      </c>
      <c r="B7825" s="1" t="s">
        <v>18</v>
      </c>
      <c r="C7825" s="1" t="s">
        <v>243</v>
      </c>
      <c r="D7825" s="1" t="s">
        <v>335</v>
      </c>
      <c r="E7825" s="1" t="s">
        <v>4648</v>
      </c>
      <c r="F7825" s="1" t="s">
        <v>11949</v>
      </c>
      <c r="G7825" s="1" t="s">
        <v>15</v>
      </c>
      <c r="H7825" s="1" t="s">
        <v>16</v>
      </c>
      <c r="I7825" s="1" t="str">
        <f ca="1">IFERROR(__xludf.DUMMYFUNCTION("GOOGLETRANSLATE(F7825, ""auto"", ""en"")
"),"Very noisy machine!!! You have to be completely deaf so as not to hear anything!")</f>
        <v>Very noisy machine!!! You have to be completely deaf so as not to hear anything!</v>
      </c>
    </row>
    <row r="7826" spans="1:9" x14ac:dyDescent="0.3">
      <c r="A7826" s="1" t="s">
        <v>149</v>
      </c>
      <c r="B7826" s="1" t="s">
        <v>423</v>
      </c>
      <c r="C7826" s="1" t="s">
        <v>424</v>
      </c>
      <c r="D7826" s="1" t="s">
        <v>411</v>
      </c>
      <c r="E7826" s="1" t="s">
        <v>1589</v>
      </c>
      <c r="F7826" s="1" t="s">
        <v>11950</v>
      </c>
      <c r="G7826" s="1" t="s">
        <v>36</v>
      </c>
      <c r="H7826" s="1" t="s">
        <v>29</v>
      </c>
      <c r="I7826" s="1" t="str">
        <f ca="1">IFERROR(__xludf.DUMMYFUNCTION("GOOGLETRANSLATE(F7826, ""auto"", ""en"")
"),"We bought it a year ago. Washing tiles in a country house. It copes with its duties with a 5. High-quality cleaning without streaks. A very simple and reliable design (although there are some nuances in terms of the reliability of some connections). There"&amp;" are no expensive tricky filters. After cleaning, it is extremely easy to clean, unlike Thomases. For dry cleaning with an aqua filter, the latter must be purchased separately.  For those who write that they leave a lot of water: read the instructions, it"&amp;" says how to use the vacuum cleaner correctly. The surface area must be passed 2 times: the first with the water supply turned on, the second with the water supply turned off (drying).")</f>
        <v>We bought it a year ago. Washing tiles in a country house. It copes with its duties with a 5. High-quality cleaning without streaks. A very simple and reliable design (although there are some nuances in terms of the reliability of some connections). There are no expensive tricky filters. After cleaning, it is extremely easy to clean, unlike Thomases. For dry cleaning with an aqua filter, the latter must be purchased separately.  For those who write that they leave a lot of water: read the instructions, it says how to use the vacuum cleaner correctly. The surface area must be passed 2 times: the first with the water supply turned on, the second with the water supply turned off (drying).</v>
      </c>
    </row>
    <row r="7827" spans="1:9" x14ac:dyDescent="0.3">
      <c r="A7827" s="1" t="s">
        <v>78</v>
      </c>
      <c r="B7827" s="1" t="s">
        <v>1163</v>
      </c>
      <c r="C7827" s="1" t="s">
        <v>1224</v>
      </c>
      <c r="D7827" s="1" t="s">
        <v>8069</v>
      </c>
      <c r="E7827" s="1" t="s">
        <v>3775</v>
      </c>
      <c r="F7827" s="1" t="s">
        <v>11951</v>
      </c>
      <c r="G7827" s="1" t="s">
        <v>36</v>
      </c>
      <c r="H7827" s="1" t="s">
        <v>29</v>
      </c>
      <c r="I7827" s="1" t="str">
        <f ca="1">IFERROR(__xludf.DUMMYFUNCTION("GOOGLETRANSLATE(F7827, ""auto"", ""en"")
"),"We bought the stove six months ago, everyone is happy) the quality is super!!! We recommend it to everyone!")</f>
        <v>We bought the stove six months ago, everyone is happy) the quality is super!!! We recommend it to everyone!</v>
      </c>
    </row>
    <row r="7828" spans="1:9" x14ac:dyDescent="0.3">
      <c r="A7828" s="1" t="s">
        <v>9</v>
      </c>
      <c r="B7828" s="1" t="s">
        <v>10</v>
      </c>
      <c r="C7828" s="1" t="s">
        <v>466</v>
      </c>
      <c r="D7828" s="1" t="s">
        <v>5606</v>
      </c>
      <c r="E7828" s="1" t="s">
        <v>692</v>
      </c>
      <c r="F7828" s="1" t="s">
        <v>11952</v>
      </c>
      <c r="G7828" s="1" t="s">
        <v>36</v>
      </c>
      <c r="H7828" s="1" t="s">
        <v>29</v>
      </c>
      <c r="I7828" s="1" t="str">
        <f ca="1">IFERROR(__xludf.DUMMYFUNCTION("GOOGLETRANSLATE(F7828, ""auto"", ""en"")
"),"Today is exactly one year since we bought this hood. High quality model. I really like that all the filters, including the grease filter, can be washed by yourself; by the way, they can be easily removed. I can also change the light bulbs myself, since th"&amp;"e moment of purchase I had to do this only once, we bought a little brighter one. I can’t call the hood completely silent, at the second power you can already hear a slight hum, but it doesn’t bother me at all, and I don’t see the point in raising the pow"&amp;"er higher. In winter, when I’m not cooking, I turn it on to the circulation mode so that the kitchen is warmer. A good purchase! My parents also bought the same model for themselves. I hope it will last a long time.")</f>
        <v>Today is exactly one year since we bought this hood. High quality model. I really like that all the filters, including the grease filter, can be washed by yourself; by the way, they can be easily removed. I can also change the light bulbs myself, since the moment of purchase I had to do this only once, we bought a little brighter one. I can’t call the hood completely silent, at the second power you can already hear a slight hum, but it doesn’t bother me at all, and I don’t see the point in raising the power higher. In winter, when I’m not cooking, I turn it on to the circulation mode so that the kitchen is warmer. A good purchase! My parents also bought the same model for themselves. I hope it will last a long time.</v>
      </c>
    </row>
    <row r="7829" spans="1:9" x14ac:dyDescent="0.3">
      <c r="A7829" s="1" t="s">
        <v>37</v>
      </c>
      <c r="B7829" s="1" t="s">
        <v>536</v>
      </c>
      <c r="C7829" s="1" t="s">
        <v>189</v>
      </c>
      <c r="D7829" s="1" t="s">
        <v>411</v>
      </c>
      <c r="E7829" s="1" t="s">
        <v>2298</v>
      </c>
      <c r="F7829" s="1" t="s">
        <v>11953</v>
      </c>
      <c r="G7829" s="1" t="s">
        <v>15</v>
      </c>
      <c r="H7829" s="1" t="s">
        <v>16</v>
      </c>
      <c r="I7829" s="1" t="str">
        <f ca="1">IFERROR(__xludf.DUMMYFUNCTION("GOOGLETRANSLATE(F7829, ""auto"", ""en"")
"),"I have been using the device for six months. Upon purchase, I was pleasantly pleased with the number of accessories included: a case, two batteries, two chargers, a suction cup for the glass, a data cable, a headset, three replaceable sockets. The phone i"&amp;"s quite strong, the body seems to be metal, it is comfortable to hold in your hands, and the back covers are plastic. Withstood a fall from a height of a meter onto the asphalt without a scratch. Good speakerphone, very convenient to talk in the car, you "&amp;"can be heard perfectly. The navigator helps out, which can also be considered a plus. That's probably all. In terms of software, this is just a disaster: it freezes very often, not a day goes by without problems arising, you have to reboot - and this is a"&amp;" waste of time. I'm tired of setting up the backlight mode, they're so clever there, you set some settings, but it doesn't respond. It’s a stretch to call the screen backlight bright in a car; the screen can be seen well indoors, but in the sun it’s very "&amp;"bad. The navigator does not work everywhere. There are no problems on the windshield, but as soon as you remove it and pick it up, problems begin, also in buildings. There are also points: if you take it with wet hands, your finger hits the contact connec"&amp;"tor and the speakerphone automatically turns on, this has happened more than once. Sometimes the speakerphone turns on spontaneously.  In general, I do not recommend buying such a device, since it has many more disadvantages than advantages.")</f>
        <v>I have been using the device for six months. Upon purchase, I was pleasantly pleased with the number of accessories included: a case, two batteries, two chargers, a suction cup for the glass, a data cable, a headset, three replaceable sockets. The phone is quite strong, the body seems to be metal, it is comfortable to hold in your hands, and the back covers are plastic. Withstood a fall from a height of a meter onto the asphalt without a scratch. Good speakerphone, very convenient to talk in the car, you can be heard perfectly. The navigator helps out, which can also be considered a plus. That's probably all. In terms of software, this is just a disaster: it freezes very often, not a day goes by without problems arising, you have to reboot - and this is a waste of time. I'm tired of setting up the backlight mode, they're so clever there, you set some settings, but it doesn't respond. It’s a stretch to call the screen backlight bright in a car; the screen can be seen well indoors, but in the sun it’s very bad. The navigator does not work everywhere. There are no problems on the windshield, but as soon as you remove it and pick it up, problems begin, also in buildings. There are also points: if you take it with wet hands, your finger hits the contact connector and the speakerphone automatically turns on, this has happened more than once. Sometimes the speakerphone turns on spontaneously.  In general, I do not recommend buying such a device, since it has many more disadvantages than advantages.</v>
      </c>
    </row>
    <row r="7830" spans="1:9" x14ac:dyDescent="0.3">
      <c r="A7830" s="1" t="s">
        <v>61</v>
      </c>
      <c r="B7830" s="1" t="s">
        <v>224</v>
      </c>
      <c r="C7830" s="1" t="s">
        <v>101</v>
      </c>
      <c r="D7830" s="1" t="s">
        <v>420</v>
      </c>
      <c r="E7830" s="1" t="s">
        <v>11954</v>
      </c>
      <c r="F7830" s="1" t="s">
        <v>11955</v>
      </c>
      <c r="G7830" s="1" t="s">
        <v>49</v>
      </c>
      <c r="H7830" s="1" t="s">
        <v>16</v>
      </c>
      <c r="I7830" s="1" t="str">
        <f ca="1">IFERROR(__xludf.DUMMYFUNCTION("GOOGLETRANSLATE(F7830, ""auto"", ""en"")
"),"The squeezer is terrible - it crackles, vibrates, makes noise - the juice and juice compartments pop out from the vibration, after a week the motor mount to the body fell off (I did it myself because I didn’t want to take it to the store), after 2 weeks i"&amp;"t completely broke! I didn’t even get the warranty because I don’t see the point - it will break again, completely plastic model - not a single metal part!")</f>
        <v>The squeezer is terrible - it crackles, vibrates, makes noise - the juice and juice compartments pop out from the vibration, after a week the motor mount to the body fell off (I did it myself because I didn’t want to take it to the store), after 2 weeks it completely broke! I didn’t even get the warranty because I don’t see the point - it will break again, completely plastic model - not a single metal part!</v>
      </c>
    </row>
    <row r="7831" spans="1:9" x14ac:dyDescent="0.3">
      <c r="A7831" s="1" t="s">
        <v>43</v>
      </c>
      <c r="B7831" s="1" t="s">
        <v>44</v>
      </c>
      <c r="C7831" s="1" t="s">
        <v>101</v>
      </c>
      <c r="D7831" s="1" t="s">
        <v>247</v>
      </c>
      <c r="E7831" s="1" t="s">
        <v>6116</v>
      </c>
      <c r="F7831" s="1" t="s">
        <v>11956</v>
      </c>
      <c r="G7831" s="1" t="s">
        <v>15</v>
      </c>
      <c r="H7831" s="1" t="s">
        <v>16</v>
      </c>
      <c r="I7831" s="1" t="str">
        <f ca="1">IFERROR(__xludf.DUMMYFUNCTION("GOOGLETRANSLATE(F7831, ""auto"", ""en"")
"),"The fan is not worth the money. The plugs for the legs fell apart during assembly. Those that did not fall apart had to be simply removed, since they did not stay in place. It's very noisy. If the noise is tolerable during the day, you won’t be able to sl"&amp;"eep with it at night.   I don't recommend it.   The time of use of the fan is 1 day.")</f>
        <v>The fan is not worth the money. The plugs for the legs fell apart during assembly. Those that did not fall apart had to be simply removed, since they did not stay in place. It's very noisy. If the noise is tolerable during the day, you won’t be able to sleep with it at night.   I don't recommend it.   The time of use of the fan is 1 day.</v>
      </c>
    </row>
    <row r="7832" spans="1:9" x14ac:dyDescent="0.3">
      <c r="A7832" s="1" t="s">
        <v>206</v>
      </c>
      <c r="B7832" s="1" t="s">
        <v>207</v>
      </c>
      <c r="C7832" s="1" t="s">
        <v>351</v>
      </c>
      <c r="D7832" s="1" t="s">
        <v>1659</v>
      </c>
      <c r="E7832" s="1" t="s">
        <v>412</v>
      </c>
      <c r="F7832" s="1" t="s">
        <v>2268</v>
      </c>
      <c r="G7832" s="1" t="s">
        <v>49</v>
      </c>
      <c r="H7832" s="1" t="s">
        <v>16</v>
      </c>
      <c r="I7832" s="1" t="str">
        <f ca="1">IFERROR(__xludf.DUMMYFUNCTION("GOOGLETRANSLATE(F7832, ""auto"", ""en"")
"),"No")</f>
        <v>No</v>
      </c>
    </row>
    <row r="7833" spans="1:9" x14ac:dyDescent="0.3">
      <c r="A7833" s="1" t="s">
        <v>95</v>
      </c>
      <c r="B7833" s="1" t="s">
        <v>648</v>
      </c>
      <c r="C7833" s="1" t="s">
        <v>97</v>
      </c>
      <c r="D7833" s="1" t="s">
        <v>9412</v>
      </c>
      <c r="E7833" s="1" t="s">
        <v>4174</v>
      </c>
      <c r="F7833" s="1" t="s">
        <v>11957</v>
      </c>
      <c r="G7833" s="1" t="s">
        <v>36</v>
      </c>
      <c r="H7833" s="1" t="s">
        <v>29</v>
      </c>
      <c r="I7833" s="1" t="str">
        <f ca="1">IFERROR(__xludf.DUMMYFUNCTION("GOOGLETRANSLATE(F7833, ""auto"", ""en"")
"),"I’m very glad that I bought it, the set-top box is just super, the only drawback: it’s a pity that it doesn’t come with a cable for the computer.")</f>
        <v>I’m very glad that I bought it, the set-top box is just super, the only drawback: it’s a pity that it doesn’t come with a cable for the computer.</v>
      </c>
    </row>
    <row r="7834" spans="1:9" x14ac:dyDescent="0.3">
      <c r="A7834" s="1" t="s">
        <v>95</v>
      </c>
      <c r="B7834" s="1" t="s">
        <v>227</v>
      </c>
      <c r="C7834" s="1" t="s">
        <v>97</v>
      </c>
      <c r="D7834" s="1" t="s">
        <v>232</v>
      </c>
      <c r="E7834" s="1" t="s">
        <v>1065</v>
      </c>
      <c r="F7834" s="1" t="s">
        <v>11958</v>
      </c>
      <c r="G7834" s="1" t="s">
        <v>36</v>
      </c>
      <c r="H7834" s="1" t="s">
        <v>29</v>
      </c>
      <c r="I7834" s="1" t="str">
        <f ca="1">IFERROR(__xludf.DUMMYFUNCTION("GOOGLETRANSLATE(F7834, ""auto"", ""en"")
"),"I took this miracle for myself, I can’t sell it... I recommend it to everyone!")</f>
        <v>I took this miracle for myself, I can’t sell it... I recommend it to everyone!</v>
      </c>
    </row>
    <row r="7835" spans="1:9" x14ac:dyDescent="0.3">
      <c r="A7835" s="1" t="s">
        <v>30</v>
      </c>
      <c r="B7835" s="1" t="s">
        <v>50</v>
      </c>
      <c r="C7835" s="1" t="s">
        <v>32</v>
      </c>
      <c r="D7835" s="1" t="s">
        <v>11959</v>
      </c>
      <c r="E7835" s="1" t="s">
        <v>4327</v>
      </c>
      <c r="F7835" s="1" t="s">
        <v>11960</v>
      </c>
      <c r="G7835" s="1" t="s">
        <v>36</v>
      </c>
      <c r="H7835" s="1" t="s">
        <v>29</v>
      </c>
      <c r="I7835" s="1" t="str">
        <f ca="1">IFERROR(__xludf.DUMMYFUNCTION("GOOGLETRANSLATE(F7835, ""auto"", ""en"")
"),"I discovered that the central processor is T6500 2.1 GHz, and not T6400 2.0 GHz, and as I read the reviews here, I’m not the only one. Of course, I’m not offended, the T6500 is a little better than the T6400, but it’s still somehow strange that one thing "&amp;"is written on the box and on the laptop sticker, but in reality it’s something else. And the laptop is really very good! I managed to get it for another 28 thousand rubles.")</f>
        <v>I discovered that the central processor is T6500 2.1 GHz, and not T6400 2.0 GHz, and as I read the reviews here, I’m not the only one. Of course, I’m not offended, the T6500 is a little better than the T6400, but it’s still somehow strange that one thing is written on the box and on the laptop sticker, but in reality it’s something else. And the laptop is really very good! I managed to get it for another 28 thousand rubles.</v>
      </c>
    </row>
    <row r="7836" spans="1:9" x14ac:dyDescent="0.3">
      <c r="A7836" s="1" t="s">
        <v>37</v>
      </c>
      <c r="B7836" s="1" t="s">
        <v>38</v>
      </c>
      <c r="C7836" s="1" t="s">
        <v>151</v>
      </c>
      <c r="D7836" s="1" t="s">
        <v>919</v>
      </c>
      <c r="E7836" s="1" t="s">
        <v>1450</v>
      </c>
      <c r="F7836" s="1" t="s">
        <v>11961</v>
      </c>
      <c r="G7836" s="1" t="s">
        <v>36</v>
      </c>
      <c r="H7836" s="1" t="s">
        <v>29</v>
      </c>
      <c r="I7836" s="1" t="str">
        <f ca="1">IFERROR(__xludf.DUMMYFUNCTION("GOOGLETRANSLATE(F7836, ""auto"", ""en"")
"),"Maria, I haven’t tried it regarding ICQ, but everything seems to be fine. Just in case, the phone itself has a pre-installed manager that supports various clients (including ICQ), called uTalk. As for the differences between the phone - the 5620 has a GPS"&amp;" receiver, a more “advanced” capacitive touch screen, but no virtual “qwerty” keyboard. Also, the camera is only 3.2, 5560 5mp. Otherwise they are as identical as possible.")</f>
        <v>Maria, I haven’t tried it regarding ICQ, but everything seems to be fine. Just in case, the phone itself has a pre-installed manager that supports various clients (including ICQ), called uTalk. As for the differences between the phone - the 5620 has a GPS receiver, a more “advanced” capacitive touch screen, but no virtual “qwerty” keyboard. Also, the camera is only 3.2, 5560 5mp. Otherwise they are as identical as possible.</v>
      </c>
    </row>
    <row r="7837" spans="1:9" x14ac:dyDescent="0.3">
      <c r="A7837" s="1" t="s">
        <v>169</v>
      </c>
      <c r="B7837" s="1" t="s">
        <v>170</v>
      </c>
      <c r="C7837" s="1" t="s">
        <v>122</v>
      </c>
      <c r="D7837" s="1" t="s">
        <v>52</v>
      </c>
      <c r="E7837" s="1" t="s">
        <v>3975</v>
      </c>
      <c r="F7837" s="1" t="s">
        <v>11962</v>
      </c>
      <c r="G7837" s="1" t="s">
        <v>36</v>
      </c>
      <c r="H7837" s="1" t="s">
        <v>29</v>
      </c>
      <c r="I7837" s="1" t="str">
        <f ca="1">IFERROR(__xludf.DUMMYFUNCTION("GOOGLETRANSLATE(F7837, ""auto"", ""en"")
"),"I bought headphones for 4-5 years. I liked them because they lasted so long, but over the past few years, one earphone broke, but I still liked these headphones and I advise you to take them.")</f>
        <v>I bought headphones for 4-5 years. I liked them because they lasted so long, but over the past few years, one earphone broke, but I still liked these headphones and I advise you to take them.</v>
      </c>
    </row>
    <row r="7838" spans="1:9" x14ac:dyDescent="0.3">
      <c r="A7838" s="1" t="s">
        <v>169</v>
      </c>
      <c r="B7838" s="1" t="s">
        <v>170</v>
      </c>
      <c r="C7838" s="1" t="s">
        <v>193</v>
      </c>
      <c r="D7838" s="1" t="s">
        <v>11963</v>
      </c>
      <c r="E7838" s="1" t="s">
        <v>1450</v>
      </c>
      <c r="F7838" s="1" t="s">
        <v>11964</v>
      </c>
      <c r="G7838" s="1" t="s">
        <v>36</v>
      </c>
      <c r="H7838" s="1" t="s">
        <v>29</v>
      </c>
      <c r="I7838" s="1" t="str">
        <f ca="1">IFERROR(__xludf.DUMMYFUNCTION("GOOGLETRANSLATE(F7838, ""auto"", ""en"")
"),"I took these ears today, I am very pleased, they are worth it.")</f>
        <v>I took these ears today, I am very pleased, they are worth it.</v>
      </c>
    </row>
    <row r="7839" spans="1:9" x14ac:dyDescent="0.3">
      <c r="A7839" s="1" t="s">
        <v>61</v>
      </c>
      <c r="B7839" s="1" t="s">
        <v>73</v>
      </c>
      <c r="C7839" s="1" t="s">
        <v>85</v>
      </c>
      <c r="D7839" s="1" t="s">
        <v>11965</v>
      </c>
      <c r="E7839" s="1" t="s">
        <v>3664</v>
      </c>
      <c r="F7839" s="1" t="s">
        <v>11966</v>
      </c>
      <c r="G7839" s="1" t="s">
        <v>15</v>
      </c>
      <c r="H7839" s="1" t="s">
        <v>16</v>
      </c>
      <c r="I7839" s="1" t="str">
        <f ca="1">IFERROR(__xludf.DUMMYFUNCTION("GOOGLETRANSLATE(F7839, ""auto"", ""en"")
"),"This unit turns meat normally, but for vegetables, the plastic attachment does not want to turn; it constantly jams and the sprocket flies off the axis that is in the plastic attachment, and I honestly don’t notice about 2.5 kilograms, 1 kg turns for me f"&amp;"or 5-7 minutes. I regret that I bought this. The only plus is that the “horseradish” (roots of the plant) was well twisted for seasoning.")</f>
        <v>This unit turns meat normally, but for vegetables, the plastic attachment does not want to turn; it constantly jams and the sprocket flies off the axis that is in the plastic attachment, and I honestly don’t notice about 2.5 kilograms, 1 kg turns for me for 5-7 minutes. I regret that I bought this. The only plus is that the “horseradish” (roots of the plant) was well twisted for seasoning.</v>
      </c>
    </row>
    <row r="7840" spans="1:9" x14ac:dyDescent="0.3">
      <c r="A7840" s="1" t="s">
        <v>757</v>
      </c>
      <c r="B7840" s="1" t="s">
        <v>758</v>
      </c>
      <c r="C7840" s="1" t="s">
        <v>160</v>
      </c>
      <c r="D7840" s="1" t="s">
        <v>11967</v>
      </c>
      <c r="E7840" s="1" t="s">
        <v>5831</v>
      </c>
      <c r="F7840" s="1" t="s">
        <v>11968</v>
      </c>
      <c r="G7840" s="1" t="s">
        <v>36</v>
      </c>
      <c r="H7840" s="1" t="s">
        <v>29</v>
      </c>
      <c r="I7840" s="1" t="str">
        <f ca="1">IFERROR(__xludf.DUMMYFUNCTION("GOOGLETRANSLATE(F7840, ""auto"", ""en"")
"),"A few years ago, Pioneer installed a simple 5-channel system, but the trouble was that the sub couldn’t withstand my tests and burned out. It was not my plan to change everything, so I decided to buy a sub from Cambridge. The price at the time of purchase"&amp;" was more than affordable, it was also suitable in terms of power, I have a 200W system, not the most powerful, but it’s enough for me for now. Subic is quite small in size, but reproduces low frequencies with a bang. I didn't notice any particular flaws "&amp;"in it. I listened to hard rock, turned on several films for testing, and the sub fits perfectly into the overall sound picture. It’s hard to call me an expert in sound analysis, so I can’t say anything bad. The sound is clean where necessary, and the bass"&amp;" is off scale where necessary. In general, the replacement turned out to be very successful for me!")</f>
        <v>A few years ago, Pioneer installed a simple 5-channel system, but the trouble was that the sub couldn’t withstand my tests and burned out. It was not my plan to change everything, so I decided to buy a sub from Cambridge. The price at the time of purchase was more than affordable, it was also suitable in terms of power, I have a 200W system, not the most powerful, but it’s enough for me for now. Subic is quite small in size, but reproduces low frequencies with a bang. I didn't notice any particular flaws in it. I listened to hard rock, turned on several films for testing, and the sub fits perfectly into the overall sound picture. It’s hard to call me an expert in sound analysis, so I can’t say anything bad. The sound is clean where necessary, and the bass is off scale where necessary. In general, the replacement turned out to be very successful for me!</v>
      </c>
    </row>
    <row r="7841" spans="1:9" x14ac:dyDescent="0.3">
      <c r="A7841" s="1" t="s">
        <v>61</v>
      </c>
      <c r="B7841" s="1" t="s">
        <v>977</v>
      </c>
      <c r="C7841" s="1" t="s">
        <v>63</v>
      </c>
      <c r="D7841" s="1" t="s">
        <v>521</v>
      </c>
      <c r="E7841" s="1" t="s">
        <v>1063</v>
      </c>
      <c r="F7841" s="1" t="s">
        <v>11969</v>
      </c>
      <c r="G7841" s="1" t="s">
        <v>36</v>
      </c>
      <c r="H7841" s="1" t="s">
        <v>29</v>
      </c>
      <c r="I7841" s="1" t="str">
        <f ca="1">IFERROR(__xludf.DUMMYFUNCTION("GOOGLETRANSLATE(F7841, ""auto"", ""en"")
"),"If you are going to purchase this device for use, I highly recommend it!!! Quiet, fast! Very suitable for mothers of small children!!!")</f>
        <v>If you are going to purchase this device for use, I highly recommend it!!! Quiet, fast! Very suitable for mothers of small children!!!</v>
      </c>
    </row>
    <row r="7842" spans="1:9" x14ac:dyDescent="0.3">
      <c r="A7842" s="1" t="s">
        <v>1119</v>
      </c>
      <c r="B7842" s="1" t="s">
        <v>1120</v>
      </c>
      <c r="C7842" s="1" t="s">
        <v>122</v>
      </c>
      <c r="D7842" s="1" t="s">
        <v>2764</v>
      </c>
      <c r="E7842" s="1" t="s">
        <v>696</v>
      </c>
      <c r="F7842" s="1" t="s">
        <v>11970</v>
      </c>
      <c r="G7842" s="1" t="s">
        <v>28</v>
      </c>
      <c r="H7842" s="1" t="s">
        <v>29</v>
      </c>
      <c r="I7842" s="1" t="str">
        <f ca="1">IFERROR(__xludf.DUMMYFUNCTION("GOOGLETRANSLATE(F7842, ""auto"", ""en"")
"),"I've been using it for a month. I chose one with flash and zoom for recording children's matinees. The zoom is decent, the intelligent mode is very convenient; The battery is weak, the resolution is too low. For people who are not picky about image size, "&amp;"people who like hidden photography - a luxury camera!")</f>
        <v>I've been using it for a month. I chose one with flash and zoom for recording children's matinees. The zoom is decent, the intelligent mode is very convenient; The battery is weak, the resolution is too low. For people who are not picky about image size, people who like hidden photography - a luxury camera!</v>
      </c>
    </row>
    <row r="7843" spans="1:9" x14ac:dyDescent="0.3">
      <c r="A7843" s="1" t="s">
        <v>67</v>
      </c>
      <c r="B7843" s="1" t="s">
        <v>68</v>
      </c>
      <c r="C7843" s="1" t="s">
        <v>213</v>
      </c>
      <c r="D7843" s="1" t="s">
        <v>39</v>
      </c>
      <c r="E7843" s="1" t="s">
        <v>367</v>
      </c>
      <c r="F7843" s="1" t="s">
        <v>11971</v>
      </c>
      <c r="G7843" s="1" t="s">
        <v>36</v>
      </c>
      <c r="H7843" s="1" t="s">
        <v>29</v>
      </c>
      <c r="I7843" s="1" t="str">
        <f ca="1">IFERROR(__xludf.DUMMYFUNCTION("GOOGLETRANSLATE(F7843, ""auto"", ""en"")
"),"An excellent iron, it looks great in appearance and is 5+ in terms of functionality! And what Zhenya writes is apparently just a defect; for me personally, everything works as it should!")</f>
        <v>An excellent iron, it looks great in appearance and is 5+ in terms of functionality! And what Zhenya writes is apparently just a defect; for me personally, everything works as it should!</v>
      </c>
    </row>
    <row r="7844" spans="1:9" x14ac:dyDescent="0.3">
      <c r="A7844" s="1" t="s">
        <v>519</v>
      </c>
      <c r="B7844" s="1" t="s">
        <v>3212</v>
      </c>
      <c r="C7844" s="1" t="s">
        <v>561</v>
      </c>
      <c r="D7844" s="1" t="s">
        <v>471</v>
      </c>
      <c r="E7844" s="1" t="s">
        <v>8309</v>
      </c>
      <c r="F7844" s="1" t="s">
        <v>11972</v>
      </c>
      <c r="G7844" s="1" t="s">
        <v>36</v>
      </c>
      <c r="H7844" s="1" t="s">
        <v>29</v>
      </c>
      <c r="I7844" s="1" t="str">
        <f ca="1">IFERROR(__xludf.DUMMYFUNCTION("GOOGLETRANSLATE(F7844, ""auto"", ""en"")
"),"Gave it to my mom for March 8th, the pizza turns out great! Doesn't burn, easy to clean. The only thing is that if the dough turns out to be runny, it will leak, and it’s not very convenient to lay out the pizza; as a result, pimples will form.")</f>
        <v>Gave it to my mom for March 8th, the pizza turns out great! Doesn't burn, easy to clean. The only thing is that if the dough turns out to be runny, it will leak, and it’s not very convenient to lay out the pizza; as a result, pimples will form.</v>
      </c>
    </row>
    <row r="7845" spans="1:9" x14ac:dyDescent="0.3">
      <c r="A7845" s="1" t="s">
        <v>477</v>
      </c>
      <c r="B7845" s="1" t="s">
        <v>478</v>
      </c>
      <c r="C7845" s="1" t="s">
        <v>479</v>
      </c>
      <c r="D7845" s="1" t="s">
        <v>280</v>
      </c>
      <c r="E7845" s="1" t="s">
        <v>792</v>
      </c>
      <c r="F7845" s="1" t="s">
        <v>11973</v>
      </c>
      <c r="G7845" s="1" t="s">
        <v>36</v>
      </c>
      <c r="H7845" s="1" t="s">
        <v>29</v>
      </c>
      <c r="I7845" s="1" t="str">
        <f ca="1">IFERROR(__xludf.DUMMYFUNCTION("GOOGLETRANSLATE(F7845, ""auto"", ""en"")
"),"This game is simply great! An interesting plot, many new, well-developed quests, new weapons and interesting characters (and there are even some from previous parts!). In general, I advise all Fallout fans - I think now the discord between fans of the fir"&amp;"st two parts and fans of the third will subside a little =).")</f>
        <v>This game is simply great! An interesting plot, many new, well-developed quests, new weapons and interesting characters (and there are even some from previous parts!). In general, I advise all Fallout fans - I think now the discord between fans of the first two parts and fans of the third will subside a little =).</v>
      </c>
    </row>
    <row r="7846" spans="1:9" x14ac:dyDescent="0.3">
      <c r="A7846" s="1" t="s">
        <v>30</v>
      </c>
      <c r="B7846" s="1" t="s">
        <v>50</v>
      </c>
      <c r="C7846" s="1" t="s">
        <v>51</v>
      </c>
      <c r="D7846" s="1" t="s">
        <v>4595</v>
      </c>
      <c r="E7846" s="1" t="s">
        <v>594</v>
      </c>
      <c r="F7846" s="1" t="s">
        <v>11974</v>
      </c>
      <c r="G7846" s="1" t="s">
        <v>36</v>
      </c>
      <c r="H7846" s="1" t="s">
        <v>29</v>
      </c>
      <c r="I7846" s="1" t="str">
        <f ca="1">IFERROR(__xludf.DUMMYFUNCTION("GOOGLETRANSLATE(F7846, ""auto"", ""en"")
"),"Alexxxan (Moscow) The differences in displays are huge - in favor of the LJ75-JO-101, this is a higher resolution, better screen coverage. More advanced sound system. WEB camera 1.3 instead of 0.3.  Otherwise, these are complete analogues. Except for dime"&amp;"nsions and weight.   As for the configuration, they are similar.  The equipment is very minimal - a user manual, a warranty card and a few more pieces of paper.")</f>
        <v>Alexxxan (Moscow) The differences in displays are huge - in favor of the LJ75-JO-101, this is a higher resolution, better screen coverage. More advanced sound system. WEB camera 1.3 instead of 0.3.  Otherwise, these are complete analogues. Except for dimensions and weight.   As for the configuration, they are similar.  The equipment is very minimal - a user manual, a warranty card and a few more pieces of paper.</v>
      </c>
    </row>
    <row r="7847" spans="1:9" x14ac:dyDescent="0.3">
      <c r="A7847" s="1" t="s">
        <v>1443</v>
      </c>
      <c r="B7847" s="1" t="s">
        <v>1444</v>
      </c>
      <c r="C7847" s="1" t="s">
        <v>1445</v>
      </c>
      <c r="D7847" s="1" t="s">
        <v>653</v>
      </c>
      <c r="E7847" s="1" t="s">
        <v>529</v>
      </c>
      <c r="F7847" s="1" t="s">
        <v>11975</v>
      </c>
      <c r="G7847" s="1" t="s">
        <v>28</v>
      </c>
      <c r="H7847" s="1" t="s">
        <v>29</v>
      </c>
      <c r="I7847" s="1" t="str">
        <f ca="1">IFERROR(__xludf.DUMMYFUNCTION("GOOGLETRANSLATE(F7847, ""auto"", ""en"")
"),"The flash drive works well, there are no drawbacks in the work!  BUT! The removable lid often gets lost :(")</f>
        <v>The flash drive works well, there are no drawbacks in the work!  BUT! The removable lid often gets lost :(</v>
      </c>
    </row>
    <row r="7848" spans="1:9" x14ac:dyDescent="0.3">
      <c r="A7848" s="1" t="s">
        <v>17</v>
      </c>
      <c r="B7848" s="1" t="s">
        <v>18</v>
      </c>
      <c r="C7848" s="1" t="s">
        <v>885</v>
      </c>
      <c r="D7848" s="1" t="s">
        <v>152</v>
      </c>
      <c r="E7848" s="1" t="s">
        <v>3472</v>
      </c>
      <c r="F7848" s="1" t="s">
        <v>11976</v>
      </c>
      <c r="G7848" s="1" t="s">
        <v>36</v>
      </c>
      <c r="H7848" s="1" t="s">
        <v>29</v>
      </c>
      <c r="I7848" s="1" t="str">
        <f ca="1">IFERROR(__xludf.DUMMYFUNCTION("GOOGLETRANSLATE(F7848, ""auto"", ""en"")
"),"The machine is great. Fully meets all expectations and requirements. More M-Video promotions!")</f>
        <v>The machine is great. Fully meets all expectations and requirements. More M-Video promotions!</v>
      </c>
    </row>
    <row r="7849" spans="1:9" x14ac:dyDescent="0.3">
      <c r="A7849" s="1" t="s">
        <v>105</v>
      </c>
      <c r="B7849" s="1" t="s">
        <v>106</v>
      </c>
      <c r="C7849" s="1" t="s">
        <v>1209</v>
      </c>
      <c r="D7849" s="1" t="s">
        <v>11977</v>
      </c>
      <c r="E7849" s="1" t="s">
        <v>2721</v>
      </c>
      <c r="F7849" s="1" t="s">
        <v>11978</v>
      </c>
      <c r="G7849" s="1" t="s">
        <v>36</v>
      </c>
      <c r="H7849" s="1" t="s">
        <v>29</v>
      </c>
      <c r="I7849" s="1" t="str">
        <f ca="1">IFERROR(__xludf.DUMMYFUNCTION("GOOGLETRANSLATE(F7849, ""auto"", ""en"")
"),"The player is good! I've been using it for almost a year now. It glitched once when I brought it home and connected it to the computer incorrectly. At first the headphones came off, but then, as it turned out, they had to be pushed in deeper. I was just a"&amp;"fraid that I would break it. And so everything is great... True, sometimes the player lacks phone functions, but that’s why it’s a player, to play music. For the video I’ll say right away, it’s good. But at first there was a problem that it didn’t work, t"&amp;"he format just didn’t fit, then I learned how to use the program, and everything was super duper!   All in all! As an experienced user, I recommend it. The phone went through both fire and water")</f>
        <v>The player is good! I've been using it for almost a year now. It glitched once when I brought it home and connected it to the computer incorrectly. At first the headphones came off, but then, as it turned out, they had to be pushed in deeper. I was just afraid that I would break it. And so everything is great... True, sometimes the player lacks phone functions, but that’s why it’s a player, to play music. For the video I’ll say right away, it’s good. But at first there was a problem that it didn’t work, the format just didn’t fit, then I learned how to use the program, and everything was super duper!   All in all! As an experienced user, I recommend it. The phone went through both fire and water</v>
      </c>
    </row>
    <row r="7850" spans="1:9" x14ac:dyDescent="0.3">
      <c r="A7850" s="1" t="s">
        <v>30</v>
      </c>
      <c r="B7850" s="1" t="s">
        <v>50</v>
      </c>
      <c r="C7850" s="1" t="s">
        <v>51</v>
      </c>
      <c r="D7850" s="1" t="s">
        <v>11979</v>
      </c>
      <c r="E7850" s="1" t="s">
        <v>631</v>
      </c>
      <c r="F7850" s="1" t="s">
        <v>11980</v>
      </c>
      <c r="G7850" s="1" t="s">
        <v>36</v>
      </c>
      <c r="H7850" s="1" t="s">
        <v>29</v>
      </c>
      <c r="I7850" s="1" t="str">
        <f ca="1">IFERROR(__xludf.DUMMYFUNCTION("GOOGLETRANSLATE(F7850, ""auto"", ""en"")
"),"I bought it recently, removed Windows, set it to maximum speed... Everything flies, but there is no native firewood, I had to take it from similar models, CU-024.   Pros: does not heat up like a boiler (works all day long, but the keyboard does not warm u"&amp;"p), excellent screen, clear and loud sound, a lot of advantages... Disadvantages: when you turn on the laptop, Wi-Fi automatically turns on (I rarely use it), the screen is not of standard resolution (16:9), but you can do something with all this, so we c"&amp;"an assume that there are no disadvantages...")</f>
        <v>I bought it recently, removed Windows, set it to maximum speed... Everything flies, but there is no native firewood, I had to take it from similar models, CU-024.   Pros: does not heat up like a boiler (works all day long, but the keyboard does not warm up), excellent screen, clear and loud sound, a lot of advantages... Disadvantages: when you turn on the laptop, Wi-Fi automatically turns on (I rarely use it), the screen is not of standard resolution (16:9), but you can do something with all this, so we can assume that there are no disadvantages...</v>
      </c>
    </row>
    <row r="7851" spans="1:9" x14ac:dyDescent="0.3">
      <c r="A7851" s="1" t="s">
        <v>43</v>
      </c>
      <c r="B7851" s="1" t="s">
        <v>44</v>
      </c>
      <c r="C7851" s="1" t="s">
        <v>45</v>
      </c>
      <c r="D7851" s="1" t="s">
        <v>11981</v>
      </c>
      <c r="E7851" s="1" t="s">
        <v>2998</v>
      </c>
      <c r="F7851" s="1" t="s">
        <v>11982</v>
      </c>
      <c r="G7851" s="1" t="s">
        <v>49</v>
      </c>
      <c r="H7851" s="1" t="s">
        <v>16</v>
      </c>
      <c r="I7851" s="1" t="str">
        <f ca="1">IFERROR(__xludf.DUMMYFUNCTION("GOOGLETRANSLATE(F7851, ""auto"", ""en"")
"),"I bought the fan on May 28th. This whole set is assembled perfectly, fortunately it is not the first. I can’t use it because of the strong plastic smell, even at first speed. Literally after 10 minutes you can’t be in the room, it’s very offensive.")</f>
        <v>I bought the fan on May 28th. This whole set is assembled perfectly, fortunately it is not the first. I can’t use it because of the strong plastic smell, even at first speed. Literally after 10 minutes you can’t be in the room, it’s very offensive.</v>
      </c>
    </row>
    <row r="7852" spans="1:9" x14ac:dyDescent="0.3">
      <c r="A7852" s="1" t="s">
        <v>55</v>
      </c>
      <c r="B7852" s="1" t="s">
        <v>84</v>
      </c>
      <c r="C7852" s="1" t="s">
        <v>85</v>
      </c>
      <c r="D7852" s="1" t="s">
        <v>695</v>
      </c>
      <c r="E7852" s="1" t="s">
        <v>2328</v>
      </c>
      <c r="F7852" s="1" t="s">
        <v>11983</v>
      </c>
      <c r="G7852" s="1" t="s">
        <v>36</v>
      </c>
      <c r="H7852" s="1" t="s">
        <v>29</v>
      </c>
      <c r="I7852" s="1" t="str">
        <f ca="1">IFERROR(__xludf.DUMMYFUNCTION("GOOGLETRANSLATE(F7852, ""auto"", ""en"")
"),"I bought it a year ago. Great stuff! Bork in one word.  Automatic mode. 4 degrees of humidity intensity. Antibacterial filter. Stylish. With touch control. I didn’t find any cons! Works great.")</f>
        <v>I bought it a year ago. Great stuff! Bork in one word.  Automatic mode. 4 degrees of humidity intensity. Antibacterial filter. Stylish. With touch control. I didn’t find any cons! Works great.</v>
      </c>
    </row>
    <row r="7853" spans="1:9" x14ac:dyDescent="0.3">
      <c r="A7853" s="1" t="s">
        <v>211</v>
      </c>
      <c r="B7853" s="1" t="s">
        <v>11984</v>
      </c>
      <c r="C7853" s="1" t="s">
        <v>69</v>
      </c>
      <c r="D7853" s="1" t="s">
        <v>11985</v>
      </c>
      <c r="E7853" s="1" t="s">
        <v>11986</v>
      </c>
      <c r="F7853" s="1" t="s">
        <v>11987</v>
      </c>
      <c r="G7853" s="1" t="s">
        <v>36</v>
      </c>
      <c r="H7853" s="1" t="s">
        <v>29</v>
      </c>
      <c r="I7853" s="1" t="str">
        <f ca="1">IFERROR(__xludf.DUMMYFUNCTION("GOOGLETRANSLATE(F7853, ""auto"", ""en"")
"),"Cleanses the skin very well. Removes all flaking and keratinized scales. Now the heating is already on, the skin is drying and constantly peeling. Vidocq is not ice. After washing with this nozzle, you really look better. The skin is clean. And oxygen pen"&amp;"etrates better naturally.")</f>
        <v>Cleanses the skin very well. Removes all flaking and keratinized scales. Now the heating is already on, the skin is drying and constantly peeling. Vidocq is not ice. After washing with this nozzle, you really look better. The skin is clean. And oxygen penetrates better naturally.</v>
      </c>
    </row>
    <row r="7854" spans="1:9" x14ac:dyDescent="0.3">
      <c r="A7854" s="1" t="s">
        <v>149</v>
      </c>
      <c r="B7854" s="1" t="s">
        <v>576</v>
      </c>
      <c r="C7854" s="1" t="s">
        <v>69</v>
      </c>
      <c r="D7854" s="1" t="s">
        <v>114</v>
      </c>
      <c r="E7854" s="1" t="s">
        <v>11988</v>
      </c>
      <c r="F7854" s="1" t="s">
        <v>11989</v>
      </c>
      <c r="G7854" s="1" t="s">
        <v>36</v>
      </c>
      <c r="H7854" s="1" t="s">
        <v>29</v>
      </c>
      <c r="I7854" s="1" t="str">
        <f ca="1">IFERROR(__xludf.DUMMYFUNCTION("GOOGLETRANSLATE(F7854, ""auto"", ""en"")
"),"The power of this model is very high, I have a long-haired cat at home, so we have new hair every day, but even in such conditions, vacuuming is a pleasure, the hairs fly straight into the brush, so you don’t need to fuss in one place a hundred times. Sec"&amp;"ondly, all the components for the vacuum cleaner are made of high quality and from durable materials, after 3 years of use all the parts are like new and this cannot but rejoice. I also really like the triangular-shaped brush in this model; it makes it ve"&amp;"ry convenient to vacuum in corners. The vacuum cleaner has a good filtration system, thanks to which there is no smell of dust in the apartment after cleaning. I also like that the model’s cord is long enough and when cleaning you don’t have to look for a"&amp;" new outlet every meter and a half. So, in the end, I can say that I am very pleased with the vacuum cleaner, and have never regretted purchasing it, and of course I recommend it for purchase.")</f>
        <v>The power of this model is very high, I have a long-haired cat at home, so we have new hair every day, but even in such conditions, vacuuming is a pleasure, the hairs fly straight into the brush, so you don’t need to fuss in one place a hundred times. Secondly, all the components for the vacuum cleaner are made of high quality and from durable materials, after 3 years of use all the parts are like new and this cannot but rejoice. I also really like the triangular-shaped brush in this model; it makes it very convenient to vacuum in corners. The vacuum cleaner has a good filtration system, thanks to which there is no smell of dust in the apartment after cleaning. I also like that the model’s cord is long enough and when cleaning you don’t have to look for a new outlet every meter and a half. So, in the end, I can say that I am very pleased with the vacuum cleaner, and have never regretted purchasing it, and of course I recommend it for purchase.</v>
      </c>
    </row>
    <row r="7855" spans="1:9" x14ac:dyDescent="0.3">
      <c r="A7855" s="1" t="s">
        <v>169</v>
      </c>
      <c r="B7855" s="1" t="s">
        <v>170</v>
      </c>
      <c r="C7855" s="1" t="s">
        <v>122</v>
      </c>
      <c r="D7855" s="1" t="s">
        <v>39</v>
      </c>
      <c r="E7855" s="1" t="s">
        <v>6284</v>
      </c>
      <c r="F7855" s="1" t="s">
        <v>11990</v>
      </c>
      <c r="G7855" s="1" t="s">
        <v>36</v>
      </c>
      <c r="H7855" s="1" t="s">
        <v>29</v>
      </c>
      <c r="I7855" s="1" t="str">
        <f ca="1">IFERROR(__xludf.DUMMYFUNCTION("GOOGLETRANSLATE(F7855, ""auto"", ""en"")
"),"And I liked it! On psychoactive programs it breaks through. And they are inexpensive - a great option for the money!")</f>
        <v>And I liked it! On psychoactive programs it breaks through. And they are inexpensive - a great option for the money!</v>
      </c>
    </row>
    <row r="7856" spans="1:9" x14ac:dyDescent="0.3">
      <c r="A7856" s="1" t="s">
        <v>89</v>
      </c>
      <c r="B7856" s="1" t="s">
        <v>231</v>
      </c>
      <c r="C7856" s="1" t="s">
        <v>61</v>
      </c>
      <c r="D7856" s="1" t="s">
        <v>232</v>
      </c>
      <c r="E7856" s="1" t="s">
        <v>1164</v>
      </c>
      <c r="F7856" s="1" t="s">
        <v>11991</v>
      </c>
      <c r="G7856" s="1" t="s">
        <v>36</v>
      </c>
      <c r="H7856" s="1" t="s">
        <v>29</v>
      </c>
      <c r="I7856" s="1" t="str">
        <f ca="1">IFERROR(__xludf.DUMMYFUNCTION("GOOGLETRANSLATE(F7856, ""auto"", ""en"")
"),"My machine, produced in 2005, brewed 12,000 cups, currently everything works as it should, during its entire service life I contacted service, only once, and then through my own negligence (I spilled water into the coffee hopper), they did it quickly and "&amp;"inexpensively.")</f>
        <v>My machine, produced in 2005, brewed 12,000 cups, currently everything works as it should, during its entire service life I contacted service, only once, and then through my own negligence (I spilled water into the coffee hopper), they did it quickly and inexpensively.</v>
      </c>
    </row>
    <row r="7857" spans="1:9" x14ac:dyDescent="0.3">
      <c r="A7857" s="1" t="s">
        <v>149</v>
      </c>
      <c r="B7857" s="1" t="s">
        <v>576</v>
      </c>
      <c r="C7857" s="1" t="s">
        <v>459</v>
      </c>
      <c r="D7857" s="1" t="s">
        <v>11992</v>
      </c>
      <c r="E7857" s="1" t="s">
        <v>1207</v>
      </c>
      <c r="F7857" s="1" t="s">
        <v>11993</v>
      </c>
      <c r="G7857" s="1" t="s">
        <v>36</v>
      </c>
      <c r="H7857" s="1" t="s">
        <v>29</v>
      </c>
      <c r="I7857" s="1" t="str">
        <f ca="1">IFERROR(__xludf.DUMMYFUNCTION("GOOGLETRANSLATE(F7857, ""auto"", ""en"")
"),"I've been using this product for a relatively short time.  I choose from Daewoo models, because the price and quality of the Korean satisfy me.  It’s small and convenient, doesn’t take up much space, and I don’t notice any shortcomings in it.  Of course, "&amp;"everyone has different tastes and needs, but as a budget option, I recommend it")</f>
        <v>I've been using this product for a relatively short time.  I choose from Daewoo models, because the price and quality of the Korean satisfy me.  It’s small and convenient, doesn’t take up much space, and I don’t notice any shortcomings in it.  Of course, everyone has different tastes and needs, but as a budget option, I recommend it</v>
      </c>
    </row>
    <row r="7858" spans="1:9" x14ac:dyDescent="0.3">
      <c r="A7858" s="1" t="s">
        <v>55</v>
      </c>
      <c r="B7858" s="1" t="s">
        <v>184</v>
      </c>
      <c r="C7858" s="1" t="s">
        <v>101</v>
      </c>
      <c r="D7858" s="1" t="s">
        <v>11994</v>
      </c>
      <c r="E7858" s="1" t="s">
        <v>626</v>
      </c>
      <c r="F7858" s="1" t="s">
        <v>11995</v>
      </c>
      <c r="G7858" s="1" t="s">
        <v>36</v>
      </c>
      <c r="H7858" s="1" t="s">
        <v>29</v>
      </c>
      <c r="I7858" s="1" t="str">
        <f ca="1">IFERROR(__xludf.DUMMYFUNCTION("GOOGLETRANSLATE(F7858, ""auto"", ""en"")
"),"I bought it yesterday - great! Quickly heats the room and does not dry out the air, plus protection against tipping over and overheating.")</f>
        <v>I bought it yesterday - great! Quickly heats the room and does not dry out the air, plus protection against tipping over and overheating.</v>
      </c>
    </row>
    <row r="7859" spans="1:9" x14ac:dyDescent="0.3">
      <c r="A7859" s="1" t="s">
        <v>89</v>
      </c>
      <c r="B7859" s="1" t="s">
        <v>90</v>
      </c>
      <c r="C7859" s="1" t="s">
        <v>57</v>
      </c>
      <c r="D7859" s="1" t="s">
        <v>2233</v>
      </c>
      <c r="E7859" s="1" t="s">
        <v>6398</v>
      </c>
      <c r="F7859" s="1" t="s">
        <v>11996</v>
      </c>
      <c r="G7859" s="1" t="s">
        <v>36</v>
      </c>
      <c r="H7859" s="1" t="s">
        <v>29</v>
      </c>
      <c r="I7859" s="1" t="str">
        <f ca="1">IFERROR(__xludf.DUMMYFUNCTION("GOOGLETRANSLATE(F7859, ""auto"", ""en"")
"),"A good thing, it quickly and quietly grinds a fairly large amount of coffee.")</f>
        <v>A good thing, it quickly and quietly grinds a fairly large amount of coffee.</v>
      </c>
    </row>
    <row r="7860" spans="1:9" x14ac:dyDescent="0.3">
      <c r="A7860" s="1" t="s">
        <v>43</v>
      </c>
      <c r="B7860" s="1" t="s">
        <v>44</v>
      </c>
      <c r="C7860" s="1" t="s">
        <v>45</v>
      </c>
      <c r="D7860" s="1" t="s">
        <v>1431</v>
      </c>
      <c r="E7860" s="1" t="s">
        <v>1553</v>
      </c>
      <c r="F7860" s="1" t="s">
        <v>11997</v>
      </c>
      <c r="G7860" s="1" t="s">
        <v>28</v>
      </c>
      <c r="H7860" s="1" t="s">
        <v>29</v>
      </c>
      <c r="I7860" s="1" t="str">
        <f ca="1">IFERROR(__xludf.DUMMYFUNCTION("GOOGLETRANSLATE(F7860, ""auto"", ""en"")
"),"I just bought it, assembled it and tested it. I don't regret the purchase at all. Good fan. The design is reliable enough for a home. With careful use it will last for years. You can’t call it completely quiet, but it’s not annoying either, it hums quietl"&amp;"y. The motor hardly heats up, the position adjustments are controlled reliably. For the money it's definitely worth attention.   (assemble carefully - no extra force is needed here).  There's even a light bulb included so you don't bump into it at night.")</f>
        <v>I just bought it, assembled it and tested it. I don't regret the purchase at all. Good fan. The design is reliable enough for a home. With careful use it will last for years. You can’t call it completely quiet, but it’s not annoying either, it hums quietly. The motor hardly heats up, the position adjustments are controlled reliably. For the money it's definitely worth attention.   (assemble carefully - no extra force is needed here).  There's even a light bulb included so you don't bump into it at night.</v>
      </c>
    </row>
    <row r="7861" spans="1:9" x14ac:dyDescent="0.3">
      <c r="A7861" s="1" t="s">
        <v>211</v>
      </c>
      <c r="B7861" s="1" t="s">
        <v>265</v>
      </c>
      <c r="C7861" s="1" t="s">
        <v>294</v>
      </c>
      <c r="D7861" s="1" t="s">
        <v>1431</v>
      </c>
      <c r="E7861" s="1" t="s">
        <v>1692</v>
      </c>
      <c r="F7861" s="1" t="s">
        <v>11998</v>
      </c>
      <c r="G7861" s="1" t="s">
        <v>94</v>
      </c>
      <c r="H7861" s="1" t="s">
        <v>29</v>
      </c>
      <c r="I7861" s="1" t="str">
        <f ca="1">IFERROR(__xludf.DUMMYFUNCTION("GOOGLETRANSLATE(F7861, ""auto"", ""en"")
"),"Sturdy attachments, quiet operation, ease of use")</f>
        <v>Sturdy attachments, quiet operation, ease of use</v>
      </c>
    </row>
    <row r="7862" spans="1:9" x14ac:dyDescent="0.3">
      <c r="A7862" s="1" t="s">
        <v>169</v>
      </c>
      <c r="B7862" s="1" t="s">
        <v>170</v>
      </c>
      <c r="C7862" s="1" t="s">
        <v>122</v>
      </c>
      <c r="D7862" s="1" t="s">
        <v>390</v>
      </c>
      <c r="E7862" s="1" t="s">
        <v>11999</v>
      </c>
      <c r="F7862" s="1" t="s">
        <v>12000</v>
      </c>
      <c r="G7862" s="1" t="s">
        <v>28</v>
      </c>
      <c r="H7862" s="1" t="s">
        <v>29</v>
      </c>
      <c r="I7862" s="1" t="str">
        <f ca="1">IFERROR(__xludf.DUMMYFUNCTION("GOOGLETRANSLATE(F7862, ""auto"", ""en"")
"),"I really liked the headphones, the sound is good, I liked it, I also liked the BASS, it’s quite good, it’s not that bad, well, in general, the bass here is just super.  But there is one minus, it seems to me that it puts a lot of pressure on my ears, well"&amp;", I think this is my personal problem because I have large ears.  But if you just rate this product as a whole, then it’s a solid 4. The sound is good and very light. And don’t listen to those reviews that the sound is like kick drums, etc., it’s all a ho"&amp;"ax. And I also liked the fact that the warranty is 1 year. I’ve been using it for 1 month already.")</f>
        <v>I really liked the headphones, the sound is good, I liked it, I also liked the BASS, it’s quite good, it’s not that bad, well, in general, the bass here is just super.  But there is one minus, it seems to me that it puts a lot of pressure on my ears, well, I think this is my personal problem because I have large ears.  But if you just rate this product as a whole, then it’s a solid 4. The sound is good and very light. And don’t listen to those reviews that the sound is like kick drums, etc., it’s all a hoax. And I also liked the fact that the warranty is 1 year. I’ve been using it for 1 month already.</v>
      </c>
    </row>
    <row r="7863" spans="1:9" x14ac:dyDescent="0.3">
      <c r="A7863" s="1" t="s">
        <v>2087</v>
      </c>
      <c r="B7863" s="1" t="s">
        <v>2088</v>
      </c>
      <c r="C7863" s="1" t="s">
        <v>1771</v>
      </c>
      <c r="D7863" s="1" t="s">
        <v>139</v>
      </c>
      <c r="E7863" s="1" t="s">
        <v>2565</v>
      </c>
      <c r="F7863" s="1" t="s">
        <v>12001</v>
      </c>
      <c r="G7863" s="1" t="s">
        <v>36</v>
      </c>
      <c r="H7863" s="1" t="s">
        <v>29</v>
      </c>
      <c r="I7863" s="1" t="str">
        <f ca="1">IFERROR(__xludf.DUMMYFUNCTION("GOOGLETRANSLATE(F7863, ""auto"", ""en"")
"),"Actually, as a PlayStation 3 user, I can say that it is a very bad blu-ray player, and you need to buy a remote control for it, the only thing is that it also has a hard drive.  This device is very good, my brother has the same one.  Plus practically the "&amp;"best CD source in its price range.")</f>
        <v>Actually, as a PlayStation 3 user, I can say that it is a very bad blu-ray player, and you need to buy a remote control for it, the only thing is that it also has a hard drive.  This device is very good, my brother has the same one.  Plus practically the best CD source in its price range.</v>
      </c>
    </row>
    <row r="7864" spans="1:9" x14ac:dyDescent="0.3">
      <c r="A7864" s="1" t="s">
        <v>61</v>
      </c>
      <c r="B7864" s="1" t="s">
        <v>224</v>
      </c>
      <c r="C7864" s="1" t="s">
        <v>85</v>
      </c>
      <c r="D7864" s="1" t="s">
        <v>308</v>
      </c>
      <c r="E7864" s="1" t="s">
        <v>3690</v>
      </c>
      <c r="F7864" s="1" t="s">
        <v>12002</v>
      </c>
      <c r="G7864" s="1" t="s">
        <v>36</v>
      </c>
      <c r="H7864" s="1" t="s">
        <v>29</v>
      </c>
      <c r="I7864" s="1" t="str">
        <f ca="1">IFERROR(__xludf.DUMMYFUNCTION("GOOGLETRANSLATE(F7864, ""auto"", ""en"")
"),"We bought this juicer 2 years ago. No complaints. High productivity, we squeeze out 70 liters of juice per gardening season. Spin dry, easy to use.")</f>
        <v>We bought this juicer 2 years ago. No complaints. High productivity, we squeeze out 70 liters of juice per gardening season. Spin dry, easy to use.</v>
      </c>
    </row>
    <row r="7865" spans="1:9" x14ac:dyDescent="0.3">
      <c r="A7865" s="1" t="s">
        <v>211</v>
      </c>
      <c r="B7865" s="1" t="s">
        <v>212</v>
      </c>
      <c r="C7865" s="1" t="s">
        <v>381</v>
      </c>
      <c r="D7865" s="1" t="s">
        <v>565</v>
      </c>
      <c r="E7865" s="1" t="s">
        <v>753</v>
      </c>
      <c r="F7865" s="1" t="s">
        <v>12003</v>
      </c>
      <c r="G7865" s="1" t="s">
        <v>36</v>
      </c>
      <c r="H7865" s="1" t="s">
        <v>29</v>
      </c>
      <c r="I7865" s="1" t="str">
        <f ca="1">IFERROR(__xludf.DUMMYFUNCTION("GOOGLETRANSLATE(F7865, ""auto"", ""en"")
"),"I've been using this hairdryer for 4 years! Very convenient! For regular drying I use the two mode, and for styling the three. Turbo and in 3-5 minutes the hairstyle is ready! The body, of course, is already completely destroyed, but the hair dryer works "&amp;"properly! I recommend him!")</f>
        <v>I've been using this hairdryer for 4 years! Very convenient! For regular drying I use the two mode, and for styling the three. Turbo and in 3-5 minutes the hairstyle is ready! The body, of course, is already completely destroyed, but the hair dryer works properly! I recommend him!</v>
      </c>
    </row>
    <row r="7866" spans="1:9" x14ac:dyDescent="0.3">
      <c r="A7866" s="1" t="s">
        <v>206</v>
      </c>
      <c r="B7866" s="1" t="s">
        <v>1253</v>
      </c>
      <c r="C7866" s="1" t="s">
        <v>1254</v>
      </c>
      <c r="D7866" s="1" t="s">
        <v>5680</v>
      </c>
      <c r="E7866" s="1" t="s">
        <v>3044</v>
      </c>
      <c r="F7866" s="1" t="s">
        <v>12004</v>
      </c>
      <c r="G7866" s="1" t="s">
        <v>36</v>
      </c>
      <c r="H7866" s="1" t="s">
        <v>29</v>
      </c>
      <c r="I7866" s="1" t="str">
        <f ca="1">IFERROR(__xludf.DUMMYFUNCTION("GOOGLETRANSLATE(F7866, ""auto"", ""en"")
"),"Good radio! Sufficiently long-range. The best price-quality ratio, range, and is available with a plastic case. One small drawback that can be ignored, but is necessary to know, is that voice transmission is blocked when charging. That is, you will hear -"&amp;" but you won’t.. To answer you need to pull it off the charger.")</f>
        <v>Good radio! Sufficiently long-range. The best price-quality ratio, range, and is available with a plastic case. One small drawback that can be ignored, but is necessary to know, is that voice transmission is blocked when charging. That is, you will hear - but you won’t.. To answer you need to pull it off the charger.</v>
      </c>
    </row>
    <row r="7867" spans="1:9" x14ac:dyDescent="0.3">
      <c r="A7867" s="1" t="s">
        <v>67</v>
      </c>
      <c r="B7867" s="1" t="s">
        <v>68</v>
      </c>
      <c r="C7867" s="1" t="s">
        <v>246</v>
      </c>
      <c r="D7867" s="1" t="s">
        <v>280</v>
      </c>
      <c r="E7867" s="1" t="s">
        <v>2634</v>
      </c>
      <c r="F7867" s="1" t="s">
        <v>12005</v>
      </c>
      <c r="G7867" s="1" t="s">
        <v>36</v>
      </c>
      <c r="H7867" s="1" t="s">
        <v>29</v>
      </c>
      <c r="I7867" s="1" t="str">
        <f ca="1">IFERROR(__xludf.DUMMYFUNCTION("GOOGLETRANSLATE(F7867, ""auto"", ""en"")
"),"My mother has been using it for almost 3 years. No complaints, irons perfectly. Things don't stick to it. And what leaves scale on things is because of the water, you need to fill it with either distilled or boiled water. The fact is that some water flows"&amp;" out through holes in the sole, so before you pour water into it, you need to warm it up by turning it on. In short, it's a good iron and the price is reasonable. I'm going to give the same to my beloved!")</f>
        <v>My mother has been using it for almost 3 years. No complaints, irons perfectly. Things don't stick to it. And what leaves scale on things is because of the water, you need to fill it with either distilled or boiled water. The fact is that some water flows out through holes in the sole, so before you pour water into it, you need to warm it up by turning it on. In short, it's a good iron and the price is reasonable. I'm going to give the same to my beloved!</v>
      </c>
    </row>
    <row r="7868" spans="1:9" x14ac:dyDescent="0.3">
      <c r="A7868" s="1" t="s">
        <v>120</v>
      </c>
      <c r="B7868" s="1" t="s">
        <v>126</v>
      </c>
      <c r="C7868" s="1" t="s">
        <v>151</v>
      </c>
      <c r="D7868" s="1" t="s">
        <v>12006</v>
      </c>
      <c r="E7868" s="1" t="s">
        <v>661</v>
      </c>
      <c r="F7868" s="1" t="s">
        <v>12007</v>
      </c>
      <c r="G7868" s="1" t="s">
        <v>36</v>
      </c>
      <c r="H7868" s="1" t="s">
        <v>29</v>
      </c>
      <c r="I7868" s="1" t="str">
        <f ca="1">IFERROR(__xludf.DUMMYFUNCTION("GOOGLETRANSLATE(F7868, ""auto"", ""en"")
"),"TV is great!!! I connected a satellite and a computer to it and it shows everything perfectly! Please tell me why red spots started appearing and the pixels are blinking red, but you can see it on a black background!???")</f>
        <v>TV is great!!! I connected a satellite and a computer to it and it shows everything perfectly! Please tell me why red spots started appearing and the pixels are blinking red, but you can see it on a black background!???</v>
      </c>
    </row>
    <row r="7869" spans="1:9" x14ac:dyDescent="0.3">
      <c r="A7869" s="1" t="s">
        <v>37</v>
      </c>
      <c r="B7869" s="1" t="s">
        <v>38</v>
      </c>
      <c r="C7869" s="1" t="s">
        <v>39</v>
      </c>
      <c r="D7869" s="1" t="s">
        <v>2697</v>
      </c>
      <c r="E7869" s="1" t="s">
        <v>449</v>
      </c>
      <c r="F7869" s="1" t="s">
        <v>12008</v>
      </c>
      <c r="G7869" s="1" t="s">
        <v>36</v>
      </c>
      <c r="H7869" s="1" t="s">
        <v>29</v>
      </c>
      <c r="I7869" s="1" t="str">
        <f ca="1">IFERROR(__xludf.DUMMYFUNCTION("GOOGLETRANSLATE(F7869, ""auto"", ""en"")
"),"I bought the phone two years ago for 10,500, I still use it to this day and am very pleased, indestructible, difficult to scratch or break.  Survived both water treatments in summer and -30 in winter.  Now I'll probably take the W995, since my W760i is al"&amp;"ready a bit old.  If someone wants to buy it, I advise you, the camera (taking into account that it does not have autofocus and flash) takes excellent pictures and the sound in the speakers cannot but please.  It’s also very nice to have high-speed 3G Int"&amp;"ernet, it’s easy to flash or reflash, you can install many useful applications.  And I almost forgot, navigation, with Yandex maps will help you find your way.  Sony Ericsson - BEST PHONES!")</f>
        <v>I bought the phone two years ago for 10,500, I still use it to this day and am very pleased, indestructible, difficult to scratch or break.  Survived both water treatments in summer and -30 in winter.  Now I'll probably take the W995, since my W760i is already a bit old.  If someone wants to buy it, I advise you, the camera (taking into account that it does not have autofocus and flash) takes excellent pictures and the sound in the speakers cannot but please.  It’s also very nice to have high-speed 3G Internet, it’s easy to flash or reflash, you can install many useful applications.  And I almost forgot, navigation, with Yandex maps will help you find your way.  Sony Ericsson - BEST PHONES!</v>
      </c>
    </row>
    <row r="7870" spans="1:9" x14ac:dyDescent="0.3">
      <c r="A7870" s="1" t="s">
        <v>61</v>
      </c>
      <c r="B7870" s="1" t="s">
        <v>145</v>
      </c>
      <c r="C7870" s="1" t="s">
        <v>57</v>
      </c>
      <c r="D7870" s="1" t="s">
        <v>12009</v>
      </c>
      <c r="E7870" s="1" t="s">
        <v>5461</v>
      </c>
      <c r="F7870" s="1" t="s">
        <v>12010</v>
      </c>
      <c r="G7870" s="1" t="s">
        <v>36</v>
      </c>
      <c r="H7870" s="1" t="s">
        <v>29</v>
      </c>
      <c r="I7870" s="1" t="str">
        <f ca="1">IFERROR(__xludf.DUMMYFUNCTION("GOOGLETRANSLATE(F7870, ""auto"", ""en"")
"),"The fryer is very good. Easy to operate, convenient. Easy to clean, no smell or fumes. We've been using it for about a month. The fries are not crispy, but very tasty. Cooking is very fast for all products. Buy one of the best models!")</f>
        <v>The fryer is very good. Easy to operate, convenient. Easy to clean, no smell or fumes. We've been using it for about a month. The fries are not crispy, but very tasty. Cooking is very fast for all products. Buy one of the best models!</v>
      </c>
    </row>
    <row r="7871" spans="1:9" x14ac:dyDescent="0.3">
      <c r="A7871" s="1" t="s">
        <v>624</v>
      </c>
      <c r="B7871" s="1" t="s">
        <v>2107</v>
      </c>
      <c r="C7871" s="1" t="s">
        <v>479</v>
      </c>
      <c r="D7871" s="1" t="s">
        <v>166</v>
      </c>
      <c r="E7871" s="1" t="s">
        <v>6791</v>
      </c>
      <c r="F7871" s="1" t="s">
        <v>12011</v>
      </c>
      <c r="G7871" s="1" t="s">
        <v>36</v>
      </c>
      <c r="H7871" s="1" t="s">
        <v>29</v>
      </c>
      <c r="I7871" s="1" t="str">
        <f ca="1">IFERROR(__xludf.DUMMYFUNCTION("GOOGLETRANSLATE(F7871, ""auto"", ""en"")
"),"A very useful thing. Different levels of workload and preparedness. I work out myself, and since there are options not only for fitness classes, but also for play activities, my 7-year-old daughter plays with pleasure. There is also boxing and Zen gymnast"&amp;"ics, which I recommend.")</f>
        <v>A very useful thing. Different levels of workload and preparedness. I work out myself, and since there are options not only for fitness classes, but also for play activities, my 7-year-old daughter plays with pleasure. There is also boxing and Zen gymnastics, which I recommend.</v>
      </c>
    </row>
    <row r="7872" spans="1:9" x14ac:dyDescent="0.3">
      <c r="A7872" s="1" t="s">
        <v>624</v>
      </c>
      <c r="B7872" s="1" t="s">
        <v>6461</v>
      </c>
      <c r="C7872" s="1" t="s">
        <v>479</v>
      </c>
      <c r="D7872" s="1" t="s">
        <v>2078</v>
      </c>
      <c r="E7872" s="1" t="s">
        <v>3114</v>
      </c>
      <c r="F7872" s="1" t="s">
        <v>12012</v>
      </c>
      <c r="G7872" s="1" t="s">
        <v>36</v>
      </c>
      <c r="H7872" s="1" t="s">
        <v>29</v>
      </c>
      <c r="I7872" s="1" t="str">
        <f ca="1">IFERROR(__xludf.DUMMYFUNCTION("GOOGLETRANSLATE(F7872, ""auto"", ""en"")
"),"The game is great, you can complete it in 1-2 days, of course the bad thing is that the third part of the game is only on PS3.")</f>
        <v>The game is great, you can complete it in 1-2 days, of course the bad thing is that the third part of the game is only on PS3.</v>
      </c>
    </row>
    <row r="7873" spans="1:9" x14ac:dyDescent="0.3">
      <c r="A7873" s="1" t="s">
        <v>30</v>
      </c>
      <c r="B7873" s="1" t="s">
        <v>50</v>
      </c>
      <c r="C7873" s="1" t="s">
        <v>1003</v>
      </c>
      <c r="D7873" s="1" t="s">
        <v>127</v>
      </c>
      <c r="E7873" s="1" t="s">
        <v>2518</v>
      </c>
      <c r="F7873" s="1" t="s">
        <v>12013</v>
      </c>
      <c r="G7873" s="1" t="s">
        <v>28</v>
      </c>
      <c r="H7873" s="1" t="s">
        <v>29</v>
      </c>
      <c r="I7873" s="1" t="str">
        <f ca="1">IFERROR(__xludf.DUMMYFUNCTION("GOOGLETRANSLATE(F7873, ""auto"", ""en"")
"),"About the ""grunt""! Still the HDD grunts. I wrote to HP support, they responded quickly, but it seems that the person sitting there is not particularly competent in these matters. The support said it was a problem with the cooling system, that's nonsense"&amp;"! In case of any problems, support sends it to the service center. Giving it there means losing at least the presentation of the laptop (they will scratch the lid as a thank you). I installed the HDDLife for Notebooks program and monitor the “pulse” of th"&amp;"e laptop HDD (fortunately, the laptop HDD supports S.M.A.R.T. technology). For 29 tr. I would have looked at another laptop, but I bought it at a discount.    I’ll tell you about one more disadvantage in the cooling system - when working in a dusty enviro"&amp;"nment, the cooler and radiator get clogged quite quickly, cleaning it yourself is problematic (you have to remove the entire bottom cover) + the warranty naturally falls off.")</f>
        <v>About the "grunt"! Still the HDD grunts. I wrote to HP support, they responded quickly, but it seems that the person sitting there is not particularly competent in these matters. The support said it was a problem with the cooling system, that's nonsense! In case of any problems, support sends it to the service center. Giving it there means losing at least the presentation of the laptop (they will scratch the lid as a thank you). I installed the HDDLife for Notebooks program and monitor the “pulse” of the laptop HDD (fortunately, the laptop HDD supports S.M.A.R.T. technology). For 29 tr. I would have looked at another laptop, but I bought it at a discount.    I’ll tell you about one more disadvantage in the cooling system - when working in a dusty environment, the cooler and radiator get clogged quite quickly, cleaning it yourself is problematic (you have to remove the entire bottom cover) + the warranty naturally falls off.</v>
      </c>
    </row>
    <row r="7874" spans="1:9" x14ac:dyDescent="0.3">
      <c r="A7874" s="1" t="s">
        <v>361</v>
      </c>
      <c r="B7874" s="1" t="s">
        <v>462</v>
      </c>
      <c r="C7874" s="1" t="s">
        <v>698</v>
      </c>
      <c r="D7874" s="1" t="s">
        <v>1840</v>
      </c>
      <c r="E7874" s="1" t="s">
        <v>5161</v>
      </c>
      <c r="F7874" s="1" t="s">
        <v>12014</v>
      </c>
      <c r="G7874" s="1" t="s">
        <v>36</v>
      </c>
      <c r="H7874" s="1" t="s">
        <v>29</v>
      </c>
      <c r="I7874" s="1" t="str">
        <f ca="1">IFERROR(__xludf.DUMMYFUNCTION("GOOGLETRANSLATE(F7874, ""auto"", ""en"")
"),"The filter is great, the water is clean.")</f>
        <v>The filter is great, the water is clean.</v>
      </c>
    </row>
    <row r="7875" spans="1:9" x14ac:dyDescent="0.3">
      <c r="A7875" s="1" t="s">
        <v>211</v>
      </c>
      <c r="B7875" s="1" t="s">
        <v>212</v>
      </c>
      <c r="C7875" s="1" t="s">
        <v>63</v>
      </c>
      <c r="D7875" s="1" t="s">
        <v>7165</v>
      </c>
      <c r="E7875" s="1" t="s">
        <v>1107</v>
      </c>
      <c r="F7875" s="1" t="s">
        <v>12015</v>
      </c>
      <c r="G7875" s="1" t="s">
        <v>36</v>
      </c>
      <c r="H7875" s="1" t="s">
        <v>29</v>
      </c>
      <c r="I7875" s="1" t="str">
        <f ca="1">IFERROR(__xludf.DUMMYFUNCTION("GOOGLETRANSLATE(F7875, ""auto"", ""en"")
"),"A convenient and high-quality styler that handles my unruly hair well and with enviable ease. The styling turns out great, no one believes that I was able to do this on my own at home)) It makes my hair look voluminous and I really like it, my hair is not"&amp;" naturally too thick.")</f>
        <v>A convenient and high-quality styler that handles my unruly hair well and with enviable ease. The styling turns out great, no one believes that I was able to do this on my own at home)) It makes my hair look voluminous and I really like it, my hair is not naturally too thick.</v>
      </c>
    </row>
    <row r="7876" spans="1:9" x14ac:dyDescent="0.3">
      <c r="A7876" s="1" t="s">
        <v>206</v>
      </c>
      <c r="B7876" s="1" t="s">
        <v>1349</v>
      </c>
      <c r="C7876" s="1" t="s">
        <v>262</v>
      </c>
      <c r="D7876" s="1" t="s">
        <v>305</v>
      </c>
      <c r="E7876" s="1" t="s">
        <v>357</v>
      </c>
      <c r="F7876" s="1" t="s">
        <v>12016</v>
      </c>
      <c r="G7876" s="1" t="s">
        <v>15</v>
      </c>
      <c r="H7876" s="1" t="s">
        <v>16</v>
      </c>
      <c r="I7876" s="1" t="str">
        <f ca="1">IFERROR(__xludf.DUMMYFUNCTION("GOOGLETRANSLATE(F7876, ""auto"", ""en"")
"),"I've been using this radio for six months.  Dissatisfied. I regretted the purchase already on the 3rd day. It doesn't work stably. It often hangs when reading from a flash drive, sometimes it hangs when scanning a flash drive, sometimes the touch screen f"&amp;"reezes, and in Bluetooth mode the display, for some reason, flickers.   The display itself is large, but inconvenient and stupid. It does not reflect the track duration, bitrate, etc. The sound quality is mediocre. The remote control is very inconvenient:"&amp;" all the buttons are the same and arranged in rows. I spent a minute looking for where the volume was adjusted.  But the video plays, in principle, quite well, there are no comments.  Conclusion: another Chinese soap dish. Maybe cinephiles will like it, b"&amp;"ut for audiophiles....no way...it’s not worth the money")</f>
        <v>I've been using this radio for six months.  Dissatisfied. I regretted the purchase already on the 3rd day. It doesn't work stably. It often hangs when reading from a flash drive, sometimes it hangs when scanning a flash drive, sometimes the touch screen freezes, and in Bluetooth mode the display, for some reason, flickers.   The display itself is large, but inconvenient and stupid. It does not reflect the track duration, bitrate, etc. The sound quality is mediocre. The remote control is very inconvenient: all the buttons are the same and arranged in rows. I spent a minute looking for where the volume was adjusted.  But the video plays, in principle, quite well, there are no comments.  Conclusion: another Chinese soap dish. Maybe cinephiles will like it, but for audiophiles....no way...it’s not worth the money</v>
      </c>
    </row>
    <row r="7877" spans="1:9" x14ac:dyDescent="0.3">
      <c r="A7877" s="1" t="s">
        <v>43</v>
      </c>
      <c r="B7877" s="1" t="s">
        <v>303</v>
      </c>
      <c r="C7877" s="1" t="s">
        <v>1721</v>
      </c>
      <c r="D7877" s="1" t="s">
        <v>10039</v>
      </c>
      <c r="E7877" s="1" t="s">
        <v>8951</v>
      </c>
      <c r="F7877" s="1" t="s">
        <v>12017</v>
      </c>
      <c r="G7877" s="1" t="s">
        <v>36</v>
      </c>
      <c r="H7877" s="1" t="s">
        <v>29</v>
      </c>
      <c r="I7877" s="1" t="str">
        <f ca="1">IFERROR(__xludf.DUMMYFUNCTION("GOOGLETRANSLATE(F7877, ""auto"", ""en"")
"),"Design, easy to use.")</f>
        <v>Design, easy to use.</v>
      </c>
    </row>
    <row r="7878" spans="1:9" x14ac:dyDescent="0.3">
      <c r="A7878" s="1" t="s">
        <v>61</v>
      </c>
      <c r="B7878" s="1" t="s">
        <v>73</v>
      </c>
      <c r="C7878" s="1" t="s">
        <v>101</v>
      </c>
      <c r="D7878" s="1" t="s">
        <v>5789</v>
      </c>
      <c r="E7878" s="1" t="s">
        <v>1576</v>
      </c>
      <c r="F7878" s="1" t="s">
        <v>12018</v>
      </c>
      <c r="G7878" s="1" t="s">
        <v>49</v>
      </c>
      <c r="H7878" s="1" t="s">
        <v>16</v>
      </c>
      <c r="I7878" s="1" t="str">
        <f ca="1">IFERROR(__xludf.DUMMYFUNCTION("GOOGLETRANSLATE(F7878, ""auto"", ""en"")
"),"Guys, don’t even think about taking this device! HORROR AND NIGHTMARE! He twists the minced meat disgustingly, making plasticine out of it. After dropping several pieces of meat into the holes, it begins to push out. Washing it is a completely different m"&amp;"atter. Everything sticks so much that even under hot water you have to stand at the sink for about 20 minutes to get it off safely.   If you want to experience the pleasure of making homemade cutlets, don’t save money and don’t buy this unit!    Happy sho"&amp;"pping!")</f>
        <v>Guys, don’t even think about taking this device! HORROR AND NIGHTMARE! He twists the minced meat disgustingly, making plasticine out of it. After dropping several pieces of meat into the holes, it begins to push out. Washing it is a completely different matter. Everything sticks so much that even under hot water you have to stand at the sink for about 20 minutes to get it off safely.   If you want to experience the pleasure of making homemade cutlets, don’t save money and don’t buy this unit!    Happy shopping!</v>
      </c>
    </row>
    <row r="7879" spans="1:9" x14ac:dyDescent="0.3">
      <c r="A7879" s="1" t="s">
        <v>105</v>
      </c>
      <c r="B7879" s="1" t="s">
        <v>106</v>
      </c>
      <c r="C7879" s="1" t="s">
        <v>107</v>
      </c>
      <c r="D7879" s="1" t="s">
        <v>565</v>
      </c>
      <c r="E7879" s="1" t="s">
        <v>626</v>
      </c>
      <c r="F7879" s="1" t="s">
        <v>12019</v>
      </c>
      <c r="G7879" s="1" t="s">
        <v>36</v>
      </c>
      <c r="H7879" s="1" t="s">
        <v>29</v>
      </c>
      <c r="I7879" s="1" t="str">
        <f ca="1">IFERROR(__xludf.DUMMYFUNCTION("GOOGLETRANSLATE(F7879, ""auto"", ""en"")
"),"The player is wonderful, as for the shaker, you can read everything in the instructions, lock it and enjoy the music!  You can create folders - that's really cool!")</f>
        <v>The player is wonderful, as for the shaker, you can read everything in the instructions, lock it and enjoy the music!  You can create folders - that's really cool!</v>
      </c>
    </row>
    <row r="7880" spans="1:9" x14ac:dyDescent="0.3">
      <c r="A7880" s="1" t="s">
        <v>9</v>
      </c>
      <c r="B7880" s="1" t="s">
        <v>137</v>
      </c>
      <c r="C7880" s="1" t="s">
        <v>151</v>
      </c>
      <c r="D7880" s="1" t="s">
        <v>114</v>
      </c>
      <c r="E7880" s="1" t="s">
        <v>7813</v>
      </c>
      <c r="F7880" s="1" t="s">
        <v>12020</v>
      </c>
      <c r="G7880" s="1" t="s">
        <v>28</v>
      </c>
      <c r="H7880" s="1" t="s">
        <v>29</v>
      </c>
      <c r="I7880" s="1" t="str">
        <f ca="1">IFERROR(__xludf.DUMMYFUNCTION("GOOGLETRANSLATE(F7880, ""auto"", ""en"")
"),"In general, there are no complaints; the handles do not melt unless you place large frying pans or pots on the front burners. Design 8 out of 10, build quality 8 out of 10, grate 7 out of 10 (I would like it to be thicker), cleaning the surface is not par"&amp;"ticularly difficult, 8 out of 10. Minus at the moment 1, when connected from a gas cylinder, flame adjustment is minimal, although the stove that was installed before (the USSR years) worked better in this regard. Conclusion: there is no reason to languis"&amp;"h about installing something, and in the normal process it is not possible to move away, but we got used to it) P.S. I don’t know how it works without a cylinder, this type of description is applicable in my case with a cylinder.")</f>
        <v>In general, there are no complaints; the handles do not melt unless you place large frying pans or pots on the front burners. Design 8 out of 10, build quality 8 out of 10, grate 7 out of 10 (I would like it to be thicker), cleaning the surface is not particularly difficult, 8 out of 10. Minus at the moment 1, when connected from a gas cylinder, flame adjustment is minimal, although the stove that was installed before (the USSR years) worked better in this regard. Conclusion: there is no reason to languish about installing something, and in the normal process it is not possible to move away, but we got used to it) P.S. I don’t know how it works without a cylinder, this type of description is applicable in my case with a cylinder.</v>
      </c>
    </row>
    <row r="7881" spans="1:9" x14ac:dyDescent="0.3">
      <c r="A7881" s="1" t="s">
        <v>37</v>
      </c>
      <c r="B7881" s="1" t="s">
        <v>38</v>
      </c>
      <c r="C7881" s="1" t="s">
        <v>163</v>
      </c>
      <c r="D7881" s="1" t="s">
        <v>1610</v>
      </c>
      <c r="E7881" s="1" t="s">
        <v>775</v>
      </c>
      <c r="F7881" s="1" t="s">
        <v>12021</v>
      </c>
      <c r="G7881" s="1" t="s">
        <v>36</v>
      </c>
      <c r="H7881" s="1" t="s">
        <v>29</v>
      </c>
      <c r="I7881" s="1" t="str">
        <f ca="1">IFERROR(__xludf.DUMMYFUNCTION("GOOGLETRANSLATE(F7881, ""auto"", ""en"")
"),"Yes, I bought this phone 2.5 years ago! I really liked the design, it doesn’t glitch, the sound is good! I like!!!!")</f>
        <v>Yes, I bought this phone 2.5 years ago! I really liked the design, it doesn’t glitch, the sound is good! I like!!!!</v>
      </c>
    </row>
    <row r="7882" spans="1:9" x14ac:dyDescent="0.3">
      <c r="A7882" s="1" t="s">
        <v>9</v>
      </c>
      <c r="B7882" s="1" t="s">
        <v>10</v>
      </c>
      <c r="C7882" s="1" t="s">
        <v>407</v>
      </c>
      <c r="D7882" s="1" t="s">
        <v>12022</v>
      </c>
      <c r="E7882" s="1" t="s">
        <v>5767</v>
      </c>
      <c r="F7882" s="1" t="s">
        <v>12023</v>
      </c>
      <c r="G7882" s="1" t="s">
        <v>36</v>
      </c>
      <c r="H7882" s="1" t="s">
        <v>29</v>
      </c>
      <c r="I7882" s="1" t="str">
        <f ca="1">IFERROR(__xludf.DUMMYFUNCTION("GOOGLETRANSLATE(F7882, ""auto"", ""en"")
"),"I was overall pleased with the hood. + Well made, carbon filter included. - There were no dowels or screws in the kit, a minute later the light bulb burned out, knocking out the plugs.")</f>
        <v>I was overall pleased with the hood. + Well made, carbon filter included. - There were no dowels or screws in the kit, a minute later the light bulb burned out, knocking out the plugs.</v>
      </c>
    </row>
    <row r="7883" spans="1:9" x14ac:dyDescent="0.3">
      <c r="A7883" s="1" t="s">
        <v>211</v>
      </c>
      <c r="B7883" s="1" t="s">
        <v>856</v>
      </c>
      <c r="C7883" s="1" t="s">
        <v>57</v>
      </c>
      <c r="D7883" s="1" t="s">
        <v>46</v>
      </c>
      <c r="E7883" s="1" t="s">
        <v>4969</v>
      </c>
      <c r="F7883" s="1" t="s">
        <v>12024</v>
      </c>
      <c r="G7883" s="1" t="s">
        <v>28</v>
      </c>
      <c r="H7883" s="1" t="s">
        <v>29</v>
      </c>
      <c r="I7883" s="1" t="str">
        <f ca="1">IFERROR(__xludf.DUMMYFUNCTION("GOOGLETRANSLATE(F7883, ""auto"", ""en"")
"),"The massager is excellent, I was pleased with it that evening. It is wonderfully relaxing, massages perfectly those places when you spend a lot of time in a sitting position, office syndrome. The massage is magical, it really buzzes, but you quickly get u"&amp;"sed to it. I really liked it!!")</f>
        <v>The massager is excellent, I was pleased with it that evening. It is wonderfully relaxing, massages perfectly those places when you spend a lot of time in a sitting position, office syndrome. The massage is magical, it really buzzes, but you quickly get used to it. I really liked it!!</v>
      </c>
    </row>
    <row r="7884" spans="1:9" x14ac:dyDescent="0.3">
      <c r="A7884" s="1" t="s">
        <v>105</v>
      </c>
      <c r="B7884" s="1" t="s">
        <v>106</v>
      </c>
      <c r="C7884" s="1" t="s">
        <v>1526</v>
      </c>
      <c r="D7884" s="1" t="s">
        <v>12025</v>
      </c>
      <c r="E7884" s="1" t="s">
        <v>7219</v>
      </c>
      <c r="F7884" s="1" t="s">
        <v>12026</v>
      </c>
      <c r="G7884" s="1" t="s">
        <v>36</v>
      </c>
      <c r="H7884" s="1" t="s">
        <v>29</v>
      </c>
      <c r="I7884" s="1" t="str">
        <f ca="1">IFERROR(__xludf.DUMMYFUNCTION("GOOGLETRANSLATE(F7884, ""auto"", ""en"")
"),"So, a good player for a reasonable price.")</f>
        <v>So, a good player for a reasonable price.</v>
      </c>
    </row>
    <row r="7885" spans="1:9" x14ac:dyDescent="0.3">
      <c r="A7885" s="1" t="s">
        <v>37</v>
      </c>
      <c r="B7885" s="1" t="s">
        <v>355</v>
      </c>
      <c r="C7885" s="1" t="s">
        <v>356</v>
      </c>
      <c r="D7885" s="1" t="s">
        <v>12027</v>
      </c>
      <c r="E7885" s="1" t="s">
        <v>2680</v>
      </c>
      <c r="F7885" s="1" t="s">
        <v>12028</v>
      </c>
      <c r="G7885" s="1" t="s">
        <v>36</v>
      </c>
      <c r="H7885" s="1" t="s">
        <v>29</v>
      </c>
      <c r="I7885" s="1" t="str">
        <f ca="1">IFERROR(__xludf.DUMMYFUNCTION("GOOGLETRANSLATE(F7885, ""auto"", ""en"")
"),"Don’t believe the bad reviews. I bought an iPhone for the occasion. Before that, I used communicators. Now I have an iPhone at home, an iPad, and by the fall I’ll buy a Mac Book. The iPhone is by far the best multimedia phone in the world. I won’t buy any"&amp;" other handset again. I’m very sorry for the money I spent before on various flagships.")</f>
        <v>Don’t believe the bad reviews. I bought an iPhone for the occasion. Before that, I used communicators. Now I have an iPhone at home, an iPad, and by the fall I’ll buy a Mac Book. The iPhone is by far the best multimedia phone in the world. I won’t buy any other handset again. I’m very sorry for the money I spent before on various flagships.</v>
      </c>
    </row>
    <row r="7886" spans="1:9" x14ac:dyDescent="0.3">
      <c r="A7886" s="1" t="s">
        <v>61</v>
      </c>
      <c r="B7886" s="1" t="s">
        <v>180</v>
      </c>
      <c r="C7886" s="1" t="s">
        <v>101</v>
      </c>
      <c r="D7886" s="1" t="s">
        <v>33</v>
      </c>
      <c r="E7886" s="1" t="s">
        <v>1686</v>
      </c>
      <c r="F7886" s="1" t="s">
        <v>12029</v>
      </c>
      <c r="G7886" s="1" t="s">
        <v>49</v>
      </c>
      <c r="H7886" s="1" t="s">
        <v>16</v>
      </c>
      <c r="I7886" s="1" t="str">
        <f ca="1">IFERROR(__xludf.DUMMYFUNCTION("GOOGLETRANSLATE(F7886, ""auto"", ""en"")
"),"After 2 weeks of use, the plastic near the heating elements melted, and as a result of deformation, the toaster does not close. Of course, the thing is very cheap, but considering the quality, it is extremely high. This is terrible. Buy a more expensive m"&amp;"odel, but not this.")</f>
        <v>After 2 weeks of use, the plastic near the heating elements melted, and as a result of deformation, the toaster does not close. Of course, the thing is very cheap, but considering the quality, it is extremely high. This is terrible. Buy a more expensive model, but not this.</v>
      </c>
    </row>
    <row r="7887" spans="1:9" x14ac:dyDescent="0.3">
      <c r="A7887" s="1" t="s">
        <v>17</v>
      </c>
      <c r="B7887" s="1" t="s">
        <v>18</v>
      </c>
      <c r="C7887" s="1" t="s">
        <v>885</v>
      </c>
      <c r="D7887" s="1" t="s">
        <v>52</v>
      </c>
      <c r="E7887" s="1" t="s">
        <v>661</v>
      </c>
      <c r="F7887" s="1" t="s">
        <v>12030</v>
      </c>
      <c r="G7887" s="1" t="s">
        <v>36</v>
      </c>
      <c r="H7887" s="1" t="s">
        <v>29</v>
      </c>
      <c r="I7887" s="1" t="str">
        <f ca="1">IFERROR(__xludf.DUMMYFUNCTION("GOOGLETRANSLATE(F7887, ""auto"", ""en"")
"),"Quite a normal machine! =)) Doesn't jump around the bathroom. Compact and easy to use, I recently bought and installed it. No complaints so far! Let's see what's next... Best regards, Sergey")</f>
        <v>Quite a normal machine! =)) Doesn't jump around the bathroom. Compact and easy to use, I recently bought and installed it. No complaints so far! Let's see what's next... Best regards, Sergey</v>
      </c>
    </row>
    <row r="7888" spans="1:9" x14ac:dyDescent="0.3">
      <c r="A7888" s="1" t="s">
        <v>206</v>
      </c>
      <c r="B7888" s="1" t="s">
        <v>1253</v>
      </c>
      <c r="C7888" s="1" t="s">
        <v>816</v>
      </c>
      <c r="D7888" s="1" t="s">
        <v>12031</v>
      </c>
      <c r="E7888" s="1" t="s">
        <v>269</v>
      </c>
      <c r="F7888" s="1" t="s">
        <v>12032</v>
      </c>
      <c r="G7888" s="1" t="s">
        <v>49</v>
      </c>
      <c r="H7888" s="1" t="s">
        <v>16</v>
      </c>
      <c r="I7888" s="1" t="str">
        <f ca="1">IFERROR(__xludf.DUMMYFUNCTION("GOOGLETRANSLATE(F7888, ""auto"", ""en"")
"),"I bought it 2 years ago, it broke (they showed up at the reception and didn’t move it, they said something burned out in the workshop) + the batteries sank. the worst walkie-talkie of all possible trinkets, you need to take a Vertex Standart like the coll"&amp;"ectors wake up to talk to at least someone...")</f>
        <v>I bought it 2 years ago, it broke (they showed up at the reception and didn’t move it, they said something burned out in the workshop) + the batteries sank. the worst walkie-talkie of all possible trinkets, you need to take a Vertex Standart like the collectors wake up to talk to at least someone...</v>
      </c>
    </row>
    <row r="7889" spans="1:9" x14ac:dyDescent="0.3">
      <c r="A7889" s="1" t="s">
        <v>9</v>
      </c>
      <c r="B7889" s="1" t="s">
        <v>23</v>
      </c>
      <c r="C7889" s="1" t="s">
        <v>134</v>
      </c>
      <c r="D7889" s="1" t="s">
        <v>442</v>
      </c>
      <c r="E7889" s="1" t="s">
        <v>323</v>
      </c>
      <c r="F7889" s="1" t="s">
        <v>12033</v>
      </c>
      <c r="G7889" s="1" t="s">
        <v>36</v>
      </c>
      <c r="H7889" s="1" t="s">
        <v>29</v>
      </c>
      <c r="I7889" s="1" t="str">
        <f ca="1">IFERROR(__xludf.DUMMYFUNCTION("GOOGLETRANSLATE(F7889, ""auto"", ""en"")
"),"quiet, has all the necessary compartments for all types of dishes, spacious (despite the width of only 45 cm), perfectly washes all pots and the dirtiest pans ")</f>
        <v xml:space="preserve">quiet, has all the necessary compartments for all types of dishes, spacious (despite the width of only 45 cm), perfectly washes all pots and the dirtiest pans </v>
      </c>
    </row>
    <row r="7890" spans="1:9" x14ac:dyDescent="0.3">
      <c r="A7890" s="1" t="s">
        <v>61</v>
      </c>
      <c r="B7890" s="1" t="s">
        <v>5714</v>
      </c>
      <c r="C7890" s="1" t="s">
        <v>146</v>
      </c>
      <c r="D7890" s="1" t="s">
        <v>5897</v>
      </c>
      <c r="E7890" s="1" t="s">
        <v>3587</v>
      </c>
      <c r="F7890" s="1" t="s">
        <v>12034</v>
      </c>
      <c r="G7890" s="1" t="s">
        <v>36</v>
      </c>
      <c r="H7890" s="1" t="s">
        <v>29</v>
      </c>
      <c r="I7890" s="1" t="str">
        <f ca="1">IFERROR(__xludf.DUMMYFUNCTION("GOOGLETRANSLATE(F7890, ""auto"", ""en"")
"),"One of my favorite and most requested attachments today. It is convenient because you can grind small amounts of products. I use it several times a day, wipe food for a small child, and prepare a variety of curds. All 4 glass jars are constantly in use.")</f>
        <v>One of my favorite and most requested attachments today. It is convenient because you can grind small amounts of products. I use it several times a day, wipe food for a small child, and prepare a variety of curds. All 4 glass jars are constantly in use.</v>
      </c>
    </row>
    <row r="7891" spans="1:9" x14ac:dyDescent="0.3">
      <c r="A7891" s="1" t="s">
        <v>211</v>
      </c>
      <c r="B7891" s="1" t="s">
        <v>856</v>
      </c>
      <c r="C7891" s="1" t="s">
        <v>57</v>
      </c>
      <c r="D7891" s="1" t="s">
        <v>326</v>
      </c>
      <c r="E7891" s="1" t="s">
        <v>717</v>
      </c>
      <c r="F7891" s="1" t="s">
        <v>12035</v>
      </c>
      <c r="G7891" s="1" t="s">
        <v>28</v>
      </c>
      <c r="H7891" s="1" t="s">
        <v>29</v>
      </c>
      <c r="I7891" s="1" t="str">
        <f ca="1">IFERROR(__xludf.DUMMYFUNCTION("GOOGLETRANSLATE(F7891, ""auto"", ""en"")
"),"Everything is fine, it just lacks power. It is no longer possible to do a manicure for men; the nails are very hard.")</f>
        <v>Everything is fine, it just lacks power. It is no longer possible to do a manicure for men; the nails are very hard.</v>
      </c>
    </row>
    <row r="7892" spans="1:9" x14ac:dyDescent="0.3">
      <c r="A7892" s="1" t="s">
        <v>17</v>
      </c>
      <c r="B7892" s="1" t="s">
        <v>18</v>
      </c>
      <c r="C7892" s="1" t="s">
        <v>151</v>
      </c>
      <c r="D7892" s="1" t="s">
        <v>139</v>
      </c>
      <c r="E7892" s="1" t="s">
        <v>5241</v>
      </c>
      <c r="F7892" s="1" t="s">
        <v>12036</v>
      </c>
      <c r="G7892" s="1" t="s">
        <v>36</v>
      </c>
      <c r="H7892" s="1" t="s">
        <v>29</v>
      </c>
      <c r="I7892" s="1" t="str">
        <f ca="1">IFERROR(__xludf.DUMMYFUNCTION("GOOGLETRANSLATE(F7892, ""auto"", ""en"")
"),"Bought before the new year. Washed several times, everything is fine, only a little noisy during the spin cycle. Due to the small amount of water, I didn’t notice this drawback. I washed my work winter jacket, it washed fine.")</f>
        <v>Bought before the new year. Washed several times, everything is fine, only a little noisy during the spin cycle. Due to the small amount of water, I didn’t notice this drawback. I washed my work winter jacket, it washed fine.</v>
      </c>
    </row>
    <row r="7893" spans="1:9" x14ac:dyDescent="0.3">
      <c r="A7893" s="1" t="s">
        <v>17</v>
      </c>
      <c r="B7893" s="1" t="s">
        <v>18</v>
      </c>
      <c r="C7893" s="1" t="s">
        <v>80</v>
      </c>
      <c r="D7893" s="1" t="s">
        <v>1055</v>
      </c>
      <c r="E7893" s="1" t="s">
        <v>6593</v>
      </c>
      <c r="F7893" s="1" t="s">
        <v>12037</v>
      </c>
      <c r="G7893" s="1" t="s">
        <v>36</v>
      </c>
      <c r="H7893" s="1" t="s">
        <v>29</v>
      </c>
      <c r="I7893" s="1" t="str">
        <f ca="1">IFERROR(__xludf.DUMMYFUNCTION("GOOGLETRANSLATE(F7893, ""auto"", ""en"")
"),"Has all the necessary functions, washes well, runs quietly, beautiful appearance.")</f>
        <v>Has all the necessary functions, washes well, runs quietly, beautiful appearance.</v>
      </c>
    </row>
    <row r="7894" spans="1:9" x14ac:dyDescent="0.3">
      <c r="A7894" s="1" t="s">
        <v>1443</v>
      </c>
      <c r="B7894" s="1" t="s">
        <v>1444</v>
      </c>
      <c r="C7894" s="1" t="s">
        <v>1489</v>
      </c>
      <c r="D7894" s="1" t="s">
        <v>474</v>
      </c>
      <c r="E7894" s="1" t="s">
        <v>8951</v>
      </c>
      <c r="F7894" s="1" t="s">
        <v>12038</v>
      </c>
      <c r="G7894" s="1" t="s">
        <v>28</v>
      </c>
      <c r="H7894" s="1" t="s">
        <v>29</v>
      </c>
      <c r="I7894" s="1" t="str">
        <f ca="1">IFERROR(__xludf.DUMMYFUNCTION("GOOGLETRANSLATE(F7894, ""auto"", ""en"")
"),"Convenient thing)))")</f>
        <v>Convenient thing)))</v>
      </c>
    </row>
    <row r="7895" spans="1:9" x14ac:dyDescent="0.3">
      <c r="A7895" s="1" t="s">
        <v>211</v>
      </c>
      <c r="B7895" s="1" t="s">
        <v>2818</v>
      </c>
      <c r="C7895" s="1" t="s">
        <v>213</v>
      </c>
      <c r="D7895" s="1" t="s">
        <v>172</v>
      </c>
      <c r="E7895" s="1" t="s">
        <v>4681</v>
      </c>
      <c r="F7895" s="1" t="s">
        <v>12039</v>
      </c>
      <c r="G7895" s="1" t="s">
        <v>36</v>
      </c>
      <c r="H7895" s="1" t="s">
        <v>29</v>
      </c>
      <c r="I7895" s="1" t="str">
        <f ca="1">IFERROR(__xludf.DUMMYFUNCTION("GOOGLETRANSLATE(F7895, ""auto"", ""en"")
"),"Excellent cutting block and mesh.")</f>
        <v>Excellent cutting block and mesh.</v>
      </c>
    </row>
    <row r="7896" spans="1:9" x14ac:dyDescent="0.3">
      <c r="A7896" s="1" t="s">
        <v>557</v>
      </c>
      <c r="B7896" s="1" t="s">
        <v>558</v>
      </c>
      <c r="C7896" s="1" t="s">
        <v>122</v>
      </c>
      <c r="D7896" s="1" t="s">
        <v>33</v>
      </c>
      <c r="E7896" s="1" t="s">
        <v>11999</v>
      </c>
      <c r="F7896" s="1" t="s">
        <v>12040</v>
      </c>
      <c r="G7896" s="1" t="s">
        <v>36</v>
      </c>
      <c r="H7896" s="1" t="s">
        <v>29</v>
      </c>
      <c r="I7896" s="1" t="str">
        <f ca="1">IFERROR(__xludf.DUMMYFUNCTION("GOOGLETRANSLATE(F7896, ""auto"", ""en"")
"),"The phone is completely worth the money!!! both in terms of functionality and quality!!! and there is nothing to demand from it that is not possible!!!!!!! Good sound, polyphony and nothing more!!!! I am satisfied 5+++++")</f>
        <v>The phone is completely worth the money!!! both in terms of functionality and quality!!! and there is nothing to demand from it that is not possible!!!!!!! Good sound, polyphony and nothing more!!!! I am satisfied 5+++++</v>
      </c>
    </row>
    <row r="7897" spans="1:9" x14ac:dyDescent="0.3">
      <c r="A7897" s="1" t="s">
        <v>624</v>
      </c>
      <c r="B7897" s="1" t="s">
        <v>2107</v>
      </c>
      <c r="C7897" s="1" t="s">
        <v>479</v>
      </c>
      <c r="D7897" s="1" t="s">
        <v>4835</v>
      </c>
      <c r="E7897" s="1" t="s">
        <v>6875</v>
      </c>
      <c r="F7897" s="1" t="s">
        <v>12041</v>
      </c>
      <c r="G7897" s="1" t="s">
        <v>36</v>
      </c>
      <c r="H7897" s="1" t="s">
        <v>29</v>
      </c>
      <c r="I7897" s="1" t="str">
        <f ca="1">IFERROR(__xludf.DUMMYFUNCTION("GOOGLETRANSLATE(F7897, ""auto"", ""en"")
"),"For those who love to skateboard, take it right away. You won't regret it. I have never seen anything like this before, the detail of the tricks is simply amazing. The whole city is dedicated to skaters.")</f>
        <v>For those who love to skateboard, take it right away. You won't regret it. I have never seen anything like this before, the detail of the tricks is simply amazing. The whole city is dedicated to skaters.</v>
      </c>
    </row>
    <row r="7898" spans="1:9" x14ac:dyDescent="0.3">
      <c r="A7898" s="1" t="s">
        <v>111</v>
      </c>
      <c r="B7898" s="1" t="s">
        <v>636</v>
      </c>
      <c r="C7898" s="1" t="s">
        <v>637</v>
      </c>
      <c r="D7898" s="1" t="s">
        <v>12042</v>
      </c>
      <c r="E7898" s="1" t="s">
        <v>2006</v>
      </c>
      <c r="F7898" s="1" t="s">
        <v>12043</v>
      </c>
      <c r="G7898" s="1" t="s">
        <v>36</v>
      </c>
      <c r="H7898" s="1" t="s">
        <v>29</v>
      </c>
      <c r="I7898" s="1" t="str">
        <f ca="1">IFERROR(__xludf.DUMMYFUNCTION("GOOGLETRANSLATE(F7898, ""auto"", ""en"")
"),"The Oregon Sciencific BAR206 weather station was given to me for my birthday 2 years ago. It works great. It’s even surprising, but the 24-hour weather forecast coincides no worse than the Hydrometeorological Center. The only thing is that my colleagues a"&amp;"nd I are waiting for it to show frost. Since we are metrologists, we regularly have debates about under what conditions the “Ice alert” LED lights up. So, let’s wait, sir!")</f>
        <v>The Oregon Sciencific BAR206 weather station was given to me for my birthday 2 years ago. It works great. It’s even surprising, but the 24-hour weather forecast coincides no worse than the Hydrometeorological Center. The only thing is that my colleagues and I are waiting for it to show frost. Since we are metrologists, we regularly have debates about under what conditions the “Ice alert” LED lights up. So, let’s wait, sir!</v>
      </c>
    </row>
    <row r="7899" spans="1:9" x14ac:dyDescent="0.3">
      <c r="A7899" s="1" t="s">
        <v>105</v>
      </c>
      <c r="B7899" s="1" t="s">
        <v>106</v>
      </c>
      <c r="C7899" s="1" t="s">
        <v>1209</v>
      </c>
      <c r="D7899" s="1" t="s">
        <v>940</v>
      </c>
      <c r="E7899" s="1" t="s">
        <v>3652</v>
      </c>
      <c r="F7899" s="1" t="s">
        <v>12044</v>
      </c>
      <c r="G7899" s="1" t="s">
        <v>28</v>
      </c>
      <c r="H7899" s="1" t="s">
        <v>29</v>
      </c>
      <c r="I7899" s="1" t="str">
        <f ca="1">IFERROR(__xludf.DUMMYFUNCTION("GOOGLETRANSLATE(F7899, ""auto"", ""en"")
"),"I bought the player at the end of October 2008. I've been using it for almost a year. Troubles available today: 1) After about 4 months, the standard memory burned out. Now I'm using memory from another player.  2) The battery capacity is reduced from mor"&amp;"e than 5 hours for the new one to 4.5 hours now in video mode.  3) The volume reduction button (the leftmost one) has recently been working every now and then.  4) In radio mode with a fully charged battery, it turns off after 40 minutes. After this, you "&amp;"need to charge the battery. In other modes it works fine.  5) Several large specks somehow got under the glass, although in general they do not interfere much.  These are all the shortcomings after almost a year of work. The rest of the impressions are po"&amp;"sitive. I think the device is very worthy for the money. The only thing I would like is to increase the battery capacity.")</f>
        <v>I bought the player at the end of October 2008. I've been using it for almost a year. Troubles available today: 1) After about 4 months, the standard memory burned out. Now I'm using memory from another player.  2) The battery capacity is reduced from more than 5 hours for the new one to 4.5 hours now in video mode.  3) The volume reduction button (the leftmost one) has recently been working every now and then.  4) In radio mode with a fully charged battery, it turns off after 40 minutes. After this, you need to charge the battery. In other modes it works fine.  5) Several large specks somehow got under the glass, although in general they do not interfere much.  These are all the shortcomings after almost a year of work. The rest of the impressions are positive. I think the device is very worthy for the money. The only thing I would like is to increase the battery capacity.</v>
      </c>
    </row>
    <row r="7900" spans="1:9" x14ac:dyDescent="0.3">
      <c r="A7900" s="1" t="s">
        <v>149</v>
      </c>
      <c r="B7900" s="1" t="s">
        <v>155</v>
      </c>
      <c r="C7900" s="1" t="s">
        <v>1187</v>
      </c>
      <c r="D7900" s="1" t="s">
        <v>81</v>
      </c>
      <c r="E7900" s="1" t="s">
        <v>3333</v>
      </c>
      <c r="F7900" s="1" t="s">
        <v>12045</v>
      </c>
      <c r="G7900" s="1" t="s">
        <v>28</v>
      </c>
      <c r="H7900" s="1" t="s">
        <v>29</v>
      </c>
      <c r="I7900" s="1" t="str">
        <f ca="1">IFERROR(__xludf.DUMMYFUNCTION("GOOGLETRANSLATE(F7900, ""auto"", ""en"")
"),"My wife and I bought this vacuum cleaner. We tried vacuuming after the old one (Samsung 1300W), it’s clear that things are not comparable, but visually so much dust accumulated in the dust collector was terrible! First impressions are positive, I just did"&amp;"n’t like that there was some play in the connection between the handle and the rod, although the store assured that it was all reliable. Let's wait and see. I was impressed by the fact that this vacuum cleaner has no consumables!")</f>
        <v>My wife and I bought this vacuum cleaner. We tried vacuuming after the old one (Samsung 1300W), it’s clear that things are not comparable, but visually so much dust accumulated in the dust collector was terrible! First impressions are positive, I just didn’t like that there was some play in the connection between the handle and the rod, although the store assured that it was all reliable. Let's wait and see. I was impressed by the fact that this vacuum cleaner has no consumables!</v>
      </c>
    </row>
    <row r="7901" spans="1:9" x14ac:dyDescent="0.3">
      <c r="A7901" s="1" t="s">
        <v>61</v>
      </c>
      <c r="B7901" s="1" t="s">
        <v>977</v>
      </c>
      <c r="C7901" s="1" t="s">
        <v>213</v>
      </c>
      <c r="D7901" s="1" t="s">
        <v>471</v>
      </c>
      <c r="E7901" s="1" t="s">
        <v>2622</v>
      </c>
      <c r="F7901" s="1" t="s">
        <v>12046</v>
      </c>
      <c r="G7901" s="1" t="s">
        <v>36</v>
      </c>
      <c r="H7901" s="1" t="s">
        <v>29</v>
      </c>
      <c r="I7901" s="1" t="str">
        <f ca="1">IFERROR(__xludf.DUMMYFUNCTION("GOOGLETRANSLATE(F7901, ""auto"", ""en"")
"),"Many thanks to the BROWN company for such a simple solution in preparing salads, sauces, desserts and, of course, excellent containers for storing herbs and marinating meat and fish! Very satisfied, I wholeheartedly recommend it - especially to families w"&amp;"ith small children, any puree in a second!")</f>
        <v>Many thanks to the BROWN company for such a simple solution in preparing salads, sauces, desserts and, of course, excellent containers for storing herbs and marinating meat and fish! Very satisfied, I wholeheartedly recommend it - especially to families with small children, any puree in a second!</v>
      </c>
    </row>
    <row r="7902" spans="1:9" x14ac:dyDescent="0.3">
      <c r="A7902" s="1" t="s">
        <v>61</v>
      </c>
      <c r="B7902" s="1" t="s">
        <v>318</v>
      </c>
      <c r="C7902" s="1" t="s">
        <v>2840</v>
      </c>
      <c r="D7902" s="1" t="s">
        <v>152</v>
      </c>
      <c r="E7902" s="1" t="s">
        <v>3800</v>
      </c>
      <c r="F7902" s="1" t="s">
        <v>12047</v>
      </c>
      <c r="G7902" s="1" t="s">
        <v>15</v>
      </c>
      <c r="H7902" s="1" t="s">
        <v>16</v>
      </c>
      <c r="I7902" s="1" t="str">
        <f ca="1">IFERROR(__xludf.DUMMYFUNCTION("GOOGLETRANSLATE(F7902, ""auto"", ""en"")
"),"The kettle is good for everyone, except for one thing - it pours water after each tilt... I’m very upset that I will have to do unnecessary work after each pour... let my wife be happy with the design, but I’m tired of looking for a normal product with a "&amp;"volume of around 1 liter - I’ll buy a Turk.")</f>
        <v>The kettle is good for everyone, except for one thing - it pours water after each tilt... I’m very upset that I will have to do unnecessary work after each pour... let my wife be happy with the design, but I’m tired of looking for a normal product with a volume of around 1 liter - I’ll buy a Turk.</v>
      </c>
    </row>
    <row r="7903" spans="1:9" x14ac:dyDescent="0.3">
      <c r="A7903" s="1" t="s">
        <v>9</v>
      </c>
      <c r="B7903" s="1" t="s">
        <v>10</v>
      </c>
      <c r="C7903" s="1" t="s">
        <v>407</v>
      </c>
      <c r="D7903" s="1" t="s">
        <v>599</v>
      </c>
      <c r="E7903" s="1" t="s">
        <v>2173</v>
      </c>
      <c r="F7903" s="1" t="s">
        <v>12048</v>
      </c>
      <c r="G7903" s="1" t="s">
        <v>36</v>
      </c>
      <c r="H7903" s="1" t="s">
        <v>29</v>
      </c>
      <c r="I7903" s="1" t="str">
        <f ca="1">IFERROR(__xludf.DUMMYFUNCTION("GOOGLETRANSLATE(F7903, ""auto"", ""en"")
"),"Quiet and powerful Korean hood. When I say powerful, I’m not kidding, in turbo mode, a typhoon is starting in my kitchen! But you need to open the window so that the hood releases fresh air, and not the stench from the sewer hole or somewhere else :)))) W"&amp;"hen cooking, we usually use the first two speeds, and there are four in total. The lamps can be adjusted according to the angle of inclination, which is very convenient when cooking. The hood is beautiful and looks really cool in the kitchen, especially i"&amp;"f the kitchen is new and modern. In my opinion, it is assembled perfectly, and it works conscientiously.")</f>
        <v>Quiet and powerful Korean hood. When I say powerful, I’m not kidding, in turbo mode, a typhoon is starting in my kitchen! But you need to open the window so that the hood releases fresh air, and not the stench from the sewer hole or somewhere else :)))) When cooking, we usually use the first two speeds, and there are four in total. The lamps can be adjusted according to the angle of inclination, which is very convenient when cooking. The hood is beautiful and looks really cool in the kitchen, especially if the kitchen is new and modern. In my opinion, it is assembled perfectly, and it works conscientiously.</v>
      </c>
    </row>
    <row r="7904" spans="1:9" x14ac:dyDescent="0.3">
      <c r="A7904" s="1" t="s">
        <v>61</v>
      </c>
      <c r="B7904" s="1" t="s">
        <v>180</v>
      </c>
      <c r="C7904" s="1" t="s">
        <v>85</v>
      </c>
      <c r="D7904" s="1" t="s">
        <v>52</v>
      </c>
      <c r="E7904" s="1" t="s">
        <v>5767</v>
      </c>
      <c r="F7904" s="1" t="s">
        <v>12049</v>
      </c>
      <c r="G7904" s="1" t="s">
        <v>36</v>
      </c>
      <c r="H7904" s="1" t="s">
        <v>29</v>
      </c>
      <c r="I7904" s="1" t="str">
        <f ca="1">IFERROR(__xludf.DUMMYFUNCTION("GOOGLETRANSLATE(F7904, ""auto"", ""en"")
"),"I got a toaster for my birthday. I was immediately captivated by its appearance - it looks very stylish. I was pleased with the different functions. It roasts evenly, the body does not heat up, there are no foreign odors! A little noisy, but you get used "&amp;"to it))) The whole family is happy with the gift!")</f>
        <v>I got a toaster for my birthday. I was immediately captivated by its appearance - it looks very stylish. I was pleased with the different functions. It roasts evenly, the body does not heat up, there are no foreign odors! A little noisy, but you get used to it))) The whole family is happy with the gift!</v>
      </c>
    </row>
    <row r="7905" spans="1:9" x14ac:dyDescent="0.3">
      <c r="A7905" s="1" t="s">
        <v>211</v>
      </c>
      <c r="B7905" s="1" t="s">
        <v>410</v>
      </c>
      <c r="C7905" s="1" t="s">
        <v>213</v>
      </c>
      <c r="D7905" s="1" t="s">
        <v>471</v>
      </c>
      <c r="E7905" s="1" t="s">
        <v>3809</v>
      </c>
      <c r="F7905" s="1" t="s">
        <v>12050</v>
      </c>
      <c r="G7905" s="1" t="s">
        <v>36</v>
      </c>
      <c r="H7905" s="1" t="s">
        <v>29</v>
      </c>
      <c r="I7905" s="1" t="str">
        <f ca="1">IFERROR(__xludf.DUMMYFUNCTION("GOOGLETRANSLATE(F7905, ""auto"", ""en"")
"),"I bought a Braun Series 7 790cc electric razor for my brother as a birthday present. I chose it based on price and technical characteristics, I also liked the stylish design of the razor. A huge advantage of the razor is the cleaning device that comes wit"&amp;"h it.  Brother is happy with the smoothness of the shave)")</f>
        <v>I bought a Braun Series 7 790cc electric razor for my brother as a birthday present. I chose it based on price and technical characteristics, I also liked the stylish design of the razor. A huge advantage of the razor is the cleaning device that comes with it.  Brother is happy with the smoothness of the shave)</v>
      </c>
    </row>
    <row r="7906" spans="1:9" x14ac:dyDescent="0.3">
      <c r="A7906" s="1" t="s">
        <v>211</v>
      </c>
      <c r="B7906" s="1" t="s">
        <v>265</v>
      </c>
      <c r="C7906" s="1" t="s">
        <v>122</v>
      </c>
      <c r="D7906" s="1" t="s">
        <v>200</v>
      </c>
      <c r="E7906" s="1" t="s">
        <v>580</v>
      </c>
      <c r="F7906" s="1" t="s">
        <v>12051</v>
      </c>
      <c r="G7906" s="1" t="s">
        <v>36</v>
      </c>
      <c r="H7906" s="1" t="s">
        <v>29</v>
      </c>
      <c r="I7906" s="1" t="str">
        <f ca="1">IFERROR(__xludf.DUMMYFUNCTION("GOOGLETRANSLATE(F7906, ""auto"", ""en"")
"),"I purchased this product on September 14, 2011. I chose it solely based on reviews from the owners, the trimmer is really very good, it removes hair in the nose and ears painlessly. Before buying it, I removed ear hair using depilatory cream, my wife’s ea"&amp;"rs burned for about an hour after this procedure, so buy a trimmer, you won’t regret it.")</f>
        <v>I purchased this product on September 14, 2011. I chose it solely based on reviews from the owners, the trimmer is really very good, it removes hair in the nose and ears painlessly. Before buying it, I removed ear hair using depilatory cream, my wife’s ears burned for about an hour after this procedure, so buy a trimmer, you won’t regret it.</v>
      </c>
    </row>
    <row r="7907" spans="1:9" x14ac:dyDescent="0.3">
      <c r="A7907" s="1" t="s">
        <v>55</v>
      </c>
      <c r="B7907" s="1" t="s">
        <v>84</v>
      </c>
      <c r="C7907" s="1" t="s">
        <v>85</v>
      </c>
      <c r="D7907" s="1" t="s">
        <v>52</v>
      </c>
      <c r="E7907" s="1" t="s">
        <v>6272</v>
      </c>
      <c r="F7907" s="1" t="s">
        <v>12052</v>
      </c>
      <c r="G7907" s="1" t="s">
        <v>49</v>
      </c>
      <c r="H7907" s="1" t="s">
        <v>16</v>
      </c>
      <c r="I7907" s="1" t="str">
        <f ca="1">IFERROR(__xludf.DUMMYFUNCTION("GOOGLETRANSLATE(F7907, ""auto"", ""en"")
"),"I bought myself such a device because... the baby was born, I wanted to improve his health. For the first 3 months everything was fine, it worked without interruption, was quiet, I added water to it once a day. Then he began to make the sounds of an appro"&amp;"aching helicopter, then he began to knock so that they woke up at night. I took it to the service center 3 times under warranty, but they couldn’t do anything with it and returned the money. Verdict: the device is a complete disappointment. I don't recomm"&amp;"end anyone to take it.")</f>
        <v>I bought myself such a device because... the baby was born, I wanted to improve his health. For the first 3 months everything was fine, it worked without interruption, was quiet, I added water to it once a day. Then he began to make the sounds of an approaching helicopter, then he began to knock so that they woke up at night. I took it to the service center 3 times under warranty, but they couldn’t do anything with it and returned the money. Verdict: the device is a complete disappointment. I don't recommend anyone to take it.</v>
      </c>
    </row>
    <row r="7908" spans="1:9" x14ac:dyDescent="0.3">
      <c r="A7908" s="1" t="s">
        <v>30</v>
      </c>
      <c r="B7908" s="1" t="s">
        <v>50</v>
      </c>
      <c r="C7908" s="1" t="s">
        <v>51</v>
      </c>
      <c r="D7908" s="1" t="s">
        <v>152</v>
      </c>
      <c r="E7908" s="1" t="s">
        <v>1682</v>
      </c>
      <c r="F7908" s="1" t="s">
        <v>12053</v>
      </c>
      <c r="G7908" s="1" t="s">
        <v>28</v>
      </c>
      <c r="H7908" s="1" t="s">
        <v>29</v>
      </c>
      <c r="I7908" s="1" t="str">
        <f ca="1">IFERROR(__xludf.DUMMYFUNCTION("GOOGLETRANSLATE(F7908, ""auto"", ""en"")
"),"I bought this monstrous beech on July 8 at a price of 42,900 rubles. in the shopping center ""BOSH"" I immediately really liked it in terms of price/quality ratio. But quality, of course, is not performance, but performance.  I am completely satisfied wit"&amp;"h everything about it, except for one thing: for example, the panel on my left side began to rise like a wave, apparently from heating.  Personally, I rarely get temperatures above 50 degrees, except that the video card gets slightly warm - 53-56 degrees."&amp;"  The performance is excellent, it’s quite possible to play modern toys. At first, the only things that were a little annoying were the 60-day trial version of Office and the 60-day version of Norton antivirus, the performance of which causes great critic"&amp;"ism.  I was pleased with the built-in HD web camera; the video quality is very decent for a beech book.  But this model has one minus - the TERRIBLE CASE MARKING!!! The manufacturer has added gloss wherever possible, which is why scratches appear after 2-"&amp;"3 days of careful (!) use. This is, in my opinion, only one minus.  The charge lasts a long time, namely from 5 to 6 hours (but that’s it for now).  All resource-intensive programs simply fly on this beech - a huge plus.  The small touchpad is a little an"&amp;"noying - for such a huge laptop it could have been bigger, but there is support for multi-touch.  The touch buttons on the sides of the case are also a little annoying - again, they are all glossy. The buttons are small and I constantly touch them with my"&amp;" hand - it’s unrealistically annoying, but I started turning them off myself so as not to bother me too much.  You can get used to all this quite well.  For such a tempting price, this laptop is the sweetest offer. Bon appetit! :-)")</f>
        <v>I bought this monstrous beech on July 8 at a price of 42,900 rubles. in the shopping center "BOSH" I immediately really liked it in terms of price/quality ratio. But quality, of course, is not performance, but performance.  I am completely satisfied with everything about it, except for one thing: for example, the panel on my left side began to rise like a wave, apparently from heating.  Personally, I rarely get temperatures above 50 degrees, except that the video card gets slightly warm - 53-56 degrees.  The performance is excellent, it’s quite possible to play modern toys. At first, the only things that were a little annoying were the 60-day trial version of Office and the 60-day version of Norton antivirus, the performance of which causes great criticism.  I was pleased with the built-in HD web camera; the video quality is very decent for a beech book.  But this model has one minus - the TERRIBLE CASE MARKING!!! The manufacturer has added gloss wherever possible, which is why scratches appear after 2-3 days of careful (!) use. This is, in my opinion, only one minus.  The charge lasts a long time, namely from 5 to 6 hours (but that’s it for now).  All resource-intensive programs simply fly on this beech - a huge plus.  The small touchpad is a little annoying - for such a huge laptop it could have been bigger, but there is support for multi-touch.  The touch buttons on the sides of the case are also a little annoying - again, they are all glossy. The buttons are small and I constantly touch them with my hand - it’s unrealistically annoying, but I started turning them off myself so as not to bother me too much.  You can get used to all this quite well.  For such a tempting price, this laptop is the sweetest offer. Bon appetit! :-)</v>
      </c>
    </row>
    <row r="7909" spans="1:9" x14ac:dyDescent="0.3">
      <c r="A7909" s="1" t="s">
        <v>17</v>
      </c>
      <c r="B7909" s="1" t="s">
        <v>18</v>
      </c>
      <c r="C7909" s="1" t="s">
        <v>134</v>
      </c>
      <c r="D7909" s="1" t="s">
        <v>3253</v>
      </c>
      <c r="E7909" s="1" t="s">
        <v>8584</v>
      </c>
      <c r="F7909" s="1" t="s">
        <v>12054</v>
      </c>
      <c r="G7909" s="1" t="s">
        <v>36</v>
      </c>
      <c r="H7909" s="1" t="s">
        <v>29</v>
      </c>
      <c r="I7909" s="1" t="str">
        <f ca="1">IFERROR(__xludf.DUMMYFUNCTION("GOOGLETRANSLATE(F7909, ""auto"", ""en"")
"),"I’ve been using this for three years now, I’m very happy, I bought a German assembly, it washes very well, doesn’t make noise, doesn’t jump, doesn’t glitch. Overall the car is 5+")</f>
        <v>I’ve been using this for three years now, I’m very happy, I bought a German assembly, it washes very well, doesn’t make noise, doesn’t jump, doesn’t glitch. Overall the car is 5+</v>
      </c>
    </row>
    <row r="7910" spans="1:9" x14ac:dyDescent="0.3">
      <c r="A7910" s="1" t="s">
        <v>30</v>
      </c>
      <c r="B7910" s="1" t="s">
        <v>50</v>
      </c>
      <c r="C7910" s="1" t="s">
        <v>658</v>
      </c>
      <c r="D7910" s="1" t="s">
        <v>12055</v>
      </c>
      <c r="E7910" s="1" t="s">
        <v>5091</v>
      </c>
      <c r="F7910" s="1" t="s">
        <v>12056</v>
      </c>
      <c r="G7910" s="1" t="s">
        <v>36</v>
      </c>
      <c r="H7910" s="1" t="s">
        <v>29</v>
      </c>
      <c r="I7910" s="1" t="str">
        <f ca="1">IFERROR(__xludf.DUMMYFUNCTION("GOOGLETRANSLATE(F7910, ""auto"", ""en"")
"),"My eyes widened when Crysis, above average, flew like a falcon.")</f>
        <v>My eyes widened when Crysis, above average, flew like a falcon.</v>
      </c>
    </row>
    <row r="7911" spans="1:9" x14ac:dyDescent="0.3">
      <c r="A7911" s="1" t="s">
        <v>55</v>
      </c>
      <c r="B7911" s="1" t="s">
        <v>184</v>
      </c>
      <c r="C7911" s="1" t="s">
        <v>101</v>
      </c>
      <c r="D7911" s="1" t="s">
        <v>896</v>
      </c>
      <c r="E7911" s="1" t="s">
        <v>3251</v>
      </c>
      <c r="F7911" s="1" t="s">
        <v>12057</v>
      </c>
      <c r="G7911" s="1" t="s">
        <v>49</v>
      </c>
      <c r="H7911" s="1" t="s">
        <v>16</v>
      </c>
      <c r="I7911" s="1" t="str">
        <f ca="1">IFERROR(__xludf.DUMMYFUNCTION("GOOGLETRANSLATE(F7911, ""auto"", ""en"")
"),"The same situation as Pavel, the day before yesterday I purchased this fan, although the blade broke off not an hour, but a minute after turning it on! There was a terrible crash and smoke poured out from inside, apparently due to the melting blade. Thank"&amp;"s mvideo, accepted without problems, exchanged for bimatek ht301.")</f>
        <v>The same situation as Pavel, the day before yesterday I purchased this fan, although the blade broke off not an hour, but a minute after turning it on! There was a terrible crash and smoke poured out from inside, apparently due to the melting blade. Thanks mvideo, accepted without problems, exchanged for bimatek ht301.</v>
      </c>
    </row>
    <row r="7912" spans="1:9" x14ac:dyDescent="0.3">
      <c r="A7912" s="1" t="s">
        <v>111</v>
      </c>
      <c r="B7912" s="1" t="s">
        <v>636</v>
      </c>
      <c r="C7912" s="1" t="s">
        <v>57</v>
      </c>
      <c r="D7912" s="1" t="s">
        <v>12058</v>
      </c>
      <c r="E7912" s="1" t="s">
        <v>3225</v>
      </c>
      <c r="F7912" s="1" t="s">
        <v>12059</v>
      </c>
      <c r="G7912" s="1" t="s">
        <v>36</v>
      </c>
      <c r="H7912" s="1" t="s">
        <v>29</v>
      </c>
      <c r="I7912" s="1" t="str">
        <f ca="1">IFERROR(__xludf.DUMMYFUNCTION("GOOGLETRANSLATE(F7912, ""auto"", ""en"")
"),"The station is quite good.   I've been using it for more than 3 years. The display is the best of all those seen on sale, everything is always clearly visible, you don’t need to press anything. Very convenient.  The accuracy is the envy of the Moscow Hydr"&amp;"omet. It measures humidity and pressure perfectly; it has been checked several times with conventional instruments (not electronic). To set the “height” you need to think a little, count and choose more precisely (and everything is OK).  The external sens"&amp;"or works great, you just need to protect it from direct sun (which is quite natural), it stops measuring at temperatures below -25C. But such temperatures are not common in our areas.   I'm very pleased.")</f>
        <v>The station is quite good.   I've been using it for more than 3 years. The display is the best of all those seen on sale, everything is always clearly visible, you don’t need to press anything. Very convenient.  The accuracy is the envy of the Moscow Hydromet. It measures humidity and pressure perfectly; it has been checked several times with conventional instruments (not electronic). To set the “height” you need to think a little, count and choose more precisely (and everything is OK).  The external sensor works great, you just need to protect it from direct sun (which is quite natural), it stops measuring at temperatures below -25C. But such temperatures are not common in our areas.   I'm very pleased.</v>
      </c>
    </row>
    <row r="7913" spans="1:9" x14ac:dyDescent="0.3">
      <c r="A7913" s="1" t="s">
        <v>211</v>
      </c>
      <c r="B7913" s="1" t="s">
        <v>212</v>
      </c>
      <c r="C7913" s="1" t="s">
        <v>101</v>
      </c>
      <c r="D7913" s="1" t="s">
        <v>471</v>
      </c>
      <c r="E7913" s="1" t="s">
        <v>5011</v>
      </c>
      <c r="F7913" s="1" t="s">
        <v>12060</v>
      </c>
      <c r="G7913" s="1" t="s">
        <v>28</v>
      </c>
      <c r="H7913" s="1" t="s">
        <v>29</v>
      </c>
      <c r="I7913" s="1" t="str">
        <f ca="1">IFERROR(__xludf.DUMMYFUNCTION("GOOGLETRANSLATE(F7913, ""auto"", ""en"")
"),"My friend and I decided to give our mutual friend a birthday present: a hair dryer and this straightener. It took us a long time to decide and finally decided on this model. She is very happy because she has thin and unruly hair and the temperature contro"&amp;"l is a big plus for her. My friend uses it almost every day. I also used it twice, for its price it’s not bad, but the buttons are constantly pressed. So the straightener is good, but I recommend buying something better and more expensive.")</f>
        <v>My friend and I decided to give our mutual friend a birthday present: a hair dryer and this straightener. It took us a long time to decide and finally decided on this model. She is very happy because she has thin and unruly hair and the temperature control is a big plus for her. My friend uses it almost every day. I also used it twice, for its price it’s not bad, but the buttons are constantly pressed. So the straightener is good, but I recommend buying something better and more expensive.</v>
      </c>
    </row>
    <row r="7914" spans="1:9" x14ac:dyDescent="0.3">
      <c r="A7914" s="1" t="s">
        <v>30</v>
      </c>
      <c r="B7914" s="1" t="s">
        <v>50</v>
      </c>
      <c r="C7914" s="1" t="s">
        <v>51</v>
      </c>
      <c r="D7914" s="1" t="s">
        <v>12061</v>
      </c>
      <c r="E7914" s="1" t="s">
        <v>1181</v>
      </c>
      <c r="F7914" s="1" t="s">
        <v>12062</v>
      </c>
      <c r="G7914" s="1" t="s">
        <v>15</v>
      </c>
      <c r="H7914" s="1" t="s">
        <v>16</v>
      </c>
      <c r="I7914" s="1" t="str">
        <f ca="1">IFERROR(__xludf.DUMMYFUNCTION("GOOGLETRANSLATE(F7914, ""auto"", ""en"")
"),"When I bought the laptop it turned out to be faulty. I replaced it with another one, and when I start playing, the cooler makes a terrible noise. They write that the cooler may be clogged. but I think two days is unrealistic. There’s no point in taking it"&amp;" to the store a second time, they won’t change it anyway, I don’t know what to do?")</f>
        <v>When I bought the laptop it turned out to be faulty. I replaced it with another one, and when I start playing, the cooler makes a terrible noise. They write that the cooler may be clogged. but I think two days is unrealistic. There’s no point in taking it to the store a second time, they won’t change it anyway, I don’t know what to do?</v>
      </c>
    </row>
    <row r="7915" spans="1:9" x14ac:dyDescent="0.3">
      <c r="A7915" s="1" t="s">
        <v>95</v>
      </c>
      <c r="B7915" s="1" t="s">
        <v>227</v>
      </c>
      <c r="C7915" s="1" t="s">
        <v>97</v>
      </c>
      <c r="D7915" s="1" t="s">
        <v>52</v>
      </c>
      <c r="E7915" s="1" t="s">
        <v>5537</v>
      </c>
      <c r="F7915" s="1" t="s">
        <v>12063</v>
      </c>
      <c r="G7915" s="1" t="s">
        <v>36</v>
      </c>
      <c r="H7915" s="1" t="s">
        <v>29</v>
      </c>
      <c r="I7915" s="1" t="str">
        <f ca="1">IFERROR(__xludf.DUMMYFUNCTION("GOOGLETRANSLATE(F7915, ""auto"", ""en"")
"),"A great gift for a child for the New Year.")</f>
        <v>A great gift for a child for the New Year.</v>
      </c>
    </row>
    <row r="7916" spans="1:9" x14ac:dyDescent="0.3">
      <c r="A7916" s="1" t="s">
        <v>89</v>
      </c>
      <c r="B7916" s="1" t="s">
        <v>231</v>
      </c>
      <c r="C7916" s="1" t="s">
        <v>185</v>
      </c>
      <c r="D7916" s="1" t="s">
        <v>411</v>
      </c>
      <c r="E7916" s="1" t="s">
        <v>1257</v>
      </c>
      <c r="F7916" s="1" t="s">
        <v>12064</v>
      </c>
      <c r="G7916" s="1" t="s">
        <v>36</v>
      </c>
      <c r="H7916" s="1" t="s">
        <v>29</v>
      </c>
      <c r="I7916" s="1" t="str">
        <f ca="1">IFERROR(__xludf.DUMMYFUNCTION("GOOGLETRANSLATE(F7916, ""auto"", ""en"")
"),"Delicious and aromatic coffee with different strengths and quick preparation. Very easy to maintain.")</f>
        <v>Delicious and aromatic coffee with different strengths and quick preparation. Very easy to maintain.</v>
      </c>
    </row>
    <row r="7917" spans="1:9" x14ac:dyDescent="0.3">
      <c r="A7917" s="1" t="s">
        <v>120</v>
      </c>
      <c r="B7917" s="1" t="s">
        <v>196</v>
      </c>
      <c r="C7917" s="1" t="s">
        <v>80</v>
      </c>
      <c r="D7917" s="1" t="s">
        <v>1681</v>
      </c>
      <c r="E7917" s="1" t="s">
        <v>296</v>
      </c>
      <c r="F7917" s="1" t="s">
        <v>12065</v>
      </c>
      <c r="G7917" s="1" t="s">
        <v>36</v>
      </c>
      <c r="H7917" s="1" t="s">
        <v>29</v>
      </c>
      <c r="I7917" s="1" t="str">
        <f ca="1">IFERROR(__xludf.DUMMYFUNCTION("GOOGLETRANSLATE(F7917, ""auto"", ""en"")
"),"The TV is excellent, I am very pleased. FullHD works great. PS3 is doing well too. Reads almost all formats. As for 100Hz, they work with the TruMotion option enabled (if I'm not mistaken). In general, the TV is good, I recommend it to everyone.")</f>
        <v>The TV is excellent, I am very pleased. FullHD works great. PS3 is doing well too. Reads almost all formats. As for 100Hz, they work with the TruMotion option enabled (if I'm not mistaken). In general, the TV is good, I recommend it to everyone.</v>
      </c>
    </row>
    <row r="7918" spans="1:9" x14ac:dyDescent="0.3">
      <c r="A7918" s="1" t="s">
        <v>211</v>
      </c>
      <c r="B7918" s="1" t="s">
        <v>212</v>
      </c>
      <c r="C7918" s="1" t="s">
        <v>101</v>
      </c>
      <c r="D7918" s="1" t="s">
        <v>12066</v>
      </c>
      <c r="E7918" s="1" t="s">
        <v>82</v>
      </c>
      <c r="F7918" s="1" t="s">
        <v>12067</v>
      </c>
      <c r="G7918" s="1" t="s">
        <v>15</v>
      </c>
      <c r="H7918" s="1" t="s">
        <v>16</v>
      </c>
      <c r="I7918" s="1" t="str">
        <f ca="1">IFERROR(__xludf.DUMMYFUNCTION("GOOGLETRANSLATE(F7918, ""auto"", ""en"")
"),"Two years ago I bought a straightener for my mother as a gift. She was never able to adapt to him. Among the disadvantages: - During the process of straightening your hair, you constantly press the temperature switch buttons with your finger. - Pulls out "&amp;"hair in clumps, and therefore gets stuck on the hair during the straightening process. At the very least, this is unpleasant and does not allow you to make the strand straight and smooth. Among the advantages: nothing. I don't recommend buying.")</f>
        <v>Two years ago I bought a straightener for my mother as a gift. She was never able to adapt to him. Among the disadvantages: - During the process of straightening your hair, you constantly press the temperature switch buttons with your finger. - Pulls out hair in clumps, and therefore gets stuck on the hair during the straightening process. At the very least, this is unpleasant and does not allow you to make the strand straight and smooth. Among the advantages: nothing. I don't recommend buying.</v>
      </c>
    </row>
    <row r="7919" spans="1:9" x14ac:dyDescent="0.3">
      <c r="A7919" s="1" t="s">
        <v>211</v>
      </c>
      <c r="B7919" s="1" t="s">
        <v>856</v>
      </c>
      <c r="C7919" s="1" t="s">
        <v>57</v>
      </c>
      <c r="D7919" s="1" t="s">
        <v>139</v>
      </c>
      <c r="E7919" s="1" t="s">
        <v>12068</v>
      </c>
      <c r="F7919" s="1" t="s">
        <v>12069</v>
      </c>
      <c r="G7919" s="1" t="s">
        <v>36</v>
      </c>
      <c r="H7919" s="1" t="s">
        <v>29</v>
      </c>
      <c r="I7919" s="1" t="str">
        <f ca="1">IFERROR(__xludf.DUMMYFUNCTION("GOOGLETRANSLATE(F7919, ""auto"", ""en"")
"),"The massager performed well. Really relaxes your legs and relieves fatigue, especially after a hard day. There are three modes: vibration, heat + vibration and heat.  The assembly is of high quality so that you can safely push your feet into this basin, p"&amp;"our water and plug it into the outlet. )). Before purchasing, consult your doctor; the effect may simply be negative. The device operates quietly, is easy to use, and comes with detailed instructions in Russian. I recommend it.")</f>
        <v>The massager performed well. Really relaxes your legs and relieves fatigue, especially after a hard day. There are three modes: vibration, heat + vibration and heat.  The assembly is of high quality so that you can safely push your feet into this basin, pour water and plug it into the outlet. )). Before purchasing, consult your doctor; the effect may simply be negative. The device operates quietly, is easy to use, and comes with detailed instructions in Russian. I recommend it.</v>
      </c>
    </row>
    <row r="7920" spans="1:9" x14ac:dyDescent="0.3">
      <c r="A7920" s="1" t="s">
        <v>30</v>
      </c>
      <c r="B7920" s="1" t="s">
        <v>31</v>
      </c>
      <c r="C7920" s="1" t="s">
        <v>32</v>
      </c>
      <c r="D7920" s="1" t="s">
        <v>2975</v>
      </c>
      <c r="E7920" s="1" t="s">
        <v>2305</v>
      </c>
      <c r="F7920" s="1" t="s">
        <v>12070</v>
      </c>
      <c r="G7920" s="1" t="s">
        <v>36</v>
      </c>
      <c r="H7920" s="1" t="s">
        <v>29</v>
      </c>
      <c r="I7920" s="1" t="str">
        <f ca="1">IFERROR(__xludf.DUMMYFUNCTION("GOOGLETRANSLATE(F7920, ""auto"", ""en"")
"),"cool")</f>
        <v>cool</v>
      </c>
    </row>
    <row r="7921" spans="1:9" x14ac:dyDescent="0.3">
      <c r="A7921" s="1" t="s">
        <v>211</v>
      </c>
      <c r="B7921" s="1" t="s">
        <v>212</v>
      </c>
      <c r="C7921" s="1" t="s">
        <v>453</v>
      </c>
      <c r="D7921" s="1" t="s">
        <v>471</v>
      </c>
      <c r="E7921" s="1" t="s">
        <v>1843</v>
      </c>
      <c r="F7921" s="1" t="s">
        <v>12071</v>
      </c>
      <c r="G7921" s="1" t="s">
        <v>28</v>
      </c>
      <c r="H7921" s="1" t="s">
        <v>29</v>
      </c>
      <c r="I7921" s="1" t="str">
        <f ca="1">IFERROR(__xludf.DUMMYFUNCTION("GOOGLETRANSLATE(F7921, ""auto"", ""en"")
"),"I bought it in St. Petersburg about 3 years ago from Mvideo. Normal. Still works, but I don't use it, it tears my hair out. Better buy something more expensive for the same thousand.")</f>
        <v>I bought it in St. Petersburg about 3 years ago from Mvideo. Normal. Still works, but I don't use it, it tears my hair out. Better buy something more expensive for the same thousand.</v>
      </c>
    </row>
    <row r="7922" spans="1:9" x14ac:dyDescent="0.3">
      <c r="A7922" s="1" t="s">
        <v>211</v>
      </c>
      <c r="B7922" s="1" t="s">
        <v>212</v>
      </c>
      <c r="C7922" s="1" t="s">
        <v>294</v>
      </c>
      <c r="D7922" s="1" t="s">
        <v>653</v>
      </c>
      <c r="E7922" s="1" t="s">
        <v>529</v>
      </c>
      <c r="F7922" s="1" t="s">
        <v>12072</v>
      </c>
      <c r="G7922" s="1" t="s">
        <v>36</v>
      </c>
      <c r="H7922" s="1" t="s">
        <v>29</v>
      </c>
      <c r="I7922" s="1" t="str">
        <f ca="1">IFERROR(__xludf.DUMMYFUNCTION("GOOGLETRANSLATE(F7922, ""auto"", ""en"")
"),"I've been using it for a year now. The ideal combination of price and quality! Straightens hair well :) I was pleased that the thermal cover was included, it’s so convenient! There is no need to wait until the rectifier gets cold, it saves time :) + it tu"&amp;"rns itself off after an hour, because... I often forget it in the morning!  It actually heats up in 30 seconds, I repeat - a total time saver!  If you use a good product, you can straighten it regularly without fear :) good luck")</f>
        <v>I've been using it for a year now. The ideal combination of price and quality! Straightens hair well :) I was pleased that the thermal cover was included, it’s so convenient! There is no need to wait until the rectifier gets cold, it saves time :) + it turns itself off after an hour, because... I often forget it in the morning!  It actually heats up in 30 seconds, I repeat - a total time saver!  If you use a good product, you can straighten it regularly without fear :) good luck</v>
      </c>
    </row>
    <row r="7923" spans="1:9" x14ac:dyDescent="0.3">
      <c r="A7923" s="1" t="s">
        <v>37</v>
      </c>
      <c r="B7923" s="1" t="s">
        <v>355</v>
      </c>
      <c r="C7923" s="1" t="s">
        <v>356</v>
      </c>
      <c r="D7923" s="1" t="s">
        <v>12073</v>
      </c>
      <c r="E7923" s="1" t="s">
        <v>187</v>
      </c>
      <c r="F7923" s="1" t="s">
        <v>12074</v>
      </c>
      <c r="G7923" s="1" t="s">
        <v>36</v>
      </c>
      <c r="H7923" s="1" t="s">
        <v>29</v>
      </c>
      <c r="I7923" s="1" t="str">
        <f ca="1">IFERROR(__xludf.DUMMYFUNCTION("GOOGLETRANSLATE(F7923, ""auto"", ""en"")
"),"my favorite and unique) interface is simply very convenient, there is a lot of useful software for it (both for study and work, and just for entertainment), + I’m glad that on such a screen you can watch movies on an airplane.   Solid 5!")</f>
        <v>my favorite and unique) interface is simply very convenient, there is a lot of useful software for it (both for study and work, and just for entertainment), + I’m glad that on such a screen you can watch movies on an airplane.   Solid 5!</v>
      </c>
    </row>
    <row r="7924" spans="1:9" x14ac:dyDescent="0.3">
      <c r="A7924" s="1" t="s">
        <v>120</v>
      </c>
      <c r="B7924" s="1" t="s">
        <v>196</v>
      </c>
      <c r="C7924" s="1" t="s">
        <v>69</v>
      </c>
      <c r="D7924" s="1" t="s">
        <v>280</v>
      </c>
      <c r="E7924" s="1" t="s">
        <v>1608</v>
      </c>
      <c r="F7924" s="1" t="s">
        <v>12075</v>
      </c>
      <c r="G7924" s="1" t="s">
        <v>36</v>
      </c>
      <c r="H7924" s="1" t="s">
        <v>29</v>
      </c>
      <c r="I7924" s="1" t="str">
        <f ca="1">IFERROR(__xludf.DUMMYFUNCTION("GOOGLETRANSLATE(F7924, ""auto"", ""en"")
"),"I recently bought this TV and was pleasantly surprised; I didn’t expect it to show so clearly through a simple analog signal. Cool TV I recommend to everyone!")</f>
        <v>I recently bought this TV and was pleasantly surprised; I didn’t expect it to show so clearly through a simple analog signal. Cool TV I recommend to everyone!</v>
      </c>
    </row>
    <row r="7925" spans="1:9" x14ac:dyDescent="0.3">
      <c r="A7925" s="1" t="s">
        <v>61</v>
      </c>
      <c r="B7925" s="1" t="s">
        <v>73</v>
      </c>
      <c r="C7925" s="1" t="s">
        <v>146</v>
      </c>
      <c r="D7925" s="1" t="s">
        <v>139</v>
      </c>
      <c r="E7925" s="1" t="s">
        <v>5554</v>
      </c>
      <c r="F7925" s="1" t="s">
        <v>12076</v>
      </c>
      <c r="G7925" s="1" t="s">
        <v>36</v>
      </c>
      <c r="H7925" s="1" t="s">
        <v>29</v>
      </c>
      <c r="I7925" s="1" t="str">
        <f ca="1">IFERROR(__xludf.DUMMYFUNCTION("GOOGLETRANSLATE(F7925, ""auto"", ""en"")
"),"I bought it a month ago and decided to try it right away, I’m 100% satisfied, it chops meat quickly and efficiently, it doesn’t make noise, it’s easy to disassemble. The whole family eats real cutlets. Excellent model, you can buy it with confidence!")</f>
        <v>I bought it a month ago and decided to try it right away, I’m 100% satisfied, it chops meat quickly and efficiently, it doesn’t make noise, it’s easy to disassemble. The whole family eats real cutlets. Excellent model, you can buy it with confidence!</v>
      </c>
    </row>
    <row r="7926" spans="1:9" x14ac:dyDescent="0.3">
      <c r="A7926" s="1" t="s">
        <v>43</v>
      </c>
      <c r="B7926" s="1" t="s">
        <v>303</v>
      </c>
      <c r="C7926" s="1" t="s">
        <v>304</v>
      </c>
      <c r="D7926" s="1" t="s">
        <v>86</v>
      </c>
      <c r="E7926" s="1" t="s">
        <v>222</v>
      </c>
      <c r="F7926" s="1" t="s">
        <v>1693</v>
      </c>
      <c r="G7926" s="1" t="s">
        <v>28</v>
      </c>
      <c r="H7926" s="1" t="s">
        <v>29</v>
      </c>
      <c r="I7926" s="1" t="str">
        <f ca="1">IFERROR(__xludf.DUMMYFUNCTION("GOOGLETRANSLATE(F7926, ""auto"", ""en"")
"),"Price")</f>
        <v>Price</v>
      </c>
    </row>
    <row r="7927" spans="1:9" x14ac:dyDescent="0.3">
      <c r="A7927" s="1" t="s">
        <v>9</v>
      </c>
      <c r="B7927" s="1" t="s">
        <v>133</v>
      </c>
      <c r="C7927" s="1" t="s">
        <v>159</v>
      </c>
      <c r="D7927" s="1" t="s">
        <v>305</v>
      </c>
      <c r="E7927" s="1" t="s">
        <v>1012</v>
      </c>
      <c r="F7927" s="1" t="s">
        <v>12077</v>
      </c>
      <c r="G7927" s="1" t="s">
        <v>36</v>
      </c>
      <c r="H7927" s="1" t="s">
        <v>29</v>
      </c>
      <c r="I7927" s="1" t="str">
        <f ca="1">IFERROR(__xludf.DUMMYFUNCTION("GOOGLETRANSLATE(F7927, ""auto"", ""en"")
"),"Elena, the grease filter is a special round lid that is attached to the fan so that grease does not get inside, it is included in all Electroluxes")</f>
        <v>Elena, the grease filter is a special round lid that is attached to the fan so that grease does not get inside, it is included in all Electroluxes</v>
      </c>
    </row>
    <row r="7928" spans="1:9" x14ac:dyDescent="0.3">
      <c r="A7928" s="1" t="s">
        <v>37</v>
      </c>
      <c r="B7928" s="1" t="s">
        <v>38</v>
      </c>
      <c r="C7928" s="1" t="s">
        <v>163</v>
      </c>
      <c r="D7928" s="1" t="s">
        <v>1506</v>
      </c>
      <c r="E7928" s="1" t="s">
        <v>178</v>
      </c>
      <c r="F7928" s="1" t="s">
        <v>12078</v>
      </c>
      <c r="G7928" s="1" t="s">
        <v>36</v>
      </c>
      <c r="H7928" s="1" t="s">
        <v>29</v>
      </c>
      <c r="I7928" s="1" t="str">
        <f ca="1">IFERROR(__xludf.DUMMYFUNCTION("GOOGLETRANSLATE(F7928, ""auto"", ""en"")
"),"My husband gave me the phone. Thank you, dear! I’m delighted with the colors of the display! All the photos are clear and beautiful. I can easily download melodies, pictures, and games via Nokia PC Suite. I like it! It has a beautiful design - ceramic coa"&amp;"ting. In addition, a 512 MB card is included, in general it’s a cool phone! Buy it! Thanks, Denis.")</f>
        <v>My husband gave me the phone. Thank you, dear! I’m delighted with the colors of the display! All the photos are clear and beautiful. I can easily download melodies, pictures, and games via Nokia PC Suite. I like it! It has a beautiful design - ceramic coating. In addition, a 512 MB card is included, in general it’s a cool phone! Buy it! Thanks, Denis.</v>
      </c>
    </row>
    <row r="7929" spans="1:9" x14ac:dyDescent="0.3">
      <c r="A7929" s="1" t="s">
        <v>17</v>
      </c>
      <c r="B7929" s="1" t="s">
        <v>18</v>
      </c>
      <c r="C7929" s="1" t="s">
        <v>159</v>
      </c>
      <c r="D7929" s="1" t="s">
        <v>565</v>
      </c>
      <c r="E7929" s="1" t="s">
        <v>4012</v>
      </c>
      <c r="F7929" s="1" t="s">
        <v>12079</v>
      </c>
      <c r="G7929" s="1" t="s">
        <v>28</v>
      </c>
      <c r="H7929" s="1" t="s">
        <v>29</v>
      </c>
      <c r="I7929" s="1" t="str">
        <f ca="1">IFERROR(__xludf.DUMMYFUNCTION("GOOGLETRANSLATE(F7929, ""auto"", ""en"")
"),"it washes well, but it makes a lot of noise, I try to stay away from it, and also, the “Electrolux” inscription on the front at the top erases well, in my opinion, it shouldn’t be like that... there used to be a French Brand - we loved it so much, it was "&amp;"so quiet...")</f>
        <v>it washes well, but it makes a lot of noise, I try to stay away from it, and also, the “Electrolux” inscription on the front at the top erases well, in my opinion, it shouldn’t be like that... there used to be a French Brand - we loved it so much, it was so quiet...</v>
      </c>
    </row>
    <row r="7930" spans="1:9" x14ac:dyDescent="0.3">
      <c r="A7930" s="1" t="s">
        <v>61</v>
      </c>
      <c r="B7930" s="1" t="s">
        <v>977</v>
      </c>
      <c r="C7930" s="1" t="s">
        <v>69</v>
      </c>
      <c r="D7930" s="1" t="s">
        <v>152</v>
      </c>
      <c r="E7930" s="1" t="s">
        <v>4082</v>
      </c>
      <c r="F7930" s="1" t="s">
        <v>12080</v>
      </c>
      <c r="G7930" s="1" t="s">
        <v>15</v>
      </c>
      <c r="H7930" s="1" t="s">
        <v>16</v>
      </c>
      <c r="I7930" s="1" t="str">
        <f ca="1">IFERROR(__xludf.DUMMYFUNCTION("GOOGLETRANSLATE(F7930, ""auto"", ""en"")
"),"It works loudly and lasted for a year: the bushing - the bearing of the knives - ran out.")</f>
        <v>It works loudly and lasted for a year: the bushing - the bearing of the knives - ran out.</v>
      </c>
    </row>
    <row r="7931" spans="1:9" x14ac:dyDescent="0.3">
      <c r="A7931" s="1" t="s">
        <v>89</v>
      </c>
      <c r="B7931" s="1" t="s">
        <v>90</v>
      </c>
      <c r="C7931" s="1" t="s">
        <v>57</v>
      </c>
      <c r="D7931" s="1" t="s">
        <v>589</v>
      </c>
      <c r="E7931" s="1" t="s">
        <v>1428</v>
      </c>
      <c r="F7931" s="1" t="s">
        <v>12081</v>
      </c>
      <c r="G7931" s="1" t="s">
        <v>36</v>
      </c>
      <c r="H7931" s="1" t="s">
        <v>29</v>
      </c>
      <c r="I7931" s="1" t="str">
        <f ca="1">IFERROR(__xludf.DUMMYFUNCTION("GOOGLETRANSLATE(F7931, ""auto"", ""en"")
"),"A simple, compact, nice-looking coffee grinder with a transparent lid. I liked the quality of the plastic, convenient operation, good knife, uniform chopping. The coffee turns out to be just enough to brew two cups of espresso. I don’t accept coffee that "&amp;"has been ground in advance and I don’t prepare it for future use - only freshly ground, no other aromas can compare with it. Therefore, the coffee grinder is always on the table, next to the coffee maker. I use it often, a lot, for the fourth month now. T"&amp;"here are no complaints about the quality, it works like the first day. The only thing I would probably buy now is one with a grinding regulator, but the ones I like are already more expensive and usually have a larger volume. And I just don’t need a large"&amp;" volume at all. Therefore, this model is the best option.")</f>
        <v>A simple, compact, nice-looking coffee grinder with a transparent lid. I liked the quality of the plastic, convenient operation, good knife, uniform chopping. The coffee turns out to be just enough to brew two cups of espresso. I don’t accept coffee that has been ground in advance and I don’t prepare it for future use - only freshly ground, no other aromas can compare with it. Therefore, the coffee grinder is always on the table, next to the coffee maker. I use it often, a lot, for the fourth month now. There are no complaints about the quality, it works like the first day. The only thing I would probably buy now is one with a grinding regulator, but the ones I like are already more expensive and usually have a larger volume. And I just don’t need a large volume at all. Therefore, this model is the best option.</v>
      </c>
    </row>
    <row r="7932" spans="1:9" x14ac:dyDescent="0.3">
      <c r="A7932" s="1" t="s">
        <v>17</v>
      </c>
      <c r="B7932" s="1" t="s">
        <v>18</v>
      </c>
      <c r="C7932" s="1" t="s">
        <v>870</v>
      </c>
      <c r="D7932" s="1" t="s">
        <v>228</v>
      </c>
      <c r="E7932" s="1" t="s">
        <v>1905</v>
      </c>
      <c r="F7932" s="1" t="s">
        <v>12082</v>
      </c>
      <c r="G7932" s="1" t="s">
        <v>49</v>
      </c>
      <c r="H7932" s="1" t="s">
        <v>16</v>
      </c>
      <c r="I7932" s="1" t="str">
        <f ca="1">IFERROR(__xludf.DUMMYFUNCTION("GOOGLETRANSLATE(F7932, ""auto"", ""en"")
"),"I bought a Whirlpool 6314/1 vertical a month ago. I recently connected it. It’s still a frustration. The spin is practically impossible to use. The vibration is terrible. For this money you could buy an excellent machine. Now I don’t know what to do with "&amp;"it. Who praises it is either a hard of hearing person, or Virpolov’s agent. Don’t buy it under any circumstances..")</f>
        <v>I bought a Whirlpool 6314/1 vertical a month ago. I recently connected it. It’s still a frustration. The spin is practically impossible to use. The vibration is terrible. For this money you could buy an excellent machine. Now I don’t know what to do with it. Who praises it is either a hard of hearing person, or Virpolov’s agent. Don’t buy it under any circumstances..</v>
      </c>
    </row>
    <row r="7933" spans="1:9" x14ac:dyDescent="0.3">
      <c r="A7933" s="1" t="s">
        <v>30</v>
      </c>
      <c r="B7933" s="1" t="s">
        <v>50</v>
      </c>
      <c r="C7933" s="1" t="s">
        <v>1003</v>
      </c>
      <c r="D7933" s="1" t="s">
        <v>5208</v>
      </c>
      <c r="E7933" s="1" t="s">
        <v>643</v>
      </c>
      <c r="F7933" s="1" t="s">
        <v>12083</v>
      </c>
      <c r="G7933" s="1" t="s">
        <v>36</v>
      </c>
      <c r="H7933" s="1" t="s">
        <v>29</v>
      </c>
      <c r="I7933" s="1" t="str">
        <f ca="1">IFERROR(__xludf.DUMMYFUNCTION("GOOGLETRANSLATE(F7933, ""auto"", ""en"")
"),"I bought it in January, for my birthday, as a gift for myself for 30,000. This money is worth it anyway!!!!  take it, you won't regret it.  Before him I used Asus, Toshiba, MSI.  This one is the best. The speakers, graphics, design are all top notch.")</f>
        <v>I bought it in January, for my birthday, as a gift for myself for 30,000. This money is worth it anyway!!!!  take it, you won't regret it.  Before him I used Asus, Toshiba, MSI.  This one is the best. The speakers, graphics, design are all top notch.</v>
      </c>
    </row>
    <row r="7934" spans="1:9" x14ac:dyDescent="0.3">
      <c r="A7934" s="1" t="s">
        <v>965</v>
      </c>
      <c r="B7934" s="1" t="s">
        <v>966</v>
      </c>
      <c r="C7934" s="1" t="s">
        <v>2149</v>
      </c>
      <c r="D7934" s="1" t="s">
        <v>102</v>
      </c>
      <c r="E7934" s="1" t="s">
        <v>1457</v>
      </c>
      <c r="F7934" s="1" t="s">
        <v>12084</v>
      </c>
      <c r="G7934" s="1" t="s">
        <v>36</v>
      </c>
      <c r="H7934" s="1" t="s">
        <v>29</v>
      </c>
      <c r="I7934" s="1" t="str">
        <f ca="1">IFERROR(__xludf.DUMMYFUNCTION("GOOGLETRANSLATE(F7934, ""auto"", ""en"")
"),"The speakers have justified themselves 200% - you can’t think of better 2.1 acoustics for a PC: powerful elastic bass, there is still a slight block in the tops, but I use X-Fi Titanium and the sound is simply pleasing to the ear. As already noted, the sp"&amp;"eakers have simply a colossal power reserve. It would be possible to connect other satellites to the subwoofer - it would not be worth the price!")</f>
        <v>The speakers have justified themselves 200% - you can’t think of better 2.1 acoustics for a PC: powerful elastic bass, there is still a slight block in the tops, but I use X-Fi Titanium and the sound is simply pleasing to the ear. As already noted, the speakers have simply a colossal power reserve. It would be possible to connect other satellites to the subwoofer - it would not be worth the price!</v>
      </c>
    </row>
    <row r="7935" spans="1:9" x14ac:dyDescent="0.3">
      <c r="A7935" s="1" t="s">
        <v>17</v>
      </c>
      <c r="B7935" s="1" t="s">
        <v>18</v>
      </c>
      <c r="C7935" s="1" t="s">
        <v>63</v>
      </c>
      <c r="D7935" s="1" t="s">
        <v>967</v>
      </c>
      <c r="E7935" s="1" t="s">
        <v>2733</v>
      </c>
      <c r="F7935" s="1" t="s">
        <v>12085</v>
      </c>
      <c r="G7935" s="1" t="s">
        <v>36</v>
      </c>
      <c r="H7935" s="1" t="s">
        <v>29</v>
      </c>
      <c r="I7935" s="1" t="str">
        <f ca="1">IFERROR(__xludf.DUMMYFUNCTION("GOOGLETRANSLATE(F7935, ""auto"", ""en"")
"),"The machine is excellent: Advantages: Very easy to use. Works quietly. Compliance with price and quality. There is a sound signal about the end of the wash. (You can turn it off and change the volume) Disadvantages: Not found yet.    Comment: Before this,"&amp;" SIEMENS died after 7 years. In comparison, they work the same, only Bosch added additional and convenient functions, which made me happy.")</f>
        <v>The machine is excellent: Advantages: Very easy to use. Works quietly. Compliance with price and quality. There is a sound signal about the end of the wash. (You can turn it off and change the volume) Disadvantages: Not found yet.    Comment: Before this, SIEMENS died after 7 years. In comparison, they work the same, only Bosch added additional and convenient functions, which made me happy.</v>
      </c>
    </row>
    <row r="7936" spans="1:9" x14ac:dyDescent="0.3">
      <c r="A7936" s="1" t="s">
        <v>55</v>
      </c>
      <c r="B7936" s="1" t="s">
        <v>56</v>
      </c>
      <c r="C7936" s="1" t="s">
        <v>85</v>
      </c>
      <c r="D7936" s="1" t="s">
        <v>2764</v>
      </c>
      <c r="E7936" s="1" t="s">
        <v>12086</v>
      </c>
      <c r="F7936" s="1" t="s">
        <v>12087</v>
      </c>
      <c r="G7936" s="1" t="s">
        <v>15</v>
      </c>
      <c r="H7936" s="1" t="s">
        <v>16</v>
      </c>
      <c r="I7936" s="1" t="str">
        <f ca="1">IFERROR(__xludf.DUMMYFUNCTION("GOOGLETRANSLATE(F7936, ""auto"", ""en"")
"),"I bought a humidifier on April 8, 2014, before that I read reviews and comments. Apparently I should have read more carefully. The equipment is really not worth the money I paid. The humidifier has been running for a week now, with no results. Phrases lik"&amp;"e the room should be soaked do not sound convincing, because... room 18 sq.m. should have been soaked 5 times already, since the humidifier is designed for 60 squares. The water needs to be filled either after really good filtration, or distilled, otherwi"&amp;"se everything around will be covered with a white coating, including the humidifier itself)) Last night it also started humming. When choosing a humidifier, one of the consultants said that the effect would be like in a tropical forest, hahhha-haa, I don’"&amp;"t know whether he came up with it himself or who suggested it... So think again whether you need such a purchase for this money.")</f>
        <v>I bought a humidifier on April 8, 2014, before that I read reviews and comments. Apparently I should have read more carefully. The equipment is really not worth the money I paid. The humidifier has been running for a week now, with no results. Phrases like the room should be soaked do not sound convincing, because... room 18 sq.m. should have been soaked 5 times already, since the humidifier is designed for 60 squares. The water needs to be filled either after really good filtration, or distilled, otherwise everything around will be covered with a white coating, including the humidifier itself)) Last night it also started humming. When choosing a humidifier, one of the consultants said that the effect would be like in a tropical forest, hahhha-haa, I don’t know whether he came up with it himself or who suggested it... So think again whether you need such a purchase for this money.</v>
      </c>
    </row>
    <row r="7937" spans="1:9" x14ac:dyDescent="0.3">
      <c r="A7937" s="1" t="s">
        <v>1443</v>
      </c>
      <c r="B7937" s="1" t="s">
        <v>1444</v>
      </c>
      <c r="C7937" s="1" t="s">
        <v>1489</v>
      </c>
      <c r="D7937" s="1" t="s">
        <v>1605</v>
      </c>
      <c r="E7937" s="1" t="s">
        <v>4606</v>
      </c>
      <c r="F7937" s="1" t="s">
        <v>12088</v>
      </c>
      <c r="G7937" s="1" t="s">
        <v>28</v>
      </c>
      <c r="H7937" s="1" t="s">
        <v>29</v>
      </c>
      <c r="I7937" s="1" t="str">
        <f ca="1">IFERROR(__xludf.DUMMYFUNCTION("GOOGLETRANSLATE(F7937, ""auto"", ""en"")
"),"I've been using it for about a year now. She showed herself just fine. And he drowned, and threw him against the wall, and touched him with his foot in the slot. And nothing. Alive. This really surprised me. A durable, high-quality device. I recommend")</f>
        <v>I've been using it for about a year now. She showed herself just fine. And he drowned, and threw him against the wall, and touched him with his foot in the slot. And nothing. Alive. This really surprised me. A durable, high-quality device. I recommend</v>
      </c>
    </row>
    <row r="7938" spans="1:9" x14ac:dyDescent="0.3">
      <c r="A7938" s="1" t="s">
        <v>206</v>
      </c>
      <c r="B7938" s="1" t="s">
        <v>261</v>
      </c>
      <c r="C7938" s="1" t="s">
        <v>262</v>
      </c>
      <c r="D7938" s="1" t="s">
        <v>4036</v>
      </c>
      <c r="E7938" s="1" t="s">
        <v>2669</v>
      </c>
      <c r="F7938" s="1" t="s">
        <v>12089</v>
      </c>
      <c r="G7938" s="1" t="s">
        <v>36</v>
      </c>
      <c r="H7938" s="1" t="s">
        <v>29</v>
      </c>
      <c r="I7938" s="1" t="str">
        <f ca="1">IFERROR(__xludf.DUMMYFUNCTION("GOOGLETRANSLATE(F7938, ""auto"", ""en"")
"),"The Prology TVA-200 car antenna has been working perfectly in both modes for more than six months without any problems, it has separate outputs for the TV tuner and FM, and the gain is adjustable.")</f>
        <v>The Prology TVA-200 car antenna has been working perfectly in both modes for more than six months without any problems, it has separate outputs for the TV tuner and FM, and the gain is adjustable.</v>
      </c>
    </row>
    <row r="7939" spans="1:9" x14ac:dyDescent="0.3">
      <c r="A7939" s="1" t="s">
        <v>149</v>
      </c>
      <c r="B7939" s="1" t="s">
        <v>155</v>
      </c>
      <c r="C7939" s="1" t="s">
        <v>1187</v>
      </c>
      <c r="D7939" s="1" t="s">
        <v>2217</v>
      </c>
      <c r="E7939" s="1" t="s">
        <v>10135</v>
      </c>
      <c r="F7939" s="1" t="s">
        <v>12090</v>
      </c>
      <c r="G7939" s="1" t="s">
        <v>36</v>
      </c>
      <c r="H7939" s="1" t="s">
        <v>29</v>
      </c>
      <c r="I7939" s="1" t="str">
        <f ca="1">IFERROR(__xludf.DUMMYFUNCTION("GOOGLETRANSLATE(F7939, ""auto"", ""en"")
"),"The vacuum cleaner is chic, convenient, comfortable, compact, light, powerful... I had it for about 5 years. Then I gave it as a gift, I thought about buying a better one..!?! I couldn't find anything better. I thank M Video for having them. I bought it -"&amp;" I'm happy!!! :)))")</f>
        <v>The vacuum cleaner is chic, convenient, comfortable, compact, light, powerful... I had it for about 5 years. Then I gave it as a gift, I thought about buying a better one..!?! I couldn't find anything better. I thank M Video for having them. I bought it - I'm happy!!! :)))</v>
      </c>
    </row>
    <row r="7940" spans="1:9" x14ac:dyDescent="0.3">
      <c r="A7940" s="1" t="s">
        <v>120</v>
      </c>
      <c r="B7940" s="1" t="s">
        <v>121</v>
      </c>
      <c r="C7940" s="1" t="s">
        <v>122</v>
      </c>
      <c r="D7940" s="1" t="s">
        <v>284</v>
      </c>
      <c r="E7940" s="1" t="s">
        <v>5241</v>
      </c>
      <c r="F7940" s="1" t="s">
        <v>12091</v>
      </c>
      <c r="G7940" s="1" t="s">
        <v>28</v>
      </c>
      <c r="H7940" s="1" t="s">
        <v>29</v>
      </c>
      <c r="I7940" s="1" t="str">
        <f ca="1">IFERROR(__xludf.DUMMYFUNCTION("GOOGLETRANSLATE(F7940, ""auto"", ""en"")
"),"The TV is good, but here's the problem. Either from a flash drive or from a card, music with photos is played, but there is no video. it says “there are no files to play”, I formatted everything and encoded the video, nothing helps")</f>
        <v>The TV is good, but here's the problem. Either from a flash drive or from a card, music with photos is played, but there is no video. it says “there are no files to play”, I formatted everything and encoded the video, nothing helps</v>
      </c>
    </row>
    <row r="7941" spans="1:9" x14ac:dyDescent="0.3">
      <c r="A7941" s="1" t="s">
        <v>17</v>
      </c>
      <c r="B7941" s="1" t="s">
        <v>325</v>
      </c>
      <c r="C7941" s="1" t="s">
        <v>326</v>
      </c>
      <c r="D7941" s="1" t="s">
        <v>621</v>
      </c>
      <c r="E7941" s="1" t="s">
        <v>8488</v>
      </c>
      <c r="F7941" s="1" t="s">
        <v>12092</v>
      </c>
      <c r="G7941" s="1" t="s">
        <v>36</v>
      </c>
      <c r="H7941" s="1" t="s">
        <v>29</v>
      </c>
      <c r="I7941" s="1" t="str">
        <f ca="1">IFERROR(__xludf.DUMMYFUNCTION("GOOGLETRANSLATE(F7941, ""auto"", ""en"")
"),"Great machine, worth the money. We used it for almost a year, then we bought an automatic machine, and gave it to relatives in excellent working condition for use. It washes well, 2 modes, which is important when washing delicate items. We washed absolute"&amp;"ly everything: from curtains, bed linen, to small items - socks, etc.")</f>
        <v>Great machine, worth the money. We used it for almost a year, then we bought an automatic machine, and gave it to relatives in excellent working condition for use. It washes well, 2 modes, which is important when washing delicate items. We washed absolutely everything: from curtains, bed linen, to small items - socks, etc.</v>
      </c>
    </row>
    <row r="7942" spans="1:9" x14ac:dyDescent="0.3">
      <c r="A7942" s="1" t="s">
        <v>61</v>
      </c>
      <c r="B7942" s="1" t="s">
        <v>180</v>
      </c>
      <c r="C7942" s="1" t="s">
        <v>246</v>
      </c>
      <c r="D7942" s="1" t="s">
        <v>2217</v>
      </c>
      <c r="E7942" s="1" t="s">
        <v>1203</v>
      </c>
      <c r="F7942" s="1" t="s">
        <v>12093</v>
      </c>
      <c r="G7942" s="1" t="s">
        <v>36</v>
      </c>
      <c r="H7942" s="1" t="s">
        <v>29</v>
      </c>
      <c r="I7942" s="1" t="str">
        <f ca="1">IFERROR(__xludf.DUMMYFUNCTION("GOOGLETRANSLATE(F7942, ""auto"", ""en"")
"),"I've been using it for two months. Now I only put bread through the toaster! And so, I open everyone’s eyes (for all toasters): The toaster is excellent, after all, it’s a company (I emphasized this). No extra buttons - style and simplicity. It toasts bre"&amp;"ad evenly, you just need to choose the time depending on the thickness (this comes with experience). I do not recommend bread like Kalach, it is rough and not very suitable for toast. I have never used the grate, in principle there is no need for it. It's"&amp;" hard to pull out small pieces. (TEFAL metal, which is just ideal with bread chips). All toasters have the same trays, and any bread can crumble or break off (if anything), so, dear friends, take the trouble - pull out the tray and shake the toaster over "&amp;"the sink in different positions and coordinates! There is no other way to get them (crumbs) out! Good luck everyone!!!")</f>
        <v>I've been using it for two months. Now I only put bread through the toaster! And so, I open everyone’s eyes (for all toasters): The toaster is excellent, after all, it’s a company (I emphasized this). No extra buttons - style and simplicity. It toasts bread evenly, you just need to choose the time depending on the thickness (this comes with experience). I do not recommend bread like Kalach, it is rough and not very suitable for toast. I have never used the grate, in principle there is no need for it. It's hard to pull out small pieces. (TEFAL metal, which is just ideal with bread chips). All toasters have the same trays, and any bread can crumble or break off (if anything), so, dear friends, take the trouble - pull out the tray and shake the toaster over the sink in different positions and coordinates! There is no other way to get them (crumbs) out! Good luck everyone!!!</v>
      </c>
    </row>
    <row r="7943" spans="1:9" x14ac:dyDescent="0.3">
      <c r="A7943" s="1" t="s">
        <v>55</v>
      </c>
      <c r="B7943" s="1" t="s">
        <v>184</v>
      </c>
      <c r="C7943" s="1" t="s">
        <v>185</v>
      </c>
      <c r="D7943" s="1" t="s">
        <v>12094</v>
      </c>
      <c r="E7943" s="1" t="s">
        <v>980</v>
      </c>
      <c r="F7943" s="1" t="s">
        <v>12095</v>
      </c>
      <c r="G7943" s="1" t="s">
        <v>36</v>
      </c>
      <c r="H7943" s="1" t="s">
        <v>29</v>
      </c>
      <c r="I7943" s="1" t="str">
        <f ca="1">IFERROR(__xludf.DUMMYFUNCTION("GOOGLETRANSLATE(F7943, ""auto"", ""en"")
"),"This is one of the best ceramic fan heaters today. You won’t find them in any M.Video store in Moscow (they sell out quickly). They are only available in the only M.Video store near the Voykovskaya metro station. It’s at my work in a shopping complex and "&amp;"it’s warm and cozy there.")</f>
        <v>This is one of the best ceramic fan heaters today. You won’t find them in any M.Video store in Moscow (they sell out quickly). They are only available in the only M.Video store near the Voykovskaya metro station. It’s at my work in a shopping complex and it’s warm and cozy there.</v>
      </c>
    </row>
    <row r="7944" spans="1:9" x14ac:dyDescent="0.3">
      <c r="A7944" s="1" t="s">
        <v>55</v>
      </c>
      <c r="B7944" s="1" t="s">
        <v>752</v>
      </c>
      <c r="C7944" s="1" t="s">
        <v>185</v>
      </c>
      <c r="D7944" s="1" t="s">
        <v>208</v>
      </c>
      <c r="E7944" s="1" t="s">
        <v>3694</v>
      </c>
      <c r="F7944" s="1" t="s">
        <v>12096</v>
      </c>
      <c r="G7944" s="1" t="s">
        <v>36</v>
      </c>
      <c r="H7944" s="1" t="s">
        <v>29</v>
      </c>
      <c r="I7944" s="1" t="str">
        <f ca="1">IFERROR(__xludf.DUMMYFUNCTION("GOOGLETRANSLATE(F7944, ""auto"", ""en"")
"),"A really good heater, in these wild frosts it really saved the whole family from freezing, before it we almost walked around the apartment in jackets. I decided not to save money and took this particular heater; it was not in vain that the seller praised "&amp;"and talked about it. I don’t regret the purchase one bit, the house is warm and cozy.")</f>
        <v>A really good heater, in these wild frosts it really saved the whole family from freezing, before it we almost walked around the apartment in jackets. I decided not to save money and took this particular heater; it was not in vain that the seller praised and talked about it. I don’t regret the purchase one bit, the house is warm and cozy.</v>
      </c>
    </row>
    <row r="7945" spans="1:9" x14ac:dyDescent="0.3">
      <c r="A7945" s="1" t="s">
        <v>211</v>
      </c>
      <c r="B7945" s="1" t="s">
        <v>212</v>
      </c>
      <c r="C7945" s="1" t="s">
        <v>101</v>
      </c>
      <c r="D7945" s="1" t="s">
        <v>774</v>
      </c>
      <c r="E7945" s="1" t="s">
        <v>427</v>
      </c>
      <c r="F7945" s="1" t="s">
        <v>12097</v>
      </c>
      <c r="G7945" s="1" t="s">
        <v>36</v>
      </c>
      <c r="H7945" s="1" t="s">
        <v>29</v>
      </c>
      <c r="I7945" s="1" t="str">
        <f ca="1">IFERROR(__xludf.DUMMYFUNCTION("GOOGLETRANSLATE(F7945, ""auto"", ""en"")
"),"I recently purchased a Scarlet straightener of this model... I really liked it... You can change the heating temperature, because... ordinary models immediately heat up to 200C and can burn your hair when used.. But on this one, even at a temperature of 1"&amp;"60, the hair is perfectly straightened... I used to use the Valera 611.01 Multistyler, after a long use, it began to creak, the springs in the straighteners do not hold, the hair does not straighten... My rating for the scarlet is +5...")</f>
        <v>I recently purchased a Scarlet straightener of this model... I really liked it... You can change the heating temperature, because... ordinary models immediately heat up to 200C and can burn your hair when used.. But on this one, even at a temperature of 160, the hair is perfectly straightened... I used to use the Valera 611.01 Multistyler, after a long use, it began to creak, the springs in the straighteners do not hold, the hair does not straighten... My rating for the scarlet is +5...</v>
      </c>
    </row>
    <row r="7946" spans="1:9" x14ac:dyDescent="0.3">
      <c r="A7946" s="1" t="s">
        <v>30</v>
      </c>
      <c r="B7946" s="1" t="s">
        <v>50</v>
      </c>
      <c r="C7946" s="1" t="s">
        <v>51</v>
      </c>
      <c r="D7946" s="1" t="s">
        <v>1772</v>
      </c>
      <c r="E7946" s="1" t="s">
        <v>1762</v>
      </c>
      <c r="F7946" s="1" t="s">
        <v>12098</v>
      </c>
      <c r="G7946" s="1" t="s">
        <v>36</v>
      </c>
      <c r="H7946" s="1" t="s">
        <v>29</v>
      </c>
      <c r="I7946" s="1" t="str">
        <f ca="1">IFERROR(__xludf.DUMMYFUNCTION("GOOGLETRANSLATE(F7946, ""auto"", ""en"")
"),"super words no Laptop Packard Bell EASYNOTELJ65")</f>
        <v>super words no Laptop Packard Bell EASYNOTELJ65</v>
      </c>
    </row>
    <row r="7947" spans="1:9" x14ac:dyDescent="0.3">
      <c r="A7947" s="1" t="s">
        <v>61</v>
      </c>
      <c r="B7947" s="1" t="s">
        <v>977</v>
      </c>
      <c r="C7947" s="1" t="s">
        <v>213</v>
      </c>
      <c r="D7947" s="1" t="s">
        <v>565</v>
      </c>
      <c r="E7947" s="1" t="s">
        <v>1315</v>
      </c>
      <c r="F7947" s="1" t="s">
        <v>12099</v>
      </c>
      <c r="G7947" s="1" t="s">
        <v>36</v>
      </c>
      <c r="H7947" s="1" t="s">
        <v>29</v>
      </c>
      <c r="I7947" s="1" t="str">
        <f ca="1">IFERROR(__xludf.DUMMYFUNCTION("GOOGLETRANSLATE(F7947, ""auto"", ""en"")
"),"Cool thing! I advise everyone, buy it - you will never regret it. Simply an irreplaceable thing in the kitchen!  I bought it six months ago. I'm very pleased. A wall mount and a lid for the measuring cup would be nice. But even without them the thing is g"&amp;"reat! I will buy the same one as a gift for my mother's birthday.")</f>
        <v>Cool thing! I advise everyone, buy it - you will never regret it. Simply an irreplaceable thing in the kitchen!  I bought it six months ago. I'm very pleased. A wall mount and a lid for the measuring cup would be nice. But even without them the thing is great! I will buy the same one as a gift for my mother's birthday.</v>
      </c>
    </row>
    <row r="7948" spans="1:9" x14ac:dyDescent="0.3">
      <c r="A7948" s="1" t="s">
        <v>557</v>
      </c>
      <c r="B7948" s="1" t="s">
        <v>1977</v>
      </c>
      <c r="C7948" s="1" t="s">
        <v>122</v>
      </c>
      <c r="D7948" s="1" t="s">
        <v>12100</v>
      </c>
      <c r="E7948" s="1" t="s">
        <v>285</v>
      </c>
      <c r="F7948" s="1" t="s">
        <v>12101</v>
      </c>
      <c r="G7948" s="1" t="s">
        <v>36</v>
      </c>
      <c r="H7948" s="1" t="s">
        <v>29</v>
      </c>
      <c r="I7948" s="1" t="str">
        <f ca="1">IFERROR(__xludf.DUMMYFUNCTION("GOOGLETRANSLATE(F7948, ""auto"", ""en"")
"),"Great phone, great design. Especially considering the price! Simply great!")</f>
        <v>Great phone, great design. Especially considering the price! Simply great!</v>
      </c>
    </row>
    <row r="7949" spans="1:9" x14ac:dyDescent="0.3">
      <c r="A7949" s="1" t="s">
        <v>78</v>
      </c>
      <c r="B7949" s="1" t="s">
        <v>493</v>
      </c>
      <c r="C7949" s="1" t="s">
        <v>80</v>
      </c>
      <c r="D7949" s="1" t="s">
        <v>308</v>
      </c>
      <c r="E7949" s="1" t="s">
        <v>5332</v>
      </c>
      <c r="F7949" s="1" t="s">
        <v>12102</v>
      </c>
      <c r="G7949" s="1" t="s">
        <v>36</v>
      </c>
      <c r="H7949" s="1" t="s">
        <v>29</v>
      </c>
      <c r="I7949" s="1" t="str">
        <f ca="1">IFERROR(__xludf.DUMMYFUNCTION("GOOGLETRANSLATE(F7949, ""auto"", ""en"")
"),"After 12 years of faithful service, it broke. Even my little miracle boys (5 years and 2 years old) can warm up in it. And it withstood all their tricks. I’m in a trance. How will I live without her now?! I don't want another one!")</f>
        <v>After 12 years of faithful service, it broke. Even my little miracle boys (5 years and 2 years old) can warm up in it. And it withstood all their tricks. I’m in a trance. How will I live without her now?! I don't want another one!</v>
      </c>
    </row>
    <row r="7950" spans="1:9" x14ac:dyDescent="0.3">
      <c r="A7950" s="1" t="s">
        <v>9</v>
      </c>
      <c r="B7950" s="1" t="s">
        <v>23</v>
      </c>
      <c r="C7950" s="1" t="s">
        <v>466</v>
      </c>
      <c r="D7950" s="1" t="s">
        <v>565</v>
      </c>
      <c r="E7950" s="1" t="s">
        <v>336</v>
      </c>
      <c r="F7950" s="1" t="s">
        <v>12103</v>
      </c>
      <c r="G7950" s="1" t="s">
        <v>49</v>
      </c>
      <c r="H7950" s="1" t="s">
        <v>16</v>
      </c>
      <c r="I7950" s="1" t="str">
        <f ca="1">IFERROR(__xludf.DUMMYFUNCTION("GOOGLETRANSLATE(F7950, ""auto"", ""en"")
"),"we bought it 5 years ago...if I had known the reviews in advance I would have NEVER bought it. It washes disgustingly, the mistakes are tormented, and exactly a year later, trips to service centers began. The cost of repairs was almost the cost of the mac"&amp;"hine. It’s sitting in the garage, broken (a suitcase without a handle, damn, it’s no use and it’s a shame to throw it away))) We bought Siemens - this is the thing.")</f>
        <v>we bought it 5 years ago...if I had known the reviews in advance I would have NEVER bought it. It washes disgustingly, the mistakes are tormented, and exactly a year later, trips to service centers began. The cost of repairs was almost the cost of the machine. It’s sitting in the garage, broken (a suitcase without a handle, damn, it’s no use and it’s a shame to throw it away))) We bought Siemens - this is the thing.</v>
      </c>
    </row>
    <row r="7951" spans="1:9" x14ac:dyDescent="0.3">
      <c r="A7951" s="1" t="s">
        <v>120</v>
      </c>
      <c r="B7951" s="1" t="s">
        <v>196</v>
      </c>
      <c r="C7951" s="1" t="s">
        <v>97</v>
      </c>
      <c r="D7951" s="1" t="s">
        <v>7879</v>
      </c>
      <c r="E7951" s="1" t="s">
        <v>2341</v>
      </c>
      <c r="F7951" s="1" t="s">
        <v>12104</v>
      </c>
      <c r="G7951" s="1" t="s">
        <v>36</v>
      </c>
      <c r="H7951" s="1" t="s">
        <v>29</v>
      </c>
      <c r="I7951" s="1" t="str">
        <f ca="1">IFERROR(__xludf.DUMMYFUNCTION("GOOGLETRANSLATE(F7951, ""auto"", ""en"")
"),"I bought a TV today, before that I had a Panasonic Viera II, it’s immediately noticeable that the image quality when received by an antenna is better, there is less noise, noise reduction works at 5+, although sharpness is noticeably lost, but there is pr"&amp;"actically no noise in the form of red dots.   I liked the many settings; at maximum brightness it is not much different from plasma. There are no problems when connecting to a computer. Picture settings are saved for each mode separately. When you connect"&amp;" a flash drive, it is convenient to listen to music and look at photos at the same time.  The only negative is the inconvenient remote control, it is very thick and the keys are inconveniently located. But this may be a purely subjective opinion.")</f>
        <v>I bought a TV today, before that I had a Panasonic Viera II, it’s immediately noticeable that the image quality when received by an antenna is better, there is less noise, noise reduction works at 5+, although sharpness is noticeably lost, but there is practically no noise in the form of red dots.   I liked the many settings; at maximum brightness it is not much different from plasma. There are no problems when connecting to a computer. Picture settings are saved for each mode separately. When you connect a flash drive, it is convenient to listen to music and look at photos at the same time.  The only negative is the inconvenient remote control, it is very thick and the keys are inconveniently located. But this may be a purely subjective opinion.</v>
      </c>
    </row>
    <row r="7952" spans="1:9" x14ac:dyDescent="0.3">
      <c r="A7952" s="1" t="s">
        <v>30</v>
      </c>
      <c r="B7952" s="1" t="s">
        <v>50</v>
      </c>
      <c r="C7952" s="1" t="s">
        <v>32</v>
      </c>
      <c r="D7952" s="1" t="s">
        <v>280</v>
      </c>
      <c r="E7952" s="1" t="s">
        <v>750</v>
      </c>
      <c r="F7952" s="1" t="s">
        <v>12105</v>
      </c>
      <c r="G7952" s="1" t="s">
        <v>28</v>
      </c>
      <c r="H7952" s="1" t="s">
        <v>29</v>
      </c>
      <c r="I7952" s="1" t="str">
        <f ca="1">IFERROR(__xludf.DUMMYFUNCTION("GOOGLETRANSLATE(F7952, ""auto"", ""en"")
"),"I've been using this laptop for about five months now. By and large I was pleased. Like all models, there are disadvantages, I especially don’t like the short battery life, because of this, the main principle of the laptop, autonomous operation, is lost. "&amp;"This model provides little time away from the outlet, an average of two hours. The installed Vista was also annoying, I had to tear it down. I set it to seven and it turned out that Vista was to blame for the fact that the laptop sometimes slowed down. Wi"&amp;"th seven the laptop works like a clock! As for the rest, by and large, little things, the price-quality ratio is optimal. Normal laptop.")</f>
        <v>I've been using this laptop for about five months now. By and large I was pleased. Like all models, there are disadvantages, I especially don’t like the short battery life, because of this, the main principle of the laptop, autonomous operation, is lost. This model provides little time away from the outlet, an average of two hours. The installed Vista was also annoying, I had to tear it down. I set it to seven and it turned out that Vista was to blame for the fact that the laptop sometimes slowed down. With seven the laptop works like a clock! As for the rest, by and large, little things, the price-quality ratio is optimal. Normal laptop.</v>
      </c>
    </row>
    <row r="7953" spans="1:9" x14ac:dyDescent="0.3">
      <c r="A7953" s="1" t="s">
        <v>169</v>
      </c>
      <c r="B7953" s="1" t="s">
        <v>170</v>
      </c>
      <c r="C7953" s="1" t="s">
        <v>171</v>
      </c>
      <c r="D7953" s="1" t="s">
        <v>11833</v>
      </c>
      <c r="E7953" s="1" t="s">
        <v>1586</v>
      </c>
      <c r="F7953" s="1" t="s">
        <v>12106</v>
      </c>
      <c r="G7953" s="1" t="s">
        <v>28</v>
      </c>
      <c r="H7953" s="1" t="s">
        <v>29</v>
      </c>
      <c r="I7953" s="1" t="str">
        <f ca="1">IFERROR(__xludf.DUMMYFUNCTION("GOOGLETRANSLATE(F7953, ""auto"", ""en"")
"),"The headphones are of average quality... with the Rhythmix player it's tolerable, but... - they start to sound normal after a couple of days... (or do you just get used to it?)... well, in general, the bass is also not bad, the only thing I can say to DK "&amp;"is that those who switch to them from branded ones are terrible... In short, an excellent price-quality ratio...")</f>
        <v>The headphones are of average quality... with the Rhythmix player it's tolerable, but... - they start to sound normal after a couple of days... (or do you just get used to it?)... well, in general, the bass is also not bad, the only thing I can say to DK is that those who switch to them from branded ones are terrible... In short, an excellent price-quality ratio...</v>
      </c>
    </row>
    <row r="7954" spans="1:9" x14ac:dyDescent="0.3">
      <c r="A7954" s="1" t="s">
        <v>17</v>
      </c>
      <c r="B7954" s="1" t="s">
        <v>18</v>
      </c>
      <c r="C7954" s="1" t="s">
        <v>63</v>
      </c>
      <c r="D7954" s="1" t="s">
        <v>695</v>
      </c>
      <c r="E7954" s="1" t="s">
        <v>1190</v>
      </c>
      <c r="F7954" s="1" t="s">
        <v>12107</v>
      </c>
      <c r="G7954" s="1" t="s">
        <v>49</v>
      </c>
      <c r="H7954" s="1" t="s">
        <v>16</v>
      </c>
      <c r="I7954" s="1" t="str">
        <f ca="1">IFERROR(__xludf.DUMMYFUNCTION("GOOGLETRANSLATE(F7954, ""auto"", ""en"")
"),"03/10/2010 ""Overall, I'm happy with the machine, I hope the new one will be without any surprises.""  ----- Replaced with exactly the same one, with the same defect!!! A 15-minute program takes 28 minutes.")</f>
        <v>03/10/2010 "Overall, I'm happy with the machine, I hope the new one will be without any surprises."  ----- Replaced with exactly the same one, with the same defect!!! A 15-minute program takes 28 minutes.</v>
      </c>
    </row>
    <row r="7955" spans="1:9" x14ac:dyDescent="0.3">
      <c r="A7955" s="1" t="s">
        <v>61</v>
      </c>
      <c r="B7955" s="1" t="s">
        <v>318</v>
      </c>
      <c r="C7955" s="1" t="s">
        <v>85</v>
      </c>
      <c r="D7955" s="1" t="s">
        <v>1188</v>
      </c>
      <c r="E7955" s="1" t="s">
        <v>1410</v>
      </c>
      <c r="F7955" s="1" t="s">
        <v>12108</v>
      </c>
      <c r="G7955" s="1" t="s">
        <v>36</v>
      </c>
      <c r="H7955" s="1" t="s">
        <v>29</v>
      </c>
      <c r="I7955" s="1" t="str">
        <f ca="1">IFERROR(__xludf.DUMMYFUNCTION("GOOGLETRANSLATE(F7955, ""auto"", ""en"")
"),"Review from February: the kettle is super, attracts with its design. We have almost all the equipment from this company. With such a kettle it’s nice to drink tea or coffee! I recommend it to everyone!")</f>
        <v>Review from February: the kettle is super, attracts with its design. We have almost all the equipment from this company. With such a kettle it’s nice to drink tea or coffee! I recommend it to everyone!</v>
      </c>
    </row>
    <row r="7956" spans="1:9" x14ac:dyDescent="0.3">
      <c r="A7956" s="1" t="s">
        <v>43</v>
      </c>
      <c r="B7956" s="1" t="s">
        <v>1616</v>
      </c>
      <c r="C7956" s="1" t="s">
        <v>1138</v>
      </c>
      <c r="D7956" s="1" t="s">
        <v>102</v>
      </c>
      <c r="E7956" s="1" t="s">
        <v>8386</v>
      </c>
      <c r="F7956" s="1" t="s">
        <v>12109</v>
      </c>
      <c r="G7956" s="1" t="s">
        <v>49</v>
      </c>
      <c r="H7956" s="1" t="s">
        <v>16</v>
      </c>
      <c r="I7956" s="1" t="str">
        <f ca="1">IFERROR(__xludf.DUMMYFUNCTION("GOOGLETRANSLATE(F7956, ""auto"", ""en"")
"),"The most useless air conditioner ever! On an area of ​​20 sq. You can achieve an air temperature of 18-20 degrees only if you cover everything around with ice! Think before you buy!")</f>
        <v>The most useless air conditioner ever! On an area of ​​20 sq. You can achieve an air temperature of 18-20 degrees only if you cover everything around with ice! Think before you buy!</v>
      </c>
    </row>
    <row r="7957" spans="1:9" x14ac:dyDescent="0.3">
      <c r="A7957" s="1" t="s">
        <v>61</v>
      </c>
      <c r="B7957" s="1" t="s">
        <v>73</v>
      </c>
      <c r="C7957" s="1" t="s">
        <v>146</v>
      </c>
      <c r="D7957" s="1" t="s">
        <v>8069</v>
      </c>
      <c r="E7957" s="1" t="s">
        <v>7122</v>
      </c>
      <c r="F7957" s="1" t="s">
        <v>12110</v>
      </c>
      <c r="G7957" s="1" t="s">
        <v>36</v>
      </c>
      <c r="H7957" s="1" t="s">
        <v>29</v>
      </c>
      <c r="I7957" s="1" t="str">
        <f ca="1">IFERROR(__xludf.DUMMYFUNCTION("GOOGLETRANSLATE(F7957, ""auto"", ""en"")
"),"the meat turns very quickly and easily")</f>
        <v>the meat turns very quickly and easily</v>
      </c>
    </row>
    <row r="7958" spans="1:9" x14ac:dyDescent="0.3">
      <c r="A7958" s="1" t="s">
        <v>149</v>
      </c>
      <c r="B7958" s="1" t="s">
        <v>423</v>
      </c>
      <c r="C7958" s="1" t="s">
        <v>424</v>
      </c>
      <c r="D7958" s="1" t="s">
        <v>411</v>
      </c>
      <c r="E7958" s="1" t="s">
        <v>1705</v>
      </c>
      <c r="F7958" s="1" t="s">
        <v>12111</v>
      </c>
      <c r="G7958" s="1" t="s">
        <v>28</v>
      </c>
      <c r="H7958" s="1" t="s">
        <v>29</v>
      </c>
      <c r="I7958" s="1" t="str">
        <f ca="1">IFERROR(__xludf.DUMMYFUNCTION("GOOGLETRANSLATE(F7958, ""auto"", ""en"")
"),"After reading the reviews and seeing this vacuum cleaner for pennies, I immediately went to buy it. There is nothing complicated in the assembly, everything is clearly written in the instructions, as simple as a Kalashnikov assault rifle. It does not pour"&amp;" out excess water; in general, on a light-colored carpet, after a specially thorough cleaning with a regular vacuum cleaner, this device easily showed that it was needed - the container for dirty water actually contained dirty water. After that, I didn’t "&amp;"even bother about the fact that it needed to be washed after use, etc. - it is used as a second vacuum cleaner for serious cleaning. I set it to 4 because the second time I turned it on, something happened to the miracle box and it died. I'll go exchange "&amp;"it for the same one. It's obvious that it's made in China.")</f>
        <v>After reading the reviews and seeing this vacuum cleaner for pennies, I immediately went to buy it. There is nothing complicated in the assembly, everything is clearly written in the instructions, as simple as a Kalashnikov assault rifle. It does not pour out excess water; in general, on a light-colored carpet, after a specially thorough cleaning with a regular vacuum cleaner, this device easily showed that it was needed - the container for dirty water actually contained dirty water. After that, I didn’t even bother about the fact that it needed to be washed after use, etc. - it is used as a second vacuum cleaner for serious cleaning. I set it to 4 because the second time I turned it on, something happened to the miracle box and it died. I'll go exchange it for the same one. It's obvious that it's made in China.</v>
      </c>
    </row>
    <row r="7959" spans="1:9" x14ac:dyDescent="0.3">
      <c r="A7959" s="1" t="s">
        <v>61</v>
      </c>
      <c r="B7959" s="1" t="s">
        <v>318</v>
      </c>
      <c r="C7959" s="1" t="s">
        <v>101</v>
      </c>
      <c r="D7959" s="1" t="s">
        <v>5031</v>
      </c>
      <c r="E7959" s="1" t="s">
        <v>12112</v>
      </c>
      <c r="F7959" s="1" t="s">
        <v>12113</v>
      </c>
      <c r="G7959" s="1" t="s">
        <v>28</v>
      </c>
      <c r="H7959" s="1" t="s">
        <v>29</v>
      </c>
      <c r="I7959" s="1" t="str">
        <f ca="1">IFERROR(__xludf.DUMMYFUNCTION("GOOGLETRANSLATE(F7959, ""auto"", ""en"")
"),"Nice, pot-bellied teapot! He has been living with me for a little less than a year, but during this time he has only made me happy. At first, however, there was a smell of either plastic or something else - but it disappeared literally after a couple of b"&amp;"oils, and since then it hasn’t even reminded me of itself.")</f>
        <v>Nice, pot-bellied teapot! He has been living with me for a little less than a year, but during this time he has only made me happy. At first, however, there was a smell of either plastic or something else - but it disappeared literally after a couple of boils, and since then it hasn’t even reminded me of itself.</v>
      </c>
    </row>
    <row r="7960" spans="1:9" x14ac:dyDescent="0.3">
      <c r="A7960" s="1" t="s">
        <v>37</v>
      </c>
      <c r="B7960" s="1" t="s">
        <v>536</v>
      </c>
      <c r="C7960" s="1" t="s">
        <v>163</v>
      </c>
      <c r="D7960" s="1" t="s">
        <v>305</v>
      </c>
      <c r="E7960" s="1" t="s">
        <v>1586</v>
      </c>
      <c r="F7960" s="1" t="s">
        <v>12114</v>
      </c>
      <c r="G7960" s="1" t="s">
        <v>36</v>
      </c>
      <c r="H7960" s="1" t="s">
        <v>29</v>
      </c>
      <c r="I7960" s="1" t="str">
        <f ca="1">IFERROR(__xludf.DUMMYFUNCTION("GOOGLETRANSLATE(F7960, ""auto"", ""en"")
"),"I bought the phone more than 1.5 years ago and brought it from Italy. I spent a long time choosing between Nokia and the closest competitor. The best phone in its category so that no one says better no. The play of the lid and the lock button are small th"&amp;"ings and are not noticeable at all. The phone has no cons, works very well, fast and high quality, good display, excellent sound, excellent headphones, comfortable. For all the time there was one glitch, the lock button, when pressed, pressed several time"&amp;"s, but one had to press it five times, updated it, everything disappeared, it worked even faster and that glitch disappeared. use it wisely and everything will work great. I advise everyone to buy it, it's worth your money")</f>
        <v>I bought the phone more than 1.5 years ago and brought it from Italy. I spent a long time choosing between Nokia and the closest competitor. The best phone in its category so that no one says better no. The play of the lid and the lock button are small things and are not noticeable at all. The phone has no cons, works very well, fast and high quality, good display, excellent sound, excellent headphones, comfortable. For all the time there was one glitch, the lock button, when pressed, pressed several times, but one had to press it five times, updated it, everything disappeared, it worked even faster and that glitch disappeared. use it wisely and everything will work great. I advise everyone to buy it, it's worth your money</v>
      </c>
    </row>
    <row r="7961" spans="1:9" x14ac:dyDescent="0.3">
      <c r="A7961" s="1" t="s">
        <v>37</v>
      </c>
      <c r="B7961" s="1" t="s">
        <v>38</v>
      </c>
      <c r="C7961" s="1" t="s">
        <v>163</v>
      </c>
      <c r="D7961" s="1" t="s">
        <v>152</v>
      </c>
      <c r="E7961" s="1" t="s">
        <v>1290</v>
      </c>
      <c r="F7961" s="1" t="s">
        <v>12115</v>
      </c>
      <c r="G7961" s="1" t="s">
        <v>36</v>
      </c>
      <c r="H7961" s="1" t="s">
        <v>29</v>
      </c>
      <c r="I7961" s="1" t="str">
        <f ca="1">IFERROR(__xludf.DUMMYFUNCTION("GOOGLETRANSLATE(F7961, ""auto"", ""en"")
"),"I bought an 8800 carbon instead of an 8600 Luna. The phone is cool! It looks very decent, it has an excellent display (but you can’t see a damn thing in the sun!), the sound is good, the speaker is loud enough. It’s a very good “speakerphone.” The battery"&amp;" lasts better than the Luna. It’s not budget-friendly, but in general it justifies itself. I recommend it for true connoisseurs of Nokia!!)))))")</f>
        <v>I bought an 8800 carbon instead of an 8600 Luna. The phone is cool! It looks very decent, it has an excellent display (but you can’t see a damn thing in the sun!), the sound is good, the speaker is loud enough. It’s a very good “speakerphone.” The battery lasts better than the Luna. It’s not budget-friendly, but in general it justifies itself. I recommend it for true connoisseurs of Nokia!!)))))</v>
      </c>
    </row>
    <row r="7962" spans="1:9" x14ac:dyDescent="0.3">
      <c r="A7962" s="1" t="s">
        <v>55</v>
      </c>
      <c r="B7962" s="1" t="s">
        <v>56</v>
      </c>
      <c r="C7962" s="1" t="s">
        <v>85</v>
      </c>
      <c r="D7962" s="1" t="s">
        <v>117</v>
      </c>
      <c r="E7962" s="1" t="s">
        <v>7286</v>
      </c>
      <c r="F7962" s="1" t="s">
        <v>12116</v>
      </c>
      <c r="G7962" s="1" t="s">
        <v>49</v>
      </c>
      <c r="H7962" s="1" t="s">
        <v>16</v>
      </c>
      <c r="I7962" s="1" t="str">
        <f ca="1">IFERROR(__xludf.DUMMYFUNCTION("GOOGLETRANSLATE(F7962, ""auto"", ""en"")
"),"What can I say about this humidifier, I’ve been pleased with it for half a year now. But, there is one big problem. The banal lack of a filter in the store.")</f>
        <v>What can I say about this humidifier, I’ve been pleased with it for half a year now. But, there is one big problem. The banal lack of a filter in the store.</v>
      </c>
    </row>
    <row r="7963" spans="1:9" x14ac:dyDescent="0.3">
      <c r="A7963" s="1" t="s">
        <v>30</v>
      </c>
      <c r="B7963" s="1" t="s">
        <v>50</v>
      </c>
      <c r="C7963" s="1" t="s">
        <v>377</v>
      </c>
      <c r="D7963" s="1" t="s">
        <v>12117</v>
      </c>
      <c r="E7963" s="1" t="s">
        <v>3465</v>
      </c>
      <c r="F7963" s="1" t="s">
        <v>12118</v>
      </c>
      <c r="G7963" s="1" t="s">
        <v>36</v>
      </c>
      <c r="H7963" s="1" t="s">
        <v>29</v>
      </c>
      <c r="I7963" s="1" t="str">
        <f ca="1">IFERROR(__xludf.DUMMYFUNCTION("GOOGLETRANSLATE(F7963, ""auto"", ""en"")
"),"The laptop is simply super, a real workhorse with everything you need, in addition to a dual-core processor, and a good built-in video card! You won't find anything better for that kind of money!")</f>
        <v>The laptop is simply super, a real workhorse with everything you need, in addition to a dual-core processor, and a good built-in video card! You won't find anything better for that kind of money!</v>
      </c>
    </row>
    <row r="7964" spans="1:9" x14ac:dyDescent="0.3">
      <c r="A7964" s="1" t="s">
        <v>9</v>
      </c>
      <c r="B7964" s="1" t="s">
        <v>10</v>
      </c>
      <c r="C7964" s="1" t="s">
        <v>466</v>
      </c>
      <c r="D7964" s="1" t="s">
        <v>308</v>
      </c>
      <c r="E7964" s="1" t="s">
        <v>12119</v>
      </c>
      <c r="F7964" s="1" t="s">
        <v>12120</v>
      </c>
      <c r="G7964" s="1" t="s">
        <v>36</v>
      </c>
      <c r="H7964" s="1" t="s">
        <v>29</v>
      </c>
      <c r="I7964" s="1" t="str">
        <f ca="1">IFERROR(__xludf.DUMMYFUNCTION("GOOGLETRANSLATE(F7964, ""auto"", ""en"")
"),"The Krona JANNA 500 White hood was purchased for the kitchen along with a new electric stove. All necessary fasteners are included with the hood. It fits very well into the interior of my small (6 sq.m.) kitchen. The hood does its job perfectly in all ope"&amp;"rating modes; at speed 3 it is, of course, a little noisy, but absolutely all odors leave the kitchen through the hood and not through the door. The hood has a separately switchable backlight (lamp power 40W). The aluminum grease filter can be easily remo"&amp;"ved by simply pressing a button, after which it can be easily washed. The hood body is also easy to clean if necessary. With this hood, the “workplace” in the kitchen began to look more solid. I recommend this hood as an affordable and profitable option.")</f>
        <v>The Krona JANNA 500 White hood was purchased for the kitchen along with a new electric stove. All necessary fasteners are included with the hood. It fits very well into the interior of my small (6 sq.m.) kitchen. The hood does its job perfectly in all operating modes; at speed 3 it is, of course, a little noisy, but absolutely all odors leave the kitchen through the hood and not through the door. The hood has a separately switchable backlight (lamp power 40W). The aluminum grease filter can be easily removed by simply pressing a button, after which it can be easily washed. The hood body is also easy to clean if necessary. With this hood, the “workplace” in the kitchen began to look more solid. I recommend this hood as an affordable and profitable option.</v>
      </c>
    </row>
    <row r="7965" spans="1:9" x14ac:dyDescent="0.3">
      <c r="A7965" s="1" t="s">
        <v>369</v>
      </c>
      <c r="B7965" s="1" t="s">
        <v>587</v>
      </c>
      <c r="C7965" s="1" t="s">
        <v>290</v>
      </c>
      <c r="D7965" s="1" t="s">
        <v>89</v>
      </c>
      <c r="E7965" s="1" t="s">
        <v>8867</v>
      </c>
      <c r="F7965" s="1" t="s">
        <v>12121</v>
      </c>
      <c r="G7965" s="1" t="s">
        <v>36</v>
      </c>
      <c r="H7965" s="1" t="s">
        <v>29</v>
      </c>
      <c r="I7965" s="1" t="str">
        <f ca="1">IFERROR(__xludf.DUMMYFUNCTION("GOOGLETRANSLATE(F7965, ""auto"", ""en"")
"),"We have been using the stove for a couple of years now, we bought it from Mvideo. And since then she has not ceased to please.   + the gas stove is very convenient, the conflict burns well, gas control works + the electric oven allows you to perfectly coo"&amp;"k any dish, a large range of programs.  - not found.")</f>
        <v>We have been using the stove for a couple of years now, we bought it from Mvideo. And since then she has not ceased to please.   + the gas stove is very convenient, the conflict burns well, gas control works + the electric oven allows you to perfectly cook any dish, a large range of programs.  - not found.</v>
      </c>
    </row>
    <row r="7966" spans="1:9" x14ac:dyDescent="0.3">
      <c r="A7966" s="1" t="s">
        <v>61</v>
      </c>
      <c r="B7966" s="1" t="s">
        <v>318</v>
      </c>
      <c r="C7966" s="1" t="s">
        <v>246</v>
      </c>
      <c r="D7966" s="1" t="s">
        <v>295</v>
      </c>
      <c r="E7966" s="1" t="s">
        <v>6352</v>
      </c>
      <c r="F7966" s="1" t="s">
        <v>12122</v>
      </c>
      <c r="G7966" s="1" t="s">
        <v>15</v>
      </c>
      <c r="H7966" s="1" t="s">
        <v>16</v>
      </c>
      <c r="I7966" s="1" t="str">
        <f ca="1">IFERROR(__xludf.DUMMYFUNCTION("GOOGLETRANSLATE(F7966, ""auto"", ""en"")
"),"The kettle worked for 2 years, it was terribly noisy. It makes noise like an electric drill, my child was scared of it. After 1.5 years of operation, it stopped turning off - it could boil indefinitely, periodically, however, it worked and turned off. And"&amp;" after 2 years it began to leak in the place where the volume scale was transparent.")</f>
        <v>The kettle worked for 2 years, it was terribly noisy. It makes noise like an electric drill, my child was scared of it. After 1.5 years of operation, it stopped turning off - it could boil indefinitely, periodically, however, it worked and turned off. And after 2 years it began to leak in the place where the volume scale was transparent.</v>
      </c>
    </row>
    <row r="7967" spans="1:9" x14ac:dyDescent="0.3">
      <c r="A7967" s="1" t="s">
        <v>61</v>
      </c>
      <c r="B7967" s="1" t="s">
        <v>73</v>
      </c>
      <c r="C7967" s="1" t="s">
        <v>314</v>
      </c>
      <c r="D7967" s="1" t="s">
        <v>2682</v>
      </c>
      <c r="E7967" s="1" t="s">
        <v>1484</v>
      </c>
      <c r="F7967" s="1" t="s">
        <v>12123</v>
      </c>
      <c r="G7967" s="1" t="s">
        <v>49</v>
      </c>
      <c r="H7967" s="1" t="s">
        <v>16</v>
      </c>
      <c r="I7967" s="1" t="str">
        <f ca="1">IFERROR(__xludf.DUMMYFUNCTION("GOOGLETRANSLATE(F7967, ""auto"", ""en"")
"),"Guys, this meat grinder is for those who have a lot of time (although a mechanical one will suit them). I don't have enough of it. I often put the meat half-thawed. Our selmer cannot cope with it. Or he mates, but in such a way that it would be better if "&amp;"nothing came out of him at all than THIS. Plus the knives rusted after a month. Although it seems to be stainless steel. In short, I was unlucky.")</f>
        <v>Guys, this meat grinder is for those who have a lot of time (although a mechanical one will suit them). I don't have enough of it. I often put the meat half-thawed. Our selmer cannot cope with it. Or he mates, but in such a way that it would be better if nothing came out of him at all than THIS. Plus the knives rusted after a month. Although it seems to be stainless steel. In short, I was unlucky.</v>
      </c>
    </row>
    <row r="7968" spans="1:9" x14ac:dyDescent="0.3">
      <c r="A7968" s="1" t="s">
        <v>120</v>
      </c>
      <c r="B7968" s="1" t="s">
        <v>121</v>
      </c>
      <c r="C7968" s="1" t="s">
        <v>80</v>
      </c>
      <c r="D7968" s="1" t="s">
        <v>52</v>
      </c>
      <c r="E7968" s="1" t="s">
        <v>661</v>
      </c>
      <c r="F7968" s="1" t="s">
        <v>12124</v>
      </c>
      <c r="G7968" s="1" t="s">
        <v>36</v>
      </c>
      <c r="H7968" s="1" t="s">
        <v>29</v>
      </c>
      <c r="I7968" s="1" t="str">
        <f ca="1">IFERROR(__xludf.DUMMYFUNCTION("GOOGLETRANSLATE(F7968, ""auto"", ""en"")
"),"I bought it on sale 3 days ago. The discounted price was good. I chose a TV with USB to watch movies from a 320Gb drive. Reads almost all video formats (avi, mkv). Cable shows very well, it suits me. The best price/quality option.")</f>
        <v>I bought it on sale 3 days ago. The discounted price was good. I chose a TV with USB to watch movies from a 320Gb drive. Reads almost all video formats (avi, mkv). Cable shows very well, it suits me. The best price/quality option.</v>
      </c>
    </row>
    <row r="7969" spans="1:9" x14ac:dyDescent="0.3">
      <c r="A7969" s="1" t="s">
        <v>61</v>
      </c>
      <c r="B7969" s="1" t="s">
        <v>145</v>
      </c>
      <c r="C7969" s="1" t="s">
        <v>146</v>
      </c>
      <c r="D7969" s="1" t="s">
        <v>127</v>
      </c>
      <c r="E7969" s="1" t="s">
        <v>3347</v>
      </c>
      <c r="F7969" s="1" t="s">
        <v>12125</v>
      </c>
      <c r="G7969" s="1" t="s">
        <v>28</v>
      </c>
      <c r="H7969" s="1" t="s">
        <v>29</v>
      </c>
      <c r="I7969" s="1" t="str">
        <f ca="1">IFERROR(__xludf.DUMMYFUNCTION("GOOGLETRANSLATE(F7969, ""auto"", ""en"")
"),"Most cans open quickly and without problems, the main thing is to get used to positioning them correctly. An electric sharpener helps to quickly sharpen cheap kitchen knives; naturally, expensive knives must be sharpened by hand.")</f>
        <v>Most cans open quickly and without problems, the main thing is to get used to positioning them correctly. An electric sharpener helps to quickly sharpen cheap kitchen knives; naturally, expensive knives must be sharpened by hand.</v>
      </c>
    </row>
    <row r="7970" spans="1:9" x14ac:dyDescent="0.3">
      <c r="A7970" s="1" t="s">
        <v>43</v>
      </c>
      <c r="B7970" s="1" t="s">
        <v>1370</v>
      </c>
      <c r="C7970" s="1" t="s">
        <v>2137</v>
      </c>
      <c r="D7970" s="1" t="s">
        <v>39</v>
      </c>
      <c r="E7970" s="1" t="s">
        <v>4967</v>
      </c>
      <c r="F7970" s="1" t="s">
        <v>12126</v>
      </c>
      <c r="G7970" s="1" t="s">
        <v>36</v>
      </c>
      <c r="H7970" s="1" t="s">
        <v>29</v>
      </c>
      <c r="I7970" s="1" t="str">
        <f ca="1">IFERROR(__xludf.DUMMYFUNCTION("GOOGLETRANSLATE(F7970, ""auto"", ""en"")
"),"Bought it yesterday. The set includes a holder for the watering can, the watering can itself, a flexible hose, and a pair of rubber O-rings for it. There is a power cord, quite short, about a meter. In general, you don’t need to buy anything else, unless "&amp;"it’s an extension cord. I was a little puzzled about how to mount it on the wall - the instructions don't really say anything. To do this, you need to unscrew 2 screws at the top and bottom and remove the cover - then the mounting holes will be accessible"&amp;". There are no seals there. The watering can is different from the one in the 3D view. In the center of the watering can is a screw that tightly presses 3 concentric circles of plastic to the base of the watering can. The smallest one has holes on the sid"&amp;"es, the other 2 do not. The set includes 2 similar circles with holes, i.e. you can choose from 3 assembly options - from a thin powerful jet to a thick and more productive one. I fiddled with replacing these circles on the watering can. They fit very tig"&amp;"htly and look like a monolithic casting. To replace the circles, you need to unscrew the screw, the central circle will come out with it, and the other 2 can be carefully picked up with a screwdriver through the resulting hole. I stopped at 2 circles with"&amp;" holes - the central one and the second one, leaving the third one solid. If you leave only the central one, the jets are so sharp that it hurts the skin. With three circles with holes, either the pressure is weak or the water is cold. In general, I was v"&amp;"ery pleased with the device, the installation is very simple, the pressure is sufficient to wash normally in the shower, although noticeably less water flows in general. I don't regret buying it. Naturally, you should use it only with your original wateri"&amp;"ng can and choose for yourself the optimal number of circles with holes in it.")</f>
        <v>Bought it yesterday. The set includes a holder for the watering can, the watering can itself, a flexible hose, and a pair of rubber O-rings for it. There is a power cord, quite short, about a meter. In general, you don’t need to buy anything else, unless it’s an extension cord. I was a little puzzled about how to mount it on the wall - the instructions don't really say anything. To do this, you need to unscrew 2 screws at the top and bottom and remove the cover - then the mounting holes will be accessible. There are no seals there. The watering can is different from the one in the 3D view. In the center of the watering can is a screw that tightly presses 3 concentric circles of plastic to the base of the watering can. The smallest one has holes on the sides, the other 2 do not. The set includes 2 similar circles with holes, i.e. you can choose from 3 assembly options - from a thin powerful jet to a thick and more productive one. I fiddled with replacing these circles on the watering can. They fit very tightly and look like a monolithic casting. To replace the circles, you need to unscrew the screw, the central circle will come out with it, and the other 2 can be carefully picked up with a screwdriver through the resulting hole. I stopped at 2 circles with holes - the central one and the second one, leaving the third one solid. If you leave only the central one, the jets are so sharp that it hurts the skin. With three circles with holes, either the pressure is weak or the water is cold. In general, I was very pleased with the device, the installation is very simple, the pressure is sufficient to wash normally in the shower, although noticeably less water flows in general. I don't regret buying it. Naturally, you should use it only with your original watering can and choose for yourself the optimal number of circles with holes in it.</v>
      </c>
    </row>
    <row r="7971" spans="1:9" x14ac:dyDescent="0.3">
      <c r="A7971" s="1" t="s">
        <v>149</v>
      </c>
      <c r="B7971" s="1" t="s">
        <v>423</v>
      </c>
      <c r="C7971" s="1" t="s">
        <v>531</v>
      </c>
      <c r="D7971" s="1" t="s">
        <v>565</v>
      </c>
      <c r="E7971" s="1" t="s">
        <v>1784</v>
      </c>
      <c r="F7971" s="1" t="s">
        <v>12127</v>
      </c>
      <c r="G7971" s="1" t="s">
        <v>28</v>
      </c>
      <c r="H7971" s="1" t="s">
        <v>29</v>
      </c>
      <c r="I7971" s="1" t="str">
        <f ca="1">IFERROR(__xludf.DUMMYFUNCTION("GOOGLETRANSLATE(F7971, ""auto"", ""en"")
"),"The vacuum cleaner, in my opinion, is good, you just need to understand why you are taking it and what you are willing to sacrifice for it. It is not suitable if your apartment is less than 80 m2 (it simply will not fit in it either during cleaning or in "&amp;"standby mode), it MUST be washed, but with skill and some effort it still takes less time than regularly running around with a bucket and mop, so as not to rub dirty water around the house and not to eliminate floor stains, with it your floor is clean aft"&amp;"er the first time. Yes, you will need to add water and throw out the filter, but after it it’s really clean, I don’t know if it cleans the air, but there is much less dust on the furniture. It is definitely necessary for general cleaning, especially for t"&amp;"hose who have a lot of light-colored things in the house, it is heavy, but the wise Germans came up with wheels, if there is a lot of long-haired hair, it probably won’t work, I have a cat, I don’t have a lot of hair, so I don’t experience any problems. I"&amp;" was generally delighted, although it was overshadowed by the fact that the pump immediately started leaking (a puddle formed under it), so I’m thinking of going to you for warranty repairs, welcome, I’ve already gotten used to my assistant and I won’t gi"&amp;"ve up on him for anything. P.S. The materials are high quality, well assembled, but the price could be lower.")</f>
        <v>The vacuum cleaner, in my opinion, is good, you just need to understand why you are taking it and what you are willing to sacrifice for it. It is not suitable if your apartment is less than 80 m2 (it simply will not fit in it either during cleaning or in standby mode), it MUST be washed, but with skill and some effort it still takes less time than regularly running around with a bucket and mop, so as not to rub dirty water around the house and not to eliminate floor stains, with it your floor is clean after the first time. Yes, you will need to add water and throw out the filter, but after it it’s really clean, I don’t know if it cleans the air, but there is much less dust on the furniture. It is definitely necessary for general cleaning, especially for those who have a lot of light-colored things in the house, it is heavy, but the wise Germans came up with wheels, if there is a lot of long-haired hair, it probably won’t work, I have a cat, I don’t have a lot of hair, so I don’t experience any problems. I was generally delighted, although it was overshadowed by the fact that the pump immediately started leaking (a puddle formed under it), so I’m thinking of going to you for warranty repairs, welcome, I’ve already gotten used to my assistant and I won’t give up on him for anything. P.S. The materials are high quality, well assembled, but the price could be lower.</v>
      </c>
    </row>
    <row r="7972" spans="1:9" x14ac:dyDescent="0.3">
      <c r="A7972" s="1" t="s">
        <v>61</v>
      </c>
      <c r="B7972" s="1" t="s">
        <v>318</v>
      </c>
      <c r="C7972" s="1" t="s">
        <v>69</v>
      </c>
      <c r="D7972" s="1" t="s">
        <v>916</v>
      </c>
      <c r="E7972" s="1" t="s">
        <v>2616</v>
      </c>
      <c r="F7972" s="1" t="s">
        <v>12128</v>
      </c>
      <c r="G7972" s="1" t="s">
        <v>36</v>
      </c>
      <c r="H7972" s="1" t="s">
        <v>29</v>
      </c>
      <c r="I7972" s="1" t="str">
        <f ca="1">IFERROR(__xludf.DUMMYFUNCTION("GOOGLETRANSLATE(F7972, ""auto"", ""en"")
"),"I bought this kettle in 2009 and immediately liked it. It still works! Water is lovely. The heating time remains the same. I immediately took the second one as a spare. The 3-year warranty purchased was of no use!")</f>
        <v>I bought this kettle in 2009 and immediately liked it. It still works! Water is lovely. The heating time remains the same. I immediately took the second one as a spare. The 3-year warranty purchased was of no use!</v>
      </c>
    </row>
    <row r="7973" spans="1:9" x14ac:dyDescent="0.3">
      <c r="A7973" s="1" t="s">
        <v>169</v>
      </c>
      <c r="B7973" s="1" t="s">
        <v>170</v>
      </c>
      <c r="C7973" s="1" t="s">
        <v>193</v>
      </c>
      <c r="D7973" s="1" t="s">
        <v>916</v>
      </c>
      <c r="E7973" s="1" t="s">
        <v>3203</v>
      </c>
      <c r="F7973" s="1" t="s">
        <v>12129</v>
      </c>
      <c r="G7973" s="1" t="s">
        <v>36</v>
      </c>
      <c r="H7973" s="1" t="s">
        <v>29</v>
      </c>
      <c r="I7973" s="1" t="str">
        <f ca="1">IFERROR(__xludf.DUMMYFUNCTION("GOOGLETRANSLATE(F7973, ""auto"", ""en"")
"),"Good sound quality, solid construction.")</f>
        <v>Good sound quality, solid construction.</v>
      </c>
    </row>
    <row r="7974" spans="1:9" x14ac:dyDescent="0.3">
      <c r="A7974" s="1" t="s">
        <v>211</v>
      </c>
      <c r="B7974" s="1" t="s">
        <v>212</v>
      </c>
      <c r="C7974" s="1" t="s">
        <v>213</v>
      </c>
      <c r="D7974" s="1" t="s">
        <v>32</v>
      </c>
      <c r="E7974" s="1" t="s">
        <v>2916</v>
      </c>
      <c r="F7974" s="1" t="s">
        <v>12130</v>
      </c>
      <c r="G7974" s="1" t="s">
        <v>28</v>
      </c>
      <c r="H7974" s="1" t="s">
        <v>29</v>
      </c>
      <c r="I7974" s="1" t="str">
        <f ca="1">IFERROR(__xludf.DUMMYFUNCTION("GOOGLETRANSLATE(F7974, ""auto"", ""en"")
"),"I bought a straightener about 2 years ago. Of course I don't use it every day. But I like everything about it. It heats up quickly, doesn’t particularly burn the hair, and straightens it quite quickly. In general, I'm satisfied. I think that its price and"&amp;" quality correspond to its functions.")</f>
        <v>I bought a straightener about 2 years ago. Of course I don't use it every day. But I like everything about it. It heats up quickly, doesn’t particularly burn the hair, and straightens it quite quickly. In general, I'm satisfied. I think that its price and quality correspond to its functions.</v>
      </c>
    </row>
    <row r="7975" spans="1:9" x14ac:dyDescent="0.3">
      <c r="A7975" s="1" t="s">
        <v>120</v>
      </c>
      <c r="B7975" s="1" t="s">
        <v>1205</v>
      </c>
      <c r="C7975" s="1" t="s">
        <v>1430</v>
      </c>
      <c r="D7975" s="1" t="s">
        <v>345</v>
      </c>
      <c r="E7975" s="1" t="s">
        <v>4860</v>
      </c>
      <c r="F7975" s="1" t="s">
        <v>12131</v>
      </c>
      <c r="G7975" s="1" t="s">
        <v>36</v>
      </c>
      <c r="H7975" s="1" t="s">
        <v>29</v>
      </c>
      <c r="I7975" s="1" t="str">
        <f ca="1">IFERROR(__xludf.DUMMYFUNCTION("GOOGLETRANSLATE(F7975, ""auto"", ""en"")
"),"Judging by the responses, television is worth tuning into.")</f>
        <v>Judging by the responses, television is worth tuning into.</v>
      </c>
    </row>
    <row r="7976" spans="1:9" x14ac:dyDescent="0.3">
      <c r="A7976" s="1" t="s">
        <v>95</v>
      </c>
      <c r="B7976" s="1" t="s">
        <v>96</v>
      </c>
      <c r="C7976" s="1" t="s">
        <v>97</v>
      </c>
      <c r="D7976" s="1" t="s">
        <v>52</v>
      </c>
      <c r="E7976" s="1" t="s">
        <v>4522</v>
      </c>
      <c r="F7976" s="1" t="s">
        <v>12132</v>
      </c>
      <c r="G7976" s="1" t="s">
        <v>15</v>
      </c>
      <c r="H7976" s="1" t="s">
        <v>16</v>
      </c>
      <c r="I7976" s="1" t="str">
        <f ca="1">IFERROR(__xludf.DUMMYFUNCTION("GOOGLETRANSLATE(F7976, ""auto"", ""en"")
"),"1)PSP does not work for 6 hours without recharging!  2) There is no memory card.  3) There is no USB cable!  5) It doesn’t always connect to the Internet ((buggy))!!!")</f>
        <v>1)PSP does not work for 6 hours without recharging!  2) There is no memory card.  3) There is no USB cable!  5) It doesn’t always connect to the Internet ((buggy))!!!</v>
      </c>
    </row>
    <row r="7977" spans="1:9" x14ac:dyDescent="0.3">
      <c r="A7977" s="1" t="s">
        <v>169</v>
      </c>
      <c r="B7977" s="1" t="s">
        <v>170</v>
      </c>
      <c r="C7977" s="1" t="s">
        <v>97</v>
      </c>
      <c r="D7977" s="1" t="s">
        <v>232</v>
      </c>
      <c r="E7977" s="1" t="s">
        <v>1164</v>
      </c>
      <c r="F7977" s="1" t="s">
        <v>12133</v>
      </c>
      <c r="G7977" s="1" t="s">
        <v>36</v>
      </c>
      <c r="H7977" s="1" t="s">
        <v>29</v>
      </c>
      <c r="I7977" s="1" t="str">
        <f ca="1">IFERROR(__xludf.DUMMYFUNCTION("GOOGLETRANSLATE(F7977, ""auto"", ""en"")
"),"I think these are great headphones. In intensive use for 8 years (mainly the TV) and only now they broke down (infrared emitters).  The price, quality and stated technical characteristics are optimal. I'm going to buy the same ones, but with an index of 1"&amp;"40.")</f>
        <v>I think these are great headphones. In intensive use for 8 years (mainly the TV) and only now they broke down (infrared emitters).  The price, quality and stated technical characteristics are optimal. I'm going to buy the same ones, but with an index of 140.</v>
      </c>
    </row>
    <row r="7978" spans="1:9" x14ac:dyDescent="0.3">
      <c r="A7978" s="1" t="s">
        <v>78</v>
      </c>
      <c r="B7978" s="1" t="s">
        <v>79</v>
      </c>
      <c r="C7978" s="1" t="s">
        <v>80</v>
      </c>
      <c r="D7978" s="1" t="s">
        <v>471</v>
      </c>
      <c r="E7978" s="1" t="s">
        <v>2354</v>
      </c>
      <c r="F7978" s="1" t="s">
        <v>12134</v>
      </c>
      <c r="G7978" s="1" t="s">
        <v>49</v>
      </c>
      <c r="H7978" s="1" t="s">
        <v>16</v>
      </c>
      <c r="I7978" s="1" t="str">
        <f ca="1">IFERROR(__xludf.DUMMYFUNCTION("GOOGLETRANSLATE(F7978, ""auto"", ""en"")
"),"We bought it more than a year ago, within a year we sent it in for warranty repairs 3 times (it didn’t heat up). It worked intermittently for 1.5 years, became noisy and began to smoke. We did not use any functions other than warming up. We bought it for "&amp;"the design. I will never buy products from this company.")</f>
        <v>We bought it more than a year ago, within a year we sent it in for warranty repairs 3 times (it didn’t heat up). It worked intermittently for 1.5 years, became noisy and began to smoke. We did not use any functions other than warming up. We bought it for the design. I will never buy products from this company.</v>
      </c>
    </row>
    <row r="7979" spans="1:9" x14ac:dyDescent="0.3">
      <c r="A7979" s="1" t="s">
        <v>169</v>
      </c>
      <c r="B7979" s="1" t="s">
        <v>170</v>
      </c>
      <c r="C7979" s="1" t="s">
        <v>171</v>
      </c>
      <c r="D7979" s="1" t="s">
        <v>12135</v>
      </c>
      <c r="E7979" s="1" t="s">
        <v>3333</v>
      </c>
      <c r="F7979" s="1" t="s">
        <v>12136</v>
      </c>
      <c r="G7979" s="1" t="s">
        <v>49</v>
      </c>
      <c r="H7979" s="1" t="s">
        <v>16</v>
      </c>
      <c r="I7979" s="1" t="str">
        <f ca="1">IFERROR(__xludf.DUMMYFUNCTION("GOOGLETRANSLATE(F7979, ""auto"", ""en"")
"),"Don't buy!  The sound quality is disgusting, there is no bass at all, if you turn up the volume a little (on an MP3 player) it starts to wheeze. Resistance is 16 ohms instead of the declared 32, i.e. They take twice as much power (and at the same time sou"&amp;"nd quieter). I’m writing all this in comparison with the standard ears from the cheap Samsung yp-u5 player. The only thing I was worried about was the fastening. They fit like a glove (I run in them).")</f>
        <v>Don't buy!  The sound quality is disgusting, there is no bass at all, if you turn up the volume a little (on an MP3 player) it starts to wheeze. Resistance is 16 ohms instead of the declared 32, i.e. They take twice as much power (and at the same time sound quieter). I’m writing all this in comparison with the standard ears from the cheap Samsung yp-u5 player. The only thing I was worried about was the fastening. They fit like a glove (I run in them).</v>
      </c>
    </row>
    <row r="7980" spans="1:9" x14ac:dyDescent="0.3">
      <c r="A7980" s="1" t="s">
        <v>30</v>
      </c>
      <c r="B7980" s="1" t="s">
        <v>50</v>
      </c>
      <c r="C7980" s="1" t="s">
        <v>32</v>
      </c>
      <c r="D7980" s="1" t="s">
        <v>9245</v>
      </c>
      <c r="E7980" s="1" t="s">
        <v>1037</v>
      </c>
      <c r="F7980" s="1" t="s">
        <v>12137</v>
      </c>
      <c r="G7980" s="1" t="s">
        <v>36</v>
      </c>
      <c r="H7980" s="1" t="s">
        <v>29</v>
      </c>
      <c r="I7980" s="1" t="str">
        <f ca="1">IFERROR(__xludf.DUMMYFUNCTION("GOOGLETRANSLATE(F7980, ""auto"", ""en"")
"),"It’s just that this model does not have bluetooth, but there is also a similar model and it is sold abroad, it has a 310 GB hdd and bluetooth! the difference in these numbers is 314G25, there is something else there, the model is not supplied to Russia wi"&amp;"th bluetooth")</f>
        <v>It’s just that this model does not have bluetooth, but there is also a similar model and it is sold abroad, it has a 310 GB hdd and bluetooth! the difference in these numbers is 314G25, there is something else there, the model is not supplied to Russia with bluetooth</v>
      </c>
    </row>
    <row r="7981" spans="1:9" x14ac:dyDescent="0.3">
      <c r="A7981" s="1" t="s">
        <v>111</v>
      </c>
      <c r="B7981" s="1" t="s">
        <v>636</v>
      </c>
      <c r="C7981" s="1" t="s">
        <v>637</v>
      </c>
      <c r="D7981" s="1" t="s">
        <v>127</v>
      </c>
      <c r="E7981" s="1" t="s">
        <v>12138</v>
      </c>
      <c r="F7981" s="1" t="s">
        <v>12139</v>
      </c>
      <c r="G7981" s="1" t="s">
        <v>36</v>
      </c>
      <c r="H7981" s="1" t="s">
        <v>29</v>
      </c>
      <c r="I7981" s="1" t="str">
        <f ca="1">IFERROR(__xludf.DUMMYFUNCTION("GOOGLETRANSLATE(F7981, ""auto"", ""en"")
"),"Great station. For 2 years there have not been a single problem, I only change the batteries once a year. Thin, shows everything you need - temperature and humidity inside and outside, forecast - nothing superfluous. After the purchase, I was pleasantly s"&amp;"urprised that the station receives an exact time signal (although I was told that the signal does not reach Moscow). Although at first I couldn’t understand why the clock was always off by 2 o’clock. It turned out that the time zone had to be set correctl"&amp;"y. I installed +2, and since then I have an absolutely accurate watch. Now I bought the same one for my parents. They like it too.")</f>
        <v>Great station. For 2 years there have not been a single problem, I only change the batteries once a year. Thin, shows everything you need - temperature and humidity inside and outside, forecast - nothing superfluous. After the purchase, I was pleasantly surprised that the station receives an exact time signal (although I was told that the signal does not reach Moscow). Although at first I couldn’t understand why the clock was always off by 2 o’clock. It turned out that the time zone had to be set correctly. I installed +2, and since then I have an absolutely accurate watch. Now I bought the same one for my parents. They like it too.</v>
      </c>
    </row>
    <row r="7982" spans="1:9" x14ac:dyDescent="0.3">
      <c r="A7982" s="1" t="s">
        <v>120</v>
      </c>
      <c r="B7982" s="1" t="s">
        <v>121</v>
      </c>
      <c r="C7982" s="1" t="s">
        <v>122</v>
      </c>
      <c r="D7982" s="1" t="s">
        <v>653</v>
      </c>
      <c r="E7982" s="1" t="s">
        <v>1992</v>
      </c>
      <c r="F7982" s="1" t="s">
        <v>12140</v>
      </c>
      <c r="G7982" s="1" t="s">
        <v>36</v>
      </c>
      <c r="H7982" s="1" t="s">
        <v>29</v>
      </c>
      <c r="I7982" s="1" t="str">
        <f ca="1">IFERROR(__xludf.DUMMYFUNCTION("GOOGLETRANSLATE(F7982, ""auto"", ""en"")
"),"The image is very three-dimensional, the depth of color is felt. But at the same time, nothing unnatural catches the eye, it’s an easy picture. The noise reduction works great, the image of a lower resolution is stretched efficiently. 32-inch diagonal))) "&amp;"I’ll also note the convenient menu, much better than many. I am completely satisfied with the Panasonic TX-LR32 C10 LCD monitor :)")</f>
        <v>The image is very three-dimensional, the depth of color is felt. But at the same time, nothing unnatural catches the eye, it’s an easy picture. The noise reduction works great, the image of a lower resolution is stretched efficiently. 32-inch diagonal))) I’ll also note the convenient menu, much better than many. I am completely satisfied with the Panasonic TX-LR32 C10 LCD monitor :)</v>
      </c>
    </row>
    <row r="7983" spans="1:9" x14ac:dyDescent="0.3">
      <c r="A7983" s="1" t="s">
        <v>624</v>
      </c>
      <c r="B7983" s="1" t="s">
        <v>6461</v>
      </c>
      <c r="C7983" s="1" t="s">
        <v>479</v>
      </c>
      <c r="D7983" s="1" t="s">
        <v>12141</v>
      </c>
      <c r="E7983" s="1" t="s">
        <v>1352</v>
      </c>
      <c r="F7983" s="1" t="s">
        <v>12142</v>
      </c>
      <c r="G7983" s="1" t="s">
        <v>36</v>
      </c>
      <c r="H7983" s="1" t="s">
        <v>29</v>
      </c>
      <c r="I7983" s="1" t="str">
        <f ca="1">IFERROR(__xludf.DUMMYFUNCTION("GOOGLETRANSLATE(F7983, ""auto"", ""en"")
"),"The game is just great!!!")</f>
        <v>The game is just great!!!</v>
      </c>
    </row>
    <row r="7984" spans="1:9" x14ac:dyDescent="0.3">
      <c r="A7984" s="1" t="s">
        <v>61</v>
      </c>
      <c r="B7984" s="1" t="s">
        <v>180</v>
      </c>
      <c r="C7984" s="1" t="s">
        <v>69</v>
      </c>
      <c r="D7984" s="1" t="s">
        <v>471</v>
      </c>
      <c r="E7984" s="1" t="s">
        <v>563</v>
      </c>
      <c r="F7984" s="1" t="s">
        <v>12143</v>
      </c>
      <c r="G7984" s="1" t="s">
        <v>28</v>
      </c>
      <c r="H7984" s="1" t="s">
        <v>29</v>
      </c>
      <c r="I7984" s="1" t="str">
        <f ca="1">IFERROR(__xludf.DUMMYFUNCTION("GOOGLETRANSLATE(F7984, ""auto"", ""en"")
"),"NOT a bad toaster, but the only disadvantage of toasters is that for some reason you have to pull them out of there with your hands, although the consultant said in the store that they jump out of there themselves and even a small child and I are scared b"&amp;"y how it clicks when the bread is toasted!")</f>
        <v>NOT a bad toaster, but the only disadvantage of toasters is that for some reason you have to pull them out of there with your hands, although the consultant said in the store that they jump out of there themselves and even a small child and I are scared by how it clicks when the bread is toasted!</v>
      </c>
    </row>
    <row r="7985" spans="1:9" x14ac:dyDescent="0.3">
      <c r="A7985" s="1" t="s">
        <v>30</v>
      </c>
      <c r="B7985" s="1" t="s">
        <v>50</v>
      </c>
      <c r="C7985" s="1" t="s">
        <v>32</v>
      </c>
      <c r="D7985" s="1" t="s">
        <v>12144</v>
      </c>
      <c r="E7985" s="1" t="s">
        <v>346</v>
      </c>
      <c r="F7985" s="1" t="s">
        <v>12145</v>
      </c>
      <c r="G7985" s="1" t="s">
        <v>36</v>
      </c>
      <c r="H7985" s="1" t="s">
        <v>29</v>
      </c>
      <c r="I7985" s="1" t="str">
        <f ca="1">IFERROR(__xludf.DUMMYFUNCTION("GOOGLETRANSLATE(F7985, ""auto"", ""en"")
"),"I bought it back in November! Great laptop. Enough memory. No problems in five months. The games are narrowed down, which gives excellent quality. Overall the laptop is great. For that kind of money, you won’t find anyone like him now! Buy it, you won’t r"&amp;"egret it.")</f>
        <v>I bought it back in November! Great laptop. Enough memory. No problems in five months. The games are narrowed down, which gives excellent quality. Overall the laptop is great. For that kind of money, you won’t find anyone like him now! Buy it, you won’t regret it.</v>
      </c>
    </row>
    <row r="7986" spans="1:9" x14ac:dyDescent="0.3">
      <c r="A7986" s="1" t="s">
        <v>369</v>
      </c>
      <c r="B7986" s="1" t="s">
        <v>370</v>
      </c>
      <c r="C7986" s="1" t="s">
        <v>588</v>
      </c>
      <c r="D7986" s="1" t="s">
        <v>12146</v>
      </c>
      <c r="E7986" s="1" t="s">
        <v>5955</v>
      </c>
      <c r="F7986" s="1" t="s">
        <v>12147</v>
      </c>
      <c r="G7986" s="1" t="s">
        <v>28</v>
      </c>
      <c r="H7986" s="1" t="s">
        <v>29</v>
      </c>
      <c r="I7986" s="1" t="str">
        <f ca="1">IFERROR(__xludf.DUMMYFUNCTION("GOOGLETRANSLATE(F7986, ""auto"", ""en"")
"),"After what happened, this stove is simply a miracle. The only thing is that on the very first day of purchase, the mess ran away and a stain remained that could not be washed off; it could be cleaned with a special product, but I think this is a common pr"&amp;"oblem with glass-ceramic surfaces. Overall satisfied. Heats up quickly and doesn't take long to cool down.")</f>
        <v>After what happened, this stove is simply a miracle. The only thing is that on the very first day of purchase, the mess ran away and a stain remained that could not be washed off; it could be cleaned with a special product, but I think this is a common problem with glass-ceramic surfaces. Overall satisfied. Heats up quickly and doesn't take long to cool down.</v>
      </c>
    </row>
    <row r="7987" spans="1:9" x14ac:dyDescent="0.3">
      <c r="A7987" s="1" t="s">
        <v>557</v>
      </c>
      <c r="B7987" s="1" t="s">
        <v>1977</v>
      </c>
      <c r="C7987" s="1" t="s">
        <v>369</v>
      </c>
      <c r="D7987" s="1" t="s">
        <v>305</v>
      </c>
      <c r="E7987" s="1" t="s">
        <v>12148</v>
      </c>
      <c r="F7987" s="1" t="s">
        <v>12149</v>
      </c>
      <c r="G7987" s="1" t="s">
        <v>49</v>
      </c>
      <c r="H7987" s="1" t="s">
        <v>16</v>
      </c>
      <c r="I7987" s="1" t="str">
        <f ca="1">IFERROR(__xludf.DUMMYFUNCTION("GOOGLETRANSLATE(F7987, ""auto"", ""en"")
"),"Bought 2.08.15 worked until 26.11.15. I stopped identifying numbers completely. I had to replace this device with another one. I won't buy this kind of junk again.")</f>
        <v>Bought 2.08.15 worked until 26.11.15. I stopped identifying numbers completely. I had to replace this device with another one. I won't buy this kind of junk again.</v>
      </c>
    </row>
    <row r="7988" spans="1:9" x14ac:dyDescent="0.3">
      <c r="A7988" s="1" t="s">
        <v>211</v>
      </c>
      <c r="B7988" s="1" t="s">
        <v>265</v>
      </c>
      <c r="C7988" s="1" t="s">
        <v>1591</v>
      </c>
      <c r="D7988" s="1" t="s">
        <v>8667</v>
      </c>
      <c r="E7988" s="1" t="s">
        <v>1441</v>
      </c>
      <c r="F7988" s="1" t="s">
        <v>12150</v>
      </c>
      <c r="G7988" s="1" t="s">
        <v>36</v>
      </c>
      <c r="H7988" s="1" t="s">
        <v>29</v>
      </c>
      <c r="I7988" s="1" t="str">
        <f ca="1">IFERROR(__xludf.DUMMYFUNCTION("GOOGLETRANSLATE(F7988, ""auto"", ""en"")
"),"I bought this machine for my boys to take home and cut their hair. The shape is compact, it’s comfortable to hold in your hand, it works quickly, you don’t need to put much effort into cutting your hair, and it’s convenient to adjust the length using the "&amp;"lever. Now in the summer it is especially important because no one wants to walk around hot with long hair))")</f>
        <v>I bought this machine for my boys to take home and cut their hair. The shape is compact, it’s comfortable to hold in your hand, it works quickly, you don’t need to put much effort into cutting your hair, and it’s convenient to adjust the length using the lever. Now in the summer it is especially important because no one wants to walk around hot with long hair))</v>
      </c>
    </row>
    <row r="7989" spans="1:9" x14ac:dyDescent="0.3">
      <c r="A7989" s="1" t="s">
        <v>30</v>
      </c>
      <c r="B7989" s="1" t="s">
        <v>50</v>
      </c>
      <c r="C7989" s="1" t="s">
        <v>51</v>
      </c>
      <c r="D7989" s="1" t="s">
        <v>64</v>
      </c>
      <c r="E7989" s="1" t="s">
        <v>2733</v>
      </c>
      <c r="F7989" s="1" t="s">
        <v>12151</v>
      </c>
      <c r="G7989" s="1" t="s">
        <v>28</v>
      </c>
      <c r="H7989" s="1" t="s">
        <v>29</v>
      </c>
      <c r="I7989" s="1" t="str">
        <f ca="1">IFERROR(__xludf.DUMMYFUNCTION("GOOGLETRANSLATE(F7989, ""auto"", ""en"")
"),"We chose it for our daughter. First, according to external data. The technical data is also said to be good. But! Such an elegant, at first glance, laptop weighs 3 kg. It’s heavy!")</f>
        <v>We chose it for our daughter. First, according to external data. The technical data is also said to be good. But! Such an elegant, at first glance, laptop weighs 3 kg. It’s heavy!</v>
      </c>
    </row>
    <row r="7990" spans="1:9" x14ac:dyDescent="0.3">
      <c r="A7990" s="1" t="s">
        <v>61</v>
      </c>
      <c r="B7990" s="1" t="s">
        <v>145</v>
      </c>
      <c r="C7990" s="1" t="s">
        <v>45</v>
      </c>
      <c r="D7990" s="1" t="s">
        <v>12152</v>
      </c>
      <c r="E7990" s="1" t="s">
        <v>781</v>
      </c>
      <c r="F7990" s="1" t="s">
        <v>12153</v>
      </c>
      <c r="G7990" s="1" t="s">
        <v>36</v>
      </c>
      <c r="H7990" s="1" t="s">
        <v>29</v>
      </c>
      <c r="I7990" s="1" t="str">
        <f ca="1">IFERROR(__xludf.DUMMYFUNCTION("GOOGLETRANSLATE(F7990, ""auto"", ""en"")
"),"Gorgeous thing! You can cook almost anything! Replaces many electrical kitchen appliances! Everything turns out tastier than in the oven.")</f>
        <v>Gorgeous thing! You can cook almost anything! Replaces many electrical kitchen appliances! Everything turns out tastier than in the oven.</v>
      </c>
    </row>
    <row r="7991" spans="1:9" x14ac:dyDescent="0.3">
      <c r="A7991" s="1" t="s">
        <v>9</v>
      </c>
      <c r="B7991" s="1" t="s">
        <v>10</v>
      </c>
      <c r="C7991" s="1" t="s">
        <v>407</v>
      </c>
      <c r="D7991" s="1" t="s">
        <v>2250</v>
      </c>
      <c r="E7991" s="1" t="s">
        <v>3835</v>
      </c>
      <c r="F7991" s="1" t="s">
        <v>12154</v>
      </c>
      <c r="G7991" s="1" t="s">
        <v>36</v>
      </c>
      <c r="H7991" s="1" t="s">
        <v>29</v>
      </c>
      <c r="I7991" s="1" t="str">
        <f ca="1">IFERROR(__xludf.DUMMYFUNCTION("GOOGLETRANSLATE(F7991, ""auto"", ""en"")
"),"I liked the hood for its interesting appearance. Looks really cool in our kitchen!!! Features - auto shut-off, very quiet operation even at maximum power, operation in air exhaust or circulation mode, grease filter, touch control, bright halogen bulbs (co"&amp;"ld filter), thanks to the dark coating, it practically does not collect fingerprints and does not get dirty.")</f>
        <v>I liked the hood for its interesting appearance. Looks really cool in our kitchen!!! Features - auto shut-off, very quiet operation even at maximum power, operation in air exhaust or circulation mode, grease filter, touch control, bright halogen bulbs (cold filter), thanks to the dark coating, it practically does not collect fingerprints and does not get dirty.</v>
      </c>
    </row>
    <row r="7992" spans="1:9" x14ac:dyDescent="0.3">
      <c r="A7992" s="1" t="s">
        <v>211</v>
      </c>
      <c r="B7992" s="1" t="s">
        <v>212</v>
      </c>
      <c r="C7992" s="1" t="s">
        <v>69</v>
      </c>
      <c r="D7992" s="1" t="s">
        <v>240</v>
      </c>
      <c r="E7992" s="1" t="s">
        <v>7274</v>
      </c>
      <c r="F7992" s="1" t="s">
        <v>12155</v>
      </c>
      <c r="G7992" s="1" t="s">
        <v>49</v>
      </c>
      <c r="H7992" s="1" t="s">
        <v>16</v>
      </c>
      <c r="I7992" s="1" t="str">
        <f ca="1">IFERROR(__xludf.DUMMYFUNCTION("GOOGLETRANSLATE(F7992, ""auto"", ""en"")
"),"It's a waste of money, the device is useless, it's a stupid hair dryer with five attachments that is not capable of anything else!!!")</f>
        <v>It's a waste of money, the device is useless, it's a stupid hair dryer with five attachments that is not capable of anything else!!!</v>
      </c>
    </row>
    <row r="7993" spans="1:9" x14ac:dyDescent="0.3">
      <c r="A7993" s="1" t="s">
        <v>149</v>
      </c>
      <c r="B7993" s="1" t="s">
        <v>155</v>
      </c>
      <c r="C7993" s="1" t="s">
        <v>80</v>
      </c>
      <c r="D7993" s="1" t="s">
        <v>295</v>
      </c>
      <c r="E7993" s="1" t="s">
        <v>6715</v>
      </c>
      <c r="F7993" s="1" t="s">
        <v>12156</v>
      </c>
      <c r="G7993" s="1" t="s">
        <v>36</v>
      </c>
      <c r="H7993" s="1" t="s">
        <v>29</v>
      </c>
      <c r="I7993" s="1" t="str">
        <f ca="1">IFERROR(__xludf.DUMMYFUNCTION("GOOGLETRANSLATE(F7993, ""auto"", ""en"")
"),"A vacuum cleaner is supposed to suck out dust, which it does perfectly. I am very pleased, there is a turbo brush, and the dust is compressed, and the container is not a bag!!! Everything washes great! The main thing is to wash everything after each clean"&amp;"ing of the apartment and you will be happy! I have already found mine)))")</f>
        <v>A vacuum cleaner is supposed to suck out dust, which it does perfectly. I am very pleased, there is a turbo brush, and the dust is compressed, and the container is not a bag!!! Everything washes great! The main thing is to wash everything after each cleaning of the apartment and you will be happy! I have already found mine)))</v>
      </c>
    </row>
    <row r="7994" spans="1:9" x14ac:dyDescent="0.3">
      <c r="A7994" s="1" t="s">
        <v>120</v>
      </c>
      <c r="B7994" s="1" t="s">
        <v>256</v>
      </c>
      <c r="C7994" s="1" t="s">
        <v>658</v>
      </c>
      <c r="D7994" s="1" t="s">
        <v>61</v>
      </c>
      <c r="E7994" s="1" t="s">
        <v>736</v>
      </c>
      <c r="F7994" s="1" t="s">
        <v>12157</v>
      </c>
      <c r="G7994" s="1" t="s">
        <v>36</v>
      </c>
      <c r="H7994" s="1" t="s">
        <v>29</v>
      </c>
      <c r="I7994" s="1" t="str">
        <f ca="1">IFERROR(__xludf.DUMMYFUNCTION("GOOGLETRANSLATE(F7994, ""auto"", ""en"")
"),"Of all the LCD TVs presented in the store, this one displayed small text best of all, and since I bought it for the kitchen, this parameter is very important for me, even from a distance of 4 meters there is quite decent clarity. A very big plus was the f"&amp;"act that the option to adjust individual colors is available in the TV settings.")</f>
        <v>Of all the LCD TVs presented in the store, this one displayed small text best of all, and since I bought it for the kitchen, this parameter is very important for me, even from a distance of 4 meters there is quite decent clarity. A very big plus was the fact that the option to adjust individual colors is available in the TV settings.</v>
      </c>
    </row>
    <row r="7995" spans="1:9" x14ac:dyDescent="0.3">
      <c r="A7995" s="1" t="s">
        <v>61</v>
      </c>
      <c r="B7995" s="1" t="s">
        <v>318</v>
      </c>
      <c r="C7995" s="1" t="s">
        <v>246</v>
      </c>
      <c r="D7995" s="1" t="s">
        <v>2217</v>
      </c>
      <c r="E7995" s="1" t="s">
        <v>8951</v>
      </c>
      <c r="F7995" s="1" t="s">
        <v>12158</v>
      </c>
      <c r="G7995" s="1" t="s">
        <v>15</v>
      </c>
      <c r="H7995" s="1" t="s">
        <v>16</v>
      </c>
      <c r="I7995" s="1" t="str">
        <f ca="1">IFERROR(__xludf.DUMMYFUNCTION("GOOGLETRANSLATE(F7995, ""auto"", ""en"")
"),"No smell, boils quickly")</f>
        <v>No smell, boils quickly</v>
      </c>
    </row>
    <row r="7996" spans="1:9" x14ac:dyDescent="0.3">
      <c r="A7996" s="1" t="s">
        <v>30</v>
      </c>
      <c r="B7996" s="1" t="s">
        <v>50</v>
      </c>
      <c r="C7996" s="1" t="s">
        <v>1003</v>
      </c>
      <c r="D7996" s="1" t="s">
        <v>12159</v>
      </c>
      <c r="E7996" s="1" t="s">
        <v>1494</v>
      </c>
      <c r="F7996" s="1" t="s">
        <v>12160</v>
      </c>
      <c r="G7996" s="1" t="s">
        <v>36</v>
      </c>
      <c r="H7996" s="1" t="s">
        <v>29</v>
      </c>
      <c r="I7996" s="1" t="str">
        <f ca="1">IFERROR(__xludf.DUMMYFUNCTION("GOOGLETRANSLATE(F7996, ""auto"", ""en"")
"),"bought 8 months ago have never regretted it, it’s worth its price")</f>
        <v>bought 8 months ago have never regretted it, it’s worth its price</v>
      </c>
    </row>
    <row r="7997" spans="1:9" x14ac:dyDescent="0.3">
      <c r="A7997" s="1" t="s">
        <v>477</v>
      </c>
      <c r="B7997" s="1" t="s">
        <v>478</v>
      </c>
      <c r="C7997" s="1" t="s">
        <v>479</v>
      </c>
      <c r="D7997" s="1" t="s">
        <v>5509</v>
      </c>
      <c r="E7997" s="1" t="s">
        <v>3664</v>
      </c>
      <c r="F7997" s="1" t="s">
        <v>12161</v>
      </c>
      <c r="G7997" s="1" t="s">
        <v>49</v>
      </c>
      <c r="H7997" s="1" t="s">
        <v>16</v>
      </c>
      <c r="I7997" s="1" t="str">
        <f ca="1">IFERROR(__xludf.DUMMYFUNCTION("GOOGLETRANSLATE(F7997, ""auto"", ""en"")
"),"I strongly recommend not to waste money on this game!!! Beautifully painted on the disc, in reality it turns out to be a third-rate shooter. Apart from the terrible, outdated graphics, the optimization of the game itself is beyond description. Having a Co"&amp;"re i7 and a 1 GB GTX 280 video on your machine, with 6 GB of RAM loading levels can take up to 5 minutes!!! Crysis at maximum settings takes 15-30 seconds to load. Plus the stupidest AI, levels can be completed with a pistol and 100% headshots (statistics"&amp;" at the end of the level). If you are interested in jungle, mercenaries and gunfire, then your choice is Far Cry.")</f>
        <v>I strongly recommend not to waste money on this game!!! Beautifully painted on the disc, in reality it turns out to be a third-rate shooter. Apart from the terrible, outdated graphics, the optimization of the game itself is beyond description. Having a Core i7 and a 1 GB GTX 280 video on your machine, with 6 GB of RAM loading levels can take up to 5 minutes!!! Crysis at maximum settings takes 15-30 seconds to load. Plus the stupidest AI, levels can be completed with a pistol and 100% headshots (statistics at the end of the level). If you are interested in jungle, mercenaries and gunfire, then your choice is Far Cry.</v>
      </c>
    </row>
    <row r="7998" spans="1:9" x14ac:dyDescent="0.3">
      <c r="A7998" s="1" t="s">
        <v>9</v>
      </c>
      <c r="B7998" s="1" t="s">
        <v>137</v>
      </c>
      <c r="C7998" s="1" t="s">
        <v>870</v>
      </c>
      <c r="D7998" s="1" t="s">
        <v>308</v>
      </c>
      <c r="E7998" s="1" t="s">
        <v>2202</v>
      </c>
      <c r="F7998" s="1" t="s">
        <v>12162</v>
      </c>
      <c r="G7998" s="1" t="s">
        <v>36</v>
      </c>
      <c r="H7998" s="1" t="s">
        <v>29</v>
      </c>
      <c r="I7998" s="1" t="str">
        <f ca="1">IFERROR(__xludf.DUMMYFUNCTION("GOOGLETRANSLATE(F7998, ""auto"", ""en"")
"),"And I’ve been wiping this panel with microfiber cloths for a long time (first wet, then dry) - no streaks either. And, of course, periodically with special products for stainless steel. The panel has very convenient electric ignition - easy and fast. The "&amp;"panel heats up, but not much. Regarding the review from Anna: I agree with everything, and as for the impossibility of placing two large pans next to each other - this is true, but the same thing happened to me on the Indesit stove. By the way, you need t"&amp;"o be careful - it scratches very easily, but these small scratches are not particularly visible.")</f>
        <v>And I’ve been wiping this panel with microfiber cloths for a long time (first wet, then dry) - no streaks either. And, of course, periodically with special products for stainless steel. The panel has very convenient electric ignition - easy and fast. The panel heats up, but not much. Regarding the review from Anna: I agree with everything, and as for the impossibility of placing two large pans next to each other - this is true, but the same thing happened to me on the Indesit stove. By the way, you need to be careful - it scratches very easily, but these small scratches are not particularly visible.</v>
      </c>
    </row>
    <row r="7999" spans="1:9" x14ac:dyDescent="0.3">
      <c r="A7999" s="1" t="s">
        <v>78</v>
      </c>
      <c r="B7999" s="1" t="s">
        <v>79</v>
      </c>
      <c r="C7999" s="1" t="s">
        <v>122</v>
      </c>
      <c r="D7999" s="1" t="s">
        <v>8758</v>
      </c>
      <c r="E7999" s="1" t="s">
        <v>2278</v>
      </c>
      <c r="F7999" s="1" t="s">
        <v>12163</v>
      </c>
      <c r="G7999" s="1" t="s">
        <v>28</v>
      </c>
      <c r="H7999" s="1" t="s">
        <v>29</v>
      </c>
      <c r="I7999" s="1" t="str">
        <f ca="1">IFERROR(__xludf.DUMMYFUNCTION("GOOGLETRANSLATE(F7999, ""auto"", ""en"")
"),"I bought it on 02/20/2010, I’m satisfied: it heats up evenly, it’s a good grill, it’s quite powerful, it’s stylish.   Among the shortcomings: the icon on the ""STOP\RESET"" button completely disappeared on the 2nd day, a very small window, weak backlight.")</f>
        <v>I bought it on 02/20/2010, I’m satisfied: it heats up evenly, it’s a good grill, it’s quite powerful, it’s stylish.   Among the shortcomings: the icon on the "STOP\RESET" button completely disappeared on the 2nd day, a very small window, weak backlight.</v>
      </c>
    </row>
    <row r="8000" spans="1:9" x14ac:dyDescent="0.3">
      <c r="A8000" s="1" t="s">
        <v>30</v>
      </c>
      <c r="B8000" s="1" t="s">
        <v>50</v>
      </c>
      <c r="C8000" s="1" t="s">
        <v>1003</v>
      </c>
      <c r="D8000" s="1" t="s">
        <v>247</v>
      </c>
      <c r="E8000" s="1" t="s">
        <v>5798</v>
      </c>
      <c r="F8000" s="1" t="s">
        <v>12164</v>
      </c>
      <c r="G8000" s="1" t="s">
        <v>36</v>
      </c>
      <c r="H8000" s="1" t="s">
        <v>29</v>
      </c>
      <c r="I8000" s="1" t="str">
        <f ca="1">IFERROR(__xludf.DUMMYFUNCTION("GOOGLETRANSLATE(F8000, ""auto"", ""en"")
"),"A week after we bought it, the flight is normal, the operating system is lovely, Windows is very convenient, the laptop itself is quiet, heats up moderately (doesn’t bother you), the keyboard is comfortable, you don’t need to get used to it. The filling i"&amp;"s simple, no frills. The battery included with the remote control turned out to be weak, replaced it with a new one, everything is OK. Point more precisely to the IR port, it doesn't pick up the signal very quickly. For aesthetic users, I can say that I w"&amp;"as completely satisfied)))) Very beautiful, not even... stylish. Silver metal on black looks very beautiful. You really can fall in love, like Katya))) You have to love your equipment, it lasts longer))))) Conclusion: it’s worth its price.")</f>
        <v>A week after we bought it, the flight is normal, the operating system is lovely, Windows is very convenient, the laptop itself is quiet, heats up moderately (doesn’t bother you), the keyboard is comfortable, you don’t need to get used to it. The filling is simple, no frills. The battery included with the remote control turned out to be weak, replaced it with a new one, everything is OK. Point more precisely to the IR port, it doesn't pick up the signal very quickly. For aesthetic users, I can say that I was completely satisfied)))) Very beautiful, not even... stylish. Silver metal on black looks very beautiful. You really can fall in love, like Katya))) You have to love your equipment, it lasts longer))))) Conclusion: it’s worth its price.</v>
      </c>
    </row>
    <row r="8001" spans="1:9" x14ac:dyDescent="0.3">
      <c r="A8001" s="1" t="s">
        <v>78</v>
      </c>
      <c r="B8001" s="1" t="s">
        <v>1163</v>
      </c>
      <c r="C8001" s="1" t="s">
        <v>459</v>
      </c>
      <c r="D8001" s="1" t="s">
        <v>3273</v>
      </c>
      <c r="E8001" s="1" t="s">
        <v>11295</v>
      </c>
      <c r="F8001" s="1" t="s">
        <v>12165</v>
      </c>
      <c r="G8001" s="1" t="s">
        <v>36</v>
      </c>
      <c r="H8001" s="1" t="s">
        <v>29</v>
      </c>
      <c r="I8001" s="1" t="str">
        <f ca="1">IFERROR(__xludf.DUMMYFUNCTION("GOOGLETRANSLATE(F8001, ""auto"", ""en"")
"),"Only positives on all sides.")</f>
        <v>Only positives on all sides.</v>
      </c>
    </row>
    <row r="8002" spans="1:9" x14ac:dyDescent="0.3">
      <c r="A8002" s="1" t="s">
        <v>361</v>
      </c>
      <c r="B8002" s="1" t="s">
        <v>2555</v>
      </c>
      <c r="C8002" s="1" t="s">
        <v>4871</v>
      </c>
      <c r="D8002" s="1" t="s">
        <v>39</v>
      </c>
      <c r="E8002" s="1" t="s">
        <v>5977</v>
      </c>
      <c r="F8002" s="1" t="s">
        <v>12166</v>
      </c>
      <c r="G8002" s="1" t="s">
        <v>36</v>
      </c>
      <c r="H8002" s="1" t="s">
        <v>29</v>
      </c>
      <c r="I8002" s="1" t="str">
        <f ca="1">IFERROR(__xludf.DUMMYFUNCTION("GOOGLETRANSLATE(F8002, ""auto"", ""en"")
"),"I just recommend it, it’s expensive, but it’s something you can pay for for three years now and I’m satisfied. There is no residue left from the tea leaves or coffee. I use it regularly... THANK YOU for the product")</f>
        <v>I just recommend it, it’s expensive, but it’s something you can pay for for three years now and I’m satisfied. There is no residue left from the tea leaves or coffee. I use it regularly... THANK YOU for the product</v>
      </c>
    </row>
    <row r="8003" spans="1:9" x14ac:dyDescent="0.3">
      <c r="A8003" s="1" t="s">
        <v>43</v>
      </c>
      <c r="B8003" s="1" t="s">
        <v>44</v>
      </c>
      <c r="C8003" s="1" t="s">
        <v>45</v>
      </c>
      <c r="D8003" s="1" t="s">
        <v>1008</v>
      </c>
      <c r="E8003" s="1" t="s">
        <v>3426</v>
      </c>
      <c r="F8003" s="1" t="s">
        <v>12167</v>
      </c>
      <c r="G8003" s="1" t="s">
        <v>36</v>
      </c>
      <c r="H8003" s="1" t="s">
        <v>29</v>
      </c>
      <c r="I8003" s="1" t="str">
        <f ca="1">IFERROR(__xludf.DUMMYFUNCTION("GOOGLETRANSLATE(F8003, ""auto"", ""en"")
"),"Price-quality. At 3rd speed it shakes and vibrates, but this can be fixed with a piece of paper)) put in the right place and in order.")</f>
        <v>Price-quality. At 3rd speed it shakes and vibrates, but this can be fixed with a piece of paper)) put in the right place and in order.</v>
      </c>
    </row>
    <row r="8004" spans="1:9" x14ac:dyDescent="0.3">
      <c r="A8004" s="1" t="s">
        <v>37</v>
      </c>
      <c r="B8004" s="1" t="s">
        <v>38</v>
      </c>
      <c r="C8004" s="1" t="s">
        <v>163</v>
      </c>
      <c r="D8004" s="1" t="s">
        <v>142</v>
      </c>
      <c r="E8004" s="1" t="s">
        <v>1219</v>
      </c>
      <c r="F8004" s="1" t="s">
        <v>12168</v>
      </c>
      <c r="G8004" s="1" t="s">
        <v>36</v>
      </c>
      <c r="H8004" s="1" t="s">
        <v>29</v>
      </c>
      <c r="I8004" s="1" t="str">
        <f ca="1">IFERROR(__xludf.DUMMYFUNCTION("GOOGLETRANSLATE(F8004, ""auto"", ""en"")
"),"The phone is not bad, even very good, but does not support icg!")</f>
        <v>The phone is not bad, even very good, but does not support icg!</v>
      </c>
    </row>
    <row r="8005" spans="1:9" x14ac:dyDescent="0.3">
      <c r="A8005" s="1" t="s">
        <v>43</v>
      </c>
      <c r="B8005" s="1" t="s">
        <v>303</v>
      </c>
      <c r="C8005" s="1" t="s">
        <v>1721</v>
      </c>
      <c r="D8005" s="1" t="s">
        <v>12169</v>
      </c>
      <c r="E8005" s="1" t="s">
        <v>1467</v>
      </c>
      <c r="F8005" s="1" t="s">
        <v>12170</v>
      </c>
      <c r="G8005" s="1" t="s">
        <v>49</v>
      </c>
      <c r="H8005" s="1" t="s">
        <v>16</v>
      </c>
      <c r="I8005" s="1" t="str">
        <f ca="1">IFERROR(__xludf.DUMMYFUNCTION("GOOGLETRANSLATE(F8005, ""auto"", ""en"")
"),"I bought this water heater through an online store. Overall, Mvideo was very pleased with the work, but the Ariston boiler turned out to be of very poor quality. First I started digging around the safety valve. They called the service technicians and said"&amp;" that the temperature sensor had failed, and the temperature was heating up above normal, hence the excess pressure and the faucet began to drip. It seems like they replaced everything on the grenade, but not even a couple of months passed and the heating"&amp;" element bent. In general, during these 4 months there was plenty of hassle with this thing.")</f>
        <v>I bought this water heater through an online store. Overall, Mvideo was very pleased with the work, but the Ariston boiler turned out to be of very poor quality. First I started digging around the safety valve. They called the service technicians and said that the temperature sensor had failed, and the temperature was heating up above normal, hence the excess pressure and the faucet began to drip. It seems like they replaced everything on the grenade, but not even a couple of months passed and the heating element bent. In general, during these 4 months there was plenty of hassle with this thing.</v>
      </c>
    </row>
    <row r="8006" spans="1:9" x14ac:dyDescent="0.3">
      <c r="A8006" s="1" t="s">
        <v>61</v>
      </c>
      <c r="B8006" s="1" t="s">
        <v>318</v>
      </c>
      <c r="C8006" s="1" t="s">
        <v>213</v>
      </c>
      <c r="D8006" s="1" t="s">
        <v>1917</v>
      </c>
      <c r="E8006" s="1" t="s">
        <v>343</v>
      </c>
      <c r="F8006" s="1" t="s">
        <v>12171</v>
      </c>
      <c r="G8006" s="1" t="s">
        <v>49</v>
      </c>
      <c r="H8006" s="1" t="s">
        <v>16</v>
      </c>
      <c r="I8006" s="1" t="str">
        <f ca="1">IFERROR(__xludf.DUMMYFUNCTION("GOOGLETRANSLATE(F8006, ""auto"", ""en"")
"),"didn't find it")</f>
        <v>didn't find it</v>
      </c>
    </row>
    <row r="8007" spans="1:9" x14ac:dyDescent="0.3">
      <c r="A8007" s="1" t="s">
        <v>61</v>
      </c>
      <c r="B8007" s="1" t="s">
        <v>145</v>
      </c>
      <c r="C8007" s="1" t="s">
        <v>85</v>
      </c>
      <c r="D8007" s="1" t="s">
        <v>280</v>
      </c>
      <c r="E8007" s="1" t="s">
        <v>8166</v>
      </c>
      <c r="F8007" s="1" t="s">
        <v>12172</v>
      </c>
      <c r="G8007" s="1" t="s">
        <v>49</v>
      </c>
      <c r="H8007" s="1" t="s">
        <v>16</v>
      </c>
      <c r="I8007" s="1" t="str">
        <f ca="1">IFERROR(__xludf.DUMMYFUNCTION("GOOGLETRANSLATE(F8007, ""auto"", ""en"")
"),"We purchased a steamer 2 years ago. According to my personal observations, it is not comfortable at all! I haven't used any other steamers. Disadvantages of this one: 1. The drip tray fills up very quickly!!! Steamed cutlets. Their preparation time accord"&amp;"ing to the recipe is about 30 minutes. During these 30 minutes you need to drain the liquid from the pan about 6 times!!! And draining the liquid from the pan means: turn off the steamer (you now need to remember how long you cooked), remove all the bowls"&amp;", take the tray filled to the brim, and drain all the liquid from there. If you are lucky and notice the bowl filling ahead of time, the fatty broth from the bowl will not flow into the clean water reservoir. This procedure needs to be repeated more than "&amp;"once, it’s just torture. 2. Lack of a pause button, and inconvenient time setting. 3. Related to point 1. It is generally inconvenient to drain water (or if fat gets into the water tank, this is even worse). Everything flows around the edges, pours into t"&amp;"he joints of the body. In general, in terms of ease of use, I absolutely did not like the steamer!!")</f>
        <v>We purchased a steamer 2 years ago. According to my personal observations, it is not comfortable at all! I haven't used any other steamers. Disadvantages of this one: 1. The drip tray fills up very quickly!!! Steamed cutlets. Their preparation time according to the recipe is about 30 minutes. During these 30 minutes you need to drain the liquid from the pan about 6 times!!! And draining the liquid from the pan means: turn off the steamer (you now need to remember how long you cooked), remove all the bowls, take the tray filled to the brim, and drain all the liquid from there. If you are lucky and notice the bowl filling ahead of time, the fatty broth from the bowl will not flow into the clean water reservoir. This procedure needs to be repeated more than once, it’s just torture. 2. Lack of a pause button, and inconvenient time setting. 3. Related to point 1. It is generally inconvenient to drain water (or if fat gets into the water tank, this is even worse). Everything flows around the edges, pours into the joints of the body. In general, in terms of ease of use, I absolutely did not like the steamer!!</v>
      </c>
    </row>
    <row r="8008" spans="1:9" x14ac:dyDescent="0.3">
      <c r="A8008" s="1" t="s">
        <v>211</v>
      </c>
      <c r="B8008" s="1" t="s">
        <v>410</v>
      </c>
      <c r="C8008" s="1" t="s">
        <v>213</v>
      </c>
      <c r="D8008" s="1" t="s">
        <v>12173</v>
      </c>
      <c r="E8008" s="1" t="s">
        <v>5944</v>
      </c>
      <c r="F8008" s="1" t="s">
        <v>12174</v>
      </c>
      <c r="G8008" s="1" t="s">
        <v>36</v>
      </c>
      <c r="H8008" s="1" t="s">
        <v>29</v>
      </c>
      <c r="I8008" s="1" t="str">
        <f ca="1">IFERROR(__xludf.DUMMYFUNCTION("GOOGLETRANSLATE(F8008, ""auto"", ""en"")
"),"A regular razor causes irritation. When he took it, Brown was afraid that he would also cause irritation, but he was wrong. I've been using it for almost 2 years now. It shaves clean, the battery lasts a long time, and there is a charging indicator. The k"&amp;"it includes a small brush that is convenient for cleaning the cassette. Quite satisfied.")</f>
        <v>A regular razor causes irritation. When he took it, Brown was afraid that he would also cause irritation, but he was wrong. I've been using it for almost 2 years now. It shaves clean, the battery lasts a long time, and there is a charging indicator. The kit includes a small brush that is convenient for cleaning the cassette. Quite satisfied.</v>
      </c>
    </row>
    <row r="8009" spans="1:9" x14ac:dyDescent="0.3">
      <c r="A8009" s="1" t="s">
        <v>61</v>
      </c>
      <c r="B8009" s="1" t="s">
        <v>318</v>
      </c>
      <c r="C8009" s="1" t="s">
        <v>745</v>
      </c>
      <c r="D8009" s="1" t="s">
        <v>75</v>
      </c>
      <c r="E8009" s="1" t="s">
        <v>1312</v>
      </c>
      <c r="F8009" s="1" t="s">
        <v>12175</v>
      </c>
      <c r="G8009" s="1" t="s">
        <v>36</v>
      </c>
      <c r="H8009" s="1" t="s">
        <v>29</v>
      </c>
      <c r="I8009" s="1" t="str">
        <f ca="1">IFERROR(__xludf.DUMMYFUNCTION("GOOGLETRANSLATE(F8009, ""auto"", ""en"")
"),"We bought this kettle 3 weeks ago and were absolutely delighted. A very good kettle. There was a metallic taste during the first week of use, but now everything is fine. Regarding what some people write - it beeps disgustingly, it’s not true - it’s an ord"&amp;"inary signal, like a modern microwave (we’re used to it), so it’s not annoying, rather, this signal can be considered a plus - when you’re in another part of the apartment, it’s very useful to hear the notification about boiling and water in the kettle. I"&amp;"t boils water quickly; as for the noise, I want to say that the kettle is not quiet, although there is nothing to compare it with (before this there was a thermopot). In general, the noise is not annoying. But there is a very convenient temperature mainte"&amp;"nance function, which we often use. Convenient 2-sided water level indicator. In general, the kettle suited our needs perfectly, and we did not find any disadvantages in it.")</f>
        <v>We bought this kettle 3 weeks ago and were absolutely delighted. A very good kettle. There was a metallic taste during the first week of use, but now everything is fine. Regarding what some people write - it beeps disgustingly, it’s not true - it’s an ordinary signal, like a modern microwave (we’re used to it), so it’s not annoying, rather, this signal can be considered a plus - when you’re in another part of the apartment, it’s very useful to hear the notification about boiling and water in the kettle. It boils water quickly; as for the noise, I want to say that the kettle is not quiet, although there is nothing to compare it with (before this there was a thermopot). In general, the noise is not annoying. But there is a very convenient temperature maintenance function, which we often use. Convenient 2-sided water level indicator. In general, the kettle suited our needs perfectly, and we did not find any disadvantages in it.</v>
      </c>
    </row>
    <row r="8010" spans="1:9" x14ac:dyDescent="0.3">
      <c r="A8010" s="1" t="s">
        <v>30</v>
      </c>
      <c r="B8010" s="1" t="s">
        <v>50</v>
      </c>
      <c r="C8010" s="1" t="s">
        <v>189</v>
      </c>
      <c r="D8010" s="1" t="s">
        <v>12176</v>
      </c>
      <c r="E8010" s="1" t="s">
        <v>1181</v>
      </c>
      <c r="F8010" s="1" t="s">
        <v>12177</v>
      </c>
      <c r="G8010" s="1" t="s">
        <v>28</v>
      </c>
      <c r="H8010" s="1" t="s">
        <v>29</v>
      </c>
      <c r="I8010" s="1" t="str">
        <f ca="1">IFERROR(__xludf.DUMMYFUNCTION("GOOGLETRANSLATE(F8010, ""auto"", ""en"")
"),"The laptop is good, very playful.. HD flies, I haven’t tried the games since I bought it as a gift for my girlfriend! True, sometimes the touchpad really doesn’t work...apparently because of the technology against accidental touches...and sometimes the pr"&amp;"ocessor whistles...when it’s running on battery power or when the mouse on the right is disabled. And of course I would like a premium home, and not a basic one... because the basic one can be buggy... it infuriates you when you place all the shortcuts on"&amp;" the table, and after a reboot, they lie interspersed, despite the fact that all the ordering settings have been disabled.")</f>
        <v>The laptop is good, very playful.. HD flies, I haven’t tried the games since I bought it as a gift for my girlfriend! True, sometimes the touchpad really doesn’t work...apparently because of the technology against accidental touches...and sometimes the processor whistles...when it’s running on battery power or when the mouse on the right is disabled. And of course I would like a premium home, and not a basic one... because the basic one can be buggy... it infuriates you when you place all the shortcuts on the table, and after a reboot, they lie interspersed, despite the fact that all the ordering settings have been disabled.</v>
      </c>
    </row>
    <row r="8011" spans="1:9" x14ac:dyDescent="0.3">
      <c r="A8011" s="1" t="s">
        <v>30</v>
      </c>
      <c r="B8011" s="1" t="s">
        <v>50</v>
      </c>
      <c r="C8011" s="1" t="s">
        <v>377</v>
      </c>
      <c r="D8011" s="1" t="s">
        <v>12178</v>
      </c>
      <c r="E8011" s="1" t="s">
        <v>3794</v>
      </c>
      <c r="F8011" s="1" t="s">
        <v>12179</v>
      </c>
      <c r="G8011" s="1" t="s">
        <v>36</v>
      </c>
      <c r="H8011" s="1" t="s">
        <v>29</v>
      </c>
      <c r="I8011" s="1" t="str">
        <f ca="1">IFERROR(__xludf.DUMMYFUNCTION("GOOGLETRANSLATE(F8011, ""auto"", ""en"")
"),"My husband and I bought this note a month ago and are incredibly pleased. Windows 7 also pleasantly pleased me, so far there have been no problems with installing programs or games. The keyboard is soft, it's a pleasure to type, overall the cutest noteboo"&amp;"k I've ever seen in the store!!!!!!! :)) you won't regret it!")</f>
        <v>My husband and I bought this note a month ago and are incredibly pleased. Windows 7 also pleasantly pleased me, so far there have been no problems with installing programs or games. The keyboard is soft, it's a pleasure to type, overall the cutest notebook I've ever seen in the store!!!!!!! :)) you won't regret it!</v>
      </c>
    </row>
    <row r="8012" spans="1:9" x14ac:dyDescent="0.3">
      <c r="A8012" s="1" t="s">
        <v>61</v>
      </c>
      <c r="B8012" s="1" t="s">
        <v>318</v>
      </c>
      <c r="C8012" s="1" t="s">
        <v>2840</v>
      </c>
      <c r="D8012" s="1" t="s">
        <v>152</v>
      </c>
      <c r="E8012" s="1" t="s">
        <v>12180</v>
      </c>
      <c r="F8012" s="1" t="s">
        <v>12181</v>
      </c>
      <c r="G8012" s="1" t="s">
        <v>49</v>
      </c>
      <c r="H8012" s="1" t="s">
        <v>16</v>
      </c>
      <c r="I8012" s="1" t="str">
        <f ca="1">IFERROR(__xludf.DUMMYFUNCTION("GOOGLETRANSLATE(F8012, ""auto"", ""en"")
"),"A kettle breaks down within six months if you boil a full kettle 2-3 times a day. Tested on three teapots. The lid of the kettle stops closing and because of this the kettle stops turning off and boils water indefinitely. The problem is connected with the"&amp;" fact that in the kettle lid the mechanism for closing the lid is made of plastic and, worst of all, the plastic parts are held together with glue.  When filling the kettle, the lid becomes powerfully heated, the glue melts and the kettle breaks down. I h"&amp;"ope the manufacturer will fix the problem someday... :-(")</f>
        <v>A kettle breaks down within six months if you boil a full kettle 2-3 times a day. Tested on three teapots. The lid of the kettle stops closing and because of this the kettle stops turning off and boils water indefinitely. The problem is connected with the fact that in the kettle lid the mechanism for closing the lid is made of plastic and, worst of all, the plastic parts are held together with glue.  When filling the kettle, the lid becomes powerfully heated, the glue melts and the kettle breaks down. I hope the manufacturer will fix the problem someday... :-(</v>
      </c>
    </row>
    <row r="8013" spans="1:9" x14ac:dyDescent="0.3">
      <c r="A8013" s="1" t="s">
        <v>43</v>
      </c>
      <c r="B8013" s="1" t="s">
        <v>502</v>
      </c>
      <c r="C8013" s="1" t="s">
        <v>151</v>
      </c>
      <c r="D8013" s="1" t="s">
        <v>39</v>
      </c>
      <c r="E8013" s="1" t="s">
        <v>4327</v>
      </c>
      <c r="F8013" s="1" t="s">
        <v>12182</v>
      </c>
      <c r="G8013" s="1" t="s">
        <v>36</v>
      </c>
      <c r="H8013" s="1" t="s">
        <v>29</v>
      </c>
      <c r="I8013" s="1" t="str">
        <f ca="1">IFERROR(__xludf.DUMMYFUNCTION("GOOGLETRANSLATE(F8013, ""auto"", ""en"")
"),"Copes perfectly with a small area of ​​12 sq.m.  From 35 degrees indoors in 10 minutes. the temperature drops to 22. The disadvantage is that the external unit is a bit noisy.")</f>
        <v>Copes perfectly with a small area of ​​12 sq.m.  From 35 degrees indoors in 10 minutes. the temperature drops to 22. The disadvantage is that the external unit is a bit noisy.</v>
      </c>
    </row>
    <row r="8014" spans="1:9" x14ac:dyDescent="0.3">
      <c r="A8014" s="1" t="s">
        <v>30</v>
      </c>
      <c r="B8014" s="1" t="s">
        <v>50</v>
      </c>
      <c r="C8014" s="1" t="s">
        <v>2550</v>
      </c>
      <c r="D8014" s="1" t="s">
        <v>287</v>
      </c>
      <c r="E8014" s="1" t="s">
        <v>5126</v>
      </c>
      <c r="F8014" s="1" t="s">
        <v>12183</v>
      </c>
      <c r="G8014" s="1" t="s">
        <v>28</v>
      </c>
      <c r="H8014" s="1" t="s">
        <v>29</v>
      </c>
      <c r="I8014" s="1" t="str">
        <f ca="1">IFERROR(__xludf.DUMMYFUNCTION("GOOGLETRANSLATE(F8014, ""auto"", ""en"")
"),"I recently bought this baby. Just off the top of my head, the netbook is not bad, but I can’t activate bluetoot, although everywhere they write that this model should have it. The drivers are fine. I tried all the inclusion options according to the instru"&amp;"ctions - no results. I'm not a beginner when it comes to technology. I have been working with computers since 1995.")</f>
        <v>I recently bought this baby. Just off the top of my head, the netbook is not bad, but I can’t activate bluetoot, although everywhere they write that this model should have it. The drivers are fine. I tried all the inclusion options according to the instructions - no results. I'm not a beginner when it comes to technology. I have been working with computers since 1995.</v>
      </c>
    </row>
    <row r="8015" spans="1:9" x14ac:dyDescent="0.3">
      <c r="A8015" s="1" t="s">
        <v>206</v>
      </c>
      <c r="B8015" s="1" t="s">
        <v>207</v>
      </c>
      <c r="C8015" s="1" t="s">
        <v>152</v>
      </c>
      <c r="D8015" s="1" t="s">
        <v>12184</v>
      </c>
      <c r="E8015" s="1" t="s">
        <v>4875</v>
      </c>
      <c r="F8015" s="1" t="s">
        <v>12185</v>
      </c>
      <c r="G8015" s="1" t="s">
        <v>36</v>
      </c>
      <c r="H8015" s="1" t="s">
        <v>29</v>
      </c>
      <c r="I8015" s="1" t="str">
        <f ca="1">IFERROR(__xludf.DUMMYFUNCTION("GOOGLETRANSLATE(F8015, ""auto"", ""en"")
"),"An excellent amplifier, I recommended it to everyone, it works well, there have been no problems with it in 1.5 years.")</f>
        <v>An excellent amplifier, I recommended it to everyone, it works well, there have been no problems with it in 1.5 years.</v>
      </c>
    </row>
    <row r="8016" spans="1:9" x14ac:dyDescent="0.3">
      <c r="A8016" s="1" t="s">
        <v>30</v>
      </c>
      <c r="B8016" s="1" t="s">
        <v>50</v>
      </c>
      <c r="C8016" s="1" t="s">
        <v>51</v>
      </c>
      <c r="D8016" s="1" t="s">
        <v>12186</v>
      </c>
      <c r="E8016" s="1" t="s">
        <v>2341</v>
      </c>
      <c r="F8016" s="1" t="s">
        <v>12187</v>
      </c>
      <c r="G8016" s="1" t="s">
        <v>36</v>
      </c>
      <c r="H8016" s="1" t="s">
        <v>29</v>
      </c>
      <c r="I8016" s="1" t="str">
        <f ca="1">IFERROR(__xludf.DUMMYFUNCTION("GOOGLETRANSLATE(F8016, ""auto"", ""en"")
"),"A wonderful laptop, a rare find.  Performance is top notch.  If the FN buttons with CTRL (on the left) were swapped, there would be no price at all, I still don’t understand why they did this, in the new models everything is as it should be, but this mode"&amp;"l of the entire series (including the new ones) seems to be the most productive, I think attention should have been focused on it.")</f>
        <v>A wonderful laptop, a rare find.  Performance is top notch.  If the FN buttons with CTRL (on the left) were swapped, there would be no price at all, I still don’t understand why they did this, in the new models everything is as it should be, but this model of the entire series (including the new ones) seems to be the most productive, I think attention should have been focused on it.</v>
      </c>
    </row>
    <row r="8017" spans="1:9" x14ac:dyDescent="0.3">
      <c r="A8017" s="1" t="s">
        <v>17</v>
      </c>
      <c r="B8017" s="1" t="s">
        <v>18</v>
      </c>
      <c r="C8017" s="1" t="s">
        <v>151</v>
      </c>
      <c r="D8017" s="1" t="s">
        <v>327</v>
      </c>
      <c r="E8017" s="1" t="s">
        <v>849</v>
      </c>
      <c r="F8017" s="1" t="s">
        <v>12188</v>
      </c>
      <c r="G8017" s="1" t="s">
        <v>36</v>
      </c>
      <c r="H8017" s="1" t="s">
        <v>29</v>
      </c>
      <c r="I8017" s="1" t="str">
        <f ca="1">IFERROR(__xludf.DUMMYFUNCTION("GOOGLETRANSLATE(F8017, ""auto"", ""en"")
"),"I don't agree with the previous review. Compared to other machines (both Samsung and other manufacturers), the 8590 is quite quiet, both during rinsing and spinning. The “whistle” sound is a bit confusing, but it’s probably a brushless motor. The washing "&amp;"quality is excellent, the loosening function is generally super, the spin speed is 1000 rpm, although not much better than 800 rpm. P.S. By the way, maybe Sergei forgot to unscrew the transport bolts?  The most common error during installation, even if it"&amp;" was installed by a Service Center.")</f>
        <v>I don't agree with the previous review. Compared to other machines (both Samsung and other manufacturers), the 8590 is quite quiet, both during rinsing and spinning. The “whistle” sound is a bit confusing, but it’s probably a brushless motor. The washing quality is excellent, the loosening function is generally super, the spin speed is 1000 rpm, although not much better than 800 rpm. P.S. By the way, maybe Sergei forgot to unscrew the transport bolts?  The most common error during installation, even if it was installed by a Service Center.</v>
      </c>
    </row>
    <row r="8018" spans="1:9" x14ac:dyDescent="0.3">
      <c r="A8018" s="1" t="s">
        <v>61</v>
      </c>
      <c r="B8018" s="1" t="s">
        <v>977</v>
      </c>
      <c r="C8018" s="1" t="s">
        <v>85</v>
      </c>
      <c r="D8018" s="1" t="s">
        <v>171</v>
      </c>
      <c r="E8018" s="1" t="s">
        <v>1669</v>
      </c>
      <c r="F8018" s="1" t="s">
        <v>12189</v>
      </c>
      <c r="G8018" s="1" t="s">
        <v>49</v>
      </c>
      <c r="H8018" s="1" t="s">
        <v>16</v>
      </c>
      <c r="I8018" s="1" t="str">
        <f ca="1">IFERROR(__xludf.DUMMYFUNCTION("GOOGLETRANSLATE(F8018, ""auto"", ""en"")
"),"Everything was great. While there was a guarantee. 3 months after its completion, his brains went crazy... he began to turn off himself exactly 1 second after turning on. Moreover, its operation was more than gentle... The service was pleased... about 500"&amp;"0 and about 2 months... the control board is assembled... Worthless company ""BORK""... for this money it should work forever...")</f>
        <v>Everything was great. While there was a guarantee. 3 months after its completion, his brains went crazy... he began to turn off himself exactly 1 second after turning on. Moreover, its operation was more than gentle... The service was pleased... about 5000 and about 2 months... the control board is assembled... Worthless company "BORK"... for this money it should work forever...</v>
      </c>
    </row>
    <row r="8019" spans="1:9" x14ac:dyDescent="0.3">
      <c r="A8019" s="1" t="s">
        <v>37</v>
      </c>
      <c r="B8019" s="1" t="s">
        <v>38</v>
      </c>
      <c r="C8019" s="1" t="s">
        <v>3332</v>
      </c>
      <c r="D8019" s="1" t="s">
        <v>12190</v>
      </c>
      <c r="E8019" s="1" t="s">
        <v>1177</v>
      </c>
      <c r="F8019" s="1" t="s">
        <v>12191</v>
      </c>
      <c r="G8019" s="1" t="s">
        <v>36</v>
      </c>
      <c r="H8019" s="1" t="s">
        <v>29</v>
      </c>
      <c r="I8019" s="1" t="str">
        <f ca="1">IFERROR(__xludf.DUMMYFUNCTION("GOOGLETRANSLATE(F8019, ""auto"", ""en"")
"),"I bought this for my mother. I don’t know what they write here about its unreliability; it has been serving us well for over a year now. Nothing creaks or falls off. It rings loudly, the flashlight shines, the buttons do not erase.")</f>
        <v>I bought this for my mother. I don’t know what they write here about its unreliability; it has been serving us well for over a year now. Nothing creaks or falls off. It rings loudly, the flashlight shines, the buttons do not erase.</v>
      </c>
    </row>
    <row r="8020" spans="1:9" x14ac:dyDescent="0.3">
      <c r="A8020" s="1" t="s">
        <v>120</v>
      </c>
      <c r="B8020" s="1" t="s">
        <v>196</v>
      </c>
      <c r="C8020" s="1" t="s">
        <v>97</v>
      </c>
      <c r="D8020" s="1" t="s">
        <v>12192</v>
      </c>
      <c r="E8020" s="1" t="s">
        <v>4864</v>
      </c>
      <c r="F8020" s="1" t="s">
        <v>12193</v>
      </c>
      <c r="G8020" s="1" t="s">
        <v>28</v>
      </c>
      <c r="H8020" s="1" t="s">
        <v>29</v>
      </c>
      <c r="I8020" s="1" t="str">
        <f ca="1">IFERROR(__xludf.DUMMYFUNCTION("GOOGLETRANSLATE(F8020, ""auto"", ""en"")
"),"I'll tell you a couple of minuses and a couple of pluses that were not included in the previous description.  Pros: 1. I was pleased with the presence of LAN. Everything worked out to connect. As I understand it, the Internet is needed only for downloadin"&amp;"g widgets and nothing more. I no longer noticed what else it was needed for. But the use of LAN does not end there. We launch the so-called media-server on the computer, which works like a flash drive: i.e. You can view shared folders, listen to music, lo"&amp;"ok at photos, watch videos. There is also a certain Render function that I haven’t figured out yet.  2. When playing files from the media-server described above, you can use the TV remote control as a remote control for a DVD player: i.e. rewind the video"&amp;", pause during playback (there are corresponding buttons on the remote control).  3. I will repeat the previous review: excellent picture.    Cons: 1. Disgusting sound. I solved the problem by connecting speakers from my computer with a subwoofer. Now eve"&amp;"rything is fine.  2. Inconvenient navigation through external storage media. So, in order to view photos, you need to select view photos. For video - watch video. It would be more convenient this way: you go to an external storage device and select a file"&amp;", and the TV itself determines what it is (photo, video or music) based on the contents of the file and plays it. As is actually done in all computer operating systems.  3. Supports few types of video files: VOB and MPG. AVI does not play. There is a soft"&amp;"ware flaw.  4. Inconvenient navigation through the media server. There were a couple of times when I went into a pack, and in response I received a message like “I can’t read the contents” and I exited the server content review menu. Also a software flaw."&amp;"  5. Maybe I haven’t figured it out yet, but when you turn off the power (from the outlet), the time is reset. Those. There is no battery to power the clock independently.  6. Picture-in-picture function. Again, maybe I haven’t fully figured it out yet, b"&amp;"ut it looks like this. You watch a movie from an external media, and in the corner in a small window you can watch a television program. And nothing else. You can’t make a TV program on the whole screen and watch, for example, a movie from a DVD in the co"&amp;"rner. You cannot watch two television programs at the same time, although the description says there are two TV tuners (although the number of them may have nothing to do with it).  7. The seller was caught cheating. In the sense that an ignorant manager."&amp;" He said that the TV was 100 hertz))). But the description doesn’t say anything about 100 hertz.     Well, that's it. My rating is 4 points out of 5.")</f>
        <v>I'll tell you a couple of minuses and a couple of pluses that were not included in the previous description.  Pros: 1. I was pleased with the presence of LAN. Everything worked out to connect. As I understand it, the Internet is needed only for downloading widgets and nothing more. I no longer noticed what else it was needed for. But the use of LAN does not end there. We launch the so-called media-server on the computer, which works like a flash drive: i.e. You can view shared folders, listen to music, look at photos, watch videos. There is also a certain Render function that I haven’t figured out yet.  2. When playing files from the media-server described above, you can use the TV remote control as a remote control for a DVD player: i.e. rewind the video, pause during playback (there are corresponding buttons on the remote control).  3. I will repeat the previous review: excellent picture.    Cons: 1. Disgusting sound. I solved the problem by connecting speakers from my computer with a subwoofer. Now everything is fine.  2. Inconvenient navigation through external storage media. So, in order to view photos, you need to select view photos. For video - watch video. It would be more convenient this way: you go to an external storage device and select a file, and the TV itself determines what it is (photo, video or music) based on the contents of the file and plays it. As is actually done in all computer operating systems.  3. Supports few types of video files: VOB and MPG. AVI does not play. There is a software flaw.  4. Inconvenient navigation through the media server. There were a couple of times when I went into a pack, and in response I received a message like “I can’t read the contents” and I exited the server content review menu. Also a software flaw.  5. Maybe I haven’t figured it out yet, but when you turn off the power (from the outlet), the time is reset. Those. There is no battery to power the clock independently.  6. Picture-in-picture function. Again, maybe I haven’t fully figured it out yet, but it looks like this. You watch a movie from an external media, and in the corner in a small window you can watch a television program. And nothing else. You can’t make a TV program on the whole screen and watch, for example, a movie from a DVD in the corner. You cannot watch two television programs at the same time, although the description says there are two TV tuners (although the number of them may have nothing to do with it).  7. The seller was caught cheating. In the sense that an ignorant manager. He said that the TV was 100 hertz))). But the description doesn’t say anything about 100 hertz.     Well, that's it. My rating is 4 points out of 5.</v>
      </c>
    </row>
    <row r="8021" spans="1:9" x14ac:dyDescent="0.3">
      <c r="A8021" s="1" t="s">
        <v>30</v>
      </c>
      <c r="B8021" s="1" t="s">
        <v>50</v>
      </c>
      <c r="C8021" s="1" t="s">
        <v>377</v>
      </c>
      <c r="D8021" s="1" t="s">
        <v>12194</v>
      </c>
      <c r="E8021" s="1" t="s">
        <v>7339</v>
      </c>
      <c r="F8021" s="1" t="s">
        <v>12195</v>
      </c>
      <c r="G8021" s="1" t="s">
        <v>36</v>
      </c>
      <c r="H8021" s="1" t="s">
        <v>29</v>
      </c>
      <c r="I8021" s="1" t="str">
        <f ca="1">IFERROR(__xludf.DUMMYFUNCTION("GOOGLETRANSLATE(F8021, ""auto"", ""en"")
"),"I bought this laptop with my wife on October 7, 2009. It’s a pretty good laptop in terms of price, quality and power!   compared to other brands! differs from previous models with a 250 GB hard drive, 3 GB of RAM and a 2100 MG processor with 512 NVIDIA vi"&amp;"deo, I want to say that for fans of computer games such as racing and stealth games it is 5+!!!   I haven’t encountered any problems with installing programs on Windows 7 home basic since the appearance of 7, you just need to know right away that you have"&amp;" 64, not 32))) themes and icons, icons My computer, etc. are installed normally, you just need to read the instructions first, if something doesn’t work out first, and not write about your educational shortcomings)))) I haven’t noticed any shortcomings ye"&amp;"t.... P.S So, I advise anyone who needs a budget laptop! You can work and play!")</f>
        <v>I bought this laptop with my wife on October 7, 2009. It’s a pretty good laptop in terms of price, quality and power!   compared to other brands! differs from previous models with a 250 GB hard drive, 3 GB of RAM and a 2100 MG processor with 512 NVIDIA video, I want to say that for fans of computer games such as racing and stealth games it is 5+!!!   I haven’t encountered any problems with installing programs on Windows 7 home basic since the appearance of 7, you just need to know right away that you have 64, not 32))) themes and icons, icons My computer, etc. are installed normally, you just need to read the instructions first, if something doesn’t work out first, and not write about your educational shortcomings)))) I haven’t noticed any shortcomings yet.... P.S So, I advise anyone who needs a budget laptop! You can work and play!</v>
      </c>
    </row>
    <row r="8022" spans="1:9" x14ac:dyDescent="0.3">
      <c r="A8022" s="1" t="s">
        <v>37</v>
      </c>
      <c r="B8022" s="1" t="s">
        <v>38</v>
      </c>
      <c r="C8022" s="1" t="s">
        <v>151</v>
      </c>
      <c r="D8022" s="1" t="s">
        <v>46</v>
      </c>
      <c r="E8022" s="1" t="s">
        <v>1649</v>
      </c>
      <c r="F8022" s="1" t="s">
        <v>12196</v>
      </c>
      <c r="G8022" s="1" t="s">
        <v>36</v>
      </c>
      <c r="H8022" s="1" t="s">
        <v>29</v>
      </c>
      <c r="I8022" s="1" t="str">
        <f ca="1">IFERROR(__xludf.DUMMYFUNCTION("GOOGLETRANSLATE(F8022, ""auto"", ""en"")
"),"Great phone! It is a pleasure to use - everything is convenient, beautiful and clear.  Of the minuses: The calculator was a little disappointing - its functions resemble an abacus, of the available operations + - * / and ALL!  There were also problems wit"&amp;"h the operator’s service SMS messages.  But the pros certainly outweigh all the cons, and owning such a phone brings true joy.")</f>
        <v>Great phone! It is a pleasure to use - everything is convenient, beautiful and clear.  Of the minuses: The calculator was a little disappointing - its functions resemble an abacus, of the available operations + - * / and ALL!  There were also problems with the operator’s service SMS messages.  But the pros certainly outweigh all the cons, and owning such a phone brings true joy.</v>
      </c>
    </row>
    <row r="8023" spans="1:9" x14ac:dyDescent="0.3">
      <c r="A8023" s="1" t="s">
        <v>211</v>
      </c>
      <c r="B8023" s="1" t="s">
        <v>265</v>
      </c>
      <c r="C8023" s="1" t="s">
        <v>1591</v>
      </c>
      <c r="D8023" s="1" t="s">
        <v>262</v>
      </c>
      <c r="E8023" s="1" t="s">
        <v>4089</v>
      </c>
      <c r="F8023" s="1" t="s">
        <v>12197</v>
      </c>
      <c r="G8023" s="1" t="s">
        <v>36</v>
      </c>
      <c r="H8023" s="1" t="s">
        <v>29</v>
      </c>
      <c r="I8023" s="1" t="str">
        <f ca="1">IFERROR(__xludf.DUMMYFUNCTION("GOOGLETRANSLATE(F8023, ""auto"", ""en"")
"),"I liked this trimmer because it has many attachments and all of it can be placed on a special stand so that it doesn’t get lost around the apartment. The price suited me, I looked and bought it. I’ve already tried it on my beard and sideburns at home. Eve"&amp;"rything works fine, it’s lightweight - my hand doesn’t get tired while I’m putting my hair in order. It works quietly, it would charge faster, but everything else is ok.")</f>
        <v>I liked this trimmer because it has many attachments and all of it can be placed on a special stand so that it doesn’t get lost around the apartment. The price suited me, I looked and bought it. I’ve already tried it on my beard and sideburns at home. Everything works fine, it’s lightweight - my hand doesn’t get tired while I’m putting my hair in order. It works quietly, it would charge faster, but everything else is ok.</v>
      </c>
    </row>
    <row r="8024" spans="1:9" x14ac:dyDescent="0.3">
      <c r="A8024" s="1" t="s">
        <v>211</v>
      </c>
      <c r="B8024" s="1" t="s">
        <v>212</v>
      </c>
      <c r="C8024" s="1" t="s">
        <v>294</v>
      </c>
      <c r="D8024" s="1" t="s">
        <v>4136</v>
      </c>
      <c r="E8024" s="1" t="s">
        <v>1225</v>
      </c>
      <c r="F8024" s="1" t="s">
        <v>12198</v>
      </c>
      <c r="G8024" s="1" t="s">
        <v>36</v>
      </c>
      <c r="H8024" s="1" t="s">
        <v>29</v>
      </c>
      <c r="I8024" s="1" t="str">
        <f ca="1">IFERROR(__xludf.DUMMYFUNCTION("GOOGLETRANSLATE(F8024, ""auto"", ""en"")
"),"I gave this straightener to my sister, it’s just a great thing. About the brushes, Elena, this really could happen. I went into one store - there were no brushes there. I asked the consultant, she looked at me with shifting eyes and said that they probabl"&amp;"y pulled it out of their warehouse. In short, I didn’t buy there. I went to another M video. Everything is great there. Packed and tassels in place.")</f>
        <v>I gave this straightener to my sister, it’s just a great thing. About the brushes, Elena, this really could happen. I went into one store - there were no brushes there. I asked the consultant, she looked at me with shifting eyes and said that they probably pulled it out of their warehouse. In short, I didn’t buy there. I went to another M video. Everything is great there. Packed and tassels in place.</v>
      </c>
    </row>
    <row r="8025" spans="1:9" x14ac:dyDescent="0.3">
      <c r="A8025" s="1" t="s">
        <v>169</v>
      </c>
      <c r="B8025" s="1" t="s">
        <v>170</v>
      </c>
      <c r="C8025" s="1" t="s">
        <v>171</v>
      </c>
      <c r="D8025" s="1" t="s">
        <v>247</v>
      </c>
      <c r="E8025" s="1" t="s">
        <v>5195</v>
      </c>
      <c r="F8025" s="1" t="s">
        <v>12199</v>
      </c>
      <c r="G8025" s="1" t="s">
        <v>36</v>
      </c>
      <c r="H8025" s="1" t="s">
        <v>29</v>
      </c>
      <c r="I8025" s="1" t="str">
        <f ca="1">IFERROR(__xludf.DUMMYFUNCTION("GOOGLETRANSLATE(F8025, ""auto"", ""en"")
"),"Awesome headphones! I really liked it. and the bass is excellent (especially when you listen to R&amp;B or drum), the sound is clear, there were no problems with it. The design is interesting. These double earbuds provide good sound insulation. I have a creat"&amp;"ive zen mozaic player in combination with headphones, everything is just great! they are worth the money.")</f>
        <v>Awesome headphones! I really liked it. and the bass is excellent (especially when you listen to R&amp;B or drum), the sound is clear, there were no problems with it. The design is interesting. These double earbuds provide good sound insulation. I have a creative zen mozaic player in combination with headphones, everything is just great! they are worth the money.</v>
      </c>
    </row>
    <row r="8026" spans="1:9" x14ac:dyDescent="0.3">
      <c r="A8026" s="1" t="s">
        <v>211</v>
      </c>
      <c r="B8026" s="1" t="s">
        <v>212</v>
      </c>
      <c r="C8026" s="1" t="s">
        <v>1591</v>
      </c>
      <c r="D8026" s="1" t="s">
        <v>64</v>
      </c>
      <c r="E8026" s="1" t="s">
        <v>7651</v>
      </c>
      <c r="F8026" s="1" t="s">
        <v>12200</v>
      </c>
      <c r="G8026" s="1" t="s">
        <v>36</v>
      </c>
      <c r="H8026" s="1" t="s">
        <v>29</v>
      </c>
      <c r="I8026" s="1" t="str">
        <f ca="1">IFERROR(__xludf.DUMMYFUNCTION("GOOGLETRANSLATE(F8026, ""auto"", ""en"")
"),"I’m very pleased with the purchase, there are many attachments with which the styling can be done in a variety of beautiful ways, I really liked the straightening attachment - it’s a godsend, I recommend this hair dryer to anyone who wants to look beautif"&amp;"ul quickly and in a variety of ways")</f>
        <v>I’m very pleased with the purchase, there are many attachments with which the styling can be done in a variety of beautiful ways, I really liked the straightening attachment - it’s a godsend, I recommend this hair dryer to anyone who wants to look beautiful quickly and in a variety of ways</v>
      </c>
    </row>
    <row r="8027" spans="1:9" x14ac:dyDescent="0.3">
      <c r="A8027" s="1" t="s">
        <v>149</v>
      </c>
      <c r="B8027" s="1" t="s">
        <v>423</v>
      </c>
      <c r="C8027" s="1" t="s">
        <v>548</v>
      </c>
      <c r="D8027" s="1" t="s">
        <v>2682</v>
      </c>
      <c r="E8027" s="1" t="s">
        <v>2656</v>
      </c>
      <c r="F8027" s="1" t="s">
        <v>12201</v>
      </c>
      <c r="G8027" s="1" t="s">
        <v>36</v>
      </c>
      <c r="H8027" s="1" t="s">
        <v>29</v>
      </c>
      <c r="I8027" s="1" t="str">
        <f ca="1">IFERROR(__xludf.DUMMYFUNCTION("GOOGLETRANSLATE(F8027, ""auto"", ""en"")
"),"I bought it not long ago, I just love it!!! Cleans floors superbly! Cleans the sofa and carpet without straining.")</f>
        <v>I bought it not long ago, I just love it!!! Cleans floors superbly! Cleans the sofa and carpet without straining.</v>
      </c>
    </row>
    <row r="8028" spans="1:9" x14ac:dyDescent="0.3">
      <c r="A8028" s="1" t="s">
        <v>206</v>
      </c>
      <c r="B8028" s="1" t="s">
        <v>261</v>
      </c>
      <c r="C8028" s="1" t="s">
        <v>262</v>
      </c>
      <c r="D8028" s="1" t="s">
        <v>305</v>
      </c>
      <c r="E8028" s="1" t="s">
        <v>12202</v>
      </c>
      <c r="F8028" s="1" t="s">
        <v>12203</v>
      </c>
      <c r="G8028" s="1" t="s">
        <v>15</v>
      </c>
      <c r="H8028" s="1" t="s">
        <v>16</v>
      </c>
      <c r="I8028" s="1" t="str">
        <f ca="1">IFERROR(__xludf.DUMMYFUNCTION("GOOGLETRANSLATE(F8028, ""auto"", ""en"")
"),"And so... Let's start with the good) In general, there were only advantages when purchasing it). The battery did not drain so quickly when listening to a subwoofer with the engine turned off. The instrument and radio lights stopped jumping at high volumes"&amp;". Previously, Mayfun even turned off and rebooted without it. I once bought a new battery, but it died the death of the brave. But pitfalls surfaced. I began to notice that the car was sitting for a day, still normal, instead of the declared 12.8 V, only "&amp;"12 began to appear. And then one day the car stood on the street at 0.-5 degrees for 3 days, and what do I see? Voltage 9.8V. In short, this is probably the most voracious Conder of all) I'm upset, either put some kind of switch on it, or throw it in the "&amp;"trash. In winter, I think you don’t want to push the car in the cold, but it’s a good thing. My advice: take another manufacturer.")</f>
        <v>And so... Let's start with the good) In general, there were only advantages when purchasing it). The battery did not drain so quickly when listening to a subwoofer with the engine turned off. The instrument and radio lights stopped jumping at high volumes. Previously, Mayfun even turned off and rebooted without it. I once bought a new battery, but it died the death of the brave. But pitfalls surfaced. I began to notice that the car was sitting for a day, still normal, instead of the declared 12.8 V, only 12 began to appear. And then one day the car stood on the street at 0.-5 degrees for 3 days, and what do I see? Voltage 9.8V. In short, this is probably the most voracious Conder of all) I'm upset, either put some kind of switch on it, or throw it in the trash. In winter, I think you don’t want to push the car in the cold, but it’s a good thing. My advice: take another manufacturer.</v>
      </c>
    </row>
    <row r="8029" spans="1:9" x14ac:dyDescent="0.3">
      <c r="A8029" s="1" t="s">
        <v>61</v>
      </c>
      <c r="B8029" s="1" t="s">
        <v>145</v>
      </c>
      <c r="C8029" s="1" t="s">
        <v>1981</v>
      </c>
      <c r="D8029" s="1" t="s">
        <v>12</v>
      </c>
      <c r="E8029" s="1" t="s">
        <v>316</v>
      </c>
      <c r="F8029" s="1" t="s">
        <v>12204</v>
      </c>
      <c r="G8029" s="1" t="s">
        <v>28</v>
      </c>
      <c r="H8029" s="1" t="s">
        <v>29</v>
      </c>
      <c r="I8029" s="1" t="str">
        <f ca="1">IFERROR(__xludf.DUMMYFUNCTION("GOOGLETRANSLATE(F8029, ""auto"", ""en"")
"),"People! So this model is just right for making thick waffles. If you want thin ones, buy other models of waffle irons. You need to carefully read the instructions and everything will be wonderful!!!")</f>
        <v>People! So this model is just right for making thick waffles. If you want thin ones, buy other models of waffle irons. You need to carefully read the instructions and everything will be wonderful!!!</v>
      </c>
    </row>
    <row r="8030" spans="1:9" x14ac:dyDescent="0.3">
      <c r="A8030" s="1" t="s">
        <v>30</v>
      </c>
      <c r="B8030" s="1" t="s">
        <v>50</v>
      </c>
      <c r="C8030" s="1" t="s">
        <v>32</v>
      </c>
      <c r="D8030" s="1" t="s">
        <v>280</v>
      </c>
      <c r="E8030" s="1" t="s">
        <v>118</v>
      </c>
      <c r="F8030" s="1" t="s">
        <v>12205</v>
      </c>
      <c r="G8030" s="1" t="s">
        <v>36</v>
      </c>
      <c r="H8030" s="1" t="s">
        <v>29</v>
      </c>
      <c r="I8030" s="1" t="str">
        <f ca="1">IFERROR(__xludf.DUMMYFUNCTION("GOOGLETRANSLATE(F8030, ""auto"", ""en"")
"),"In general, I bought this laptop a week ago, it’s a cool thing, it’s perfect for games and everything else. IN SHORT RATING 5+!!!")</f>
        <v>In general, I bought this laptop a week ago, it’s a cool thing, it’s perfect for games and everything else. IN SHORT RATING 5+!!!</v>
      </c>
    </row>
    <row r="8031" spans="1:9" x14ac:dyDescent="0.3">
      <c r="A8031" s="1" t="s">
        <v>624</v>
      </c>
      <c r="B8031" s="1" t="s">
        <v>2107</v>
      </c>
      <c r="C8031" s="1" t="s">
        <v>479</v>
      </c>
      <c r="D8031" s="1" t="s">
        <v>33</v>
      </c>
      <c r="E8031" s="1" t="s">
        <v>1401</v>
      </c>
      <c r="F8031" s="1" t="s">
        <v>12206</v>
      </c>
      <c r="G8031" s="1" t="s">
        <v>36</v>
      </c>
      <c r="H8031" s="1" t="s">
        <v>29</v>
      </c>
      <c r="I8031" s="1" t="str">
        <f ca="1">IFERROR(__xludf.DUMMYFUNCTION("GOOGLETRANSLATE(F8031, ""auto"", ""en"")
"),"best slasher game I've ever played)")</f>
        <v>best slasher game I've ever played)</v>
      </c>
    </row>
    <row r="8032" spans="1:9" x14ac:dyDescent="0.3">
      <c r="A8032" s="1" t="s">
        <v>811</v>
      </c>
      <c r="B8032" s="1" t="s">
        <v>1294</v>
      </c>
      <c r="C8032" s="1" t="s">
        <v>1295</v>
      </c>
      <c r="D8032" s="1" t="s">
        <v>12207</v>
      </c>
      <c r="E8032" s="1" t="s">
        <v>3300</v>
      </c>
      <c r="F8032" s="1" t="s">
        <v>12208</v>
      </c>
      <c r="G8032" s="1" t="s">
        <v>36</v>
      </c>
      <c r="H8032" s="1" t="s">
        <v>29</v>
      </c>
      <c r="I8032" s="1" t="str">
        <f ca="1">IFERROR(__xludf.DUMMYFUNCTION("GOOGLETRANSLATE(F8032, ""auto"", ""en"")
"),"Helps out a lot. I recommend it to everyone!")</f>
        <v>Helps out a lot. I recommend it to everyone!</v>
      </c>
    </row>
    <row r="8033" spans="1:9" x14ac:dyDescent="0.3">
      <c r="A8033" s="1" t="s">
        <v>30</v>
      </c>
      <c r="B8033" s="1" t="s">
        <v>31</v>
      </c>
      <c r="C8033" s="1" t="s">
        <v>32</v>
      </c>
      <c r="D8033" s="1" t="s">
        <v>12209</v>
      </c>
      <c r="E8033" s="1" t="s">
        <v>2693</v>
      </c>
      <c r="F8033" s="1" t="s">
        <v>12210</v>
      </c>
      <c r="G8033" s="1" t="s">
        <v>36</v>
      </c>
      <c r="H8033" s="1" t="s">
        <v>29</v>
      </c>
      <c r="I8033" s="1" t="str">
        <f ca="1">IFERROR(__xludf.DUMMYFUNCTION("GOOGLETRANSLATE(F8033, ""auto"", ""en"")
"),"I completely agree with other reviews, the quality is excellent. I digitized the video - it flies, it works quietly, there are no annoying noises, it loads in 30 seconds and you are already on the Internet. I haven't noticed any drawbacks yet.")</f>
        <v>I completely agree with other reviews, the quality is excellent. I digitized the video - it flies, it works quietly, there are no annoying noises, it loads in 30 seconds and you are already on the Internet. I haven't noticed any drawbacks yet.</v>
      </c>
    </row>
    <row r="8034" spans="1:9" x14ac:dyDescent="0.3">
      <c r="A8034" s="1" t="s">
        <v>61</v>
      </c>
      <c r="B8034" s="1" t="s">
        <v>318</v>
      </c>
      <c r="C8034" s="1" t="s">
        <v>1461</v>
      </c>
      <c r="D8034" s="1" t="s">
        <v>308</v>
      </c>
      <c r="E8034" s="1" t="s">
        <v>4504</v>
      </c>
      <c r="F8034" s="1" t="s">
        <v>12211</v>
      </c>
      <c r="G8034" s="1" t="s">
        <v>36</v>
      </c>
      <c r="H8034" s="1" t="s">
        <v>29</v>
      </c>
      <c r="I8034" s="1" t="str">
        <f ca="1">IFERROR(__xludf.DUMMYFUNCTION("GOOGLETRANSLATE(F8034, ""auto"", ""en"")
"),"I was looking for a stainless steel kettle at a reasonable price, and I found it. The purchase did not disappoint. The disadvantages are that the water level is not visible from the outside and the lid does not lock in the open position, otherwise everyth"&amp;"ing is fine.")</f>
        <v>I was looking for a stainless steel kettle at a reasonable price, and I found it. The purchase did not disappoint. The disadvantages are that the water level is not visible from the outside and the lid does not lock in the open position, otherwise everything is fine.</v>
      </c>
    </row>
    <row r="8035" spans="1:9" x14ac:dyDescent="0.3">
      <c r="A8035" s="1" t="s">
        <v>105</v>
      </c>
      <c r="B8035" s="1" t="s">
        <v>106</v>
      </c>
      <c r="C8035" s="1" t="s">
        <v>1209</v>
      </c>
      <c r="D8035" s="1" t="s">
        <v>12031</v>
      </c>
      <c r="E8035" s="1" t="s">
        <v>3829</v>
      </c>
      <c r="F8035" s="1" t="s">
        <v>12212</v>
      </c>
      <c r="G8035" s="1" t="s">
        <v>36</v>
      </c>
      <c r="H8035" s="1" t="s">
        <v>29</v>
      </c>
      <c r="I8035" s="1" t="str">
        <f ca="1">IFERROR(__xludf.DUMMYFUNCTION("GOOGLETRANSLATE(F8035, ""auto"", ""en"")
"),"The player is excellent, the TV picks up all the channels in St. Petersburg just like on a regular TV (17 channels), it shows perfectly, it doesn’t pick up cable channels. 2 speakers. The sensor works well. This is my second day. The player is super. In a"&amp;"ddition to the charger, headphones and cable, the kit includes an excellent and convenient case. If you like to wear it without a case, then buy a protective diaper, it costs 200 rubles. It’s difficult to put on a diaper yourself; bubbles come out everywh"&amp;"ere and come off, so ask at the store. I like to carry it in a case.")</f>
        <v>The player is excellent, the TV picks up all the channels in St. Petersburg just like on a regular TV (17 channels), it shows perfectly, it doesn’t pick up cable channels. 2 speakers. The sensor works well. This is my second day. The player is super. In addition to the charger, headphones and cable, the kit includes an excellent and convenient case. If you like to wear it without a case, then buy a protective diaper, it costs 200 rubles. It’s difficult to put on a diaper yourself; bubbles come out everywhere and come off, so ask at the store. I like to carry it in a case.</v>
      </c>
    </row>
    <row r="8036" spans="1:9" x14ac:dyDescent="0.3">
      <c r="A8036" s="1" t="s">
        <v>17</v>
      </c>
      <c r="B8036" s="1" t="s">
        <v>18</v>
      </c>
      <c r="C8036" s="1" t="s">
        <v>243</v>
      </c>
      <c r="D8036" s="1" t="s">
        <v>294</v>
      </c>
      <c r="E8036" s="1" t="s">
        <v>1387</v>
      </c>
      <c r="F8036" s="1" t="s">
        <v>12213</v>
      </c>
      <c r="G8036" s="1" t="s">
        <v>36</v>
      </c>
      <c r="H8036" s="1" t="s">
        <v>29</v>
      </c>
      <c r="I8036" s="1" t="str">
        <f ca="1">IFERROR(__xludf.DUMMYFUNCTION("GOOGLETRANSLATE(F8036, ""auto"", ""en"")
"),"I bought it, connected two hoses, plugged it in and off I went!  It looks very simple and is also easy to handle!  It washes quietly!   And not much water was used in a 2-hour cycle (and now there are meters everywhere - this is important!) Overall, I’m h"&amp;"appy!")</f>
        <v>I bought it, connected two hoses, plugged it in and off I went!  It looks very simple and is also easy to handle!  It washes quietly!   And not much water was used in a 2-hour cycle (and now there are meters everywhere - this is important!) Overall, I’m happy!</v>
      </c>
    </row>
    <row r="8037" spans="1:9" x14ac:dyDescent="0.3">
      <c r="A8037" s="1" t="s">
        <v>169</v>
      </c>
      <c r="B8037" s="1" t="s">
        <v>170</v>
      </c>
      <c r="C8037" s="1" t="s">
        <v>97</v>
      </c>
      <c r="D8037" s="1" t="s">
        <v>12214</v>
      </c>
      <c r="E8037" s="1" t="s">
        <v>128</v>
      </c>
      <c r="F8037" s="1" t="s">
        <v>12215</v>
      </c>
      <c r="G8037" s="1" t="s">
        <v>49</v>
      </c>
      <c r="H8037" s="1" t="s">
        <v>16</v>
      </c>
      <c r="I8037" s="1" t="str">
        <f ca="1">IFERROR(__xludf.DUMMYFUNCTION("GOOGLETRANSLATE(F8037, ""auto"", ""en"")
"),"Plastic toy. Cheap, recessed sound with no hint of detail. Very unpleasant sound. Those who listened with normal ears will understand me. This device is by no means for DJs (laughs and that’s all)! Don't take it!")</f>
        <v>Plastic toy. Cheap, recessed sound with no hint of detail. Very unpleasant sound. Those who listened with normal ears will understand me. This device is by no means for DJs (laughs and that’s all)! Don't take it!</v>
      </c>
    </row>
    <row r="8038" spans="1:9" x14ac:dyDescent="0.3">
      <c r="A8038" s="1" t="s">
        <v>37</v>
      </c>
      <c r="B8038" s="1" t="s">
        <v>536</v>
      </c>
      <c r="C8038" s="1" t="s">
        <v>1419</v>
      </c>
      <c r="D8038" s="1" t="s">
        <v>152</v>
      </c>
      <c r="E8038" s="1" t="s">
        <v>2829</v>
      </c>
      <c r="F8038" s="1" t="s">
        <v>12216</v>
      </c>
      <c r="G8038" s="1" t="s">
        <v>49</v>
      </c>
      <c r="H8038" s="1" t="s">
        <v>16</v>
      </c>
      <c r="I8038" s="1" t="str">
        <f ca="1">IFERROR(__xludf.DUMMYFUNCTION("GOOGLETRANSLATE(F8038, ""auto"", ""en"")
"),"Guys, it has a very grainy screen, just pick up the “junior” model Rover V7 and you will immediately understand everything! It's very eye-catching... and as for VIDZ 6.5, it can be easily installed on V7... and it costs less")</f>
        <v>Guys, it has a very grainy screen, just pick up the “junior” model Rover V7 and you will immediately understand everything! It's very eye-catching... and as for VIDZ 6.5, it can be easily installed on V7... and it costs less</v>
      </c>
    </row>
    <row r="8039" spans="1:9" x14ac:dyDescent="0.3">
      <c r="A8039" s="1" t="s">
        <v>169</v>
      </c>
      <c r="B8039" s="1" t="s">
        <v>170</v>
      </c>
      <c r="C8039" s="1" t="s">
        <v>122</v>
      </c>
      <c r="D8039" s="1" t="s">
        <v>10177</v>
      </c>
      <c r="E8039" s="1" t="s">
        <v>2153</v>
      </c>
      <c r="F8039" s="1" t="s">
        <v>12217</v>
      </c>
      <c r="G8039" s="1" t="s">
        <v>36</v>
      </c>
      <c r="H8039" s="1" t="s">
        <v>29</v>
      </c>
      <c r="I8039" s="1" t="str">
        <f ca="1">IFERROR(__xludf.DUMMYFUNCTION("GOOGLETRANSLATE(F8039, ""auto"", ""en"")
"),"Great model. I've been using it for almost a year. The bass is excellent, but at the same time it does not drown out.")</f>
        <v>Great model. I've been using it for almost a year. The bass is excellent, but at the same time it does not drown out.</v>
      </c>
    </row>
    <row r="8040" spans="1:9" x14ac:dyDescent="0.3">
      <c r="A8040" s="1" t="s">
        <v>105</v>
      </c>
      <c r="B8040" s="1" t="s">
        <v>106</v>
      </c>
      <c r="C8040" s="1" t="s">
        <v>151</v>
      </c>
      <c r="D8040" s="1" t="s">
        <v>12218</v>
      </c>
      <c r="E8040" s="1" t="s">
        <v>2176</v>
      </c>
      <c r="F8040" s="1" t="s">
        <v>12219</v>
      </c>
      <c r="G8040" s="1" t="s">
        <v>15</v>
      </c>
      <c r="H8040" s="1" t="s">
        <v>16</v>
      </c>
      <c r="I8040" s="1" t="str">
        <f ca="1">IFERROR(__xludf.DUMMYFUNCTION("GOOGLETRANSLATE(F8040, ""auto"", ""en"")
"),"The player is convenient, I agree, but some models are unreliable. I was completely frozen for 3 weeks, it didn’t make any noise, the computer wasn’t recognized, reboots didn’t help.  My advice is this: you need to take a really good look at other models.")</f>
        <v>The player is convenient, I agree, but some models are unreliable. I was completely frozen for 3 weeks, it didn’t make any noise, the computer wasn’t recognized, reboots didn’t help.  My advice is this: you need to take a really good look at other models.</v>
      </c>
    </row>
    <row r="8041" spans="1:9" x14ac:dyDescent="0.3">
      <c r="A8041" s="1" t="s">
        <v>149</v>
      </c>
      <c r="B8041" s="1" t="s">
        <v>155</v>
      </c>
      <c r="C8041" s="1" t="s">
        <v>63</v>
      </c>
      <c r="D8041" s="1" t="s">
        <v>4281</v>
      </c>
      <c r="E8041" s="1" t="s">
        <v>296</v>
      </c>
      <c r="F8041" s="1" t="s">
        <v>12220</v>
      </c>
      <c r="G8041" s="1" t="s">
        <v>28</v>
      </c>
      <c r="H8041" s="1" t="s">
        <v>29</v>
      </c>
      <c r="I8041" s="1" t="str">
        <f ca="1">IFERROR(__xludf.DUMMYFUNCTION("GOOGLETRANSLATE(F8041, ""auto"", ""en"")
"),"The vacuum cleaner is really powerful. But if you use a container, the power drops noticeably towards the end of cleaning. I clean three rooms, a kitchen, a toilet, a bathroom, and 2 hallways, rugs everywhere. When starting cleaning, you have to hold the "&amp;"edges of the carpet, because... The vacuum cleaner lifts them off the floor, and by the end of cleaning I vacuum them freely.  The handle seems a bit flimsy, I hope it’s just an illusion.  Cleaning the container literally takes three minutes.  The vacuum "&amp;"cleaner does not move over obstacles, even its own cord or the edge of the carpet, so you have to carry it.  The vacuum cleaner is quite noisy, warm air blows strongly from it, and there is no smell of dust.  I am satisfied with the quality of cleaning. A"&amp;"fter replacing the old vacuum cleaner with this one, I noticed that much less dust began to appear on the furniture, apparently due to filtration, which does not release dust from the vacuum cleaner back into the room.")</f>
        <v>The vacuum cleaner is really powerful. But if you use a container, the power drops noticeably towards the end of cleaning. I clean three rooms, a kitchen, a toilet, a bathroom, and 2 hallways, rugs everywhere. When starting cleaning, you have to hold the edges of the carpet, because... The vacuum cleaner lifts them off the floor, and by the end of cleaning I vacuum them freely.  The handle seems a bit flimsy, I hope it’s just an illusion.  Cleaning the container literally takes three minutes.  The vacuum cleaner does not move over obstacles, even its own cord or the edge of the carpet, so you have to carry it.  The vacuum cleaner is quite noisy, warm air blows strongly from it, and there is no smell of dust.  I am satisfied with the quality of cleaning. After replacing the old vacuum cleaner with this one, I noticed that much less dust began to appear on the furniture, apparently due to filtration, which does not release dust from the vacuum cleaner back into the room.</v>
      </c>
    </row>
    <row r="8042" spans="1:9" x14ac:dyDescent="0.3">
      <c r="A8042" s="1" t="s">
        <v>61</v>
      </c>
      <c r="B8042" s="1" t="s">
        <v>318</v>
      </c>
      <c r="C8042" s="1" t="s">
        <v>101</v>
      </c>
      <c r="D8042" s="1" t="s">
        <v>9466</v>
      </c>
      <c r="E8042" s="1" t="s">
        <v>6264</v>
      </c>
      <c r="F8042" s="1" t="s">
        <v>12221</v>
      </c>
      <c r="G8042" s="1" t="s">
        <v>28</v>
      </c>
      <c r="H8042" s="1" t="s">
        <v>29</v>
      </c>
      <c r="I8042" s="1" t="str">
        <f ca="1">IFERROR(__xludf.DUMMYFUNCTION("GOOGLETRANSLATE(F8042, ""auto"", ""en"")
"),"The kettle is cool, the water doesn’t boil very quickly, but it doesn’t take long, and based on the sound characteristics, it could have been made not like a rocket taking off from Baikonur. In flight for two weeks - the flight is normal so far. I recomme"&amp;"nd this kettle to everyone, at least everything works for me!!!")</f>
        <v>The kettle is cool, the water doesn’t boil very quickly, but it doesn’t take long, and based on the sound characteristics, it could have been made not like a rocket taking off from Baikonur. In flight for two weeks - the flight is normal so far. I recommend this kettle to everyone, at least everything works for me!!!</v>
      </c>
    </row>
    <row r="8043" spans="1:9" x14ac:dyDescent="0.3">
      <c r="A8043" s="1" t="s">
        <v>30</v>
      </c>
      <c r="B8043" s="1" t="s">
        <v>50</v>
      </c>
      <c r="C8043" s="1" t="s">
        <v>1003</v>
      </c>
      <c r="D8043" s="1" t="s">
        <v>305</v>
      </c>
      <c r="E8043" s="1" t="s">
        <v>3664</v>
      </c>
      <c r="F8043" s="1" t="s">
        <v>12222</v>
      </c>
      <c r="G8043" s="1" t="s">
        <v>36</v>
      </c>
      <c r="H8043" s="1" t="s">
        <v>29</v>
      </c>
      <c r="I8043" s="1" t="str">
        <f ca="1">IFERROR(__xludf.DUMMYFUNCTION("GOOGLETRANSLATE(F8043, ""auto"", ""en"")
"),"Just a wonderful laptop, very beautiful, easy to use, indispensable in studies and various fields of activity.")</f>
        <v>Just a wonderful laptop, very beautiful, easy to use, indispensable in studies and various fields of activity.</v>
      </c>
    </row>
    <row r="8044" spans="1:9" x14ac:dyDescent="0.3">
      <c r="A8044" s="1" t="s">
        <v>61</v>
      </c>
      <c r="B8044" s="1" t="s">
        <v>318</v>
      </c>
      <c r="C8044" s="1" t="s">
        <v>101</v>
      </c>
      <c r="D8044" s="1" t="s">
        <v>114</v>
      </c>
      <c r="E8044" s="1" t="s">
        <v>8970</v>
      </c>
      <c r="F8044" s="1" t="s">
        <v>12223</v>
      </c>
      <c r="G8044" s="1" t="s">
        <v>49</v>
      </c>
      <c r="H8044" s="1" t="s">
        <v>16</v>
      </c>
      <c r="I8044" s="1" t="str">
        <f ca="1">IFERROR(__xludf.DUMMYFUNCTION("GOOGLETRANSLATE(F8044, ""auto"", ""en"")
"),"I replaced three of these kettles. Both times the power button broke. On the third day he took the money, because three times is no longer an accident, but a pattern.")</f>
        <v>I replaced three of these kettles. Both times the power button broke. On the third day he took the money, because three times is no longer an accident, but a pattern.</v>
      </c>
    </row>
    <row r="8045" spans="1:9" x14ac:dyDescent="0.3">
      <c r="A8045" s="1" t="s">
        <v>61</v>
      </c>
      <c r="B8045" s="1" t="s">
        <v>224</v>
      </c>
      <c r="C8045" s="1" t="s">
        <v>85</v>
      </c>
      <c r="D8045" s="1" t="s">
        <v>12224</v>
      </c>
      <c r="E8045" s="1" t="s">
        <v>1012</v>
      </c>
      <c r="F8045" s="1" t="s">
        <v>12225</v>
      </c>
      <c r="G8045" s="1" t="s">
        <v>49</v>
      </c>
      <c r="H8045" s="1" t="s">
        <v>16</v>
      </c>
      <c r="I8045" s="1" t="str">
        <f ca="1">IFERROR(__xludf.DUMMYFUNCTION("GOOGLETRANSLATE(F8045, ""auto"", ""en"")
"),"a month and a half and the pressure was broken. The plastic part on which the strainer is placed has worn out. The service department has no information on the cost or delivery time of components. and asks for an advance payment")</f>
        <v>a month and a half and the pressure was broken. The plastic part on which the strainer is placed has worn out. The service department has no information on the cost or delivery time of components. and asks for an advance payment</v>
      </c>
    </row>
    <row r="8046" spans="1:9" x14ac:dyDescent="0.3">
      <c r="A8046" s="1" t="s">
        <v>624</v>
      </c>
      <c r="B8046" s="1" t="s">
        <v>625</v>
      </c>
      <c r="C8046" s="1" t="s">
        <v>479</v>
      </c>
      <c r="D8046" s="1" t="s">
        <v>200</v>
      </c>
      <c r="E8046" s="1" t="s">
        <v>2557</v>
      </c>
      <c r="F8046" s="1" t="s">
        <v>12226</v>
      </c>
      <c r="G8046" s="1" t="s">
        <v>28</v>
      </c>
      <c r="H8046" s="1" t="s">
        <v>29</v>
      </c>
      <c r="I8046" s="1" t="str">
        <f ca="1">IFERROR(__xludf.DUMMYFUNCTION("GOOGLETRANSLATE(F8046, ""auto"", ""en"")
"),"I purchased the game two weeks ago. I usually buy games after carefully looking at the reviews. There were either no reviews at all for the game “Fight” or they were written so clumsily that it was impossible to understand anything. I was intrigued by the"&amp;" opportunity to chop through a movie, and ended up taking it. The first impression is disappointment... there is no precision in the movement's work, you have to constantly calibrate, the movements are slow, clumsy with unclear trajectories and physics of"&amp;" impacts. I won’t say anything about the graphics... not for everyone. Now the most interesting thing is that after suffering for two hours, I suddenly realized... that I’m starting to like it, even if the blows don’t work and the character’s hands someti"&amp;"mes live their own lives and there’s little in common with a real fight in terms of technique, but the game is exciting.  You have to give it your all, after one sparring you give it your all as in a real fight, you really feel the stress. Again, there ar"&amp;"e problems with the technology in the game, although now some things are already starting to work out, apparently I’m getting used to the physics of the movie, in the game you just have to hack!  As a result, if you want to improve your fighting technique"&amp;", then this game will be problematic. But you can always let off steam and lose a few kilograms without leaving home.  Yes, and another important point, for combat it is best to have two motion controllers.")</f>
        <v>I purchased the game two weeks ago. I usually buy games after carefully looking at the reviews. There were either no reviews at all for the game “Fight” or they were written so clumsily that it was impossible to understand anything. I was intrigued by the opportunity to chop through a movie, and ended up taking it. The first impression is disappointment... there is no precision in the movement's work, you have to constantly calibrate, the movements are slow, clumsy with unclear trajectories and physics of impacts. I won’t say anything about the graphics... not for everyone. Now the most interesting thing is that after suffering for two hours, I suddenly realized... that I’m starting to like it, even if the blows don’t work and the character’s hands sometimes live their own lives and there’s little in common with a real fight in terms of technique, but the game is exciting.  You have to give it your all, after one sparring you give it your all as in a real fight, you really feel the stress. Again, there are problems with the technology in the game, although now some things are already starting to work out, apparently I’m getting used to the physics of the movie, in the game you just have to hack!  As a result, if you want to improve your fighting technique, then this game will be problematic. But you can always let off steam and lose a few kilograms without leaving home.  Yes, and another important point, for combat it is best to have two motion controllers.</v>
      </c>
    </row>
    <row r="8047" spans="1:9" x14ac:dyDescent="0.3">
      <c r="A8047" s="1" t="s">
        <v>149</v>
      </c>
      <c r="B8047" s="1" t="s">
        <v>155</v>
      </c>
      <c r="C8047" s="1" t="s">
        <v>80</v>
      </c>
      <c r="D8047" s="1" t="s">
        <v>247</v>
      </c>
      <c r="E8047" s="1" t="s">
        <v>950</v>
      </c>
      <c r="F8047" s="1" t="s">
        <v>12227</v>
      </c>
      <c r="G8047" s="1" t="s">
        <v>36</v>
      </c>
      <c r="H8047" s="1" t="s">
        <v>29</v>
      </c>
      <c r="I8047" s="1" t="str">
        <f ca="1">IFERROR(__xludf.DUMMYFUNCTION("GOOGLETRANSLATE(F8047, ""auto"", ""en"")
"),"We bought a vacuum cleaner on July 10th.   On the first day we decided to try it - and were very surprised. LG collected a lot of dirt from the carpet, which had already been vacuumed with the old unit.  It also collects cat hair very well.   So far we ha"&amp;"ve only used regular and turbo brushes. Moreover, the suction power is so strong that the brush has to be pushed across the carpet - this is the downside.   No more complaints - it disassembles easily, you don’t have to wash it, just wipe it with a damp c"&amp;"loth.   I recommend it for use.")</f>
        <v>We bought a vacuum cleaner on July 10th.   On the first day we decided to try it - and were very surprised. LG collected a lot of dirt from the carpet, which had already been vacuumed with the old unit.  It also collects cat hair very well.   So far we have only used regular and turbo brushes. Moreover, the suction power is so strong that the brush has to be pushed across the carpet - this is the downside.   No more complaints - it disassembles easily, you don’t have to wash it, just wipe it with a damp cloth.   I recommend it for use.</v>
      </c>
    </row>
    <row r="8048" spans="1:9" x14ac:dyDescent="0.3">
      <c r="A8048" s="1" t="s">
        <v>55</v>
      </c>
      <c r="B8048" s="1" t="s">
        <v>752</v>
      </c>
      <c r="C8048" s="1" t="s">
        <v>185</v>
      </c>
      <c r="D8048" s="1" t="s">
        <v>4329</v>
      </c>
      <c r="E8048" s="1" t="s">
        <v>4261</v>
      </c>
      <c r="F8048" s="1" t="s">
        <v>12228</v>
      </c>
      <c r="G8048" s="1" t="s">
        <v>36</v>
      </c>
      <c r="H8048" s="1" t="s">
        <v>29</v>
      </c>
      <c r="I8048" s="1" t="str">
        <f ca="1">IFERROR(__xludf.DUMMYFUNCTION("GOOGLETRANSLATE(F8048, ""auto"", ""en"")
"),"Bought 2 days ago. I really like it, it heats up great. Before that, we bought a ceramic heater from another company, so we took it back to the store the next day and exchanged it for this one, which we don’t regret at all. Buy it, you won't regret it!")</f>
        <v>Bought 2 days ago. I really like it, it heats up great. Before that, we bought a ceramic heater from another company, so we took it back to the store the next day and exchanged it for this one, which we don’t regret at all. Buy it, you won't regret it!</v>
      </c>
    </row>
    <row r="8049" spans="1:9" x14ac:dyDescent="0.3">
      <c r="A8049" s="1" t="s">
        <v>61</v>
      </c>
      <c r="B8049" s="1" t="s">
        <v>318</v>
      </c>
      <c r="C8049" s="1" t="s">
        <v>57</v>
      </c>
      <c r="D8049" s="1" t="s">
        <v>12229</v>
      </c>
      <c r="E8049" s="1" t="s">
        <v>1515</v>
      </c>
      <c r="F8049" s="1" t="s">
        <v>12230</v>
      </c>
      <c r="G8049" s="1" t="s">
        <v>36</v>
      </c>
      <c r="H8049" s="1" t="s">
        <v>29</v>
      </c>
      <c r="I8049" s="1" t="str">
        <f ca="1">IFERROR(__xludf.DUMMYFUNCTION("GOOGLETRANSLATE(F8049, ""auto"", ""en"")
"),"Quality China")</f>
        <v>Quality China</v>
      </c>
    </row>
    <row r="8050" spans="1:9" x14ac:dyDescent="0.3">
      <c r="A8050" s="1" t="s">
        <v>206</v>
      </c>
      <c r="B8050" s="1" t="s">
        <v>1253</v>
      </c>
      <c r="C8050" s="1" t="s">
        <v>4464</v>
      </c>
      <c r="D8050" s="1" t="s">
        <v>305</v>
      </c>
      <c r="E8050" s="1" t="s">
        <v>2338</v>
      </c>
      <c r="F8050" s="1" t="s">
        <v>12231</v>
      </c>
      <c r="G8050" s="1" t="s">
        <v>15</v>
      </c>
      <c r="H8050" s="1" t="s">
        <v>16</v>
      </c>
      <c r="I8050" s="1" t="str">
        <f ca="1">IFERROR(__xludf.DUMMYFUNCTION("GOOGLETRANSLATE(F8050, ""auto"", ""en"")
"),"All the charms are only in the body and in 24 channels. The connection quality is good only on 300m and not in the city. They hired 10 pieces, but they didn’t meet the stated requirements.")</f>
        <v>All the charms are only in the body and in 24 channels. The connection quality is good only on 300m and not in the city. They hired 10 pieces, but they didn’t meet the stated requirements.</v>
      </c>
    </row>
    <row r="8051" spans="1:9" x14ac:dyDescent="0.3">
      <c r="A8051" s="1" t="s">
        <v>211</v>
      </c>
      <c r="B8051" s="1" t="s">
        <v>212</v>
      </c>
      <c r="C8051" s="1" t="s">
        <v>266</v>
      </c>
      <c r="D8051" s="1" t="s">
        <v>2764</v>
      </c>
      <c r="E8051" s="1" t="s">
        <v>5767</v>
      </c>
      <c r="F8051" s="1" t="s">
        <v>12232</v>
      </c>
      <c r="G8051" s="1" t="s">
        <v>15</v>
      </c>
      <c r="H8051" s="1" t="s">
        <v>16</v>
      </c>
      <c r="I8051" s="1" t="str">
        <f ca="1">IFERROR(__xludf.DUMMYFUNCTION("GOOGLETRANSLATE(F8051, ""auto"", ""en"")
"),"The tongs are terrible. Heats up slowly. Hair burns very badly. Not worth the money.")</f>
        <v>The tongs are terrible. Heats up slowly. Hair burns very badly. Not worth the money.</v>
      </c>
    </row>
    <row r="8052" spans="1:9" x14ac:dyDescent="0.3">
      <c r="A8052" s="1" t="s">
        <v>89</v>
      </c>
      <c r="B8052" s="1" t="s">
        <v>1106</v>
      </c>
      <c r="C8052" s="1" t="s">
        <v>185</v>
      </c>
      <c r="D8052" s="1" t="s">
        <v>545</v>
      </c>
      <c r="E8052" s="1" t="s">
        <v>1784</v>
      </c>
      <c r="F8052" s="1" t="s">
        <v>12233</v>
      </c>
      <c r="G8052" s="1" t="s">
        <v>49</v>
      </c>
      <c r="H8052" s="1" t="s">
        <v>16</v>
      </c>
      <c r="I8052" s="1" t="str">
        <f ca="1">IFERROR(__xludf.DUMMYFUNCTION("GOOGLETRANSLATE(F8052, ""auto"", ""en"")
"),"The coffee maker is terrible. Coffee prepared in it not only smells, but also tastes like plastic. No amount of washing or airing helped, the product is of poor quality, wasted money.")</f>
        <v>The coffee maker is terrible. Coffee prepared in it not only smells, but also tastes like plastic. No amount of washing or airing helped, the product is of poor quality, wasted money.</v>
      </c>
    </row>
    <row r="8053" spans="1:9" x14ac:dyDescent="0.3">
      <c r="A8053" s="1" t="s">
        <v>361</v>
      </c>
      <c r="B8053" s="1" t="s">
        <v>2555</v>
      </c>
      <c r="C8053" s="1" t="s">
        <v>4871</v>
      </c>
      <c r="D8053" s="1" t="s">
        <v>287</v>
      </c>
      <c r="E8053" s="1" t="s">
        <v>8558</v>
      </c>
      <c r="F8053" s="1" t="s">
        <v>12234</v>
      </c>
      <c r="G8053" s="1" t="s">
        <v>36</v>
      </c>
      <c r="H8053" s="1" t="s">
        <v>29</v>
      </c>
      <c r="I8053" s="1" t="str">
        <f ca="1">IFERROR(__xludf.DUMMYFUNCTION("GOOGLETRANSLATE(F8053, ""auto"", ""en"")
"),"I've been using this for almost a year.  A chic thermos, the way it holds heat is comparable to old Soviet vacuum thermoses with a glass flask, but the metal flask, of course, has its undeniable advantages - durability.  The lid is very convenient, easy t"&amp;"o disassemble and clean, food-grade plastic holds the temperature up to about 250 degrees (tested with a soldering station ;), you can safely ignore the nonsense about “emission of harmful substances” :) Anyone who loves Chinese tea (especially green and "&amp;"white - the taste of the water is critical there) will especially appreciate it, since the coating inside the flask isolates the liquid from contact with the metal and there is no nasty iron taste, as in ordinary steel thermoses.  Well, for traditional te"&amp;"a drinking with gaiwan (and with an easypot too), such a thermos is simply irreplaceable.   In general, I highly recommend it - both for “tea people” and simply for those who understand what a good thermos is :)")</f>
        <v>I've been using this for almost a year.  A chic thermos, the way it holds heat is comparable to old Soviet vacuum thermoses with a glass flask, but the metal flask, of course, has its undeniable advantages - durability.  The lid is very convenient, easy to disassemble and clean, food-grade plastic holds the temperature up to about 250 degrees (tested with a soldering station ;), you can safely ignore the nonsense about “emission of harmful substances” :) Anyone who loves Chinese tea (especially green and white - the taste of the water is critical there) will especially appreciate it, since the coating inside the flask isolates the liquid from contact with the metal and there is no nasty iron taste, as in ordinary steel thermoses.  Well, for traditional tea drinking with gaiwan (and with an easypot too), such a thermos is simply irreplaceable.   In general, I highly recommend it - both for “tea people” and simply for those who understand what a good thermos is :)</v>
      </c>
    </row>
    <row r="8054" spans="1:9" x14ac:dyDescent="0.3">
      <c r="A8054" s="1" t="s">
        <v>17</v>
      </c>
      <c r="B8054" s="1" t="s">
        <v>18</v>
      </c>
      <c r="C8054" s="1" t="s">
        <v>290</v>
      </c>
      <c r="D8054" s="1" t="s">
        <v>64</v>
      </c>
      <c r="E8054" s="1" t="s">
        <v>903</v>
      </c>
      <c r="F8054" s="1" t="s">
        <v>12235</v>
      </c>
      <c r="G8054" s="1" t="s">
        <v>36</v>
      </c>
      <c r="H8054" s="1" t="s">
        <v>29</v>
      </c>
      <c r="I8054" s="1" t="str">
        <f ca="1">IFERROR(__xludf.DUMMYFUNCTION("GOOGLETRANSLATE(F8054, ""auto"", ""en"")
"),"Yesterday we bought a machine. I washed one wash. I’m happy with the quality of the wash. True, I had 2 top-loading machines before. But the side one seems okay, it’s also convenient. And I’m afraid the 4.5 kg drum is a little small (previously it was 5 k"&amp;"g). But the word “Economy” is spelled correctly!!!")</f>
        <v>Yesterday we bought a machine. I washed one wash. I’m happy with the quality of the wash. True, I had 2 top-loading machines before. But the side one seems okay, it’s also convenient. And I’m afraid the 4.5 kg drum is a little small (previously it was 5 kg). But the word “Economy” is spelled correctly!!!</v>
      </c>
    </row>
    <row r="8055" spans="1:9" x14ac:dyDescent="0.3">
      <c r="A8055" s="1" t="s">
        <v>30</v>
      </c>
      <c r="B8055" s="1" t="s">
        <v>50</v>
      </c>
      <c r="C8055" s="1" t="s">
        <v>32</v>
      </c>
      <c r="D8055" s="1" t="s">
        <v>633</v>
      </c>
      <c r="E8055" s="1" t="s">
        <v>8177</v>
      </c>
      <c r="F8055" s="1" t="s">
        <v>12236</v>
      </c>
      <c r="G8055" s="1" t="s">
        <v>36</v>
      </c>
      <c r="H8055" s="1" t="s">
        <v>29</v>
      </c>
      <c r="I8055" s="1" t="str">
        <f ca="1">IFERROR(__xludf.DUMMYFUNCTION("GOOGLETRANSLATE(F8055, ""auto"", ""en"")
"),"I think there are two video cards on it, not so that one helps the other, but one when you are connected to the network and playing, and the second when you are on the battery, it is probably not so voracious. :) Otherwise, why does it switch from one vid"&amp;"eo card to another when turning it off and on?  And so the computer is good, has a big screen, carries toys, the only thing that sticks is Gothic Forgotten Gods, the rest, such as CoD 4, Stalker, Assassin, it carries on maximum settings.  Today I’ll try C"&amp;"risis again, if it can be carried at least on medium, then it’s a worthwhile thing. After all, they say that if your computer runs Crisis at maximum settings, then it will not become obsolete in the next three years. :) The touchpad buttons are just not v"&amp;"ery comfortable and there is no Bluetooth, despite the fact that there is a button for it.")</f>
        <v>I think there are two video cards on it, not so that one helps the other, but one when you are connected to the network and playing, and the second when you are on the battery, it is probably not so voracious. :) Otherwise, why does it switch from one video card to another when turning it off and on?  And so the computer is good, has a big screen, carries toys, the only thing that sticks is Gothic Forgotten Gods, the rest, such as CoD 4, Stalker, Assassin, it carries on maximum settings.  Today I’ll try Crisis again, if it can be carried at least on medium, then it’s a worthwhile thing. After all, they say that if your computer runs Crisis at maximum settings, then it will not become obsolete in the next three years. :) The touchpad buttons are just not very comfortable and there is no Bluetooth, despite the fact that there is a button for it.</v>
      </c>
    </row>
    <row r="8056" spans="1:9" x14ac:dyDescent="0.3">
      <c r="A8056" s="1" t="s">
        <v>67</v>
      </c>
      <c r="B8056" s="1" t="s">
        <v>68</v>
      </c>
      <c r="C8056" s="1" t="s">
        <v>69</v>
      </c>
      <c r="D8056" s="1" t="s">
        <v>32</v>
      </c>
      <c r="E8056" s="1" t="s">
        <v>2341</v>
      </c>
      <c r="F8056" s="1" t="s">
        <v>12237</v>
      </c>
      <c r="G8056" s="1" t="s">
        <v>36</v>
      </c>
      <c r="H8056" s="1" t="s">
        <v>29</v>
      </c>
      <c r="I8056" s="1" t="str">
        <f ca="1">IFERROR(__xludf.DUMMYFUNCTION("GOOGLETRANSLATE(F8056, ""auto"", ""en"")
"),"We gave this iron as a wedding gift:) I’m very pleased, especially with the auto-shut-off function. I used to always doubt whether I turned off the iron, but now I don’t even think about it. An iron for people like me - absent-minded and always in a hurry"&amp;" girls. Irons perfectly thanks to super steaming.   5 points.")</f>
        <v>We gave this iron as a wedding gift:) I’m very pleased, especially with the auto-shut-off function. I used to always doubt whether I turned off the iron, but now I don’t even think about it. An iron for people like me - absent-minded and always in a hurry girls. Irons perfectly thanks to super steaming.   5 points.</v>
      </c>
    </row>
    <row r="8057" spans="1:9" x14ac:dyDescent="0.3">
      <c r="A8057" s="1" t="s">
        <v>61</v>
      </c>
      <c r="B8057" s="1" t="s">
        <v>318</v>
      </c>
      <c r="C8057" s="1" t="s">
        <v>101</v>
      </c>
      <c r="D8057" s="1" t="s">
        <v>2771</v>
      </c>
      <c r="E8057" s="1" t="s">
        <v>1636</v>
      </c>
      <c r="F8057" s="1" t="s">
        <v>12238</v>
      </c>
      <c r="G8057" s="1" t="s">
        <v>36</v>
      </c>
      <c r="H8057" s="1" t="s">
        <v>29</v>
      </c>
      <c r="I8057" s="1" t="str">
        <f ca="1">IFERROR(__xludf.DUMMYFUNCTION("GOOGLETRANSLATE(F8057, ""auto"", ""en"")
"),"A glowing teapot is a great addition to the interior. It looks very stylish and will fit into any interior, especially high-tech) I have no complaints about the quality.")</f>
        <v>A glowing teapot is a great addition to the interior. It looks very stylish and will fit into any interior, especially high-tech) I have no complaints about the quality.</v>
      </c>
    </row>
    <row r="8058" spans="1:9" x14ac:dyDescent="0.3">
      <c r="A8058" s="1" t="s">
        <v>55</v>
      </c>
      <c r="B8058" s="1" t="s">
        <v>752</v>
      </c>
      <c r="C8058" s="1" t="s">
        <v>185</v>
      </c>
      <c r="D8058" s="1" t="s">
        <v>52</v>
      </c>
      <c r="E8058" s="1" t="s">
        <v>2812</v>
      </c>
      <c r="F8058" s="1" t="s">
        <v>12239</v>
      </c>
      <c r="G8058" s="1" t="s">
        <v>36</v>
      </c>
      <c r="H8058" s="1" t="s">
        <v>29</v>
      </c>
      <c r="I8058" s="1" t="str">
        <f ca="1">IFERROR(__xludf.DUMMYFUNCTION("GOOGLETRANSLATE(F8058, ""auto"", ""en"")
"),"There are two available: one at the dacha, the second in Moscow. There are no complaints about the work, both heat perfectly. One has a dent after a hard fall, but it works.")</f>
        <v>There are two available: one at the dacha, the second in Moscow. There are no complaints about the work, both heat perfectly. One has a dent after a hard fall, but it works.</v>
      </c>
    </row>
    <row r="8059" spans="1:9" x14ac:dyDescent="0.3">
      <c r="A8059" s="1" t="s">
        <v>67</v>
      </c>
      <c r="B8059" s="1" t="s">
        <v>68</v>
      </c>
      <c r="C8059" s="1" t="s">
        <v>246</v>
      </c>
      <c r="D8059" s="1" t="s">
        <v>152</v>
      </c>
      <c r="E8059" s="1" t="s">
        <v>2622</v>
      </c>
      <c r="F8059" s="1" t="s">
        <v>12240</v>
      </c>
      <c r="G8059" s="1" t="s">
        <v>36</v>
      </c>
      <c r="H8059" s="1" t="s">
        <v>29</v>
      </c>
      <c r="I8059" s="1" t="str">
        <f ca="1">IFERROR(__xludf.DUMMYFUNCTION("GOOGLETRANSLATE(F8059, ""auto"", ""en"")
"),"An excellent iron, I even got it at a discount, it’s worth the money!")</f>
        <v>An excellent iron, I even got it at a discount, it’s worth the money!</v>
      </c>
    </row>
    <row r="8060" spans="1:9" x14ac:dyDescent="0.3">
      <c r="A8060" s="1" t="s">
        <v>557</v>
      </c>
      <c r="B8060" s="1" t="s">
        <v>558</v>
      </c>
      <c r="C8060" s="1" t="s">
        <v>122</v>
      </c>
      <c r="D8060" s="1" t="s">
        <v>232</v>
      </c>
      <c r="E8060" s="1" t="s">
        <v>12241</v>
      </c>
      <c r="F8060" s="1" t="s">
        <v>12242</v>
      </c>
      <c r="G8060" s="1" t="s">
        <v>36</v>
      </c>
      <c r="H8060" s="1" t="s">
        <v>29</v>
      </c>
      <c r="I8060" s="1" t="str">
        <f ca="1">IFERROR(__xludf.DUMMYFUNCTION("GOOGLETRANSLATE(F8060, ""auto"", ""en"")
"),"I bought this phone to replace my old one. It was “Panasonic” because of the volume of the speakers, so that the caller could be heard well. The phone fully met expectations. The interlocutor can be heard perfectly, the battery also corresponds to the dec"&amp;"lared data (170 hours in standby mode). I checked it specifically. The main thing to remember is that these are nickel-metal hydride batteries, which for proper long-term operation require a complete discharge (until it turns off) and subsequent full char"&amp;"ging (at least 8-10 hours). The first three to four cycles are especially important. Among the shortcomings, perhaps only a very poor set of ringtones can be highlighted. I would like there to be more variety, so that there would be plenty to choose from."&amp;" I didn’t check the caller ID, it’s not important to me. In general, a simple working phone without unnecessary bells and whistles for active use.")</f>
        <v>I bought this phone to replace my old one. It was “Panasonic” because of the volume of the speakers, so that the caller could be heard well. The phone fully met expectations. The interlocutor can be heard perfectly, the battery also corresponds to the declared data (170 hours in standby mode). I checked it specifically. The main thing to remember is that these are nickel-metal hydride batteries, which for proper long-term operation require a complete discharge (until it turns off) and subsequent full charging (at least 8-10 hours). The first three to four cycles are especially important. Among the shortcomings, perhaps only a very poor set of ringtones can be highlighted. I would like there to be more variety, so that there would be plenty to choose from. I didn’t check the caller ID, it’s not important to me. In general, a simple working phone without unnecessary bells and whistles for active use.</v>
      </c>
    </row>
    <row r="8061" spans="1:9" x14ac:dyDescent="0.3">
      <c r="A8061" s="1" t="s">
        <v>43</v>
      </c>
      <c r="B8061" s="1" t="s">
        <v>303</v>
      </c>
      <c r="C8061" s="1" t="s">
        <v>304</v>
      </c>
      <c r="D8061" s="1" t="s">
        <v>742</v>
      </c>
      <c r="E8061" s="1" t="s">
        <v>3178</v>
      </c>
      <c r="F8061" s="1" t="s">
        <v>12243</v>
      </c>
      <c r="G8061" s="1" t="s">
        <v>28</v>
      </c>
      <c r="H8061" s="1" t="s">
        <v>29</v>
      </c>
      <c r="I8061" s="1" t="str">
        <f ca="1">IFERROR(__xludf.DUMMYFUNCTION("GOOGLETRANSLATE(F8061, ""auto"", ""en"")
"),"I was very surprised that the size of this heater is smaller than the previous 2 - exactly the same (50 liter barrel).. I was worried that the tank’s thermal insulation was poor... but no, it’s better than it was! I can’t say anything about the durability"&amp;" of this product, because I’ve been using it for the 3rd day... the first water heater (St. Petersburg Face) lasted 10 years... the second... theirs is 4 years (horror)! I didn’t take any risks - I bought an additional 3-year warranty for 1000 rubles - I "&amp;"successfully sold the old heater in a day through a well-known website - I honestly said that it started to drip sometimes... (900 rubles)... I read previous reviews - I saw heresy... like the thermostat rotates 360 degrees... or like “I set a comfortable"&amp;" temperature for myself, but a different one for my wife.”. I recommend setting it at least to 70 percent...3rd division..-and use the usual way - MIXER! I didn’t take any risks - I installed a check valve from an old (4 year old) heater - I read a lot of"&amp;" comments that it was splashing... (the spring in the new one is actually 2 times “weaker”) Good luck!  ""Cheap doesn't mean bad! Learn the materiel :-)")</f>
        <v>I was very surprised that the size of this heater is smaller than the previous 2 - exactly the same (50 liter barrel).. I was worried that the tank’s thermal insulation was poor... but no, it’s better than it was! I can’t say anything about the durability of this product, because I’ve been using it for the 3rd day... the first water heater (St. Petersburg Face) lasted 10 years... the second... theirs is 4 years (horror)! I didn’t take any risks - I bought an additional 3-year warranty for 1000 rubles - I successfully sold the old heater in a day through a well-known website - I honestly said that it started to drip sometimes... (900 rubles)... I read previous reviews - I saw heresy... like the thermostat rotates 360 degrees... or like “I set a comfortable temperature for myself, but a different one for my wife.”. I recommend setting it at least to 70 percent...3rd division..-and use the usual way - MIXER! I didn’t take any risks - I installed a check valve from an old (4 year old) heater - I read a lot of comments that it was splashing... (the spring in the new one is actually 2 times “weaker”) Good luck!  "Cheap doesn't mean bad! Learn the materiel :-)</v>
      </c>
    </row>
    <row r="8062" spans="1:9" x14ac:dyDescent="0.3">
      <c r="A8062" s="1" t="s">
        <v>61</v>
      </c>
      <c r="B8062" s="1" t="s">
        <v>318</v>
      </c>
      <c r="C8062" s="1" t="s">
        <v>57</v>
      </c>
      <c r="D8062" s="1" t="s">
        <v>200</v>
      </c>
      <c r="E8062" s="1" t="s">
        <v>2502</v>
      </c>
      <c r="F8062" s="1" t="s">
        <v>12244</v>
      </c>
      <c r="G8062" s="1" t="s">
        <v>28</v>
      </c>
      <c r="H8062" s="1" t="s">
        <v>29</v>
      </c>
      <c r="I8062" s="1" t="str">
        <f ca="1">IFERROR(__xludf.DUMMYFUNCTION("GOOGLETRANSLATE(F8062, ""auto"", ""en"")
"),"The product is generally good. But it just takes a long time to boil. And when it boiled hot as an iron.")</f>
        <v>The product is generally good. But it just takes a long time to boil. And when it boiled hot as an iron.</v>
      </c>
    </row>
    <row r="8063" spans="1:9" x14ac:dyDescent="0.3">
      <c r="A8063" s="1" t="s">
        <v>30</v>
      </c>
      <c r="B8063" s="1" t="s">
        <v>50</v>
      </c>
      <c r="C8063" s="1" t="s">
        <v>32</v>
      </c>
      <c r="D8063" s="1" t="s">
        <v>1152</v>
      </c>
      <c r="E8063" s="1" t="s">
        <v>5011</v>
      </c>
      <c r="F8063" s="1" t="s">
        <v>12245</v>
      </c>
      <c r="G8063" s="1" t="s">
        <v>36</v>
      </c>
      <c r="H8063" s="1" t="s">
        <v>29</v>
      </c>
      <c r="I8063" s="1" t="str">
        <f ca="1">IFERROR(__xludf.DUMMYFUNCTION("GOOGLETRANSLATE(F8063, ""auto"", ""en"")
"),"disadvantages of the laptop: the left side gets very hot, the low-frequency speaker begins to wheeze from overheating, the sound for a laptop is very good, but not as much as it is praised here =) due to overheating, the mesh of the speakers on the top of"&amp;" the panel came off and swelled a little =) the laptop is about 6 months old... people, don’t overheat it, my poor thing worked at 36 degrees in the summer... without third-party cooling, I advise it in such a warm don't use the weather!!!!  pros: excelle"&amp;"nt processor performance, good video card without frills =) that is, you remove the shaders and filtering to minimum and everything else to maximum =) it goes without problems. I was glad that you can add operatives.    In my opinion, the laptop is ONLY f"&amp;"or home use and it works out its money perfectly!!!!!  Among the games, Star Craft 2 and Boulderlands are excellent =) this is what I tried =D")</f>
        <v>disadvantages of the laptop: the left side gets very hot, the low-frequency speaker begins to wheeze from overheating, the sound for a laptop is very good, but not as much as it is praised here =) due to overheating, the mesh of the speakers on the top of the panel came off and swelled a little =) the laptop is about 6 months old... people, don’t overheat it, my poor thing worked at 36 degrees in the summer... without third-party cooling, I advise it in such a warm don't use the weather!!!!  pros: excellent processor performance, good video card without frills =) that is, you remove the shaders and filtering to minimum and everything else to maximum =) it goes without problems. I was glad that you can add operatives.    In my opinion, the laptop is ONLY for home use and it works out its money perfectly!!!!!  Among the games, Star Craft 2 and Boulderlands are excellent =) this is what I tried =D</v>
      </c>
    </row>
    <row r="8064" spans="1:9" x14ac:dyDescent="0.3">
      <c r="A8064" s="1" t="s">
        <v>451</v>
      </c>
      <c r="B8064" s="1" t="s">
        <v>452</v>
      </c>
      <c r="C8064" s="1" t="s">
        <v>453</v>
      </c>
      <c r="D8064" s="1" t="s">
        <v>1171</v>
      </c>
      <c r="E8064" s="1" t="s">
        <v>5530</v>
      </c>
      <c r="F8064" s="1" t="s">
        <v>12246</v>
      </c>
      <c r="G8064" s="1" t="s">
        <v>36</v>
      </c>
      <c r="H8064" s="1" t="s">
        <v>29</v>
      </c>
      <c r="I8064" s="1" t="str">
        <f ca="1">IFERROR(__xludf.DUMMYFUNCTION("GOOGLETRANSLATE(F8064, ""auto"", ""en"")
"),"I bought a lot of machines for removing pellets, but I couldn’t get the desired result from any of them.  I purchased a Maxwell MW-3101 W machine, it fully copes with its purpose. I recommend it.")</f>
        <v>I bought a lot of machines for removing pellets, but I couldn’t get the desired result from any of them.  I purchased a Maxwell MW-3101 W machine, it fully copes with its purpose. I recommend it.</v>
      </c>
    </row>
    <row r="8065" spans="1:9" x14ac:dyDescent="0.3">
      <c r="A8065" s="1" t="s">
        <v>43</v>
      </c>
      <c r="B8065" s="1" t="s">
        <v>303</v>
      </c>
      <c r="C8065" s="1" t="s">
        <v>304</v>
      </c>
      <c r="D8065" s="1" t="s">
        <v>12247</v>
      </c>
      <c r="E8065" s="1" t="s">
        <v>4171</v>
      </c>
      <c r="F8065" s="1" t="s">
        <v>12248</v>
      </c>
      <c r="G8065" s="1" t="s">
        <v>36</v>
      </c>
      <c r="H8065" s="1" t="s">
        <v>29</v>
      </c>
      <c r="I8065" s="1" t="str">
        <f ca="1">IFERROR(__xludf.DUMMYFUNCTION("GOOGLETRANSLATE(F8065, ""auto"", ""en"")
"),"Inexpensive, from a well-known manufacturer")</f>
        <v>Inexpensive, from a well-known manufacturer</v>
      </c>
    </row>
    <row r="8066" spans="1:9" x14ac:dyDescent="0.3">
      <c r="A8066" s="1" t="s">
        <v>105</v>
      </c>
      <c r="B8066" s="1" t="s">
        <v>106</v>
      </c>
      <c r="C8066" s="1" t="s">
        <v>1209</v>
      </c>
      <c r="D8066" s="1" t="s">
        <v>305</v>
      </c>
      <c r="E8066" s="1" t="s">
        <v>5914</v>
      </c>
      <c r="F8066" s="1" t="s">
        <v>12249</v>
      </c>
      <c r="G8066" s="1" t="s">
        <v>36</v>
      </c>
      <c r="H8066" s="1" t="s">
        <v>29</v>
      </c>
      <c r="I8066" s="1" t="str">
        <f ca="1">IFERROR(__xludf.DUMMYFUNCTION("GOOGLETRANSLATE(F8066, ""auto"", ""en"")
"),"Great player! I really had to buy new headphones, but overall I give it a 5. At work it’s generally comfortable with it, it’s miniature. It has been working for over a year now and everything is fine!!!")</f>
        <v>Great player! I really had to buy new headphones, but overall I give it a 5. At work it’s generally comfortable with it, it’s miniature. It has been working for over a year now and everything is fine!!!</v>
      </c>
    </row>
    <row r="8067" spans="1:9" x14ac:dyDescent="0.3">
      <c r="A8067" s="1" t="s">
        <v>120</v>
      </c>
      <c r="B8067" s="1" t="s">
        <v>196</v>
      </c>
      <c r="C8067" s="1" t="s">
        <v>151</v>
      </c>
      <c r="D8067" s="1" t="s">
        <v>305</v>
      </c>
      <c r="E8067" s="1" t="s">
        <v>2341</v>
      </c>
      <c r="F8067" s="1" t="s">
        <v>12250</v>
      </c>
      <c r="G8067" s="1" t="s">
        <v>28</v>
      </c>
      <c r="H8067" s="1" t="s">
        <v>29</v>
      </c>
      <c r="I8067" s="1" t="str">
        <f ca="1">IFERROR(__xludf.DUMMYFUNCTION("GOOGLETRANSLATE(F8067, ""auto"", ""en"")
"),"Very rich colors, beautiful appearance, image blur in dynamic scenes is a little annoying, at 100 hertz the image sometimes slows down, as is the case with many Samsung devices! Watching movies on it is the best, games look less good!!! In general, a pret"&amp;"ty good device! my humble opinion!)))")</f>
        <v>Very rich colors, beautiful appearance, image blur in dynamic scenes is a little annoying, at 100 hertz the image sometimes slows down, as is the case with many Samsung devices! Watching movies on it is the best, games look less good!!! In general, a pretty good device! my humble opinion!)))</v>
      </c>
    </row>
    <row r="8068" spans="1:9" x14ac:dyDescent="0.3">
      <c r="A8068" s="1" t="s">
        <v>105</v>
      </c>
      <c r="B8068" s="1" t="s">
        <v>106</v>
      </c>
      <c r="C8068" s="1" t="s">
        <v>151</v>
      </c>
      <c r="D8068" s="1" t="s">
        <v>12251</v>
      </c>
      <c r="E8068" s="1" t="s">
        <v>118</v>
      </c>
      <c r="F8068" s="1" t="s">
        <v>12252</v>
      </c>
      <c r="G8068" s="1" t="s">
        <v>36</v>
      </c>
      <c r="H8068" s="1" t="s">
        <v>29</v>
      </c>
      <c r="I8068" s="1" t="str">
        <f ca="1">IFERROR(__xludf.DUMMYFUNCTION("GOOGLETRANSLATE(F8068, ""auto"", ""en"")
"),"Amazingly cool player. I'm delighted. Very convenient. The sound quality exceeded my expectations after using it for some time.   I recommend it to everyone!!!")</f>
        <v>Amazingly cool player. I'm delighted. Very convenient. The sound quality exceeded my expectations after using it for some time.   I recommend it to everyone!!!</v>
      </c>
    </row>
    <row r="8069" spans="1:9" x14ac:dyDescent="0.3">
      <c r="A8069" s="1" t="s">
        <v>17</v>
      </c>
      <c r="B8069" s="1" t="s">
        <v>18</v>
      </c>
      <c r="C8069" s="1" t="s">
        <v>885</v>
      </c>
      <c r="D8069" s="1" t="s">
        <v>52</v>
      </c>
      <c r="E8069" s="1" t="s">
        <v>606</v>
      </c>
      <c r="F8069" s="1" t="s">
        <v>12253</v>
      </c>
      <c r="G8069" s="1" t="s">
        <v>49</v>
      </c>
      <c r="H8069" s="1" t="s">
        <v>16</v>
      </c>
      <c r="I8069" s="1" t="str">
        <f ca="1">IFERROR(__xludf.DUMMYFUNCTION("GOOGLETRANSLATE(F8069, ""auto"", ""en"")
"),"I bought this machine, it was just terrible for nothing... Well, it just so happened to be standing on a special shelf made for the machine... before that it was standing longer and there was another one, so as not to advertise, I don’t mention it... so i"&amp;"t flew onto my tank and broke it (((")</f>
        <v>I bought this machine, it was just terrible for nothing... Well, it just so happened to be standing on a special shelf made for the machine... before that it was standing longer and there was another one, so as not to advertise, I don’t mention it... so it flew onto my tank and broke it (((</v>
      </c>
    </row>
    <row r="8070" spans="1:9" x14ac:dyDescent="0.3">
      <c r="A8070" s="1" t="s">
        <v>206</v>
      </c>
      <c r="B8070" s="1" t="s">
        <v>261</v>
      </c>
      <c r="C8070" s="1" t="s">
        <v>262</v>
      </c>
      <c r="D8070" s="1" t="s">
        <v>139</v>
      </c>
      <c r="E8070" s="1" t="s">
        <v>612</v>
      </c>
      <c r="F8070" s="1" t="s">
        <v>12254</v>
      </c>
      <c r="G8070" s="1" t="s">
        <v>49</v>
      </c>
      <c r="H8070" s="1" t="s">
        <v>16</v>
      </c>
      <c r="I8070" s="1" t="str">
        <f ca="1">IFERROR(__xludf.DUMMYFUNCTION("GOOGLETRANSLATE(F8070, ""auto"", ""en"")
"),"The most terrible antenna I've ever bought is television on 3, and the radio my native antenna picks up better than this one, it doesn't pick up at all, and that's with the original receiver. In general, for radio reception in Yaroslavl 1 unit minus. By t"&amp;"he way, there is no switch. I don't recommend this nonsense to anyone, just throw your money away.")</f>
        <v>The most terrible antenna I've ever bought is television on 3, and the radio my native antenna picks up better than this one, it doesn't pick up at all, and that's with the original receiver. In general, for radio reception in Yaroslavl 1 unit minus. By the way, there is no switch. I don't recommend this nonsense to anyone, just throw your money away.</v>
      </c>
    </row>
    <row r="8071" spans="1:9" x14ac:dyDescent="0.3">
      <c r="A8071" s="1" t="s">
        <v>43</v>
      </c>
      <c r="B8071" s="1" t="s">
        <v>1616</v>
      </c>
      <c r="C8071" s="1" t="s">
        <v>257</v>
      </c>
      <c r="D8071" s="1" t="s">
        <v>64</v>
      </c>
      <c r="E8071" s="1" t="s">
        <v>1139</v>
      </c>
      <c r="F8071" s="1" t="s">
        <v>12255</v>
      </c>
      <c r="G8071" s="1" t="s">
        <v>36</v>
      </c>
      <c r="H8071" s="1" t="s">
        <v>29</v>
      </c>
      <c r="I8071" s="1" t="str">
        <f ca="1">IFERROR(__xludf.DUMMYFUNCTION("GOOGLETRANSLATE(F8071, ""auto"", ""en"")
"),"Bought for the office. cooled a 24m room in 20-30 minutes. Of course it makes noise, but not as much as employees do in the heat.   If your management refuses to buy you an air conditioner, bring him a simple calculation: There are 5 people sitting in a 2"&amp;"4 m room, the average salary is 30,000 rubles. At a room temperature of 30 degrees, the working day is reduced to 5 hours! 1 working hour for the employees of this premises costs 852.27 rubles, multiplied by 3 hours (by which you should reduce your workin"&amp;"g day) = 2556.82 rubles. THE MONEY SPENT ON THE AIR CONDITIONER WILL BE RECOVERED AND START MAKING A PROFIT IN 4 DAYS! :)")</f>
        <v>Bought for the office. cooled a 24m room in 20-30 minutes. Of course it makes noise, but not as much as employees do in the heat.   If your management refuses to buy you an air conditioner, bring him a simple calculation: There are 5 people sitting in a 24 m room, the average salary is 30,000 rubles. At a room temperature of 30 degrees, the working day is reduced to 5 hours! 1 working hour for the employees of this premises costs 852.27 rubles, multiplied by 3 hours (by which you should reduce your working day) = 2556.82 rubles. THE MONEY SPENT ON THE AIR CONDITIONER WILL BE RECOVERED AND START MAKING A PROFIT IN 4 DAYS! :)</v>
      </c>
    </row>
    <row r="8072" spans="1:9" x14ac:dyDescent="0.3">
      <c r="A8072" s="1" t="s">
        <v>89</v>
      </c>
      <c r="B8072" s="1" t="s">
        <v>231</v>
      </c>
      <c r="C8072" s="1" t="s">
        <v>185</v>
      </c>
      <c r="D8072" s="1" t="s">
        <v>52</v>
      </c>
      <c r="E8072" s="1" t="s">
        <v>475</v>
      </c>
      <c r="F8072" s="1" t="s">
        <v>12256</v>
      </c>
      <c r="G8072" s="1" t="s">
        <v>3927</v>
      </c>
      <c r="H8072" s="1" t="s">
        <v>16</v>
      </c>
      <c r="I8072" s="1" t="str">
        <f ca="1">IFERROR(__xludf.DUMMYFUNCTION("GOOGLETRANSLATE(F8072, ""auto"", ""en"")
"),"I wanted a coffee machine")</f>
        <v>I wanted a coffee machine</v>
      </c>
    </row>
    <row r="8073" spans="1:9" x14ac:dyDescent="0.3">
      <c r="A8073" s="1" t="s">
        <v>149</v>
      </c>
      <c r="B8073" s="1" t="s">
        <v>423</v>
      </c>
      <c r="C8073" s="1" t="s">
        <v>424</v>
      </c>
      <c r="D8073" s="1" t="s">
        <v>2679</v>
      </c>
      <c r="E8073" s="1" t="s">
        <v>3805</v>
      </c>
      <c r="F8073" s="1" t="s">
        <v>12257</v>
      </c>
      <c r="G8073" s="1" t="s">
        <v>28</v>
      </c>
      <c r="H8073" s="1" t="s">
        <v>29</v>
      </c>
      <c r="I8073" s="1" t="str">
        <f ca="1">IFERROR(__xludf.DUMMYFUNCTION("GOOGLETRANSLATE(F8073, ""auto"", ""en"")
"),"We bought this vacuum cleaner because the consultant assured us that laminate flooring could be washed without any problems. In practice, everything turned out to be completely different. Too much water for laminate. But I will not offend this model and i"&amp;"t sucks up the water it pours very well. But one of the shortcomings I can note is that the pipe that supplies water is leaking, even for washing an apartment of 40 sq.m. I had to refill water 3 times. Therefore, if your home has tile and/or linoleum floo"&amp;"ring, your floor will be clean. I can’t say anything about the other attachments - because... We didn’t use it and decided to exchange this vacuum cleaner.")</f>
        <v>We bought this vacuum cleaner because the consultant assured us that laminate flooring could be washed without any problems. In practice, everything turned out to be completely different. Too much water for laminate. But I will not offend this model and it sucks up the water it pours very well. But one of the shortcomings I can note is that the pipe that supplies water is leaking, even for washing an apartment of 40 sq.m. I had to refill water 3 times. Therefore, if your home has tile and/or linoleum flooring, your floor will be clean. I can’t say anything about the other attachments - because... We didn’t use it and decided to exchange this vacuum cleaner.</v>
      </c>
    </row>
    <row r="8074" spans="1:9" x14ac:dyDescent="0.3">
      <c r="A8074" s="1" t="s">
        <v>95</v>
      </c>
      <c r="B8074" s="1" t="s">
        <v>573</v>
      </c>
      <c r="C8074" s="1" t="s">
        <v>97</v>
      </c>
      <c r="D8074" s="1" t="s">
        <v>12258</v>
      </c>
      <c r="E8074" s="1" t="s">
        <v>285</v>
      </c>
      <c r="F8074" s="1" t="s">
        <v>12259</v>
      </c>
      <c r="G8074" s="1" t="s">
        <v>36</v>
      </c>
      <c r="H8074" s="1" t="s">
        <v>29</v>
      </c>
      <c r="I8074" s="1" t="str">
        <f ca="1">IFERROR(__xludf.DUMMYFUNCTION("GOOGLETRANSLATE(F8074, ""auto"", ""en"")
"),"Top class console!!! I personally have been using it for 2 years without replacing anything!!")</f>
        <v>Top class console!!! I personally have been using it for 2 years without replacing anything!!</v>
      </c>
    </row>
    <row r="8075" spans="1:9" x14ac:dyDescent="0.3">
      <c r="A8075" s="1" t="s">
        <v>120</v>
      </c>
      <c r="B8075" s="1" t="s">
        <v>256</v>
      </c>
      <c r="C8075" s="1" t="s">
        <v>80</v>
      </c>
      <c r="D8075" s="1" t="s">
        <v>152</v>
      </c>
      <c r="E8075" s="1" t="s">
        <v>1079</v>
      </c>
      <c r="F8075" s="1" t="s">
        <v>12260</v>
      </c>
      <c r="G8075" s="1" t="s">
        <v>28</v>
      </c>
      <c r="H8075" s="1" t="s">
        <v>29</v>
      </c>
      <c r="I8075" s="1" t="str">
        <f ca="1">IFERROR(__xludf.DUMMYFUNCTION("GOOGLETRANSLATE(F8075, ""auto"", ""en"")
"),"It’s been working for a year now, no problems, very convenient menu, good image quality With certain firmware, you can watch videos, photos, play MKV format from a USB flash drive. In fact, you also get a built-in player for any video")</f>
        <v>It’s been working for a year now, no problems, very convenient menu, good image quality With certain firmware, you can watch videos, photos, play MKV format from a USB flash drive. In fact, you also get a built-in player for any video</v>
      </c>
    </row>
    <row r="8076" spans="1:9" x14ac:dyDescent="0.3">
      <c r="A8076" s="1" t="s">
        <v>120</v>
      </c>
      <c r="B8076" s="1" t="s">
        <v>121</v>
      </c>
      <c r="C8076" s="1" t="s">
        <v>97</v>
      </c>
      <c r="D8076" s="1" t="s">
        <v>295</v>
      </c>
      <c r="E8076" s="1" t="s">
        <v>2089</v>
      </c>
      <c r="F8076" s="1" t="s">
        <v>12261</v>
      </c>
      <c r="G8076" s="1" t="s">
        <v>36</v>
      </c>
      <c r="H8076" s="1" t="s">
        <v>29</v>
      </c>
      <c r="I8076" s="1" t="str">
        <f ca="1">IFERROR(__xludf.DUMMYFUNCTION("GOOGLETRANSLATE(F8076, ""auto"", ""en"")
"),"Great TV in its class! The quality is excellent! After purchase, the TV met all expectations. The image quality is excellent. Built-in FM tuner! Convenient remote control! I appreciate the design in SONY! We use it as a monitor, everything is great! I rec"&amp;"ommend it to everyone!")</f>
        <v>Great TV in its class! The quality is excellent! After purchase, the TV met all expectations. The image quality is excellent. Built-in FM tuner! Convenient remote control! I appreciate the design in SONY! We use it as a monitor, everything is great! I recommend it to everyone!</v>
      </c>
    </row>
    <row r="8077" spans="1:9" x14ac:dyDescent="0.3">
      <c r="A8077" s="1" t="s">
        <v>120</v>
      </c>
      <c r="B8077" s="1" t="s">
        <v>196</v>
      </c>
      <c r="C8077" s="1" t="s">
        <v>151</v>
      </c>
      <c r="D8077" s="1" t="s">
        <v>12262</v>
      </c>
      <c r="E8077" s="1" t="s">
        <v>393</v>
      </c>
      <c r="F8077" s="1" t="s">
        <v>12263</v>
      </c>
      <c r="G8077" s="1" t="s">
        <v>28</v>
      </c>
      <c r="H8077" s="1" t="s">
        <v>29</v>
      </c>
      <c r="I8077" s="1" t="str">
        <f ca="1">IFERROR(__xludf.DUMMYFUNCTION("GOOGLETRANSLATE(F8077, ""auto"", ""en"")
"),"good telly. I have only one problem: when the sound is very loud at minimum. and everything is fine")</f>
        <v>good telly. I have only one problem: when the sound is very loud at minimum. and everything is fine</v>
      </c>
    </row>
    <row r="8078" spans="1:9" x14ac:dyDescent="0.3">
      <c r="A8078" s="1" t="s">
        <v>120</v>
      </c>
      <c r="B8078" s="1" t="s">
        <v>1205</v>
      </c>
      <c r="C8078" s="1" t="s">
        <v>1206</v>
      </c>
      <c r="D8078" s="1" t="s">
        <v>240</v>
      </c>
      <c r="E8078" s="1" t="s">
        <v>3760</v>
      </c>
      <c r="F8078" s="1" t="s">
        <v>12264</v>
      </c>
      <c r="G8078" s="1" t="s">
        <v>28</v>
      </c>
      <c r="H8078" s="1" t="s">
        <v>29</v>
      </c>
      <c r="I8078" s="1" t="str">
        <f ca="1">IFERROR(__xludf.DUMMYFUNCTION("GOOGLETRANSLATE(F8078, ""auto"", ""en"")
"),"We have been using the antenna for 2 years now, the only thing is that it may malfunction in bad weather, but everything is fine. I advise you to buy it!")</f>
        <v>We have been using the antenna for 2 years now, the only thing is that it may malfunction in bad weather, but everything is fine. I advise you to buy it!</v>
      </c>
    </row>
    <row r="8079" spans="1:9" x14ac:dyDescent="0.3">
      <c r="A8079" s="1" t="s">
        <v>30</v>
      </c>
      <c r="B8079" s="1" t="s">
        <v>31</v>
      </c>
      <c r="C8079" s="1" t="s">
        <v>32</v>
      </c>
      <c r="D8079" s="1" t="s">
        <v>81</v>
      </c>
      <c r="E8079" s="1" t="s">
        <v>701</v>
      </c>
      <c r="F8079" s="1" t="s">
        <v>12265</v>
      </c>
      <c r="G8079" s="1" t="s">
        <v>49</v>
      </c>
      <c r="H8079" s="1" t="s">
        <v>16</v>
      </c>
      <c r="I8079" s="1" t="str">
        <f ca="1">IFERROR(__xludf.DUMMYFUNCTION("GOOGLETRANSLATE(F8079, ""auto"", ""en"")
"),"asd if you don’t know why write! The future is not this, but for 16 GB it is 1, 2 the cost is high because of the view (in vain to overpay), 3 why 8 GB, only if you make servers, 4 a computer for nerds in online games, etc.  A normal and sane person would"&amp;" not think something like this...")</f>
        <v>asd if you don’t know why write! The future is not this, but for 16 GB it is 1, 2 the cost is high because of the view (in vain to overpay), 3 why 8 GB, only if you make servers, 4 a computer for nerds in online games, etc.  A normal and sane person would not think something like this...</v>
      </c>
    </row>
    <row r="8080" spans="1:9" x14ac:dyDescent="0.3">
      <c r="A8080" s="1" t="s">
        <v>211</v>
      </c>
      <c r="B8080" s="1" t="s">
        <v>410</v>
      </c>
      <c r="C8080" s="1" t="s">
        <v>213</v>
      </c>
      <c r="D8080" s="1" t="s">
        <v>11148</v>
      </c>
      <c r="E8080" s="1" t="s">
        <v>4366</v>
      </c>
      <c r="F8080" s="1" t="s">
        <v>12266</v>
      </c>
      <c r="G8080" s="1" t="s">
        <v>36</v>
      </c>
      <c r="H8080" s="1" t="s">
        <v>29</v>
      </c>
      <c r="I8080" s="1" t="str">
        <f ca="1">IFERROR(__xludf.DUMMYFUNCTION("GOOGLETRANSLATE(F8080, ""auto"", ""en"")
"),"Shaves well!!! BUT, the machine is a machine, very convenient for travel.")</f>
        <v>Shaves well!!! BUT, the machine is a machine, very convenient for travel.</v>
      </c>
    </row>
    <row r="8081" spans="1:9" x14ac:dyDescent="0.3">
      <c r="A8081" s="1" t="s">
        <v>149</v>
      </c>
      <c r="B8081" s="1" t="s">
        <v>576</v>
      </c>
      <c r="C8081" s="1" t="s">
        <v>1835</v>
      </c>
      <c r="D8081" s="1" t="s">
        <v>9066</v>
      </c>
      <c r="E8081" s="1" t="s">
        <v>76</v>
      </c>
      <c r="F8081" s="1" t="s">
        <v>12267</v>
      </c>
      <c r="G8081" s="1" t="s">
        <v>15</v>
      </c>
      <c r="H8081" s="1" t="s">
        <v>16</v>
      </c>
      <c r="I8081" s="1" t="str">
        <f ca="1">IFERROR(__xludf.DUMMYFUNCTION("GOOGLETRANSLATE(F8081, ""auto"", ""en"")
"),"The vacuum cleaner worked for exactly 3 months, after which it stopped working. I had to go to the store. In general, the negative impression from the purchase of equipment was brightened up by the pleasant and customer-oriented service of M.Video manager"&amp;"s, who met us and offered to exchange for another model, although 2 weeks had long passed. In addition, I would like to note that it is very difficult to find consumables (bags and filters) for the vaunted Miele equipment. In general, it’s the usual overp"&amp;"ayment for a beautiful name, and nothing more. I don’t recommend it!")</f>
        <v>The vacuum cleaner worked for exactly 3 months, after which it stopped working. I had to go to the store. In general, the negative impression from the purchase of equipment was brightened up by the pleasant and customer-oriented service of M.Video managers, who met us and offered to exchange for another model, although 2 weeks had long passed. In addition, I would like to note that it is very difficult to find consumables (bags and filters) for the vaunted Miele equipment. In general, it’s the usual overpayment for a beautiful name, and nothing more. I don’t recommend it!</v>
      </c>
    </row>
    <row r="8082" spans="1:9" x14ac:dyDescent="0.3">
      <c r="A8082" s="1" t="s">
        <v>67</v>
      </c>
      <c r="B8082" s="1" t="s">
        <v>340</v>
      </c>
      <c r="C8082" s="1" t="s">
        <v>341</v>
      </c>
      <c r="D8082" s="1" t="s">
        <v>247</v>
      </c>
      <c r="E8082" s="1" t="s">
        <v>2812</v>
      </c>
      <c r="F8082" s="1" t="s">
        <v>12268</v>
      </c>
      <c r="G8082" s="1" t="s">
        <v>36</v>
      </c>
      <c r="H8082" s="1" t="s">
        <v>29</v>
      </c>
      <c r="I8082" s="1" t="str">
        <f ca="1">IFERROR(__xludf.DUMMYFUNCTION("GOOGLETRANSLATE(F8082, ""auto"", ""en"")
"),"I ordered the machine on Saturday, it was delivered on Sunday, I opened it and showed it, I had fun with the machine for half a day, tried all the possibilities. I really liked it, despite the fact that I have never sewn on electric ones, but here... the "&amp;"stroke is soft, the pedal is obedient. I'm delighted. Honestly. The instructions are also very clear, the only thing that was a little disappointing was that set No. 2, which contains the very necessary paws, is not included in the set and they are not in"&amp;" the Accessories.  And I’m very pleased with the machine. THANK YOU.")</f>
        <v>I ordered the machine on Saturday, it was delivered on Sunday, I opened it and showed it, I had fun with the machine for half a day, tried all the possibilities. I really liked it, despite the fact that I have never sewn on electric ones, but here... the stroke is soft, the pedal is obedient. I'm delighted. Honestly. The instructions are also very clear, the only thing that was a little disappointing was that set No. 2, which contains the very necessary paws, is not included in the set and they are not in the Accessories.  And I’m very pleased with the machine. THANK YOU.</v>
      </c>
    </row>
    <row r="8083" spans="1:9" x14ac:dyDescent="0.3">
      <c r="A8083" s="1" t="s">
        <v>61</v>
      </c>
      <c r="B8083" s="1" t="s">
        <v>224</v>
      </c>
      <c r="C8083" s="1" t="s">
        <v>85</v>
      </c>
      <c r="D8083" s="1" t="s">
        <v>471</v>
      </c>
      <c r="E8083" s="1" t="s">
        <v>12269</v>
      </c>
      <c r="F8083" s="1" t="s">
        <v>12270</v>
      </c>
      <c r="G8083" s="1" t="s">
        <v>36</v>
      </c>
      <c r="H8083" s="1" t="s">
        <v>29</v>
      </c>
      <c r="I8083" s="1" t="str">
        <f ca="1">IFERROR(__xludf.DUMMYFUNCTION("GOOGLETRANSLATE(F8083, ""auto"", ""en"")
"),"I've been using this juicer for a week now. I didn’t even think about buying it at that price; I was planning on buying another one. But the seller dissuaded me. The plus is that it has a smooth start; the juicer doesn’t try to run away anywhere, so to sp"&amp;"eak. The juice is squeezed out perfectly, there is no pulp at all from hard vegetables and fruits, from soft apples, pears and ripe pineapples, just a little, and this is even good.")</f>
        <v>I've been using this juicer for a week now. I didn’t even think about buying it at that price; I was planning on buying another one. But the seller dissuaded me. The plus is that it has a smooth start; the juicer doesn’t try to run away anywhere, so to speak. The juice is squeezed out perfectly, there is no pulp at all from hard vegetables and fruits, from soft apples, pears and ripe pineapples, just a little, and this is even good.</v>
      </c>
    </row>
    <row r="8084" spans="1:9" x14ac:dyDescent="0.3">
      <c r="A8084" s="1" t="s">
        <v>149</v>
      </c>
      <c r="B8084" s="1" t="s">
        <v>155</v>
      </c>
      <c r="C8084" s="1" t="s">
        <v>63</v>
      </c>
      <c r="D8084" s="1" t="s">
        <v>565</v>
      </c>
      <c r="E8084" s="1" t="s">
        <v>841</v>
      </c>
      <c r="F8084" s="1" t="s">
        <v>12271</v>
      </c>
      <c r="G8084" s="1" t="s">
        <v>36</v>
      </c>
      <c r="H8084" s="1" t="s">
        <v>29</v>
      </c>
      <c r="I8084" s="1" t="str">
        <f ca="1">IFERROR(__xludf.DUMMYFUNCTION("GOOGLETRANSLATE(F8084, ""auto"", ""en"")
"),"The vacuum cleaner is good, so is the power. Only now I realized that I need to keep an eye on the red light and wash the filter. It stopped working for me, I thought it was finished, or it had overheated. I stood there for an hour - to no avail, only the"&amp;"n I realized that I needed to look at the filter, and now I realized that it was not the blue light that was on, but the red light. I read the instructions, but briefly and did not pay attention, so remember. Dust Suction is great and easy to clean.")</f>
        <v>The vacuum cleaner is good, so is the power. Only now I realized that I need to keep an eye on the red light and wash the filter. It stopped working for me, I thought it was finished, or it had overheated. I stood there for an hour - to no avail, only then I realized that I needed to look at the filter, and now I realized that it was not the blue light that was on, but the red light. I read the instructions, but briefly and did not pay attention, so remember. Dust Suction is great and easy to clean.</v>
      </c>
    </row>
    <row r="8085" spans="1:9" x14ac:dyDescent="0.3">
      <c r="A8085" s="1" t="s">
        <v>55</v>
      </c>
      <c r="B8085" s="1" t="s">
        <v>184</v>
      </c>
      <c r="C8085" s="1" t="s">
        <v>185</v>
      </c>
      <c r="D8085" s="1" t="s">
        <v>695</v>
      </c>
      <c r="E8085" s="1" t="s">
        <v>2874</v>
      </c>
      <c r="F8085" s="1" t="s">
        <v>12272</v>
      </c>
      <c r="G8085" s="1" t="s">
        <v>28</v>
      </c>
      <c r="H8085" s="1" t="s">
        <v>29</v>
      </c>
      <c r="I8085" s="1" t="str">
        <f ca="1">IFERROR(__xludf.DUMMYFUNCTION("GOOGLETRANSLATE(F8085, ""auto"", ""en"")
"),"A normal fan heats up. There is no system against tipping over. The thermostat is cloudy.")</f>
        <v>A normal fan heats up. There is no system against tipping over. The thermostat is cloudy.</v>
      </c>
    </row>
    <row r="8086" spans="1:9" x14ac:dyDescent="0.3">
      <c r="A8086" s="1" t="s">
        <v>238</v>
      </c>
      <c r="B8086" s="1" t="s">
        <v>276</v>
      </c>
      <c r="C8086" s="1" t="s">
        <v>1677</v>
      </c>
      <c r="D8086" s="1" t="s">
        <v>474</v>
      </c>
      <c r="E8086" s="1" t="s">
        <v>3111</v>
      </c>
      <c r="F8086" s="1" t="s">
        <v>12273</v>
      </c>
      <c r="G8086" s="1" t="s">
        <v>36</v>
      </c>
      <c r="H8086" s="1" t="s">
        <v>29</v>
      </c>
      <c r="I8086" s="1" t="str">
        <f ca="1">IFERROR(__xludf.DUMMYFUNCTION("GOOGLETRANSLATE(F8086, ""auto"", ""en"")
"),"We bought this model (only in the steel version) back in 2007. During the entire period of operation, not a single deficiency was identified.    Regarding the “fragile” shelves, I can’t even imagine what had to be done to them to make them fall apart... :"&amp;")")</f>
        <v>We bought this model (only in the steel version) back in 2007. During the entire period of operation, not a single deficiency was identified.    Regarding the “fragile” shelves, I can’t even imagine what had to be done to them to make them fall apart... :)</v>
      </c>
    </row>
    <row r="8087" spans="1:9" x14ac:dyDescent="0.3">
      <c r="A8087" s="1" t="s">
        <v>17</v>
      </c>
      <c r="B8087" s="1" t="s">
        <v>18</v>
      </c>
      <c r="C8087" s="1" t="s">
        <v>151</v>
      </c>
      <c r="D8087" s="1" t="s">
        <v>39</v>
      </c>
      <c r="E8087" s="1" t="s">
        <v>1481</v>
      </c>
      <c r="F8087" s="1" t="s">
        <v>12274</v>
      </c>
      <c r="G8087" s="1" t="s">
        <v>28</v>
      </c>
      <c r="H8087" s="1" t="s">
        <v>29</v>
      </c>
      <c r="I8087" s="1" t="str">
        <f ca="1">IFERROR(__xludf.DUMMYFUNCTION("GOOGLETRANSLATE(F8087, ""auto"", ""en"")
"),"The machine has good functions. BUT...... As soon as we bought it, there was a problem with starting it. The indicator blinked and did not start erasing. I found out that the lid did not close completely. And this is a factory defect. You have to press ha"&amp;"rd to start washing. I worked for a year. Started to leak. Having removed the top cover, I found out that it was leaking from the gap in the powder loading tray. And in the compartment itself I found a piece of paralon, which was located in an incomprehen"&amp;"sible way and it was not clear why it was there. The problem has not yet been resolved.")</f>
        <v>The machine has good functions. BUT...... As soon as we bought it, there was a problem with starting it. The indicator blinked and did not start erasing. I found out that the lid did not close completely. And this is a factory defect. You have to press hard to start washing. I worked for a year. Started to leak. Having removed the top cover, I found out that it was leaking from the gap in the powder loading tray. And in the compartment itself I found a piece of paralon, which was located in an incomprehensible way and it was not clear why it was there. The problem has not yet been resolved.</v>
      </c>
    </row>
    <row r="8088" spans="1:9" x14ac:dyDescent="0.3">
      <c r="A8088" s="1" t="s">
        <v>78</v>
      </c>
      <c r="B8088" s="1" t="s">
        <v>1163</v>
      </c>
      <c r="C8088" s="1" t="s">
        <v>1224</v>
      </c>
      <c r="D8088" s="1" t="s">
        <v>152</v>
      </c>
      <c r="E8088" s="1" t="s">
        <v>1899</v>
      </c>
      <c r="F8088" s="1" t="s">
        <v>12275</v>
      </c>
      <c r="G8088" s="1" t="s">
        <v>28</v>
      </c>
      <c r="H8088" s="1" t="s">
        <v>29</v>
      </c>
      <c r="I8088" s="1" t="str">
        <f ca="1">IFERROR(__xludf.DUMMYFUNCTION("GOOGLETRANSLATE(F8088, ""auto"", ""en"")
"),"In general, there are no complaints, it works out its cost in full. However, there is one drawback that annoys me. When frying seeds, after five minutes of operation it gets very hot and stops working until it cools down. With other products, strange as i"&amp;"t may seem, this does not happen, even if you leave it on for 20 minutes.")</f>
        <v>In general, there are no complaints, it works out its cost in full. However, there is one drawback that annoys me. When frying seeds, after five minutes of operation it gets very hot and stops working until it cools down. With other products, strange as it may seem, this does not happen, even if you leave it on for 20 minutes.</v>
      </c>
    </row>
    <row r="8089" spans="1:9" x14ac:dyDescent="0.3">
      <c r="A8089" s="1" t="s">
        <v>55</v>
      </c>
      <c r="B8089" s="1" t="s">
        <v>84</v>
      </c>
      <c r="C8089" s="1" t="s">
        <v>85</v>
      </c>
      <c r="D8089" s="1" t="s">
        <v>1744</v>
      </c>
      <c r="E8089" s="1" t="s">
        <v>2582</v>
      </c>
      <c r="F8089" s="1" t="s">
        <v>12276</v>
      </c>
      <c r="G8089" s="1" t="s">
        <v>36</v>
      </c>
      <c r="H8089" s="1" t="s">
        <v>29</v>
      </c>
      <c r="I8089" s="1" t="str">
        <f ca="1">IFERROR(__xludf.DUMMYFUNCTION("GOOGLETRANSLATE(F8089, ""auto"", ""en"")
"),"We have been using this model for more than a month, when we bought it the humidity did not rise above 30, but after a week of work the humidity rose and remains. The smell was there for the first time after work, then disappeared. The room felt like it w"&amp;"as after rain, and there was much less dust settling than before. Of course, the vacuum cleaner doesn’t suck in any air, but over time it copes with its function, but it blows out moist, cool air (but warm air can also be used). The night mode is generall"&amp;"y silent. So I recommend this model, especially for those who want to breathe comfortably during the heating season")</f>
        <v>We have been using this model for more than a month, when we bought it the humidity did not rise above 30, but after a week of work the humidity rose and remains. The smell was there for the first time after work, then disappeared. The room felt like it was after rain, and there was much less dust settling than before. Of course, the vacuum cleaner doesn’t suck in any air, but over time it copes with its function, but it blows out moist, cool air (but warm air can also be used). The night mode is generally silent. So I recommend this model, especially for those who want to breathe comfortably during the heating season</v>
      </c>
    </row>
    <row r="8090" spans="1:9" x14ac:dyDescent="0.3">
      <c r="A8090" s="1" t="s">
        <v>120</v>
      </c>
      <c r="B8090" s="1" t="s">
        <v>126</v>
      </c>
      <c r="C8090" s="1" t="s">
        <v>122</v>
      </c>
      <c r="D8090" s="1" t="s">
        <v>327</v>
      </c>
      <c r="E8090" s="1" t="s">
        <v>3147</v>
      </c>
      <c r="F8090" s="1" t="s">
        <v>12277</v>
      </c>
      <c r="G8090" s="1" t="s">
        <v>28</v>
      </c>
      <c r="H8090" s="1" t="s">
        <v>29</v>
      </c>
      <c r="I8090" s="1" t="str">
        <f ca="1">IFERROR(__xludf.DUMMYFUNCTION("GOOGLETRANSLATE(F8090, ""auto"", ""en"")
"),"I also spent a long time choosing between different LCDs and then came across this model. And the reviews are good, and I read about the advantages of plasma.  I'm happy with everything, BUT... they wrote here that there is no noise because... The cooling"&amp;" is passive, but this panel whistles like hell! During the day it’s okay, you can hardly hear her: there are extraneous sounds from everywhere and the sound is turned on at 20. You sit down late in the evening, when it’s already quiet everywhere, you turn"&amp;" on the sound not too loud... 7-8, and away we go. The whistle interrupts the sound((and turning on dynamic contrast in bright scenes makes this whistle even louder, which makes viewing at night simply impossible((maybe I just came across such a copy, alt"&amp;"hough after Googling on this topic, I found reviews that this model actually has such a disadvantage")</f>
        <v>I also spent a long time choosing between different LCDs and then came across this model. And the reviews are good, and I read about the advantages of plasma.  I'm happy with everything, BUT... they wrote here that there is no noise because... The cooling is passive, but this panel whistles like hell! During the day it’s okay, you can hardly hear her: there are extraneous sounds from everywhere and the sound is turned on at 20. You sit down late in the evening, when it’s already quiet everywhere, you turn on the sound not too loud... 7-8, and away we go. The whistle interrupts the sound((and turning on dynamic contrast in bright scenes makes this whistle even louder, which makes viewing at night simply impossible((maybe I just came across such a copy, although after Googling on this topic, I found reviews that this model actually has such a disadvantage</v>
      </c>
    </row>
    <row r="8091" spans="1:9" x14ac:dyDescent="0.3">
      <c r="A8091" s="1" t="s">
        <v>624</v>
      </c>
      <c r="B8091" s="1" t="s">
        <v>881</v>
      </c>
      <c r="C8091" s="1" t="s">
        <v>479</v>
      </c>
      <c r="D8091" s="1" t="s">
        <v>12278</v>
      </c>
      <c r="E8091" s="1" t="s">
        <v>2222</v>
      </c>
      <c r="F8091" s="1" t="s">
        <v>12279</v>
      </c>
      <c r="G8091" s="1" t="s">
        <v>15</v>
      </c>
      <c r="H8091" s="1" t="s">
        <v>16</v>
      </c>
      <c r="I8091" s="1" t="str">
        <f ca="1">IFERROR(__xludf.DUMMYFUNCTION("GOOGLETRANSLATE(F8091, ""auto"", ""en"")
"),"Boring is the only thought that comes to mind when playing NBA Live 09 on PSP. When I look at the graphics I actually want to cry. Electronic Arts was surprisingly mediocre about publishing this game on PSP.")</f>
        <v>Boring is the only thought that comes to mind when playing NBA Live 09 on PSP. When I look at the graphics I actually want to cry. Electronic Arts was surprisingly mediocre about publishing this game on PSP.</v>
      </c>
    </row>
    <row r="8092" spans="1:9" x14ac:dyDescent="0.3">
      <c r="A8092" s="1" t="s">
        <v>55</v>
      </c>
      <c r="B8092" s="1" t="s">
        <v>3549</v>
      </c>
      <c r="C8092" s="1" t="s">
        <v>57</v>
      </c>
      <c r="D8092" s="1" t="s">
        <v>305</v>
      </c>
      <c r="E8092" s="1" t="s">
        <v>1723</v>
      </c>
      <c r="F8092" s="1" t="s">
        <v>12280</v>
      </c>
      <c r="G8092" s="1" t="s">
        <v>36</v>
      </c>
      <c r="H8092" s="1" t="s">
        <v>29</v>
      </c>
      <c r="I8092" s="1" t="str">
        <f ca="1">IFERROR(__xludf.DUMMYFUNCTION("GOOGLETRANSLATE(F8092, ""auto"", ""en"")
"),"As for the unpleasant plastic smell, this is actually the first time I’ve heard it. When purchasing, I will take additional service for 2 years, if this continues for a long time, I will change the product. The smell is really alarming. In general, the re"&amp;"views are only positive. I'll take it. I'll write back later. In our dirty city, that’s just it.  Barnaul")</f>
        <v>As for the unpleasant plastic smell, this is actually the first time I’ve heard it. When purchasing, I will take additional service for 2 years, if this continues for a long time, I will change the product. The smell is really alarming. In general, the reviews are only positive. I'll take it. I'll write back later. In our dirty city, that’s just it.  Barnaul</v>
      </c>
    </row>
    <row r="8093" spans="1:9" x14ac:dyDescent="0.3">
      <c r="A8093" s="1" t="s">
        <v>37</v>
      </c>
      <c r="B8093" s="1" t="s">
        <v>38</v>
      </c>
      <c r="C8093" s="1" t="s">
        <v>69</v>
      </c>
      <c r="D8093" s="1" t="s">
        <v>12281</v>
      </c>
      <c r="E8093" s="1" t="s">
        <v>484</v>
      </c>
      <c r="F8093" s="1" t="s">
        <v>12282</v>
      </c>
      <c r="G8093" s="1" t="s">
        <v>36</v>
      </c>
      <c r="H8093" s="1" t="s">
        <v>29</v>
      </c>
      <c r="I8093" s="1" t="str">
        <f ca="1">IFERROR(__xludf.DUMMYFUNCTION("GOOGLETRANSLATE(F8093, ""auto"", ""en"")
"),"The phone is super, for the money they sell it for, the battery is just a fairy tale; after four days of full use, music, ICQ, radio, watching videos, talking, only one bar has decreased. Keeps in touch very well and confidently. Buy it, you won’t regret "&amp;"it, charging your phone won’t give you any headaches at all.")</f>
        <v>The phone is super, for the money they sell it for, the battery is just a fairy tale; after four days of full use, music, ICQ, radio, watching videos, talking, only one bar has decreased. Keeps in touch very well and confidently. Buy it, you won’t regret it, charging your phone won’t give you any headaches at all.</v>
      </c>
    </row>
    <row r="8094" spans="1:9" x14ac:dyDescent="0.3">
      <c r="A8094" s="1" t="s">
        <v>169</v>
      </c>
      <c r="B8094" s="1" t="s">
        <v>170</v>
      </c>
      <c r="C8094" s="1" t="s">
        <v>69</v>
      </c>
      <c r="D8094" s="1" t="s">
        <v>200</v>
      </c>
      <c r="E8094" s="1" t="s">
        <v>543</v>
      </c>
      <c r="F8094" s="1" t="s">
        <v>12283</v>
      </c>
      <c r="G8094" s="1" t="s">
        <v>36</v>
      </c>
      <c r="H8094" s="1" t="s">
        <v>29</v>
      </c>
      <c r="I8094" s="1" t="str">
        <f ca="1">IFERROR(__xludf.DUMMYFUNCTION("GOOGLETRANSLATE(F8094, ""auto"", ""en"")
"),"I chose it for movies and music on my laptop. I read reviews, asked friends. I bought it today. The arms don't creak, they fit super comfortably on your head, the sound is super!!! A sea of ​​positive emotions!")</f>
        <v>I chose it for movies and music on my laptop. I read reviews, asked friends. I bought it today. The arms don't creak, they fit super comfortably on your head, the sound is super!!! A sea of ​​positive emotions!</v>
      </c>
    </row>
    <row r="8095" spans="1:9" x14ac:dyDescent="0.3">
      <c r="A8095" s="1" t="s">
        <v>120</v>
      </c>
      <c r="B8095" s="1" t="s">
        <v>256</v>
      </c>
      <c r="C8095" s="1" t="s">
        <v>80</v>
      </c>
      <c r="D8095" s="1" t="s">
        <v>729</v>
      </c>
      <c r="E8095" s="1" t="s">
        <v>4504</v>
      </c>
      <c r="F8095" s="1" t="s">
        <v>12284</v>
      </c>
      <c r="G8095" s="1" t="s">
        <v>36</v>
      </c>
      <c r="H8095" s="1" t="s">
        <v>29</v>
      </c>
      <c r="I8095" s="1" t="str">
        <f ca="1">IFERROR(__xludf.DUMMYFUNCTION("GOOGLETRANSLATE(F8095, ""auto"", ""en"")
"),"everything works there from a flash drive, don’t listen to anyone.")</f>
        <v>everything works there from a flash drive, don’t listen to anyone.</v>
      </c>
    </row>
    <row r="8096" spans="1:9" x14ac:dyDescent="0.3">
      <c r="A8096" s="1" t="s">
        <v>89</v>
      </c>
      <c r="B8096" s="1" t="s">
        <v>90</v>
      </c>
      <c r="C8096" s="1" t="s">
        <v>63</v>
      </c>
      <c r="D8096" s="1" t="s">
        <v>52</v>
      </c>
      <c r="E8096" s="1" t="s">
        <v>6521</v>
      </c>
      <c r="F8096" s="1" t="s">
        <v>12285</v>
      </c>
      <c r="G8096" s="1" t="s">
        <v>36</v>
      </c>
      <c r="H8096" s="1" t="s">
        <v>29</v>
      </c>
      <c r="I8096" s="1" t="str">
        <f ca="1">IFERROR(__xludf.DUMMYFUNCTION("GOOGLETRANSLATE(F8096, ""auto"", ""en"")
"),"I recently purchased a good coffee grinder")</f>
        <v>I recently purchased a good coffee grinder</v>
      </c>
    </row>
    <row r="8097" spans="1:9" x14ac:dyDescent="0.3">
      <c r="A8097" s="1" t="s">
        <v>120</v>
      </c>
      <c r="B8097" s="1" t="s">
        <v>121</v>
      </c>
      <c r="C8097" s="1" t="s">
        <v>80</v>
      </c>
      <c r="D8097" s="1" t="s">
        <v>33</v>
      </c>
      <c r="E8097" s="1" t="s">
        <v>792</v>
      </c>
      <c r="F8097" s="1" t="s">
        <v>12286</v>
      </c>
      <c r="G8097" s="1" t="s">
        <v>36</v>
      </c>
      <c r="H8097" s="1" t="s">
        <v>29</v>
      </c>
      <c r="I8097" s="1" t="str">
        <f ca="1">IFERROR(__xludf.DUMMYFUNCTION("GOOGLETRANSLATE(F8097, ""auto"", ""en"")
"),"Has anyone played PlayStation 3 on it? Interested to know how clear the picture is?")</f>
        <v>Has anyone played PlayStation 3 on it? Interested to know how clear the picture is?</v>
      </c>
    </row>
    <row r="8098" spans="1:9" x14ac:dyDescent="0.3">
      <c r="A8098" s="1" t="s">
        <v>43</v>
      </c>
      <c r="B8098" s="1" t="s">
        <v>334</v>
      </c>
      <c r="C8098" s="1" t="s">
        <v>101</v>
      </c>
      <c r="D8098" s="1" t="s">
        <v>916</v>
      </c>
      <c r="E8098" s="1" t="s">
        <v>3712</v>
      </c>
      <c r="F8098" s="1" t="s">
        <v>12287</v>
      </c>
      <c r="G8098" s="1" t="s">
        <v>49</v>
      </c>
      <c r="H8098" s="1" t="s">
        <v>16</v>
      </c>
      <c r="I8098" s="1" t="str">
        <f ca="1">IFERROR(__xludf.DUMMYFUNCTION("GOOGLETRANSLATE(F8098, ""auto"", ""en"")
"),"The fan makes a grinding sound. There is almost no difference between speeds 1 and 2. It barely blows. It is possible that you got a defective one.  I'll give it back.")</f>
        <v>The fan makes a grinding sound. There is almost no difference between speeds 1 and 2. It barely blows. It is possible that you got a defective one.  I'll give it back.</v>
      </c>
    </row>
    <row r="8099" spans="1:9" x14ac:dyDescent="0.3">
      <c r="A8099" s="1" t="s">
        <v>67</v>
      </c>
      <c r="B8099" s="1" t="s">
        <v>68</v>
      </c>
      <c r="C8099" s="1" t="s">
        <v>381</v>
      </c>
      <c r="D8099" s="1" t="s">
        <v>64</v>
      </c>
      <c r="E8099" s="1" t="s">
        <v>10956</v>
      </c>
      <c r="F8099" s="1" t="s">
        <v>12288</v>
      </c>
      <c r="G8099" s="1" t="s">
        <v>36</v>
      </c>
      <c r="H8099" s="1" t="s">
        <v>29</v>
      </c>
      <c r="I8099" s="1" t="str">
        <f ca="1">IFERROR(__xludf.DUMMYFUNCTION("GOOGLETRANSLATE(F8099, ""auto"", ""en"")
"),"I bought Rowenta. An excellent iron, small but fully functional. I hope there will be no further surprises. Irons great, the steam is great.... Don't skimp, take it right away if you don't want to spoil your favorite things....")</f>
        <v>I bought Rowenta. An excellent iron, small but fully functional. I hope there will be no further surprises. Irons great, the steam is great.... Don't skimp, take it right away if you don't want to spoil your favorite things....</v>
      </c>
    </row>
    <row r="8100" spans="1:9" x14ac:dyDescent="0.3">
      <c r="A8100" s="1" t="s">
        <v>95</v>
      </c>
      <c r="B8100" s="1" t="s">
        <v>227</v>
      </c>
      <c r="C8100" s="1" t="s">
        <v>97</v>
      </c>
      <c r="D8100" s="1" t="s">
        <v>139</v>
      </c>
      <c r="E8100" s="1" t="s">
        <v>3390</v>
      </c>
      <c r="F8100" s="1" t="s">
        <v>12289</v>
      </c>
      <c r="G8100" s="1" t="s">
        <v>28</v>
      </c>
      <c r="H8100" s="1" t="s">
        <v>29</v>
      </c>
      <c r="I8100" s="1" t="str">
        <f ca="1">IFERROR(__xludf.DUMMYFUNCTION("GOOGLETRANSLATE(F8100, ""auto"", ""en"")
"),"For Blue-Ray 3D you need a separate player or sacrifice multi-channel sound. Because PS3 supports 3D BD with new firmware, but then without multi-channel sound, the console does not have enough power.")</f>
        <v>For Blue-Ray 3D you need a separate player or sacrifice multi-channel sound. Because PS3 supports 3D BD with new firmware, but then without multi-channel sound, the console does not have enough power.</v>
      </c>
    </row>
    <row r="8101" spans="1:9" x14ac:dyDescent="0.3">
      <c r="A8101" s="1" t="s">
        <v>211</v>
      </c>
      <c r="B8101" s="1" t="s">
        <v>212</v>
      </c>
      <c r="C8101" s="1" t="s">
        <v>381</v>
      </c>
      <c r="D8101" s="1" t="s">
        <v>12290</v>
      </c>
      <c r="E8101" s="1" t="s">
        <v>233</v>
      </c>
      <c r="F8101" s="1" t="s">
        <v>12291</v>
      </c>
      <c r="G8101" s="1" t="s">
        <v>36</v>
      </c>
      <c r="H8101" s="1" t="s">
        <v>29</v>
      </c>
      <c r="I8101" s="1" t="str">
        <f ca="1">IFERROR(__xludf.DUMMYFUNCTION("GOOGLETRANSLATE(F8101, ""auto"", ""en"")
"),"We got this hairdryer as a New Year's gift. I’m very pleased, I used to dry my hair with a regular hairdryer, and then straighten it with an iron, of course, my hair suffered from such styling. At first I doubted that I would be able to style my hair prop"&amp;"erly with this hairdryer, but after the first time I was pleasantly surprised, it took very little time to style my hair, the hairdryer is powerful, my hair is not very curly, rather wavy, but on mode 2, it straightened very well, and even with volume. Yo"&amp;"u won’t get this from a simple straightening, and this hair dryer damages your hair less. So, for anyone who is tired of having to spend a long time styling their hair to add volume, I recommend it. I'm very pleased!!!!")</f>
        <v>We got this hairdryer as a New Year's gift. I’m very pleased, I used to dry my hair with a regular hairdryer, and then straighten it with an iron, of course, my hair suffered from such styling. At first I doubted that I would be able to style my hair properly with this hairdryer, but after the first time I was pleasantly surprised, it took very little time to style my hair, the hairdryer is powerful, my hair is not very curly, rather wavy, but on mode 2, it straightened very well, and even with volume. You won’t get this from a simple straightening, and this hair dryer damages your hair less. So, for anyone who is tired of having to spend a long time styling their hair to add volume, I recommend it. I'm very pleased!!!!</v>
      </c>
    </row>
    <row r="8102" spans="1:9" x14ac:dyDescent="0.3">
      <c r="A8102" s="1" t="s">
        <v>17</v>
      </c>
      <c r="B8102" s="1" t="s">
        <v>18</v>
      </c>
      <c r="C8102" s="1" t="s">
        <v>151</v>
      </c>
      <c r="D8102" s="1" t="s">
        <v>305</v>
      </c>
      <c r="E8102" s="1" t="s">
        <v>2512</v>
      </c>
      <c r="F8102" s="1" t="s">
        <v>12292</v>
      </c>
      <c r="G8102" s="1" t="s">
        <v>36</v>
      </c>
      <c r="H8102" s="1" t="s">
        <v>29</v>
      </c>
      <c r="I8102" s="1" t="str">
        <f ca="1">IFERROR(__xludf.DUMMYFUNCTION("GOOGLETRANSLATE(F8102, ""auto"", ""en"")
"),"It’s a normal washing machine, I haven’t had it for a long time and haven’t had any problems yet")</f>
        <v>It’s a normal washing machine, I haven’t had it for a long time and haven’t had any problems yet</v>
      </c>
    </row>
    <row r="8103" spans="1:9" x14ac:dyDescent="0.3">
      <c r="A8103" s="1" t="s">
        <v>206</v>
      </c>
      <c r="B8103" s="1" t="s">
        <v>207</v>
      </c>
      <c r="C8103" s="1" t="s">
        <v>351</v>
      </c>
      <c r="D8103" s="1" t="s">
        <v>568</v>
      </c>
      <c r="E8103" s="1" t="s">
        <v>5767</v>
      </c>
      <c r="F8103" s="1" t="s">
        <v>12293</v>
      </c>
      <c r="G8103" s="1" t="s">
        <v>36</v>
      </c>
      <c r="H8103" s="1" t="s">
        <v>29</v>
      </c>
      <c r="I8103" s="1" t="str">
        <f ca="1">IFERROR(__xludf.DUMMYFUNCTION("GOOGLETRANSLATE(F8103, ""auto"", ""en"")
"),"Good day! Anyone who doubts the choice, I can say take it. If you connect everything and configure it wisely, it will play very well. The kit is installed in a Toyota Yaris 5d, it plays like a charm, it is configured so that at maximum g.u., the air simpl"&amp;"y does not rush.")</f>
        <v>Good day! Anyone who doubts the choice, I can say take it. If you connect everything and configure it wisely, it will play very well. The kit is installed in a Toyota Yaris 5d, it plays like a charm, it is configured so that at maximum g.u., the air simply does not rush.</v>
      </c>
    </row>
    <row r="8104" spans="1:9" x14ac:dyDescent="0.3">
      <c r="A8104" s="1" t="s">
        <v>211</v>
      </c>
      <c r="B8104" s="1" t="s">
        <v>212</v>
      </c>
      <c r="C8104" s="1" t="s">
        <v>69</v>
      </c>
      <c r="D8104" s="1" t="s">
        <v>1042</v>
      </c>
      <c r="E8104" s="1" t="s">
        <v>513</v>
      </c>
      <c r="F8104" s="1" t="s">
        <v>12294</v>
      </c>
      <c r="G8104" s="1" t="s">
        <v>36</v>
      </c>
      <c r="H8104" s="1" t="s">
        <v>29</v>
      </c>
      <c r="I8104" s="1" t="str">
        <f ca="1">IFERROR(__xludf.DUMMYFUNCTION("GOOGLETRANSLATE(F8104, ""auto"", ""en"")
"),"My trusty hair dryer for many years broke down, and as usual, at the most inopportune moment, when I didn’t have the financial means to buy a worthy replacement... but I couldn’t live without it, because... I use a hairdryer every day. I had to buy some i"&amp;"nexpensive model for a while... and to my surprise it turned out to be so good, it is very easy to use: lightweight, good power, styles perfectly, does not injure the hair with a hot stream, because... there are several temperature levels for air supply a"&amp;"nd many other advantages.... In general, this purchase was an unexpected joy for me!) I recommend it to everyone!")</f>
        <v>My trusty hair dryer for many years broke down, and as usual, at the most inopportune moment, when I didn’t have the financial means to buy a worthy replacement... but I couldn’t live without it, because... I use a hairdryer every day. I had to buy some inexpensive model for a while... and to my surprise it turned out to be so good, it is very easy to use: lightweight, good power, styles perfectly, does not injure the hair with a hot stream, because... there are several temperature levels for air supply and many other advantages.... In general, this purchase was an unexpected joy for me!) I recommend it to everyone!</v>
      </c>
    </row>
    <row r="8105" spans="1:9" x14ac:dyDescent="0.3">
      <c r="A8105" s="1" t="s">
        <v>67</v>
      </c>
      <c r="B8105" s="1" t="s">
        <v>68</v>
      </c>
      <c r="C8105" s="1" t="s">
        <v>246</v>
      </c>
      <c r="D8105" s="1" t="s">
        <v>521</v>
      </c>
      <c r="E8105" s="1" t="s">
        <v>2414</v>
      </c>
      <c r="F8105" s="1" t="s">
        <v>12295</v>
      </c>
      <c r="G8105" s="1" t="s">
        <v>36</v>
      </c>
      <c r="H8105" s="1" t="s">
        <v>29</v>
      </c>
      <c r="I8105" s="1" t="str">
        <f ca="1">IFERROR(__xludf.DUMMYFUNCTION("GOOGLETRANSLATE(F8105, ""auto"", ""en"")
"),"I want to share my experience :) I purchased this steam system in January and am very pleased with it!  Steams all things with a bang. Since I iron mostly children's clothes and it took almost the whole day, now the whole procedure takes 2-3 hours. I want"&amp;" to say a huge thank you to the store seller for the advice when purchasing. Unfortunately, I don’t remember the name, but everything that the girl talked about still works. I recommend it to everyone :)")</f>
        <v>I want to share my experience :) I purchased this steam system in January and am very pleased with it!  Steams all things with a bang. Since I iron mostly children's clothes and it took almost the whole day, now the whole procedure takes 2-3 hours. I want to say a huge thank you to the store seller for the advice when purchasing. Unfortunately, I don’t remember the name, but everything that the girl talked about still works. I recommend it to everyone :)</v>
      </c>
    </row>
    <row r="8106" spans="1:9" x14ac:dyDescent="0.3">
      <c r="A8106" s="1" t="s">
        <v>55</v>
      </c>
      <c r="B8106" s="1" t="s">
        <v>56</v>
      </c>
      <c r="C8106" s="1" t="s">
        <v>57</v>
      </c>
      <c r="D8106" s="1" t="s">
        <v>20</v>
      </c>
      <c r="E8106" s="1" t="s">
        <v>12296</v>
      </c>
      <c r="F8106" s="1" t="s">
        <v>12297</v>
      </c>
      <c r="G8106" s="1" t="s">
        <v>28</v>
      </c>
      <c r="H8106" s="1" t="s">
        <v>29</v>
      </c>
      <c r="I8106" s="1" t="str">
        <f ca="1">IFERROR(__xludf.DUMMYFUNCTION("GOOGLETRANSLATE(F8106, ""auto"", ""en"")
"),"Ordered here based on reviews. It's been working for a week now. I didn’t notice much of a difference, but the kids slept better at night. I didn’t take any special measurements, but in the morning there was quite a lot of condensation around the humidifi"&amp;"er; I didn’t find any white deposits, as some people wrote (water is taken from the filter). I advise you to try it.")</f>
        <v>Ordered here based on reviews. It's been working for a week now. I didn’t notice much of a difference, but the kids slept better at night. I didn’t take any special measurements, but in the morning there was quite a lot of condensation around the humidifier; I didn’t find any white deposits, as some people wrote (water is taken from the filter). I advise you to try it.</v>
      </c>
    </row>
    <row r="8107" spans="1:9" x14ac:dyDescent="0.3">
      <c r="A8107" s="1" t="s">
        <v>30</v>
      </c>
      <c r="B8107" s="1" t="s">
        <v>31</v>
      </c>
      <c r="C8107" s="1" t="s">
        <v>32</v>
      </c>
      <c r="D8107" s="1" t="s">
        <v>12298</v>
      </c>
      <c r="E8107" s="1" t="s">
        <v>824</v>
      </c>
      <c r="F8107" s="1" t="s">
        <v>12299</v>
      </c>
      <c r="G8107" s="1" t="s">
        <v>36</v>
      </c>
      <c r="H8107" s="1" t="s">
        <v>29</v>
      </c>
      <c r="I8107" s="1" t="str">
        <f ca="1">IFERROR(__xludf.DUMMYFUNCTION("GOOGLETRANSLATE(F8107, ""auto"", ""en"")
"),"Revo 3610 with 4 gigs of RAM is my second Acer nettop. The first was the 3600 under the Packard Bell brand, which came with a wireless gyro controller that replaced the mouse and game pad. 3600 moved to the bedroom, 3610 remained in the living room.     B"&amp;"oth 5 nettops cope with their three main tasks: office applications, Internet surfing and viewing HD content.    A few words about such a controversial issue as HD playback and the supposedly insufficient performance of the Atom processor. We already wrot"&amp;"e above that the ION chipset takes on this task and brilliantly performs it. The only “but” is that you need to install the latest version of the CoreAVC codec (currently 1.9.5). and give it priority when playing HD materials. After this, tiny Revo easily"&amp;" copes with any resolution and any bitrate in no matter what container. It even seemed to me that 1080p BR remixes of 30gb in size look better on the screen than the same rips.    The only and huge advantage for me of the 3610 over the 3600 is the presenc"&amp;"e of an S/PDIF optical output on the first one. For those who care about this as much as it does for me, take note.    When comparing the 3610 and Asus Eee Box, I chose the Acer due to its lower price. The absence of an optical drive in this case is an ad"&amp;"vantage for me, since, in addition to the price, the volume of the device is reduced. Movies and music are obtained via torrents; Windows 7 can be installed from a USB drive. For all other rare scenarios, it is possible to connect an external drive via th"&amp;"e same USB or via the newfangled eSATA connector.    Games: I don’t play games. I suspect that it’s better not to play, it’s still a nettop.    Conclusion: I have never bought so much computer for such little money.")</f>
        <v>Revo 3610 with 4 gigs of RAM is my second Acer nettop. The first was the 3600 under the Packard Bell brand, which came with a wireless gyro controller that replaced the mouse and game pad. 3600 moved to the bedroom, 3610 remained in the living room.     Both 5 nettops cope with their three main tasks: office applications, Internet surfing and viewing HD content.    A few words about such a controversial issue as HD playback and the supposedly insufficient performance of the Atom processor. We already wrote above that the ION chipset takes on this task and brilliantly performs it. The only “but” is that you need to install the latest version of the CoreAVC codec (currently 1.9.5). and give it priority when playing HD materials. After this, tiny Revo easily copes with any resolution and any bitrate in no matter what container. It even seemed to me that 1080p BR remixes of 30gb in size look better on the screen than the same rips.    The only and huge advantage for me of the 3610 over the 3600 is the presence of an S/PDIF optical output on the first one. For those who care about this as much as it does for me, take note.    When comparing the 3610 and Asus Eee Box, I chose the Acer due to its lower price. The absence of an optical drive in this case is an advantage for me, since, in addition to the price, the volume of the device is reduced. Movies and music are obtained via torrents; Windows 7 can be installed from a USB drive. For all other rare scenarios, it is possible to connect an external drive via the same USB or via the newfangled eSATA connector.    Games: I don’t play games. I suspect that it’s better not to play, it’s still a nettop.    Conclusion: I have never bought so much computer for such little money.</v>
      </c>
    </row>
    <row r="8108" spans="1:9" x14ac:dyDescent="0.3">
      <c r="A8108" s="1" t="s">
        <v>89</v>
      </c>
      <c r="B8108" s="1" t="s">
        <v>231</v>
      </c>
      <c r="C8108" s="1" t="s">
        <v>61</v>
      </c>
      <c r="D8108" s="1" t="s">
        <v>545</v>
      </c>
      <c r="E8108" s="1" t="s">
        <v>529</v>
      </c>
      <c r="F8108" s="1" t="s">
        <v>12300</v>
      </c>
      <c r="G8108" s="1" t="s">
        <v>36</v>
      </c>
      <c r="H8108" s="1" t="s">
        <v>29</v>
      </c>
      <c r="I8108" s="1" t="str">
        <f ca="1">IFERROR(__xludf.DUMMYFUNCTION("GOOGLETRANSLATE(F8108, ""auto"", ""en"")
"),"Met all expectations, great car!")</f>
        <v>Met all expectations, great car!</v>
      </c>
    </row>
    <row r="8109" spans="1:9" x14ac:dyDescent="0.3">
      <c r="A8109" s="1" t="s">
        <v>17</v>
      </c>
      <c r="B8109" s="1" t="s">
        <v>18</v>
      </c>
      <c r="C8109" s="1" t="s">
        <v>159</v>
      </c>
      <c r="D8109" s="1" t="s">
        <v>152</v>
      </c>
      <c r="E8109" s="1" t="s">
        <v>628</v>
      </c>
      <c r="F8109" s="1" t="s">
        <v>12301</v>
      </c>
      <c r="G8109" s="1" t="s">
        <v>28</v>
      </c>
      <c r="H8109" s="1" t="s">
        <v>29</v>
      </c>
      <c r="I8109" s="1" t="str">
        <f ca="1">IFERROR(__xludf.DUMMYFUNCTION("GOOGLETRANSLATE(F8109, ""auto"", ""en"")
"),"Still, it makes noise, you can’t hear it in a closed bathroom, but if you open the door, the sounds are quite specific, especially during the spin cycle. After washing, it beeps persistently about the end.  before that I had an Ariston Avsl 1090, very qui"&amp;"et, but after three years the laundry became stained with rust after washing - I didn’t think for a long time - I bought this as an alternative, and for quite reasonable money.")</f>
        <v>Still, it makes noise, you can’t hear it in a closed bathroom, but if you open the door, the sounds are quite specific, especially during the spin cycle. After washing, it beeps persistently about the end.  before that I had an Ariston Avsl 1090, very quiet, but after three years the laundry became stained with rust after washing - I didn’t think for a long time - I bought this as an alternative, and for quite reasonable money.</v>
      </c>
    </row>
    <row r="8110" spans="1:9" x14ac:dyDescent="0.3">
      <c r="A8110" s="1" t="s">
        <v>120</v>
      </c>
      <c r="B8110" s="1" t="s">
        <v>121</v>
      </c>
      <c r="C8110" s="1" t="s">
        <v>151</v>
      </c>
      <c r="D8110" s="1" t="s">
        <v>114</v>
      </c>
      <c r="E8110" s="1" t="s">
        <v>1327</v>
      </c>
      <c r="F8110" s="1" t="s">
        <v>12302</v>
      </c>
      <c r="G8110" s="1" t="s">
        <v>36</v>
      </c>
      <c r="H8110" s="1" t="s">
        <v>29</v>
      </c>
      <c r="I8110" s="1" t="str">
        <f ca="1">IFERROR(__xludf.DUMMYFUNCTION("GOOGLETRANSLATE(F8110, ""auto"", ""en"")
"),"I bought it a year ago, everything suits me! I recommend!")</f>
        <v>I bought it a year ago, everything suits me! I recommend!</v>
      </c>
    </row>
    <row r="8111" spans="1:9" x14ac:dyDescent="0.3">
      <c r="A8111" s="1" t="s">
        <v>61</v>
      </c>
      <c r="B8111" s="1" t="s">
        <v>977</v>
      </c>
      <c r="C8111" s="1" t="s">
        <v>57</v>
      </c>
      <c r="D8111" s="1" t="s">
        <v>351</v>
      </c>
      <c r="E8111" s="1" t="s">
        <v>12138</v>
      </c>
      <c r="F8111" s="1" t="s">
        <v>12303</v>
      </c>
      <c r="G8111" s="1" t="s">
        <v>28</v>
      </c>
      <c r="H8111" s="1" t="s">
        <v>29</v>
      </c>
      <c r="I8111" s="1" t="str">
        <f ca="1">IFERROR(__xludf.DUMMYFUNCTION("GOOGLETRANSLATE(F8111, ""auto"", ""en"")
"),"I’ve been using it for a long time, although the whisk broke, but that’s after 3 years of frequent use, and everything else is fine. I chose it based on the fact that at that time it had a rich set of equipment at an affordable price. Convenient power adj"&amp;"ustment; there is also a storage stand, but we didn’t use it. Overall not a bad blender!")</f>
        <v>I’ve been using it for a long time, although the whisk broke, but that’s after 3 years of frequent use, and everything else is fine. I chose it based on the fact that at that time it had a rich set of equipment at an affordable price. Convenient power adjustment; there is also a storage stand, but we didn’t use it. Overall not a bad blender!</v>
      </c>
    </row>
    <row r="8112" spans="1:9" x14ac:dyDescent="0.3">
      <c r="A8112" s="1" t="s">
        <v>105</v>
      </c>
      <c r="B8112" s="1" t="s">
        <v>106</v>
      </c>
      <c r="C8112" s="1" t="s">
        <v>1209</v>
      </c>
      <c r="D8112" s="1" t="s">
        <v>33</v>
      </c>
      <c r="E8112" s="1" t="s">
        <v>10249</v>
      </c>
      <c r="F8112" s="1" t="s">
        <v>12304</v>
      </c>
      <c r="G8112" s="1" t="s">
        <v>15</v>
      </c>
      <c r="H8112" s="1" t="s">
        <v>16</v>
      </c>
      <c r="I8112" s="1" t="str">
        <f ca="1">IFERROR(__xludf.DUMMYFUNCTION("GOOGLETRANSLATE(F8112, ""auto"", ""en"")
"),"I bought this player, I was very pleased with the filling, it supports almost all video formats, and can play files without compression (the only thing that slows down a little) is an excellent design. But there is a huge minus input for headphones and th"&amp;"e USB does not match the plugs, i.e. When moving, the sound in the headphones disappears due to the fact that the plug moves from side to side. In other words, it dangles like a pencil in a glass.")</f>
        <v>I bought this player, I was very pleased with the filling, it supports almost all video formats, and can play files without compression (the only thing that slows down a little) is an excellent design. But there is a huge minus input for headphones and the USB does not match the plugs, i.e. When moving, the sound in the headphones disappears due to the fact that the plug moves from side to side. In other words, it dangles like a pencil in a glass.</v>
      </c>
    </row>
    <row r="8113" spans="1:9" x14ac:dyDescent="0.3">
      <c r="A8113" s="1" t="s">
        <v>37</v>
      </c>
      <c r="B8113" s="1" t="s">
        <v>536</v>
      </c>
      <c r="C8113" s="1" t="s">
        <v>39</v>
      </c>
      <c r="D8113" s="1" t="s">
        <v>12305</v>
      </c>
      <c r="E8113" s="1" t="s">
        <v>734</v>
      </c>
      <c r="F8113" s="1" t="s">
        <v>12306</v>
      </c>
      <c r="G8113" s="1" t="s">
        <v>49</v>
      </c>
      <c r="H8113" s="1" t="s">
        <v>16</v>
      </c>
      <c r="I8113" s="1" t="str">
        <f ca="1">IFERROR(__xludf.DUMMYFUNCTION("GOOGLETRANSLATE(F8113, ""auto"", ""en"")
"),"I bought this “miracle” for my wife, there are no other words for it... the sensor only works for certain functions, i.e. only where the manufacturer said.  Camera ""Oh yes 12.1 megapixels!!!"" sensation, but what can be achieved from a half-inch matrix w"&amp;"ith such a resolution... the answer is nothing good... Sound: something is wrong here... clean (no doubt, Sony are great here), but it’s quiet, you can’t even hear it in your shirt pocket.  Regarding the software part, there is also not much good news: as"&amp;" always, there is a lot of “crude” software, the player is old, tested of course, but never brought to fruition... In general, after a week, my wife said that she doesn’t want to see this “UY” (I apologize) anymore. After which I tried by hook or by crook"&amp;" to get the phone to work properly, which I never got. Now it lies on the shelf and is periodically given to friends to “majorize”, although this majority only brings worse impressions.  It's better to take Motorola Dext or Nokia X6. But this is purely my"&amp;" opinion. So it’s up to you.")</f>
        <v>I bought this “miracle” for my wife, there are no other words for it... the sensor only works for certain functions, i.e. only where the manufacturer said.  Camera "Oh yes 12.1 megapixels!!!" sensation, but what can be achieved from a half-inch matrix with such a resolution... the answer is nothing good... Sound: something is wrong here... clean (no doubt, Sony are great here), but it’s quiet, you can’t even hear it in your shirt pocket.  Regarding the software part, there is also not much good news: as always, there is a lot of “crude” software, the player is old, tested of course, but never brought to fruition... In general, after a week, my wife said that she doesn’t want to see this “UY” (I apologize) anymore. After which I tried by hook or by crook to get the phone to work properly, which I never got. Now it lies on the shelf and is periodically given to friends to “majorize”, although this majority only brings worse impressions.  It's better to take Motorola Dext or Nokia X6. But this is purely my opinion. So it’s up to you.</v>
      </c>
    </row>
    <row r="8114" spans="1:9" x14ac:dyDescent="0.3">
      <c r="A8114" s="1" t="s">
        <v>61</v>
      </c>
      <c r="B8114" s="1" t="s">
        <v>977</v>
      </c>
      <c r="C8114" s="1" t="s">
        <v>69</v>
      </c>
      <c r="D8114" s="1" t="s">
        <v>58</v>
      </c>
      <c r="E8114" s="1" t="s">
        <v>1203</v>
      </c>
      <c r="F8114" s="1" t="s">
        <v>12307</v>
      </c>
      <c r="G8114" s="1" t="s">
        <v>36</v>
      </c>
      <c r="H8114" s="1" t="s">
        <v>29</v>
      </c>
      <c r="I8114" s="1" t="str">
        <f ca="1">IFERROR(__xludf.DUMMYFUNCTION("GOOGLETRANSLATE(F8114, ""auto"", ""en"")
"),"Blender is very good! We've been using it for 1 year now, no complaints! Easy to use, many functions! I use it quite often, one might say constantly! I made cocktails - very tasty! Chopped vegetables very quickly! Never broke! In general, whoever needs a "&amp;"blender, take this one! I recommend it to everyone!")</f>
        <v>Blender is very good! We've been using it for 1 year now, no complaints! Easy to use, many functions! I use it quite often, one might say constantly! I made cocktails - very tasty! Chopped vegetables very quickly! Never broke! In general, whoever needs a blender, take this one! I recommend it to everyone!</v>
      </c>
    </row>
    <row r="8115" spans="1:9" x14ac:dyDescent="0.3">
      <c r="A8115" s="1" t="s">
        <v>89</v>
      </c>
      <c r="B8115" s="1" t="s">
        <v>1106</v>
      </c>
      <c r="C8115" s="1" t="s">
        <v>246</v>
      </c>
      <c r="D8115" s="1" t="s">
        <v>589</v>
      </c>
      <c r="E8115" s="1" t="s">
        <v>1864</v>
      </c>
      <c r="F8115" s="1" t="s">
        <v>12308</v>
      </c>
      <c r="G8115" s="1" t="s">
        <v>36</v>
      </c>
      <c r="H8115" s="1" t="s">
        <v>29</v>
      </c>
      <c r="I8115" s="1" t="str">
        <f ca="1">IFERROR(__xludf.DUMMYFUNCTION("GOOGLETRANSLATE(F8115, ""auto"", ""en"")
"),"I bought this coffee maker in September 2010. I didn’t look at the dimensions and was upset at first. But after use, all doubts disappeared.   It washes well, everything comes out.  The only thing that bothers me is the loud snorting sound when the water "&amp;"runs out and the coffee maker switches to heating mode on the bottom plate.  Once they forgot to turn it off and drank all the coffee... After 8 hours of operation, the carafe did not crack (although I didn’t think I’d find it intact) In general, I’m happ"&amp;"y with the coffee maker.")</f>
        <v>I bought this coffee maker in September 2010. I didn’t look at the dimensions and was upset at first. But after use, all doubts disappeared.   It washes well, everything comes out.  The only thing that bothers me is the loud snorting sound when the water runs out and the coffee maker switches to heating mode on the bottom plate.  Once they forgot to turn it off and drank all the coffee... After 8 hours of operation, the carafe did not crack (although I didn’t think I’d find it intact) In general, I’m happy with the coffee maker.</v>
      </c>
    </row>
    <row r="8116" spans="1:9" x14ac:dyDescent="0.3">
      <c r="A8116" s="1" t="s">
        <v>9</v>
      </c>
      <c r="B8116" s="1" t="s">
        <v>10</v>
      </c>
      <c r="C8116" s="1" t="s">
        <v>407</v>
      </c>
      <c r="D8116" s="1" t="s">
        <v>308</v>
      </c>
      <c r="E8116" s="1" t="s">
        <v>12309</v>
      </c>
      <c r="F8116" s="1" t="s">
        <v>12310</v>
      </c>
      <c r="G8116" s="1" t="s">
        <v>49</v>
      </c>
      <c r="H8116" s="1" t="s">
        <v>16</v>
      </c>
      <c r="I8116" s="1" t="str">
        <f ca="1">IFERROR(__xludf.DUMMYFUNCTION("GOOGLETRANSLATE(F8116, ""auto"", ""en"")
"),"I left the kitchen for 5 minutes, we heard a loud bang, the glass canopy shattered into small pieces throughout the kitchen, the induction hob panel was broken, the glass itself, where the light bulbs were also cracked. The stove was installed in accordan"&amp;"ce with the instructions and was used for only 3 months. The hood was working at minimum mode, the burner was working against the left wall, I was stewing salad with the lid closed, now we think it’s good that no one was there.")</f>
        <v>I left the kitchen for 5 minutes, we heard a loud bang, the glass canopy shattered into small pieces throughout the kitchen, the induction hob panel was broken, the glass itself, where the light bulbs were also cracked. The stove was installed in accordance with the instructions and was used for only 3 months. The hood was working at minimum mode, the burner was working against the left wall, I was stewing salad with the lid closed, now we think it’s good that no one was there.</v>
      </c>
    </row>
    <row r="8117" spans="1:9" x14ac:dyDescent="0.3">
      <c r="A8117" s="1" t="s">
        <v>9</v>
      </c>
      <c r="B8117" s="1" t="s">
        <v>133</v>
      </c>
      <c r="C8117" s="1" t="s">
        <v>159</v>
      </c>
      <c r="D8117" s="1" t="s">
        <v>545</v>
      </c>
      <c r="E8117" s="1" t="s">
        <v>12311</v>
      </c>
      <c r="F8117" s="1" t="s">
        <v>12312</v>
      </c>
      <c r="G8117" s="1" t="s">
        <v>36</v>
      </c>
      <c r="H8117" s="1" t="s">
        <v>29</v>
      </c>
      <c r="I8117" s="1" t="str">
        <f ca="1">IFERROR(__xludf.DUMMYFUNCTION("GOOGLETRANSLATE(F8117, ""auto"", ""en"")
"),"We bought an oven a month ago and are very happy with the purchase! The triple glass justifies itself; at 200 degrees the outside of the cabinet is not very hot, you can touch it with your hand without getting burned. There are enough programs, you don’t "&amp;"need more, anyway, choose 2-3 programs for yourself and cook with them. The meat turns out juicy, not dry. Everything is prepared very quickly and with the backlight always on. The additional side light is very convenient; when you cook on 2 baking sheets"&amp;" at the same time, you can see everything. I haven’t tried a temperature probe yet!")</f>
        <v>We bought an oven a month ago and are very happy with the purchase! The triple glass justifies itself; at 200 degrees the outside of the cabinet is not very hot, you can touch it with your hand without getting burned. There are enough programs, you don’t need more, anyway, choose 2-3 programs for yourself and cook with them. The meat turns out juicy, not dry. Everything is prepared very quickly and with the backlight always on. The additional side light is very convenient; when you cook on 2 baking sheets at the same time, you can see everything. I haven’t tried a temperature probe yet!</v>
      </c>
    </row>
    <row r="8118" spans="1:9" x14ac:dyDescent="0.3">
      <c r="A8118" s="1" t="s">
        <v>43</v>
      </c>
      <c r="B8118" s="1" t="s">
        <v>303</v>
      </c>
      <c r="C8118" s="1" t="s">
        <v>304</v>
      </c>
      <c r="D8118" s="1" t="s">
        <v>5680</v>
      </c>
      <c r="E8118" s="1" t="s">
        <v>395</v>
      </c>
      <c r="F8118" s="1" t="s">
        <v>12313</v>
      </c>
      <c r="G8118" s="1" t="s">
        <v>36</v>
      </c>
      <c r="H8118" s="1" t="s">
        <v>29</v>
      </c>
      <c r="I8118" s="1" t="str">
        <f ca="1">IFERROR(__xludf.DUMMYFUNCTION("GOOGLETRANSLATE(F8118, ""auto"", ""en"")
"),"We have been using the heater for about a month, the heater is excellent, the fact is that the water does not ooze from the valve, but runs in a “stream”, so be glad that you have pressure in the pipes, and if you also learned to read, then the instructio"&amp;"ns say that in this case you need to install a tube and lead it to the sewer, this, by the way, is mandatory and there is no need to arrange any “dances”, and secondly, install a pressure regulator, which, by the way, is important if there are water meter"&amp;"s. People, we wash ourselves with HOT water, without basins, “dancing” and heating on the stove.")</f>
        <v>We have been using the heater for about a month, the heater is excellent, the fact is that the water does not ooze from the valve, but runs in a “stream”, so be glad that you have pressure in the pipes, and if you also learned to read, then the instructions say that in this case you need to install a tube and lead it to the sewer, this, by the way, is mandatory and there is no need to arrange any “dances”, and secondly, install a pressure regulator, which, by the way, is important if there are water meters. People, we wash ourselves with HOT water, without basins, “dancing” and heating on the stove.</v>
      </c>
    </row>
    <row r="8119" spans="1:9" x14ac:dyDescent="0.3">
      <c r="A8119" s="1" t="s">
        <v>30</v>
      </c>
      <c r="B8119" s="1" t="s">
        <v>50</v>
      </c>
      <c r="C8119" s="1" t="s">
        <v>32</v>
      </c>
      <c r="D8119" s="1" t="s">
        <v>280</v>
      </c>
      <c r="E8119" s="1" t="s">
        <v>2262</v>
      </c>
      <c r="F8119" s="1" t="s">
        <v>12314</v>
      </c>
      <c r="G8119" s="1" t="s">
        <v>36</v>
      </c>
      <c r="H8119" s="1" t="s">
        <v>29</v>
      </c>
      <c r="I8119" s="1" t="str">
        <f ca="1">IFERROR(__xludf.DUMMYFUNCTION("GOOGLETRANSLATE(F8119, ""auto"", ""en"")
"),"I bought it as soon as I saw the parameters, I didn’t even worry about noise and bluetooth. It’s a very cool laptop, I’ll spit in the face of anyone who says that they’ll get more power for the money. I didn’t need to take down Vista, everything works ok."&amp;" I've played a lot of games, the video card is burning... now throw it up. The only annoying thing is the button for opening the drive, it’s too recessed, but when there’s a curious baby nearby, this becomes a plus. And also, no ieee 1394, you can’t conne"&amp;"ct the camera.")</f>
        <v>I bought it as soon as I saw the parameters, I didn’t even worry about noise and bluetooth. It’s a very cool laptop, I’ll spit in the face of anyone who says that they’ll get more power for the money. I didn’t need to take down Vista, everything works ok. I've played a lot of games, the video card is burning... now throw it up. The only annoying thing is the button for opening the drive, it’s too recessed, but when there’s a curious baby nearby, this becomes a plus. And also, no ieee 1394, you can’t connect the camera.</v>
      </c>
    </row>
    <row r="8120" spans="1:9" x14ac:dyDescent="0.3">
      <c r="A8120" s="1" t="s">
        <v>211</v>
      </c>
      <c r="B8120" s="1" t="s">
        <v>856</v>
      </c>
      <c r="C8120" s="1" t="s">
        <v>57</v>
      </c>
      <c r="D8120" s="1" t="s">
        <v>1443</v>
      </c>
      <c r="E8120" s="1" t="s">
        <v>285</v>
      </c>
      <c r="F8120" s="1" t="s">
        <v>12315</v>
      </c>
      <c r="G8120" s="1" t="s">
        <v>36</v>
      </c>
      <c r="H8120" s="1" t="s">
        <v>29</v>
      </c>
      <c r="I8120" s="1" t="str">
        <f ca="1">IFERROR(__xludf.DUMMYFUNCTION("GOOGLETRANSLATE(F8120, ""auto"", ""en"")
"),"Well worth the money, + also heating!")</f>
        <v>Well worth the money, + also heating!</v>
      </c>
    </row>
    <row r="8121" spans="1:9" x14ac:dyDescent="0.3">
      <c r="A8121" s="1" t="s">
        <v>95</v>
      </c>
      <c r="B8121" s="1" t="s">
        <v>486</v>
      </c>
      <c r="C8121" s="1" t="s">
        <v>487</v>
      </c>
      <c r="D8121" s="1" t="s">
        <v>52</v>
      </c>
      <c r="E8121" s="1" t="s">
        <v>1398</v>
      </c>
      <c r="F8121" s="1" t="s">
        <v>12316</v>
      </c>
      <c r="G8121" s="1" t="s">
        <v>36</v>
      </c>
      <c r="H8121" s="1" t="s">
        <v>29</v>
      </c>
      <c r="I8121" s="1" t="str">
        <f ca="1">IFERROR(__xludf.DUMMYFUNCTION("GOOGLETRANSLATE(F8121, ""auto"", ""en"")
"),"The set-top box looks tempting, I want to buy this miracle, especially since Wi-Fi has appeared, a very important thing in boxing. Tell me, is it still necessary to buy an LCD or Plasma TV? And 1 exit in the box looks like an S-CART, is this an S-card? or"&amp;" is this some other way out? RCA composite, but what kind of output is this? and for what inputs on an analogue, not LCD, and especially not plasma TV. On my TV there is only a C-card connector, an analog one, where there are 2 sockets for audio and one y"&amp;"ellow socket for video, there are no other inputs. The laptop has HDMI, well, I think it’s only an image output. Help please.")</f>
        <v>The set-top box looks tempting, I want to buy this miracle, especially since Wi-Fi has appeared, a very important thing in boxing. Tell me, is it still necessary to buy an LCD or Plasma TV? And 1 exit in the box looks like an S-CART, is this an S-card? or is this some other way out? RCA composite, but what kind of output is this? and for what inputs on an analogue, not LCD, and especially not plasma TV. On my TV there is only a C-card connector, an analog one, where there are 2 sockets for audio and one yellow socket for video, there are no other inputs. The laptop has HDMI, well, I think it’s only an image output. Help please.</v>
      </c>
    </row>
    <row r="8122" spans="1:9" x14ac:dyDescent="0.3">
      <c r="A8122" s="1" t="s">
        <v>9</v>
      </c>
      <c r="B8122" s="1" t="s">
        <v>137</v>
      </c>
      <c r="C8122" s="1" t="s">
        <v>134</v>
      </c>
      <c r="D8122" s="1" t="s">
        <v>589</v>
      </c>
      <c r="E8122" s="1" t="s">
        <v>10504</v>
      </c>
      <c r="F8122" s="1" t="s">
        <v>12317</v>
      </c>
      <c r="G8122" s="1" t="s">
        <v>36</v>
      </c>
      <c r="H8122" s="1" t="s">
        <v>29</v>
      </c>
      <c r="I8122" s="1" t="str">
        <f ca="1">IFERROR(__xludf.DUMMYFUNCTION("GOOGLETRANSLATE(F8122, ""auto"", ""en"")
"),"I just really like the stove, such a convenient model! There aren't many narrow panels on the market, so we're lucky to have chosen such a good one. Among the useful functions: there is a timer for each burner (!!!), you can set the desired cooking time a"&amp;"nd leave without fear that something will be overcooked. Two burners - with an expansion zone for larger dishes. There is also a residual heat indicator and child protection for each burner. It’s very easy to set everything up, the controls are simple and"&amp;" competent. It looks beautiful in our kitchen (and most importantly unusual), many people ask about the type of model. I wash it quite often because of the black color, but I’m just a neat freak!")</f>
        <v>I just really like the stove, such a convenient model! There aren't many narrow panels on the market, so we're lucky to have chosen such a good one. Among the useful functions: there is a timer for each burner (!!!), you can set the desired cooking time and leave without fear that something will be overcooked. Two burners - with an expansion zone for larger dishes. There is also a residual heat indicator and child protection for each burner. It’s very easy to set everything up, the controls are simple and competent. It looks beautiful in our kitchen (and most importantly unusual), many people ask about the type of model. I wash it quite often because of the black color, but I’m just a neat freak!</v>
      </c>
    </row>
    <row r="8123" spans="1:9" x14ac:dyDescent="0.3">
      <c r="A8123" s="1" t="s">
        <v>61</v>
      </c>
      <c r="B8123" s="1" t="s">
        <v>318</v>
      </c>
      <c r="C8123" s="1" t="s">
        <v>246</v>
      </c>
      <c r="D8123" s="1" t="s">
        <v>319</v>
      </c>
      <c r="E8123" s="1" t="s">
        <v>7058</v>
      </c>
      <c r="F8123" s="1" t="s">
        <v>12318</v>
      </c>
      <c r="G8123" s="1" t="s">
        <v>36</v>
      </c>
      <c r="H8123" s="1" t="s">
        <v>29</v>
      </c>
      <c r="I8123" s="1" t="str">
        <f ca="1">IFERROR(__xludf.DUMMYFUNCTION("GOOGLETRANSLATE(F8123, ""auto"", ""en"")
"),"Durability")</f>
        <v>Durability</v>
      </c>
    </row>
    <row r="8124" spans="1:9" x14ac:dyDescent="0.3">
      <c r="A8124" s="1" t="s">
        <v>61</v>
      </c>
      <c r="B8124" s="1" t="s">
        <v>73</v>
      </c>
      <c r="C8124" s="1" t="s">
        <v>122</v>
      </c>
      <c r="D8124" s="1" t="s">
        <v>12319</v>
      </c>
      <c r="E8124" s="1" t="s">
        <v>2354</v>
      </c>
      <c r="F8124" s="1" t="s">
        <v>12320</v>
      </c>
      <c r="G8124" s="1" t="s">
        <v>36</v>
      </c>
      <c r="H8124" s="1" t="s">
        <v>29</v>
      </c>
      <c r="I8124" s="1" t="str">
        <f ca="1">IFERROR(__xludf.DUMMYFUNCTION("GOOGLETRANSLATE(F8124, ""auto"", ""en"")
"),"I spent a long time choosing a meat grinder. I looked through all the brands and settled on this one. It takes up little space in the kitchen, there are no unnecessary functions (for which you overpay), good Japanese assembly. When I came home, I immediat"&amp;"ely processed 10 kg of meat in 5 minutes. The veins don't get stuck. Overall, I recommend it! Good luck everyone!")</f>
        <v>I spent a long time choosing a meat grinder. I looked through all the brands and settled on this one. It takes up little space in the kitchen, there are no unnecessary functions (for which you overpay), good Japanese assembly. When I came home, I immediately processed 10 kg of meat in 5 minutes. The veins don't get stuck. Overall, I recommend it! Good luck everyone!</v>
      </c>
    </row>
    <row r="8125" spans="1:9" x14ac:dyDescent="0.3">
      <c r="A8125" s="1" t="s">
        <v>61</v>
      </c>
      <c r="B8125" s="1" t="s">
        <v>73</v>
      </c>
      <c r="C8125" s="1" t="s">
        <v>314</v>
      </c>
      <c r="D8125" s="1" t="s">
        <v>326</v>
      </c>
      <c r="E8125" s="1" t="s">
        <v>8605</v>
      </c>
      <c r="F8125" s="1" t="s">
        <v>12321</v>
      </c>
      <c r="G8125" s="1" t="s">
        <v>15</v>
      </c>
      <c r="H8125" s="1" t="s">
        <v>16</v>
      </c>
      <c r="I8125" s="1" t="str">
        <f ca="1">IFERROR(__xludf.DUMMYFUNCTION("GOOGLETRANSLATE(F8125, ""auto"", ""en"")
"),"It's not clear why this price is so high? My auger axis and knife instantly rusted! It chops the meat barely, and if it comes across a vein, it gets stuck. No joy for an elderly person, only expenses, one might say - a third of his pension is down the dra"&amp;"in.")</f>
        <v>It's not clear why this price is so high? My auger axis and knife instantly rusted! It chops the meat barely, and if it comes across a vein, it gets stuck. No joy for an elderly person, only expenses, one might say - a third of his pension is down the drain.</v>
      </c>
    </row>
    <row r="8126" spans="1:9" x14ac:dyDescent="0.3">
      <c r="A8126" s="1" t="s">
        <v>105</v>
      </c>
      <c r="B8126" s="1" t="s">
        <v>106</v>
      </c>
      <c r="C8126" s="1" t="s">
        <v>151</v>
      </c>
      <c r="D8126" s="1" t="s">
        <v>1456</v>
      </c>
      <c r="E8126" s="1" t="s">
        <v>960</v>
      </c>
      <c r="F8126" s="1" t="s">
        <v>12322</v>
      </c>
      <c r="G8126" s="1" t="s">
        <v>36</v>
      </c>
      <c r="H8126" s="1" t="s">
        <v>29</v>
      </c>
      <c r="I8126" s="1" t="str">
        <f ca="1">IFERROR(__xludf.DUMMYFUNCTION("GOOGLETRANSLATE(F8126, ""auto"", ""en"")
"),"The player is just super, I’m not happy about it!!!!!!!")</f>
        <v>The player is just super, I’m not happy about it!!!!!!!</v>
      </c>
    </row>
    <row r="8127" spans="1:9" x14ac:dyDescent="0.3">
      <c r="A8127" s="1" t="s">
        <v>37</v>
      </c>
      <c r="B8127" s="1" t="s">
        <v>355</v>
      </c>
      <c r="C8127" s="1" t="s">
        <v>356</v>
      </c>
      <c r="D8127" s="1" t="s">
        <v>152</v>
      </c>
      <c r="E8127" s="1" t="s">
        <v>8735</v>
      </c>
      <c r="F8127" s="1" t="s">
        <v>12323</v>
      </c>
      <c r="G8127" s="1" t="s">
        <v>36</v>
      </c>
      <c r="H8127" s="1" t="s">
        <v>29</v>
      </c>
      <c r="I8127" s="1" t="str">
        <f ca="1">IFERROR(__xludf.DUMMYFUNCTION("GOOGLETRANSLATE(F8127, ""auto"", ""en"")
"),"I recently bought an IPhone 3g 16 Gb, activated it myself and updated the firmware to 3.1.2, the device is super, after the update there was a new Voice Memory feature, additional tabs, a search engine on the tab, Safari improved, etc.   If your device is"&amp;" white, then flash it through iTunes without fear; if it is gray, then I strongly do not recommend doing this (it will be G). If the white one with jailbreak crashes after flashing the jailbreak firmware. In principle, even without jailbreak, the device i"&amp;"s capable of satisfying the most demanding user. jailbreak simply allows you to write to more than just the user part of the file system.   It’s just that many people are used to using Windows everywhere, but a MAC with a UNIX-BSD kernel does not allow th"&amp;"is without a superuser, and this is great for the security of the system itself. So buy it and enjoy it.")</f>
        <v>I recently bought an IPhone 3g 16 Gb, activated it myself and updated the firmware to 3.1.2, the device is super, after the update there was a new Voice Memory feature, additional tabs, a search engine on the tab, Safari improved, etc.   If your device is white, then flash it through iTunes without fear; if it is gray, then I strongly do not recommend doing this (it will be G). If the white one with jailbreak crashes after flashing the jailbreak firmware. In principle, even without jailbreak, the device is capable of satisfying the most demanding user. jailbreak simply allows you to write to more than just the user part of the file system.   It’s just that many people are used to using Windows everywhere, but a MAC with a UNIX-BSD kernel does not allow this without a superuser, and this is great for the security of the system itself. So buy it and enjoy it.</v>
      </c>
    </row>
    <row r="8128" spans="1:9" x14ac:dyDescent="0.3">
      <c r="A8128" s="1" t="s">
        <v>30</v>
      </c>
      <c r="B8128" s="1" t="s">
        <v>50</v>
      </c>
      <c r="C8128" s="1" t="s">
        <v>51</v>
      </c>
      <c r="D8128" s="1" t="s">
        <v>891</v>
      </c>
      <c r="E8128" s="1" t="s">
        <v>784</v>
      </c>
      <c r="F8128" s="1" t="s">
        <v>12324</v>
      </c>
      <c r="G8128" s="1" t="s">
        <v>36</v>
      </c>
      <c r="H8128" s="1" t="s">
        <v>29</v>
      </c>
      <c r="I8128" s="1" t="str">
        <f ca="1">IFERROR(__xludf.DUMMYFUNCTION("GOOGLETRANSLATE(F8128, ""auto"", ""en"")
"),"runs even the most demanding games at reasonable settings. I've been driving it in extreme sports for half a year and no problems. I don't want to buy it")</f>
        <v>runs even the most demanding games at reasonable settings. I've been driving it in extreme sports for half a year and no problems. I don't want to buy it</v>
      </c>
    </row>
    <row r="8129" spans="1:9" x14ac:dyDescent="0.3">
      <c r="A8129" s="1" t="s">
        <v>89</v>
      </c>
      <c r="B8129" s="1" t="s">
        <v>90</v>
      </c>
      <c r="C8129" s="1" t="s">
        <v>63</v>
      </c>
      <c r="D8129" s="1" t="s">
        <v>4281</v>
      </c>
      <c r="E8129" s="1" t="s">
        <v>4608</v>
      </c>
      <c r="F8129" s="1" t="s">
        <v>12325</v>
      </c>
      <c r="G8129" s="1" t="s">
        <v>36</v>
      </c>
      <c r="H8129" s="1" t="s">
        <v>29</v>
      </c>
      <c r="I8129" s="1" t="str">
        <f ca="1">IFERROR(__xludf.DUMMYFUNCTION("GOOGLETRANSLATE(F8129, ""auto"", ""en"")
"),"It suited me just fine. It grinds flax seed well, straight into flour.")</f>
        <v>It suited me just fine. It grinds flax seed well, straight into flour.</v>
      </c>
    </row>
    <row r="8130" spans="1:9" x14ac:dyDescent="0.3">
      <c r="A8130" s="1" t="s">
        <v>89</v>
      </c>
      <c r="B8130" s="1" t="s">
        <v>1106</v>
      </c>
      <c r="C8130" s="1" t="s">
        <v>246</v>
      </c>
      <c r="D8130" s="1" t="s">
        <v>2412</v>
      </c>
      <c r="E8130" s="1" t="s">
        <v>5530</v>
      </c>
      <c r="F8130" s="1" t="s">
        <v>12326</v>
      </c>
      <c r="G8130" s="1" t="s">
        <v>36</v>
      </c>
      <c r="H8130" s="1" t="s">
        <v>29</v>
      </c>
      <c r="I8130" s="1" t="str">
        <f ca="1">IFERROR(__xludf.DUMMYFUNCTION("GOOGLETRANSLATE(F8130, ""auto"", ""en"")
"),"I’ve been using it for a year and I like it...it’s a pity that the filters on it are not reusable...")</f>
        <v>I’ve been using it for a year and I like it...it’s a pity that the filters on it are not reusable...</v>
      </c>
    </row>
    <row r="8131" spans="1:9" x14ac:dyDescent="0.3">
      <c r="A8131" s="1" t="s">
        <v>149</v>
      </c>
      <c r="B8131" s="1" t="s">
        <v>150</v>
      </c>
      <c r="C8131" s="1" t="s">
        <v>2016</v>
      </c>
      <c r="D8131" s="1" t="s">
        <v>139</v>
      </c>
      <c r="E8131" s="1" t="s">
        <v>8951</v>
      </c>
      <c r="F8131" s="1" t="s">
        <v>12327</v>
      </c>
      <c r="G8131" s="1" t="s">
        <v>36</v>
      </c>
      <c r="H8131" s="1" t="s">
        <v>29</v>
      </c>
      <c r="I8131" s="1" t="str">
        <f ca="1">IFERROR(__xludf.DUMMYFUNCTION("GOOGLETRANSLATE(F8131, ""auto"", ""en"")
"),"Solid 5!")</f>
        <v>Solid 5!</v>
      </c>
    </row>
    <row r="8132" spans="1:9" x14ac:dyDescent="0.3">
      <c r="A8132" s="1" t="s">
        <v>120</v>
      </c>
      <c r="B8132" s="1" t="s">
        <v>196</v>
      </c>
      <c r="C8132" s="1" t="s">
        <v>658</v>
      </c>
      <c r="D8132" s="1" t="s">
        <v>232</v>
      </c>
      <c r="E8132" s="1" t="s">
        <v>3954</v>
      </c>
      <c r="F8132" s="1" t="s">
        <v>12328</v>
      </c>
      <c r="G8132" s="1" t="s">
        <v>36</v>
      </c>
      <c r="H8132" s="1" t="s">
        <v>29</v>
      </c>
      <c r="I8132" s="1" t="str">
        <f ca="1">IFERROR(__xludf.DUMMYFUNCTION("GOOGLETRANSLATE(F8132, ""auto"", ""en"")
"),"Cool TV in all respects, the assembly is normal!!! Polish!! much better than our Kaliningrad one!! Color Brightness contrast 5")</f>
        <v>Cool TV in all respects, the assembly is normal!!! Polish!! much better than our Kaliningrad one!! Color Brightness contrast 5</v>
      </c>
    </row>
    <row r="8133" spans="1:9" x14ac:dyDescent="0.3">
      <c r="A8133" s="1" t="s">
        <v>149</v>
      </c>
      <c r="B8133" s="1" t="s">
        <v>576</v>
      </c>
      <c r="C8133" s="1" t="s">
        <v>151</v>
      </c>
      <c r="D8133" s="1" t="s">
        <v>75</v>
      </c>
      <c r="E8133" s="1" t="s">
        <v>157</v>
      </c>
      <c r="F8133" s="1" t="s">
        <v>12329</v>
      </c>
      <c r="G8133" s="1" t="s">
        <v>28</v>
      </c>
      <c r="H8133" s="1" t="s">
        <v>29</v>
      </c>
      <c r="I8133" s="1" t="str">
        <f ca="1">IFERROR(__xludf.DUMMYFUNCTION("GOOGLETRANSLATE(F8133, ""auto"", ""en"")
"),"The poor thing burned down today, after 8 years of impeccable service. I’m sitting here choosing a new one, and I’m thinking, maybe I should take the same one again?")</f>
        <v>The poor thing burned down today, after 8 years of impeccable service. I’m sitting here choosing a new one, and I’m thinking, maybe I should take the same one again?</v>
      </c>
    </row>
    <row r="8134" spans="1:9" x14ac:dyDescent="0.3">
      <c r="A8134" s="1" t="s">
        <v>477</v>
      </c>
      <c r="B8134" s="1" t="s">
        <v>478</v>
      </c>
      <c r="C8134" s="1" t="s">
        <v>479</v>
      </c>
      <c r="D8134" s="1" t="s">
        <v>5509</v>
      </c>
      <c r="E8134" s="1" t="s">
        <v>3664</v>
      </c>
      <c r="F8134" s="1" t="s">
        <v>12330</v>
      </c>
      <c r="G8134" s="1" t="s">
        <v>36</v>
      </c>
      <c r="H8134" s="1" t="s">
        <v>29</v>
      </c>
      <c r="I8134" s="1" t="str">
        <f ca="1">IFERROR(__xludf.DUMMYFUNCTION("GOOGLETRANSLATE(F8134, ""auto"", ""en"")
"),"If you love Batman, don't dare pass by. If you love slashers and are comfortable with Batman, pay attention. Everything is top notch (from what I saw, because the game is not over yet) - the main character, charismatic and classic opponents, excellent gra"&amp;"phics, good gameplay. The game is not about a super hero, but about a bat. An attack from the darkness, a quiet descent on a rope behind the victim's back, a boomerang strike from around the corner. Very high-quality fights, with interesting ideas like av"&amp;"oiding a blow and an instant retaliatory attack, combos and spectacular FATALITY!!! Well, an understanding of how little we know about Batman, since 6 films are very few to contain everything from comics since the 40s (if I’m not mistaken).")</f>
        <v>If you love Batman, don't dare pass by. If you love slashers and are comfortable with Batman, pay attention. Everything is top notch (from what I saw, because the game is not over yet) - the main character, charismatic and classic opponents, excellent graphics, good gameplay. The game is not about a super hero, but about a bat. An attack from the darkness, a quiet descent on a rope behind the victim's back, a boomerang strike from around the corner. Very high-quality fights, with interesting ideas like avoiding a blow and an instant retaliatory attack, combos and spectacular FATALITY!!! Well, an understanding of how little we know about Batman, since 6 films are very few to contain everything from comics since the 40s (if I’m not mistaken).</v>
      </c>
    </row>
    <row r="8135" spans="1:9" x14ac:dyDescent="0.3">
      <c r="A8135" s="1" t="s">
        <v>17</v>
      </c>
      <c r="B8135" s="1" t="s">
        <v>18</v>
      </c>
      <c r="C8135" s="1" t="s">
        <v>151</v>
      </c>
      <c r="D8135" s="1" t="s">
        <v>565</v>
      </c>
      <c r="E8135" s="1" t="s">
        <v>12331</v>
      </c>
      <c r="F8135" s="1" t="s">
        <v>12332</v>
      </c>
      <c r="G8135" s="1" t="s">
        <v>36</v>
      </c>
      <c r="H8135" s="1" t="s">
        <v>29</v>
      </c>
      <c r="I8135" s="1" t="str">
        <f ca="1">IFERROR(__xludf.DUMMYFUNCTION("GOOGLETRANSLATE(F8135, ""auto"", ""en"")
"),"We've been using it for a year. We do laundry about 2 times a week. Everything suits me. It makes a little noise (whistle) when spinning, but I think it’s normal for a machine at this price.")</f>
        <v>We've been using it for a year. We do laundry about 2 times a week. Everything suits me. It makes a little noise (whistle) when spinning, but I think it’s normal for a machine at this price.</v>
      </c>
    </row>
    <row r="8136" spans="1:9" x14ac:dyDescent="0.3">
      <c r="A8136" s="1" t="s">
        <v>1119</v>
      </c>
      <c r="B8136" s="1" t="s">
        <v>1120</v>
      </c>
      <c r="C8136" s="1" t="s">
        <v>97</v>
      </c>
      <c r="D8136" s="1" t="s">
        <v>12333</v>
      </c>
      <c r="E8136" s="1" t="s">
        <v>7339</v>
      </c>
      <c r="F8136" s="1" t="s">
        <v>12334</v>
      </c>
      <c r="G8136" s="1" t="s">
        <v>49</v>
      </c>
      <c r="H8136" s="1" t="s">
        <v>16</v>
      </c>
      <c r="I8136" s="1" t="str">
        <f ca="1">IFERROR(__xludf.DUMMYFUNCTION("GOOGLETRANSLATE(F8136, ""auto"", ""en"")
"),"Advantages: Simple and convenient controls.  Disadvantages: The quality of video and color rendition is comparable to that of a telephone; at home the picture turns out to be noisy and you don’t want to watch it.  Comment: I just couldn’t believe that mod"&amp;"ern technology could shoot like that. I'll try to return it.")</f>
        <v>Advantages: Simple and convenient controls.  Disadvantages: The quality of video and color rendition is comparable to that of a telephone; at home the picture turns out to be noisy and you don’t want to watch it.  Comment: I just couldn’t believe that modern technology could shoot like that. I'll try to return it.</v>
      </c>
    </row>
    <row r="8137" spans="1:9" x14ac:dyDescent="0.3">
      <c r="A8137" s="1" t="s">
        <v>149</v>
      </c>
      <c r="B8137" s="1" t="s">
        <v>155</v>
      </c>
      <c r="C8137" s="1" t="s">
        <v>151</v>
      </c>
      <c r="D8137" s="1" t="s">
        <v>295</v>
      </c>
      <c r="E8137" s="1" t="s">
        <v>12335</v>
      </c>
      <c r="F8137" s="1" t="s">
        <v>12336</v>
      </c>
      <c r="G8137" s="1" t="s">
        <v>36</v>
      </c>
      <c r="H8137" s="1" t="s">
        <v>29</v>
      </c>
      <c r="I8137" s="1" t="str">
        <f ca="1">IFERROR(__xludf.DUMMYFUNCTION("GOOGLETRANSLATE(F8137, ""auto"", ""en"")
"),"I have been using this device for several years now. Never broke! It collects dust perfectly! And my hair (it’s more than a meter long) is collected with a stiff brush! No need to crawl and collect them manually) I recommend it to everyone! great vacuum c"&amp;"leaner!")</f>
        <v>I have been using this device for several years now. Never broke! It collects dust perfectly! And my hair (it’s more than a meter long) is collected with a stiff brush! No need to crawl and collect them manually) I recommend it to everyone! great vacuum cleaner!</v>
      </c>
    </row>
    <row r="8138" spans="1:9" x14ac:dyDescent="0.3">
      <c r="A8138" s="1" t="s">
        <v>211</v>
      </c>
      <c r="B8138" s="1" t="s">
        <v>410</v>
      </c>
      <c r="C8138" s="1" t="s">
        <v>213</v>
      </c>
      <c r="D8138" s="1" t="s">
        <v>12337</v>
      </c>
      <c r="E8138" s="1" t="s">
        <v>7596</v>
      </c>
      <c r="F8138" s="1" t="s">
        <v>12338</v>
      </c>
      <c r="G8138" s="1" t="s">
        <v>36</v>
      </c>
      <c r="H8138" s="1" t="s">
        <v>29</v>
      </c>
      <c r="I8138" s="1" t="str">
        <f ca="1">IFERROR(__xludf.DUMMYFUNCTION("GOOGLETRANSLATE(F8138, ""auto"", ""en"")
"),"My husband gradually began to become dissatisfied with his previous razor - either it didn’t shave evenly, then it irritated his skin, or something else... In general, I couldn’t do anything properly quickly!!! And he’s a very busy guy, work, gym, all sor"&amp;"ts of conferences... I decided to make him happy and it worked out))) By the way, special thanks to the consultants!! My husband really liked the razor, he can quickly shave in the morning without wasting time and nerves!) He says it shave very carefully,"&amp;" smoothly, and he can set the desired hair length. Everything is great!!!")</f>
        <v>My husband gradually began to become dissatisfied with his previous razor - either it didn’t shave evenly, then it irritated his skin, or something else... In general, I couldn’t do anything properly quickly!!! And he’s a very busy guy, work, gym, all sorts of conferences... I decided to make him happy and it worked out))) By the way, special thanks to the consultants!! My husband really liked the razor, he can quickly shave in the morning without wasting time and nerves!) He says it shave very carefully, smoothly, and he can set the desired hair length. Everything is great!!!</v>
      </c>
    </row>
    <row r="8139" spans="1:9" x14ac:dyDescent="0.3">
      <c r="A8139" s="1" t="s">
        <v>211</v>
      </c>
      <c r="B8139" s="1" t="s">
        <v>384</v>
      </c>
      <c r="C8139" s="1" t="s">
        <v>351</v>
      </c>
      <c r="D8139" s="1" t="s">
        <v>3375</v>
      </c>
      <c r="E8139" s="1" t="s">
        <v>2053</v>
      </c>
      <c r="F8139" s="1" t="s">
        <v>12339</v>
      </c>
      <c r="G8139" s="1" t="s">
        <v>36</v>
      </c>
      <c r="H8139" s="1" t="s">
        <v>29</v>
      </c>
      <c r="I8139" s="1" t="str">
        <f ca="1">IFERROR(__xludf.DUMMYFUNCTION("GOOGLETRANSLATE(F8139, ""auto"", ""en"")
"),"the most common mechanical scales. They are at my mother’s, they work fine, I haven’t noticed any errors, perhaps those who are losing weight - their weight fluctuates, with us everything is always more or less stable. When we bought, we were guided by th"&amp;"e fact that we wanted mechanical and the most inexpensive ones, we bought them and we were right with our choice. They've been working for a year now and haven't let me down. Of course, electronic ones would be thinner, but these are not expensive to stor"&amp;"e and are easier for an older person to deal with than with electronic ones, for example - my mother does not like my electronic scales and trusts only her own.")</f>
        <v>the most common mechanical scales. They are at my mother’s, they work fine, I haven’t noticed any errors, perhaps those who are losing weight - their weight fluctuates, with us everything is always more or less stable. When we bought, we were guided by the fact that we wanted mechanical and the most inexpensive ones, we bought them and we were right with our choice. They've been working for a year now and haven't let me down. Of course, electronic ones would be thinner, but these are not expensive to store and are easier for an older person to deal with than with electronic ones, for example - my mother does not like my electronic scales and trusts only her own.</v>
      </c>
    </row>
    <row r="8140" spans="1:9" x14ac:dyDescent="0.3">
      <c r="A8140" s="1" t="s">
        <v>732</v>
      </c>
      <c r="B8140" s="1" t="s">
        <v>733</v>
      </c>
      <c r="C8140" s="1" t="s">
        <v>80</v>
      </c>
      <c r="D8140" s="1" t="s">
        <v>12340</v>
      </c>
      <c r="E8140" s="1" t="s">
        <v>1899</v>
      </c>
      <c r="F8140" s="1" t="s">
        <v>12341</v>
      </c>
      <c r="G8140" s="1" t="s">
        <v>36</v>
      </c>
      <c r="H8140" s="1" t="s">
        <v>29</v>
      </c>
      <c r="I8140" s="1" t="str">
        <f ca="1">IFERROR(__xludf.DUMMYFUNCTION("GOOGLETRANSLATE(F8140, ""auto"", ""en"")
"),"Question for those who bought it, how is the stand?  And what is the angle of inclination?")</f>
        <v>Question for those who bought it, how is the stand?  And what is the angle of inclination?</v>
      </c>
    </row>
    <row r="8141" spans="1:9" x14ac:dyDescent="0.3">
      <c r="A8141" s="1" t="s">
        <v>78</v>
      </c>
      <c r="B8141" s="1" t="s">
        <v>493</v>
      </c>
      <c r="C8141" s="1" t="s">
        <v>122</v>
      </c>
      <c r="D8141" s="1" t="s">
        <v>742</v>
      </c>
      <c r="E8141" s="1" t="s">
        <v>3800</v>
      </c>
      <c r="F8141" s="1" t="s">
        <v>12342</v>
      </c>
      <c r="G8141" s="1" t="s">
        <v>36</v>
      </c>
      <c r="H8141" s="1" t="s">
        <v>29</v>
      </c>
      <c r="I8141" s="1" t="str">
        <f ca="1">IFERROR(__xludf.DUMMYFUNCTION("GOOGLETRANSLATE(F8141, ""auto"", ""en"")
"),"Nice oven. Big. At a maximum power of 1000 W, microwaves heat up very quickly. Convenient controls, good display. My sensor heating (steam sensor) does not work well, but this is probably due to the fact that steam escapes through a gap in a loosely fitti"&amp;"ng door. In general, you must ensure that the door fits tightly around the entire perimeter of the oven so that radiation does not escape outside. If it were not for this shortcoming of my copy, the oven would be rated excellent")</f>
        <v>Nice oven. Big. At a maximum power of 1000 W, microwaves heat up very quickly. Convenient controls, good display. My sensor heating (steam sensor) does not work well, but this is probably due to the fact that steam escapes through a gap in a loosely fitting door. In general, you must ensure that the door fits tightly around the entire perimeter of the oven so that radiation does not escape outside. If it were not for this shortcoming of my copy, the oven would be rated excellent</v>
      </c>
    </row>
    <row r="8142" spans="1:9" x14ac:dyDescent="0.3">
      <c r="A8142" s="1" t="s">
        <v>361</v>
      </c>
      <c r="B8142" s="1" t="s">
        <v>362</v>
      </c>
      <c r="C8142" s="1" t="s">
        <v>561</v>
      </c>
      <c r="D8142" s="1" t="s">
        <v>521</v>
      </c>
      <c r="E8142" s="1" t="s">
        <v>6514</v>
      </c>
      <c r="F8142" s="1" t="s">
        <v>12343</v>
      </c>
      <c r="G8142" s="1" t="s">
        <v>49</v>
      </c>
      <c r="H8142" s="1" t="s">
        <v>16</v>
      </c>
      <c r="I8142" s="1" t="str">
        <f ca="1">IFERROR(__xludf.DUMMYFUNCTION("GOOGLETRANSLATE(F8142, ""auto"", ""en"")
"),"It turns out I'm not the only one. I bought a grater 2 years ago, there were no reviews on the site yet. The consultant at the store said that it was first-class - for chefs, very comfortable. I bought it and started using it, but it turned out to be of p"&amp;"oor quality. Every single vegetable is crushed, the knives are crooked and dull.")</f>
        <v>It turns out I'm not the only one. I bought a grater 2 years ago, there were no reviews on the site yet. The consultant at the store said that it was first-class - for chefs, very comfortable. I bought it and started using it, but it turned out to be of poor quality. Every single vegetable is crushed, the knives are crooked and dull.</v>
      </c>
    </row>
    <row r="8143" spans="1:9" x14ac:dyDescent="0.3">
      <c r="A8143" s="1" t="s">
        <v>43</v>
      </c>
      <c r="B8143" s="1" t="s">
        <v>502</v>
      </c>
      <c r="C8143" s="1" t="s">
        <v>151</v>
      </c>
      <c r="D8143" s="1" t="s">
        <v>305</v>
      </c>
      <c r="E8143" s="1" t="s">
        <v>1484</v>
      </c>
      <c r="F8143" s="1" t="s">
        <v>12344</v>
      </c>
      <c r="G8143" s="1" t="s">
        <v>49</v>
      </c>
      <c r="H8143" s="1" t="s">
        <v>16</v>
      </c>
      <c r="I8143" s="1" t="str">
        <f ca="1">IFERROR(__xludf.DUMMYFUNCTION("GOOGLETRANSLATE(F8143, ""auto"", ""en"")
"),"I would not wish anyone to buy such a system! The external unit is so noisy that it’s scary to turn it on. It's the compressor that's humming. Regarding its replacement, the workshop advised that it would be easier to buy a new unit.")</f>
        <v>I would not wish anyone to buy such a system! The external unit is so noisy that it’s scary to turn it on. It's the compressor that's humming. Regarding its replacement, the workshop advised that it would be easier to buy a new unit.</v>
      </c>
    </row>
    <row r="8144" spans="1:9" x14ac:dyDescent="0.3">
      <c r="A8144" s="1" t="s">
        <v>61</v>
      </c>
      <c r="B8144" s="1" t="s">
        <v>318</v>
      </c>
      <c r="C8144" s="1" t="s">
        <v>745</v>
      </c>
      <c r="D8144" s="1" t="s">
        <v>6042</v>
      </c>
      <c r="E8144" s="1" t="s">
        <v>1282</v>
      </c>
      <c r="F8144" s="1" t="s">
        <v>12345</v>
      </c>
      <c r="G8144" s="1" t="s">
        <v>28</v>
      </c>
      <c r="H8144" s="1" t="s">
        <v>29</v>
      </c>
      <c r="I8144" s="1" t="str">
        <f ca="1">IFERROR(__xludf.DUMMYFUNCTION("GOOGLETRANSLATE(F8144, ""auto"", ""en"")
"),"trouble-free operation")</f>
        <v>trouble-free operation</v>
      </c>
    </row>
    <row r="8145" spans="1:9" x14ac:dyDescent="0.3">
      <c r="A8145" s="1" t="s">
        <v>43</v>
      </c>
      <c r="B8145" s="1" t="s">
        <v>1370</v>
      </c>
      <c r="C8145" s="1" t="s">
        <v>2137</v>
      </c>
      <c r="D8145" s="1" t="s">
        <v>305</v>
      </c>
      <c r="E8145" s="1" t="s">
        <v>12346</v>
      </c>
      <c r="F8145" s="1" t="s">
        <v>12347</v>
      </c>
      <c r="G8145" s="1" t="s">
        <v>36</v>
      </c>
      <c r="H8145" s="1" t="s">
        <v>29</v>
      </c>
      <c r="I8145" s="1" t="str">
        <f ca="1">IFERROR(__xludf.DUMMYFUNCTION("GOOGLETRANSLATE(F8145, ""auto"", ""en"")
"),"I’ve been wanting to write for a long time, but never got around to it.  An excellent flower for the money, I use two rings, it’s enough in a watering can, I give my wife one ring, because she likes to boil in boiling water.  I was pleased that it was equ"&amp;"ipped with a wire, you don’t need to connect a line to it or buy a cable with a socket; I use a powerful extension cord and plug it into sockets prepared for the use of large equipment, fortunately I have them almost everywhere.  I hung it on the wall wit"&amp;"h 3M double-sided Velcro tape and it holds up well because it’s lightweight.  Summarizing the above, if you are not picky and do not demand diamonds from the fifth point, a powerful jet of boiling water with a flow of 15 liters per minute, then this heate"&amp;"r will allow you to wash easily and comfortably during periods when the hot water is turned off.  By the way, it fills a baby’s bath in 4-5 minutes, I like it, my daughter does too, it’s much better than sinking to the Stone Age with basins and pots.")</f>
        <v>I’ve been wanting to write for a long time, but never got around to it.  An excellent flower for the money, I use two rings, it’s enough in a watering can, I give my wife one ring, because she likes to boil in boiling water.  I was pleased that it was equipped with a wire, you don’t need to connect a line to it or buy a cable with a socket; I use a powerful extension cord and plug it into sockets prepared for the use of large equipment, fortunately I have them almost everywhere.  I hung it on the wall with 3M double-sided Velcro tape and it holds up well because it’s lightweight.  Summarizing the above, if you are not picky and do not demand diamonds from the fifth point, a powerful jet of boiling water with a flow of 15 liters per minute, then this heater will allow you to wash easily and comfortably during periods when the hot water is turned off.  By the way, it fills a baby’s bath in 4-5 minutes, I like it, my daughter does too, it’s much better than sinking to the Stone Age with basins and pots.</v>
      </c>
    </row>
    <row r="8146" spans="1:9" x14ac:dyDescent="0.3">
      <c r="A8146" s="1" t="s">
        <v>67</v>
      </c>
      <c r="B8146" s="1" t="s">
        <v>68</v>
      </c>
      <c r="C8146" s="1" t="s">
        <v>69</v>
      </c>
      <c r="D8146" s="1" t="s">
        <v>592</v>
      </c>
      <c r="E8146" s="1" t="s">
        <v>8999</v>
      </c>
      <c r="F8146" s="1" t="s">
        <v>12348</v>
      </c>
      <c r="G8146" s="1" t="s">
        <v>36</v>
      </c>
      <c r="H8146" s="1" t="s">
        <v>29</v>
      </c>
      <c r="I8146" s="1" t="str">
        <f ca="1">IFERROR(__xludf.DUMMYFUNCTION("GOOGLETRANSLATE(F8146, ""auto"", ""en"")
"),"I’ve been using the iron for almost 4 months, I have no complaints, it irons perfectly, and I’m really happy with the steam boost! I wanted an iron with a steam generator, but I don’t regret at all that I took this one - it’s compact, cheaper and quite ef"&amp;"fective!) It even irons dry clothes without problems) I also sometimes touch the ionization button, but there’s nothing wrong with that, I turn it off right away. In general, I recommend it to everyone))")</f>
        <v>I’ve been using the iron for almost 4 months, I have no complaints, it irons perfectly, and I’m really happy with the steam boost! I wanted an iron with a steam generator, but I don’t regret at all that I took this one - it’s compact, cheaper and quite effective!) It even irons dry clothes without problems) I also sometimes touch the ionization button, but there’s nothing wrong with that, I turn it off right away. In general, I recommend it to everyone))</v>
      </c>
    </row>
    <row r="8147" spans="1:9" x14ac:dyDescent="0.3">
      <c r="A8147" s="1" t="s">
        <v>211</v>
      </c>
      <c r="B8147" s="1" t="s">
        <v>212</v>
      </c>
      <c r="C8147" s="1" t="s">
        <v>294</v>
      </c>
      <c r="D8147" s="1" t="s">
        <v>3273</v>
      </c>
      <c r="E8147" s="1" t="s">
        <v>1339</v>
      </c>
      <c r="F8147" s="1" t="s">
        <v>12349</v>
      </c>
      <c r="G8147" s="1" t="s">
        <v>36</v>
      </c>
      <c r="H8147" s="1" t="s">
        <v>29</v>
      </c>
      <c r="I8147" s="1" t="str">
        <f ca="1">IFERROR(__xludf.DUMMYFUNCTION("GOOGLETRANSLATE(F8147, ""auto"", ""en"")
"),"Cool straightener, I recommend it to everyone. Heats up quickly, has a temperature control function, good coverage, does not damage hair.")</f>
        <v>Cool straightener, I recommend it to everyone. Heats up quickly, has a temperature control function, good coverage, does not damage hair.</v>
      </c>
    </row>
    <row r="8148" spans="1:9" x14ac:dyDescent="0.3">
      <c r="A8148" s="1" t="s">
        <v>120</v>
      </c>
      <c r="B8148" s="1" t="s">
        <v>196</v>
      </c>
      <c r="C8148" s="1" t="s">
        <v>151</v>
      </c>
      <c r="D8148" s="1" t="s">
        <v>152</v>
      </c>
      <c r="E8148" s="1" t="s">
        <v>532</v>
      </c>
      <c r="F8148" s="1" t="s">
        <v>12350</v>
      </c>
      <c r="G8148" s="1" t="s">
        <v>28</v>
      </c>
      <c r="H8148" s="1" t="s">
        <v>29</v>
      </c>
      <c r="I8148" s="1" t="str">
        <f ca="1">IFERROR(__xludf.DUMMYFUNCTION("GOOGLETRANSLATE(F8148, ""auto"", ""en"")
"),"Yesterday I bought this TV, I liked the image, and the sound is a C minus, as they wrote, there is a crackling sound in the speakers at high volumes, but to watch movies I think you need to take separate speakers, so the sound doesn’t bother me much. I’m "&amp;"watching from a computer via HDMI, the image is clear, there are no problems with the setup. I give him a solid 4")</f>
        <v>Yesterday I bought this TV, I liked the image, and the sound is a C minus, as they wrote, there is a crackling sound in the speakers at high volumes, but to watch movies I think you need to take separate speakers, so the sound doesn’t bother me much. I’m watching from a computer via HDMI, the image is clear, there are no problems with the setup. I give him a solid 4</v>
      </c>
    </row>
    <row r="8149" spans="1:9" x14ac:dyDescent="0.3">
      <c r="A8149" s="1" t="s">
        <v>30</v>
      </c>
      <c r="B8149" s="1" t="s">
        <v>31</v>
      </c>
      <c r="C8149" s="1" t="s">
        <v>365</v>
      </c>
      <c r="D8149" s="1" t="s">
        <v>25</v>
      </c>
      <c r="E8149" s="1" t="s">
        <v>4860</v>
      </c>
      <c r="F8149" s="1" t="s">
        <v>12351</v>
      </c>
      <c r="G8149" s="1" t="s">
        <v>36</v>
      </c>
      <c r="H8149" s="1" t="s">
        <v>29</v>
      </c>
      <c r="I8149" s="1" t="str">
        <f ca="1">IFERROR(__xludf.DUMMYFUNCTION("GOOGLETRANSLATE(F8149, ""auto"", ""en"")
"),"normal apparatus")</f>
        <v>normal apparatus</v>
      </c>
    </row>
    <row r="8150" spans="1:9" x14ac:dyDescent="0.3">
      <c r="A8150" s="1" t="s">
        <v>37</v>
      </c>
      <c r="B8150" s="1" t="s">
        <v>38</v>
      </c>
      <c r="C8150" s="1" t="s">
        <v>163</v>
      </c>
      <c r="D8150" s="1" t="s">
        <v>3288</v>
      </c>
      <c r="E8150" s="1" t="s">
        <v>5596</v>
      </c>
      <c r="F8150" s="1" t="s">
        <v>12352</v>
      </c>
      <c r="G8150" s="1" t="s">
        <v>36</v>
      </c>
      <c r="H8150" s="1" t="s">
        <v>29</v>
      </c>
      <c r="I8150" s="1" t="str">
        <f ca="1">IFERROR(__xludf.DUMMYFUNCTION("GOOGLETRANSLATE(F8150, ""auto"", ""en"")
"),"I really like this phone, the design, and the internal content doesn’t let me down either, I’d say) I advise you to buy it for anyone who has a choice over several phones in the list of which there is Nokia 5310 red!")</f>
        <v>I really like this phone, the design, and the internal content doesn’t let me down either, I’d say) I advise you to buy it for anyone who has a choice over several phones in the list of which there is Nokia 5310 red!</v>
      </c>
    </row>
    <row r="8151" spans="1:9" x14ac:dyDescent="0.3">
      <c r="A8151" s="1" t="s">
        <v>120</v>
      </c>
      <c r="B8151" s="1" t="s">
        <v>256</v>
      </c>
      <c r="C8151" s="1" t="s">
        <v>658</v>
      </c>
      <c r="D8151" s="1" t="s">
        <v>52</v>
      </c>
      <c r="E8151" s="1" t="s">
        <v>4984</v>
      </c>
      <c r="F8151" s="1" t="s">
        <v>12353</v>
      </c>
      <c r="G8151" s="1" t="s">
        <v>36</v>
      </c>
      <c r="H8151" s="1" t="s">
        <v>29</v>
      </c>
      <c r="I8151" s="1" t="str">
        <f ca="1">IFERROR(__xludf.DUMMYFUNCTION("GOOGLETRANSLATE(F8151, ""auto"", ""en"")
"),"I'm happy with the combo. So far, ugh, ugh, Toshiba has not let us down.")</f>
        <v>I'm happy with the combo. So far, ugh, ugh, Toshiba has not let us down.</v>
      </c>
    </row>
    <row r="8152" spans="1:9" x14ac:dyDescent="0.3">
      <c r="A8152" s="1" t="s">
        <v>361</v>
      </c>
      <c r="B8152" s="1" t="s">
        <v>462</v>
      </c>
      <c r="C8152" s="1" t="s">
        <v>463</v>
      </c>
      <c r="D8152" s="1" t="s">
        <v>471</v>
      </c>
      <c r="E8152" s="1" t="s">
        <v>1257</v>
      </c>
      <c r="F8152" s="1" t="s">
        <v>12354</v>
      </c>
      <c r="G8152" s="1" t="s">
        <v>36</v>
      </c>
      <c r="H8152" s="1" t="s">
        <v>29</v>
      </c>
      <c r="I8152" s="1" t="str">
        <f ca="1">IFERROR(__xludf.DUMMYFUNCTION("GOOGLETRANSLATE(F8152, ""auto"", ""en"")
"),"Large volume")</f>
        <v>Large volume</v>
      </c>
    </row>
    <row r="8153" spans="1:9" x14ac:dyDescent="0.3">
      <c r="A8153" s="1" t="s">
        <v>67</v>
      </c>
      <c r="B8153" s="1" t="s">
        <v>340</v>
      </c>
      <c r="C8153" s="1" t="s">
        <v>341</v>
      </c>
      <c r="D8153" s="1" t="s">
        <v>12</v>
      </c>
      <c r="E8153" s="1" t="s">
        <v>1463</v>
      </c>
      <c r="F8153" s="1" t="s">
        <v>12355</v>
      </c>
      <c r="G8153" s="1" t="s">
        <v>36</v>
      </c>
      <c r="H8153" s="1" t="s">
        <v>29</v>
      </c>
      <c r="I8153" s="1" t="str">
        <f ca="1">IFERROR(__xludf.DUMMYFUNCTION("GOOGLETRANSLATE(F8153, ""auto"", ""en"")
"),"I really liked the machine, it works smoothly, the thread does not break. Working with her brings only positive emotions. The number of lines is enough, it sews perfectly both thin material and linen, knitwear does not pull. In general, take it - you won’"&amp;"t regret it. Good luck everyone!")</f>
        <v>I really liked the machine, it works smoothly, the thread does not break. Working with her brings only positive emotions. The number of lines is enough, it sews perfectly both thin material and linen, knitwear does not pull. In general, take it - you won’t regret it. Good luck everyone!</v>
      </c>
    </row>
    <row r="8154" spans="1:9" x14ac:dyDescent="0.3">
      <c r="A8154" s="1" t="s">
        <v>1823</v>
      </c>
      <c r="B8154" s="1" t="s">
        <v>1824</v>
      </c>
      <c r="C8154" s="1" t="s">
        <v>1825</v>
      </c>
      <c r="D8154" s="1" t="s">
        <v>295</v>
      </c>
      <c r="E8154" s="1" t="s">
        <v>12356</v>
      </c>
      <c r="F8154" s="1" t="s">
        <v>12357</v>
      </c>
      <c r="G8154" s="1" t="s">
        <v>28</v>
      </c>
      <c r="H8154" s="1" t="s">
        <v>29</v>
      </c>
      <c r="I8154" s="1" t="str">
        <f ca="1">IFERROR(__xludf.DUMMYFUNCTION("GOOGLETRANSLATE(F8154, ""auto"", ""en"")
"),"It was purchased from us a long time ago, no disadvantages were noticed, with the exception of - - the system for attaching the case was not thought out... the ties come undone the very next day, or the case warps due to a loose tension.")</f>
        <v>It was purchased from us a long time ago, no disadvantages were noticed, with the exception of - - the system for attaching the case was not thought out... the ties come undone the very next day, or the case warps due to a loose tension.</v>
      </c>
    </row>
    <row r="8155" spans="1:9" x14ac:dyDescent="0.3">
      <c r="A8155" s="1" t="s">
        <v>4624</v>
      </c>
      <c r="B8155" s="1" t="s">
        <v>4625</v>
      </c>
      <c r="C8155" s="1" t="s">
        <v>80</v>
      </c>
      <c r="D8155" s="1" t="s">
        <v>474</v>
      </c>
      <c r="E8155" s="1" t="s">
        <v>11595</v>
      </c>
      <c r="F8155" s="1" t="s">
        <v>12358</v>
      </c>
      <c r="G8155" s="1" t="s">
        <v>36</v>
      </c>
      <c r="H8155" s="1" t="s">
        <v>29</v>
      </c>
      <c r="I8155" s="1" t="str">
        <f ca="1">IFERROR(__xludf.DUMMYFUNCTION("GOOGLETRANSLATE(F8155, ""auto"", ""en"")
"),"The sound is good. The LG TV does not want to work with one remote control, only with the LG Magic remote control, although the consultants promised that it would work with the main remote control. But it’s so simple, inconvenient little things that you g"&amp;"et used to after two days. Reads discs great. 3D sound is also good. The neighbors downstairs started knocking on the radiators while watching the movie) But we like it!")</f>
        <v>The sound is good. The LG TV does not want to work with one remote control, only with the LG Magic remote control, although the consultants promised that it would work with the main remote control. But it’s so simple, inconvenient little things that you get used to after two days. Reads discs great. 3D sound is also good. The neighbors downstairs started knocking on the radiators while watching the movie) But we like it!</v>
      </c>
    </row>
    <row r="8156" spans="1:9" x14ac:dyDescent="0.3">
      <c r="A8156" s="1" t="s">
        <v>149</v>
      </c>
      <c r="B8156" s="1" t="s">
        <v>576</v>
      </c>
      <c r="C8156" s="1" t="s">
        <v>80</v>
      </c>
      <c r="D8156" s="1" t="s">
        <v>12359</v>
      </c>
      <c r="E8156" s="1" t="s">
        <v>201</v>
      </c>
      <c r="F8156" s="1" t="s">
        <v>12360</v>
      </c>
      <c r="G8156" s="1" t="s">
        <v>36</v>
      </c>
      <c r="H8156" s="1" t="s">
        <v>29</v>
      </c>
      <c r="I8156" s="1" t="str">
        <f ca="1">IFERROR(__xludf.DUMMYFUNCTION("GOOGLETRANSLATE(F8156, ""auto"", ""en"")
"),"Very powerful suction, the brush sticks to the floor that you somehow tear it off. In addition, there is a special turbo brush that perfectly collects cat hair and raises the pile of the carpet - it looks like new.")</f>
        <v>Very powerful suction, the brush sticks to the floor that you somehow tear it off. In addition, there is a special turbo brush that perfectly collects cat hair and raises the pile of the carpet - it looks like new.</v>
      </c>
    </row>
    <row r="8157" spans="1:9" x14ac:dyDescent="0.3">
      <c r="A8157" s="1" t="s">
        <v>61</v>
      </c>
      <c r="B8157" s="1" t="s">
        <v>318</v>
      </c>
      <c r="C8157" s="1" t="s">
        <v>1461</v>
      </c>
      <c r="D8157" s="1" t="s">
        <v>345</v>
      </c>
      <c r="E8157" s="1" t="s">
        <v>508</v>
      </c>
      <c r="F8157" s="1" t="s">
        <v>12361</v>
      </c>
      <c r="G8157" s="1" t="s">
        <v>49</v>
      </c>
      <c r="H8157" s="1" t="s">
        <v>16</v>
      </c>
      <c r="I8157" s="1" t="str">
        <f ca="1">IFERROR(__xludf.DUMMYFUNCTION("GOOGLETRANSLATE(F8157, ""auto"", ""en"")
"),"The kettle was purchased 7 months ago.  Recently, the following features have emerged: 1.after boiling, it turns off every other time 2.during boiling, the handle becomes extremely hot, you can’t touch it with your hand, the kettle has boiled, and you can"&amp;"’t pour it with your bare hand.  3. The boiling mode turns on spontaneously, so you have to unplug it from the outlet.    I want to send it in for repairs while it's still under warranty.")</f>
        <v>The kettle was purchased 7 months ago.  Recently, the following features have emerged: 1.after boiling, it turns off every other time 2.during boiling, the handle becomes extremely hot, you can’t touch it with your hand, the kettle has boiled, and you can’t pour it with your bare hand.  3. The boiling mode turns on spontaneously, so you have to unplug it from the outlet.    I want to send it in for repairs while it's still under warranty.</v>
      </c>
    </row>
    <row r="8158" spans="1:9" x14ac:dyDescent="0.3">
      <c r="A8158" s="1" t="s">
        <v>120</v>
      </c>
      <c r="B8158" s="1" t="s">
        <v>121</v>
      </c>
      <c r="C8158" s="1" t="s">
        <v>151</v>
      </c>
      <c r="D8158" s="1" t="s">
        <v>280</v>
      </c>
      <c r="E8158" s="1" t="s">
        <v>2341</v>
      </c>
      <c r="F8158" s="1" t="s">
        <v>12362</v>
      </c>
      <c r="G8158" s="1" t="s">
        <v>36</v>
      </c>
      <c r="H8158" s="1" t="s">
        <v>29</v>
      </c>
      <c r="I8158" s="1" t="str">
        <f ca="1">IFERROR(__xludf.DUMMYFUNCTION("GOOGLETRANSLATE(F8158, ""auto"", ""en"")
"),"Good device. Better than 32"". It’s a completely different feeling. It even seemed that the tuner was better and the picture was softer. I use HDMI for a computer. I heard in the store that the sound should be sent to HDMI 1, and the picture to HDMI 2 or "&amp;"3. If you connect it to an HP Pavilion 6000 series laptop in this way, you should boot it with the TV turned off (turn it off and wait a little until the residual voltage is discharged), otherwise it will go to a blue screen at the stage of device initial"&amp;"ization loading the system, but this is most likely a flaw in the HP video adapter. If you are familiar with the general shortcomings of these devices, you will be very pleased with the purchase for the money (24400).")</f>
        <v>Good device. Better than 32". It’s a completely different feeling. It even seemed that the tuner was better and the picture was softer. I use HDMI for a computer. I heard in the store that the sound should be sent to HDMI 1, and the picture to HDMI 2 or 3. If you connect it to an HP Pavilion 6000 series laptop in this way, you should boot it with the TV turned off (turn it off and wait a little until the residual voltage is discharged), otherwise it will go to a blue screen at the stage of device initialization loading the system, but this is most likely a flaw in the HP video adapter. If you are familiar with the general shortcomings of these devices, you will be very pleased with the purchase for the money (24400).</v>
      </c>
    </row>
    <row r="8159" spans="1:9" x14ac:dyDescent="0.3">
      <c r="A8159" s="1" t="s">
        <v>61</v>
      </c>
      <c r="B8159" s="1" t="s">
        <v>434</v>
      </c>
      <c r="C8159" s="1" t="s">
        <v>101</v>
      </c>
      <c r="D8159" s="1" t="s">
        <v>308</v>
      </c>
      <c r="E8159" s="1" t="s">
        <v>12363</v>
      </c>
      <c r="F8159" s="1" t="s">
        <v>12364</v>
      </c>
      <c r="G8159" s="1" t="s">
        <v>36</v>
      </c>
      <c r="H8159" s="1" t="s">
        <v>29</v>
      </c>
      <c r="I8159" s="1" t="str">
        <f ca="1">IFERROR(__xludf.DUMMYFUNCTION("GOOGLETRANSLATE(F8159, ""auto"", ""en"")
"),"I’ve been using the stove for two years now, no complaints. It bakes everything perfectly. Doesn’t take up much space, very easy to use. I recommend it")</f>
        <v>I’ve been using the stove for two years now, no complaints. It bakes everything perfectly. Doesn’t take up much space, very easy to use. I recommend it</v>
      </c>
    </row>
    <row r="8160" spans="1:9" x14ac:dyDescent="0.3">
      <c r="A8160" s="1" t="s">
        <v>211</v>
      </c>
      <c r="B8160" s="1" t="s">
        <v>515</v>
      </c>
      <c r="C8160" s="1" t="s">
        <v>213</v>
      </c>
      <c r="D8160" s="1" t="s">
        <v>5472</v>
      </c>
      <c r="E8160" s="1" t="s">
        <v>6641</v>
      </c>
      <c r="F8160" s="1" t="s">
        <v>12365</v>
      </c>
      <c r="G8160" s="1" t="s">
        <v>36</v>
      </c>
      <c r="H8160" s="1" t="s">
        <v>29</v>
      </c>
      <c r="I8160" s="1" t="str">
        <f ca="1">IFERROR(__xludf.DUMMYFUNCTION("GOOGLETRANSLATE(F8160, ""auto"", ""en"")
"),"1) compact 2) nozzle to reduce the epilation area 3) detailed instructions 4) 20 tweezers, as in more expensive models")</f>
        <v>1) compact 2) nozzle to reduce the epilation area 3) detailed instructions 4) 20 tweezers, as in more expensive models</v>
      </c>
    </row>
    <row r="8161" spans="1:9" x14ac:dyDescent="0.3">
      <c r="A8161" s="1" t="s">
        <v>169</v>
      </c>
      <c r="B8161" s="1" t="s">
        <v>170</v>
      </c>
      <c r="C8161" s="1" t="s">
        <v>171</v>
      </c>
      <c r="D8161" s="1" t="s">
        <v>6118</v>
      </c>
      <c r="E8161" s="1" t="s">
        <v>3752</v>
      </c>
      <c r="F8161" s="1" t="s">
        <v>12366</v>
      </c>
      <c r="G8161" s="1" t="s">
        <v>36</v>
      </c>
      <c r="H8161" s="1" t="s">
        <v>29</v>
      </c>
      <c r="I8161" s="1" t="str">
        <f ca="1">IFERROR(__xludf.DUMMYFUNCTION("GOOGLETRANSLATE(F8161, ""auto"", ""en"")
"),"Very good headphones, especially for people who use Apple iPod, iPhone, iPad products and who appreciate high-quality music in EAC, FLAC, ALAC formats, and vinyl, I want to note that the wire is made of some kind of miracle material that does not turn int"&amp;"o concrete in the cold, which is why there are no kinks on the wire, which is a very big plus, because you can use it in the cold;  The packaging actually comes with a joke and a case for a mobile phone or, in my case, for an iPod. I recommend everything.")</f>
        <v>Very good headphones, especially for people who use Apple iPod, iPhone, iPad products and who appreciate high-quality music in EAC, FLAC, ALAC formats, and vinyl, I want to note that the wire is made of some kind of miracle material that does not turn into concrete in the cold, which is why there are no kinks on the wire, which is a very big plus, because you can use it in the cold;  The packaging actually comes with a joke and a case for a mobile phone or, in my case, for an iPod. I recommend everything.</v>
      </c>
    </row>
    <row r="8162" spans="1:9" x14ac:dyDescent="0.3">
      <c r="A8162" s="1" t="s">
        <v>37</v>
      </c>
      <c r="B8162" s="1" t="s">
        <v>38</v>
      </c>
      <c r="C8162" s="1" t="s">
        <v>151</v>
      </c>
      <c r="D8162" s="1" t="s">
        <v>12367</v>
      </c>
      <c r="E8162" s="1" t="s">
        <v>2733</v>
      </c>
      <c r="F8162" s="1" t="s">
        <v>12368</v>
      </c>
      <c r="G8162" s="1" t="s">
        <v>28</v>
      </c>
      <c r="H8162" s="1" t="s">
        <v>29</v>
      </c>
      <c r="I8162" s="1" t="str">
        <f ca="1">IFERROR(__xludf.DUMMYFUNCTION("GOOGLETRANSLATE(F8162, ""auto"", ""en"")
"),"The device is good. There is one minus - it has its own axis, and therefore you cannot install applications written for Simba or VM. For me, the minus is huge, because the standard navigation software is terrible. -)")</f>
        <v>The device is good. There is one minus - it has its own axis, and therefore you cannot install applications written for Simba or VM. For me, the minus is huge, because the standard navigation software is terrible. -)</v>
      </c>
    </row>
    <row r="8163" spans="1:9" x14ac:dyDescent="0.3">
      <c r="A8163" s="1" t="s">
        <v>61</v>
      </c>
      <c r="B8163" s="1" t="s">
        <v>318</v>
      </c>
      <c r="C8163" s="1" t="s">
        <v>101</v>
      </c>
      <c r="D8163" s="1" t="s">
        <v>621</v>
      </c>
      <c r="E8163" s="1" t="s">
        <v>3262</v>
      </c>
      <c r="F8163" s="1" t="s">
        <v>12369</v>
      </c>
      <c r="G8163" s="1" t="s">
        <v>36</v>
      </c>
      <c r="H8163" s="1" t="s">
        <v>29</v>
      </c>
      <c r="I8163" s="1" t="str">
        <f ca="1">IFERROR(__xludf.DUMMYFUNCTION("GOOGLETRANSLATE(F8163, ""auto"", ""en"")
"),"We took this kettle to the office about a year and a half ago. We focused on the volume of liquid, so as not to boil it a hundred times a day, and the inexpensive price. The kettle still works. Over time, it seemed to become more noisy, but for an office "&amp;"kettle this is generally not the most important issue. The main thing is that it heats up quickly, keeps the heat for a long time, and is comfortable to hold. A simple model, but it also glows beautifully")</f>
        <v>We took this kettle to the office about a year and a half ago. We focused on the volume of liquid, so as not to boil it a hundred times a day, and the inexpensive price. The kettle still works. Over time, it seemed to become more noisy, but for an office kettle this is generally not the most important issue. The main thing is that it heats up quickly, keeps the heat for a long time, and is comfortable to hold. A simple model, but it also glows beautifully</v>
      </c>
    </row>
    <row r="8164" spans="1:9" x14ac:dyDescent="0.3">
      <c r="A8164" s="1" t="s">
        <v>30</v>
      </c>
      <c r="B8164" s="1" t="s">
        <v>50</v>
      </c>
      <c r="C8164" s="1" t="s">
        <v>51</v>
      </c>
      <c r="D8164" s="1" t="s">
        <v>4595</v>
      </c>
      <c r="E8164" s="1" t="s">
        <v>1190</v>
      </c>
      <c r="F8164" s="1" t="s">
        <v>12370</v>
      </c>
      <c r="G8164" s="1" t="s">
        <v>36</v>
      </c>
      <c r="H8164" s="1" t="s">
        <v>29</v>
      </c>
      <c r="I8164" s="1" t="str">
        <f ca="1">IFERROR(__xludf.DUMMYFUNCTION("GOOGLETRANSLATE(F8164, ""auto"", ""en"")
"),"One more detail is very interesting, pay attention to the Acer AS5942G-434G50Mi laptop http://krasnodar.mvideo.ru/products/30011674.html What is the fundamental difference? Why is the difference almost 10 thousand?  Do the letters on the lid really solve "&amp;"everything?  Alexander, I wouldn’t be surprised if after some time this laptop disappears from the shelves, and in its place something even more sophisticated appears at a similar price :)")</f>
        <v>One more detail is very interesting, pay attention to the Acer AS5942G-434G50Mi laptop http://krasnodar.mvideo.ru/products/30011674.html What is the fundamental difference? Why is the difference almost 10 thousand?  Do the letters on the lid really solve everything?  Alexander, I wouldn’t be surprised if after some time this laptop disappears from the shelves, and in its place something even more sophisticated appears at a similar price :)</v>
      </c>
    </row>
    <row r="8165" spans="1:9" x14ac:dyDescent="0.3">
      <c r="A8165" s="1" t="s">
        <v>211</v>
      </c>
      <c r="B8165" s="1" t="s">
        <v>212</v>
      </c>
      <c r="C8165" s="1" t="s">
        <v>69</v>
      </c>
      <c r="D8165" s="1" t="s">
        <v>75</v>
      </c>
      <c r="E8165" s="1" t="s">
        <v>1871</v>
      </c>
      <c r="F8165" s="1" t="s">
        <v>12371</v>
      </c>
      <c r="G8165" s="1" t="s">
        <v>49</v>
      </c>
      <c r="H8165" s="1" t="s">
        <v>16</v>
      </c>
      <c r="I8165" s="1" t="str">
        <f ca="1">IFERROR(__xludf.DUMMYFUNCTION("GOOGLETRANSLATE(F8165, ""auto"", ""en"")
"),"The multistyler turned out to be disgusting. If you give a rating on a five-point scale, then minus 3. In general, I agree with the negative reviews, there are no positive ones at all. Moreover, I took it back to the store with a complaint, they sent me t"&amp;"o a service center, where they assured me that I did not know how to use it, but in fact it was almost the best. Now I don’t know what to do with it, my husband spent almost 3 thousand on a New Year’s gift for me, but it turned out......Think a hundred ti"&amp;"mes before buying it")</f>
        <v>The multistyler turned out to be disgusting. If you give a rating on a five-point scale, then minus 3. In general, I agree with the negative reviews, there are no positive ones at all. Moreover, I took it back to the store with a complaint, they sent me to a service center, where they assured me that I did not know how to use it, but in fact it was almost the best. Now I don’t know what to do with it, my husband spent almost 3 thousand on a New Year’s gift for me, but it turned out......Think a hundred times before buying it</v>
      </c>
    </row>
    <row r="8166" spans="1:9" x14ac:dyDescent="0.3">
      <c r="A8166" s="1" t="s">
        <v>211</v>
      </c>
      <c r="B8166" s="1" t="s">
        <v>899</v>
      </c>
      <c r="C8166" s="1" t="s">
        <v>213</v>
      </c>
      <c r="D8166" s="1" t="s">
        <v>2764</v>
      </c>
      <c r="E8166" s="1" t="s">
        <v>5849</v>
      </c>
      <c r="F8166" s="1" t="s">
        <v>12372</v>
      </c>
      <c r="G8166" s="1" t="s">
        <v>28</v>
      </c>
      <c r="H8166" s="1" t="s">
        <v>29</v>
      </c>
      <c r="I8166" s="1" t="str">
        <f ca="1">IFERROR(__xludf.DUMMYFUNCTION("GOOGLETRANSLATE(F8166, ""auto"", ""en"")
"),"I bought a brush as a gift for my husband on February 23 at a discount; he also had a Brown one, but one of the cheapest ones and he hardly ever cleaned it anymore. Of the minuses, weak charge, inconvenient change of modes (to turn it off you have to pres"&amp;"s the button 3 times - some kind of nonsense), price (if without a discount), no cover. On the plus side: it cleans well, there are different attachments and modes.    The brush itself is Philips Sonicare FlexCare HX6902/02, I like it better in terms of i"&amp;"ts functions and holds the charge much better. But for Brown lovers the brush is good.")</f>
        <v>I bought a brush as a gift for my husband on February 23 at a discount; he also had a Brown one, but one of the cheapest ones and he hardly ever cleaned it anymore. Of the minuses, weak charge, inconvenient change of modes (to turn it off you have to press the button 3 times - some kind of nonsense), price (if without a discount), no cover. On the plus side: it cleans well, there are different attachments and modes.    The brush itself is Philips Sonicare FlexCare HX6902/02, I like it better in terms of its functions and holds the charge much better. But for Brown lovers the brush is good.</v>
      </c>
    </row>
    <row r="8167" spans="1:9" x14ac:dyDescent="0.3">
      <c r="A8167" s="1" t="s">
        <v>78</v>
      </c>
      <c r="B8167" s="1" t="s">
        <v>493</v>
      </c>
      <c r="C8167" s="1" t="s">
        <v>80</v>
      </c>
      <c r="D8167" s="1" t="s">
        <v>305</v>
      </c>
      <c r="E8167" s="1" t="s">
        <v>1767</v>
      </c>
      <c r="F8167" s="1" t="s">
        <v>12373</v>
      </c>
      <c r="G8167" s="1" t="s">
        <v>36</v>
      </c>
      <c r="H8167" s="1" t="s">
        <v>29</v>
      </c>
      <c r="I8167" s="1" t="str">
        <f ca="1">IFERROR(__xludf.DUMMYFUNCTION("GOOGLETRANSLATE(F8167, ""auto"", ""en"")
"),"I don’t look at the appearance of the product, the main thing for me is price and quality. For this microwave I can say that it is cool! This is already the third one, but it has served the longest, it’s been with us for 2 years now, and at least it doesn"&amp;"’t matter, we cook it every day and heat it up often. In short, the thing is excellent, and the price is simply ridiculous!")</f>
        <v>I don’t look at the appearance of the product, the main thing for me is price and quality. For this microwave I can say that it is cool! This is already the third one, but it has served the longest, it’s been with us for 2 years now, and at least it doesn’t matter, we cook it every day and heat it up often. In short, the thing is excellent, and the price is simply ridiculous!</v>
      </c>
    </row>
    <row r="8168" spans="1:9" x14ac:dyDescent="0.3">
      <c r="A8168" s="1" t="s">
        <v>37</v>
      </c>
      <c r="B8168" s="1" t="s">
        <v>536</v>
      </c>
      <c r="C8168" s="1" t="s">
        <v>151</v>
      </c>
      <c r="D8168" s="1" t="s">
        <v>2950</v>
      </c>
      <c r="E8168" s="1" t="s">
        <v>3367</v>
      </c>
      <c r="F8168" s="1" t="s">
        <v>12374</v>
      </c>
      <c r="G8168" s="1" t="s">
        <v>36</v>
      </c>
      <c r="H8168" s="1" t="s">
        <v>29</v>
      </c>
      <c r="I8168" s="1" t="str">
        <f ca="1">IFERROR(__xludf.DUMMYFUNCTION("GOOGLETRANSLATE(F8168, ""auto"", ""en"")
"),"After a year of treatment with the body from Nokia N79, I began to look for something even better. I thought that this was all in vain until I saw this miracle, I bought it for cash, my first surprise was when I went out with it into the sun, looking at t"&amp;"he screen, the picture remained just as saturated, I did not believe my eyes that this was possible and judged by Nokia, because I am a long-time fan of Nokia, so 4 years! I did not expect the sound, I always heard quiet sounds from the male. in circulati"&amp;"on for now 2 days, of course a short period of time, but then I’ll write again, in about a month! I'm happy with the purchase so far! although at first I doubted it, we only live once so we have to try everything!!!!! I advise!")</f>
        <v>After a year of treatment with the body from Nokia N79, I began to look for something even better. I thought that this was all in vain until I saw this miracle, I bought it for cash, my first surprise was when I went out with it into the sun, looking at the screen, the picture remained just as saturated, I did not believe my eyes that this was possible and judged by Nokia, because I am a long-time fan of Nokia, so 4 years! I did not expect the sound, I always heard quiet sounds from the male. in circulation for now 2 days, of course a short period of time, but then I’ll write again, in about a month! I'm happy with the purchase so far! although at first I doubted it, we only live once so we have to try everything!!!!! I advise!</v>
      </c>
    </row>
    <row r="8169" spans="1:9" x14ac:dyDescent="0.3">
      <c r="A8169" s="1" t="s">
        <v>9</v>
      </c>
      <c r="B8169" s="1" t="s">
        <v>137</v>
      </c>
      <c r="C8169" s="1" t="s">
        <v>63</v>
      </c>
      <c r="D8169" s="1" t="s">
        <v>1506</v>
      </c>
      <c r="E8169" s="1" t="s">
        <v>5756</v>
      </c>
      <c r="F8169" s="1" t="s">
        <v>12375</v>
      </c>
      <c r="G8169" s="1" t="s">
        <v>36</v>
      </c>
      <c r="H8169" s="1" t="s">
        <v>29</v>
      </c>
      <c r="I8169" s="1" t="str">
        <f ca="1">IFERROR(__xludf.DUMMYFUNCTION("GOOGLETRANSLATE(F8169, ""auto"", ""en"")
"),"The thing is wonderful. There are no complaints about the quality. For those who complain about stains and marks, if food gets on the panel when escaping from the pan or splashing, I can advise you to use good cleaning products. Gentlemen, spare no expens"&amp;"e, and it’s not that much, on branded cleaning products for glass ceramics and all traces will disappear as if by magic. Stains and marks are simply an uncleaned surface. Of the minuses. Circles of generally small diameter and two decent-sized pots and pa"&amp;"ns cannot be used at the same time.")</f>
        <v>The thing is wonderful. There are no complaints about the quality. For those who complain about stains and marks, if food gets on the panel when escaping from the pan or splashing, I can advise you to use good cleaning products. Gentlemen, spare no expense, and it’s not that much, on branded cleaning products for glass ceramics and all traces will disappear as if by magic. Stains and marks are simply an uncleaned surface. Of the minuses. Circles of generally small diameter and two decent-sized pots and pans cannot be used at the same time.</v>
      </c>
    </row>
    <row r="8170" spans="1:9" x14ac:dyDescent="0.3">
      <c r="A8170" s="1" t="s">
        <v>519</v>
      </c>
      <c r="B8170" s="1" t="s">
        <v>3291</v>
      </c>
      <c r="C8170" s="1" t="s">
        <v>2143</v>
      </c>
      <c r="D8170" s="1" t="s">
        <v>589</v>
      </c>
      <c r="E8170" s="1" t="s">
        <v>580</v>
      </c>
      <c r="F8170" s="1" t="s">
        <v>12376</v>
      </c>
      <c r="G8170" s="1" t="s">
        <v>36</v>
      </c>
      <c r="H8170" s="1" t="s">
        <v>29</v>
      </c>
      <c r="I8170" s="1" t="str">
        <f ca="1">IFERROR(__xludf.DUMMYFUNCTION("GOOGLETRANSLATE(F8170, ""auto"", ""en"")
"),"If one lid falls off, this does not mean that the entire product is bad. I am very pleased with the purchase, I have been using it for six months now and no problems. The non-stick coating even withstands scraping with a spoon. Cool, I'll go buy another f"&amp;"rying pan.")</f>
        <v>If one lid falls off, this does not mean that the entire product is bad. I am very pleased with the purchase, I have been using it for six months now and no problems. The non-stick coating even withstands scraping with a spoon. Cool, I'll go buy another frying pan.</v>
      </c>
    </row>
    <row r="8171" spans="1:9" x14ac:dyDescent="0.3">
      <c r="A8171" s="1" t="s">
        <v>37</v>
      </c>
      <c r="B8171" s="1" t="s">
        <v>536</v>
      </c>
      <c r="C8171" s="1" t="s">
        <v>32</v>
      </c>
      <c r="D8171" s="1" t="s">
        <v>208</v>
      </c>
      <c r="E8171" s="1" t="s">
        <v>4818</v>
      </c>
      <c r="F8171" s="1" t="s">
        <v>12377</v>
      </c>
      <c r="G8171" s="1" t="s">
        <v>28</v>
      </c>
      <c r="H8171" s="1" t="s">
        <v>29</v>
      </c>
      <c r="I8171" s="1" t="str">
        <f ca="1">IFERROR(__xludf.DUMMYFUNCTION("GOOGLETRANSLATE(F8171, ""auto"", ""en"")
"),"Almost a year has passed since we became friends with NEOTach.  The device is fast, it comes with firmware for every taste, color and task.")</f>
        <v>Almost a year has passed since we became friends with NEOTach.  The device is fast, it comes with firmware for every taste, color and task.</v>
      </c>
    </row>
    <row r="8172" spans="1:9" x14ac:dyDescent="0.3">
      <c r="A8172" s="1" t="s">
        <v>105</v>
      </c>
      <c r="B8172" s="1" t="s">
        <v>106</v>
      </c>
      <c r="C8172" s="1" t="s">
        <v>1209</v>
      </c>
      <c r="D8172" s="1" t="s">
        <v>117</v>
      </c>
      <c r="E8172" s="1" t="s">
        <v>2305</v>
      </c>
      <c r="F8172" s="1" t="s">
        <v>12378</v>
      </c>
      <c r="G8172" s="1" t="s">
        <v>36</v>
      </c>
      <c r="H8172" s="1" t="s">
        <v>29</v>
      </c>
      <c r="I8172" s="1" t="str">
        <f ca="1">IFERROR(__xludf.DUMMYFUNCTION("GOOGLETRANSLATE(F8172, ""auto"", ""en"")
"),"I recently purchased this model for myself and I will say that it is a very good device for the money. The only thing I'm not happy with is the bad headphones included. I bought them separately and now I can’t stop listening to them. Plus quite a lot of s"&amp;"ound settings, which is important. And the video is actually a song =) So I advise you to take it...")</f>
        <v>I recently purchased this model for myself and I will say that it is a very good device for the money. The only thing I'm not happy with is the bad headphones included. I bought them separately and now I can’t stop listening to them. Plus quite a lot of sound settings, which is important. And the video is actually a song =) So I advise you to take it...</v>
      </c>
    </row>
    <row r="8173" spans="1:9" x14ac:dyDescent="0.3">
      <c r="A8173" s="1" t="s">
        <v>120</v>
      </c>
      <c r="B8173" s="1" t="s">
        <v>196</v>
      </c>
      <c r="C8173" s="1" t="s">
        <v>80</v>
      </c>
      <c r="D8173" s="1" t="s">
        <v>9863</v>
      </c>
      <c r="E8173" s="1" t="s">
        <v>2468</v>
      </c>
      <c r="F8173" s="1" t="s">
        <v>12379</v>
      </c>
      <c r="G8173" s="1" t="s">
        <v>36</v>
      </c>
      <c r="H8173" s="1" t="s">
        <v>29</v>
      </c>
      <c r="I8173" s="1" t="str">
        <f ca="1">IFERROR(__xludf.DUMMYFUNCTION("GOOGLETRANSLATE(F8173, ""auto"", ""en"")
"),"Software updates are done via a flash drive. It takes 30 minutes to search for information.")</f>
        <v>Software updates are done via a flash drive. It takes 30 minutes to search for information.</v>
      </c>
    </row>
    <row r="8174" spans="1:9" x14ac:dyDescent="0.3">
      <c r="A8174" s="1" t="s">
        <v>211</v>
      </c>
      <c r="B8174" s="1" t="s">
        <v>212</v>
      </c>
      <c r="C8174" s="1" t="s">
        <v>266</v>
      </c>
      <c r="D8174" s="1" t="s">
        <v>46</v>
      </c>
      <c r="E8174" s="1" t="s">
        <v>7168</v>
      </c>
      <c r="F8174" s="1" t="s">
        <v>12380</v>
      </c>
      <c r="G8174" s="1" t="s">
        <v>36</v>
      </c>
      <c r="H8174" s="1" t="s">
        <v>29</v>
      </c>
      <c r="I8174" s="1" t="str">
        <f ca="1">IFERROR(__xludf.DUMMYFUNCTION("GOOGLETRANSLATE(F8174, ""auto"", ""en"")
"),"I really liked it! Heats up quickly, no need to hold it for long. I have never regretted buying it.")</f>
        <v>I really liked it! Heats up quickly, no need to hold it for long. I have never regretted buying it.</v>
      </c>
    </row>
    <row r="8175" spans="1:9" x14ac:dyDescent="0.3">
      <c r="A8175" s="1" t="s">
        <v>89</v>
      </c>
      <c r="B8175" s="1" t="s">
        <v>231</v>
      </c>
      <c r="C8175" s="1" t="s">
        <v>63</v>
      </c>
      <c r="D8175" s="1" t="s">
        <v>12381</v>
      </c>
      <c r="E8175" s="1" t="s">
        <v>3439</v>
      </c>
      <c r="F8175" s="1" t="s">
        <v>12382</v>
      </c>
      <c r="G8175" s="1" t="s">
        <v>36</v>
      </c>
      <c r="H8175" s="1" t="s">
        <v>29</v>
      </c>
      <c r="I8175" s="1" t="str">
        <f ca="1">IFERROR(__xludf.DUMMYFUNCTION("GOOGLETRANSLATE(F8175, ""auto"", ""en"")
"),"The machine grinds, brews and pours coffee itself. It also has an ingle portion cleaning to rinse the supply pipes before preparing a cup of coffee and one universal program for cleaning and descaling Calc n clean, so it cleans itself. I only enjoy awesom"&amp;"e coffee by buying different beans beforehand, adjusting the strength of its preparation and temperature.")</f>
        <v>The machine grinds, brews and pours coffee itself. It also has an ingle portion cleaning to rinse the supply pipes before preparing a cup of coffee and one universal program for cleaning and descaling Calc n clean, so it cleans itself. I only enjoy awesome coffee by buying different beans beforehand, adjusting the strength of its preparation and temperature.</v>
      </c>
    </row>
    <row r="8176" spans="1:9" x14ac:dyDescent="0.3">
      <c r="A8176" s="1" t="s">
        <v>169</v>
      </c>
      <c r="B8176" s="1" t="s">
        <v>170</v>
      </c>
      <c r="C8176" s="1" t="s">
        <v>122</v>
      </c>
      <c r="D8176" s="1" t="s">
        <v>319</v>
      </c>
      <c r="E8176" s="1" t="s">
        <v>2702</v>
      </c>
      <c r="F8176" s="1" t="s">
        <v>12383</v>
      </c>
      <c r="G8176" s="1" t="s">
        <v>36</v>
      </c>
      <c r="H8176" s="1" t="s">
        <v>29</v>
      </c>
      <c r="I8176" s="1" t="str">
        <f ca="1">IFERROR(__xludf.DUMMYFUNCTION("GOOGLETRANSLATE(F8176, ""auto"", ""en"")
"),"The headphones are simply AMAZING. Pleasant bass, clear sound, and I was pleasantly surprised at the price. I advise")</f>
        <v>The headphones are simply AMAZING. Pleasant bass, clear sound, and I was pleasantly surprised at the price. I advise</v>
      </c>
    </row>
    <row r="8177" spans="1:9" x14ac:dyDescent="0.3">
      <c r="A8177" s="1" t="s">
        <v>43</v>
      </c>
      <c r="B8177" s="1" t="s">
        <v>502</v>
      </c>
      <c r="C8177" s="1" t="s">
        <v>151</v>
      </c>
      <c r="D8177" s="1" t="s">
        <v>280</v>
      </c>
      <c r="E8177" s="1" t="s">
        <v>8352</v>
      </c>
      <c r="F8177" s="1" t="s">
        <v>12384</v>
      </c>
      <c r="G8177" s="1" t="s">
        <v>15</v>
      </c>
      <c r="H8177" s="1" t="s">
        <v>16</v>
      </c>
      <c r="I8177" s="1" t="str">
        <f ca="1">IFERROR(__xludf.DUMMYFUNCTION("GOOGLETRANSLATE(F8177, ""auto"", ""en"")
"),"I looked at the good reviews and bought this model, don’t repeat this mistake!    1. The temperature is set incorrectly (I set it to 27 degrees, it makes 27, I set it to 26, it makes 25) 2. You can’t set it so that it blows upward, you can’t even set it s"&amp;"o that it blows horizontally - you can’t set it above you.")</f>
        <v>I looked at the good reviews and bought this model, don’t repeat this mistake!    1. The temperature is set incorrectly (I set it to 27 degrees, it makes 27, I set it to 26, it makes 25) 2. You can’t set it so that it blows upward, you can’t even set it so that it blows horizontally - you can’t set it above you.</v>
      </c>
    </row>
    <row r="8178" spans="1:9" x14ac:dyDescent="0.3">
      <c r="A8178" s="1" t="s">
        <v>211</v>
      </c>
      <c r="B8178" s="1" t="s">
        <v>410</v>
      </c>
      <c r="C8178" s="1" t="s">
        <v>122</v>
      </c>
      <c r="D8178" s="1" t="s">
        <v>20</v>
      </c>
      <c r="E8178" s="1" t="s">
        <v>26</v>
      </c>
      <c r="F8178" s="1" t="s">
        <v>12385</v>
      </c>
      <c r="G8178" s="1" t="s">
        <v>36</v>
      </c>
      <c r="H8178" s="1" t="s">
        <v>29</v>
      </c>
      <c r="I8178" s="1" t="str">
        <f ca="1">IFERROR(__xludf.DUMMYFUNCTION("GOOGLETRANSLATE(F8178, ""auto"", ""en"")
"),"I've been using it for more than a year, the razor is of high quality, very good. happy!")</f>
        <v>I've been using it for more than a year, the razor is of high quality, very good. happy!</v>
      </c>
    </row>
    <row r="8179" spans="1:9" x14ac:dyDescent="0.3">
      <c r="A8179" s="1" t="s">
        <v>37</v>
      </c>
      <c r="B8179" s="1" t="s">
        <v>536</v>
      </c>
      <c r="C8179" s="1" t="s">
        <v>1419</v>
      </c>
      <c r="D8179" s="1" t="s">
        <v>12386</v>
      </c>
      <c r="E8179" s="1" t="s">
        <v>822</v>
      </c>
      <c r="F8179" s="1" t="s">
        <v>12387</v>
      </c>
      <c r="G8179" s="1" t="s">
        <v>28</v>
      </c>
      <c r="H8179" s="1" t="s">
        <v>29</v>
      </c>
      <c r="I8179" s="1" t="str">
        <f ca="1">IFERROR(__xludf.DUMMYFUNCTION("GOOGLETRANSLATE(F8179, ""auto"", ""en"")
"),"Disadvantages: 1.No memory card included 2.Memory card slot under the battery(!) 3.Reset button under the back cover(!) 4.The camera is bad 5.No charger for the car included")</f>
        <v>Disadvantages: 1.No memory card included 2.Memory card slot under the battery(!) 3.Reset button under the back cover(!) 4.The camera is bad 5.No charger for the car included</v>
      </c>
    </row>
    <row r="8180" spans="1:9" x14ac:dyDescent="0.3">
      <c r="A8180" s="1" t="s">
        <v>61</v>
      </c>
      <c r="B8180" s="1" t="s">
        <v>318</v>
      </c>
      <c r="C8180" s="1" t="s">
        <v>246</v>
      </c>
      <c r="D8180" s="1" t="s">
        <v>152</v>
      </c>
      <c r="E8180" s="1" t="s">
        <v>1858</v>
      </c>
      <c r="F8180" s="1" t="s">
        <v>12388</v>
      </c>
      <c r="G8180" s="1" t="s">
        <v>15</v>
      </c>
      <c r="H8180" s="1" t="s">
        <v>16</v>
      </c>
      <c r="I8180" s="1" t="str">
        <f ca="1">IFERROR(__xludf.DUMMYFUNCTION("GOOGLETRANSLATE(F8180, ""auto"", ""en"")
"),"I personally didn’t like the kettle because the water after it smelled like plastic. I've been using it for a couple of months now. every day. I bought it for work. I drink tea regularly three times a day. The water still smells. In terms of operation, it"&amp;" is very convenient. It works quite quietly and takes a long time to heat up, but I don’t care. It turns itself off. You can even pick up something that has just been boiled by the handle, it’s cold.")</f>
        <v>I personally didn’t like the kettle because the water after it smelled like plastic. I've been using it for a couple of months now. every day. I bought it for work. I drink tea regularly three times a day. The water still smells. In terms of operation, it is very convenient. It works quite quietly and takes a long time to heat up, but I don’t care. It turns itself off. You can even pick up something that has just been boiled by the handle, it’s cold.</v>
      </c>
    </row>
    <row r="8181" spans="1:9" x14ac:dyDescent="0.3">
      <c r="A8181" s="1" t="s">
        <v>61</v>
      </c>
      <c r="B8181" s="1" t="s">
        <v>977</v>
      </c>
      <c r="C8181" s="1" t="s">
        <v>213</v>
      </c>
      <c r="D8181" s="1" t="s">
        <v>247</v>
      </c>
      <c r="E8181" s="1" t="s">
        <v>2518</v>
      </c>
      <c r="F8181" s="1" t="s">
        <v>12389</v>
      </c>
      <c r="G8181" s="1" t="s">
        <v>28</v>
      </c>
      <c r="H8181" s="1" t="s">
        <v>29</v>
      </c>
      <c r="I8181" s="1" t="str">
        <f ca="1">IFERROR(__xludf.DUMMYFUNCTION("GOOGLETRANSLATE(F8181, ""auto"", ""en"")
"),"In general and overall satisfied. The package does not include a lid for a measuring cup or a wall mount - well, these are minor things. What upset me is that the mode works according to the principle: you hold the button - it works, you release it - it d"&amp;"oesn’t work. It can be a little difficult to hold, but I think you can get used to it.")</f>
        <v>In general and overall satisfied. The package does not include a lid for a measuring cup or a wall mount - well, these are minor things. What upset me is that the mode works according to the principle: you hold the button - it works, you release it - it doesn’t work. It can be a little difficult to hold, but I think you can get used to it.</v>
      </c>
    </row>
    <row r="8182" spans="1:9" x14ac:dyDescent="0.3">
      <c r="A8182" s="1" t="s">
        <v>89</v>
      </c>
      <c r="B8182" s="1" t="s">
        <v>90</v>
      </c>
      <c r="C8182" s="1" t="s">
        <v>57</v>
      </c>
      <c r="D8182" s="1" t="s">
        <v>335</v>
      </c>
      <c r="E8182" s="1" t="s">
        <v>3178</v>
      </c>
      <c r="F8182" s="1" t="s">
        <v>12390</v>
      </c>
      <c r="G8182" s="1" t="s">
        <v>28</v>
      </c>
      <c r="H8182" s="1" t="s">
        <v>29</v>
      </c>
      <c r="I8182" s="1" t="str">
        <f ca="1">IFERROR(__xludf.DUMMYFUNCTION("GOOGLETRANSLATE(F8182, ""auto"", ""en"")
"),"My coffee grinder is over 5 years old. I'm very pleased with her. Convenient lid, coffee does not fly out from under it. The device is safe - if the lid is not screwed on properly, the coffee grinder simply will not turn on (and therefore, with the lid op"&amp;"en, it will not turn on at all). Grinds finely, if you need medium or coarse grinding, this can be achieved by pulse pressing the power button. Downgraded by one star due to noise. But I’m probably already being picky - I think that it’s impossible to gri"&amp;"nd coffee completely silently. So I recommend this device")</f>
        <v>My coffee grinder is over 5 years old. I'm very pleased with her. Convenient lid, coffee does not fly out from under it. The device is safe - if the lid is not screwed on properly, the coffee grinder simply will not turn on (and therefore, with the lid open, it will not turn on at all). Grinds finely, if you need medium or coarse grinding, this can be achieved by pulse pressing the power button. Downgraded by one star due to noise. But I’m probably already being picky - I think that it’s impossible to grind coffee completely silently. So I recommend this device</v>
      </c>
    </row>
    <row r="8183" spans="1:9" x14ac:dyDescent="0.3">
      <c r="A8183" s="1" t="s">
        <v>120</v>
      </c>
      <c r="B8183" s="1" t="s">
        <v>256</v>
      </c>
      <c r="C8183" s="1" t="s">
        <v>80</v>
      </c>
      <c r="D8183" s="1" t="s">
        <v>171</v>
      </c>
      <c r="E8183" s="1" t="s">
        <v>7219</v>
      </c>
      <c r="F8183" s="1" t="s">
        <v>12391</v>
      </c>
      <c r="G8183" s="1" t="s">
        <v>49</v>
      </c>
      <c r="H8183" s="1" t="s">
        <v>16</v>
      </c>
      <c r="I8183" s="1" t="str">
        <f ca="1">IFERROR(__xludf.DUMMYFUNCTION("GOOGLETRANSLATE(F8183, ""auto"", ""en"")
"),"Broke after a month. The indicator blinks in standby mode. Does not turn on")</f>
        <v>Broke after a month. The indicator blinks in standby mode. Does not turn on</v>
      </c>
    </row>
    <row r="8184" spans="1:9" x14ac:dyDescent="0.3">
      <c r="A8184" s="1" t="s">
        <v>37</v>
      </c>
      <c r="B8184" s="1" t="s">
        <v>38</v>
      </c>
      <c r="C8184" s="1" t="s">
        <v>163</v>
      </c>
      <c r="D8184" s="1" t="s">
        <v>12392</v>
      </c>
      <c r="E8184" s="1" t="s">
        <v>594</v>
      </c>
      <c r="F8184" s="1" t="s">
        <v>12393</v>
      </c>
      <c r="G8184" s="1" t="s">
        <v>49</v>
      </c>
      <c r="H8184" s="1" t="s">
        <v>16</v>
      </c>
      <c r="I8184" s="1" t="str">
        <f ca="1">IFERROR(__xludf.DUMMYFUNCTION("GOOGLETRANSLATE(F8184, ""auto"", ""en"")
"),"rating 1!  the reason is the screen!  I've been using it for 4 months, and the screen was torn like wild cats!, it's all scratched..... more or less convenient.... for a Nokia lover...")</f>
        <v>rating 1!  the reason is the screen!  I've been using it for 4 months, and the screen was torn like wild cats!, it's all scratched..... more or less convenient.... for a Nokia lover...</v>
      </c>
    </row>
    <row r="8185" spans="1:9" x14ac:dyDescent="0.3">
      <c r="A8185" s="1" t="s">
        <v>9</v>
      </c>
      <c r="B8185" s="1" t="s">
        <v>133</v>
      </c>
      <c r="C8185" s="1" t="s">
        <v>5528</v>
      </c>
      <c r="D8185" s="1" t="s">
        <v>127</v>
      </c>
      <c r="E8185" s="1" t="s">
        <v>817</v>
      </c>
      <c r="F8185" s="1" t="s">
        <v>12394</v>
      </c>
      <c r="G8185" s="1" t="s">
        <v>36</v>
      </c>
      <c r="H8185" s="1" t="s">
        <v>29</v>
      </c>
      <c r="I8185" s="1" t="str">
        <f ca="1">IFERROR(__xludf.DUMMYFUNCTION("GOOGLETRANSLATE(F8185, ""auto"", ""en"")
"),"An excellent oven, from appearance to functionality.   Many will list the following as disadvantages: lack of ability to program your own recipes, lack of a temperature probe, lack of self-cleaning. Maybe, of course, someone needs the function of programm"&amp;"ing the preparation of their own recipes, but I’m sure this is very rare, because basically the cooking time depends on many factors and the same dish can be cooked in different time intervals, a check for readiness is always required during the process. "&amp;"  The absence of a probe does not make the cooking process any more difficult. Well, as for self-cleaning, in any case, the trays will have to be washed by hand, but the walls can be washed well here too.   This means that from the advantages: 1. There ar"&amp;"e no fingerprints on the front panel (this is Electrolux technology), for many the appearance is already stained in the store, but no matter how hard you try.... 2. Three glasses, real protection against burns.   3.Protecting the fan from grease splashes."&amp;" In general, we had a choice of either AEG or Electroluk, similar in price, Electrolux even had a temperature probe, but the appearance played in favor of this cabinet, after all, it is also the face of the kitchen!!!   In general, I recommend it to every"&amp;"one who appreciates style, cleanliness and quality!!!!")</f>
        <v>An excellent oven, from appearance to functionality.   Many will list the following as disadvantages: lack of ability to program your own recipes, lack of a temperature probe, lack of self-cleaning. Maybe, of course, someone needs the function of programming the preparation of their own recipes, but I’m sure this is very rare, because basically the cooking time depends on many factors and the same dish can be cooked in different time intervals, a check for readiness is always required during the process.   The absence of a probe does not make the cooking process any more difficult. Well, as for self-cleaning, in any case, the trays will have to be washed by hand, but the walls can be washed well here too.   This means that from the advantages: 1. There are no fingerprints on the front panel (this is Electrolux technology), for many the appearance is already stained in the store, but no matter how hard you try.... 2. Three glasses, real protection against burns.   3.Protecting the fan from grease splashes. In general, we had a choice of either AEG or Electroluk, similar in price, Electrolux even had a temperature probe, but the appearance played in favor of this cabinet, after all, it is also the face of the kitchen!!!   In general, I recommend it to everyone who appreciates style, cleanliness and quality!!!!</v>
      </c>
    </row>
    <row r="8186" spans="1:9" x14ac:dyDescent="0.3">
      <c r="A8186" s="1" t="s">
        <v>30</v>
      </c>
      <c r="B8186" s="1" t="s">
        <v>50</v>
      </c>
      <c r="C8186" s="1" t="s">
        <v>51</v>
      </c>
      <c r="D8186" s="1" t="s">
        <v>1721</v>
      </c>
      <c r="E8186" s="1" t="s">
        <v>5798</v>
      </c>
      <c r="F8186" s="1" t="s">
        <v>12395</v>
      </c>
      <c r="G8186" s="1" t="s">
        <v>36</v>
      </c>
      <c r="H8186" s="1" t="s">
        <v>29</v>
      </c>
      <c r="I8186" s="1" t="str">
        <f ca="1">IFERROR(__xludf.DUMMYFUNCTION("GOOGLETRANSLATE(F8186, ""auto"", ""en"")
"),"The laptop is excellent, but it doesn't come with drivers.")</f>
        <v>The laptop is excellent, but it doesn't come with drivers.</v>
      </c>
    </row>
    <row r="8187" spans="1:9" x14ac:dyDescent="0.3">
      <c r="A8187" s="1" t="s">
        <v>477</v>
      </c>
      <c r="B8187" s="1" t="s">
        <v>478</v>
      </c>
      <c r="C8187" s="1" t="s">
        <v>479</v>
      </c>
      <c r="D8187" s="1" t="s">
        <v>12396</v>
      </c>
      <c r="E8187" s="1" t="s">
        <v>6426</v>
      </c>
      <c r="F8187" s="1" t="s">
        <v>12397</v>
      </c>
      <c r="G8187" s="1" t="s">
        <v>36</v>
      </c>
      <c r="H8187" s="1" t="s">
        <v>29</v>
      </c>
      <c r="I8187" s="1" t="str">
        <f ca="1">IFERROR(__xludf.DUMMYFUNCTION("GOOGLETRANSLATE(F8187, ""auto"", ""en"")
"),"The game is great. Great plot, characters, quests. Suitable for ages 10 and up. Been there many times. Three different endings, depending on the nature of the passage.")</f>
        <v>The game is great. Great plot, characters, quests. Suitable for ages 10 and up. Been there many times. Three different endings, depending on the nature of the passage.</v>
      </c>
    </row>
    <row r="8188" spans="1:9" x14ac:dyDescent="0.3">
      <c r="A8188" s="1" t="s">
        <v>519</v>
      </c>
      <c r="B8188" s="1" t="s">
        <v>3212</v>
      </c>
      <c r="C8188" s="1" t="s">
        <v>561</v>
      </c>
      <c r="D8188" s="1" t="s">
        <v>592</v>
      </c>
      <c r="E8188" s="1" t="s">
        <v>9939</v>
      </c>
      <c r="F8188" s="1" t="s">
        <v>12398</v>
      </c>
      <c r="G8188" s="1" t="s">
        <v>36</v>
      </c>
      <c r="H8188" s="1" t="s">
        <v>29</v>
      </c>
      <c r="I8188" s="1" t="str">
        <f ca="1">IFERROR(__xludf.DUMMYFUNCTION("GOOGLETRANSLATE(F8188, ""auto"", ""en"")
"),"I've been using it for about six months - it's very convenient. The pizza bakes well, does not burn, and is easily removed from the pan. Nothing sticks to the mold itself, the non-stick coating does not deteriorate, and is easy to clean! Cooking is a plea"&amp;"sure! (Especially since I bought it with accumulated points - thanks to M.video!)")</f>
        <v>I've been using it for about six months - it's very convenient. The pizza bakes well, does not burn, and is easily removed from the pan. Nothing sticks to the mold itself, the non-stick coating does not deteriorate, and is easy to clean! Cooking is a pleasure! (Especially since I bought it with accumulated points - thanks to M.video!)</v>
      </c>
    </row>
    <row r="8189" spans="1:9" x14ac:dyDescent="0.3">
      <c r="A8189" s="1" t="s">
        <v>120</v>
      </c>
      <c r="B8189" s="1" t="s">
        <v>126</v>
      </c>
      <c r="C8189" s="1" t="s">
        <v>122</v>
      </c>
      <c r="D8189" s="1" t="s">
        <v>3273</v>
      </c>
      <c r="E8189" s="1" t="s">
        <v>498</v>
      </c>
      <c r="F8189" s="1" t="s">
        <v>12399</v>
      </c>
      <c r="G8189" s="1" t="s">
        <v>36</v>
      </c>
      <c r="H8189" s="1" t="s">
        <v>29</v>
      </c>
      <c r="I8189" s="1" t="str">
        <f ca="1">IFERROR(__xludf.DUMMYFUNCTION("GOOGLETRANSLATE(F8189, ""auto"", ""en"")
"),"My husband and I bought this plasma from Mvideo a week ago. We are 100 percent satisfied with the purchase. This is our first TV with such a large screen; before that we had an LCD with a 32 diagonal, the difference is of course immediately noticeable. I "&amp;"want to praise and thank the sales consultants of this wonderful store, they are competent in their field, without them we would have been choosing a TV for a long time)) Of all the proposed models in this price category, I liked this plasma the most in t"&amp;"erms of image quality - soft, very cinematic. The consultant helped me understand the functions and menus, showed everything clearly - everything turned out to be very simple despite the apparent complexity. Although we made automatic settings at home, we"&amp;" are still afraid to experiment))) And the price is quite low for such quality, which played a decisive role in the purchase.")</f>
        <v>My husband and I bought this plasma from Mvideo a week ago. We are 100 percent satisfied with the purchase. This is our first TV with such a large screen; before that we had an LCD with a 32 diagonal, the difference is of course immediately noticeable. I want to praise and thank the sales consultants of this wonderful store, they are competent in their field, without them we would have been choosing a TV for a long time)) Of all the proposed models in this price category, I liked this plasma the most in terms of image quality - soft, very cinematic. The consultant helped me understand the functions and menus, showed everything clearly - everything turned out to be very simple despite the apparent complexity. Although we made automatic settings at home, we are still afraid to experiment))) And the price is quite low for such quality, which played a decisive role in the purchase.</v>
      </c>
    </row>
    <row r="8190" spans="1:9" x14ac:dyDescent="0.3">
      <c r="A8190" s="1" t="s">
        <v>37</v>
      </c>
      <c r="B8190" s="1" t="s">
        <v>38</v>
      </c>
      <c r="C8190" s="1" t="s">
        <v>163</v>
      </c>
      <c r="D8190" s="1" t="s">
        <v>589</v>
      </c>
      <c r="E8190" s="1" t="s">
        <v>1756</v>
      </c>
      <c r="F8190" s="1" t="s">
        <v>12400</v>
      </c>
      <c r="G8190" s="1" t="s">
        <v>36</v>
      </c>
      <c r="H8190" s="1" t="s">
        <v>29</v>
      </c>
      <c r="I8190" s="1" t="str">
        <f ca="1">IFERROR(__xludf.DUMMYFUNCTION("GOOGLETRANSLATE(F8190, ""auto"", ""en"")
"),"I bought it for my husband as a gift, he was very pleased. For little money it has everything you need for a modern phone. The quality of the photos is good, but there is no flash. Otherwise, it’s just super! Inexpensive and reliable!")</f>
        <v>I bought it for my husband as a gift, he was very pleased. For little money it has everything you need for a modern phone. The quality of the photos is good, but there is no flash. Otherwise, it’s just super! Inexpensive and reliable!</v>
      </c>
    </row>
    <row r="8191" spans="1:9" x14ac:dyDescent="0.3">
      <c r="A8191" s="1" t="s">
        <v>120</v>
      </c>
      <c r="B8191" s="1" t="s">
        <v>121</v>
      </c>
      <c r="C8191" s="1" t="s">
        <v>80</v>
      </c>
      <c r="D8191" s="1" t="s">
        <v>12401</v>
      </c>
      <c r="E8191" s="1" t="s">
        <v>1826</v>
      </c>
      <c r="F8191" s="1" t="s">
        <v>12402</v>
      </c>
      <c r="G8191" s="1" t="s">
        <v>36</v>
      </c>
      <c r="H8191" s="1" t="s">
        <v>29</v>
      </c>
      <c r="I8191" s="1" t="str">
        <f ca="1">IFERROR(__xludf.DUMMYFUNCTION("GOOGLETRANSLATE(F8191, ""auto"", ""en"")
"),"I assure everyone who doubts connecting a 1TB hard drive via USB - it works! The only drawback is that there are no image settings, i.e. you can’t add brightness, the image is not in 16:9 format, you can’t expand it to full screen, it will have black stri"&amp;"pes around the edges. And the sound in media player mode is too quiet, but I’m ready to close my eyes to this, because it’s really very convenient.")</f>
        <v>I assure everyone who doubts connecting a 1TB hard drive via USB - it works! The only drawback is that there are no image settings, i.e. you can’t add brightness, the image is not in 16:9 format, you can’t expand it to full screen, it will have black stripes around the edges. And the sound in media player mode is too quiet, but I’m ready to close my eyes to this, because it’s really very convenient.</v>
      </c>
    </row>
    <row r="8192" spans="1:9" x14ac:dyDescent="0.3">
      <c r="A8192" s="1" t="s">
        <v>238</v>
      </c>
      <c r="B8192" s="1" t="s">
        <v>276</v>
      </c>
      <c r="C8192" s="1" t="s">
        <v>243</v>
      </c>
      <c r="D8192" s="1" t="s">
        <v>232</v>
      </c>
      <c r="E8192" s="1" t="s">
        <v>1765</v>
      </c>
      <c r="F8192" s="1" t="s">
        <v>12403</v>
      </c>
      <c r="G8192" s="1" t="s">
        <v>15</v>
      </c>
      <c r="H8192" s="1" t="s">
        <v>16</v>
      </c>
      <c r="I8192" s="1" t="str">
        <f ca="1">IFERROR(__xludf.DUMMYFUNCTION("GOOGLETRANSLATE(F8192, ""auto"", ""en"")
"),"I bought this refrigerator yesterday and in one evening I experienced a lot of unpleasant impressions! Firstly, when closing the freezer compartment, it emits a howling roar, it is not known how many DBs, secondly, the platform on which the compressor res"&amp;"ts is very creaky and requires improvement, and thirdly, it is unknown why at certain times it makes a sound reminiscent of gurgling! In general, tomorrow I’m going to exchange it for a refrigerator from another company!!!")</f>
        <v>I bought this refrigerator yesterday and in one evening I experienced a lot of unpleasant impressions! Firstly, when closing the freezer compartment, it emits a howling roar, it is not known how many DBs, secondly, the platform on which the compressor rests is very creaky and requires improvement, and thirdly, it is unknown why at certain times it makes a sound reminiscent of gurgling! In general, tomorrow I’m going to exchange it for a refrigerator from another company!!!</v>
      </c>
    </row>
    <row r="8193" spans="1:9" x14ac:dyDescent="0.3">
      <c r="A8193" s="1" t="s">
        <v>211</v>
      </c>
      <c r="B8193" s="1" t="s">
        <v>212</v>
      </c>
      <c r="C8193" s="1" t="s">
        <v>745</v>
      </c>
      <c r="D8193" s="1" t="s">
        <v>295</v>
      </c>
      <c r="E8193" s="1" t="s">
        <v>4084</v>
      </c>
      <c r="F8193" s="1" t="s">
        <v>12404</v>
      </c>
      <c r="G8193" s="1" t="s">
        <v>36</v>
      </c>
      <c r="H8193" s="1" t="s">
        <v>29</v>
      </c>
      <c r="I8193" s="1" t="str">
        <f ca="1">IFERROR(__xludf.DUMMYFUNCTION("GOOGLETRANSLATE(F8193, ""auto"", ""en"")
"),"high quality product, easy to use, beautiful design.")</f>
        <v>high quality product, easy to use, beautiful design.</v>
      </c>
    </row>
    <row r="8194" spans="1:9" x14ac:dyDescent="0.3">
      <c r="A8194" s="1" t="s">
        <v>30</v>
      </c>
      <c r="B8194" s="1" t="s">
        <v>50</v>
      </c>
      <c r="C8194" s="1" t="s">
        <v>32</v>
      </c>
      <c r="D8194" s="1" t="s">
        <v>1659</v>
      </c>
      <c r="E8194" s="1" t="s">
        <v>4951</v>
      </c>
      <c r="F8194" s="1" t="s">
        <v>12405</v>
      </c>
      <c r="G8194" s="1" t="s">
        <v>36</v>
      </c>
      <c r="H8194" s="1" t="s">
        <v>29</v>
      </c>
      <c r="I8194" s="1" t="str">
        <f ca="1">IFERROR(__xludf.DUMMYFUNCTION("GOOGLETRANSLATE(F8194, ""auto"", ""en"")
"),"super model...and great discount!")</f>
        <v>super model...and great discount!</v>
      </c>
    </row>
    <row r="8195" spans="1:9" x14ac:dyDescent="0.3">
      <c r="A8195" s="1" t="s">
        <v>30</v>
      </c>
      <c r="B8195" s="1" t="s">
        <v>50</v>
      </c>
      <c r="C8195" s="1" t="s">
        <v>694</v>
      </c>
      <c r="D8195" s="1" t="s">
        <v>280</v>
      </c>
      <c r="E8195" s="1" t="s">
        <v>1065</v>
      </c>
      <c r="F8195" s="1" t="s">
        <v>12406</v>
      </c>
      <c r="G8195" s="1" t="s">
        <v>36</v>
      </c>
      <c r="H8195" s="1" t="s">
        <v>29</v>
      </c>
      <c r="I8195" s="1" t="str">
        <f ca="1">IFERROR(__xludf.DUMMYFUNCTION("GOOGLETRANSLATE(F8195, ""auto"", ""en"")
"),"I am the proud owner of a Lenovo S10-2 Mickey Cl netbook!  The thing is amazing! There are several tips: 1) to speed up the work, kill the evil McAffe antivirus, it slows down the work terribly!  2) regarding the fact that the bag does not fit - comrades,"&amp;" the selection of bags in M.Video is not small, there are very good options, it’s just that some people don’t want to spend more on a more expensive bag! It fits perfectly with and without a battery 3) surprisingly great camera, works great on Skype!  4) "&amp;"I was generally pleased with the battery, as stated it lasts up to 6 hours, and it works! :))) Overall, Lenovo left a pleasant impression! After all, IBM! :)))")</f>
        <v>I am the proud owner of a Lenovo S10-2 Mickey Cl netbook!  The thing is amazing! There are several tips: 1) to speed up the work, kill the evil McAffe antivirus, it slows down the work terribly!  2) regarding the fact that the bag does not fit - comrades, the selection of bags in M.Video is not small, there are very good options, it’s just that some people don’t want to spend more on a more expensive bag! It fits perfectly with and without a battery 3) surprisingly great camera, works great on Skype!  4) I was generally pleased with the battery, as stated it lasts up to 6 hours, and it works! :))) Overall, Lenovo left a pleasant impression! After all, IBM! :)))</v>
      </c>
    </row>
    <row r="8196" spans="1:9" x14ac:dyDescent="0.3">
      <c r="A8196" s="1" t="s">
        <v>211</v>
      </c>
      <c r="B8196" s="1" t="s">
        <v>212</v>
      </c>
      <c r="C8196" s="1" t="s">
        <v>381</v>
      </c>
      <c r="D8196" s="1" t="s">
        <v>456</v>
      </c>
      <c r="E8196" s="1" t="s">
        <v>6989</v>
      </c>
      <c r="F8196" s="1" t="s">
        <v>12407</v>
      </c>
      <c r="G8196" s="1" t="s">
        <v>36</v>
      </c>
      <c r="H8196" s="1" t="s">
        <v>29</v>
      </c>
      <c r="I8196" s="1" t="str">
        <f ca="1">IFERROR(__xludf.DUMMYFUNCTION("GOOGLETRANSLATE(F8196, ""auto"", ""en"")
"),"My husband gave me this hairdryer a year ago and I was very pleased. My long and thick hair dries quickly. Works great. After drying, the hair combs well and is not damaged at all if dried correctly. An excellent option and worth the money.")</f>
        <v>My husband gave me this hairdryer a year ago and I was very pleased. My long and thick hair dries quickly. Works great. After drying, the hair combs well and is not damaged at all if dried correctly. An excellent option and worth the money.</v>
      </c>
    </row>
    <row r="8197" spans="1:9" x14ac:dyDescent="0.3">
      <c r="A8197" s="1" t="s">
        <v>149</v>
      </c>
      <c r="B8197" s="1" t="s">
        <v>423</v>
      </c>
      <c r="C8197" s="1" t="s">
        <v>314</v>
      </c>
      <c r="D8197" s="1" t="s">
        <v>12408</v>
      </c>
      <c r="E8197" s="1" t="s">
        <v>4284</v>
      </c>
      <c r="F8197" s="1" t="s">
        <v>12409</v>
      </c>
      <c r="G8197" s="1" t="s">
        <v>36</v>
      </c>
      <c r="H8197" s="1" t="s">
        <v>29</v>
      </c>
      <c r="I8197" s="1" t="str">
        <f ca="1">IFERROR(__xludf.DUMMYFUNCTION("GOOGLETRANSLATE(F8197, ""auto"", ""en"")
"),"Advantages - he did his job perfectly! the palace is no worse than new!    Disadvantages - Alexey (Kazan) did not immediately understand the instructions - After 3 carpets, the solution ran out and I had to make another 1.5 liters. I had enough current fo"&amp;"r one, you had small rugs along the way!!!  Foam the solution WELL, otherwise you won’t see any foam!!!")</f>
        <v>Advantages - he did his job perfectly! the palace is no worse than new!    Disadvantages - Alexey (Kazan) did not immediately understand the instructions - After 3 carpets, the solution ran out and I had to make another 1.5 liters. I had enough current for one, you had small rugs along the way!!!  Foam the solution WELL, otherwise you won’t see any foam!!!</v>
      </c>
    </row>
    <row r="8198" spans="1:9" x14ac:dyDescent="0.3">
      <c r="A8198" s="1" t="s">
        <v>17</v>
      </c>
      <c r="B8198" s="1" t="s">
        <v>18</v>
      </c>
      <c r="C8198" s="1" t="s">
        <v>5293</v>
      </c>
      <c r="D8198" s="1" t="s">
        <v>12410</v>
      </c>
      <c r="E8198" s="1" t="s">
        <v>597</v>
      </c>
      <c r="F8198" s="1" t="s">
        <v>12411</v>
      </c>
      <c r="G8198" s="1" t="s">
        <v>49</v>
      </c>
      <c r="H8198" s="1" t="s">
        <v>16</v>
      </c>
      <c r="I8198" s="1" t="str">
        <f ca="1">IFERROR(__xludf.DUMMYFUNCTION("GOOGLETRANSLATE(F8198, ""auto"", ""en"")
"),"The control panel is like the control panel of a predator ship, apparently that’s why it washes so disgustingly; judging by the film, predators did not suffer much from cleanliness!  No soaking!  No pre-wash!  No express wash!  There is no child lock (or "&amp;"rather, there is, but from very stupid children)!  No easy ironing program!  There are no special programs!  The hatch lock was apparently the last to be developed, and apparently it was completed by the cleaning lady who saw a drunk engineer falling asle"&amp;"ep on the drawings, so it turned out to be extremely unreliable!  Emo machine: it is better to open the lid during the spin cycle, otherwise it will break itself very hysterically on it!  You may feel hit by the Tuzik and tear your laundry; it gets caught"&amp;" between the drum and the tub and, when turned, brutally shreds into threads!  While washing, you can feel like a Manhattan skyscraper, open the hatch and make a small Hudson Bay and then proudly rise above it!  Apparently the drunken spirit of the engine"&amp;"er was transferred to his creation; during washing it can switch the mode itself, or stop by blocking or, on the contrary, opening the hatch when the tank is full, making it “for itself.”  The quality of washing is terrible, not only does it not wash out "&amp;"even ordinary stains, not to mention large blood stains (as indicated in the instructions, its developer apparently had a very difficult fate), but the laundry also ruffles on the sharp edge of the drum.  It spins poorly, the speed does not rise above 700"&amp;", it feels like the divisions for selecting a higher speed are reserved!  The heating element turns on every other time, apparently at will.  By the way, she set the world record for high jumps among washing machines, before that it belonged to a househol"&amp;"d hadron collider called Vyatka-Maria 722 and was 1.5 cm, this one jumps more than 2 cm, and this with a weight of 70 kg, eternal memory for the neighbors below.  The hose connection is made very inconveniently and can leak water!  But it can be shown to "&amp;"students of mechanical engineering departments, since it contains all possible mistakes when developing washing machines!")</f>
        <v>The control panel is like the control panel of a predator ship, apparently that’s why it washes so disgustingly; judging by the film, predators did not suffer much from cleanliness!  No soaking!  No pre-wash!  No express wash!  There is no child lock (or rather, there is, but from very stupid children)!  No easy ironing program!  There are no special programs!  The hatch lock was apparently the last to be developed, and apparently it was completed by the cleaning lady who saw a drunk engineer falling asleep on the drawings, so it turned out to be extremely unreliable!  Emo machine: it is better to open the lid during the spin cycle, otherwise it will break itself very hysterically on it!  You may feel hit by the Tuzik and tear your laundry; it gets caught between the drum and the tub and, when turned, brutally shreds into threads!  While washing, you can feel like a Manhattan skyscraper, open the hatch and make a small Hudson Bay and then proudly rise above it!  Apparently the drunken spirit of the engineer was transferred to his creation; during washing it can switch the mode itself, or stop by blocking or, on the contrary, opening the hatch when the tank is full, making it “for itself.”  The quality of washing is terrible, not only does it not wash out even ordinary stains, not to mention large blood stains (as indicated in the instructions, its developer apparently had a very difficult fate), but the laundry also ruffles on the sharp edge of the drum.  It spins poorly, the speed does not rise above 700, it feels like the divisions for selecting a higher speed are reserved!  The heating element turns on every other time, apparently at will.  By the way, she set the world record for high jumps among washing machines, before that it belonged to a household hadron collider called Vyatka-Maria 722 and was 1.5 cm, this one jumps more than 2 cm, and this with a weight of 70 kg, eternal memory for the neighbors below.  The hose connection is made very inconveniently and can leak water!  But it can be shown to students of mechanical engineering departments, since it contains all possible mistakes when developing washing machines!</v>
      </c>
    </row>
    <row r="8199" spans="1:9" x14ac:dyDescent="0.3">
      <c r="A8199" s="1" t="s">
        <v>61</v>
      </c>
      <c r="B8199" s="1" t="s">
        <v>434</v>
      </c>
      <c r="C8199" s="1" t="s">
        <v>101</v>
      </c>
      <c r="D8199" s="1" t="s">
        <v>327</v>
      </c>
      <c r="E8199" s="1" t="s">
        <v>269</v>
      </c>
      <c r="F8199" s="1" t="s">
        <v>12412</v>
      </c>
      <c r="G8199" s="1" t="s">
        <v>28</v>
      </c>
      <c r="H8199" s="1" t="s">
        <v>29</v>
      </c>
      <c r="I8199" s="1" t="str">
        <f ca="1">IFERROR(__xludf.DUMMYFUNCTION("GOOGLETRANSLATE(F8199, ""auto"", ""en"")
"),"We recently purchased this stove and overall we are very pleased. It bakes excellently, pies, muffins, meat, chicken, potatoes - everything turns out very tasty with an appetizing crispy crust!")</f>
        <v>We recently purchased this stove and overall we are very pleased. It bakes excellently, pies, muffins, meat, chicken, potatoes - everything turns out very tasty with an appetizing crispy crust!</v>
      </c>
    </row>
    <row r="8200" spans="1:9" x14ac:dyDescent="0.3">
      <c r="A8200" s="1" t="s">
        <v>105</v>
      </c>
      <c r="B8200" s="1" t="s">
        <v>106</v>
      </c>
      <c r="C8200" s="1" t="s">
        <v>69</v>
      </c>
      <c r="D8200" s="1" t="s">
        <v>12413</v>
      </c>
      <c r="E8200" s="1" t="s">
        <v>2280</v>
      </c>
      <c r="F8200" s="1" t="s">
        <v>12414</v>
      </c>
      <c r="G8200" s="1" t="s">
        <v>36</v>
      </c>
      <c r="H8200" s="1" t="s">
        <v>29</v>
      </c>
      <c r="I8200" s="1" t="str">
        <f ca="1">IFERROR(__xludf.DUMMYFUNCTION("GOOGLETRANSLATE(F8200, ""auto"", ""en"")
"),"Great device!  Used happily ever after. I replaced the headphones with better ones, because... I'm critical of sound quality. Everything was good, except for the not very convenient switching between albums - double clicking did not always work. The sound"&amp;" is good, the bass boost is decent. Once I connected it to my computer, copied music from the player and..... It didn’t turn on anymore :(")</f>
        <v>Great device!  Used happily ever after. I replaced the headphones with better ones, because... I'm critical of sound quality. Everything was good, except for the not very convenient switching between albums - double clicking did not always work. The sound is good, the bass boost is decent. Once I connected it to my computer, copied music from the player and..... It didn’t turn on anymore :(</v>
      </c>
    </row>
    <row r="8201" spans="1:9" x14ac:dyDescent="0.3">
      <c r="A8201" s="1" t="s">
        <v>373</v>
      </c>
      <c r="B8201" s="1" t="s">
        <v>374</v>
      </c>
      <c r="C8201" s="1" t="s">
        <v>19</v>
      </c>
      <c r="D8201" s="1" t="s">
        <v>565</v>
      </c>
      <c r="E8201" s="1" t="s">
        <v>12415</v>
      </c>
      <c r="F8201" s="1" t="s">
        <v>12416</v>
      </c>
      <c r="G8201" s="1" t="s">
        <v>36</v>
      </c>
      <c r="H8201" s="1" t="s">
        <v>29</v>
      </c>
      <c r="I8201" s="1" t="str">
        <f ca="1">IFERROR(__xludf.DUMMYFUNCTION("GOOGLETRANSLATE(F8201, ""auto"", ""en"")
"),"The car is just super! And how did you manage without such an assistant!!!????? Cleans dishes flawlessly! It washes quietly and dries completely silently (you can only hear the water draining). I'm very pleased! I recommend!!!")</f>
        <v>The car is just super! And how did you manage without such an assistant!!!????? Cleans dishes flawlessly! It washes quietly and dries completely silently (you can only hear the water draining). I'm very pleased! I recommend!!!</v>
      </c>
    </row>
    <row r="8202" spans="1:9" x14ac:dyDescent="0.3">
      <c r="A8202" s="1" t="s">
        <v>37</v>
      </c>
      <c r="B8202" s="1" t="s">
        <v>38</v>
      </c>
      <c r="C8202" s="1" t="s">
        <v>39</v>
      </c>
      <c r="D8202" s="1" t="s">
        <v>280</v>
      </c>
      <c r="E8202" s="1" t="s">
        <v>1352</v>
      </c>
      <c r="F8202" s="1" t="s">
        <v>12417</v>
      </c>
      <c r="G8202" s="1" t="s">
        <v>36</v>
      </c>
      <c r="H8202" s="1" t="s">
        <v>29</v>
      </c>
      <c r="I8202" s="1" t="str">
        <f ca="1">IFERROR(__xludf.DUMMYFUNCTION("GOOGLETRANSLATE(F8202, ""auto"", ""en"")
"),"My wife bought this model for herself and liked it. User-friendly interface, minimize applications. In short, cute and fast.")</f>
        <v>My wife bought this model for herself and liked it. User-friendly interface, minimize applications. In short, cute and fast.</v>
      </c>
    </row>
    <row r="8203" spans="1:9" x14ac:dyDescent="0.3">
      <c r="A8203" s="1" t="s">
        <v>61</v>
      </c>
      <c r="B8203" s="1" t="s">
        <v>318</v>
      </c>
      <c r="C8203" s="1" t="s">
        <v>57</v>
      </c>
      <c r="D8203" s="1" t="s">
        <v>385</v>
      </c>
      <c r="E8203" s="1" t="s">
        <v>5241</v>
      </c>
      <c r="F8203" s="1" t="s">
        <v>12418</v>
      </c>
      <c r="G8203" s="1" t="s">
        <v>36</v>
      </c>
      <c r="H8203" s="1" t="s">
        <v>29</v>
      </c>
      <c r="I8203" s="1" t="str">
        <f ca="1">IFERROR(__xludf.DUMMYFUNCTION("GOOGLETRANSLATE(F8203, ""auto"", ""en"")
"),"Since we bought it we have been using it constantly, turning it off only at night. Very pleased. The metallic smell was there for the first two or three days, then completely disappeared. We drink very tasty tea.")</f>
        <v>Since we bought it we have been using it constantly, turning it off only at night. Very pleased. The metallic smell was there for the first two or three days, then completely disappeared. We drink very tasty tea.</v>
      </c>
    </row>
    <row r="8204" spans="1:9" x14ac:dyDescent="0.3">
      <c r="A8204" s="1" t="s">
        <v>211</v>
      </c>
      <c r="B8204" s="1" t="s">
        <v>212</v>
      </c>
      <c r="C8204" s="1" t="s">
        <v>69</v>
      </c>
      <c r="D8204" s="1" t="s">
        <v>335</v>
      </c>
      <c r="E8204" s="1" t="s">
        <v>5501</v>
      </c>
      <c r="F8204" s="1" t="s">
        <v>12419</v>
      </c>
      <c r="G8204" s="1" t="s">
        <v>36</v>
      </c>
      <c r="H8204" s="1" t="s">
        <v>29</v>
      </c>
      <c r="I8204" s="1" t="str">
        <f ca="1">IFERROR(__xludf.DUMMYFUNCTION("GOOGLETRANSLATE(F8204, ""auto"", ""en"")
"),"I liked it. It doesn't dry out the hair and the power is sufficient. I do styling with it without any problems. My relative has the same one, she is actually quite happy with it too.")</f>
        <v>I liked it. It doesn't dry out the hair and the power is sufficient. I do styling with it without any problems. My relative has the same one, she is actually quite happy with it too.</v>
      </c>
    </row>
    <row r="8205" spans="1:9" x14ac:dyDescent="0.3">
      <c r="A8205" s="1" t="s">
        <v>9</v>
      </c>
      <c r="B8205" s="1" t="s">
        <v>133</v>
      </c>
      <c r="C8205" s="1" t="s">
        <v>466</v>
      </c>
      <c r="D8205" s="1" t="s">
        <v>52</v>
      </c>
      <c r="E8205" s="1" t="s">
        <v>1553</v>
      </c>
      <c r="F8205" s="1" t="s">
        <v>12420</v>
      </c>
      <c r="G8205" s="1" t="s">
        <v>49</v>
      </c>
      <c r="H8205" s="1" t="s">
        <v>16</v>
      </c>
      <c r="I8205" s="1" t="str">
        <f ca="1">IFERROR(__xludf.DUMMYFUNCTION("GOOGLETRANSLATE(F8205, ""auto"", ""en"")
"),"I bought this model and it turned out: the door is crooked, the pulley for rotating the grill does not line up with the hole by 1.5 cm. Has Italy really started to slack?")</f>
        <v>I bought this model and it turned out: the door is crooked, the pulley for rotating the grill does not line up with the hole by 1.5 cm. Has Italy really started to slack?</v>
      </c>
    </row>
    <row r="8206" spans="1:9" x14ac:dyDescent="0.3">
      <c r="A8206" s="1" t="s">
        <v>211</v>
      </c>
      <c r="B8206" s="1" t="s">
        <v>265</v>
      </c>
      <c r="C8206" s="1" t="s">
        <v>57</v>
      </c>
      <c r="D8206" s="1" t="s">
        <v>1659</v>
      </c>
      <c r="E8206" s="1" t="s">
        <v>386</v>
      </c>
      <c r="F8206" s="1" t="s">
        <v>12421</v>
      </c>
      <c r="G8206" s="1" t="s">
        <v>28</v>
      </c>
      <c r="H8206" s="1" t="s">
        <v>29</v>
      </c>
      <c r="I8206" s="1" t="str">
        <f ca="1">IFERROR(__xludf.DUMMYFUNCTION("GOOGLETRANSLATE(F8206, ""auto"", ""en"")
"),"I bought it 1.5 years ago, today I dropped it and the attachment broke, the most popular one is 3 mm. What a pity! It worked well. If you charge it well, it will work for half an hour. Everyone here says that it’s tearing hair - at first I also couldn’t c"&amp;"ut my hair with the attachment, but... I broke off the teeth on the attachment, one at a time, so that they became less frequent, and sent it to cut normally. If I had gotten my hair cut at a hairdresser, I would have spent 5 thousand in a year and a half"&amp;", but here it’s only 900 rubles and is always at hand.")</f>
        <v>I bought it 1.5 years ago, today I dropped it and the attachment broke, the most popular one is 3 mm. What a pity! It worked well. If you charge it well, it will work for half an hour. Everyone here says that it’s tearing hair - at first I also couldn’t cut my hair with the attachment, but... I broke off the teeth on the attachment, one at a time, so that they became less frequent, and sent it to cut normally. If I had gotten my hair cut at a hairdresser, I would have spent 5 thousand in a year and a half, but here it’s only 900 rubles and is always at hand.</v>
      </c>
    </row>
    <row r="8207" spans="1:9" x14ac:dyDescent="0.3">
      <c r="A8207" s="1" t="s">
        <v>37</v>
      </c>
      <c r="B8207" s="1" t="s">
        <v>536</v>
      </c>
      <c r="C8207" s="1" t="s">
        <v>163</v>
      </c>
      <c r="D8207" s="1" t="s">
        <v>471</v>
      </c>
      <c r="E8207" s="1" t="s">
        <v>1553</v>
      </c>
      <c r="F8207" s="1" t="s">
        <v>12422</v>
      </c>
      <c r="G8207" s="1" t="s">
        <v>49</v>
      </c>
      <c r="H8207" s="1" t="s">
        <v>16</v>
      </c>
      <c r="I8207" s="1" t="str">
        <f ca="1">IFERROR(__xludf.DUMMYFUNCTION("GOOGLETRANSLATE(F8207, ""auto"", ""en"")
"),"I left a positive review about this model 2 days after purchase. Now my opinion has changed dramatically. Recently I exchanged it for a completely different phone and not even a Nokia one.  Nokia push-button phones were much better than touch phones.  I f"&amp;"ound a lot of shortcomings in this model: 1. after 2 weeks, the player stopped appearing on the main screen (and this is an Express music phone) 2. when you open the Internet application and work in it for more than half an hour, when you open the charact"&amp;"er layout, the phone freezes, you can enter this layout only by pressing the red button and re-entering through the applications. Sometimes it was simply not easy to close all applications on my own when opening the character layout.  3. (and the most imp"&amp;"ortant thing) I independently blocked outgoing calls and outgoing SMS (with a positive balance), only rebooting the phone helped, and not always the first time.  4. The network disappeared on its own. For example, you’re walking down the street, it shows "&amp;"all the divisions, you take a step, the phone says that only emergency calls are possible. Again, only rebooting the phone helped.  5. after 5 months of operation, I stopped seeing the SIM card (absolutely any one), flashing the firmware more or less save"&amp;"d me, but after that, 2 weeks later, it gave an error about connecting the charger.   6. The rest is trivial: it went into reboot itself, in bright light (for example from the sun) the sensors sometimes did not work, after 2 months of use, sometimes the l"&amp;"ock button did not work, sometimes it worked twice, which is also no better.   I exchanged this phone after almost six months... I think that there are too many shortcomings in just six months of use.")</f>
        <v>I left a positive review about this model 2 days after purchase. Now my opinion has changed dramatically. Recently I exchanged it for a completely different phone and not even a Nokia one.  Nokia push-button phones were much better than touch phones.  I found a lot of shortcomings in this model: 1. after 2 weeks, the player stopped appearing on the main screen (and this is an Express music phone) 2. when you open the Internet application and work in it for more than half an hour, when you open the character layout, the phone freezes, you can enter this layout only by pressing the red button and re-entering through the applications. Sometimes it was simply not easy to close all applications on my own when opening the character layout.  3. (and the most important thing) I independently blocked outgoing calls and outgoing SMS (with a positive balance), only rebooting the phone helped, and not always the first time.  4. The network disappeared on its own. For example, you’re walking down the street, it shows all the divisions, you take a step, the phone says that only emergency calls are possible. Again, only rebooting the phone helped.  5. after 5 months of operation, I stopped seeing the SIM card (absolutely any one), flashing the firmware more or less saved me, but after that, 2 weeks later, it gave an error about connecting the charger.   6. The rest is trivial: it went into reboot itself, in bright light (for example from the sun) the sensors sometimes did not work, after 2 months of use, sometimes the lock button did not work, sometimes it worked twice, which is also no better.   I exchanged this phone after almost six months... I think that there are too many shortcomings in just six months of use.</v>
      </c>
    </row>
    <row r="8208" spans="1:9" x14ac:dyDescent="0.3">
      <c r="A8208" s="1" t="s">
        <v>211</v>
      </c>
      <c r="B8208" s="1" t="s">
        <v>856</v>
      </c>
      <c r="C8208" s="1" t="s">
        <v>57</v>
      </c>
      <c r="D8208" s="1" t="s">
        <v>12423</v>
      </c>
      <c r="E8208" s="1" t="s">
        <v>274</v>
      </c>
      <c r="F8208" s="1" t="s">
        <v>12424</v>
      </c>
      <c r="G8208" s="1" t="s">
        <v>36</v>
      </c>
      <c r="H8208" s="1" t="s">
        <v>29</v>
      </c>
      <c r="I8208" s="1" t="str">
        <f ca="1">IFERROR(__xludf.DUMMYFUNCTION("GOOGLETRANSLATE(F8208, ""auto"", ""en"")
"),"The most convenient set of all of which I chose. I’ve been fascinated by the idea of ​​an unedged manicure for a long time, and recently I successfully implemented it. I am completely satisfied with the set. A set of attachments is exactly what you need f"&amp;"or both manicure and pedicure. It is very convenient that there is a dryer. All attachments are conveniently laid out in the box so that they are easy to take and change during the process. All attachments are sapphire coated, so they are guaranteed to ha"&amp;"ve a long service life even with intensive use.")</f>
        <v>The most convenient set of all of which I chose. I’ve been fascinated by the idea of ​​an unedged manicure for a long time, and recently I successfully implemented it. I am completely satisfied with the set. A set of attachments is exactly what you need for both manicure and pedicure. It is very convenient that there is a dryer. All attachments are conveniently laid out in the box so that they are easy to take and change during the process. All attachments are sapphire coated, so they are guaranteed to have a long service life even with intensive use.</v>
      </c>
    </row>
    <row r="8209" spans="1:9" x14ac:dyDescent="0.3">
      <c r="A8209" s="1" t="s">
        <v>67</v>
      </c>
      <c r="B8209" s="1" t="s">
        <v>68</v>
      </c>
      <c r="C8209" s="1" t="s">
        <v>185</v>
      </c>
      <c r="D8209" s="1" t="s">
        <v>64</v>
      </c>
      <c r="E8209" s="1" t="s">
        <v>7655</v>
      </c>
      <c r="F8209" s="1" t="s">
        <v>12425</v>
      </c>
      <c r="G8209" s="1" t="s">
        <v>36</v>
      </c>
      <c r="H8209" s="1" t="s">
        <v>29</v>
      </c>
      <c r="I8209" s="1" t="str">
        <f ca="1">IFERROR(__xludf.DUMMYFUNCTION("GOOGLETRANSLATE(F8209, ""auto"", ""en"")
"),"Hello to everyone who reads my review, I haven’t liked ironing since childhood, but with this steam generator you don’t have to iron your shirts, but how it steams fur! &amp;nbsp;I am simply shocked by the simplicity and pleasure. It took me a long time to bu"&amp;"y it, I bought it and didn’t regret it!")</f>
        <v>Hello to everyone who reads my review, I haven’t liked ironing since childhood, but with this steam generator you don’t have to iron your shirts, but how it steams fur! &amp;nbsp;I am simply shocked by the simplicity and pleasure. It took me a long time to buy it, I bought it and didn’t regret it!</v>
      </c>
    </row>
    <row r="8210" spans="1:9" x14ac:dyDescent="0.3">
      <c r="A8210" s="1" t="s">
        <v>9</v>
      </c>
      <c r="B8210" s="1" t="s">
        <v>133</v>
      </c>
      <c r="C8210" s="1" t="s">
        <v>588</v>
      </c>
      <c r="D8210" s="1" t="s">
        <v>12426</v>
      </c>
      <c r="E8210" s="1" t="s">
        <v>7965</v>
      </c>
      <c r="F8210" s="1" t="s">
        <v>12427</v>
      </c>
      <c r="G8210" s="1" t="s">
        <v>28</v>
      </c>
      <c r="H8210" s="1" t="s">
        <v>29</v>
      </c>
      <c r="I8210" s="1" t="str">
        <f ca="1">IFERROR(__xludf.DUMMYFUNCTION("GOOGLETRANSLATE(F8210, ""auto"", ""en"")
"),"The oven is good, everything is fine, but the smell remains, we have already cooked in it many times, each time we have to turn on the hood, because the smell is very noticeable, especially if the cooking time is long enough. And this was while following "&amp;"the recommendations for initial warming up, I washed it more than once, but...")</f>
        <v>The oven is good, everything is fine, but the smell remains, we have already cooked in it many times, each time we have to turn on the hood, because the smell is very noticeable, especially if the cooking time is long enough. And this was while following the recommendations for initial warming up, I washed it more than once, but...</v>
      </c>
    </row>
    <row r="8211" spans="1:9" x14ac:dyDescent="0.3">
      <c r="A8211" s="1" t="s">
        <v>211</v>
      </c>
      <c r="B8211" s="1" t="s">
        <v>212</v>
      </c>
      <c r="C8211" s="1" t="s">
        <v>69</v>
      </c>
      <c r="D8211" s="1" t="s">
        <v>1634</v>
      </c>
      <c r="E8211" s="1" t="s">
        <v>3673</v>
      </c>
      <c r="F8211" s="1" t="s">
        <v>12428</v>
      </c>
      <c r="G8211" s="1" t="s">
        <v>28</v>
      </c>
      <c r="H8211" s="1" t="s">
        <v>29</v>
      </c>
      <c r="I8211" s="1" t="str">
        <f ca="1">IFERROR(__xludf.DUMMYFUNCTION("GOOGLETRANSLATE(F8211, ""auto"", ""en"")
"),"Overall I liked the curlers. Heats up quickly, winds up quickly. The only negative is that the metal clips do not hold even long hair well. It would be better if all the clips were in the form of clothespins.")</f>
        <v>Overall I liked the curlers. Heats up quickly, winds up quickly. The only negative is that the metal clips do not hold even long hair well. It would be better if all the clips were in the form of clothespins.</v>
      </c>
    </row>
    <row r="8212" spans="1:9" x14ac:dyDescent="0.3">
      <c r="A8212" s="1" t="s">
        <v>30</v>
      </c>
      <c r="B8212" s="1" t="s">
        <v>50</v>
      </c>
      <c r="C8212" s="1" t="s">
        <v>189</v>
      </c>
      <c r="D8212" s="1" t="s">
        <v>33</v>
      </c>
      <c r="E8212" s="1" t="s">
        <v>1992</v>
      </c>
      <c r="F8212" s="1" t="s">
        <v>12429</v>
      </c>
      <c r="G8212" s="1" t="s">
        <v>36</v>
      </c>
      <c r="H8212" s="1" t="s">
        <v>29</v>
      </c>
      <c r="I8212" s="1" t="str">
        <f ca="1">IFERROR(__xludf.DUMMYFUNCTION("GOOGLETRANSLATE(F8212, ""auto"", ""en"")
"),"The laptop is truly excellent: productive and stylish.  I won’t talk about the advantages, there are a lot of them.  Minus: no optical digital audio output SPDIF. HDMI only")</f>
        <v>The laptop is truly excellent: productive and stylish.  I won’t talk about the advantages, there are a lot of them.  Minus: no optical digital audio output SPDIF. HDMI only</v>
      </c>
    </row>
    <row r="8213" spans="1:9" x14ac:dyDescent="0.3">
      <c r="A8213" s="1" t="s">
        <v>43</v>
      </c>
      <c r="B8213" s="1" t="s">
        <v>334</v>
      </c>
      <c r="C8213" s="1" t="s">
        <v>185</v>
      </c>
      <c r="D8213" s="1" t="s">
        <v>2682</v>
      </c>
      <c r="E8213" s="1" t="s">
        <v>1287</v>
      </c>
      <c r="F8213" s="1" t="s">
        <v>12430</v>
      </c>
      <c r="G8213" s="1" t="s">
        <v>36</v>
      </c>
      <c r="H8213" s="1" t="s">
        <v>29</v>
      </c>
      <c r="I8213" s="1" t="str">
        <f ca="1">IFERROR(__xludf.DUMMYFUNCTION("GOOGLETRANSLATE(F8213, ""auto"", ""en"")
"),"I bought it this week. I assembled it quite quickly (by myself! although I usually have problems with this). Not very noisy. In short, I don’t regret it! :)")</f>
        <v>I bought it this week. I assembled it quite quickly (by myself! although I usually have problems with this). Not very noisy. In short, I don’t regret it! :)</v>
      </c>
    </row>
    <row r="8214" spans="1:9" x14ac:dyDescent="0.3">
      <c r="A8214" s="1" t="s">
        <v>211</v>
      </c>
      <c r="B8214" s="1" t="s">
        <v>212</v>
      </c>
      <c r="C8214" s="1" t="s">
        <v>57</v>
      </c>
      <c r="D8214" s="1" t="s">
        <v>3596</v>
      </c>
      <c r="E8214" s="1" t="s">
        <v>7337</v>
      </c>
      <c r="F8214" s="1" t="s">
        <v>12431</v>
      </c>
      <c r="G8214" s="1" t="s">
        <v>36</v>
      </c>
      <c r="H8214" s="1" t="s">
        <v>29</v>
      </c>
      <c r="I8214" s="1" t="str">
        <f ca="1">IFERROR(__xludf.DUMMYFUNCTION("GOOGLETRANSLATE(F8214, ""auto"", ""en"")
"),"More gentle, allows you to curl, but at the same time as carefully as possible.  So I recommend it as a good alternative to curlers.")</f>
        <v>More gentle, allows you to curl, but at the same time as carefully as possible.  So I recommend it as a good alternative to curlers.</v>
      </c>
    </row>
    <row r="8215" spans="1:9" x14ac:dyDescent="0.3">
      <c r="A8215" s="1" t="s">
        <v>211</v>
      </c>
      <c r="B8215" s="1" t="s">
        <v>515</v>
      </c>
      <c r="C8215" s="1" t="s">
        <v>213</v>
      </c>
      <c r="D8215" s="1" t="s">
        <v>12432</v>
      </c>
      <c r="E8215" s="1" t="s">
        <v>6641</v>
      </c>
      <c r="F8215" s="1" t="s">
        <v>12433</v>
      </c>
      <c r="G8215" s="1" t="s">
        <v>36</v>
      </c>
      <c r="H8215" s="1" t="s">
        <v>29</v>
      </c>
      <c r="I8215" s="1" t="str">
        <f ca="1">IFERROR(__xludf.DUMMYFUNCTION("GOOGLETRANSLATE(F8215, ""auto"", ""en"")
"),"removes even short hairs, optimal price-quality ratio, easy to use.")</f>
        <v>removes even short hairs, optimal price-quality ratio, easy to use.</v>
      </c>
    </row>
    <row r="8216" spans="1:9" x14ac:dyDescent="0.3">
      <c r="A8216" s="1" t="s">
        <v>149</v>
      </c>
      <c r="B8216" s="1" t="s">
        <v>576</v>
      </c>
      <c r="C8216" s="1" t="s">
        <v>151</v>
      </c>
      <c r="D8216" s="1" t="s">
        <v>916</v>
      </c>
      <c r="E8216" s="1" t="s">
        <v>2271</v>
      </c>
      <c r="F8216" s="1" t="s">
        <v>12434</v>
      </c>
      <c r="G8216" s="1" t="s">
        <v>36</v>
      </c>
      <c r="H8216" s="1" t="s">
        <v>29</v>
      </c>
      <c r="I8216" s="1" t="str">
        <f ca="1">IFERROR(__xludf.DUMMYFUNCTION("GOOGLETRANSLATE(F8216, ""auto"", ""en"")
"),"Excellent vacuum cleaner. For your money, an ideal choice.")</f>
        <v>Excellent vacuum cleaner. For your money, an ideal choice.</v>
      </c>
    </row>
    <row r="8217" spans="1:9" x14ac:dyDescent="0.3">
      <c r="A8217" s="1" t="s">
        <v>17</v>
      </c>
      <c r="B8217" s="1" t="s">
        <v>18</v>
      </c>
      <c r="C8217" s="1" t="s">
        <v>290</v>
      </c>
      <c r="D8217" s="1" t="s">
        <v>308</v>
      </c>
      <c r="E8217" s="1" t="s">
        <v>3652</v>
      </c>
      <c r="F8217" s="1" t="s">
        <v>12435</v>
      </c>
      <c r="G8217" s="1" t="s">
        <v>36</v>
      </c>
      <c r="H8217" s="1" t="s">
        <v>29</v>
      </c>
      <c r="I8217" s="1" t="str">
        <f ca="1">IFERROR(__xludf.DUMMYFUNCTION("GOOGLETRANSLATE(F8217, ""auto"", ""en"")
"),"I bought it on September 17, 2009, I’ve been using it for 20 days, so far I’m happy with everything. It washes perfectly. Advantages: the presence of a “quick wash” function for 30 and 15 minutes (very convenient), the presence of a display, the powder co"&amp;"mpartment is completely removable (a rare feature even in expensive machines), it works quietly. There is absolutely no vibration. They called an installer from M.Video, he installed it competently and quickly.")</f>
        <v>I bought it on September 17, 2009, I’ve been using it for 20 days, so far I’m happy with everything. It washes perfectly. Advantages: the presence of a “quick wash” function for 30 and 15 minutes (very convenient), the presence of a display, the powder compartment is completely removable (a rare feature even in expensive machines), it works quietly. There is absolutely no vibration. They called an installer from M.Video, he installed it competently and quickly.</v>
      </c>
    </row>
    <row r="8218" spans="1:9" x14ac:dyDescent="0.3">
      <c r="A8218" s="1" t="s">
        <v>17</v>
      </c>
      <c r="B8218" s="1" t="s">
        <v>18</v>
      </c>
      <c r="C8218" s="1" t="s">
        <v>24</v>
      </c>
      <c r="D8218" s="1" t="s">
        <v>10167</v>
      </c>
      <c r="E8218" s="1" t="s">
        <v>1657</v>
      </c>
      <c r="F8218" s="1" t="s">
        <v>12436</v>
      </c>
      <c r="G8218" s="1" t="s">
        <v>36</v>
      </c>
      <c r="H8218" s="1" t="s">
        <v>29</v>
      </c>
      <c r="I8218" s="1" t="str">
        <f ca="1">IFERROR(__xludf.DUMMYFUNCTION("GOOGLETRANSLATE(F8218, ""auto"", ""en"")
"),"Bought in December 2009. We use it often - for washing both adult and children's clothes. So far it hasn't failed. Thanks to her :) The only thing I realized is that I miss the quick wash mode - 20 minutes.")</f>
        <v>Bought in December 2009. We use it often - for washing both adult and children's clothes. So far it hasn't failed. Thanks to her :) The only thing I realized is that I miss the quick wash mode - 20 minutes.</v>
      </c>
    </row>
    <row r="8219" spans="1:9" x14ac:dyDescent="0.3">
      <c r="A8219" s="1" t="s">
        <v>361</v>
      </c>
      <c r="B8219" s="1" t="s">
        <v>2555</v>
      </c>
      <c r="C8219" s="1" t="s">
        <v>875</v>
      </c>
      <c r="D8219" s="1" t="s">
        <v>12437</v>
      </c>
      <c r="E8219" s="1" t="s">
        <v>4398</v>
      </c>
      <c r="F8219" s="1" t="s">
        <v>12438</v>
      </c>
      <c r="G8219" s="1" t="s">
        <v>36</v>
      </c>
      <c r="H8219" s="1" t="s">
        <v>29</v>
      </c>
      <c r="I8219" s="1" t="str">
        <f ca="1">IFERROR(__xludf.DUMMYFUNCTION("GOOGLETRANSLATE(F8219, ""auto"", ""en"")
"),"An excellent thermos, I poured tea into it, 95 degrees, put the thermos on the balcony in the snow at - 30 degrees below zero, after 6 hours it was t87 degrees, after 12 hours it was 77 degrees.")</f>
        <v>An excellent thermos, I poured tea into it, 95 degrees, put the thermos on the balcony in the snow at - 30 degrees below zero, after 6 hours it was t87 degrees, after 12 hours it was 77 degrees.</v>
      </c>
    </row>
    <row r="8220" spans="1:9" x14ac:dyDescent="0.3">
      <c r="A8220" s="1" t="s">
        <v>211</v>
      </c>
      <c r="B8220" s="1" t="s">
        <v>212</v>
      </c>
      <c r="C8220" s="1" t="s">
        <v>381</v>
      </c>
      <c r="D8220" s="1" t="s">
        <v>545</v>
      </c>
      <c r="E8220" s="1" t="s">
        <v>1167</v>
      </c>
      <c r="F8220" s="1" t="s">
        <v>12439</v>
      </c>
      <c r="G8220" s="1" t="s">
        <v>36</v>
      </c>
      <c r="H8220" s="1" t="s">
        <v>29</v>
      </c>
      <c r="I8220" s="1" t="str">
        <f ca="1">IFERROR(__xludf.DUMMYFUNCTION("GOOGLETRANSLATE(F8220, ""auto"", ""en"")
"),"I have been using this wonderful thing for a year now. She absolutely delights me!  Simplicity, ease of use - this hair dryer is simply super!!!  But I don't think it would be very suitable for people with curly hair.   I recommend it especially to those "&amp;"girls who (like me) have smooth, straight hair.")</f>
        <v>I have been using this wonderful thing for a year now. She absolutely delights me!  Simplicity, ease of use - this hair dryer is simply super!!!  But I don't think it would be very suitable for people with curly hair.   I recommend it especially to those girls who (like me) have smooth, straight hair.</v>
      </c>
    </row>
    <row r="8221" spans="1:9" x14ac:dyDescent="0.3">
      <c r="A8221" s="1" t="s">
        <v>105</v>
      </c>
      <c r="B8221" s="1" t="s">
        <v>106</v>
      </c>
      <c r="C8221" s="1" t="s">
        <v>107</v>
      </c>
      <c r="D8221" s="1" t="s">
        <v>471</v>
      </c>
      <c r="E8221" s="1" t="s">
        <v>1494</v>
      </c>
      <c r="F8221" s="1" t="s">
        <v>12440</v>
      </c>
      <c r="G8221" s="1" t="s">
        <v>28</v>
      </c>
      <c r="H8221" s="1" t="s">
        <v>29</v>
      </c>
      <c r="I8221" s="1" t="str">
        <f ca="1">IFERROR(__xludf.DUMMYFUNCTION("GOOGLETRANSLATE(F8221, ""auto"", ""en"")
"),"I've been using the player for a month and a half. At first I was very pleased with it! A really great player for the money. but my headphone jack became loose after VERY (!!!) careful use, which is the most annoying thing ((I took it to the store under w"&amp;"arranty and took it for exchange.. now I’m thinking about what to take.. I hope you have better luck and it will last you longer) but I would still advise you to take this model! Don’t even look at the rhythmixes, they are always buggy! personal experienc"&amp;"e.")</f>
        <v>I've been using the player for a month and a half. At first I was very pleased with it! A really great player for the money. but my headphone jack became loose after VERY (!!!) careful use, which is the most annoying thing ((I took it to the store under warranty and took it for exchange.. now I’m thinking about what to take.. I hope you have better luck and it will last you longer) but I would still advise you to take this model! Don’t even look at the rhythmixes, they are always buggy! personal experience.</v>
      </c>
    </row>
    <row r="8222" spans="1:9" x14ac:dyDescent="0.3">
      <c r="A8222" s="1" t="s">
        <v>211</v>
      </c>
      <c r="B8222" s="1" t="s">
        <v>212</v>
      </c>
      <c r="C8222" s="1" t="s">
        <v>381</v>
      </c>
      <c r="D8222" s="1" t="s">
        <v>142</v>
      </c>
      <c r="E8222" s="1" t="s">
        <v>1312</v>
      </c>
      <c r="F8222" s="1" t="s">
        <v>12441</v>
      </c>
      <c r="G8222" s="1" t="s">
        <v>36</v>
      </c>
      <c r="H8222" s="1" t="s">
        <v>29</v>
      </c>
      <c r="I8222" s="1" t="str">
        <f ca="1">IFERROR(__xludf.DUMMYFUNCTION("GOOGLETRANSLATE(F8222, ""auto"", ""en"")
"),"I bought them and am very pleased! Heats up instantly! I make curls without the help of various cosmetics - they last for several days! And before that there were electric tongs - disgusting! In general, they didn’t curl their hair! Happy with the purchas"&amp;"e!")</f>
        <v>I bought them and am very pleased! Heats up instantly! I make curls without the help of various cosmetics - they last for several days! And before that there were electric tongs - disgusting! In general, they didn’t curl their hair! Happy with the purchase!</v>
      </c>
    </row>
    <row r="8223" spans="1:9" x14ac:dyDescent="0.3">
      <c r="A8223" s="1" t="s">
        <v>211</v>
      </c>
      <c r="B8223" s="1" t="s">
        <v>212</v>
      </c>
      <c r="C8223" s="1" t="s">
        <v>381</v>
      </c>
      <c r="D8223" s="1" t="s">
        <v>2045</v>
      </c>
      <c r="E8223" s="1" t="s">
        <v>3903</v>
      </c>
      <c r="F8223" s="1" t="s">
        <v>12442</v>
      </c>
      <c r="G8223" s="1" t="s">
        <v>36</v>
      </c>
      <c r="H8223" s="1" t="s">
        <v>29</v>
      </c>
      <c r="I8223" s="1" t="str">
        <f ca="1">IFERROR(__xludf.DUMMYFUNCTION("GOOGLETRANSLATE(F8223, ""auto"", ""en"")
"),"I received the Rowenta multistyler as a gift 2 years ago. I still use it and couldn’t be happier! It heats up in a minute, the attachments are comfortable and are stored in a case - it’s very convenient. Very happy with the styler!!!")</f>
        <v>I received the Rowenta multistyler as a gift 2 years ago. I still use it and couldn’t be happier! It heats up in a minute, the attachments are comfortable and are stored in a case - it’s very convenient. Very happy with the styler!!!</v>
      </c>
    </row>
    <row r="8224" spans="1:9" x14ac:dyDescent="0.3">
      <c r="A8224" s="1" t="s">
        <v>211</v>
      </c>
      <c r="B8224" s="1" t="s">
        <v>212</v>
      </c>
      <c r="C8224" s="1" t="s">
        <v>63</v>
      </c>
      <c r="D8224" s="1" t="s">
        <v>64</v>
      </c>
      <c r="E8224" s="1" t="s">
        <v>3284</v>
      </c>
      <c r="F8224" s="1" t="s">
        <v>12443</v>
      </c>
      <c r="G8224" s="1" t="s">
        <v>28</v>
      </c>
      <c r="H8224" s="1" t="s">
        <v>29</v>
      </c>
      <c r="I8224" s="1" t="str">
        <f ca="1">IFERROR(__xludf.DUMMYFUNCTION("GOOGLETRANSLATE(F8224, ""auto"", ""en"")
"),"Overall, I like it, it straightens well, I’ve been using it for almost a year, but I started to notice that my hair has become somewhat coarse and unruly, but maybe it’s because of all the straighteners that they become like that.")</f>
        <v>Overall, I like it, it straightens well, I’ve been using it for almost a year, but I started to notice that my hair has become somewhat coarse and unruly, but maybe it’s because of all the straighteners that they become like that.</v>
      </c>
    </row>
    <row r="8225" spans="1:9" x14ac:dyDescent="0.3">
      <c r="A8225" s="1" t="s">
        <v>61</v>
      </c>
      <c r="B8225" s="1" t="s">
        <v>726</v>
      </c>
      <c r="C8225" s="1" t="s">
        <v>146</v>
      </c>
      <c r="D8225" s="1" t="s">
        <v>39</v>
      </c>
      <c r="E8225" s="1" t="s">
        <v>696</v>
      </c>
      <c r="F8225" s="1" t="s">
        <v>12444</v>
      </c>
      <c r="G8225" s="1" t="s">
        <v>36</v>
      </c>
      <c r="H8225" s="1" t="s">
        <v>29</v>
      </c>
      <c r="I8225" s="1" t="str">
        <f ca="1">IFERROR(__xludf.DUMMYFUNCTION("GOOGLETRANSLATE(F8225, ""auto"", ""en"")
"),"We bought this bread maker. The bread turned out wonderful; we haven’t tried everything yet, but the first impressions are positive.  one minus is the measuring cup that comes with the kit is no good...")</f>
        <v>We bought this bread maker. The bread turned out wonderful; we haven’t tried everything yet, but the first impressions are positive.  one minus is the measuring cup that comes with the kit is no good...</v>
      </c>
    </row>
    <row r="8226" spans="1:9" x14ac:dyDescent="0.3">
      <c r="A8226" s="1" t="s">
        <v>965</v>
      </c>
      <c r="B8226" s="1" t="s">
        <v>966</v>
      </c>
      <c r="C8226" s="1" t="s">
        <v>2220</v>
      </c>
      <c r="D8226" s="1" t="s">
        <v>1121</v>
      </c>
      <c r="E8226" s="1" t="s">
        <v>3280</v>
      </c>
      <c r="F8226" s="1" t="s">
        <v>12445</v>
      </c>
      <c r="G8226" s="1" t="s">
        <v>36</v>
      </c>
      <c r="H8226" s="1" t="s">
        <v>29</v>
      </c>
      <c r="I8226" s="1" t="str">
        <f ca="1">IFERROR(__xludf.DUMMYFUNCTION("GOOGLETRANSLATE(F8226, ""auto"", ""en"")
"),"I bought this device) I’m happy...everything works as it should, normally!!! Quite clear and deep bass...and the satellites play well!!! I AM SATISFIED AND I RECOMMEND TO EVERYONE!!!")</f>
        <v>I bought this device) I’m happy...everything works as it should, normally!!! Quite clear and deep bass...and the satellites play well!!! I AM SATISFIED AND I RECOMMEND TO EVERYONE!!!</v>
      </c>
    </row>
    <row r="8227" spans="1:9" x14ac:dyDescent="0.3">
      <c r="A8227" s="1" t="s">
        <v>211</v>
      </c>
      <c r="B8227" s="1" t="s">
        <v>212</v>
      </c>
      <c r="C8227" s="1" t="s">
        <v>294</v>
      </c>
      <c r="D8227" s="1" t="s">
        <v>247</v>
      </c>
      <c r="E8227" s="1" t="s">
        <v>1792</v>
      </c>
      <c r="F8227" s="1" t="s">
        <v>12446</v>
      </c>
      <c r="G8227" s="1" t="s">
        <v>36</v>
      </c>
      <c r="H8227" s="1" t="s">
        <v>29</v>
      </c>
      <c r="I8227" s="1" t="str">
        <f ca="1">IFERROR(__xludf.DUMMYFUNCTION("GOOGLETRANSLATE(F8227, ""auto"", ""en"")
"),"I used it for 2 days.  Advantages: case, fast heating, elastic curl. auto shutdown")</f>
        <v>I used it for 2 days.  Advantages: case, fast heating, elastic curl. auto shutdown</v>
      </c>
    </row>
    <row r="8228" spans="1:9" x14ac:dyDescent="0.3">
      <c r="A8228" s="1" t="s">
        <v>211</v>
      </c>
      <c r="B8228" s="1" t="s">
        <v>265</v>
      </c>
      <c r="C8228" s="1" t="s">
        <v>266</v>
      </c>
      <c r="D8228" s="1" t="s">
        <v>1188</v>
      </c>
      <c r="E8228" s="1" t="s">
        <v>1203</v>
      </c>
      <c r="F8228" s="1" t="s">
        <v>12447</v>
      </c>
      <c r="G8228" s="1" t="s">
        <v>36</v>
      </c>
      <c r="H8228" s="1" t="s">
        <v>29</v>
      </c>
      <c r="I8228" s="1" t="str">
        <f ca="1">IFERROR(__xludf.DUMMYFUNCTION("GOOGLETRANSLATE(F8228, ""auto"", ""en"")
"),"I bought a trimmer for a friend on February 23. It’s a gorgeous thing. It’s a quiet motor, it removes all the hairs neatly, painlessly and a little bit ticklishly. I’m happy with the purchase. I returned to the store on the same day and bought a Remington"&amp;" trimmer for my dad - with attachments for mustaches and eyebrows.. I haven’t given it to my dad yet, but I like some of the characteristics less, it’s noisy, it doesn’t trim the mustache (I tried it on an arc). So, I probably should have bought 2 valers!")</f>
        <v>I bought a trimmer for a friend on February 23. It’s a gorgeous thing. It’s a quiet motor, it removes all the hairs neatly, painlessly and a little bit ticklishly. I’m happy with the purchase. I returned to the store on the same day and bought a Remington trimmer for my dad - with attachments for mustaches and eyebrows.. I haven’t given it to my dad yet, but I like some of the characteristics less, it’s noisy, it doesn’t trim the mustache (I tried it on an arc). So, I probably should have bought 2 valers!</v>
      </c>
    </row>
    <row r="8229" spans="1:9" x14ac:dyDescent="0.3">
      <c r="A8229" s="1" t="s">
        <v>169</v>
      </c>
      <c r="B8229" s="1" t="s">
        <v>170</v>
      </c>
      <c r="C8229" s="1" t="s">
        <v>171</v>
      </c>
      <c r="D8229" s="1" t="s">
        <v>139</v>
      </c>
      <c r="E8229" s="1" t="s">
        <v>2622</v>
      </c>
      <c r="F8229" s="1" t="s">
        <v>12448</v>
      </c>
      <c r="G8229" s="1" t="s">
        <v>36</v>
      </c>
      <c r="H8229" s="1" t="s">
        <v>29</v>
      </c>
      <c r="I8229" s="1" t="str">
        <f ca="1">IFERROR(__xludf.DUMMYFUNCTION("GOOGLETRANSLATE(F8229, ""auto"", ""en"")
"),"Very good headphones for their price... I've been using them for about 8 months now... And everything is OK...")</f>
        <v>Very good headphones for their price... I've been using them for about 8 months now... And everything is OK...</v>
      </c>
    </row>
    <row r="8230" spans="1:9" x14ac:dyDescent="0.3">
      <c r="A8230" s="1" t="s">
        <v>43</v>
      </c>
      <c r="B8230" s="1" t="s">
        <v>1616</v>
      </c>
      <c r="C8230" s="1" t="s">
        <v>1138</v>
      </c>
      <c r="D8230" s="1" t="s">
        <v>451</v>
      </c>
      <c r="E8230" s="1" t="s">
        <v>6578</v>
      </c>
      <c r="F8230" s="1" t="s">
        <v>12449</v>
      </c>
      <c r="G8230" s="1" t="s">
        <v>49</v>
      </c>
      <c r="H8230" s="1" t="s">
        <v>16</v>
      </c>
      <c r="I8230" s="1" t="str">
        <f ca="1">IFERROR(__xludf.DUMMYFUNCTION("GOOGLETRANSLATE(F8230, ""auto"", ""en"")
"),"During 3 hours of operation, the temperature in the room (11 kW) dropped by 1 degree. No breeze mode! The air flow must not be changed!")</f>
        <v>During 3 hours of operation, the temperature in the room (11 kW) dropped by 1 degree. No breeze mode! The air flow must not be changed!</v>
      </c>
    </row>
    <row r="8231" spans="1:9" x14ac:dyDescent="0.3">
      <c r="A8231" s="1" t="s">
        <v>30</v>
      </c>
      <c r="B8231" s="1" t="s">
        <v>50</v>
      </c>
      <c r="C8231" s="1" t="s">
        <v>32</v>
      </c>
      <c r="D8231" s="1" t="s">
        <v>345</v>
      </c>
      <c r="E8231" s="1" t="s">
        <v>2265</v>
      </c>
      <c r="F8231" s="1" t="s">
        <v>12450</v>
      </c>
      <c r="G8231" s="1" t="s">
        <v>36</v>
      </c>
      <c r="H8231" s="1" t="s">
        <v>29</v>
      </c>
      <c r="I8231" s="1" t="str">
        <f ca="1">IFERROR(__xludf.DUMMYFUNCTION("GOOGLETRANSLATE(F8231, ""auto"", ""en"")
"),"I am one of the lucky owners of this machine =))) I’m as happy as a boa constrictor in the sun! I purchased it as a replacement for a powerful and bulky desktop PC, and this miracle device is miniature and.. SUPER POWERFUL! (for your class, of course).  S"&amp;"uch games on the Source of the notorious valve company as the Half-Life 2 series, Dark Messiah, Portal, Team-Fortress 2, as well as FallOut3 with Havok run on medium-maximum quality and resolution settings with fps in the region of 20-30 with a drop in pa"&amp;"rticularly difficult scenes to 10. Playable!  I'm already starting FallOut 3, leaving the Half-Life universe behind =))) There is no point in talking about less demanding games and programs - everything will start and run with a bang.  The only problems w"&amp;"ere the easily soiled glossy cover and the 64-bit axis, which is unfriendly to games.  And so - I recommend it friends! ;-)")</f>
        <v>I am one of the lucky owners of this machine =))) I’m as happy as a boa constrictor in the sun! I purchased it as a replacement for a powerful and bulky desktop PC, and this miracle device is miniature and.. SUPER POWERFUL! (for your class, of course).  Such games on the Source of the notorious valve company as the Half-Life 2 series, Dark Messiah, Portal, Team-Fortress 2, as well as FallOut3 with Havok run on medium-maximum quality and resolution settings with fps in the region of 20-30 with a drop in particularly difficult scenes to 10. Playable!  I'm already starting FallOut 3, leaving the Half-Life universe behind =))) There is no point in talking about less demanding games and programs - everything will start and run with a bang.  The only problems were the easily soiled glossy cover and the 64-bit axis, which is unfriendly to games.  And so - I recommend it friends! ;-)</v>
      </c>
    </row>
    <row r="8232" spans="1:9" x14ac:dyDescent="0.3">
      <c r="A8232" s="1" t="s">
        <v>61</v>
      </c>
      <c r="B8232" s="1" t="s">
        <v>180</v>
      </c>
      <c r="C8232" s="1" t="s">
        <v>69</v>
      </c>
      <c r="D8232" s="1" t="s">
        <v>232</v>
      </c>
      <c r="E8232" s="1" t="s">
        <v>12451</v>
      </c>
      <c r="F8232" s="1" t="s">
        <v>12452</v>
      </c>
      <c r="G8232" s="1" t="s">
        <v>28</v>
      </c>
      <c r="H8232" s="1" t="s">
        <v>29</v>
      </c>
      <c r="I8232" s="1" t="str">
        <f ca="1">IFERROR(__xludf.DUMMYFUNCTION("GOOGLETRANSLATE(F8232, ""auto"", ""en"")
"),"A normal household appliance, without any comments, even has a defrosting mode for bread, solves the problem of bread preservation (for me, anyway).")</f>
        <v>A normal household appliance, without any comments, even has a defrosting mode for bread, solves the problem of bread preservation (for me, anyway).</v>
      </c>
    </row>
    <row r="8233" spans="1:9" x14ac:dyDescent="0.3">
      <c r="A8233" s="1" t="s">
        <v>149</v>
      </c>
      <c r="B8233" s="1" t="s">
        <v>155</v>
      </c>
      <c r="C8233" s="1" t="s">
        <v>151</v>
      </c>
      <c r="D8233" s="1" t="s">
        <v>943</v>
      </c>
      <c r="E8233" s="1" t="s">
        <v>12453</v>
      </c>
      <c r="F8233" s="1" t="s">
        <v>12454</v>
      </c>
      <c r="G8233" s="1" t="s">
        <v>36</v>
      </c>
      <c r="H8233" s="1" t="s">
        <v>29</v>
      </c>
      <c r="I8233" s="1" t="str">
        <f ca="1">IFERROR(__xludf.DUMMYFUNCTION("GOOGLETRANSLATE(F8233, ""auto"", ""en"")
"),"I recently bought a vacuum cleaner, just unpacked it... decided to test it in action. Good! Powerful, compact, beautiful. I don’t know what will happen next, but so far I’m happy with everything. This is exactly what I was looking for. The only advice is "&amp;"to check the completeness of the goods on site. Instead of 3 brushes, I only have 2... Although they convinced me not to check, because... it was packed and supposedly already checked - they deceived...")</f>
        <v>I recently bought a vacuum cleaner, just unpacked it... decided to test it in action. Good! Powerful, compact, beautiful. I don’t know what will happen next, but so far I’m happy with everything. This is exactly what I was looking for. The only advice is to check the completeness of the goods on site. Instead of 3 brushes, I only have 2... Although they convinced me not to check, because... it was packed and supposedly already checked - they deceived...</v>
      </c>
    </row>
    <row r="8234" spans="1:9" x14ac:dyDescent="0.3">
      <c r="A8234" s="1" t="s">
        <v>61</v>
      </c>
      <c r="B8234" s="1" t="s">
        <v>726</v>
      </c>
      <c r="C8234" s="1" t="s">
        <v>146</v>
      </c>
      <c r="D8234" s="1" t="s">
        <v>335</v>
      </c>
      <c r="E8234" s="1" t="s">
        <v>4054</v>
      </c>
      <c r="F8234" s="1" t="s">
        <v>12455</v>
      </c>
      <c r="G8234" s="1" t="s">
        <v>28</v>
      </c>
      <c r="H8234" s="1" t="s">
        <v>29</v>
      </c>
      <c r="I8234" s="1" t="str">
        <f ca="1">IFERROR(__xludf.DUMMYFUNCTION("GOOGLETRANSLATE(F8234, ""auto"", ""en"")
"),"The rating is a solid four. Bread, cake, dough turns out delicious.  What I didn’t like: 1) it makes a lot of noise when kneading, there’s nothing to compare it to (you definitely can’t use it to bake bread at night), 2) it makes very loud signals (pour i"&amp;"n the ingredients, take out the spatula and it’s ready).")</f>
        <v>The rating is a solid four. Bread, cake, dough turns out delicious.  What I didn’t like: 1) it makes a lot of noise when kneading, there’s nothing to compare it to (you definitely can’t use it to bake bread at night), 2) it makes very loud signals (pour in the ingredients, take out the spatula and it’s ready).</v>
      </c>
    </row>
    <row r="8235" spans="1:9" x14ac:dyDescent="0.3">
      <c r="A8235" s="1" t="s">
        <v>43</v>
      </c>
      <c r="B8235" s="1" t="s">
        <v>303</v>
      </c>
      <c r="C8235" s="1" t="s">
        <v>220</v>
      </c>
      <c r="D8235" s="1" t="s">
        <v>305</v>
      </c>
      <c r="E8235" s="1" t="s">
        <v>559</v>
      </c>
      <c r="F8235" s="1" t="s">
        <v>12456</v>
      </c>
      <c r="G8235" s="1" t="s">
        <v>15</v>
      </c>
      <c r="H8235" s="1" t="s">
        <v>16</v>
      </c>
      <c r="I8235" s="1" t="str">
        <f ca="1">IFERROR(__xludf.DUMMYFUNCTION("GOOGLETRANSLATE(F8235, ""auto"", ""en"")
"),"I bought and installed this water heater 3 years ago.   Perfectly matched the color of the bathroom faucets. Heats water quite quickly. Enough for a family of 3 people.  A serious drawback is the constant bleeding of water after heating through the safety"&amp;" valve. I had to hang a hose from a medical IV on it and lower it down the drain into the sink while it was turned on.")</f>
        <v>I bought and installed this water heater 3 years ago.   Perfectly matched the color of the bathroom faucets. Heats water quite quickly. Enough for a family of 3 people.  A serious drawback is the constant bleeding of water after heating through the safety valve. I had to hang a hose from a medical IV on it and lower it down the drain into the sink while it was turned on.</v>
      </c>
    </row>
    <row r="8236" spans="1:9" x14ac:dyDescent="0.3">
      <c r="A8236" s="1" t="s">
        <v>67</v>
      </c>
      <c r="B8236" s="1" t="s">
        <v>68</v>
      </c>
      <c r="C8236" s="1" t="s">
        <v>246</v>
      </c>
      <c r="D8236" s="1" t="s">
        <v>1940</v>
      </c>
      <c r="E8236" s="1" t="s">
        <v>1929</v>
      </c>
      <c r="F8236" s="1" t="s">
        <v>12457</v>
      </c>
      <c r="G8236" s="1" t="s">
        <v>36</v>
      </c>
      <c r="H8236" s="1" t="s">
        <v>29</v>
      </c>
      <c r="I8236" s="1" t="str">
        <f ca="1">IFERROR(__xludf.DUMMYFUNCTION("GOOGLETRANSLATE(F8236, ""auto"", ""en"")
"),"Today I purchased this unit, somehow, burning with impatience, I arrived home, where a bunch of washed clothes were waiting for me, I timed the ironing time - 35 minutes, for three sets of bed linen, children's clothes, my husband's T-shirts, shirts, I am"&amp;" completely delighted, and the final point of my joy from owning this miracle was a leather raincoat that was hanging in the closet and acquired unsightly folds and creases - several movements up and down, lingering a little on particularly wrinkled place"&amp;"s and... the thing is like new!!! Thank you Tefal for the pleasure!!!")</f>
        <v>Today I purchased this unit, somehow, burning with impatience, I arrived home, where a bunch of washed clothes were waiting for me, I timed the ironing time - 35 minutes, for three sets of bed linen, children's clothes, my husband's T-shirts, shirts, I am completely delighted, and the final point of my joy from owning this miracle was a leather raincoat that was hanging in the closet and acquired unsightly folds and creases - several movements up and down, lingering a little on particularly wrinkled places and... the thing is like new!!! Thank you Tefal for the pleasure!!!</v>
      </c>
    </row>
    <row r="8237" spans="1:9" x14ac:dyDescent="0.3">
      <c r="A8237" s="1" t="s">
        <v>61</v>
      </c>
      <c r="B8237" s="1" t="s">
        <v>318</v>
      </c>
      <c r="C8237" s="1" t="s">
        <v>246</v>
      </c>
      <c r="D8237" s="1" t="s">
        <v>12458</v>
      </c>
      <c r="E8237" s="1" t="s">
        <v>5944</v>
      </c>
      <c r="F8237" s="1" t="s">
        <v>12459</v>
      </c>
      <c r="G8237" s="1" t="s">
        <v>36</v>
      </c>
      <c r="H8237" s="1" t="s">
        <v>29</v>
      </c>
      <c r="I8237" s="1" t="str">
        <f ca="1">IFERROR(__xludf.DUMMYFUNCTION("GOOGLETRANSLATE(F8237, ""auto"", ""en"")
"),"Great kettle! Works for five years. No complaints. It makes noise when it's boiling, but we don't listen. Fast, convenient, comfortable, practical, nice design. We haven’t tested the self-shutdown system without water - we treat it with reverence and care"&amp;", like a diamond))")</f>
        <v>Great kettle! Works for five years. No complaints. It makes noise when it's boiling, but we don't listen. Fast, convenient, comfortable, practical, nice design. We haven’t tested the self-shutdown system without water - we treat it with reverence and care, like a diamond))</v>
      </c>
    </row>
    <row r="8238" spans="1:9" x14ac:dyDescent="0.3">
      <c r="A8238" s="1" t="s">
        <v>67</v>
      </c>
      <c r="B8238" s="1" t="s">
        <v>68</v>
      </c>
      <c r="C8238" s="1" t="s">
        <v>246</v>
      </c>
      <c r="D8238" s="1" t="s">
        <v>471</v>
      </c>
      <c r="E8238" s="1" t="s">
        <v>128</v>
      </c>
      <c r="F8238" s="1" t="s">
        <v>12460</v>
      </c>
      <c r="G8238" s="1" t="s">
        <v>36</v>
      </c>
      <c r="H8238" s="1" t="s">
        <v>29</v>
      </c>
      <c r="I8238" s="1" t="str">
        <f ca="1">IFERROR(__xludf.DUMMYFUNCTION("GOOGLETRANSLATE(F8238, ""auto"", ""en"")
"),"I bought it on May 9, although I’ve only been using it recently, I’ve already gotten used to it, it’s very comfortable, and it irons just fine, it warms very much on the “three” setting, so it steams and irons even very dry clothes perfectly. I recommend "&amp;"it to everyone.")</f>
        <v>I bought it on May 9, although I’ve only been using it recently, I’ve already gotten used to it, it’s very comfortable, and it irons just fine, it warms very much on the “three” setting, so it steams and irons even very dry clothes perfectly. I recommend it to everyone.</v>
      </c>
    </row>
    <row r="8239" spans="1:9" x14ac:dyDescent="0.3">
      <c r="A8239" s="1" t="s">
        <v>211</v>
      </c>
      <c r="B8239" s="1" t="s">
        <v>384</v>
      </c>
      <c r="C8239" s="1" t="s">
        <v>246</v>
      </c>
      <c r="D8239" s="1" t="s">
        <v>565</v>
      </c>
      <c r="E8239" s="1" t="s">
        <v>1548</v>
      </c>
      <c r="F8239" s="1" t="s">
        <v>12461</v>
      </c>
      <c r="G8239" s="1" t="s">
        <v>49</v>
      </c>
      <c r="H8239" s="1" t="s">
        <v>16</v>
      </c>
      <c r="I8239" s="1" t="str">
        <f ca="1">IFERROR(__xludf.DUMMYFUNCTION("GOOGLETRANSLATE(F8239, ""auto"", ""en"")
"),"I've had these scales for 8 months.   The first shortcomings appeared immediately after a few days of use. All the segments started to burn at the same time, I had to wait a few minutes or take out the batteries.  Then, after a few months, it began to sho"&amp;"w incorrect weight, i.e. when re-weighing after a few minutes it showed an error of 300-500 g.  Well, at the moment: over the course of 2 months, every 2 days, she loses minus 2 kg. We even started to get scared that we were losing weight so quickly))) It"&amp;" turns out that they are so funny))) in the trash!!!")</f>
        <v>I've had these scales for 8 months.   The first shortcomings appeared immediately after a few days of use. All the segments started to burn at the same time, I had to wait a few minutes or take out the batteries.  Then, after a few months, it began to show incorrect weight, i.e. when re-weighing after a few minutes it showed an error of 300-500 g.  Well, at the moment: over the course of 2 months, every 2 days, she loses minus 2 kg. We even started to get scared that we were losing weight so quickly))) It turns out that they are so funny))) in the trash!!!</v>
      </c>
    </row>
    <row r="8240" spans="1:9" x14ac:dyDescent="0.3">
      <c r="A8240" s="1" t="s">
        <v>61</v>
      </c>
      <c r="B8240" s="1" t="s">
        <v>726</v>
      </c>
      <c r="C8240" s="1" t="s">
        <v>85</v>
      </c>
      <c r="D8240" s="1" t="s">
        <v>12462</v>
      </c>
      <c r="E8240" s="1" t="s">
        <v>1617</v>
      </c>
      <c r="F8240" s="1" t="s">
        <v>12463</v>
      </c>
      <c r="G8240" s="1" t="s">
        <v>94</v>
      </c>
      <c r="H8240" s="1" t="s">
        <v>29</v>
      </c>
      <c r="I8240" s="1" t="str">
        <f ca="1">IFERROR(__xludf.DUMMYFUNCTION("GOOGLETRANSLATE(F8240, ""auto"", ""en"")
"),"Metal body and parts")</f>
        <v>Metal body and parts</v>
      </c>
    </row>
    <row r="8241" spans="1:9" x14ac:dyDescent="0.3">
      <c r="A8241" s="1" t="s">
        <v>17</v>
      </c>
      <c r="B8241" s="1" t="s">
        <v>18</v>
      </c>
      <c r="C8241" s="1" t="s">
        <v>19</v>
      </c>
      <c r="D8241" s="1" t="s">
        <v>305</v>
      </c>
      <c r="E8241" s="1" t="s">
        <v>271</v>
      </c>
      <c r="F8241" s="1" t="s">
        <v>12464</v>
      </c>
      <c r="G8241" s="1" t="s">
        <v>49</v>
      </c>
      <c r="H8241" s="1" t="s">
        <v>16</v>
      </c>
      <c r="I8241" s="1" t="str">
        <f ca="1">IFERROR(__xludf.DUMMYFUNCTION("GOOGLETRANSLATE(F8241, ""auto"", ""en"")
"),"Before buying this car, there was a standard Ariston Dialogic (only because of the good pleasures of this car I swung at the AQSL 109).   The new machine is obsessed with saving water and washes very poorly. The powder does not dissolve and does not rinse"&amp;" out. Doesn't wash anything with liquid detergents. Pills are also bad. You have to turn on an additional rinse, complete nonsense - saving money! Don't buy! One torment. I'll sell it and get another one, probably Boshsh. I suffered through this for 1 yea"&amp;"r, I don’t wish it on anyone!   Ariston - never!")</f>
        <v>Before buying this car, there was a standard Ariston Dialogic (only because of the good pleasures of this car I swung at the AQSL 109).   The new machine is obsessed with saving water and washes very poorly. The powder does not dissolve and does not rinse out. Doesn't wash anything with liquid detergents. Pills are also bad. You have to turn on an additional rinse, complete nonsense - saving money! Don't buy! One torment. I'll sell it and get another one, probably Boshsh. I suffered through this for 1 year, I don’t wish it on anyone!   Ariston - never!</v>
      </c>
    </row>
    <row r="8242" spans="1:9" x14ac:dyDescent="0.3">
      <c r="A8242" s="1" t="s">
        <v>120</v>
      </c>
      <c r="B8242" s="1" t="s">
        <v>121</v>
      </c>
      <c r="C8242" s="1" t="s">
        <v>122</v>
      </c>
      <c r="D8242" s="1" t="s">
        <v>1431</v>
      </c>
      <c r="E8242" s="1" t="s">
        <v>1742</v>
      </c>
      <c r="F8242" s="1" t="s">
        <v>12465</v>
      </c>
      <c r="G8242" s="1" t="s">
        <v>36</v>
      </c>
      <c r="H8242" s="1" t="s">
        <v>29</v>
      </c>
      <c r="I8242" s="1" t="str">
        <f ca="1">IFERROR(__xludf.DUMMYFUNCTION("GOOGLETRANSLATE(F8242, ""auto"", ""en"")
"),"Excellent TV, bought at a promotional price, very pleased, the time of use is of course short, but no shortcomings have been noticed so far, and I’m not looking for them in principle, judging by the reviews, the plasma is good, I think so too, the picture"&amp;" is super, the sound is loud and clear, the screen is medium in size, fits into the interior very well, compatible with many devices, many connectors. I like everything!")</f>
        <v>Excellent TV, bought at a promotional price, very pleased, the time of use is of course short, but no shortcomings have been noticed so far, and I’m not looking for them in principle, judging by the reviews, the plasma is good, I think so too, the picture is super, the sound is loud and clear, the screen is medium in size, fits into the interior very well, compatible with many devices, many connectors. I like everything!</v>
      </c>
    </row>
    <row r="8243" spans="1:9" x14ac:dyDescent="0.3">
      <c r="A8243" s="1" t="s">
        <v>120</v>
      </c>
      <c r="B8243" s="1" t="s">
        <v>126</v>
      </c>
      <c r="C8243" s="1" t="s">
        <v>122</v>
      </c>
      <c r="D8243" s="1" t="s">
        <v>390</v>
      </c>
      <c r="E8243" s="1" t="s">
        <v>2348</v>
      </c>
      <c r="F8243" s="1" t="s">
        <v>12466</v>
      </c>
      <c r="G8243" s="1" t="s">
        <v>36</v>
      </c>
      <c r="H8243" s="1" t="s">
        <v>29</v>
      </c>
      <c r="I8243" s="1" t="str">
        <f ca="1">IFERROR(__xludf.DUMMYFUNCTION("GOOGLETRANSLATE(F8243, ""auto"", ""en"")
"),"We bought a white lacquer cabinet and were looking for a TV in a light-colored case. There were just discounts on this model and we took them right away. And we have never regretted it. The quality is amazing. Especially in high resolution. I advise you t"&amp;"o take it without hesitation!")</f>
        <v>We bought a white lacquer cabinet and were looking for a TV in a light-colored case. There were just discounts on this model and we took them right away. And we have never regretted it. The quality is amazing. Especially in high resolution. I advise you to take it without hesitation!</v>
      </c>
    </row>
    <row r="8244" spans="1:9" x14ac:dyDescent="0.3">
      <c r="A8244" s="1" t="s">
        <v>373</v>
      </c>
      <c r="B8244" s="1" t="s">
        <v>374</v>
      </c>
      <c r="C8244" s="1" t="s">
        <v>159</v>
      </c>
      <c r="D8244" s="1" t="s">
        <v>479</v>
      </c>
      <c r="E8244" s="1" t="s">
        <v>1765</v>
      </c>
      <c r="F8244" s="1" t="s">
        <v>12467</v>
      </c>
      <c r="G8244" s="1" t="s">
        <v>36</v>
      </c>
      <c r="H8244" s="1" t="s">
        <v>29</v>
      </c>
      <c r="I8244" s="1" t="str">
        <f ca="1">IFERROR(__xludf.DUMMYFUNCTION("GOOGLETRANSLATE(F8244, ""auto"", ""en"")
"),"The machine is a miracle! Now I'm a woman, not a dishwasher! It works without problems, the controls are simple and clear, silent, saves a lot of time! Lots of pros - no cons! I am very pleased and recommend it to everyone.")</f>
        <v>The machine is a miracle! Now I'm a woman, not a dishwasher! It works without problems, the controls are simple and clear, silent, saves a lot of time! Lots of pros - no cons! I am very pleased and recommend it to everyone.</v>
      </c>
    </row>
    <row r="8245" spans="1:9" x14ac:dyDescent="0.3">
      <c r="A8245" s="1" t="s">
        <v>149</v>
      </c>
      <c r="B8245" s="1" t="s">
        <v>150</v>
      </c>
      <c r="C8245" s="1" t="s">
        <v>6732</v>
      </c>
      <c r="D8245" s="1" t="s">
        <v>52</v>
      </c>
      <c r="E8245" s="1" t="s">
        <v>1628</v>
      </c>
      <c r="F8245" s="1" t="s">
        <v>12468</v>
      </c>
      <c r="G8245" s="1" t="s">
        <v>28</v>
      </c>
      <c r="H8245" s="1" t="s">
        <v>29</v>
      </c>
      <c r="I8245" s="1" t="str">
        <f ca="1">IFERROR(__xludf.DUMMYFUNCTION("GOOGLETRANSLATE(F8245, ""auto"", ""en"")
"),"My child has allergies at home and I live in a one-room apartment. I was looking for a small vacuum cleaner with an aqua filter, I couldn’t find anything smaller than Ariete, who was not familiar to me, I tried it and bought it! Now I can say this - a che"&amp;"ap, high-quality vacuum cleaner, takes up little space, and most importantly cleans the air!!!!")</f>
        <v>My child has allergies at home and I live in a one-room apartment. I was looking for a small vacuum cleaner with an aqua filter, I couldn’t find anything smaller than Ariete, who was not familiar to me, I tried it and bought it! Now I can say this - a cheap, high-quality vacuum cleaner, takes up little space, and most importantly cleans the air!!!!</v>
      </c>
    </row>
    <row r="8246" spans="1:9" x14ac:dyDescent="0.3">
      <c r="A8246" s="1" t="s">
        <v>9</v>
      </c>
      <c r="B8246" s="1" t="s">
        <v>10</v>
      </c>
      <c r="C8246" s="1" t="s">
        <v>3438</v>
      </c>
      <c r="D8246" s="1" t="s">
        <v>12469</v>
      </c>
      <c r="E8246" s="1" t="s">
        <v>2173</v>
      </c>
      <c r="F8246" s="1" t="s">
        <v>12470</v>
      </c>
      <c r="G8246" s="1" t="s">
        <v>36</v>
      </c>
      <c r="H8246" s="1" t="s">
        <v>29</v>
      </c>
      <c r="I8246" s="1" t="str">
        <f ca="1">IFERROR(__xludf.DUMMYFUNCTION("GOOGLETRANSLATE(F8246, ""auto"", ""en"")
"),"When my wife and I moved to live in a country house, we were finishing our kitchen renovations and decided that we wouldn’t need the hood. As a result, after plaque appeared on the ceiling and fittings, and the rooms smelled of food, we had to sharply cha"&amp;"nge our minds about the presence of a hood in our country kitchen. We bought a range hood with an attractive design that fits perfectly into our kitchen interior! The operation of the hood immediately made it clear that we had made the right choice)) It c"&amp;"opes even if cooking takes place on all four burners thanks to the presence of several modes that really work powerfully! Very convenient and easy to use. The backlight illuminates the hob well. No more soot or smells in the kitchen or in the rooms at all"&amp;"! In a word, a wonderful and comfortable hood..)")</f>
        <v>When my wife and I moved to live in a country house, we were finishing our kitchen renovations and decided that we wouldn’t need the hood. As a result, after plaque appeared on the ceiling and fittings, and the rooms smelled of food, we had to sharply change our minds about the presence of a hood in our country kitchen. We bought a range hood with an attractive design that fits perfectly into our kitchen interior! The operation of the hood immediately made it clear that we had made the right choice)) It copes even if cooking takes place on all four burners thanks to the presence of several modes that really work powerfully! Very convenient and easy to use. The backlight illuminates the hob well. No more soot or smells in the kitchen or in the rooms at all! In a word, a wonderful and comfortable hood..)</v>
      </c>
    </row>
    <row r="8247" spans="1:9" x14ac:dyDescent="0.3">
      <c r="A8247" s="1" t="s">
        <v>37</v>
      </c>
      <c r="B8247" s="1" t="s">
        <v>536</v>
      </c>
      <c r="C8247" s="1" t="s">
        <v>1419</v>
      </c>
      <c r="D8247" s="1" t="s">
        <v>12471</v>
      </c>
      <c r="E8247" s="1" t="s">
        <v>6937</v>
      </c>
      <c r="F8247" s="1" t="s">
        <v>12472</v>
      </c>
      <c r="G8247" s="1" t="s">
        <v>36</v>
      </c>
      <c r="H8247" s="1" t="s">
        <v>29</v>
      </c>
      <c r="I8247" s="1" t="str">
        <f ca="1">IFERROR(__xludf.DUMMYFUNCTION("GOOGLETRANSLATE(F8247, ""auto"", ""en"")
"),"An excellent device, I installed the driver to accelerate the processor, everything flies. The device does not hang. The main advantage is that the screen resolution looks great. And for the price you won’t find a device with such filling. The main drawba"&amp;"ck for me is the weak battery.")</f>
        <v>An excellent device, I installed the driver to accelerate the processor, everything flies. The device does not hang. The main advantage is that the screen resolution looks great. And for the price you won’t find a device with such filling. The main drawback for me is the weak battery.</v>
      </c>
    </row>
    <row r="8248" spans="1:9" x14ac:dyDescent="0.3">
      <c r="A8248" s="1" t="s">
        <v>9</v>
      </c>
      <c r="B8248" s="1" t="s">
        <v>137</v>
      </c>
      <c r="C8248" s="1" t="s">
        <v>151</v>
      </c>
      <c r="D8248" s="1" t="s">
        <v>295</v>
      </c>
      <c r="E8248" s="1" t="s">
        <v>182</v>
      </c>
      <c r="F8248" s="1" t="s">
        <v>12473</v>
      </c>
      <c r="G8248" s="1" t="s">
        <v>28</v>
      </c>
      <c r="H8248" s="1" t="s">
        <v>29</v>
      </c>
      <c r="I8248" s="1" t="str">
        <f ca="1">IFERROR(__xludf.DUMMYFUNCTION("GOOGLETRANSLATE(F8248, ""auto"", ""en"")
"),"I bought a hob for 8 months. ago. Overall we are satisfied. Everything is prepared quickly, easy to clean. But after 6 months the sensors burned out, they replaced them, but after 2 months everything happened again, they came from another service, they im"&amp;"mediately replaced everything and so far everything is working like clockwork.")</f>
        <v>I bought a hob for 8 months. ago. Overall we are satisfied. Everything is prepared quickly, easy to clean. But after 6 months the sensors burned out, they replaced them, but after 2 months everything happened again, they came from another service, they immediately replaced everything and so far everything is working like clockwork.</v>
      </c>
    </row>
    <row r="8249" spans="1:9" x14ac:dyDescent="0.3">
      <c r="A8249" s="1" t="s">
        <v>43</v>
      </c>
      <c r="B8249" s="1" t="s">
        <v>303</v>
      </c>
      <c r="C8249" s="1" t="s">
        <v>1721</v>
      </c>
      <c r="D8249" s="1" t="s">
        <v>64</v>
      </c>
      <c r="E8249" s="1" t="s">
        <v>2035</v>
      </c>
      <c r="F8249" s="1" t="s">
        <v>12474</v>
      </c>
      <c r="G8249" s="1" t="s">
        <v>49</v>
      </c>
      <c r="H8249" s="1" t="s">
        <v>16</v>
      </c>
      <c r="I8249" s="1" t="str">
        <f ca="1">IFERROR(__xludf.DUMMYFUNCTION("GOOGLETRANSLATE(F8249, ""auto"", ""en"")
"),"A week before the end of the warranty, the water heater leaked, an examination showed a manufacturing defect..")</f>
        <v>A week before the end of the warranty, the water heater leaked, an examination showed a manufacturing defect..</v>
      </c>
    </row>
    <row r="8250" spans="1:9" x14ac:dyDescent="0.3">
      <c r="A8250" s="1" t="s">
        <v>9</v>
      </c>
      <c r="B8250" s="1" t="s">
        <v>133</v>
      </c>
      <c r="C8250" s="1" t="s">
        <v>588</v>
      </c>
      <c r="D8250" s="1" t="s">
        <v>12475</v>
      </c>
      <c r="E8250" s="1" t="s">
        <v>7307</v>
      </c>
      <c r="F8250" s="1" t="s">
        <v>12476</v>
      </c>
      <c r="G8250" s="1" t="s">
        <v>36</v>
      </c>
      <c r="H8250" s="1" t="s">
        <v>29</v>
      </c>
      <c r="I8250" s="1" t="str">
        <f ca="1">IFERROR(__xludf.DUMMYFUNCTION("GOOGLETRANSLATE(F8250, ""auto"", ""en"")
"),"Some advantages")</f>
        <v>Some advantages</v>
      </c>
    </row>
    <row r="8251" spans="1:9" x14ac:dyDescent="0.3">
      <c r="A8251" s="1" t="s">
        <v>30</v>
      </c>
      <c r="B8251" s="1" t="s">
        <v>50</v>
      </c>
      <c r="C8251" s="1" t="s">
        <v>151</v>
      </c>
      <c r="D8251" s="1" t="s">
        <v>280</v>
      </c>
      <c r="E8251" s="1" t="s">
        <v>2341</v>
      </c>
      <c r="F8251" s="1" t="s">
        <v>12477</v>
      </c>
      <c r="G8251" s="1" t="s">
        <v>36</v>
      </c>
      <c r="H8251" s="1" t="s">
        <v>29</v>
      </c>
      <c r="I8251" s="1" t="str">
        <f ca="1">IFERROR(__xludf.DUMMYFUNCTION("GOOGLETRANSLATE(F8251, ""auto"", ""en"")
"),"I bought it a month ago. I’m very pleased with the laptop, no problems!!! (I recommend it to everyone)")</f>
        <v>I bought it a month ago. I’m very pleased with the laptop, no problems!!! (I recommend it to everyone)</v>
      </c>
    </row>
    <row r="8252" spans="1:9" x14ac:dyDescent="0.3">
      <c r="A8252" s="1" t="s">
        <v>206</v>
      </c>
      <c r="B8252" s="1" t="s">
        <v>261</v>
      </c>
      <c r="C8252" s="1" t="s">
        <v>262</v>
      </c>
      <c r="D8252" s="1" t="s">
        <v>232</v>
      </c>
      <c r="E8252" s="1" t="s">
        <v>3877</v>
      </c>
      <c r="F8252" s="1" t="s">
        <v>12478</v>
      </c>
      <c r="G8252" s="1" t="s">
        <v>49</v>
      </c>
      <c r="H8252" s="1" t="s">
        <v>16</v>
      </c>
      <c r="I8252" s="1" t="str">
        <f ca="1">IFERROR(__xludf.DUMMYFUNCTION("GOOGLETRANSLATE(F8252, ""auto"", ""en"")
"),"The radio reception is rather weak, and the TV doesn’t show at all! in the city, with a simple antenna you can catch 12 channels, even with a wire antenna, but in the car radio of Prologi 1715 it picked up 2 channels, and even then with strong ripples! I'"&amp;"ll be looking for new antennas!")</f>
        <v>The radio reception is rather weak, and the TV doesn’t show at all! in the city, with a simple antenna you can catch 12 channels, even with a wire antenna, but in the car radio of Prologi 1715 it picked up 2 channels, and even then with strong ripples! I'll be looking for new antennas!</v>
      </c>
    </row>
    <row r="8253" spans="1:9" x14ac:dyDescent="0.3">
      <c r="A8253" s="1" t="s">
        <v>61</v>
      </c>
      <c r="B8253" s="1" t="s">
        <v>318</v>
      </c>
      <c r="C8253" s="1" t="s">
        <v>213</v>
      </c>
      <c r="D8253" s="1" t="s">
        <v>8669</v>
      </c>
      <c r="E8253" s="1" t="s">
        <v>800</v>
      </c>
      <c r="F8253" s="1" t="s">
        <v>12479</v>
      </c>
      <c r="G8253" s="1" t="s">
        <v>36</v>
      </c>
      <c r="H8253" s="1" t="s">
        <v>29</v>
      </c>
      <c r="I8253" s="1" t="str">
        <f ca="1">IFERROR(__xludf.DUMMYFUNCTION("GOOGLETRANSLATE(F8253, ""auto"", ""en"")
"),"We have been using the kettle for more than 5 years. It works properly, there were no problems with it. Comfortable, reliable, stylish - the very best!")</f>
        <v>We have been using the kettle for more than 5 years. It works properly, there were no problems with it. Comfortable, reliable, stylish - the very best!</v>
      </c>
    </row>
    <row r="8254" spans="1:9" x14ac:dyDescent="0.3">
      <c r="A8254" s="1" t="s">
        <v>30</v>
      </c>
      <c r="B8254" s="1" t="s">
        <v>31</v>
      </c>
      <c r="C8254" s="1" t="s">
        <v>32</v>
      </c>
      <c r="D8254" s="1" t="s">
        <v>33</v>
      </c>
      <c r="E8254" s="1" t="s">
        <v>1527</v>
      </c>
      <c r="F8254" s="1" t="s">
        <v>12480</v>
      </c>
      <c r="G8254" s="1" t="s">
        <v>36</v>
      </c>
      <c r="H8254" s="1" t="s">
        <v>29</v>
      </c>
      <c r="I8254" s="1" t="str">
        <f ca="1">IFERROR(__xludf.DUMMYFUNCTION("GOOGLETRANSLATE(F8254, ""auto"", ""en"")
"),"I bought this model a month ago, I use it 110%. Drives great for your money. One BUT is the Sims 3 and Call of Duty 5 games, they run but periodically after an hour the computer freezes tightly (PS from the reviews: the video card does not have enough coo"&amp;"ling). One of these days I plan to install the video camera through the SC, so that it is more powerful. But this one doesn’t slow down, it just freezes the computer right away when it overheats :) but in general the review is good!!!. I just wish there w"&amp;"as a disk with Windows included, even if the computer would cost more. I recommend it to everyone.")</f>
        <v>I bought this model a month ago, I use it 110%. Drives great for your money. One BUT is the Sims 3 and Call of Duty 5 games, they run but periodically after an hour the computer freezes tightly (PS from the reviews: the video card does not have enough cooling). One of these days I plan to install the video camera through the SC, so that it is more powerful. But this one doesn’t slow down, it just freezes the computer right away when it overheats :) but in general the review is good!!!. I just wish there was a disk with Windows included, even if the computer would cost more. I recommend it to everyone.</v>
      </c>
    </row>
    <row r="8255" spans="1:9" x14ac:dyDescent="0.3">
      <c r="A8255" s="1" t="s">
        <v>61</v>
      </c>
      <c r="B8255" s="1" t="s">
        <v>977</v>
      </c>
      <c r="C8255" s="1" t="s">
        <v>69</v>
      </c>
      <c r="D8255" s="1" t="s">
        <v>64</v>
      </c>
      <c r="E8255" s="1" t="s">
        <v>1700</v>
      </c>
      <c r="F8255" s="1" t="s">
        <v>12481</v>
      </c>
      <c r="G8255" s="1" t="s">
        <v>36</v>
      </c>
      <c r="H8255" s="1" t="s">
        <v>29</v>
      </c>
      <c r="I8255" s="1" t="str">
        <f ca="1">IFERROR(__xludf.DUMMYFUNCTION("GOOGLETRANSLATE(F8255, ""auto"", ""en"")
"),"I bought a blender about a year ago and use it very often. I make mashed potatoes, minced meat, cocktails. Great item, I don’t regret the purchase!")</f>
        <v>I bought a blender about a year ago and use it very often. I make mashed potatoes, minced meat, cocktails. Great item, I don’t regret the purchase!</v>
      </c>
    </row>
    <row r="8256" spans="1:9" x14ac:dyDescent="0.3">
      <c r="A8256" s="1" t="s">
        <v>43</v>
      </c>
      <c r="B8256" s="1" t="s">
        <v>44</v>
      </c>
      <c r="C8256" s="1" t="s">
        <v>101</v>
      </c>
      <c r="D8256" s="1" t="s">
        <v>12482</v>
      </c>
      <c r="E8256" s="1" t="s">
        <v>3233</v>
      </c>
      <c r="F8256" s="1" t="s">
        <v>12483</v>
      </c>
      <c r="G8256" s="1" t="s">
        <v>36</v>
      </c>
      <c r="H8256" s="1" t="s">
        <v>29</v>
      </c>
      <c r="I8256" s="1" t="str">
        <f ca="1">IFERROR(__xludf.DUMMYFUNCTION("GOOGLETRANSLATE(F8256, ""auto"", ""en"")
"),"I have been using the fan for two months.  Just a good brand.  There is no shortage.                         I recommend everyone to buy this product.")</f>
        <v>I have been using the fan for two months.  Just a good brand.  There is no shortage.                         I recommend everyone to buy this product.</v>
      </c>
    </row>
    <row r="8257" spans="1:9" x14ac:dyDescent="0.3">
      <c r="A8257" s="1" t="s">
        <v>61</v>
      </c>
      <c r="B8257" s="1" t="s">
        <v>145</v>
      </c>
      <c r="C8257" s="1" t="s">
        <v>45</v>
      </c>
      <c r="D8257" s="1" t="s">
        <v>335</v>
      </c>
      <c r="E8257" s="1" t="s">
        <v>4628</v>
      </c>
      <c r="F8257" s="1" t="s">
        <v>12484</v>
      </c>
      <c r="G8257" s="1" t="s">
        <v>36</v>
      </c>
      <c r="H8257" s="1" t="s">
        <v>29</v>
      </c>
      <c r="I8257" s="1" t="str">
        <f ca="1">IFERROR(__xludf.DUMMYFUNCTION("GOOGLETRANSLATE(F8257, ""auto"", ""en"")
"),"I agree with all the reviews, the item is SUPERB!!! the chicken turns out so tasty......... and the crust.... it's just a pleasure, not food in it. I really liked cooking kupaty in it. In a word, TAKE IT, YOU WILL NOT REGRET!!!")</f>
        <v>I agree with all the reviews, the item is SUPERB!!! the chicken turns out so tasty......... and the crust.... it's just a pleasure, not food in it. I really liked cooking kupaty in it. In a word, TAKE IT, YOU WILL NOT REGRET!!!</v>
      </c>
    </row>
    <row r="8258" spans="1:9" x14ac:dyDescent="0.3">
      <c r="A8258" s="1" t="s">
        <v>30</v>
      </c>
      <c r="B8258" s="1" t="s">
        <v>50</v>
      </c>
      <c r="C8258" s="1" t="s">
        <v>377</v>
      </c>
      <c r="D8258" s="1" t="s">
        <v>232</v>
      </c>
      <c r="E8258" s="1" t="s">
        <v>4864</v>
      </c>
      <c r="F8258" s="1" t="s">
        <v>12485</v>
      </c>
      <c r="G8258" s="1" t="s">
        <v>36</v>
      </c>
      <c r="H8258" s="1" t="s">
        <v>29</v>
      </c>
      <c r="I8258" s="1" t="str">
        <f ca="1">IFERROR(__xludf.DUMMYFUNCTION("GOOGLETRANSLATE(F8258, ""auto"", ""en"")
"),"I bought it in November 2009 for my wife. The most adequate device for this price with a full-size keyboard and web camera. There are simply no analogues. He can do almost everything. Bought as an additional computer to the main stationary one for Interne"&amp;"t surfing. As a result, the equipment of this laptop is so good that it allows you not only to use a wireless connection via Wifi to the Internet, but also to listen to music (very decent built-in speakers), watch movies (including AVHD resolutions withou"&amp;"t brakes) and play modern games (The Sims 3 at maximum settings). The operating system is of course rather weak (Win7 Home) and some system settings are missing, but it seems to me that this operating system is optimal for this configuration. Win7 Ultimat"&amp;"e will most likely slow down, but not particularly significantly, and I would not recommend going down to installing XP - this operating system is already a thing of the past. Some shortcomings are also noted: small viewing angles of the screen (however, "&amp;"like most laptops), the battery is discharged at a time (2 hours maximum, but if there is an electrical outlet nearby, then there are no problems at all), when connecting, the power supply connector dangles in the laptop connector (the connection could ha"&amp;"ve been made better). Overall, it’s a very decent device, but changing the operating system and installing additional programs is everyone’s business. Who needs what. I recommend it.")</f>
        <v>I bought it in November 2009 for my wife. The most adequate device for this price with a full-size keyboard and web camera. There are simply no analogues. He can do almost everything. Bought as an additional computer to the main stationary one for Internet surfing. As a result, the equipment of this laptop is so good that it allows you not only to use a wireless connection via Wifi to the Internet, but also to listen to music (very decent built-in speakers), watch movies (including AVHD resolutions without brakes) and play modern games (The Sims 3 at maximum settings). The operating system is of course rather weak (Win7 Home) and some system settings are missing, but it seems to me that this operating system is optimal for this configuration. Win7 Ultimate will most likely slow down, but not particularly significantly, and I would not recommend going down to installing XP - this operating system is already a thing of the past. Some shortcomings are also noted: small viewing angles of the screen (however, like most laptops), the battery is discharged at a time (2 hours maximum, but if there is an electrical outlet nearby, then there are no problems at all), when connecting, the power supply connector dangles in the laptop connector (the connection could have been made better). Overall, it’s a very decent device, but changing the operating system and installing additional programs is everyone’s business. Who needs what. I recommend it.</v>
      </c>
    </row>
    <row r="8259" spans="1:9" x14ac:dyDescent="0.3">
      <c r="A8259" s="1" t="s">
        <v>78</v>
      </c>
      <c r="B8259" s="1" t="s">
        <v>1163</v>
      </c>
      <c r="C8259" s="1" t="s">
        <v>1677</v>
      </c>
      <c r="D8259" s="1" t="s">
        <v>240</v>
      </c>
      <c r="E8259" s="1" t="s">
        <v>820</v>
      </c>
      <c r="F8259" s="1" t="s">
        <v>12486</v>
      </c>
      <c r="G8259" s="1" t="s">
        <v>36</v>
      </c>
      <c r="H8259" s="1" t="s">
        <v>29</v>
      </c>
      <c r="I8259" s="1" t="str">
        <f ca="1">IFERROR(__xludf.DUMMYFUNCTION("GOOGLETRANSLATE(F8259, ""auto"", ""en"")
"),"We have been using this model since 2006. There is not a single flaw, everything defrosts normally (if you turn it over when it gives a signal), not a single button has ever stuck, everything works the first time. Excellent product, of all the brands I wo"&amp;"uld recommend this one.")</f>
        <v>We have been using this model since 2006. There is not a single flaw, everything defrosts normally (if you turn it over when it gives a signal), not a single button has ever stuck, everything works the first time. Excellent product, of all the brands I would recommend this one.</v>
      </c>
    </row>
    <row r="8260" spans="1:9" x14ac:dyDescent="0.3">
      <c r="A8260" s="1" t="s">
        <v>37</v>
      </c>
      <c r="B8260" s="1" t="s">
        <v>38</v>
      </c>
      <c r="C8260" s="1" t="s">
        <v>163</v>
      </c>
      <c r="D8260" s="1" t="s">
        <v>12487</v>
      </c>
      <c r="E8260" s="1" t="s">
        <v>7124</v>
      </c>
      <c r="F8260" s="1" t="s">
        <v>12488</v>
      </c>
      <c r="G8260" s="1" t="s">
        <v>28</v>
      </c>
      <c r="H8260" s="1" t="s">
        <v>29</v>
      </c>
      <c r="I8260" s="1" t="str">
        <f ca="1">IFERROR(__xludf.DUMMYFUNCTION("GOOGLETRANSLATE(F8260, ""auto"", ""en"")
"),"excellent phone, I've been using it for a year now, only the side button is buggy, the phone is CLASS")</f>
        <v>excellent phone, I've been using it for a year now, only the side button is buggy, the phone is CLASS</v>
      </c>
    </row>
    <row r="8261" spans="1:9" x14ac:dyDescent="0.3">
      <c r="A8261" s="1" t="s">
        <v>169</v>
      </c>
      <c r="B8261" s="1" t="s">
        <v>170</v>
      </c>
      <c r="C8261" s="1" t="s">
        <v>69</v>
      </c>
      <c r="D8261" s="1" t="s">
        <v>1092</v>
      </c>
      <c r="E8261" s="1" t="s">
        <v>10005</v>
      </c>
      <c r="F8261" s="1" t="s">
        <v>12489</v>
      </c>
      <c r="G8261" s="1" t="s">
        <v>28</v>
      </c>
      <c r="H8261" s="1" t="s">
        <v>29</v>
      </c>
      <c r="I8261" s="1" t="str">
        <f ca="1">IFERROR(__xludf.DUMMYFUNCTION("GOOGLETRANSLATE(F8261, ""auto"", ""en"")
"),"In general, the headphones justify their price.    The main disadvantage is the weak attachment of the ears themselves to the arch. Maybe I’m stupid, or maybe I clicked “as needed and where needed,” but one ear on my copy flew off completely. Now it is ti"&amp;"ghtly screwed to the arc, which, thank God, does not affect the sound quality =)")</f>
        <v>In general, the headphones justify their price.    The main disadvantage is the weak attachment of the ears themselves to the arch. Maybe I’m stupid, or maybe I clicked “as needed and where needed,” but one ear on my copy flew off completely. Now it is tightly screwed to the arc, which, thank God, does not affect the sound quality =)</v>
      </c>
    </row>
    <row r="8262" spans="1:9" x14ac:dyDescent="0.3">
      <c r="A8262" s="1" t="s">
        <v>211</v>
      </c>
      <c r="B8262" s="1" t="s">
        <v>212</v>
      </c>
      <c r="C8262" s="1" t="s">
        <v>745</v>
      </c>
      <c r="D8262" s="1" t="s">
        <v>1209</v>
      </c>
      <c r="E8262" s="1" t="s">
        <v>12490</v>
      </c>
      <c r="F8262" s="1" t="s">
        <v>12491</v>
      </c>
      <c r="G8262" s="1" t="s">
        <v>36</v>
      </c>
      <c r="H8262" s="1" t="s">
        <v>29</v>
      </c>
      <c r="I8262" s="1" t="str">
        <f ca="1">IFERROR(__xludf.DUMMYFUNCTION("GOOGLETRANSLATE(F8262, ""auto"", ""en"")
"),"Cool styling tool")</f>
        <v>Cool styling tool</v>
      </c>
    </row>
    <row r="8263" spans="1:9" x14ac:dyDescent="0.3">
      <c r="A8263" s="1" t="s">
        <v>43</v>
      </c>
      <c r="B8263" s="1" t="s">
        <v>303</v>
      </c>
      <c r="C8263" s="1" t="s">
        <v>304</v>
      </c>
      <c r="D8263" s="1" t="s">
        <v>456</v>
      </c>
      <c r="E8263" s="1" t="s">
        <v>3909</v>
      </c>
      <c r="F8263" s="1" t="s">
        <v>12492</v>
      </c>
      <c r="G8263" s="1" t="s">
        <v>36</v>
      </c>
      <c r="H8263" s="1" t="s">
        <v>29</v>
      </c>
      <c r="I8263" s="1" t="str">
        <f ca="1">IFERROR(__xludf.DUMMYFUNCTION("GOOGLETRANSLATE(F8263, ""auto"", ""en"")
"),"Bought for a family of 4 people. Excellent water heater for the money!")</f>
        <v>Bought for a family of 4 people. Excellent water heater for the money!</v>
      </c>
    </row>
    <row r="8264" spans="1:9" x14ac:dyDescent="0.3">
      <c r="A8264" s="1" t="s">
        <v>105</v>
      </c>
      <c r="B8264" s="1" t="s">
        <v>106</v>
      </c>
      <c r="C8264" s="1" t="s">
        <v>1526</v>
      </c>
      <c r="D8264" s="1" t="s">
        <v>1241</v>
      </c>
      <c r="E8264" s="1" t="s">
        <v>131</v>
      </c>
      <c r="F8264" s="1" t="s">
        <v>12493</v>
      </c>
      <c r="G8264" s="1" t="s">
        <v>36</v>
      </c>
      <c r="H8264" s="1" t="s">
        <v>29</v>
      </c>
      <c r="I8264" s="1" t="str">
        <f ca="1">IFERROR(__xludf.DUMMYFUNCTION("GOOGLETRANSLATE(F8264, ""auto"", ""en"")
"),"Everything is just fine, but I have a problem with downloading books. I download through the program, but the player displays hieroglyphs.")</f>
        <v>Everything is just fine, but I have a problem with downloading books. I download through the program, but the player displays hieroglyphs.</v>
      </c>
    </row>
    <row r="8265" spans="1:9" x14ac:dyDescent="0.3">
      <c r="A8265" s="1" t="s">
        <v>89</v>
      </c>
      <c r="B8265" s="1" t="s">
        <v>90</v>
      </c>
      <c r="C8265" s="1" t="s">
        <v>101</v>
      </c>
      <c r="D8265" s="1" t="s">
        <v>565</v>
      </c>
      <c r="E8265" s="1" t="s">
        <v>5882</v>
      </c>
      <c r="F8265" s="1" t="s">
        <v>12494</v>
      </c>
      <c r="G8265" s="1" t="s">
        <v>28</v>
      </c>
      <c r="H8265" s="1" t="s">
        <v>29</v>
      </c>
      <c r="I8265" s="1" t="str">
        <f ca="1">IFERROR(__xludf.DUMMYFUNCTION("GOOGLETRANSLATE(F8265, ""auto"", ""en"")
"),"I've been using this coffee maker for over six months. Satisfied! It’s a pleasure to work with, the results are pleasing, and it’s easy to achieve the desired degree of coffee grinding (I don’t use it for other products). The only thing that leaves me wit"&amp;"h a slight regret is the slippery lid; sometimes unscrewing it causes some inconvenience. And the cord is not fixed in the groove on the bottom; it always comes out. In general, I recommend purchasing a coffee grinder: aesthetics and reliability.")</f>
        <v>I've been using this coffee maker for over six months. Satisfied! It’s a pleasure to work with, the results are pleasing, and it’s easy to achieve the desired degree of coffee grinding (I don’t use it for other products). The only thing that leaves me with a slight regret is the slippery lid; sometimes unscrewing it causes some inconvenience. And the cord is not fixed in the groove on the bottom; it always comes out. In general, I recommend purchasing a coffee grinder: aesthetics and reliability.</v>
      </c>
    </row>
    <row r="8266" spans="1:9" x14ac:dyDescent="0.3">
      <c r="A8266" s="1" t="s">
        <v>67</v>
      </c>
      <c r="B8266" s="1" t="s">
        <v>68</v>
      </c>
      <c r="C8266" s="1" t="s">
        <v>101</v>
      </c>
      <c r="D8266" s="1" t="s">
        <v>2953</v>
      </c>
      <c r="E8266" s="1" t="s">
        <v>1636</v>
      </c>
      <c r="F8266" s="1" t="s">
        <v>12495</v>
      </c>
      <c r="G8266" s="1" t="s">
        <v>28</v>
      </c>
      <c r="H8266" s="1" t="s">
        <v>29</v>
      </c>
      <c r="I8266" s="1" t="str">
        <f ca="1">IFERROR(__xludf.DUMMYFUNCTION("GOOGLETRANSLATE(F8266, ""auto"", ""en"")
"),"I took it for trips, but I also use it at home if I need to iron small folds or ruffles or frills. Very comfortable, lightweight and the sole does not stick to clothes.")</f>
        <v>I took it for trips, but I also use it at home if I need to iron small folds or ruffles or frills. Very comfortable, lightweight and the sole does not stick to clothes.</v>
      </c>
    </row>
    <row r="8267" spans="1:9" x14ac:dyDescent="0.3">
      <c r="A8267" s="1" t="s">
        <v>105</v>
      </c>
      <c r="B8267" s="1" t="s">
        <v>106</v>
      </c>
      <c r="C8267" s="1" t="s">
        <v>1209</v>
      </c>
      <c r="D8267" s="1" t="s">
        <v>12496</v>
      </c>
      <c r="E8267" s="1" t="s">
        <v>4860</v>
      </c>
      <c r="F8267" s="1" t="s">
        <v>12497</v>
      </c>
      <c r="G8267" s="1" t="s">
        <v>28</v>
      </c>
      <c r="H8267" s="1" t="s">
        <v>29</v>
      </c>
      <c r="I8267" s="1" t="str">
        <f ca="1">IFERROR(__xludf.DUMMYFUNCTION("GOOGLETRANSLATE(F8267, ""auto"", ""en"")
"),"I used this thing for about a year). I really liked the player, but there are a couple of shortcomings. Firstly, the locking has not been worked out... when you put it in your pocket (in a blocked state), it lights up all the time when touched, which has "&amp;"a negative effect on charging... Well, after half a year, the input for the headphones became loose and the socket began to move relative to the screen. Otherwise it is perfect). Stylish, it will go with any suit ;), the sound quality is amazing, the incl"&amp;"uded headphones will give a head start to any expensive ones... the list can take a long time). In short, if you are not an athlete and are not going to run with it (the touch buttons are inconvenient to poke on the go), then this is your option))))")</f>
        <v>I used this thing for about a year). I really liked the player, but there are a couple of shortcomings. Firstly, the locking has not been worked out... when you put it in your pocket (in a blocked state), it lights up all the time when touched, which has a negative effect on charging... Well, after half a year, the input for the headphones became loose and the socket began to move relative to the screen. Otherwise it is perfect). Stylish, it will go with any suit ;), the sound quality is amazing, the included headphones will give a head start to any expensive ones... the list can take a long time). In short, if you are not an athlete and are not going to run with it (the touch buttons are inconvenient to poke on the go), then this is your option))))</v>
      </c>
    </row>
    <row r="8268" spans="1:9" x14ac:dyDescent="0.3">
      <c r="A8268" s="1" t="s">
        <v>55</v>
      </c>
      <c r="B8268" s="1" t="s">
        <v>56</v>
      </c>
      <c r="C8268" s="1" t="s">
        <v>85</v>
      </c>
      <c r="D8268" s="1" t="s">
        <v>12</v>
      </c>
      <c r="E8268" s="1" t="s">
        <v>12498</v>
      </c>
      <c r="F8268" s="1" t="s">
        <v>12499</v>
      </c>
      <c r="G8268" s="1" t="s">
        <v>15</v>
      </c>
      <c r="H8268" s="1" t="s">
        <v>16</v>
      </c>
      <c r="I8268" s="1" t="str">
        <f ca="1">IFERROR(__xludf.DUMMYFUNCTION("GOOGLETRANSLATE(F8268, ""auto"", ""en"")
"),"After purchasing this humidifier, we were very pleased with it, we used it often, according to the manufacturer’s recommendations, and collected water from a filter. It humidified the room quickly enough; no deposits or condensation were observed on the f"&amp;"urniture. It was a shame when, after two years of active work, it broke down: it stopped producing steam in all modes.")</f>
        <v>After purchasing this humidifier, we were very pleased with it, we used it often, according to the manufacturer’s recommendations, and collected water from a filter. It humidified the room quickly enough; no deposits or condensation were observed on the furniture. It was a shame when, after two years of active work, it broke down: it stopped producing steam in all modes.</v>
      </c>
    </row>
    <row r="8269" spans="1:9" x14ac:dyDescent="0.3">
      <c r="A8269" s="1" t="s">
        <v>61</v>
      </c>
      <c r="B8269" s="1" t="s">
        <v>145</v>
      </c>
      <c r="C8269" s="1" t="s">
        <v>57</v>
      </c>
      <c r="D8269" s="1" t="s">
        <v>565</v>
      </c>
      <c r="E8269" s="1" t="s">
        <v>3757</v>
      </c>
      <c r="F8269" s="1" t="s">
        <v>12500</v>
      </c>
      <c r="G8269" s="1" t="s">
        <v>36</v>
      </c>
      <c r="H8269" s="1" t="s">
        <v>29</v>
      </c>
      <c r="I8269" s="1" t="str">
        <f ca="1">IFERROR(__xludf.DUMMYFUNCTION("GOOGLETRANSLATE(F8269, ""auto"", ""en"")
"),"A good thing. Some advantages: the small size does not take up much space in the closet. The price is good. Quantity of oil 0.5 liters of oil with a capacity of 0.4 kg of potatoes. The results are delicious, crispy French fries. The chips are also good, y"&amp;"ou just need to load half as many potatoes so that they don’t stick together. Yes, be sure to blot the potatoes with a towel to remove moisture.")</f>
        <v>A good thing. Some advantages: the small size does not take up much space in the closet. The price is good. Quantity of oil 0.5 liters of oil with a capacity of 0.4 kg of potatoes. The results are delicious, crispy French fries. The chips are also good, you just need to load half as many potatoes so that they don’t stick together. Yes, be sure to blot the potatoes with a towel to remove moisture.</v>
      </c>
    </row>
    <row r="8270" spans="1:9" x14ac:dyDescent="0.3">
      <c r="A8270" s="1" t="s">
        <v>61</v>
      </c>
      <c r="B8270" s="1" t="s">
        <v>977</v>
      </c>
      <c r="C8270" s="1" t="s">
        <v>101</v>
      </c>
      <c r="D8270" s="1" t="s">
        <v>295</v>
      </c>
      <c r="E8270" s="1" t="s">
        <v>4483</v>
      </c>
      <c r="F8270" s="1" t="s">
        <v>12501</v>
      </c>
      <c r="G8270" s="1" t="s">
        <v>49</v>
      </c>
      <c r="H8270" s="1" t="s">
        <v>16</v>
      </c>
      <c r="I8270" s="1" t="str">
        <f ca="1">IFERROR(__xludf.DUMMYFUNCTION("GOOGLETRANSLATE(F8270, ""auto"", ""en"")
"),"I took this blender because I need to make purees for my second child. The first one grew up with a blender from another company, the same price category, and just as simple in appearance. But it served for exactly 1.5 years, then the nozzle crumbled wher"&amp;"e it was screwed in, and the plastic couldn’t stand it. So I didn't need it anymore. But Scarlet was not pleased at all! Everything is intact, it works, it hums with all its heart, but it doesn’t crush anything!!! At the same time, food flies in all direc"&amp;"tions, everything is stained, but the boiled vegetables are all intact. I think it's all about the knife and the depth of the nozzle. I don’t advise anyone to take it!!! It’s just torment, there’s no point.")</f>
        <v>I took this blender because I need to make purees for my second child. The first one grew up with a blender from another company, the same price category, and just as simple in appearance. But it served for exactly 1.5 years, then the nozzle crumbled where it was screwed in, and the plastic couldn’t stand it. So I didn't need it anymore. But Scarlet was not pleased at all! Everything is intact, it works, it hums with all its heart, but it doesn’t crush anything!!! At the same time, food flies in all directions, everything is stained, but the boiled vegetables are all intact. I think it's all about the knife and the depth of the nozzle. I don’t advise anyone to take it!!! It’s just torment, there’s no point.</v>
      </c>
    </row>
    <row r="8271" spans="1:9" x14ac:dyDescent="0.3">
      <c r="A8271" s="1" t="s">
        <v>732</v>
      </c>
      <c r="B8271" s="1" t="s">
        <v>733</v>
      </c>
      <c r="C8271" s="1" t="s">
        <v>80</v>
      </c>
      <c r="D8271" s="1" t="s">
        <v>39</v>
      </c>
      <c r="E8271" s="1" t="s">
        <v>2874</v>
      </c>
      <c r="F8271" s="1" t="s">
        <v>12502</v>
      </c>
      <c r="G8271" s="1" t="s">
        <v>28</v>
      </c>
      <c r="H8271" s="1" t="s">
        <v>29</v>
      </c>
      <c r="I8271" s="1" t="str">
        <f ca="1">IFERROR(__xludf.DUMMYFUNCTION("GOOGLETRANSLATE(F8271, ""auto"", ""en"")
"),"The monitor is good, I didn’t notice any flickering, but I’ve only been using it for a year and yesterday it stopped turning on! Shows the company logo and suddenly turns off! Tomorrow I’ll go to the service center, maybe they’ll fix it")</f>
        <v>The monitor is good, I didn’t notice any flickering, but I’ve only been using it for a year and yesterday it stopped turning on! Shows the company logo and suddenly turns off! Tomorrow I’ll go to the service center, maybe they’ll fix it</v>
      </c>
    </row>
    <row r="8272" spans="1:9" x14ac:dyDescent="0.3">
      <c r="A8272" s="1" t="s">
        <v>149</v>
      </c>
      <c r="B8272" s="1" t="s">
        <v>423</v>
      </c>
      <c r="C8272" s="1" t="s">
        <v>314</v>
      </c>
      <c r="D8272" s="1" t="s">
        <v>565</v>
      </c>
      <c r="E8272" s="1" t="s">
        <v>1065</v>
      </c>
      <c r="F8272" s="1" t="s">
        <v>12503</v>
      </c>
      <c r="G8272" s="1" t="s">
        <v>36</v>
      </c>
      <c r="H8272" s="1" t="s">
        <v>29</v>
      </c>
      <c r="I8272" s="1" t="str">
        <f ca="1">IFERROR(__xludf.DUMMYFUNCTION("GOOGLETRANSLATE(F8272, ""auto"", ""en"")
"),"We bought a Zelmer 919.0SP washing vacuum cleaner in January of this year. I really liked it!  Indeed, there is nothing complicated about washing all the parts after cleaning (we prefer to use an aquafilter).   True, we haven’t used the “carpet washing” f"&amp;"unction yet, because there hasn’t been a need yet, but we’re very pleased with everything else.  I think he is not inferior to “Thomas” at all. The dimensions are quite decent, not heavy, comfortable and of high quality (only the wheels on the main brush "&amp;"let you down, but you can also vacuum clean without them.) Buy Zelmer 919.0SP - you won’t regret it!!! :)))))))")</f>
        <v>We bought a Zelmer 919.0SP washing vacuum cleaner in January of this year. I really liked it!  Indeed, there is nothing complicated about washing all the parts after cleaning (we prefer to use an aquafilter).   True, we haven’t used the “carpet washing” function yet, because there hasn’t been a need yet, but we’re very pleased with everything else.  I think he is not inferior to “Thomas” at all. The dimensions are quite decent, not heavy, comfortable and of high quality (only the wheels on the main brush let you down, but you can also vacuum clean without them.) Buy Zelmer 919.0SP - you won’t regret it!!! :)))))))</v>
      </c>
    </row>
    <row r="8273" spans="1:9" x14ac:dyDescent="0.3">
      <c r="A8273" s="1" t="s">
        <v>211</v>
      </c>
      <c r="B8273" s="1" t="s">
        <v>212</v>
      </c>
      <c r="C8273" s="1" t="s">
        <v>69</v>
      </c>
      <c r="D8273" s="1" t="s">
        <v>1890</v>
      </c>
      <c r="E8273" s="1" t="s">
        <v>1245</v>
      </c>
      <c r="F8273" s="1" t="s">
        <v>12504</v>
      </c>
      <c r="G8273" s="1" t="s">
        <v>28</v>
      </c>
      <c r="H8273" s="1" t="s">
        <v>29</v>
      </c>
      <c r="I8273" s="1" t="str">
        <f ca="1">IFERROR(__xludf.DUMMYFUNCTION("GOOGLETRANSLATE(F8273, ""auto"", ""en"")
"),"very good set!! The iron is great!!! The only downside is that it’s a little inconvenient to hold the hairdryer... well, it’s a matter of habit))")</f>
        <v>very good set!! The iron is great!!! The only downside is that it’s a little inconvenient to hold the hairdryer... well, it’s a matter of habit))</v>
      </c>
    </row>
    <row r="8274" spans="1:9" x14ac:dyDescent="0.3">
      <c r="A8274" s="1" t="s">
        <v>55</v>
      </c>
      <c r="B8274" s="1" t="s">
        <v>235</v>
      </c>
      <c r="C8274" s="1" t="s">
        <v>1341</v>
      </c>
      <c r="D8274" s="1" t="s">
        <v>565</v>
      </c>
      <c r="E8274" s="1" t="s">
        <v>4187</v>
      </c>
      <c r="F8274" s="1" t="s">
        <v>12505</v>
      </c>
      <c r="G8274" s="1" t="s">
        <v>49</v>
      </c>
      <c r="H8274" s="1" t="s">
        <v>16</v>
      </c>
      <c r="I8274" s="1" t="str">
        <f ca="1">IFERROR(__xludf.DUMMYFUNCTION("GOOGLETRANSLATE(F8274, ""auto"", ""en"")
"),"When I saw the price on the website, I was happy - not expensive.  On Thursday I bought 2 of these fans. Of the 2, two turned out to be non-working. I had to take it to take it on Friday, and this was still wasted time...")</f>
        <v>When I saw the price on the website, I was happy - not expensive.  On Thursday I bought 2 of these fans. Of the 2, two turned out to be non-working. I had to take it to take it on Friday, and this was still wasted time...</v>
      </c>
    </row>
    <row r="8275" spans="1:9" x14ac:dyDescent="0.3">
      <c r="A8275" s="1" t="s">
        <v>61</v>
      </c>
      <c r="B8275" s="1" t="s">
        <v>62</v>
      </c>
      <c r="C8275" s="1" t="s">
        <v>69</v>
      </c>
      <c r="D8275" s="1" t="s">
        <v>308</v>
      </c>
      <c r="E8275" s="1" t="s">
        <v>1751</v>
      </c>
      <c r="F8275" s="1" t="s">
        <v>12506</v>
      </c>
      <c r="G8275" s="1" t="s">
        <v>36</v>
      </c>
      <c r="H8275" s="1" t="s">
        <v>29</v>
      </c>
      <c r="I8275" s="1" t="str">
        <f ca="1">IFERROR(__xludf.DUMMYFUNCTION("GOOGLETRANSLATE(F8275, ""auto"", ""en"")
"),"I've been using it for 5 years. Excellent model, light in weight and handling. There is a minimum distance between the knife and the lid, at which there is absolutely no waste - everything is ground, there is no need to open and remove uncut vegetables th"&amp;"at get stuck between the lid and the knife and interfere with the operation of the knife, which is what I had in the previous combine.  The power and quality of the steel are quite enough to grate very thick carrots. I'm so pleased with this combine that "&amp;"I'm going to give it to my friend and advertise it to everyone!")</f>
        <v>I've been using it for 5 years. Excellent model, light in weight and handling. There is a minimum distance between the knife and the lid, at which there is absolutely no waste - everything is ground, there is no need to open and remove uncut vegetables that get stuck between the lid and the knife and interfere with the operation of the knife, which is what I had in the previous combine.  The power and quality of the steel are quite enough to grate very thick carrots. I'm so pleased with this combine that I'm going to give it to my friend and advertise it to everyone!</v>
      </c>
    </row>
    <row r="8276" spans="1:9" x14ac:dyDescent="0.3">
      <c r="A8276" s="1" t="s">
        <v>105</v>
      </c>
      <c r="B8276" s="1" t="s">
        <v>106</v>
      </c>
      <c r="C8276" s="1" t="s">
        <v>151</v>
      </c>
      <c r="D8276" s="1" t="s">
        <v>39</v>
      </c>
      <c r="E8276" s="1" t="s">
        <v>259</v>
      </c>
      <c r="F8276" s="1" t="s">
        <v>12507</v>
      </c>
      <c r="G8276" s="1" t="s">
        <v>28</v>
      </c>
      <c r="H8276" s="1" t="s">
        <v>29</v>
      </c>
      <c r="I8276" s="1" t="str">
        <f ca="1">IFERROR(__xludf.DUMMYFUNCTION("GOOGLETRANSLATE(F8276, ""auto"", ""en"")
"),"My first player. I bought it so that I could occupy my time with something while traveling on business trips. So far everything is fine. The only thing is that the radio receives some stations with some interference, but maybe it depends on the station. I"&amp;" drove the battery. The first 2 charges for 12-14 hours worked without a break. I won't say for sure. It was charged at about 14 o'clock. I passed out at night in the closet while I was sleeping. Now there will be a third charge.  The manufacturer’s websi"&amp;"te states that the package should include a clip for wearing on clothing. However, it was not included in the purchased copy. And it is not mentioned in the instructions in the configuration section. It looks like Samsung decided to save money in the late"&amp;"st batches. I wonder if it can be purchased separately? Convenient thing.")</f>
        <v>My first player. I bought it so that I could occupy my time with something while traveling on business trips. So far everything is fine. The only thing is that the radio receives some stations with some interference, but maybe it depends on the station. I drove the battery. The first 2 charges for 12-14 hours worked without a break. I won't say for sure. It was charged at about 14 o'clock. I passed out at night in the closet while I was sleeping. Now there will be a third charge.  The manufacturer’s website states that the package should include a clip for wearing on clothing. However, it was not included in the purchased copy. And it is not mentioned in the instructions in the configuration section. It looks like Samsung decided to save money in the latest batches. I wonder if it can be purchased separately? Convenient thing.</v>
      </c>
    </row>
    <row r="8277" spans="1:9" x14ac:dyDescent="0.3">
      <c r="A8277" s="1" t="s">
        <v>30</v>
      </c>
      <c r="B8277" s="1" t="s">
        <v>31</v>
      </c>
      <c r="C8277" s="1" t="s">
        <v>32</v>
      </c>
      <c r="D8277" s="1" t="s">
        <v>102</v>
      </c>
      <c r="E8277" s="1" t="s">
        <v>1738</v>
      </c>
      <c r="F8277" s="1" t="s">
        <v>12508</v>
      </c>
      <c r="G8277" s="1" t="s">
        <v>36</v>
      </c>
      <c r="H8277" s="1" t="s">
        <v>29</v>
      </c>
      <c r="I8277" s="1" t="str">
        <f ca="1">IFERROR(__xludf.DUMMYFUNCTION("GOOGLETRANSLATE(F8277, ""auto"", ""en"")
"),"Yes, the computer is SUPER!!! The performance index is 5.9 (if you don’t take into account the hard drive performance index, it is 6.7), but there is one problem: it constantly freezes for 15-20 minutes when you first log into Windows, and these are not i"&amp;"solated cases. Then you forcefully turn it off and on again, and after that it works without freezing.")</f>
        <v>Yes, the computer is SUPER!!! The performance index is 5.9 (if you don’t take into account the hard drive performance index, it is 6.7), but there is one problem: it constantly freezes for 15-20 minutes when you first log into Windows, and these are not isolated cases. Then you forcefully turn it off and on again, and after that it works without freezing.</v>
      </c>
    </row>
    <row r="8278" spans="1:9" x14ac:dyDescent="0.3">
      <c r="A8278" s="1" t="s">
        <v>211</v>
      </c>
      <c r="B8278" s="1" t="s">
        <v>515</v>
      </c>
      <c r="C8278" s="1" t="s">
        <v>213</v>
      </c>
      <c r="D8278" s="1" t="s">
        <v>9379</v>
      </c>
      <c r="E8278" s="1" t="s">
        <v>1804</v>
      </c>
      <c r="F8278" s="1" t="s">
        <v>12509</v>
      </c>
      <c r="G8278" s="1" t="s">
        <v>36</v>
      </c>
      <c r="H8278" s="1" t="s">
        <v>29</v>
      </c>
      <c r="I8278" s="1" t="str">
        <f ca="1">IFERROR(__xludf.DUMMYFUNCTION("GOOGLETRANSLATE(F8278, ""auto"", ""en"")
"),"Beautiful design, very functional, compact, battery operated")</f>
        <v>Beautiful design, very functional, compact, battery operated</v>
      </c>
    </row>
    <row r="8279" spans="1:9" x14ac:dyDescent="0.3">
      <c r="A8279" s="1" t="s">
        <v>206</v>
      </c>
      <c r="B8279" s="1" t="s">
        <v>1349</v>
      </c>
      <c r="C8279" s="1" t="s">
        <v>351</v>
      </c>
      <c r="D8279" s="1" t="s">
        <v>12510</v>
      </c>
      <c r="E8279" s="1" t="s">
        <v>4500</v>
      </c>
      <c r="F8279" s="1" t="s">
        <v>12511</v>
      </c>
      <c r="G8279" s="1" t="s">
        <v>36</v>
      </c>
      <c r="H8279" s="1" t="s">
        <v>29</v>
      </c>
      <c r="I8279" s="1" t="str">
        <f ca="1">IFERROR(__xludf.DUMMYFUNCTION("GOOGLETRANSLATE(F8279, ""auto"", ""en"")
"),"My opinion is that the issue of price and quality here can simply be assessed as excellent on a five-point system. the same one is sold on the market for 13 thousand. I bought it from M-video, I don’t regret it, the previous radio was also not bad, only t"&amp;"he monitor screen was smaller.  This one looks stylish and is not noticeable to intruders, which is also important. The viewing experience was good, and the sound was also bad. The MENU is almost entirely in Russian, which is also good.")</f>
        <v>My opinion is that the issue of price and quality here can simply be assessed as excellent on a five-point system. the same one is sold on the market for 13 thousand. I bought it from M-video, I don’t regret it, the previous radio was also not bad, only the monitor screen was smaller.  This one looks stylish and is not noticeable to intruders, which is also important. The viewing experience was good, and the sound was also bad. The MENU is almost entirely in Russian, which is also good.</v>
      </c>
    </row>
    <row r="8280" spans="1:9" x14ac:dyDescent="0.3">
      <c r="A8280" s="1" t="s">
        <v>30</v>
      </c>
      <c r="B8280" s="1" t="s">
        <v>50</v>
      </c>
      <c r="C8280" s="1" t="s">
        <v>32</v>
      </c>
      <c r="D8280" s="1" t="s">
        <v>228</v>
      </c>
      <c r="E8280" s="1" t="s">
        <v>2057</v>
      </c>
      <c r="F8280" s="1" t="s">
        <v>12512</v>
      </c>
      <c r="G8280" s="1" t="s">
        <v>36</v>
      </c>
      <c r="H8280" s="1" t="s">
        <v>29</v>
      </c>
      <c r="I8280" s="1" t="str">
        <f ca="1">IFERROR(__xludf.DUMMYFUNCTION("GOOGLETRANSLATE(F8280, ""auto"", ""en"")
"),"I bought it a few weeks ago. I immediately started working on powerful applications and programs for slowdowns. Everything went fine, without glitches or freezes. Without a network, the battery worked for about 3 hours (more precisely 2 hours 40 minutes)."&amp;" Very quiet, excellent full-size keyboard, good design, matte finish on the touchpad side, good LED screen. In terms of performance: excellent processor with a good bus, excellent DDR3 + RAM can be expanded to 8GB. Build quality is excellent. Hot air come"&amp;"s out from the back. I didn’t find any cons, I’m happy with everything. Take it, you won’t regret it. For this price, you won't get better.")</f>
        <v>I bought it a few weeks ago. I immediately started working on powerful applications and programs for slowdowns. Everything went fine, without glitches or freezes. Without a network, the battery worked for about 3 hours (more precisely 2 hours 40 minutes). Very quiet, excellent full-size keyboard, good design, matte finish on the touchpad side, good LED screen. In terms of performance: excellent processor with a good bus, excellent DDR3 + RAM can be expanded to 8GB. Build quality is excellent. Hot air comes out from the back. I didn’t find any cons, I’m happy with everything. Take it, you won’t regret it. For this price, you won't get better.</v>
      </c>
    </row>
    <row r="8281" spans="1:9" x14ac:dyDescent="0.3">
      <c r="A8281" s="1" t="s">
        <v>37</v>
      </c>
      <c r="B8281" s="1" t="s">
        <v>38</v>
      </c>
      <c r="C8281" s="1" t="s">
        <v>163</v>
      </c>
      <c r="D8281" s="1" t="s">
        <v>8740</v>
      </c>
      <c r="E8281" s="1" t="s">
        <v>1376</v>
      </c>
      <c r="F8281" s="1" t="s">
        <v>12513</v>
      </c>
      <c r="G8281" s="1" t="s">
        <v>36</v>
      </c>
      <c r="H8281" s="1" t="s">
        <v>29</v>
      </c>
      <c r="I8281" s="1" t="str">
        <f ca="1">IFERROR(__xludf.DUMMYFUNCTION("GOOGLETRANSLATE(F8281, ""auto"", ""en"")
"),"Great phone, battery life is great, and you can't imagine a better beer opener!!!!!!")</f>
        <v>Great phone, battery life is great, and you can't imagine a better beer opener!!!!!!</v>
      </c>
    </row>
    <row r="8282" spans="1:9" x14ac:dyDescent="0.3">
      <c r="A8282" s="1" t="s">
        <v>30</v>
      </c>
      <c r="B8282" s="1" t="s">
        <v>31</v>
      </c>
      <c r="C8282" s="1" t="s">
        <v>32</v>
      </c>
      <c r="D8282" s="1" t="s">
        <v>39</v>
      </c>
      <c r="E8282" s="1" t="s">
        <v>1406</v>
      </c>
      <c r="F8282" s="1" t="s">
        <v>12514</v>
      </c>
      <c r="G8282" s="1" t="s">
        <v>36</v>
      </c>
      <c r="H8282" s="1" t="s">
        <v>29</v>
      </c>
      <c r="I8282" s="1" t="str">
        <f ca="1">IFERROR(__xludf.DUMMYFUNCTION("GOOGLETRANSLATE(F8282, ""auto"", ""en"")
"),"Hello, I decided to buy this computer based on the price/quality, I’m confused by the size... And I wonder how the hardware doesn’t get hot in such a small cabinet? and I’m wondering what assessment score vista gives?")</f>
        <v>Hello, I decided to buy this computer based on the price/quality, I’m confused by the size... And I wonder how the hardware doesn’t get hot in such a small cabinet? and I’m wondering what assessment score vista gives?</v>
      </c>
    </row>
    <row r="8283" spans="1:9" x14ac:dyDescent="0.3">
      <c r="A8283" s="1" t="s">
        <v>67</v>
      </c>
      <c r="B8283" s="1" t="s">
        <v>68</v>
      </c>
      <c r="C8283" s="1" t="s">
        <v>246</v>
      </c>
      <c r="D8283" s="1" t="s">
        <v>565</v>
      </c>
      <c r="E8283" s="1" t="s">
        <v>4692</v>
      </c>
      <c r="F8283" s="1" t="s">
        <v>12515</v>
      </c>
      <c r="G8283" s="1" t="s">
        <v>49</v>
      </c>
      <c r="H8283" s="1" t="s">
        <v>16</v>
      </c>
      <c r="I8283" s="1" t="str">
        <f ca="1">IFERROR(__xludf.DUMMYFUNCTION("GOOGLETRANSLATE(F8283, ""auto"", ""en"")
"),"The iron smells quite strongly of plastic. After half an hour of ironing, it starts to give me a headache. I do not recommend buying it if you care about your health!")</f>
        <v>The iron smells quite strongly of plastic. After half an hour of ironing, it starts to give me a headache. I do not recommend buying it if you care about your health!</v>
      </c>
    </row>
    <row r="8284" spans="1:9" x14ac:dyDescent="0.3">
      <c r="A8284" s="1" t="s">
        <v>169</v>
      </c>
      <c r="B8284" s="1" t="s">
        <v>170</v>
      </c>
      <c r="C8284" s="1" t="s">
        <v>171</v>
      </c>
      <c r="D8284" s="1" t="s">
        <v>1764</v>
      </c>
      <c r="E8284" s="1" t="s">
        <v>5823</v>
      </c>
      <c r="F8284" s="1" t="s">
        <v>12516</v>
      </c>
      <c r="G8284" s="1" t="s">
        <v>36</v>
      </c>
      <c r="H8284" s="1" t="s">
        <v>29</v>
      </c>
      <c r="I8284" s="1" t="str">
        <f ca="1">IFERROR(__xludf.DUMMYFUNCTION("GOOGLETRANSLATE(F8284, ""auto"", ""en"")
"),"I've been using these headphones for 3 years. The delight is indescribable and limitless. Unfortunately, the plastic of one ear recently fell apart and the speaker there stopped working. I'm looking for new ones like this.  Super model")</f>
        <v>I've been using these headphones for 3 years. The delight is indescribable and limitless. Unfortunately, the plastic of one ear recently fell apart and the speaker there stopped working. I'm looking for new ones like this.  Super model</v>
      </c>
    </row>
    <row r="8285" spans="1:9" x14ac:dyDescent="0.3">
      <c r="A8285" s="1" t="s">
        <v>211</v>
      </c>
      <c r="B8285" s="1" t="s">
        <v>856</v>
      </c>
      <c r="C8285" s="1" t="s">
        <v>57</v>
      </c>
      <c r="D8285" s="1" t="s">
        <v>12517</v>
      </c>
      <c r="E8285" s="1" t="s">
        <v>2358</v>
      </c>
      <c r="F8285" s="1" t="s">
        <v>12518</v>
      </c>
      <c r="G8285" s="1" t="s">
        <v>36</v>
      </c>
      <c r="H8285" s="1" t="s">
        <v>29</v>
      </c>
      <c r="I8285" s="1" t="str">
        <f ca="1">IFERROR(__xludf.DUMMYFUNCTION("GOOGLETRANSLATE(F8285, ""auto"", ""en"")
"),"Nice set. I really liked it. Lots of attachments and all of them are used. Saves time significantly. I recommend it.")</f>
        <v>Nice set. I really liked it. Lots of attachments and all of them are used. Saves time significantly. I recommend it.</v>
      </c>
    </row>
    <row r="8286" spans="1:9" x14ac:dyDescent="0.3">
      <c r="A8286" s="1" t="s">
        <v>61</v>
      </c>
      <c r="B8286" s="1" t="s">
        <v>73</v>
      </c>
      <c r="C8286" s="1" t="s">
        <v>122</v>
      </c>
      <c r="D8286" s="1" t="s">
        <v>420</v>
      </c>
      <c r="E8286" s="1" t="s">
        <v>3330</v>
      </c>
      <c r="F8286" s="1" t="s">
        <v>12519</v>
      </c>
      <c r="G8286" s="1" t="s">
        <v>36</v>
      </c>
      <c r="H8286" s="1" t="s">
        <v>29</v>
      </c>
      <c r="I8286" s="1" t="str">
        <f ca="1">IFERROR(__xludf.DUMMYFUNCTION("GOOGLETRANSLATE(F8286, ""auto"", ""en"")
"),"I bought a Panasonic MK-G1300PWTQ electric meat grinder for the first time; before that I had a manual meat grinder.  We chose from all the brands that were on sale, but we chose this brand because in its review on its website it said that the gearbox gea"&amp;"rs inside the housing are made of metal, not plastic.  First impressions: easy to assemble and disassemble. In five minutes they ground 1.5 kg of meat. cut into pieces no larger than the inlet. There is almost no meat left in the auger; it is easy to clea"&amp;"n. Very happy with the purchase. We recommend it to everyone.")</f>
        <v>I bought a Panasonic MK-G1300PWTQ electric meat grinder for the first time; before that I had a manual meat grinder.  We chose from all the brands that were on sale, but we chose this brand because in its review on its website it said that the gearbox gears inside the housing are made of metal, not plastic.  First impressions: easy to assemble and disassemble. In five minutes they ground 1.5 kg of meat. cut into pieces no larger than the inlet. There is almost no meat left in the auger; it is easy to clean. Very happy with the purchase. We recommend it to everyone.</v>
      </c>
    </row>
    <row r="8287" spans="1:9" x14ac:dyDescent="0.3">
      <c r="A8287" s="1" t="s">
        <v>89</v>
      </c>
      <c r="B8287" s="1" t="s">
        <v>1106</v>
      </c>
      <c r="C8287" s="1" t="s">
        <v>69</v>
      </c>
      <c r="D8287" s="1" t="s">
        <v>39</v>
      </c>
      <c r="E8287" s="1" t="s">
        <v>12520</v>
      </c>
      <c r="F8287" s="1" t="s">
        <v>12521</v>
      </c>
      <c r="G8287" s="1" t="s">
        <v>28</v>
      </c>
      <c r="H8287" s="1" t="s">
        <v>29</v>
      </c>
      <c r="I8287" s="1" t="str">
        <f ca="1">IFERROR(__xludf.DUMMYFUNCTION("GOOGLETRANSLATE(F8287, ""auto"", ""en"")
"),"The coffee maker is good, but the price is a bit high. The coffee turns out good, but only if you brew it for at least three people. If you brew it for one person, the coffee comes out completely liquid - like colored water, at least for my taste. Otherwi"&amp;"se the coffee maker is excellent. Previously, it was at home, then I took it to work - we drink coffee with the whole team, brew it for 4 people at once - in this case, all the advantages of the coffee maker are fully revealed).")</f>
        <v>The coffee maker is good, but the price is a bit high. The coffee turns out good, but only if you brew it for at least three people. If you brew it for one person, the coffee comes out completely liquid - like colored water, at least for my taste. Otherwise the coffee maker is excellent. Previously, it was at home, then I took it to work - we drink coffee with the whole team, brew it for 4 people at once - in this case, all the advantages of the coffee maker are fully revealed).</v>
      </c>
    </row>
    <row r="8288" spans="1:9" x14ac:dyDescent="0.3">
      <c r="A8288" s="1" t="s">
        <v>211</v>
      </c>
      <c r="B8288" s="1" t="s">
        <v>856</v>
      </c>
      <c r="C8288" s="1" t="s">
        <v>57</v>
      </c>
      <c r="D8288" s="1" t="s">
        <v>658</v>
      </c>
      <c r="E8288" s="1" t="s">
        <v>12522</v>
      </c>
      <c r="F8288" s="1" t="s">
        <v>12523</v>
      </c>
      <c r="G8288" s="1" t="s">
        <v>36</v>
      </c>
      <c r="H8288" s="1" t="s">
        <v>29</v>
      </c>
      <c r="I8288" s="1" t="str">
        <f ca="1">IFERROR(__xludf.DUMMYFUNCTION("GOOGLETRANSLATE(F8288, ""auto"", ""en"")
"),"My set was purchased back in 2008, for ridiculous money))))) at first I used it actively, I used all the attachments. Then, when moving, I put the box with it away somewhere and safely forgot it for 5 years, and now I found it again on the mezzanine))) ev"&amp;"erything works the same as before. Only over time, the polishing attachment became unusable, the disc rolled to the center with a lump of cotton wool... Of course, the power is not enough to give a full-fledged salon manicure, but for keeping hands and fe"&amp;"et in order, it is one hundred percent suitable, removing cuticles is as easy as shelling pears))))))))")</f>
        <v>My set was purchased back in 2008, for ridiculous money))))) at first I used it actively, I used all the attachments. Then, when moving, I put the box with it away somewhere and safely forgot it for 5 years, and now I found it again on the mezzanine))) everything works the same as before. Only over time, the polishing attachment became unusable, the disc rolled to the center with a lump of cotton wool... Of course, the power is not enough to give a full-fledged salon manicure, but for keeping hands and feet in order, it is one hundred percent suitable, removing cuticles is as easy as shelling pears))))))))</v>
      </c>
    </row>
    <row r="8289" spans="1:9" x14ac:dyDescent="0.3">
      <c r="A8289" s="1" t="s">
        <v>120</v>
      </c>
      <c r="B8289" s="1" t="s">
        <v>126</v>
      </c>
      <c r="C8289" s="1" t="s">
        <v>80</v>
      </c>
      <c r="D8289" s="1" t="s">
        <v>305</v>
      </c>
      <c r="E8289" s="1" t="s">
        <v>680</v>
      </c>
      <c r="F8289" s="1" t="s">
        <v>12524</v>
      </c>
      <c r="G8289" s="1" t="s">
        <v>36</v>
      </c>
      <c r="H8289" s="1" t="s">
        <v>29</v>
      </c>
      <c r="I8289" s="1" t="str">
        <f ca="1">IFERROR(__xludf.DUMMYFUNCTION("GOOGLETRANSLATE(F8289, ""auto"", ""en"")
"),"Alexander (Abinsk) don’t write like that anymore (and then figure it out if you understand English), otherwise people will soon take their TVs to the service center.    you need to go to Tool Options in USB Type instead of 0 put 2 TV is very cool, I don’t"&amp;" regret that I took it, only I have 50")</f>
        <v>Alexander (Abinsk) don’t write like that anymore (and then figure it out if you understand English), otherwise people will soon take their TVs to the service center.    you need to go to Tool Options in USB Type instead of 0 put 2 TV is very cool, I don’t regret that I took it, only I have 50</v>
      </c>
    </row>
    <row r="8290" spans="1:9" x14ac:dyDescent="0.3">
      <c r="A8290" s="1" t="s">
        <v>89</v>
      </c>
      <c r="B8290" s="1" t="s">
        <v>90</v>
      </c>
      <c r="C8290" s="1" t="s">
        <v>85</v>
      </c>
      <c r="D8290" s="1" t="s">
        <v>12525</v>
      </c>
      <c r="E8290" s="1" t="s">
        <v>3755</v>
      </c>
      <c r="F8290" s="1" t="s">
        <v>12526</v>
      </c>
      <c r="G8290" s="1" t="s">
        <v>36</v>
      </c>
      <c r="H8290" s="1" t="s">
        <v>29</v>
      </c>
      <c r="I8290" s="1" t="str">
        <f ca="1">IFERROR(__xludf.DUMMYFUNCTION("GOOGLETRANSLATE(F8290, ""auto"", ""en"")
"),"Very convenient, fast, fairly quiet.   Beautiful design, all container lids are comfortable and tactilely pleasant.")</f>
        <v>Very convenient, fast, fairly quiet.   Beautiful design, all container lids are comfortable and tactilely pleasant.</v>
      </c>
    </row>
    <row r="8291" spans="1:9" x14ac:dyDescent="0.3">
      <c r="A8291" s="1" t="s">
        <v>111</v>
      </c>
      <c r="B8291" s="1" t="s">
        <v>636</v>
      </c>
      <c r="C8291" s="1" t="s">
        <v>257</v>
      </c>
      <c r="D8291" s="1" t="s">
        <v>305</v>
      </c>
      <c r="E8291" s="1" t="s">
        <v>128</v>
      </c>
      <c r="F8291" s="1" t="s">
        <v>12527</v>
      </c>
      <c r="G8291" s="1" t="s">
        <v>36</v>
      </c>
      <c r="H8291" s="1" t="s">
        <v>29</v>
      </c>
      <c r="I8291" s="1" t="str">
        <f ca="1">IFERROR(__xludf.DUMMYFUNCTION("GOOGLETRANSLATE(F8291, ""auto"", ""en"")
"),"I’ve been using it for more than a year, bought it in the car, glued it to the dashboard with double-sided tape, it looks elegant, and at night the illumination shimmering with all the colors of the rainbow is simply pleasing to the eye... I am always awa"&amp;"re without being distracted from the road what time it is, what date, day of the week and temperature in the cabin...")</f>
        <v>I’ve been using it for more than a year, bought it in the car, glued it to the dashboard with double-sided tape, it looks elegant, and at night the illumination shimmering with all the colors of the rainbow is simply pleasing to the eye... I am always aware without being distracted from the road what time it is, what date, day of the week and temperature in the cabin...</v>
      </c>
    </row>
    <row r="8292" spans="1:9" x14ac:dyDescent="0.3">
      <c r="A8292" s="1" t="s">
        <v>477</v>
      </c>
      <c r="B8292" s="1" t="s">
        <v>478</v>
      </c>
      <c r="C8292" s="1" t="s">
        <v>479</v>
      </c>
      <c r="D8292" s="1" t="s">
        <v>280</v>
      </c>
      <c r="E8292" s="1" t="s">
        <v>1553</v>
      </c>
      <c r="F8292" s="1" t="s">
        <v>12528</v>
      </c>
      <c r="G8292" s="1" t="s">
        <v>28</v>
      </c>
      <c r="H8292" s="1" t="s">
        <v>29</v>
      </c>
      <c r="I8292" s="1" t="str">
        <f ca="1">IFERROR(__xludf.DUMMYFUNCTION("GOOGLETRANSLATE(F8292, ""auto"", ""en"")
"),"I bought the full edition on February 10th of this year. There was some dancing with a tambourine, but in the end I started the game. When I finished the game, I decided that the plot was bad, and after completing a couple of missions in the episodes, I w"&amp;"as completely disappointed and gave up for a while, but then I decided to go through the episodes and as I progressed, all the holes in Niko’s story were filled in, and I got a single picture. It's very cool to go through the same missions from different "&amp;"angles.  Of course you need to go through GTA4 and EFLC together, it's one story. By the way, Windows 7, no problems. When registering for XBOX Live, you can specify Russia, now we have online play too. Game for 4+.")</f>
        <v>I bought the full edition on February 10th of this year. There was some dancing with a tambourine, but in the end I started the game. When I finished the game, I decided that the plot was bad, and after completing a couple of missions in the episodes, I was completely disappointed and gave up for a while, but then I decided to go through the episodes and as I progressed, all the holes in Niko’s story were filled in, and I got a single picture. It's very cool to go through the same missions from different angles.  Of course you need to go through GTA4 and EFLC together, it's one story. By the way, Windows 7, no problems. When registering for XBOX Live, you can specify Russia, now we have online play too. Game for 4+.</v>
      </c>
    </row>
    <row r="8293" spans="1:9" x14ac:dyDescent="0.3">
      <c r="A8293" s="1" t="s">
        <v>149</v>
      </c>
      <c r="B8293" s="1" t="s">
        <v>423</v>
      </c>
      <c r="C8293" s="1" t="s">
        <v>314</v>
      </c>
      <c r="D8293" s="1" t="s">
        <v>172</v>
      </c>
      <c r="E8293" s="1" t="s">
        <v>12529</v>
      </c>
      <c r="F8293" s="1" t="s">
        <v>12530</v>
      </c>
      <c r="G8293" s="1" t="s">
        <v>36</v>
      </c>
      <c r="H8293" s="1" t="s">
        <v>29</v>
      </c>
      <c r="I8293" s="1" t="str">
        <f ca="1">IFERROR(__xludf.DUMMYFUNCTION("GOOGLETRANSLATE(F8293, ""auto"", ""en"")
"),"Functionality and simplicity coupled with low cost")</f>
        <v>Functionality and simplicity coupled with low cost</v>
      </c>
    </row>
    <row r="8294" spans="1:9" x14ac:dyDescent="0.3">
      <c r="A8294" s="1" t="s">
        <v>149</v>
      </c>
      <c r="B8294" s="1" t="s">
        <v>150</v>
      </c>
      <c r="C8294" s="1" t="s">
        <v>151</v>
      </c>
      <c r="D8294" s="1" t="s">
        <v>4759</v>
      </c>
      <c r="E8294" s="1" t="s">
        <v>2354</v>
      </c>
      <c r="F8294" s="1" t="s">
        <v>12531</v>
      </c>
      <c r="G8294" s="1" t="s">
        <v>36</v>
      </c>
      <c r="H8294" s="1" t="s">
        <v>29</v>
      </c>
      <c r="I8294" s="1" t="str">
        <f ca="1">IFERROR(__xludf.DUMMYFUNCTION("GOOGLETRANSLATE(F8294, ""auto"", ""en"")
"),"The vacuum cleaner is excellent. The best of the best. I recommend it. There is enough power. Buy it and find out how much hair you have on the floor and in the carpets at home!")</f>
        <v>The vacuum cleaner is excellent. The best of the best. I recommend it. There is enough power. Buy it and find out how much hair you have on the floor and in the carpets at home!</v>
      </c>
    </row>
    <row r="8295" spans="1:9" x14ac:dyDescent="0.3">
      <c r="A8295" s="1" t="s">
        <v>61</v>
      </c>
      <c r="B8295" s="1" t="s">
        <v>318</v>
      </c>
      <c r="C8295" s="1" t="s">
        <v>57</v>
      </c>
      <c r="D8295" s="1" t="s">
        <v>2697</v>
      </c>
      <c r="E8295" s="1" t="s">
        <v>1565</v>
      </c>
      <c r="F8295" s="1" t="s">
        <v>12532</v>
      </c>
      <c r="G8295" s="1" t="s">
        <v>15</v>
      </c>
      <c r="H8295" s="1" t="s">
        <v>16</v>
      </c>
      <c r="I8295" s="1" t="str">
        <f ca="1">IFERROR(__xludf.DUMMYFUNCTION("GOOGLETRANSLATE(F8295, ""auto"", ""en"")
"),"Immediately after the purchase, I was irritated by the discrepancy between reality and advertising. There is only one mode, boiling cannot be turned off, the pump activation button is blocked (why is it even needed?) too, heat loss is huge (the body is al"&amp;"ways hot), during a short-term power outage you have to turn on boiling to get it working again, when disconnected from the network (a trip to the country, for example), after an hour or two the water is already slightly warm (in a Chinese thermos with a "&amp;"pump it remains hot even after a day). That is, there is no thermal insulation inside. This means that it constantly eats electricity, like a radiator, and in the summer it had to be turned off altogether so as not to heat the room in such heat. The pump "&amp;"is weak, the water drips a little, when there are two to one and a half liters left - there is not enough pressure at all and you have to help with a hand pump. In recent months, after you released the pump button, it continued to drip, and not just five "&amp;"seconds of a couple of drops, but you could stand with the mug for a minute, and the drops fell and fell. If anyone doesn’t understand what the problem is, if you remove the mug, a whole puddle will drip onto the table. Was purchased in April. And then a "&amp;"couple of days ago the electric pump stopped showing signs of life. No warranty repairs, returns only. The warranty is only one year, it’s good that it hasn’t expired.")</f>
        <v>Immediately after the purchase, I was irritated by the discrepancy between reality and advertising. There is only one mode, boiling cannot be turned off, the pump activation button is blocked (why is it even needed?) too, heat loss is huge (the body is always hot), during a short-term power outage you have to turn on boiling to get it working again, when disconnected from the network (a trip to the country, for example), after an hour or two the water is already slightly warm (in a Chinese thermos with a pump it remains hot even after a day). That is, there is no thermal insulation inside. This means that it constantly eats electricity, like a radiator, and in the summer it had to be turned off altogether so as not to heat the room in such heat. The pump is weak, the water drips a little, when there are two to one and a half liters left - there is not enough pressure at all and you have to help with a hand pump. In recent months, after you released the pump button, it continued to drip, and not just five seconds of a couple of drops, but you could stand with the mug for a minute, and the drops fell and fell. If anyone doesn’t understand what the problem is, if you remove the mug, a whole puddle will drip onto the table. Was purchased in April. And then a couple of days ago the electric pump stopped showing signs of life. No warranty repairs, returns only. The warranty is only one year, it’s good that it hasn’t expired.</v>
      </c>
    </row>
    <row r="8296" spans="1:9" x14ac:dyDescent="0.3">
      <c r="A8296" s="1" t="s">
        <v>105</v>
      </c>
      <c r="B8296" s="1" t="s">
        <v>106</v>
      </c>
      <c r="C8296" s="1" t="s">
        <v>97</v>
      </c>
      <c r="D8296" s="1" t="s">
        <v>172</v>
      </c>
      <c r="E8296" s="1" t="s">
        <v>1273</v>
      </c>
      <c r="F8296" s="1" t="s">
        <v>12533</v>
      </c>
      <c r="G8296" s="1" t="s">
        <v>36</v>
      </c>
      <c r="H8296" s="1" t="s">
        <v>29</v>
      </c>
      <c r="I8296" s="1" t="str">
        <f ca="1">IFERROR(__xludf.DUMMYFUNCTION("GOOGLETRANSLATE(F8296, ""auto"", ""en"")
"),"A simple player without any unnecessary functions. Compact, convenient, high-quality sound, simple interface. There is enough memory in full. In addition, this is a Sony player, which promises high quality.")</f>
        <v>A simple player without any unnecessary functions. Compact, convenient, high-quality sound, simple interface. There is enough memory in full. In addition, this is a Sony player, which promises high quality.</v>
      </c>
    </row>
    <row r="8297" spans="1:9" x14ac:dyDescent="0.3">
      <c r="A8297" s="1" t="s">
        <v>9</v>
      </c>
      <c r="B8297" s="1" t="s">
        <v>137</v>
      </c>
      <c r="C8297" s="1" t="s">
        <v>151</v>
      </c>
      <c r="D8297" s="1" t="s">
        <v>327</v>
      </c>
      <c r="E8297" s="1" t="s">
        <v>2577</v>
      </c>
      <c r="F8297" s="1" t="s">
        <v>12534</v>
      </c>
      <c r="G8297" s="1" t="s">
        <v>36</v>
      </c>
      <c r="H8297" s="1" t="s">
        <v>29</v>
      </c>
      <c r="I8297" s="1" t="str">
        <f ca="1">IFERROR(__xludf.DUMMYFUNCTION("GOOGLETRANSLATE(F8297, ""auto"", ""en"")
"),"I bought it three times, now I’ve moved again and have a choice to make. I can't choose anything more worthy. I'll take it. Solid glass, without edges, easy to clean. Heats up quickly, nothing burns. Convenient two heating zones.")</f>
        <v>I bought it three times, now I’ve moved again and have a choice to make. I can't choose anything more worthy. I'll take it. Solid glass, without edges, easy to clean. Heats up quickly, nothing burns. Convenient two heating zones.</v>
      </c>
    </row>
    <row r="8298" spans="1:9" x14ac:dyDescent="0.3">
      <c r="A8298" s="1" t="s">
        <v>17</v>
      </c>
      <c r="B8298" s="1" t="s">
        <v>18</v>
      </c>
      <c r="C8298" s="1" t="s">
        <v>290</v>
      </c>
      <c r="D8298" s="1" t="s">
        <v>102</v>
      </c>
      <c r="E8298" s="1" t="s">
        <v>3542</v>
      </c>
      <c r="F8298" s="1" t="s">
        <v>12535</v>
      </c>
      <c r="G8298" s="1" t="s">
        <v>28</v>
      </c>
      <c r="H8298" s="1" t="s">
        <v>29</v>
      </c>
      <c r="I8298" s="1" t="str">
        <f ca="1">IFERROR(__xludf.DUMMYFUNCTION("GOOGLETRANSLATE(F8298, ""auto"", ""en"")
"),"The mode ""Economy Program"" is written ""Economy Program"", i.e. Instead of the letter ""E"" they wrote ""E"". For a combustion brand, this mistake is unacceptable; it raises doubts about the origin of this washing machine!")</f>
        <v>The mode "Economy Program" is written "Economy Program", i.e. Instead of the letter "E" they wrote "E". For a combustion brand, this mistake is unacceptable; it raises doubts about the origin of this washing machine!</v>
      </c>
    </row>
    <row r="8299" spans="1:9" x14ac:dyDescent="0.3">
      <c r="A8299" s="1" t="s">
        <v>451</v>
      </c>
      <c r="B8299" s="1" t="s">
        <v>452</v>
      </c>
      <c r="C8299" s="1" t="s">
        <v>710</v>
      </c>
      <c r="D8299" s="1" t="s">
        <v>589</v>
      </c>
      <c r="E8299" s="1" t="s">
        <v>5902</v>
      </c>
      <c r="F8299" s="1" t="s">
        <v>12536</v>
      </c>
      <c r="G8299" s="1" t="s">
        <v>36</v>
      </c>
      <c r="H8299" s="1" t="s">
        <v>29</v>
      </c>
      <c r="I8299" s="1" t="str">
        <f ca="1">IFERROR(__xludf.DUMMYFUNCTION("GOOGLETRANSLATE(F8299, ""auto"", ""en"")
"),"We bought it recently, it removes pills on clothes perfectly, I really liked it, I recommend it")</f>
        <v>We bought it recently, it removes pills on clothes perfectly, I really liked it, I recommend it</v>
      </c>
    </row>
    <row r="8300" spans="1:9" x14ac:dyDescent="0.3">
      <c r="A8300" s="1" t="s">
        <v>965</v>
      </c>
      <c r="B8300" s="1" t="s">
        <v>966</v>
      </c>
      <c r="C8300" s="1" t="s">
        <v>967</v>
      </c>
      <c r="D8300" s="1" t="s">
        <v>12537</v>
      </c>
      <c r="E8300" s="1" t="s">
        <v>1723</v>
      </c>
      <c r="F8300" s="1" t="s">
        <v>12538</v>
      </c>
      <c r="G8300" s="1" t="s">
        <v>28</v>
      </c>
      <c r="H8300" s="1" t="s">
        <v>29</v>
      </c>
      <c r="I8300" s="1" t="str">
        <f ca="1">IFERROR(__xludf.DUMMYFUNCTION("GOOGLETRANSLATE(F8300, ""auto"", ""en"")
"),"I’ve been using good speakers for 2 years now, the sound is powerful, the price is quality, although 2 years ago I bought them for 2 times cheaper!")</f>
        <v>I’ve been using good speakers for 2 years now, the sound is powerful, the price is quality, although 2 years ago I bought them for 2 times cheaper!</v>
      </c>
    </row>
    <row r="8301" spans="1:9" x14ac:dyDescent="0.3">
      <c r="A8301" s="1" t="s">
        <v>61</v>
      </c>
      <c r="B8301" s="1" t="s">
        <v>180</v>
      </c>
      <c r="C8301" s="1" t="s">
        <v>57</v>
      </c>
      <c r="D8301" s="1" t="s">
        <v>247</v>
      </c>
      <c r="E8301" s="1" t="s">
        <v>10696</v>
      </c>
      <c r="F8301" s="1" t="s">
        <v>12539</v>
      </c>
      <c r="G8301" s="1" t="s">
        <v>36</v>
      </c>
      <c r="H8301" s="1" t="s">
        <v>29</v>
      </c>
      <c r="I8301" s="1" t="str">
        <f ca="1">IFERROR(__xludf.DUMMYFUNCTION("GOOGLETRANSLATE(F8301, ""auto"", ""en"")
"),"We bought it a month ago. We like it in all respects. There are some minor drawbacks - crumbs collect inside, despite the special tray. And sometimes (the reason is unclear) it cooks unevenly. But this is all uncritical. We are satisfied with the price-qu"&amp;"ality ratio")</f>
        <v>We bought it a month ago. We like it in all respects. There are some minor drawbacks - crumbs collect inside, despite the special tray. And sometimes (the reason is unclear) it cooks unevenly. But this is all uncritical. We are satisfied with the price-quality ratio</v>
      </c>
    </row>
    <row r="8302" spans="1:9" x14ac:dyDescent="0.3">
      <c r="A8302" s="1" t="s">
        <v>211</v>
      </c>
      <c r="B8302" s="1" t="s">
        <v>384</v>
      </c>
      <c r="C8302" s="1" t="s">
        <v>101</v>
      </c>
      <c r="D8302" s="1" t="s">
        <v>916</v>
      </c>
      <c r="E8302" s="1" t="s">
        <v>1315</v>
      </c>
      <c r="F8302" s="1" t="s">
        <v>12540</v>
      </c>
      <c r="G8302" s="1" t="s">
        <v>36</v>
      </c>
      <c r="H8302" s="1" t="s">
        <v>29</v>
      </c>
      <c r="I8302" s="1" t="str">
        <f ca="1">IFERROR(__xludf.DUMMYFUNCTION("GOOGLETRANSLATE(F8302, ""auto"", ""en"")
"),"I bought these wonderful scales the other day. They work great! Don't cheat with weight!!! There is a memory, it makes me happy!!! In general, the product is excellent, I recommend it!")</f>
        <v>I bought these wonderful scales the other day. They work great! Don't cheat with weight!!! There is a memory, it makes me happy!!! In general, the product is excellent, I recommend it!</v>
      </c>
    </row>
    <row r="8303" spans="1:9" x14ac:dyDescent="0.3">
      <c r="A8303" s="1" t="s">
        <v>37</v>
      </c>
      <c r="B8303" s="1" t="s">
        <v>38</v>
      </c>
      <c r="C8303" s="1" t="s">
        <v>151</v>
      </c>
      <c r="D8303" s="1" t="s">
        <v>1744</v>
      </c>
      <c r="E8303" s="1" t="s">
        <v>6001</v>
      </c>
      <c r="F8303" s="1" t="s">
        <v>12541</v>
      </c>
      <c r="G8303" s="1" t="s">
        <v>36</v>
      </c>
      <c r="H8303" s="1" t="s">
        <v>29</v>
      </c>
      <c r="I8303" s="1" t="str">
        <f ca="1">IFERROR(__xludf.DUMMYFUNCTION("GOOGLETRANSLATE(F8303, ""auto"", ""en"")
"),"I bought it yesterday. The camera is so-so, but I like the phone itself!")</f>
        <v>I bought it yesterday. The camera is so-so, but I like the phone itself!</v>
      </c>
    </row>
    <row r="8304" spans="1:9" x14ac:dyDescent="0.3">
      <c r="A8304" s="1" t="s">
        <v>17</v>
      </c>
      <c r="B8304" s="1" t="s">
        <v>18</v>
      </c>
      <c r="C8304" s="1" t="s">
        <v>19</v>
      </c>
      <c r="D8304" s="1" t="s">
        <v>1890</v>
      </c>
      <c r="E8304" s="1" t="s">
        <v>1651</v>
      </c>
      <c r="F8304" s="1" t="s">
        <v>12542</v>
      </c>
      <c r="G8304" s="1" t="s">
        <v>36</v>
      </c>
      <c r="H8304" s="1" t="s">
        <v>29</v>
      </c>
      <c r="I8304" s="1" t="str">
        <f ca="1">IFERROR(__xludf.DUMMYFUNCTION("GOOGLETRANSLATE(F8304, ""auto"", ""en"")
"),"I bought it a couple of months ago and I want to say that the machine is excellent! style, functionality - everything you need!  There are water meters at home, so I wash at night - it works really quietly (I have an infant, he sleeps very lightly and the"&amp;" washing machine does not bother him at all).  again, there is a mode for washing children's clothes, which is important for me and the baby :) and my husband is delighted with the mode for washing shirts - he washes collars at 5 plus.  So I recommend it "&amp;"to everyone!")</f>
        <v>I bought it a couple of months ago and I want to say that the machine is excellent! style, functionality - everything you need!  There are water meters at home, so I wash at night - it works really quietly (I have an infant, he sleeps very lightly and the washing machine does not bother him at all).  again, there is a mode for washing children's clothes, which is important for me and the baby :) and my husband is delighted with the mode for washing shirts - he washes collars at 5 plus.  So I recommend it to everyone!</v>
      </c>
    </row>
    <row r="8305" spans="1:9" x14ac:dyDescent="0.3">
      <c r="A8305" s="1" t="s">
        <v>61</v>
      </c>
      <c r="B8305" s="1" t="s">
        <v>318</v>
      </c>
      <c r="C8305" s="1" t="s">
        <v>213</v>
      </c>
      <c r="D8305" s="1" t="s">
        <v>152</v>
      </c>
      <c r="E8305" s="1" t="s">
        <v>859</v>
      </c>
      <c r="F8305" s="1" t="s">
        <v>12543</v>
      </c>
      <c r="G8305" s="1" t="s">
        <v>36</v>
      </c>
      <c r="H8305" s="1" t="s">
        <v>29</v>
      </c>
      <c r="I8305" s="1" t="str">
        <f ca="1">IFERROR(__xludf.DUMMYFUNCTION("GOOGLETRANSLATE(F8305, ""auto"", ""en"")
"),"Purchased in 2007. It never failed, there was no smell of plastic when boiling - it was made in Germany (now they make it, it seems, in Slovenia). But recently a crack appeared in one of the transparent inserts.")</f>
        <v>Purchased in 2007. It never failed, there was no smell of plastic when boiling - it was made in Germany (now they make it, it seems, in Slovenia). But recently a crack appeared in one of the transparent inserts.</v>
      </c>
    </row>
    <row r="8306" spans="1:9" x14ac:dyDescent="0.3">
      <c r="A8306" s="1" t="s">
        <v>9</v>
      </c>
      <c r="B8306" s="1" t="s">
        <v>137</v>
      </c>
      <c r="C8306" s="1" t="s">
        <v>138</v>
      </c>
      <c r="D8306" s="1" t="s">
        <v>2764</v>
      </c>
      <c r="E8306" s="1" t="s">
        <v>11340</v>
      </c>
      <c r="F8306" s="1" t="s">
        <v>12544</v>
      </c>
      <c r="G8306" s="1" t="s">
        <v>36</v>
      </c>
      <c r="H8306" s="1" t="s">
        <v>29</v>
      </c>
      <c r="I8306" s="1" t="str">
        <f ca="1">IFERROR(__xludf.DUMMYFUNCTION("GOOGLETRANSLATE(F8306, ""auto"", ""en"")
"),"I cook with it without any problems, I’ve never had any difficulties with heating, it heats up quickly... out of 4 zones there is one with double heating and one extended for large frying pans) I’ve already gotten used to it, so I perfectly understand whi"&amp;"ch of the 9 heating levels to cook on. It is convenient that there is auto-boiling (reduces the temperature after some time) and auto-shut-off and child protection. The design itself is of course very nice, glass ceramics after all.... washes with a speci"&amp;"al product quickly and easily...")</f>
        <v>I cook with it without any problems, I’ve never had any difficulties with heating, it heats up quickly... out of 4 zones there is one with double heating and one extended for large frying pans) I’ve already gotten used to it, so I perfectly understand which of the 9 heating levels to cook on. It is convenient that there is auto-boiling (reduces the temperature after some time) and auto-shut-off and child protection. The design itself is of course very nice, glass ceramics after all.... washes with a special product quickly and easily...</v>
      </c>
    </row>
    <row r="8307" spans="1:9" x14ac:dyDescent="0.3">
      <c r="A8307" s="1" t="s">
        <v>211</v>
      </c>
      <c r="B8307" s="1" t="s">
        <v>265</v>
      </c>
      <c r="C8307" s="1" t="s">
        <v>1591</v>
      </c>
      <c r="D8307" s="1" t="s">
        <v>5491</v>
      </c>
      <c r="E8307" s="1" t="s">
        <v>692</v>
      </c>
      <c r="F8307" s="1" t="s">
        <v>12545</v>
      </c>
      <c r="G8307" s="1" t="s">
        <v>36</v>
      </c>
      <c r="H8307" s="1" t="s">
        <v>29</v>
      </c>
      <c r="I8307" s="1" t="str">
        <f ca="1">IFERROR(__xludf.DUMMYFUNCTION("GOOGLETRANSLATE(F8307, ""auto"", ""en"")
"),"I bought this trimmer for my husband’s birthday, now six months have passed and everything is working properly. Having a trimmer at home is very convenient, my husband always looks well-groomed. But I must immediately warn you that this trimmer can only b"&amp;"e used for dry shaving, which is also not bad, for example, my husband is used to it this way. The charge is enough for 3-4 uses, then you need to recharge again.")</f>
        <v>I bought this trimmer for my husband’s birthday, now six months have passed and everything is working properly. Having a trimmer at home is very convenient, my husband always looks well-groomed. But I must immediately warn you that this trimmer can only be used for dry shaving, which is also not bad, for example, my husband is used to it this way. The charge is enough for 3-4 uses, then you need to recharge again.</v>
      </c>
    </row>
    <row r="8308" spans="1:9" x14ac:dyDescent="0.3">
      <c r="A8308" s="1" t="s">
        <v>211</v>
      </c>
      <c r="B8308" s="1" t="s">
        <v>212</v>
      </c>
      <c r="C8308" s="1" t="s">
        <v>381</v>
      </c>
      <c r="D8308" s="1" t="s">
        <v>64</v>
      </c>
      <c r="E8308" s="1" t="s">
        <v>3762</v>
      </c>
      <c r="F8308" s="1" t="s">
        <v>12546</v>
      </c>
      <c r="G8308" s="1" t="s">
        <v>36</v>
      </c>
      <c r="H8308" s="1" t="s">
        <v>29</v>
      </c>
      <c r="I8308" s="1" t="str">
        <f ca="1">IFERROR(__xludf.DUMMYFUNCTION("GOOGLETRANSLATE(F8308, ""auto"", ""en"")
"),"Advantages: 1. Coated plates. 2. Instant heating. 3. Temperature display and selection of heating modes. 4. Rotating cord. 5. Quality. 6. Design. 7. Lock against accidental opening.  Disadvantages: no, for every girl it is important to look beautiful and "&amp;"well-groomed. Therefore, for help, we turn to various devices that help us always look beautiful and be at our best. The choice of such rectifiers is huge. And this is exactly what I chose for myself. What attracted me was that you can set the temperature"&amp;" from 130 to 230 degrees. And the plates in it are coated, which protects the hair; there is a rotating cord, so you don’t have to constantly turn and untangle it.")</f>
        <v>Advantages: 1. Coated plates. 2. Instant heating. 3. Temperature display and selection of heating modes. 4. Rotating cord. 5. Quality. 6. Design. 7. Lock against accidental opening.  Disadvantages: no, for every girl it is important to look beautiful and well-groomed. Therefore, for help, we turn to various devices that help us always look beautiful and be at our best. The choice of such rectifiers is huge. And this is exactly what I chose for myself. What attracted me was that you can set the temperature from 130 to 230 degrees. And the plates in it are coated, which protects the hair; there is a rotating cord, so you don’t have to constantly turn and untangle it.</v>
      </c>
    </row>
    <row r="8309" spans="1:9" x14ac:dyDescent="0.3">
      <c r="A8309" s="1" t="s">
        <v>211</v>
      </c>
      <c r="B8309" s="1" t="s">
        <v>212</v>
      </c>
      <c r="C8309" s="1" t="s">
        <v>381</v>
      </c>
      <c r="D8309" s="1" t="s">
        <v>12547</v>
      </c>
      <c r="E8309" s="1" t="s">
        <v>3771</v>
      </c>
      <c r="F8309" s="1" t="s">
        <v>12548</v>
      </c>
      <c r="G8309" s="1" t="s">
        <v>36</v>
      </c>
      <c r="H8309" s="1" t="s">
        <v>29</v>
      </c>
      <c r="I8309" s="1" t="str">
        <f ca="1">IFERROR(__xludf.DUMMYFUNCTION("GOOGLETRANSLATE(F8309, ""auto"", ""en"")
"),"The hairdryer fully corresponds to the quality and price. Ideally dries thick long hair. I recommend it.")</f>
        <v>The hairdryer fully corresponds to the quality and price. Ideally dries thick long hair. I recommend it.</v>
      </c>
    </row>
    <row r="8310" spans="1:9" x14ac:dyDescent="0.3">
      <c r="A8310" s="1" t="s">
        <v>211</v>
      </c>
      <c r="B8310" s="1" t="s">
        <v>212</v>
      </c>
      <c r="C8310" s="1" t="s">
        <v>294</v>
      </c>
      <c r="D8310" s="1" t="s">
        <v>12549</v>
      </c>
      <c r="E8310" s="1" t="s">
        <v>2057</v>
      </c>
      <c r="F8310" s="1" t="s">
        <v>12550</v>
      </c>
      <c r="G8310" s="1" t="s">
        <v>36</v>
      </c>
      <c r="H8310" s="1" t="s">
        <v>29</v>
      </c>
      <c r="I8310" s="1" t="str">
        <f ca="1">IFERROR(__xludf.DUMMYFUNCTION("GOOGLETRANSLATE(F8310, ""auto"", ""en"")
"),"A wonderful device, very convenient to use. Heats up quickly and the styling lasts a long time. I was very pleased with the rotating cord.")</f>
        <v>A wonderful device, very convenient to use. Heats up quickly and the styling lasts a long time. I was very pleased with the rotating cord.</v>
      </c>
    </row>
    <row r="8311" spans="1:9" x14ac:dyDescent="0.3">
      <c r="A8311" s="1" t="s">
        <v>211</v>
      </c>
      <c r="B8311" s="1" t="s">
        <v>212</v>
      </c>
      <c r="C8311" s="1" t="s">
        <v>381</v>
      </c>
      <c r="D8311" s="1" t="s">
        <v>8431</v>
      </c>
      <c r="E8311" s="1" t="s">
        <v>2819</v>
      </c>
      <c r="F8311" s="1" t="s">
        <v>12551</v>
      </c>
      <c r="G8311" s="1" t="s">
        <v>36</v>
      </c>
      <c r="H8311" s="1" t="s">
        <v>29</v>
      </c>
      <c r="I8311" s="1" t="str">
        <f ca="1">IFERROR(__xludf.DUMMYFUNCTION("GOOGLETRANSLATE(F8311, ""auto"", ""en"")
"),"I bought a hairdryer at sea, I thought it would be enough for a month, and oh well... it turned out that the hairdryer is very good, I use it almost every day... the air is not hot, it’s powerful... I really like it)))")</f>
        <v>I bought a hairdryer at sea, I thought it would be enough for a month, and oh well... it turned out that the hairdryer is very good, I use it almost every day... the air is not hot, it’s powerful... I really like it)))</v>
      </c>
    </row>
    <row r="8312" spans="1:9" x14ac:dyDescent="0.3">
      <c r="A8312" s="1" t="s">
        <v>211</v>
      </c>
      <c r="B8312" s="1" t="s">
        <v>212</v>
      </c>
      <c r="C8312" s="1" t="s">
        <v>381</v>
      </c>
      <c r="D8312" s="1" t="s">
        <v>589</v>
      </c>
      <c r="E8312" s="1" t="s">
        <v>336</v>
      </c>
      <c r="F8312" s="1" t="s">
        <v>12552</v>
      </c>
      <c r="G8312" s="1" t="s">
        <v>36</v>
      </c>
      <c r="H8312" s="1" t="s">
        <v>29</v>
      </c>
      <c r="I8312" s="1" t="str">
        <f ca="1">IFERROR(__xludf.DUMMYFUNCTION("GOOGLETRANSLATE(F8312, ""auto"", ""en"")
"),"Amazing! Doesn’t damage hair, straightens and curls well))")</f>
        <v>Amazing! Doesn’t damage hair, straightens and curls well))</v>
      </c>
    </row>
    <row r="8313" spans="1:9" x14ac:dyDescent="0.3">
      <c r="A8313" s="1" t="s">
        <v>120</v>
      </c>
      <c r="B8313" s="1" t="s">
        <v>121</v>
      </c>
      <c r="C8313" s="1" t="s">
        <v>151</v>
      </c>
      <c r="D8313" s="1" t="s">
        <v>916</v>
      </c>
      <c r="E8313" s="1" t="s">
        <v>889</v>
      </c>
      <c r="F8313" s="1" t="s">
        <v>12553</v>
      </c>
      <c r="G8313" s="1" t="s">
        <v>36</v>
      </c>
      <c r="H8313" s="1" t="s">
        <v>29</v>
      </c>
      <c r="I8313" s="1" t="str">
        <f ca="1">IFERROR(__xludf.DUMMYFUNCTION("GOOGLETRANSLATE(F8313, ""auto"", ""en"")
"),"I bought a TV specifically for PS3, I can only say one thing, the TV is awesome, very rich colors, high-quality matrix, like Sony. Movies too, a pleasure to watch!!")</f>
        <v>I bought a TV specifically for PS3, I can only say one thing, the TV is awesome, very rich colors, high-quality matrix, like Sony. Movies too, a pleasure to watch!!</v>
      </c>
    </row>
    <row r="8314" spans="1:9" x14ac:dyDescent="0.3">
      <c r="A8314" s="1" t="s">
        <v>149</v>
      </c>
      <c r="B8314" s="1" t="s">
        <v>423</v>
      </c>
      <c r="C8314" s="1" t="s">
        <v>314</v>
      </c>
      <c r="D8314" s="1" t="s">
        <v>327</v>
      </c>
      <c r="E8314" s="1" t="s">
        <v>4386</v>
      </c>
      <c r="F8314" s="1" t="s">
        <v>12554</v>
      </c>
      <c r="G8314" s="1" t="s">
        <v>36</v>
      </c>
      <c r="H8314" s="1" t="s">
        <v>29</v>
      </c>
      <c r="I8314" s="1" t="str">
        <f ca="1">IFERROR(__xludf.DUMMYFUNCTION("GOOGLETRANSLATE(F8314, ""auto"", ""en"")
"),"The wife is happy!")</f>
        <v>The wife is happy!</v>
      </c>
    </row>
    <row r="8315" spans="1:9" x14ac:dyDescent="0.3">
      <c r="A8315" s="1" t="s">
        <v>61</v>
      </c>
      <c r="B8315" s="1" t="s">
        <v>180</v>
      </c>
      <c r="C8315" s="1" t="s">
        <v>63</v>
      </c>
      <c r="D8315" s="1" t="s">
        <v>12</v>
      </c>
      <c r="E8315" s="1" t="s">
        <v>1277</v>
      </c>
      <c r="F8315" s="1" t="s">
        <v>12555</v>
      </c>
      <c r="G8315" s="1" t="s">
        <v>36</v>
      </c>
      <c r="H8315" s="1" t="s">
        <v>29</v>
      </c>
      <c r="I8315" s="1" t="str">
        <f ca="1">IFERROR(__xludf.DUMMYFUNCTION("GOOGLETRANSLATE(F8315, ""auto"", ""en"")
"),"I've been using it for over a year. No complaints. Reliable, good toaster.")</f>
        <v>I've been using it for over a year. No complaints. Reliable, good toaster.</v>
      </c>
    </row>
    <row r="8316" spans="1:9" x14ac:dyDescent="0.3">
      <c r="A8316" s="1" t="s">
        <v>105</v>
      </c>
      <c r="B8316" s="1" t="s">
        <v>106</v>
      </c>
      <c r="C8316" s="1" t="s">
        <v>1209</v>
      </c>
      <c r="D8316" s="1" t="s">
        <v>152</v>
      </c>
      <c r="E8316" s="1" t="s">
        <v>2702</v>
      </c>
      <c r="F8316" s="1" t="s">
        <v>12556</v>
      </c>
      <c r="G8316" s="1" t="s">
        <v>15</v>
      </c>
      <c r="H8316" s="1" t="s">
        <v>16</v>
      </c>
      <c r="I8316" s="1" t="str">
        <f ca="1">IFERROR(__xludf.DUMMYFUNCTION("GOOGLETRANSLATE(F8316, ""auto"", ""en"")
"),"for the New Year I received an Exply T7 4 GB as a gift, at first, like many, I was happy about the gift, but soon I began to notice: - The touch keys, to put it mildly, are slow - The animation on the player, for example, the visual image when listening t"&amp;"o music files, is slow, and more than half of the functions of the entire player are also slow.  -Even from the instructions, I couldn’t figure out how to properly save bookmarks in a book; I had to click on the same key for a long time so that saving and"&amp;" not loading would be displayed.  -I have never been able to watch a video on the player, even after converting it to AVI format nothing happened.  -It’s unfortunate, but it doesn’t open pictures in JPEG format, I only opened one picture and that’s it, no"&amp;" more...")</f>
        <v>for the New Year I received an Exply T7 4 GB as a gift, at first, like many, I was happy about the gift, but soon I began to notice: - The touch keys, to put it mildly, are slow - The animation on the player, for example, the visual image when listening to music files, is slow, and more than half of the functions of the entire player are also slow.  -Even from the instructions, I couldn’t figure out how to properly save bookmarks in a book; I had to click on the same key for a long time so that saving and not loading would be displayed.  -I have never been able to watch a video on the player, even after converting it to AVI format nothing happened.  -It’s unfortunate, but it doesn’t open pictures in JPEG format, I only opened one picture and that’s it, no more...</v>
      </c>
    </row>
    <row r="8317" spans="1:9" x14ac:dyDescent="0.3">
      <c r="A8317" s="1" t="s">
        <v>61</v>
      </c>
      <c r="B8317" s="1" t="s">
        <v>977</v>
      </c>
      <c r="C8317" s="1" t="s">
        <v>101</v>
      </c>
      <c r="D8317" s="1" t="s">
        <v>295</v>
      </c>
      <c r="E8317" s="1" t="s">
        <v>3813</v>
      </c>
      <c r="F8317" s="1" t="s">
        <v>12557</v>
      </c>
      <c r="G8317" s="1" t="s">
        <v>36</v>
      </c>
      <c r="H8317" s="1" t="s">
        <v>29</v>
      </c>
      <c r="I8317" s="1" t="str">
        <f ca="1">IFERROR(__xludf.DUMMYFUNCTION("GOOGLETRANSLATE(F8317, ""auto"", ""en"")
"),"I bought a mixer in 2006, it served for 6 years, and now it has burned out. I really liked it, now I want to buy this model again. I hope it will last as long as the old mixer. I'm happy with this technique!")</f>
        <v>I bought a mixer in 2006, it served for 6 years, and now it has burned out. I really liked it, now I want to buy this model again. I hope it will last as long as the old mixer. I'm happy with this technique!</v>
      </c>
    </row>
    <row r="8318" spans="1:9" x14ac:dyDescent="0.3">
      <c r="A8318" s="1" t="s">
        <v>61</v>
      </c>
      <c r="B8318" s="1" t="s">
        <v>180</v>
      </c>
      <c r="C8318" s="1" t="s">
        <v>57</v>
      </c>
      <c r="D8318" s="1" t="s">
        <v>305</v>
      </c>
      <c r="E8318" s="1" t="s">
        <v>1481</v>
      </c>
      <c r="F8318" s="1" t="s">
        <v>12558</v>
      </c>
      <c r="G8318" s="1" t="s">
        <v>36</v>
      </c>
      <c r="H8318" s="1" t="s">
        <v>29</v>
      </c>
      <c r="I8318" s="1" t="str">
        <f ca="1">IFERROR(__xludf.DUMMYFUNCTION("GOOGLETRANSLATE(F8318, ""auto"", ""en"")
"),"Quite a good toaster....nice design...possibility of heating and defrosting.  For this price I'm happy")</f>
        <v>Quite a good toaster....nice design...possibility of heating and defrosting.  For this price I'm happy</v>
      </c>
    </row>
    <row r="8319" spans="1:9" x14ac:dyDescent="0.3">
      <c r="A8319" s="1" t="s">
        <v>149</v>
      </c>
      <c r="B8319" s="1" t="s">
        <v>155</v>
      </c>
      <c r="C8319" s="1" t="s">
        <v>24</v>
      </c>
      <c r="D8319" s="1" t="s">
        <v>64</v>
      </c>
      <c r="E8319" s="1" t="s">
        <v>2094</v>
      </c>
      <c r="F8319" s="1" t="s">
        <v>12559</v>
      </c>
      <c r="G8319" s="1" t="s">
        <v>49</v>
      </c>
      <c r="H8319" s="1" t="s">
        <v>16</v>
      </c>
      <c r="I8319" s="1" t="str">
        <f ca="1">IFERROR(__xludf.DUMMYFUNCTION("GOOGLETRANSLATE(F8319, ""auto"", ""en"")
"),"I bought this vacuum cleaner 3 years ago. I liked the new design, I thought it would be more convenient with a container than with a bag. Yeah, right now... I've been looking for filters for this vacuum cleaner for half a year in stores in the city and th"&amp;"ey cost a fortune... one company said they would order it and bring it to me, I have to pay 1600.0 rubles for it. The last time I bought a filter was 659.0 rubles. Now I'm looking for the next one... but no one in the city has it. I am waiting. Maybe some"&amp;"one can bring these scarce filters for sale. So I bought a vacuum cleaner on the cheap...")</f>
        <v>I bought this vacuum cleaner 3 years ago. I liked the new design, I thought it would be more convenient with a container than with a bag. Yeah, right now... I've been looking for filters for this vacuum cleaner for half a year in stores in the city and they cost a fortune... one company said they would order it and bring it to me, I have to pay 1600.0 rubles for it. The last time I bought a filter was 659.0 rubles. Now I'm looking for the next one... but no one in the city has it. I am waiting. Maybe someone can bring these scarce filters for sale. So I bought a vacuum cleaner on the cheap...</v>
      </c>
    </row>
    <row r="8320" spans="1:9" x14ac:dyDescent="0.3">
      <c r="A8320" s="1" t="s">
        <v>61</v>
      </c>
      <c r="B8320" s="1" t="s">
        <v>318</v>
      </c>
      <c r="C8320" s="1" t="s">
        <v>63</v>
      </c>
      <c r="D8320" s="1" t="s">
        <v>46</v>
      </c>
      <c r="E8320" s="1" t="s">
        <v>3111</v>
      </c>
      <c r="F8320" s="1" t="s">
        <v>12560</v>
      </c>
      <c r="G8320" s="1" t="s">
        <v>36</v>
      </c>
      <c r="H8320" s="1" t="s">
        <v>29</v>
      </c>
      <c r="I8320" s="1" t="str">
        <f ca="1">IFERROR(__xludf.DUMMYFUNCTION("GOOGLETRANSLATE(F8320, ""auto"", ""en"")
"),"We bought the kettle because of its design: red, bright, beautiful. But it didn’t disappoint with its functions either - it heats up quickly and nothing leaks. The handle is comfortable and the stand is stable. Bosh does not disappoint, good assembly.")</f>
        <v>We bought the kettle because of its design: red, bright, beautiful. But it didn’t disappoint with its functions either - it heats up quickly and nothing leaks. The handle is comfortable and the stand is stable. Bosh does not disappoint, good assembly.</v>
      </c>
    </row>
    <row r="8321" spans="1:9" x14ac:dyDescent="0.3">
      <c r="A8321" s="1" t="s">
        <v>211</v>
      </c>
      <c r="B8321" s="1" t="s">
        <v>856</v>
      </c>
      <c r="C8321" s="1" t="s">
        <v>101</v>
      </c>
      <c r="D8321" s="1" t="s">
        <v>1681</v>
      </c>
      <c r="E8321" s="1" t="s">
        <v>1048</v>
      </c>
      <c r="F8321" s="1" t="s">
        <v>12561</v>
      </c>
      <c r="G8321" s="1" t="s">
        <v>28</v>
      </c>
      <c r="H8321" s="1" t="s">
        <v>29</v>
      </c>
      <c r="I8321" s="1" t="str">
        <f ca="1">IFERROR(__xludf.DUMMYFUNCTION("GOOGLETRANSLATE(F8321, ""auto"", ""en"")
"),"Compact set for nail care. The attachments are good and useful. But the batteries must be changed immediately so that there are no misunderstandings later. An important point is that when working, you do not need to press the nozzle too hard on the nail, "&amp;"otherwise the device will either slow down or even stop if you press too hard.")</f>
        <v>Compact set for nail care. The attachments are good and useful. But the batteries must be changed immediately so that there are no misunderstandings later. An important point is that when working, you do not need to press the nozzle too hard on the nail, otherwise the device will either slow down or even stop if you press too hard.</v>
      </c>
    </row>
    <row r="8322" spans="1:9" x14ac:dyDescent="0.3">
      <c r="A8322" s="1" t="s">
        <v>105</v>
      </c>
      <c r="B8322" s="1" t="s">
        <v>106</v>
      </c>
      <c r="C8322" s="1" t="s">
        <v>1209</v>
      </c>
      <c r="D8322" s="1" t="s">
        <v>1329</v>
      </c>
      <c r="E8322" s="1" t="s">
        <v>6001</v>
      </c>
      <c r="F8322" s="1" t="s">
        <v>12562</v>
      </c>
      <c r="G8322" s="1" t="s">
        <v>36</v>
      </c>
      <c r="H8322" s="1" t="s">
        <v>29</v>
      </c>
      <c r="I8322" s="1" t="str">
        <f ca="1">IFERROR(__xludf.DUMMYFUNCTION("GOOGLETRANSLATE(F8322, ""auto"", ""en"")
"),"The player is simply magnificent, it reads video formats really well, I even caught cable channels, listening to music is just great, suitable for music lovers.")</f>
        <v>The player is simply magnificent, it reads video formats really well, I even caught cable channels, listening to music is just great, suitable for music lovers.</v>
      </c>
    </row>
    <row r="8323" spans="1:9" x14ac:dyDescent="0.3">
      <c r="A8323" s="1" t="s">
        <v>67</v>
      </c>
      <c r="B8323" s="1" t="s">
        <v>68</v>
      </c>
      <c r="C8323" s="1" t="s">
        <v>69</v>
      </c>
      <c r="D8323" s="1" t="s">
        <v>308</v>
      </c>
      <c r="E8323" s="1" t="s">
        <v>978</v>
      </c>
      <c r="F8323" s="1" t="s">
        <v>12563</v>
      </c>
      <c r="G8323" s="1" t="s">
        <v>36</v>
      </c>
      <c r="H8323" s="1" t="s">
        <v>29</v>
      </c>
      <c r="I8323" s="1" t="str">
        <f ca="1">IFERROR(__xludf.DUMMYFUNCTION("GOOGLETRANSLATE(F8323, ""auto"", ""en"")
"),"The iron is excellent, I spent a long time choosing it, now I regret that I suffered for so long and did not buy it. Irons great, very long cord, no need to carry anymore.")</f>
        <v>The iron is excellent, I spent a long time choosing it, now I regret that I suffered for so long and did not buy it. Irons great, very long cord, no need to carry anymore.</v>
      </c>
    </row>
    <row r="8324" spans="1:9" x14ac:dyDescent="0.3">
      <c r="A8324" s="1" t="s">
        <v>149</v>
      </c>
      <c r="B8324" s="1" t="s">
        <v>155</v>
      </c>
      <c r="C8324" s="1" t="s">
        <v>151</v>
      </c>
      <c r="D8324" s="1" t="s">
        <v>2096</v>
      </c>
      <c r="E8324" s="1" t="s">
        <v>1649</v>
      </c>
      <c r="F8324" s="1" t="s">
        <v>12564</v>
      </c>
      <c r="G8324" s="1" t="s">
        <v>36</v>
      </c>
      <c r="H8324" s="1" t="s">
        <v>29</v>
      </c>
      <c r="I8324" s="1" t="str">
        <f ca="1">IFERROR(__xludf.DUMMYFUNCTION("GOOGLETRANSLATE(F8324, ""auto"", ""en"")
"),"We read a lot on the net before buying which one is better, we came to the conclusion that in terms of price and quality it is similar to the Samsung 4330. And when we came to the store we found this Samsung 4350, it is the same, but with a turbo brush an"&amp;"d a little more powerful! and only 300 rubles more expensive! So we really like it!")</f>
        <v>We read a lot on the net before buying which one is better, we came to the conclusion that in terms of price and quality it is similar to the Samsung 4330. And when we came to the store we found this Samsung 4350, it is the same, but with a turbo brush and a little more powerful! and only 300 rubles more expensive! So we really like it!</v>
      </c>
    </row>
    <row r="8325" spans="1:9" x14ac:dyDescent="0.3">
      <c r="A8325" s="1" t="s">
        <v>282</v>
      </c>
      <c r="B8325" s="1" t="s">
        <v>283</v>
      </c>
      <c r="C8325" s="1" t="s">
        <v>284</v>
      </c>
      <c r="D8325" s="1" t="s">
        <v>12</v>
      </c>
      <c r="E8325" s="1" t="s">
        <v>1384</v>
      </c>
      <c r="F8325" s="1" t="s">
        <v>12565</v>
      </c>
      <c r="G8325" s="1" t="s">
        <v>49</v>
      </c>
      <c r="H8325" s="1" t="s">
        <v>16</v>
      </c>
      <c r="I8325" s="1" t="str">
        <f ca="1">IFERROR(__xludf.DUMMYFUNCTION("GOOGLETRANSLATE(F8325, ""auto"", ""en"")
"),"We decided to buy it today.. fortunately the store is not far away! The quality of the video is so terrible that if you hadn’t watched it in a cinema, you definitely wouldn’t have liked the film when watching the disc.. Sometimes it’s square, sometimes th"&amp;"e color is blurry and there’s constant image noise.. It’s better to go download the creation of pirates) and it’s free and the quality is better! The disc was returned to the store.")</f>
        <v>We decided to buy it today.. fortunately the store is not far away! The quality of the video is so terrible that if you hadn’t watched it in a cinema, you definitely wouldn’t have liked the film when watching the disc.. Sometimes it’s square, sometimes the color is blurry and there’s constant image noise.. It’s better to go download the creation of pirates) and it’s free and the quality is better! The disc was returned to the store.</v>
      </c>
    </row>
    <row r="8326" spans="1:9" x14ac:dyDescent="0.3">
      <c r="A8326" s="1" t="s">
        <v>43</v>
      </c>
      <c r="B8326" s="1" t="s">
        <v>334</v>
      </c>
      <c r="C8326" s="1" t="s">
        <v>101</v>
      </c>
      <c r="D8326" s="1" t="s">
        <v>232</v>
      </c>
      <c r="E8326" s="1" t="s">
        <v>2313</v>
      </c>
      <c r="F8326" s="1" t="s">
        <v>12566</v>
      </c>
      <c r="G8326" s="1" t="s">
        <v>15</v>
      </c>
      <c r="H8326" s="1" t="s">
        <v>16</v>
      </c>
      <c r="I8326" s="1" t="str">
        <f ca="1">IFERROR(__xludf.DUMMYFUNCTION("GOOGLETRANSLATE(F8326, ""auto"", ""en"")
"),"I bought 2 pieces. General impressions - the mount is conveniently made, a good, pleasant switch. The vertical deflection angle could have been larger. The website says 120 unknown units. If these are degrees, then in reality there is half as much between"&amp;" the extreme positions.    One has been working for several days now. A bit noisy. The main noise is the motor shaft. It feels like it might become completely loose over time. The second one, after 2 hours of operation, began to grind and began to spin sl"&amp;"owly.    Summary - the fan is not bad by design, but for such quality it costs 420 rubles. a bit much.")</f>
        <v>I bought 2 pieces. General impressions - the mount is conveniently made, a good, pleasant switch. The vertical deflection angle could have been larger. The website says 120 unknown units. If these are degrees, then in reality there is half as much between the extreme positions.    One has been working for several days now. A bit noisy. The main noise is the motor shaft. It feels like it might become completely loose over time. The second one, after 2 hours of operation, began to grind and began to spin slowly.    Summary - the fan is not bad by design, but for such quality it costs 420 rubles. a bit much.</v>
      </c>
    </row>
    <row r="8327" spans="1:9" x14ac:dyDescent="0.3">
      <c r="A8327" s="1" t="s">
        <v>211</v>
      </c>
      <c r="B8327" s="1" t="s">
        <v>212</v>
      </c>
      <c r="C8327" s="1" t="s">
        <v>69</v>
      </c>
      <c r="D8327" s="1" t="s">
        <v>565</v>
      </c>
      <c r="E8327" s="1" t="s">
        <v>4315</v>
      </c>
      <c r="F8327" s="1" t="s">
        <v>12567</v>
      </c>
      <c r="G8327" s="1" t="s">
        <v>36</v>
      </c>
      <c r="H8327" s="1" t="s">
        <v>29</v>
      </c>
      <c r="I8327" s="1" t="str">
        <f ca="1">IFERROR(__xludf.DUMMYFUNCTION("GOOGLETRANSLATE(F8327, ""auto"", ""en"")
"),"I am very pleased with the purchase. The curls are just awesome, although my hair is difficult to curl. And the clothespins are very convenient, you just need to learn how to use them, they hold tightly. In general, I'm very happy.")</f>
        <v>I am very pleased with the purchase. The curls are just awesome, although my hair is difficult to curl. And the clothespins are very convenient, you just need to learn how to use them, they hold tightly. In general, I'm very happy.</v>
      </c>
    </row>
    <row r="8328" spans="1:9" x14ac:dyDescent="0.3">
      <c r="A8328" s="1" t="s">
        <v>451</v>
      </c>
      <c r="B8328" s="1" t="s">
        <v>452</v>
      </c>
      <c r="C8328" s="1" t="s">
        <v>710</v>
      </c>
      <c r="D8328" s="1" t="s">
        <v>1289</v>
      </c>
      <c r="E8328" s="1" t="s">
        <v>3303</v>
      </c>
      <c r="F8328" s="1" t="s">
        <v>12568</v>
      </c>
      <c r="G8328" s="1" t="s">
        <v>28</v>
      </c>
      <c r="H8328" s="1" t="s">
        <v>29</v>
      </c>
      <c r="I8328" s="1" t="str">
        <f ca="1">IFERROR(__xludf.DUMMYFUNCTION("GOOGLETRANSLATE(F8328, ""auto"", ""en"")
"),"The fuse has blown. They boiled it. It works... For now... A little expensive, but unfortunately there is no solution or analogues. By the way, by the way, it’s impossible to make this fuse out of metal! Otherwise, the meat grinder motor will break down n"&amp;"ext. Apparently you were just unlucky and got a bad deal.")</f>
        <v>The fuse has blown. They boiled it. It works... For now... A little expensive, but unfortunately there is no solution or analogues. By the way, by the way, it’s impossible to make this fuse out of metal! Otherwise, the meat grinder motor will break down next. Apparently you were just unlucky and got a bad deal.</v>
      </c>
    </row>
    <row r="8329" spans="1:9" x14ac:dyDescent="0.3">
      <c r="A8329" s="1" t="s">
        <v>37</v>
      </c>
      <c r="B8329" s="1" t="s">
        <v>38</v>
      </c>
      <c r="C8329" s="1" t="s">
        <v>39</v>
      </c>
      <c r="D8329" s="1" t="s">
        <v>471</v>
      </c>
      <c r="E8329" s="1" t="s">
        <v>4540</v>
      </c>
      <c r="F8329" s="1" t="s">
        <v>12569</v>
      </c>
      <c r="G8329" s="1" t="s">
        <v>36</v>
      </c>
      <c r="H8329" s="1" t="s">
        <v>29</v>
      </c>
      <c r="I8329" s="1" t="str">
        <f ca="1">IFERROR(__xludf.DUMMYFUNCTION("GOOGLETRANSLATE(F8329, ""auto"", ""en"")
"),"The coolest phone on the entire planet!")</f>
        <v>The coolest phone on the entire planet!</v>
      </c>
    </row>
    <row r="8330" spans="1:9" x14ac:dyDescent="0.3">
      <c r="A8330" s="1" t="s">
        <v>9</v>
      </c>
      <c r="B8330" s="1" t="s">
        <v>137</v>
      </c>
      <c r="C8330" s="1" t="s">
        <v>151</v>
      </c>
      <c r="D8330" s="1" t="s">
        <v>52</v>
      </c>
      <c r="E8330" s="1" t="s">
        <v>7081</v>
      </c>
      <c r="F8330" s="1" t="s">
        <v>12570</v>
      </c>
      <c r="G8330" s="1" t="s">
        <v>15</v>
      </c>
      <c r="H8330" s="1" t="s">
        <v>16</v>
      </c>
      <c r="I8330" s="1" t="str">
        <f ca="1">IFERROR(__xludf.DUMMYFUNCTION("GOOGLETRANSLATE(F8330, ""auto"", ""en"")
"),"I've been using it for several months. Spots appeared near the triple flame burner. Stains - peeling of black paint from the back of the glass, i.e. from the inside. I called the Samsung hotline - filled out an application, a technician will come and take"&amp;" a look. But at the same time they said that detachment could have occurred if, during boiling, liquid flowed out of the pan and onto the glass. It’s strange, it’s still a stove, such things happen sometimes, and if it can’t withstand it, then it’s unclea"&amp;"r what such a stove is for at all. Let's see what the service technician says.")</f>
        <v>I've been using it for several months. Spots appeared near the triple flame burner. Stains - peeling of black paint from the back of the glass, i.e. from the inside. I called the Samsung hotline - filled out an application, a technician will come and take a look. But at the same time they said that detachment could have occurred if, during boiling, liquid flowed out of the pan and onto the glass. It’s strange, it’s still a stove, such things happen sometimes, and if it can’t withstand it, then it’s unclear what such a stove is for at all. Let's see what the service technician says.</v>
      </c>
    </row>
    <row r="8331" spans="1:9" x14ac:dyDescent="0.3">
      <c r="A8331" s="1" t="s">
        <v>95</v>
      </c>
      <c r="B8331" s="1" t="s">
        <v>648</v>
      </c>
      <c r="C8331" s="1" t="s">
        <v>97</v>
      </c>
      <c r="D8331" s="1" t="s">
        <v>1917</v>
      </c>
      <c r="E8331" s="1" t="s">
        <v>2280</v>
      </c>
      <c r="F8331" s="1" t="s">
        <v>12571</v>
      </c>
      <c r="G8331" s="1" t="s">
        <v>49</v>
      </c>
      <c r="H8331" s="1" t="s">
        <v>16</v>
      </c>
      <c r="I8331" s="1" t="str">
        <f ca="1">IFERROR(__xludf.DUMMYFUNCTION("GOOGLETRANSLATE(F8331, ""auto"", ""en"")
"),"The least successful of the PSPs, if we take the 3008, firstly, I don’t argue that the Go is almost half the size and lighter than the Slim, and at the same time it is quite comfortable in terms of ergonomics, but there is one thing you won’t be able to p"&amp;"lay fighting games on it, because the buttons have shrunk along with the body and are set deeper than on older models. Considering that almost every fighting game requires you to press combinations of two buttons, this becomes a very difficult task. Secon"&amp;"dly, it is natural that there is no pocket for UMD, and downloading games from Stor is nonsense. This method of purchasing games is convenient in Japan and America, where WiFi is available in every McDonald's, but here in Russia it is very, very difficult"&amp;" (especially in the provinces). Thirdly, this is a charger, which is also a cord for connecting to a computer; if you lose it, therefore, you lose both the charger and the cord; the previously used miniUSB was much more convenient. For me, everyone in the"&amp;" house has a miniUSB cord from a player and other gadgets. Well, last but not least, of course, is its form factor, everyone knows very well that the simpler the design, the more durable it is, subsequently Go will simply repeat the fate of any slider mob"&amp;"ile phone, its screen will become loose. Of the advantages, I can only highlight 16Gb of built-in memory, but you can do the same on the Slim, just take the standard Sony Memory Stick Duo which costs no more than 2,500 thousand and in the end you will get"&amp;" exactly the same amount of memory as the Go and for the same money, but at the same time you will have a more practical and easy-to-use portable console.")</f>
        <v>The least successful of the PSPs, if we take the 3008, firstly, I don’t argue that the Go is almost half the size and lighter than the Slim, and at the same time it is quite comfortable in terms of ergonomics, but there is one thing you won’t be able to play fighting games on it, because the buttons have shrunk along with the body and are set deeper than on older models. Considering that almost every fighting game requires you to press combinations of two buttons, this becomes a very difficult task. Secondly, it is natural that there is no pocket for UMD, and downloading games from Stor is nonsense. This method of purchasing games is convenient in Japan and America, where WiFi is available in every McDonald's, but here in Russia it is very, very difficult (especially in the provinces). Thirdly, this is a charger, which is also a cord for connecting to a computer; if you lose it, therefore, you lose both the charger and the cord; the previously used miniUSB was much more convenient. For me, everyone in the house has a miniUSB cord from a player and other gadgets. Well, last but not least, of course, is its form factor, everyone knows very well that the simpler the design, the more durable it is, subsequently Go will simply repeat the fate of any slider mobile phone, its screen will become loose. Of the advantages, I can only highlight 16Gb of built-in memory, but you can do the same on the Slim, just take the standard Sony Memory Stick Duo which costs no more than 2,500 thousand and in the end you will get exactly the same amount of memory as the Go and for the same money, but at the same time you will have a more practical and easy-to-use portable console.</v>
      </c>
    </row>
    <row r="8332" spans="1:9" x14ac:dyDescent="0.3">
      <c r="A8332" s="1" t="s">
        <v>30</v>
      </c>
      <c r="B8332" s="1" t="s">
        <v>50</v>
      </c>
      <c r="C8332" s="1" t="s">
        <v>1003</v>
      </c>
      <c r="D8332" s="1" t="s">
        <v>232</v>
      </c>
      <c r="E8332" s="1" t="s">
        <v>21</v>
      </c>
      <c r="F8332" s="1" t="s">
        <v>12572</v>
      </c>
      <c r="G8332" s="1" t="s">
        <v>36</v>
      </c>
      <c r="H8332" s="1" t="s">
        <v>29</v>
      </c>
      <c r="I8332" s="1" t="str">
        <f ca="1">IFERROR(__xludf.DUMMYFUNCTION("GOOGLETRANSLATE(F8332, ""auto"", ""en"")
"),"I bought it on the advice of a friend in December 2009 for 26 tr. Before this, a friend bought it for 34 tr.  Games run EVERYTHING and in maximum quality. I drove the car at maximum speed - it was heating up, my left hand was burning and I started to slow"&amp;" down - I put stands under the rear legs and everything was OK!!! The screen's color reproduction is super, the sound is super!! It all depends on the files you are playing.  For those who don't, it's just unlucky.  All other disadvantages like - it gets "&amp;"dirty, heavy, no blue ace - are not critical for me personally. I've been using it for over six months now.")</f>
        <v>I bought it on the advice of a friend in December 2009 for 26 tr. Before this, a friend bought it for 34 tr.  Games run EVERYTHING and in maximum quality. I drove the car at maximum speed - it was heating up, my left hand was burning and I started to slow down - I put stands under the rear legs and everything was OK!!! The screen's color reproduction is super, the sound is super!! It all depends on the files you are playing.  For those who don't, it's just unlucky.  All other disadvantages like - it gets dirty, heavy, no blue ace - are not critical for me personally. I've been using it for over six months now.</v>
      </c>
    </row>
    <row r="8333" spans="1:9" x14ac:dyDescent="0.3">
      <c r="A8333" s="1" t="s">
        <v>206</v>
      </c>
      <c r="B8333" s="1" t="s">
        <v>207</v>
      </c>
      <c r="C8333" s="1" t="s">
        <v>152</v>
      </c>
      <c r="D8333" s="1" t="s">
        <v>12573</v>
      </c>
      <c r="E8333" s="1" t="s">
        <v>285</v>
      </c>
      <c r="F8333" s="1" t="s">
        <v>12574</v>
      </c>
      <c r="G8333" s="1" t="s">
        <v>28</v>
      </c>
      <c r="H8333" s="1" t="s">
        <v>29</v>
      </c>
      <c r="I8333" s="1" t="str">
        <f ca="1">IFERROR(__xludf.DUMMYFUNCTION("GOOGLETRANSLATE(F8333, ""auto"", ""en"")
"),"amp nothing :))))")</f>
        <v>amp nothing :))))</v>
      </c>
    </row>
    <row r="8334" spans="1:9" x14ac:dyDescent="0.3">
      <c r="A8334" s="1" t="s">
        <v>61</v>
      </c>
      <c r="B8334" s="1" t="s">
        <v>318</v>
      </c>
      <c r="C8334" s="1" t="s">
        <v>63</v>
      </c>
      <c r="D8334" s="1" t="s">
        <v>280</v>
      </c>
      <c r="E8334" s="1" t="s">
        <v>4398</v>
      </c>
      <c r="F8334" s="1" t="s">
        <v>12575</v>
      </c>
      <c r="G8334" s="1" t="s">
        <v>49</v>
      </c>
      <c r="H8334" s="1" t="s">
        <v>16</v>
      </c>
      <c r="I8334" s="1" t="str">
        <f ca="1">IFERROR(__xludf.DUMMYFUNCTION("GOOGLETRANSLATE(F8334, ""auto"", ""en"")
"),"After four (!) months of use, the kettle’s switch switch stopped turning off when it boiled! When I tried to turn off the kettle manually, the switch broke completely and the kettle had to be returned!")</f>
        <v>After four (!) months of use, the kettle’s switch switch stopped turning off when it boiled! When I tried to turn off the kettle manually, the switch broke completely and the kettle had to be returned!</v>
      </c>
    </row>
    <row r="8335" spans="1:9" x14ac:dyDescent="0.3">
      <c r="A8335" s="1" t="s">
        <v>149</v>
      </c>
      <c r="B8335" s="1" t="s">
        <v>155</v>
      </c>
      <c r="C8335" s="1" t="s">
        <v>1187</v>
      </c>
      <c r="D8335" s="1" t="s">
        <v>420</v>
      </c>
      <c r="E8335" s="1" t="s">
        <v>418</v>
      </c>
      <c r="F8335" s="1" t="s">
        <v>12576</v>
      </c>
      <c r="G8335" s="1" t="s">
        <v>15</v>
      </c>
      <c r="H8335" s="1" t="s">
        <v>16</v>
      </c>
      <c r="I8335" s="1" t="str">
        <f ca="1">IFERROR(__xludf.DUMMYFUNCTION("GOOGLETRANSLATE(F8335, ""auto"", ""en"")
"),"The vaunted “Root Cyclone + Core Separator” technology turned out to be an ordinary soap bubble. After 10 minutes of cleaning the apartment, the fine filter was inspected. On the mesh side of the filter (probably the filter inlet), hundreds of sand partic"&amp;"les were found, both simply lying on the filter material and entangled in its surface layers. No sand particles were found at the filter outlet. Conclusion: the cyclone does not retain all the sand.")</f>
        <v>The vaunted “Root Cyclone + Core Separator” technology turned out to be an ordinary soap bubble. After 10 minutes of cleaning the apartment, the fine filter was inspected. On the mesh side of the filter (probably the filter inlet), hundreds of sand particles were found, both simply lying on the filter material and entangled in its surface layers. No sand particles were found at the filter outlet. Conclusion: the cyclone does not retain all the sand.</v>
      </c>
    </row>
    <row r="8336" spans="1:9" x14ac:dyDescent="0.3">
      <c r="A8336" s="1" t="s">
        <v>55</v>
      </c>
      <c r="B8336" s="1" t="s">
        <v>184</v>
      </c>
      <c r="C8336" s="1" t="s">
        <v>101</v>
      </c>
      <c r="D8336" s="1" t="s">
        <v>64</v>
      </c>
      <c r="E8336" s="1" t="s">
        <v>2688</v>
      </c>
      <c r="F8336" s="1" t="s">
        <v>12577</v>
      </c>
      <c r="G8336" s="1" t="s">
        <v>15</v>
      </c>
      <c r="H8336" s="1" t="s">
        <v>16</v>
      </c>
      <c r="I8336" s="1" t="str">
        <f ca="1">IFERROR(__xludf.DUMMYFUNCTION("GOOGLETRANSLATE(F8336, ""auto"", ""en"")
"),"We bought it two days ago, when switching to the second mode, the fuse blows or turns itself off! We only set it to the first mode, the heating functions are decreasing every day, cold air began to blow from the left side, it turns out not heating but som"&amp;"e kind of cooling, I will change it to a more expensive model of high quality! Stingy pays twice, I don’t recommend it!")</f>
        <v>We bought it two days ago, when switching to the second mode, the fuse blows or turns itself off! We only set it to the first mode, the heating functions are decreasing every day, cold air began to blow from the left side, it turns out not heating but some kind of cooling, I will change it to a more expensive model of high quality! Stingy pays twice, I don’t recommend it!</v>
      </c>
    </row>
    <row r="8337" spans="1:9" x14ac:dyDescent="0.3">
      <c r="A8337" s="1" t="s">
        <v>149</v>
      </c>
      <c r="B8337" s="1" t="s">
        <v>150</v>
      </c>
      <c r="C8337" s="1" t="s">
        <v>57</v>
      </c>
      <c r="D8337" s="1" t="s">
        <v>1416</v>
      </c>
      <c r="E8337" s="1" t="s">
        <v>1248</v>
      </c>
      <c r="F8337" s="1" t="s">
        <v>12578</v>
      </c>
      <c r="G8337" s="1" t="s">
        <v>28</v>
      </c>
      <c r="H8337" s="1" t="s">
        <v>29</v>
      </c>
      <c r="I8337" s="1" t="str">
        <f ca="1">IFERROR(__xludf.DUMMYFUNCTION("GOOGLETRANSLATE(F8337, ""auto"", ""en"")
"),"A very good vacuum cleaner for the money...;)")</f>
        <v>A very good vacuum cleaner for the money...;)</v>
      </c>
    </row>
    <row r="8338" spans="1:9" x14ac:dyDescent="0.3">
      <c r="A8338" s="1" t="s">
        <v>169</v>
      </c>
      <c r="B8338" s="1" t="s">
        <v>170</v>
      </c>
      <c r="C8338" s="1" t="s">
        <v>171</v>
      </c>
      <c r="D8338" s="1" t="s">
        <v>152</v>
      </c>
      <c r="E8338" s="1" t="s">
        <v>1909</v>
      </c>
      <c r="F8338" s="1" t="s">
        <v>12579</v>
      </c>
      <c r="G8338" s="1" t="s">
        <v>49</v>
      </c>
      <c r="H8338" s="1" t="s">
        <v>16</v>
      </c>
      <c r="I8338" s="1" t="str">
        <f ca="1">IFERROR(__xludf.DUMMYFUNCTION("GOOGLETRANSLATE(F8338, ""auto"", ""en"")
"),"I bought these headphones in a store in Maryino. The right ear does not work - a factory defect. I don't recommend it.    I also want to say that in front of the speaker the wire has a rigid “winding”, apparently for strength. If you want to wear them in "&amp;"a jacket or run in the morning with them in a hooded hoodie, then get ready for the winding to constantly cling to your clothes, which will cause discomfort.")</f>
        <v>I bought these headphones in a store in Maryino. The right ear does not work - a factory defect. I don't recommend it.    I also want to say that in front of the speaker the wire has a rigid “winding”, apparently for strength. If you want to wear them in a jacket or run in the morning with them in a hooded hoodie, then get ready for the winding to constantly cling to your clothes, which will cause discomfort.</v>
      </c>
    </row>
    <row r="8339" spans="1:9" x14ac:dyDescent="0.3">
      <c r="A8339" s="1" t="s">
        <v>105</v>
      </c>
      <c r="B8339" s="1" t="s">
        <v>106</v>
      </c>
      <c r="C8339" s="1" t="s">
        <v>1921</v>
      </c>
      <c r="D8339" s="1" t="s">
        <v>295</v>
      </c>
      <c r="E8339" s="1" t="s">
        <v>194</v>
      </c>
      <c r="F8339" s="1" t="s">
        <v>12580</v>
      </c>
      <c r="G8339" s="1" t="s">
        <v>15</v>
      </c>
      <c r="H8339" s="1" t="s">
        <v>16</v>
      </c>
      <c r="I8339" s="1" t="str">
        <f ca="1">IFERROR(__xludf.DUMMYFUNCTION("GOOGLETRANSLATE(F8339, ""auto"", ""en"")
"),"I bought this player, it’s convenient and beautiful.. everything is fine, but on the second day it stopped turning on... they replaced it without any problems, but the second one stopped turning on after two weeks... and the charge was there, I turned it "&amp;"off.. and couldn’t turn it on again and won’t charge... so.. I’ll try to return it today and take something else... but so far it worked, no complaints... by the way, the first one also froze...")</f>
        <v>I bought this player, it’s convenient and beautiful.. everything is fine, but on the second day it stopped turning on... they replaced it without any problems, but the second one stopped turning on after two weeks... and the charge was there, I turned it off.. and couldn’t turn it on again and won’t charge... so.. I’ll try to return it today and take something else... but so far it worked, no complaints... by the way, the first one also froze...</v>
      </c>
    </row>
    <row r="8340" spans="1:9" x14ac:dyDescent="0.3">
      <c r="A8340" s="1" t="s">
        <v>95</v>
      </c>
      <c r="B8340" s="1" t="s">
        <v>227</v>
      </c>
      <c r="C8340" s="1" t="s">
        <v>97</v>
      </c>
      <c r="D8340" s="1" t="s">
        <v>171</v>
      </c>
      <c r="E8340" s="1" t="s">
        <v>128</v>
      </c>
      <c r="F8340" s="1" t="s">
        <v>12581</v>
      </c>
      <c r="G8340" s="1" t="s">
        <v>36</v>
      </c>
      <c r="H8340" s="1" t="s">
        <v>29</v>
      </c>
      <c r="I8340" s="1" t="str">
        <f ca="1">IFERROR(__xludf.DUMMYFUNCTION("GOOGLETRANSLATE(F8340, ""auto"", ""en"")
"),"Excellent set. I bought it and can’t put it down. I recommend it to everyone!")</f>
        <v>Excellent set. I bought it and can’t put it down. I recommend it to everyone!</v>
      </c>
    </row>
    <row r="8341" spans="1:9" x14ac:dyDescent="0.3">
      <c r="A8341" s="1" t="s">
        <v>211</v>
      </c>
      <c r="B8341" s="1" t="s">
        <v>410</v>
      </c>
      <c r="C8341" s="1" t="s">
        <v>122</v>
      </c>
      <c r="D8341" s="1" t="s">
        <v>102</v>
      </c>
      <c r="E8341" s="1" t="s">
        <v>1742</v>
      </c>
      <c r="F8341" s="1" t="s">
        <v>12582</v>
      </c>
      <c r="G8341" s="1" t="s">
        <v>36</v>
      </c>
      <c r="H8341" s="1" t="s">
        <v>29</v>
      </c>
      <c r="I8341" s="1" t="str">
        <f ca="1">IFERROR(__xludf.DUMMYFUNCTION("GOOGLETRANSLATE(F8341, ""auto"", ""en"")
"),"I had my first washable Panasonic when I was 7-8 years old. Back then, it seemed like no one was making washable razors except them. I enjoyed the device for many years. And I would have continued if I hadn’t fallen one day. The button broke, water began "&amp;"to get in and slowly the device bent.   Instead, 8807 appeared. A worthy thing, I recommend it. If you don’t want to spend more than 4,000 rubles, buy any device of the brand (only with a NiMh or LiIon battery. They are all quite good. And the 8807 is gen"&amp;"erally cool. A washable electric razor rules!")</f>
        <v>I had my first washable Panasonic when I was 7-8 years old. Back then, it seemed like no one was making washable razors except them. I enjoyed the device for many years. And I would have continued if I hadn’t fallen one day. The button broke, water began to get in and slowly the device bent.   Instead, 8807 appeared. A worthy thing, I recommend it. If you don’t want to spend more than 4,000 rubles, buy any device of the brand (only with a NiMh or LiIon battery. They are all quite good. And the 8807 is generally cool. A washable electric razor rules!</v>
      </c>
    </row>
    <row r="8342" spans="1:9" x14ac:dyDescent="0.3">
      <c r="A8342" s="1" t="s">
        <v>211</v>
      </c>
      <c r="B8342" s="1" t="s">
        <v>212</v>
      </c>
      <c r="C8342" s="1" t="s">
        <v>213</v>
      </c>
      <c r="D8342" s="1" t="s">
        <v>12583</v>
      </c>
      <c r="E8342" s="1" t="s">
        <v>1228</v>
      </c>
      <c r="F8342" s="1" t="s">
        <v>12584</v>
      </c>
      <c r="G8342" s="1" t="s">
        <v>36</v>
      </c>
      <c r="H8342" s="1" t="s">
        <v>29</v>
      </c>
      <c r="I8342" s="1" t="str">
        <f ca="1">IFERROR(__xludf.DUMMYFUNCTION("GOOGLETRANSLATE(F8342, ""auto"", ""en"")
"),"I recently bought these tongs from you, at first I was a little confused by the price (because there are cheaper ones), but the sales assistant convinced me. So now I can’t get enough of them, the curling iron heats up quickly, literally less than 1 minut"&amp;"e, straightens hair well the first time, sits comfortably in the hand, doesn’t slip off, in general I can’t get enough of it at all, and I don’t regret buying it at all.")</f>
        <v>I recently bought these tongs from you, at first I was a little confused by the price (because there are cheaper ones), but the sales assistant convinced me. So now I can’t get enough of them, the curling iron heats up quickly, literally less than 1 minute, straightens hair well the first time, sits comfortably in the hand, doesn’t slip off, in general I can’t get enough of it at all, and I don’t regret buying it at all.</v>
      </c>
    </row>
    <row r="8343" spans="1:9" x14ac:dyDescent="0.3">
      <c r="A8343" s="1" t="s">
        <v>61</v>
      </c>
      <c r="B8343" s="1" t="s">
        <v>318</v>
      </c>
      <c r="C8343" s="1" t="s">
        <v>69</v>
      </c>
      <c r="D8343" s="1" t="s">
        <v>305</v>
      </c>
      <c r="E8343" s="1" t="s">
        <v>4176</v>
      </c>
      <c r="F8343" s="1" t="s">
        <v>12585</v>
      </c>
      <c r="G8343" s="1" t="s">
        <v>49</v>
      </c>
      <c r="H8343" s="1" t="s">
        <v>16</v>
      </c>
      <c r="I8343" s="1" t="str">
        <f ca="1">IFERROR(__xludf.DUMMYFUNCTION("GOOGLETRANSLATE(F8343, ""auto"", ""en"")
"),"Filled it with water. I set it to bend. It boiled and flowed from under the power button and bottom! I'll go return it tomorrow! Excellent quality... please give me two :-)")</f>
        <v>Filled it with water. I set it to bend. It boiled and flowed from under the power button and bottom! I'll go return it tomorrow! Excellent quality... please give me two :-)</v>
      </c>
    </row>
    <row r="8344" spans="1:9" x14ac:dyDescent="0.3">
      <c r="A8344" s="1" t="s">
        <v>78</v>
      </c>
      <c r="B8344" s="1" t="s">
        <v>1163</v>
      </c>
      <c r="C8344" s="1" t="s">
        <v>85</v>
      </c>
      <c r="D8344" s="1" t="s">
        <v>2290</v>
      </c>
      <c r="E8344" s="1" t="s">
        <v>3509</v>
      </c>
      <c r="F8344" s="1" t="s">
        <v>12586</v>
      </c>
      <c r="G8344" s="1" t="s">
        <v>36</v>
      </c>
      <c r="H8344" s="1" t="s">
        <v>29</v>
      </c>
      <c r="I8344" s="1" t="str">
        <f ca="1">IFERROR(__xludf.DUMMYFUNCTION("GOOGLETRANSLATE(F8344, ""auto"", ""en"")
"),"for two years the microwave worked without problems (despite the reduced voltage - which leads to the fact that the microwave either heats weakly or does not heat at all). In general, as a microwave repair specialist, I’ll honestly say that Bork’s microwa"&amp;"ves are good!!!! I advise everyone!")</f>
        <v>for two years the microwave worked without problems (despite the reduced voltage - which leads to the fact that the microwave either heats weakly or does not heat at all). In general, as a microwave repair specialist, I’ll honestly say that Bork’s microwaves are good!!!! I advise everyone!</v>
      </c>
    </row>
    <row r="8345" spans="1:9" x14ac:dyDescent="0.3">
      <c r="A8345" s="1" t="s">
        <v>43</v>
      </c>
      <c r="B8345" s="1" t="s">
        <v>1616</v>
      </c>
      <c r="C8345" s="1" t="s">
        <v>1138</v>
      </c>
      <c r="D8345" s="1" t="s">
        <v>411</v>
      </c>
      <c r="E8345" s="1" t="s">
        <v>6345</v>
      </c>
      <c r="F8345" s="1" t="s">
        <v>12587</v>
      </c>
      <c r="G8345" s="1" t="s">
        <v>28</v>
      </c>
      <c r="H8345" s="1" t="s">
        <v>29</v>
      </c>
      <c r="I8345" s="1" t="str">
        <f ca="1">IFERROR(__xludf.DUMMYFUNCTION("GOOGLETRANSLATE(F8345, ""auto"", ""en"")
"),"Regul. air direction there is no flow. There is no Breeze mode. It cools not bad, but I couldn’t achieve 20 degrees. It is noisy, but does not interfere with sleep.")</f>
        <v>Regul. air direction there is no flow. There is no Breeze mode. It cools not bad, but I couldn’t achieve 20 degrees. It is noisy, but does not interfere with sleep.</v>
      </c>
    </row>
    <row r="8346" spans="1:9" x14ac:dyDescent="0.3">
      <c r="A8346" s="1" t="s">
        <v>95</v>
      </c>
      <c r="B8346" s="1" t="s">
        <v>402</v>
      </c>
      <c r="C8346" s="1" t="s">
        <v>403</v>
      </c>
      <c r="D8346" s="1" t="s">
        <v>52</v>
      </c>
      <c r="E8346" s="1" t="s">
        <v>2593</v>
      </c>
      <c r="F8346" s="1" t="s">
        <v>12588</v>
      </c>
      <c r="G8346" s="1" t="s">
        <v>36</v>
      </c>
      <c r="H8346" s="1" t="s">
        <v>29</v>
      </c>
      <c r="I8346" s="1" t="str">
        <f ca="1">IFERROR(__xludf.DUMMYFUNCTION("GOOGLETRANSLATE(F8346, ""auto"", ""en"")
"),"Allows you to have a great time while traveling, in queues, when the power is turned off and in other situations when the choice of entertainment is small. A rich library of games, from platformers to role-playing and logic games. “Warm lamp” graphics, un"&amp;"expected game solutions (such as a surgeon simulator combined with a visual novel). Overall, a lot of fun for the money. You can’t watch videos and use it as a player (unless you install only specialized shells and put up with low quality), but for small "&amp;"and good games it’s just the thing. Sometimes I use it as a book reader. Compact size - easily hides in your pocket.")</f>
        <v>Allows you to have a great time while traveling, in queues, when the power is turned off and in other situations when the choice of entertainment is small. A rich library of games, from platformers to role-playing and logic games. “Warm lamp” graphics, unexpected game solutions (such as a surgeon simulator combined with a visual novel). Overall, a lot of fun for the money. You can’t watch videos and use it as a player (unless you install only specialized shells and put up with low quality), but for small and good games it’s just the thing. Sometimes I use it as a book reader. Compact size - easily hides in your pocket.</v>
      </c>
    </row>
    <row r="8347" spans="1:9" x14ac:dyDescent="0.3">
      <c r="A8347" s="1" t="s">
        <v>120</v>
      </c>
      <c r="B8347" s="1" t="s">
        <v>121</v>
      </c>
      <c r="C8347" s="1" t="s">
        <v>97</v>
      </c>
      <c r="D8347" s="1" t="s">
        <v>81</v>
      </c>
      <c r="E8347" s="1" t="s">
        <v>3509</v>
      </c>
      <c r="F8347" s="1" t="s">
        <v>12589</v>
      </c>
      <c r="G8347" s="1" t="s">
        <v>36</v>
      </c>
      <c r="H8347" s="1" t="s">
        <v>29</v>
      </c>
      <c r="I8347" s="1" t="str">
        <f ca="1">IFERROR(__xludf.DUMMYFUNCTION("GOOGLETRANSLATE(F8347, ""auto"", ""en"")
"),"It reads video from a flash drive, but in mpeg 2 and mpeg 1 format. The converter will help you, Sergey :)")</f>
        <v>It reads video from a flash drive, but in mpeg 2 and mpeg 1 format. The converter will help you, Sergey :)</v>
      </c>
    </row>
    <row r="8348" spans="1:9" x14ac:dyDescent="0.3">
      <c r="A8348" s="1" t="s">
        <v>211</v>
      </c>
      <c r="B8348" s="1" t="s">
        <v>410</v>
      </c>
      <c r="C8348" s="1" t="s">
        <v>213</v>
      </c>
      <c r="D8348" s="1" t="s">
        <v>12590</v>
      </c>
      <c r="E8348" s="1" t="s">
        <v>3330</v>
      </c>
      <c r="F8348" s="1" t="s">
        <v>12591</v>
      </c>
      <c r="G8348" s="1" t="s">
        <v>28</v>
      </c>
      <c r="H8348" s="1" t="s">
        <v>29</v>
      </c>
      <c r="I8348" s="1" t="str">
        <f ca="1">IFERROR(__xludf.DUMMYFUNCTION("GOOGLETRANSLATE(F8348, ""auto"", ""en"")
"),"I bought a razor today. I tried it. In principle, what I expected is what I got. The quality of the razor is decent. Shaves his cheeks well. In the neck where the stubble grows in parallel, it does not shave right away. Overall I'm happy with the razor!")</f>
        <v>I bought a razor today. I tried it. In principle, what I expected is what I got. The quality of the razor is decent. Shaves his cheeks well. In the neck where the stubble grows in parallel, it does not shave right away. Overall I'm happy with the razor!</v>
      </c>
    </row>
    <row r="8349" spans="1:9" x14ac:dyDescent="0.3">
      <c r="A8349" s="1" t="s">
        <v>105</v>
      </c>
      <c r="B8349" s="1" t="s">
        <v>106</v>
      </c>
      <c r="C8349" s="1" t="s">
        <v>1209</v>
      </c>
      <c r="D8349" s="1" t="s">
        <v>1681</v>
      </c>
      <c r="E8349" s="1" t="s">
        <v>109</v>
      </c>
      <c r="F8349" s="1" t="s">
        <v>12592</v>
      </c>
      <c r="G8349" s="1" t="s">
        <v>49</v>
      </c>
      <c r="H8349" s="1" t="s">
        <v>16</v>
      </c>
      <c r="I8349" s="1" t="str">
        <f ca="1">IFERROR(__xludf.DUMMYFUNCTION("GOOGLETRANSLATE(F8349, ""auto"", ""en"")
"),"While I hardly used it, it worked normally, but as soon as I started traveling a lot and started taking it with me all the time, problems started. Then when you throw in music it will freeze on the update, or it will hang for no reason at all. And recentl"&amp;"y the sound began to hiss and be interrupted, I thought about headphones, I bought good Pioneer ones to no avail, I thought they sold bad headphones, I went to the store, they gave me others, they opened them in front of me and checked that everything wor"&amp;"ked, then I plugged these same headphones into my player, the same story, wheezing, hissing and the sound disappeared altogether. Tomorrow I’ll probably take it under warranty if there’s still any left. By the way, I bought a latitude video from M.")</f>
        <v>While I hardly used it, it worked normally, but as soon as I started traveling a lot and started taking it with me all the time, problems started. Then when you throw in music it will freeze on the update, or it will hang for no reason at all. And recently the sound began to hiss and be interrupted, I thought about headphones, I bought good Pioneer ones to no avail, I thought they sold bad headphones, I went to the store, they gave me others, they opened them in front of me and checked that everything worked, then I plugged these same headphones into my player, the same story, wheezing, hissing and the sound disappeared altogether. Tomorrow I’ll probably take it under warranty if there’s still any left. By the way, I bought a latitude video from M.</v>
      </c>
    </row>
    <row r="8350" spans="1:9" x14ac:dyDescent="0.3">
      <c r="A8350" s="1" t="s">
        <v>17</v>
      </c>
      <c r="B8350" s="1" t="s">
        <v>18</v>
      </c>
      <c r="C8350" s="1" t="s">
        <v>290</v>
      </c>
      <c r="D8350" s="1" t="s">
        <v>247</v>
      </c>
      <c r="E8350" s="1" t="s">
        <v>3829</v>
      </c>
      <c r="F8350" s="1" t="s">
        <v>12593</v>
      </c>
      <c r="G8350" s="1" t="s">
        <v>36</v>
      </c>
      <c r="H8350" s="1" t="s">
        <v>29</v>
      </c>
      <c r="I8350" s="1" t="str">
        <f ca="1">IFERROR(__xludf.DUMMYFUNCTION("GOOGLETRANSLATE(F8350, ""auto"", ""en"")
"),"I had no problems with imbalance. I also pressed 1 thing. She just tried to scatter it all over the drum for a long time, and then, in the end, “realizing” that she was unsuccessful, she gave up and left it as is :).  Yes, and in her instructions it is wr"&amp;"itten that if she does not manage to throw out the laundry the way she wants, she will still wring it out, but at the same time reducing the speed.  Read the instructions, it should be there.")</f>
        <v>I had no problems with imbalance. I also pressed 1 thing. She just tried to scatter it all over the drum for a long time, and then, in the end, “realizing” that she was unsuccessful, she gave up and left it as is :).  Yes, and in her instructions it is written that if she does not manage to throw out the laundry the way she wants, she will still wring it out, but at the same time reducing the speed.  Read the instructions, it should be there.</v>
      </c>
    </row>
    <row r="8351" spans="1:9" x14ac:dyDescent="0.3">
      <c r="A8351" s="1" t="s">
        <v>206</v>
      </c>
      <c r="B8351" s="1" t="s">
        <v>207</v>
      </c>
      <c r="C8351" s="1" t="s">
        <v>45</v>
      </c>
      <c r="D8351" s="1" t="s">
        <v>8478</v>
      </c>
      <c r="E8351" s="1" t="s">
        <v>285</v>
      </c>
      <c r="F8351" s="1" t="s">
        <v>12594</v>
      </c>
      <c r="G8351" s="1" t="s">
        <v>36</v>
      </c>
      <c r="H8351" s="1" t="s">
        <v>29</v>
      </c>
      <c r="I8351" s="1" t="str">
        <f ca="1">IFERROR(__xludf.DUMMYFUNCTION("GOOGLETRANSLATE(F8351, ""auto"", ""en"")
"),"I installed this set for myself the other day, I’m very pleased, it plays decently for the money, it plays at 10+... True, it may not play at its full potential due to the head unit (radio), since the deep bass depends very much on the radio (it’s general"&amp;"ly better to connect to a CD radio)... Take it, you won’t regret it!!!")</f>
        <v>I installed this set for myself the other day, I’m very pleased, it plays decently for the money, it plays at 10+... True, it may not play at its full potential due to the head unit (radio), since the deep bass depends very much on the radio (it’s generally better to connect to a CD radio)... Take it, you won’t regret it!!!</v>
      </c>
    </row>
    <row r="8352" spans="1:9" x14ac:dyDescent="0.3">
      <c r="A8352" s="1" t="s">
        <v>169</v>
      </c>
      <c r="B8352" s="1" t="s">
        <v>170</v>
      </c>
      <c r="C8352" s="1" t="s">
        <v>69</v>
      </c>
      <c r="D8352" s="1" t="s">
        <v>12595</v>
      </c>
      <c r="E8352" s="1" t="s">
        <v>1788</v>
      </c>
      <c r="F8352" s="1" t="s">
        <v>12596</v>
      </c>
      <c r="G8352" s="1" t="s">
        <v>28</v>
      </c>
      <c r="H8352" s="1" t="s">
        <v>29</v>
      </c>
      <c r="I8352" s="1" t="str">
        <f ca="1">IFERROR(__xludf.DUMMYFUNCTION("GOOGLETRANSLATE(F8352, ""auto"", ""en"")
"),"I've been using them for a year, during which time the kitten has already chewed the cable (replaced it with an acoustic pc-ofc, by the way, I noticed an increase in sound dynamics), and they fell many times, and I took them apart... They are tenacious. A"&amp;"t first they squeak, yes, but the problem can be solved by lubricating the squeaky plastic with WD-40.  As for the sound, the bass and treble are slightly elevated compared to the monitor AKG 271MKII. Of course, it’s not entirely appropriate to compare, a"&amp;" lavsan capsule will not provide studio detail, and there is often a mess at the bottom, but depending on the genre of music that you listen to, the result can be quite acceptable. They play electric styles with a bang. In the metal style there is a wheez"&amp;"ing sound at the bottom. I listen to them on the E-MU 0404USB, overall I’m happy with the sound, and in the price category up to 2,000 rubles they have no competitors in terms of sound quality.  And yes - don’t judge these headphones immediately after pur"&amp;"chasing them, let them warm up for 2 weeks, lavsan is especially sensitive to warming up.")</f>
        <v>I've been using them for a year, during which time the kitten has already chewed the cable (replaced it with an acoustic pc-ofc, by the way, I noticed an increase in sound dynamics), and they fell many times, and I took them apart... They are tenacious. At first they squeak, yes, but the problem can be solved by lubricating the squeaky plastic with WD-40.  As for the sound, the bass and treble are slightly elevated compared to the monitor AKG 271MKII. Of course, it’s not entirely appropriate to compare, a lavsan capsule will not provide studio detail, and there is often a mess at the bottom, but depending on the genre of music that you listen to, the result can be quite acceptable. They play electric styles with a bang. In the metal style there is a wheezing sound at the bottom. I listen to them on the E-MU 0404USB, overall I’m happy with the sound, and in the price category up to 2,000 rubles they have no competitors in terms of sound quality.  And yes - don’t judge these headphones immediately after purchasing them, let them warm up for 2 weeks, lavsan is especially sensitive to warming up.</v>
      </c>
    </row>
    <row r="8353" spans="1:9" x14ac:dyDescent="0.3">
      <c r="A8353" s="1" t="s">
        <v>211</v>
      </c>
      <c r="B8353" s="1" t="s">
        <v>856</v>
      </c>
      <c r="C8353" s="1" t="s">
        <v>63</v>
      </c>
      <c r="D8353" s="1" t="s">
        <v>335</v>
      </c>
      <c r="E8353" s="1" t="s">
        <v>1432</v>
      </c>
      <c r="F8353" s="1" t="s">
        <v>12597</v>
      </c>
      <c r="G8353" s="1" t="s">
        <v>28</v>
      </c>
      <c r="H8353" s="1" t="s">
        <v>29</v>
      </c>
      <c r="I8353" s="1" t="str">
        <f ca="1">IFERROR(__xludf.DUMMYFUNCTION("GOOGLETRANSLATE(F8353, ""auto"", ""en"")
"),"The heating is really not very good =( I fill the water with lukewarm water, but by the end of the procedure it is already cold =(((The nozzles were also disappointing =) But overall the bath is good, there are excellent massagers at the bottom. Just be c"&amp;"areful! Do not add insoluble components or anything with large particles to the bath! The water from the bath is pumped by a pump and comes out in streams. The tubes are thin and can get clogged!!!")</f>
        <v>The heating is really not very good =( I fill the water with lukewarm water, but by the end of the procedure it is already cold =(((The nozzles were also disappointing =) But overall the bath is good, there are excellent massagers at the bottom. Just be careful! Do not add insoluble components or anything with large particles to the bath! The water from the bath is pumped by a pump and comes out in streams. The tubes are thin and can get clogged!!!</v>
      </c>
    </row>
    <row r="8354" spans="1:9" x14ac:dyDescent="0.3">
      <c r="A8354" s="1" t="s">
        <v>61</v>
      </c>
      <c r="B8354" s="1" t="s">
        <v>318</v>
      </c>
      <c r="C8354" s="1" t="s">
        <v>246</v>
      </c>
      <c r="D8354" s="1" t="s">
        <v>474</v>
      </c>
      <c r="E8354" s="1" t="s">
        <v>2721</v>
      </c>
      <c r="F8354" s="1" t="s">
        <v>12598</v>
      </c>
      <c r="G8354" s="1" t="s">
        <v>15</v>
      </c>
      <c r="H8354" s="1" t="s">
        <v>16</v>
      </c>
      <c r="I8354" s="1" t="str">
        <f ca="1">IFERROR(__xludf.DUMMYFUNCTION("GOOGLETRANSLATE(F8354, ""auto"", ""en"")
"),"Mine also lasted only half a year.(((Although I always trusted this brand.")</f>
        <v>Mine also lasted only half a year.(((Although I always trusted this brand.</v>
      </c>
    </row>
    <row r="8355" spans="1:9" x14ac:dyDescent="0.3">
      <c r="A8355" s="1" t="s">
        <v>61</v>
      </c>
      <c r="B8355" s="1" t="s">
        <v>224</v>
      </c>
      <c r="C8355" s="1" t="s">
        <v>85</v>
      </c>
      <c r="D8355" s="1" t="s">
        <v>12599</v>
      </c>
      <c r="E8355" s="1" t="s">
        <v>5982</v>
      </c>
      <c r="F8355" s="1" t="s">
        <v>12600</v>
      </c>
      <c r="G8355" s="1" t="s">
        <v>36</v>
      </c>
      <c r="H8355" s="1" t="s">
        <v>29</v>
      </c>
      <c r="I8355" s="1" t="str">
        <f ca="1">IFERROR(__xludf.DUMMYFUNCTION("GOOGLETRANSLATE(F8355, ""auto"", ""en"")
"),"All ")</f>
        <v xml:space="preserve">All </v>
      </c>
    </row>
    <row r="8356" spans="1:9" x14ac:dyDescent="0.3">
      <c r="A8356" s="1" t="s">
        <v>624</v>
      </c>
      <c r="B8356" s="1" t="s">
        <v>625</v>
      </c>
      <c r="C8356" s="1" t="s">
        <v>479</v>
      </c>
      <c r="D8356" s="1" t="s">
        <v>280</v>
      </c>
      <c r="E8356" s="1" t="s">
        <v>6496</v>
      </c>
      <c r="F8356" s="1" t="s">
        <v>12601</v>
      </c>
      <c r="G8356" s="1" t="s">
        <v>36</v>
      </c>
      <c r="H8356" s="1" t="s">
        <v>29</v>
      </c>
      <c r="I8356" s="1" t="str">
        <f ca="1">IFERROR(__xludf.DUMMYFUNCTION("GOOGLETRANSLATE(F8356, ""auto"", ""en"")
"),"You must have this game in your collections, it is the best skate game on consoles, I could barely find where to buy it, the bad thing is that it is only exclusive on disk and is not available on PSN. If you find it, buy it, you won’t regret it =)")</f>
        <v>You must have this game in your collections, it is the best skate game on consoles, I could barely find where to buy it, the bad thing is that it is only exclusive on disk and is not available on PSN. If you find it, buy it, you won’t regret it =)</v>
      </c>
    </row>
    <row r="8357" spans="1:9" x14ac:dyDescent="0.3">
      <c r="A8357" s="1" t="s">
        <v>373</v>
      </c>
      <c r="B8357" s="1" t="s">
        <v>374</v>
      </c>
      <c r="C8357" s="1" t="s">
        <v>63</v>
      </c>
      <c r="D8357" s="1" t="s">
        <v>75</v>
      </c>
      <c r="E8357" s="1" t="s">
        <v>2887</v>
      </c>
      <c r="F8357" s="1" t="s">
        <v>12602</v>
      </c>
      <c r="G8357" s="1" t="s">
        <v>36</v>
      </c>
      <c r="H8357" s="1" t="s">
        <v>29</v>
      </c>
      <c r="I8357" s="1" t="str">
        <f ca="1">IFERROR(__xludf.DUMMYFUNCTION("GOOGLETRANSLATE(F8357, ""auto"", ""en"")
"),"The dishwasher is very good! We've been using it for two years now. A big plus is that it is practically silent - very important for those who have small apartments. Works well. Shows in time when the salt or rinse aid runs out. Effectively cleans both ta"&amp;"blets and powder. Superr washes old crystal - you take it out of the dishwasher - it’s like new, all the edges shine!!! Overall a good choice.")</f>
        <v>The dishwasher is very good! We've been using it for two years now. A big plus is that it is practically silent - very important for those who have small apartments. Works well. Shows in time when the salt or rinse aid runs out. Effectively cleans both tablets and powder. Superr washes old crystal - you take it out of the dishwasher - it’s like new, all the edges shine!!! Overall a good choice.</v>
      </c>
    </row>
    <row r="8358" spans="1:9" x14ac:dyDescent="0.3">
      <c r="A8358" s="1" t="s">
        <v>37</v>
      </c>
      <c r="B8358" s="1" t="s">
        <v>536</v>
      </c>
      <c r="C8358" s="1" t="s">
        <v>163</v>
      </c>
      <c r="D8358" s="1" t="s">
        <v>117</v>
      </c>
      <c r="E8358" s="1" t="s">
        <v>1937</v>
      </c>
      <c r="F8358" s="1" t="s">
        <v>12603</v>
      </c>
      <c r="G8358" s="1" t="s">
        <v>36</v>
      </c>
      <c r="H8358" s="1" t="s">
        <v>29</v>
      </c>
      <c r="I8358" s="1" t="str">
        <f ca="1">IFERROR(__xludf.DUMMYFUNCTION("GOOGLETRANSLATE(F8358, ""auto"", ""en"")
"),"Great smartphone!!! I’ve been using it for two weeks, so far everything is fine) Take it, you won’t regret it.")</f>
        <v>Great smartphone!!! I’ve been using it for two weeks, so far everything is fine) Take it, you won’t regret it.</v>
      </c>
    </row>
    <row r="8359" spans="1:9" x14ac:dyDescent="0.3">
      <c r="A8359" s="1" t="s">
        <v>149</v>
      </c>
      <c r="B8359" s="1" t="s">
        <v>576</v>
      </c>
      <c r="C8359" s="1" t="s">
        <v>80</v>
      </c>
      <c r="D8359" s="1" t="s">
        <v>39</v>
      </c>
      <c r="E8359" s="1" t="s">
        <v>872</v>
      </c>
      <c r="F8359" s="1" t="s">
        <v>12604</v>
      </c>
      <c r="G8359" s="1" t="s">
        <v>36</v>
      </c>
      <c r="H8359" s="1" t="s">
        <v>29</v>
      </c>
      <c r="I8359" s="1" t="str">
        <f ca="1">IFERROR(__xludf.DUMMYFUNCTION("GOOGLETRANSLATE(F8359, ""auto"", ""en"")
"),"A very wonderful combination of price and quality... But the turbo brush is a thing that you must have and not replace.")</f>
        <v>A very wonderful combination of price and quality... But the turbo brush is a thing that you must have and not replace.</v>
      </c>
    </row>
    <row r="8360" spans="1:9" x14ac:dyDescent="0.3">
      <c r="A8360" s="1" t="s">
        <v>78</v>
      </c>
      <c r="B8360" s="1" t="s">
        <v>493</v>
      </c>
      <c r="C8360" s="1" t="s">
        <v>80</v>
      </c>
      <c r="D8360" s="1" t="s">
        <v>295</v>
      </c>
      <c r="E8360" s="1" t="s">
        <v>5156</v>
      </c>
      <c r="F8360" s="1" t="s">
        <v>12605</v>
      </c>
      <c r="G8360" s="1" t="s">
        <v>28</v>
      </c>
      <c r="H8360" s="1" t="s">
        <v>29</v>
      </c>
      <c r="I8360" s="1" t="str">
        <f ca="1">IFERROR(__xludf.DUMMYFUNCTION("GOOGLETRANSLATE(F8360, ""auto"", ""en"")
"),"Excellent microwave oven, value for money, convenient control panel, all buttons are clear. I liked the Convection function.  The only downside is the defrosting program, it defrosts unevenly and the edges of the product get a little “fried.”   I really l"&amp;"ike everything else. An indispensable item for families with small children")</f>
        <v>Excellent microwave oven, value for money, convenient control panel, all buttons are clear. I liked the Convection function.  The only downside is the defrosting program, it defrosts unevenly and the edges of the product get a little “fried.”   I really like everything else. An indispensable item for families with small children</v>
      </c>
    </row>
    <row r="8361" spans="1:9" x14ac:dyDescent="0.3">
      <c r="A8361" s="1" t="s">
        <v>61</v>
      </c>
      <c r="B8361" s="1" t="s">
        <v>977</v>
      </c>
      <c r="C8361" s="1" t="s">
        <v>63</v>
      </c>
      <c r="D8361" s="1" t="s">
        <v>12606</v>
      </c>
      <c r="E8361" s="1" t="s">
        <v>2706</v>
      </c>
      <c r="F8361" s="1" t="s">
        <v>12607</v>
      </c>
      <c r="G8361" s="1" t="s">
        <v>36</v>
      </c>
      <c r="H8361" s="1" t="s">
        <v>29</v>
      </c>
      <c r="I8361" s="1" t="str">
        <f ca="1">IFERROR(__xludf.DUMMYFUNCTION("GOOGLETRANSLATE(F8361, ""auto"", ""en"")
"),"An excellent blender, I bought it at a very low price. Bosch appliances have proven themselves very well in our home. The whisk for the blender can be purchased separately, I can do it without it, and the pancake dough is made in 5 seconds, now you don’t "&amp;"even need to grate hard cheese. In general, with this purchase, less time is spent on cooking.")</f>
        <v>An excellent blender, I bought it at a very low price. Bosch appliances have proven themselves very well in our home. The whisk for the blender can be purchased separately, I can do it without it, and the pancake dough is made in 5 seconds, now you don’t even need to grate hard cheese. In general, with this purchase, less time is spent on cooking.</v>
      </c>
    </row>
    <row r="8362" spans="1:9" x14ac:dyDescent="0.3">
      <c r="A8362" s="1" t="s">
        <v>169</v>
      </c>
      <c r="B8362" s="1" t="s">
        <v>170</v>
      </c>
      <c r="C8362" s="1" t="s">
        <v>171</v>
      </c>
      <c r="D8362" s="1" t="s">
        <v>729</v>
      </c>
      <c r="E8362" s="1" t="s">
        <v>3512</v>
      </c>
      <c r="F8362" s="1" t="s">
        <v>12608</v>
      </c>
      <c r="G8362" s="1" t="s">
        <v>36</v>
      </c>
      <c r="H8362" s="1" t="s">
        <v>29</v>
      </c>
      <c r="I8362" s="1" t="str">
        <f ca="1">IFERROR(__xludf.DUMMYFUNCTION("GOOGLETRANSLATE(F8362, ""auto"", ""en"")
"),"I was looking for inexpensive headphones with good sound. I found it, listened to it and bought it))) The bass is soft, the highs are clear and noise-free! Value for money!")</f>
        <v>I was looking for inexpensive headphones with good sound. I found it, listened to it and bought it))) The bass is soft, the highs are clear and noise-free! Value for money!</v>
      </c>
    </row>
    <row r="8363" spans="1:9" x14ac:dyDescent="0.3">
      <c r="A8363" s="1" t="s">
        <v>9</v>
      </c>
      <c r="B8363" s="1" t="s">
        <v>137</v>
      </c>
      <c r="C8363" s="1" t="s">
        <v>870</v>
      </c>
      <c r="D8363" s="1" t="s">
        <v>75</v>
      </c>
      <c r="E8363" s="1" t="s">
        <v>8386</v>
      </c>
      <c r="F8363" s="1" t="s">
        <v>12609</v>
      </c>
      <c r="G8363" s="1" t="s">
        <v>36</v>
      </c>
      <c r="H8363" s="1" t="s">
        <v>29</v>
      </c>
      <c r="I8363" s="1" t="str">
        <f ca="1">IFERROR(__xludf.DUMMYFUNCTION("GOOGLETRANSLATE(F8363, ""auto"", ""en"")
"),"The surface is simply magnificent. Firstly, it looks stylish, and secondly, it is easy to use, the burners are located at a sufficient distance, which allows you to place large dishes nearby, the kettle really boils quickly on the large burner, the igniti"&amp;"on handles do not get hot, because... also well located. A small minus is that on black all the splashes are very visible, but the fact that all this can be removed with a slight movement of the hand (of course with a special product for glass ceramics) t"&amp;"he minus immediately disappears.")</f>
        <v>The surface is simply magnificent. Firstly, it looks stylish, and secondly, it is easy to use, the burners are located at a sufficient distance, which allows you to place large dishes nearby, the kettle really boils quickly on the large burner, the ignition handles do not get hot, because... also well located. A small minus is that on black all the splashes are very visible, but the fact that all this can be removed with a slight movement of the hand (of course with a special product for glass ceramics) the minus immediately disappears.</v>
      </c>
    </row>
    <row r="8364" spans="1:9" x14ac:dyDescent="0.3">
      <c r="A8364" s="1" t="s">
        <v>55</v>
      </c>
      <c r="B8364" s="1" t="s">
        <v>752</v>
      </c>
      <c r="C8364" s="1" t="s">
        <v>185</v>
      </c>
      <c r="D8364" s="1" t="s">
        <v>39</v>
      </c>
      <c r="E8364" s="1" t="s">
        <v>1971</v>
      </c>
      <c r="F8364" s="1" t="s">
        <v>12610</v>
      </c>
      <c r="G8364" s="1" t="s">
        <v>36</v>
      </c>
      <c r="H8364" s="1" t="s">
        <v>29</v>
      </c>
      <c r="I8364" s="1" t="str">
        <f ca="1">IFERROR(__xludf.DUMMYFUNCTION("GOOGLETRANSLATE(F8364, ""auto"", ""en"")
"),"We bought this heater during the cold season. Now, periodically, when there is not enough central heating heating, we turn on the heater. It works properly in all modes and heats up relatively quickly.")</f>
        <v>We bought this heater during the cold season. Now, periodically, when there is not enough central heating heating, we turn on the heater. It works properly in all modes and heats up relatively quickly.</v>
      </c>
    </row>
    <row r="8365" spans="1:9" x14ac:dyDescent="0.3">
      <c r="A8365" s="1" t="s">
        <v>120</v>
      </c>
      <c r="B8365" s="1" t="s">
        <v>196</v>
      </c>
      <c r="C8365" s="1" t="s">
        <v>665</v>
      </c>
      <c r="D8365" s="1" t="s">
        <v>12611</v>
      </c>
      <c r="E8365" s="1" t="s">
        <v>529</v>
      </c>
      <c r="F8365" s="1" t="s">
        <v>12612</v>
      </c>
      <c r="G8365" s="1" t="s">
        <v>28</v>
      </c>
      <c r="H8365" s="1" t="s">
        <v>29</v>
      </c>
      <c r="I8365" s="1" t="str">
        <f ca="1">IFERROR(__xludf.DUMMYFUNCTION("GOOGLETRANSLATE(F8365, ""auto"", ""en"")
"),"Not a bad TV. There is USB, you can view photos and play music from a flash drive. It shows movies in HD perfectly, but from an analog antenna the quality is not very good, there is a lot of interference.")</f>
        <v>Not a bad TV. There is USB, you can view photos and play music from a flash drive. It shows movies in HD perfectly, but from an analog antenna the quality is not very good, there is a lot of interference.</v>
      </c>
    </row>
    <row r="8366" spans="1:9" x14ac:dyDescent="0.3">
      <c r="A8366" s="1" t="s">
        <v>61</v>
      </c>
      <c r="B8366" s="1" t="s">
        <v>180</v>
      </c>
      <c r="C8366" s="1" t="s">
        <v>63</v>
      </c>
      <c r="D8366" s="1" t="s">
        <v>12613</v>
      </c>
      <c r="E8366" s="1" t="s">
        <v>5849</v>
      </c>
      <c r="F8366" s="1" t="s">
        <v>12614</v>
      </c>
      <c r="G8366" s="1" t="s">
        <v>36</v>
      </c>
      <c r="H8366" s="1" t="s">
        <v>29</v>
      </c>
      <c r="I8366" s="1" t="str">
        <f ca="1">IFERROR(__xludf.DUMMYFUNCTION("GOOGLETRANSLATE(F8366, ""auto"", ""en"")
"),"I bought this wonderful toaster six months ago. And since then he has only made me happy.  I have long liked this company for its reliability, ease of management and design.      During use I did not notice any negative aspects.      Works silently and ac"&amp;"curately. You can adjust the crust level, there is a bun rack, a crumb tray and a stop button. There is also a defrost function, but I have not used it yet. Everything is ingenious and simple. The control is mechanical, which in my opinion is even more re"&amp;"liable.  The kitchen has appliances from this company, so it looks harmonious, the design is completely satisfactory. Like other Bosh products, this toaster did not stink at all even when first used, this indicates the good quality of the materials.")</f>
        <v>I bought this wonderful toaster six months ago. And since then he has only made me happy.  I have long liked this company for its reliability, ease of management and design.      During use I did not notice any negative aspects.      Works silently and accurately. You can adjust the crust level, there is a bun rack, a crumb tray and a stop button. There is also a defrost function, but I have not used it yet. Everything is ingenious and simple. The control is mechanical, which in my opinion is even more reliable.  The kitchen has appliances from this company, so it looks harmonious, the design is completely satisfactory. Like other Bosh products, this toaster did not stink at all even when first used, this indicates the good quality of the materials.</v>
      </c>
    </row>
    <row r="8367" spans="1:9" x14ac:dyDescent="0.3">
      <c r="A8367" s="1" t="s">
        <v>37</v>
      </c>
      <c r="B8367" s="1" t="s">
        <v>38</v>
      </c>
      <c r="C8367" s="1" t="s">
        <v>163</v>
      </c>
      <c r="D8367" s="1" t="s">
        <v>2873</v>
      </c>
      <c r="E8367" s="1" t="s">
        <v>233</v>
      </c>
      <c r="F8367" s="1" t="s">
        <v>12615</v>
      </c>
      <c r="G8367" s="1" t="s">
        <v>28</v>
      </c>
      <c r="H8367" s="1" t="s">
        <v>29</v>
      </c>
      <c r="I8367" s="1" t="str">
        <f ca="1">IFERROR(__xludf.DUMMYFUNCTION("GOOGLETRANSLATE(F8367, ""auto"", ""en"")
"),"The phone is great. It started to slow down after a year. The case is cracked along the silver strip. After half a year I had about 5 horizontal cracks. My friend developed cracks after 6-7 months. they don't interfere. but the view is different. everythi"&amp;"ng else is quite satisfactory.")</f>
        <v>The phone is great. It started to slow down after a year. The case is cracked along the silver strip. After half a year I had about 5 horizontal cracks. My friend developed cracks after 6-7 months. they don't interfere. but the view is different. everything else is quite satisfactory.</v>
      </c>
    </row>
    <row r="8368" spans="1:9" x14ac:dyDescent="0.3">
      <c r="A8368" s="1" t="s">
        <v>732</v>
      </c>
      <c r="B8368" s="1" t="s">
        <v>733</v>
      </c>
      <c r="C8368" s="1" t="s">
        <v>80</v>
      </c>
      <c r="D8368" s="1" t="s">
        <v>305</v>
      </c>
      <c r="E8368" s="1" t="s">
        <v>947</v>
      </c>
      <c r="F8368" s="1" t="s">
        <v>12616</v>
      </c>
      <c r="G8368" s="1" t="s">
        <v>36</v>
      </c>
      <c r="H8368" s="1" t="s">
        <v>29</v>
      </c>
      <c r="I8368" s="1" t="str">
        <f ca="1">IFERROR(__xludf.DUMMYFUNCTION("GOOGLETRANSLATE(F8368, ""auto"", ""en"")
"),"Well, the time came when my 19"" monitor began to seem small. Therefore, I wanted something bigger. I bought an LG and, to be honest, I don’t regret it, I’m very pleased. The picture is bright, juicy, all the image optimization functions are cool and conv"&amp;"enient. Therefore, this monitor is worth the money. Take it, you won’t regret it.")</f>
        <v>Well, the time came when my 19" monitor began to seem small. Therefore, I wanted something bigger. I bought an LG and, to be honest, I don’t regret it, I’m very pleased. The picture is bright, juicy, all the image optimization functions are cool and convenient. Therefore, this monitor is worth the money. Take it, you won’t regret it.</v>
      </c>
    </row>
    <row r="8369" spans="1:9" x14ac:dyDescent="0.3">
      <c r="A8369" s="1" t="s">
        <v>95</v>
      </c>
      <c r="B8369" s="1" t="s">
        <v>486</v>
      </c>
      <c r="C8369" s="1" t="s">
        <v>487</v>
      </c>
      <c r="D8369" s="1" t="s">
        <v>20</v>
      </c>
      <c r="E8369" s="1" t="s">
        <v>3673</v>
      </c>
      <c r="F8369" s="1" t="s">
        <v>12617</v>
      </c>
      <c r="G8369" s="1" t="s">
        <v>36</v>
      </c>
      <c r="H8369" s="1" t="s">
        <v>29</v>
      </c>
      <c r="I8369" s="1" t="str">
        <f ca="1">IFERROR(__xludf.DUMMYFUNCTION("GOOGLETRANSLATE(F8369, ""auto"", ""en"")
"),"I've been using it for more than six months. I never crashed, I played everything I could...")</f>
        <v>I've been using it for more than six months. I never crashed, I played everything I could...</v>
      </c>
    </row>
    <row r="8370" spans="1:9" x14ac:dyDescent="0.3">
      <c r="A8370" s="1" t="s">
        <v>61</v>
      </c>
      <c r="B8370" s="1" t="s">
        <v>318</v>
      </c>
      <c r="C8370" s="1" t="s">
        <v>57</v>
      </c>
      <c r="D8370" s="1" t="s">
        <v>52</v>
      </c>
      <c r="E8370" s="1" t="s">
        <v>5831</v>
      </c>
      <c r="F8370" s="1" t="s">
        <v>12618</v>
      </c>
      <c r="G8370" s="1" t="s">
        <v>28</v>
      </c>
      <c r="H8370" s="1" t="s">
        <v>29</v>
      </c>
      <c r="I8370" s="1" t="str">
        <f ca="1">IFERROR(__xludf.DUMMYFUNCTION("GOOGLETRANSLATE(F8370, ""auto"", ""en"")
"),"The three-page reviews about a kettle for 1000 rubles are smiling; probably the manufacturer himself did not pay so much attention to this creation))).   About the teapot. It was very necessary. small kettle, no plastic inside. Actually it copes with the "&amp;"first task. After the purchase, it turned out that there is no power button, but there is a “reset” button, the manual says that it is needed to re-boil the water. As far as I understand, you will have to turn it on and off with a plug. Otherwise the boil"&amp;"er is normal.")</f>
        <v>The three-page reviews about a kettle for 1000 rubles are smiling; probably the manufacturer himself did not pay so much attention to this creation))).   About the teapot. It was very necessary. small kettle, no plastic inside. Actually it copes with the first task. After the purchase, it turned out that there is no power button, but there is a “reset” button, the manual says that it is needed to re-boil the water. As far as I understand, you will have to turn it on and off with a plug. Otherwise the boiler is normal.</v>
      </c>
    </row>
    <row r="8371" spans="1:9" x14ac:dyDescent="0.3">
      <c r="A8371" s="1" t="s">
        <v>17</v>
      </c>
      <c r="B8371" s="1" t="s">
        <v>18</v>
      </c>
      <c r="C8371" s="1" t="s">
        <v>665</v>
      </c>
      <c r="D8371" s="1" t="s">
        <v>280</v>
      </c>
      <c r="E8371" s="1" t="s">
        <v>2325</v>
      </c>
      <c r="F8371" s="1" t="s">
        <v>12619</v>
      </c>
      <c r="G8371" s="1" t="s">
        <v>36</v>
      </c>
      <c r="H8371" s="1" t="s">
        <v>29</v>
      </c>
      <c r="I8371" s="1" t="str">
        <f ca="1">IFERROR(__xludf.DUMMYFUNCTION("GOOGLETRANSLATE(F8371, ""auto"", ""en"")
"),"Great model. Stylish design, a large number of washing options, low powder consumption, quiet.   After the end of the wash, a beep sounds, there are 3 containers for cleaning products at once, it does not vibrate in the bathroom like other machines during"&amp;" the spin cycle. Very extensive options for creating your own washing program.  Large loads allow you to wash more clothes, saving powder and electricity. Those who have water meters will also be happy; a full washing cycle consumes only 44 liters of wate"&amp;"r, and if you add energy consumption class A, this is a profitable saving.  I recommend it to everyone.")</f>
        <v>Great model. Stylish design, a large number of washing options, low powder consumption, quiet.   After the end of the wash, a beep sounds, there are 3 containers for cleaning products at once, it does not vibrate in the bathroom like other machines during the spin cycle. Very extensive options for creating your own washing program.  Large loads allow you to wash more clothes, saving powder and electricity. Those who have water meters will also be happy; a full washing cycle consumes only 44 liters of water, and if you add energy consumption class A, this is a profitable saving.  I recommend it to everyone.</v>
      </c>
    </row>
    <row r="8372" spans="1:9" x14ac:dyDescent="0.3">
      <c r="A8372" s="1" t="s">
        <v>30</v>
      </c>
      <c r="B8372" s="1" t="s">
        <v>50</v>
      </c>
      <c r="C8372" s="1" t="s">
        <v>51</v>
      </c>
      <c r="D8372" s="1" t="s">
        <v>749</v>
      </c>
      <c r="E8372" s="1" t="s">
        <v>594</v>
      </c>
      <c r="F8372" s="1" t="s">
        <v>12620</v>
      </c>
      <c r="G8372" s="1" t="s">
        <v>36</v>
      </c>
      <c r="H8372" s="1" t="s">
        <v>29</v>
      </c>
      <c r="I8372" s="1" t="str">
        <f ca="1">IFERROR(__xludf.DUMMYFUNCTION("GOOGLETRANSLATE(F8372, ""auto"", ""en"")
"),"take 17 same thing")</f>
        <v>take 17 same thing</v>
      </c>
    </row>
    <row r="8373" spans="1:9" x14ac:dyDescent="0.3">
      <c r="A8373" s="1" t="s">
        <v>37</v>
      </c>
      <c r="B8373" s="1" t="s">
        <v>38</v>
      </c>
      <c r="C8373" s="1" t="s">
        <v>39</v>
      </c>
      <c r="D8373" s="1" t="s">
        <v>232</v>
      </c>
      <c r="E8373" s="1" t="s">
        <v>3472</v>
      </c>
      <c r="F8373" s="1" t="s">
        <v>12621</v>
      </c>
      <c r="G8373" s="1" t="s">
        <v>36</v>
      </c>
      <c r="H8373" s="1" t="s">
        <v>29</v>
      </c>
      <c r="I8373" s="1" t="str">
        <f ca="1">IFERROR(__xludf.DUMMYFUNCTION("GOOGLETRANSLATE(F8373, ""auto"", ""en"")
"),"I've had the phone for about 2 weeks, I'm very happy with it, I think it's an excellent phone for the price, I recommend this model to those who need an inexpensive multifunctional phone")</f>
        <v>I've had the phone for about 2 weeks, I'm very happy with it, I think it's an excellent phone for the price, I recommend this model to those who need an inexpensive multifunctional phone</v>
      </c>
    </row>
    <row r="8374" spans="1:9" x14ac:dyDescent="0.3">
      <c r="A8374" s="1" t="s">
        <v>43</v>
      </c>
      <c r="B8374" s="1" t="s">
        <v>334</v>
      </c>
      <c r="C8374" s="1" t="s">
        <v>101</v>
      </c>
      <c r="D8374" s="1" t="s">
        <v>1681</v>
      </c>
      <c r="E8374" s="1" t="s">
        <v>1048</v>
      </c>
      <c r="F8374" s="1" t="s">
        <v>12622</v>
      </c>
      <c r="G8374" s="1" t="s">
        <v>28</v>
      </c>
      <c r="H8374" s="1" t="s">
        <v>29</v>
      </c>
      <c r="I8374" s="1" t="str">
        <f ca="1">IFERROR(__xludf.DUMMYFUNCTION("GOOGLETRANSLATE(F8374, ""auto"", ""en"")
"),"A good thing, especially in summer. The fastening is convenient - the clothespin holds tightly to the table and does not fly off anywhere. The breeze is pleasant, just the right amount of power. And it doesn't crack!")</f>
        <v>A good thing, especially in summer. The fastening is convenient - the clothespin holds tightly to the table and does not fly off anywhere. The breeze is pleasant, just the right amount of power. And it doesn't crack!</v>
      </c>
    </row>
    <row r="8375" spans="1:9" x14ac:dyDescent="0.3">
      <c r="A8375" s="1" t="s">
        <v>30</v>
      </c>
      <c r="B8375" s="1" t="s">
        <v>50</v>
      </c>
      <c r="C8375" s="1" t="s">
        <v>151</v>
      </c>
      <c r="D8375" s="1" t="s">
        <v>33</v>
      </c>
      <c r="E8375" s="1" t="s">
        <v>1228</v>
      </c>
      <c r="F8375" s="1" t="s">
        <v>12623</v>
      </c>
      <c r="G8375" s="1" t="s">
        <v>36</v>
      </c>
      <c r="H8375" s="1" t="s">
        <v>29</v>
      </c>
      <c r="I8375" s="1" t="str">
        <f ca="1">IFERROR(__xludf.DUMMYFUNCTION("GOOGLETRANSLATE(F8375, ""auto"", ""en"")
"),"I bought this laptop model in 2008. I am very pleased with the purchase!!! Over the years, there have never been any problems with this model!!! I'm very happy about that!!! The only drawback, in my opinion, is the lack of memory on the hard 160g in total"&amp;". When actively downloading various differences, the memory quickly becomes clogged!!! I have to clean it!!!")</f>
        <v>I bought this laptop model in 2008. I am very pleased with the purchase!!! Over the years, there have never been any problems with this model!!! I'm very happy about that!!! The only drawback, in my opinion, is the lack of memory on the hard 160g in total. When actively downloading various differences, the memory quickly becomes clogged!!! I have to clean it!!!</v>
      </c>
    </row>
    <row r="8376" spans="1:9" x14ac:dyDescent="0.3">
      <c r="A8376" s="1" t="s">
        <v>206</v>
      </c>
      <c r="B8376" s="1" t="s">
        <v>207</v>
      </c>
      <c r="C8376" s="1" t="s">
        <v>351</v>
      </c>
      <c r="D8376" s="1" t="s">
        <v>1431</v>
      </c>
      <c r="E8376" s="1" t="s">
        <v>11884</v>
      </c>
      <c r="F8376" s="1" t="s">
        <v>12624</v>
      </c>
      <c r="G8376" s="1" t="s">
        <v>49</v>
      </c>
      <c r="H8376" s="1" t="s">
        <v>16</v>
      </c>
      <c r="I8376" s="1" t="str">
        <f ca="1">IFERROR(__xludf.DUMMYFUNCTION("GOOGLETRANSLATE(F8376, ""auto"", ""en"")
"),"I used this device for six months, when one bad day I smelled wiring in the cabin, I turned off the car in shock, removed the terminal from the battery... I began to look for the source of the smell... it turned out to be this supra! I gave it to an elect"&amp;"rician I know to look at for some treatment, and he advised me to throw this piece of hardware in the trash!")</f>
        <v>I used this device for six months, when one bad day I smelled wiring in the cabin, I turned off the car in shock, removed the terminal from the battery... I began to look for the source of the smell... it turned out to be this supra! I gave it to an electrician I know to look at for some treatment, and he advised me to throw this piece of hardware in the trash!</v>
      </c>
    </row>
    <row r="8377" spans="1:9" x14ac:dyDescent="0.3">
      <c r="A8377" s="1" t="s">
        <v>17</v>
      </c>
      <c r="B8377" s="1" t="s">
        <v>18</v>
      </c>
      <c r="C8377" s="1" t="s">
        <v>19</v>
      </c>
      <c r="D8377" s="1" t="s">
        <v>5789</v>
      </c>
      <c r="E8377" s="1" t="s">
        <v>1569</v>
      </c>
      <c r="F8377" s="1" t="s">
        <v>12625</v>
      </c>
      <c r="G8377" s="1" t="s">
        <v>36</v>
      </c>
      <c r="H8377" s="1" t="s">
        <v>29</v>
      </c>
      <c r="I8377" s="1" t="str">
        <f ca="1">IFERROR(__xludf.DUMMYFUNCTION("GOOGLETRANSLATE(F8377, ""auto"", ""en"")
"),"It’s a narrow, very comfortable baby, it looks like it’s specially designed for our bath. We don't have much space, but she fits perfectly. It washes very well, doesn’t make noise or rattle, I like it very much. There are short programs for literally 15 a"&amp;"nd 30 minutes - this is great if you need to rinse something.")</f>
        <v>It’s a narrow, very comfortable baby, it looks like it’s specially designed for our bath. We don't have much space, but she fits perfectly. It washes very well, doesn’t make noise or rattle, I like it very much. There are short programs for literally 15 and 30 minutes - this is great if you need to rinse something.</v>
      </c>
    </row>
    <row r="8378" spans="1:9" x14ac:dyDescent="0.3">
      <c r="A8378" s="1" t="s">
        <v>37</v>
      </c>
      <c r="B8378" s="1" t="s">
        <v>38</v>
      </c>
      <c r="C8378" s="1" t="s">
        <v>39</v>
      </c>
      <c r="D8378" s="1" t="s">
        <v>12626</v>
      </c>
      <c r="E8378" s="1" t="s">
        <v>3128</v>
      </c>
      <c r="F8378" s="1" t="s">
        <v>12627</v>
      </c>
      <c r="G8378" s="1" t="s">
        <v>36</v>
      </c>
      <c r="H8378" s="1" t="s">
        <v>29</v>
      </c>
      <c r="I8378" s="1" t="str">
        <f ca="1">IFERROR(__xludf.DUMMYFUNCTION("GOOGLETRANSLATE(F8378, ""auto"", ""en"")
"),"I’ve had this phone for a long time, almost from the very moment it first appeared, I’ve never regretted it, it’s an amazing phone, excellent quality and design, although a couple of times it overloaded itself, but this is rare and not so significant. If "&amp;"you are thinking about taking it or not, then definitely take it!")</f>
        <v>I’ve had this phone for a long time, almost from the very moment it first appeared, I’ve never regretted it, it’s an amazing phone, excellent quality and design, although a couple of times it overloaded itself, but this is rare and not so significant. If you are thinking about taking it or not, then definitely take it!</v>
      </c>
    </row>
    <row r="8379" spans="1:9" x14ac:dyDescent="0.3">
      <c r="A8379" s="1" t="s">
        <v>37</v>
      </c>
      <c r="B8379" s="1" t="s">
        <v>38</v>
      </c>
      <c r="C8379" s="1" t="s">
        <v>163</v>
      </c>
      <c r="D8379" s="1" t="s">
        <v>280</v>
      </c>
      <c r="E8379" s="1" t="s">
        <v>269</v>
      </c>
      <c r="F8379" s="1" t="s">
        <v>12628</v>
      </c>
      <c r="G8379" s="1" t="s">
        <v>36</v>
      </c>
      <c r="H8379" s="1" t="s">
        <v>29</v>
      </c>
      <c r="I8379" s="1" t="str">
        <f ca="1">IFERROR(__xludf.DUMMYFUNCTION("GOOGLETRANSLATE(F8379, ""auto"", ""en"")
"),"And it also perfectly recognizes memory cards up to 8GB!!! Or maybe even more, but there is no way to check. It's a pity...")</f>
        <v>And it also perfectly recognizes memory cards up to 8GB!!! Or maybe even more, but there is no way to check. It's a pity...</v>
      </c>
    </row>
    <row r="8380" spans="1:9" x14ac:dyDescent="0.3">
      <c r="A8380" s="1" t="s">
        <v>9</v>
      </c>
      <c r="B8380" s="1" t="s">
        <v>10</v>
      </c>
      <c r="C8380" s="1" t="s">
        <v>466</v>
      </c>
      <c r="D8380" s="1" t="s">
        <v>8893</v>
      </c>
      <c r="E8380" s="1" t="s">
        <v>4483</v>
      </c>
      <c r="F8380" s="1" t="s">
        <v>12629</v>
      </c>
      <c r="G8380" s="1" t="s">
        <v>28</v>
      </c>
      <c r="H8380" s="1" t="s">
        <v>29</v>
      </c>
      <c r="I8380" s="1" t="str">
        <f ca="1">IFERROR(__xludf.DUMMYFUNCTION("GOOGLETRANSLATE(F8380, ""auto"", ""en"")
"),"+ Stylish, looks - makes a lot of noise. During installation, I fixed the petals in the open state (the adapter from the hood to the corrugated air duct), thus the power to open them is not lost (less load on the motor, therefore less noise!)")</f>
        <v>+ Stylish, looks - makes a lot of noise. During installation, I fixed the petals in the open state (the adapter from the hood to the corrugated air duct), thus the power to open them is not lost (less load on the motor, therefore less noise!)</v>
      </c>
    </row>
    <row r="8381" spans="1:9" x14ac:dyDescent="0.3">
      <c r="A8381" s="1" t="s">
        <v>5066</v>
      </c>
      <c r="B8381" s="1" t="s">
        <v>5067</v>
      </c>
      <c r="C8381" s="1" t="s">
        <v>911</v>
      </c>
      <c r="D8381" s="1" t="s">
        <v>385</v>
      </c>
      <c r="E8381" s="1" t="s">
        <v>12630</v>
      </c>
      <c r="F8381" s="1" t="s">
        <v>12631</v>
      </c>
      <c r="G8381" s="1" t="s">
        <v>36</v>
      </c>
      <c r="H8381" s="1" t="s">
        <v>29</v>
      </c>
      <c r="I8381" s="1" t="str">
        <f ca="1">IFERROR(__xludf.DUMMYFUNCTION("GOOGLETRANSLATE(F8381, ""auto"", ""en"")
"),"Really fast.")</f>
        <v>Really fast.</v>
      </c>
    </row>
    <row r="8382" spans="1:9" x14ac:dyDescent="0.3">
      <c r="A8382" s="1" t="s">
        <v>55</v>
      </c>
      <c r="B8382" s="1" t="s">
        <v>184</v>
      </c>
      <c r="C8382" s="1" t="s">
        <v>45</v>
      </c>
      <c r="D8382" s="1" t="s">
        <v>589</v>
      </c>
      <c r="E8382" s="1" t="s">
        <v>3269</v>
      </c>
      <c r="F8382" s="1" t="s">
        <v>12632</v>
      </c>
      <c r="G8382" s="1" t="s">
        <v>36</v>
      </c>
      <c r="H8382" s="1" t="s">
        <v>29</v>
      </c>
      <c r="I8382" s="1" t="str">
        <f ca="1">IFERROR(__xludf.DUMMYFUNCTION("GOOGLETRANSLATE(F8382, ""auto"", ""en"")
"),"The device is light and compact, easy to use, everything is simple and clear, no unnecessary functions, it works reliably. There is no unpleasant odor! I really liked the function of intelligent operation: as soon as the room has warmed up enough, i.e. th"&amp;"e temperature in the room exceeded the one I set when turning it on by 3 degrees, the fan heater automatically turns off. In general, a smart device! )) Nice modern design, the blue backlight of the display looks good. I'm happy with the purchase, I recom"&amp;"mend it!")</f>
        <v>The device is light and compact, easy to use, everything is simple and clear, no unnecessary functions, it works reliably. There is no unpleasant odor! I really liked the function of intelligent operation: as soon as the room has warmed up enough, i.e. the temperature in the room exceeded the one I set when turning it on by 3 degrees, the fan heater automatically turns off. In general, a smart device! )) Nice modern design, the blue backlight of the display looks good. I'm happy with the purchase, I recommend it!</v>
      </c>
    </row>
    <row r="8383" spans="1:9" x14ac:dyDescent="0.3">
      <c r="A8383" s="1" t="s">
        <v>149</v>
      </c>
      <c r="B8383" s="1" t="s">
        <v>155</v>
      </c>
      <c r="C8383" s="1" t="s">
        <v>1187</v>
      </c>
      <c r="D8383" s="1" t="s">
        <v>280</v>
      </c>
      <c r="E8383" s="1" t="s">
        <v>1756</v>
      </c>
      <c r="F8383" s="1" t="s">
        <v>12633</v>
      </c>
      <c r="G8383" s="1" t="s">
        <v>36</v>
      </c>
      <c r="H8383" s="1" t="s">
        <v>29</v>
      </c>
      <c r="I8383" s="1" t="str">
        <f ca="1">IFERROR(__xludf.DUMMYFUNCTION("GOOGLETRANSLATE(F8383, ""auto"", ""en"")
"),"I bought this vacuum cleaner on June 15, 2010. When I got home I immediately ran to vacuum the carpet. Judging by how much debris remained in the flask after cleaning, especially very fine dust, I was horrified - HOW COULD I BREATHE THIS FOR 3 YEARS. PEOP"&amp;"LE DON'T skimp - buy. you won't regret it. I chose the vacuum cleaner on review sites. So read on.")</f>
        <v>I bought this vacuum cleaner on June 15, 2010. When I got home I immediately ran to vacuum the carpet. Judging by how much debris remained in the flask after cleaning, especially very fine dust, I was horrified - HOW COULD I BREATHE THIS FOR 3 YEARS. PEOPLE DON'T skimp - buy. you won't regret it. I chose the vacuum cleaner on review sites. So read on.</v>
      </c>
    </row>
    <row r="8384" spans="1:9" x14ac:dyDescent="0.3">
      <c r="A8384" s="1" t="s">
        <v>67</v>
      </c>
      <c r="B8384" s="1" t="s">
        <v>340</v>
      </c>
      <c r="C8384" s="1" t="s">
        <v>341</v>
      </c>
      <c r="D8384" s="1" t="s">
        <v>1241</v>
      </c>
      <c r="E8384" s="1" t="s">
        <v>12634</v>
      </c>
      <c r="F8384" s="1" t="s">
        <v>12635</v>
      </c>
      <c r="G8384" s="1" t="s">
        <v>36</v>
      </c>
      <c r="H8384" s="1" t="s">
        <v>29</v>
      </c>
      <c r="I8384" s="1" t="str">
        <f ca="1">IFERROR(__xludf.DUMMYFUNCTION("GOOGLETRANSLATE(F8384, ""auto"", ""en"")
"),"wonderful machine ")</f>
        <v xml:space="preserve">wonderful machine </v>
      </c>
    </row>
    <row r="8385" spans="1:9" x14ac:dyDescent="0.3">
      <c r="A8385" s="1" t="s">
        <v>43</v>
      </c>
      <c r="B8385" s="1" t="s">
        <v>1382</v>
      </c>
      <c r="C8385" s="1" t="s">
        <v>45</v>
      </c>
      <c r="D8385" s="1" t="s">
        <v>240</v>
      </c>
      <c r="E8385" s="1" t="s">
        <v>12636</v>
      </c>
      <c r="F8385" s="1" t="s">
        <v>12637</v>
      </c>
      <c r="G8385" s="1" t="s">
        <v>36</v>
      </c>
      <c r="H8385" s="1" t="s">
        <v>29</v>
      </c>
      <c r="I8385" s="1" t="str">
        <f ca="1">IFERROR(__xludf.DUMMYFUNCTION("GOOGLETRANSLATE(F8385, ""auto"", ""en"")
"),"After reading the reviews, we decided to buy this fan. And they were right!!! It blows wonderfully, does not make noise, does not rattle. I was pleased with the ratio of design, price and quality! Everything is great!")</f>
        <v>After reading the reviews, we decided to buy this fan. And they were right!!! It blows wonderfully, does not make noise, does not rattle. I was pleased with the ratio of design, price and quality! Everything is great!</v>
      </c>
    </row>
    <row r="8386" spans="1:9" x14ac:dyDescent="0.3">
      <c r="A8386" s="1" t="s">
        <v>1443</v>
      </c>
      <c r="B8386" s="1" t="s">
        <v>1444</v>
      </c>
      <c r="C8386" s="1" t="s">
        <v>1445</v>
      </c>
      <c r="D8386" s="1" t="s">
        <v>12638</v>
      </c>
      <c r="E8386" s="1" t="s">
        <v>1277</v>
      </c>
      <c r="F8386" s="1" t="s">
        <v>12639</v>
      </c>
      <c r="G8386" s="1" t="s">
        <v>36</v>
      </c>
      <c r="H8386" s="1" t="s">
        <v>29</v>
      </c>
      <c r="I8386" s="1" t="str">
        <f ca="1">IFERROR(__xludf.DUMMYFUNCTION("GOOGLETRANSLATE(F8386, ""auto"", ""en"")
"),"Flash drive is cool! I've been using it for more than two years - no problems.")</f>
        <v>Flash drive is cool! I've been using it for more than two years - no problems.</v>
      </c>
    </row>
    <row r="8387" spans="1:9" x14ac:dyDescent="0.3">
      <c r="A8387" s="1" t="s">
        <v>211</v>
      </c>
      <c r="B8387" s="1" t="s">
        <v>856</v>
      </c>
      <c r="C8387" s="1" t="s">
        <v>57</v>
      </c>
      <c r="D8387" s="1" t="s">
        <v>589</v>
      </c>
      <c r="E8387" s="1" t="s">
        <v>3128</v>
      </c>
      <c r="F8387" s="1" t="s">
        <v>12640</v>
      </c>
      <c r="G8387" s="1" t="s">
        <v>28</v>
      </c>
      <c r="H8387" s="1" t="s">
        <v>29</v>
      </c>
      <c r="I8387" s="1" t="str">
        <f ca="1">IFERROR(__xludf.DUMMYFUNCTION("GOOGLETRANSLATE(F8387, ""auto"", ""en"")
"),"I bought a bathtub. Unfortunately, the water temperature is not maintained; the water cools quickly, so warm water should always be at hand. The feet relax well, after the massage bath the feeling is as if the feet have become three kilograms lighter. Not"&amp;" a bad thing.")</f>
        <v>I bought a bathtub. Unfortunately, the water temperature is not maintained; the water cools quickly, so warm water should always be at hand. The feet relax well, after the massage bath the feeling is as if the feet have become three kilograms lighter. Not a bad thing.</v>
      </c>
    </row>
    <row r="8388" spans="1:9" x14ac:dyDescent="0.3">
      <c r="A8388" s="1" t="s">
        <v>89</v>
      </c>
      <c r="B8388" s="1" t="s">
        <v>1106</v>
      </c>
      <c r="C8388" s="1" t="s">
        <v>246</v>
      </c>
      <c r="D8388" s="1" t="s">
        <v>1890</v>
      </c>
      <c r="E8388" s="1" t="s">
        <v>580</v>
      </c>
      <c r="F8388" s="1" t="s">
        <v>12641</v>
      </c>
      <c r="G8388" s="1" t="s">
        <v>36</v>
      </c>
      <c r="H8388" s="1" t="s">
        <v>29</v>
      </c>
      <c r="I8388" s="1" t="str">
        <f ca="1">IFERROR(__xludf.DUMMYFUNCTION("GOOGLETRANSLATE(F8388, ""auto"", ""en"")
"),"I bought a coffee maker as a gift for my mother. The coffee brews great! 2 minutes and delicious coffee is ready. There are no foreign odors of plastic, etc...also easy to use! In general, we are happy with everything!")</f>
        <v>I bought a coffee maker as a gift for my mother. The coffee brews great! 2 minutes and delicious coffee is ready. There are no foreign odors of plastic, etc...also easy to use! In general, we are happy with everything!</v>
      </c>
    </row>
    <row r="8389" spans="1:9" x14ac:dyDescent="0.3">
      <c r="A8389" s="1" t="s">
        <v>61</v>
      </c>
      <c r="B8389" s="1" t="s">
        <v>145</v>
      </c>
      <c r="C8389" s="1" t="s">
        <v>246</v>
      </c>
      <c r="D8389" s="1" t="s">
        <v>4281</v>
      </c>
      <c r="E8389" s="1" t="s">
        <v>2634</v>
      </c>
      <c r="F8389" s="1" t="s">
        <v>12642</v>
      </c>
      <c r="G8389" s="1" t="s">
        <v>36</v>
      </c>
      <c r="H8389" s="1" t="s">
        <v>29</v>
      </c>
      <c r="I8389" s="1" t="str">
        <f ca="1">IFERROR(__xludf.DUMMYFUNCTION("GOOGLETRANSLATE(F8389, ""auto"", ""en"")
"),"Wonderful yogurt maker! Everything worked out right away. I’ve been using it for a month now - no complaints. The convenient thing is that the milk does not need to be heated, I put the jars overnight, and in the morning (after 8 hours) everything is read"&amp;"y. The yogurt maker turns itself off 45 minutes after pressing the “start” button, no need to remove the plug from the socket and remember this.")</f>
        <v>Wonderful yogurt maker! Everything worked out right away. I’ve been using it for a month now - no complaints. The convenient thing is that the milk does not need to be heated, I put the jars overnight, and in the morning (after 8 hours) everything is ready. The yogurt maker turns itself off 45 minutes after pressing the “start” button, no need to remove the plug from the socket and remember this.</v>
      </c>
    </row>
    <row r="8390" spans="1:9" x14ac:dyDescent="0.3">
      <c r="A8390" s="1" t="s">
        <v>61</v>
      </c>
      <c r="B8390" s="1" t="s">
        <v>977</v>
      </c>
      <c r="C8390" s="1" t="s">
        <v>63</v>
      </c>
      <c r="D8390" s="1" t="s">
        <v>308</v>
      </c>
      <c r="E8390" s="1" t="s">
        <v>7965</v>
      </c>
      <c r="F8390" s="1" t="s">
        <v>12643</v>
      </c>
      <c r="G8390" s="1" t="s">
        <v>36</v>
      </c>
      <c r="H8390" s="1" t="s">
        <v>29</v>
      </c>
      <c r="I8390" s="1" t="str">
        <f ca="1">IFERROR(__xludf.DUMMYFUNCTION("GOOGLETRANSLATE(F8390, ""auto"", ""en"")
"),"I bought MFQ 3555 primarily because it is Bosch, I am 100% confident in this technology. I really liked that the mixer comes with a stand, which allows you to do other things while whipping. Very cool whisks, high power, there are hooks for kneading dough"&amp;". Another big plus for me is that it was assembled in Europe. Affordable price. I made no mistake with the purchase.")</f>
        <v>I bought MFQ 3555 primarily because it is Bosch, I am 100% confident in this technology. I really liked that the mixer comes with a stand, which allows you to do other things while whipping. Very cool whisks, high power, there are hooks for kneading dough. Another big plus for me is that it was assembled in Europe. Affordable price. I made no mistake with the purchase.</v>
      </c>
    </row>
    <row r="8391" spans="1:9" x14ac:dyDescent="0.3">
      <c r="A8391" s="1" t="s">
        <v>67</v>
      </c>
      <c r="B8391" s="1" t="s">
        <v>68</v>
      </c>
      <c r="C8391" s="1" t="s">
        <v>246</v>
      </c>
      <c r="D8391" s="1" t="s">
        <v>545</v>
      </c>
      <c r="E8391" s="1" t="s">
        <v>1909</v>
      </c>
      <c r="F8391" s="1" t="s">
        <v>12644</v>
      </c>
      <c r="G8391" s="1" t="s">
        <v>36</v>
      </c>
      <c r="H8391" s="1" t="s">
        <v>29</v>
      </c>
      <c r="I8391" s="1" t="str">
        <f ca="1">IFERROR(__xludf.DUMMYFUNCTION("GOOGLETRANSLATE(F8391, ""auto"", ""en"")
"),"I’ve been using this iron for 5 years now, I’m happy with everything. I’ve never had a problem with it. I recommend it to everyone, you won’t regret it.")</f>
        <v>I’ve been using this iron for 5 years now, I’m happy with everything. I’ve never had a problem with it. I recommend it to everyone, you won’t regret it.</v>
      </c>
    </row>
    <row r="8392" spans="1:9" x14ac:dyDescent="0.3">
      <c r="A8392" s="1" t="s">
        <v>361</v>
      </c>
      <c r="B8392" s="1" t="s">
        <v>462</v>
      </c>
      <c r="C8392" s="1" t="s">
        <v>463</v>
      </c>
      <c r="D8392" s="1" t="s">
        <v>1008</v>
      </c>
      <c r="E8392" s="1" t="s">
        <v>3792</v>
      </c>
      <c r="F8392" s="1" t="s">
        <v>12645</v>
      </c>
      <c r="G8392" s="1" t="s">
        <v>28</v>
      </c>
      <c r="H8392" s="1" t="s">
        <v>29</v>
      </c>
      <c r="I8392" s="1" t="str">
        <f ca="1">IFERROR(__xludf.DUMMYFUNCTION("GOOGLETRANSLATE(F8392, ""auto"", ""en"")
"),"Pros: 1) Cleans the water. The water has been especially dirty lately. The amount of scale is simply enormous. No way without a filter. After running water through the filter, no scale was noticed.    Cons: 1) Even though it is four liters, there is still"&amp;" two effective space there. You need 4 liters of water for a saucepan, filter it in two passes.  2) When assembled, it is not possible to pour filtered water; you have to remove the inner bowl. Why the inner bowl for unfiltered water should have the same "&amp;"slope as the outer bowl for filtered water remains a mystery to me. The question is especially relevant if you consider that in most cases, not all the water in the internal part passes through the filter. It's a shame, but this is a problem for all pitch"&amp;"ers, not just this one.    As a result: The water is filtered and ok. How people live with 2 liter jugs (and in fact 1 liter) I have no idea. Despite all the disadvantages, this is the best jug available for sale in this store.")</f>
        <v>Pros: 1) Cleans the water. The water has been especially dirty lately. The amount of scale is simply enormous. No way without a filter. After running water through the filter, no scale was noticed.    Cons: 1) Even though it is four liters, there is still two effective space there. You need 4 liters of water for a saucepan, filter it in two passes.  2) When assembled, it is not possible to pour filtered water; you have to remove the inner bowl. Why the inner bowl for unfiltered water should have the same slope as the outer bowl for filtered water remains a mystery to me. The question is especially relevant if you consider that in most cases, not all the water in the internal part passes through the filter. It's a shame, but this is a problem for all pitchers, not just this one.    As a result: The water is filtered and ok. How people live with 2 liter jugs (and in fact 1 liter) I have no idea. Despite all the disadvantages, this is the best jug available for sale in this store.</v>
      </c>
    </row>
    <row r="8393" spans="1:9" x14ac:dyDescent="0.3">
      <c r="A8393" s="1" t="s">
        <v>17</v>
      </c>
      <c r="B8393" s="1" t="s">
        <v>18</v>
      </c>
      <c r="C8393" s="1" t="s">
        <v>24</v>
      </c>
      <c r="D8393" s="1" t="s">
        <v>1940</v>
      </c>
      <c r="E8393" s="1" t="s">
        <v>421</v>
      </c>
      <c r="F8393" s="1" t="s">
        <v>12646</v>
      </c>
      <c r="G8393" s="1" t="s">
        <v>28</v>
      </c>
      <c r="H8393" s="1" t="s">
        <v>29</v>
      </c>
      <c r="I8393" s="1" t="str">
        <f ca="1">IFERROR(__xludf.DUMMYFUNCTION("GOOGLETRANSLATE(F8393, ""auto"", ""en"")
"),"Today I washed it for the first time with a new machine, it washes well. It sits under our countertop in the kitchen and doesn’t bounce. It is very important to install the machine correctly, then everything will be fine. We like it, it's a good machine.")</f>
        <v>Today I washed it for the first time with a new machine, it washes well. It sits under our countertop in the kitchen and doesn’t bounce. It is very important to install the machine correctly, then everything will be fine. We like it, it's a good machine.</v>
      </c>
    </row>
    <row r="8394" spans="1:9" x14ac:dyDescent="0.3">
      <c r="A8394" s="1" t="s">
        <v>30</v>
      </c>
      <c r="B8394" s="1" t="s">
        <v>50</v>
      </c>
      <c r="C8394" s="1" t="s">
        <v>51</v>
      </c>
      <c r="D8394" s="1" t="s">
        <v>12647</v>
      </c>
      <c r="E8394" s="1" t="s">
        <v>1319</v>
      </c>
      <c r="F8394" s="1" t="s">
        <v>12648</v>
      </c>
      <c r="G8394" s="1" t="s">
        <v>28</v>
      </c>
      <c r="H8394" s="1" t="s">
        <v>29</v>
      </c>
      <c r="I8394" s="1" t="str">
        <f ca="1">IFERROR(__xludf.DUMMYFUNCTION("GOOGLETRANSLATE(F8394, ""auto"", ""en"")
"),"The laptop is good for everyone, but I have problems with the touchpad not working, when necessary it behaves according to my mood")</f>
        <v>The laptop is good for everyone, but I have problems with the touchpad not working, when necessary it behaves according to my mood</v>
      </c>
    </row>
    <row r="8395" spans="1:9" x14ac:dyDescent="0.3">
      <c r="A8395" s="1" t="s">
        <v>61</v>
      </c>
      <c r="B8395" s="1" t="s">
        <v>1126</v>
      </c>
      <c r="C8395" s="1" t="s">
        <v>57</v>
      </c>
      <c r="D8395" s="1" t="s">
        <v>545</v>
      </c>
      <c r="E8395" s="1" t="s">
        <v>3269</v>
      </c>
      <c r="F8395" s="1" t="s">
        <v>12649</v>
      </c>
      <c r="G8395" s="1" t="s">
        <v>36</v>
      </c>
      <c r="H8395" s="1" t="s">
        <v>29</v>
      </c>
      <c r="I8395" s="1" t="str">
        <f ca="1">IFERROR(__xludf.DUMMYFUNCTION("GOOGLETRANSLATE(F8395, ""auto"", ""en"")
"),"We bought these scales 8 months ago. We were very hesitant because of the price. But the reviews pleased us, and we decided to take a risk. Yes, cheap plastic, but it turns off quickly. But! For that kind of money they measure very accurately. We use it f"&amp;"or a bread machine, and in order to measure flour, the operating time is quite enough. There is a power off button - it's a power button, you just have to hold it down longer. And their bowl is quite strong - the child leans on it and uses it as a walker,"&amp;" and so far (ttt) there are no cracks. Another plus is that they are very compact, which in our 5.5 sq.m. It’s very relevant in the kitchen. So even if after a year they break, I’ll definitely buy the same ones and won’t regret it a bit.")</f>
        <v>We bought these scales 8 months ago. We were very hesitant because of the price. But the reviews pleased us, and we decided to take a risk. Yes, cheap plastic, but it turns off quickly. But! For that kind of money they measure very accurately. We use it for a bread machine, and in order to measure flour, the operating time is quite enough. There is a power off button - it's a power button, you just have to hold it down longer. And their bowl is quite strong - the child leans on it and uses it as a walker, and so far (ttt) there are no cracks. Another plus is that they are very compact, which in our 5.5 sq.m. It’s very relevant in the kitchen. So even if after a year they break, I’ll definitely buy the same ones and won’t regret it a bit.</v>
      </c>
    </row>
    <row r="8396" spans="1:9" x14ac:dyDescent="0.3">
      <c r="A8396" s="1" t="s">
        <v>37</v>
      </c>
      <c r="B8396" s="1" t="s">
        <v>38</v>
      </c>
      <c r="C8396" s="1" t="s">
        <v>39</v>
      </c>
      <c r="D8396" s="1" t="s">
        <v>12650</v>
      </c>
      <c r="E8396" s="1" t="s">
        <v>4984</v>
      </c>
      <c r="F8396" s="1" t="s">
        <v>12651</v>
      </c>
      <c r="G8396" s="1" t="s">
        <v>36</v>
      </c>
      <c r="H8396" s="1" t="s">
        <v>29</v>
      </c>
      <c r="I8396" s="1" t="str">
        <f ca="1">IFERROR(__xludf.DUMMYFUNCTION("GOOGLETRANSLATE(F8396, ""auto"", ""en"")
"),"A phone?! Don’t tell me, this is a background camera: 1. Camera with autofocus...for 5900 rubles you’ll hardly find this anywhere 2. Powerful image processing core.  3. Good display 4. Auto-orientation, tied to horizontal shots. The only minus I noticed w"&amp;"as in multimedia, when playing tracks, if there are 2 tracks of 7 or more minutes running in a row, then when switching to the 2nd track (automatically by the player), the phone gives an error, you have to start it yourself =) And the phone Bomb =) I real"&amp;"ly liked the face recognition system.    P.S. I accidentally deleted links to news from multimedia, people tell me them =)")</f>
        <v>A phone?! Don’t tell me, this is a background camera: 1. Camera with autofocus...for 5900 rubles you’ll hardly find this anywhere 2. Powerful image processing core.  3. Good display 4. Auto-orientation, tied to horizontal shots. The only minus I noticed was in multimedia, when playing tracks, if there are 2 tracks of 7 or more minutes running in a row, then when switching to the 2nd track (automatically by the player), the phone gives an error, you have to start it yourself =) And the phone Bomb =) I really liked the face recognition system.    P.S. I accidentally deleted links to news from multimedia, people tell me them =)</v>
      </c>
    </row>
    <row r="8397" spans="1:9" x14ac:dyDescent="0.3">
      <c r="A8397" s="1" t="s">
        <v>120</v>
      </c>
      <c r="B8397" s="1" t="s">
        <v>256</v>
      </c>
      <c r="C8397" s="1" t="s">
        <v>32</v>
      </c>
      <c r="D8397" s="1" t="s">
        <v>326</v>
      </c>
      <c r="E8397" s="1" t="s">
        <v>2942</v>
      </c>
      <c r="F8397" s="1" t="s">
        <v>12652</v>
      </c>
      <c r="G8397" s="1" t="s">
        <v>28</v>
      </c>
      <c r="H8397" s="1" t="s">
        <v>29</v>
      </c>
      <c r="I8397" s="1" t="str">
        <f ca="1">IFERROR(__xludf.DUMMYFUNCTION("GOOGLETRANSLATE(F8397, ""auto"", ""en"")
"),"the delay when switching channels is about 2 s, the included power cable is short (about one and a half m). The rest is fine so far, the sound is good.")</f>
        <v>the delay when switching channels is about 2 s, the included power cable is short (about one and a half m). The rest is fine so far, the sound is good.</v>
      </c>
    </row>
    <row r="8398" spans="1:9" x14ac:dyDescent="0.3">
      <c r="A8398" s="1" t="s">
        <v>55</v>
      </c>
      <c r="B8398" s="1" t="s">
        <v>56</v>
      </c>
      <c r="C8398" s="1" t="s">
        <v>85</v>
      </c>
      <c r="D8398" s="1" t="s">
        <v>139</v>
      </c>
      <c r="E8398" s="1" t="s">
        <v>12653</v>
      </c>
      <c r="F8398" s="1" t="s">
        <v>12654</v>
      </c>
      <c r="G8398" s="1" t="s">
        <v>49</v>
      </c>
      <c r="H8398" s="1" t="s">
        <v>16</v>
      </c>
      <c r="I8398" s="1" t="str">
        <f ca="1">IFERROR(__xludf.DUMMYFUNCTION("GOOGLETRANSLATE(F8398, ""auto"", ""en"")
"),"We bought this humidifier on March 15, 2015, it was recommended as one of the most effective in its price category, the design is beautiful, we decided to take it, it works well, convenient modes, automatic shutdown by timer and low water level, everythin"&amp;"g is there, nothing superfluous. If not for one thing, the vaunted Bork stopped producing steam after a month and a half, hummed idle and nothing more! Under warranty, we replaced it without any problems with a new one of the same model, and it only laste"&amp;"d a month, the breakdown was the same! It worked for a maximum of 3-4 hours a day (this was enough to maintain humidity of 50% in a room of 15 sq.m.) only filtered water was used! Very disappointed with the quality of this product!")</f>
        <v>We bought this humidifier on March 15, 2015, it was recommended as one of the most effective in its price category, the design is beautiful, we decided to take it, it works well, convenient modes, automatic shutdown by timer and low water level, everything is there, nothing superfluous. If not for one thing, the vaunted Bork stopped producing steam after a month and a half, hummed idle and nothing more! Under warranty, we replaced it without any problems with a new one of the same model, and it only lasted a month, the breakdown was the same! It worked for a maximum of 3-4 hours a day (this was enough to maintain humidity of 50% in a room of 15 sq.m.) only filtered water was used! Very disappointed with the quality of this product!</v>
      </c>
    </row>
    <row r="8399" spans="1:9" x14ac:dyDescent="0.3">
      <c r="A8399" s="1" t="s">
        <v>211</v>
      </c>
      <c r="B8399" s="1" t="s">
        <v>212</v>
      </c>
      <c r="C8399" s="1" t="s">
        <v>69</v>
      </c>
      <c r="D8399" s="1" t="s">
        <v>247</v>
      </c>
      <c r="E8399" s="1" t="s">
        <v>491</v>
      </c>
      <c r="F8399" s="1" t="s">
        <v>12655</v>
      </c>
      <c r="G8399" s="1" t="s">
        <v>49</v>
      </c>
      <c r="H8399" s="1" t="s">
        <v>16</v>
      </c>
      <c r="I8399" s="1" t="str">
        <f ca="1">IFERROR(__xludf.DUMMYFUNCTION("GOOGLETRANSLATE(F8399, ""auto"", ""en"")
"),"Horror! Disgusting styler!!!!! The nozzle flies off, the clips broke on the first day, the curls fall apart after 30 minutes, but the worst thing is the irons, they can hardly even straighten a baby’s hair, and I don’t understand why there is a triangular"&amp;" nozzle or some other strange shape, it looks like they’ve burned the hair. I’ve had this styler for a year now, and I’ve only used it ONE time((((((((((")</f>
        <v>Horror! Disgusting styler!!!!! The nozzle flies off, the clips broke on the first day, the curls fall apart after 30 minutes, but the worst thing is the irons, they can hardly even straighten a baby’s hair, and I don’t understand why there is a triangular nozzle or some other strange shape, it looks like they’ve burned the hair. I’ve had this styler for a year now, and I’ve only used it ONE time((((((((((</v>
      </c>
    </row>
    <row r="8400" spans="1:9" x14ac:dyDescent="0.3">
      <c r="A8400" s="1" t="s">
        <v>111</v>
      </c>
      <c r="B8400" s="1" t="s">
        <v>636</v>
      </c>
      <c r="C8400" s="1" t="s">
        <v>637</v>
      </c>
      <c r="D8400" s="1" t="s">
        <v>203</v>
      </c>
      <c r="E8400" s="1" t="s">
        <v>1723</v>
      </c>
      <c r="F8400" s="1" t="s">
        <v>12656</v>
      </c>
      <c r="G8400" s="1" t="s">
        <v>36</v>
      </c>
      <c r="H8400" s="1" t="s">
        <v>29</v>
      </c>
      <c r="I8400" s="1" t="str">
        <f ca="1">IFERROR(__xludf.DUMMYFUNCTION("GOOGLETRANSLATE(F8400, ""auto"", ""en"")
"),"I bought it because of the ability to control the humidity in the room, because... I have a child, and it was interesting to find out when it is necessary to take measures for a comfortable “existence” in the apartment. Unambiguous credit for all technica"&amp;"l characteristics.  There are also disadvantages: only 3 channels for sensors (if there are more sensors nearby, everything will work from the one that managed to connect faster), there is no screen backlight, it cannot be hung on the wall, well, everythi"&amp;"ng else can be considered unimportant.")</f>
        <v>I bought it because of the ability to control the humidity in the room, because... I have a child, and it was interesting to find out when it is necessary to take measures for a comfortable “existence” in the apartment. Unambiguous credit for all technical characteristics.  There are also disadvantages: only 3 channels for sensors (if there are more sensors nearby, everything will work from the one that managed to connect faster), there is no screen backlight, it cannot be hung on the wall, well, everything else can be considered unimportant.</v>
      </c>
    </row>
    <row r="8401" spans="1:9" x14ac:dyDescent="0.3">
      <c r="A8401" s="1" t="s">
        <v>61</v>
      </c>
      <c r="B8401" s="1" t="s">
        <v>318</v>
      </c>
      <c r="C8401" s="1" t="s">
        <v>57</v>
      </c>
      <c r="D8401" s="1" t="s">
        <v>308</v>
      </c>
      <c r="E8401" s="1" t="s">
        <v>1883</v>
      </c>
      <c r="F8401" s="1" t="s">
        <v>12657</v>
      </c>
      <c r="G8401" s="1" t="s">
        <v>28</v>
      </c>
      <c r="H8401" s="1" t="s">
        <v>29</v>
      </c>
      <c r="I8401" s="1" t="str">
        <f ca="1">IFERROR(__xludf.DUMMYFUNCTION("GOOGLETRANSLATE(F8401, ""auto"", ""en"")
"),"Steel, closed spiral, 3 year warranty")</f>
        <v>Steel, closed spiral, 3 year warranty</v>
      </c>
    </row>
    <row r="8402" spans="1:9" x14ac:dyDescent="0.3">
      <c r="A8402" s="1" t="s">
        <v>373</v>
      </c>
      <c r="B8402" s="1" t="s">
        <v>374</v>
      </c>
      <c r="C8402" s="1" t="s">
        <v>159</v>
      </c>
      <c r="D8402" s="1" t="s">
        <v>12</v>
      </c>
      <c r="E8402" s="1" t="s">
        <v>4080</v>
      </c>
      <c r="F8402" s="1" t="s">
        <v>12658</v>
      </c>
      <c r="G8402" s="1" t="s">
        <v>28</v>
      </c>
      <c r="H8402" s="1" t="s">
        <v>29</v>
      </c>
      <c r="I8402" s="1" t="str">
        <f ca="1">IFERROR(__xludf.DUMMYFUNCTION("GOOGLETRANSLATE(F8402, ""auto"", ""en"")
"),"A lot has been written about the pros, so I’ll write about the cons. In our case, automatic washing does not adjust to the type, quantity and contamination. We tried different dishes, even almost clean ones and in small quantities, the result was the same"&amp;", it washes for more than 2 hours (!!!). We only use a 30-minute wash, other modes are unreasonably long. Before this machine, we had an Ariston dishwasher; there was no quick wash, but the longest one was about 1.5 hours (here, almost 3). Compared to the"&amp;" previous machine, the baskets for dishes are inconvenient. In the upper basket, it is almost impossible to install anything on the folding shelves - they are narrow and slippery. And the top basket itself has inconvenient compartments for plates. In this"&amp;", this car is inferior to the Ariston. Oddly enough, the dimensions of the machines are the same, but the Ariston accommodated more dishes. We have a family of 3 people and sometimes we miss this car.")</f>
        <v>A lot has been written about the pros, so I’ll write about the cons. In our case, automatic washing does not adjust to the type, quantity and contamination. We tried different dishes, even almost clean ones and in small quantities, the result was the same, it washes for more than 2 hours (!!!). We only use a 30-minute wash, other modes are unreasonably long. Before this machine, we had an Ariston dishwasher; there was no quick wash, but the longest one was about 1.5 hours (here, almost 3). Compared to the previous machine, the baskets for dishes are inconvenient. In the upper basket, it is almost impossible to install anything on the folding shelves - they are narrow and slippery. And the top basket itself has inconvenient compartments for plates. In this, this car is inferior to the Ariston. Oddly enough, the dimensions of the machines are the same, but the Ariston accommodated more dishes. We have a family of 3 people and sometimes we miss this car.</v>
      </c>
    </row>
    <row r="8403" spans="1:9" x14ac:dyDescent="0.3">
      <c r="A8403" s="1" t="s">
        <v>211</v>
      </c>
      <c r="B8403" s="1" t="s">
        <v>212</v>
      </c>
      <c r="C8403" s="1" t="s">
        <v>213</v>
      </c>
      <c r="D8403" s="1" t="s">
        <v>166</v>
      </c>
      <c r="E8403" s="1" t="s">
        <v>1826</v>
      </c>
      <c r="F8403" s="1" t="s">
        <v>12659</v>
      </c>
      <c r="G8403" s="1" t="s">
        <v>28</v>
      </c>
      <c r="H8403" s="1" t="s">
        <v>29</v>
      </c>
      <c r="I8403" s="1" t="str">
        <f ca="1">IFERROR(__xludf.DUMMYFUNCTION("GOOGLETRANSLATE(F8403, ""auto"", ""en"")
"),"The hairdryer is quite reliable, it lasted me a long time, 6-7 years. The wire broke off at the base, like everyone else who left reviews. Couldn't fix it. I only used the volume attachment and a small round brush. There is no need for a water container a"&amp;"t all, I tried it once and didn’t like it. Cold air blows, but not enough to cool the curl.")</f>
        <v>The hairdryer is quite reliable, it lasted me a long time, 6-7 years. The wire broke off at the base, like everyone else who left reviews. Couldn't fix it. I only used the volume attachment and a small round brush. There is no need for a water container at all, I tried it once and didn’t like it. Cold air blows, but not enough to cool the curl.</v>
      </c>
    </row>
    <row r="8404" spans="1:9" x14ac:dyDescent="0.3">
      <c r="A8404" s="1" t="s">
        <v>149</v>
      </c>
      <c r="B8404" s="1" t="s">
        <v>576</v>
      </c>
      <c r="C8404" s="1" t="s">
        <v>63</v>
      </c>
      <c r="D8404" s="1" t="s">
        <v>152</v>
      </c>
      <c r="E8404" s="1" t="s">
        <v>12335</v>
      </c>
      <c r="F8404" s="1" t="s">
        <v>12660</v>
      </c>
      <c r="G8404" s="1" t="s">
        <v>36</v>
      </c>
      <c r="H8404" s="1" t="s">
        <v>29</v>
      </c>
      <c r="I8404" s="1" t="str">
        <f ca="1">IFERROR(__xludf.DUMMYFUNCTION("GOOGLETRANSLATE(F8404, ""auto"", ""en"")
"),"The vacuum cleaner is good. The suction power of 300 W is enough, we still do not use it at maximum. A simple, high-quality vacuum cleaner (previously had the same one - 7 years old, still works, the bag fastening broke).    The downside is the meager equ"&amp;"ipment (1 disposable synthetic midge, 7 years ago the package included 1 reusable bag and 5 disposable paper bags).")</f>
        <v>The vacuum cleaner is good. The suction power of 300 W is enough, we still do not use it at maximum. A simple, high-quality vacuum cleaner (previously had the same one - 7 years old, still works, the bag fastening broke).    The downside is the meager equipment (1 disposable synthetic midge, 7 years ago the package included 1 reusable bag and 5 disposable paper bags).</v>
      </c>
    </row>
    <row r="8405" spans="1:9" x14ac:dyDescent="0.3">
      <c r="A8405" s="1" t="s">
        <v>120</v>
      </c>
      <c r="B8405" s="1" t="s">
        <v>126</v>
      </c>
      <c r="C8405" s="1" t="s">
        <v>151</v>
      </c>
      <c r="D8405" s="1" t="s">
        <v>4354</v>
      </c>
      <c r="E8405" s="1" t="s">
        <v>400</v>
      </c>
      <c r="F8405" s="1" t="s">
        <v>12661</v>
      </c>
      <c r="G8405" s="1" t="s">
        <v>36</v>
      </c>
      <c r="H8405" s="1" t="s">
        <v>29</v>
      </c>
      <c r="I8405" s="1" t="str">
        <f ca="1">IFERROR(__xludf.DUMMYFUNCTION("GOOGLETRANSLATE(F8405, ""auto"", ""en"")
"),"My wife and I bought this unit 2 weeks ago, personally I’m as happy as an elephant!!! I connected a 500GB HDD and shows it in MKV format!!! We want to buy another one exactly the same, but there are no more of them in our city!!! ARE YOU GIVING A BIG DELI"&amp;"VERY!?!?!?!?""")</f>
        <v>My wife and I bought this unit 2 weeks ago, personally I’m as happy as an elephant!!! I connected a 500GB HDD and shows it in MKV format!!! We want to buy another one exactly the same, but there are no more of them in our city!!! ARE YOU GIVING A BIG DELIVERY!?!?!?!?"</v>
      </c>
    </row>
    <row r="8406" spans="1:9" x14ac:dyDescent="0.3">
      <c r="A8406" s="1" t="s">
        <v>43</v>
      </c>
      <c r="B8406" s="1" t="s">
        <v>458</v>
      </c>
      <c r="C8406" s="1" t="s">
        <v>459</v>
      </c>
      <c r="D8406" s="1" t="s">
        <v>247</v>
      </c>
      <c r="E8406" s="1" t="s">
        <v>1139</v>
      </c>
      <c r="F8406" s="1" t="s">
        <v>12662</v>
      </c>
      <c r="G8406" s="1" t="s">
        <v>36</v>
      </c>
      <c r="H8406" s="1" t="s">
        <v>29</v>
      </c>
      <c r="I8406" s="1" t="str">
        <f ca="1">IFERROR(__xludf.DUMMYFUNCTION("GOOGLETRANSLATE(F8406, ""auto"", ""en"")
"),"We wanted to buy a fan, but we looked at the weather forecast until the end of the month and purchased an air conditioner. It’s inexpensive, easy to install (and you don’t have to pay a ton of money to install a split system). We just inserted it into the"&amp;" window at an angle (this is important so that the water drains), closed the holes along the edges - and everything works perfectly, cools perfectly. For that kind of money, it’s an ideal escape from the heat. True, it makes a lot of noise, but when it’s "&amp;"+35 at home, you can put up with the noise just to lower the temperature to a comfortable one.")</f>
        <v>We wanted to buy a fan, but we looked at the weather forecast until the end of the month and purchased an air conditioner. It’s inexpensive, easy to install (and you don’t have to pay a ton of money to install a split system). We just inserted it into the window at an angle (this is important so that the water drains), closed the holes along the edges - and everything works perfectly, cools perfectly. For that kind of money, it’s an ideal escape from the heat. True, it makes a lot of noise, but when it’s +35 at home, you can put up with the noise just to lower the temperature to a comfortable one.</v>
      </c>
    </row>
    <row r="8407" spans="1:9" x14ac:dyDescent="0.3">
      <c r="A8407" s="1" t="s">
        <v>373</v>
      </c>
      <c r="B8407" s="1" t="s">
        <v>374</v>
      </c>
      <c r="C8407" s="1" t="s">
        <v>19</v>
      </c>
      <c r="D8407" s="1" t="s">
        <v>295</v>
      </c>
      <c r="E8407" s="1" t="s">
        <v>8122</v>
      </c>
      <c r="F8407" s="1" t="s">
        <v>12663</v>
      </c>
      <c r="G8407" s="1" t="s">
        <v>36</v>
      </c>
      <c r="H8407" s="1" t="s">
        <v>29</v>
      </c>
      <c r="I8407" s="1" t="str">
        <f ca="1">IFERROR(__xludf.DUMMYFUNCTION("GOOGLETRANSLATE(F8407, ""auto"", ""en"")
"),"My husband gave it to me for his birthday two months ago, and since then the dishwasher has been mercilessly used every day! Cleans dishes very well. I brought smoked pots and lids from the dacha and washed them clean in 3 times! Super! I recommend it to "&amp;"everyone!!!")</f>
        <v>My husband gave it to me for his birthday two months ago, and since then the dishwasher has been mercilessly used every day! Cleans dishes very well. I brought smoked pots and lids from the dacha and washed them clean in 3 times! Super! I recommend it to everyone!!!</v>
      </c>
    </row>
    <row r="8408" spans="1:9" x14ac:dyDescent="0.3">
      <c r="A8408" s="1" t="s">
        <v>95</v>
      </c>
      <c r="B8408" s="1" t="s">
        <v>486</v>
      </c>
      <c r="C8408" s="1" t="s">
        <v>487</v>
      </c>
      <c r="D8408" s="1" t="s">
        <v>12664</v>
      </c>
      <c r="E8408" s="1" t="s">
        <v>1886</v>
      </c>
      <c r="F8408" s="1" t="s">
        <v>12665</v>
      </c>
      <c r="G8408" s="1" t="s">
        <v>36</v>
      </c>
      <c r="H8408" s="1" t="s">
        <v>29</v>
      </c>
      <c r="I8408" s="1" t="str">
        <f ca="1">IFERROR(__xludf.DUMMYFUNCTION("GOOGLETRANSLATE(F8408, ""auto"", ""en"")
"),"You know, I thought for a long time about which console to buy, what and how, well, for myself I made several conclusions)) What do they say about XBOX?))) Firstly, it gets very hot, breaks due to overheating (Mother is melting) This is accompanied by thr"&amp;"ee red lights.    What can I say, it's nonsense. A friend had an XBOX 360 arcade for a whole year, and throughout his life it was lying wrapped in a blanket on his bed.. Ha, and not once did these three so-called light bulbs light up. So there is no need "&amp;"to worry about the light bulbs, the first wave of consoles has passed, all the shortcomings have been corrected.    And besides, no matter how you agree, even computer components often burn, and an X-Box is almost a PC!    What to choose XBOX or PS3.. I w"&amp;"on’t say either for or against, because... I myself have a box, but I also respect PS, I still have 1 and 2 PS. Well, a little about consoles, all the pros and cons: Xbox 360 (from arcade to elite) Let's list the advantages: The console is less expensive "&amp;"than its competitors. (Arcade version 8 thousand) The console is quite durable if you don’t drown it in the bathroom or throw it from the balcony.    If you flash the drive, games will cost literally pennies, or even free from torrent trackers.  (the only"&amp;" waste of money is DVD blanks 9) We list the Cons: There is slight overheating, which does not lead to the board burning out! This overheating is completely normal, don’t believe me - get into a computer that is working and touch the processor heatsink)))"&amp;" (otherwise, if you are not satisfied, buy additional coolers and everything will be ok) Small package (I would understand everything, but not charging the joystick is tough :) ) Okay, consider that you have lost another thousand rubles) PS 3 - All the pr"&amp;"os and cons: Pros: Let's put it this way Blu-ray drive is one of the biggest advantages.    The console is equipped with everything a gamer needs to start the game (charger and other bells and whistles) Quite a high-quality build Cons: The first and most "&amp;"terrible technical flaw is frequent breakdowns of the Blu-ray drive, which may have already been fixed, but this was the problem with the first wave.    VERY, VERY expensive discs.. So expensive that when I look at the price, it hurts my teeth_)), no, of "&amp;"course, if you earn 60 thousand a month, you can even buy 5 discs for 10 thousand)))))) Gg Sometimes it feels like this console is not designed for you and me, but for some oligarchs.. I don’t recommend anything to anyone, each audience has its own audien"&amp;"ce, I like both PS3 and XBOX, but it’s not always possible to take what you want.)) I took the xbox only because I don’t want to pay a lot of money. That's all I wanted to tell you!")</f>
        <v>You know, I thought for a long time about which console to buy, what and how, well, for myself I made several conclusions)) What do they say about XBOX?))) Firstly, it gets very hot, breaks due to overheating (Mother is melting) This is accompanied by three red lights.    What can I say, it's nonsense. A friend had an XBOX 360 arcade for a whole year, and throughout his life it was lying wrapped in a blanket on his bed.. Ha, and not once did these three so-called light bulbs light up. So there is no need to worry about the light bulbs, the first wave of consoles has passed, all the shortcomings have been corrected.    And besides, no matter how you agree, even computer components often burn, and an X-Box is almost a PC!    What to choose XBOX or PS3.. I won’t say either for or against, because... I myself have a box, but I also respect PS, I still have 1 and 2 PS. Well, a little about consoles, all the pros and cons: Xbox 360 (from arcade to elite) Let's list the advantages: The console is less expensive than its competitors. (Arcade version 8 thousand) The console is quite durable if you don’t drown it in the bathroom or throw it from the balcony.    If you flash the drive, games will cost literally pennies, or even free from torrent trackers.  (the only waste of money is DVD blanks 9) We list the Cons: There is slight overheating, which does not lead to the board burning out! This overheating is completely normal, don’t believe me - get into a computer that is working and touch the processor heatsink))) (otherwise, if you are not satisfied, buy additional coolers and everything will be ok) Small package (I would understand everything, but not charging the joystick is tough :) ) Okay, consider that you have lost another thousand rubles) PS 3 - All the pros and cons: Pros: Let's put it this way Blu-ray drive is one of the biggest advantages.    The console is equipped with everything a gamer needs to start the game (charger and other bells and whistles) Quite a high-quality build Cons: The first and most terrible technical flaw is frequent breakdowns of the Blu-ray drive, which may have already been fixed, but this was the problem with the first wave.    VERY, VERY expensive discs.. So expensive that when I look at the price, it hurts my teeth_)), no, of course, if you earn 60 thousand a month, you can even buy 5 discs for 10 thousand)))))) Gg Sometimes it feels like this console is not designed for you and me, but for some oligarchs.. I don’t recommend anything to anyone, each audience has its own audience, I like both PS3 and XBOX, but it’s not always possible to take what you want.)) I took the xbox only because I don’t want to pay a lot of money. That's all I wanted to tell you!</v>
      </c>
    </row>
    <row r="8409" spans="1:9" x14ac:dyDescent="0.3">
      <c r="A8409" s="1" t="s">
        <v>30</v>
      </c>
      <c r="B8409" s="1" t="s">
        <v>50</v>
      </c>
      <c r="C8409" s="1" t="s">
        <v>32</v>
      </c>
      <c r="D8409" s="1" t="s">
        <v>4065</v>
      </c>
      <c r="E8409" s="1" t="s">
        <v>824</v>
      </c>
      <c r="F8409" s="1" t="s">
        <v>12666</v>
      </c>
      <c r="G8409" s="1" t="s">
        <v>36</v>
      </c>
      <c r="H8409" s="1" t="s">
        <v>29</v>
      </c>
      <c r="I8409" s="1" t="str">
        <f ca="1">IFERROR(__xludf.DUMMYFUNCTION("GOOGLETRANSLATE(F8409, ""auto"", ""en"")
"),"No complaints at all! but they could have stuffed the camera with at least 0.3, even the cheapest models have them :) As for how hot it is, in my opinion, no more than other Acer laptops, although in the summer at 30 degrees it’s better not to play games "&amp;":)))) tested on the games “NFS Undercover”, “Collapse” and Wolfenstein 2009. The first 2 run on full settings without any brakes! Wulf had to set the resolution to 5:4, it slows down on widescreen")</f>
        <v>No complaints at all! but they could have stuffed the camera with at least 0.3, even the cheapest models have them :) As for how hot it is, in my opinion, no more than other Acer laptops, although in the summer at 30 degrees it’s better not to play games :)))) tested on the games “NFS Undercover”, “Collapse” and Wolfenstein 2009. The first 2 run on full settings without any brakes! Wulf had to set the resolution to 5:4, it slows down on widescreen</v>
      </c>
    </row>
    <row r="8410" spans="1:9" x14ac:dyDescent="0.3">
      <c r="A8410" s="1" t="s">
        <v>61</v>
      </c>
      <c r="B8410" s="1" t="s">
        <v>73</v>
      </c>
      <c r="C8410" s="1" t="s">
        <v>63</v>
      </c>
      <c r="D8410" s="1" t="s">
        <v>10409</v>
      </c>
      <c r="E8410" s="1" t="s">
        <v>4215</v>
      </c>
      <c r="F8410" s="1" t="s">
        <v>12667</v>
      </c>
      <c r="G8410" s="1" t="s">
        <v>49</v>
      </c>
      <c r="H8410" s="1" t="s">
        <v>16</v>
      </c>
      <c r="I8410" s="1" t="str">
        <f ca="1">IFERROR(__xludf.DUMMYFUNCTION("GOOGLETRANSLATE(F8410, ""auto"", ""en"")
"),"Do not buy this model under any circumstances. For two years, all it does is break.")</f>
        <v>Do not buy this model under any circumstances. For two years, all it does is break.</v>
      </c>
    </row>
    <row r="8411" spans="1:9" x14ac:dyDescent="0.3">
      <c r="A8411" s="1" t="s">
        <v>105</v>
      </c>
      <c r="B8411" s="1" t="s">
        <v>106</v>
      </c>
      <c r="C8411" s="1" t="s">
        <v>151</v>
      </c>
      <c r="D8411" s="1" t="s">
        <v>352</v>
      </c>
      <c r="E8411" s="1" t="s">
        <v>2887</v>
      </c>
      <c r="F8411" s="1" t="s">
        <v>12668</v>
      </c>
      <c r="G8411" s="1" t="s">
        <v>36</v>
      </c>
      <c r="H8411" s="1" t="s">
        <v>29</v>
      </c>
      <c r="I8411" s="1" t="str">
        <f ca="1">IFERROR(__xludf.DUMMYFUNCTION("GOOGLETRANSLATE(F8411, ""auto"", ""en"")
"),"This player is quite efficient, easy to use, functional. If you need a player only for music, you won’t find a better one at this price!")</f>
        <v>This player is quite efficient, easy to use, functional. If you need a player only for music, you won’t find a better one at this price!</v>
      </c>
    </row>
    <row r="8412" spans="1:9" x14ac:dyDescent="0.3">
      <c r="A8412" s="1" t="s">
        <v>43</v>
      </c>
      <c r="B8412" s="1" t="s">
        <v>303</v>
      </c>
      <c r="C8412" s="1" t="s">
        <v>665</v>
      </c>
      <c r="D8412" s="1" t="s">
        <v>2145</v>
      </c>
      <c r="E8412" s="1" t="s">
        <v>7537</v>
      </c>
      <c r="F8412" s="1" t="s">
        <v>12669</v>
      </c>
      <c r="G8412" s="1" t="s">
        <v>36</v>
      </c>
      <c r="H8412" s="1" t="s">
        <v>29</v>
      </c>
      <c r="I8412" s="1" t="str">
        <f ca="1">IFERROR(__xludf.DUMMYFUNCTION("GOOGLETRANSLATE(F8412, ""auto"", ""en"")
"),"I purchased it last year and was attracted by the price and characteristics. We moved into a new apartment, and there is construction going on nearby, so the water is turned off with enviable regularity, almost every week. Tired of it... Now we are not de"&amp;"pendent on hot water supply, there is always water! The water heater works great and heats the water quickly. Everything is clearly visible on the display panel (time, temperature), the numbers are large. The unit fit in our bathroom without any problems "&amp;"- it was narrow and compact, I connected everything myself. Great water heater!")</f>
        <v>I purchased it last year and was attracted by the price and characteristics. We moved into a new apartment, and there is construction going on nearby, so the water is turned off with enviable regularity, almost every week. Tired of it... Now we are not dependent on hot water supply, there is always water! The water heater works great and heats the water quickly. Everything is clearly visible on the display panel (time, temperature), the numbers are large. The unit fit in our bathroom without any problems - it was narrow and compact, I connected everything myself. Great water heater!</v>
      </c>
    </row>
    <row r="8413" spans="1:9" x14ac:dyDescent="0.3">
      <c r="A8413" s="1" t="s">
        <v>30</v>
      </c>
      <c r="B8413" s="1" t="s">
        <v>50</v>
      </c>
      <c r="C8413" s="1" t="s">
        <v>189</v>
      </c>
      <c r="D8413" s="1" t="s">
        <v>117</v>
      </c>
      <c r="E8413" s="1" t="s">
        <v>956</v>
      </c>
      <c r="F8413" s="1" t="s">
        <v>12670</v>
      </c>
      <c r="G8413" s="1" t="s">
        <v>28</v>
      </c>
      <c r="H8413" s="1" t="s">
        <v>29</v>
      </c>
      <c r="I8413" s="1" t="str">
        <f ca="1">IFERROR(__xludf.DUMMYFUNCTION("GOOGLETRANSLATE(F8413, ""auto"", ""en"")
"),"Well, I’ve had this device for at least half a year now... and I’ll say - it’s a good laptop, there are many advantages: 1) High performance (in my case, M500 percent), the video card is also powerful, I tested it in many very resource-intensive games and"&amp;", to put it mildly, I was pleasantly surprised (of course, in GTA4 or Krysis, don’t expect a sky-high number of frames and the highest settings, but for a laptop it’s very decent =) 2) Very interesting design, the keyboard is comfortable, the screen is of"&amp;" quite high quality, the finishing material in the form of wood (as the manufacturer claims) looks very good and you don’t have to think about scratches =) Well, now the disadvantages: 1) I would note that the most important disadvantage (and the disadvan"&amp;"tage of all laptops) is of course the cooling system, no no, I’m not saying that it works poorly or does not perform its function, it’s simply not enough... so for avid gamers, when buying a laptop, I advise you to buy a cooling system stand (I strongly r"&amp;"ecommend a ventilated one) 2) Another minus is the lack of Bluetoth, which was disappointing..... 3) Well, the last minus is the poor equipment from the manufacturer - except for the laptop itself, instructions, power supply and drivers, I didn’t see anyt"&amp;"hing... I had to buy an additional mouse and a bag... Conclusion: I will say that it’s undoubtedly a good device for good money, but not without additional costs... but overall I’m very pleased and recommend it to everyone.")</f>
        <v>Well, I’ve had this device for at least half a year now... and I’ll say - it’s a good laptop, there are many advantages: 1) High performance (in my case, M500 percent), the video card is also powerful, I tested it in many very resource-intensive games and, to put it mildly, I was pleasantly surprised (of course, in GTA4 or Krysis, don’t expect a sky-high number of frames and the highest settings, but for a laptop it’s very decent =) 2) Very interesting design, the keyboard is comfortable, the screen is of quite high quality, the finishing material in the form of wood (as the manufacturer claims) looks very good and you don’t have to think about scratches =) Well, now the disadvantages: 1) I would note that the most important disadvantage (and the disadvantage of all laptops) is of course the cooling system, no no, I’m not saying that it works poorly or does not perform its function, it’s simply not enough... so for avid gamers, when buying a laptop, I advise you to buy a cooling system stand (I strongly recommend a ventilated one) 2) Another minus is the lack of Bluetoth, which was disappointing..... 3) Well, the last minus is the poor equipment from the manufacturer - except for the laptop itself, instructions, power supply and drivers, I didn’t see anything... I had to buy an additional mouse and a bag... Conclusion: I will say that it’s undoubtedly a good device for good money, but not without additional costs... but overall I’m very pleased and recommend it to everyone.</v>
      </c>
    </row>
    <row r="8414" spans="1:9" x14ac:dyDescent="0.3">
      <c r="A8414" s="1" t="s">
        <v>105</v>
      </c>
      <c r="B8414" s="1" t="s">
        <v>106</v>
      </c>
      <c r="C8414" s="1" t="s">
        <v>1921</v>
      </c>
      <c r="D8414" s="1" t="s">
        <v>139</v>
      </c>
      <c r="E8414" s="1" t="s">
        <v>109</v>
      </c>
      <c r="F8414" s="1" t="s">
        <v>12671</v>
      </c>
      <c r="G8414" s="1" t="s">
        <v>28</v>
      </c>
      <c r="H8414" s="1" t="s">
        <v>29</v>
      </c>
      <c r="I8414" s="1" t="str">
        <f ca="1">IFERROR(__xludf.DUMMYFUNCTION("GOOGLETRANSLATE(F8414, ""auto"", ""en"")
"),"Ihmo, this is a good player, everything about it is perfect, I have only found one minus so far - the battery does not last long. It takes 3-4 hours to watch the video, which in principle is also not bad, but it’s inconvenient that when you listen to musi"&amp;"c the display also works, and therefore there is no battery saving... 6-7 hours of music and that’s it... run to the computer and charge it.")</f>
        <v>Ihmo, this is a good player, everything about it is perfect, I have only found one minus so far - the battery does not last long. It takes 3-4 hours to watch the video, which in principle is also not bad, but it’s inconvenient that when you listen to music the display also works, and therefore there is no battery saving... 6-7 hours of music and that’s it... run to the computer and charge it.</v>
      </c>
    </row>
    <row r="8415" spans="1:9" x14ac:dyDescent="0.3">
      <c r="A8415" s="1" t="s">
        <v>169</v>
      </c>
      <c r="B8415" s="1" t="s">
        <v>170</v>
      </c>
      <c r="C8415" s="1" t="s">
        <v>171</v>
      </c>
      <c r="D8415" s="1" t="s">
        <v>690</v>
      </c>
      <c r="E8415" s="1" t="s">
        <v>3664</v>
      </c>
      <c r="F8415" s="1" t="s">
        <v>12672</v>
      </c>
      <c r="G8415" s="1" t="s">
        <v>36</v>
      </c>
      <c r="H8415" s="1" t="s">
        <v>29</v>
      </c>
      <c r="I8415" s="1" t="str">
        <f ca="1">IFERROR(__xludf.DUMMYFUNCTION("GOOGLETRANSLATE(F8415, ""auto"", ""en"")
"),"I really liked the headphones - the sound is clear and without distortion. For lovers of earplugs, there are replaceable ear pads that turn regular headphones into vacuum ones. Overall, I'm happy with the purchase and recommend it to you.")</f>
        <v>I really liked the headphones - the sound is clear and without distortion. For lovers of earplugs, there are replaceable ear pads that turn regular headphones into vacuum ones. Overall, I'm happy with the purchase and recommend it to you.</v>
      </c>
    </row>
    <row r="8416" spans="1:9" x14ac:dyDescent="0.3">
      <c r="A8416" s="1" t="s">
        <v>211</v>
      </c>
      <c r="B8416" s="1" t="s">
        <v>212</v>
      </c>
      <c r="C8416" s="1" t="s">
        <v>381</v>
      </c>
      <c r="D8416" s="1" t="s">
        <v>471</v>
      </c>
      <c r="E8416" s="1" t="s">
        <v>2275</v>
      </c>
      <c r="F8416" s="1" t="s">
        <v>12673</v>
      </c>
      <c r="G8416" s="1" t="s">
        <v>36</v>
      </c>
      <c r="H8416" s="1" t="s">
        <v>29</v>
      </c>
      <c r="I8416" s="1" t="str">
        <f ca="1">IFERROR(__xludf.DUMMYFUNCTION("GOOGLETRANSLATE(F8416, ""auto"", ""en"")
"),"There are no cons! Price and quality are second to none! I’ve been using it myself for 2 years, tomorrow I’m going to buy it for my mother. Easy to use and great styling!")</f>
        <v>There are no cons! Price and quality are second to none! I’ve been using it myself for 2 years, tomorrow I’m going to buy it for my mother. Easy to use and great styling!</v>
      </c>
    </row>
    <row r="8417" spans="1:9" x14ac:dyDescent="0.3">
      <c r="A8417" s="1" t="s">
        <v>120</v>
      </c>
      <c r="B8417" s="1" t="s">
        <v>121</v>
      </c>
      <c r="C8417" s="1" t="s">
        <v>69</v>
      </c>
      <c r="D8417" s="1" t="s">
        <v>345</v>
      </c>
      <c r="E8417" s="1" t="s">
        <v>10476</v>
      </c>
      <c r="F8417" s="1" t="s">
        <v>12674</v>
      </c>
      <c r="G8417" s="1" t="s">
        <v>36</v>
      </c>
      <c r="H8417" s="1" t="s">
        <v>29</v>
      </c>
      <c r="I8417" s="1" t="str">
        <f ca="1">IFERROR(__xludf.DUMMYFUNCTION("GOOGLETRANSLATE(F8417, ""auto"", ""en"")
"),"I am very pleased with the purchase of the TV, the image is excellent, we watch movies like in a cinema, the AmbiLight backlight helps a lot. Very simple controls. TV is great! Thanks to Philips and M.video.")</f>
        <v>I am very pleased with the purchase of the TV, the image is excellent, we watch movies like in a cinema, the AmbiLight backlight helps a lot. Very simple controls. TV is great! Thanks to Philips and M.video.</v>
      </c>
    </row>
    <row r="8418" spans="1:9" x14ac:dyDescent="0.3">
      <c r="A8418" s="1" t="s">
        <v>624</v>
      </c>
      <c r="B8418" s="1" t="s">
        <v>2107</v>
      </c>
      <c r="C8418" s="1" t="s">
        <v>479</v>
      </c>
      <c r="D8418" s="1" t="s">
        <v>4132</v>
      </c>
      <c r="E8418" s="1" t="s">
        <v>960</v>
      </c>
      <c r="F8418" s="1" t="s">
        <v>12675</v>
      </c>
      <c r="G8418" s="1" t="s">
        <v>36</v>
      </c>
      <c r="H8418" s="1" t="s">
        <v>29</v>
      </c>
      <c r="I8418" s="1" t="str">
        <f ca="1">IFERROR(__xludf.DUMMYFUNCTION("GOOGLETRANSLATE(F8418, ""auto"", ""en"")
"),"The game is just great! I hope there will be Russian subtitles.")</f>
        <v>The game is just great! I hope there will be Russian subtitles.</v>
      </c>
    </row>
    <row r="8419" spans="1:9" x14ac:dyDescent="0.3">
      <c r="A8419" s="1" t="s">
        <v>37</v>
      </c>
      <c r="B8419" s="1" t="s">
        <v>38</v>
      </c>
      <c r="C8419" s="1" t="s">
        <v>163</v>
      </c>
      <c r="D8419" s="1" t="s">
        <v>589</v>
      </c>
      <c r="E8419" s="1" t="s">
        <v>5867</v>
      </c>
      <c r="F8419" s="1" t="s">
        <v>12676</v>
      </c>
      <c r="G8419" s="1" t="s">
        <v>28</v>
      </c>
      <c r="H8419" s="1" t="s">
        <v>29</v>
      </c>
      <c r="I8419" s="1" t="str">
        <f ca="1">IFERROR(__xludf.DUMMYFUNCTION("GOOGLETRANSLATE(F8419, ""auto"", ""en"")
"),"The phone is generally good, but sometimes it gets stuck in the gallery or player.")</f>
        <v>The phone is generally good, but sometimes it gets stuck in the gallery or player.</v>
      </c>
    </row>
    <row r="8420" spans="1:9" x14ac:dyDescent="0.3">
      <c r="A8420" s="1" t="s">
        <v>30</v>
      </c>
      <c r="B8420" s="1" t="s">
        <v>50</v>
      </c>
      <c r="C8420" s="1" t="s">
        <v>189</v>
      </c>
      <c r="D8420" s="1" t="s">
        <v>305</v>
      </c>
      <c r="E8420" s="1" t="s">
        <v>176</v>
      </c>
      <c r="F8420" s="1" t="s">
        <v>12677</v>
      </c>
      <c r="G8420" s="1" t="s">
        <v>36</v>
      </c>
      <c r="H8420" s="1" t="s">
        <v>29</v>
      </c>
      <c r="I8420" s="1" t="str">
        <f ca="1">IFERROR(__xludf.DUMMYFUNCTION("GOOGLETRANSLATE(F8420, ""auto"", ""en"")
"),"I spent a long time choosing a laptop up to 21r, bought a K50 and am very pleased with my choice, I immediately demolished Linux, installed 7k from 64, everything works with a bang.   There are no complaints about the games, almost all of them work, new o"&amp;"nes on min or medium settings, it’s a pity that there is no HDMI.  The noise level is very low, the keyboard does not get hot + comfortable digital keyboard.  Conclusion: an excellent laptop in its price category for various tasks!!!")</f>
        <v>I spent a long time choosing a laptop up to 21r, bought a K50 and am very pleased with my choice, I immediately demolished Linux, installed 7k from 64, everything works with a bang.   There are no complaints about the games, almost all of them work, new ones on min or medium settings, it’s a pity that there is no HDMI.  The noise level is very low, the keyboard does not get hot + comfortable digital keyboard.  Conclusion: an excellent laptop in its price category for various tasks!!!</v>
      </c>
    </row>
    <row r="8421" spans="1:9" x14ac:dyDescent="0.3">
      <c r="A8421" s="1" t="s">
        <v>120</v>
      </c>
      <c r="B8421" s="1" t="s">
        <v>126</v>
      </c>
      <c r="C8421" s="1" t="s">
        <v>151</v>
      </c>
      <c r="D8421" s="1" t="s">
        <v>568</v>
      </c>
      <c r="E8421" s="1" t="s">
        <v>191</v>
      </c>
      <c r="F8421" s="1" t="s">
        <v>12678</v>
      </c>
      <c r="G8421" s="1" t="s">
        <v>28</v>
      </c>
      <c r="H8421" s="1" t="s">
        <v>29</v>
      </c>
      <c r="I8421" s="1" t="str">
        <f ca="1">IFERROR(__xludf.DUMMYFUNCTION("GOOGLETRANSLATE(F8421, ""auto"", ""en"")
"),"Good plasma for the money.  Of all the disadvantages, it beeps quite loudly during operation... it’s not convenient to listen to at night.    And so... I connected it to the PC and I don’t know the problems.")</f>
        <v>Good plasma for the money.  Of all the disadvantages, it beeps quite loudly during operation... it’s not convenient to listen to at night.    And so... I connected it to the PC and I don’t know the problems.</v>
      </c>
    </row>
    <row r="8422" spans="1:9" x14ac:dyDescent="0.3">
      <c r="A8422" s="1" t="s">
        <v>30</v>
      </c>
      <c r="B8422" s="1" t="s">
        <v>50</v>
      </c>
      <c r="C8422" s="1" t="s">
        <v>1003</v>
      </c>
      <c r="D8422" s="1" t="s">
        <v>891</v>
      </c>
      <c r="E8422" s="1" t="s">
        <v>2310</v>
      </c>
      <c r="F8422" s="1" t="s">
        <v>12679</v>
      </c>
      <c r="G8422" s="1" t="s">
        <v>36</v>
      </c>
      <c r="H8422" s="1" t="s">
        <v>29</v>
      </c>
      <c r="I8422" s="1" t="str">
        <f ca="1">IFERROR(__xludf.DUMMYFUNCTION("GOOGLETRANSLATE(F8422, ""auto"", ""en"")
"),"I bought this laptop the other day. Only positive emotions.  The build quality is excellent, the hardware is powerful, one screw for 500 gigs is worth it for this price category.  I would also like to note the huge advantage of this laptop over its black "&amp;"counterparts. This case has a matte finish and is incredibly pleasant to the touch; it gets dirty much less than gloss black.  There are no shortcomings so far. Absolutely satisfied.")</f>
        <v>I bought this laptop the other day. Only positive emotions.  The build quality is excellent, the hardware is powerful, one screw for 500 gigs is worth it for this price category.  I would also like to note the huge advantage of this laptop over its black counterparts. This case has a matte finish and is incredibly pleasant to the touch; it gets dirty much less than gloss black.  There are no shortcomings so far. Absolutely satisfied.</v>
      </c>
    </row>
    <row r="8423" spans="1:9" x14ac:dyDescent="0.3">
      <c r="A8423" s="1" t="s">
        <v>67</v>
      </c>
      <c r="B8423" s="1" t="s">
        <v>68</v>
      </c>
      <c r="C8423" s="1" t="s">
        <v>69</v>
      </c>
      <c r="D8423" s="1" t="s">
        <v>658</v>
      </c>
      <c r="E8423" s="1" t="s">
        <v>5583</v>
      </c>
      <c r="F8423" s="1" t="s">
        <v>12680</v>
      </c>
      <c r="G8423" s="1" t="s">
        <v>36</v>
      </c>
      <c r="H8423" s="1" t="s">
        <v>29</v>
      </c>
      <c r="I8423" s="1" t="str">
        <f ca="1">IFERROR(__xludf.DUMMYFUNCTION("GOOGLETRANSLATE(F8423, ""auto"", ""en"")
"),"I was interested in the steam ionization function. As it turned out, I was not mistaken. Very comfortable, with powerful steam, the sole glides very easily and nothing sticks. Irons very quickly and efficiently. Compared to my old iron, this is the ultima"&amp;"te dream! I recommend this iron to anyone who wants to enjoy ironing.")</f>
        <v>I was interested in the steam ionization function. As it turned out, I was not mistaken. Very comfortable, with powerful steam, the sole glides very easily and nothing sticks. Irons very quickly and efficiently. Compared to my old iron, this is the ultimate dream! I recommend this iron to anyone who wants to enjoy ironing.</v>
      </c>
    </row>
    <row r="8424" spans="1:9" x14ac:dyDescent="0.3">
      <c r="A8424" s="1" t="s">
        <v>149</v>
      </c>
      <c r="B8424" s="1" t="s">
        <v>155</v>
      </c>
      <c r="C8424" s="1" t="s">
        <v>151</v>
      </c>
      <c r="D8424" s="1" t="s">
        <v>171</v>
      </c>
      <c r="E8424" s="1" t="s">
        <v>1490</v>
      </c>
      <c r="F8424" s="1" t="s">
        <v>12681</v>
      </c>
      <c r="G8424" s="1" t="s">
        <v>94</v>
      </c>
      <c r="H8424" s="1" t="s">
        <v>29</v>
      </c>
      <c r="I8424" s="1" t="str">
        <f ca="1">IFERROR(__xludf.DUMMYFUNCTION("GOOGLETRANSLATE(F8424, ""auto"", ""en"")
"),"Expert of the month. An old vacuum cleaner in our house broke down, it was also from Samsung, it served for 10 years, and when buying a new one, we also chose this particular company. Our eyes immediately fell on this model; the sales consultant recommend"&amp;"ed it as a reliable and high-quality vacuum cleaner.   We have been using it for half a year now and the quality of cleaning is pleasing to the eye, there is a cat and a dog in the house, and they produce a lot of hair and dust. After cleaning the house, "&amp;"the floor and air are clean, it perfectly cleans the rug of wool and hair.  Convenient to remove dust from the container, it is much better than bags. We are satisfied with the product and have never regretted our choice.")</f>
        <v>Expert of the month. An old vacuum cleaner in our house broke down, it was also from Samsung, it served for 10 years, and when buying a new one, we also chose this particular company. Our eyes immediately fell on this model; the sales consultant recommended it as a reliable and high-quality vacuum cleaner.   We have been using it for half a year now and the quality of cleaning is pleasing to the eye, there is a cat and a dog in the house, and they produce a lot of hair and dust. After cleaning the house, the floor and air are clean, it perfectly cleans the rug of wool and hair.  Convenient to remove dust from the container, it is much better than bags. We are satisfied with the product and have never regretted our choice.</v>
      </c>
    </row>
    <row r="8425" spans="1:9" x14ac:dyDescent="0.3">
      <c r="A8425" s="1" t="s">
        <v>211</v>
      </c>
      <c r="B8425" s="1" t="s">
        <v>265</v>
      </c>
      <c r="C8425" s="1" t="s">
        <v>1591</v>
      </c>
      <c r="D8425" s="1" t="s">
        <v>1431</v>
      </c>
      <c r="E8425" s="1" t="s">
        <v>2575</v>
      </c>
      <c r="F8425" s="1" t="s">
        <v>12682</v>
      </c>
      <c r="G8425" s="1" t="s">
        <v>36</v>
      </c>
      <c r="H8425" s="1" t="s">
        <v>29</v>
      </c>
      <c r="I8425" s="1" t="str">
        <f ca="1">IFERROR(__xludf.DUMMYFUNCTION("GOOGLETRANSLATE(F8425, ""auto"", ""en"")
"),"I don’t like going to salons, so I either cut my hair myself or ask my wife to cut my hair. This is the best option for me at a reasonable price. Easy to use, there are different attachments, and it’s also convenient to straighten facial hair.")</f>
        <v>I don’t like going to salons, so I either cut my hair myself or ask my wife to cut my hair. This is the best option for me at a reasonable price. Easy to use, there are different attachments, and it’s also convenient to straighten facial hair.</v>
      </c>
    </row>
    <row r="8426" spans="1:9" x14ac:dyDescent="0.3">
      <c r="A8426" s="1" t="s">
        <v>78</v>
      </c>
      <c r="B8426" s="1" t="s">
        <v>1163</v>
      </c>
      <c r="C8426" s="1" t="s">
        <v>80</v>
      </c>
      <c r="D8426" s="1" t="s">
        <v>308</v>
      </c>
      <c r="E8426" s="1" t="s">
        <v>6001</v>
      </c>
      <c r="F8426" s="1" t="s">
        <v>12683</v>
      </c>
      <c r="G8426" s="1" t="s">
        <v>36</v>
      </c>
      <c r="H8426" s="1" t="s">
        <v>29</v>
      </c>
      <c r="I8426" s="1" t="str">
        <f ca="1">IFERROR(__xludf.DUMMYFUNCTION("GOOGLETRANSLATE(F8426, ""auto"", ""en"")
"),"My husband and I bought it yesterday and are very pleased! There are no shortcomings. I agree with the comment above, very quiet, heats up quickly, easy to operate, lots of features. So we are very happy with our new acquisition.")</f>
        <v>My husband and I bought it yesterday and are very pleased! There are no shortcomings. I agree with the comment above, very quiet, heats up quickly, easy to operate, lots of features. So we are very happy with our new acquisition.</v>
      </c>
    </row>
    <row r="8427" spans="1:9" x14ac:dyDescent="0.3">
      <c r="A8427" s="1" t="s">
        <v>89</v>
      </c>
      <c r="B8427" s="1" t="s">
        <v>90</v>
      </c>
      <c r="C8427" s="1" t="s">
        <v>57</v>
      </c>
      <c r="D8427" s="1" t="s">
        <v>545</v>
      </c>
      <c r="E8427" s="1" t="s">
        <v>4770</v>
      </c>
      <c r="F8427" s="1" t="s">
        <v>12684</v>
      </c>
      <c r="G8427" s="1" t="s">
        <v>28</v>
      </c>
      <c r="H8427" s="1" t="s">
        <v>29</v>
      </c>
      <c r="I8427" s="1" t="str">
        <f ca="1">IFERROR(__xludf.DUMMYFUNCTION("GOOGLETRANSLATE(F8427, ""auto"", ""en"")
"),"I was looking for an inexpensive model of electric coffee grinder for the dacha.  I chose this model because of the metal body. I liked the look, it was comfortable in my hands. So far it copes with its functions quite well. The only thing, in my opinion,"&amp;" is that the lid is a bit small. When coffee spills out, it gets into the threads, and then the lid does not screw on very well.")</f>
        <v>I was looking for an inexpensive model of electric coffee grinder for the dacha.  I chose this model because of the metal body. I liked the look, it was comfortable in my hands. So far it copes with its functions quite well. The only thing, in my opinion, is that the lid is a bit small. When coffee spills out, it gets into the threads, and then the lid does not screw on very well.</v>
      </c>
    </row>
    <row r="8428" spans="1:9" x14ac:dyDescent="0.3">
      <c r="A8428" s="1" t="s">
        <v>120</v>
      </c>
      <c r="B8428" s="1" t="s">
        <v>1205</v>
      </c>
      <c r="C8428" s="1" t="s">
        <v>1430</v>
      </c>
      <c r="D8428" s="1" t="s">
        <v>139</v>
      </c>
      <c r="E8428" s="1" t="s">
        <v>1654</v>
      </c>
      <c r="F8428" s="1" t="s">
        <v>12685</v>
      </c>
      <c r="G8428" s="1" t="s">
        <v>49</v>
      </c>
      <c r="H8428" s="1" t="s">
        <v>16</v>
      </c>
      <c r="I8428" s="1" t="str">
        <f ca="1">IFERROR(__xludf.DUMMYFUNCTION("GOOGLETRANSLATE(F8428, ""auto"", ""en"")
"),"I was choosing what to buy at home for my new Samsung UE-46 C7000 WW satellite TV. Of course, I looked closely at the famous NTV Plus brand. But it’s very expensive, everything costs 20 thousand, and you also need to shell out 850 rubles a month to watch "&amp;"HD. A very expensive pleasure in general. I changed my mind about purchasing.  But on advice, I bought the platform - it’s cheaper and there are more channels, and my favorite HD Sports from NTV is there - and you have to pay half as much for everything! "&amp;"And one more thing - the platform already has a 3D channel for my 3D TV - I couldn’t be happier!     It’s a bad product - if only the cost per month would be cheaper, and the receiver is kind of poor - you can’t catch anything except NTV channels on it - "&amp;"it doesn’t give...")</f>
        <v>I was choosing what to buy at home for my new Samsung UE-46 C7000 WW satellite TV. Of course, I looked closely at the famous NTV Plus brand. But it’s very expensive, everything costs 20 thousand, and you also need to shell out 850 rubles a month to watch HD. A very expensive pleasure in general. I changed my mind about purchasing.  But on advice, I bought the platform - it’s cheaper and there are more channels, and my favorite HD Sports from NTV is there - and you have to pay half as much for everything! And one more thing - the platform already has a 3D channel for my 3D TV - I couldn’t be happier!     It’s a bad product - if only the cost per month would be cheaper, and the receiver is kind of poor - you can’t catch anything except NTV channels on it - it doesn’t give...</v>
      </c>
    </row>
    <row r="8429" spans="1:9" x14ac:dyDescent="0.3">
      <c r="A8429" s="1" t="s">
        <v>37</v>
      </c>
      <c r="B8429" s="1" t="s">
        <v>38</v>
      </c>
      <c r="C8429" s="1" t="s">
        <v>151</v>
      </c>
      <c r="D8429" s="1" t="s">
        <v>916</v>
      </c>
      <c r="E8429" s="1" t="s">
        <v>661</v>
      </c>
      <c r="F8429" s="1" t="s">
        <v>12686</v>
      </c>
      <c r="G8429" s="1" t="s">
        <v>36</v>
      </c>
      <c r="H8429" s="1" t="s">
        <v>29</v>
      </c>
      <c r="I8429" s="1" t="str">
        <f ca="1">IFERROR(__xludf.DUMMYFUNCTION("GOOGLETRANSLATE(F8429, ""auto"", ""en"")
"),"I'm happy with everything about this phone. The phone is very good!! Very convenient switching between SIM cards, high-quality case, large display, clear interface, simple and functional, what else do you need?))")</f>
        <v>I'm happy with everything about this phone. The phone is very good!! Very convenient switching between SIM cards, high-quality case, large display, clear interface, simple and functional, what else do you need?))</v>
      </c>
    </row>
    <row r="8430" spans="1:9" x14ac:dyDescent="0.3">
      <c r="A8430" s="1" t="s">
        <v>206</v>
      </c>
      <c r="B8430" s="1" t="s">
        <v>261</v>
      </c>
      <c r="C8430" s="1" t="s">
        <v>152</v>
      </c>
      <c r="D8430" s="1" t="s">
        <v>2923</v>
      </c>
      <c r="E8430" s="1" t="s">
        <v>7749</v>
      </c>
      <c r="F8430" s="1" t="s">
        <v>12687</v>
      </c>
      <c r="G8430" s="1" t="s">
        <v>36</v>
      </c>
      <c r="H8430" s="1" t="s">
        <v>29</v>
      </c>
      <c r="I8430" s="1" t="str">
        <f ca="1">IFERROR(__xludf.DUMMYFUNCTION("GOOGLETRANSLATE(F8430, ""auto"", ""en"")
"),"I bought a radio, the sellers offered to buy this connector. The thing is good and necessary; on the packaging everything is immediately written about what to connect and where.")</f>
        <v>I bought a radio, the sellers offered to buy this connector. The thing is good and necessary; on the packaging everything is immediately written about what to connect and where.</v>
      </c>
    </row>
    <row r="8431" spans="1:9" x14ac:dyDescent="0.3">
      <c r="A8431" s="1" t="s">
        <v>67</v>
      </c>
      <c r="B8431" s="1" t="s">
        <v>340</v>
      </c>
      <c r="C8431" s="1" t="s">
        <v>1634</v>
      </c>
      <c r="D8431" s="1" t="s">
        <v>75</v>
      </c>
      <c r="E8431" s="1" t="s">
        <v>1901</v>
      </c>
      <c r="F8431" s="1" t="s">
        <v>12688</v>
      </c>
      <c r="G8431" s="1" t="s">
        <v>28</v>
      </c>
      <c r="H8431" s="1" t="s">
        <v>29</v>
      </c>
      <c r="I8431" s="1" t="str">
        <f ca="1">IFERROR(__xludf.DUMMYFUNCTION("GOOGLETRANSLATE(F8431, ""auto"", ""en"")
"),"I bought and sewed 3 sets of bed linen on the same day! The set of functions is sufficient for home use. Threading is very simple, the machine is already adjusted, so you can sew right away. The disadvantages are that it makes a lot of noise (you won’t be"&amp;" able to sew at night!), the light bulb gets hot... but overall I’m happy with the purchase!")</f>
        <v>I bought and sewed 3 sets of bed linen on the same day! The set of functions is sufficient for home use. Threading is very simple, the machine is already adjusted, so you can sew right away. The disadvantages are that it makes a lot of noise (you won’t be able to sew at night!), the light bulb gets hot... but overall I’m happy with the purchase!</v>
      </c>
    </row>
    <row r="8432" spans="1:9" x14ac:dyDescent="0.3">
      <c r="A8432" s="1" t="s">
        <v>61</v>
      </c>
      <c r="B8432" s="1" t="s">
        <v>180</v>
      </c>
      <c r="C8432" s="1" t="s">
        <v>85</v>
      </c>
      <c r="D8432" s="1" t="s">
        <v>442</v>
      </c>
      <c r="E8432" s="1" t="s">
        <v>2636</v>
      </c>
      <c r="F8432" s="1" t="s">
        <v>12689</v>
      </c>
      <c r="G8432" s="1" t="s">
        <v>36</v>
      </c>
      <c r="H8432" s="1" t="s">
        <v>29</v>
      </c>
      <c r="I8432" s="1" t="str">
        <f ca="1">IFERROR(__xludf.DUMMYFUNCTION("GOOGLETRANSLATE(F8432, ""auto"", ""en"")
"),"Less than two months later, the cheap toaster broke. I decided not to save any more and bought something decent both in price and in appearance. The toaster is super! The functionality is excellent, the bread fry perfectly, the design is just right for my"&amp;" kitchen. There are no complaints about this model. For the New Year I want to give the same to my parents.")</f>
        <v>Less than two months later, the cheap toaster broke. I decided not to save any more and bought something decent both in price and in appearance. The toaster is super! The functionality is excellent, the bread fry perfectly, the design is just right for my kitchen. There are no complaints about this model. For the New Year I want to give the same to my parents.</v>
      </c>
    </row>
    <row r="8433" spans="1:9" x14ac:dyDescent="0.3">
      <c r="A8433" s="1" t="s">
        <v>211</v>
      </c>
      <c r="B8433" s="1" t="s">
        <v>212</v>
      </c>
      <c r="C8433" s="1" t="s">
        <v>69</v>
      </c>
      <c r="D8433" s="1" t="s">
        <v>166</v>
      </c>
      <c r="E8433" s="1" t="s">
        <v>357</v>
      </c>
      <c r="F8433" s="1" t="s">
        <v>12690</v>
      </c>
      <c r="G8433" s="1" t="s">
        <v>49</v>
      </c>
      <c r="H8433" s="1" t="s">
        <v>16</v>
      </c>
      <c r="I8433" s="1" t="str">
        <f ca="1">IFERROR(__xludf.DUMMYFUNCTION("GOOGLETRANSLATE(F8433, ""auto"", ""en"")
"),"Terrible multi-styler... it takes a long time to heat up and is barely warm... The curling irons on the straightener don’t hold at all and don’t straighten anything... I bought it on the Internet, and I still can’t return it... I’ve never used it... I bou"&amp;"ght it and it’s still there... I’ve already regretted it a hundred times... I just wasted my money")</f>
        <v>Terrible multi-styler... it takes a long time to heat up and is barely warm... The curling irons on the straightener don’t hold at all and don’t straighten anything... I bought it on the Internet, and I still can’t return it... I’ve never used it... I bought it and it’s still there... I’ve already regretted it a hundred times... I just wasted my money</v>
      </c>
    </row>
    <row r="8434" spans="1:9" x14ac:dyDescent="0.3">
      <c r="A8434" s="1" t="s">
        <v>55</v>
      </c>
      <c r="B8434" s="1" t="s">
        <v>184</v>
      </c>
      <c r="C8434" s="1" t="s">
        <v>185</v>
      </c>
      <c r="D8434" s="1" t="s">
        <v>545</v>
      </c>
      <c r="E8434" s="1" t="s">
        <v>3337</v>
      </c>
      <c r="F8434" s="1" t="s">
        <v>12691</v>
      </c>
      <c r="G8434" s="1" t="s">
        <v>36</v>
      </c>
      <c r="H8434" s="1" t="s">
        <v>29</v>
      </c>
      <c r="I8434" s="1" t="str">
        <f ca="1">IFERROR(__xludf.DUMMYFUNCTION("GOOGLETRANSLATE(F8434, ""auto"", ""en"")
"),"We've been using it for two years now. No smell. Yes, there is noise, but not critical. Heats 12 sq.m quickly. It successfully maintains the indoor temperature at the dacha in our absence at +5.")</f>
        <v>We've been using it for two years now. No smell. Yes, there is noise, but not critical. Heats 12 sq.m quickly. It successfully maintains the indoor temperature at the dacha in our absence at +5.</v>
      </c>
    </row>
    <row r="8435" spans="1:9" x14ac:dyDescent="0.3">
      <c r="A8435" s="1" t="s">
        <v>169</v>
      </c>
      <c r="B8435" s="1" t="s">
        <v>170</v>
      </c>
      <c r="C8435" s="1" t="s">
        <v>122</v>
      </c>
      <c r="D8435" s="1" t="s">
        <v>33</v>
      </c>
      <c r="E8435" s="1" t="s">
        <v>3439</v>
      </c>
      <c r="F8435" s="1" t="s">
        <v>12692</v>
      </c>
      <c r="G8435" s="1" t="s">
        <v>36</v>
      </c>
      <c r="H8435" s="1" t="s">
        <v>29</v>
      </c>
      <c r="I8435" s="1" t="str">
        <f ca="1">IFERROR(__xludf.DUMMYFUNCTION("GOOGLETRANSLATE(F8435, ""auto"", ""en"")
"),"Very good for your money! The frequency response coincides with the declared one, the only thing is that the mid-frequency range is clamped, but this can be treated with an equalizer.")</f>
        <v>Very good for your money! The frequency response coincides with the declared one, the only thing is that the mid-frequency range is clamped, but this can be treated with an equalizer.</v>
      </c>
    </row>
    <row r="8436" spans="1:9" x14ac:dyDescent="0.3">
      <c r="A8436" s="1" t="s">
        <v>61</v>
      </c>
      <c r="B8436" s="1" t="s">
        <v>318</v>
      </c>
      <c r="C8436" s="1" t="s">
        <v>246</v>
      </c>
      <c r="D8436" s="1" t="s">
        <v>2462</v>
      </c>
      <c r="E8436" s="1" t="s">
        <v>379</v>
      </c>
      <c r="F8436" s="1" t="s">
        <v>12693</v>
      </c>
      <c r="G8436" s="1" t="s">
        <v>15</v>
      </c>
      <c r="H8436" s="1" t="s">
        <v>16</v>
      </c>
      <c r="I8436" s="1" t="str">
        <f ca="1">IFERROR(__xludf.DUMMYFUNCTION("GOOGLETRANSLATE(F8436, ""auto"", ""en"")
"),"I didn't like this thing! It boiled twice and died the third time!!! How can this be done!")</f>
        <v>I didn't like this thing! It boiled twice and died the third time!!! How can this be done!</v>
      </c>
    </row>
    <row r="8437" spans="1:9" x14ac:dyDescent="0.3">
      <c r="A8437" s="1" t="s">
        <v>211</v>
      </c>
      <c r="B8437" s="1" t="s">
        <v>212</v>
      </c>
      <c r="C8437" s="1" t="s">
        <v>69</v>
      </c>
      <c r="D8437" s="1" t="s">
        <v>521</v>
      </c>
      <c r="E8437" s="1" t="s">
        <v>864</v>
      </c>
      <c r="F8437" s="1" t="s">
        <v>12694</v>
      </c>
      <c r="G8437" s="1" t="s">
        <v>36</v>
      </c>
      <c r="H8437" s="1" t="s">
        <v>29</v>
      </c>
      <c r="I8437" s="1" t="str">
        <f ca="1">IFERROR(__xludf.DUMMYFUNCTION("GOOGLETRANSLATE(F8437, ""auto"", ""en"")
"),"Great hairdryer. I have been using it for 4 years at least once a week. No complaints. The power is normal, hot and cold - quite enough for home use.")</f>
        <v>Great hairdryer. I have been using it for 4 years at least once a week. No complaints. The power is normal, hot and cold - quite enough for home use.</v>
      </c>
    </row>
    <row r="8438" spans="1:9" x14ac:dyDescent="0.3">
      <c r="A8438" s="1" t="s">
        <v>61</v>
      </c>
      <c r="B8438" s="1" t="s">
        <v>726</v>
      </c>
      <c r="C8438" s="1" t="s">
        <v>80</v>
      </c>
      <c r="D8438" s="1" t="s">
        <v>139</v>
      </c>
      <c r="E8438" s="1" t="s">
        <v>1639</v>
      </c>
      <c r="F8438" s="1" t="s">
        <v>12695</v>
      </c>
      <c r="G8438" s="1" t="s">
        <v>36</v>
      </c>
      <c r="H8438" s="1" t="s">
        <v>29</v>
      </c>
      <c r="I8438" s="1" t="str">
        <f ca="1">IFERROR(__xludf.DUMMYFUNCTION("GOOGLETRANSLATE(F8438, ""auto"", ""en"")
"),"The bread maker is very good, I bought it as a gift for my wife, she is very pleased, I recommend good quality for not a lot of money!!!")</f>
        <v>The bread maker is very good, I bought it as a gift for my wife, she is very pleased, I recommend good quality for not a lot of money!!!</v>
      </c>
    </row>
    <row r="8439" spans="1:9" x14ac:dyDescent="0.3">
      <c r="A8439" s="1" t="s">
        <v>211</v>
      </c>
      <c r="B8439" s="1" t="s">
        <v>212</v>
      </c>
      <c r="C8439" s="1" t="s">
        <v>381</v>
      </c>
      <c r="D8439" s="1" t="s">
        <v>4136</v>
      </c>
      <c r="E8439" s="1" t="s">
        <v>4452</v>
      </c>
      <c r="F8439" s="1" t="s">
        <v>12696</v>
      </c>
      <c r="G8439" s="1" t="s">
        <v>36</v>
      </c>
      <c r="H8439" s="1" t="s">
        <v>29</v>
      </c>
      <c r="I8439" s="1" t="str">
        <f ca="1">IFERROR(__xludf.DUMMYFUNCTION("GOOGLETRANSLATE(F8439, ""auto"", ""en"")
"),"Great straightener!!! The hair is dazzlingly shiny (although after my tests on the hair it looks dull). Heats up quickly, 30 seconds. I recommend!")</f>
        <v>Great straightener!!! The hair is dazzlingly shiny (although after my tests on the hair it looks dull). Heats up quickly, 30 seconds. I recommend!</v>
      </c>
    </row>
    <row r="8440" spans="1:9" x14ac:dyDescent="0.3">
      <c r="A8440" s="1" t="s">
        <v>61</v>
      </c>
      <c r="B8440" s="1" t="s">
        <v>1727</v>
      </c>
      <c r="C8440" s="1" t="s">
        <v>122</v>
      </c>
      <c r="D8440" s="1" t="s">
        <v>4281</v>
      </c>
      <c r="E8440" s="1" t="s">
        <v>3477</v>
      </c>
      <c r="F8440" s="1" t="s">
        <v>12697</v>
      </c>
      <c r="G8440" s="1" t="s">
        <v>36</v>
      </c>
      <c r="H8440" s="1" t="s">
        <v>29</v>
      </c>
      <c r="I8440" s="1" t="str">
        <f ca="1">IFERROR(__xludf.DUMMYFUNCTION("GOOGLETRANSLATE(F8440, ""auto"", ""en"")
"),"I’ve been using a multicooker for more than 2 years, it’s a thing! An irreplaceable assistant. Millet porridge is like coming out of a cast iron pot from the oven; bakes the chicken until crisp; biscuits, pilaf, steamed manti, dumplings; aromatic rich sol"&amp;"yanka soup, and many others. many other dishes.")</f>
        <v>I’ve been using a multicooker for more than 2 years, it’s a thing! An irreplaceable assistant. Millet porridge is like coming out of a cast iron pot from the oven; bakes the chicken until crisp; biscuits, pilaf, steamed manti, dumplings; aromatic rich solyanka soup, and many others. many other dishes.</v>
      </c>
    </row>
    <row r="8441" spans="1:9" x14ac:dyDescent="0.3">
      <c r="A8441" s="1" t="s">
        <v>120</v>
      </c>
      <c r="B8441" s="1" t="s">
        <v>121</v>
      </c>
      <c r="C8441" s="1" t="s">
        <v>80</v>
      </c>
      <c r="D8441" s="1" t="s">
        <v>326</v>
      </c>
      <c r="E8441" s="1" t="s">
        <v>1452</v>
      </c>
      <c r="F8441" s="1" t="s">
        <v>12698</v>
      </c>
      <c r="G8441" s="1" t="s">
        <v>36</v>
      </c>
      <c r="H8441" s="1" t="s">
        <v>29</v>
      </c>
      <c r="I8441" s="1" t="str">
        <f ca="1">IFERROR(__xludf.DUMMYFUNCTION("GOOGLETRANSLATE(F8441, ""auto"", ""en"")
"),"My husband gave me this model. Rating 5+++. The firmware was done in the store - it reads many formats, before you had to format them, and even burn them to disks to watch on DVD (just hell), but now it’s a real pleasure - you download to a flash drive, i"&amp;"nsert and enjoy. The design is SUPER!!!!! Yes, it takes a long time to turn on (5 seconds), but this is such a small thing. The image is excellent. And what is the leg worth? turns. For the money - this is the best TV - my firm conviction.")</f>
        <v>My husband gave me this model. Rating 5+++. The firmware was done in the store - it reads many formats, before you had to format them, and even burn them to disks to watch on DVD (just hell), but now it’s a real pleasure - you download to a flash drive, insert and enjoy. The design is SUPER!!!!! Yes, it takes a long time to turn on (5 seconds), but this is such a small thing. The image is excellent. And what is the leg worth? turns. For the money - this is the best TV - my firm conviction.</v>
      </c>
    </row>
    <row r="8442" spans="1:9" x14ac:dyDescent="0.3">
      <c r="A8442" s="1" t="s">
        <v>149</v>
      </c>
      <c r="B8442" s="1" t="s">
        <v>155</v>
      </c>
      <c r="C8442" s="1" t="s">
        <v>1187</v>
      </c>
      <c r="D8442" s="1" t="s">
        <v>1990</v>
      </c>
      <c r="E8442" s="1" t="s">
        <v>8423</v>
      </c>
      <c r="F8442" s="1" t="s">
        <v>12699</v>
      </c>
      <c r="G8442" s="1" t="s">
        <v>28</v>
      </c>
      <c r="H8442" s="1" t="s">
        <v>29</v>
      </c>
      <c r="I8442" s="1" t="str">
        <f ca="1">IFERROR(__xludf.DUMMYFUNCTION("GOOGLETRANSLATE(F8442, ""auto"", ""en"")
"),"Vacuum cleaner for small apartments! small, light. It’s convenient to clean the container, etc. I have parquet - it cleans the surface well. Even the strange brush that confused me when I first saw it works. Noisy - yes! but it copes with the task; during"&amp;" operation, dust does not swirl around the apartment, and it collects cat hair well. At the moment, I'm satisfied. But the price for such a vacuum cleaner is limited.")</f>
        <v>Vacuum cleaner for small apartments! small, light. It’s convenient to clean the container, etc. I have parquet - it cleans the surface well. Even the strange brush that confused me when I first saw it works. Noisy - yes! but it copes with the task; during operation, dust does not swirl around the apartment, and it collects cat hair well. At the moment, I'm satisfied. But the price for such a vacuum cleaner is limited.</v>
      </c>
    </row>
    <row r="8443" spans="1:9" x14ac:dyDescent="0.3">
      <c r="A8443" s="1" t="s">
        <v>30</v>
      </c>
      <c r="B8443" s="1" t="s">
        <v>50</v>
      </c>
      <c r="C8443" s="1" t="s">
        <v>189</v>
      </c>
      <c r="D8443" s="1" t="s">
        <v>12700</v>
      </c>
      <c r="E8443" s="1" t="s">
        <v>1988</v>
      </c>
      <c r="F8443" s="1" t="s">
        <v>12701</v>
      </c>
      <c r="G8443" s="1" t="s">
        <v>28</v>
      </c>
      <c r="H8443" s="1" t="s">
        <v>29</v>
      </c>
      <c r="I8443" s="1" t="str">
        <f ca="1">IFERROR(__xludf.DUMMYFUNCTION("GOOGLETRANSLATE(F8443, ""auto"", ""en"")
"),"I ordered this laptop - the noise is really annoying, I returned it, got my money back and bought a better Acer configuration - so I don’t recommend the 52JR. Otherwise, a fast machine, if you don't care about the squeaking!")</f>
        <v>I ordered this laptop - the noise is really annoying, I returned it, got my money back and bought a better Acer configuration - so I don’t recommend the 52JR. Otherwise, a fast machine, if you don't care about the squeaking!</v>
      </c>
    </row>
    <row r="8444" spans="1:9" x14ac:dyDescent="0.3">
      <c r="A8444" s="1" t="s">
        <v>120</v>
      </c>
      <c r="B8444" s="1" t="s">
        <v>121</v>
      </c>
      <c r="C8444" s="1" t="s">
        <v>80</v>
      </c>
      <c r="D8444" s="1" t="s">
        <v>12702</v>
      </c>
      <c r="E8444" s="1" t="s">
        <v>201</v>
      </c>
      <c r="F8444" s="1" t="s">
        <v>12703</v>
      </c>
      <c r="G8444" s="1" t="s">
        <v>36</v>
      </c>
      <c r="H8444" s="1" t="s">
        <v>29</v>
      </c>
      <c r="I8444" s="1" t="str">
        <f ca="1">IFERROR(__xludf.DUMMYFUNCTION("GOOGLETRANSLATE(F8444, ""auto"", ""en"")
"),"You won’t believe it, but I took it at first sight. The TV is excellent, the cable quality is good, but its main feature is that it shows movies in .mkv format from a flash drive, which means that you don’t need a Blu-ray player for nothing. I downloaded "&amp;"the movie from the internet and that’s it. I recommend it to everyone.")</f>
        <v>You won’t believe it, but I took it at first sight. The TV is excellent, the cable quality is good, but its main feature is that it shows movies in .mkv format from a flash drive, which means that you don’t need a Blu-ray player for nothing. I downloaded the movie from the internet and that’s it. I recommend it to everyone.</v>
      </c>
    </row>
    <row r="8445" spans="1:9" x14ac:dyDescent="0.3">
      <c r="A8445" s="1" t="s">
        <v>9</v>
      </c>
      <c r="B8445" s="1" t="s">
        <v>137</v>
      </c>
      <c r="C8445" s="1" t="s">
        <v>870</v>
      </c>
      <c r="D8445" s="1" t="s">
        <v>456</v>
      </c>
      <c r="E8445" s="1" t="s">
        <v>12704</v>
      </c>
      <c r="F8445" s="1" t="s">
        <v>12705</v>
      </c>
      <c r="G8445" s="1" t="s">
        <v>36</v>
      </c>
      <c r="H8445" s="1" t="s">
        <v>29</v>
      </c>
      <c r="I8445" s="1" t="str">
        <f ca="1">IFERROR(__xludf.DUMMYFUNCTION("GOOGLETRANSLATE(F8445, ""auto"", ""en"")
"),"I bought it from M.Video before the new year, of course cheaper than now. Only recently installed. Among the shortcomings: 1. It gets a little dirty, but this is compensated by easy cleaning, go over it with a damp cloth and you’re done. 2. When setting f"&amp;"ire, you have to wait a little long for the sensor to work, maybe a couple of seconds, but over time it got better. In general, I am satisfied, the best value for money.")</f>
        <v>I bought it from M.Video before the new year, of course cheaper than now. Only recently installed. Among the shortcomings: 1. It gets a little dirty, but this is compensated by easy cleaning, go over it with a damp cloth and you’re done. 2. When setting fire, you have to wait a little long for the sensor to work, maybe a couple of seconds, but over time it got better. In general, I am satisfied, the best value for money.</v>
      </c>
    </row>
    <row r="8446" spans="1:9" x14ac:dyDescent="0.3">
      <c r="A8446" s="1" t="s">
        <v>17</v>
      </c>
      <c r="B8446" s="1" t="s">
        <v>18</v>
      </c>
      <c r="C8446" s="1" t="s">
        <v>151</v>
      </c>
      <c r="D8446" s="1" t="s">
        <v>2320</v>
      </c>
      <c r="E8446" s="1" t="s">
        <v>2529</v>
      </c>
      <c r="F8446" s="1" t="s">
        <v>12706</v>
      </c>
      <c r="G8446" s="1" t="s">
        <v>36</v>
      </c>
      <c r="H8446" s="1" t="s">
        <v>29</v>
      </c>
      <c r="I8446" s="1" t="str">
        <f ca="1">IFERROR(__xludf.DUMMYFUNCTION("GOOGLETRANSLATE(F8446, ""auto"", ""en"")
"),"A normal machine for the money. We bought it in November 2009 and are happy with it so far.")</f>
        <v>A normal machine for the money. We bought it in November 2009 and are happy with it so far.</v>
      </c>
    </row>
    <row r="8447" spans="1:9" x14ac:dyDescent="0.3">
      <c r="A8447" s="1" t="s">
        <v>61</v>
      </c>
      <c r="B8447" s="1" t="s">
        <v>318</v>
      </c>
      <c r="C8447" s="1" t="s">
        <v>4871</v>
      </c>
      <c r="D8447" s="1" t="s">
        <v>64</v>
      </c>
      <c r="E8447" s="1" t="s">
        <v>6763</v>
      </c>
      <c r="F8447" s="1" t="s">
        <v>12707</v>
      </c>
      <c r="G8447" s="1" t="s">
        <v>36</v>
      </c>
      <c r="H8447" s="1" t="s">
        <v>29</v>
      </c>
      <c r="I8447" s="1" t="str">
        <f ca="1">IFERROR(__xludf.DUMMYFUNCTION("GOOGLETRANSLATE(F8447, ""auto"", ""en"")
"),"Wonderful thermopot. Japanese. I recommend")</f>
        <v>Wonderful thermopot. Japanese. I recommend</v>
      </c>
    </row>
    <row r="8448" spans="1:9" x14ac:dyDescent="0.3">
      <c r="A8448" s="1" t="s">
        <v>30</v>
      </c>
      <c r="B8448" s="1" t="s">
        <v>50</v>
      </c>
      <c r="C8448" s="1" t="s">
        <v>51</v>
      </c>
      <c r="D8448" s="1" t="s">
        <v>11979</v>
      </c>
      <c r="E8448" s="1" t="s">
        <v>800</v>
      </c>
      <c r="F8448" s="1" t="s">
        <v>12708</v>
      </c>
      <c r="G8448" s="1" t="s">
        <v>36</v>
      </c>
      <c r="H8448" s="1" t="s">
        <v>29</v>
      </c>
      <c r="I8448" s="1" t="str">
        <f ca="1">IFERROR(__xludf.DUMMYFUNCTION("GOOGLETRANSLATE(F8448, ""auto"", ""en"")
"),"I've been using it for about a month now and I still like it. It starts to get warm when you play games, but if you raise it 2-3 cm it’s cold like a refrigerator))) No extraneous noise was noticed. GTA4 runs on medium settings, and if you set the maximum "&amp;"settings when turning the mouse, it slows down, but it runs))) I still haven’t found a way to disable Wi-Fi at startup.")</f>
        <v>I've been using it for about a month now and I still like it. It starts to get warm when you play games, but if you raise it 2-3 cm it’s cold like a refrigerator))) No extraneous noise was noticed. GTA4 runs on medium settings, and if you set the maximum settings when turning the mouse, it slows down, but it runs))) I still haven’t found a way to disable Wi-Fi at startup.</v>
      </c>
    </row>
    <row r="8449" spans="1:9" x14ac:dyDescent="0.3">
      <c r="A8449" s="1" t="s">
        <v>105</v>
      </c>
      <c r="B8449" s="1" t="s">
        <v>106</v>
      </c>
      <c r="C8449" s="1" t="s">
        <v>1921</v>
      </c>
      <c r="D8449" s="1" t="s">
        <v>52</v>
      </c>
      <c r="E8449" s="1" t="s">
        <v>994</v>
      </c>
      <c r="F8449" s="1" t="s">
        <v>12709</v>
      </c>
      <c r="G8449" s="1" t="s">
        <v>36</v>
      </c>
      <c r="H8449" s="1" t="s">
        <v>29</v>
      </c>
      <c r="I8449" s="1" t="str">
        <f ca="1">IFERROR(__xludf.DUMMYFUNCTION("GOOGLETRANSLATE(F8449, ""auto"", ""en"")
"),"It’s a good player, especially for the price, the sound quality is good, I haven’t tried it with my own ears. But I connected the ears from a Sony Ericsson phone, through adapters and so on (as we know, the larger the wire, the worse the signal transmissi"&amp;"on, etc.) and even in this case the sound is pretty good. + in addition to everything on the disk, there is a video converter included - it converts without any special interference for this player, the video does not glitch, does not freeze - convenient."&amp;" So far I'm happy, let's see how it behaves in the future. :)")</f>
        <v>It’s a good player, especially for the price, the sound quality is good, I haven’t tried it with my own ears. But I connected the ears from a Sony Ericsson phone, through adapters and so on (as we know, the larger the wire, the worse the signal transmission, etc.) and even in this case the sound is pretty good. + in addition to everything on the disk, there is a video converter included - it converts without any special interference for this player, the video does not glitch, does not freeze - convenient. So far I'm happy, let's see how it behaves in the future. :)</v>
      </c>
    </row>
    <row r="8450" spans="1:9" x14ac:dyDescent="0.3">
      <c r="A8450" s="1" t="s">
        <v>811</v>
      </c>
      <c r="B8450" s="1" t="s">
        <v>812</v>
      </c>
      <c r="C8450" s="1" t="s">
        <v>813</v>
      </c>
      <c r="D8450" s="1" t="s">
        <v>875</v>
      </c>
      <c r="E8450" s="1" t="s">
        <v>92</v>
      </c>
      <c r="F8450" s="1" t="s">
        <v>12710</v>
      </c>
      <c r="G8450" s="1" t="s">
        <v>36</v>
      </c>
      <c r="H8450" s="1" t="s">
        <v>29</v>
      </c>
      <c r="I8450" s="1" t="str">
        <f ca="1">IFERROR(__xludf.DUMMYFUNCTION("GOOGLETRANSLATE(F8450, ""auto"", ""en"")
"),"Price, convenience, height and quality")</f>
        <v>Price, convenience, height and quality</v>
      </c>
    </row>
    <row r="8451" spans="1:9" x14ac:dyDescent="0.3">
      <c r="A8451" s="1" t="s">
        <v>120</v>
      </c>
      <c r="B8451" s="1" t="s">
        <v>121</v>
      </c>
      <c r="C8451" s="1" t="s">
        <v>80</v>
      </c>
      <c r="D8451" s="1" t="s">
        <v>171</v>
      </c>
      <c r="E8451" s="1" t="s">
        <v>617</v>
      </c>
      <c r="F8451" s="1" t="s">
        <v>12711</v>
      </c>
      <c r="G8451" s="1" t="s">
        <v>36</v>
      </c>
      <c r="H8451" s="1" t="s">
        <v>29</v>
      </c>
      <c r="I8451" s="1" t="str">
        <f ca="1">IFERROR(__xludf.DUMMYFUNCTION("GOOGLETRANSLATE(F8451, ""auto"", ""en"")
"),"Good day everyone! I bought this TV six months ago and am very pleased. The TV is functional. There is only one thing... when watching football matches, vertical dark stripes appear during dynamic scenes. If anyone knows what's wrong and how to fix them, "&amp;"please tell me. The remote control is a little inconvenient, but I've gotten used to it. I use AKADO digital television.")</f>
        <v>Good day everyone! I bought this TV six months ago and am very pleased. The TV is functional. There is only one thing... when watching football matches, vertical dark stripes appear during dynamic scenes. If anyone knows what's wrong and how to fix them, please tell me. The remote control is a little inconvenient, but I've gotten used to it. I use AKADO digital television.</v>
      </c>
    </row>
    <row r="8452" spans="1:9" x14ac:dyDescent="0.3">
      <c r="A8452" s="1" t="s">
        <v>61</v>
      </c>
      <c r="B8452" s="1" t="s">
        <v>73</v>
      </c>
      <c r="C8452" s="1" t="s">
        <v>146</v>
      </c>
      <c r="D8452" s="1" t="s">
        <v>521</v>
      </c>
      <c r="E8452" s="1" t="s">
        <v>3861</v>
      </c>
      <c r="F8452" s="1" t="s">
        <v>9273</v>
      </c>
      <c r="G8452" s="1" t="s">
        <v>36</v>
      </c>
      <c r="H8452" s="1" t="s">
        <v>29</v>
      </c>
      <c r="I8452" s="1" t="str">
        <f ca="1">IFERROR(__xludf.DUMMYFUNCTION("GOOGLETRANSLATE(F8452, ""auto"", ""en"")
"),"We chose a meat grinder for the family with special care! Make sure that all connections are metal, that the knife is good, and that reverse is a must. This meat grinder won everyone. Is it noisy? during those 5-7 minutes you don’t feel it working, it’s m"&amp;"etal, naturally it’s a little noisier than plastic. What I read here about knives is that these are forged knives, they must be sharpened. Initially, there is no point in selling them sharpened. I grind at idle, starting the meat grinder without meat - no"&amp;" problems, just less effort! In general, in my opinion, it is a clear leader on the market!")</f>
        <v>We chose a meat grinder for the family with special care! Make sure that all connections are metal, that the knife is good, and that reverse is a must. This meat grinder won everyone. Is it noisy? during those 5-7 minutes you don’t feel it working, it’s metal, naturally it’s a little noisier than plastic. What I read here about knives is that these are forged knives, they must be sharpened. Initially, there is no point in selling them sharpened. I grind at idle, starting the meat grinder without meat - no problems, just less effort! In general, in my opinion, it is a clear leader on the market!</v>
      </c>
    </row>
    <row r="8453" spans="1:9" x14ac:dyDescent="0.3">
      <c r="A8453" s="1" t="s">
        <v>120</v>
      </c>
      <c r="B8453" s="1" t="s">
        <v>256</v>
      </c>
      <c r="C8453" s="1" t="s">
        <v>32</v>
      </c>
      <c r="D8453" s="1" t="s">
        <v>305</v>
      </c>
      <c r="E8453" s="1" t="s">
        <v>12712</v>
      </c>
      <c r="F8453" s="1" t="s">
        <v>12713</v>
      </c>
      <c r="G8453" s="1" t="s">
        <v>36</v>
      </c>
      <c r="H8453" s="1" t="s">
        <v>29</v>
      </c>
      <c r="I8453" s="1" t="str">
        <f ca="1">IFERROR(__xludf.DUMMYFUNCTION("GOOGLETRANSLATE(F8453, ""auto"", ""en"")
"),"Great TV. The picture is clear. The sound is normal. The viewing angle is excellent. The price is good!")</f>
        <v>Great TV. The picture is clear. The sound is normal. The viewing angle is excellent. The price is good!</v>
      </c>
    </row>
    <row r="8454" spans="1:9" x14ac:dyDescent="0.3">
      <c r="A8454" s="1" t="s">
        <v>61</v>
      </c>
      <c r="B8454" s="1" t="s">
        <v>62</v>
      </c>
      <c r="C8454" s="1" t="s">
        <v>69</v>
      </c>
      <c r="D8454" s="1" t="s">
        <v>1147</v>
      </c>
      <c r="E8454" s="1" t="s">
        <v>9945</v>
      </c>
      <c r="F8454" s="1" t="s">
        <v>12714</v>
      </c>
      <c r="G8454" s="1" t="s">
        <v>36</v>
      </c>
      <c r="H8454" s="1" t="s">
        <v>29</v>
      </c>
      <c r="I8454" s="1" t="str">
        <f ca="1">IFERROR(__xludf.DUMMYFUNCTION("GOOGLETRANSLATE(F8454, ""auto"", ""en"")
"),"Easy to clean, takes up little space, multifunctional. I really like it. My mother couldn’t be happier with them, she didn’t like combines before, she said it’s easier to do it by hand, it takes longer to wash. There was a period when I had to live with m"&amp;"y mother, out of the kindness of my heart I gave it away to use, but now my former relatives won’t give it away. I will definitely buy the same one.")</f>
        <v>Easy to clean, takes up little space, multifunctional. I really like it. My mother couldn’t be happier with them, she didn’t like combines before, she said it’s easier to do it by hand, it takes longer to wash. There was a period when I had to live with my mother, out of the kindness of my heart I gave it away to use, but now my former relatives won’t give it away. I will definitely buy the same one.</v>
      </c>
    </row>
    <row r="8455" spans="1:9" x14ac:dyDescent="0.3">
      <c r="A8455" s="1" t="s">
        <v>477</v>
      </c>
      <c r="B8455" s="1" t="s">
        <v>478</v>
      </c>
      <c r="C8455" s="1" t="s">
        <v>479</v>
      </c>
      <c r="D8455" s="1" t="s">
        <v>1681</v>
      </c>
      <c r="E8455" s="1" t="s">
        <v>2577</v>
      </c>
      <c r="F8455" s="1" t="s">
        <v>12715</v>
      </c>
      <c r="G8455" s="1" t="s">
        <v>36</v>
      </c>
      <c r="H8455" s="1" t="s">
        <v>29</v>
      </c>
      <c r="I8455" s="1" t="str">
        <f ca="1">IFERROR(__xludf.DUMMYFUNCTION("GOOGLETRANSLATE(F8455, ""auto"", ""en"")
"),"The game is wonderful! Good textures and characters, wonderfully created equipment and weapons; I advise you to buy it!")</f>
        <v>The game is wonderful! Good textures and characters, wonderfully created equipment and weapons; I advise you to buy it!</v>
      </c>
    </row>
    <row r="8456" spans="1:9" x14ac:dyDescent="0.3">
      <c r="A8456" s="1" t="s">
        <v>61</v>
      </c>
      <c r="B8456" s="1" t="s">
        <v>145</v>
      </c>
      <c r="C8456" s="1" t="s">
        <v>69</v>
      </c>
      <c r="D8456" s="1" t="s">
        <v>1152</v>
      </c>
      <c r="E8456" s="1" t="s">
        <v>6752</v>
      </c>
      <c r="F8456" s="1" t="s">
        <v>12716</v>
      </c>
      <c r="G8456" s="1" t="s">
        <v>36</v>
      </c>
      <c r="H8456" s="1" t="s">
        <v>29</v>
      </c>
      <c r="I8456" s="1" t="str">
        <f ca="1">IFERROR(__xludf.DUMMYFUNCTION("GOOGLETRANSLATE(F8456, ""auto"", ""en"")
"),"Such a good steamer! Convenient and takes up little space in the kitchen. The dishes are delicious. But it puffs! Sound of work! I liked it and so did my grandmother.")</f>
        <v>Such a good steamer! Convenient and takes up little space in the kitchen. The dishes are delicious. But it puffs! Sound of work! I liked it and so did my grandmother.</v>
      </c>
    </row>
    <row r="8457" spans="1:9" x14ac:dyDescent="0.3">
      <c r="A8457" s="1" t="s">
        <v>37</v>
      </c>
      <c r="B8457" s="1" t="s">
        <v>536</v>
      </c>
      <c r="C8457" s="1" t="s">
        <v>151</v>
      </c>
      <c r="D8457" s="1" t="s">
        <v>9905</v>
      </c>
      <c r="E8457" s="1" t="s">
        <v>3542</v>
      </c>
      <c r="F8457" s="1" t="s">
        <v>12717</v>
      </c>
      <c r="G8457" s="1" t="s">
        <v>36</v>
      </c>
      <c r="H8457" s="1" t="s">
        <v>29</v>
      </c>
      <c r="I8457" s="1" t="str">
        <f ca="1">IFERROR(__xludf.DUMMYFUNCTION("GOOGLETRANSLATE(F8457, ""auto"", ""en"")
"),"I was given this communicator for my 18th birthday. Actually super simple, all you need)")</f>
        <v>I was given this communicator for my 18th birthday. Actually super simple, all you need)</v>
      </c>
    </row>
    <row r="8458" spans="1:9" x14ac:dyDescent="0.3">
      <c r="A8458" s="1" t="s">
        <v>17</v>
      </c>
      <c r="B8458" s="1" t="s">
        <v>18</v>
      </c>
      <c r="C8458" s="1" t="s">
        <v>243</v>
      </c>
      <c r="D8458" s="1" t="s">
        <v>545</v>
      </c>
      <c r="E8458" s="1" t="s">
        <v>8643</v>
      </c>
      <c r="F8458" s="1" t="s">
        <v>12718</v>
      </c>
      <c r="G8458" s="1" t="s">
        <v>36</v>
      </c>
      <c r="H8458" s="1" t="s">
        <v>29</v>
      </c>
      <c r="I8458" s="1" t="str">
        <f ca="1">IFERROR(__xludf.DUMMYFUNCTION("GOOGLETRANSLATE(F8458, ""auto"", ""en"")
"),"I purchased a washing machine in the fall of 2013, I was incredibly happy with this purchase, there was a promotion and I received such a good product for a low cost. This machine has many programs for different types of linen and fabrics, and despite the"&amp;" fact that it is narrow, it can even fit a blanket or down jacket, there is still room left, it is not very loud, it is almost inaudible when the door is closed, it only gets louder when doing push-ups. There were no malfunctions. The purchase was complet"&amp;"ely justified and I do not regret this purchase at all.")</f>
        <v>I purchased a washing machine in the fall of 2013, I was incredibly happy with this purchase, there was a promotion and I received such a good product for a low cost. This machine has many programs for different types of linen and fabrics, and despite the fact that it is narrow, it can even fit a blanket or down jacket, there is still room left, it is not very loud, it is almost inaudible when the door is closed, it only gets louder when doing push-ups. There were no malfunctions. The purchase was completely justified and I do not regret this purchase at all.</v>
      </c>
    </row>
    <row r="8459" spans="1:9" x14ac:dyDescent="0.3">
      <c r="A8459" s="1" t="s">
        <v>965</v>
      </c>
      <c r="B8459" s="1" t="s">
        <v>966</v>
      </c>
      <c r="C8459" s="1" t="s">
        <v>967</v>
      </c>
      <c r="D8459" s="1" t="s">
        <v>12719</v>
      </c>
      <c r="E8459" s="1" t="s">
        <v>11295</v>
      </c>
      <c r="F8459" s="1" t="s">
        <v>9944</v>
      </c>
      <c r="G8459" s="1" t="s">
        <v>1580</v>
      </c>
      <c r="H8459" s="1" t="s">
        <v>29</v>
      </c>
      <c r="I8459" s="1" t="str">
        <f ca="1">IFERROR(__xludf.DUMMYFUNCTION("GOOGLETRANSLATE(F8459, ""auto"", ""en"")
"),"Good sound")</f>
        <v>Good sound</v>
      </c>
    </row>
    <row r="8460" spans="1:9" x14ac:dyDescent="0.3">
      <c r="A8460" s="1" t="s">
        <v>30</v>
      </c>
      <c r="B8460" s="1" t="s">
        <v>50</v>
      </c>
      <c r="C8460" s="1" t="s">
        <v>32</v>
      </c>
      <c r="D8460" s="1" t="s">
        <v>12720</v>
      </c>
      <c r="E8460" s="1" t="s">
        <v>2030</v>
      </c>
      <c r="F8460" s="1" t="s">
        <v>12721</v>
      </c>
      <c r="G8460" s="1" t="s">
        <v>36</v>
      </c>
      <c r="H8460" s="1" t="s">
        <v>29</v>
      </c>
      <c r="I8460" s="1" t="str">
        <f ca="1">IFERROR(__xludf.DUMMYFUNCTION("GOOGLETRANSLATE(F8460, ""auto"", ""en"")
"),"very fast computer")</f>
        <v>very fast computer</v>
      </c>
    </row>
    <row r="8461" spans="1:9" x14ac:dyDescent="0.3">
      <c r="A8461" s="1" t="s">
        <v>61</v>
      </c>
      <c r="B8461" s="1" t="s">
        <v>726</v>
      </c>
      <c r="C8461" s="1" t="s">
        <v>85</v>
      </c>
      <c r="D8461" s="1" t="s">
        <v>565</v>
      </c>
      <c r="E8461" s="1" t="s">
        <v>3906</v>
      </c>
      <c r="F8461" s="1" t="s">
        <v>12722</v>
      </c>
      <c r="G8461" s="1" t="s">
        <v>36</v>
      </c>
      <c r="H8461" s="1" t="s">
        <v>29</v>
      </c>
      <c r="I8461" s="1" t="str">
        <f ca="1">IFERROR(__xludf.DUMMYFUNCTION("GOOGLETRANSLATE(F8461, ""auto"", ""en"")
"),"I recommend this model to everyone. When I bought it, I didn’t know that I would be satisfied. I bake bread every day (it’s eaten quickly) :))), it turns out very, very tasty!")</f>
        <v>I recommend this model to everyone. When I bought it, I didn’t know that I would be satisfied. I bake bread every day (it’s eaten quickly) :))), it turns out very, very tasty!</v>
      </c>
    </row>
    <row r="8462" spans="1:9" x14ac:dyDescent="0.3">
      <c r="A8462" s="1" t="s">
        <v>369</v>
      </c>
      <c r="B8462" s="1" t="s">
        <v>2480</v>
      </c>
      <c r="C8462" s="1" t="s">
        <v>453</v>
      </c>
      <c r="D8462" s="1" t="s">
        <v>64</v>
      </c>
      <c r="E8462" s="1" t="s">
        <v>12723</v>
      </c>
      <c r="F8462" s="1" t="s">
        <v>12724</v>
      </c>
      <c r="G8462" s="1" t="s">
        <v>49</v>
      </c>
      <c r="H8462" s="1" t="s">
        <v>16</v>
      </c>
      <c r="I8462" s="1" t="str">
        <f ca="1">IFERROR(__xludf.DUMMYFUNCTION("GOOGLETRANSLATE(F8462, ""auto"", ""en"")
"),"I don’t recommend taking it! I worked for 3 months and burned out.")</f>
        <v>I don’t recommend taking it! I worked for 3 months and burned out.</v>
      </c>
    </row>
    <row r="8463" spans="1:9" x14ac:dyDescent="0.3">
      <c r="A8463" s="1" t="s">
        <v>169</v>
      </c>
      <c r="B8463" s="1" t="s">
        <v>170</v>
      </c>
      <c r="C8463" s="1" t="s">
        <v>171</v>
      </c>
      <c r="D8463" s="1" t="s">
        <v>308</v>
      </c>
      <c r="E8463" s="1" t="s">
        <v>12725</v>
      </c>
      <c r="F8463" s="1" t="s">
        <v>12726</v>
      </c>
      <c r="G8463" s="1" t="s">
        <v>36</v>
      </c>
      <c r="H8463" s="1" t="s">
        <v>29</v>
      </c>
      <c r="I8463" s="1" t="str">
        <f ca="1">IFERROR(__xludf.DUMMYFUNCTION("GOOGLETRANSLATE(F8463, ""auto"", ""en"")
"),"Amazing headphones. The price is reasonable, it doesn’t bite, and the sound is simply gorgeous. They last a long time, the wires do not break after active use, even in the cold. As soon as I see it, I buy it (although it’s rare). I consider them indispens"&amp;"able, because I use them every eight months.")</f>
        <v>Amazing headphones. The price is reasonable, it doesn’t bite, and the sound is simply gorgeous. They last a long time, the wires do not break after active use, even in the cold. As soon as I see it, I buy it (although it’s rare). I consider them indispensable, because I use them every eight months.</v>
      </c>
    </row>
    <row r="8464" spans="1:9" x14ac:dyDescent="0.3">
      <c r="A8464" s="1" t="s">
        <v>61</v>
      </c>
      <c r="B8464" s="1" t="s">
        <v>318</v>
      </c>
      <c r="C8464" s="1" t="s">
        <v>45</v>
      </c>
      <c r="D8464" s="1" t="s">
        <v>442</v>
      </c>
      <c r="E8464" s="1" t="s">
        <v>781</v>
      </c>
      <c r="F8464" s="1" t="s">
        <v>12727</v>
      </c>
      <c r="G8464" s="1" t="s">
        <v>28</v>
      </c>
      <c r="H8464" s="1" t="s">
        <v>29</v>
      </c>
      <c r="I8464" s="1" t="str">
        <f ca="1">IFERROR(__xludf.DUMMYFUNCTION("GOOGLETRANSLATE(F8464, ""auto"", ""en"")
"),"A good kettle, but after a year and a half of use it began to leak.")</f>
        <v>A good kettle, but after a year and a half of use it began to leak.</v>
      </c>
    </row>
    <row r="8465" spans="1:9" x14ac:dyDescent="0.3">
      <c r="A8465" s="1" t="s">
        <v>624</v>
      </c>
      <c r="B8465" s="1" t="s">
        <v>625</v>
      </c>
      <c r="C8465" s="1" t="s">
        <v>479</v>
      </c>
      <c r="D8465" s="1" t="s">
        <v>7017</v>
      </c>
      <c r="E8465" s="1" t="s">
        <v>1432</v>
      </c>
      <c r="F8465" s="1" t="s">
        <v>12728</v>
      </c>
      <c r="G8465" s="1" t="s">
        <v>36</v>
      </c>
      <c r="H8465" s="1" t="s">
        <v>29</v>
      </c>
      <c r="I8465" s="1" t="str">
        <f ca="1">IFERROR(__xludf.DUMMYFUNCTION("GOOGLETRANSLATE(F8465, ""auto"", ""en"")
"),"I'm waiting....")</f>
        <v>I'm waiting....</v>
      </c>
    </row>
    <row r="8466" spans="1:9" x14ac:dyDescent="0.3">
      <c r="A8466" s="1" t="s">
        <v>9</v>
      </c>
      <c r="B8466" s="1" t="s">
        <v>10</v>
      </c>
      <c r="C8466" s="1" t="s">
        <v>407</v>
      </c>
      <c r="D8466" s="1" t="s">
        <v>2771</v>
      </c>
      <c r="E8466" s="1" t="s">
        <v>7973</v>
      </c>
      <c r="F8466" s="1" t="s">
        <v>12729</v>
      </c>
      <c r="G8466" s="1" t="s">
        <v>49</v>
      </c>
      <c r="H8466" s="1" t="s">
        <v>16</v>
      </c>
      <c r="I8466" s="1" t="str">
        <f ca="1">IFERROR(__xludf.DUMMYFUNCTION("GOOGLETRANSLATE(F8466, ""auto"", ""en"")
"),"After installation, about a month passed and the hood on the hood exploded on its own. It's good that there was no one nearby. You could get very seriously injured. I would not recommend anyone to buy this model! I received a lot of stress, not counting t"&amp;"he material damage.")</f>
        <v>After installation, about a month passed and the hood on the hood exploded on its own. It's good that there was no one nearby. You could get very seriously injured. I would not recommend anyone to buy this model! I received a lot of stress, not counting the material damage.</v>
      </c>
    </row>
    <row r="8467" spans="1:9" x14ac:dyDescent="0.3">
      <c r="A8467" s="1" t="s">
        <v>61</v>
      </c>
      <c r="B8467" s="1" t="s">
        <v>318</v>
      </c>
      <c r="C8467" s="1" t="s">
        <v>101</v>
      </c>
      <c r="D8467" s="1" t="s">
        <v>120</v>
      </c>
      <c r="E8467" s="1" t="s">
        <v>903</v>
      </c>
      <c r="F8467" s="1" t="s">
        <v>12730</v>
      </c>
      <c r="G8467" s="1" t="s">
        <v>36</v>
      </c>
      <c r="H8467" s="1" t="s">
        <v>29</v>
      </c>
      <c r="I8467" s="1" t="str">
        <f ca="1">IFERROR(__xludf.DUMMYFUNCTION("GOOGLETRANSLATE(F8467, ""auto"", ""en"")
"),"When heating, the pump does not work. How can I repair it myself?  all contacts are intact.")</f>
        <v>When heating, the pump does not work. How can I repair it myself?  all contacts are intact.</v>
      </c>
    </row>
    <row r="8468" spans="1:9" x14ac:dyDescent="0.3">
      <c r="A8468" s="1" t="s">
        <v>61</v>
      </c>
      <c r="B8468" s="1" t="s">
        <v>977</v>
      </c>
      <c r="C8468" s="1" t="s">
        <v>101</v>
      </c>
      <c r="D8468" s="1" t="s">
        <v>4871</v>
      </c>
      <c r="E8468" s="1" t="s">
        <v>6891</v>
      </c>
      <c r="F8468" s="1" t="s">
        <v>12731</v>
      </c>
      <c r="G8468" s="1" t="s">
        <v>49</v>
      </c>
      <c r="H8468" s="1" t="s">
        <v>16</v>
      </c>
      <c r="I8468" s="1" t="str">
        <f ca="1">IFERROR(__xludf.DUMMYFUNCTION("GOOGLETRANSLATE(F8468, ""auto"", ""en"")
"),"I gave it as a birthday present in October, the first time I turned it on I saw that it was sparking inside when switching, I went to the store and they explained to me that they wouldn’t accept it because it was working. And on February 2 it sparked and "&amp;"stopped working. Returned it to the store.")</f>
        <v>I gave it as a birthday present in October, the first time I turned it on I saw that it was sparking inside when switching, I went to the store and they explained to me that they wouldn’t accept it because it was working. And on February 2 it sparked and stopped working. Returned it to the store.</v>
      </c>
    </row>
    <row r="8469" spans="1:9" x14ac:dyDescent="0.3">
      <c r="A8469" s="1" t="s">
        <v>55</v>
      </c>
      <c r="B8469" s="1" t="s">
        <v>84</v>
      </c>
      <c r="C8469" s="1" t="s">
        <v>85</v>
      </c>
      <c r="D8469" s="1" t="s">
        <v>4835</v>
      </c>
      <c r="E8469" s="1" t="s">
        <v>1203</v>
      </c>
      <c r="F8469" s="1" t="s">
        <v>12732</v>
      </c>
      <c r="G8469" s="1" t="s">
        <v>36</v>
      </c>
      <c r="H8469" s="1" t="s">
        <v>29</v>
      </c>
      <c r="I8469" s="1" t="str">
        <f ca="1">IFERROR(__xludf.DUMMYFUNCTION("GOOGLETRANSLATE(F8469, ""auto"", ""en"")
"),"We bought this air washer a couple of years ago! It works properly! There is noticeably less dust!")</f>
        <v>We bought this air washer a couple of years ago! It works properly! There is noticeably less dust!</v>
      </c>
    </row>
    <row r="8470" spans="1:9" x14ac:dyDescent="0.3">
      <c r="A8470" s="1" t="s">
        <v>55</v>
      </c>
      <c r="B8470" s="1" t="s">
        <v>84</v>
      </c>
      <c r="C8470" s="1" t="s">
        <v>85</v>
      </c>
      <c r="D8470" s="1" t="s">
        <v>545</v>
      </c>
      <c r="E8470" s="1" t="s">
        <v>2724</v>
      </c>
      <c r="F8470" s="1" t="s">
        <v>12733</v>
      </c>
      <c r="G8470" s="1" t="s">
        <v>15</v>
      </c>
      <c r="H8470" s="1" t="s">
        <v>16</v>
      </c>
      <c r="I8470" s="1" t="str">
        <f ca="1">IFERROR(__xludf.DUMMYFUNCTION("GOOGLETRANSLATE(F8470, ""auto"", ""en"")
"),"The sink started acting up after literally a month of use. Very noisy, rumbles like a tractor. The water goes out quickly, especially in summer, even though we washed it every day. You get tired of washing the discs (you have to unscrew and wash them all "&amp;"once every three months). A water deposit forms that cannot be cleaned off, although the manufacturers assure that you can use ordinary tap water. At the moment, the warm steam function no longer works, we will take it to the service center. We've been us"&amp;"ing it for about a year, maybe a little more. She's not worth that kind of money!!")</f>
        <v>The sink started acting up after literally a month of use. Very noisy, rumbles like a tractor. The water goes out quickly, especially in summer, even though we washed it every day. You get tired of washing the discs (you have to unscrew and wash them all once every three months). A water deposit forms that cannot be cleaned off, although the manufacturers assure that you can use ordinary tap water. At the moment, the warm steam function no longer works, we will take it to the service center. We've been using it for about a year, maybe a little more. She's not worth that kind of money!!</v>
      </c>
    </row>
    <row r="8471" spans="1:9" x14ac:dyDescent="0.3">
      <c r="A8471" s="1" t="s">
        <v>149</v>
      </c>
      <c r="B8471" s="1" t="s">
        <v>576</v>
      </c>
      <c r="C8471" s="1" t="s">
        <v>69</v>
      </c>
      <c r="D8471" s="1" t="s">
        <v>64</v>
      </c>
      <c r="E8471" s="1" t="s">
        <v>3422</v>
      </c>
      <c r="F8471" s="1" t="s">
        <v>12734</v>
      </c>
      <c r="G8471" s="1" t="s">
        <v>36</v>
      </c>
      <c r="H8471" s="1" t="s">
        <v>29</v>
      </c>
      <c r="I8471" s="1" t="str">
        <f ca="1">IFERROR(__xludf.DUMMYFUNCTION("GOOGLETRANSLATE(F8471, ""auto"", ""en"")
"),"Very convenient, powerful, has a fragrance, long cord, long service life")</f>
        <v>Very convenient, powerful, has a fragrance, long cord, long service life</v>
      </c>
    </row>
    <row r="8472" spans="1:9" x14ac:dyDescent="0.3">
      <c r="A8472" s="1" t="s">
        <v>30</v>
      </c>
      <c r="B8472" s="1" t="s">
        <v>50</v>
      </c>
      <c r="C8472" s="1" t="s">
        <v>51</v>
      </c>
      <c r="D8472" s="1" t="s">
        <v>172</v>
      </c>
      <c r="E8472" s="1" t="s">
        <v>594</v>
      </c>
      <c r="F8472" s="1" t="s">
        <v>12735</v>
      </c>
      <c r="G8472" s="1" t="s">
        <v>28</v>
      </c>
      <c r="H8472" s="1" t="s">
        <v>29</v>
      </c>
      <c r="I8472" s="1" t="str">
        <f ca="1">IFERROR(__xludf.DUMMYFUNCTION("GOOGLETRANSLATE(F8472, ""auto"", ""en"")
"),"The performance is good, it's a great machine for a programmer, games probably fly (I haven't tested it). price/quality ratio - very good ratio. Of the minuses, the lack of drivers, as well as the mistake of the company that forgot to build in bluetooth, "&amp;"installing firewood does not cure")</f>
        <v>The performance is good, it's a great machine for a programmer, games probably fly (I haven't tested it). price/quality ratio - very good ratio. Of the minuses, the lack of drivers, as well as the mistake of the company that forgot to build in bluetooth, installing firewood does not cure</v>
      </c>
    </row>
    <row r="8473" spans="1:9" x14ac:dyDescent="0.3">
      <c r="A8473" s="1" t="s">
        <v>9</v>
      </c>
      <c r="B8473" s="1" t="s">
        <v>10</v>
      </c>
      <c r="C8473" s="1" t="s">
        <v>407</v>
      </c>
      <c r="D8473" s="1" t="s">
        <v>12736</v>
      </c>
      <c r="E8473" s="1" t="s">
        <v>12737</v>
      </c>
      <c r="F8473" s="1" t="s">
        <v>12738</v>
      </c>
      <c r="G8473" s="1" t="s">
        <v>36</v>
      </c>
      <c r="H8473" s="1" t="s">
        <v>29</v>
      </c>
      <c r="I8473" s="1" t="str">
        <f ca="1">IFERROR(__xludf.DUMMYFUNCTION("GOOGLETRANSLATE(F8473, ""auto"", ""en"")
"),"I like it very much, we've been using it for 2 years. Easy to care for and beautiful!!!")</f>
        <v>I like it very much, we've been using it for 2 years. Easy to care for and beautiful!!!</v>
      </c>
    </row>
    <row r="8474" spans="1:9" x14ac:dyDescent="0.3">
      <c r="A8474" s="1" t="s">
        <v>43</v>
      </c>
      <c r="B8474" s="1" t="s">
        <v>502</v>
      </c>
      <c r="C8474" s="1" t="s">
        <v>151</v>
      </c>
      <c r="D8474" s="1" t="s">
        <v>1771</v>
      </c>
      <c r="E8474" s="1" t="s">
        <v>386</v>
      </c>
      <c r="F8474" s="1" t="s">
        <v>12739</v>
      </c>
      <c r="G8474" s="1" t="s">
        <v>49</v>
      </c>
      <c r="H8474" s="1" t="s">
        <v>16</v>
      </c>
      <c r="I8474" s="1" t="str">
        <f ca="1">IFERROR(__xludf.DUMMYFUNCTION("GOOGLETRANSLATE(F8474, ""auto"", ""en"")
"),"Bought from another store. But the vibration and noise from the external unit is simply terrible!!! All the walls and even the plastic window vibrate and hum in the room!!! It's blocking your ears! After long examinations, we found out that this was indee"&amp;"d a manufacturer’s defect!!! They made a refund. Haven't bought anything to replace it yet.")</f>
        <v>Bought from another store. But the vibration and noise from the external unit is simply terrible!!! All the walls and even the plastic window vibrate and hum in the room!!! It's blocking your ears! After long examinations, we found out that this was indeed a manufacturer’s defect!!! They made a refund. Haven't bought anything to replace it yet.</v>
      </c>
    </row>
    <row r="8475" spans="1:9" x14ac:dyDescent="0.3">
      <c r="A8475" s="1" t="s">
        <v>9</v>
      </c>
      <c r="B8475" s="1" t="s">
        <v>137</v>
      </c>
      <c r="C8475" s="1" t="s">
        <v>870</v>
      </c>
      <c r="D8475" s="1" t="s">
        <v>114</v>
      </c>
      <c r="E8475" s="1" t="s">
        <v>7743</v>
      </c>
      <c r="F8475" s="1" t="s">
        <v>12740</v>
      </c>
      <c r="G8475" s="1" t="s">
        <v>36</v>
      </c>
      <c r="H8475" s="1" t="s">
        <v>29</v>
      </c>
      <c r="I8475" s="1" t="str">
        <f ca="1">IFERROR(__xludf.DUMMYFUNCTION("GOOGLETRANSLATE(F8475, ""auto"", ""en"")
"),"We bought it a few months ago and so far we are happy with it. It’s easy to care for, the electric ignition works great, and the gas control doesn’t fail. Thanks for the good panel.")</f>
        <v>We bought it a few months ago and so far we are happy with it. It’s easy to care for, the electric ignition works great, and the gas control doesn’t fail. Thanks for the good panel.</v>
      </c>
    </row>
    <row r="8476" spans="1:9" x14ac:dyDescent="0.3">
      <c r="A8476" s="1" t="s">
        <v>61</v>
      </c>
      <c r="B8476" s="1" t="s">
        <v>434</v>
      </c>
      <c r="C8476" s="1" t="s">
        <v>185</v>
      </c>
      <c r="D8476" s="1" t="s">
        <v>3326</v>
      </c>
      <c r="E8476" s="1" t="s">
        <v>2577</v>
      </c>
      <c r="F8476" s="1" t="s">
        <v>12741</v>
      </c>
      <c r="G8476" s="1" t="s">
        <v>36</v>
      </c>
      <c r="H8476" s="1" t="s">
        <v>29</v>
      </c>
      <c r="I8476" s="1" t="str">
        <f ca="1">IFERROR(__xludf.DUMMYFUNCTION("GOOGLETRANSLATE(F8476, ""auto"", ""en"")
"),"We took one of these to our dacha half a year ago because I think it’s too expensive to install full-fledged ovens for a dacha. Didn't disappoint, the flight was normal; bakes everything well, chicken, pie, etc.  Regarding the previous review, All ovens e"&amp;"mit a smell at first, they just need to be allowed to burn properly, and then washed and there will be no smell, at my home the Hans stove also stank of Chinese wires at first.  In general, the thing is worthy, I recommend it for purchase.")</f>
        <v>We took one of these to our dacha half a year ago because I think it’s too expensive to install full-fledged ovens for a dacha. Didn't disappoint, the flight was normal; bakes everything well, chicken, pie, etc.  Regarding the previous review, All ovens emit a smell at first, they just need to be allowed to burn properly, and then washed and there will be no smell, at my home the Hans stove also stank of Chinese wires at first.  In general, the thing is worthy, I recommend it for purchase.</v>
      </c>
    </row>
    <row r="8477" spans="1:9" x14ac:dyDescent="0.3">
      <c r="A8477" s="1" t="s">
        <v>61</v>
      </c>
      <c r="B8477" s="1" t="s">
        <v>145</v>
      </c>
      <c r="C8477" s="1" t="s">
        <v>246</v>
      </c>
      <c r="D8477" s="1" t="s">
        <v>295</v>
      </c>
      <c r="E8477" s="1" t="s">
        <v>3303</v>
      </c>
      <c r="F8477" s="1" t="s">
        <v>12742</v>
      </c>
      <c r="G8477" s="1" t="s">
        <v>36</v>
      </c>
      <c r="H8477" s="1" t="s">
        <v>29</v>
      </c>
      <c r="I8477" s="1" t="str">
        <f ca="1">IFERROR(__xludf.DUMMYFUNCTION("GOOGLETRANSLATE(F8477, ""auto"", ""en"")
"),"We have three children in our family, we constantly need to not only feed, but also surprise. I agree with those who wrote above that there is no heat or soot, unlike frying on gas. In half an hour we bake 2 stacks of thin lace pancakes, the kids eat them"&amp;" with pleasure, they like the unusual size. At first I baked as written: I poured out a ladleful at a time, but the pancakes turned out thick like large pancakes, then I started pouring out a little less and leveling them with two circular movements, so I"&amp;" got super-duper pancakes. It washes off wonderfully, or rather, I wipe it when it has cooled with a damp cloth. I recommend it to everyone who loves to bake and eat pancakes.")</f>
        <v>We have three children in our family, we constantly need to not only feed, but also surprise. I agree with those who wrote above that there is no heat or soot, unlike frying on gas. In half an hour we bake 2 stacks of thin lace pancakes, the kids eat them with pleasure, they like the unusual size. At first I baked as written: I poured out a ladleful at a time, but the pancakes turned out thick like large pancakes, then I started pouring out a little less and leveling them with two circular movements, so I got super-duper pancakes. It washes off wonderfully, or rather, I wipe it when it has cooled with a damp cloth. I recommend it to everyone who loves to bake and eat pancakes.</v>
      </c>
    </row>
    <row r="8478" spans="1:9" x14ac:dyDescent="0.3">
      <c r="A8478" s="1" t="s">
        <v>120</v>
      </c>
      <c r="B8478" s="1" t="s">
        <v>121</v>
      </c>
      <c r="C8478" s="1" t="s">
        <v>97</v>
      </c>
      <c r="D8478" s="1" t="s">
        <v>12743</v>
      </c>
      <c r="E8478" s="1" t="s">
        <v>917</v>
      </c>
      <c r="F8478" s="1" t="s">
        <v>12744</v>
      </c>
      <c r="G8478" s="1" t="s">
        <v>49</v>
      </c>
      <c r="H8478" s="1" t="s">
        <v>16</v>
      </c>
      <c r="I8478" s="1" t="str">
        <f ca="1">IFERROR(__xludf.DUMMYFUNCTION("GOOGLETRANSLATE(F8478, ""auto"", ""en"")
"),"This new series of SONY TVs. These TVs are low in cost, but the image clarity of these TVs leaves much to be desired, and that's putting it mildly. The matrices on TVs are disgusting. When choosing, I advise you to take the KDL series; although it is more"&amp;" expensive, their image quality is much better. This is better than saving money first and running to the service with a complaint about the image. I advise you to pay attention to X or W.")</f>
        <v>This new series of SONY TVs. These TVs are low in cost, but the image clarity of these TVs leaves much to be desired, and that's putting it mildly. The matrices on TVs are disgusting. When choosing, I advise you to take the KDL series; although it is more expensive, their image quality is much better. This is better than saving money first and running to the service with a complaint about the image. I advise you to pay attention to X or W.</v>
      </c>
    </row>
    <row r="8479" spans="1:9" x14ac:dyDescent="0.3">
      <c r="A8479" s="1" t="s">
        <v>61</v>
      </c>
      <c r="B8479" s="1" t="s">
        <v>977</v>
      </c>
      <c r="C8479" s="1" t="s">
        <v>85</v>
      </c>
      <c r="D8479" s="1" t="s">
        <v>12745</v>
      </c>
      <c r="E8479" s="1" t="s">
        <v>76</v>
      </c>
      <c r="F8479" s="1" t="s">
        <v>12746</v>
      </c>
      <c r="G8479" s="1" t="s">
        <v>36</v>
      </c>
      <c r="H8479" s="1" t="s">
        <v>29</v>
      </c>
      <c r="I8479" s="1" t="str">
        <f ca="1">IFERROR(__xludf.DUMMYFUNCTION("GOOGLETRANSLATE(F8479, ""auto"", ""en"")
"),"I love homemade baking, so I decided to go with this mixer model... a good mixer that kneads everything, especially when you choose the wrong mode, it will pick up the right speed depending on the thickness of the dough, protein cream - Cool!!! My girlfri"&amp;"end and I are happy with the purchase, next up is the purchase of an ice cream attachment! I recommend it, ladies and gentlemen!")</f>
        <v>I love homemade baking, so I decided to go with this mixer model... a good mixer that kneads everything, especially when you choose the wrong mode, it will pick up the right speed depending on the thickness of the dough, protein cream - Cool!!! My girlfriend and I are happy with the purchase, next up is the purchase of an ice cream attachment! I recommend it, ladies and gentlemen!</v>
      </c>
    </row>
    <row r="8480" spans="1:9" x14ac:dyDescent="0.3">
      <c r="A8480" s="1" t="s">
        <v>78</v>
      </c>
      <c r="B8480" s="1" t="s">
        <v>493</v>
      </c>
      <c r="C8480" s="1" t="s">
        <v>80</v>
      </c>
      <c r="D8480" s="1" t="s">
        <v>3407</v>
      </c>
      <c r="E8480" s="1" t="s">
        <v>1849</v>
      </c>
      <c r="F8480" s="1" t="s">
        <v>12747</v>
      </c>
      <c r="G8480" s="1" t="s">
        <v>28</v>
      </c>
      <c r="H8480" s="1" t="s">
        <v>29</v>
      </c>
      <c r="I8480" s="1" t="str">
        <f ca="1">IFERROR(__xludf.DUMMYFUNCTION("GOOGLETRANSLATE(F8480, ""auto"", ""en"")
"),"The oven is very good for both baking and grilling. I have been using it for 2 months. Defrosting is uniform, baking is a miracle, heats up quickly and evenly. The panel is convenient and understandable. Thank you, I’m very pleased!")</f>
        <v>The oven is very good for both baking and grilling. I have been using it for 2 months. Defrosting is uniform, baking is a miracle, heats up quickly and evenly. The panel is convenient and understandable. Thank you, I’m very pleased!</v>
      </c>
    </row>
    <row r="8481" spans="1:9" x14ac:dyDescent="0.3">
      <c r="A8481" s="1" t="s">
        <v>61</v>
      </c>
      <c r="B8481" s="1" t="s">
        <v>318</v>
      </c>
      <c r="C8481" s="1" t="s">
        <v>101</v>
      </c>
      <c r="D8481" s="1" t="s">
        <v>305</v>
      </c>
      <c r="E8481" s="1" t="s">
        <v>1296</v>
      </c>
      <c r="F8481" s="1" t="s">
        <v>12748</v>
      </c>
      <c r="G8481" s="1" t="s">
        <v>28</v>
      </c>
      <c r="H8481" s="1" t="s">
        <v>29</v>
      </c>
      <c r="I8481" s="1" t="str">
        <f ca="1">IFERROR(__xludf.DUMMYFUNCTION("GOOGLETRANSLATE(F8481, ""auto"", ""en"")
"),"A thermopot is more convenient than a kettle for several reasons. no need to boil a hundred times - the first, more volume - two, consumes less energy - 3. This handsome guy has been showing off in our kitchen for a year now, I can’t say that his work is "&amp;"perfect, but we’re not complaining. We are happy with everything.")</f>
        <v>A thermopot is more convenient than a kettle for several reasons. no need to boil a hundred times - the first, more volume - two, consumes less energy - 3. This handsome guy has been showing off in our kitchen for a year now, I can’t say that his work is perfect, but we’re not complaining. We are happy with everything.</v>
      </c>
    </row>
    <row r="8482" spans="1:9" x14ac:dyDescent="0.3">
      <c r="A8482" s="1" t="s">
        <v>17</v>
      </c>
      <c r="B8482" s="1" t="s">
        <v>325</v>
      </c>
      <c r="C8482" s="1" t="s">
        <v>326</v>
      </c>
      <c r="D8482" s="1" t="s">
        <v>295</v>
      </c>
      <c r="E8482" s="1" t="s">
        <v>4980</v>
      </c>
      <c r="F8482" s="1" t="s">
        <v>12749</v>
      </c>
      <c r="G8482" s="1" t="s">
        <v>36</v>
      </c>
      <c r="H8482" s="1" t="s">
        <v>29</v>
      </c>
      <c r="I8482" s="1" t="str">
        <f ca="1">IFERROR(__xludf.DUMMYFUNCTION("GOOGLETRANSLATE(F8482, ""auto"", ""en"")
"),"I have been washing with this machine for 8 years!!! I was choosing between this and the regular little one! the load of laundry is the same, but the Princess is 2 times smaller and lighter! I took it because I live in a rented apartment and have to move "&amp;"often. Very comfortable! I even wash bed linen in it!")</f>
        <v>I have been washing with this machine for 8 years!!! I was choosing between this and the regular little one! the load of laundry is the same, but the Princess is 2 times smaller and lighter! I took it because I live in a rented apartment and have to move often. Very comfortable! I even wash bed linen in it!</v>
      </c>
    </row>
    <row r="8483" spans="1:9" x14ac:dyDescent="0.3">
      <c r="A8483" s="1" t="s">
        <v>55</v>
      </c>
      <c r="B8483" s="1" t="s">
        <v>56</v>
      </c>
      <c r="C8483" s="1" t="s">
        <v>85</v>
      </c>
      <c r="D8483" s="1" t="s">
        <v>545</v>
      </c>
      <c r="E8483" s="1" t="s">
        <v>6446</v>
      </c>
      <c r="F8483" s="1" t="s">
        <v>12750</v>
      </c>
      <c r="G8483" s="1" t="s">
        <v>36</v>
      </c>
      <c r="H8483" s="1" t="s">
        <v>29</v>
      </c>
      <c r="I8483" s="1" t="str">
        <f ca="1">IFERROR(__xludf.DUMMYFUNCTION("GOOGLETRANSLATE(F8483, ""auto"", ""en"")
"),"I liked it at first sight. Stylish design, convenient operation, fits perfectly into the interior. But all these are small things compared to his work. I quickly completed my task, the humidity in the room is now kept at 50 percent. The children have stop"&amp;"ped coughing and get up well-rested in the morning. Excellent humidifier, works quietly.")</f>
        <v>I liked it at first sight. Stylish design, convenient operation, fits perfectly into the interior. But all these are small things compared to his work. I quickly completed my task, the humidity in the room is now kept at 50 percent. The children have stopped coughing and get up well-rested in the morning. Excellent humidifier, works quietly.</v>
      </c>
    </row>
    <row r="8484" spans="1:9" x14ac:dyDescent="0.3">
      <c r="A8484" s="1" t="s">
        <v>37</v>
      </c>
      <c r="B8484" s="1" t="s">
        <v>38</v>
      </c>
      <c r="C8484" s="1" t="s">
        <v>39</v>
      </c>
      <c r="D8484" s="1" t="s">
        <v>335</v>
      </c>
      <c r="E8484" s="1" t="s">
        <v>400</v>
      </c>
      <c r="F8484" s="1" t="s">
        <v>12751</v>
      </c>
      <c r="G8484" s="1" t="s">
        <v>36</v>
      </c>
      <c r="H8484" s="1" t="s">
        <v>29</v>
      </c>
      <c r="I8484" s="1" t="str">
        <f ca="1">IFERROR(__xludf.DUMMYFUNCTION("GOOGLETRANSLATE(F8484, ""auto"", ""en"")
"),"The phone is easy to use, pleasant to hold in your hands... the camera is clear... loud speaker, in a word, a cool phone!) Don't hesitate to take it)")</f>
        <v>The phone is easy to use, pleasant to hold in your hands... the camera is clear... loud speaker, in a word, a cool phone!) Don't hesitate to take it)</v>
      </c>
    </row>
    <row r="8485" spans="1:9" x14ac:dyDescent="0.3">
      <c r="A8485" s="1" t="s">
        <v>206</v>
      </c>
      <c r="B8485" s="1" t="s">
        <v>261</v>
      </c>
      <c r="C8485" s="1" t="s">
        <v>107</v>
      </c>
      <c r="D8485" s="1" t="s">
        <v>81</v>
      </c>
      <c r="E8485" s="1" t="s">
        <v>3975</v>
      </c>
      <c r="F8485" s="1" t="s">
        <v>12752</v>
      </c>
      <c r="G8485" s="1" t="s">
        <v>15</v>
      </c>
      <c r="H8485" s="1" t="s">
        <v>16</v>
      </c>
      <c r="I8485" s="1" t="str">
        <f ca="1">IFERROR(__xludf.DUMMYFUNCTION("GOOGLETRANSLATE(F8485, ""auto"", ""en"")
"),"The modulator generally works well, the remote control does not work at all. Doesn't sound play when you connect the wire to the receiver? On the Ritmix FMT-A750 model, when connected, the sound was even better, it’s a pity it burned out.")</f>
        <v>The modulator generally works well, the remote control does not work at all. Doesn't sound play when you connect the wire to the receiver? On the Ritmix FMT-A750 model, when connected, the sound was even better, it’s a pity it burned out.</v>
      </c>
    </row>
    <row r="8486" spans="1:9" x14ac:dyDescent="0.3">
      <c r="A8486" s="1" t="s">
        <v>43</v>
      </c>
      <c r="B8486" s="1" t="s">
        <v>44</v>
      </c>
      <c r="C8486" s="1" t="s">
        <v>101</v>
      </c>
      <c r="D8486" s="1" t="s">
        <v>114</v>
      </c>
      <c r="E8486" s="1" t="s">
        <v>12753</v>
      </c>
      <c r="F8486" s="1" t="s">
        <v>12754</v>
      </c>
      <c r="G8486" s="1" t="s">
        <v>15</v>
      </c>
      <c r="H8486" s="1" t="s">
        <v>16</v>
      </c>
      <c r="I8486" s="1" t="str">
        <f ca="1">IFERROR(__xludf.DUMMYFUNCTION("GOOGLETRANSLATE(F8486, ""auto"", ""en"")
"),"Pros: cheap, simple, good build quality.   Cons: weak. Not suitable for the current heat (August 2016).")</f>
        <v>Pros: cheap, simple, good build quality.   Cons: weak. Not suitable for the current heat (August 2016).</v>
      </c>
    </row>
    <row r="8487" spans="1:9" x14ac:dyDescent="0.3">
      <c r="A8487" s="1" t="s">
        <v>17</v>
      </c>
      <c r="B8487" s="1" t="s">
        <v>18</v>
      </c>
      <c r="C8487" s="1" t="s">
        <v>243</v>
      </c>
      <c r="D8487" s="1" t="s">
        <v>152</v>
      </c>
      <c r="E8487" s="1" t="s">
        <v>985</v>
      </c>
      <c r="F8487" s="1" t="s">
        <v>12755</v>
      </c>
      <c r="G8487" s="1" t="s">
        <v>28</v>
      </c>
      <c r="H8487" s="1" t="s">
        <v>29</v>
      </c>
      <c r="I8487" s="1" t="str">
        <f ca="1">IFERROR(__xludf.DUMMYFUNCTION("GOOGLETRANSLATE(F8487, ""auto"", ""en"")
"),"In terms of price/function ratio, it is the optimal choice. The machine has no bells and whistles, but does its main task - washing/spinning - perfectly. Household appliances must be connected to the electrical panel with a separate three-wire cable, and "&amp;"not through a household outlet and a household extension cord. Electrical panels (even in Khrushchev buildings) have a grounding bus. It cannot not exist. All questions to those specialists who connected the machine. I give 4 stars only because it does no"&amp;"t have a direct drive to the motor shaft. Although, in all honesty, this claim is not correct for the economy class.")</f>
        <v>In terms of price/function ratio, it is the optimal choice. The machine has no bells and whistles, but does its main task - washing/spinning - perfectly. Household appliances must be connected to the electrical panel with a separate three-wire cable, and not through a household outlet and a household extension cord. Electrical panels (even in Khrushchev buildings) have a grounding bus. It cannot not exist. All questions to those specialists who connected the machine. I give 4 stars only because it does not have a direct drive to the motor shaft. Although, in all honesty, this claim is not correct for the economy class.</v>
      </c>
    </row>
    <row r="8488" spans="1:9" x14ac:dyDescent="0.3">
      <c r="A8488" s="1" t="s">
        <v>43</v>
      </c>
      <c r="B8488" s="1" t="s">
        <v>303</v>
      </c>
      <c r="C8488" s="1" t="s">
        <v>1721</v>
      </c>
      <c r="D8488" s="1" t="s">
        <v>305</v>
      </c>
      <c r="E8488" s="1" t="s">
        <v>1792</v>
      </c>
      <c r="F8488" s="1" t="s">
        <v>12756</v>
      </c>
      <c r="G8488" s="1" t="s">
        <v>49</v>
      </c>
      <c r="H8488" s="1" t="s">
        <v>16</v>
      </c>
      <c r="I8488" s="1" t="str">
        <f ca="1">IFERROR(__xludf.DUMMYFUNCTION("GOOGLETRANSLATE(F8488, ""auto"", ""en"")
"),"Pros: 1. Inexpensive 2. Easy to install That's probably all.  Cons: 1.When heated, it stinks terribly, and this smell does not go away.  2. Heats up for a very long time.  3. After working for two months, the heating element broke down. They replaced it, "&amp;"thank God under warranty, but the residue remained.")</f>
        <v>Pros: 1. Inexpensive 2. Easy to install That's probably all.  Cons: 1.When heated, it stinks terribly, and this smell does not go away.  2. Heats up for a very long time.  3. After working for two months, the heating element broke down. They replaced it, thank God under warranty, but the residue remained.</v>
      </c>
    </row>
    <row r="8489" spans="1:9" x14ac:dyDescent="0.3">
      <c r="A8489" s="1" t="s">
        <v>206</v>
      </c>
      <c r="B8489" s="1" t="s">
        <v>1349</v>
      </c>
      <c r="C8489" s="1" t="s">
        <v>262</v>
      </c>
      <c r="D8489" s="1" t="s">
        <v>52</v>
      </c>
      <c r="E8489" s="1" t="s">
        <v>1826</v>
      </c>
      <c r="F8489" s="1" t="s">
        <v>12757</v>
      </c>
      <c r="G8489" s="1" t="s">
        <v>36</v>
      </c>
      <c r="H8489" s="1" t="s">
        <v>29</v>
      </c>
      <c r="I8489" s="1" t="str">
        <f ca="1">IFERROR(__xludf.DUMMYFUNCTION("GOOGLETRANSLATE(F8489, ""auto"", ""en"")
"),"The only negative is the incomprehensible operation of the fan when turned on, especially in -25 frost, it hums somehow strangely.  It only glitched a couple of times, it automatically finds and switches to stations when, for example, music is playing fro"&amp;"m a flash drive, which is why it’s unclear why this happens.  You can’t connect GPS, because it’s not provided for by the design!")</f>
        <v>The only negative is the incomprehensible operation of the fan when turned on, especially in -25 frost, it hums somehow strangely.  It only glitched a couple of times, it automatically finds and switches to stations when, for example, music is playing from a flash drive, which is why it’s unclear why this happens.  You can’t connect GPS, because it’s not provided for by the design!</v>
      </c>
    </row>
    <row r="8490" spans="1:9" x14ac:dyDescent="0.3">
      <c r="A8490" s="1" t="s">
        <v>30</v>
      </c>
      <c r="B8490" s="1" t="s">
        <v>50</v>
      </c>
      <c r="C8490" s="1" t="s">
        <v>1386</v>
      </c>
      <c r="D8490" s="1" t="s">
        <v>12758</v>
      </c>
      <c r="E8490" s="1" t="s">
        <v>905</v>
      </c>
      <c r="F8490" s="1" t="s">
        <v>12759</v>
      </c>
      <c r="G8490" s="1" t="s">
        <v>28</v>
      </c>
      <c r="H8490" s="1" t="s">
        <v>29</v>
      </c>
      <c r="I8490" s="1" t="str">
        <f ca="1">IFERROR(__xludf.DUMMYFUNCTION("GOOGLETRANSLATE(F8490, ""auto"", ""en"")
"),"The laptop is great for work, but there is one drawback: there is no microphone.")</f>
        <v>The laptop is great for work, but there is one drawback: there is no microphone.</v>
      </c>
    </row>
    <row r="8491" spans="1:9" x14ac:dyDescent="0.3">
      <c r="A8491" s="1" t="s">
        <v>211</v>
      </c>
      <c r="B8491" s="1" t="s">
        <v>212</v>
      </c>
      <c r="C8491" s="1" t="s">
        <v>294</v>
      </c>
      <c r="D8491" s="1" t="s">
        <v>12760</v>
      </c>
      <c r="E8491" s="1" t="s">
        <v>7839</v>
      </c>
      <c r="F8491" s="1" t="s">
        <v>12761</v>
      </c>
      <c r="G8491" s="1" t="s">
        <v>28</v>
      </c>
      <c r="H8491" s="1" t="s">
        <v>29</v>
      </c>
      <c r="I8491" s="1" t="str">
        <f ca="1">IFERROR(__xludf.DUMMYFUNCTION("GOOGLETRANSLATE(F8491, ""auto"", ""en"")
"),"It's all about brushes, and brushes, and I didn't buy the straightener for them. So about the rectifier itself. It catches my hair, it doesn’t bother me much, but it’s still a minus. The hair gets a little electrified. It takes a long time to cool down.")</f>
        <v>It's all about brushes, and brushes, and I didn't buy the straightener for them. So about the rectifier itself. It catches my hair, it doesn’t bother me much, but it’s still a minus. The hair gets a little electrified. It takes a long time to cool down.</v>
      </c>
    </row>
    <row r="8492" spans="1:9" x14ac:dyDescent="0.3">
      <c r="A8492" s="1" t="s">
        <v>30</v>
      </c>
      <c r="B8492" s="1" t="s">
        <v>50</v>
      </c>
      <c r="C8492" s="1" t="s">
        <v>51</v>
      </c>
      <c r="D8492" s="1" t="s">
        <v>12762</v>
      </c>
      <c r="E8492" s="1" t="s">
        <v>5800</v>
      </c>
      <c r="F8492" s="1" t="s">
        <v>12763</v>
      </c>
      <c r="G8492" s="1" t="s">
        <v>36</v>
      </c>
      <c r="H8492" s="1" t="s">
        <v>29</v>
      </c>
      <c r="I8492" s="1" t="str">
        <f ca="1">IFERROR(__xludf.DUMMYFUNCTION("GOOGLETRANSLATE(F8492, ""auto"", ""en"")
"),"The laptop is simply wonderful. The only drawback is that the laptop spins at breakneck speed, I don’t have time to press the buttons!")</f>
        <v>The laptop is simply wonderful. The only drawback is that the laptop spins at breakneck speed, I don’t have time to press the buttons!</v>
      </c>
    </row>
    <row r="8493" spans="1:9" x14ac:dyDescent="0.3">
      <c r="A8493" s="1" t="s">
        <v>61</v>
      </c>
      <c r="B8493" s="1" t="s">
        <v>318</v>
      </c>
      <c r="C8493" s="1" t="s">
        <v>101</v>
      </c>
      <c r="D8493" s="1" t="s">
        <v>3559</v>
      </c>
      <c r="E8493" s="1" t="s">
        <v>3652</v>
      </c>
      <c r="F8493" s="1" t="s">
        <v>12764</v>
      </c>
      <c r="G8493" s="1" t="s">
        <v>36</v>
      </c>
      <c r="H8493" s="1" t="s">
        <v>29</v>
      </c>
      <c r="I8493" s="1" t="str">
        <f ca="1">IFERROR(__xludf.DUMMYFUNCTION("GOOGLETRANSLATE(F8493, ""auto"", ""en"")
"),"Having bought a kettle for 500 rubles, because... the previous version for 1300 broke down after a couple of months, I didn’t really count on anything. However, the kettle turned out to be quite usable. If we ignore the Chinese features, it heats quickly,"&amp;" does not make much noise and has a very comfortable ergonomic design.  I recommend it to those who want to buy a device for quickly heating water.")</f>
        <v>Having bought a kettle for 500 rubles, because... the previous version for 1300 broke down after a couple of months, I didn’t really count on anything. However, the kettle turned out to be quite usable. If we ignore the Chinese features, it heats quickly, does not make much noise and has a very comfortable ergonomic design.  I recommend it to those who want to buy a device for quickly heating water.</v>
      </c>
    </row>
    <row r="8494" spans="1:9" x14ac:dyDescent="0.3">
      <c r="A8494" s="1" t="s">
        <v>149</v>
      </c>
      <c r="B8494" s="1" t="s">
        <v>576</v>
      </c>
      <c r="C8494" s="1" t="s">
        <v>151</v>
      </c>
      <c r="D8494" s="1" t="s">
        <v>1416</v>
      </c>
      <c r="E8494" s="1" t="s">
        <v>2265</v>
      </c>
      <c r="F8494" s="1" t="s">
        <v>12765</v>
      </c>
      <c r="G8494" s="1" t="s">
        <v>28</v>
      </c>
      <c r="H8494" s="1" t="s">
        <v>29</v>
      </c>
      <c r="I8494" s="1" t="str">
        <f ca="1">IFERROR(__xludf.DUMMYFUNCTION("GOOGLETRANSLATE(F8494, ""auto"", ""en"")
"),"I purchased a Samsung 5915 vacuum cleaner. The device is good and powerful.. I was upset when the paper bag tore and the whole compartment became clogged. very inconvenient to clean. You need to be careful with metal debris such as coins, screws, etc.")</f>
        <v>I purchased a Samsung 5915 vacuum cleaner. The device is good and powerful.. I was upset when the paper bag tore and the whole compartment became clogged. very inconvenient to clean. You need to be careful with metal debris such as coins, screws, etc.</v>
      </c>
    </row>
    <row r="8495" spans="1:9" x14ac:dyDescent="0.3">
      <c r="A8495" s="1" t="s">
        <v>61</v>
      </c>
      <c r="B8495" s="1" t="s">
        <v>318</v>
      </c>
      <c r="C8495" s="1" t="s">
        <v>246</v>
      </c>
      <c r="D8495" s="1" t="s">
        <v>12766</v>
      </c>
      <c r="E8495" s="1" t="s">
        <v>1756</v>
      </c>
      <c r="F8495" s="1" t="s">
        <v>12767</v>
      </c>
      <c r="G8495" s="1" t="s">
        <v>36</v>
      </c>
      <c r="H8495" s="1" t="s">
        <v>29</v>
      </c>
      <c r="I8495" s="1" t="str">
        <f ca="1">IFERROR(__xludf.DUMMYFUNCTION("GOOGLETRANSLATE(F8495, ""auto"", ""en"")
"),"I bought it just recently.   Among the advantages: - design - material - assembly (at first glance, at least, everything is done simply and reliably) - brand Among the disadvantages: - price - place of production.  As for the noise level. Yes, the kettle "&amp;"makes noise when heating, like all other electric kettles for about this money. I wouldn't say that it makes a lot of noise. I can’t say anything about the quality of plastic and assembly yet; the service life is too short.   In short, at the moment I am "&amp;"happy with the product, I give it a ""five"".")</f>
        <v>I bought it just recently.   Among the advantages: - design - material - assembly (at first glance, at least, everything is done simply and reliably) - brand Among the disadvantages: - price - place of production.  As for the noise level. Yes, the kettle makes noise when heating, like all other electric kettles for about this money. I wouldn't say that it makes a lot of noise. I can’t say anything about the quality of plastic and assembly yet; the service life is too short.   In short, at the moment I am happy with the product, I give it a "five".</v>
      </c>
    </row>
    <row r="8496" spans="1:9" x14ac:dyDescent="0.3">
      <c r="A8496" s="1" t="s">
        <v>169</v>
      </c>
      <c r="B8496" s="1" t="s">
        <v>170</v>
      </c>
      <c r="C8496" s="1" t="s">
        <v>171</v>
      </c>
      <c r="D8496" s="1" t="s">
        <v>3130</v>
      </c>
      <c r="E8496" s="1" t="s">
        <v>1886</v>
      </c>
      <c r="F8496" s="1" t="s">
        <v>12768</v>
      </c>
      <c r="G8496" s="1" t="s">
        <v>36</v>
      </c>
      <c r="H8496" s="1" t="s">
        <v>29</v>
      </c>
      <c r="I8496" s="1" t="str">
        <f ca="1">IFERROR(__xludf.DUMMYFUNCTION("GOOGLETRANSLATE(F8496, ""auto"", ""en"")
"),"cool headphones) clear and bass sound) just impressions, take it, you won’t regret it!")</f>
        <v>cool headphones) clear and bass sound) just impressions, take it, you won’t regret it!</v>
      </c>
    </row>
    <row r="8497" spans="1:9" x14ac:dyDescent="0.3">
      <c r="A8497" s="1" t="s">
        <v>37</v>
      </c>
      <c r="B8497" s="1" t="s">
        <v>38</v>
      </c>
      <c r="C8497" s="1" t="s">
        <v>39</v>
      </c>
      <c r="D8497" s="1" t="s">
        <v>1662</v>
      </c>
      <c r="E8497" s="1" t="s">
        <v>4486</v>
      </c>
      <c r="F8497" s="1" t="s">
        <v>12769</v>
      </c>
      <c r="G8497" s="1" t="s">
        <v>15</v>
      </c>
      <c r="H8497" s="1" t="s">
        <v>16</v>
      </c>
      <c r="I8497" s="1" t="str">
        <f ca="1">IFERROR(__xludf.DUMMYFUNCTION("GOOGLETRANSLATE(F8497, ""auto"", ""en"")
"),"At first I really liked this phone, but after about 6 months it became terribly glitchy and turned itself off.")</f>
        <v>At first I really liked this phone, but after about 6 months it became terribly glitchy and turned itself off.</v>
      </c>
    </row>
    <row r="8498" spans="1:9" x14ac:dyDescent="0.3">
      <c r="A8498" s="1" t="s">
        <v>17</v>
      </c>
      <c r="B8498" s="1" t="s">
        <v>18</v>
      </c>
      <c r="C8498" s="1" t="s">
        <v>870</v>
      </c>
      <c r="D8498" s="1" t="s">
        <v>305</v>
      </c>
      <c r="E8498" s="1" t="s">
        <v>2466</v>
      </c>
      <c r="F8498" s="1" t="s">
        <v>12770</v>
      </c>
      <c r="G8498" s="1" t="s">
        <v>28</v>
      </c>
      <c r="H8498" s="1" t="s">
        <v>29</v>
      </c>
      <c r="I8498" s="1" t="str">
        <f ca="1">IFERROR(__xludf.DUMMYFUNCTION("GOOGLETRANSLATE(F8498, ""auto"", ""en"")
"),"The car is already 7 days old and works fine. Compared to the full-size 60, this one must be installed exactly level and without any commercially available footrests, otherwise you will be subject to strong vibration. If you place it perfectly level, you "&amp;"will hardly feel any vibration. The car is noisy, but this is the kind of engine and nothing can be done about it. Regarding washing, it washes perfectly, the only thing BUT several times after washing, grains of insoluble powder remained on the clothes, "&amp;"perhaps this is due to lifting the lid and draining the remaining water from the compartment where the powder is poured. In general, there are plenty of washing programs; when the wash is finished, after a while the machine turns itself off, which saves e"&amp;"lectricity. There is also a special compartment in the drum, which you can open and check the condition of the heating element (heating element), or remove small items that have fallen between the drum. In the future, we'll wait and see how this car behav"&amp;"es.")</f>
        <v>The car is already 7 days old and works fine. Compared to the full-size 60, this one must be installed exactly level and without any commercially available footrests, otherwise you will be subject to strong vibration. If you place it perfectly level, you will hardly feel any vibration. The car is noisy, but this is the kind of engine and nothing can be done about it. Regarding washing, it washes perfectly, the only thing BUT several times after washing, grains of insoluble powder remained on the clothes, perhaps this is due to lifting the lid and draining the remaining water from the compartment where the powder is poured. In general, there are plenty of washing programs; when the wash is finished, after a while the machine turns itself off, which saves electricity. There is also a special compartment in the drum, which you can open and check the condition of the heating element (heating element), or remove small items that have fallen between the drum. In the future, we'll wait and see how this car behaves.</v>
      </c>
    </row>
    <row r="8499" spans="1:9" x14ac:dyDescent="0.3">
      <c r="A8499" s="1" t="s">
        <v>37</v>
      </c>
      <c r="B8499" s="1" t="s">
        <v>38</v>
      </c>
      <c r="C8499" s="1" t="s">
        <v>163</v>
      </c>
      <c r="D8499" s="1" t="s">
        <v>5472</v>
      </c>
      <c r="E8499" s="1" t="s">
        <v>4984</v>
      </c>
      <c r="F8499" s="1" t="s">
        <v>12771</v>
      </c>
      <c r="G8499" s="1" t="s">
        <v>36</v>
      </c>
      <c r="H8499" s="1" t="s">
        <v>29</v>
      </c>
      <c r="I8499" s="1" t="str">
        <f ca="1">IFERROR(__xludf.DUMMYFUNCTION("GOOGLETRANSLATE(F8499, ""auto"", ""en"")
"),"I never had a better phone than 6300! The phone is very reliable, excellent metal body, good sound. I'm sure this is my ideal phone!")</f>
        <v>I never had a better phone than 6300! The phone is very reliable, excellent metal body, good sound. I'm sure this is my ideal phone!</v>
      </c>
    </row>
    <row r="8500" spans="1:9" x14ac:dyDescent="0.3">
      <c r="A8500" s="1" t="s">
        <v>37</v>
      </c>
      <c r="B8500" s="1" t="s">
        <v>38</v>
      </c>
      <c r="C8500" s="1" t="s">
        <v>163</v>
      </c>
      <c r="D8500" s="1" t="s">
        <v>52</v>
      </c>
      <c r="E8500" s="1" t="s">
        <v>626</v>
      </c>
      <c r="F8500" s="1" t="s">
        <v>12772</v>
      </c>
      <c r="G8500" s="1" t="s">
        <v>28</v>
      </c>
      <c r="H8500" s="1" t="s">
        <v>29</v>
      </c>
      <c r="I8500" s="1" t="str">
        <f ca="1">IFERROR(__xludf.DUMMYFUNCTION("GOOGLETRANSLATE(F8500, ""auto"", ""en"")
"),"2 weeks have passed, I like the phone, I like the browser, it’s convenient to access the Internet, a very loud speaker, a comfortable headset with radio scrolling and a dust plug. The disadvantage is the small amount of memory, although as stated it is 32"&amp;" meters (it won’t fit a lot of video). You can't see charging in the background (it's dim).  Well, for now there are only these shortcomings.")</f>
        <v>2 weeks have passed, I like the phone, I like the browser, it’s convenient to access the Internet, a very loud speaker, a comfortable headset with radio scrolling and a dust plug. The disadvantage is the small amount of memory, although as stated it is 32 meters (it won’t fit a lot of video). You can't see charging in the background (it's dim).  Well, for now there are only these shortcomings.</v>
      </c>
    </row>
    <row r="8501" spans="1:9" x14ac:dyDescent="0.3">
      <c r="A8501" s="1" t="s">
        <v>211</v>
      </c>
      <c r="B8501" s="1" t="s">
        <v>212</v>
      </c>
      <c r="C8501" s="1" t="s">
        <v>69</v>
      </c>
      <c r="D8501" s="1" t="s">
        <v>142</v>
      </c>
      <c r="E8501" s="1" t="s">
        <v>3722</v>
      </c>
      <c r="F8501" s="1" t="s">
        <v>12773</v>
      </c>
      <c r="G8501" s="1" t="s">
        <v>36</v>
      </c>
      <c r="H8501" s="1" t="s">
        <v>29</v>
      </c>
      <c r="I8501" s="1" t="str">
        <f ca="1">IFERROR(__xludf.DUMMYFUNCTION("GOOGLETRANSLATE(F8501, ""auto"", ""en"")
"),"The curling irons are great: they heat up quickly and the curls last a long time. Super! I recommend it to everyone.")</f>
        <v>The curling irons are great: they heat up quickly and the curls last a long time. Super! I recommend it to everyone.</v>
      </c>
    </row>
    <row r="8502" spans="1:9" x14ac:dyDescent="0.3">
      <c r="A8502" s="1" t="s">
        <v>30</v>
      </c>
      <c r="B8502" s="1" t="s">
        <v>50</v>
      </c>
      <c r="C8502" s="1" t="s">
        <v>32</v>
      </c>
      <c r="D8502" s="1" t="s">
        <v>420</v>
      </c>
      <c r="E8502" s="1" t="s">
        <v>1646</v>
      </c>
      <c r="F8502" s="1" t="s">
        <v>12774</v>
      </c>
      <c r="G8502" s="1" t="s">
        <v>36</v>
      </c>
      <c r="H8502" s="1" t="s">
        <v>29</v>
      </c>
      <c r="I8502" s="1" t="str">
        <f ca="1">IFERROR(__xludf.DUMMYFUNCTION("GOOGLETRANSLATE(F8502, ""auto"", ""en"")
"),"very good laptop I recommend it to everyone")</f>
        <v>very good laptop I recommend it to everyone</v>
      </c>
    </row>
    <row r="8503" spans="1:9" x14ac:dyDescent="0.3">
      <c r="A8503" s="1" t="s">
        <v>206</v>
      </c>
      <c r="B8503" s="1" t="s">
        <v>207</v>
      </c>
      <c r="C8503" s="1" t="s">
        <v>1143</v>
      </c>
      <c r="D8503" s="1" t="s">
        <v>5680</v>
      </c>
      <c r="E8503" s="1" t="s">
        <v>5013</v>
      </c>
      <c r="F8503" s="1" t="s">
        <v>12775</v>
      </c>
      <c r="G8503" s="1" t="s">
        <v>36</v>
      </c>
      <c r="H8503" s="1" t="s">
        <v>29</v>
      </c>
      <c r="I8503" s="1" t="str">
        <f ca="1">IFERROR(__xludf.DUMMYFUNCTION("GOOGLETRANSLATE(F8503, ""auto"", ""en"")
"),"I bought it three years ago along with speakers for 16, also JBL, it plays perfectly, and the price does not drop, the quality. And I found my place in the trunk. I recommend it to everyone")</f>
        <v>I bought it three years ago along with speakers for 16, also JBL, it plays perfectly, and the price does not drop, the quality. And I found my place in the trunk. I recommend it to everyone</v>
      </c>
    </row>
    <row r="8504" spans="1:9" x14ac:dyDescent="0.3">
      <c r="A8504" s="1" t="s">
        <v>95</v>
      </c>
      <c r="B8504" s="1" t="s">
        <v>486</v>
      </c>
      <c r="C8504" s="1" t="s">
        <v>487</v>
      </c>
      <c r="D8504" s="1" t="s">
        <v>12776</v>
      </c>
      <c r="E8504" s="1" t="s">
        <v>400</v>
      </c>
      <c r="F8504" s="1" t="s">
        <v>12777</v>
      </c>
      <c r="G8504" s="1" t="s">
        <v>36</v>
      </c>
      <c r="H8504" s="1" t="s">
        <v>29</v>
      </c>
      <c r="I8504" s="1" t="str">
        <f ca="1">IFERROR(__xludf.DUMMYFUNCTION("GOOGLETRANSLATE(F8504, ""auto"", ""en"")
"),"Druid are superior because they break and you have to buy them again))) Although I have nothing against the new X-box. It's a good thing")</f>
        <v>Druid are superior because they break and you have to buy them again))) Although I have nothing against the new X-box. It's a good thing</v>
      </c>
    </row>
    <row r="8505" spans="1:9" x14ac:dyDescent="0.3">
      <c r="A8505" s="1" t="s">
        <v>111</v>
      </c>
      <c r="B8505" s="1" t="s">
        <v>636</v>
      </c>
      <c r="C8505" s="1" t="s">
        <v>637</v>
      </c>
      <c r="D8505" s="1" t="s">
        <v>280</v>
      </c>
      <c r="E8505" s="1" t="s">
        <v>4152</v>
      </c>
      <c r="F8505" s="1" t="s">
        <v>12778</v>
      </c>
      <c r="G8505" s="1" t="s">
        <v>49</v>
      </c>
      <c r="H8505" s="1" t="s">
        <v>16</v>
      </c>
      <c r="I8505" s="1" t="str">
        <f ca="1">IFERROR(__xludf.DUMMYFUNCTION("GOOGLETRANSLATE(F8505, ""auto"", ""en"")
"),"The next day after purchase, the watch projection broke. Everyone has the same problem with the projector - some after a month, some after a week, and for me every other day!")</f>
        <v>The next day after purchase, the watch projection broke. Everyone has the same problem with the projector - some after a month, some after a week, and for me every other day!</v>
      </c>
    </row>
    <row r="8506" spans="1:9" x14ac:dyDescent="0.3">
      <c r="A8506" s="1" t="s">
        <v>149</v>
      </c>
      <c r="B8506" s="1" t="s">
        <v>155</v>
      </c>
      <c r="C8506" s="1" t="s">
        <v>63</v>
      </c>
      <c r="D8506" s="1" t="s">
        <v>2764</v>
      </c>
      <c r="E8506" s="1" t="s">
        <v>3591</v>
      </c>
      <c r="F8506" s="1" t="s">
        <v>12779</v>
      </c>
      <c r="G8506" s="1" t="s">
        <v>36</v>
      </c>
      <c r="H8506" s="1" t="s">
        <v>29</v>
      </c>
      <c r="I8506" s="1" t="str">
        <f ca="1">IFERROR(__xludf.DUMMYFUNCTION("GOOGLETRANSLATE(F8506, ""auto"", ""en"")
"),"powerful, quiet, no consumables, a lot of attachments included, even a nozzle for drilling, by the way, if the filter gets clogged, the red button immediately lights up, which warns you that you need to clean the filter before the engine, I really like th"&amp;"e vacuum cleaner, it’s made very high quality, if you’re thinking about which vacuum cleaner to get, then don’t hesitate, take Bosch, I’m 100% satisfied")</f>
        <v>powerful, quiet, no consumables, a lot of attachments included, even a nozzle for drilling, by the way, if the filter gets clogged, the red button immediately lights up, which warns you that you need to clean the filter before the engine, I really like the vacuum cleaner, it’s made very high quality, if you’re thinking about which vacuum cleaner to get, then don’t hesitate, take Bosch, I’m 100% satisfied</v>
      </c>
    </row>
    <row r="8507" spans="1:9" x14ac:dyDescent="0.3">
      <c r="A8507" s="1" t="s">
        <v>211</v>
      </c>
      <c r="B8507" s="1" t="s">
        <v>410</v>
      </c>
      <c r="C8507" s="1" t="s">
        <v>213</v>
      </c>
      <c r="D8507" s="1" t="s">
        <v>152</v>
      </c>
      <c r="E8507" s="1" t="s">
        <v>1657</v>
      </c>
      <c r="F8507" s="1" t="s">
        <v>12780</v>
      </c>
      <c r="G8507" s="1" t="s">
        <v>28</v>
      </c>
      <c r="H8507" s="1" t="s">
        <v>29</v>
      </c>
      <c r="I8507" s="1" t="str">
        <f ca="1">IFERROR(__xludf.DUMMYFUNCTION("GOOGLETRANSLATE(F8507, ""auto"", ""en"")
"),"I bought a razor today on the advice of “experienced” friends :) and after reading the reviews. Shaved. The sensations are still mixed: he shaves like nothing, problem areas under the chin and Adam’s apple; irritation on the neck and above the upper lip ("&amp;"possibly out of habit). It's difficult to give advice.  Before purchasing, if possible, at least compare it with your friends’ razors; even if it’s unhygienic, it will allow YOU to make a better choice.  Good luck.")</f>
        <v>I bought a razor today on the advice of “experienced” friends :) and after reading the reviews. Shaved. The sensations are still mixed: he shaves like nothing, problem areas under the chin and Adam’s apple; irritation on the neck and above the upper lip (possibly out of habit). It's difficult to give advice.  Before purchasing, if possible, at least compare it with your friends’ razors; even if it’s unhygienic, it will allow YOU to make a better choice.  Good luck.</v>
      </c>
    </row>
    <row r="8508" spans="1:9" x14ac:dyDescent="0.3">
      <c r="A8508" s="1" t="s">
        <v>211</v>
      </c>
      <c r="B8508" s="1" t="s">
        <v>384</v>
      </c>
      <c r="C8508" s="1" t="s">
        <v>351</v>
      </c>
      <c r="D8508" s="1" t="s">
        <v>33</v>
      </c>
      <c r="E8508" s="1" t="s">
        <v>10672</v>
      </c>
      <c r="F8508" s="1" t="s">
        <v>12781</v>
      </c>
      <c r="G8508" s="1" t="s">
        <v>49</v>
      </c>
      <c r="H8508" s="1" t="s">
        <v>16</v>
      </c>
      <c r="I8508" s="1" t="str">
        <f ca="1">IFERROR(__xludf.DUMMYFUNCTION("GOOGLETRANSLATE(F8508, ""auto"", ""en"")
"),"It's just scrap metal. On a flat surface it stood up a little wrong - the weight is plus 10 kg; otherwise it stood up - minus 10 kg, it always needs to be set to 0. It is not suitable for measuring weight in any way.")</f>
        <v>It's just scrap metal. On a flat surface it stood up a little wrong - the weight is plus 10 kg; otherwise it stood up - minus 10 kg, it always needs to be set to 0. It is not suitable for measuring weight in any way.</v>
      </c>
    </row>
    <row r="8509" spans="1:9" x14ac:dyDescent="0.3">
      <c r="A8509" s="1" t="s">
        <v>67</v>
      </c>
      <c r="B8509" s="1" t="s">
        <v>68</v>
      </c>
      <c r="C8509" s="1" t="s">
        <v>1461</v>
      </c>
      <c r="D8509" s="1" t="s">
        <v>240</v>
      </c>
      <c r="E8509" s="1" t="s">
        <v>1614</v>
      </c>
      <c r="F8509" s="1" t="s">
        <v>12782</v>
      </c>
      <c r="G8509" s="1" t="s">
        <v>36</v>
      </c>
      <c r="H8509" s="1" t="s">
        <v>29</v>
      </c>
      <c r="I8509" s="1" t="str">
        <f ca="1">IFERROR(__xludf.DUMMYFUNCTION("GOOGLETRANSLATE(F8509, ""auto"", ""en"")
"),"A simple iron!")</f>
        <v>A simple iron!</v>
      </c>
    </row>
    <row r="8510" spans="1:9" x14ac:dyDescent="0.3">
      <c r="A8510" s="1" t="s">
        <v>149</v>
      </c>
      <c r="B8510" s="1" t="s">
        <v>423</v>
      </c>
      <c r="C8510" s="1" t="s">
        <v>531</v>
      </c>
      <c r="D8510" s="1" t="s">
        <v>893</v>
      </c>
      <c r="E8510" s="1" t="s">
        <v>3676</v>
      </c>
      <c r="F8510" s="1" t="s">
        <v>12783</v>
      </c>
      <c r="G8510" s="1" t="s">
        <v>28</v>
      </c>
      <c r="H8510" s="1" t="s">
        <v>29</v>
      </c>
      <c r="I8510" s="1" t="str">
        <f ca="1">IFERROR(__xludf.DUMMYFUNCTION("GOOGLETRANSLATE(F8510, ""auto"", ""en"")
"),"Yesterday my brother spilled flour and used the vacuum cleaner without a second thought. Under no circumstances do this!!! As a result, you get a large piece of dough inside, everywhere, in the filters, in the hose. The filter killed Hep in one go. What c"&amp;"an I say, everything had to be cleaned from the dough, those who tried it know, and those who haven’t tried it, it’s better not to try it.")</f>
        <v>Yesterday my brother spilled flour and used the vacuum cleaner without a second thought. Under no circumstances do this!!! As a result, you get a large piece of dough inside, everywhere, in the filters, in the hose. The filter killed Hep in one go. What can I say, everything had to be cleaned from the dough, those who tried it know, and those who haven’t tried it, it’s better not to try it.</v>
      </c>
    </row>
    <row r="8511" spans="1:9" x14ac:dyDescent="0.3">
      <c r="A8511" s="1" t="s">
        <v>111</v>
      </c>
      <c r="B8511" s="1" t="s">
        <v>112</v>
      </c>
      <c r="C8511" s="1" t="s">
        <v>1230</v>
      </c>
      <c r="D8511" s="1" t="s">
        <v>12027</v>
      </c>
      <c r="E8511" s="1" t="s">
        <v>225</v>
      </c>
      <c r="F8511" s="1" t="s">
        <v>12784</v>
      </c>
      <c r="G8511" s="1" t="s">
        <v>36</v>
      </c>
      <c r="H8511" s="1" t="s">
        <v>29</v>
      </c>
      <c r="I8511" s="1" t="str">
        <f ca="1">IFERROR(__xludf.DUMMYFUNCTION("GOOGLETRANSLATE(F8511, ""auto"", ""en"")
"),"good filter with LED")</f>
        <v>good filter with LED</v>
      </c>
    </row>
    <row r="8512" spans="1:9" x14ac:dyDescent="0.3">
      <c r="A8512" s="1" t="s">
        <v>624</v>
      </c>
      <c r="B8512" s="1" t="s">
        <v>625</v>
      </c>
      <c r="C8512" s="1" t="s">
        <v>479</v>
      </c>
      <c r="D8512" s="1" t="s">
        <v>9920</v>
      </c>
      <c r="E8512" s="1" t="s">
        <v>947</v>
      </c>
      <c r="F8512" s="1" t="s">
        <v>12785</v>
      </c>
      <c r="G8512" s="1" t="s">
        <v>36</v>
      </c>
      <c r="H8512" s="1" t="s">
        <v>29</v>
      </c>
      <c r="I8512" s="1" t="str">
        <f ca="1">IFERROR(__xludf.DUMMYFUNCTION("GOOGLETRANSLATE(F8512, ""auto"", ""en"")
"),"best game I've ever played, super! required purchase.")</f>
        <v>best game I've ever played, super! required purchase.</v>
      </c>
    </row>
    <row r="8513" spans="1:9" x14ac:dyDescent="0.3">
      <c r="A8513" s="1" t="s">
        <v>120</v>
      </c>
      <c r="B8513" s="1" t="s">
        <v>121</v>
      </c>
      <c r="C8513" s="1" t="s">
        <v>80</v>
      </c>
      <c r="D8513" s="1" t="s">
        <v>537</v>
      </c>
      <c r="E8513" s="1" t="s">
        <v>1228</v>
      </c>
      <c r="F8513" s="1" t="s">
        <v>12786</v>
      </c>
      <c r="G8513" s="1" t="s">
        <v>36</v>
      </c>
      <c r="H8513" s="1" t="s">
        <v>29</v>
      </c>
      <c r="I8513" s="1" t="str">
        <f ca="1">IFERROR(__xludf.DUMMYFUNCTION("GOOGLETRANSLATE(F8513, ""auto"", ""en"")
"),"I gave this TV to my beloved wife! FAVORITE is delighted! people! Honestly, take it, you won’t regret it! This is the best there is up to 20 thousand rubles. The image is pleasing!  This TV has only a service USB, but by reflashing it, you can watch video"&amp;"s, photos and listen to music")</f>
        <v>I gave this TV to my beloved wife! FAVORITE is delighted! people! Honestly, take it, you won’t regret it! This is the best there is up to 20 thousand rubles. The image is pleasing!  This TV has only a service USB, but by reflashing it, you can watch videos, photos and listen to music</v>
      </c>
    </row>
    <row r="8514" spans="1:9" x14ac:dyDescent="0.3">
      <c r="A8514" s="1" t="s">
        <v>37</v>
      </c>
      <c r="B8514" s="1" t="s">
        <v>38</v>
      </c>
      <c r="C8514" s="1" t="s">
        <v>163</v>
      </c>
      <c r="D8514" s="1" t="s">
        <v>172</v>
      </c>
      <c r="E8514" s="1" t="s">
        <v>3266</v>
      </c>
      <c r="F8514" s="1" t="s">
        <v>12787</v>
      </c>
      <c r="G8514" s="1" t="s">
        <v>36</v>
      </c>
      <c r="H8514" s="1" t="s">
        <v>29</v>
      </c>
      <c r="I8514" s="1" t="str">
        <f ca="1">IFERROR(__xludf.DUMMYFUNCTION("GOOGLETRANSLATE(F8514, ""auto"", ""en"")
"),"I think this PHONE should be a model!!! The most reliable device from Nokia, I had such a model both new and with mileage, but none of them ever let me down and excellent price-quality ratio")</f>
        <v>I think this PHONE should be a model!!! The most reliable device from Nokia, I had such a model both new and with mileage, but none of them ever let me down and excellent price-quality ratio</v>
      </c>
    </row>
    <row r="8515" spans="1:9" x14ac:dyDescent="0.3">
      <c r="A8515" s="1" t="s">
        <v>61</v>
      </c>
      <c r="B8515" s="1" t="s">
        <v>318</v>
      </c>
      <c r="C8515" s="1" t="s">
        <v>246</v>
      </c>
      <c r="D8515" s="1" t="s">
        <v>592</v>
      </c>
      <c r="E8515" s="1" t="s">
        <v>13</v>
      </c>
      <c r="F8515" s="1" t="s">
        <v>12788</v>
      </c>
      <c r="G8515" s="1" t="s">
        <v>49</v>
      </c>
      <c r="H8515" s="1" t="s">
        <v>16</v>
      </c>
      <c r="I8515" s="1" t="str">
        <f ca="1">IFERROR(__xludf.DUMMYFUNCTION("GOOGLETRANSLATE(F8515, ""auto"", ""en"")
"),"Stupid kettle - after half a year there is such a noise that the neighbors below can hear it (noise like a washing machine when squeezing). And the water tastes a little metallic.")</f>
        <v>Stupid kettle - after half a year there is such a noise that the neighbors below can hear it (noise like a washing machine when squeezing). And the water tastes a little metallic.</v>
      </c>
    </row>
    <row r="8516" spans="1:9" x14ac:dyDescent="0.3">
      <c r="A8516" s="1" t="s">
        <v>67</v>
      </c>
      <c r="B8516" s="1" t="s">
        <v>68</v>
      </c>
      <c r="C8516" s="1" t="s">
        <v>101</v>
      </c>
      <c r="D8516" s="1" t="s">
        <v>2016</v>
      </c>
      <c r="E8516" s="1" t="s">
        <v>1016</v>
      </c>
      <c r="F8516" s="1" t="s">
        <v>12789</v>
      </c>
      <c r="G8516" s="1" t="s">
        <v>36</v>
      </c>
      <c r="H8516" s="1" t="s">
        <v>29</v>
      </c>
      <c r="I8516" s="1" t="str">
        <f ca="1">IFERROR(__xludf.DUMMYFUNCTION("GOOGLETRANSLATE(F8516, ""auto"", ""en"")
"),"I purchased this device and it worked great. Cheap, small in size, irons things perfectly, it didn’t let me down.")</f>
        <v>I purchased this device and it worked great. Cheap, small in size, irons things perfectly, it didn’t let me down.</v>
      </c>
    </row>
    <row r="8517" spans="1:9" x14ac:dyDescent="0.3">
      <c r="A8517" s="1" t="s">
        <v>361</v>
      </c>
      <c r="B8517" s="1" t="s">
        <v>2555</v>
      </c>
      <c r="C8517" s="1" t="s">
        <v>4871</v>
      </c>
      <c r="D8517" s="1" t="s">
        <v>4281</v>
      </c>
      <c r="E8517" s="1" t="s">
        <v>2118</v>
      </c>
      <c r="F8517" s="1" t="s">
        <v>12790</v>
      </c>
      <c r="G8517" s="1" t="s">
        <v>36</v>
      </c>
      <c r="H8517" s="1" t="s">
        <v>29</v>
      </c>
      <c r="I8517" s="1" t="str">
        <f ca="1">IFERROR(__xludf.DUMMYFUNCTION("GOOGLETRANSLATE(F8517, ""auto"", ""en"")
"),"I really liked the thermos. Retains heat perfectly. Compact and lightweight. Convenient water supply valve. I recommend it.")</f>
        <v>I really liked the thermos. Retains heat perfectly. Compact and lightweight. Convenient water supply valve. I recommend it.</v>
      </c>
    </row>
    <row r="8518" spans="1:9" x14ac:dyDescent="0.3">
      <c r="A8518" s="1" t="s">
        <v>17</v>
      </c>
      <c r="B8518" s="1" t="s">
        <v>18</v>
      </c>
      <c r="C8518" s="1" t="s">
        <v>243</v>
      </c>
      <c r="D8518" s="1" t="s">
        <v>64</v>
      </c>
      <c r="E8518" s="1" t="s">
        <v>395</v>
      </c>
      <c r="F8518" s="1" t="s">
        <v>12791</v>
      </c>
      <c r="G8518" s="1" t="s">
        <v>28</v>
      </c>
      <c r="H8518" s="1" t="s">
        <v>29</v>
      </c>
      <c r="I8518" s="1" t="str">
        <f ca="1">IFERROR(__xludf.DUMMYFUNCTION("GOOGLETRANSLATE(F8518, ""auto"", ""en"")
"),"Bought it. I really liked the service in the store and the delivery service. We bought an additional stabilizer and legs. We wash for a week.  It’s convenient that there is a display showing the time until the end of the wash. Small, compact and 5 kg!!! T"&amp;"he set of functions suits me. I would like it to be impossible to turn the relay during washing (since there is a child in the house). We haven’t figured out the quality of the wash yet, it could have washed better, but it’s possible that this is due to t"&amp;"he fact that it saves water. I use an extra rinse. Although the price and quality correspond to the costs.")</f>
        <v>Bought it. I really liked the service in the store and the delivery service. We bought an additional stabilizer and legs. We wash for a week.  It’s convenient that there is a display showing the time until the end of the wash. Small, compact and 5 kg!!! The set of functions suits me. I would like it to be impossible to turn the relay during washing (since there is a child in the house). We haven’t figured out the quality of the wash yet, it could have washed better, but it’s possible that this is due to the fact that it saves water. I use an extra rinse. Although the price and quality correspond to the costs.</v>
      </c>
    </row>
    <row r="8519" spans="1:9" x14ac:dyDescent="0.3">
      <c r="A8519" s="1" t="s">
        <v>105</v>
      </c>
      <c r="B8519" s="1" t="s">
        <v>106</v>
      </c>
      <c r="C8519" s="1" t="s">
        <v>97</v>
      </c>
      <c r="D8519" s="1" t="s">
        <v>52</v>
      </c>
      <c r="E8519" s="1" t="s">
        <v>1481</v>
      </c>
      <c r="F8519" s="1" t="s">
        <v>12792</v>
      </c>
      <c r="G8519" s="1" t="s">
        <v>28</v>
      </c>
      <c r="H8519" s="1" t="s">
        <v>29</v>
      </c>
      <c r="I8519" s="1" t="str">
        <f ca="1">IFERROR(__xludf.DUMMYFUNCTION("GOOGLETRANSLATE(F8519, ""auto"", ""en"")
"),"When you connect the player to Windows XP3, it is automatically registered as an MTP device. To switch it to USB flash drive mode, just change (“update”) the driver in the device manager, indicating that you will select the driver yourself and selecting t"&amp;"he USB drive from the list of drivers.    Overall an excellent player, I use it for listening to audiobooks. It lacks the ability to set bookmarks, but it saves the current location.")</f>
        <v>When you connect the player to Windows XP3, it is automatically registered as an MTP device. To switch it to USB flash drive mode, just change (“update”) the driver in the device manager, indicating that you will select the driver yourself and selecting the USB drive from the list of drivers.    Overall an excellent player, I use it for listening to audiobooks. It lacks the ability to set bookmarks, but it saves the current location.</v>
      </c>
    </row>
    <row r="8520" spans="1:9" x14ac:dyDescent="0.3">
      <c r="A8520" s="1" t="s">
        <v>105</v>
      </c>
      <c r="B8520" s="1" t="s">
        <v>106</v>
      </c>
      <c r="C8520" s="1" t="s">
        <v>97</v>
      </c>
      <c r="D8520" s="1" t="s">
        <v>2873</v>
      </c>
      <c r="E8520" s="1" t="s">
        <v>2271</v>
      </c>
      <c r="F8520" s="1" t="s">
        <v>12793</v>
      </c>
      <c r="G8520" s="1" t="s">
        <v>36</v>
      </c>
      <c r="H8520" s="1" t="s">
        <v>29</v>
      </c>
      <c r="I8520" s="1" t="str">
        <f ca="1">IFERROR(__xludf.DUMMYFUNCTION("GOOGLETRANSLATE(F8520, ""auto"", ""en"")
"),"In order to change the file system as a USB flash, you need to uninstall the driver of this player in the task manager and then manually again, I repeat MANUALLY (there will be a choice of method, automatically or manually) find the driver, then it will o"&amp;"ffer MTP or USB, naturally select USB and enjoy it as a flash drive! =)")</f>
        <v>In order to change the file system as a USB flash, you need to uninstall the driver of this player in the task manager and then manually again, I repeat MANUALLY (there will be a choice of method, automatically or manually) find the driver, then it will offer MTP or USB, naturally select USB and enjoy it as a flash drive! =)</v>
      </c>
    </row>
    <row r="8521" spans="1:9" x14ac:dyDescent="0.3">
      <c r="A8521" s="1" t="s">
        <v>61</v>
      </c>
      <c r="B8521" s="1" t="s">
        <v>318</v>
      </c>
      <c r="C8521" s="1" t="s">
        <v>57</v>
      </c>
      <c r="D8521" s="1" t="s">
        <v>1681</v>
      </c>
      <c r="E8521" s="1" t="s">
        <v>2656</v>
      </c>
      <c r="F8521" s="1" t="s">
        <v>12794</v>
      </c>
      <c r="G8521" s="1" t="s">
        <v>15</v>
      </c>
      <c r="H8521" s="1" t="s">
        <v>16</v>
      </c>
      <c r="I8521" s="1" t="str">
        <f ca="1">IFERROR(__xludf.DUMMYFUNCTION("GOOGLETRANSLATE(F8521, ""auto"", ""en"")
"),"I discovered a strange feature: after and during boiling, the cord gets very hot, especially at the junction with the stand. My two-kilowatt iron doesn’t heat up at all, but the kettle has such a problem, I’m an electrician by training, so I’m scared, it "&amp;"shouldn’t be like this. This means there is a thin conductor inside the cord; someone saved on copper.")</f>
        <v>I discovered a strange feature: after and during boiling, the cord gets very hot, especially at the junction with the stand. My two-kilowatt iron doesn’t heat up at all, but the kettle has such a problem, I’m an electrician by training, so I’m scared, it shouldn’t be like this. This means there is a thin conductor inside the cord; someone saved on copper.</v>
      </c>
    </row>
    <row r="8522" spans="1:9" x14ac:dyDescent="0.3">
      <c r="A8522" s="1" t="s">
        <v>30</v>
      </c>
      <c r="B8522" s="1" t="s">
        <v>50</v>
      </c>
      <c r="C8522" s="1" t="s">
        <v>1386</v>
      </c>
      <c r="D8522" s="1" t="s">
        <v>280</v>
      </c>
      <c r="E8522" s="1" t="s">
        <v>750</v>
      </c>
      <c r="F8522" s="1" t="s">
        <v>12795</v>
      </c>
      <c r="G8522" s="1" t="s">
        <v>36</v>
      </c>
      <c r="H8522" s="1" t="s">
        <v>29</v>
      </c>
      <c r="I8522" s="1" t="str">
        <f ca="1">IFERROR(__xludf.DUMMYFUNCTION("GOOGLETRANSLATE(F8522, ""auto"", ""en"")
"),"in the laptops, the microphones are still useless, + the hum from the cooler is transmitted, I didn’t like the machine, I took it as a second laptop, for work, it doesn’t get dirty, VERY NOT SOLD))) what’s bad is that there are only 2 USB sockets and ther"&amp;"e is no HDMI output, as well as the lack of disks with firewood, although the system kindly asked for 4 discs for all the wood and Recovery, well, absolutely everything is fine, The video card is not a gaming one, so the laptop is not a gaming one, althou"&amp;"gh it pulls at the low end")</f>
        <v>in the laptops, the microphones are still useless, + the hum from the cooler is transmitted, I didn’t like the machine, I took it as a second laptop, for work, it doesn’t get dirty, VERY NOT SOLD))) what’s bad is that there are only 2 USB sockets and there is no HDMI output, as well as the lack of disks with firewood, although the system kindly asked for 4 discs for all the wood and Recovery, well, absolutely everything is fine, The video card is not a gaming one, so the laptop is not a gaming one, although it pulls at the low end</v>
      </c>
    </row>
    <row r="8523" spans="1:9" x14ac:dyDescent="0.3">
      <c r="A8523" s="1" t="s">
        <v>169</v>
      </c>
      <c r="B8523" s="1" t="s">
        <v>170</v>
      </c>
      <c r="C8523" s="1" t="s">
        <v>171</v>
      </c>
      <c r="D8523" s="1" t="s">
        <v>967</v>
      </c>
      <c r="E8523" s="1" t="s">
        <v>886</v>
      </c>
      <c r="F8523" s="1" t="s">
        <v>12796</v>
      </c>
      <c r="G8523" s="1" t="s">
        <v>36</v>
      </c>
      <c r="H8523" s="1" t="s">
        <v>29</v>
      </c>
      <c r="I8523" s="1" t="str">
        <f ca="1">IFERROR(__xludf.DUMMYFUNCTION("GOOGLETRANSLATE(F8523, ""auto"", ""en"")
"),"The sound is excellent!!! It sounds especially good on Nokia. Considering the price and sound quality rating 5)")</f>
        <v>The sound is excellent!!! It sounds especially good on Nokia. Considering the price and sound quality rating 5)</v>
      </c>
    </row>
    <row r="8524" spans="1:9" x14ac:dyDescent="0.3">
      <c r="A8524" s="1" t="s">
        <v>9</v>
      </c>
      <c r="B8524" s="1" t="s">
        <v>10</v>
      </c>
      <c r="C8524" s="1" t="s">
        <v>4314</v>
      </c>
      <c r="D8524" s="1" t="s">
        <v>521</v>
      </c>
      <c r="E8524" s="1" t="s">
        <v>5585</v>
      </c>
      <c r="F8524" s="1" t="s">
        <v>12797</v>
      </c>
      <c r="G8524" s="1" t="s">
        <v>36</v>
      </c>
      <c r="H8524" s="1" t="s">
        <v>29</v>
      </c>
      <c r="I8524" s="1" t="str">
        <f ca="1">IFERROR(__xludf.DUMMYFUNCTION("GOOGLETRANSLATE(F8524, ""auto"", ""en"")
"),"Works very well! Even at first speed!  Externally beautiful, stylish.  It works a little noisily, but in principle like any other hood.  We are happy.")</f>
        <v>Works very well! Even at first speed!  Externally beautiful, stylish.  It works a little noisily, but in principle like any other hood.  We are happy.</v>
      </c>
    </row>
    <row r="8525" spans="1:9" x14ac:dyDescent="0.3">
      <c r="A8525" s="1" t="s">
        <v>61</v>
      </c>
      <c r="B8525" s="1" t="s">
        <v>318</v>
      </c>
      <c r="C8525" s="1" t="s">
        <v>69</v>
      </c>
      <c r="D8525" s="1" t="s">
        <v>280</v>
      </c>
      <c r="E8525" s="1" t="s">
        <v>1507</v>
      </c>
      <c r="F8525" s="1" t="s">
        <v>12798</v>
      </c>
      <c r="G8525" s="1" t="s">
        <v>28</v>
      </c>
      <c r="H8525" s="1" t="s">
        <v>29</v>
      </c>
      <c r="I8525" s="1" t="str">
        <f ca="1">IFERROR(__xludf.DUMMYFUNCTION("GOOGLETRANSLATE(F8525, ""auto"", ""en"")
"),"I read the reviews and decided not to buy this kettle, I came to M-video and saw that there was a good discount on the kettle. I decided to buy it anyway. In general, a YEAR has passed, the kettle has not leaked, it turns off on its own. Of the minuses, I"&amp;"’ll note this: fingerprints remain, well, that’s understandable on such a surface. I fill the kettle only with clean water after the filter, which is probably why it didn’t leak because there is no scale. Another minus is that some kind of corrosion has a"&amp;"ppeared on the bottom of the kettle. This is the first time I've seen something like this. Before this there was an old one, which still works to this day without any corrosion.")</f>
        <v>I read the reviews and decided not to buy this kettle, I came to M-video and saw that there was a good discount on the kettle. I decided to buy it anyway. In general, a YEAR has passed, the kettle has not leaked, it turns off on its own. Of the minuses, I’ll note this: fingerprints remain, well, that’s understandable on such a surface. I fill the kettle only with clean water after the filter, which is probably why it didn’t leak because there is no scale. Another minus is that some kind of corrosion has appeared on the bottom of the kettle. This is the first time I've seen something like this. Before this there was an old one, which still works to this day without any corrosion.</v>
      </c>
    </row>
    <row r="8526" spans="1:9" x14ac:dyDescent="0.3">
      <c r="A8526" s="1" t="s">
        <v>30</v>
      </c>
      <c r="B8526" s="1" t="s">
        <v>50</v>
      </c>
      <c r="C8526" s="1" t="s">
        <v>32</v>
      </c>
      <c r="D8526" s="1" t="s">
        <v>12799</v>
      </c>
      <c r="E8526" s="1" t="s">
        <v>2265</v>
      </c>
      <c r="F8526" s="1" t="s">
        <v>12800</v>
      </c>
      <c r="G8526" s="1" t="s">
        <v>36</v>
      </c>
      <c r="H8526" s="1" t="s">
        <v>29</v>
      </c>
      <c r="I8526" s="1" t="str">
        <f ca="1">IFERROR(__xludf.DUMMYFUNCTION("GOOGLETRANSLATE(F8526, ""auto"", ""en"")
"),"Well, a very good laptop! I bought it for myself and my wife, it’s small, powerful and very beautiful. Rating 5+ The best value for money!")</f>
        <v>Well, a very good laptop! I bought it for myself and my wife, it’s small, powerful and very beautiful. Rating 5+ The best value for money!</v>
      </c>
    </row>
    <row r="8527" spans="1:9" x14ac:dyDescent="0.3">
      <c r="A8527" s="1" t="s">
        <v>43</v>
      </c>
      <c r="B8527" s="1" t="s">
        <v>303</v>
      </c>
      <c r="C8527" s="1" t="s">
        <v>1721</v>
      </c>
      <c r="D8527" s="1" t="s">
        <v>471</v>
      </c>
      <c r="E8527" s="1" t="s">
        <v>9278</v>
      </c>
      <c r="F8527" s="1" t="s">
        <v>12801</v>
      </c>
      <c r="G8527" s="1" t="s">
        <v>49</v>
      </c>
      <c r="H8527" s="1" t="s">
        <v>16</v>
      </c>
      <c r="I8527" s="1" t="str">
        <f ca="1">IFERROR(__xludf.DUMMYFUNCTION("GOOGLETRANSLATE(F8527, ""auto"", ""en"")
"),"This water heater worked for exactly two years and leaked, it’s good that nothing shorted. I don’t recommend it to anyone, since I’m not the only one who has encountered a similar problem!")</f>
        <v>This water heater worked for exactly two years and leaked, it’s good that nothing shorted. I don’t recommend it to anyone, since I’m not the only one who has encountered a similar problem!</v>
      </c>
    </row>
    <row r="8528" spans="1:9" x14ac:dyDescent="0.3">
      <c r="A8528" s="1" t="s">
        <v>61</v>
      </c>
      <c r="B8528" s="1" t="s">
        <v>318</v>
      </c>
      <c r="C8528" s="1" t="s">
        <v>57</v>
      </c>
      <c r="D8528" s="1" t="s">
        <v>39</v>
      </c>
      <c r="E8528" s="1" t="s">
        <v>3545</v>
      </c>
      <c r="F8528" s="1" t="s">
        <v>12802</v>
      </c>
      <c r="G8528" s="1" t="s">
        <v>36</v>
      </c>
      <c r="H8528" s="1" t="s">
        <v>29</v>
      </c>
      <c r="I8528" s="1" t="str">
        <f ca="1">IFERROR(__xludf.DUMMYFUNCTION("GOOGLETRANSLATE(F8528, ""auto"", ""en"")
"),"Performs its function")</f>
        <v>Performs its function</v>
      </c>
    </row>
    <row r="8529" spans="1:9" x14ac:dyDescent="0.3">
      <c r="A8529" s="1" t="s">
        <v>211</v>
      </c>
      <c r="B8529" s="1" t="s">
        <v>212</v>
      </c>
      <c r="C8529" s="1" t="s">
        <v>381</v>
      </c>
      <c r="D8529" s="1" t="s">
        <v>2764</v>
      </c>
      <c r="E8529" s="1" t="s">
        <v>2278</v>
      </c>
      <c r="F8529" s="1" t="s">
        <v>12803</v>
      </c>
      <c r="G8529" s="1" t="s">
        <v>36</v>
      </c>
      <c r="H8529" s="1" t="s">
        <v>29</v>
      </c>
      <c r="I8529" s="1" t="str">
        <f ca="1">IFERROR(__xludf.DUMMYFUNCTION("GOOGLETRANSLATE(F8529, ""auto"", ""en"")
"),"The best hair dryer I've ever had, it's powerful and has been working for 2-3 years without problems, it fell a few times, but everything is fine. just perfect for me) if only there was a bigger cord)")</f>
        <v>The best hair dryer I've ever had, it's powerful and has been working for 2-3 years without problems, it fell a few times, but everything is fine. just perfect for me) if only there was a bigger cord)</v>
      </c>
    </row>
    <row r="8530" spans="1:9" x14ac:dyDescent="0.3">
      <c r="A8530" s="1" t="s">
        <v>169</v>
      </c>
      <c r="B8530" s="1" t="s">
        <v>170</v>
      </c>
      <c r="C8530" s="1" t="s">
        <v>171</v>
      </c>
      <c r="D8530" s="1" t="s">
        <v>232</v>
      </c>
      <c r="E8530" s="1" t="s">
        <v>425</v>
      </c>
      <c r="F8530" s="1" t="s">
        <v>12804</v>
      </c>
      <c r="G8530" s="1" t="s">
        <v>36</v>
      </c>
      <c r="H8530" s="1" t="s">
        <v>29</v>
      </c>
      <c r="I8530" s="1" t="str">
        <f ca="1">IFERROR(__xludf.DUMMYFUNCTION("GOOGLETRANSLATE(F8530, ""auto"", ""en"")
"),"Don't listen to anyone who says these headphones have bad sound. When I first listened to them, I didn’t like them, but I went into the equalizer and adjusted it so that everything sounds clear. Yes, and a cool box and instructions, and of course a case f"&amp;"or the phone")</f>
        <v>Don't listen to anyone who says these headphones have bad sound. When I first listened to them, I didn’t like them, but I went into the equalizer and adjusted it so that everything sounds clear. Yes, and a cool box and instructions, and of course a case for the phone</v>
      </c>
    </row>
    <row r="8531" spans="1:9" x14ac:dyDescent="0.3">
      <c r="A8531" s="1" t="s">
        <v>61</v>
      </c>
      <c r="B8531" s="1" t="s">
        <v>977</v>
      </c>
      <c r="C8531" s="1" t="s">
        <v>69</v>
      </c>
      <c r="D8531" s="1" t="s">
        <v>589</v>
      </c>
      <c r="E8531" s="1" t="s">
        <v>3757</v>
      </c>
      <c r="F8531" s="1" t="s">
        <v>12805</v>
      </c>
      <c r="G8531" s="1" t="s">
        <v>36</v>
      </c>
      <c r="H8531" s="1" t="s">
        <v>29</v>
      </c>
      <c r="I8531" s="1" t="str">
        <f ca="1">IFERROR(__xludf.DUMMYFUNCTION("GOOGLETRANSLATE(F8531, ""auto"", ""en"")
"),"Great blender! No complaints at all! The rubberized handle prevents slipping when your hand is wet. The buttons are soft. Replaces a food processor.")</f>
        <v>Great blender! No complaints at all! The rubberized handle prevents slipping when your hand is wet. The buttons are soft. Replaces a food processor.</v>
      </c>
    </row>
    <row r="8532" spans="1:9" x14ac:dyDescent="0.3">
      <c r="A8532" s="1" t="s">
        <v>95</v>
      </c>
      <c r="B8532" s="1" t="s">
        <v>648</v>
      </c>
      <c r="C8532" s="1" t="s">
        <v>97</v>
      </c>
      <c r="D8532" s="1" t="s">
        <v>12806</v>
      </c>
      <c r="E8532" s="1" t="s">
        <v>2627</v>
      </c>
      <c r="F8532" s="1" t="s">
        <v>12807</v>
      </c>
      <c r="G8532" s="1" t="s">
        <v>36</v>
      </c>
      <c r="H8532" s="1" t="s">
        <v>29</v>
      </c>
      <c r="I8532" s="1" t="str">
        <f ca="1">IFERROR(__xludf.DUMMYFUNCTION("GOOGLETRANSLATE(F8532, ""auto"", ""en"")
"),"The thing is just super!!!  Very happy with the purchase!!!")</f>
        <v>The thing is just super!!!  Very happy with the purchase!!!</v>
      </c>
    </row>
    <row r="8533" spans="1:9" x14ac:dyDescent="0.3">
      <c r="A8533" s="1" t="s">
        <v>369</v>
      </c>
      <c r="B8533" s="1" t="s">
        <v>370</v>
      </c>
      <c r="C8533" s="1" t="s">
        <v>290</v>
      </c>
      <c r="D8533" s="1" t="s">
        <v>295</v>
      </c>
      <c r="E8533" s="1" t="s">
        <v>6069</v>
      </c>
      <c r="F8533" s="1" t="s">
        <v>12808</v>
      </c>
      <c r="G8533" s="1" t="s">
        <v>36</v>
      </c>
      <c r="H8533" s="1" t="s">
        <v>29</v>
      </c>
      <c r="I8533" s="1" t="str">
        <f ca="1">IFERROR(__xludf.DUMMYFUNCTION("GOOGLETRANSLATE(F8533, ""auto"", ""en"")
"),"We purchased the stove a month ago. In Ufa now there is no large selection of electric stoves, especially those that can be seen “live”. Based on availability, we settled on this model.  What attracted me, among other things, was the lack of a mechanical "&amp;"timer to turn off the hob and oven. I really liked the stove. The oven bakes very quickly, requiring even less baking time than the included instructions. The hob cooks well, the heating control is soft. Only after each cooking you need to wash the stove "&amp;"with a special detergent for glass ceramics or regular dishwashing detergent.  Like many modern similar devices, there is now no power cable included.")</f>
        <v>We purchased the stove a month ago. In Ufa now there is no large selection of electric stoves, especially those that can be seen “live”. Based on availability, we settled on this model.  What attracted me, among other things, was the lack of a mechanical timer to turn off the hob and oven. I really liked the stove. The oven bakes very quickly, requiring even less baking time than the included instructions. The hob cooks well, the heating control is soft. Only after each cooking you need to wash the stove with a special detergent for glass ceramics or regular dishwashing detergent.  Like many modern similar devices, there is now no power cable included.</v>
      </c>
    </row>
    <row r="8534" spans="1:9" x14ac:dyDescent="0.3">
      <c r="A8534" s="1" t="s">
        <v>43</v>
      </c>
      <c r="B8534" s="1" t="s">
        <v>303</v>
      </c>
      <c r="C8534" s="1" t="s">
        <v>665</v>
      </c>
      <c r="D8534" s="1" t="s">
        <v>411</v>
      </c>
      <c r="E8534" s="1" t="s">
        <v>708</v>
      </c>
      <c r="F8534" s="1" t="s">
        <v>12809</v>
      </c>
      <c r="G8534" s="1" t="s">
        <v>28</v>
      </c>
      <c r="H8534" s="1" t="s">
        <v>29</v>
      </c>
      <c r="I8534" s="1" t="str">
        <f ca="1">IFERROR(__xludf.DUMMYFUNCTION("GOOGLETRANSLATE(F8534, ""auto"", ""en"")
"),"The test run went well. The low price is a little alarming. I hope the warranty period will last. I bought it to use it for a maximum of one month a year - in the summer, I got tired of the boiler in the basin....")</f>
        <v>The test run went well. The low price is a little alarming. I hope the warranty period will last. I bought it to use it for a maximum of one month a year - in the summer, I got tired of the boiler in the basin....</v>
      </c>
    </row>
    <row r="8535" spans="1:9" x14ac:dyDescent="0.3">
      <c r="A8535" s="1" t="s">
        <v>9</v>
      </c>
      <c r="B8535" s="1" t="s">
        <v>133</v>
      </c>
      <c r="C8535" s="1" t="s">
        <v>19</v>
      </c>
      <c r="D8535" s="1" t="s">
        <v>327</v>
      </c>
      <c r="E8535" s="1" t="s">
        <v>1150</v>
      </c>
      <c r="F8535" s="1" t="s">
        <v>12810</v>
      </c>
      <c r="G8535" s="1" t="s">
        <v>36</v>
      </c>
      <c r="H8535" s="1" t="s">
        <v>29</v>
      </c>
      <c r="I8535" s="1" t="str">
        <f ca="1">IFERROR(__xludf.DUMMYFUNCTION("GOOGLETRANSLATE(F8535, ""auto"", ""en"")
"),"I bought it on sale. The wardrobe is cool. Works great. Looks very stylish. The presence of a deep baking tray.")</f>
        <v>I bought it on sale. The wardrobe is cool. Works great. Looks very stylish. The presence of a deep baking tray.</v>
      </c>
    </row>
    <row r="8536" spans="1:9" x14ac:dyDescent="0.3">
      <c r="A8536" s="1" t="s">
        <v>105</v>
      </c>
      <c r="B8536" s="1" t="s">
        <v>106</v>
      </c>
      <c r="C8536" s="1" t="s">
        <v>1419</v>
      </c>
      <c r="D8536" s="1" t="s">
        <v>1431</v>
      </c>
      <c r="E8536" s="1" t="s">
        <v>1742</v>
      </c>
      <c r="F8536" s="1" t="s">
        <v>12811</v>
      </c>
      <c r="G8536" s="1" t="s">
        <v>49</v>
      </c>
      <c r="H8536" s="1" t="s">
        <v>16</v>
      </c>
      <c r="I8536" s="1" t="str">
        <f ca="1">IFERROR(__xludf.DUMMYFUNCTION("GOOGLETRANSLATE(F8536, ""auto"", ""en"")
"),"The sound quality is simply unacceptable, no matter what headphones, the purchase is just a waste of money")</f>
        <v>The sound quality is simply unacceptable, no matter what headphones, the purchase is just a waste of money</v>
      </c>
    </row>
    <row r="8537" spans="1:9" x14ac:dyDescent="0.3">
      <c r="A8537" s="1" t="s">
        <v>732</v>
      </c>
      <c r="B8537" s="1" t="s">
        <v>733</v>
      </c>
      <c r="C8537" s="1" t="s">
        <v>1680</v>
      </c>
      <c r="D8537" s="1" t="s">
        <v>891</v>
      </c>
      <c r="E8537" s="1" t="s">
        <v>500</v>
      </c>
      <c r="F8537" s="1" t="s">
        <v>12812</v>
      </c>
      <c r="G8537" s="1" t="s">
        <v>36</v>
      </c>
      <c r="H8537" s="1" t="s">
        <v>29</v>
      </c>
      <c r="I8537" s="1" t="str">
        <f ca="1">IFERROR(__xludf.DUMMYFUNCTION("GOOGLETRANSLATE(F8537, ""auto"", ""en"")
"),"When purchasing, I doubted whether to take it or not. A week after the purchase, I realized that I had made the best choice for the money)))) I am very pleased with it, and this LED on/off does not bother me...")</f>
        <v>When purchasing, I doubted whether to take it or not. A week after the purchase, I realized that I had made the best choice for the money)))) I am very pleased with it, and this LED on/off does not bother me...</v>
      </c>
    </row>
    <row r="8538" spans="1:9" x14ac:dyDescent="0.3">
      <c r="A8538" s="1" t="s">
        <v>61</v>
      </c>
      <c r="B8538" s="1" t="s">
        <v>145</v>
      </c>
      <c r="C8538" s="1" t="s">
        <v>74</v>
      </c>
      <c r="D8538" s="1" t="s">
        <v>64</v>
      </c>
      <c r="E8538" s="1" t="s">
        <v>1384</v>
      </c>
      <c r="F8538" s="1" t="s">
        <v>12813</v>
      </c>
      <c r="G8538" s="1" t="s">
        <v>36</v>
      </c>
      <c r="H8538" s="1" t="s">
        <v>29</v>
      </c>
      <c r="I8538" s="1" t="str">
        <f ca="1">IFERROR(__xludf.DUMMYFUNCTION("GOOGLETRANSLATE(F8538, ""auto"", ""en"")
"),"I really liked this steamer. Easy to use, convenient. The cutlets in it turn out excellent!")</f>
        <v>I really liked this steamer. Easy to use, convenient. The cutlets in it turn out excellent!</v>
      </c>
    </row>
    <row r="8539" spans="1:9" x14ac:dyDescent="0.3">
      <c r="A8539" s="1" t="s">
        <v>211</v>
      </c>
      <c r="B8539" s="1" t="s">
        <v>212</v>
      </c>
      <c r="C8539" s="1" t="s">
        <v>294</v>
      </c>
      <c r="D8539" s="1" t="s">
        <v>12814</v>
      </c>
      <c r="E8539" s="1" t="s">
        <v>1280</v>
      </c>
      <c r="F8539" s="1" t="s">
        <v>12815</v>
      </c>
      <c r="G8539" s="1" t="s">
        <v>36</v>
      </c>
      <c r="H8539" s="1" t="s">
        <v>29</v>
      </c>
      <c r="I8539" s="1" t="str">
        <f ca="1">IFERROR(__xludf.DUMMYFUNCTION("GOOGLETRANSLATE(F8539, ""auto"", ""en"")
"),"I saw this straightener from a friend and really liked it. Then another friend bought the same one and was delighted. Three of my friends already have them, everyone praises them, and I know very well that they are very good and durable! So I’m going to b"&amp;"uy them right now! :)")</f>
        <v>I saw this straightener from a friend and really liked it. Then another friend bought the same one and was delighted. Three of my friends already have them, everyone praises them, and I know very well that they are very good and durable! So I’m going to buy them right now! :)</v>
      </c>
    </row>
    <row r="8540" spans="1:9" x14ac:dyDescent="0.3">
      <c r="A8540" s="1" t="s">
        <v>67</v>
      </c>
      <c r="B8540" s="1" t="s">
        <v>68</v>
      </c>
      <c r="C8540" s="1" t="s">
        <v>101</v>
      </c>
      <c r="D8540" s="1" t="s">
        <v>247</v>
      </c>
      <c r="E8540" s="1" t="s">
        <v>12816</v>
      </c>
      <c r="F8540" s="1" t="s">
        <v>12817</v>
      </c>
      <c r="G8540" s="1" t="s">
        <v>36</v>
      </c>
      <c r="H8540" s="1" t="s">
        <v>29</v>
      </c>
      <c r="I8540" s="1" t="str">
        <f ca="1">IFERROR(__xludf.DUMMYFUNCTION("GOOGLETRANSLATE(F8540, ""auto"", ""en"")
"),"I bought this iron because it was the cheapest and smallest. It turned out to be an excellent iron, I agree with the previous speaker. One minus is that it does not iron well thick fabrics or bedding in multiple folds. I've been using it for 4 years now, "&amp;"it works like a charm. Pros: I iron everything, leaves no streaks, irons expensive and delicate fabrics - perfect.")</f>
        <v>I bought this iron because it was the cheapest and smallest. It turned out to be an excellent iron, I agree with the previous speaker. One minus is that it does not iron well thick fabrics or bedding in multiple folds. I've been using it for 4 years now, it works like a charm. Pros: I iron everything, leaves no streaks, irons expensive and delicate fabrics - perfect.</v>
      </c>
    </row>
    <row r="8541" spans="1:9" x14ac:dyDescent="0.3">
      <c r="A8541" s="1" t="s">
        <v>852</v>
      </c>
      <c r="B8541" s="1" t="s">
        <v>2476</v>
      </c>
      <c r="C8541" s="1" t="s">
        <v>356</v>
      </c>
      <c r="D8541" s="1" t="s">
        <v>12818</v>
      </c>
      <c r="E8541" s="1" t="s">
        <v>2815</v>
      </c>
      <c r="F8541" s="1" t="s">
        <v>12819</v>
      </c>
      <c r="G8541" s="1" t="s">
        <v>36</v>
      </c>
      <c r="H8541" s="1" t="s">
        <v>29</v>
      </c>
      <c r="I8541" s="1" t="str">
        <f ca="1">IFERROR(__xludf.DUMMYFUNCTION("GOOGLETRANSLATE(F8541, ""auto"", ""en"")
"),"I have been using this Computer for 2 weeks. I chose this model because... it is suitable for my tasks - processing (post-processing) of high-definition video. A very quiet (noise-wise) and productive computer, with a very high-quality display. There is o"&amp;"nly one drawback - not all programs for Apple are localized, for me this is not critical. The rest is all advantages: a convenient and fast interface, a super-comfortable mouse (included) and a keyboard (after Windows PC you need to get used to the positi"&amp;"on of the period and comma in the Russian keyboard). I didn’t regret taking the iMac and I recommend it - you won’t regret it.")</f>
        <v>I have been using this Computer for 2 weeks. I chose this model because... it is suitable for my tasks - processing (post-processing) of high-definition video. A very quiet (noise-wise) and productive computer, with a very high-quality display. There is only one drawback - not all programs for Apple are localized, for me this is not critical. The rest is all advantages: a convenient and fast interface, a super-comfortable mouse (included) and a keyboard (after Windows PC you need to get used to the position of the period and comma in the Russian keyboard). I didn’t regret taking the iMac and I recommend it - you won’t regret it.</v>
      </c>
    </row>
    <row r="8542" spans="1:9" x14ac:dyDescent="0.3">
      <c r="A8542" s="1" t="s">
        <v>149</v>
      </c>
      <c r="B8542" s="1" t="s">
        <v>576</v>
      </c>
      <c r="C8542" s="1" t="s">
        <v>1835</v>
      </c>
      <c r="D8542" s="1" t="s">
        <v>327</v>
      </c>
      <c r="E8542" s="1" t="s">
        <v>316</v>
      </c>
      <c r="F8542" s="1" t="s">
        <v>12820</v>
      </c>
      <c r="G8542" s="1" t="s">
        <v>36</v>
      </c>
      <c r="H8542" s="1" t="s">
        <v>29</v>
      </c>
      <c r="I8542" s="1" t="str">
        <f ca="1">IFERROR(__xludf.DUMMYFUNCTION("GOOGLETRANSLATE(F8542, ""auto"", ""en"")
"),"I wasn’t going to write but I read the negative review and was outraged. The vacuum cleaner copes with its purpose with 5+ points and runs great. Quiet mode, convenient location of nozzles, everything settles down. Personally, the only thing that bothers "&amp;"me the most is that I often confuse the power and cord tightening buttons; they are marked almost identically. There is no overpayment for a Mile, a Mile is a guarantee of high quality and consumer properties, and the fact that a Toyota can break down on "&amp;"the first day is not the end of the world.")</f>
        <v>I wasn’t going to write but I read the negative review and was outraged. The vacuum cleaner copes with its purpose with 5+ points and runs great. Quiet mode, convenient location of nozzles, everything settles down. Personally, the only thing that bothers me the most is that I often confuse the power and cord tightening buttons; they are marked almost identically. There is no overpayment for a Mile, a Mile is a guarantee of high quality and consumer properties, and the fact that a Toyota can break down on the first day is not the end of the world.</v>
      </c>
    </row>
    <row r="8543" spans="1:9" x14ac:dyDescent="0.3">
      <c r="A8543" s="1" t="s">
        <v>211</v>
      </c>
      <c r="B8543" s="1" t="s">
        <v>265</v>
      </c>
      <c r="C8543" s="1" t="s">
        <v>122</v>
      </c>
      <c r="D8543" s="1" t="s">
        <v>385</v>
      </c>
      <c r="E8543" s="1" t="s">
        <v>7497</v>
      </c>
      <c r="F8543" s="1" t="s">
        <v>12821</v>
      </c>
      <c r="G8543" s="1" t="s">
        <v>94</v>
      </c>
      <c r="H8543" s="1" t="s">
        <v>29</v>
      </c>
      <c r="I8543" s="1" t="str">
        <f ca="1">IFERROR(__xludf.DUMMYFUNCTION("GOOGLETRANSLATE(F8543, ""auto"", ""en"")
"),"Light, almost silent, vibration is not felt. Value for money.. 5 points ͢ class=")</f>
        <v>Light, almost silent, vibration is not felt. Value for money.. 5 points ͢ class=</v>
      </c>
    </row>
    <row r="8544" spans="1:9" x14ac:dyDescent="0.3">
      <c r="A8544" s="1" t="s">
        <v>61</v>
      </c>
      <c r="B8544" s="1" t="s">
        <v>318</v>
      </c>
      <c r="C8544" s="1" t="s">
        <v>69</v>
      </c>
      <c r="D8544" s="1" t="s">
        <v>152</v>
      </c>
      <c r="E8544" s="1" t="s">
        <v>3080</v>
      </c>
      <c r="F8544" s="1" t="s">
        <v>12822</v>
      </c>
      <c r="G8544" s="1" t="s">
        <v>36</v>
      </c>
      <c r="H8544" s="1" t="s">
        <v>29</v>
      </c>
      <c r="I8544" s="1" t="str">
        <f ca="1">IFERROR(__xludf.DUMMYFUNCTION("GOOGLETRANSLATE(F8544, ""auto"", ""en"")
"),"After a month of use, rust appeared on the heating element, just like that, but overall the kettle is good,")</f>
        <v>After a month of use, rust appeared on the heating element, just like that, but overall the kettle is good,</v>
      </c>
    </row>
    <row r="8545" spans="1:9" x14ac:dyDescent="0.3">
      <c r="A8545" s="1" t="s">
        <v>732</v>
      </c>
      <c r="B8545" s="1" t="s">
        <v>733</v>
      </c>
      <c r="C8545" s="1" t="s">
        <v>1680</v>
      </c>
      <c r="D8545" s="1" t="s">
        <v>633</v>
      </c>
      <c r="E8545" s="1" t="s">
        <v>3184</v>
      </c>
      <c r="F8545" s="1" t="s">
        <v>12823</v>
      </c>
      <c r="G8545" s="1" t="s">
        <v>36</v>
      </c>
      <c r="H8545" s="1" t="s">
        <v>29</v>
      </c>
      <c r="I8545" s="1" t="str">
        <f ca="1">IFERROR(__xludf.DUMMYFUNCTION("GOOGLETRANSLATE(F8545, ""auto"", ""en"")
"),"For that kind of money you won’t find a better fullHD anywhere. The color rendition is simply perfect, and the contrast is good, 1080p, HDMI, in general, take it without hesitation.")</f>
        <v>For that kind of money you won’t find a better fullHD anywhere. The color rendition is simply perfect, and the contrast is good, 1080p, HDMI, in general, take it without hesitation.</v>
      </c>
    </row>
    <row r="8546" spans="1:9" x14ac:dyDescent="0.3">
      <c r="A8546" s="1" t="s">
        <v>206</v>
      </c>
      <c r="B8546" s="1" t="s">
        <v>207</v>
      </c>
      <c r="C8546" s="1" t="s">
        <v>351</v>
      </c>
      <c r="D8546" s="1" t="s">
        <v>12824</v>
      </c>
      <c r="E8546" s="1" t="s">
        <v>386</v>
      </c>
      <c r="F8546" s="1" t="s">
        <v>12825</v>
      </c>
      <c r="G8546" s="1" t="s">
        <v>49</v>
      </c>
      <c r="H8546" s="1" t="s">
        <v>16</v>
      </c>
      <c r="I8546" s="1" t="str">
        <f ca="1">IFERROR(__xludf.DUMMYFUNCTION("GOOGLETRANSLATE(F8546, ""auto"", ""en"")
"),"The declared power is provided only with a minimum of 5% linear distortion when the maximum should be 0.1% )))))))))))))))))")</f>
        <v>The declared power is provided only with a minimum of 5% linear distortion when the maximum should be 0.1% )))))))))))))))))</v>
      </c>
    </row>
    <row r="8547" spans="1:9" x14ac:dyDescent="0.3">
      <c r="A8547" s="1" t="s">
        <v>149</v>
      </c>
      <c r="B8547" s="1" t="s">
        <v>150</v>
      </c>
      <c r="C8547" s="1" t="s">
        <v>57</v>
      </c>
      <c r="D8547" s="1" t="s">
        <v>12826</v>
      </c>
      <c r="E8547" s="1" t="s">
        <v>2815</v>
      </c>
      <c r="F8547" s="1" t="s">
        <v>12827</v>
      </c>
      <c r="G8547" s="1" t="s">
        <v>36</v>
      </c>
      <c r="H8547" s="1" t="s">
        <v>29</v>
      </c>
      <c r="I8547" s="1" t="str">
        <f ca="1">IFERROR(__xludf.DUMMYFUNCTION("GOOGLETRANSLATE(F8547, ""auto"", ""en"")
"),"The power is super, it can be adjusted using the knob on the panel. Suction is good and even lifts the carpet. For a water vacuum cleaner it is relatively light and compact. All attachments are on wheels, which is just super. Our family really liked it, e"&amp;"veryone loved it!!!")</f>
        <v>The power is super, it can be adjusted using the knob on the panel. Suction is good and even lifts the carpet. For a water vacuum cleaner it is relatively light and compact. All attachments are on wheels, which is just super. Our family really liked it, everyone loved it!!!</v>
      </c>
    </row>
    <row r="8548" spans="1:9" x14ac:dyDescent="0.3">
      <c r="A8548" s="1" t="s">
        <v>78</v>
      </c>
      <c r="B8548" s="1" t="s">
        <v>1163</v>
      </c>
      <c r="C8548" s="1" t="s">
        <v>80</v>
      </c>
      <c r="D8548" s="1" t="s">
        <v>64</v>
      </c>
      <c r="E8548" s="1" t="s">
        <v>661</v>
      </c>
      <c r="F8548" s="1" t="s">
        <v>12828</v>
      </c>
      <c r="G8548" s="1" t="s">
        <v>36</v>
      </c>
      <c r="H8548" s="1" t="s">
        <v>29</v>
      </c>
      <c r="I8548" s="1" t="str">
        <f ca="1">IFERROR(__xludf.DUMMYFUNCTION("GOOGLETRANSLATE(F8548, ""auto"", ""en"")
"),"My husband and I bought it six months ago, I checked all the functions, everything works like a charm! I bought it without a grill, especially for my 8-year-old daughter. It defrosts berries and butter and meat well and quickly, the instructions are writt"&amp;"en in very detail. I used the functions and the cooker, tried everything. Very satisfied")</f>
        <v>My husband and I bought it six months ago, I checked all the functions, everything works like a charm! I bought it without a grill, especially for my 8-year-old daughter. It defrosts berries and butter and meat well and quickly, the instructions are written in very detail. I used the functions and the cooker, tried everything. Very satisfied</v>
      </c>
    </row>
    <row r="8549" spans="1:9" x14ac:dyDescent="0.3">
      <c r="A8549" s="1" t="s">
        <v>211</v>
      </c>
      <c r="B8549" s="1" t="s">
        <v>601</v>
      </c>
      <c r="C8549" s="1" t="s">
        <v>602</v>
      </c>
      <c r="D8549" s="1" t="s">
        <v>172</v>
      </c>
      <c r="E8549" s="1" t="s">
        <v>12829</v>
      </c>
      <c r="F8549" s="1" t="s">
        <v>12830</v>
      </c>
      <c r="G8549" s="1" t="s">
        <v>36</v>
      </c>
      <c r="H8549" s="1" t="s">
        <v>29</v>
      </c>
      <c r="I8549" s="1" t="str">
        <f ca="1">IFERROR(__xludf.DUMMYFUNCTION("GOOGLETRANSLATE(F8549, ""auto"", ""en"")
"),"+ Cleans well, does not irritate gums - a little expensive")</f>
        <v>+ Cleans well, does not irritate gums - a little expensive</v>
      </c>
    </row>
    <row r="8550" spans="1:9" x14ac:dyDescent="0.3">
      <c r="A8550" s="1" t="s">
        <v>496</v>
      </c>
      <c r="B8550" s="1" t="s">
        <v>497</v>
      </c>
      <c r="C8550" s="1" t="s">
        <v>487</v>
      </c>
      <c r="D8550" s="1" t="s">
        <v>12831</v>
      </c>
      <c r="E8550" s="1" t="s">
        <v>359</v>
      </c>
      <c r="F8550" s="1" t="s">
        <v>12832</v>
      </c>
      <c r="G8550" s="1" t="s">
        <v>28</v>
      </c>
      <c r="H8550" s="1" t="s">
        <v>29</v>
      </c>
      <c r="I8550" s="1" t="str">
        <f ca="1">IFERROR(__xludf.DUMMYFUNCTION("GOOGLETRANSLATE(F8550, ""auto"", ""en"")
"),"An inexpensive option to enable your Mac to recognize documents composed in MS Office.")</f>
        <v>An inexpensive option to enable your Mac to recognize documents composed in MS Office.</v>
      </c>
    </row>
    <row r="8551" spans="1:9" x14ac:dyDescent="0.3">
      <c r="A8551" s="1" t="s">
        <v>9</v>
      </c>
      <c r="B8551" s="1" t="s">
        <v>10</v>
      </c>
      <c r="C8551" s="1" t="s">
        <v>407</v>
      </c>
      <c r="D8551" s="1" t="s">
        <v>52</v>
      </c>
      <c r="E8551" s="1" t="s">
        <v>2724</v>
      </c>
      <c r="F8551" s="1" t="s">
        <v>12833</v>
      </c>
      <c r="G8551" s="1" t="s">
        <v>36</v>
      </c>
      <c r="H8551" s="1" t="s">
        <v>29</v>
      </c>
      <c r="I8551" s="1" t="str">
        <f ca="1">IFERROR(__xludf.DUMMYFUNCTION("GOOGLETRANSLATE(F8551, ""auto"", ""en"")
"),"We bought the hood in February on sale. The hood is great. Modern design, class lighting. Kitchen 10 meters - the hood at speed 1 or 2 easily copes with all odors. Very powerful. Very happy with the purchase. Nothing is broken. We recommend it to everyone"&amp;". For such little money such a good purchase.")</f>
        <v>We bought the hood in February on sale. The hood is great. Modern design, class lighting. Kitchen 10 meters - the hood at speed 1 or 2 easily copes with all odors. Very powerful. Very happy with the purchase. Nothing is broken. We recommend it to everyone. For such little money such a good purchase.</v>
      </c>
    </row>
    <row r="8552" spans="1:9" x14ac:dyDescent="0.3">
      <c r="A8552" s="1" t="s">
        <v>624</v>
      </c>
      <c r="B8552" s="1" t="s">
        <v>625</v>
      </c>
      <c r="C8552" s="1" t="s">
        <v>479</v>
      </c>
      <c r="D8552" s="1" t="s">
        <v>52</v>
      </c>
      <c r="E8552" s="1" t="s">
        <v>421</v>
      </c>
      <c r="F8552" s="1" t="s">
        <v>12834</v>
      </c>
      <c r="G8552" s="1" t="s">
        <v>36</v>
      </c>
      <c r="H8552" s="1" t="s">
        <v>29</v>
      </c>
      <c r="I8552" s="1" t="str">
        <f ca="1">IFERROR(__xludf.DUMMYFUNCTION("GOOGLETRANSLATE(F8552, ""auto"", ""en"")
"),"The first thing when you start the game is shock! I just can’t believe the level of detail on most cars and the believability of their behavior on the track! Plus, you can organize entire online championships and compete with players all over the world.  "&amp;"The biggest drawback for me personally is the poor detailing of the Standard cars!  The game alone will take many months to complete (if you play about 2-3 hours a day), and to fully realize the full potential of the game it will take me personally about "&amp;"a year!  Only the development of the game took about 5 years, so you can count on constant support from the manufacturer (holding world championships, by the way, the All-Russian one has already been announced, replenishment of the vehicle fleet, new mode"&amp;"s, etc.).  I recommend it to everyone, a worthy PS3 exclusive!")</f>
        <v>The first thing when you start the game is shock! I just can’t believe the level of detail on most cars and the believability of their behavior on the track! Plus, you can organize entire online championships and compete with players all over the world.  The biggest drawback for me personally is the poor detailing of the Standard cars!  The game alone will take many months to complete (if you play about 2-3 hours a day), and to fully realize the full potential of the game it will take me personally about a year!  Only the development of the game took about 5 years, so you can count on constant support from the manufacturer (holding world championships, by the way, the All-Russian one has already been announced, replenishment of the vehicle fleet, new modes, etc.).  I recommend it to everyone, a worthy PS3 exclusive!</v>
      </c>
    </row>
    <row r="8553" spans="1:9" x14ac:dyDescent="0.3">
      <c r="A8553" s="1" t="s">
        <v>169</v>
      </c>
      <c r="B8553" s="1" t="s">
        <v>170</v>
      </c>
      <c r="C8553" s="1" t="s">
        <v>69</v>
      </c>
      <c r="D8553" s="1" t="s">
        <v>114</v>
      </c>
      <c r="E8553" s="1" t="s">
        <v>2627</v>
      </c>
      <c r="F8553" s="1" t="s">
        <v>12835</v>
      </c>
      <c r="G8553" s="1" t="s">
        <v>28</v>
      </c>
      <c r="H8553" s="1" t="s">
        <v>29</v>
      </c>
      <c r="I8553" s="1" t="str">
        <f ca="1">IFERROR(__xludf.DUMMYFUNCTION("GOOGLETRANSLATE(F8553, ""auto"", ""en"")
"),"I bought it about 3 years ago and immediately noticed a complete lack of bass during playback. Among the minuses, one can note the harsh smell; after an hour of wearing, the head begins to ache, but overall these are very successful headphones.")</f>
        <v>I bought it about 3 years ago and immediately noticed a complete lack of bass during playback. Among the minuses, one can note the harsh smell; after an hour of wearing, the head begins to ache, but overall these are very successful headphones.</v>
      </c>
    </row>
    <row r="8554" spans="1:9" x14ac:dyDescent="0.3">
      <c r="A8554" s="1" t="s">
        <v>149</v>
      </c>
      <c r="B8554" s="1" t="s">
        <v>155</v>
      </c>
      <c r="C8554" s="1" t="s">
        <v>151</v>
      </c>
      <c r="D8554" s="1" t="s">
        <v>81</v>
      </c>
      <c r="E8554" s="1" t="s">
        <v>2231</v>
      </c>
      <c r="F8554" s="1" t="s">
        <v>12836</v>
      </c>
      <c r="G8554" s="1" t="s">
        <v>36</v>
      </c>
      <c r="H8554" s="1" t="s">
        <v>29</v>
      </c>
      <c r="I8554" s="1" t="str">
        <f ca="1">IFERROR(__xludf.DUMMYFUNCTION("GOOGLETRANSLATE(F8554, ""auto"", ""en"")
"),"Excellent vacuum cleaner. After vacuuming 3 rooms and a hallway, I was horrified by the amount of dust we breathe. The whole glass was filled with dust!!! Although before that I vacuumed with a bagged vacuum cleaner, there was dust there - the cat cried. "&amp;"The vacuum cleaner has been purchased for 2 months already, I wash the filters once a month, they are easy to clean and dry, the container is easy to clean, then just rinse and dry it. Lightweight tube, brush wheels inside the tube (not outside - also a p"&amp;"lus), excellent suction power. The only drawback is that the hose bends easily - but to do this you just need to keep the vacuum cleaner away from you - with the hose extended as far as possible. The build quality is very good - no cracks, burrs, assemble"&amp;"d in Korea, not China. In addition, the vacuum cleaner is light and small :) I haven’t seen motor filters for it on sale, although you can make it yourself - just cut a piece of fabric from the exhaust filter.    Great vacuum cleaner! I recommend it :) Be"&amp;"fore that there were Soviet ones of all kinds and shapes, then German ones with dust bags, now this one :)")</f>
        <v>Excellent vacuum cleaner. After vacuuming 3 rooms and a hallway, I was horrified by the amount of dust we breathe. The whole glass was filled with dust!!! Although before that I vacuumed with a bagged vacuum cleaner, there was dust there - the cat cried. The vacuum cleaner has been purchased for 2 months already, I wash the filters once a month, they are easy to clean and dry, the container is easy to clean, then just rinse and dry it. Lightweight tube, brush wheels inside the tube (not outside - also a plus), excellent suction power. The only drawback is that the hose bends easily - but to do this you just need to keep the vacuum cleaner away from you - with the hose extended as far as possible. The build quality is very good - no cracks, burrs, assembled in Korea, not China. In addition, the vacuum cleaner is light and small :) I haven’t seen motor filters for it on sale, although you can make it yourself - just cut a piece of fabric from the exhaust filter.    Great vacuum cleaner! I recommend it :) Before that there were Soviet ones of all kinds and shapes, then German ones with dust bags, now this one :)</v>
      </c>
    </row>
    <row r="8555" spans="1:9" x14ac:dyDescent="0.3">
      <c r="A8555" s="1" t="s">
        <v>55</v>
      </c>
      <c r="B8555" s="1" t="s">
        <v>56</v>
      </c>
      <c r="C8555" s="1" t="s">
        <v>3651</v>
      </c>
      <c r="D8555" s="1" t="s">
        <v>39</v>
      </c>
      <c r="E8555" s="1" t="s">
        <v>5517</v>
      </c>
      <c r="F8555" s="1" t="s">
        <v>12837</v>
      </c>
      <c r="G8555" s="1" t="s">
        <v>28</v>
      </c>
      <c r="H8555" s="1" t="s">
        <v>29</v>
      </c>
      <c r="I8555" s="1" t="str">
        <f ca="1">IFERROR(__xludf.DUMMYFUNCTION("GOOGLETRANSLATE(F8555, ""auto"", ""en"")
"),"In general, the device is very decent. Despite its small size, it is quite effective: the stream of steam (or rather fog) is dense and “goes” quite far. But still, “sharpening” for a 0.5 bottle is rather a drawback, because The water runs out too quickly."&amp;" This bottle is not enough for the night. In winter with a room of 14 sq.m. Doesn't work, I had to buy another humidifier. At least it has a 4 liter water tank. It should be enough for almost a day.")</f>
        <v>In general, the device is very decent. Despite its small size, it is quite effective: the stream of steam (or rather fog) is dense and “goes” quite far. But still, “sharpening” for a 0.5 bottle is rather a drawback, because The water runs out too quickly. This bottle is not enough for the night. In winter with a room of 14 sq.m. Doesn't work, I had to buy another humidifier. At least it has a 4 liter water tank. It should be enough for almost a day.</v>
      </c>
    </row>
    <row r="8556" spans="1:9" x14ac:dyDescent="0.3">
      <c r="A8556" s="1" t="s">
        <v>17</v>
      </c>
      <c r="B8556" s="1" t="s">
        <v>18</v>
      </c>
      <c r="C8556" s="1" t="s">
        <v>24</v>
      </c>
      <c r="D8556" s="1" t="s">
        <v>166</v>
      </c>
      <c r="E8556" s="1" t="s">
        <v>400</v>
      </c>
      <c r="F8556" s="1" t="s">
        <v>12838</v>
      </c>
      <c r="G8556" s="1" t="s">
        <v>28</v>
      </c>
      <c r="H8556" s="1" t="s">
        <v>29</v>
      </c>
      <c r="I8556" s="1" t="str">
        <f ca="1">IFERROR(__xludf.DUMMYFUNCTION("GOOGLETRANSLATE(F8556, ""auto"", ""en"")
"),"I have been using the machine for 10 months, 7-10 cycles per week.  ++++ simple, intuitive controls convenient extra rinse function works quietly, without vibration during spinning not a single problem during the entire period - when washing/rinsing, a li"&amp;"ttle water gets into the detergent compartment :( When you open the lid after washing, these 2 tablespoons flow directly into the drum with the wrung out laundry. A trifle, but unpleasant :(")</f>
        <v>I have been using the machine for 10 months, 7-10 cycles per week.  ++++ simple, intuitive controls convenient extra rinse function works quietly, without vibration during spinning not a single problem during the entire period - when washing/rinsing, a little water gets into the detergent compartment :( When you open the lid after washing, these 2 tablespoons flow directly into the drum with the wrung out laundry. A trifle, but unpleasant :(</v>
      </c>
    </row>
    <row r="8557" spans="1:9" x14ac:dyDescent="0.3">
      <c r="A8557" s="1" t="s">
        <v>61</v>
      </c>
      <c r="B8557" s="1" t="s">
        <v>318</v>
      </c>
      <c r="C8557" s="1" t="s">
        <v>745</v>
      </c>
      <c r="D8557" s="1" t="s">
        <v>474</v>
      </c>
      <c r="E8557" s="1" t="s">
        <v>323</v>
      </c>
      <c r="F8557" s="1" t="s">
        <v>12839</v>
      </c>
      <c r="G8557" s="1" t="s">
        <v>36</v>
      </c>
      <c r="H8557" s="1" t="s">
        <v>29</v>
      </c>
      <c r="I8557" s="1" t="str">
        <f ca="1">IFERROR(__xludf.DUMMYFUNCTION("GOOGLETRANSLATE(F8557, ""auto"", ""en"")
"),"I bought this kettle a week ago. And I’m very happy about it. I liked it first of all because you can maintain the water temperature at a given value, which is very convenient. Warms the water quite quickly. In general, I'm satisfied.")</f>
        <v>I bought this kettle a week ago. And I’m very happy about it. I liked it first of all because you can maintain the water temperature at a given value, which is very convenient. Warms the water quite quickly. In general, I'm satisfied.</v>
      </c>
    </row>
    <row r="8558" spans="1:9" x14ac:dyDescent="0.3">
      <c r="A8558" s="1" t="s">
        <v>55</v>
      </c>
      <c r="B8558" s="1" t="s">
        <v>56</v>
      </c>
      <c r="C8558" s="1" t="s">
        <v>1502</v>
      </c>
      <c r="D8558" s="1" t="s">
        <v>12840</v>
      </c>
      <c r="E8558" s="1" t="s">
        <v>1816</v>
      </c>
      <c r="F8558" s="1" t="s">
        <v>12841</v>
      </c>
      <c r="G8558" s="1" t="s">
        <v>28</v>
      </c>
      <c r="H8558" s="1" t="s">
        <v>29</v>
      </c>
      <c r="I8558" s="1" t="str">
        <f ca="1">IFERROR(__xludf.DUMMYFUNCTION("GOOGLETRANSLATE(F8558, ""auto"", ""en"")
"),"Good moisturizer. We've been using it for about a month. The night mode is impressive, only gurgles are heard. When they brought it into the room, the hygrometer showed no more than 33%. After 2 weeks I reached 47. The room is 20 square meters, connected "&amp;"through a door to another one 16 m away, we turn it on only at night. I deducted one point for a white coating on equipment (not on furniture, by the way). I poured water from the tap (there are two filters at the entrance to the house) and from an Aquaph"&amp;"or jug ​​- the residue still remains, but the insides of the humidifier have to be cleaned much less often with a brush after water from the jug. I'm happy with the result, the dynamics are obvious, it's easier to breathe.")</f>
        <v>Good moisturizer. We've been using it for about a month. The night mode is impressive, only gurgles are heard. When they brought it into the room, the hygrometer showed no more than 33%. After 2 weeks I reached 47. The room is 20 square meters, connected through a door to another one 16 m away, we turn it on only at night. I deducted one point for a white coating on equipment (not on furniture, by the way). I poured water from the tap (there are two filters at the entrance to the house) and from an Aquaphor jug ​​- the residue still remains, but the insides of the humidifier have to be cleaned much less often with a brush after water from the jug. I'm happy with the result, the dynamics are obvious, it's easier to breathe.</v>
      </c>
    </row>
    <row r="8559" spans="1:9" x14ac:dyDescent="0.3">
      <c r="A8559" s="1" t="s">
        <v>519</v>
      </c>
      <c r="B8559" s="1" t="s">
        <v>520</v>
      </c>
      <c r="C8559" s="1" t="s">
        <v>3571</v>
      </c>
      <c r="D8559" s="1" t="s">
        <v>12842</v>
      </c>
      <c r="E8559" s="1" t="s">
        <v>12843</v>
      </c>
      <c r="F8559" s="1" t="s">
        <v>12844</v>
      </c>
      <c r="G8559" s="1" t="s">
        <v>36</v>
      </c>
      <c r="H8559" s="1" t="s">
        <v>29</v>
      </c>
      <c r="I8559" s="1" t="str">
        <f ca="1">IFERROR(__xludf.DUMMYFUNCTION("GOOGLETRANSLATE(F8559, ""auto"", ""en"")
"),"I am very pleased with the appearance: impeccable design, shine, convenient to use. Because The perforated lid allows you to drain the water without additional. items. The rubberized handles are especially pleasing; they do not heat up on glass ceramics. "&amp;"You can even cook pilaf without burning anything! The set was cheaper than buying the same pans separately. Thanks to the sellers for the advice! In turn, I recommend it to everyone!!")</f>
        <v>I am very pleased with the appearance: impeccable design, shine, convenient to use. Because The perforated lid allows you to drain the water without additional. items. The rubberized handles are especially pleasing; they do not heat up on glass ceramics. You can even cook pilaf without burning anything! The set was cheaper than buying the same pans separately. Thanks to the sellers for the advice! In turn, I recommend it to everyone!!</v>
      </c>
    </row>
    <row r="8560" spans="1:9" x14ac:dyDescent="0.3">
      <c r="A8560" s="1" t="s">
        <v>169</v>
      </c>
      <c r="B8560" s="1" t="s">
        <v>170</v>
      </c>
      <c r="C8560" s="1" t="s">
        <v>69</v>
      </c>
      <c r="D8560" s="1" t="s">
        <v>12845</v>
      </c>
      <c r="E8560" s="1" t="s">
        <v>824</v>
      </c>
      <c r="F8560" s="1" t="s">
        <v>12846</v>
      </c>
      <c r="G8560" s="1" t="s">
        <v>28</v>
      </c>
      <c r="H8560" s="1" t="s">
        <v>29</v>
      </c>
      <c r="I8560" s="1" t="str">
        <f ca="1">IFERROR(__xludf.DUMMYFUNCTION("GOOGLETRANSLATE(F8560, ""auto"", ""en"")
"),"One earphone, when you walk with the player, you can’t hear it.   Well, the music sounds quite loud, so when you’re filming you can listen to it at full volume and not have to wear them.   My rating is 4")</f>
        <v>One earphone, when you walk with the player, you can’t hear it.   Well, the music sounds quite loud, so when you’re filming you can listen to it at full volume and not have to wear them.   My rating is 4</v>
      </c>
    </row>
    <row r="8561" spans="1:9" x14ac:dyDescent="0.3">
      <c r="A8561" s="1" t="s">
        <v>211</v>
      </c>
      <c r="B8561" s="1" t="s">
        <v>265</v>
      </c>
      <c r="C8561" s="1" t="s">
        <v>122</v>
      </c>
      <c r="D8561" s="1" t="s">
        <v>39</v>
      </c>
      <c r="E8561" s="1" t="s">
        <v>6941</v>
      </c>
      <c r="F8561" s="1" t="s">
        <v>12847</v>
      </c>
      <c r="G8561" s="1" t="s">
        <v>36</v>
      </c>
      <c r="H8561" s="1" t="s">
        <v>29</v>
      </c>
      <c r="I8561" s="1" t="str">
        <f ca="1">IFERROR(__xludf.DUMMYFUNCTION("GOOGLETRANSLATE(F8561, ""auto"", ""en"")
"),"The clipper is great, it cuts perfectly, it’s comfortable, I recommend it, there were other brands, but it can’t be compared with this one, my wife cuts my hair, heaven and earth says, I can see the clipper cuts hair easily and efficiently, you won’t regr"&amp;"et it. Good mood to everyone.")</f>
        <v>The clipper is great, it cuts perfectly, it’s comfortable, I recommend it, there were other brands, but it can’t be compared with this one, my wife cuts my hair, heaven and earth says, I can see the clipper cuts hair easily and efficiently, you won’t regret it. Good mood to everyone.</v>
      </c>
    </row>
    <row r="8562" spans="1:9" x14ac:dyDescent="0.3">
      <c r="A8562" s="1" t="s">
        <v>211</v>
      </c>
      <c r="B8562" s="1" t="s">
        <v>410</v>
      </c>
      <c r="C8562" s="1" t="s">
        <v>213</v>
      </c>
      <c r="D8562" s="1" t="s">
        <v>1894</v>
      </c>
      <c r="E8562" s="1" t="s">
        <v>128</v>
      </c>
      <c r="F8562" s="1" t="s">
        <v>12848</v>
      </c>
      <c r="G8562" s="1" t="s">
        <v>36</v>
      </c>
      <c r="H8562" s="1" t="s">
        <v>29</v>
      </c>
      <c r="I8562" s="1" t="str">
        <f ca="1">IFERROR(__xludf.DUMMYFUNCTION("GOOGLETRANSLATE(F8562, ""auto"", ""en"")
"),"I honestly didn’t expect such a clean and pleasant shave! Absolutely incomparable with similar priced models (I couldn’t get used to it at one time - it hurts my skin and my neck is red and burning). I really like the microvibrations, absolutely NO irrita"&amp;"tion!")</f>
        <v>I honestly didn’t expect such a clean and pleasant shave! Absolutely incomparable with similar priced models (I couldn’t get used to it at one time - it hurts my skin and my neck is red and burning). I really like the microvibrations, absolutely NO irritation!</v>
      </c>
    </row>
    <row r="8563" spans="1:9" x14ac:dyDescent="0.3">
      <c r="A8563" s="1" t="s">
        <v>111</v>
      </c>
      <c r="B8563" s="1" t="s">
        <v>636</v>
      </c>
      <c r="C8563" s="1" t="s">
        <v>637</v>
      </c>
      <c r="D8563" s="1" t="s">
        <v>232</v>
      </c>
      <c r="E8563" s="1" t="s">
        <v>2328</v>
      </c>
      <c r="F8563" s="1" t="s">
        <v>12849</v>
      </c>
      <c r="G8563" s="1" t="s">
        <v>36</v>
      </c>
      <c r="H8563" s="1" t="s">
        <v>29</v>
      </c>
      <c r="I8563" s="1" t="str">
        <f ca="1">IFERROR(__xludf.DUMMYFUNCTION("GOOGLETRANSLATE(F8563, ""auto"", ""en"")
"),"It took me a long time to choose, but I’m glad I hit the spot. A very useful thing, and the main thing is that it has been working for two years without any complaints, I haven’t even changed the batteries in the sensors yet, and there are three of them, "&amp;"in different rooms. The signal to the main device passes through walls, doors and double-glazed windows without problems. Happy as an elephant!")</f>
        <v>It took me a long time to choose, but I’m glad I hit the spot. A very useful thing, and the main thing is that it has been working for two years without any complaints, I haven’t even changed the batteries in the sensors yet, and there are three of them, in different rooms. The signal to the main device passes through walls, doors and double-glazed windows without problems. Happy as an elephant!</v>
      </c>
    </row>
    <row r="8564" spans="1:9" x14ac:dyDescent="0.3">
      <c r="A8564" s="1" t="s">
        <v>67</v>
      </c>
      <c r="B8564" s="1" t="s">
        <v>68</v>
      </c>
      <c r="C8564" s="1" t="s">
        <v>1461</v>
      </c>
      <c r="D8564" s="1" t="s">
        <v>12</v>
      </c>
      <c r="E8564" s="1" t="s">
        <v>1586</v>
      </c>
      <c r="F8564" s="1" t="s">
        <v>12850</v>
      </c>
      <c r="G8564" s="1" t="s">
        <v>15</v>
      </c>
      <c r="H8564" s="1" t="s">
        <v>16</v>
      </c>
      <c r="I8564" s="1" t="str">
        <f ca="1">IFERROR(__xludf.DUMMYFUNCTION("GOOGLETRANSLATE(F8564, ""auto"", ""en"")
"),"The iron is so-so... when I first used it, it smelled as if something was burnt, I thought it would start punishing me, everything worked out... of course, for that kind of money there is nothing to expect from this iron, but still... there are cheaper on"&amp;"es and they work better... after six months the sole of the iron completely burned, I had to throw it in the trash... a disposable thing in general... it’s better to add and buy a normal one... the stingy one pays double...")</f>
        <v>The iron is so-so... when I first used it, it smelled as if something was burnt, I thought it would start punishing me, everything worked out... of course, for that kind of money there is nothing to expect from this iron, but still... there are cheaper ones and they work better... after six months the sole of the iron completely burned, I had to throw it in the trash... a disposable thing in general... it’s better to add and buy a normal one... the stingy one pays double...</v>
      </c>
    </row>
    <row r="8565" spans="1:9" x14ac:dyDescent="0.3">
      <c r="A8565" s="1" t="s">
        <v>55</v>
      </c>
      <c r="B8565" s="1" t="s">
        <v>56</v>
      </c>
      <c r="C8565" s="1" t="s">
        <v>85</v>
      </c>
      <c r="D8565" s="1" t="s">
        <v>589</v>
      </c>
      <c r="E8565" s="1" t="s">
        <v>8803</v>
      </c>
      <c r="F8565" s="1" t="s">
        <v>12851</v>
      </c>
      <c r="G8565" s="1" t="s">
        <v>36</v>
      </c>
      <c r="H8565" s="1" t="s">
        <v>29</v>
      </c>
      <c r="I8565" s="1" t="str">
        <f ca="1">IFERROR(__xludf.DUMMYFUNCTION("GOOGLETRANSLATE(F8565, ""auto"", ""en"")
"),"Our beast is almost three years old, completely satisfied, and the humidity picks up quickly enough, the room is 20 sq.m., silent, the water tank is quite large 6 liters, which is important! There is no residue from running water, cartridges and filters a"&amp;"re always on sale, although not cheap... An excellent device!")</f>
        <v>Our beast is almost three years old, completely satisfied, and the humidity picks up quickly enough, the room is 20 sq.m., silent, the water tank is quite large 6 liters, which is important! There is no residue from running water, cartridges and filters are always on sale, although not cheap... An excellent device!</v>
      </c>
    </row>
    <row r="8566" spans="1:9" x14ac:dyDescent="0.3">
      <c r="A8566" s="1" t="s">
        <v>211</v>
      </c>
      <c r="B8566" s="1" t="s">
        <v>515</v>
      </c>
      <c r="C8566" s="1" t="s">
        <v>381</v>
      </c>
      <c r="D8566" s="1" t="s">
        <v>247</v>
      </c>
      <c r="E8566" s="1" t="s">
        <v>3009</v>
      </c>
      <c r="F8566" s="1" t="s">
        <v>12852</v>
      </c>
      <c r="G8566" s="1" t="s">
        <v>36</v>
      </c>
      <c r="H8566" s="1" t="s">
        <v>29</v>
      </c>
      <c r="I8566" s="1" t="str">
        <f ca="1">IFERROR(__xludf.DUMMYFUNCTION("GOOGLETRANSLATE(F8566, ""auto"", ""en"")
"),"I used this epilator for the first time today. Very pleased! Thanks to different attachments I was able to epilate my legs, bikini area and even my armpits. In my opinion, this is one of the best epilators. I recommend!")</f>
        <v>I used this epilator for the first time today. Very pleased! Thanks to different attachments I was able to epilate my legs, bikini area and even my armpits. In my opinion, this is one of the best epilators. I recommend!</v>
      </c>
    </row>
    <row r="8567" spans="1:9" x14ac:dyDescent="0.3">
      <c r="A8567" s="1" t="s">
        <v>89</v>
      </c>
      <c r="B8567" s="1" t="s">
        <v>90</v>
      </c>
      <c r="C8567" s="1" t="s">
        <v>101</v>
      </c>
      <c r="D8567" s="1" t="s">
        <v>326</v>
      </c>
      <c r="E8567" s="1" t="s">
        <v>546</v>
      </c>
      <c r="F8567" s="1" t="s">
        <v>12853</v>
      </c>
      <c r="G8567" s="1" t="s">
        <v>28</v>
      </c>
      <c r="H8567" s="1" t="s">
        <v>29</v>
      </c>
      <c r="I8567" s="1" t="str">
        <f ca="1">IFERROR(__xludf.DUMMYFUNCTION("GOOGLETRANSLATE(F8567, ""auto"", ""en"")
"),"The coffee grinder is excellent and does its job. The only drawback is the egg-shaped lid. Before you buy, try opening it in a store. Personally, I open it with ease, but for my husband this is a real problem. He completely agrees with Elena's review from"&amp;" Moscow (3 stars).")</f>
        <v>The coffee grinder is excellent and does its job. The only drawback is the egg-shaped lid. Before you buy, try opening it in a store. Personally, I open it with ease, but for my husband this is a real problem. He completely agrees with Elena's review from Moscow (3 stars).</v>
      </c>
    </row>
    <row r="8568" spans="1:9" x14ac:dyDescent="0.3">
      <c r="A8568" s="1" t="s">
        <v>9</v>
      </c>
      <c r="B8568" s="1" t="s">
        <v>10</v>
      </c>
      <c r="C8568" s="1" t="s">
        <v>466</v>
      </c>
      <c r="D8568" s="1" t="s">
        <v>152</v>
      </c>
      <c r="E8568" s="1" t="s">
        <v>1014</v>
      </c>
      <c r="F8568" s="1" t="s">
        <v>12854</v>
      </c>
      <c r="G8568" s="1" t="s">
        <v>36</v>
      </c>
      <c r="H8568" s="1" t="s">
        <v>29</v>
      </c>
      <c r="I8568" s="1" t="str">
        <f ca="1">IFERROR(__xludf.DUMMYFUNCTION("GOOGLETRANSLATE(F8568, ""auto"", ""en"")
"),"quality")</f>
        <v>quality</v>
      </c>
    </row>
    <row r="8569" spans="1:9" x14ac:dyDescent="0.3">
      <c r="A8569" s="1" t="s">
        <v>120</v>
      </c>
      <c r="B8569" s="1" t="s">
        <v>11882</v>
      </c>
      <c r="C8569" s="1" t="s">
        <v>69</v>
      </c>
      <c r="D8569" s="1" t="s">
        <v>916</v>
      </c>
      <c r="E8569" s="1" t="s">
        <v>794</v>
      </c>
      <c r="F8569" s="1" t="s">
        <v>12855</v>
      </c>
      <c r="G8569" s="1" t="s">
        <v>28</v>
      </c>
      <c r="H8569" s="1" t="s">
        <v>29</v>
      </c>
      <c r="I8569" s="1" t="str">
        <f ca="1">IFERROR(__xludf.DUMMYFUNCTION("GOOGLETRANSLATE(F8569, ""auto"", ""en"")
"),"Thanks to HD Natural Motion, the TV captures the picture (a moving object), and it looks like it’s alive.   The fifth generation Philips 52 PFL 5604H/60 is resting in this sense.   But to be honest, I would now take a Samsung LED with 100 Hz technology, 4"&amp;"6"", it is much cooler, although smaller")</f>
        <v>Thanks to HD Natural Motion, the TV captures the picture (a moving object), and it looks like it’s alive.   The fifth generation Philips 52 PFL 5604H/60 is resting in this sense.   But to be honest, I would now take a Samsung LED with 100 Hz technology, 46", it is much cooler, although smaller</v>
      </c>
    </row>
    <row r="8570" spans="1:9" x14ac:dyDescent="0.3">
      <c r="A8570" s="1" t="s">
        <v>61</v>
      </c>
      <c r="B8570" s="1" t="s">
        <v>145</v>
      </c>
      <c r="C8570" s="1" t="s">
        <v>1981</v>
      </c>
      <c r="D8570" s="1" t="s">
        <v>247</v>
      </c>
      <c r="E8570" s="1" t="s">
        <v>1553</v>
      </c>
      <c r="F8570" s="1" t="s">
        <v>12856</v>
      </c>
      <c r="G8570" s="1" t="s">
        <v>36</v>
      </c>
      <c r="H8570" s="1" t="s">
        <v>29</v>
      </c>
      <c r="I8570" s="1" t="str">
        <f ca="1">IFERROR(__xludf.DUMMYFUNCTION("GOOGLETRANSLATE(F8570, ""auto"", ""en"")
"),"I bought it a month ago, I often bake waffles. I’m very pleased, the waffles don’t stick, they fry well.")</f>
        <v>I bought it a month ago, I often bake waffles. I’m very pleased, the waffles don’t stick, they fry well.</v>
      </c>
    </row>
    <row r="8571" spans="1:9" x14ac:dyDescent="0.3">
      <c r="A8571" s="1" t="s">
        <v>519</v>
      </c>
      <c r="B8571" s="1" t="s">
        <v>520</v>
      </c>
      <c r="C8571" s="1" t="s">
        <v>3571</v>
      </c>
      <c r="D8571" s="1" t="s">
        <v>305</v>
      </c>
      <c r="E8571" s="1" t="s">
        <v>12857</v>
      </c>
      <c r="F8571" s="1" t="s">
        <v>12858</v>
      </c>
      <c r="G8571" s="1" t="s">
        <v>36</v>
      </c>
      <c r="H8571" s="1" t="s">
        <v>29</v>
      </c>
      <c r="I8571" s="1" t="str">
        <f ca="1">IFERROR(__xludf.DUMMYFUNCTION("GOOGLETRANSLATE(F8571, ""auto"", ""en"")
"),"The pan practically cooks itself. I cook oatmeal in milk in a ladle - nothing burns. I like the holes on the lids - they don't knock on the pan if something boils. True, the silicone handles moved to the sides after heating. They didn't help much... it wa"&amp;"s still hot. Rice and buckwheat cook perfectly in a saucepan. Due to the fact that the bottom does not cool down for a long time, the porridge “reaches” the desired state. I cook on gas, the bottom is a little dirty due to small channels on the bottom, it"&amp;" is smoky.  The set is a little expensive, but a cool present!")</f>
        <v>The pan practically cooks itself. I cook oatmeal in milk in a ladle - nothing burns. I like the holes on the lids - they don't knock on the pan if something boils. True, the silicone handles moved to the sides after heating. They didn't help much... it was still hot. Rice and buckwheat cook perfectly in a saucepan. Due to the fact that the bottom does not cool down for a long time, the porridge “reaches” the desired state. I cook on gas, the bottom is a little dirty due to small channels on the bottom, it is smoky.  The set is a little expensive, but a cool present!</v>
      </c>
    </row>
    <row r="8572" spans="1:9" x14ac:dyDescent="0.3">
      <c r="A8572" s="1" t="s">
        <v>61</v>
      </c>
      <c r="B8572" s="1" t="s">
        <v>318</v>
      </c>
      <c r="C8572" s="1" t="s">
        <v>85</v>
      </c>
      <c r="D8572" s="1" t="s">
        <v>308</v>
      </c>
      <c r="E8572" s="1" t="s">
        <v>11093</v>
      </c>
      <c r="F8572" s="1" t="s">
        <v>12859</v>
      </c>
      <c r="G8572" s="1" t="s">
        <v>49</v>
      </c>
      <c r="H8572" s="1" t="s">
        <v>16</v>
      </c>
      <c r="I8572" s="1" t="str">
        <f ca="1">IFERROR(__xludf.DUMMYFUNCTION("GOOGLETRANSLATE(F8572, ""auto"", ""en"")
")," design")</f>
        <v xml:space="preserve"> design</v>
      </c>
    </row>
    <row r="8573" spans="1:9" x14ac:dyDescent="0.3">
      <c r="A8573" s="1" t="s">
        <v>211</v>
      </c>
      <c r="B8573" s="1" t="s">
        <v>212</v>
      </c>
      <c r="C8573" s="1" t="s">
        <v>453</v>
      </c>
      <c r="D8573" s="1" t="s">
        <v>295</v>
      </c>
      <c r="E8573" s="1" t="s">
        <v>7696</v>
      </c>
      <c r="F8573" s="1" t="s">
        <v>12860</v>
      </c>
      <c r="G8573" s="1" t="s">
        <v>36</v>
      </c>
      <c r="H8573" s="1" t="s">
        <v>29</v>
      </c>
      <c r="I8573" s="1" t="str">
        <f ca="1">IFERROR(__xludf.DUMMYFUNCTION("GOOGLETRANSLATE(F8573, ""auto"", ""en"")
"),"Great thing: price=quality. Delivery is prompt. I will use your online store again. Thank you!")</f>
        <v>Great thing: price=quality. Delivery is prompt. I will use your online store again. Thank you!</v>
      </c>
    </row>
    <row r="8574" spans="1:9" x14ac:dyDescent="0.3">
      <c r="A8574" s="1" t="s">
        <v>361</v>
      </c>
      <c r="B8574" s="1" t="s">
        <v>462</v>
      </c>
      <c r="C8574" s="1" t="s">
        <v>463</v>
      </c>
      <c r="D8574" s="1" t="s">
        <v>308</v>
      </c>
      <c r="E8574" s="1" t="s">
        <v>1964</v>
      </c>
      <c r="F8574" s="1" t="s">
        <v>12861</v>
      </c>
      <c r="G8574" s="1" t="s">
        <v>36</v>
      </c>
      <c r="H8574" s="1" t="s">
        <v>29</v>
      </c>
      <c r="I8574" s="1" t="str">
        <f ca="1">IFERROR(__xludf.DUMMYFUNCTION("GOOGLETRANSLATE(F8574, ""auto"", ""en"")
"),"Hello everyone! I bought myself a water filter. Although my water does not contain chlorine, it is terribly hard, the scale on the kettle appears very strong within a week, I have to constantly clean it. I bought the filter mainly to purify the water from"&amp;" impurities that cause this scale. But, after several days of using the Barrier filter, I can say that it copes with this task with a bang.")</f>
        <v>Hello everyone! I bought myself a water filter. Although my water does not contain chlorine, it is terribly hard, the scale on the kettle appears very strong within a week, I have to constantly clean it. I bought the filter mainly to purify the water from impurities that cause this scale. But, after several days of using the Barrier filter, I can say that it copes with this task with a bang.</v>
      </c>
    </row>
    <row r="8575" spans="1:9" x14ac:dyDescent="0.3">
      <c r="A8575" s="1" t="s">
        <v>211</v>
      </c>
      <c r="B8575" s="1" t="s">
        <v>410</v>
      </c>
      <c r="C8575" s="1" t="s">
        <v>122</v>
      </c>
      <c r="D8575" s="1" t="s">
        <v>420</v>
      </c>
      <c r="E8575" s="1" t="s">
        <v>2942</v>
      </c>
      <c r="F8575" s="1" t="s">
        <v>12862</v>
      </c>
      <c r="G8575" s="1" t="s">
        <v>36</v>
      </c>
      <c r="H8575" s="1" t="s">
        <v>29</v>
      </c>
      <c r="I8575" s="1" t="str">
        <f ca="1">IFERROR(__xludf.DUMMYFUNCTION("GOOGLETRANSLATE(F8575, ""auto"", ""en"")
"),"An excellent razor, before this I suffered from irritation after using the machines, I’ve been using it for about 5 years, I haven’t changed anything, for 3 years without any complaints at all, now it’s enough for 1 shave, I’m going to get the same one. I"&amp;" recommend it!")</f>
        <v>An excellent razor, before this I suffered from irritation after using the machines, I’ve been using it for about 5 years, I haven’t changed anything, for 3 years without any complaints at all, now it’s enough for 1 shave, I’m going to get the same one. I recommend it!</v>
      </c>
    </row>
    <row r="8576" spans="1:9" x14ac:dyDescent="0.3">
      <c r="A8576" s="1" t="s">
        <v>206</v>
      </c>
      <c r="B8576" s="1" t="s">
        <v>207</v>
      </c>
      <c r="C8576" s="1" t="s">
        <v>262</v>
      </c>
      <c r="D8576" s="1" t="s">
        <v>172</v>
      </c>
      <c r="E8576" s="1" t="s">
        <v>8624</v>
      </c>
      <c r="F8576" s="1" t="s">
        <v>12863</v>
      </c>
      <c r="G8576" s="1" t="s">
        <v>36</v>
      </c>
      <c r="H8576" s="1" t="s">
        <v>29</v>
      </c>
      <c r="I8576" s="1" t="str">
        <f ca="1">IFERROR(__xludf.DUMMYFUNCTION("GOOGLETRANSLATE(F8576, ""auto"", ""en"")
"),"A wonderful option with the correct connection and settings on the radio. It hurts so much that the trunk and bumper and headlights become a pity. It's in the VAZ 2110, I recommend it to everyone.")</f>
        <v>A wonderful option with the correct connection and settings on the radio. It hurts so much that the trunk and bumper and headlights become a pity. It's in the VAZ 2110, I recommend it to everyone.</v>
      </c>
    </row>
    <row r="8577" spans="1:9" x14ac:dyDescent="0.3">
      <c r="A8577" s="1" t="s">
        <v>37</v>
      </c>
      <c r="B8577" s="1" t="s">
        <v>1829</v>
      </c>
      <c r="C8577" s="1" t="s">
        <v>151</v>
      </c>
      <c r="D8577" s="1" t="s">
        <v>308</v>
      </c>
      <c r="E8577" s="1" t="s">
        <v>2948</v>
      </c>
      <c r="F8577" s="1" t="s">
        <v>12864</v>
      </c>
      <c r="G8577" s="1" t="s">
        <v>49</v>
      </c>
      <c r="H8577" s="1" t="s">
        <v>16</v>
      </c>
      <c r="I8577" s="1" t="str">
        <f ca="1">IFERROR(__xludf.DUMMYFUNCTION("GOOGLETRANSLATE(F8577, ""auto"", ""en"")
"),"On New Year's Eve I was given a Samsung GALAXY S4 mini, my joy knew no bounds. Six days later, my brand new Samsung GALAXY S4 mini stopped responding to any attempts to communicate with him))) And only a few screen flashes told me that he was still alive!"&amp;" I did not manage to do any mechanical damage to it (impacts, falls). Arriving at the Samsung service center on Marksistskaya 3, I was informed that there was a crack on my screen!! It turns out that my phone with a super HD AMOLTD display does not need t"&amp;"o be dropped or hit at the slightest twist of the screen, your super HD AMOLTD will crack and must be replaced for 6500 rubles!!! i.e., just insert a micro SD and your phone is in the trash!!! And they also warned me that it is better not to carry it in a"&amp;" purse, trouser pocket, etc.!!!!!! since the slightest deformation of the super HD AMOLTD leads to a crack and replacement of the display!!!! Nightmare!p&gt;")</f>
        <v>On New Year's Eve I was given a Samsung GALAXY S4 mini, my joy knew no bounds. Six days later, my brand new Samsung GALAXY S4 mini stopped responding to any attempts to communicate with him))) And only a few screen flashes told me that he was still alive! I did not manage to do any mechanical damage to it (impacts, falls). Arriving at the Samsung service center on Marksistskaya 3, I was informed that there was a crack on my screen!! It turns out that my phone with a super HD AMOLTD display does not need to be dropped or hit at the slightest twist of the screen, your super HD AMOLTD will crack and must be replaced for 6500 rubles!!! i.e., just insert a micro SD and your phone is in the trash!!! And they also warned me that it is better not to carry it in a purse, trouser pocket, etc.!!!!!! since the slightest deformation of the super HD AMOLTD leads to a crack and replacement of the display!!!! Nightmare!p&gt;</v>
      </c>
    </row>
    <row r="8578" spans="1:9" x14ac:dyDescent="0.3">
      <c r="A8578" s="1" t="s">
        <v>33</v>
      </c>
      <c r="B8578" s="1" t="s">
        <v>12865</v>
      </c>
      <c r="C8578" s="1" t="s">
        <v>11191</v>
      </c>
      <c r="D8578" s="1" t="s">
        <v>1042</v>
      </c>
      <c r="E8578" s="1" t="s">
        <v>5970</v>
      </c>
      <c r="F8578" s="1" t="s">
        <v>12866</v>
      </c>
      <c r="G8578" s="1" t="s">
        <v>36</v>
      </c>
      <c r="H8578" s="1" t="s">
        <v>29</v>
      </c>
      <c r="I8578" s="1" t="str">
        <f ca="1">IFERROR(__xludf.DUMMYFUNCTION("GOOGLETRANSLATE(F8578, ""auto"", ""en"")
"),"I bought the bracelet for my husband as a gift, it’s a great thing for people who don’t have much time to sleep, it’s really easier to wake up... it’s convenient for sedentary work, it reminds you that you haven’t moved for a long time... the battery last"&amp;"s 9-10 days.")</f>
        <v>I bought the bracelet for my husband as a gift, it’s a great thing for people who don’t have much time to sleep, it’s really easier to wake up... it’s convenient for sedentary work, it reminds you that you haven’t moved for a long time... the battery lasts 9-10 days.</v>
      </c>
    </row>
    <row r="8579" spans="1:9" x14ac:dyDescent="0.3">
      <c r="A8579" s="1" t="s">
        <v>30</v>
      </c>
      <c r="B8579" s="1" t="s">
        <v>50</v>
      </c>
      <c r="C8579" s="1" t="s">
        <v>1386</v>
      </c>
      <c r="D8579" s="1" t="s">
        <v>33</v>
      </c>
      <c r="E8579" s="1" t="s">
        <v>2030</v>
      </c>
      <c r="F8579" s="1" t="s">
        <v>12867</v>
      </c>
      <c r="G8579" s="1" t="s">
        <v>28</v>
      </c>
      <c r="H8579" s="1" t="s">
        <v>29</v>
      </c>
      <c r="I8579" s="1" t="str">
        <f ca="1">IFERROR(__xludf.DUMMYFUNCTION("GOOGLETRANSLATE(F8579, ""auto"", ""en"")
"),"I bought it 2 weeks ago. In general, I'm happy with everything. But there are several unpleasant moments: it slows down when playing movies in HD quality (though not all of them); as Alexander from Krasnodar already wrote, there really is some kind of gli"&amp;"tch in the BIOS, especially when working in Word, it’s annoying that the hard drive “falls asleep” after a few minutes of inactivity, when you need to quickly create a document; in sunny weather, for example, being on the street or in a car, you have to t"&amp;"urn the brightness of the glossy screen to full in order to see anything (indoors this is not a problem) on the other hand, there is a plus to this - the picture looks more beautiful and more realistic.   Overall a good netbook for the money. Moreover, I "&amp;"was pleased that it also has a dual-core processor, which explains the fast operation in combination with 1 GB of RAM.   A good machine for documents, the Internet and DVD RIP movies. I recommend it.")</f>
        <v>I bought it 2 weeks ago. In general, I'm happy with everything. But there are several unpleasant moments: it slows down when playing movies in HD quality (though not all of them); as Alexander from Krasnodar already wrote, there really is some kind of glitch in the BIOS, especially when working in Word, it’s annoying that the hard drive “falls asleep” after a few minutes of inactivity, when you need to quickly create a document; in sunny weather, for example, being on the street or in a car, you have to turn the brightness of the glossy screen to full in order to see anything (indoors this is not a problem) on the other hand, there is a plus to this - the picture looks more beautiful and more realistic.   Overall a good netbook for the money. Moreover, I was pleased that it also has a dual-core processor, which explains the fast operation in combination with 1 GB of RAM.   A good machine for documents, the Internet and DVD RIP movies. I recommend it.</v>
      </c>
    </row>
    <row r="8580" spans="1:9" x14ac:dyDescent="0.3">
      <c r="A8580" s="1" t="s">
        <v>211</v>
      </c>
      <c r="B8580" s="1" t="s">
        <v>212</v>
      </c>
      <c r="C8580" s="1" t="s">
        <v>381</v>
      </c>
      <c r="D8580" s="1" t="s">
        <v>308</v>
      </c>
      <c r="E8580" s="1" t="s">
        <v>10956</v>
      </c>
      <c r="F8580" s="1" t="s">
        <v>12868</v>
      </c>
      <c r="G8580" s="1" t="s">
        <v>36</v>
      </c>
      <c r="H8580" s="1" t="s">
        <v>29</v>
      </c>
      <c r="I8580" s="1" t="str">
        <f ca="1">IFERROR(__xludf.DUMMYFUNCTION("GOOGLETRANSLATE(F8580, ""auto"", ""en"")
"),"The hair dryer is very good, dries hair perfectly, very convenient, compact, I really like it!")</f>
        <v>The hair dryer is very good, dries hair perfectly, very convenient, compact, I really like it!</v>
      </c>
    </row>
    <row r="8581" spans="1:9" x14ac:dyDescent="0.3">
      <c r="A8581" s="1" t="s">
        <v>149</v>
      </c>
      <c r="B8581" s="1" t="s">
        <v>150</v>
      </c>
      <c r="C8581" s="1" t="s">
        <v>85</v>
      </c>
      <c r="D8581" s="1" t="s">
        <v>12869</v>
      </c>
      <c r="E8581" s="1" t="s">
        <v>2146</v>
      </c>
      <c r="F8581" s="1" t="s">
        <v>12870</v>
      </c>
      <c r="G8581" s="1" t="s">
        <v>15</v>
      </c>
      <c r="H8581" s="1" t="s">
        <v>16</v>
      </c>
      <c r="I8581" s="1" t="str">
        <f ca="1">IFERROR(__xludf.DUMMYFUNCTION("GOOGLETRANSLATE(F8581, ""auto"", ""en"")
"),"Alexander from Moscow was lucky to buy a Bork VC SMN 6303 GY car vacuum cleaner made in Germany. They are actually made in China.  The vacuum cleaner makes a terrible noise.  The comb of the mechanism that changes the tilt of the dust collector is very un"&amp;"reliable. I lay idle for 2 months and the engine lubrication “frozen” (probably lubricated with sunflower oil). The vacuum cleaner has become. An attempt to lubricate the engine was unsuccessful; the pump impeller was pressed tightly onto the engine axis."&amp;" Do people in Germany know about Bork?")</f>
        <v>Alexander from Moscow was lucky to buy a Bork VC SMN 6303 GY car vacuum cleaner made in Germany. They are actually made in China.  The vacuum cleaner makes a terrible noise.  The comb of the mechanism that changes the tilt of the dust collector is very unreliable. I lay idle for 2 months and the engine lubrication “frozen” (probably lubricated with sunflower oil). The vacuum cleaner has become. An attempt to lubricate the engine was unsuccessful; the pump impeller was pressed tightly onto the engine axis. Do people in Germany know about Bork?</v>
      </c>
    </row>
    <row r="8582" spans="1:9" x14ac:dyDescent="0.3">
      <c r="A8582" s="1" t="s">
        <v>211</v>
      </c>
      <c r="B8582" s="1" t="s">
        <v>856</v>
      </c>
      <c r="C8582" s="1" t="s">
        <v>57</v>
      </c>
      <c r="D8582" s="1" t="s">
        <v>1188</v>
      </c>
      <c r="E8582" s="1" t="s">
        <v>1034</v>
      </c>
      <c r="F8582" s="1" t="s">
        <v>12871</v>
      </c>
      <c r="G8582" s="1" t="s">
        <v>36</v>
      </c>
      <c r="H8582" s="1" t="s">
        <v>29</v>
      </c>
      <c r="I8582" s="1" t="str">
        <f ca="1">IFERROR(__xludf.DUMMYFUNCTION("GOOGLETRANSLATE(F8582, ""auto"", ""en"")
"),"My nails have always been bad, but they fluctuate, sometimes they grow well, sometimes they come off in layers.  I bought a set so that it would be easier to care for the cuticles and the manicurist would be more neat.  but it makes sense to use only 3 at"&amp;"tachments; at least I have no use for the rest.  powerful, good, convenient)")</f>
        <v>My nails have always been bad, but they fluctuate, sometimes they grow well, sometimes they come off in layers.  I bought a set so that it would be easier to care for the cuticles and the manicurist would be more neat.  but it makes sense to use only 3 attachments; at least I have no use for the rest.  powerful, good, convenient)</v>
      </c>
    </row>
    <row r="8583" spans="1:9" x14ac:dyDescent="0.3">
      <c r="A8583" s="1" t="s">
        <v>30</v>
      </c>
      <c r="B8583" s="1" t="s">
        <v>50</v>
      </c>
      <c r="C8583" s="1" t="s">
        <v>32</v>
      </c>
      <c r="D8583" s="1" t="s">
        <v>12872</v>
      </c>
      <c r="E8583" s="1" t="s">
        <v>1342</v>
      </c>
      <c r="F8583" s="1" t="s">
        <v>12873</v>
      </c>
      <c r="G8583" s="1" t="s">
        <v>36</v>
      </c>
      <c r="H8583" s="1" t="s">
        <v>29</v>
      </c>
      <c r="I8583" s="1" t="str">
        <f ca="1">IFERROR(__xludf.DUMMYFUNCTION("GOOGLETRANSLATE(F8583, ""auto"", ""en"")
"),"Cool laptop reads all games and can watch HD movies")</f>
        <v>Cool laptop reads all games and can watch HD movies</v>
      </c>
    </row>
    <row r="8584" spans="1:9" x14ac:dyDescent="0.3">
      <c r="A8584" s="1" t="s">
        <v>17</v>
      </c>
      <c r="B8584" s="1" t="s">
        <v>18</v>
      </c>
      <c r="C8584" s="1" t="s">
        <v>885</v>
      </c>
      <c r="D8584" s="1" t="s">
        <v>12874</v>
      </c>
      <c r="E8584" s="1" t="s">
        <v>3089</v>
      </c>
      <c r="F8584" s="1" t="s">
        <v>12875</v>
      </c>
      <c r="G8584" s="1" t="s">
        <v>36</v>
      </c>
      <c r="H8584" s="1" t="s">
        <v>29</v>
      </c>
      <c r="I8584" s="1" t="str">
        <f ca="1">IFERROR(__xludf.DUMMYFUNCTION("GOOGLETRANSLATE(F8584, ""auto"", ""en"")
"),"I completely disagree with the previous person’s opinion!   -It stands normally even without rubber feet.  -if you need to spin for more than 1 minute, then just put it on the spin cycle after washing and it spins for 8 minutes)) -it washes everything jus"&amp;"t fine (it also depends on the water and the quality of the powder) And there are enough advantages for the money!   We took it from Mvideo without any promotions for normal money. about half a year ago.. P.S. People, why did you take her - since you say "&amp;"that she is “not very good” - you are just trying to find fault with anything!! Look at cars for 30,000 rubles - there are no shortcomings!!! And this machine earns its money!!!")</f>
        <v>I completely disagree with the previous person’s opinion!   -It stands normally even without rubber feet.  -if you need to spin for more than 1 minute, then just put it on the spin cycle after washing and it spins for 8 minutes)) -it washes everything just fine (it also depends on the water and the quality of the powder) And there are enough advantages for the money!   We took it from Mvideo without any promotions for normal money. about half a year ago.. P.S. People, why did you take her - since you say that she is “not very good” - you are just trying to find fault with anything!! Look at cars for 30,000 rubles - there are no shortcomings!!! And this machine earns its money!!!</v>
      </c>
    </row>
    <row r="8585" spans="1:9" x14ac:dyDescent="0.3">
      <c r="A8585" s="1" t="s">
        <v>149</v>
      </c>
      <c r="B8585" s="1" t="s">
        <v>576</v>
      </c>
      <c r="C8585" s="1" t="s">
        <v>159</v>
      </c>
      <c r="D8585" s="1" t="s">
        <v>596</v>
      </c>
      <c r="E8585" s="1" t="s">
        <v>5517</v>
      </c>
      <c r="F8585" s="1" t="s">
        <v>12876</v>
      </c>
      <c r="G8585" s="1" t="s">
        <v>36</v>
      </c>
      <c r="H8585" s="1" t="s">
        <v>29</v>
      </c>
      <c r="I8585" s="1" t="str">
        <f ca="1">IFERROR(__xludf.DUMMYFUNCTION("GOOGLETRANSLATE(F8585, ""auto"", ""en"")
"),"I’ve been using it for the second week, I was choosing between a cyclone vacuum cleaner and a vacuum cleaner with a dust collector, in the end I settled on this model and was not mistaken. Very quiet, lightweight vacuum cleaner. Cleaning is a pleasure for"&amp;" them. The power is also high, the handle is conveniently adjustable, and of course the long cord.")</f>
        <v>I’ve been using it for the second week, I was choosing between a cyclone vacuum cleaner and a vacuum cleaner with a dust collector, in the end I settled on this model and was not mistaken. Very quiet, lightweight vacuum cleaner. Cleaning is a pleasure for them. The power is also high, the handle is conveniently adjustable, and of course the long cord.</v>
      </c>
    </row>
    <row r="8586" spans="1:9" x14ac:dyDescent="0.3">
      <c r="A8586" s="1" t="s">
        <v>211</v>
      </c>
      <c r="B8586" s="1" t="s">
        <v>212</v>
      </c>
      <c r="C8586" s="1" t="s">
        <v>381</v>
      </c>
      <c r="D8586" s="1" t="s">
        <v>247</v>
      </c>
      <c r="E8586" s="1" t="s">
        <v>8624</v>
      </c>
      <c r="F8586" s="1" t="s">
        <v>12877</v>
      </c>
      <c r="G8586" s="1" t="s">
        <v>15</v>
      </c>
      <c r="H8586" s="1" t="s">
        <v>16</v>
      </c>
      <c r="I8586" s="1" t="str">
        <f ca="1">IFERROR(__xludf.DUMMYFUNCTION("GOOGLETRANSLATE(F8586, ""auto"", ""en"")
"),"Good price, powerful, lightweight, but the location of the air blowing and heating speed switches is inconvenient; when you grab the handle, you touch them, but you can get used to it. After 4 months the air heating broke down.")</f>
        <v>Good price, powerful, lightweight, but the location of the air blowing and heating speed switches is inconvenient; when you grab the handle, you touch them, but you can get used to it. After 4 months the air heating broke down.</v>
      </c>
    </row>
    <row r="8587" spans="1:9" x14ac:dyDescent="0.3">
      <c r="A8587" s="1" t="s">
        <v>120</v>
      </c>
      <c r="B8587" s="1" t="s">
        <v>834</v>
      </c>
      <c r="C8587" s="1" t="s">
        <v>151</v>
      </c>
      <c r="D8587" s="1" t="s">
        <v>12878</v>
      </c>
      <c r="E8587" s="1" t="s">
        <v>585</v>
      </c>
      <c r="F8587" s="1" t="s">
        <v>12879</v>
      </c>
      <c r="G8587" s="1" t="s">
        <v>49</v>
      </c>
      <c r="H8587" s="1" t="s">
        <v>16</v>
      </c>
      <c r="I8587" s="1" t="str">
        <f ca="1">IFERROR(__xludf.DUMMYFUNCTION("GOOGLETRANSLATE(F8587, ""auto"", ""en"")
"),"Exploded a week after purchase. The apartment was barely saved from the fire. Now the neighbors have to do repairs because of leaks.")</f>
        <v>Exploded a week after purchase. The apartment was barely saved from the fire. Now the neighbors have to do repairs because of leaks.</v>
      </c>
    </row>
    <row r="8588" spans="1:9" x14ac:dyDescent="0.3">
      <c r="A8588" s="1" t="s">
        <v>120</v>
      </c>
      <c r="B8588" s="1" t="s">
        <v>126</v>
      </c>
      <c r="C8588" s="1" t="s">
        <v>151</v>
      </c>
      <c r="D8588" s="1" t="s">
        <v>352</v>
      </c>
      <c r="E8588" s="1" t="s">
        <v>1852</v>
      </c>
      <c r="F8588" s="1" t="s">
        <v>12880</v>
      </c>
      <c r="G8588" s="1" t="s">
        <v>36</v>
      </c>
      <c r="H8588" s="1" t="s">
        <v>29</v>
      </c>
      <c r="I8588" s="1" t="str">
        <f ca="1">IFERROR(__xludf.DUMMYFUNCTION("GOOGLETRANSLATE(F8588, ""auto"", ""en"")
"),"I bought it recently, so far it’s just super, in my opinion it has everything you need: the sound is good, you can view everything via USB, for such little money it’s just great.")</f>
        <v>I bought it recently, so far it’s just super, in my opinion it has everything you need: the sound is good, you can view everything via USB, for such little money it’s just great.</v>
      </c>
    </row>
    <row r="8589" spans="1:9" x14ac:dyDescent="0.3">
      <c r="A8589" s="1" t="s">
        <v>67</v>
      </c>
      <c r="B8589" s="1" t="s">
        <v>340</v>
      </c>
      <c r="C8589" s="1" t="s">
        <v>341</v>
      </c>
      <c r="D8589" s="1" t="s">
        <v>378</v>
      </c>
      <c r="E8589" s="1" t="s">
        <v>2226</v>
      </c>
      <c r="F8589" s="1" t="s">
        <v>12881</v>
      </c>
      <c r="G8589" s="1" t="s">
        <v>36</v>
      </c>
      <c r="H8589" s="1" t="s">
        <v>29</v>
      </c>
      <c r="I8589" s="1" t="str">
        <f ca="1">IFERROR(__xludf.DUMMYFUNCTION("GOOGLETRANSLATE(F8589, ""auto"", ""en"")
"),"Tell me: Can this machine sew knitted items?    ▶▶▶EXPERT ANSWER “M.VIDEO”◀◀◀ Yes, it can. Needle size 16 is used")</f>
        <v>Tell me: Can this machine sew knitted items?    ▶▶▶EXPERT ANSWER “M.VIDEO”◀◀◀ Yes, it can. Needle size 16 is used</v>
      </c>
    </row>
    <row r="8590" spans="1:9" x14ac:dyDescent="0.3">
      <c r="A8590" s="1" t="s">
        <v>120</v>
      </c>
      <c r="B8590" s="1" t="s">
        <v>126</v>
      </c>
      <c r="C8590" s="1" t="s">
        <v>122</v>
      </c>
      <c r="D8590" s="1" t="s">
        <v>232</v>
      </c>
      <c r="E8590" s="1" t="s">
        <v>1228</v>
      </c>
      <c r="F8590" s="1" t="s">
        <v>12882</v>
      </c>
      <c r="G8590" s="1" t="s">
        <v>36</v>
      </c>
      <c r="H8590" s="1" t="s">
        <v>29</v>
      </c>
      <c r="I8590" s="1" t="str">
        <f ca="1">IFERROR(__xludf.DUMMYFUNCTION("GOOGLETRANSLATE(F8590, ""auto"", ""en"")
"),"At first I wanted to buy a 32” Philips LCD, but I decided to look at a larger diagonal, I came across it, bought it, and I don’t regret it!  An excellent TV for the money, I connect it to the computer and watch movies on the big screen with good quality +"&amp;" 2.1 speakers provide good sound (the speakers were previously purchased).")</f>
        <v>At first I wanted to buy a 32” Philips LCD, but I decided to look at a larger diagonal, I came across it, bought it, and I don’t regret it!  An excellent TV for the money, I connect it to the computer and watch movies on the big screen with good quality + 2.1 speakers provide good sound (the speakers were previously purchased).</v>
      </c>
    </row>
    <row r="8591" spans="1:9" x14ac:dyDescent="0.3">
      <c r="A8591" s="1" t="s">
        <v>206</v>
      </c>
      <c r="B8591" s="1" t="s">
        <v>1349</v>
      </c>
      <c r="C8591" s="1" t="s">
        <v>262</v>
      </c>
      <c r="D8591" s="1" t="s">
        <v>52</v>
      </c>
      <c r="E8591" s="1" t="s">
        <v>2484</v>
      </c>
      <c r="F8591" s="1" t="s">
        <v>12883</v>
      </c>
      <c r="G8591" s="1" t="s">
        <v>36</v>
      </c>
      <c r="H8591" s="1" t="s">
        <v>29</v>
      </c>
      <c r="I8591" s="1" t="str">
        <f ca="1">IFERROR(__xludf.DUMMYFUNCTION("GOOGLETRANSLATE(F8591, ""auto"", ""en"")
"),"There is no navigation in the DVS-1450T and there never was and there is no way to activate it. Do not try to activate something in the device that is not there.  Otherwise I use it and am very pleased.")</f>
        <v>There is no navigation in the DVS-1450T and there never was and there is no way to activate it. Do not try to activate something in the device that is not there.  Otherwise I use it and am very pleased.</v>
      </c>
    </row>
    <row r="8592" spans="1:9" x14ac:dyDescent="0.3">
      <c r="A8592" s="1" t="s">
        <v>61</v>
      </c>
      <c r="B8592" s="1" t="s">
        <v>224</v>
      </c>
      <c r="C8592" s="1" t="s">
        <v>74</v>
      </c>
      <c r="D8592" s="1" t="s">
        <v>2336</v>
      </c>
      <c r="E8592" s="1" t="s">
        <v>2640</v>
      </c>
      <c r="F8592" s="1" t="s">
        <v>12884</v>
      </c>
      <c r="G8592" s="1" t="s">
        <v>15</v>
      </c>
      <c r="H8592" s="1" t="s">
        <v>16</v>
      </c>
      <c r="I8592" s="1" t="str">
        <f ca="1">IFERROR(__xludf.DUMMYFUNCTION("GOOGLETRANSLATE(F8592, ""auto"", ""en"")
"),"When loading vegetables and fruits, the juicer makes the sound of a small explosion and throws everything up. Fortunately, she soon choked while trying to grind horseradish (the Soviet one can still cope :) and it seems she died, now I’ll finally buy Bork"&amp;" :)")</f>
        <v>When loading vegetables and fruits, the juicer makes the sound of a small explosion and throws everything up. Fortunately, she soon choked while trying to grind horseradish (the Soviet one can still cope :) and it seems she died, now I’ll finally buy Bork :)</v>
      </c>
    </row>
    <row r="8593" spans="1:9" x14ac:dyDescent="0.3">
      <c r="A8593" s="1" t="s">
        <v>30</v>
      </c>
      <c r="B8593" s="1" t="s">
        <v>50</v>
      </c>
      <c r="C8593" s="1" t="s">
        <v>151</v>
      </c>
      <c r="D8593" s="1" t="s">
        <v>589</v>
      </c>
      <c r="E8593" s="1" t="s">
        <v>631</v>
      </c>
      <c r="F8593" s="1" t="s">
        <v>12885</v>
      </c>
      <c r="G8593" s="1" t="s">
        <v>36</v>
      </c>
      <c r="H8593" s="1" t="s">
        <v>29</v>
      </c>
      <c r="I8593" s="1" t="str">
        <f ca="1">IFERROR(__xludf.DUMMYFUNCTION("GOOGLETRANSLATE(F8593, ""auto"", ""en"")
"),"For a long time I was choosing a laptop that would be suitable for both work (I mean office applications) and entertainment (I don’t know about games, I mean movies, music, etc.). I bought it 2 weeks ago. I'm very pleased. Lightweight, doesn’t get too hot"&amp;" (on the table you don’t feel it at all), quiet, doesn’t make noise (this was a very important indicator for me), fast. So far I can’t get enough of it. A laptop in which all parameters are well balanced. That's for sure.")</f>
        <v>For a long time I was choosing a laptop that would be suitable for both work (I mean office applications) and entertainment (I don’t know about games, I mean movies, music, etc.). I bought it 2 weeks ago. I'm very pleased. Lightweight, doesn’t get too hot (on the table you don’t feel it at all), quiet, doesn’t make noise (this was a very important indicator for me), fast. So far I can’t get enough of it. A laptop in which all parameters are well balanced. That's for sure.</v>
      </c>
    </row>
    <row r="8594" spans="1:9" x14ac:dyDescent="0.3">
      <c r="A8594" s="1" t="s">
        <v>477</v>
      </c>
      <c r="B8594" s="1" t="s">
        <v>478</v>
      </c>
      <c r="C8594" s="1" t="s">
        <v>479</v>
      </c>
      <c r="D8594" s="1" t="s">
        <v>280</v>
      </c>
      <c r="E8594" s="1" t="s">
        <v>3494</v>
      </c>
      <c r="F8594" s="1" t="s">
        <v>12886</v>
      </c>
      <c r="G8594" s="1" t="s">
        <v>28</v>
      </c>
      <c r="H8594" s="1" t="s">
        <v>29</v>
      </c>
      <c r="I8594" s="1" t="str">
        <f ca="1">IFERROR(__xludf.DUMMYFUNCTION("GOOGLETRANSLATE(F8594, ""auto"", ""en"")
"),"Having bought this disc and completed GTA4, I was disappointed with the plot, and when I started playing through the episodes, it seemed that they had nothing to do with GTA. BUT, after playing around a bit, we found the combination of plots! From the epi"&amp;"sodes, many things that happened in GTA4 became clear. I really liked the game!  So you need to go through GTA4 along with the episodes, only then will it be complete.  I played on Win7-32, during installation you need to note compatibility with XP, and a"&amp;"fter installation, download and install the update from the games1c website (for example). Updating via GamesForWindowsLive is useless.")</f>
        <v>Having bought this disc and completed GTA4, I was disappointed with the plot, and when I started playing through the episodes, it seemed that they had nothing to do with GTA. BUT, after playing around a bit, we found the combination of plots! From the episodes, many things that happened in GTA4 became clear. I really liked the game!  So you need to go through GTA4 along with the episodes, only then will it be complete.  I played on Win7-32, during installation you need to note compatibility with XP, and after installation, download and install the update from the games1c website (for example). Updating via GamesForWindowsLive is useless.</v>
      </c>
    </row>
    <row r="8595" spans="1:9" x14ac:dyDescent="0.3">
      <c r="A8595" s="1" t="s">
        <v>206</v>
      </c>
      <c r="B8595" s="1" t="s">
        <v>1253</v>
      </c>
      <c r="C8595" s="1" t="s">
        <v>4464</v>
      </c>
      <c r="D8595" s="1" t="s">
        <v>12887</v>
      </c>
      <c r="E8595" s="1" t="s">
        <v>1298</v>
      </c>
      <c r="F8595" s="1" t="s">
        <v>12888</v>
      </c>
      <c r="G8595" s="1" t="s">
        <v>36</v>
      </c>
      <c r="H8595" s="1" t="s">
        <v>29</v>
      </c>
      <c r="I8595" s="1" t="str">
        <f ca="1">IFERROR(__xludf.DUMMYFUNCTION("GOOGLETRANSLATE(F8595, ""auto"", ""en"")
"),"Excellent devices! The power is about 0.5 W, a connection of 8 points was provided on the line of sight of Novorossiysk-Kabardinka across the bay. I measured the distance between specific points using Yandex maps or Google maps and it turned out to be 11 "&amp;"km. One significant disadvantage is that there is no automatic shutdown of battery charging. You need to control the charge manually. If the need for these stations is occasional, then this is it, but if it is constant, they are completely unsuitable for "&amp;"the reason stated above. I gave it the highest rating because I am completely satisfied with them. In professional use - no higher than 3 points or replacing the charger, then there will be 5 points.")</f>
        <v>Excellent devices! The power is about 0.5 W, a connection of 8 points was provided on the line of sight of Novorossiysk-Kabardinka across the bay. I measured the distance between specific points using Yandex maps or Google maps and it turned out to be 11 km. One significant disadvantage is that there is no automatic shutdown of battery charging. You need to control the charge manually. If the need for these stations is occasional, then this is it, but if it is constant, they are completely unsuitable for the reason stated above. I gave it the highest rating because I am completely satisfied with them. In professional use - no higher than 3 points or replacing the charger, then there will be 5 points.</v>
      </c>
    </row>
    <row r="8596" spans="1:9" x14ac:dyDescent="0.3">
      <c r="A8596" s="1" t="s">
        <v>519</v>
      </c>
      <c r="B8596" s="1" t="s">
        <v>520</v>
      </c>
      <c r="C8596" s="1" t="s">
        <v>2143</v>
      </c>
      <c r="D8596" s="1" t="s">
        <v>280</v>
      </c>
      <c r="E8596" s="1" t="s">
        <v>386</v>
      </c>
      <c r="F8596" s="1" t="s">
        <v>12889</v>
      </c>
      <c r="G8596" s="1" t="s">
        <v>49</v>
      </c>
      <c r="H8596" s="1" t="s">
        <v>16</v>
      </c>
      <c r="I8596" s="1" t="str">
        <f ca="1">IFERROR(__xludf.DUMMYFUNCTION("GOOGLETRANSLATE(F8596, ""auto"", ""en"")
"),"I bought this set a year ago for 10,500 and I was disappointed that I paid so much money for the dishes. Everything burns on this dish and it is very difficult to wash it.")</f>
        <v>I bought this set a year ago for 10,500 and I was disappointed that I paid so much money for the dishes. Everything burns on this dish and it is very difficult to wash it.</v>
      </c>
    </row>
    <row r="8597" spans="1:9" x14ac:dyDescent="0.3">
      <c r="A8597" s="1" t="s">
        <v>120</v>
      </c>
      <c r="B8597" s="1" t="s">
        <v>121</v>
      </c>
      <c r="C8597" s="1" t="s">
        <v>80</v>
      </c>
      <c r="D8597" s="1" t="s">
        <v>12890</v>
      </c>
      <c r="E8597" s="1" t="s">
        <v>960</v>
      </c>
      <c r="F8597" s="1" t="s">
        <v>12891</v>
      </c>
      <c r="G8597" s="1" t="s">
        <v>36</v>
      </c>
      <c r="H8597" s="1" t="s">
        <v>29</v>
      </c>
      <c r="I8597" s="1" t="str">
        <f ca="1">IFERROR(__xludf.DUMMYFUNCTION("GOOGLETRANSLATE(F8597, ""auto"", ""en"")
"),"I’ve been enjoying the quality for the money for three weeks now... I didn’t dare to reflash, I unlocked the USB using IR diodes and speakers from my computer (thanks for the tips). I connect an external hard drive - the HD quality is super! The DVD was p"&amp;"ut in the box. Cable shows excellent. Overall I was VERY pleased!!! The only thing I didn’t understand was how to turn on the subwoofer on the TV (or maybe it’s not necessary). Firmware 3.65.")</f>
        <v>I’ve been enjoying the quality for the money for three weeks now... I didn’t dare to reflash, I unlocked the USB using IR diodes and speakers from my computer (thanks for the tips). I connect an external hard drive - the HD quality is super! The DVD was put in the box. Cable shows excellent. Overall I was VERY pleased!!! The only thing I didn’t understand was how to turn on the subwoofer on the TV (or maybe it’s not necessary). Firmware 3.65.</v>
      </c>
    </row>
    <row r="8598" spans="1:9" x14ac:dyDescent="0.3">
      <c r="A8598" s="1" t="s">
        <v>37</v>
      </c>
      <c r="B8598" s="1" t="s">
        <v>38</v>
      </c>
      <c r="C8598" s="1" t="s">
        <v>69</v>
      </c>
      <c r="D8598" s="1" t="s">
        <v>305</v>
      </c>
      <c r="E8598" s="1" t="s">
        <v>1384</v>
      </c>
      <c r="F8598" s="1" t="s">
        <v>12892</v>
      </c>
      <c r="G8598" s="1" t="s">
        <v>36</v>
      </c>
      <c r="H8598" s="1" t="s">
        <v>29</v>
      </c>
      <c r="I8598" s="1" t="str">
        <f ca="1">IFERROR(__xludf.DUMMYFUNCTION("GOOGLETRANSLATE(F8598, ""auto"", ""en"")
"),"Advantages: Female model. Bought for my wife, she is very pleased. I really like the presence of an external display that shows the time and incoming call.  The battery lasts for 6-7 days of very active calls. Of other functions, he uses a little SMS and "&amp;"an alarm clock every day. He does not use other functions.    Yes, in order for the battery to work to its full charge, completely discharge it after purchase. Then turn off and charge strictly in the off state for 3 hours. And so every time. When the bat"&amp;"tery runs out, charge only when it is turned off.    Disadvantages: A little larger than the PHILIPS 9@9Q CHIK RED model. And a little slippery (you need to hold it more firmly in your hands) Comments: An excellent women's phone.")</f>
        <v>Advantages: Female model. Bought for my wife, she is very pleased. I really like the presence of an external display that shows the time and incoming call.  The battery lasts for 6-7 days of very active calls. Of other functions, he uses a little SMS and an alarm clock every day. He does not use other functions.    Yes, in order for the battery to work to its full charge, completely discharge it after purchase. Then turn off and charge strictly in the off state for 3 hours. And so every time. When the battery runs out, charge only when it is turned off.    Disadvantages: A little larger than the PHILIPS 9@9Q CHIK RED model. And a little slippery (you need to hold it more firmly in your hands) Comments: An excellent women's phone.</v>
      </c>
    </row>
    <row r="8599" spans="1:9" x14ac:dyDescent="0.3">
      <c r="A8599" s="1" t="s">
        <v>211</v>
      </c>
      <c r="B8599" s="1" t="s">
        <v>212</v>
      </c>
      <c r="C8599" s="1" t="s">
        <v>294</v>
      </c>
      <c r="D8599" s="1" t="s">
        <v>682</v>
      </c>
      <c r="E8599" s="1" t="s">
        <v>1553</v>
      </c>
      <c r="F8599" s="1" t="s">
        <v>12893</v>
      </c>
      <c r="G8599" s="1" t="s">
        <v>36</v>
      </c>
      <c r="H8599" s="1" t="s">
        <v>29</v>
      </c>
      <c r="I8599" s="1" t="str">
        <f ca="1">IFERROR(__xludf.DUMMYFUNCTION("GOOGLETRANSLATE(F8599, ""auto"", ""en"")
"),"Gifted to my beloved, very pleased, I straighten my bangs, perfectly straight, lasts all day, adds shine!! I recommend")</f>
        <v>Gifted to my beloved, very pleased, I straighten my bangs, perfectly straight, lasts all day, adds shine!! I recommend</v>
      </c>
    </row>
    <row r="8600" spans="1:9" x14ac:dyDescent="0.3">
      <c r="A8600" s="1" t="s">
        <v>369</v>
      </c>
      <c r="B8600" s="1" t="s">
        <v>587</v>
      </c>
      <c r="C8600" s="1" t="s">
        <v>588</v>
      </c>
      <c r="D8600" s="1" t="s">
        <v>2336</v>
      </c>
      <c r="E8600" s="1" t="s">
        <v>12894</v>
      </c>
      <c r="F8600" s="1" t="s">
        <v>12895</v>
      </c>
      <c r="G8600" s="1" t="s">
        <v>49</v>
      </c>
      <c r="H8600" s="1" t="s">
        <v>16</v>
      </c>
      <c r="I8600" s="1" t="str">
        <f ca="1">IFERROR(__xludf.DUMMYFUNCTION("GOOGLETRANSLATE(F8600, ""auto"", ""en"")
"),"My reviews about this stove are 1 and 2, so it seems like it’s not a bad stove, but it only worked for 4 years, we bought it in June 2011, today it’s September 2015 - we threw it away. One burner broke, the second one also began to act up. So in Mosgaz th"&amp;"ey said that they don’t fix it, you need to call a service department at home and the repair will cost half the cost of a new stove. Therefore, I bought a new one, the master from Mosgaz came and was very surprised that this stove was Hans, he said that m"&amp;"ost likely Greta")</f>
        <v>My reviews about this stove are 1 and 2, so it seems like it’s not a bad stove, but it only worked for 4 years, we bought it in June 2011, today it’s September 2015 - we threw it away. One burner broke, the second one also began to act up. So in Mosgaz they said that they don’t fix it, you need to call a service department at home and the repair will cost half the cost of a new stove. Therefore, I bought a new one, the master from Mosgaz came and was very surprised that this stove was Hans, he said that most likely Greta</v>
      </c>
    </row>
    <row r="8601" spans="1:9" x14ac:dyDescent="0.3">
      <c r="A8601" s="1" t="s">
        <v>211</v>
      </c>
      <c r="B8601" s="1" t="s">
        <v>515</v>
      </c>
      <c r="C8601" s="1" t="s">
        <v>213</v>
      </c>
      <c r="D8601" s="1" t="s">
        <v>64</v>
      </c>
      <c r="E8601" s="1" t="s">
        <v>543</v>
      </c>
      <c r="F8601" s="1" t="s">
        <v>12896</v>
      </c>
      <c r="G8601" s="1" t="s">
        <v>28</v>
      </c>
      <c r="H8601" s="1" t="s">
        <v>29</v>
      </c>
      <c r="I8601" s="1" t="str">
        <f ca="1">IFERROR(__xludf.DUMMYFUNCTION("GOOGLETRANSLATE(F8601, ""auto"", ""en"")
"),"It worked for about 2 years without any complaints, but now it has started buzzing loudly and chewing hairs. It will probably break soon. In normal working condition it does its job perfectly.")</f>
        <v>It worked for about 2 years without any complaints, but now it has started buzzing loudly and chewing hairs. It will probably break soon. In normal working condition it does its job perfectly.</v>
      </c>
    </row>
    <row r="8602" spans="1:9" x14ac:dyDescent="0.3">
      <c r="A8602" s="1" t="s">
        <v>78</v>
      </c>
      <c r="B8602" s="1" t="s">
        <v>79</v>
      </c>
      <c r="C8602" s="1" t="s">
        <v>351</v>
      </c>
      <c r="D8602" s="1" t="s">
        <v>12897</v>
      </c>
      <c r="E8602" s="1" t="s">
        <v>11399</v>
      </c>
      <c r="F8602" s="1" t="s">
        <v>12898</v>
      </c>
      <c r="G8602" s="1" t="s">
        <v>49</v>
      </c>
      <c r="H8602" s="1" t="s">
        <v>16</v>
      </c>
      <c r="I8602" s="1" t="str">
        <f ca="1">IFERROR(__xludf.DUMMYFUNCTION("GOOGLETRANSLATE(F8602, ""auto"", ""en"")
"),"We bought this microwave today, when we turned it on at home, it turned out that it did not heat food at all. I'll have to drag it to the store again.&amp;nbsp;")</f>
        <v>We bought this microwave today, when we turned it on at home, it turned out that it did not heat food at all. I'll have to drag it to the store again.&amp;nbsp;</v>
      </c>
    </row>
    <row r="8603" spans="1:9" x14ac:dyDescent="0.3">
      <c r="A8603" s="1" t="s">
        <v>211</v>
      </c>
      <c r="B8603" s="1" t="s">
        <v>212</v>
      </c>
      <c r="C8603" s="1" t="s">
        <v>57</v>
      </c>
      <c r="D8603" s="1" t="s">
        <v>3273</v>
      </c>
      <c r="E8603" s="1" t="s">
        <v>4010</v>
      </c>
      <c r="F8603" s="1" t="s">
        <v>12899</v>
      </c>
      <c r="G8603" s="1" t="s">
        <v>36</v>
      </c>
      <c r="H8603" s="1" t="s">
        <v>29</v>
      </c>
      <c r="I8603" s="1" t="str">
        <f ca="1">IFERROR(__xludf.DUMMYFUNCTION("GOOGLETRANSLATE(F8603, ""auto"", ""en"")
"),"I don’t use curling irons often (my hair is very thin, so my hairdresser doesn’t recommend using them regularly). But the most beautiful hairstyles are still obtained only with them. I tried different hair dryers with attachments - still not the same effe"&amp;"ct. I chose these tongs due to their low price and ceramic coating. Someone wrote in the reviews that the surface does not heat up much - people, be glad that this is happening (especially since here the heating temperature can be adjusted). When I looked"&amp;" at the result, I realized that I would use them almost every day. The other day I came to my hairdresser - she didn’t believe that I constantly use curling irons, because my hair was absolutely not dried or damaged. Therefore, I strongly recommend it! Es"&amp;"pecially for those who have problem hair.")</f>
        <v>I don’t use curling irons often (my hair is very thin, so my hairdresser doesn’t recommend using them regularly). But the most beautiful hairstyles are still obtained only with them. I tried different hair dryers with attachments - still not the same effect. I chose these tongs due to their low price and ceramic coating. Someone wrote in the reviews that the surface does not heat up much - people, be glad that this is happening (especially since here the heating temperature can be adjusted). When I looked at the result, I realized that I would use them almost every day. The other day I came to my hairdresser - she didn’t believe that I constantly use curling irons, because my hair was absolutely not dried or damaged. Therefore, I strongly recommend it! Especially for those who have problem hair.</v>
      </c>
    </row>
    <row r="8604" spans="1:9" x14ac:dyDescent="0.3">
      <c r="A8604" s="1" t="s">
        <v>37</v>
      </c>
      <c r="B8604" s="1" t="s">
        <v>536</v>
      </c>
      <c r="C8604" s="1" t="s">
        <v>32</v>
      </c>
      <c r="D8604" s="1" t="s">
        <v>12900</v>
      </c>
      <c r="E8604" s="1" t="s">
        <v>3676</v>
      </c>
      <c r="F8604" s="1" t="s">
        <v>12901</v>
      </c>
      <c r="G8604" s="1" t="s">
        <v>28</v>
      </c>
      <c r="H8604" s="1" t="s">
        <v>29</v>
      </c>
      <c r="I8604" s="1" t="str">
        <f ca="1">IFERROR(__xludf.DUMMYFUNCTION("GOOGLETRANSLATE(F8604, ""auto"", ""en"")
"),"the beast rules, I bought it, I'm glad, but the camera sucks, that's a fact")</f>
        <v>the beast rules, I bought it, I'm glad, but the camera sucks, that's a fact</v>
      </c>
    </row>
    <row r="8605" spans="1:9" x14ac:dyDescent="0.3">
      <c r="A8605" s="1" t="s">
        <v>61</v>
      </c>
      <c r="B8605" s="1" t="s">
        <v>145</v>
      </c>
      <c r="C8605" s="1" t="s">
        <v>85</v>
      </c>
      <c r="D8605" s="1" t="s">
        <v>411</v>
      </c>
      <c r="E8605" s="1" t="s">
        <v>3123</v>
      </c>
      <c r="F8605" s="1" t="s">
        <v>12902</v>
      </c>
      <c r="G8605" s="1" t="s">
        <v>36</v>
      </c>
      <c r="H8605" s="1" t="s">
        <v>29</v>
      </c>
      <c r="I8605" s="1" t="str">
        <f ca="1">IFERROR(__xludf.DUMMYFUNCTION("GOOGLETRANSLATE(F8605, ""auto"", ""en"")
"),"I bought a steamer half a year ago. The design suited us, and since then we have been using it every day. Trouble-free steamer. It cooks quickly and uses minimal energy. Very pleased. I recommend it to everyone!")</f>
        <v>I bought a steamer half a year ago. The design suited us, and since then we have been using it every day. Trouble-free steamer. It cooks quickly and uses minimal energy. Very pleased. I recommend it to everyone!</v>
      </c>
    </row>
    <row r="8606" spans="1:9" x14ac:dyDescent="0.3">
      <c r="A8606" s="1" t="s">
        <v>120</v>
      </c>
      <c r="B8606" s="1" t="s">
        <v>121</v>
      </c>
      <c r="C8606" s="1" t="s">
        <v>80</v>
      </c>
      <c r="D8606" s="1" t="s">
        <v>52</v>
      </c>
      <c r="E8606" s="1" t="s">
        <v>1129</v>
      </c>
      <c r="F8606" s="1" t="s">
        <v>12903</v>
      </c>
      <c r="G8606" s="1" t="s">
        <v>36</v>
      </c>
      <c r="H8606" s="1" t="s">
        <v>29</v>
      </c>
      <c r="I8606" s="1" t="str">
        <f ca="1">IFERROR(__xludf.DUMMYFUNCTION("GOOGLETRANSLATE(F8606, ""auto"", ""en"")
"),"Very pleased. Broadcasts well. Probably because it’s not full HD, but HD radii. Reads everything from the flash drive. The picture is completely satisfactory.")</f>
        <v>Very pleased. Broadcasts well. Probably because it’s not full HD, but HD radii. Reads everything from the flash drive. The picture is completely satisfactory.</v>
      </c>
    </row>
    <row r="8607" spans="1:9" x14ac:dyDescent="0.3">
      <c r="A8607" s="1" t="s">
        <v>61</v>
      </c>
      <c r="B8607" s="1" t="s">
        <v>977</v>
      </c>
      <c r="C8607" s="1" t="s">
        <v>85</v>
      </c>
      <c r="D8607" s="1" t="s">
        <v>12904</v>
      </c>
      <c r="E8607" s="1" t="s">
        <v>5452</v>
      </c>
      <c r="F8607" s="1" t="s">
        <v>12905</v>
      </c>
      <c r="G8607" s="1" t="s">
        <v>49</v>
      </c>
      <c r="H8607" s="1" t="s">
        <v>16</v>
      </c>
      <c r="I8607" s="1" t="str">
        <f ca="1">IFERROR(__xludf.DUMMYFUNCTION("GOOGLETRANSLATE(F8607, ""auto"", ""en"")
"),"The bowl bearing quickly failed. Changes entirely with the bowl.  I don't recommend it.")</f>
        <v>The bowl bearing quickly failed. Changes entirely with the bowl.  I don't recommend it.</v>
      </c>
    </row>
    <row r="8608" spans="1:9" x14ac:dyDescent="0.3">
      <c r="A8608" s="1" t="s">
        <v>211</v>
      </c>
      <c r="B8608" s="1" t="s">
        <v>899</v>
      </c>
      <c r="C8608" s="1" t="s">
        <v>69</v>
      </c>
      <c r="D8608" s="1" t="s">
        <v>81</v>
      </c>
      <c r="E8608" s="1" t="s">
        <v>1669</v>
      </c>
      <c r="F8608" s="1" t="s">
        <v>12906</v>
      </c>
      <c r="G8608" s="1" t="s">
        <v>28</v>
      </c>
      <c r="H8608" s="1" t="s">
        <v>29</v>
      </c>
      <c r="I8608" s="1" t="str">
        <f ca="1">IFERROR(__xludf.DUMMYFUNCTION("GOOGLETRANSLATE(F8608, ""auto"", ""en"")
"),"The whole family has been using it for 3 weeks. The effect is amazing. Teeth, gums - everything. I give it a 4 only for the volume of operation.")</f>
        <v>The whole family has been using it for 3 weeks. The effect is amazing. Teeth, gums - everything. I give it a 4 only for the volume of operation.</v>
      </c>
    </row>
    <row r="8609" spans="1:9" x14ac:dyDescent="0.3">
      <c r="A8609" s="1" t="s">
        <v>120</v>
      </c>
      <c r="B8609" s="1" t="s">
        <v>1205</v>
      </c>
      <c r="C8609" s="1" t="s">
        <v>1430</v>
      </c>
      <c r="D8609" s="1" t="s">
        <v>12907</v>
      </c>
      <c r="E8609" s="1" t="s">
        <v>12908</v>
      </c>
      <c r="F8609" s="1" t="s">
        <v>12909</v>
      </c>
      <c r="G8609" s="1" t="s">
        <v>49</v>
      </c>
      <c r="H8609" s="1" t="s">
        <v>16</v>
      </c>
      <c r="I8609" s="1" t="str">
        <f ca="1">IFERROR(__xludf.DUMMYFUNCTION("GOOGLETRANSLATE(F8609, ""auto"", ""en"")
"),"I don’t recommend it, the signal often disappears, and technical support on the NTV+ website forum cannot answer properly. Very expensive, and the channels do not match the money.")</f>
        <v>I don’t recommend it, the signal often disappears, and technical support on the NTV+ website forum cannot answer properly. Very expensive, and the channels do not match the money.</v>
      </c>
    </row>
    <row r="8610" spans="1:9" x14ac:dyDescent="0.3">
      <c r="A8610" s="1" t="s">
        <v>37</v>
      </c>
      <c r="B8610" s="1" t="s">
        <v>536</v>
      </c>
      <c r="C8610" s="1" t="s">
        <v>163</v>
      </c>
      <c r="D8610" s="1" t="s">
        <v>2145</v>
      </c>
      <c r="E8610" s="1" t="s">
        <v>1510</v>
      </c>
      <c r="F8610" s="1" t="s">
        <v>12910</v>
      </c>
      <c r="G8610" s="1" t="s">
        <v>28</v>
      </c>
      <c r="H8610" s="1" t="s">
        <v>29</v>
      </c>
      <c r="I8610" s="1" t="str">
        <f ca="1">IFERROR(__xludf.DUMMYFUNCTION("GOOGLETRANSLATE(F8610, ""auto"", ""en"")
"),"The phone is excellent: decent camera, home/business mode, good battery, sensors!!! In general, the set of applications is quite large. The OVI store offers a bunch of handy free gadgets. For example, installed Opera Mobile, Skype, etc. Navigation is now "&amp;"free. The E-series as a whole is very decent, 11,000 is a great price.   As you use/get to know it, only positive emotions.  I used Nokia E50, N78, HTC Touch Diamond 2. E52 is more worthy.")</f>
        <v>The phone is excellent: decent camera, home/business mode, good battery, sensors!!! In general, the set of applications is quite large. The OVI store offers a bunch of handy free gadgets. For example, installed Opera Mobile, Skype, etc. Navigation is now free. The E-series as a whole is very decent, 11,000 is a great price.   As you use/get to know it, only positive emotions.  I used Nokia E50, N78, HTC Touch Diamond 2. E52 is more worthy.</v>
      </c>
    </row>
    <row r="8611" spans="1:9" x14ac:dyDescent="0.3">
      <c r="A8611" s="1" t="s">
        <v>37</v>
      </c>
      <c r="B8611" s="1" t="s">
        <v>38</v>
      </c>
      <c r="C8611" s="1" t="s">
        <v>151</v>
      </c>
      <c r="D8611" s="1" t="s">
        <v>385</v>
      </c>
      <c r="E8611" s="1" t="s">
        <v>4818</v>
      </c>
      <c r="F8611" s="1" t="s">
        <v>12911</v>
      </c>
      <c r="G8611" s="1" t="s">
        <v>36</v>
      </c>
      <c r="H8611" s="1" t="s">
        <v>29</v>
      </c>
      <c r="I8611" s="1" t="str">
        <f ca="1">IFERROR(__xludf.DUMMYFUNCTION("GOOGLETRANSLATE(F8611, ""auto"", ""en"")
"),"I bought the phone in November 2009 and am very pleased with it. It’s easy to use, fits comfortably in the hand, the speed of the Internet and file transfer was pleasant =) I was also pleased with the price))) a similar phone from other manufacturers is a"&amp;"bout 4-5 thousand more expensive. It holds a charge for a long time, although I like to listen to music and watch a movie at work, it lasts at least 3 days))) In general, the phone is a solid A+.")</f>
        <v>I bought the phone in November 2009 and am very pleased with it. It’s easy to use, fits comfortably in the hand, the speed of the Internet and file transfer was pleasant =) I was also pleased with the price))) a similar phone from other manufacturers is about 4-5 thousand more expensive. It holds a charge for a long time, although I like to listen to music and watch a movie at work, it lasts at least 3 days))) In general, the phone is a solid A+.</v>
      </c>
    </row>
    <row r="8612" spans="1:9" x14ac:dyDescent="0.3">
      <c r="A8612" s="1" t="s">
        <v>211</v>
      </c>
      <c r="B8612" s="1" t="s">
        <v>212</v>
      </c>
      <c r="C8612" s="1" t="s">
        <v>63</v>
      </c>
      <c r="D8612" s="1" t="s">
        <v>545</v>
      </c>
      <c r="E8612" s="1" t="s">
        <v>443</v>
      </c>
      <c r="F8612" s="1" t="s">
        <v>12912</v>
      </c>
      <c r="G8612" s="1" t="s">
        <v>28</v>
      </c>
      <c r="H8612" s="1" t="s">
        <v>29</v>
      </c>
      <c r="I8612" s="1" t="str">
        <f ca="1">IFERROR(__xludf.DUMMYFUNCTION("GOOGLETRANSLATE(F8612, ""auto"", ""en"")
"),"In general, the straightener is good, the hair after it is perfectly straight. But just like others, after 10 months the switch broke, everything began to smoke, etc. I sent it in for warranty repair, and they repaired everything for me. Now I’ve been usi"&amp;"ng it for 6 months, nothing else has broken yet, I hope it will last a long time!")</f>
        <v>In general, the straightener is good, the hair after it is perfectly straight. But just like others, after 10 months the switch broke, everything began to smoke, etc. I sent it in for warranty repair, and they repaired everything for me. Now I’ve been using it for 6 months, nothing else has broken yet, I hope it will last a long time!</v>
      </c>
    </row>
    <row r="8613" spans="1:9" x14ac:dyDescent="0.3">
      <c r="A8613" s="1" t="s">
        <v>111</v>
      </c>
      <c r="B8613" s="1" t="s">
        <v>298</v>
      </c>
      <c r="C8613" s="1" t="s">
        <v>299</v>
      </c>
      <c r="D8613" s="1" t="s">
        <v>1776</v>
      </c>
      <c r="E8613" s="1" t="s">
        <v>4919</v>
      </c>
      <c r="F8613" s="1" t="s">
        <v>12913</v>
      </c>
      <c r="G8613" s="1" t="s">
        <v>36</v>
      </c>
      <c r="H8613" s="1" t="s">
        <v>29</v>
      </c>
      <c r="I8613" s="1" t="str">
        <f ca="1">IFERROR(__xludf.DUMMYFUNCTION("GOOGLETRANSLATE(F8613, ""auto"", ""en"")
"),"The dryer is excellent, in my opinion. The shoes dry quickly and have been working for me for 2 years now and have never broken. Of course, disinfection is not enough.")</f>
        <v>The dryer is excellent, in my opinion. The shoes dry quickly and have been working for me for 2 years now and have never broken. Of course, disinfection is not enough.</v>
      </c>
    </row>
    <row r="8614" spans="1:9" x14ac:dyDescent="0.3">
      <c r="A8614" s="1" t="s">
        <v>9</v>
      </c>
      <c r="B8614" s="1" t="s">
        <v>10</v>
      </c>
      <c r="C8614" s="1" t="s">
        <v>407</v>
      </c>
      <c r="D8614" s="1" t="s">
        <v>12914</v>
      </c>
      <c r="E8614" s="1" t="s">
        <v>5736</v>
      </c>
      <c r="F8614" s="1" t="s">
        <v>12915</v>
      </c>
      <c r="G8614" s="1" t="s">
        <v>36</v>
      </c>
      <c r="H8614" s="1" t="s">
        <v>29</v>
      </c>
      <c r="I8614" s="1" t="str">
        <f ca="1">IFERROR(__xludf.DUMMYFUNCTION("GOOGLETRANSLATE(F8614, ""auto"", ""en"")
"),"The hood is excellent, we spent a long time choosing it in the store, listened to how all the hoods work, this model suits both the price and the quality. It works quietly, only after turning off you can hear the return valve flaps falling. Compared to ou"&amp;"r old hood, it’s heaven and earth. The sound of the old hood was like a jet engine, but this one rustles quietly as if a kettle is boiling. It doesn’t strain the ears. At first speed it is almost inaudible. Well, it pulls everything out perfectly, no fore"&amp;"ign odors are observed in the room. I recommend it.")</f>
        <v>The hood is excellent, we spent a long time choosing it in the store, listened to how all the hoods work, this model suits both the price and the quality. It works quietly, only after turning off you can hear the return valve flaps falling. Compared to our old hood, it’s heaven and earth. The sound of the old hood was like a jet engine, but this one rustles quietly as if a kettle is boiling. It doesn’t strain the ears. At first speed it is almost inaudible. Well, it pulls everything out perfectly, no foreign odors are observed in the room. I recommend it.</v>
      </c>
    </row>
    <row r="8615" spans="1:9" x14ac:dyDescent="0.3">
      <c r="A8615" s="1" t="s">
        <v>43</v>
      </c>
      <c r="B8615" s="1" t="s">
        <v>44</v>
      </c>
      <c r="C8615" s="1" t="s">
        <v>45</v>
      </c>
      <c r="D8615" s="1" t="s">
        <v>12916</v>
      </c>
      <c r="E8615" s="1" t="s">
        <v>1324</v>
      </c>
      <c r="F8615" s="1" t="s">
        <v>12917</v>
      </c>
      <c r="G8615" s="1" t="s">
        <v>28</v>
      </c>
      <c r="H8615" s="1" t="s">
        <v>29</v>
      </c>
      <c r="I8615" s="1" t="str">
        <f ca="1">IFERROR(__xludf.DUMMYFUNCTION("GOOGLETRANSLATE(F8615, ""auto"", ""en"")
"),"Moderately quiet. / you can’t hear the engine at all / it doesn’t disturb your sleep. Blowing at speed 1 is already enough, higher - it blows away. Backlight is useful. I could have dropped it on the first night. Assembled in 5 minutes.")</f>
        <v>Moderately quiet. / you can’t hear the engine at all / it doesn’t disturb your sleep. Blowing at speed 1 is already enough, higher - it blows away. Backlight is useful. I could have dropped it on the first night. Assembled in 5 minutes.</v>
      </c>
    </row>
    <row r="8616" spans="1:9" x14ac:dyDescent="0.3">
      <c r="A8616" s="1" t="s">
        <v>61</v>
      </c>
      <c r="B8616" s="1" t="s">
        <v>318</v>
      </c>
      <c r="C8616" s="1" t="s">
        <v>85</v>
      </c>
      <c r="D8616" s="1" t="s">
        <v>592</v>
      </c>
      <c r="E8616" s="1" t="s">
        <v>2624</v>
      </c>
      <c r="F8616" s="1" t="s">
        <v>12918</v>
      </c>
      <c r="G8616" s="1" t="s">
        <v>36</v>
      </c>
      <c r="H8616" s="1" t="s">
        <v>29</v>
      </c>
      <c r="I8616" s="1" t="str">
        <f ca="1">IFERROR(__xludf.DUMMYFUNCTION("GOOGLETRANSLATE(F8616, ""auto"", ""en"")
"),"Reliable, environmentally friendly, brews tea itself, easy to use, stylish. ")</f>
        <v xml:space="preserve">Reliable, environmentally friendly, brews tea itself, easy to use, stylish. </v>
      </c>
    </row>
    <row r="8617" spans="1:9" x14ac:dyDescent="0.3">
      <c r="A8617" s="1" t="s">
        <v>61</v>
      </c>
      <c r="B8617" s="1" t="s">
        <v>73</v>
      </c>
      <c r="C8617" s="1" t="s">
        <v>146</v>
      </c>
      <c r="D8617" s="1" t="s">
        <v>232</v>
      </c>
      <c r="E8617" s="1" t="s">
        <v>5530</v>
      </c>
      <c r="F8617" s="1" t="s">
        <v>12919</v>
      </c>
      <c r="G8617" s="1" t="s">
        <v>36</v>
      </c>
      <c r="H8617" s="1" t="s">
        <v>29</v>
      </c>
      <c r="I8617" s="1" t="str">
        <f ca="1">IFERROR(__xludf.DUMMYFUNCTION("GOOGLETRANSLATE(F8617, ""auto"", ""en"")
"),"Yes, noisy, but for the money it’s just great. It handles meat very quickly, 1 kg, done in half a minute. The connections are all made of metal, which I was very pleased with when purchasing, the set includes attachments for kebbe, sausages and sausages, "&amp;"not everyone has such a large set, it has been in use for about six months, there are no complaints, and those who write something, read the instructions carefully before use, not a single meat grinder can be washed!!! In general, on a scale of 10, I give"&amp;" it a 9, because of the noise, because it copes with everything else with a bang!!")</f>
        <v>Yes, noisy, but for the money it’s just great. It handles meat very quickly, 1 kg, done in half a minute. The connections are all made of metal, which I was very pleased with when purchasing, the set includes attachments for kebbe, sausages and sausages, not everyone has such a large set, it has been in use for about six months, there are no complaints, and those who write something, read the instructions carefully before use, not a single meat grinder can be washed!!! In general, on a scale of 10, I give it a 9, because of the noise, because it copes with everything else with a bang!!</v>
      </c>
    </row>
    <row r="8618" spans="1:9" x14ac:dyDescent="0.3">
      <c r="A8618" s="1" t="s">
        <v>37</v>
      </c>
      <c r="B8618" s="1" t="s">
        <v>536</v>
      </c>
      <c r="C8618" s="1" t="s">
        <v>189</v>
      </c>
      <c r="D8618" s="1" t="s">
        <v>12920</v>
      </c>
      <c r="E8618" s="1" t="s">
        <v>920</v>
      </c>
      <c r="F8618" s="1" t="s">
        <v>12921</v>
      </c>
      <c r="G8618" s="1" t="s">
        <v>28</v>
      </c>
      <c r="H8618" s="1" t="s">
        <v>29</v>
      </c>
      <c r="I8618" s="1" t="str">
        <f ca="1">IFERROR(__xludf.DUMMYFUNCTION("GOOGLETRANSLATE(F8618, ""auto"", ""en"")
"),"The device is very good.   Works perfect. There are no brakes observed.  GPS Excellent acquisition of satellites.  The phone functions 100%.  Excellent package.      But this beautiful picture is spoiled by the case.  First chip after 4 months of use. the"&amp;"n it got worse and worse, now it’s on the shelf. I'm waiting for a new building, otherwise this one has completely collapsed.")</f>
        <v>The device is very good.   Works perfect. There are no brakes observed.  GPS Excellent acquisition of satellites.  The phone functions 100%.  Excellent package.      But this beautiful picture is spoiled by the case.  First chip after 4 months of use. then it got worse and worse, now it’s on the shelf. I'm waiting for a new building, otherwise this one has completely collapsed.</v>
      </c>
    </row>
    <row r="8619" spans="1:9" x14ac:dyDescent="0.3">
      <c r="A8619" s="1" t="s">
        <v>9</v>
      </c>
      <c r="B8619" s="1" t="s">
        <v>137</v>
      </c>
      <c r="C8619" s="1" t="s">
        <v>63</v>
      </c>
      <c r="D8619" s="1" t="s">
        <v>1506</v>
      </c>
      <c r="E8619" s="1" t="s">
        <v>1073</v>
      </c>
      <c r="F8619" s="1" t="s">
        <v>12922</v>
      </c>
      <c r="G8619" s="1" t="s">
        <v>36</v>
      </c>
      <c r="H8619" s="1" t="s">
        <v>29</v>
      </c>
      <c r="I8619" s="1" t="str">
        <f ca="1">IFERROR(__xludf.DUMMYFUNCTION("GOOGLETRANSLATE(F8619, ""auto"", ""en"")
"),"We have been using this panel for about 4 years. Impeccable quality.  Advice for those who have stains. Buy the right cleaning products and your panel will look like new for years to come.")</f>
        <v>We have been using this panel for about 4 years. Impeccable quality.  Advice for those who have stains. Buy the right cleaning products and your panel will look like new for years to come.</v>
      </c>
    </row>
    <row r="8620" spans="1:9" x14ac:dyDescent="0.3">
      <c r="A8620" s="1" t="s">
        <v>89</v>
      </c>
      <c r="B8620" s="1" t="s">
        <v>231</v>
      </c>
      <c r="C8620" s="1" t="s">
        <v>185</v>
      </c>
      <c r="D8620" s="1" t="s">
        <v>171</v>
      </c>
      <c r="E8620" s="1" t="s">
        <v>638</v>
      </c>
      <c r="F8620" s="1" t="s">
        <v>12923</v>
      </c>
      <c r="G8620" s="1" t="s">
        <v>28</v>
      </c>
      <c r="H8620" s="1" t="s">
        <v>29</v>
      </c>
      <c r="I8620" s="1" t="str">
        <f ca="1">IFERROR(__xludf.DUMMYFUNCTION("GOOGLETRANSLATE(F8620, ""auto"", ""en"")
"),"I would not like to cause panic, but it seems that the machine uprising is already close and my coffee machine “De Longhi ESAM 3000B” began to undergo a test period by connecting to SkyNet. No, seriously... I’ve been using this model since February 2016, "&amp;"purchasing it at a promotion in M.video. Didn't cause any complaints, but! Recently, from time to time, it began to spontaneously turn on and then turn off, clicking the mechanism for discharging the cake tablets. He would stand, be silent, and again... I"&amp;" had to extinguish these eccentric impulses with the shutdown button on the back wall.   Now, sometimes she does the same thing, but with preliminary pumping of water (as it should be when turned on), holding the set time (for me it’s 15 minutes), final p"&amp;"umping of water and turning off. I'm waiting for the coffee grinding operation to be connected to the cycle and testing in SkyNet is completed!")</f>
        <v>I would not like to cause panic, but it seems that the machine uprising is already close and my coffee machine “De Longhi ESAM 3000B” began to undergo a test period by connecting to SkyNet. No, seriously... I’ve been using this model since February 2016, purchasing it at a promotion in M.video. Didn't cause any complaints, but! Recently, from time to time, it began to spontaneously turn on and then turn off, clicking the mechanism for discharging the cake tablets. He would stand, be silent, and again... I had to extinguish these eccentric impulses with the shutdown button on the back wall.   Now, sometimes she does the same thing, but with preliminary pumping of water (as it should be when turned on), holding the set time (for me it’s 15 minutes), final pumping of water and turning off. I'm waiting for the coffee grinding operation to be connected to the cycle and testing in SkyNet is completed!</v>
      </c>
    </row>
    <row r="8621" spans="1:9" x14ac:dyDescent="0.3">
      <c r="A8621" s="1" t="s">
        <v>61</v>
      </c>
      <c r="B8621" s="1" t="s">
        <v>62</v>
      </c>
      <c r="C8621" s="1" t="s">
        <v>63</v>
      </c>
      <c r="D8621" s="1" t="s">
        <v>2764</v>
      </c>
      <c r="E8621" s="1" t="s">
        <v>2260</v>
      </c>
      <c r="F8621" s="1" t="s">
        <v>12924</v>
      </c>
      <c r="G8621" s="1" t="s">
        <v>36</v>
      </c>
      <c r="H8621" s="1" t="s">
        <v>29</v>
      </c>
      <c r="I8621" s="1" t="str">
        <f ca="1">IFERROR(__xludf.DUMMYFUNCTION("GOOGLETRANSLATE(F8621, ""auto"", ""en"")
"),"Excellent food processor, but lacks a medium grater and a dicing attachment. But, they say, components can be ordered and purchased. And the quality is completely satisfactory.")</f>
        <v>Excellent food processor, but lacks a medium grater and a dicing attachment. But, they say, components can be ordered and purchased. And the quality is completely satisfactory.</v>
      </c>
    </row>
    <row r="8622" spans="1:9" x14ac:dyDescent="0.3">
      <c r="A8622" s="1" t="s">
        <v>624</v>
      </c>
      <c r="B8622" s="1" t="s">
        <v>625</v>
      </c>
      <c r="C8622" s="1" t="s">
        <v>479</v>
      </c>
      <c r="D8622" s="1" t="s">
        <v>139</v>
      </c>
      <c r="E8622" s="1" t="s">
        <v>661</v>
      </c>
      <c r="F8622" s="1" t="s">
        <v>12925</v>
      </c>
      <c r="G8622" s="1" t="s">
        <v>36</v>
      </c>
      <c r="H8622" s="1" t="s">
        <v>29</v>
      </c>
      <c r="I8622" s="1" t="str">
        <f ca="1">IFERROR(__xludf.DUMMYFUNCTION("GOOGLETRANSLATE(F8622, ""auto"", ""en"")
"),"Amazing game, great graphics. I bought it for my children, but I can’t tear myself away")</f>
        <v>Amazing game, great graphics. I bought it for my children, but I can’t tear myself away</v>
      </c>
    </row>
    <row r="8623" spans="1:9" x14ac:dyDescent="0.3">
      <c r="A8623" s="1" t="s">
        <v>169</v>
      </c>
      <c r="B8623" s="1" t="s">
        <v>170</v>
      </c>
      <c r="C8623" s="1" t="s">
        <v>193</v>
      </c>
      <c r="D8623" s="1" t="s">
        <v>1036</v>
      </c>
      <c r="E8623" s="1" t="s">
        <v>2916</v>
      </c>
      <c r="F8623" s="1" t="s">
        <v>12926</v>
      </c>
      <c r="G8623" s="1" t="s">
        <v>36</v>
      </c>
      <c r="H8623" s="1" t="s">
        <v>29</v>
      </c>
      <c r="I8623" s="1" t="str">
        <f ca="1">IFERROR(__xludf.DUMMYFUNCTION("GOOGLETRANSLATE(F8623, ""auto"", ""en"")
"),"Wonderful headphones, incredibly reliable, I used them for a year and never had even the slightest crack. And I would be wearing it now if one of the headphones hadn’t accidentally come off.")</f>
        <v>Wonderful headphones, incredibly reliable, I used them for a year and never had even the slightest crack. And I would be wearing it now if one of the headphones hadn’t accidentally come off.</v>
      </c>
    </row>
    <row r="8624" spans="1:9" x14ac:dyDescent="0.3">
      <c r="A8624" s="1" t="s">
        <v>105</v>
      </c>
      <c r="B8624" s="1" t="s">
        <v>106</v>
      </c>
      <c r="C8624" s="1" t="s">
        <v>97</v>
      </c>
      <c r="D8624" s="1" t="s">
        <v>305</v>
      </c>
      <c r="E8624" s="1" t="s">
        <v>2265</v>
      </c>
      <c r="F8624" s="1" t="s">
        <v>12927</v>
      </c>
      <c r="G8624" s="1" t="s">
        <v>36</v>
      </c>
      <c r="H8624" s="1" t="s">
        <v>29</v>
      </c>
      <c r="I8624" s="1" t="str">
        <f ca="1">IFERROR(__xludf.DUMMYFUNCTION("GOOGLETRANSLATE(F8624, ""auto"", ""en"")
"),"I bought the player on the advice of a friend and do not regret it. The player is excellent, the main thing is simple, without any special bells and whistles, the only thing that seemed unnecessary was the “feature” - the Zappin button, which, in my opini"&amp;"on, is absolutely unnecessary.   ZY: for those who have problems connecting to a computer: I solved the problem by pressing the Reset button on the player.")</f>
        <v>I bought the player on the advice of a friend and do not regret it. The player is excellent, the main thing is simple, without any special bells and whistles, the only thing that seemed unnecessary was the “feature” - the Zappin button, which, in my opinion, is absolutely unnecessary.   ZY: for those who have problems connecting to a computer: I solved the problem by pressing the Reset button on the player.</v>
      </c>
    </row>
    <row r="8625" spans="1:9" x14ac:dyDescent="0.3">
      <c r="A8625" s="1" t="s">
        <v>1119</v>
      </c>
      <c r="B8625" s="1" t="s">
        <v>1120</v>
      </c>
      <c r="C8625" s="1" t="s">
        <v>151</v>
      </c>
      <c r="D8625" s="1" t="s">
        <v>2217</v>
      </c>
      <c r="E8625" s="1" t="s">
        <v>2215</v>
      </c>
      <c r="F8625" s="1" t="s">
        <v>12928</v>
      </c>
      <c r="G8625" s="1" t="s">
        <v>28</v>
      </c>
      <c r="H8625" s="1" t="s">
        <v>29</v>
      </c>
      <c r="I8625" s="1" t="str">
        <f ca="1">IFERROR(__xludf.DUMMYFUNCTION("GOOGLETRANSLATE(F8625, ""auto"", ""en"")
"),"I bought a Samsung SMX-C10 Red camera yesterday. ,Takes a maximum of 16 gigs of memory. There is practically no memory of my own. I inserted it into 4 gigs and showed a recording time of 119 minutes. Not bad. It takes pictures well, but in the dark it doe"&amp;"sn’t see. The screen is not touchscreen!")</f>
        <v>I bought a Samsung SMX-C10 Red camera yesterday. ,Takes a maximum of 16 gigs of memory. There is practically no memory of my own. I inserted it into 4 gigs and showed a recording time of 119 minutes. Not bad. It takes pictures well, but in the dark it doesn’t see. The screen is not touchscreen!</v>
      </c>
    </row>
    <row r="8626" spans="1:9" x14ac:dyDescent="0.3">
      <c r="A8626" s="1" t="s">
        <v>120</v>
      </c>
      <c r="B8626" s="1" t="s">
        <v>126</v>
      </c>
      <c r="C8626" s="1" t="s">
        <v>151</v>
      </c>
      <c r="D8626" s="1" t="s">
        <v>152</v>
      </c>
      <c r="E8626" s="1" t="s">
        <v>481</v>
      </c>
      <c r="F8626" s="1" t="s">
        <v>12929</v>
      </c>
      <c r="G8626" s="1" t="s">
        <v>28</v>
      </c>
      <c r="H8626" s="1" t="s">
        <v>29</v>
      </c>
      <c r="I8626" s="1" t="str">
        <f ca="1">IFERROR(__xludf.DUMMYFUNCTION("GOOGLETRANSLATE(F8626, ""auto"", ""en"")
"),"I used it for 5 months, no complaints, the picture is good, the media player is almost omnivorous, the remote control is convenient, I connected satellite TV Continent, bought a 500GB HDD - filled it with movies - watched......, the buzz ended overnight.."&amp;". Children broke the screen with an ordinary CD - impact - crack - SHOCK - service center - disgusting... p.s. - the children survived!")</f>
        <v>I used it for 5 months, no complaints, the picture is good, the media player is almost omnivorous, the remote control is convenient, I connected satellite TV Continent, bought a 500GB HDD - filled it with movies - watched......, the buzz ended overnight... Children broke the screen with an ordinary CD - impact - crack - SHOCK - service center - disgusting... p.s. - the children survived!</v>
      </c>
    </row>
    <row r="8627" spans="1:9" x14ac:dyDescent="0.3">
      <c r="A8627" s="1" t="s">
        <v>149</v>
      </c>
      <c r="B8627" s="1" t="s">
        <v>423</v>
      </c>
      <c r="C8627" s="1" t="s">
        <v>531</v>
      </c>
      <c r="D8627" s="1" t="s">
        <v>186</v>
      </c>
      <c r="E8627" s="1" t="s">
        <v>5870</v>
      </c>
      <c r="F8627" s="1" t="s">
        <v>12930</v>
      </c>
      <c r="G8627" s="1" t="s">
        <v>36</v>
      </c>
      <c r="H8627" s="1" t="s">
        <v>29</v>
      </c>
      <c r="I8627" s="1" t="str">
        <f ca="1">IFERROR(__xludf.DUMMYFUNCTION("GOOGLETRANSLATE(F8627, ""auto"", ""en"")
"),"After cleaning the entire apartment in wash mode, the air and the apartment itself are incredibly fresh and clean. We have carpeted and laminate floors at home - they do a great job!")</f>
        <v>After cleaning the entire apartment in wash mode, the air and the apartment itself are incredibly fresh and clean. We have carpeted and laminate floors at home - they do a great job!</v>
      </c>
    </row>
    <row r="8628" spans="1:9" x14ac:dyDescent="0.3">
      <c r="A8628" s="1" t="s">
        <v>61</v>
      </c>
      <c r="B8628" s="1" t="s">
        <v>224</v>
      </c>
      <c r="C8628" s="1" t="s">
        <v>257</v>
      </c>
      <c r="D8628" s="1" t="s">
        <v>52</v>
      </c>
      <c r="E8628" s="1" t="s">
        <v>2735</v>
      </c>
      <c r="F8628" s="1" t="s">
        <v>12931</v>
      </c>
      <c r="G8628" s="1" t="s">
        <v>36</v>
      </c>
      <c r="H8628" s="1" t="s">
        <v>29</v>
      </c>
      <c r="I8628" s="1" t="str">
        <f ca="1">IFERROR(__xludf.DUMMYFUNCTION("GOOGLETRANSLATE(F8628, ""auto"", ""en"")
"),"I bought it the other day as part of my mother's promotion. She was very pleased. Compared to a budget juicer from another company, this juicer squeezes better and dumping the juice works fine and the promotional price is very competitive.")</f>
        <v>I bought it the other day as part of my mother's promotion. She was very pleased. Compared to a budget juicer from another company, this juicer squeezes better and dumping the juice works fine and the promotional price is very competitive.</v>
      </c>
    </row>
    <row r="8629" spans="1:9" x14ac:dyDescent="0.3">
      <c r="A8629" s="1" t="s">
        <v>61</v>
      </c>
      <c r="B8629" s="1" t="s">
        <v>318</v>
      </c>
      <c r="C8629" s="1" t="s">
        <v>57</v>
      </c>
      <c r="D8629" s="1" t="s">
        <v>8363</v>
      </c>
      <c r="E8629" s="1" t="s">
        <v>8438</v>
      </c>
      <c r="F8629" s="1" t="s">
        <v>12932</v>
      </c>
      <c r="G8629" s="1" t="s">
        <v>15</v>
      </c>
      <c r="H8629" s="1" t="s">
        <v>16</v>
      </c>
      <c r="I8629" s="1" t="str">
        <f ca="1">IFERROR(__xludf.DUMMYFUNCTION("GOOGLETRANSLATE(F8629, ""auto"", ""en"")
"),"We have been using the kettle for over a year. As many have already written, it is very noisy. When the lid is opened, the condensate accumulated on it flows along the outer walls of the case under the stand. Overall a bad model.")</f>
        <v>We have been using the kettle for over a year. As many have already written, it is very noisy. When the lid is opened, the condensate accumulated on it flows along the outer walls of the case under the stand. Overall a bad model.</v>
      </c>
    </row>
    <row r="8630" spans="1:9" x14ac:dyDescent="0.3">
      <c r="A8630" s="1" t="s">
        <v>61</v>
      </c>
      <c r="B8630" s="1" t="s">
        <v>318</v>
      </c>
      <c r="C8630" s="1" t="s">
        <v>2840</v>
      </c>
      <c r="D8630" s="1" t="s">
        <v>75</v>
      </c>
      <c r="E8630" s="1" t="s">
        <v>10504</v>
      </c>
      <c r="F8630" s="1" t="s">
        <v>12933</v>
      </c>
      <c r="G8630" s="1" t="s">
        <v>15</v>
      </c>
      <c r="H8630" s="1" t="s">
        <v>16</v>
      </c>
      <c r="I8630" s="1" t="str">
        <f ca="1">IFERROR(__xludf.DUMMYFUNCTION("GOOGLETRANSLATE(F8630, ""auto"", ""en"")
"),"We bought this kettle 1.5 years ago. How this happened, I don’t know. I wanted another one, but the consultant unobtrusively decided on this one. Beautiful - yes. That's all. As has already been written in many reviews, everything else is a disadvantage: "&amp;"handle, button, scale, long boiling time. We have come to terms with all this. But today our lid broke too. I do not recommend this model to anyone.")</f>
        <v>We bought this kettle 1.5 years ago. How this happened, I don’t know. I wanted another one, but the consultant unobtrusively decided on this one. Beautiful - yes. That's all. As has already been written in many reviews, everything else is a disadvantage: handle, button, scale, long boiling time. We have come to terms with all this. But today our lid broke too. I do not recommend this model to anyone.</v>
      </c>
    </row>
    <row r="8631" spans="1:9" x14ac:dyDescent="0.3">
      <c r="A8631" s="1" t="s">
        <v>211</v>
      </c>
      <c r="B8631" s="1" t="s">
        <v>384</v>
      </c>
      <c r="C8631" s="1" t="s">
        <v>246</v>
      </c>
      <c r="D8631" s="1" t="s">
        <v>417</v>
      </c>
      <c r="E8631" s="1" t="s">
        <v>1432</v>
      </c>
      <c r="F8631" s="1" t="s">
        <v>12934</v>
      </c>
      <c r="G8631" s="1" t="s">
        <v>36</v>
      </c>
      <c r="H8631" s="1" t="s">
        <v>29</v>
      </c>
      <c r="I8631" s="1" t="str">
        <f ca="1">IFERROR(__xludf.DUMMYFUNCTION("GOOGLETRANSLATE(F8631, ""auto"", ""en"")
"),"I bought it for my loved one on March 8, 2009 (on sale) Libra super +5!!!")</f>
        <v>I bought it for my loved one on March 8, 2009 (on sale) Libra super +5!!!</v>
      </c>
    </row>
    <row r="8632" spans="1:9" x14ac:dyDescent="0.3">
      <c r="A8632" s="1" t="s">
        <v>61</v>
      </c>
      <c r="B8632" s="1" t="s">
        <v>318</v>
      </c>
      <c r="C8632" s="1" t="s">
        <v>745</v>
      </c>
      <c r="D8632" s="1" t="s">
        <v>308</v>
      </c>
      <c r="E8632" s="1" t="s">
        <v>6074</v>
      </c>
      <c r="F8632" s="1" t="s">
        <v>12935</v>
      </c>
      <c r="G8632" s="1" t="s">
        <v>36</v>
      </c>
      <c r="H8632" s="1" t="s">
        <v>29</v>
      </c>
      <c r="I8632" s="1" t="str">
        <f ca="1">IFERROR(__xludf.DUMMYFUNCTION("GOOGLETRANSLATE(F8632, ""auto"", ""en"")
"),"Low noise, adjusting and maintaining temperature, indicating the required temperature when heating water for each type of tea, no smell.")</f>
        <v>Low noise, adjusting and maintaining temperature, indicating the required temperature when heating water for each type of tea, no smell.</v>
      </c>
    </row>
    <row r="8633" spans="1:9" x14ac:dyDescent="0.3">
      <c r="A8633" s="1" t="s">
        <v>37</v>
      </c>
      <c r="B8633" s="1" t="s">
        <v>38</v>
      </c>
      <c r="C8633" s="1" t="s">
        <v>151</v>
      </c>
      <c r="D8633" s="1" t="s">
        <v>12936</v>
      </c>
      <c r="E8633" s="1" t="s">
        <v>2333</v>
      </c>
      <c r="F8633" s="1" t="s">
        <v>12937</v>
      </c>
      <c r="G8633" s="1" t="s">
        <v>28</v>
      </c>
      <c r="H8633" s="1" t="s">
        <v>29</v>
      </c>
      <c r="I8633" s="1" t="str">
        <f ca="1">IFERROR(__xludf.DUMMYFUNCTION("GOOGLETRANSLATE(F8633, ""auto"", ""en"")
"),"I bought it in March, everything is fine... but there are constant problems. with photos and videos... it’s almost impossible to take a photo, you can still turn on the video, but turn it off only when you take out the battery.")</f>
        <v>I bought it in March, everything is fine... but there are constant problems. with photos and videos... it’s almost impossible to take a photo, you can still turn on the video, but turn it off only when you take out the battery.</v>
      </c>
    </row>
    <row r="8634" spans="1:9" x14ac:dyDescent="0.3">
      <c r="A8634" s="1" t="s">
        <v>206</v>
      </c>
      <c r="B8634" s="1" t="s">
        <v>1349</v>
      </c>
      <c r="C8634" s="1" t="s">
        <v>351</v>
      </c>
      <c r="D8634" s="1" t="s">
        <v>4814</v>
      </c>
      <c r="E8634" s="1" t="s">
        <v>1181</v>
      </c>
      <c r="F8634" s="1" t="s">
        <v>12938</v>
      </c>
      <c r="G8634" s="1" t="s">
        <v>28</v>
      </c>
      <c r="H8634" s="1" t="s">
        <v>29</v>
      </c>
      <c r="I8634" s="1" t="str">
        <f ca="1">IFERROR(__xludf.DUMMYFUNCTION("GOOGLETRANSLATE(F8634, ""auto"", ""en"")
"),"It seems like wow, it’s budget-friendly...But there’s just a little oddity: after setting the clock to 24-hour mode and switching to a station with RDS, the clock will switch to 12-hour format..What kind of trick?!")</f>
        <v>It seems like wow, it’s budget-friendly...But there’s just a little oddity: after setting the clock to 24-hour mode and switching to a station with RDS, the clock will switch to 12-hour format..What kind of trick?!</v>
      </c>
    </row>
    <row r="8635" spans="1:9" x14ac:dyDescent="0.3">
      <c r="A8635" s="1" t="s">
        <v>369</v>
      </c>
      <c r="B8635" s="1" t="s">
        <v>2480</v>
      </c>
      <c r="C8635" s="1" t="s">
        <v>453</v>
      </c>
      <c r="D8635" s="1" t="s">
        <v>152</v>
      </c>
      <c r="E8635" s="1" t="s">
        <v>2396</v>
      </c>
      <c r="F8635" s="1" t="s">
        <v>12939</v>
      </c>
      <c r="G8635" s="1" t="s">
        <v>49</v>
      </c>
      <c r="H8635" s="1" t="s">
        <v>16</v>
      </c>
      <c r="I8635" s="1" t="str">
        <f ca="1">IFERROR(__xludf.DUMMYFUNCTION("GOOGLETRANSLATE(F8635, ""auto"", ""en"")
"),"Inexpensive")</f>
        <v>Inexpensive</v>
      </c>
    </row>
    <row r="8636" spans="1:9" x14ac:dyDescent="0.3">
      <c r="A8636" s="1" t="s">
        <v>61</v>
      </c>
      <c r="B8636" s="1" t="s">
        <v>224</v>
      </c>
      <c r="C8636" s="1" t="s">
        <v>246</v>
      </c>
      <c r="D8636" s="1" t="s">
        <v>247</v>
      </c>
      <c r="E8636" s="1" t="s">
        <v>1207</v>
      </c>
      <c r="F8636" s="1" t="s">
        <v>12940</v>
      </c>
      <c r="G8636" s="1" t="s">
        <v>36</v>
      </c>
      <c r="H8636" s="1" t="s">
        <v>29</v>
      </c>
      <c r="I8636" s="1" t="str">
        <f ca="1">IFERROR(__xludf.DUMMYFUNCTION("GOOGLETRANSLATE(F8636, ""auto"", ""en"")
"),"I'm very happy with the purchase.   What was important to me was the size, ease of washing, and of course the quality of the juice, which I was pleased with. Getting up in the morning, squeezing juice without any problems is great! M.b. It’s not very suit"&amp;"able for a large volume, but it will make a great glass of juice for a family.")</f>
        <v>I'm very happy with the purchase.   What was important to me was the size, ease of washing, and of course the quality of the juice, which I was pleased with. Getting up in the morning, squeezing juice without any problems is great! M.b. It’s not very suitable for a large volume, but it will make a great glass of juice for a family.</v>
      </c>
    </row>
    <row r="8637" spans="1:9" x14ac:dyDescent="0.3">
      <c r="A8637" s="1" t="s">
        <v>169</v>
      </c>
      <c r="B8637" s="1" t="s">
        <v>170</v>
      </c>
      <c r="C8637" s="1" t="s">
        <v>122</v>
      </c>
      <c r="D8637" s="1" t="s">
        <v>308</v>
      </c>
      <c r="E8637" s="1" t="s">
        <v>9560</v>
      </c>
      <c r="F8637" s="1" t="s">
        <v>12941</v>
      </c>
      <c r="G8637" s="1" t="s">
        <v>36</v>
      </c>
      <c r="H8637" s="1" t="s">
        <v>29</v>
      </c>
      <c r="I8637" s="1" t="str">
        <f ca="1">IFERROR(__xludf.DUMMYFUNCTION("GOOGLETRANSLATE(F8637, ""auto"", ""en"")
"),"Great headphones! I have been steadily buying this model for several years, but now I can’t find them in my city. Can anyone recommend headphones that sound similar? I will be very grateful!  ▶▶▶EXPERT ANSWER “M.VIDEO”◀◀◀ Maybe these are Sennheiser MX-170"&amp;" in-ear headphones?")</f>
        <v>Great headphones! I have been steadily buying this model for several years, but now I can’t find them in my city. Can anyone recommend headphones that sound similar? I will be very grateful!  ▶▶▶EXPERT ANSWER “M.VIDEO”◀◀◀ Maybe these are Sennheiser MX-170 in-ear headphones?</v>
      </c>
    </row>
    <row r="8638" spans="1:9" x14ac:dyDescent="0.3">
      <c r="A8638" s="1" t="s">
        <v>105</v>
      </c>
      <c r="B8638" s="1" t="s">
        <v>106</v>
      </c>
      <c r="C8638" s="1" t="s">
        <v>107</v>
      </c>
      <c r="D8638" s="1" t="s">
        <v>12942</v>
      </c>
      <c r="E8638" s="1" t="s">
        <v>10383</v>
      </c>
      <c r="F8638" s="1" t="s">
        <v>12943</v>
      </c>
      <c r="G8638" s="1" t="s">
        <v>36</v>
      </c>
      <c r="H8638" s="1" t="s">
        <v>29</v>
      </c>
      <c r="I8638" s="1" t="str">
        <f ca="1">IFERROR(__xludf.DUMMYFUNCTION("GOOGLETRANSLATE(F8638, ""auto"", ""en"")
"),"I’ve been using the player for 4 days now, listening almost non-stop and the battery hasn’t run out yet, I’m amazed! The player is wonderful, at the end of the first day I was already using it as if I had it for 100 years! But it turns on and off in a ver"&amp;"y strange way (In the sense that you need to hold the button and it’s off/on.. and sometimes you just need to press and release and it’s already off/on) And it happens that the song doesn’t play until the end - he won’t go to the menu, click on another so"&amp;"ng. Well, the player is good, 5 minus! I recommend this model to everyone.")</f>
        <v>I’ve been using the player for 4 days now, listening almost non-stop and the battery hasn’t run out yet, I’m amazed! The player is wonderful, at the end of the first day I was already using it as if I had it for 100 years! But it turns on and off in a very strange way (In the sense that you need to hold the button and it’s off/on.. and sometimes you just need to press and release and it’s already off/on) And it happens that the song doesn’t play until the end - he won’t go to the menu, click on another song. Well, the player is good, 5 minus! I recommend this model to everyone.</v>
      </c>
    </row>
    <row r="8639" spans="1:9" x14ac:dyDescent="0.3">
      <c r="A8639" s="1" t="s">
        <v>211</v>
      </c>
      <c r="B8639" s="1" t="s">
        <v>856</v>
      </c>
      <c r="C8639" s="1" t="s">
        <v>57</v>
      </c>
      <c r="D8639" s="1" t="s">
        <v>186</v>
      </c>
      <c r="E8639" s="1" t="s">
        <v>6170</v>
      </c>
      <c r="F8639" s="1" t="s">
        <v>12944</v>
      </c>
      <c r="G8639" s="1" t="s">
        <v>49</v>
      </c>
      <c r="H8639" s="1" t="s">
        <v>16</v>
      </c>
      <c r="I8639" s="1" t="str">
        <f ca="1">IFERROR(__xludf.DUMMYFUNCTION("GOOGLETRANSLATE(F8639, ""auto"", ""en"")
"),"I bought it for my wife as a gift, the charge ran out after 20 minutes and I couldn’t charge it anymore. I charged it for two days with no results.")</f>
        <v>I bought it for my wife as a gift, the charge ran out after 20 minutes and I couldn’t charge it anymore. I charged it for two days with no results.</v>
      </c>
    </row>
    <row r="8640" spans="1:9" x14ac:dyDescent="0.3">
      <c r="A8640" s="1" t="s">
        <v>169</v>
      </c>
      <c r="B8640" s="1" t="s">
        <v>170</v>
      </c>
      <c r="C8640" s="1" t="s">
        <v>97</v>
      </c>
      <c r="D8640" s="1" t="s">
        <v>33</v>
      </c>
      <c r="E8640" s="1" t="s">
        <v>832</v>
      </c>
      <c r="F8640" s="1" t="s">
        <v>12945</v>
      </c>
      <c r="G8640" s="1" t="s">
        <v>36</v>
      </c>
      <c r="H8640" s="1" t="s">
        <v>29</v>
      </c>
      <c r="I8640" s="1" t="str">
        <f ca="1">IFERROR(__xludf.DUMMYFUNCTION("GOOGLETRANSLATE(F8640, ""auto"", ""en"")
"),"Good headphones, they fit comfortably in the ears, the ears do not get tired, the sound insulation is pleasing. The sound is also at the same level - clear, low frequencies sound pleasant, high frequencies are also heard quite clearly. The only thing I do"&amp;"n’t like is that the headphone wire looks quite fragile, but this, it seems to me, is a drawback of all headphones in this price category.")</f>
        <v>Good headphones, they fit comfortably in the ears, the ears do not get tired, the sound insulation is pleasing. The sound is also at the same level - clear, low frequencies sound pleasant, high frequencies are also heard quite clearly. The only thing I don’t like is that the headphone wire looks quite fragile, but this, it seems to me, is a drawback of all headphones in this price category.</v>
      </c>
    </row>
    <row r="8641" spans="1:9" x14ac:dyDescent="0.3">
      <c r="A8641" s="1" t="s">
        <v>9</v>
      </c>
      <c r="B8641" s="1" t="s">
        <v>133</v>
      </c>
      <c r="C8641" s="1" t="s">
        <v>19</v>
      </c>
      <c r="D8641" s="1" t="s">
        <v>12946</v>
      </c>
      <c r="E8641" s="1" t="s">
        <v>2215</v>
      </c>
      <c r="F8641" s="1" t="s">
        <v>12947</v>
      </c>
      <c r="G8641" s="1" t="s">
        <v>15</v>
      </c>
      <c r="H8641" s="1" t="s">
        <v>16</v>
      </c>
      <c r="I8641" s="1" t="str">
        <f ca="1">IFERROR(__xludf.DUMMYFUNCTION("GOOGLETRANSLATE(F8641, ""auto"", ""en"")
"),"I have been using this “unit” relatively recently... I was attracted to the store by its appearance and functionality. BUT: 1) The instructions that were included in the kit were NOT COMPLETELY TRANSLATED into Russian, including the lack of a description "&amp;"of the modes in Russian 2) What is more paradoxical, the instructions that are posted on the site are translated INCORRECTLY!    Conclusion: if you do not know English (or any other language in which the instructions are written), it is better not to get "&amp;"yourself this “headache”.")</f>
        <v>I have been using this “unit” relatively recently... I was attracted to the store by its appearance and functionality. BUT: 1) The instructions that were included in the kit were NOT COMPLETELY TRANSLATED into Russian, including the lack of a description of the modes in Russian 2) What is more paradoxical, the instructions that are posted on the site are translated INCORRECTLY!    Conclusion: if you do not know English (or any other language in which the instructions are written), it is better not to get yourself this “headache”.</v>
      </c>
    </row>
    <row r="8642" spans="1:9" x14ac:dyDescent="0.3">
      <c r="A8642" s="1" t="s">
        <v>61</v>
      </c>
      <c r="B8642" s="1" t="s">
        <v>318</v>
      </c>
      <c r="C8642" s="1" t="s">
        <v>101</v>
      </c>
      <c r="D8642" s="1" t="s">
        <v>12948</v>
      </c>
      <c r="E8642" s="1" t="s">
        <v>3861</v>
      </c>
      <c r="F8642" s="1" t="s">
        <v>12949</v>
      </c>
      <c r="G8642" s="1" t="s">
        <v>28</v>
      </c>
      <c r="H8642" s="1" t="s">
        <v>29</v>
      </c>
      <c r="I8642" s="1" t="str">
        <f ca="1">IFERROR(__xludf.DUMMYFUNCTION("GOOGLETRANSLATE(F8642, ""auto"", ""en"")
"),"An indecently cheap price tag for such a commendable kettle. Good power, boils quickly and not too loudly, the handle does not heat up, so you can pour it immediately after boiling. The shape is excellent, the handles are enough for pouring, there is no n"&amp;"eed to hold anything, tilt it additionally, etc. The materials seem to be good")</f>
        <v>An indecently cheap price tag for such a commendable kettle. Good power, boils quickly and not too loudly, the handle does not heat up, so you can pour it immediately after boiling. The shape is excellent, the handles are enough for pouring, there is no need to hold anything, tilt it additionally, etc. The materials seem to be good</v>
      </c>
    </row>
    <row r="8643" spans="1:9" x14ac:dyDescent="0.3">
      <c r="A8643" s="1" t="s">
        <v>89</v>
      </c>
      <c r="B8643" s="1" t="s">
        <v>90</v>
      </c>
      <c r="C8643" s="1" t="s">
        <v>185</v>
      </c>
      <c r="D8643" s="1" t="s">
        <v>12950</v>
      </c>
      <c r="E8643" s="1" t="s">
        <v>563</v>
      </c>
      <c r="F8643" s="1" t="s">
        <v>12951</v>
      </c>
      <c r="G8643" s="1" t="s">
        <v>36</v>
      </c>
      <c r="H8643" s="1" t="s">
        <v>29</v>
      </c>
      <c r="I8643" s="1" t="str">
        <f ca="1">IFERROR(__xludf.DUMMYFUNCTION("GOOGLETRANSLATE(F8643, ""auto"", ""en"")
"),"Excellent coffee grinder, bought in October 2012. Grinding is uniform. Convenient lid, you can also grind sugar, which is not possible in many coffee grinders. In a word, we are very pleased with the purchase.")</f>
        <v>Excellent coffee grinder, bought in October 2012. Grinding is uniform. Convenient lid, you can also grind sugar, which is not possible in many coffee grinders. In a word, we are very pleased with the purchase.</v>
      </c>
    </row>
    <row r="8644" spans="1:9" x14ac:dyDescent="0.3">
      <c r="A8644" s="1" t="s">
        <v>61</v>
      </c>
      <c r="B8644" s="1" t="s">
        <v>62</v>
      </c>
      <c r="C8644" s="1" t="s">
        <v>63</v>
      </c>
      <c r="D8644" s="1" t="s">
        <v>75</v>
      </c>
      <c r="E8644" s="1" t="s">
        <v>2298</v>
      </c>
      <c r="F8644" s="1" t="s">
        <v>12952</v>
      </c>
      <c r="G8644" s="1" t="s">
        <v>36</v>
      </c>
      <c r="H8644" s="1" t="s">
        <v>29</v>
      </c>
      <c r="I8644" s="1" t="str">
        <f ca="1">IFERROR(__xludf.DUMMYFUNCTION("GOOGLETRANSLATE(F8644, ""auto"", ""en"")
"),"I only have the MCM 5529 model, it cuts into cubes, I’ve been using it for 7 months, I really like it, I do everything with the help of this assistant - chopping, cutting, kneading, knocking and much more, and what a savings, I recommend it.")</f>
        <v>I only have the MCM 5529 model, it cuts into cubes, I’ve been using it for 7 months, I really like it, I do everything with the help of this assistant - chopping, cutting, kneading, knocking and much more, and what a savings, I recommend it.</v>
      </c>
    </row>
    <row r="8645" spans="1:9" x14ac:dyDescent="0.3">
      <c r="A8645" s="1" t="s">
        <v>211</v>
      </c>
      <c r="B8645" s="1" t="s">
        <v>265</v>
      </c>
      <c r="C8645" s="1" t="s">
        <v>69</v>
      </c>
      <c r="D8645" s="1" t="s">
        <v>366</v>
      </c>
      <c r="E8645" s="1" t="s">
        <v>1888</v>
      </c>
      <c r="F8645" s="1" t="s">
        <v>12953</v>
      </c>
      <c r="G8645" s="1" t="s">
        <v>49</v>
      </c>
      <c r="H8645" s="1" t="s">
        <v>16</v>
      </c>
      <c r="I8645" s="1" t="str">
        <f ca="1">IFERROR(__xludf.DUMMYFUNCTION("GOOGLETRANSLATE(F8645, ""auto"", ""en"")
"),"Yesterday I bought this masterpiece, I decided to get a haircut at home (I cut my hair myself using the shortest attachment of 3 mm.) The machine cut my hair into strips and tufts!!! The store exchanged it for a Philips QC5045 without any problems. I'll t"&amp;"est it today.")</f>
        <v>Yesterday I bought this masterpiece, I decided to get a haircut at home (I cut my hair myself using the shortest attachment of 3 mm.) The machine cut my hair into strips and tufts!!! The store exchanged it for a Philips QC5045 without any problems. I'll test it today.</v>
      </c>
    </row>
    <row r="8646" spans="1:9" x14ac:dyDescent="0.3">
      <c r="A8646" s="1" t="s">
        <v>149</v>
      </c>
      <c r="B8646" s="1" t="s">
        <v>150</v>
      </c>
      <c r="C8646" s="1" t="s">
        <v>57</v>
      </c>
      <c r="D8646" s="1" t="s">
        <v>1187</v>
      </c>
      <c r="E8646" s="1" t="s">
        <v>638</v>
      </c>
      <c r="F8646" s="1" t="s">
        <v>12954</v>
      </c>
      <c r="G8646" s="1" t="s">
        <v>36</v>
      </c>
      <c r="H8646" s="1" t="s">
        <v>29</v>
      </c>
      <c r="I8646" s="1" t="str">
        <f ca="1">IFERROR(__xludf.DUMMYFUNCTION("GOOGLETRANSLATE(F8646, ""auto"", ""en"")
"),"Due to the fact that I have two long-haired dachshunds, who absolutely do not like to stay at home, they go everywhere with me, the interior of the car is full of wool, all the seats are covered with it, like a carpet. Since dogs shed and cannot be cut, I"&amp;" was very exhausted. The hairs are removed very poorly - this is due to the fact that my seats are not upholstered with leather, but with fabric, synthetic, which is also electrified. I couldn’t clean everything well on my own, so I bought this small-size"&amp;"d vacuum cleaner for the car. Despite this form factor, it is quite powerful, sucks all this wool into itself, leaving the seats completely clean. Now I can ride safely in any coat or sweater, including those made from fabrics to which everything sticks -"&amp;" everything remains in its original form. There is also a storage case, which is convenient.")</f>
        <v>Due to the fact that I have two long-haired dachshunds, who absolutely do not like to stay at home, they go everywhere with me, the interior of the car is full of wool, all the seats are covered with it, like a carpet. Since dogs shed and cannot be cut, I was very exhausted. The hairs are removed very poorly - this is due to the fact that my seats are not upholstered with leather, but with fabric, synthetic, which is also electrified. I couldn’t clean everything well on my own, so I bought this small-sized vacuum cleaner for the car. Despite this form factor, it is quite powerful, sucks all this wool into itself, leaving the seats completely clean. Now I can ride safely in any coat or sweater, including those made from fabrics to which everything sticks - everything remains in its original form. There is also a storage case, which is convenient.</v>
      </c>
    </row>
    <row r="8647" spans="1:9" x14ac:dyDescent="0.3">
      <c r="A8647" s="1" t="s">
        <v>211</v>
      </c>
      <c r="B8647" s="1" t="s">
        <v>212</v>
      </c>
      <c r="C8647" s="1" t="s">
        <v>69</v>
      </c>
      <c r="D8647" s="1" t="s">
        <v>46</v>
      </c>
      <c r="E8647" s="1" t="s">
        <v>2669</v>
      </c>
      <c r="F8647" s="1" t="s">
        <v>12955</v>
      </c>
      <c r="G8647" s="1" t="s">
        <v>36</v>
      </c>
      <c r="H8647" s="1" t="s">
        <v>29</v>
      </c>
      <c r="I8647" s="1" t="str">
        <f ca="1">IFERROR(__xludf.DUMMYFUNCTION("GOOGLETRANSLATE(F8647, ""auto"", ""en"")
"),"Nice hairdryer, nice design. There is a turbo button, but I have never used it yet - regular power is enough. I style my hair for about 20 minutes - during this time it does not overheat. I'm happy with the purchase.")</f>
        <v>Nice hairdryer, nice design. There is a turbo button, but I have never used it yet - regular power is enough. I style my hair for about 20 minutes - during this time it does not overheat. I'm happy with the purchase.</v>
      </c>
    </row>
    <row r="8648" spans="1:9" x14ac:dyDescent="0.3">
      <c r="A8648" s="1" t="s">
        <v>67</v>
      </c>
      <c r="B8648" s="1" t="s">
        <v>68</v>
      </c>
      <c r="C8648" s="1" t="s">
        <v>69</v>
      </c>
      <c r="D8648" s="1" t="s">
        <v>12956</v>
      </c>
      <c r="E8648" s="1" t="s">
        <v>2156</v>
      </c>
      <c r="F8648" s="1" t="s">
        <v>12957</v>
      </c>
      <c r="G8648" s="1" t="s">
        <v>36</v>
      </c>
      <c r="H8648" s="1" t="s">
        <v>29</v>
      </c>
      <c r="I8648" s="1" t="str">
        <f ca="1">IFERROR(__xludf.DUMMYFUNCTION("GOOGLETRANSLATE(F8648, ""auto"", ""en"")
"),"I am a mother of three children, which means I do a lot of ironing every day! I have been using this iron for five years and am very pleased. His poor guy was dropped, people drew on him, etc., he doesn’t care! And only a couple of days after it started l"&amp;"eaking, it needs to be changed. But I will take the same one. And I advise you from the bottom of my heart!")</f>
        <v>I am a mother of three children, which means I do a lot of ironing every day! I have been using this iron for five years and am very pleased. His poor guy was dropped, people drew on him, etc., he doesn’t care! And only a couple of days after it started leaking, it needs to be changed. But I will take the same one. And I advise you from the bottom of my heart!</v>
      </c>
    </row>
    <row r="8649" spans="1:9" x14ac:dyDescent="0.3">
      <c r="A8649" s="1" t="s">
        <v>30</v>
      </c>
      <c r="B8649" s="1" t="s">
        <v>50</v>
      </c>
      <c r="C8649" s="1" t="s">
        <v>32</v>
      </c>
      <c r="D8649" s="1" t="s">
        <v>152</v>
      </c>
      <c r="E8649" s="1" t="s">
        <v>849</v>
      </c>
      <c r="F8649" s="1" t="s">
        <v>12958</v>
      </c>
      <c r="G8649" s="1" t="s">
        <v>36</v>
      </c>
      <c r="H8649" s="1" t="s">
        <v>29</v>
      </c>
      <c r="I8649" s="1" t="str">
        <f ca="1">IFERROR(__xludf.DUMMYFUNCTION("GOOGLETRANSLATE(F8649, ""auto"", ""en"")
"),"I decided to put 8 gigs of RAM there (2 chips of 4 gigs each) and after that GTA4 and Test drive Ulimited flew without any small or large brakes!!! I was very pleased!  I recommend everyone to do this!!!")</f>
        <v>I decided to put 8 gigs of RAM there (2 chips of 4 gigs each) and after that GTA4 and Test drive Ulimited flew without any small or large brakes!!! I was very pleased!  I recommend everyone to do this!!!</v>
      </c>
    </row>
    <row r="8650" spans="1:9" x14ac:dyDescent="0.3">
      <c r="A8650" s="1" t="s">
        <v>369</v>
      </c>
      <c r="B8650" s="1" t="s">
        <v>587</v>
      </c>
      <c r="C8650" s="1" t="s">
        <v>19</v>
      </c>
      <c r="D8650" s="1" t="s">
        <v>52</v>
      </c>
      <c r="E8650" s="1" t="s">
        <v>1452</v>
      </c>
      <c r="F8650" s="1" t="s">
        <v>12959</v>
      </c>
      <c r="G8650" s="1" t="s">
        <v>36</v>
      </c>
      <c r="H8650" s="1" t="s">
        <v>29</v>
      </c>
      <c r="I8650" s="1" t="str">
        <f ca="1">IFERROR(__xludf.DUMMYFUNCTION("GOOGLETRANSLATE(F8650, ""auto"", ""en"")
"),"We bought it a year ago, we are very pleased, everything works without problems. Automatic ignition, gas control, grill with spit, timer-alarm clock - very convenient. I recommend it to everyone!")</f>
        <v>We bought it a year ago, we are very pleased, everything works without problems. Automatic ignition, gas control, grill with spit, timer-alarm clock - very convenient. I recommend it to everyone!</v>
      </c>
    </row>
    <row r="8651" spans="1:9" x14ac:dyDescent="0.3">
      <c r="A8651" s="1" t="s">
        <v>120</v>
      </c>
      <c r="B8651" s="1" t="s">
        <v>256</v>
      </c>
      <c r="C8651" s="1" t="s">
        <v>257</v>
      </c>
      <c r="D8651" s="1" t="s">
        <v>8363</v>
      </c>
      <c r="E8651" s="1" t="s">
        <v>1406</v>
      </c>
      <c r="F8651" s="1" t="s">
        <v>12960</v>
      </c>
      <c r="G8651" s="1" t="s">
        <v>49</v>
      </c>
      <c r="H8651" s="1" t="s">
        <v>16</v>
      </c>
      <c r="I8651" s="1" t="str">
        <f ca="1">IFERROR(__xludf.DUMMYFUNCTION("GOOGLETRANSLATE(F8651, ""auto"", ""en"")
"),"How does a TV monitor not work with a resolution of 1680x1050 pixels - maybe there is a firmware problem???")</f>
        <v>How does a TV monitor not work with a resolution of 1680x1050 pixels - maybe there is a firmware problem???</v>
      </c>
    </row>
    <row r="8652" spans="1:9" x14ac:dyDescent="0.3">
      <c r="A8652" s="1" t="s">
        <v>61</v>
      </c>
      <c r="B8652" s="1" t="s">
        <v>145</v>
      </c>
      <c r="C8652" s="1" t="s">
        <v>246</v>
      </c>
      <c r="D8652" s="1" t="s">
        <v>12961</v>
      </c>
      <c r="E8652" s="1" t="s">
        <v>4248</v>
      </c>
      <c r="F8652" s="1" t="s">
        <v>12962</v>
      </c>
      <c r="G8652" s="1" t="s">
        <v>36</v>
      </c>
      <c r="H8652" s="1" t="s">
        <v>29</v>
      </c>
      <c r="I8652" s="1" t="str">
        <f ca="1">IFERROR(__xludf.DUMMYFUNCTION("GOOGLETRANSLATE(F8652, ""auto"", ""en"")
"),"I really liked the deep fryer. Small, light, compact. If you want a large portion, then everyone needs to cook separately. The basket is small, but it cooks quite quickly and it’s not a problem to throw it in several times in a row, which is what we do. T"&amp;"he potatoes turn out very tasty. So the only advantages are that they are compact, easy to wash and everything turns out very tasty. I recommend it!")</f>
        <v>I really liked the deep fryer. Small, light, compact. If you want a large portion, then everyone needs to cook separately. The basket is small, but it cooks quite quickly and it’s not a problem to throw it in several times in a row, which is what we do. The potatoes turn out very tasty. So the only advantages are that they are compact, easy to wash and everything turns out very tasty. I recommend it!</v>
      </c>
    </row>
    <row r="8653" spans="1:9" x14ac:dyDescent="0.3">
      <c r="A8653" s="1" t="s">
        <v>105</v>
      </c>
      <c r="B8653" s="1" t="s">
        <v>106</v>
      </c>
      <c r="C8653" s="1" t="s">
        <v>69</v>
      </c>
      <c r="D8653" s="1" t="s">
        <v>12963</v>
      </c>
      <c r="E8653" s="1" t="s">
        <v>1122</v>
      </c>
      <c r="F8653" s="1" t="s">
        <v>12964</v>
      </c>
      <c r="G8653" s="1" t="s">
        <v>28</v>
      </c>
      <c r="H8653" s="1" t="s">
        <v>29</v>
      </c>
      <c r="I8653" s="1" t="str">
        <f ca="1">IFERROR(__xludf.DUMMYFUNCTION("GOOGLETRANSLATE(F8653, ""auto"", ""en"")
"),"There is rewind, you just need to be able to press normally. Charging lasts a long time. Built-in USB is a plus for me. minus - I bought it in June (now August), so when you put it on charge in the computer, everything freezes and sees the songs, then it "&amp;"opens. does not turn on. I don’t know what’s wrong with him. I'll go change it.")</f>
        <v>There is rewind, you just need to be able to press normally. Charging lasts a long time. Built-in USB is a plus for me. minus - I bought it in June (now August), so when you put it on charge in the computer, everything freezes and sees the songs, then it opens. does not turn on. I don’t know what’s wrong with him. I'll go change it.</v>
      </c>
    </row>
    <row r="8654" spans="1:9" x14ac:dyDescent="0.3">
      <c r="A8654" s="1" t="s">
        <v>61</v>
      </c>
      <c r="B8654" s="1" t="s">
        <v>145</v>
      </c>
      <c r="C8654" s="1" t="s">
        <v>246</v>
      </c>
      <c r="D8654" s="1" t="s">
        <v>12965</v>
      </c>
      <c r="E8654" s="1" t="s">
        <v>6111</v>
      </c>
      <c r="F8654" s="1" t="s">
        <v>12966</v>
      </c>
      <c r="G8654" s="1" t="s">
        <v>28</v>
      </c>
      <c r="H8654" s="1" t="s">
        <v>29</v>
      </c>
      <c r="I8654" s="1" t="str">
        <f ca="1">IFERROR(__xludf.DUMMYFUNCTION("GOOGLETRANSLATE(F8654, ""auto"", ""en"")
"),"Good value for money For 2 people - an excellent option - you don’t need a lot of oil, the oil heats up quickly, and everything in it turns out very tasty!   the only drawback - as already mentioned here - is inconvenient to wash")</f>
        <v>Good value for money For 2 people - an excellent option - you don’t need a lot of oil, the oil heats up quickly, and everything in it turns out very tasty!   the only drawback - as already mentioned here - is inconvenient to wash</v>
      </c>
    </row>
    <row r="8655" spans="1:9" x14ac:dyDescent="0.3">
      <c r="A8655" s="1" t="s">
        <v>30</v>
      </c>
      <c r="B8655" s="1" t="s">
        <v>31</v>
      </c>
      <c r="C8655" s="1" t="s">
        <v>32</v>
      </c>
      <c r="D8655" s="1" t="s">
        <v>327</v>
      </c>
      <c r="E8655" s="1" t="s">
        <v>391</v>
      </c>
      <c r="F8655" s="1" t="s">
        <v>12967</v>
      </c>
      <c r="G8655" s="1" t="s">
        <v>36</v>
      </c>
      <c r="H8655" s="1" t="s">
        <v>29</v>
      </c>
      <c r="I8655" s="1" t="str">
        <f ca="1">IFERROR(__xludf.DUMMYFUNCTION("GOOGLETRANSLATE(F8655, ""auto"", ""en"")
"),"Excellent product Performance level, although I had to increase the speed of the video card cooler, as it gets quite hot (I increased it with MSI Afterburner) &gt;&gt;&gt;&gt;&gt;&gt;In principle, I can’t say anything good. If I had known, I wouldn't have bought it at all."&amp;" When I bought it, not a week had passed before Windows began to fly off. it works poorly. I called the technician, he also can’t understand what the reason is. the computer loses all data, began to make quite a lot of noise, although it’s not even a mont"&amp;"h old.&gt;&gt;&gt;&gt;&gt;&gt; And what exactly is warranty repair for? Within two weeks you can exchange a faulty product for a working one, without much difficulty")</f>
        <v>Excellent product Performance level, although I had to increase the speed of the video card cooler, as it gets quite hot (I increased it with MSI Afterburner) &gt;&gt;&gt;&gt;&gt;&gt;In principle, I can’t say anything good. If I had known, I wouldn't have bought it at all. When I bought it, not a week had passed before Windows began to fly off. it works poorly. I called the technician, he also can’t understand what the reason is. the computer loses all data, began to make quite a lot of noise, although it’s not even a month old.&gt;&gt;&gt;&gt;&gt;&gt; And what exactly is warranty repair for? Within two weeks you can exchange a faulty product for a working one, without much difficulty</v>
      </c>
    </row>
    <row r="8656" spans="1:9" x14ac:dyDescent="0.3">
      <c r="A8656" s="1" t="s">
        <v>61</v>
      </c>
      <c r="B8656" s="1" t="s">
        <v>318</v>
      </c>
      <c r="C8656" s="1" t="s">
        <v>246</v>
      </c>
      <c r="D8656" s="1" t="s">
        <v>345</v>
      </c>
      <c r="E8656" s="1" t="s">
        <v>5767</v>
      </c>
      <c r="F8656" s="1" t="s">
        <v>12968</v>
      </c>
      <c r="G8656" s="1" t="s">
        <v>15</v>
      </c>
      <c r="H8656" s="1" t="s">
        <v>16</v>
      </c>
      <c r="I8656" s="1" t="str">
        <f ca="1">IFERROR(__xludf.DUMMYFUNCTION("GOOGLETRANSLATE(F8656, ""auto"", ""en"")
"),"Bad kettle. After a month of work, the lid fell off and works like a jet plane.")</f>
        <v>Bad kettle. After a month of work, the lid fell off and works like a jet plane.</v>
      </c>
    </row>
    <row r="8657" spans="1:9" x14ac:dyDescent="0.3">
      <c r="A8657" s="1" t="s">
        <v>149</v>
      </c>
      <c r="B8657" s="1" t="s">
        <v>150</v>
      </c>
      <c r="C8657" s="1" t="s">
        <v>6732</v>
      </c>
      <c r="D8657" s="1" t="s">
        <v>64</v>
      </c>
      <c r="E8657" s="1" t="s">
        <v>2640</v>
      </c>
      <c r="F8657" s="1" t="s">
        <v>12969</v>
      </c>
      <c r="G8657" s="1" t="s">
        <v>28</v>
      </c>
      <c r="H8657" s="1" t="s">
        <v>29</v>
      </c>
      <c r="I8657" s="1" t="str">
        <f ca="1">IFERROR(__xludf.DUMMYFUNCTION("GOOGLETRANSLATE(F8657, ""auto"", ""en"")
"),"Advantages: 1. Cleans well;   2. It is no more noisy than the others Among the disadvantages: 1. Large dimensions, 2. Impossibility of vertical parking 3. The container for water and garbage is too “crooked” (you can’t rinse completely the first time, whe"&amp;"n washing something always gets stuck somewhere)")</f>
        <v>Advantages: 1. Cleans well;   2. It is no more noisy than the others Among the disadvantages: 1. Large dimensions, 2. Impossibility of vertical parking 3. The container for water and garbage is too “crooked” (you can’t rinse completely the first time, when washing something always gets stuck somewhere)</v>
      </c>
    </row>
    <row r="8658" spans="1:9" x14ac:dyDescent="0.3">
      <c r="A8658" s="1" t="s">
        <v>61</v>
      </c>
      <c r="B8658" s="1" t="s">
        <v>180</v>
      </c>
      <c r="C8658" s="1" t="s">
        <v>246</v>
      </c>
      <c r="D8658" s="1" t="s">
        <v>39</v>
      </c>
      <c r="E8658" s="1" t="s">
        <v>886</v>
      </c>
      <c r="F8658" s="1" t="s">
        <v>12970</v>
      </c>
      <c r="G8658" s="1" t="s">
        <v>36</v>
      </c>
      <c r="H8658" s="1" t="s">
        <v>29</v>
      </c>
      <c r="I8658" s="1" t="str">
        <f ca="1">IFERROR(__xludf.DUMMYFUNCTION("GOOGLETRANSLATE(F8658, ""auto"", ""en"")
"),"We already have the second such toaster, one at the dacha and the other at home... The toasts turn out very tasty, the bread does not burn... A very practical model, and for the money I advise everyone to buy it =)")</f>
        <v>We already have the second such toaster, one at the dacha and the other at home... The toasts turn out very tasty, the bread does not burn... A very practical model, and for the money I advise everyone to buy it =)</v>
      </c>
    </row>
    <row r="8659" spans="1:9" x14ac:dyDescent="0.3">
      <c r="A8659" s="1" t="s">
        <v>30</v>
      </c>
      <c r="B8659" s="1" t="s">
        <v>50</v>
      </c>
      <c r="C8659" s="1" t="s">
        <v>694</v>
      </c>
      <c r="D8659" s="1" t="s">
        <v>12971</v>
      </c>
      <c r="E8659" s="1" t="s">
        <v>905</v>
      </c>
      <c r="F8659" s="1" t="s">
        <v>12972</v>
      </c>
      <c r="G8659" s="1" t="s">
        <v>36</v>
      </c>
      <c r="H8659" s="1" t="s">
        <v>29</v>
      </c>
      <c r="I8659" s="1" t="str">
        <f ca="1">IFERROR(__xludf.DUMMYFUNCTION("GOOGLETRANSLATE(F8659, ""auto"", ""en"")
"),"Great netbook!  The only one in this class whose memory is expandable to 3 GB. Immediately after the purchase I bought a 2 GB module, now it costs the maximum that WinXP supports. Video in HD format is played back without any brakes. The brightness and co"&amp;"lor saturation of the screen are simply excellent.    In addition, unlike its classmates, it supports Bluetooth.    Very light. The keyboard is a standard size, the buttons are not reduced like on 10-inch models.    You won't find a better netbook for thi"&amp;"s price. I’ve been working for 3 months and couldn’t be happier.")</f>
        <v>Great netbook!  The only one in this class whose memory is expandable to 3 GB. Immediately after the purchase I bought a 2 GB module, now it costs the maximum that WinXP supports. Video in HD format is played back without any brakes. The brightness and color saturation of the screen are simply excellent.    In addition, unlike its classmates, it supports Bluetooth.    Very light. The keyboard is a standard size, the buttons are not reduced like on 10-inch models.    You won't find a better netbook for this price. I’ve been working for 3 months and couldn’t be happier.</v>
      </c>
    </row>
    <row r="8660" spans="1:9" x14ac:dyDescent="0.3">
      <c r="A8660" s="1" t="s">
        <v>9</v>
      </c>
      <c r="B8660" s="1" t="s">
        <v>23</v>
      </c>
      <c r="C8660" s="1" t="s">
        <v>466</v>
      </c>
      <c r="D8660" s="1" t="s">
        <v>295</v>
      </c>
      <c r="E8660" s="1" t="s">
        <v>7627</v>
      </c>
      <c r="F8660" s="1" t="s">
        <v>1693</v>
      </c>
      <c r="G8660" s="1" t="s">
        <v>36</v>
      </c>
      <c r="H8660" s="1" t="s">
        <v>29</v>
      </c>
      <c r="I8660" s="1" t="str">
        <f ca="1">IFERROR(__xludf.DUMMYFUNCTION("GOOGLETRANSLATE(F8660, ""auto"", ""en"")
"),"Price")</f>
        <v>Price</v>
      </c>
    </row>
    <row r="8661" spans="1:9" x14ac:dyDescent="0.3">
      <c r="A8661" s="1" t="s">
        <v>55</v>
      </c>
      <c r="B8661" s="1" t="s">
        <v>752</v>
      </c>
      <c r="C8661" s="1" t="s">
        <v>185</v>
      </c>
      <c r="D8661" s="1" t="s">
        <v>12973</v>
      </c>
      <c r="E8661" s="1" t="s">
        <v>2063</v>
      </c>
      <c r="F8661" s="1" t="s">
        <v>12974</v>
      </c>
      <c r="G8661" s="1" t="s">
        <v>36</v>
      </c>
      <c r="H8661" s="1" t="s">
        <v>29</v>
      </c>
      <c r="I8661" s="1" t="str">
        <f ca="1">IFERROR(__xludf.DUMMYFUNCTION("GOOGLETRANSLATE(F8661, ""auto"", ""en"")
"),"The assembly is not from China, but from Russia.")</f>
        <v>The assembly is not from China, but from Russia.</v>
      </c>
    </row>
    <row r="8662" spans="1:9" x14ac:dyDescent="0.3">
      <c r="A8662" s="1" t="s">
        <v>557</v>
      </c>
      <c r="B8662" s="1" t="s">
        <v>558</v>
      </c>
      <c r="C8662" s="1" t="s">
        <v>1921</v>
      </c>
      <c r="D8662" s="1" t="s">
        <v>12</v>
      </c>
      <c r="E8662" s="1" t="s">
        <v>820</v>
      </c>
      <c r="F8662" s="1" t="s">
        <v>12975</v>
      </c>
      <c r="G8662" s="1" t="s">
        <v>36</v>
      </c>
      <c r="H8662" s="1" t="s">
        <v>29</v>
      </c>
      <c r="I8662" s="1" t="str">
        <f ca="1">IFERROR(__xludf.DUMMYFUNCTION("GOOGLETRANSLATE(F8662, ""auto"", ""en"")
"),"Excellent phone, good design, beeps loudly, 10 melodies and all are funny, I especially like 1 and 10. Buy it, you won’t regret it")</f>
        <v>Excellent phone, good design, beeps loudly, 10 melodies and all are funny, I especially like 1 and 10. Buy it, you won’t regret it</v>
      </c>
    </row>
    <row r="8663" spans="1:9" x14ac:dyDescent="0.3">
      <c r="A8663" s="1" t="s">
        <v>30</v>
      </c>
      <c r="B8663" s="1" t="s">
        <v>50</v>
      </c>
      <c r="C8663" s="1" t="s">
        <v>658</v>
      </c>
      <c r="D8663" s="1" t="s">
        <v>12976</v>
      </c>
      <c r="E8663" s="1" t="s">
        <v>1216</v>
      </c>
      <c r="F8663" s="1" t="s">
        <v>12977</v>
      </c>
      <c r="G8663" s="1" t="s">
        <v>36</v>
      </c>
      <c r="H8663" s="1" t="s">
        <v>29</v>
      </c>
      <c r="I8663" s="1" t="str">
        <f ca="1">IFERROR(__xludf.DUMMYFUNCTION("GOOGLETRANSLATE(F8663, ""auto"", ""en"")
"),"A good laptop for not a lot of money; in other stores it is several thousand more expensive.")</f>
        <v>A good laptop for not a lot of money; in other stores it is several thousand more expensive.</v>
      </c>
    </row>
    <row r="8664" spans="1:9" x14ac:dyDescent="0.3">
      <c r="A8664" s="1" t="s">
        <v>37</v>
      </c>
      <c r="B8664" s="1" t="s">
        <v>38</v>
      </c>
      <c r="C8664" s="1" t="s">
        <v>151</v>
      </c>
      <c r="D8664" s="1" t="s">
        <v>9739</v>
      </c>
      <c r="E8664" s="1" t="s">
        <v>164</v>
      </c>
      <c r="F8664" s="1" t="s">
        <v>12978</v>
      </c>
      <c r="G8664" s="1" t="s">
        <v>36</v>
      </c>
      <c r="H8664" s="1" t="s">
        <v>29</v>
      </c>
      <c r="I8664" s="1" t="str">
        <f ca="1">IFERROR(__xludf.DUMMYFUNCTION("GOOGLETRANSLATE(F8664, ""auto"", ""en"")
"),"great phone!!!")</f>
        <v>great phone!!!</v>
      </c>
    </row>
    <row r="8665" spans="1:9" x14ac:dyDescent="0.3">
      <c r="A8665" s="1" t="s">
        <v>211</v>
      </c>
      <c r="B8665" s="1" t="s">
        <v>2818</v>
      </c>
      <c r="C8665" s="1" t="s">
        <v>213</v>
      </c>
      <c r="D8665" s="1" t="s">
        <v>12979</v>
      </c>
      <c r="E8665" s="1" t="s">
        <v>3262</v>
      </c>
      <c r="F8665" s="1" t="s">
        <v>12980</v>
      </c>
      <c r="G8665" s="1" t="s">
        <v>36</v>
      </c>
      <c r="H8665" s="1" t="s">
        <v>29</v>
      </c>
      <c r="I8665" s="1" t="str">
        <f ca="1">IFERROR(__xludf.DUMMYFUNCTION("GOOGLETRANSLATE(F8665, ""auto"", ""en"")
"),"I’ve been using a Brown razor for about a year now, I haven’t had any problems for a long time, but recently I’ve started to have a bad shave. And my position is such that it doesn’t allow me to grow stubble, I have to be clean and smooth shaven every day"&amp;", otherwise I would get a reprimand, etc., but I don’t need this for a hundred years.. I consulted with friends, they said that most likely the shaving foil had already worn out and needed to be changed. I thought that it would cost me a pretty penny and "&amp;"would be quite worth it, but I still went to buy it. I found a suitable mesh in your store, and even with a cutting unit.  It turned out that it only costs a thousand rubles, I thought the price would be three to four times higher. Well, I bought it. Ther"&amp;"e were no problems at all with the replacement, everything changed very easily, I did it in five ten minutes. Now the razor shaves as well as before, no problems. I shave every morning and look beautiful and presentable again.")</f>
        <v>I’ve been using a Brown razor for about a year now, I haven’t had any problems for a long time, but recently I’ve started to have a bad shave. And my position is such that it doesn’t allow me to grow stubble, I have to be clean and smooth shaven every day, otherwise I would get a reprimand, etc., but I don’t need this for a hundred years.. I consulted with friends, they said that most likely the shaving foil had already worn out and needed to be changed. I thought that it would cost me a pretty penny and would be quite worth it, but I still went to buy it. I found a suitable mesh in your store, and even with a cutting unit.  It turned out that it only costs a thousand rubles, I thought the price would be three to four times higher. Well, I bought it. There were no problems at all with the replacement, everything changed very easily, I did it in five ten minutes. Now the razor shaves as well as before, no problems. I shave every morning and look beautiful and presentable again.</v>
      </c>
    </row>
    <row r="8666" spans="1:9" x14ac:dyDescent="0.3">
      <c r="A8666" s="1" t="s">
        <v>169</v>
      </c>
      <c r="B8666" s="1" t="s">
        <v>170</v>
      </c>
      <c r="C8666" s="1" t="s">
        <v>193</v>
      </c>
      <c r="D8666" s="1" t="s">
        <v>2343</v>
      </c>
      <c r="E8666" s="1" t="s">
        <v>3999</v>
      </c>
      <c r="F8666" s="1" t="s">
        <v>12981</v>
      </c>
      <c r="G8666" s="1" t="s">
        <v>36</v>
      </c>
      <c r="H8666" s="1" t="s">
        <v>29</v>
      </c>
      <c r="I8666" s="1" t="str">
        <f ca="1">IFERROR(__xludf.DUMMYFUNCTION("GOOGLETRANSLATE(F8666, ""auto"", ""en"")
"),"I chose headphones with a volume control, these were the most promising among headphones with a volume control. I bought it and didn’t regret it. Perhaps more expensive models will play much better, but as a person who has owned a lot of different headpho"&amp;"nes throughout my life, I can say that the quality of this model is excellent. The sound is pleasant, you can feel the bass, there is a convenient fork when running the wires to your ears. The rubberized wire strains - when you begin to untangle the inter"&amp;"twined wires with a linear movement of your finger to the speakers, the rubber greatly interferes with this. The volume control does not reduce it to zero, it’s a pity, but this is the case with all such headphones. ((Who needs headphones with volume cont"&amp;"rol - feel free to take them.")</f>
        <v>I chose headphones with a volume control, these were the most promising among headphones with a volume control. I bought it and didn’t regret it. Perhaps more expensive models will play much better, but as a person who has owned a lot of different headphones throughout my life, I can say that the quality of this model is excellent. The sound is pleasant, you can feel the bass, there is a convenient fork when running the wires to your ears. The rubberized wire strains - when you begin to untangle the intertwined wires with a linear movement of your finger to the speakers, the rubber greatly interferes with this. The volume control does not reduce it to zero, it’s a pity, but this is the case with all such headphones. ((Who needs headphones with volume control - feel free to take them.</v>
      </c>
    </row>
    <row r="8667" spans="1:9" x14ac:dyDescent="0.3">
      <c r="A8667" s="1" t="s">
        <v>965</v>
      </c>
      <c r="B8667" s="1" t="s">
        <v>966</v>
      </c>
      <c r="C8667" s="1" t="s">
        <v>967</v>
      </c>
      <c r="D8667" s="1" t="s">
        <v>232</v>
      </c>
      <c r="E8667" s="1" t="s">
        <v>4873</v>
      </c>
      <c r="F8667" s="1" t="s">
        <v>12982</v>
      </c>
      <c r="G8667" s="1" t="s">
        <v>28</v>
      </c>
      <c r="H8667" s="1" t="s">
        <v>29</v>
      </c>
      <c r="I8667" s="1" t="str">
        <f ca="1">IFERROR(__xludf.DUMMYFUNCTION("GOOGLETRANSLATE(F8667, ""auto"", ""en"")
"),"The sound is good, it gets better if you move 2 meters away from the speakers, then the bass becomes richer. I recommend placing it further away from the computer because... Bass eat up close.    +Compact +Quite powerful +Appearance -This is not wood, pre"&amp;"ssed cardboard or sawdust -Very simple base of elements -Only 4 years of operation")</f>
        <v>The sound is good, it gets better if you move 2 meters away from the speakers, then the bass becomes richer. I recommend placing it further away from the computer because... Bass eat up close.    +Compact +Quite powerful +Appearance -This is not wood, pressed cardboard or sawdust -Very simple base of elements -Only 4 years of operation</v>
      </c>
    </row>
    <row r="8668" spans="1:9" x14ac:dyDescent="0.3">
      <c r="A8668" s="1" t="s">
        <v>61</v>
      </c>
      <c r="B8668" s="1" t="s">
        <v>224</v>
      </c>
      <c r="C8668" s="1" t="s">
        <v>101</v>
      </c>
      <c r="D8668" s="1" t="s">
        <v>327</v>
      </c>
      <c r="E8668" s="1" t="s">
        <v>5183</v>
      </c>
      <c r="F8668" s="1" t="s">
        <v>12983</v>
      </c>
      <c r="G8668" s="1" t="s">
        <v>36</v>
      </c>
      <c r="H8668" s="1" t="s">
        <v>29</v>
      </c>
      <c r="I8668" s="1" t="str">
        <f ca="1">IFERROR(__xludf.DUMMYFUNCTION("GOOGLETRANSLATE(F8668, ""auto"", ""en"")
"),"This juicer is very high quality. I recommend this model. Having bought this juicer, I decided to squeeze apple juice, and in the end I was able to squeeze out 300 ml of juice. It is not noisy, it squeezes well. Doesn't get dirty.")</f>
        <v>This juicer is very high quality. I recommend this model. Having bought this juicer, I decided to squeeze apple juice, and in the end I was able to squeeze out 300 ml of juice. It is not noisy, it squeezes well. Doesn't get dirty.</v>
      </c>
    </row>
    <row r="8669" spans="1:9" x14ac:dyDescent="0.3">
      <c r="A8669" s="1" t="s">
        <v>55</v>
      </c>
      <c r="B8669" s="1" t="s">
        <v>184</v>
      </c>
      <c r="C8669" s="1" t="s">
        <v>45</v>
      </c>
      <c r="D8669" s="1" t="s">
        <v>12984</v>
      </c>
      <c r="E8669" s="1" t="s">
        <v>3089</v>
      </c>
      <c r="F8669" s="1" t="s">
        <v>12985</v>
      </c>
      <c r="G8669" s="1" t="s">
        <v>28</v>
      </c>
      <c r="H8669" s="1" t="s">
        <v>29</v>
      </c>
      <c r="I8669" s="1" t="str">
        <f ca="1">IFERROR(__xludf.DUMMYFUNCTION("GOOGLETRANSLATE(F8669, ""auto"", ""en"")
"),"I bought this quite nice heater over the weekend. It's easy to use, doesn't take up much space, and warms the room very quickly. I was pleased that it was not noisy, like our previous heater of an unknown brand. Overall, I'm glad I decided to leave a revi"&amp;"ew.")</f>
        <v>I bought this quite nice heater over the weekend. It's easy to use, doesn't take up much space, and warms the room very quickly. I was pleased that it was not noisy, like our previous heater of an unknown brand. Overall, I'm glad I decided to leave a review.</v>
      </c>
    </row>
    <row r="8670" spans="1:9" x14ac:dyDescent="0.3">
      <c r="A8670" s="1" t="s">
        <v>149</v>
      </c>
      <c r="B8670" s="1" t="s">
        <v>150</v>
      </c>
      <c r="C8670" s="1" t="s">
        <v>151</v>
      </c>
      <c r="D8670" s="1" t="s">
        <v>152</v>
      </c>
      <c r="E8670" s="1" t="s">
        <v>194</v>
      </c>
      <c r="F8670" s="1" t="s">
        <v>12986</v>
      </c>
      <c r="G8670" s="1" t="s">
        <v>28</v>
      </c>
      <c r="H8670" s="1" t="s">
        <v>29</v>
      </c>
      <c r="I8670" s="1" t="str">
        <f ca="1">IFERROR(__xludf.DUMMYFUNCTION("GOOGLETRANSLATE(F8670, ""auto"", ""en"")
"),"It is assembled neatly, there is a cover, but the power is the same as that of 600-700 ruble Chinese self-propelled guns...")</f>
        <v>It is assembled neatly, there is a cover, but the power is the same as that of 600-700 ruble Chinese self-propelled guns...</v>
      </c>
    </row>
    <row r="8671" spans="1:9" x14ac:dyDescent="0.3">
      <c r="A8671" s="1" t="s">
        <v>624</v>
      </c>
      <c r="B8671" s="1" t="s">
        <v>625</v>
      </c>
      <c r="C8671" s="1" t="s">
        <v>479</v>
      </c>
      <c r="D8671" s="1" t="s">
        <v>12987</v>
      </c>
      <c r="E8671" s="1" t="s">
        <v>3890</v>
      </c>
      <c r="F8671" s="1" t="s">
        <v>12988</v>
      </c>
      <c r="G8671" s="1" t="s">
        <v>36</v>
      </c>
      <c r="H8671" s="1" t="s">
        <v>29</v>
      </c>
      <c r="I8671" s="1" t="str">
        <f ca="1">IFERROR(__xludf.DUMMYFUNCTION("GOOGLETRANSLATE(F8671, ""auto"", ""en"")
"),"The game is captivating from the first minutes!!! Interesting, memorable characters and a very exciting story in a post-apocalyptic New York overgrown with lush greenery!!!  I recommend it to all fans of adventure!!!")</f>
        <v>The game is captivating from the first minutes!!! Interesting, memorable characters and a very exciting story in a post-apocalyptic New York overgrown with lush greenery!!!  I recommend it to all fans of adventure!!!</v>
      </c>
    </row>
    <row r="8672" spans="1:9" x14ac:dyDescent="0.3">
      <c r="A8672" s="1" t="s">
        <v>120</v>
      </c>
      <c r="B8672" s="1" t="s">
        <v>256</v>
      </c>
      <c r="C8672" s="1" t="s">
        <v>32</v>
      </c>
      <c r="D8672" s="1" t="s">
        <v>12989</v>
      </c>
      <c r="E8672" s="1" t="s">
        <v>12311</v>
      </c>
      <c r="F8672" s="1" t="s">
        <v>12990</v>
      </c>
      <c r="G8672" s="1" t="s">
        <v>36</v>
      </c>
      <c r="H8672" s="1" t="s">
        <v>29</v>
      </c>
      <c r="I8672" s="1" t="str">
        <f ca="1">IFERROR(__xludf.DUMMYFUNCTION("GOOGLETRANSLATE(F8672, ""auto"", ""en"")
"),"The letter D means there are 4 holes for VESA mounting. Look at the markings when purchasing - this option is not available in the AT2355 model.  TV IS EXCELLENT. But when mounted on the wall, a rudimentary leg remains - i.e. The device has not fully evol"&amp;"ved from a monitor to a TV. It looks strange.")</f>
        <v>The letter D means there are 4 holes for VESA mounting. Look at the markings when purchasing - this option is not available in the AT2355 model.  TV IS EXCELLENT. But when mounted on the wall, a rudimentary leg remains - i.e. The device has not fully evolved from a monitor to a TV. It looks strange.</v>
      </c>
    </row>
    <row r="8673" spans="1:9" x14ac:dyDescent="0.3">
      <c r="A8673" s="1" t="s">
        <v>206</v>
      </c>
      <c r="B8673" s="1" t="s">
        <v>261</v>
      </c>
      <c r="C8673" s="1" t="s">
        <v>45</v>
      </c>
      <c r="D8673" s="1" t="s">
        <v>186</v>
      </c>
      <c r="E8673" s="1" t="s">
        <v>5736</v>
      </c>
      <c r="F8673" s="1" t="s">
        <v>12991</v>
      </c>
      <c r="G8673" s="1" t="s">
        <v>15</v>
      </c>
      <c r="H8673" s="1" t="s">
        <v>16</v>
      </c>
      <c r="I8673" s="1" t="str">
        <f ca="1">IFERROR(__xludf.DUMMYFUNCTION("GOOGLETRANSLATE(F8673, ""auto"", ""en"")
"),"A similar situation, I installed it, turned it on, the LED is on and that’s it, it’s as if there is no display :( I don’t understand what the reason is, I installed it strictly according to the instructions, although they advised me to connect it the firs"&amp;"t time through a light bulb. Maybe this is the reason, of course?")</f>
        <v>A similar situation, I installed it, turned it on, the LED is on and that’s it, it’s as if there is no display :( I don’t understand what the reason is, I installed it strictly according to the instructions, although they advised me to connect it the first time through a light bulb. Maybe this is the reason, of course?</v>
      </c>
    </row>
    <row r="8674" spans="1:9" x14ac:dyDescent="0.3">
      <c r="A8674" s="1" t="s">
        <v>120</v>
      </c>
      <c r="B8674" s="1" t="s">
        <v>834</v>
      </c>
      <c r="C8674" s="1" t="s">
        <v>97</v>
      </c>
      <c r="D8674" s="1" t="s">
        <v>12992</v>
      </c>
      <c r="E8674" s="1" t="s">
        <v>2535</v>
      </c>
      <c r="F8674" s="1" t="s">
        <v>12993</v>
      </c>
      <c r="G8674" s="1" t="s">
        <v>36</v>
      </c>
      <c r="H8674" s="1" t="s">
        <v>29</v>
      </c>
      <c r="I8674" s="1" t="str">
        <f ca="1">IFERROR(__xludf.DUMMYFUNCTION("GOOGLETRANSLATE(F8674, ""auto"", ""en"")
"),"I had to visit an m-video the other day, I was looking for a washing machine and then, while walking around the store, I came across this masterpiece. In general, I am a fan of quality, and I watched the cartoon through glasses.... I was stunned by the qu"&amp;"ality of the picture and was afraid when the pies were served on the screen that they would fall out of the TV)))")</f>
        <v>I had to visit an m-video the other day, I was looking for a washing machine and then, while walking around the store, I came across this masterpiece. In general, I am a fan of quality, and I watched the cartoon through glasses.... I was stunned by the quality of the picture and was afraid when the pies were served on the screen that they would fall out of the TV)))</v>
      </c>
    </row>
    <row r="8675" spans="1:9" x14ac:dyDescent="0.3">
      <c r="A8675" s="1" t="s">
        <v>9</v>
      </c>
      <c r="B8675" s="1" t="s">
        <v>10</v>
      </c>
      <c r="C8675" s="1" t="s">
        <v>407</v>
      </c>
      <c r="D8675" s="1" t="s">
        <v>39</v>
      </c>
      <c r="E8675" s="1" t="s">
        <v>5979</v>
      </c>
      <c r="F8675" s="1" t="s">
        <v>12994</v>
      </c>
      <c r="G8675" s="1" t="s">
        <v>36</v>
      </c>
      <c r="H8675" s="1" t="s">
        <v>29</v>
      </c>
      <c r="I8675" s="1" t="str">
        <f ca="1">IFERROR(__xludf.DUMMYFUNCTION("GOOGLETRANSLATE(F8675, ""auto"", ""en"")
"),"I previously left a review that the motor died after a month. More than a year has already passed since the repair (we replaced the motor assembly on site), everything works pah pah pah. Very powerful, so far we're happy...")</f>
        <v>I previously left a review that the motor died after a month. More than a year has already passed since the repair (we replaced the motor assembly on site), everything works pah pah pah. Very powerful, so far we're happy...</v>
      </c>
    </row>
    <row r="8676" spans="1:9" x14ac:dyDescent="0.3">
      <c r="A8676" s="1" t="s">
        <v>519</v>
      </c>
      <c r="B8676" s="1" t="s">
        <v>520</v>
      </c>
      <c r="C8676" s="1" t="s">
        <v>3571</v>
      </c>
      <c r="D8676" s="1" t="s">
        <v>86</v>
      </c>
      <c r="E8676" s="1" t="s">
        <v>12634</v>
      </c>
      <c r="F8676" s="1" t="s">
        <v>12995</v>
      </c>
      <c r="G8676" s="1" t="s">
        <v>36</v>
      </c>
      <c r="H8676" s="1" t="s">
        <v>29</v>
      </c>
      <c r="I8676" s="1" t="str">
        <f ca="1">IFERROR(__xludf.DUMMYFUNCTION("GOOGLETRANSLATE(F8676, ""auto"", ""en"")
"),"Just great, convenient, practical utensils. We've been using it for 10 years and no problems.")</f>
        <v>Just great, convenient, practical utensils. We've been using it for 10 years and no problems.</v>
      </c>
    </row>
    <row r="8677" spans="1:9" x14ac:dyDescent="0.3">
      <c r="A8677" s="1" t="s">
        <v>61</v>
      </c>
      <c r="B8677" s="1" t="s">
        <v>318</v>
      </c>
      <c r="C8677" s="1" t="s">
        <v>57</v>
      </c>
      <c r="D8677" s="1" t="s">
        <v>39</v>
      </c>
      <c r="E8677" s="1" t="s">
        <v>2614</v>
      </c>
      <c r="F8677" s="1" t="s">
        <v>12996</v>
      </c>
      <c r="G8677" s="1" t="s">
        <v>28</v>
      </c>
      <c r="H8677" s="1" t="s">
        <v>29</v>
      </c>
      <c r="I8677" s="1" t="str">
        <f ca="1">IFERROR(__xludf.DUMMYFUNCTION("GOOGLETRANSLATE(F8677, ""auto"", ""en"")
"),"Price, volume, convenient - you completely forget that you need to put the kettle on to boil)")</f>
        <v>Price, volume, convenient - you completely forget that you need to put the kettle on to boil)</v>
      </c>
    </row>
    <row r="8678" spans="1:9" x14ac:dyDescent="0.3">
      <c r="A8678" s="1" t="s">
        <v>9</v>
      </c>
      <c r="B8678" s="1" t="s">
        <v>137</v>
      </c>
      <c r="C8678" s="1" t="s">
        <v>134</v>
      </c>
      <c r="D8678" s="1" t="s">
        <v>152</v>
      </c>
      <c r="E8678" s="1" t="s">
        <v>3778</v>
      </c>
      <c r="F8678" s="1" t="s">
        <v>12997</v>
      </c>
      <c r="G8678" s="1" t="s">
        <v>15</v>
      </c>
      <c r="H8678" s="1" t="s">
        <v>16</v>
      </c>
      <c r="I8678" s="1" t="str">
        <f ca="1">IFERROR(__xludf.DUMMYFUNCTION("GOOGLETRANSLATE(F8678, ""auto"", ""en"")
"),"It worked for three years, then there was a short circuit and smoke, I called a technician from an authorized service center, he didn’t want to take on the repair because... the screws were stuck and he couldn’t take it apart, he took it apart himself, ra"&amp;"n diagnostics, the ignition unit was faulty, but they couldn’t put it back together. The screws do not screw back in; one broke when screwing it in. The conclusion is disappointing: it’s a one-time thing, depending on your luck.")</f>
        <v>It worked for three years, then there was a short circuit and smoke, I called a technician from an authorized service center, he didn’t want to take on the repair because... the screws were stuck and he couldn’t take it apart, he took it apart himself, ran diagnostics, the ignition unit was faulty, but they couldn’t put it back together. The screws do not screw back in; one broke when screwing it in. The conclusion is disappointing: it’s a one-time thing, depending on your luck.</v>
      </c>
    </row>
    <row r="8679" spans="1:9" x14ac:dyDescent="0.3">
      <c r="A8679" s="1" t="s">
        <v>206</v>
      </c>
      <c r="B8679" s="1" t="s">
        <v>207</v>
      </c>
      <c r="C8679" s="1" t="s">
        <v>262</v>
      </c>
      <c r="D8679" s="1" t="s">
        <v>52</v>
      </c>
      <c r="E8679" s="1" t="s">
        <v>367</v>
      </c>
      <c r="F8679" s="1" t="s">
        <v>12998</v>
      </c>
      <c r="G8679" s="1" t="s">
        <v>36</v>
      </c>
      <c r="H8679" s="1" t="s">
        <v>29</v>
      </c>
      <c r="I8679" s="1" t="str">
        <f ca="1">IFERROR(__xludf.DUMMYFUNCTION("GOOGLETRANSLATE(F8679, ""auto"", ""en"")
"),"Excellent device. One hundred percent fulfills its characteristics and cost.")</f>
        <v>Excellent device. One hundred percent fulfills its characteristics and cost.</v>
      </c>
    </row>
    <row r="8680" spans="1:9" x14ac:dyDescent="0.3">
      <c r="A8680" s="1" t="s">
        <v>9</v>
      </c>
      <c r="B8680" s="1" t="s">
        <v>137</v>
      </c>
      <c r="C8680" s="1" t="s">
        <v>63</v>
      </c>
      <c r="D8680" s="1" t="s">
        <v>12999</v>
      </c>
      <c r="E8680" s="1" t="s">
        <v>3975</v>
      </c>
      <c r="F8680" s="1" t="s">
        <v>13000</v>
      </c>
      <c r="G8680" s="1" t="s">
        <v>36</v>
      </c>
      <c r="H8680" s="1" t="s">
        <v>29</v>
      </c>
      <c r="I8680" s="1" t="str">
        <f ca="1">IFERROR(__xludf.DUMMYFUNCTION("GOOGLETRANSLATE(F8680, ""auto"", ""en"")
"),"I've been thinking about purchasing a panel like this for a long time, but I still couldn't find what I like. After reading a bunch of reviews, I realized that first I need to settle on the brand, this is Bosch. There were only 3 models in our store. I li"&amp;"ked this one because of its well-thought-out controls. For each burner there are 9 power levels, so far I’ve cooked at a maximum of 6. But it’s better, of course, to boil the kettle at maximum. There are no problems with care, I just wipe with a damp cell"&amp;"ulose cloth. The surface is not scratched, but for reliability I prefer to rearrange the dishes. The edges are frameless, the tabletop does not get hot.")</f>
        <v>I've been thinking about purchasing a panel like this for a long time, but I still couldn't find what I like. After reading a bunch of reviews, I realized that first I need to settle on the brand, this is Bosch. There were only 3 models in our store. I liked this one because of its well-thought-out controls. For each burner there are 9 power levels, so far I’ve cooked at a maximum of 6. But it’s better, of course, to boil the kettle at maximum. There are no problems with care, I just wipe with a damp cellulose cloth. The surface is not scratched, but for reliability I prefer to rearrange the dishes. The edges are frameless, the tabletop does not get hot.</v>
      </c>
    </row>
    <row r="8681" spans="1:9" x14ac:dyDescent="0.3">
      <c r="A8681" s="1" t="s">
        <v>78</v>
      </c>
      <c r="B8681" s="1" t="s">
        <v>1163</v>
      </c>
      <c r="C8681" s="1" t="s">
        <v>351</v>
      </c>
      <c r="D8681" s="1" t="s">
        <v>9466</v>
      </c>
      <c r="E8681" s="1" t="s">
        <v>2684</v>
      </c>
      <c r="F8681" s="1" t="s">
        <v>13001</v>
      </c>
      <c r="G8681" s="1" t="s">
        <v>36</v>
      </c>
      <c r="H8681" s="1" t="s">
        <v>29</v>
      </c>
      <c r="I8681" s="1" t="str">
        <f ca="1">IFERROR(__xludf.DUMMYFUNCTION("GOOGLETRANSLATE(F8681, ""auto"", ""en"")
"),"Bought this for my mom. she's delighted)")</f>
        <v>Bought this for my mom. she's delighted)</v>
      </c>
    </row>
    <row r="8682" spans="1:9" x14ac:dyDescent="0.3">
      <c r="A8682" s="1" t="s">
        <v>105</v>
      </c>
      <c r="B8682" s="1" t="s">
        <v>106</v>
      </c>
      <c r="C8682" s="1" t="s">
        <v>69</v>
      </c>
      <c r="D8682" s="1" t="s">
        <v>13002</v>
      </c>
      <c r="E8682" s="1" t="s">
        <v>817</v>
      </c>
      <c r="F8682" s="1" t="s">
        <v>13003</v>
      </c>
      <c r="G8682" s="1" t="s">
        <v>36</v>
      </c>
      <c r="H8682" s="1" t="s">
        <v>29</v>
      </c>
      <c r="I8682" s="1" t="str">
        <f ca="1">IFERROR(__xludf.DUMMYFUNCTION("GOOGLETRANSLATE(F8682, ""auto"", ""en"")
"),"People, a very good player, the sound quality is super! The headphones are very loud and high quality. The battery lasts for four days. Buy it - you won't regret it. If you have a pirated OS, you will have to mess around with the installation.")</f>
        <v>People, a very good player, the sound quality is super! The headphones are very loud and high quality. The battery lasts for four days. Buy it - you won't regret it. If you have a pirated OS, you will have to mess around with the installation.</v>
      </c>
    </row>
    <row r="8683" spans="1:9" x14ac:dyDescent="0.3">
      <c r="A8683" s="1" t="s">
        <v>169</v>
      </c>
      <c r="B8683" s="1" t="s">
        <v>170</v>
      </c>
      <c r="C8683" s="1" t="s">
        <v>69</v>
      </c>
      <c r="D8683" s="1" t="s">
        <v>2873</v>
      </c>
      <c r="E8683" s="1" t="s">
        <v>4027</v>
      </c>
      <c r="F8683" s="1" t="s">
        <v>13004</v>
      </c>
      <c r="G8683" s="1" t="s">
        <v>36</v>
      </c>
      <c r="H8683" s="1" t="s">
        <v>29</v>
      </c>
      <c r="I8683" s="1" t="str">
        <f ca="1">IFERROR(__xludf.DUMMYFUNCTION("GOOGLETRANSLATE(F8683, ""auto"", ""en"")
"),"Simply great! 5 years they are shy about the clear sound, at first I played it with a player, then with a phone now on a beech, through the x-fi surround 5.1 pro creative card you can go deaf, I listen at half the volume, otherwise my head will explode.")</f>
        <v>Simply great! 5 years they are shy about the clear sound, at first I played it with a player, then with a phone now on a beech, through the x-fi surround 5.1 pro creative card you can go deaf, I listen at half the volume, otherwise my head will explode.</v>
      </c>
    </row>
    <row r="8684" spans="1:9" x14ac:dyDescent="0.3">
      <c r="A8684" s="1" t="s">
        <v>43</v>
      </c>
      <c r="B8684" s="1" t="s">
        <v>502</v>
      </c>
      <c r="C8684" s="1" t="s">
        <v>151</v>
      </c>
      <c r="D8684" s="1" t="s">
        <v>568</v>
      </c>
      <c r="E8684" s="1" t="s">
        <v>395</v>
      </c>
      <c r="F8684" s="1" t="s">
        <v>13005</v>
      </c>
      <c r="G8684" s="1" t="s">
        <v>36</v>
      </c>
      <c r="H8684" s="1" t="s">
        <v>29</v>
      </c>
      <c r="I8684" s="1" t="str">
        <f ca="1">IFERROR(__xludf.DUMMYFUNCTION("GOOGLETRANSLATE(F8684, ""auto"", ""en"")
"),"I bought it, installed it myself, there’s nothing complicated, it’s quiet and powerful in a room (19m2) at 16 degrees, 30 minutes. then you can freeze.")</f>
        <v>I bought it, installed it myself, there’s nothing complicated, it’s quiet and powerful in a room (19m2) at 16 degrees, 30 minutes. then you can freeze.</v>
      </c>
    </row>
    <row r="8685" spans="1:9" x14ac:dyDescent="0.3">
      <c r="A8685" s="1" t="s">
        <v>120</v>
      </c>
      <c r="B8685" s="1" t="s">
        <v>1205</v>
      </c>
      <c r="C8685" s="1" t="s">
        <v>1430</v>
      </c>
      <c r="D8685" s="1" t="s">
        <v>13006</v>
      </c>
      <c r="E8685" s="1" t="s">
        <v>617</v>
      </c>
      <c r="F8685" s="1" t="s">
        <v>13007</v>
      </c>
      <c r="G8685" s="1" t="s">
        <v>49</v>
      </c>
      <c r="H8685" s="1" t="s">
        <v>16</v>
      </c>
      <c r="I8685" s="1" t="str">
        <f ca="1">IFERROR(__xludf.DUMMYFUNCTION("GOOGLETRANSLATE(F8685, ""auto"", ""en"")
"),"HD must be taken! yes expensive, so what, but quality")</f>
        <v>HD must be taken! yes expensive, so what, but quality</v>
      </c>
    </row>
    <row r="8686" spans="1:9" x14ac:dyDescent="0.3">
      <c r="A8686" s="1" t="s">
        <v>211</v>
      </c>
      <c r="B8686" s="1" t="s">
        <v>899</v>
      </c>
      <c r="C8686" s="1" t="s">
        <v>213</v>
      </c>
      <c r="D8686" s="1" t="s">
        <v>13008</v>
      </c>
      <c r="E8686" s="1" t="s">
        <v>10841</v>
      </c>
      <c r="F8686" s="1" t="s">
        <v>13009</v>
      </c>
      <c r="G8686" s="1" t="s">
        <v>36</v>
      </c>
      <c r="H8686" s="1" t="s">
        <v>29</v>
      </c>
      <c r="I8686" s="1" t="str">
        <f ca="1">IFERROR(__xludf.DUMMYFUNCTION("GOOGLETRANSLATE(F8686, ""auto"", ""en"")
"),"Good evening! So I decided to pamper myself and became the happy owner of the Oral-B Pro 500 brush. Now we are always together (2 minutes in the morning and 2 minutes before bed)! This is exactly the friend who promised (7600 directed movements per minute"&amp;", 20,000 pulsations per minute) and delivered, I really feel its fast and faithful work! As stated, charging via the network, operating time 30 minutes, and it works after recharging for 7 days and one more morning cleaning! I have quite sensitive gums, b"&amp;"ut it didn’t let me down either. Thank you, my favorite, and now only, brush.")</f>
        <v>Good evening! So I decided to pamper myself and became the happy owner of the Oral-B Pro 500 brush. Now we are always together (2 minutes in the morning and 2 minutes before bed)! This is exactly the friend who promised (7600 directed movements per minute, 20,000 pulsations per minute) and delivered, I really feel its fast and faithful work! As stated, charging via the network, operating time 30 minutes, and it works after recharging for 7 days and one more morning cleaning! I have quite sensitive gums, but it didn’t let me down either. Thank you, my favorite, and now only, brush.</v>
      </c>
    </row>
    <row r="8687" spans="1:9" x14ac:dyDescent="0.3">
      <c r="A8687" s="1" t="s">
        <v>120</v>
      </c>
      <c r="B8687" s="1" t="s">
        <v>121</v>
      </c>
      <c r="C8687" s="1" t="s">
        <v>80</v>
      </c>
      <c r="D8687" s="1" t="s">
        <v>13010</v>
      </c>
      <c r="E8687" s="1" t="s">
        <v>1540</v>
      </c>
      <c r="F8687" s="1" t="s">
        <v>13011</v>
      </c>
      <c r="G8687" s="1" t="s">
        <v>28</v>
      </c>
      <c r="H8687" s="1" t="s">
        <v>29</v>
      </c>
      <c r="I8687" s="1" t="str">
        <f ca="1">IFERROR(__xludf.DUMMYFUNCTION("GOOGLETRANSLATE(F8687, ""auto"", ""en"")
"),"The TV is excellent. I've had it for a year now. It shows FullHD movies especially well, I watch from a 16G flash drive, no DVD is needed, especially since DVD will show worse than from a flash drive. Over the course of a year, I became so frustrated that"&amp;" I stopped watching non-FullHD films.  The only minor drawback is the black level.  I first bought Philips, but then changed it to a ski.  For those who are planning to unlock USB, it already works on the lh5000.")</f>
        <v>The TV is excellent. I've had it for a year now. It shows FullHD movies especially well, I watch from a 16G flash drive, no DVD is needed, especially since DVD will show worse than from a flash drive. Over the course of a year, I became so frustrated that I stopped watching non-FullHD films.  The only minor drawback is the black level.  I first bought Philips, but then changed it to a ski.  For those who are planning to unlock USB, it already works on the lh5000.</v>
      </c>
    </row>
    <row r="8688" spans="1:9" x14ac:dyDescent="0.3">
      <c r="A8688" s="1" t="s">
        <v>43</v>
      </c>
      <c r="B8688" s="1" t="s">
        <v>334</v>
      </c>
      <c r="C8688" s="1" t="s">
        <v>57</v>
      </c>
      <c r="D8688" s="1" t="s">
        <v>58</v>
      </c>
      <c r="E8688" s="1" t="s">
        <v>634</v>
      </c>
      <c r="F8688" s="1" t="s">
        <v>13012</v>
      </c>
      <c r="G8688" s="1" t="s">
        <v>36</v>
      </c>
      <c r="H8688" s="1" t="s">
        <v>29</v>
      </c>
      <c r="I8688" s="1" t="str">
        <f ca="1">IFERROR(__xludf.DUMMYFUNCTION("GOOGLETRANSLATE(F8688, ""auto"", ""en"")
"),"Class, compact, blows well, quite quiet! very satisfied! the price is absolutely great!")</f>
        <v>Class, compact, blows well, quite quiet! very satisfied! the price is absolutely great!</v>
      </c>
    </row>
    <row r="8689" spans="1:9" x14ac:dyDescent="0.3">
      <c r="A8689" s="1" t="s">
        <v>37</v>
      </c>
      <c r="B8689" s="1" t="s">
        <v>38</v>
      </c>
      <c r="C8689" s="1" t="s">
        <v>151</v>
      </c>
      <c r="D8689" s="1" t="s">
        <v>240</v>
      </c>
      <c r="E8689" s="1" t="s">
        <v>460</v>
      </c>
      <c r="F8689" s="1" t="s">
        <v>13013</v>
      </c>
      <c r="G8689" s="1" t="s">
        <v>36</v>
      </c>
      <c r="H8689" s="1" t="s">
        <v>29</v>
      </c>
      <c r="I8689" s="1" t="str">
        <f ca="1">IFERROR(__xludf.DUMMYFUNCTION("GOOGLETRANSLATE(F8689, ""auto"", ""en"")
"),"The phone is awesome, I recommend it to everyone")</f>
        <v>The phone is awesome, I recommend it to everyone</v>
      </c>
    </row>
    <row r="8690" spans="1:9" x14ac:dyDescent="0.3">
      <c r="A8690" s="1" t="s">
        <v>211</v>
      </c>
      <c r="B8690" s="1" t="s">
        <v>212</v>
      </c>
      <c r="C8690" s="1" t="s">
        <v>57</v>
      </c>
      <c r="D8690" s="1" t="s">
        <v>295</v>
      </c>
      <c r="E8690" s="1" t="s">
        <v>1177</v>
      </c>
      <c r="F8690" s="1" t="s">
        <v>13014</v>
      </c>
      <c r="G8690" s="1" t="s">
        <v>36</v>
      </c>
      <c r="H8690" s="1" t="s">
        <v>29</v>
      </c>
      <c r="I8690" s="1" t="str">
        <f ca="1">IFERROR(__xludf.DUMMYFUNCTION("GOOGLETRANSLATE(F8690, ""auto"", ""en"")
"),"I’ve used it for 5.5 years, it’s never let me down, I’ve never had it repaired, it just burned out today, so I’m looking for a new one, something more modern... A top five!")</f>
        <v>I’ve used it for 5.5 years, it’s never let me down, I’ve never had it repaired, it just burned out today, so I’m looking for a new one, something more modern... A top five!</v>
      </c>
    </row>
    <row r="8691" spans="1:9" x14ac:dyDescent="0.3">
      <c r="A8691" s="1" t="s">
        <v>61</v>
      </c>
      <c r="B8691" s="1" t="s">
        <v>318</v>
      </c>
      <c r="C8691" s="1" t="s">
        <v>57</v>
      </c>
      <c r="D8691" s="1" t="s">
        <v>565</v>
      </c>
      <c r="E8691" s="1" t="s">
        <v>3159</v>
      </c>
      <c r="F8691" s="1" t="s">
        <v>13015</v>
      </c>
      <c r="G8691" s="1" t="s">
        <v>36</v>
      </c>
      <c r="H8691" s="1" t="s">
        <v>29</v>
      </c>
      <c r="I8691" s="1" t="str">
        <f ca="1">IFERROR(__xludf.DUMMYFUNCTION("GOOGLETRANSLATE(F8691, ""auto"", ""en"")
"),"We ordered this thermopot by bank transfer as a legal entity for our family mini-hotel. For a buffet - exactly what you need. You understand that based on the operating conditions, a functional, strong and durable model was needed. Well, as simple and saf"&amp;"e as possible. This is where everything came together in one. There were concerns about the operation of the pump, but they were not confirmed - everything works like clockwork, all the guests are happy, they understand where and which buttons to press in"&amp;" a matter of seconds. The controls are convenient and understandable. The pump and valve work flawlessly.")</f>
        <v>We ordered this thermopot by bank transfer as a legal entity for our family mini-hotel. For a buffet - exactly what you need. You understand that based on the operating conditions, a functional, strong and durable model was needed. Well, as simple and safe as possible. This is where everything came together in one. There were concerns about the operation of the pump, but they were not confirmed - everything works like clockwork, all the guests are happy, they understand where and which buttons to press in a matter of seconds. The controls are convenient and understandable. The pump and valve work flawlessly.</v>
      </c>
    </row>
    <row r="8692" spans="1:9" x14ac:dyDescent="0.3">
      <c r="A8692" s="1" t="s">
        <v>169</v>
      </c>
      <c r="B8692" s="1" t="s">
        <v>170</v>
      </c>
      <c r="C8692" s="1" t="s">
        <v>171</v>
      </c>
      <c r="D8692" s="1" t="s">
        <v>13016</v>
      </c>
      <c r="E8692" s="1" t="s">
        <v>2686</v>
      </c>
      <c r="F8692" s="1" t="s">
        <v>13017</v>
      </c>
      <c r="G8692" s="1" t="s">
        <v>36</v>
      </c>
      <c r="H8692" s="1" t="s">
        <v>29</v>
      </c>
      <c r="I8692" s="1" t="str">
        <f ca="1">IFERROR(__xludf.DUMMYFUNCTION("GOOGLETRANSLATE(F8692, ""auto"", ""en"")
"),"The headphones are excellent, fit well in the ears (fortunately there are 4 types of tips).  True, I changed the standard ones, it seems to me that they go too deep into the ear, it hurts a little (well, this is a feature of the ears), but with the larger"&amp;" ones from the kit it’s even great.  The sound is beautiful, I listen to lossless ones in them, everything is transmitted at the same level.  A friend of mine has Sennheisers for 1200, the sound is worse, the bass wheezes at maximum, unlike these.")</f>
        <v>The headphones are excellent, fit well in the ears (fortunately there are 4 types of tips).  True, I changed the standard ones, it seems to me that they go too deep into the ear, it hurts a little (well, this is a feature of the ears), but with the larger ones from the kit it’s even great.  The sound is beautiful, I listen to lossless ones in them, everything is transmitted at the same level.  A friend of mine has Sennheisers for 1200, the sound is worse, the bass wheezes at maximum, unlike these.</v>
      </c>
    </row>
    <row r="8693" spans="1:9" x14ac:dyDescent="0.3">
      <c r="A8693" s="1" t="s">
        <v>89</v>
      </c>
      <c r="B8693" s="1" t="s">
        <v>231</v>
      </c>
      <c r="C8693" s="1" t="s">
        <v>185</v>
      </c>
      <c r="D8693" s="1" t="s">
        <v>232</v>
      </c>
      <c r="E8693" s="1" t="s">
        <v>9510</v>
      </c>
      <c r="F8693" s="1" t="s">
        <v>13018</v>
      </c>
      <c r="G8693" s="1" t="s">
        <v>36</v>
      </c>
      <c r="H8693" s="1" t="s">
        <v>29</v>
      </c>
      <c r="I8693" s="1" t="str">
        <f ca="1">IFERROR(__xludf.DUMMYFUNCTION("GOOGLETRANSLATE(F8693, ""auto"", ""en"")
"),"Ease of operation and maintenance, outlet temperature, aesthetics.")</f>
        <v>Ease of operation and maintenance, outlet temperature, aesthetics.</v>
      </c>
    </row>
    <row r="8694" spans="1:9" x14ac:dyDescent="0.3">
      <c r="A8694" s="1" t="s">
        <v>61</v>
      </c>
      <c r="B8694" s="1" t="s">
        <v>318</v>
      </c>
      <c r="C8694" s="1" t="s">
        <v>45</v>
      </c>
      <c r="D8694" s="1" t="s">
        <v>13019</v>
      </c>
      <c r="E8694" s="1" t="s">
        <v>2383</v>
      </c>
      <c r="F8694" s="1" t="s">
        <v>13020</v>
      </c>
      <c r="G8694" s="1" t="s">
        <v>36</v>
      </c>
      <c r="H8694" s="1" t="s">
        <v>29</v>
      </c>
      <c r="I8694" s="1" t="str">
        <f ca="1">IFERROR(__xludf.DUMMYFUNCTION("GOOGLETRANSLATE(F8694, ""auto"", ""en"")
"),"The kettle is excellent, it doesn’t boil loudly! By the way, it also has a blue water backlight)))")</f>
        <v>The kettle is excellent, it doesn’t boil loudly! By the way, it also has a blue water backlight)))</v>
      </c>
    </row>
    <row r="8695" spans="1:9" x14ac:dyDescent="0.3">
      <c r="A8695" s="1" t="s">
        <v>9</v>
      </c>
      <c r="B8695" s="1" t="s">
        <v>10</v>
      </c>
      <c r="C8695" s="1" t="s">
        <v>466</v>
      </c>
      <c r="D8695" s="1" t="s">
        <v>13021</v>
      </c>
      <c r="E8695" s="1" t="s">
        <v>2644</v>
      </c>
      <c r="F8695" s="1" t="s">
        <v>13022</v>
      </c>
      <c r="G8695" s="1" t="s">
        <v>36</v>
      </c>
      <c r="H8695" s="1" t="s">
        <v>29</v>
      </c>
      <c r="I8695" s="1" t="str">
        <f ca="1">IFERROR(__xludf.DUMMYFUNCTION("GOOGLETRANSLATE(F8695, ""auto"", ""en"")
"),"With a limited budget, I still managed to buy a good hood, powerful and attractive in appearance. I was not very inclined to buy a dome-shaped model, but this one looked very nice compared to others and was not so bulky in size. The air vent was removed i"&amp;"nto a niche in the kitchen wall; the dome completely covers the hob and effectively removes any odors during cooking. It also works to purify the air, simply passing it through a filter and releasing it back into the room. I have a large kitchen, with 17 "&amp;"square meters of space there is enough capacity. I'm 100% satisfied with her.")</f>
        <v>With a limited budget, I still managed to buy a good hood, powerful and attractive in appearance. I was not very inclined to buy a dome-shaped model, but this one looked very nice compared to others and was not so bulky in size. The air vent was removed into a niche in the kitchen wall; the dome completely covers the hob and effectively removes any odors during cooking. It also works to purify the air, simply passing it through a filter and releasing it back into the room. I have a large kitchen, with 17 square meters of space there is enough capacity. I'm 100% satisfied with her.</v>
      </c>
    </row>
    <row r="8696" spans="1:9" x14ac:dyDescent="0.3">
      <c r="A8696" s="1" t="s">
        <v>477</v>
      </c>
      <c r="B8696" s="1" t="s">
        <v>478</v>
      </c>
      <c r="C8696" s="1" t="s">
        <v>479</v>
      </c>
      <c r="D8696" s="1" t="s">
        <v>13023</v>
      </c>
      <c r="E8696" s="1" t="s">
        <v>1955</v>
      </c>
      <c r="F8696" s="1" t="s">
        <v>13024</v>
      </c>
      <c r="G8696" s="1" t="s">
        <v>36</v>
      </c>
      <c r="H8696" s="1" t="s">
        <v>29</v>
      </c>
      <c r="I8696" s="1" t="str">
        <f ca="1">IFERROR(__xludf.DUMMYFUNCTION("GOOGLETRANSLATE(F8696, ""auto"", ""en"")
"),"Cool toy! The multiplayer is very successful. Thank you")</f>
        <v>Cool toy! The multiplayer is very successful. Thank you</v>
      </c>
    </row>
    <row r="8697" spans="1:9" x14ac:dyDescent="0.3">
      <c r="A8697" s="1" t="s">
        <v>211</v>
      </c>
      <c r="B8697" s="1" t="s">
        <v>384</v>
      </c>
      <c r="C8697" s="1" t="s">
        <v>63</v>
      </c>
      <c r="D8697" s="1" t="s">
        <v>113</v>
      </c>
      <c r="E8697" s="1" t="s">
        <v>491</v>
      </c>
      <c r="F8697" s="1" t="s">
        <v>13025</v>
      </c>
      <c r="G8697" s="1" t="s">
        <v>49</v>
      </c>
      <c r="H8697" s="1" t="s">
        <v>16</v>
      </c>
      <c r="I8697" s="1" t="str">
        <f ca="1">IFERROR(__xludf.DUMMYFUNCTION("GOOGLETRANSLATE(F8697, ""auto"", ""en"")
"),"The employees gave me the money and I immediately went to buy scales because... I really needed them, the employee weighed himself and the scales always showed different weights, the store employee assured that all the scales showed an error. error in kg."&amp;" Well, I’m not a picky buyer and decided that this was normal for scales. When I got home, I was faced with a problem in the difference in weight from 3 to 30 kg, I walked around the whole apartment and couldn’t find a place anywhere to accurately weigh m"&amp;"y weight. When I step on the scale, the weight changes; when I step on the scale, after one minute the weight is already different, and throughout the entire evening I still found neither the place nor the exact weight.")</f>
        <v>The employees gave me the money and I immediately went to buy scales because... I really needed them, the employee weighed himself and the scales always showed different weights, the store employee assured that all the scales showed an error. error in kg. Well, I’m not a picky buyer and decided that this was normal for scales. When I got home, I was faced with a problem in the difference in weight from 3 to 30 kg, I walked around the whole apartment and couldn’t find a place anywhere to accurately weigh my weight. When I step on the scale, the weight changes; when I step on the scale, after one minute the weight is already different, and throughout the entire evening I still found neither the place nor the exact weight.</v>
      </c>
    </row>
    <row r="8698" spans="1:9" x14ac:dyDescent="0.3">
      <c r="A8698" s="1" t="s">
        <v>61</v>
      </c>
      <c r="B8698" s="1" t="s">
        <v>318</v>
      </c>
      <c r="C8698" s="1" t="s">
        <v>57</v>
      </c>
      <c r="D8698" s="1" t="s">
        <v>295</v>
      </c>
      <c r="E8698" s="1" t="s">
        <v>2321</v>
      </c>
      <c r="F8698" s="1" t="s">
        <v>13026</v>
      </c>
      <c r="G8698" s="1" t="s">
        <v>15</v>
      </c>
      <c r="H8698" s="1" t="s">
        <v>16</v>
      </c>
      <c r="I8698" s="1" t="str">
        <f ca="1">IFERROR(__xludf.DUMMYFUNCTION("GOOGLETRANSLATE(F8698, ""auto"", ""en"")
"),"The design is beautiful, the lighting is pleasant. The first time everything worked fine. After six months, they began to notice that it sometimes did not turn off on its own. It boils and boils, you have to turn it off yourself. And after a year it simpl"&amp;"y stopped boiling. The blue light does not light up, and when you turn it on, the red light lights up, but the water does not heat up. Now I don’t know which kettle to buy. Everyone has bad reviews.")</f>
        <v>The design is beautiful, the lighting is pleasant. The first time everything worked fine. After six months, they began to notice that it sometimes did not turn off on its own. It boils and boils, you have to turn it off yourself. And after a year it simply stopped boiling. The blue light does not light up, and when you turn it on, the red light lights up, but the water does not heat up. Now I don’t know which kettle to buy. Everyone has bad reviews.</v>
      </c>
    </row>
    <row r="8699" spans="1:9" x14ac:dyDescent="0.3">
      <c r="A8699" s="1" t="s">
        <v>55</v>
      </c>
      <c r="B8699" s="1" t="s">
        <v>56</v>
      </c>
      <c r="C8699" s="1" t="s">
        <v>85</v>
      </c>
      <c r="D8699" s="1" t="s">
        <v>152</v>
      </c>
      <c r="E8699" s="1" t="s">
        <v>5307</v>
      </c>
      <c r="F8699" s="1" t="s">
        <v>13027</v>
      </c>
      <c r="G8699" s="1" t="s">
        <v>49</v>
      </c>
      <c r="H8699" s="1" t="s">
        <v>16</v>
      </c>
      <c r="I8699" s="1" t="str">
        <f ca="1">IFERROR(__xludf.DUMMYFUNCTION("GOOGLETRANSLATE(F8699, ""auto"", ""en"")
"),"After a week it started buzzing, after 3 months it stopped hovering. Pass by bork.")</f>
        <v>After a week it started buzzing, after 3 months it stopped hovering. Pass by bork.</v>
      </c>
    </row>
    <row r="8700" spans="1:9" x14ac:dyDescent="0.3">
      <c r="A8700" s="1" t="s">
        <v>61</v>
      </c>
      <c r="B8700" s="1" t="s">
        <v>145</v>
      </c>
      <c r="C8700" s="1" t="s">
        <v>85</v>
      </c>
      <c r="D8700" s="1" t="s">
        <v>102</v>
      </c>
      <c r="E8700" s="1" t="s">
        <v>6608</v>
      </c>
      <c r="F8700" s="1" t="s">
        <v>13028</v>
      </c>
      <c r="G8700" s="1" t="s">
        <v>36</v>
      </c>
      <c r="H8700" s="1" t="s">
        <v>29</v>
      </c>
      <c r="I8700" s="1" t="str">
        <f ca="1">IFERROR(__xludf.DUMMYFUNCTION("GOOGLETRANSLATE(F8700, ""auto"", ""en"")
"),"We bought a steamer a few months ago, I really like it, it cooks quickly, it’s easy to use, everything is easy to clean, and the most important thing is that everything is very tasty")</f>
        <v>We bought a steamer a few months ago, I really like it, it cooks quickly, it’s easy to use, everything is easy to clean, and the most important thing is that everything is very tasty</v>
      </c>
    </row>
    <row r="8701" spans="1:9" x14ac:dyDescent="0.3">
      <c r="A8701" s="1" t="s">
        <v>55</v>
      </c>
      <c r="B8701" s="1" t="s">
        <v>184</v>
      </c>
      <c r="C8701" s="1" t="s">
        <v>101</v>
      </c>
      <c r="D8701" s="1" t="s">
        <v>1894</v>
      </c>
      <c r="E8701" s="1" t="s">
        <v>3771</v>
      </c>
      <c r="F8701" s="1" t="s">
        <v>13029</v>
      </c>
      <c r="G8701" s="1" t="s">
        <v>28</v>
      </c>
      <c r="H8701" s="1" t="s">
        <v>29</v>
      </c>
      <c r="I8701" s="1" t="str">
        <f ca="1">IFERROR(__xludf.DUMMYFUNCTION("GOOGLETRANSLATE(F8701, ""auto"", ""en"")
"),"It doesn’t burn oxygen, which is a plus; the downside is that it’s a little noisy (but it’s not an oil-filled radiator, so it works without noise). Compared to a fan heater (nichrome spiral, I don’t remember the manufacturer’s brand), there’s no need to n"&amp;"ail it to the floor :)))")</f>
        <v>It doesn’t burn oxygen, which is a plus; the downside is that it’s a little noisy (but it’s not an oil-filled radiator, so it works without noise). Compared to a fan heater (nichrome spiral, I don’t remember the manufacturer’s brand), there’s no need to nail it to the floor :)))</v>
      </c>
    </row>
    <row r="8702" spans="1:9" x14ac:dyDescent="0.3">
      <c r="A8702" s="1" t="s">
        <v>30</v>
      </c>
      <c r="B8702" s="1" t="s">
        <v>50</v>
      </c>
      <c r="C8702" s="1" t="s">
        <v>32</v>
      </c>
      <c r="D8702" s="1" t="s">
        <v>568</v>
      </c>
      <c r="E8702" s="1" t="s">
        <v>2640</v>
      </c>
      <c r="F8702" s="1" t="s">
        <v>13030</v>
      </c>
      <c r="G8702" s="1" t="s">
        <v>36</v>
      </c>
      <c r="H8702" s="1" t="s">
        <v>29</v>
      </c>
      <c r="I8702" s="1" t="str">
        <f ca="1">IFERROR(__xludf.DUMMYFUNCTION("GOOGLETRANSLATE(F8702, ""auto"", ""en"")
"),"I have had the product for 2 months already. Excellent value for money. Very powerful video card and processor. I chose from all the laptops and nowhere else there is such a freebie.")</f>
        <v>I have had the product for 2 months already. Excellent value for money. Very powerful video card and processor. I chose from all the laptops and nowhere else there is such a freebie.</v>
      </c>
    </row>
    <row r="8703" spans="1:9" x14ac:dyDescent="0.3">
      <c r="A8703" s="1" t="s">
        <v>373</v>
      </c>
      <c r="B8703" s="1" t="s">
        <v>374</v>
      </c>
      <c r="C8703" s="1" t="s">
        <v>138</v>
      </c>
      <c r="D8703" s="1" t="s">
        <v>3288</v>
      </c>
      <c r="E8703" s="1" t="s">
        <v>1545</v>
      </c>
      <c r="F8703" s="1" t="s">
        <v>13031</v>
      </c>
      <c r="G8703" s="1" t="s">
        <v>36</v>
      </c>
      <c r="H8703" s="1" t="s">
        <v>29</v>
      </c>
      <c r="I8703" s="1" t="str">
        <f ca="1">IFERROR(__xludf.DUMMYFUNCTION("GOOGLETRANSLATE(F8703, ""auto"", ""en"")
"),"Exactly a year has passed since we took this machine. Never let me down. Never cleaned it yet, cleans perfectly. We mainly use mode 4. Our friends have had this for ages - it’s been working for 5 years. So take it. And to those who doubt whether a dishwas"&amp;"her is needed or not, I say - buy it, you won’t regret it. Firstly, it saves time, and secondly, the heat treatment of the dishes.")</f>
        <v>Exactly a year has passed since we took this machine. Never let me down. Never cleaned it yet, cleans perfectly. We mainly use mode 4. Our friends have had this for ages - it’s been working for 5 years. So take it. And to those who doubt whether a dishwasher is needed or not, I say - buy it, you won’t regret it. Firstly, it saves time, and secondly, the heat treatment of the dishes.</v>
      </c>
    </row>
    <row r="8704" spans="1:9" x14ac:dyDescent="0.3">
      <c r="A8704" s="1" t="s">
        <v>811</v>
      </c>
      <c r="B8704" s="1" t="s">
        <v>812</v>
      </c>
      <c r="C8704" s="1" t="s">
        <v>813</v>
      </c>
      <c r="D8704" s="1" t="s">
        <v>3923</v>
      </c>
      <c r="E8704" s="1" t="s">
        <v>8059</v>
      </c>
      <c r="F8704" s="1" t="s">
        <v>13032</v>
      </c>
      <c r="G8704" s="1" t="s">
        <v>36</v>
      </c>
      <c r="H8704" s="1" t="s">
        <v>29</v>
      </c>
      <c r="I8704" s="1" t="str">
        <f ca="1">IFERROR(__xludf.DUMMYFUNCTION("GOOGLETRANSLATE(F8704, ""auto"", ""en"")
"),"We purchased a tripod from the M-Video store. I really liked the detailed product catalog on the website, thanks to which we went to this store to buy accessories for our camera. As for the tripod: very light, compact and easy to use. This is exactly what"&amp;" we were looking for)))")</f>
        <v>We purchased a tripod from the M-Video store. I really liked the detailed product catalog on the website, thanks to which we went to this store to buy accessories for our camera. As for the tripod: very light, compact and easy to use. This is exactly what we were looking for)))</v>
      </c>
    </row>
    <row r="8705" spans="1:9" x14ac:dyDescent="0.3">
      <c r="A8705" s="1" t="s">
        <v>477</v>
      </c>
      <c r="B8705" s="1" t="s">
        <v>478</v>
      </c>
      <c r="C8705" s="1" t="s">
        <v>479</v>
      </c>
      <c r="D8705" s="1" t="s">
        <v>690</v>
      </c>
      <c r="E8705" s="1" t="s">
        <v>3890</v>
      </c>
      <c r="F8705" s="1" t="s">
        <v>13033</v>
      </c>
      <c r="G8705" s="1" t="s">
        <v>36</v>
      </c>
      <c r="H8705" s="1" t="s">
        <v>29</v>
      </c>
      <c r="I8705" s="1" t="str">
        <f ca="1">IFERROR(__xludf.DUMMYFUNCTION("GOOGLETRANSLATE(F8705, ""auto"", ""en"")
"),"Awesome game in every way!  Multiplayer is amazing This game is really interesting to play more and more")</f>
        <v>Awesome game in every way!  Multiplayer is amazing This game is really interesting to play more and more</v>
      </c>
    </row>
    <row r="8706" spans="1:9" x14ac:dyDescent="0.3">
      <c r="A8706" s="1" t="s">
        <v>67</v>
      </c>
      <c r="B8706" s="1" t="s">
        <v>68</v>
      </c>
      <c r="C8706" s="1" t="s">
        <v>381</v>
      </c>
      <c r="D8706" s="1" t="s">
        <v>232</v>
      </c>
      <c r="E8706" s="1" t="s">
        <v>8239</v>
      </c>
      <c r="F8706" s="1" t="s">
        <v>13034</v>
      </c>
      <c r="G8706" s="1" t="s">
        <v>28</v>
      </c>
      <c r="H8706" s="1" t="s">
        <v>29</v>
      </c>
      <c r="I8706" s="1" t="str">
        <f ca="1">IFERROR(__xludf.DUMMYFUNCTION("GOOGLETRANSLATE(F8706, ""auto"", ""en"")
"),"+ ferry ""WETS AS YOU WANT""! cool design. Convenient to pour water. the keys (switches and buttons) are well located, vertical steaming is POSSIBLE, rather heavy (no need to press, just move it along the fabric), long cord. heats up quickly, the temperat"&amp;"ure regulator rotates easily, the temperature indication is displayed on the display (type of fabric - cotton, linen, etc.).  - it eats water like a drunk after drinking (the result of the first plus), it’s too heavy for vertical steaming (again, for iron"&amp;"ing this is a plus and for this iron it’s a secondary function), without water it starts to “grunt” and ask for water, don’t be alarmed. as such, these are NOT shortcomings but features of this iron, so it’s “not for everyone.”   He irons military uniform"&amp;"s well (and who knows, this is still a headache). I've been using it for about a month, I'm happy with it. 4 stars - well, not for everyone.")</f>
        <v>+ ferry "WETS AS YOU WANT"! cool design. Convenient to pour water. the keys (switches and buttons) are well located, vertical steaming is POSSIBLE, rather heavy (no need to press, just move it along the fabric), long cord. heats up quickly, the temperature regulator rotates easily, the temperature indication is displayed on the display (type of fabric - cotton, linen, etc.).  - it eats water like a drunk after drinking (the result of the first plus), it’s too heavy for vertical steaming (again, for ironing this is a plus and for this iron it’s a secondary function), without water it starts to “grunt” and ask for water, don’t be alarmed. as such, these are NOT shortcomings but features of this iron, so it’s “not for everyone.”   He irons military uniforms well (and who knows, this is still a headache). I've been using it for about a month, I'm happy with it. 4 stars - well, not for everyone.</v>
      </c>
    </row>
    <row r="8707" spans="1:9" x14ac:dyDescent="0.3">
      <c r="A8707" s="1" t="s">
        <v>61</v>
      </c>
      <c r="B8707" s="1" t="s">
        <v>318</v>
      </c>
      <c r="C8707" s="1" t="s">
        <v>69</v>
      </c>
      <c r="D8707" s="1" t="s">
        <v>52</v>
      </c>
      <c r="E8707" s="1" t="s">
        <v>92</v>
      </c>
      <c r="F8707" s="1" t="s">
        <v>13035</v>
      </c>
      <c r="G8707" s="1" t="s">
        <v>36</v>
      </c>
      <c r="H8707" s="1" t="s">
        <v>29</v>
      </c>
      <c r="I8707" s="1" t="str">
        <f ca="1">IFERROR(__xludf.DUMMYFUNCTION("GOOGLETRANSLATE(F8707, ""auto"", ""en"")
"),"Great model")</f>
        <v>Great model</v>
      </c>
    </row>
    <row r="8708" spans="1:9" x14ac:dyDescent="0.3">
      <c r="A8708" s="1" t="s">
        <v>67</v>
      </c>
      <c r="B8708" s="1" t="s">
        <v>68</v>
      </c>
      <c r="C8708" s="1" t="s">
        <v>69</v>
      </c>
      <c r="D8708" s="1" t="s">
        <v>13036</v>
      </c>
      <c r="E8708" s="1" t="s">
        <v>849</v>
      </c>
      <c r="F8708" s="1" t="s">
        <v>13037</v>
      </c>
      <c r="G8708" s="1" t="s">
        <v>49</v>
      </c>
      <c r="H8708" s="1" t="s">
        <v>16</v>
      </c>
      <c r="I8708" s="1" t="str">
        <f ca="1">IFERROR(__xludf.DUMMYFUNCTION("GOOGLETRANSLATE(F8708, ""auto"", ""en"")
"),"Philips GC 2510. Worked for one year. Broke. Doesn't heat up, orange light doesn't light up.")</f>
        <v>Philips GC 2510. Worked for one year. Broke. Doesn't heat up, orange light doesn't light up.</v>
      </c>
    </row>
    <row r="8709" spans="1:9" x14ac:dyDescent="0.3">
      <c r="A8709" s="1" t="s">
        <v>61</v>
      </c>
      <c r="B8709" s="1" t="s">
        <v>726</v>
      </c>
      <c r="C8709" s="1" t="s">
        <v>146</v>
      </c>
      <c r="D8709" s="1" t="s">
        <v>13038</v>
      </c>
      <c r="E8709" s="1" t="s">
        <v>386</v>
      </c>
      <c r="F8709" s="1" t="s">
        <v>13039</v>
      </c>
      <c r="G8709" s="1" t="s">
        <v>36</v>
      </c>
      <c r="H8709" s="1" t="s">
        <v>29</v>
      </c>
      <c r="I8709" s="1" t="str">
        <f ca="1">IFERROR(__xludf.DUMMYFUNCTION("GOOGLETRANSLATE(F8709, ""auto"", ""en"")
"),"Real device!!! I just took it today. I'm baking my second loaf!!! I don’t even know what to say! SUPER!!!!")</f>
        <v>Real device!!! I just took it today. I'm baking my second loaf!!! I don’t even know what to say! SUPER!!!!</v>
      </c>
    </row>
    <row r="8710" spans="1:9" x14ac:dyDescent="0.3">
      <c r="A8710" s="1" t="s">
        <v>211</v>
      </c>
      <c r="B8710" s="1" t="s">
        <v>212</v>
      </c>
      <c r="C8710" s="1" t="s">
        <v>294</v>
      </c>
      <c r="D8710" s="1" t="s">
        <v>10607</v>
      </c>
      <c r="E8710" s="1" t="s">
        <v>1267</v>
      </c>
      <c r="F8710" s="1" t="s">
        <v>13040</v>
      </c>
      <c r="G8710" s="1" t="s">
        <v>36</v>
      </c>
      <c r="H8710" s="1" t="s">
        <v>29</v>
      </c>
      <c r="I8710" s="1" t="str">
        <f ca="1">IFERROR(__xludf.DUMMYFUNCTION("GOOGLETRANSLATE(F8710, ""auto"", ""en"")
"),"I bought a hairdryer not long ago. I'm delighted with it! I have complex, unruly hair that is very difficult to style. This hair dryer does an EXCELLENT job! I recommend!")</f>
        <v>I bought a hairdryer not long ago. I'm delighted with it! I have complex, unruly hair that is very difficult to style. This hair dryer does an EXCELLENT job! I recommend!</v>
      </c>
    </row>
    <row r="8711" spans="1:9" x14ac:dyDescent="0.3">
      <c r="A8711" s="1" t="s">
        <v>30</v>
      </c>
      <c r="B8711" s="1" t="s">
        <v>31</v>
      </c>
      <c r="C8711" s="1" t="s">
        <v>377</v>
      </c>
      <c r="D8711" s="1" t="s">
        <v>152</v>
      </c>
      <c r="E8711" s="1" t="s">
        <v>2265</v>
      </c>
      <c r="F8711" s="1" t="s">
        <v>13041</v>
      </c>
      <c r="G8711" s="1" t="s">
        <v>36</v>
      </c>
      <c r="H8711" s="1" t="s">
        <v>29</v>
      </c>
      <c r="I8711" s="1" t="str">
        <f ca="1">IFERROR(__xludf.DUMMYFUNCTION("GOOGLETRANSLATE(F8711, ""auto"", ""en"")
"),"The system unit is high quality and well balanced for its tasks. Advantages: Price, performance, build quality, noiselessness, licensed Windows 7 Home Premium, for fans of Windows XP the site has drivers, the ability to restore factory settings, keyboard "&amp;"and mouse included. Disadvantages: Difficulties may arise when installing an additional hard drive (you need a bracket for mounting in a 5.25' bay), the power supply is not large (from the point of view of economy, this is even an advantage).  I've been u"&amp;"sing it for about 3 weeks, so far I'm happy with the choice.")</f>
        <v>The system unit is high quality and well balanced for its tasks. Advantages: Price, performance, build quality, noiselessness, licensed Windows 7 Home Premium, for fans of Windows XP the site has drivers, the ability to restore factory settings, keyboard and mouse included. Disadvantages: Difficulties may arise when installing an additional hard drive (you need a bracket for mounting in a 5.25' bay), the power supply is not large (from the point of view of economy, this is even an advantage).  I've been using it for about 3 weeks, so far I'm happy with the choice.</v>
      </c>
    </row>
    <row r="8712" spans="1:9" x14ac:dyDescent="0.3">
      <c r="A8712" s="1" t="s">
        <v>43</v>
      </c>
      <c r="B8712" s="1" t="s">
        <v>303</v>
      </c>
      <c r="C8712" s="1" t="s">
        <v>220</v>
      </c>
      <c r="D8712" s="1" t="s">
        <v>232</v>
      </c>
      <c r="E8712" s="1" t="s">
        <v>3771</v>
      </c>
      <c r="F8712" s="1" t="s">
        <v>13042</v>
      </c>
      <c r="G8712" s="1" t="s">
        <v>49</v>
      </c>
      <c r="H8712" s="1" t="s">
        <v>16</v>
      </c>
      <c r="I8712" s="1" t="str">
        <f ca="1">IFERROR(__xludf.DUMMYFUNCTION("GOOGLETRANSLATE(F8712, ""auto"", ""en"")
"),"I was tired of changing the heating element, it lasts for one season (whether there is an anode or not does not matter) and the price for heating elements is wow")</f>
        <v>I was tired of changing the heating element, it lasts for one season (whether there is an anode or not does not matter) and the price for heating elements is wow</v>
      </c>
    </row>
    <row r="8713" spans="1:9" x14ac:dyDescent="0.3">
      <c r="A8713" s="1" t="s">
        <v>43</v>
      </c>
      <c r="B8713" s="1" t="s">
        <v>44</v>
      </c>
      <c r="C8713" s="1" t="s">
        <v>45</v>
      </c>
      <c r="D8713" s="1" t="s">
        <v>86</v>
      </c>
      <c r="E8713" s="1" t="s">
        <v>3523</v>
      </c>
      <c r="F8713" s="1" t="s">
        <v>13043</v>
      </c>
      <c r="G8713" s="1" t="s">
        <v>28</v>
      </c>
      <c r="H8713" s="1" t="s">
        <v>29</v>
      </c>
      <c r="I8713" s="1" t="str">
        <f ca="1">IFERROR(__xludf.DUMMYFUNCTION("GOOGLETRANSLATE(F8713, ""auto"", ""en"")
"),"It works fine.")</f>
        <v>It works fine.</v>
      </c>
    </row>
    <row r="8714" spans="1:9" x14ac:dyDescent="0.3">
      <c r="A8714" s="1" t="s">
        <v>78</v>
      </c>
      <c r="B8714" s="1" t="s">
        <v>1163</v>
      </c>
      <c r="C8714" s="1" t="s">
        <v>80</v>
      </c>
      <c r="D8714" s="1" t="s">
        <v>295</v>
      </c>
      <c r="E8714" s="1" t="s">
        <v>13044</v>
      </c>
      <c r="F8714" s="1" t="s">
        <v>13045</v>
      </c>
      <c r="G8714" s="1" t="s">
        <v>28</v>
      </c>
      <c r="H8714" s="1" t="s">
        <v>29</v>
      </c>
      <c r="I8714" s="1" t="str">
        <f ca="1">IFERROR(__xludf.DUMMYFUNCTION("GOOGLETRANSLATE(F8714, ""auto"", ""en"")
"),"The microwave was purchased at the beginning of December 2010. I needed something compact and with touch buttons. There was little choice then, we were even surprised and took this stove. I'm happy with everything about it! cooks, defrosts, reheats. There"&amp;" is no particular noise from it, just a normal noise like all microwave ovens! The only negative for me is the color! but there was no other then. Overall a great stove!")</f>
        <v>The microwave was purchased at the beginning of December 2010. I needed something compact and with touch buttons. There was little choice then, we were even surprised and took this stove. I'm happy with everything about it! cooks, defrosts, reheats. There is no particular noise from it, just a normal noise like all microwave ovens! The only negative for me is the color! but there was no other then. Overall a great stove!</v>
      </c>
    </row>
    <row r="8715" spans="1:9" x14ac:dyDescent="0.3">
      <c r="A8715" s="1" t="s">
        <v>37</v>
      </c>
      <c r="B8715" s="1" t="s">
        <v>38</v>
      </c>
      <c r="C8715" s="1" t="s">
        <v>163</v>
      </c>
      <c r="D8715" s="1" t="s">
        <v>295</v>
      </c>
      <c r="E8715" s="1" t="s">
        <v>53</v>
      </c>
      <c r="F8715" s="1" t="s">
        <v>13046</v>
      </c>
      <c r="G8715" s="1" t="s">
        <v>36</v>
      </c>
      <c r="H8715" s="1" t="s">
        <v>29</v>
      </c>
      <c r="I8715" s="1" t="str">
        <f ca="1">IFERROR(__xludf.DUMMYFUNCTION("GOOGLETRANSLATE(F8715, ""auto"", ""en"")
"),"I bought a phone today as a gift for March 8th - my husband gave me money. There was a Sony Ericsson K700I phone (Old model). Compared to Sony, Nokia has a huge number of functions. It's nice to pick up the phone - a lady's phone. There is a memory card ("&amp;"included), the speaker was included as an external speaker. I liked the fact that you can connect any headphones (Sonia Ericsson only has them, and each phone has its own connectors).  I liked the keypad lock. Its cost - 4290 - is very excellent. My 10-ye"&amp;"ar-old daughter really liked it as a player: the keys blink, the music sounds clear.  A USB cable is included, and the software can be downloaded from the website for XP and Vista.")</f>
        <v>I bought a phone today as a gift for March 8th - my husband gave me money. There was a Sony Ericsson K700I phone (Old model). Compared to Sony, Nokia has a huge number of functions. It's nice to pick up the phone - a lady's phone. There is a memory card (included), the speaker was included as an external speaker. I liked the fact that you can connect any headphones (Sonia Ericsson only has them, and each phone has its own connectors).  I liked the keypad lock. Its cost - 4290 - is very excellent. My 10-year-old daughter really liked it as a player: the keys blink, the music sounds clear.  A USB cable is included, and the software can be downloaded from the website for XP and Vista.</v>
      </c>
    </row>
    <row r="8716" spans="1:9" x14ac:dyDescent="0.3">
      <c r="A8716" s="1" t="s">
        <v>206</v>
      </c>
      <c r="B8716" s="1" t="s">
        <v>207</v>
      </c>
      <c r="C8716" s="1" t="s">
        <v>351</v>
      </c>
      <c r="D8716" s="1" t="s">
        <v>13047</v>
      </c>
      <c r="E8716" s="1" t="s">
        <v>2787</v>
      </c>
      <c r="F8716" s="1" t="s">
        <v>13048</v>
      </c>
      <c r="G8716" s="1" t="s">
        <v>36</v>
      </c>
      <c r="H8716" s="1" t="s">
        <v>29</v>
      </c>
      <c r="I8716" s="1" t="str">
        <f ca="1">IFERROR(__xludf.DUMMYFUNCTION("GOOGLETRANSLATE(F8716, ""auto"", ""en"")
"),"I bought it, I'm satisfied,&amp;nbsp; normal price, normal quality. You probably won't find anything better for that kind of money. I like it and there are enough settings.")</f>
        <v>I bought it, I'm satisfied,&amp;nbsp; normal price, normal quality. You probably won't find anything better for that kind of money. I like it and there are enough settings.</v>
      </c>
    </row>
    <row r="8717" spans="1:9" x14ac:dyDescent="0.3">
      <c r="A8717" s="1" t="s">
        <v>238</v>
      </c>
      <c r="B8717" s="1" t="s">
        <v>5666</v>
      </c>
      <c r="C8717" s="1" t="s">
        <v>240</v>
      </c>
      <c r="D8717" s="1" t="s">
        <v>13049</v>
      </c>
      <c r="E8717" s="1" t="s">
        <v>371</v>
      </c>
      <c r="F8717" s="1" t="s">
        <v>13050</v>
      </c>
      <c r="G8717" s="1" t="s">
        <v>36</v>
      </c>
      <c r="H8717" s="1" t="s">
        <v>29</v>
      </c>
      <c r="I8717" s="1" t="str">
        <f ca="1">IFERROR(__xludf.DUMMYFUNCTION("GOOGLETRANSLATE(F8717, ""auto"", ""en"")
"),"It was compact, which immediately caught my attention - I wanted a small wine cabinet for the dacha so as not to fill the refrigerator with bottles in the summer, this one was just right! Assembled neatly, nothing loose, no defects or dents on the body. T"&amp;"he glass of the door does not fog up, when turned on, it cools the bottles quickly enough - after an hour you can already open the wine, it will be at just the right temperature! If the temperature drops below the set temperature, it immediately gives a s"&amp;"ignal and the light also lights up. I have no complaints about the manufacturer, so far I am only happy with the cabinet - it has already served one summer season well!")</f>
        <v>It was compact, which immediately caught my attention - I wanted a small wine cabinet for the dacha so as not to fill the refrigerator with bottles in the summer, this one was just right! Assembled neatly, nothing loose, no defects or dents on the body. The glass of the door does not fog up, when turned on, it cools the bottles quickly enough - after an hour you can already open the wine, it will be at just the right temperature! If the temperature drops below the set temperature, it immediately gives a signal and the light also lights up. I have no complaints about the manufacturer, so far I am only happy with the cabinet - it has already served one summer season well!</v>
      </c>
    </row>
    <row r="8718" spans="1:9" x14ac:dyDescent="0.3">
      <c r="A8718" s="1" t="s">
        <v>61</v>
      </c>
      <c r="B8718" s="1" t="s">
        <v>1727</v>
      </c>
      <c r="C8718" s="1" t="s">
        <v>122</v>
      </c>
      <c r="D8718" s="1" t="s">
        <v>474</v>
      </c>
      <c r="E8718" s="1" t="s">
        <v>563</v>
      </c>
      <c r="F8718" s="1" t="s">
        <v>13051</v>
      </c>
      <c r="G8718" s="1" t="s">
        <v>36</v>
      </c>
      <c r="H8718" s="1" t="s">
        <v>29</v>
      </c>
      <c r="I8718" s="1" t="str">
        <f ca="1">IFERROR(__xludf.DUMMYFUNCTION("GOOGLETRANSLATE(F8718, ""auto"", ""en"")
"),"I've been using it for a year now and now I can't imagine how I managed without it. I cook almost all dishes in it, except for soup (I like it better on the stove). The porridge turns out much tastier and you don’t have to watch to make sure it doesn’t bu"&amp;"rn or boil over, turn it on and go about your business. Casseroles, pilaf, side dishes, stews, fish are all very tasty. And also a steamer, every day I steam vegetables for my child. Well, a huge plus of all multicookers, I turned it on and left. For anyo"&amp;"ne with a small child, this is a lifesaver!")</f>
        <v>I've been using it for a year now and now I can't imagine how I managed without it. I cook almost all dishes in it, except for soup (I like it better on the stove). The porridge turns out much tastier and you don’t have to watch to make sure it doesn’t burn or boil over, turn it on and go about your business. Casseroles, pilaf, side dishes, stews, fish are all very tasty. And also a steamer, every day I steam vegetables for my child. Well, a huge plus of all multicookers, I turned it on and left. For anyone with a small child, this is a lifesaver!</v>
      </c>
    </row>
    <row r="8719" spans="1:9" x14ac:dyDescent="0.3">
      <c r="A8719" s="1" t="s">
        <v>61</v>
      </c>
      <c r="B8719" s="1" t="s">
        <v>180</v>
      </c>
      <c r="C8719" s="1" t="s">
        <v>246</v>
      </c>
      <c r="D8719" s="1" t="s">
        <v>39</v>
      </c>
      <c r="E8719" s="1" t="s">
        <v>1994</v>
      </c>
      <c r="F8719" s="1" t="s">
        <v>13052</v>
      </c>
      <c r="G8719" s="1" t="s">
        <v>36</v>
      </c>
      <c r="H8719" s="1" t="s">
        <v>29</v>
      </c>
      <c r="I8719" s="1" t="str">
        <f ca="1">IFERROR(__xludf.DUMMYFUNCTION("GOOGLETRANSLATE(F8719, ""auto"", ""en"")
"),"No problems with this toaster. A good regulator - if you want it lightly toasted, or with a black crust. As soon as it's toasted, the bread jumps out on its own. There is a convenient insert at the bottom to remove crumbs.  The toaster is bright and beaut"&amp;"iful, I’ve been using it for three years now (or four, I don’t remember exactly).")</f>
        <v>No problems with this toaster. A good regulator - if you want it lightly toasted, or with a black crust. As soon as it's toasted, the bread jumps out on its own. There is a convenient insert at the bottom to remove crumbs.  The toaster is bright and beautiful, I’ve been using it for three years now (or four, I don’t remember exactly).</v>
      </c>
    </row>
    <row r="8720" spans="1:9" x14ac:dyDescent="0.3">
      <c r="A8720" s="1" t="s">
        <v>169</v>
      </c>
      <c r="B8720" s="1" t="s">
        <v>170</v>
      </c>
      <c r="C8720" s="1" t="s">
        <v>69</v>
      </c>
      <c r="D8720" s="1" t="s">
        <v>152</v>
      </c>
      <c r="E8720" s="1" t="s">
        <v>1275</v>
      </c>
      <c r="F8720" s="1" t="s">
        <v>13053</v>
      </c>
      <c r="G8720" s="1" t="s">
        <v>36</v>
      </c>
      <c r="H8720" s="1" t="s">
        <v>29</v>
      </c>
      <c r="I8720" s="1" t="str">
        <f ca="1">IFERROR(__xludf.DUMMYFUNCTION("GOOGLETRANSLATE(F8720, ""auto"", ""en"")
"),"A good, well-thought-out design, they sit quite comfortably on the head, the sound is excellent) In terms of price-quality ratio, they are worth the money.")</f>
        <v>A good, well-thought-out design, they sit quite comfortably on the head, the sound is excellent) In terms of price-quality ratio, they are worth the money.</v>
      </c>
    </row>
    <row r="8721" spans="1:9" x14ac:dyDescent="0.3">
      <c r="A8721" s="1" t="s">
        <v>17</v>
      </c>
      <c r="B8721" s="1" t="s">
        <v>18</v>
      </c>
      <c r="C8721" s="1" t="s">
        <v>151</v>
      </c>
      <c r="D8721" s="1" t="s">
        <v>3108</v>
      </c>
      <c r="E8721" s="1" t="s">
        <v>1922</v>
      </c>
      <c r="F8721" s="1" t="s">
        <v>13054</v>
      </c>
      <c r="G8721" s="1" t="s">
        <v>36</v>
      </c>
      <c r="H8721" s="1" t="s">
        <v>29</v>
      </c>
      <c r="I8721" s="1" t="str">
        <f ca="1">IFERROR(__xludf.DUMMYFUNCTION("GOOGLETRANSLATE(F8721, ""auto"", ""en"")
"),"I recently bought it, it doesn’t make much noise, it’s not even level (I couldn’t adjust the level, because there’s no room for shifting), it washes almost well (it can’t wash a large item if the item fills the entire drum), usually at the end, after spin"&amp;"ning, at the last minute it shows an error that the laundry is not evenly loaded (of course, after spinning, this is real), there are no problems yet, I connected it myself (it costs 2000 rubles in the store),")</f>
        <v>I recently bought it, it doesn’t make much noise, it’s not even level (I couldn’t adjust the level, because there’s no room for shifting), it washes almost well (it can’t wash a large item if the item fills the entire drum), usually at the end, after spinning, at the last minute it shows an error that the laundry is not evenly loaded (of course, after spinning, this is real), there are no problems yet, I connected it myself (it costs 2000 rubles in the store),</v>
      </c>
    </row>
    <row r="8722" spans="1:9" x14ac:dyDescent="0.3">
      <c r="A8722" s="1" t="s">
        <v>30</v>
      </c>
      <c r="B8722" s="1" t="s">
        <v>50</v>
      </c>
      <c r="C8722" s="1" t="s">
        <v>658</v>
      </c>
      <c r="D8722" s="1" t="s">
        <v>102</v>
      </c>
      <c r="E8722" s="1" t="s">
        <v>3542</v>
      </c>
      <c r="F8722" s="1" t="s">
        <v>13055</v>
      </c>
      <c r="G8722" s="1" t="s">
        <v>36</v>
      </c>
      <c r="H8722" s="1" t="s">
        <v>29</v>
      </c>
      <c r="I8722" s="1" t="str">
        <f ca="1">IFERROR(__xludf.DUMMYFUNCTION("GOOGLETRANSLATE(F8722, ""auto"", ""en"")
"),"I bought a laptop maybe a month ago, I’m very, very happy with it.   Everything works, and the price suits me, overall the laptop is a 5 plus!")</f>
        <v>I bought a laptop maybe a month ago, I’m very, very happy with it.   Everything works, and the price suits me, overall the laptop is a 5 plus!</v>
      </c>
    </row>
    <row r="8723" spans="1:9" x14ac:dyDescent="0.3">
      <c r="A8723" s="1" t="s">
        <v>43</v>
      </c>
      <c r="B8723" s="1" t="s">
        <v>303</v>
      </c>
      <c r="C8723" s="1" t="s">
        <v>665</v>
      </c>
      <c r="D8723" s="1" t="s">
        <v>166</v>
      </c>
      <c r="E8723" s="1" t="s">
        <v>1533</v>
      </c>
      <c r="F8723" s="1" t="s">
        <v>13056</v>
      </c>
      <c r="G8723" s="1" t="s">
        <v>36</v>
      </c>
      <c r="H8723" s="1" t="s">
        <v>29</v>
      </c>
      <c r="I8723" s="1" t="str">
        <f ca="1">IFERROR(__xludf.DUMMYFUNCTION("GOOGLETRANSLATE(F8723, ""auto"", ""en"")
"),"We also doubted for a long time: it is necessary, it is not necessary... after all, it is not a cheap pleasure. Moreover, there is not a lot of space in the bathroom, but we need more space, and they are all so healthy. Then we saw a narrow (body diameter"&amp;" is only 37 cm) water heater Haier ES80V-R1(H) for 80 liters and bought it, my husband hung it up himself, connected everything, I have it in my hands. It has a heavy-duty enameled tank and stainless steel heating element, I think in this situation it wil"&amp;"l last for many years. It works quietly, looks nice, I like it.")</f>
        <v>We also doubted for a long time: it is necessary, it is not necessary... after all, it is not a cheap pleasure. Moreover, there is not a lot of space in the bathroom, but we need more space, and they are all so healthy. Then we saw a narrow (body diameter is only 37 cm) water heater Haier ES80V-R1(H) for 80 liters and bought it, my husband hung it up himself, connected everything, I have it in my hands. It has a heavy-duty enameled tank and stainless steel heating element, I think in this situation it will last for many years. It works quietly, looks nice, I like it.</v>
      </c>
    </row>
    <row r="8724" spans="1:9" x14ac:dyDescent="0.3">
      <c r="A8724" s="1" t="s">
        <v>9</v>
      </c>
      <c r="B8724" s="1" t="s">
        <v>23</v>
      </c>
      <c r="C8724" s="1" t="s">
        <v>466</v>
      </c>
      <c r="D8724" s="1" t="s">
        <v>280</v>
      </c>
      <c r="E8724" s="1" t="s">
        <v>11954</v>
      </c>
      <c r="F8724" s="1" t="s">
        <v>13057</v>
      </c>
      <c r="G8724" s="1" t="s">
        <v>28</v>
      </c>
      <c r="H8724" s="1" t="s">
        <v>29</v>
      </c>
      <c r="I8724" s="1" t="str">
        <f ca="1">IFERROR(__xludf.DUMMYFUNCTION("GOOGLETRANSLATE(F8724, ""auto"", ""en"")
"),"The machine is noisy, but not as much as more budget models. It is inappropriate to compare different price categories with Bosch. The fight against noise is simple - delayed start-up and washing at night, plus savings on electricity (with two tariff mete"&amp;"rs). It washes perfectly if you load it with your head or according to the instructions. We only used three-in-one tablets. We've been using it for 4 years now. In addition to the noise, one of the downsides: they use not very high-quality gaskets, after "&amp;"2 years they fell apart in the upper sprinkler, then between the back wall and the upper basket. Rubber bands cost 150-200 rubles. Taking into account the experience of using it at the dacha, I bought a second one, the same one.")</f>
        <v>The machine is noisy, but not as much as more budget models. It is inappropriate to compare different price categories with Bosch. The fight against noise is simple - delayed start-up and washing at night, plus savings on electricity (with two tariff meters). It washes perfectly if you load it with your head or according to the instructions. We only used three-in-one tablets. We've been using it for 4 years now. In addition to the noise, one of the downsides: they use not very high-quality gaskets, after 2 years they fell apart in the upper sprinkler, then between the back wall and the upper basket. Rubber bands cost 150-200 rubles. Taking into account the experience of using it at the dacha, I bought a second one, the same one.</v>
      </c>
    </row>
    <row r="8725" spans="1:9" x14ac:dyDescent="0.3">
      <c r="A8725" s="1" t="s">
        <v>67</v>
      </c>
      <c r="B8725" s="1" t="s">
        <v>68</v>
      </c>
      <c r="C8725" s="1" t="s">
        <v>246</v>
      </c>
      <c r="D8725" s="1" t="s">
        <v>621</v>
      </c>
      <c r="E8725" s="1" t="s">
        <v>5914</v>
      </c>
      <c r="F8725" s="1" t="s">
        <v>13058</v>
      </c>
      <c r="G8725" s="1" t="s">
        <v>36</v>
      </c>
      <c r="H8725" s="1" t="s">
        <v>29</v>
      </c>
      <c r="I8725" s="1" t="str">
        <f ca="1">IFERROR(__xludf.DUMMYFUNCTION("GOOGLETRANSLATE(F8725, ""auto"", ""en"")
"),"Great iron. The ironing quality is excellent. Ironing time has been reduced, especially for pastels and diapers. The previous iron is also good - steam (latest model), but it loses much compared to the iron with a steam generator. Buy it - you won't regre"&amp;"t it!!!")</f>
        <v>Great iron. The ironing quality is excellent. Ironing time has been reduced, especially for pastels and diapers. The previous iron is also good - steam (latest model), but it loses much compared to the iron with a steam generator. Buy it - you won't regret it!!!</v>
      </c>
    </row>
    <row r="8726" spans="1:9" x14ac:dyDescent="0.3">
      <c r="A8726" s="1" t="s">
        <v>43</v>
      </c>
      <c r="B8726" s="1" t="s">
        <v>303</v>
      </c>
      <c r="C8726" s="1" t="s">
        <v>665</v>
      </c>
      <c r="D8726" s="1" t="s">
        <v>33</v>
      </c>
      <c r="E8726" s="1" t="s">
        <v>638</v>
      </c>
      <c r="F8726" s="1" t="s">
        <v>13059</v>
      </c>
      <c r="G8726" s="1" t="s">
        <v>36</v>
      </c>
      <c r="H8726" s="1" t="s">
        <v>29</v>
      </c>
      <c r="I8726" s="1" t="str">
        <f ca="1">IFERROR(__xludf.DUMMYFUNCTION("GOOGLETRANSLATE(F8726, ""auto"", ""en"")
"),"It heats the water in 2-3 hours, and it feels like it’s not heating up to 75 degrees, but up to 100! Enough for 2-3 people to swim calmly! We use it every day, and compared to the prices of hot water, operating this device is much cheaper. In the morning,"&amp;" when hot water comes from the tap, instead of cold water (for which you also pay), you no longer have to wait!")</f>
        <v>It heats the water in 2-3 hours, and it feels like it’s not heating up to 75 degrees, but up to 100! Enough for 2-3 people to swim calmly! We use it every day, and compared to the prices of hot water, operating this device is much cheaper. In the morning, when hot water comes from the tap, instead of cold water (for which you also pay), you no longer have to wait!</v>
      </c>
    </row>
    <row r="8727" spans="1:9" x14ac:dyDescent="0.3">
      <c r="A8727" s="1" t="s">
        <v>369</v>
      </c>
      <c r="B8727" s="1" t="s">
        <v>2480</v>
      </c>
      <c r="C8727" s="1" t="s">
        <v>453</v>
      </c>
      <c r="D8727" s="1" t="s">
        <v>2923</v>
      </c>
      <c r="E8727" s="1" t="s">
        <v>2824</v>
      </c>
      <c r="F8727" s="1" t="s">
        <v>13060</v>
      </c>
      <c r="G8727" s="1" t="s">
        <v>49</v>
      </c>
      <c r="H8727" s="1" t="s">
        <v>16</v>
      </c>
      <c r="I8727" s="1" t="str">
        <f ca="1">IFERROR(__xludf.DUMMYFUNCTION("GOOGLETRANSLATE(F8727, ""auto"", ""en"")
"),"I changed this tile four times, the first time it worked for five months, this is a record for it, the second time was 1 month, the third time was 3 months, and the 4th time was half a month. I will say this is not tile, but nonsense.")</f>
        <v>I changed this tile four times, the first time it worked for five months, this is a record for it, the second time was 1 month, the third time was 3 months, and the 4th time was half a month. I will say this is not tile, but nonsense.</v>
      </c>
    </row>
    <row r="8728" spans="1:9" x14ac:dyDescent="0.3">
      <c r="A8728" s="1" t="s">
        <v>211</v>
      </c>
      <c r="B8728" s="1" t="s">
        <v>212</v>
      </c>
      <c r="C8728" s="1" t="s">
        <v>294</v>
      </c>
      <c r="D8728" s="1" t="s">
        <v>58</v>
      </c>
      <c r="E8728" s="1" t="s">
        <v>1207</v>
      </c>
      <c r="F8728" s="1" t="s">
        <v>13061</v>
      </c>
      <c r="G8728" s="1" t="s">
        <v>36</v>
      </c>
      <c r="H8728" s="1" t="s">
        <v>29</v>
      </c>
      <c r="I8728" s="1" t="str">
        <f ca="1">IFERROR(__xludf.DUMMYFUNCTION("GOOGLETRANSLATE(F8728, ""auto"", ""en"")
"),"I bought it the other day, I’m incredibly happy, it dries quickly. It doesn’t damage my hair.")</f>
        <v>I bought it the other day, I’m incredibly happy, it dries quickly. It doesn’t damage my hair.</v>
      </c>
    </row>
    <row r="8729" spans="1:9" x14ac:dyDescent="0.3">
      <c r="A8729" s="1" t="s">
        <v>17</v>
      </c>
      <c r="B8729" s="1" t="s">
        <v>18</v>
      </c>
      <c r="C8729" s="1" t="s">
        <v>243</v>
      </c>
      <c r="D8729" s="1" t="s">
        <v>81</v>
      </c>
      <c r="E8729" s="1" t="s">
        <v>5404</v>
      </c>
      <c r="F8729" s="1" t="s">
        <v>13062</v>
      </c>
      <c r="G8729" s="1" t="s">
        <v>36</v>
      </c>
      <c r="H8729" s="1" t="s">
        <v>29</v>
      </c>
      <c r="I8729" s="1" t="str">
        <f ca="1">IFERROR(__xludf.DUMMYFUNCTION("GOOGLETRANSLATE(F8729, ""auto"", ""en"")
"),"We bought it for our dacha to replace a similar one. The previous one was from the same company. She worked for more than 13 years.  The functionality is the same. Already tried it. No comments.  In terms of price-quality ratio - excellent. We recommend.")</f>
        <v>We bought it for our dacha to replace a similar one. The previous one was from the same company. She worked for more than 13 years.  The functionality is the same. Already tried it. No comments.  In terms of price-quality ratio - excellent. We recommend.</v>
      </c>
    </row>
    <row r="8730" spans="1:9" x14ac:dyDescent="0.3">
      <c r="A8730" s="1" t="s">
        <v>17</v>
      </c>
      <c r="B8730" s="1" t="s">
        <v>18</v>
      </c>
      <c r="C8730" s="1" t="s">
        <v>870</v>
      </c>
      <c r="D8730" s="1" t="s">
        <v>295</v>
      </c>
      <c r="E8730" s="1" t="s">
        <v>8161</v>
      </c>
      <c r="F8730" s="1" t="s">
        <v>13063</v>
      </c>
      <c r="G8730" s="1" t="s">
        <v>36</v>
      </c>
      <c r="H8730" s="1" t="s">
        <v>29</v>
      </c>
      <c r="I8730" s="1" t="str">
        <f ca="1">IFERROR(__xludf.DUMMYFUNCTION("GOOGLETRANSLATE(F8730, ""auto"", ""en"")
"),"Excellent machine!!! I worked for 15 years, but it vibrates when spinning at high speeds. Very much, but it didn’t bother us too much because... we live in a private house")</f>
        <v>Excellent machine!!! I worked for 15 years, but it vibrates when spinning at high speeds. Very much, but it didn’t bother us too much because... we live in a private house</v>
      </c>
    </row>
    <row r="8731" spans="1:9" x14ac:dyDescent="0.3">
      <c r="A8731" s="1" t="s">
        <v>105</v>
      </c>
      <c r="B8731" s="1" t="s">
        <v>106</v>
      </c>
      <c r="C8731" s="1" t="s">
        <v>1209</v>
      </c>
      <c r="D8731" s="1" t="s">
        <v>13064</v>
      </c>
      <c r="E8731" s="1" t="s">
        <v>3664</v>
      </c>
      <c r="F8731" s="1" t="s">
        <v>13065</v>
      </c>
      <c r="G8731" s="1" t="s">
        <v>15</v>
      </c>
      <c r="H8731" s="1" t="s">
        <v>16</v>
      </c>
      <c r="I8731" s="1" t="str">
        <f ca="1">IFERROR(__xludf.DUMMYFUNCTION("GOOGLETRANSLATE(F8731, ""auto"", ""en"")
"),"I bought a player today. I want to say right away, don’t be fooled by the TV tuner. It will only show if you lie under a body tower. There is no equalizer, which is a significant minus. The headphones included are of poor quality and short. The size of th"&amp;"e player itself is somehow too big. Now, if it were for a portable TV, then in principle it would work, but I repeat once again, it would only be shown in an open field and next to a TV tower. I think that the price does not fit into the functionality. I "&amp;"don't recommend buying")</f>
        <v>I bought a player today. I want to say right away, don’t be fooled by the TV tuner. It will only show if you lie under a body tower. There is no equalizer, which is a significant minus. The headphones included are of poor quality and short. The size of the player itself is somehow too big. Now, if it were for a portable TV, then in principle it would work, but I repeat once again, it would only be shown in an open field and next to a TV tower. I think that the price does not fit into the functionality. I don't recommend buying</v>
      </c>
    </row>
    <row r="8732" spans="1:9" x14ac:dyDescent="0.3">
      <c r="A8732" s="1" t="s">
        <v>369</v>
      </c>
      <c r="B8732" s="1" t="s">
        <v>2480</v>
      </c>
      <c r="C8732" s="1" t="s">
        <v>257</v>
      </c>
      <c r="D8732" s="1" t="s">
        <v>139</v>
      </c>
      <c r="E8732" s="1" t="s">
        <v>397</v>
      </c>
      <c r="F8732" s="1" t="s">
        <v>13066</v>
      </c>
      <c r="G8732" s="1" t="s">
        <v>28</v>
      </c>
      <c r="H8732" s="1" t="s">
        <v>29</v>
      </c>
      <c r="I8732" s="1" t="str">
        <f ca="1">IFERROR(__xludf.DUMMYFUNCTION("GOOGLETRANSLATE(F8732, ""auto"", ""en"")
"),"The tile itself is not bad, but the temperature controller is disgusting. The diameter of the mounting hole on the lamb is much larger than the adjustment pin, which is why the adjustment slips. It has gotten to the point that when the dial rotates, nothi"&amp;"ng happens and only at the end of the stroke does the tile turn on (at minimum power, of course), and then there is no way to turn it, because... extreme positions are rigidly fixed. I had to repair it..")</f>
        <v>The tile itself is not bad, but the temperature controller is disgusting. The diameter of the mounting hole on the lamb is much larger than the adjustment pin, which is why the adjustment slips. It has gotten to the point that when the dial rotates, nothing happens and only at the end of the stroke does the tile turn on (at minimum power, of course), and then there is no way to turn it, because... extreme positions are rigidly fixed. I had to repair it..</v>
      </c>
    </row>
    <row r="8733" spans="1:9" x14ac:dyDescent="0.3">
      <c r="A8733" s="1" t="s">
        <v>105</v>
      </c>
      <c r="B8733" s="1" t="s">
        <v>106</v>
      </c>
      <c r="C8733" s="1" t="s">
        <v>1526</v>
      </c>
      <c r="D8733" s="1" t="s">
        <v>152</v>
      </c>
      <c r="E8733" s="1" t="s">
        <v>430</v>
      </c>
      <c r="F8733" s="1" t="s">
        <v>13067</v>
      </c>
      <c r="G8733" s="1" t="s">
        <v>28</v>
      </c>
      <c r="H8733" s="1" t="s">
        <v>29</v>
      </c>
      <c r="I8733" s="1" t="str">
        <f ca="1">IFERROR(__xludf.DUMMYFUNCTION("GOOGLETRANSLATE(F8733, ""auto"", ""en"")
"),"In general, the player is....good.  Pros: good sound, convenient to read books (you can change the font size), high-quality display, there is a file manager (it’s not clear why).  Of the minuses: creaky buttons (very annoying when switching), video conver"&amp;"sion (the program included in the kit is useless - I had to download another program (iriverter - I recommend)), the speaker is not needed at all, because it is of little use - very quiet and squeaky, the headphones included in the kit were also not happy"&amp;", the software is not updated through the program (on the disk).")</f>
        <v>In general, the player is....good.  Pros: good sound, convenient to read books (you can change the font size), high-quality display, there is a file manager (it’s not clear why).  Of the minuses: creaky buttons (very annoying when switching), video conversion (the program included in the kit is useless - I had to download another program (iriverter - I recommend)), the speaker is not needed at all, because it is of little use - very quiet and squeaky, the headphones included in the kit were also not happy, the software is not updated through the program (on the disk).</v>
      </c>
    </row>
    <row r="8734" spans="1:9" x14ac:dyDescent="0.3">
      <c r="A8734" s="1" t="s">
        <v>78</v>
      </c>
      <c r="B8734" s="1" t="s">
        <v>79</v>
      </c>
      <c r="C8734" s="1" t="s">
        <v>122</v>
      </c>
      <c r="D8734" s="1" t="s">
        <v>2679</v>
      </c>
      <c r="E8734" s="1" t="s">
        <v>269</v>
      </c>
      <c r="F8734" s="1" t="s">
        <v>13068</v>
      </c>
      <c r="G8734" s="1" t="s">
        <v>36</v>
      </c>
      <c r="H8734" s="1" t="s">
        <v>29</v>
      </c>
      <c r="I8734" s="1" t="str">
        <f ca="1">IFERROR(__xludf.DUMMYFUNCTION("GOOGLETRANSLATE(F8734, ""auto"", ""en"")
"),"A good powerful stove, I recommend purchasing it.")</f>
        <v>A good powerful stove, I recommend purchasing it.</v>
      </c>
    </row>
    <row r="8735" spans="1:9" x14ac:dyDescent="0.3">
      <c r="A8735" s="1" t="s">
        <v>519</v>
      </c>
      <c r="B8735" s="1" t="s">
        <v>3212</v>
      </c>
      <c r="C8735" s="1" t="s">
        <v>561</v>
      </c>
      <c r="D8735" s="1" t="s">
        <v>64</v>
      </c>
      <c r="E8735" s="1" t="s">
        <v>6554</v>
      </c>
      <c r="F8735" s="1" t="s">
        <v>13069</v>
      </c>
      <c r="G8735" s="1" t="s">
        <v>36</v>
      </c>
      <c r="H8735" s="1" t="s">
        <v>29</v>
      </c>
      <c r="I8735" s="1" t="str">
        <f ca="1">IFERROR(__xludf.DUMMYFUNCTION("GOOGLETRANSLATE(F8735, ""auto"", ""en"")
"),"I’ve been using the mold for about half a year, I bought it because the square ones didn’t fit in a small oven. This one fit perfectly. Actually, I also had another company. But this one has a non-stick layer, there are no traces of oil left on it, and th"&amp;"e baked goods do not burn. I bake pizza more often, it bakes much better and faster than on a regular baking sheet without holes, and can be easily removed from the pan. I didn’t find any shortcomings in my case.")</f>
        <v>I’ve been using the mold for about half a year, I bought it because the square ones didn’t fit in a small oven. This one fit perfectly. Actually, I also had another company. But this one has a non-stick layer, there are no traces of oil left on it, and the baked goods do not burn. I bake pizza more often, it bakes much better and faster than on a regular baking sheet without holes, and can be easily removed from the pan. I didn’t find any shortcomings in my case.</v>
      </c>
    </row>
    <row r="8736" spans="1:9" x14ac:dyDescent="0.3">
      <c r="A8736" s="1" t="s">
        <v>37</v>
      </c>
      <c r="B8736" s="1" t="s">
        <v>1829</v>
      </c>
      <c r="C8736" s="1" t="s">
        <v>151</v>
      </c>
      <c r="D8736" s="1" t="s">
        <v>690</v>
      </c>
      <c r="E8736" s="1" t="s">
        <v>1946</v>
      </c>
      <c r="F8736" s="1" t="s">
        <v>13070</v>
      </c>
      <c r="G8736" s="1" t="s">
        <v>36</v>
      </c>
      <c r="H8736" s="1" t="s">
        <v>29</v>
      </c>
      <c r="I8736" s="1" t="str">
        <f ca="1">IFERROR(__xludf.DUMMYFUNCTION("GOOGLETRANSLATE(F8736, ""auto"", ""en"")
"),"I bought it back in May. During all this time, no serious problems arose. There was even a feeling that it was only working better over time. On the other hand, I have a Korean-built phone. The battery is enough for a day. Taking into account toys, the In"&amp;"ternet, music and films. In a pinch, a replaceable battery is a big plus. Naturally, I expected a little more from the 2600, but I’m quite happy with it. Frame. Many times the phone has been dropped, and nothing happened other than minor scratches and pee"&amp;"ling paint. The back cover can be easily replaced, but on the sides the appearance is a little spoiled. Camera. To be honest, I expected more from the front. But for the same Skype it is quite enough. Screen. Completely lived up to expectations. But it’s "&amp;"still worth sticking a protective film;) Performance/crashes/freezes. There was nothing critical. So here, too, expectations are fully justified. Internet. Everything works great. The lack of LTE is a little sad. But LTE is not available everywhere. Would"&amp;" you buy it now? More likely yes than no.")</f>
        <v>I bought it back in May. During all this time, no serious problems arose. There was even a feeling that it was only working better over time. On the other hand, I have a Korean-built phone. The battery is enough for a day. Taking into account toys, the Internet, music and films. In a pinch, a replaceable battery is a big plus. Naturally, I expected a little more from the 2600, but I’m quite happy with it. Frame. Many times the phone has been dropped, and nothing happened other than minor scratches and peeling paint. The back cover can be easily replaced, but on the sides the appearance is a little spoiled. Camera. To be honest, I expected more from the front. But for the same Skype it is quite enough. Screen. Completely lived up to expectations. But it’s still worth sticking a protective film;) Performance/crashes/freezes. There was nothing critical. So here, too, expectations are fully justified. Internet. Everything works great. The lack of LTE is a little sad. But LTE is not available everywhere. Would you buy it now? More likely yes than no.</v>
      </c>
    </row>
    <row r="8737" spans="1:9" x14ac:dyDescent="0.3">
      <c r="A8737" s="1" t="s">
        <v>67</v>
      </c>
      <c r="B8737" s="1" t="s">
        <v>68</v>
      </c>
      <c r="C8737" s="1" t="s">
        <v>246</v>
      </c>
      <c r="D8737" s="1" t="s">
        <v>75</v>
      </c>
      <c r="E8737" s="1" t="s">
        <v>571</v>
      </c>
      <c r="F8737" s="1" t="s">
        <v>13071</v>
      </c>
      <c r="G8737" s="1" t="s">
        <v>36</v>
      </c>
      <c r="H8737" s="1" t="s">
        <v>29</v>
      </c>
      <c r="I8737" s="1" t="str">
        <f ca="1">IFERROR(__xludf.DUMMYFUNCTION("GOOGLETRANSLATE(F8737, ""auto"", ""en"")
"),"Addition to my review: just don’t think that the Tefal FV 9240E2 iron produces such pretzels every time you iron (it “spits” yellow water mixed with scale) - this is the exception rather than the rule, but, unfortunately, this happens.")</f>
        <v>Addition to my review: just don’t think that the Tefal FV 9240E2 iron produces such pretzels every time you iron (it “spits” yellow water mixed with scale) - this is the exception rather than the rule, but, unfortunately, this happens.</v>
      </c>
    </row>
    <row r="8738" spans="1:9" x14ac:dyDescent="0.3">
      <c r="A8738" s="1" t="s">
        <v>477</v>
      </c>
      <c r="B8738" s="1" t="s">
        <v>478</v>
      </c>
      <c r="C8738" s="1" t="s">
        <v>479</v>
      </c>
      <c r="D8738" s="1" t="s">
        <v>13072</v>
      </c>
      <c r="E8738" s="1" t="s">
        <v>2622</v>
      </c>
      <c r="F8738" s="1" t="s">
        <v>13073</v>
      </c>
      <c r="G8738" s="1" t="s">
        <v>49</v>
      </c>
      <c r="H8738" s="1" t="s">
        <v>16</v>
      </c>
      <c r="I8738" s="1" t="str">
        <f ca="1">IFERROR(__xludf.DUMMYFUNCTION("GOOGLETRANSLATE(F8738, ""auto"", ""en"")
"),"I bought a card and it doesn’t work! It says that the activation code was entered incorrectly.")</f>
        <v>I bought a card and it doesn’t work! It says that the activation code was entered incorrectly.</v>
      </c>
    </row>
    <row r="8739" spans="1:9" x14ac:dyDescent="0.3">
      <c r="A8739" s="1" t="s">
        <v>30</v>
      </c>
      <c r="B8739" s="1" t="s">
        <v>50</v>
      </c>
      <c r="C8739" s="1" t="s">
        <v>189</v>
      </c>
      <c r="D8739" s="1" t="s">
        <v>152</v>
      </c>
      <c r="E8739" s="1" t="s">
        <v>7715</v>
      </c>
      <c r="F8739" s="1" t="s">
        <v>13074</v>
      </c>
      <c r="G8739" s="1" t="s">
        <v>36</v>
      </c>
      <c r="H8739" s="1" t="s">
        <v>29</v>
      </c>
      <c r="I8739" s="1" t="str">
        <f ca="1">IFERROR(__xludf.DUMMYFUNCTION("GOOGLETRANSLATE(F8739, ""auto"", ""en"")
"),"Judging by the characteristics and reviews on other sites, it’s a good laptop. The RAM frequency is 800 MHz - high +, the video is also not bad, it’s a pity that DDR2, its characteristics: Core frequency - 500 Mhz;  Shader frequency - 1250 Mhz;  Memory fr"&amp;"equency - 800 MHz;  If we compare it with the GF 9600GT DDR3 (depending on the manufacturer, I took Sparkle, which I currently own, as an example): Core frequency - 650 MHz;  Shader frequency - 1625 MHz;  Memory frequency - 1800 MHz;  The memory frequency"&amp;" of the laptop's video card is almost 2 times slower, but it's ok for a laptop.  The processor for this price is also not bad, it’s a pity that the cache is only 1 MB, but I think it’s enough.   I would also like to mention Windows 7 - why bother shoving "&amp;"a crude operating system? And you probably won’t take it down, otherwise the warranty will end.   Actually, I think that the laptop is not for those who are going to play cutting-edge games on it.     Having weighed everything + and -, I decided to take i"&amp;"t next Saturday. Once I become the owner, I will write again.")</f>
        <v>Judging by the characteristics and reviews on other sites, it’s a good laptop. The RAM frequency is 800 MHz - high +, the video is also not bad, it’s a pity that DDR2, its characteristics: Core frequency - 500 Mhz;  Shader frequency - 1250 Mhz;  Memory frequency - 800 MHz;  If we compare it with the GF 9600GT DDR3 (depending on the manufacturer, I took Sparkle, which I currently own, as an example): Core frequency - 650 MHz;  Shader frequency - 1625 MHz;  Memory frequency - 1800 MHz;  The memory frequency of the laptop's video card is almost 2 times slower, but it's ok for a laptop.  The processor for this price is also not bad, it’s a pity that the cache is only 1 MB, but I think it’s enough.   I would also like to mention Windows 7 - why bother shoving a crude operating system? And you probably won’t take it down, otherwise the warranty will end.   Actually, I think that the laptop is not for those who are going to play cutting-edge games on it.     Having weighed everything + and -, I decided to take it next Saturday. Once I become the owner, I will write again.</v>
      </c>
    </row>
    <row r="8740" spans="1:9" x14ac:dyDescent="0.3">
      <c r="A8740" s="1" t="s">
        <v>61</v>
      </c>
      <c r="B8740" s="1" t="s">
        <v>73</v>
      </c>
      <c r="C8740" s="1" t="s">
        <v>146</v>
      </c>
      <c r="D8740" s="1" t="s">
        <v>13075</v>
      </c>
      <c r="E8740" s="1" t="s">
        <v>7418</v>
      </c>
      <c r="F8740" s="1" t="s">
        <v>13076</v>
      </c>
      <c r="G8740" s="1" t="s">
        <v>36</v>
      </c>
      <c r="H8740" s="1" t="s">
        <v>29</v>
      </c>
      <c r="I8740" s="1" t="str">
        <f ca="1">IFERROR(__xludf.DUMMYFUNCTION("GOOGLETRANSLATE(F8740, ""auto"", ""en"")
"),"Very happy with the purchase. Powerful, durable, reliable.  3 types of mesh for minced meat, an attachment for sausages, and a shredder grater (replacement for a food processor).. We no longer use semi-finished products, we cook everything ourselves.")</f>
        <v>Very happy with the purchase. Powerful, durable, reliable.  3 types of mesh for minced meat, an attachment for sausages, and a shredder grater (replacement for a food processor).. We no longer use semi-finished products, we cook everything ourselves.</v>
      </c>
    </row>
    <row r="8741" spans="1:9" x14ac:dyDescent="0.3">
      <c r="A8741" s="1" t="s">
        <v>149</v>
      </c>
      <c r="B8741" s="1" t="s">
        <v>423</v>
      </c>
      <c r="C8741" s="1" t="s">
        <v>531</v>
      </c>
      <c r="D8741" s="1" t="s">
        <v>64</v>
      </c>
      <c r="E8741" s="1" t="s">
        <v>1576</v>
      </c>
      <c r="F8741" s="1" t="s">
        <v>13077</v>
      </c>
      <c r="G8741" s="1" t="s">
        <v>28</v>
      </c>
      <c r="H8741" s="1" t="s">
        <v>29</v>
      </c>
      <c r="I8741" s="1" t="str">
        <f ca="1">IFERROR(__xludf.DUMMYFUNCTION("GOOGLETRANSLATE(F8741, ""auto"", ""en"")
"),"Good afternoon!!!  I've been using this vacuum cleaner for three years now. The only thing is that the filter system is inconveniently organized, while you take it apart, while you wash the whole process. But I really liked the quality that the vacuum cle"&amp;"aner gives when washing windows - super!!!  And most importantly, purchase a spare set of all 4 filters in advance - it will be very useful.")</f>
        <v>Good afternoon!!!  I've been using this vacuum cleaner for three years now. The only thing is that the filter system is inconveniently organized, while you take it apart, while you wash the whole process. But I really liked the quality that the vacuum cleaner gives when washing windows - super!!!  And most importantly, purchase a spare set of all 4 filters in advance - it will be very useful.</v>
      </c>
    </row>
    <row r="8742" spans="1:9" x14ac:dyDescent="0.3">
      <c r="A8742" s="1" t="s">
        <v>120</v>
      </c>
      <c r="B8742" s="1" t="s">
        <v>121</v>
      </c>
      <c r="C8742" s="1" t="s">
        <v>80</v>
      </c>
      <c r="D8742" s="1" t="s">
        <v>86</v>
      </c>
      <c r="E8742" s="1" t="s">
        <v>1765</v>
      </c>
      <c r="F8742" s="1" t="s">
        <v>13078</v>
      </c>
      <c r="G8742" s="1" t="s">
        <v>36</v>
      </c>
      <c r="H8742" s="1" t="s">
        <v>29</v>
      </c>
      <c r="I8742" s="1" t="str">
        <f ca="1">IFERROR(__xludf.DUMMYFUNCTION("GOOGLETRANSLATE(F8742, ""auto"", ""en"")
"),"It’s a good TV, but I bought an external HDD, and the TV didn’t see it, I exchanged it for another HDD, I began to read small 250MB files, with grief, and when choosing, for example, MKV, the USB connection breaks, followed by loading, maybe I need a spec"&amp;"ial disk, or the firmware is crooked, HELP? Help.")</f>
        <v>It’s a good TV, but I bought an external HDD, and the TV didn’t see it, I exchanged it for another HDD, I began to read small 250MB files, with grief, and when choosing, for example, MKV, the USB connection breaks, followed by loading, maybe I need a special disk, or the firmware is crooked, HELP? Help.</v>
      </c>
    </row>
    <row r="8743" spans="1:9" x14ac:dyDescent="0.3">
      <c r="A8743" s="1" t="s">
        <v>9</v>
      </c>
      <c r="B8743" s="1" t="s">
        <v>10</v>
      </c>
      <c r="C8743" s="1" t="s">
        <v>3438</v>
      </c>
      <c r="D8743" s="1" t="s">
        <v>13079</v>
      </c>
      <c r="E8743" s="1" t="s">
        <v>13080</v>
      </c>
      <c r="F8743" s="1" t="s">
        <v>13081</v>
      </c>
      <c r="G8743" s="1" t="s">
        <v>36</v>
      </c>
      <c r="H8743" s="1" t="s">
        <v>29</v>
      </c>
      <c r="I8743" s="1" t="str">
        <f ca="1">IFERROR(__xludf.DUMMYFUNCTION("GOOGLETRANSLATE(F8743, ""auto"", ""en"")
"),"I just can’t imagine how I lived without a hood before!!! The evening usually ended with a headache since we had to prepare dinner for several people, and in the heat there was no coolness coming from the street. The air and atmosphere in the kitchen imme"&amp;"diately improved, and all this despite the fact that I always (or almost always) turn on the minimum speed, it gets rid of cooking odors in the kitchen in a minute. This is especially true for our dad, who is on a diet for health reasons and delicious sme"&amp;"lls only irritate him. The hood fits perfectly into our very small kitchen. I am incredibly happy, you can calmly breathe fresh air, no smells for you!!")</f>
        <v>I just can’t imagine how I lived without a hood before!!! The evening usually ended with a headache since we had to prepare dinner for several people, and in the heat there was no coolness coming from the street. The air and atmosphere in the kitchen immediately improved, and all this despite the fact that I always (or almost always) turn on the minimum speed, it gets rid of cooking odors in the kitchen in a minute. This is especially true for our dad, who is on a diet for health reasons and delicious smells only irritate him. The hood fits perfectly into our very small kitchen. I am incredibly happy, you can calmly breathe fresh air, no smells for you!!</v>
      </c>
    </row>
    <row r="8744" spans="1:9" x14ac:dyDescent="0.3">
      <c r="A8744" s="1" t="s">
        <v>43</v>
      </c>
      <c r="B8744" s="1" t="s">
        <v>219</v>
      </c>
      <c r="C8744" s="1" t="s">
        <v>220</v>
      </c>
      <c r="D8744" s="1" t="s">
        <v>12</v>
      </c>
      <c r="E8744" s="1" t="s">
        <v>4789</v>
      </c>
      <c r="F8744" s="1" t="s">
        <v>13082</v>
      </c>
      <c r="G8744" s="1" t="s">
        <v>28</v>
      </c>
      <c r="H8744" s="1" t="s">
        <v>29</v>
      </c>
      <c r="I8744" s="1" t="str">
        <f ca="1">IFERROR(__xludf.DUMMYFUNCTION("GOOGLETRANSLATE(F8744, ""auto"", ""en"")
"),"Nice, inexpensive water heater with fast water heating ")</f>
        <v xml:space="preserve">Nice, inexpensive water heater with fast water heating </v>
      </c>
    </row>
    <row r="8745" spans="1:9" x14ac:dyDescent="0.3">
      <c r="A8745" s="1" t="s">
        <v>211</v>
      </c>
      <c r="B8745" s="1" t="s">
        <v>212</v>
      </c>
      <c r="C8745" s="1" t="s">
        <v>63</v>
      </c>
      <c r="D8745" s="1" t="s">
        <v>58</v>
      </c>
      <c r="E8745" s="1" t="s">
        <v>1868</v>
      </c>
      <c r="F8745" s="1" t="s">
        <v>13083</v>
      </c>
      <c r="G8745" s="1" t="s">
        <v>49</v>
      </c>
      <c r="H8745" s="1" t="s">
        <v>16</v>
      </c>
      <c r="I8745" s="1" t="str">
        <f ca="1">IFERROR(__xludf.DUMMYFUNCTION("GOOGLETRANSLATE(F8745, ""auto"", ""en"")
"),"The first time I bought it, it lasted a year. The switch broke and smelled burnt, then I bought it and the same situation 10 months later, the switch broke and started smelling burnt. I straightened it well, but I don’t recommend buying it.... it will bre"&amp;"ak")</f>
        <v>The first time I bought it, it lasted a year. The switch broke and smelled burnt, then I bought it and the same situation 10 months later, the switch broke and started smelling burnt. I straightened it well, but I don’t recommend buying it.... it will break</v>
      </c>
    </row>
    <row r="8746" spans="1:9" x14ac:dyDescent="0.3">
      <c r="A8746" s="1" t="s">
        <v>149</v>
      </c>
      <c r="B8746" s="1" t="s">
        <v>155</v>
      </c>
      <c r="C8746" s="1" t="s">
        <v>1187</v>
      </c>
      <c r="D8746" s="1" t="s">
        <v>64</v>
      </c>
      <c r="E8746" s="1" t="s">
        <v>2780</v>
      </c>
      <c r="F8746" s="1" t="s">
        <v>13084</v>
      </c>
      <c r="G8746" s="1" t="s">
        <v>36</v>
      </c>
      <c r="H8746" s="1" t="s">
        <v>29</v>
      </c>
      <c r="I8746" s="1" t="str">
        <f ca="1">IFERROR(__xludf.DUMMYFUNCTION("GOOGLETRANSLATE(F8746, ""auto"", ""en"")
"),"We bought it and didn’t regret it, the house has parquet in the rooms, tiles in the kitchen, cleaning time takes 20 minutes!!! I conducted an experiment, washed the floor throughout the apartment, then went through with a vacuum cleaner - Container in the"&amp;" sand! Very happy with the purchase!!!")</f>
        <v>We bought it and didn’t regret it, the house has parquet in the rooms, tiles in the kitchen, cleaning time takes 20 minutes!!! I conducted an experiment, washed the floor throughout the apartment, then went through with a vacuum cleaner - Container in the sand! Very happy with the purchase!!!</v>
      </c>
    </row>
    <row r="8747" spans="1:9" x14ac:dyDescent="0.3">
      <c r="A8747" s="1" t="s">
        <v>89</v>
      </c>
      <c r="B8747" s="1" t="s">
        <v>90</v>
      </c>
      <c r="C8747" s="1" t="s">
        <v>101</v>
      </c>
      <c r="D8747" s="1" t="s">
        <v>592</v>
      </c>
      <c r="E8747" s="1" t="s">
        <v>5894</v>
      </c>
      <c r="F8747" s="1" t="s">
        <v>13085</v>
      </c>
      <c r="G8747" s="1" t="s">
        <v>36</v>
      </c>
      <c r="H8747" s="1" t="s">
        <v>29</v>
      </c>
      <c r="I8747" s="1" t="str">
        <f ca="1">IFERROR(__xludf.DUMMYFUNCTION("GOOGLETRANSLATE(F8747, ""auto"", ""en"")
"),"I’ve been using this coffee grinder for 2 years, everything is great, I like it.")</f>
        <v>I’ve been using this coffee grinder for 2 years, everything is great, I like it.</v>
      </c>
    </row>
    <row r="8748" spans="1:9" x14ac:dyDescent="0.3">
      <c r="A8748" s="1" t="s">
        <v>105</v>
      </c>
      <c r="B8748" s="1" t="s">
        <v>106</v>
      </c>
      <c r="C8748" s="1" t="s">
        <v>1209</v>
      </c>
      <c r="D8748" s="1" t="s">
        <v>9412</v>
      </c>
      <c r="E8748" s="1" t="s">
        <v>5241</v>
      </c>
      <c r="F8748" s="1" t="s">
        <v>13086</v>
      </c>
      <c r="G8748" s="1" t="s">
        <v>49</v>
      </c>
      <c r="H8748" s="1" t="s">
        <v>16</v>
      </c>
      <c r="I8748" s="1" t="str">
        <f ca="1">IFERROR(__xludf.DUMMYFUNCTION("GOOGLETRANSLATE(F8748, ""auto"", ""en"")
"),"The joy from the purchase knew no bounds, but the very next day there were problems with the equalizer, sound and playback, and then distortions appeared in the FM radio and Music. It is impossible to exchange for another one of the same kind. I strongly "&amp;"do not recommend buying!")</f>
        <v>The joy from the purchase knew no bounds, but the very next day there were problems with the equalizer, sound and playback, and then distortions appeared in the FM radio and Music. It is impossible to exchange for another one of the same kind. I strongly do not recommend buying!</v>
      </c>
    </row>
    <row r="8749" spans="1:9" x14ac:dyDescent="0.3">
      <c r="A8749" s="1" t="s">
        <v>1174</v>
      </c>
      <c r="B8749" s="1" t="s">
        <v>1175</v>
      </c>
      <c r="C8749" s="1" t="s">
        <v>356</v>
      </c>
      <c r="D8749" s="1" t="s">
        <v>2595</v>
      </c>
      <c r="E8749" s="1" t="s">
        <v>201</v>
      </c>
      <c r="F8749" s="1" t="s">
        <v>13087</v>
      </c>
      <c r="G8749" s="1" t="s">
        <v>49</v>
      </c>
      <c r="H8749" s="1" t="s">
        <v>16</v>
      </c>
      <c r="I8749" s="1" t="str">
        <f ca="1">IFERROR(__xludf.DUMMYFUNCTION("GOOGLETRANSLATE(F8749, ""auto"", ""en"")
"),"Sooooo bad headphones! God willing, they are 2 weeks old, and the right one is already cracking... in general, I don’t like them!")</f>
        <v>Sooooo bad headphones! God willing, they are 2 weeks old, and the right one is already cracking... in general, I don’t like them!</v>
      </c>
    </row>
    <row r="8750" spans="1:9" x14ac:dyDescent="0.3">
      <c r="A8750" s="1" t="s">
        <v>43</v>
      </c>
      <c r="B8750" s="1" t="s">
        <v>502</v>
      </c>
      <c r="C8750" s="1" t="s">
        <v>1627</v>
      </c>
      <c r="D8750" s="1" t="s">
        <v>172</v>
      </c>
      <c r="E8750" s="1" t="s">
        <v>2606</v>
      </c>
      <c r="F8750" s="1" t="s">
        <v>13088</v>
      </c>
      <c r="G8750" s="1" t="s">
        <v>36</v>
      </c>
      <c r="H8750" s="1" t="s">
        <v>29</v>
      </c>
      <c r="I8750" s="1" t="str">
        <f ca="1">IFERROR(__xludf.DUMMYFUNCTION("GOOGLETRANSLATE(F8750, ""auto"", ""en"")
"),"It lasted three weeks, a room of 17 m2 overlooks the sunset side of the 5th floor, it was always very hot and stuffy, it works perfectly, cools in about 15 minutes, in the weakest mode, it’s actually quiet (with high-quality installation), the temperature"&amp;" is kept almost exactly +-1.2 degrees, the drying works as it should, the air does not dry out, probably the best option in this price category, I spent a very long time choosing and comparing air conditioners with fine air purification.")</f>
        <v>It lasted three weeks, a room of 17 m2 overlooks the sunset side of the 5th floor, it was always very hot and stuffy, it works perfectly, cools in about 15 minutes, in the weakest mode, it’s actually quiet (with high-quality installation), the temperature is kept almost exactly +-1.2 degrees, the drying works as it should, the air does not dry out, probably the best option in this price category, I spent a very long time choosing and comparing air conditioners with fine air purification.</v>
      </c>
    </row>
    <row r="8751" spans="1:9" x14ac:dyDescent="0.3">
      <c r="A8751" s="1" t="s">
        <v>30</v>
      </c>
      <c r="B8751" s="1" t="s">
        <v>50</v>
      </c>
      <c r="C8751" s="1" t="s">
        <v>32</v>
      </c>
      <c r="D8751" s="1" t="s">
        <v>52</v>
      </c>
      <c r="E8751" s="1" t="s">
        <v>1527</v>
      </c>
      <c r="F8751" s="1" t="s">
        <v>13089</v>
      </c>
      <c r="G8751" s="1" t="s">
        <v>36</v>
      </c>
      <c r="H8751" s="1" t="s">
        <v>29</v>
      </c>
      <c r="I8751" s="1" t="str">
        <f ca="1">IFERROR(__xludf.DUMMYFUNCTION("GOOGLETRANSLATE(F8751, ""auto"", ""en"")
"),"I bought a laptop three days ago and realized that there was simply no better choice for the money.   Pros: 1. Excellent large screen 2. Good operating system Windows 7HP, not Windows 7HB where everything that can be cut was cut.  3. Works quickly, withou"&amp;"t brakes or glitches.  4. Availability of 4GB of RAM.  5. Not bad (for a laptop) processor and video card.  Minus: 1. It’s heavy (4.1 kg), but if you use it as an alternative to a regular PC, then this weight turns into a plus.  Conclusion: if you plan to"&amp;" buy a laptop for home (and not carry it with you all the time) as an alternative to a home PC and you have 29 thousand rubles available, then this is your choice, I haven’t found an alternative. I'm extremely pleased!!! Good luck to everyone!")</f>
        <v>I bought a laptop three days ago and realized that there was simply no better choice for the money.   Pros: 1. Excellent large screen 2. Good operating system Windows 7HP, not Windows 7HB where everything that can be cut was cut.  3. Works quickly, without brakes or glitches.  4. Availability of 4GB of RAM.  5. Not bad (for a laptop) processor and video card.  Minus: 1. It’s heavy (4.1 kg), but if you use it as an alternative to a regular PC, then this weight turns into a plus.  Conclusion: if you plan to buy a laptop for home (and not carry it with you all the time) as an alternative to a home PC and you have 29 thousand rubles available, then this is your choice, I haven’t found an alternative. I'm extremely pleased!!! Good luck to everyone!</v>
      </c>
    </row>
    <row r="8752" spans="1:9" x14ac:dyDescent="0.3">
      <c r="A8752" s="1" t="s">
        <v>61</v>
      </c>
      <c r="B8752" s="1" t="s">
        <v>318</v>
      </c>
      <c r="C8752" s="1" t="s">
        <v>101</v>
      </c>
      <c r="D8752" s="1" t="s">
        <v>1329</v>
      </c>
      <c r="E8752" s="1" t="s">
        <v>2815</v>
      </c>
      <c r="F8752" s="1" t="s">
        <v>13090</v>
      </c>
      <c r="G8752" s="1" t="s">
        <v>28</v>
      </c>
      <c r="H8752" s="1" t="s">
        <v>29</v>
      </c>
      <c r="I8752" s="1" t="str">
        <f ca="1">IFERROR(__xludf.DUMMYFUNCTION("GOOGLETRANSLATE(F8752, ""auto"", ""en"")
"),"The kettle is good for everyone (I didn’t expect from Scarlett....). But one feature spoiled the impression. The whole point is that when after boiling or even after a long time you open the lid of the kettle, the condensation (drops of water, hot after b"&amp;"oiling) from the lid does not drain into the kettle, but onto your hands, onto the table or flow down the body of the kettle into the electric stand. Otherwise it’s good quality, no complaints")</f>
        <v>The kettle is good for everyone (I didn’t expect from Scarlett....). But one feature spoiled the impression. The whole point is that when after boiling or even after a long time you open the lid of the kettle, the condensation (drops of water, hot after boiling) from the lid does not drain into the kettle, but onto your hands, onto the table or flow down the body of the kettle into the electric stand. Otherwise it’s good quality, no complaints</v>
      </c>
    </row>
    <row r="8753" spans="1:9" x14ac:dyDescent="0.3">
      <c r="A8753" s="1" t="s">
        <v>95</v>
      </c>
      <c r="B8753" s="1" t="s">
        <v>402</v>
      </c>
      <c r="C8753" s="1" t="s">
        <v>403</v>
      </c>
      <c r="D8753" s="1" t="s">
        <v>52</v>
      </c>
      <c r="E8753" s="1" t="s">
        <v>2484</v>
      </c>
      <c r="F8753" s="1" t="s">
        <v>13091</v>
      </c>
      <c r="G8753" s="1" t="s">
        <v>49</v>
      </c>
      <c r="H8753" s="1" t="s">
        <v>16</v>
      </c>
      <c r="I8753" s="1" t="str">
        <f ca="1">IFERROR(__xludf.DUMMYFUNCTION("GOOGLETRANSLATE(F8753, ""auto"", ""en"")
"),"Price - I can’t understand why if it should cost so much. Nintendo officially announced that they are reducing the price of this console. Is 3D a completely unnecessary thing? If TVs are not popular, why use a pocket console? Its graphics are terrible! Sl"&amp;"ightly better than psp.  I don’t even understand why this is a wretched console!   ngp (ps vita) will be released soon and the 3DS is not visible here at all. NGP is worth the money. She just doesn’t have 3D and the ability to take pictures in 3D and that"&amp;"’s it!")</f>
        <v>Price - I can’t understand why if it should cost so much. Nintendo officially announced that they are reducing the price of this console. Is 3D a completely unnecessary thing? If TVs are not popular, why use a pocket console? Its graphics are terrible! Slightly better than psp.  I don’t even understand why this is a wretched console!   ngp (ps vita) will be released soon and the 3DS is not visible here at all. NGP is worth the money. She just doesn’t have 3D and the ability to take pictures in 3D and that’s it!</v>
      </c>
    </row>
    <row r="8754" spans="1:9" x14ac:dyDescent="0.3">
      <c r="A8754" s="1" t="s">
        <v>149</v>
      </c>
      <c r="B8754" s="1" t="s">
        <v>150</v>
      </c>
      <c r="C8754" s="1" t="s">
        <v>57</v>
      </c>
      <c r="D8754" s="1" t="s">
        <v>52</v>
      </c>
      <c r="E8754" s="1" t="s">
        <v>2280</v>
      </c>
      <c r="F8754" s="1" t="s">
        <v>13092</v>
      </c>
      <c r="G8754" s="1" t="s">
        <v>36</v>
      </c>
      <c r="H8754" s="1" t="s">
        <v>29</v>
      </c>
      <c r="I8754" s="1" t="str">
        <f ca="1">IFERROR(__xludf.DUMMYFUNCTION("GOOGLETRANSLATE(F8754, ""auto"", ""en"")
"),"Excellent model, I’ve been using it for almost a year, after I started using this model there was much less dust on the furniture in my apartment. I recommend it to everyone.")</f>
        <v>Excellent model, I’ve been using it for almost a year, after I started using this model there was much less dust on the furniture in my apartment. I recommend it to everyone.</v>
      </c>
    </row>
    <row r="8755" spans="1:9" x14ac:dyDescent="0.3">
      <c r="A8755" s="1" t="s">
        <v>17</v>
      </c>
      <c r="B8755" s="1" t="s">
        <v>18</v>
      </c>
      <c r="C8755" s="1" t="s">
        <v>63</v>
      </c>
      <c r="D8755" s="1" t="s">
        <v>13093</v>
      </c>
      <c r="E8755" s="1" t="s">
        <v>124</v>
      </c>
      <c r="F8755" s="1" t="s">
        <v>13094</v>
      </c>
      <c r="G8755" s="1" t="s">
        <v>36</v>
      </c>
      <c r="H8755" s="1" t="s">
        <v>29</v>
      </c>
      <c r="I8755" s="1" t="str">
        <f ca="1">IFERROR(__xludf.DUMMYFUNCTION("GOOGLETRANSLATE(F8755, ""auto"", ""en"")
"),"The machine is very good - quiet, many programs. It washes well. And there is a program so that things do not wrinkle too much during the spin cycle - it helps a lot because... I don’t like ironing :) I recommend it!")</f>
        <v>The machine is very good - quiet, many programs. It washes well. And there is a program so that things do not wrinkle too much during the spin cycle - it helps a lot because... I don’t like ironing :) I recommend it!</v>
      </c>
    </row>
    <row r="8756" spans="1:9" x14ac:dyDescent="0.3">
      <c r="A8756" s="1" t="s">
        <v>149</v>
      </c>
      <c r="B8756" s="1" t="s">
        <v>423</v>
      </c>
      <c r="C8756" s="1" t="s">
        <v>531</v>
      </c>
      <c r="D8756" s="1" t="s">
        <v>2045</v>
      </c>
      <c r="E8756" s="1" t="s">
        <v>4361</v>
      </c>
      <c r="F8756" s="1" t="s">
        <v>13095</v>
      </c>
      <c r="G8756" s="1" t="s">
        <v>49</v>
      </c>
      <c r="H8756" s="1" t="s">
        <v>16</v>
      </c>
      <c r="I8756" s="1" t="str">
        <f ca="1">IFERROR(__xludf.DUMMYFUNCTION("GOOGLETRANSLATE(F8756, ""auto"", ""en"")
"),"I’ve been using it for half a year now, no joy, it has such a stink if you don’t wash it well and the carpet doesn’t really clean, the shampoo that goes with it is great, of course, but you can’t buy it anywhere, and what they offer is not very good.")</f>
        <v>I’ve been using it for half a year now, no joy, it has such a stink if you don’t wash it well and the carpet doesn’t really clean, the shampoo that goes with it is great, of course, but you can’t buy it anywhere, and what they offer is not very good.</v>
      </c>
    </row>
    <row r="8757" spans="1:9" x14ac:dyDescent="0.3">
      <c r="A8757" s="1" t="s">
        <v>67</v>
      </c>
      <c r="B8757" s="1" t="s">
        <v>340</v>
      </c>
      <c r="C8757" s="1" t="s">
        <v>341</v>
      </c>
      <c r="D8757" s="1" t="s">
        <v>13096</v>
      </c>
      <c r="E8757" s="1" t="s">
        <v>343</v>
      </c>
      <c r="F8757" s="1" t="s">
        <v>13097</v>
      </c>
      <c r="G8757" s="1" t="s">
        <v>36</v>
      </c>
      <c r="H8757" s="1" t="s">
        <v>29</v>
      </c>
      <c r="I8757" s="1" t="str">
        <f ca="1">IFERROR(__xludf.DUMMYFUNCTION("GOOGLETRANSLATE(F8757, ""auto"", ""en"")
"),"price ")</f>
        <v xml:space="preserve">price </v>
      </c>
    </row>
    <row r="8758" spans="1:9" x14ac:dyDescent="0.3">
      <c r="A8758" s="1" t="s">
        <v>211</v>
      </c>
      <c r="B8758" s="1" t="s">
        <v>212</v>
      </c>
      <c r="C8758" s="1" t="s">
        <v>294</v>
      </c>
      <c r="D8758" s="1" t="s">
        <v>64</v>
      </c>
      <c r="E8758" s="1" t="s">
        <v>5798</v>
      </c>
      <c r="F8758" s="1" t="s">
        <v>13098</v>
      </c>
      <c r="G8758" s="1" t="s">
        <v>49</v>
      </c>
      <c r="H8758" s="1" t="s">
        <v>16</v>
      </c>
      <c r="I8758" s="1" t="str">
        <f ca="1">IFERROR(__xludf.DUMMYFUNCTION("GOOGLETRANSLATE(F8758, ""auto"", ""en"")
"),"Yesterday I bought this straightener, it itself is nothing special and besides, I open the box and there are no brushes or brushes for curling eyelashes..")</f>
        <v>Yesterday I bought this straightener, it itself is nothing special and besides, I open the box and there are no brushes or brushes for curling eyelashes..</v>
      </c>
    </row>
    <row r="8759" spans="1:9" x14ac:dyDescent="0.3">
      <c r="A8759" s="1" t="s">
        <v>120</v>
      </c>
      <c r="B8759" s="1" t="s">
        <v>256</v>
      </c>
      <c r="C8759" s="1" t="s">
        <v>151</v>
      </c>
      <c r="D8759" s="1" t="s">
        <v>81</v>
      </c>
      <c r="E8759" s="1" t="s">
        <v>3664</v>
      </c>
      <c r="F8759" s="1" t="s">
        <v>13099</v>
      </c>
      <c r="G8759" s="1" t="s">
        <v>28</v>
      </c>
      <c r="H8759" s="1" t="s">
        <v>29</v>
      </c>
      <c r="I8759" s="1" t="str">
        <f ca="1">IFERROR(__xludf.DUMMYFUNCTION("GOOGLETRANSLATE(F8759, ""auto"", ""en"")
"),"We bought this model a week ago... now we watch TV with pleasure... we like everything about it... and the remote control has an ergonomic design... it’s comfortable to hold in your hands.")</f>
        <v>We bought this model a week ago... now we watch TV with pleasure... we like everything about it... and the remote control has an ergonomic design... it’s comfortable to hold in your hands.</v>
      </c>
    </row>
    <row r="8760" spans="1:9" x14ac:dyDescent="0.3">
      <c r="A8760" s="1" t="s">
        <v>105</v>
      </c>
      <c r="B8760" s="1" t="s">
        <v>106</v>
      </c>
      <c r="C8760" s="1" t="s">
        <v>107</v>
      </c>
      <c r="D8760" s="1" t="s">
        <v>13100</v>
      </c>
      <c r="E8760" s="1" t="s">
        <v>1310</v>
      </c>
      <c r="F8760" s="1" t="s">
        <v>13101</v>
      </c>
      <c r="G8760" s="1" t="s">
        <v>49</v>
      </c>
      <c r="H8760" s="1" t="s">
        <v>16</v>
      </c>
      <c r="I8760" s="1" t="str">
        <f ca="1">IFERROR(__xludf.DUMMYFUNCTION("GOOGLETRANSLATE(F8760, ""auto"", ""en"")
"),"The player plays the video so that the sound does not match the image! Even if you convert using the converter that comes with the kit! The controls are not adequate: the buttons react 3 times!")</f>
        <v>The player plays the video so that the sound does not match the image! Even if you convert using the converter that comes with the kit! The controls are not adequate: the buttons react 3 times!</v>
      </c>
    </row>
    <row r="8761" spans="1:9" x14ac:dyDescent="0.3">
      <c r="A8761" s="1" t="s">
        <v>1031</v>
      </c>
      <c r="B8761" s="1" t="s">
        <v>1032</v>
      </c>
      <c r="C8761" s="1" t="s">
        <v>159</v>
      </c>
      <c r="D8761" s="1" t="s">
        <v>565</v>
      </c>
      <c r="E8761" s="1" t="s">
        <v>3724</v>
      </c>
      <c r="F8761" s="1" t="s">
        <v>13102</v>
      </c>
      <c r="G8761" s="1" t="s">
        <v>36</v>
      </c>
      <c r="H8761" s="1" t="s">
        <v>29</v>
      </c>
      <c r="I8761" s="1" t="str">
        <f ca="1">IFERROR(__xludf.DUMMYFUNCTION("GOOGLETRANSLATE(F8761, ""auto"", ""en"")
"),"The product was recommended by a consultant when purchasing household appliances. The product is very economical, a few drops are enough to remove dirt and fingerprints from the stove, hood and refrigerator. The bottle lasted for 2 years, with frequent us"&amp;"e.")</f>
        <v>The product was recommended by a consultant when purchasing household appliances. The product is very economical, a few drops are enough to remove dirt and fingerprints from the stove, hood and refrigerator. The bottle lasted for 2 years, with frequent use.</v>
      </c>
    </row>
    <row r="8762" spans="1:9" x14ac:dyDescent="0.3">
      <c r="A8762" s="1" t="s">
        <v>17</v>
      </c>
      <c r="B8762" s="1" t="s">
        <v>18</v>
      </c>
      <c r="C8762" s="1" t="s">
        <v>243</v>
      </c>
      <c r="D8762" s="1" t="s">
        <v>2764</v>
      </c>
      <c r="E8762" s="1" t="s">
        <v>2616</v>
      </c>
      <c r="F8762" s="1" t="s">
        <v>13103</v>
      </c>
      <c r="G8762" s="1" t="s">
        <v>15</v>
      </c>
      <c r="H8762" s="1" t="s">
        <v>16</v>
      </c>
      <c r="I8762" s="1" t="str">
        <f ca="1">IFERROR(__xludf.DUMMYFUNCTION("GOOGLETRANSLATE(F8762, ""auto"", ""en"")
"),"We bought it 2 years ago, we were glad that there were a lot of programs, but then as we started using it we realized: It doesn’t wash very well, it doesn’t fill much water, we had to top it up every time. Only one set of bed linen can be washed, and even"&amp;" then with difficulty, it was rinsed poorly at the end and left in the foam. Doesn’t wring out at all, when you don’t have enough clothes, 1-2 things, you take out the wet laundry, you have to wring it out manually! And before that we had a Virpol machine"&amp;", it wrung out everything, both a lot and a little.  Now the indesit machine has broken down, the bearing has fallen off, the laundry is stained with black ointment and there is a huge roar when spinning.  We bought it with a 1+2 year warranty, called the"&amp;" repairman 3 times, they promised to come, but no one comes or comes to repair or replace it! Apparently some hacks with cars and guarantees!  I don’t recommend this machine, it’s good, it’s small, it looks beautiful and neat, but it’s bad for washing a s"&amp;"mall machine; it doesn’t wring out and pours out little water. And they don't do repairs.  I'll have to buy a new one! It's a pity!")</f>
        <v>We bought it 2 years ago, we were glad that there were a lot of programs, but then as we started using it we realized: It doesn’t wash very well, it doesn’t fill much water, we had to top it up every time. Only one set of bed linen can be washed, and even then with difficulty, it was rinsed poorly at the end and left in the foam. Doesn’t wring out at all, when you don’t have enough clothes, 1-2 things, you take out the wet laundry, you have to wring it out manually! And before that we had a Virpol machine, it wrung out everything, both a lot and a little.  Now the indesit machine has broken down, the bearing has fallen off, the laundry is stained with black ointment and there is a huge roar when spinning.  We bought it with a 1+2 year warranty, called the repairman 3 times, they promised to come, but no one comes or comes to repair or replace it! Apparently some hacks with cars and guarantees!  I don’t recommend this machine, it’s good, it’s small, it looks beautiful and neat, but it’s bad for washing a small machine; it doesn’t wring out and pours out little water. And they don't do repairs.  I'll have to buy a new one! It's a pity!</v>
      </c>
    </row>
    <row r="8763" spans="1:9" x14ac:dyDescent="0.3">
      <c r="A8763" s="1" t="s">
        <v>9</v>
      </c>
      <c r="B8763" s="1" t="s">
        <v>4430</v>
      </c>
      <c r="C8763" s="1" t="s">
        <v>159</v>
      </c>
      <c r="D8763" s="1" t="s">
        <v>13104</v>
      </c>
      <c r="E8763" s="1" t="s">
        <v>2459</v>
      </c>
      <c r="F8763" s="1" t="s">
        <v>13105</v>
      </c>
      <c r="G8763" s="1" t="s">
        <v>94</v>
      </c>
      <c r="H8763" s="1" t="s">
        <v>29</v>
      </c>
      <c r="I8763" s="1" t="str">
        <f ca="1">IFERROR(__xludf.DUMMYFUNCTION("GOOGLETRANSLATE(F8763, ""auto"", ""en"")
"),"I had no doubt about the quality of Electrolux for a long time, so I bought this washing machine because of the brand. We placed it in our kitchen, it fits well, and it has its own door. I really liked the features of hand washing wool and silk; the cloth"&amp;"es do not deteriorate or stretch at all. I often use loosening after spinning, it makes it much easier to take out clothes and hang them up, otherwise the spin here is decent, clothes dry quickly after it. The security system here is well thought out, the"&amp;"re is child protection, imbalance control and self-diagnosis of faults.")</f>
        <v>I had no doubt about the quality of Electrolux for a long time, so I bought this washing machine because of the brand. We placed it in our kitchen, it fits well, and it has its own door. I really liked the features of hand washing wool and silk; the clothes do not deteriorate or stretch at all. I often use loosening after spinning, it makes it much easier to take out clothes and hang them up, otherwise the spin here is decent, clothes dry quickly after it. The security system here is well thought out, there is child protection, imbalance control and self-diagnosis of faults.</v>
      </c>
    </row>
    <row r="8764" spans="1:9" x14ac:dyDescent="0.3">
      <c r="A8764" s="1" t="s">
        <v>120</v>
      </c>
      <c r="B8764" s="1" t="s">
        <v>121</v>
      </c>
      <c r="C8764" s="1" t="s">
        <v>122</v>
      </c>
      <c r="D8764" s="1" t="s">
        <v>4329</v>
      </c>
      <c r="E8764" s="1" t="s">
        <v>2518</v>
      </c>
      <c r="F8764" s="1" t="s">
        <v>13106</v>
      </c>
      <c r="G8764" s="1" t="s">
        <v>36</v>
      </c>
      <c r="H8764" s="1" t="s">
        <v>29</v>
      </c>
      <c r="I8764" s="1" t="str">
        <f ca="1">IFERROR(__xludf.DUMMYFUNCTION("GOOGLETRANSLATE(F8764, ""auto"", ""en"")
"),"Well, firstly, the price is reasonable (16 thousand with a discount, bought in February of this year) played an important role, the quality of the picture did not disappoint, I mostly watch movies, I practically don’t watch regular channels, but the movie"&amp;"s are of DVD quality, and not those with 10 movies recorded on one disc. By the way, I really liked the menu, it was clear, in the store they also showed us a Samsung, so the menu was like crazy, but here somehow everything was immediately clear. My husba"&amp;"nd is addicted to playing it, he connects it to the computer, you can’t drag it away by the ears. The color palette is rich, the viewing angle is wide, no one is offended))) The sound is also good, it doesn’t take up much space. I like everything so far, "&amp;"but we'll see :)")</f>
        <v>Well, firstly, the price is reasonable (16 thousand with a discount, bought in February of this year) played an important role, the quality of the picture did not disappoint, I mostly watch movies, I practically don’t watch regular channels, but the movies are of DVD quality, and not those with 10 movies recorded on one disc. By the way, I really liked the menu, it was clear, in the store they also showed us a Samsung, so the menu was like crazy, but here somehow everything was immediately clear. My husband is addicted to playing it, he connects it to the computer, you can’t drag it away by the ears. The color palette is rich, the viewing angle is wide, no one is offended))) The sound is also good, it doesn’t take up much space. I like everything so far, but we'll see :)</v>
      </c>
    </row>
    <row r="8765" spans="1:9" x14ac:dyDescent="0.3">
      <c r="A8765" s="1" t="s">
        <v>557</v>
      </c>
      <c r="B8765" s="1" t="s">
        <v>558</v>
      </c>
      <c r="C8765" s="1" t="s">
        <v>122</v>
      </c>
      <c r="D8765" s="1" t="s">
        <v>203</v>
      </c>
      <c r="E8765" s="1" t="s">
        <v>1606</v>
      </c>
      <c r="F8765" s="1" t="s">
        <v>13107</v>
      </c>
      <c r="G8765" s="1" t="s">
        <v>28</v>
      </c>
      <c r="H8765" s="1" t="s">
        <v>29</v>
      </c>
      <c r="I8765" s="1" t="str">
        <f ca="1">IFERROR(__xludf.DUMMYFUNCTION("GOOGLETRANSLATE(F8765, ""auto"", ""en"")
"),"Normal, ordinary phone. The quality matches the price. Among the shortcomings is that it is quieter than expected.")</f>
        <v>Normal, ordinary phone. The quality matches the price. Among the shortcomings is that it is quieter than expected.</v>
      </c>
    </row>
    <row r="8766" spans="1:9" x14ac:dyDescent="0.3">
      <c r="A8766" s="1" t="s">
        <v>120</v>
      </c>
      <c r="B8766" s="1" t="s">
        <v>126</v>
      </c>
      <c r="C8766" s="1" t="s">
        <v>80</v>
      </c>
      <c r="D8766" s="1" t="s">
        <v>13108</v>
      </c>
      <c r="E8766" s="1" t="s">
        <v>1063</v>
      </c>
      <c r="F8766" s="1" t="s">
        <v>13109</v>
      </c>
      <c r="G8766" s="1" t="s">
        <v>36</v>
      </c>
      <c r="H8766" s="1" t="s">
        <v>29</v>
      </c>
      <c r="I8766" s="1" t="str">
        <f ca="1">IFERROR(__xludf.DUMMYFUNCTION("GOOGLETRANSLATE(F8766, ""auto"", ""en"")
"),"People bought one for themselves in December 2009! I'm glad, the image quality is super! The mother-in-law has a Samsung 50' LCD, artifacts are visible! SO PLASMA IS PLASMA!")</f>
        <v>People bought one for themselves in December 2009! I'm glad, the image quality is super! The mother-in-law has a Samsung 50' LCD, artifacts are visible! SO PLASMA IS PLASMA!</v>
      </c>
    </row>
    <row r="8767" spans="1:9" x14ac:dyDescent="0.3">
      <c r="A8767" s="1" t="s">
        <v>206</v>
      </c>
      <c r="B8767" s="1" t="s">
        <v>207</v>
      </c>
      <c r="C8767" s="1" t="s">
        <v>351</v>
      </c>
      <c r="D8767" s="1" t="s">
        <v>52</v>
      </c>
      <c r="E8767" s="1" t="s">
        <v>13110</v>
      </c>
      <c r="F8767" s="1" t="s">
        <v>13111</v>
      </c>
      <c r="G8767" s="1" t="s">
        <v>36</v>
      </c>
      <c r="H8767" s="1" t="s">
        <v>29</v>
      </c>
      <c r="I8767" s="1" t="str">
        <f ca="1">IFERROR(__xludf.DUMMYFUNCTION("GOOGLETRANSLATE(F8767, ""auto"", ""en"")
"),"I've been driving with this supra for almost a year, it costs 12 Ural, Pioneer pancakes and component kicks through the crossover. Before installing the Kicks, I was happy with it, it pulled both the speakers and the sub bridge perfectly, a couple of time"&amp;"s due to my fault it went into the clip due to overheating (it stopped and didn’t turn down the sound, so after 5 minutes it overheated), trouble-free, works always and everywhere. After installing the kicks, it became a little lacking for the sub, as the"&amp;" first budget unit I recommend to everyone, you won’t regret it.")</f>
        <v>I've been driving with this supra for almost a year, it costs 12 Ural, Pioneer pancakes and component kicks through the crossover. Before installing the Kicks, I was happy with it, it pulled both the speakers and the sub bridge perfectly, a couple of times due to my fault it went into the clip due to overheating (it stopped and didn’t turn down the sound, so after 5 minutes it overheated), trouble-free, works always and everywhere. After installing the kicks, it became a little lacking for the sub, as the first budget unit I recommend to everyone, you won’t regret it.</v>
      </c>
    </row>
    <row r="8768" spans="1:9" x14ac:dyDescent="0.3">
      <c r="A8768" s="1" t="s">
        <v>61</v>
      </c>
      <c r="B8768" s="1" t="s">
        <v>318</v>
      </c>
      <c r="C8768" s="1" t="s">
        <v>85</v>
      </c>
      <c r="D8768" s="1" t="s">
        <v>139</v>
      </c>
      <c r="E8768" s="1" t="s">
        <v>5241</v>
      </c>
      <c r="F8768" s="1" t="s">
        <v>13112</v>
      </c>
      <c r="G8768" s="1" t="s">
        <v>49</v>
      </c>
      <c r="H8768" s="1" t="s">
        <v>16</v>
      </c>
      <c r="I8768" s="1" t="str">
        <f ca="1">IFERROR(__xludf.DUMMYFUNCTION("GOOGLETRANSLATE(F8768, ""auto"", ""en"")
"),"After a month and a half of operation, RUST appeared and began to progress in the recess of the filler neck (!!!). I was ready to put up with the noise and the fact that after a year or two of use something would break, but I didn’t expect this. We must p"&amp;"ay tribute to the warranty service - they replaced it without any complaints.")</f>
        <v>After a month and a half of operation, RUST appeared and began to progress in the recess of the filler neck (!!!). I was ready to put up with the noise and the fact that after a year or two of use something would break, but I didn’t expect this. We must pay tribute to the warranty service - they replaced it without any complaints.</v>
      </c>
    </row>
    <row r="8769" spans="1:9" x14ac:dyDescent="0.3">
      <c r="A8769" s="1" t="s">
        <v>61</v>
      </c>
      <c r="B8769" s="1" t="s">
        <v>318</v>
      </c>
      <c r="C8769" s="1" t="s">
        <v>69</v>
      </c>
      <c r="D8769" s="1" t="s">
        <v>2679</v>
      </c>
      <c r="E8769" s="1" t="s">
        <v>481</v>
      </c>
      <c r="F8769" s="1" t="s">
        <v>13113</v>
      </c>
      <c r="G8769" s="1" t="s">
        <v>28</v>
      </c>
      <c r="H8769" s="1" t="s">
        <v>29</v>
      </c>
      <c r="I8769" s="1" t="str">
        <f ca="1">IFERROR(__xludf.DUMMYFUNCTION("GOOGLETRANSLATE(F8769, ""auto"", ""en"")
"),"I bought this model three times and liked it, but each time the plastic window for the water level indicator cracked. the first 2 times we decided that maybe the child “tried” during our absence. But the same thing happened with the third. It lasts for 3 "&amp;"years - that's bad.")</f>
        <v>I bought this model three times and liked it, but each time the plastic window for the water level indicator cracked. the first 2 times we decided that maybe the child “tried” during our absence. But the same thing happened with the third. It lasts for 3 years - that's bad.</v>
      </c>
    </row>
    <row r="8770" spans="1:9" x14ac:dyDescent="0.3">
      <c r="A8770" s="1" t="s">
        <v>61</v>
      </c>
      <c r="B8770" s="1" t="s">
        <v>145</v>
      </c>
      <c r="C8770" s="1" t="s">
        <v>74</v>
      </c>
      <c r="D8770" s="1" t="s">
        <v>545</v>
      </c>
      <c r="E8770" s="1" t="s">
        <v>2186</v>
      </c>
      <c r="F8770" s="1" t="s">
        <v>13114</v>
      </c>
      <c r="G8770" s="1" t="s">
        <v>36</v>
      </c>
      <c r="H8770" s="1" t="s">
        <v>29</v>
      </c>
      <c r="I8770" s="1" t="str">
        <f ca="1">IFERROR(__xludf.DUMMYFUNCTION("GOOGLETRANSLATE(F8770, ""auto"", ""en"")
"),"We've had this yogurt maker for almost a year now and we're happy with it. I didn’t measure the temperature, but yogurt always turns out - if the milk is good, and we use a non-dry starter, but first we leave the milk with the dry starter in the yogurt ma"&amp;"ker for 6-8 hours, and then a glass of this starter per liter of milk - and voila, a good, thick yogurt is ready in 4-6 hours.")</f>
        <v>We've had this yogurt maker for almost a year now and we're happy with it. I didn’t measure the temperature, but yogurt always turns out - if the milk is good, and we use a non-dry starter, but first we leave the milk with the dry starter in the yogurt maker for 6-8 hours, and then a glass of this starter per liter of milk - and voila, a good, thick yogurt is ready in 4-6 hours.</v>
      </c>
    </row>
    <row r="8771" spans="1:9" x14ac:dyDescent="0.3">
      <c r="A8771" s="1" t="s">
        <v>61</v>
      </c>
      <c r="B8771" s="1" t="s">
        <v>318</v>
      </c>
      <c r="C8771" s="1" t="s">
        <v>246</v>
      </c>
      <c r="D8771" s="1" t="s">
        <v>152</v>
      </c>
      <c r="E8771" s="1" t="s">
        <v>5736</v>
      </c>
      <c r="F8771" s="1" t="s">
        <v>13115</v>
      </c>
      <c r="G8771" s="1" t="s">
        <v>15</v>
      </c>
      <c r="H8771" s="1" t="s">
        <v>16</v>
      </c>
      <c r="I8771" s="1" t="str">
        <f ca="1">IFERROR(__xludf.DUMMYFUNCTION("GOOGLETRANSLATE(F8771, ""auto"", ""en"")
"),"We also purchased this kettle. Same problems as everyone else. Six months later the lid began to stick. Treated with a few blows on the lid of the kettle, it helps for a short time. The water level in the kettle is not visible, you pour it by eye, and you"&amp;" don’t pay attention to the fact that it is noisy, although it makes noise like a steam locomotive at the start. I don’t recommend buying this model, look for something else.")</f>
        <v>We also purchased this kettle. Same problems as everyone else. Six months later the lid began to stick. Treated with a few blows on the lid of the kettle, it helps for a short time. The water level in the kettle is not visible, you pour it by eye, and you don’t pay attention to the fact that it is noisy, although it makes noise like a steam locomotive at the start. I don’t recommend buying this model, look for something else.</v>
      </c>
    </row>
    <row r="8772" spans="1:9" x14ac:dyDescent="0.3">
      <c r="A8772" s="1" t="s">
        <v>43</v>
      </c>
      <c r="B8772" s="1" t="s">
        <v>303</v>
      </c>
      <c r="C8772" s="1" t="s">
        <v>665</v>
      </c>
      <c r="D8772" s="1" t="s">
        <v>33</v>
      </c>
      <c r="E8772" s="1" t="s">
        <v>3726</v>
      </c>
      <c r="F8772" s="1" t="s">
        <v>13116</v>
      </c>
      <c r="G8772" s="1" t="s">
        <v>36</v>
      </c>
      <c r="H8772" s="1" t="s">
        <v>29</v>
      </c>
      <c r="I8772" s="1" t="str">
        <f ca="1">IFERROR(__xludf.DUMMYFUNCTION("GOOGLETRANSLATE(F8772, ""auto"", ""en"")
"),"Great boiler. Fast heating, good thermal insulation, absolutely silent. The weight of 21 kg speaks for itself about the thickness and quality of the metal and insulation - unlike competitors 12-14 kg.")</f>
        <v>Great boiler. Fast heating, good thermal insulation, absolutely silent. The weight of 21 kg speaks for itself about the thickness and quality of the metal and insulation - unlike competitors 12-14 kg.</v>
      </c>
    </row>
    <row r="8773" spans="1:9" x14ac:dyDescent="0.3">
      <c r="A8773" s="1" t="s">
        <v>61</v>
      </c>
      <c r="B8773" s="1" t="s">
        <v>145</v>
      </c>
      <c r="C8773" s="1" t="s">
        <v>85</v>
      </c>
      <c r="D8773" s="1" t="s">
        <v>13117</v>
      </c>
      <c r="E8773" s="1" t="s">
        <v>975</v>
      </c>
      <c r="F8773" s="1" t="s">
        <v>13118</v>
      </c>
      <c r="G8773" s="1" t="s">
        <v>36</v>
      </c>
      <c r="H8773" s="1" t="s">
        <v>29</v>
      </c>
      <c r="I8773" s="1" t="str">
        <f ca="1">IFERROR(__xludf.DUMMYFUNCTION("GOOGLETRANSLATE(F8773, ""auto"", ""en"")
"),"I use the steamer often; it is simple and convenient to use. There is a delayed start function, I use it almost always. You can always add water if necessary. Doesn't take up much space, compact.")</f>
        <v>I use the steamer often; it is simple and convenient to use. There is a delayed start function, I use it almost always. You can always add water if necessary. Doesn't take up much space, compact.</v>
      </c>
    </row>
    <row r="8774" spans="1:9" x14ac:dyDescent="0.3">
      <c r="A8774" s="1" t="s">
        <v>37</v>
      </c>
      <c r="B8774" s="1" t="s">
        <v>38</v>
      </c>
      <c r="C8774" s="1" t="s">
        <v>39</v>
      </c>
      <c r="D8774" s="1" t="s">
        <v>247</v>
      </c>
      <c r="E8774" s="1" t="s">
        <v>2611</v>
      </c>
      <c r="F8774" s="1" t="s">
        <v>13119</v>
      </c>
      <c r="G8774" s="1" t="s">
        <v>36</v>
      </c>
      <c r="H8774" s="1" t="s">
        <v>29</v>
      </c>
      <c r="I8774" s="1" t="str">
        <f ca="1">IFERROR(__xludf.DUMMYFUNCTION("GOOGLETRANSLATE(F8774, ""auto"", ""en"")
"),"Cool phone, the battery lasts a long time and the camera is excellent, the sound from the speakers is clear")</f>
        <v>Cool phone, the battery lasts a long time and the camera is excellent, the sound from the speakers is clear</v>
      </c>
    </row>
    <row r="8775" spans="1:9" x14ac:dyDescent="0.3">
      <c r="A8775" s="1" t="s">
        <v>17</v>
      </c>
      <c r="B8775" s="1" t="s">
        <v>18</v>
      </c>
      <c r="C8775" s="1" t="s">
        <v>151</v>
      </c>
      <c r="D8775" s="1" t="s">
        <v>1431</v>
      </c>
      <c r="E8775" s="1" t="s">
        <v>2793</v>
      </c>
      <c r="F8775" s="1" t="s">
        <v>13120</v>
      </c>
      <c r="G8775" s="1" t="s">
        <v>36</v>
      </c>
      <c r="H8775" s="1" t="s">
        <v>29</v>
      </c>
      <c r="I8775" s="1" t="str">
        <f ca="1">IFERROR(__xludf.DUMMYFUNCTION("GOOGLETRANSLATE(F8775, ""auto"", ""en"")
"),"Cool car, new generation, has protection against voltage surges, and includes a hose against water leaks. Fully electronic control, indicator displays only remaining time")</f>
        <v>Cool car, new generation, has protection against voltage surges, and includes a hose against water leaks. Fully electronic control, indicator displays only remaining time</v>
      </c>
    </row>
    <row r="8776" spans="1:9" x14ac:dyDescent="0.3">
      <c r="A8776" s="1" t="s">
        <v>732</v>
      </c>
      <c r="B8776" s="1" t="s">
        <v>733</v>
      </c>
      <c r="C8776" s="1" t="s">
        <v>80</v>
      </c>
      <c r="D8776" s="1" t="s">
        <v>114</v>
      </c>
      <c r="E8776" s="1" t="s">
        <v>597</v>
      </c>
      <c r="F8776" s="1" t="s">
        <v>13121</v>
      </c>
      <c r="G8776" s="1" t="s">
        <v>36</v>
      </c>
      <c r="H8776" s="1" t="s">
        <v>29</v>
      </c>
      <c r="I8776" s="1" t="str">
        <f ca="1">IFERROR(__xludf.DUMMYFUNCTION("GOOGLETRANSLATE(F8776, ""auto"", ""en"")
"),"A very cool monitor, I bought it, I can’t be happier... The picture is very clear, it’s very good that high resolution is supported... Sometimes you get confused by the size... For this price you can hardly find something better) Buy without a doubt)")</f>
        <v>A very cool monitor, I bought it, I can’t be happier... The picture is very clear, it’s very good that high resolution is supported... Sometimes you get confused by the size... For this price you can hardly find something better) Buy without a doubt)</v>
      </c>
    </row>
    <row r="8777" spans="1:9" x14ac:dyDescent="0.3">
      <c r="A8777" s="1" t="s">
        <v>61</v>
      </c>
      <c r="B8777" s="1" t="s">
        <v>145</v>
      </c>
      <c r="C8777" s="1" t="s">
        <v>69</v>
      </c>
      <c r="D8777" s="1" t="s">
        <v>456</v>
      </c>
      <c r="E8777" s="1" t="s">
        <v>937</v>
      </c>
      <c r="F8777" s="1" t="s">
        <v>13122</v>
      </c>
      <c r="G8777" s="1" t="s">
        <v>36</v>
      </c>
      <c r="H8777" s="1" t="s">
        <v>29</v>
      </c>
      <c r="I8777" s="1" t="str">
        <f ca="1">IFERROR(__xludf.DUMMYFUNCTION("GOOGLETRANSLATE(F8777, ""auto"", ""en"")
"),"In this steamer, everything is done very quickly, the products are all delicious, it’s easy to use, we use it every day and the children really like the food!")</f>
        <v>In this steamer, everything is done very quickly, the products are all delicious, it’s easy to use, we use it every day and the children really like the food!</v>
      </c>
    </row>
    <row r="8778" spans="1:9" x14ac:dyDescent="0.3">
      <c r="A8778" s="1" t="s">
        <v>206</v>
      </c>
      <c r="B8778" s="1" t="s">
        <v>207</v>
      </c>
      <c r="C8778" s="1" t="s">
        <v>97</v>
      </c>
      <c r="D8778" s="1" t="s">
        <v>1894</v>
      </c>
      <c r="E8778" s="1" t="s">
        <v>430</v>
      </c>
      <c r="F8778" s="1" t="s">
        <v>13123</v>
      </c>
      <c r="G8778" s="1" t="s">
        <v>36</v>
      </c>
      <c r="H8778" s="1" t="s">
        <v>29</v>
      </c>
      <c r="I8778" s="1" t="str">
        <f ca="1">IFERROR(__xludf.DUMMYFUNCTION("GOOGLETRANSLATE(F8778, ""auto"", ""en"")
"),"Good sub for the money! The pressure is not bad, I liked it.")</f>
        <v>Good sub for the money! The pressure is not bad, I liked it.</v>
      </c>
    </row>
    <row r="8779" spans="1:9" x14ac:dyDescent="0.3">
      <c r="A8779" s="1" t="s">
        <v>17</v>
      </c>
      <c r="B8779" s="1" t="s">
        <v>18</v>
      </c>
      <c r="C8779" s="1" t="s">
        <v>277</v>
      </c>
      <c r="D8779" s="1" t="s">
        <v>378</v>
      </c>
      <c r="E8779" s="1" t="s">
        <v>543</v>
      </c>
      <c r="F8779" s="1" t="s">
        <v>13124</v>
      </c>
      <c r="G8779" s="1" t="s">
        <v>36</v>
      </c>
      <c r="H8779" s="1" t="s">
        <v>29</v>
      </c>
      <c r="I8779" s="1" t="str">
        <f ca="1">IFERROR(__xludf.DUMMYFUNCTION("GOOGLETRANSLATE(F8779, ""auto"", ""en"")
"),"After the wedding, we bought a Vestel washing machine from M.Video, it worked for us around the clock for the first week, it passed the durability test, it washes well, we installed it ourselves.")</f>
        <v>After the wedding, we bought a Vestel washing machine from M.Video, it worked for us around the clock for the first week, it passed the durability test, it washes well, we installed it ourselves.</v>
      </c>
    </row>
    <row r="8780" spans="1:9" x14ac:dyDescent="0.3">
      <c r="A8780" s="1" t="s">
        <v>55</v>
      </c>
      <c r="B8780" s="1" t="s">
        <v>56</v>
      </c>
      <c r="C8780" s="1" t="s">
        <v>85</v>
      </c>
      <c r="D8780" s="1" t="s">
        <v>909</v>
      </c>
      <c r="E8780" s="1" t="s">
        <v>8648</v>
      </c>
      <c r="F8780" s="1" t="s">
        <v>13125</v>
      </c>
      <c r="G8780" s="1" t="s">
        <v>49</v>
      </c>
      <c r="H8780" s="1" t="s">
        <v>16</v>
      </c>
      <c r="I8780" s="1" t="str">
        <f ca="1">IFERROR(__xludf.DUMMYFUNCTION("GOOGLETRANSLATE(F8780, ""auto"", ""en"")
"),"I have a big house. I bought 8 of these humidifiers at once, on the advice of the seller, the most effective, most reliable, silent, and durable. After two weeks of intense buzzing, they began to die one by one. The last centenarian died after two months."&amp;" It would be a stretch to say that they effectively moisturize. Within 1.5 -2 meters around the humidifier, the humidity more or less increases, but not higher than 45%. When I contacted the warranty workshop, I received an answer - it is necessary to use"&amp;" distilled water, otherwise it will not work. Cleaned and replaced emitters. After that, they died almost at the same time... It is clear that Pepper did not produce a distillate for them, and this is not in the instructions. Complete nonsense. Don't buy.")</f>
        <v>I have a big house. I bought 8 of these humidifiers at once, on the advice of the seller, the most effective, most reliable, silent, and durable. After two weeks of intense buzzing, they began to die one by one. The last centenarian died after two months. It would be a stretch to say that they effectively moisturize. Within 1.5 -2 meters around the humidifier, the humidity more or less increases, but not higher than 45%. When I contacted the warranty workshop, I received an answer - it is necessary to use distilled water, otherwise it will not work. Cleaned and replaced emitters. After that, they died almost at the same time... It is clear that Pepper did not produce a distillate for them, and this is not in the instructions. Complete nonsense. Don't buy.</v>
      </c>
    </row>
    <row r="8781" spans="1:9" x14ac:dyDescent="0.3">
      <c r="A8781" s="1" t="s">
        <v>120</v>
      </c>
      <c r="B8781" s="1" t="s">
        <v>121</v>
      </c>
      <c r="C8781" s="1" t="s">
        <v>80</v>
      </c>
      <c r="D8781" s="1" t="s">
        <v>39</v>
      </c>
      <c r="E8781" s="1" t="s">
        <v>2298</v>
      </c>
      <c r="F8781" s="1" t="s">
        <v>13126</v>
      </c>
      <c r="G8781" s="1" t="s">
        <v>36</v>
      </c>
      <c r="H8781" s="1" t="s">
        <v>29</v>
      </c>
      <c r="I8781" s="1" t="str">
        <f ca="1">IFERROR(__xludf.DUMMYFUNCTION("GOOGLETRANSLATE(F8781, ""auto"", ""en"")
"),"The TV is just great. And that's putting it mildly. Activated USB in 2 counts, using a diode. Thanks to Yuri's comment from Moscow. With a USB port it has no price. The image quality is good, the colors are bright. The sound is just perfect. Convenient an"&amp;"d simple menu. Beautiful external design, etc. etc.. The only negative is that the USB is not very conveniently located, behind the TV. In general, take it! You won't regret it!")</f>
        <v>The TV is just great. And that's putting it mildly. Activated USB in 2 counts, using a diode. Thanks to Yuri's comment from Moscow. With a USB port it has no price. The image quality is good, the colors are bright. The sound is just perfect. Convenient and simple menu. Beautiful external design, etc. etc.. The only negative is that the USB is not very conveniently located, behind the TV. In general, take it! You won't regret it!</v>
      </c>
    </row>
    <row r="8782" spans="1:9" x14ac:dyDescent="0.3">
      <c r="A8782" s="1" t="s">
        <v>211</v>
      </c>
      <c r="B8782" s="1" t="s">
        <v>515</v>
      </c>
      <c r="C8782" s="1" t="s">
        <v>213</v>
      </c>
      <c r="D8782" s="1" t="s">
        <v>3407</v>
      </c>
      <c r="E8782" s="1" t="s">
        <v>3448</v>
      </c>
      <c r="F8782" s="1" t="s">
        <v>13127</v>
      </c>
      <c r="G8782" s="1" t="s">
        <v>28</v>
      </c>
      <c r="H8782" s="1" t="s">
        <v>29</v>
      </c>
      <c r="I8782" s="1" t="str">
        <f ca="1">IFERROR(__xludf.DUMMYFUNCTION("GOOGLETRANSLATE(F8782, ""auto"", ""en"")
"),"no, this model has a massaging attachment, I’ve had this model for almost 4 years")</f>
        <v>no, this model has a massaging attachment, I’ve had this model for almost 4 years</v>
      </c>
    </row>
    <row r="8783" spans="1:9" x14ac:dyDescent="0.3">
      <c r="A8783" s="1" t="s">
        <v>30</v>
      </c>
      <c r="B8783" s="1" t="s">
        <v>50</v>
      </c>
      <c r="C8783" s="1" t="s">
        <v>1003</v>
      </c>
      <c r="D8783" s="1" t="s">
        <v>81</v>
      </c>
      <c r="E8783" s="1" t="s">
        <v>1167</v>
      </c>
      <c r="F8783" s="1" t="s">
        <v>13128</v>
      </c>
      <c r="G8783" s="1" t="s">
        <v>28</v>
      </c>
      <c r="H8783" s="1" t="s">
        <v>29</v>
      </c>
      <c r="I8783" s="1" t="str">
        <f ca="1">IFERROR(__xludf.DUMMYFUNCTION("GOOGLETRANSLATE(F8783, ""auto"", ""en"")
"),"Regarding the blue screen of dead, nothing like that... the seven works fine... And the very big minus of the laptop is that it is very noisy(((")</f>
        <v>Regarding the blue screen of dead, nothing like that... the seven works fine... And the very big minus of the laptop is that it is very noisy(((</v>
      </c>
    </row>
    <row r="8784" spans="1:9" x14ac:dyDescent="0.3">
      <c r="A8784" s="1" t="s">
        <v>211</v>
      </c>
      <c r="B8784" s="1" t="s">
        <v>515</v>
      </c>
      <c r="C8784" s="1" t="s">
        <v>69</v>
      </c>
      <c r="D8784" s="1" t="s">
        <v>13129</v>
      </c>
      <c r="E8784" s="1" t="s">
        <v>5480</v>
      </c>
      <c r="F8784" s="1" t="s">
        <v>13130</v>
      </c>
      <c r="G8784" s="1" t="s">
        <v>36</v>
      </c>
      <c r="H8784" s="1" t="s">
        <v>29</v>
      </c>
      <c r="I8784" s="1" t="str">
        <f ca="1">IFERROR(__xludf.DUMMYFUNCTION("GOOGLETRANSLATE(F8784, ""auto"", ""en"")
"),"I’ve been using it for about 3 years, I really liked it, I don’t regret purchasing it. The pain is tolerable, the hairs are mostly covered. Overall rating 5+ out of 5)")</f>
        <v>I’ve been using it for about 3 years, I really liked it, I don’t regret purchasing it. The pain is tolerable, the hairs are mostly covered. Overall rating 5+ out of 5)</v>
      </c>
    </row>
    <row r="8785" spans="1:9" x14ac:dyDescent="0.3">
      <c r="A8785" s="1" t="s">
        <v>211</v>
      </c>
      <c r="B8785" s="1" t="s">
        <v>789</v>
      </c>
      <c r="C8785" s="1" t="s">
        <v>3628</v>
      </c>
      <c r="D8785" s="1" t="s">
        <v>305</v>
      </c>
      <c r="E8785" s="1" t="s">
        <v>13131</v>
      </c>
      <c r="F8785" s="1" t="s">
        <v>13132</v>
      </c>
      <c r="G8785" s="1" t="s">
        <v>36</v>
      </c>
      <c r="H8785" s="1" t="s">
        <v>29</v>
      </c>
      <c r="I8785" s="1" t="str">
        <f ca="1">IFERROR(__xludf.DUMMYFUNCTION("GOOGLETRANSLATE(F8785, ""auto"", ""en"")
"),"A convenient and safe thermometer with a beautiful design. Measures water temperature fairly quickly.")</f>
        <v>A convenient and safe thermometer with a beautiful design. Measures water temperature fairly quickly.</v>
      </c>
    </row>
    <row r="8786" spans="1:9" x14ac:dyDescent="0.3">
      <c r="A8786" s="1" t="s">
        <v>95</v>
      </c>
      <c r="B8786" s="1" t="s">
        <v>486</v>
      </c>
      <c r="C8786" s="1" t="s">
        <v>487</v>
      </c>
      <c r="D8786" s="1" t="s">
        <v>13133</v>
      </c>
      <c r="E8786" s="1" t="s">
        <v>400</v>
      </c>
      <c r="F8786" s="1" t="s">
        <v>13134</v>
      </c>
      <c r="G8786" s="1" t="s">
        <v>36</v>
      </c>
      <c r="H8786" s="1" t="s">
        <v>29</v>
      </c>
      <c r="I8786" s="1" t="str">
        <f ca="1">IFERROR(__xludf.DUMMYFUNCTION("GOOGLETRANSLATE(F8786, ""auto"", ""en"")
"),"It increased only due to pirated games, I actually have a box myself and recently took a curling iron, the curling iron really wins... but we'll see what happens with the movie and the kinect). I’ll take this device, the old box is too noisy, this one is "&amp;"said to be almost as silent as a curling iron")</f>
        <v>It increased only due to pirated games, I actually have a box myself and recently took a curling iron, the curling iron really wins... but we'll see what happens with the movie and the kinect). I’ll take this device, the old box is too noisy, this one is said to be almost as silent as a curling iron</v>
      </c>
    </row>
    <row r="8787" spans="1:9" x14ac:dyDescent="0.3">
      <c r="A8787" s="1" t="s">
        <v>43</v>
      </c>
      <c r="B8787" s="1" t="s">
        <v>1382</v>
      </c>
      <c r="C8787" s="1" t="s">
        <v>57</v>
      </c>
      <c r="D8787" s="1" t="s">
        <v>186</v>
      </c>
      <c r="E8787" s="1" t="s">
        <v>2197</v>
      </c>
      <c r="F8787" s="1" t="s">
        <v>13135</v>
      </c>
      <c r="G8787" s="1" t="s">
        <v>36</v>
      </c>
      <c r="H8787" s="1" t="s">
        <v>29</v>
      </c>
      <c r="I8787" s="1" t="str">
        <f ca="1">IFERROR(__xludf.DUMMYFUNCTION("GOOGLETRANSLATE(F8787, ""auto"", ""en"")
"),"I bought it today! Better than a regular fan) it blows quite well, even more) noisy, but this is not a minus! Noise due to powerful air flow)) I recommend purchasing! Of course it’s not a Conder, but for the money you can’t imagine anything better)")</f>
        <v>I bought it today! Better than a regular fan) it blows quite well, even more) noisy, but this is not a minus! Noise due to powerful air flow)) I recommend purchasing! Of course it’s not a Conder, but for the money you can’t imagine anything better)</v>
      </c>
    </row>
    <row r="8788" spans="1:9" x14ac:dyDescent="0.3">
      <c r="A8788" s="1" t="s">
        <v>55</v>
      </c>
      <c r="B8788" s="1" t="s">
        <v>84</v>
      </c>
      <c r="C8788" s="1" t="s">
        <v>85</v>
      </c>
      <c r="D8788" s="1" t="s">
        <v>139</v>
      </c>
      <c r="E8788" s="1" t="s">
        <v>5585</v>
      </c>
      <c r="F8788" s="1" t="s">
        <v>13136</v>
      </c>
      <c r="G8788" s="1" t="s">
        <v>36</v>
      </c>
      <c r="H8788" s="1" t="s">
        <v>29</v>
      </c>
      <c r="I8788" s="1" t="str">
        <f ca="1">IFERROR(__xludf.DUMMYFUNCTION("GOOGLETRANSLATE(F8788, ""auto"", ""en"")
"),"I have been using this device for about 4 months. Initially I wanted to buy a simple ultrasonic humidifier, but then (already in the store) I found out that there is a device that, in addition to humidification, also cleans the air of dust and all kinds o"&amp;"f bacteria. I was very pleased with the purchase; indeed, after some time, it became much easier to breathe in the room!     Advantages: In principle, there is nothing to compare with, I have not used other sinks, but what makes this model stand out from "&amp;"others is its compactness and design (the device looks like some kind of fashionable gadget). And in general, it’s a good quality item made in Korea that makes the climate in the room comfortable.  Cons: Not very detailed instructions! At first, the sink "&amp;"smelled like a hospital. I thought it was a mistake, but decided to call the helpline anyway. The girl explained in detail that there is a special cartridge (white cassette) installed inside that kills viruses, mites and other organic matter. Before use, "&amp;"you should soak this cartridge in warm water for about an hour so that there is no smell. And there is not a word about this in the instructions!")</f>
        <v>I have been using this device for about 4 months. Initially I wanted to buy a simple ultrasonic humidifier, but then (already in the store) I found out that there is a device that, in addition to humidification, also cleans the air of dust and all kinds of bacteria. I was very pleased with the purchase; indeed, after some time, it became much easier to breathe in the room!     Advantages: In principle, there is nothing to compare with, I have not used other sinks, but what makes this model stand out from others is its compactness and design (the device looks like some kind of fashionable gadget). And in general, it’s a good quality item made in Korea that makes the climate in the room comfortable.  Cons: Not very detailed instructions! At first, the sink smelled like a hospital. I thought it was a mistake, but decided to call the helpline anyway. The girl explained in detail that there is a special cartridge (white cassette) installed inside that kills viruses, mites and other organic matter. Before use, you should soak this cartridge in warm water for about an hour so that there is no smell. And there is not a word about this in the instructions!</v>
      </c>
    </row>
    <row r="8789" spans="1:9" x14ac:dyDescent="0.3">
      <c r="A8789" s="1" t="s">
        <v>169</v>
      </c>
      <c r="B8789" s="1" t="s">
        <v>170</v>
      </c>
      <c r="C8789" s="1" t="s">
        <v>69</v>
      </c>
      <c r="D8789" s="1" t="s">
        <v>568</v>
      </c>
      <c r="E8789" s="1" t="s">
        <v>8735</v>
      </c>
      <c r="F8789" s="1" t="s">
        <v>13137</v>
      </c>
      <c r="G8789" s="1" t="s">
        <v>28</v>
      </c>
      <c r="H8789" s="1" t="s">
        <v>29</v>
      </c>
      <c r="I8789" s="1" t="str">
        <f ca="1">IFERROR(__xludf.DUMMYFUNCTION("GOOGLETRANSLATE(F8789, ""auto"", ""en"")
"),"Good sound, comfortable mount, but the dimensions seemed somewhat inconvenient (ears stick out) and in the wind at low volume you can’t hear anything...")</f>
        <v>Good sound, comfortable mount, but the dimensions seemed somewhat inconvenient (ears stick out) and in the wind at low volume you can’t hear anything...</v>
      </c>
    </row>
    <row r="8790" spans="1:9" x14ac:dyDescent="0.3">
      <c r="A8790" s="1" t="s">
        <v>9</v>
      </c>
      <c r="B8790" s="1" t="s">
        <v>23</v>
      </c>
      <c r="C8790" s="1" t="s">
        <v>138</v>
      </c>
      <c r="D8790" s="1" t="s">
        <v>102</v>
      </c>
      <c r="E8790" s="1" t="s">
        <v>2206</v>
      </c>
      <c r="F8790" s="1" t="s">
        <v>13138</v>
      </c>
      <c r="G8790" s="1" t="s">
        <v>36</v>
      </c>
      <c r="H8790" s="1" t="s">
        <v>29</v>
      </c>
      <c r="I8790" s="1" t="str">
        <f ca="1">IFERROR(__xludf.DUMMYFUNCTION("GOOGLETRANSLATE(F8790, ""auto"", ""en"")
"),"After reading the reviews and, in principle, not being strapped for money, I still chose this model. And, surprisingly, I don’t regret it. According to reviews, the quality of the wash is excellent and I confirm this. Those who don’t wash, don’t know how "&amp;"to lay out the dishes. We must follow the recommendations. Holds a lot of dishes.")</f>
        <v>After reading the reviews and, in principle, not being strapped for money, I still chose this model. And, surprisingly, I don’t regret it. According to reviews, the quality of the wash is excellent and I confirm this. Those who don’t wash, don’t know how to lay out the dishes. We must follow the recommendations. Holds a lot of dishes.</v>
      </c>
    </row>
    <row r="8791" spans="1:9" x14ac:dyDescent="0.3">
      <c r="A8791" s="1" t="s">
        <v>120</v>
      </c>
      <c r="B8791" s="1" t="s">
        <v>196</v>
      </c>
      <c r="C8791" s="1" t="s">
        <v>658</v>
      </c>
      <c r="D8791" s="1" t="s">
        <v>280</v>
      </c>
      <c r="E8791" s="1" t="s">
        <v>3203</v>
      </c>
      <c r="F8791" s="1" t="s">
        <v>13139</v>
      </c>
      <c r="G8791" s="1" t="s">
        <v>36</v>
      </c>
      <c r="H8791" s="1" t="s">
        <v>29</v>
      </c>
      <c r="I8791" s="1" t="str">
        <f ca="1">IFERROR(__xludf.DUMMYFUNCTION("GOOGLETRANSLATE(F8791, ""auto"", ""en"")
"),"Excellent TV. I bought it 2 months ago and so far I can’t find fault with anything at all. I’m happy with absolutely everything. The image is perfect!!")</f>
        <v>Excellent TV. I bought it 2 months ago and so far I can’t find fault with anything at all. I’m happy with absolutely everything. The image is perfect!!</v>
      </c>
    </row>
    <row r="8792" spans="1:9" x14ac:dyDescent="0.3">
      <c r="A8792" s="1" t="s">
        <v>105</v>
      </c>
      <c r="B8792" s="1" t="s">
        <v>106</v>
      </c>
      <c r="C8792" s="1" t="s">
        <v>151</v>
      </c>
      <c r="D8792" s="1" t="s">
        <v>940</v>
      </c>
      <c r="E8792" s="1" t="s">
        <v>5073</v>
      </c>
      <c r="F8792" s="1" t="s">
        <v>13140</v>
      </c>
      <c r="G8792" s="1" t="s">
        <v>36</v>
      </c>
      <c r="H8792" s="1" t="s">
        <v>29</v>
      </c>
      <c r="I8792" s="1" t="str">
        <f ca="1">IFERROR(__xludf.DUMMYFUNCTION("GOOGLETRANSLATE(F8792, ""auto"", ""en"")
"),"The player is quite good! On November 25th it will be 3 months since I purchased it. It froze a couple of times, and that was because I pressed several buttons at once)) but I’m quite happy with it. The quality and price are acceptable! Take it - you won'"&amp;"t regret it. But the headphones are normal in principle. You can listen through your family! I'm happy with everything. And the design is not strict. In general, a party, a great party, just super))")</f>
        <v>The player is quite good! On November 25th it will be 3 months since I purchased it. It froze a couple of times, and that was because I pressed several buttons at once)) but I’m quite happy with it. The quality and price are acceptable! Take it - you won't regret it. But the headphones are normal in principle. You can listen through your family! I'm happy with everything. And the design is not strict. In general, a party, a great party, just super))</v>
      </c>
    </row>
    <row r="8793" spans="1:9" x14ac:dyDescent="0.3">
      <c r="A8793" s="1" t="s">
        <v>120</v>
      </c>
      <c r="B8793" s="1" t="s">
        <v>121</v>
      </c>
      <c r="C8793" s="1" t="s">
        <v>151</v>
      </c>
      <c r="D8793" s="1" t="s">
        <v>280</v>
      </c>
      <c r="E8793" s="1" t="s">
        <v>1992</v>
      </c>
      <c r="F8793" s="1" t="s">
        <v>13141</v>
      </c>
      <c r="G8793" s="1" t="s">
        <v>36</v>
      </c>
      <c r="H8793" s="1" t="s">
        <v>29</v>
      </c>
      <c r="I8793" s="1" t="str">
        <f ca="1">IFERROR(__xludf.DUMMYFUNCTION("GOOGLETRANSLATE(F8793, ""auto"", ""en"")
"),"I bought it yesterday on sale for 19,990 rubles. Cable TV shows perfectly, no interference or blurring. I connected the Asus X55Sv laptop via a regular monitor cable - the resolution of 1920*1080 was absolutely amazing, I played a game - no brakes. I laun"&amp;"ched Excel - a thrill squared away!!! At this resolution, a lot of cells are removed horizontally. I watched the film in mkv format, ripped from blu-ray - full HD rules. In general, you don’t even need to look for anything for this money, and you simply w"&amp;"on’t find it.   What I like about Mvideo is that if the promotion is really a price reduction, and not a rewriting of price tags!!! Well done!!!")</f>
        <v>I bought it yesterday on sale for 19,990 rubles. Cable TV shows perfectly, no interference or blurring. I connected the Asus X55Sv laptop via a regular monitor cable - the resolution of 1920*1080 was absolutely amazing, I played a game - no brakes. I launched Excel - a thrill squared away!!! At this resolution, a lot of cells are removed horizontally. I watched the film in mkv format, ripped from blu-ray - full HD rules. In general, you don’t even need to look for anything for this money, and you simply won’t find it.   What I like about Mvideo is that if the promotion is really a price reduction, and not a rewriting of price tags!!! Well done!!!</v>
      </c>
    </row>
    <row r="8794" spans="1:9" x14ac:dyDescent="0.3">
      <c r="A8794" s="1" t="s">
        <v>149</v>
      </c>
      <c r="B8794" s="1" t="s">
        <v>155</v>
      </c>
      <c r="C8794" s="1" t="s">
        <v>63</v>
      </c>
      <c r="D8794" s="1" t="s">
        <v>943</v>
      </c>
      <c r="E8794" s="1" t="s">
        <v>3356</v>
      </c>
      <c r="F8794" s="1" t="s">
        <v>13142</v>
      </c>
      <c r="G8794" s="1" t="s">
        <v>36</v>
      </c>
      <c r="H8794" s="1" t="s">
        <v>29</v>
      </c>
      <c r="I8794" s="1" t="str">
        <f ca="1">IFERROR(__xludf.DUMMYFUNCTION("GOOGLETRANSLATE(F8794, ""auto"", ""en"")
"),"An excellent vacuum cleaner, very powerful, the only thing is that you definitely need to use disposable dust collectors, with a container, and it’s true that it’s rather weak.  We have been using it for 1.5 years and are very satisfied.")</f>
        <v>An excellent vacuum cleaner, very powerful, the only thing is that you definitely need to use disposable dust collectors, with a container, and it’s true that it’s rather weak.  We have been using it for 1.5 years and are very satisfied.</v>
      </c>
    </row>
    <row r="8795" spans="1:9" x14ac:dyDescent="0.3">
      <c r="A8795" s="1" t="s">
        <v>61</v>
      </c>
      <c r="B8795" s="1" t="s">
        <v>62</v>
      </c>
      <c r="C8795" s="1" t="s">
        <v>63</v>
      </c>
      <c r="D8795" s="1" t="s">
        <v>1509</v>
      </c>
      <c r="E8795" s="1" t="s">
        <v>3906</v>
      </c>
      <c r="F8795" s="1" t="s">
        <v>13143</v>
      </c>
      <c r="G8795" s="1" t="s">
        <v>28</v>
      </c>
      <c r="H8795" s="1" t="s">
        <v>29</v>
      </c>
      <c r="I8795" s="1" t="str">
        <f ca="1">IFERROR(__xludf.DUMMYFUNCTION("GOOGLETRANSLATE(F8795, ""auto"", ""en"")
"),"Yesterday we bought a bosch5525 and struggled for a long time to turn it on. It’s hard to latch the main bowl into place, and the blender glass is leaking from below. An obvious defect. Let’s go take it in. It’s a pity for wasted time. One name is bosch")</f>
        <v>Yesterday we bought a bosch5525 and struggled for a long time to turn it on. It’s hard to latch the main bowl into place, and the blender glass is leaking from below. An obvious defect. Let’s go take it in. It’s a pity for wasted time. One name is bosch</v>
      </c>
    </row>
    <row r="8796" spans="1:9" x14ac:dyDescent="0.3">
      <c r="A8796" s="1" t="s">
        <v>373</v>
      </c>
      <c r="B8796" s="1" t="s">
        <v>374</v>
      </c>
      <c r="C8796" s="1" t="s">
        <v>159</v>
      </c>
      <c r="D8796" s="1" t="s">
        <v>64</v>
      </c>
      <c r="E8796" s="1" t="s">
        <v>4027</v>
      </c>
      <c r="F8796" s="1" t="s">
        <v>13144</v>
      </c>
      <c r="G8796" s="1" t="s">
        <v>36</v>
      </c>
      <c r="H8796" s="1" t="s">
        <v>29</v>
      </c>
      <c r="I8796" s="1" t="str">
        <f ca="1">IFERROR(__xludf.DUMMYFUNCTION("GOOGLETRANSLATE(F8796, ""auto"", ""en"")
"),"Wow, I came to write a review about this model of dishwasher, but was unpleasantly surprised by the last two reviews(((In March it will be a year since I’ve been using the Electrolux 63021 dishwasher, I have no complaints, it washes everything perfectly. "&amp;"I hope that in a couple of months no troubles will start with it, like other owners. She is a real helper in everyday life, especially if the family is large and there is a child! If there are any particularly strong dirt or food residues on If the dishes"&amp;" are dry, then I use a cold rinse before washing and then just let it sit for another 15 minutes - and everything is washed. The 30-minute program can, by the way, be used as a preliminary hot rinse without using the product) for baking sheets, for exampl"&amp;"e, or glassware for the oven, I clean the filter once every 1-2 weeks, because I have to wash a lot of greasy dishes, and if this is not done, the An unpleasant smelling film forms in the filter. But it takes exactly 5 minutes and does not cause any incon"&amp;"venience. This is my first dishwasher, I couldn’t choose a model for a long time, I kept doubting it. But now I understand that the choice was made correctly. And now, after reading the reviews, I’m worried that there won’t be any glitches. The only negat"&amp;"ive is that there is no signal for the end of the wash, and after the end of the wash, since the control is mechanical, the machine remains in standby mode and does not turn off itself. But this is not important, it would just be more convenient))")</f>
        <v>Wow, I came to write a review about this model of dishwasher, but was unpleasantly surprised by the last two reviews(((In March it will be a year since I’ve been using the Electrolux 63021 dishwasher, I have no complaints, it washes everything perfectly. I hope that in a couple of months no troubles will start with it, like other owners. She is a real helper in everyday life, especially if the family is large and there is a child! If there are any particularly strong dirt or food residues on If the dishes are dry, then I use a cold rinse before washing and then just let it sit for another 15 minutes - and everything is washed. The 30-minute program can, by the way, be used as a preliminary hot rinse without using the product) for baking sheets, for example, or glassware for the oven, I clean the filter once every 1-2 weeks, because I have to wash a lot of greasy dishes, and if this is not done, the An unpleasant smelling film forms in the filter. But it takes exactly 5 minutes and does not cause any inconvenience. This is my first dishwasher, I couldn’t choose a model for a long time, I kept doubting it. But now I understand that the choice was made correctly. And now, after reading the reviews, I’m worried that there won’t be any glitches. The only negative is that there is no signal for the end of the wash, and after the end of the wash, since the control is mechanical, the machine remains in standby mode and does not turn off itself. But this is not important, it would just be more convenient))</v>
      </c>
    </row>
    <row r="8797" spans="1:9" x14ac:dyDescent="0.3">
      <c r="A8797" s="1" t="s">
        <v>37</v>
      </c>
      <c r="B8797" s="1" t="s">
        <v>38</v>
      </c>
      <c r="C8797" s="1" t="s">
        <v>69</v>
      </c>
      <c r="D8797" s="1" t="s">
        <v>172</v>
      </c>
      <c r="E8797" s="1" t="s">
        <v>484</v>
      </c>
      <c r="F8797" s="1" t="s">
        <v>13145</v>
      </c>
      <c r="G8797" s="1" t="s">
        <v>28</v>
      </c>
      <c r="H8797" s="1" t="s">
        <v>29</v>
      </c>
      <c r="I8797" s="1" t="str">
        <f ca="1">IFERROR(__xludf.DUMMYFUNCTION("GOOGLETRANSLATE(F8797, ""auto"", ""en"")
"),"I've been using Philips for 6-7 years. but on the 830, after 5 months, the speaker wheezed (I don’t listen to music on it), it’s a shame! The paint doesn’t hold up well, but this happened on all Phillips and not just mine. But the rest of the phone is gre"&amp;"at! The main thing is that it holds a charge for 2 weeks, despite the fact that I talk a lot. I wouldn’t change it to any other Philips!")</f>
        <v>I've been using Philips for 6-7 years. but on the 830, after 5 months, the speaker wheezed (I don’t listen to music on it), it’s a shame! The paint doesn’t hold up well, but this happened on all Phillips and not just mine. But the rest of the phone is great! The main thing is that it holds a charge for 2 weeks, despite the fact that I talk a lot. I wouldn’t change it to any other Philips!</v>
      </c>
    </row>
    <row r="8798" spans="1:9" x14ac:dyDescent="0.3">
      <c r="A8798" s="1" t="s">
        <v>61</v>
      </c>
      <c r="B8798" s="1" t="s">
        <v>318</v>
      </c>
      <c r="C8798" s="1" t="s">
        <v>213</v>
      </c>
      <c r="D8798" s="1" t="s">
        <v>589</v>
      </c>
      <c r="E8798" s="1" t="s">
        <v>2742</v>
      </c>
      <c r="F8798" s="1" t="s">
        <v>13146</v>
      </c>
      <c r="G8798" s="1" t="s">
        <v>36</v>
      </c>
      <c r="H8798" s="1" t="s">
        <v>29</v>
      </c>
      <c r="I8798" s="1" t="str">
        <f ca="1">IFERROR(__xludf.DUMMYFUNCTION("GOOGLETRANSLATE(F8798, ""auto"", ""en"")
"),"This is my first kettle that has served for more than 8 years, or even more. Then I wanted to buy a more modern one, but it turned out that I didn’t throw away the money for long; the next 2 kettles, God willing, lasted a year. Now I’ve returned to this m"&amp;"odel again and recommend it to everyone, it’s simple and reliable, I can’t say it’s noisy, it heats up quickly, it’s a little heavier than other kettles, but you quickly get used to it.")</f>
        <v>This is my first kettle that has served for more than 8 years, or even more. Then I wanted to buy a more modern one, but it turned out that I didn’t throw away the money for long; the next 2 kettles, God willing, lasted a year. Now I’ve returned to this model again and recommend it to everyone, it’s simple and reliable, I can’t say it’s noisy, it heats up quickly, it’s a little heavier than other kettles, but you quickly get used to it.</v>
      </c>
    </row>
    <row r="8799" spans="1:9" x14ac:dyDescent="0.3">
      <c r="A8799" s="1" t="s">
        <v>211</v>
      </c>
      <c r="B8799" s="1" t="s">
        <v>410</v>
      </c>
      <c r="C8799" s="1" t="s">
        <v>213</v>
      </c>
      <c r="D8799" s="1" t="s">
        <v>521</v>
      </c>
      <c r="E8799" s="1" t="s">
        <v>13147</v>
      </c>
      <c r="F8799" s="1" t="s">
        <v>13148</v>
      </c>
      <c r="G8799" s="1" t="s">
        <v>36</v>
      </c>
      <c r="H8799" s="1" t="s">
        <v>29</v>
      </c>
      <c r="I8799" s="1" t="str">
        <f ca="1">IFERROR(__xludf.DUMMYFUNCTION("GOOGLETRANSLATE(F8799, ""auto"", ""en"")
"),"No cuts. Comfortable shaving. Charges quickly.")</f>
        <v>No cuts. Comfortable shaving. Charges quickly.</v>
      </c>
    </row>
    <row r="8800" spans="1:9" x14ac:dyDescent="0.3">
      <c r="A8800" s="1" t="s">
        <v>149</v>
      </c>
      <c r="B8800" s="1" t="s">
        <v>576</v>
      </c>
      <c r="C8800" s="1" t="s">
        <v>151</v>
      </c>
      <c r="D8800" s="1" t="s">
        <v>4360</v>
      </c>
      <c r="E8800" s="1" t="s">
        <v>4428</v>
      </c>
      <c r="F8800" s="1" t="s">
        <v>13149</v>
      </c>
      <c r="G8800" s="1" t="s">
        <v>36</v>
      </c>
      <c r="H8800" s="1" t="s">
        <v>29</v>
      </c>
      <c r="I8800" s="1" t="str">
        <f ca="1">IFERROR(__xludf.DUMMYFUNCTION("GOOGLETRANSLATE(F8800, ""auto"", ""en"")
"),"Bought on sale (2 months ago). No complaints. The cord is long enough and comfortable. There is an on/off button + a cord rewind button. Buy it if you need a vacuum cleaner. Not worse than expensive ones.  Minus: small bags for collecting dust (but this p"&amp;"roblem can be solved).")</f>
        <v>Bought on sale (2 months ago). No complaints. The cord is long enough and comfortable. There is an on/off button + a cord rewind button. Buy it if you need a vacuum cleaner. Not worse than expensive ones.  Minus: small bags for collecting dust (but this problem can be solved).</v>
      </c>
    </row>
    <row r="8801" spans="1:9" x14ac:dyDescent="0.3">
      <c r="A8801" s="1" t="s">
        <v>9</v>
      </c>
      <c r="B8801" s="1" t="s">
        <v>133</v>
      </c>
      <c r="C8801" s="1" t="s">
        <v>19</v>
      </c>
      <c r="D8801" s="1" t="s">
        <v>64</v>
      </c>
      <c r="E8801" s="1" t="s">
        <v>517</v>
      </c>
      <c r="F8801" s="1" t="s">
        <v>13150</v>
      </c>
      <c r="G8801" s="1" t="s">
        <v>94</v>
      </c>
      <c r="H8801" s="1" t="s">
        <v>29</v>
      </c>
      <c r="I8801" s="1" t="str">
        <f ca="1">IFERROR(__xludf.DUMMYFUNCTION("GOOGLETRANSLATE(F8801, ""auto"", ""en"")
"),"Beautiful, looks neat, cooks well")</f>
        <v>Beautiful, looks neat, cooks well</v>
      </c>
    </row>
    <row r="8802" spans="1:9" x14ac:dyDescent="0.3">
      <c r="A8802" s="1" t="s">
        <v>211</v>
      </c>
      <c r="B8802" s="1" t="s">
        <v>515</v>
      </c>
      <c r="C8802" s="1" t="s">
        <v>213</v>
      </c>
      <c r="D8802" s="1" t="s">
        <v>1499</v>
      </c>
      <c r="E8802" s="1" t="s">
        <v>6337</v>
      </c>
      <c r="F8802" s="1" t="s">
        <v>13151</v>
      </c>
      <c r="G8802" s="1" t="s">
        <v>94</v>
      </c>
      <c r="H8802" s="1" t="s">
        <v>29</v>
      </c>
      <c r="I8802" s="1" t="str">
        <f ca="1">IFERROR(__xludf.DUMMYFUNCTION("GOOGLETRANSLATE(F8802, ""auto"", ""en"")
"),"Convenient, compact, long cable, not expensive")</f>
        <v>Convenient, compact, long cable, not expensive</v>
      </c>
    </row>
    <row r="8803" spans="1:9" x14ac:dyDescent="0.3">
      <c r="A8803" s="1" t="s">
        <v>111</v>
      </c>
      <c r="B8803" s="1" t="s">
        <v>636</v>
      </c>
      <c r="C8803" s="1" t="s">
        <v>57</v>
      </c>
      <c r="D8803" s="1" t="s">
        <v>13152</v>
      </c>
      <c r="E8803" s="1" t="s">
        <v>1063</v>
      </c>
      <c r="F8803" s="1" t="s">
        <v>13153</v>
      </c>
      <c r="G8803" s="1" t="s">
        <v>28</v>
      </c>
      <c r="H8803" s="1" t="s">
        <v>29</v>
      </c>
      <c r="I8803" s="1" t="str">
        <f ca="1">IFERROR(__xludf.DUMMYFUNCTION("GOOGLETRANSLATE(F8803, ""auto"", ""en"")
"),"Excellent device. I will only list the disadvantages that do not cause too much inconvenience: - this winter the lower temperature limit was not enough :) - at subzero temperatures the humidity sensor freezes (shows the state before freezing) - the mount "&amp;"of the remote sensor is rather weak, it needs to be strengthened more firmly than just in the mount’s grips.")</f>
        <v>Excellent device. I will only list the disadvantages that do not cause too much inconvenience: - this winter the lower temperature limit was not enough :) - at subzero temperatures the humidity sensor freezes (shows the state before freezing) - the mount of the remote sensor is rather weak, it needs to be strengthened more firmly than just in the mount’s grips.</v>
      </c>
    </row>
    <row r="8804" spans="1:9" x14ac:dyDescent="0.3">
      <c r="A8804" s="1" t="s">
        <v>61</v>
      </c>
      <c r="B8804" s="1" t="s">
        <v>145</v>
      </c>
      <c r="C8804" s="1" t="s">
        <v>246</v>
      </c>
      <c r="D8804" s="1" t="s">
        <v>247</v>
      </c>
      <c r="E8804" s="1" t="s">
        <v>5517</v>
      </c>
      <c r="F8804" s="1" t="s">
        <v>13154</v>
      </c>
      <c r="G8804" s="1" t="s">
        <v>36</v>
      </c>
      <c r="H8804" s="1" t="s">
        <v>29</v>
      </c>
      <c r="I8804" s="1" t="str">
        <f ca="1">IFERROR(__xludf.DUMMYFUNCTION("GOOGLETRANSLATE(F8804, ""auto"", ""en"")
"),"I bought a Tefal pancake maker last year, just in time for Maslenitsa. I thought I’d bake some pancakes, but it turned out that baking on it is a pleasure. At least every day you can make pancakes with different fillings, or rather 6 pieces at once. I bou"&amp;"ght pancake mix especially for this. Amazing - couldn't be happier.")</f>
        <v>I bought a Tefal pancake maker last year, just in time for Maslenitsa. I thought I’d bake some pancakes, but it turned out that baking on it is a pleasure. At least every day you can make pancakes with different fillings, or rather 6 pieces at once. I bought pancake mix especially for this. Amazing - couldn't be happier.</v>
      </c>
    </row>
    <row r="8805" spans="1:9" x14ac:dyDescent="0.3">
      <c r="A8805" s="1" t="s">
        <v>89</v>
      </c>
      <c r="B8805" s="1" t="s">
        <v>90</v>
      </c>
      <c r="C8805" s="1" t="s">
        <v>185</v>
      </c>
      <c r="D8805" s="1" t="s">
        <v>811</v>
      </c>
      <c r="E8805" s="1" t="s">
        <v>2726</v>
      </c>
      <c r="F8805" s="1" t="s">
        <v>13155</v>
      </c>
      <c r="G8805" s="1" t="s">
        <v>15</v>
      </c>
      <c r="H8805" s="1" t="s">
        <v>16</v>
      </c>
      <c r="I8805" s="1" t="str">
        <f ca="1">IFERROR(__xludf.DUMMYFUNCTION("GOOGLETRANSLATE(F8805, ""auto"", ""en"")
"),"No matter how much you grind, you won’t get a fine grind, and a burning smell appears from the engine. Very inconvenient lid, coffee both on the table and inside under the bowl! No tightness! I don't recommend it.")</f>
        <v>No matter how much you grind, you won’t get a fine grind, and a burning smell appears from the engine. Very inconvenient lid, coffee both on the table and inside under the bowl! No tightness! I don't recommend it.</v>
      </c>
    </row>
    <row r="8806" spans="1:9" x14ac:dyDescent="0.3">
      <c r="A8806" s="1" t="s">
        <v>211</v>
      </c>
      <c r="B8806" s="1" t="s">
        <v>212</v>
      </c>
      <c r="C8806" s="1" t="s">
        <v>745</v>
      </c>
      <c r="D8806" s="1" t="s">
        <v>521</v>
      </c>
      <c r="E8806" s="1" t="s">
        <v>323</v>
      </c>
      <c r="F8806" s="1" t="s">
        <v>13156</v>
      </c>
      <c r="G8806" s="1" t="s">
        <v>36</v>
      </c>
      <c r="H8806" s="1" t="s">
        <v>29</v>
      </c>
      <c r="I8806" s="1" t="str">
        <f ca="1">IFERROR(__xludf.DUMMYFUNCTION("GOOGLETRANSLATE(F8806, ""auto"", ""en"")
"),"Functionality, affordable price.")</f>
        <v>Functionality, affordable price.</v>
      </c>
    </row>
    <row r="8807" spans="1:9" x14ac:dyDescent="0.3">
      <c r="A8807" s="1" t="s">
        <v>1443</v>
      </c>
      <c r="B8807" s="1" t="s">
        <v>1444</v>
      </c>
      <c r="C8807" s="1" t="s">
        <v>1489</v>
      </c>
      <c r="D8807" s="1" t="s">
        <v>13157</v>
      </c>
      <c r="E8807" s="1" t="s">
        <v>386</v>
      </c>
      <c r="F8807" s="1" t="s">
        <v>13158</v>
      </c>
      <c r="G8807" s="1" t="s">
        <v>36</v>
      </c>
      <c r="H8807" s="1" t="s">
        <v>29</v>
      </c>
      <c r="I8807" s="1" t="str">
        <f ca="1">IFERROR(__xludf.DUMMYFUNCTION("GOOGLETRANSLATE(F8807, ""auto"", ""en"")
"),"I bought this flash card 2 years ago, only one positive comments) excellent flash drive")</f>
        <v>I bought this flash card 2 years ago, only one positive comments) excellent flash drive</v>
      </c>
    </row>
    <row r="8808" spans="1:9" x14ac:dyDescent="0.3">
      <c r="A8808" s="1" t="s">
        <v>105</v>
      </c>
      <c r="B8808" s="1" t="s">
        <v>106</v>
      </c>
      <c r="C8808" s="1" t="s">
        <v>107</v>
      </c>
      <c r="D8808" s="1" t="s">
        <v>13159</v>
      </c>
      <c r="E8808" s="1" t="s">
        <v>3567</v>
      </c>
      <c r="F8808" s="1" t="s">
        <v>13160</v>
      </c>
      <c r="G8808" s="1" t="s">
        <v>36</v>
      </c>
      <c r="H8808" s="1" t="s">
        <v>29</v>
      </c>
      <c r="I8808" s="1" t="str">
        <f ca="1">IFERROR(__xludf.DUMMYFUNCTION("GOOGLETRANSLATE(F8808, ""auto"", ""en"")
"),"Very good player, 5, responsive touch display, plenty of memory, standard headphones are also good, full bass, sound clarity, high screen resolution...")</f>
        <v>Very good player, 5, responsive touch display, plenty of memory, standard headphones are also good, full bass, sound clarity, high screen resolution...</v>
      </c>
    </row>
    <row r="8809" spans="1:9" x14ac:dyDescent="0.3">
      <c r="A8809" s="1" t="s">
        <v>211</v>
      </c>
      <c r="B8809" s="1" t="s">
        <v>2818</v>
      </c>
      <c r="C8809" s="1" t="s">
        <v>213</v>
      </c>
      <c r="D8809" s="1" t="s">
        <v>308</v>
      </c>
      <c r="E8809" s="1" t="s">
        <v>13161</v>
      </c>
      <c r="F8809" s="1" t="s">
        <v>13162</v>
      </c>
      <c r="G8809" s="1" t="s">
        <v>36</v>
      </c>
      <c r="H8809" s="1" t="s">
        <v>29</v>
      </c>
      <c r="I8809" s="1" t="str">
        <f ca="1">IFERROR(__xludf.DUMMYFUNCTION("GOOGLETRANSLATE(F8809, ""auto"", ""en"")
"),"Good stuff, my husband really likes it. It’s just a pity that it runs out quickly and is quite expensive for a consumable)")</f>
        <v>Good stuff, my husband really likes it. It’s just a pity that it runs out quickly and is quite expensive for a consumable)</v>
      </c>
    </row>
    <row r="8810" spans="1:9" x14ac:dyDescent="0.3">
      <c r="A8810" s="1" t="s">
        <v>61</v>
      </c>
      <c r="B8810" s="1" t="s">
        <v>73</v>
      </c>
      <c r="C8810" s="1" t="s">
        <v>146</v>
      </c>
      <c r="D8810" s="1" t="s">
        <v>305</v>
      </c>
      <c r="E8810" s="1" t="s">
        <v>5738</v>
      </c>
      <c r="F8810" s="1" t="s">
        <v>13163</v>
      </c>
      <c r="G8810" s="1" t="s">
        <v>36</v>
      </c>
      <c r="H8810" s="1" t="s">
        <v>29</v>
      </c>
      <c r="I8810" s="1" t="str">
        <f ca="1">IFERROR(__xludf.DUMMYFUNCTION("GOOGLETRANSLATE(F8810, ""auto"", ""en"")
"),"Powerful, steel body, metal inside, reliable")</f>
        <v>Powerful, steel body, metal inside, reliable</v>
      </c>
    </row>
    <row r="8811" spans="1:9" x14ac:dyDescent="0.3">
      <c r="A8811" s="1" t="s">
        <v>61</v>
      </c>
      <c r="B8811" s="1" t="s">
        <v>318</v>
      </c>
      <c r="C8811" s="1" t="s">
        <v>745</v>
      </c>
      <c r="D8811" s="1" t="s">
        <v>305</v>
      </c>
      <c r="E8811" s="1" t="s">
        <v>13164</v>
      </c>
      <c r="F8811" s="1" t="s">
        <v>13165</v>
      </c>
      <c r="G8811" s="1" t="s">
        <v>36</v>
      </c>
      <c r="H8811" s="1" t="s">
        <v>29</v>
      </c>
      <c r="I8811" s="1" t="str">
        <f ca="1">IFERROR(__xludf.DUMMYFUNCTION("GOOGLETRANSLATE(F8811, ""auto"", ""en"")
"),"An excellent kettle, before this there were kettles from other brands, inexpensive plastic ones - a year and a half and they broke/burned. This one is still alive after three years of daily work. Unfortunately, the plastic near the lid had already boiled "&amp;"away/become brittle and during the next cleaning of the insides, the lid was broken off. It boiled quickly, a little noisy, there is a backlight. There was a plastic smell, but it dissipated quickly enough. I'm thinking about purchasing again.")</f>
        <v>An excellent kettle, before this there were kettles from other brands, inexpensive plastic ones - a year and a half and they broke/burned. This one is still alive after three years of daily work. Unfortunately, the plastic near the lid had already boiled away/become brittle and during the next cleaning of the insides, the lid was broken off. It boiled quickly, a little noisy, there is a backlight. There was a plastic smell, but it dissipated quickly enough. I'm thinking about purchasing again.</v>
      </c>
    </row>
    <row r="8812" spans="1:9" x14ac:dyDescent="0.3">
      <c r="A8812" s="1" t="s">
        <v>9</v>
      </c>
      <c r="B8812" s="1" t="s">
        <v>137</v>
      </c>
      <c r="C8812" s="1" t="s">
        <v>24</v>
      </c>
      <c r="D8812" s="1" t="s">
        <v>483</v>
      </c>
      <c r="E8812" s="1" t="s">
        <v>128</v>
      </c>
      <c r="F8812" s="1" t="s">
        <v>13166</v>
      </c>
      <c r="G8812" s="1" t="s">
        <v>28</v>
      </c>
      <c r="H8812" s="1" t="s">
        <v>29</v>
      </c>
      <c r="I8812" s="1" t="str">
        <f ca="1">IFERROR(__xludf.DUMMYFUNCTION("GOOGLETRANSLATE(F8812, ""auto"", ""en"")
"),"I've been using it for more than 2 months - everything is just super! Gorgeous three-circuit burner! But there is one BUT because of which I would never take a gas steel panel again! After each preparation, you need to wash it and not just wash it, but ru"&amp;"b it, and even special products for stainless steel do not help, stains remain, small scratches appeared, although they were washed only with liquid products and soft rags! It is better to take a glass-ceramic surface without protruding parts and handles "&amp;"- it is much easier to clean!")</f>
        <v>I've been using it for more than 2 months - everything is just super! Gorgeous three-circuit burner! But there is one BUT because of which I would never take a gas steel panel again! After each preparation, you need to wash it and not just wash it, but rub it, and even special products for stainless steel do not help, stains remain, small scratches appeared, although they were washed only with liquid products and soft rags! It is better to take a glass-ceramic surface without protruding parts and handles - it is much easier to clean!</v>
      </c>
    </row>
    <row r="8813" spans="1:9" x14ac:dyDescent="0.3">
      <c r="A8813" s="1" t="s">
        <v>43</v>
      </c>
      <c r="B8813" s="1" t="s">
        <v>1616</v>
      </c>
      <c r="C8813" s="1" t="s">
        <v>1138</v>
      </c>
      <c r="D8813" s="1" t="s">
        <v>280</v>
      </c>
      <c r="E8813" s="1" t="s">
        <v>386</v>
      </c>
      <c r="F8813" s="1" t="s">
        <v>13167</v>
      </c>
      <c r="G8813" s="1" t="s">
        <v>15</v>
      </c>
      <c r="H8813" s="1" t="s">
        <v>16</v>
      </c>
      <c r="I8813" s="1" t="str">
        <f ca="1">IFERROR(__xludf.DUMMYFUNCTION("GOOGLETRANSLATE(F8813, ""auto"", ""en"")
"),"Noisy, not for the home, only for the office, it’s inconvenient to install hot air lines, the cooling speed of the air conditioning is one and high, so I emphasize once again it’s noisy and there’s no getting around it!  I’ll definitely sell this monster "&amp;"and buy a split, they rightly say that the stingy pays twice. I bought it in 2011 in April for 16,000 rubles and even in the store they gave a discount of 2,000 rubles on the card.")</f>
        <v>Noisy, not for the home, only for the office, it’s inconvenient to install hot air lines, the cooling speed of the air conditioning is one and high, so I emphasize once again it’s noisy and there’s no getting around it!  I’ll definitely sell this monster and buy a split, they rightly say that the stingy pays twice. I bought it in 2011 in April for 16,000 rubles and even in the store they gave a discount of 2,000 rubles on the card.</v>
      </c>
    </row>
    <row r="8814" spans="1:9" x14ac:dyDescent="0.3">
      <c r="A8814" s="1" t="s">
        <v>95</v>
      </c>
      <c r="B8814" s="1" t="s">
        <v>648</v>
      </c>
      <c r="C8814" s="1" t="s">
        <v>97</v>
      </c>
      <c r="D8814" s="1" t="s">
        <v>891</v>
      </c>
      <c r="E8814" s="1" t="s">
        <v>2057</v>
      </c>
      <c r="F8814" s="1" t="s">
        <v>13168</v>
      </c>
      <c r="G8814" s="1" t="s">
        <v>36</v>
      </c>
      <c r="H8814" s="1" t="s">
        <v>29</v>
      </c>
      <c r="I8814" s="1" t="str">
        <f ca="1">IFERROR(__xludf.DUMMYFUNCTION("GOOGLETRANSLATE(F8814, ""auto"", ""en"")
"),"It's a great set-top box, you can carry it with you and connect it to your TV. I've had it for six months. I really like it, I have no complaints.")</f>
        <v>It's a great set-top box, you can carry it with you and connect it to your TV. I've had it for six months. I really like it, I have no complaints.</v>
      </c>
    </row>
    <row r="8815" spans="1:9" x14ac:dyDescent="0.3">
      <c r="A8815" s="1" t="s">
        <v>95</v>
      </c>
      <c r="B8815" s="1" t="s">
        <v>648</v>
      </c>
      <c r="C8815" s="1" t="s">
        <v>97</v>
      </c>
      <c r="D8815" s="1" t="s">
        <v>411</v>
      </c>
      <c r="E8815" s="1" t="s">
        <v>886</v>
      </c>
      <c r="F8815" s="1" t="s">
        <v>13169</v>
      </c>
      <c r="G8815" s="1" t="s">
        <v>36</v>
      </c>
      <c r="H8815" s="1" t="s">
        <v>29</v>
      </c>
      <c r="I8815" s="1" t="str">
        <f ca="1">IFERROR(__xludf.DUMMYFUNCTION("GOOGLETRANSLATE(F8815, ""auto"", ""en"")
"),"The model is excellent! Played on PSP 3008, 2008, 1008. What do I want to say?  PSPgo is much more practical, more convenient (Who cares, though), more beautiful and interesting than PSP 1000,2000,3000.   I would like to highlight the pros and cons.  Pros"&amp;": +16 GB of internal memory. (You can also buy a Memory Stick M2 for 16 GB, and you will have 30 GB of blank memory (2 GB of memory are locked by software)) + Of course, compactness (Fits into a skinny jeans pocket easily) + Design (When you ride on a bus"&amp;", everyone looks at it =3) + A clearer and brighter screen (Yes, yes, I compared with all models) + Convenience (But the 3000/2000/1000 are also convenient.) + Faster loading of games (Since the screen is smaller, scaling takes much less time than on othe"&amp;"r models (Yes, I compared)) + Better image output on the TV screen + BlueTooth (You can play on the DualShock 3, or connect it to the PS3) + Cool sound of opening the slider = 3 Cons: - Slider (But It’s not difficult for me to spend 1000-2000 rubles once "&amp;"a year or two to fix the slider, it’s the same thing if I bought a game for it) -Smaller screen compared to previous models, but this is also a plus That’s all. I’m happy with the purchase. I advise you to buy for those who don’t have a PSP, but if you al"&amp;"ready have a PSP 1000/2000/3000, then don’t take it I advise. (Meaning?)")</f>
        <v>The model is excellent! Played on PSP 3008, 2008, 1008. What do I want to say?  PSPgo is much more practical, more convenient (Who cares, though), more beautiful and interesting than PSP 1000,2000,3000.   I would like to highlight the pros and cons.  Pros: +16 GB of internal memory. (You can also buy a Memory Stick M2 for 16 GB, and you will have 30 GB of blank memory (2 GB of memory are locked by software)) + Of course, compactness (Fits into a skinny jeans pocket easily) + Design (When you ride on a bus, everyone looks at it =3) + A clearer and brighter screen (Yes, yes, I compared with all models) + Convenience (But the 3000/2000/1000 are also convenient.) + Faster loading of games (Since the screen is smaller, scaling takes much less time than on other models (Yes, I compared)) + Better image output on the TV screen + BlueTooth (You can play on the DualShock 3, or connect it to the PS3) + Cool sound of opening the slider = 3 Cons: - Slider (But It’s not difficult for me to spend 1000-2000 rubles once a year or two to fix the slider, it’s the same thing if I bought a game for it) -Smaller screen compared to previous models, but this is also a plus That’s all. I’m happy with the purchase. I advise you to buy for those who don’t have a PSP, but if you already have a PSP 1000/2000/3000, then don’t take it I advise. (Meaning?)</v>
      </c>
    </row>
    <row r="8816" spans="1:9" x14ac:dyDescent="0.3">
      <c r="A8816" s="1" t="s">
        <v>43</v>
      </c>
      <c r="B8816" s="1" t="s">
        <v>502</v>
      </c>
      <c r="C8816" s="1" t="s">
        <v>1627</v>
      </c>
      <c r="D8816" s="1" t="s">
        <v>52</v>
      </c>
      <c r="E8816" s="1" t="s">
        <v>2423</v>
      </c>
      <c r="F8816" s="1" t="s">
        <v>13170</v>
      </c>
      <c r="G8816" s="1" t="s">
        <v>36</v>
      </c>
      <c r="H8816" s="1" t="s">
        <v>29</v>
      </c>
      <c r="I8816" s="1" t="str">
        <f ca="1">IFERROR(__xludf.DUMMYFUNCTION("GOOGLETRANSLATE(F8816, ""auto"", ""en"")
"),"The air conditioner is excellent for the money, better than many modern models, even of the inverter type. The plastic is of high quality, it works quietly both the indoor unit and the outdoor one. This model has a cable from the indoor unit to the outdoo"&amp;"r unit - this is not a surprise, but this is a feature of the air conditioner model - this model was developed in 2009 and discontinued in 2012. But such equipment is still available in warehouses and no one has canceled its quality - Malaysian assembly. "&amp;" I advise anyone who has not yet purchased an air conditioner to consider this model.")</f>
        <v>The air conditioner is excellent for the money, better than many modern models, even of the inverter type. The plastic is of high quality, it works quietly both the indoor unit and the outdoor one. This model has a cable from the indoor unit to the outdoor unit - this is not a surprise, but this is a feature of the air conditioner model - this model was developed in 2009 and discontinued in 2012. But such equipment is still available in warehouses and no one has canceled its quality - Malaysian assembly.  I advise anyone who has not yet purchased an air conditioner to consider this model.</v>
      </c>
    </row>
    <row r="8817" spans="1:9" x14ac:dyDescent="0.3">
      <c r="A8817" s="1" t="s">
        <v>477</v>
      </c>
      <c r="B8817" s="1" t="s">
        <v>478</v>
      </c>
      <c r="C8817" s="1" t="s">
        <v>479</v>
      </c>
      <c r="D8817" s="1" t="s">
        <v>13171</v>
      </c>
      <c r="E8817" s="1" t="s">
        <v>194</v>
      </c>
      <c r="F8817" s="1" t="s">
        <v>13172</v>
      </c>
      <c r="G8817" s="1" t="s">
        <v>36</v>
      </c>
      <c r="H8817" s="1" t="s">
        <v>29</v>
      </c>
      <c r="I8817" s="1" t="str">
        <f ca="1">IFERROR(__xludf.DUMMYFUNCTION("GOOGLETRANSLATE(F8817, ""auto"", ""en"")
"),"The game is super and the graphics are also buy")</f>
        <v>The game is super and the graphics are also buy</v>
      </c>
    </row>
    <row r="8818" spans="1:9" x14ac:dyDescent="0.3">
      <c r="A8818" s="1" t="s">
        <v>61</v>
      </c>
      <c r="B8818" s="1" t="s">
        <v>224</v>
      </c>
      <c r="C8818" s="1" t="s">
        <v>74</v>
      </c>
      <c r="D8818" s="1" t="s">
        <v>1042</v>
      </c>
      <c r="E8818" s="1" t="s">
        <v>2089</v>
      </c>
      <c r="F8818" s="1" t="s">
        <v>13173</v>
      </c>
      <c r="G8818" s="1" t="s">
        <v>36</v>
      </c>
      <c r="H8818" s="1" t="s">
        <v>29</v>
      </c>
      <c r="I8818" s="1" t="str">
        <f ca="1">IFERROR(__xludf.DUMMYFUNCTION("GOOGLETRANSLATE(F8818, ""auto"", ""en"")
"),"I really liked the juicer. Bought on sale. Great choice. Wrings out well and is easy to clean. I definitely recommend it.")</f>
        <v>I really liked the juicer. Bought on sale. Great choice. Wrings out well and is easy to clean. I definitely recommend it.</v>
      </c>
    </row>
    <row r="8819" spans="1:9" x14ac:dyDescent="0.3">
      <c r="A8819" s="1" t="s">
        <v>477</v>
      </c>
      <c r="B8819" s="1" t="s">
        <v>478</v>
      </c>
      <c r="C8819" s="1" t="s">
        <v>479</v>
      </c>
      <c r="D8819" s="1" t="s">
        <v>690</v>
      </c>
      <c r="E8819" s="1" t="s">
        <v>1139</v>
      </c>
      <c r="F8819" s="1" t="s">
        <v>13174</v>
      </c>
      <c r="G8819" s="1" t="s">
        <v>28</v>
      </c>
      <c r="H8819" s="1" t="s">
        <v>29</v>
      </c>
      <c r="I8819" s="1" t="str">
        <f ca="1">IFERROR(__xludf.DUMMYFUNCTION("GOOGLETRANSLATE(F8819, ""auto"", ""en"")
"),"Good game, decent graphics and storyline.")</f>
        <v>Good game, decent graphics and storyline.</v>
      </c>
    </row>
    <row r="8820" spans="1:9" x14ac:dyDescent="0.3">
      <c r="A8820" s="1" t="s">
        <v>43</v>
      </c>
      <c r="B8820" s="1" t="s">
        <v>303</v>
      </c>
      <c r="C8820" s="1" t="s">
        <v>304</v>
      </c>
      <c r="D8820" s="1" t="s">
        <v>52</v>
      </c>
      <c r="E8820" s="1" t="s">
        <v>440</v>
      </c>
      <c r="F8820" s="1" t="s">
        <v>13175</v>
      </c>
      <c r="G8820" s="1" t="s">
        <v>28</v>
      </c>
      <c r="H8820" s="1" t="s">
        <v>29</v>
      </c>
      <c r="I8820" s="1" t="str">
        <f ca="1">IFERROR(__xludf.DUMMYFUNCTION("GOOGLETRANSLATE(F8820, ""auto"", ""en"")
"),"This is our first water heater; for three years now it has been working every summer during hot water outages + helps out in other minor emergencies. That is, exploitation is rare, but it still exists. No complaints, a workhorse, just right for a family o"&amp;"f three adults. And take a shower and wash the dishes.   I decided to write a review because... I saw that it was still on sale.    Cons: 1. For the first two years it hung on the wall with water because they didn’t know that it could be drained.  2. Ther"&amp;"e is no level sensor, as well as temperature. Sometimes you want to know how much water is and in what condition it is.    Pros: 1. Heats up quickly. You can use it within an hour after turning it on, and after two it gives you boiling water.   2. Keeps y"&amp;"ou warm. After heating a full tank for at least three hours for sure, and a little longer when it’s warm.  3. He is still alive. Pah-pah-pah :) I didn’t expect from “some kind of Standard” that it would last so long.    Again, by 2016, I installed wiring "&amp;"through the bathroom and into the toilet from the machine, because... They used to throw an extension cord into the toilet. Now it has become more comfortable to use the water heater.")</f>
        <v>This is our first water heater; for three years now it has been working every summer during hot water outages + helps out in other minor emergencies. That is, exploitation is rare, but it still exists. No complaints, a workhorse, just right for a family of three adults. And take a shower and wash the dishes.   I decided to write a review because... I saw that it was still on sale.    Cons: 1. For the first two years it hung on the wall with water because they didn’t know that it could be drained.  2. There is no level sensor, as well as temperature. Sometimes you want to know how much water is and in what condition it is.    Pros: 1. Heats up quickly. You can use it within an hour after turning it on, and after two it gives you boiling water.   2. Keeps you warm. After heating a full tank for at least three hours for sure, and a little longer when it’s warm.  3. He is still alive. Pah-pah-pah :) I didn’t expect from “some kind of Standard” that it would last so long.    Again, by 2016, I installed wiring through the bathroom and into the toilet from the machine, because... They used to throw an extension cord into the toilet. Now it has become more comfortable to use the water heater.</v>
      </c>
    </row>
    <row r="8821" spans="1:9" x14ac:dyDescent="0.3">
      <c r="A8821" s="1" t="s">
        <v>361</v>
      </c>
      <c r="B8821" s="1" t="s">
        <v>1077</v>
      </c>
      <c r="C8821" s="1" t="s">
        <v>2143</v>
      </c>
      <c r="D8821" s="1" t="s">
        <v>2045</v>
      </c>
      <c r="E8821" s="1" t="s">
        <v>2882</v>
      </c>
      <c r="F8821" s="1" t="s">
        <v>13176</v>
      </c>
      <c r="G8821" s="1" t="s">
        <v>15</v>
      </c>
      <c r="H8821" s="1" t="s">
        <v>16</v>
      </c>
      <c r="I8821" s="1" t="str">
        <f ca="1">IFERROR(__xludf.DUMMYFUNCTION("GOOGLETRANSLATE(F8821, ""auto"", ""en"")
"),"After the first boil, stains similar to rust appeared on the bottom of the kettle.")</f>
        <v>After the first boil, stains similar to rust appeared on the bottom of the kettle.</v>
      </c>
    </row>
    <row r="8822" spans="1:9" x14ac:dyDescent="0.3">
      <c r="A8822" s="1" t="s">
        <v>61</v>
      </c>
      <c r="B8822" s="1" t="s">
        <v>224</v>
      </c>
      <c r="C8822" s="1" t="s">
        <v>74</v>
      </c>
      <c r="D8822" s="1" t="s">
        <v>1121</v>
      </c>
      <c r="E8822" s="1" t="s">
        <v>191</v>
      </c>
      <c r="F8822" s="1" t="s">
        <v>13177</v>
      </c>
      <c r="G8822" s="1" t="s">
        <v>28</v>
      </c>
      <c r="H8822" s="1" t="s">
        <v>29</v>
      </c>
      <c r="I8822" s="1" t="str">
        <f ca="1">IFERROR(__xludf.DUMMYFUNCTION("GOOGLETRANSLATE(F8822, ""auto"", ""en"")
"),"We spent a long time choosing and comparing, but in the end we chose this model. A very worthy option. It's a blast.")</f>
        <v>We spent a long time choosing and comparing, but in the end we chose this model. A very worthy option. It's a blast.</v>
      </c>
    </row>
    <row r="8823" spans="1:9" x14ac:dyDescent="0.3">
      <c r="A8823" s="1" t="s">
        <v>120</v>
      </c>
      <c r="B8823" s="1" t="s">
        <v>121</v>
      </c>
      <c r="C8823" s="1" t="s">
        <v>69</v>
      </c>
      <c r="D8823" s="1" t="s">
        <v>4481</v>
      </c>
      <c r="E8823" s="1" t="s">
        <v>717</v>
      </c>
      <c r="F8823" s="1" t="s">
        <v>13178</v>
      </c>
      <c r="G8823" s="1" t="s">
        <v>28</v>
      </c>
      <c r="H8823" s="1" t="s">
        <v>29</v>
      </c>
      <c r="I8823" s="1" t="str">
        <f ca="1">IFERROR(__xludf.DUMMYFUNCTION("GOOGLETRANSLATE(F8823, ""auto"", ""en"")
"),"I bought this model 2 days ago. While still in the store, I noticed that the processor was too slow. I quickly understand the functions of technology and love when programs clearly respond to pressing the remote control buttons; in this model there is a c"&amp;"lear delay when moving through the menu. I was glad that there is support for playback from USB devices (it also works fine with external HDDs without additional power (see previous post)), but not everything is so good here, the *.mkv format and large fi"&amp;"les larger than 4Gb are not supported (where have you seen a movie in HD quality in a smaller size?). This is about criticism. In general, for this price, it’s a worthwhile purchase, but everyone will decide for themselves anyway :). Good luck.")</f>
        <v>I bought this model 2 days ago. While still in the store, I noticed that the processor was too slow. I quickly understand the functions of technology and love when programs clearly respond to pressing the remote control buttons; in this model there is a clear delay when moving through the menu. I was glad that there is support for playback from USB devices (it also works fine with external HDDs without additional power (see previous post)), but not everything is so good here, the *.mkv format and large files larger than 4Gb are not supported (where have you seen a movie in HD quality in a smaller size?). This is about criticism. In general, for this price, it’s a worthwhile purchase, but everyone will decide for themselves anyway :). Good luck.</v>
      </c>
    </row>
    <row r="8824" spans="1:9" x14ac:dyDescent="0.3">
      <c r="A8824" s="1" t="s">
        <v>624</v>
      </c>
      <c r="B8824" s="1" t="s">
        <v>625</v>
      </c>
      <c r="C8824" s="1" t="s">
        <v>479</v>
      </c>
      <c r="D8824" s="1" t="s">
        <v>13179</v>
      </c>
      <c r="E8824" s="1" t="s">
        <v>3251</v>
      </c>
      <c r="F8824" s="1" t="s">
        <v>13180</v>
      </c>
      <c r="G8824" s="1" t="s">
        <v>36</v>
      </c>
      <c r="H8824" s="1" t="s">
        <v>29</v>
      </c>
      <c r="I8824" s="1" t="str">
        <f ca="1">IFERROR(__xludf.DUMMYFUNCTION("GOOGLETRANSLATE(F8824, ""auto"", ""en"")
"),"I already thought that they couldn’t come up with a better game than Assassins Creed 2, but I liked Assassins Creed Brotherhood even more! The plot is even better, the graphics are about the same. by 5!")</f>
        <v>I already thought that they couldn’t come up with a better game than Assassins Creed 2, but I liked Assassins Creed Brotherhood even more! The plot is even better, the graphics are about the same. by 5!</v>
      </c>
    </row>
    <row r="8825" spans="1:9" x14ac:dyDescent="0.3">
      <c r="A8825" s="1" t="s">
        <v>169</v>
      </c>
      <c r="B8825" s="1" t="s">
        <v>170</v>
      </c>
      <c r="C8825" s="1" t="s">
        <v>69</v>
      </c>
      <c r="D8825" s="1" t="s">
        <v>33</v>
      </c>
      <c r="E8825" s="1" t="s">
        <v>6507</v>
      </c>
      <c r="F8825" s="1" t="s">
        <v>13181</v>
      </c>
      <c r="G8825" s="1" t="s">
        <v>36</v>
      </c>
      <c r="H8825" s="1" t="s">
        <v>29</v>
      </c>
      <c r="I8825" s="1" t="str">
        <f ca="1">IFERROR(__xludf.DUMMYFUNCTION("GOOGLETRANSLATE(F8825, ""auto"", ""en"")
"),"My headphones are already 10 years old. I’ve tried a lot of different ones, these are the only ones that stay in place perfectly, don’t fall off, and don’t rub or press on anything when running. But with prolonged use (several hours), discomfort still app"&amp;"ears from the headband behind the ears.  Despite the fact that it is Philips, the sound is very good.   I am also pleased with the quality of the paralon on the ambriushes - in 10 years they have not torn or begun to crumble like others.  The quality of t"&amp;"he lead and the connector is very good - the synthetic braid on the wire is a big plus, the wire does not dry out, does not tan or fray like on others... Problems with spills arose only after 8 years, and it was not the wire that frayed, but the soldering"&amp;" that came off - I cut off the braid on the connector, soldered it, glued everything back - they served for another couple of years.   I would use it further, but everything has already worn out... If they are still made from materials of the same quality"&amp;" - definitely take it!")</f>
        <v>My headphones are already 10 years old. I’ve tried a lot of different ones, these are the only ones that stay in place perfectly, don’t fall off, and don’t rub or press on anything when running. But with prolonged use (several hours), discomfort still appears from the headband behind the ears.  Despite the fact that it is Philips, the sound is very good.   I am also pleased with the quality of the paralon on the ambriushes - in 10 years they have not torn or begun to crumble like others.  The quality of the lead and the connector is very good - the synthetic braid on the wire is a big plus, the wire does not dry out, does not tan or fray like on others... Problems with spills arose only after 8 years, and it was not the wire that frayed, but the soldering that came off - I cut off the braid on the connector, soldered it, glued everything back - they served for another couple of years.   I would use it further, but everything has already worn out... If they are still made from materials of the same quality - definitely take it!</v>
      </c>
    </row>
    <row r="8826" spans="1:9" x14ac:dyDescent="0.3">
      <c r="A8826" s="1" t="s">
        <v>519</v>
      </c>
      <c r="B8826" s="1" t="s">
        <v>3291</v>
      </c>
      <c r="C8826" s="1" t="s">
        <v>2143</v>
      </c>
      <c r="D8826" s="1" t="s">
        <v>2233</v>
      </c>
      <c r="E8826" s="1" t="s">
        <v>2557</v>
      </c>
      <c r="F8826" s="1" t="s">
        <v>13182</v>
      </c>
      <c r="G8826" s="1" t="s">
        <v>36</v>
      </c>
      <c r="H8826" s="1" t="s">
        <v>29</v>
      </c>
      <c r="I8826" s="1" t="str">
        <f ca="1">IFERROR(__xludf.DUMMYFUNCTION("GOOGLETRANSLATE(F8826, ""auto"", ""en"")
"),"Excellent quality, I already have two of these pans. The lids are glass and cannot rust, and the pan with a 5-layer bottom works like cast iron, there are no seams or joints. I’m talking specifically about the pans from this company. Excellent quality. I'"&amp;"ve been using it for 3 years now.")</f>
        <v>Excellent quality, I already have two of these pans. The lids are glass and cannot rust, and the pan with a 5-layer bottom works like cast iron, there are no seams or joints. I’m talking specifically about the pans from this company. Excellent quality. I've been using it for 3 years now.</v>
      </c>
    </row>
    <row r="8827" spans="1:9" x14ac:dyDescent="0.3">
      <c r="A8827" s="1" t="s">
        <v>55</v>
      </c>
      <c r="B8827" s="1" t="s">
        <v>84</v>
      </c>
      <c r="C8827" s="1" t="s">
        <v>85</v>
      </c>
      <c r="D8827" s="1" t="s">
        <v>139</v>
      </c>
      <c r="E8827" s="1" t="s">
        <v>6296</v>
      </c>
      <c r="F8827" s="1" t="s">
        <v>13183</v>
      </c>
      <c r="G8827" s="1" t="s">
        <v>36</v>
      </c>
      <c r="H8827" s="1" t="s">
        <v>29</v>
      </c>
      <c r="I8827" s="1" t="str">
        <f ca="1">IFERROR(__xludf.DUMMYFUNCTION("GOOGLETRANSLATE(F8827, ""auto"", ""en"")
"),"Good washing, my wife and I were satisfied, the water inside was covered in dust every other day, in a word, there is an effect, if you think about it, then the model is worth the money")</f>
        <v>Good washing, my wife and I were satisfied, the water inside was covered in dust every other day, in a word, there is an effect, if you think about it, then the model is worth the money</v>
      </c>
    </row>
    <row r="8828" spans="1:9" x14ac:dyDescent="0.3">
      <c r="A8828" s="1" t="s">
        <v>37</v>
      </c>
      <c r="B8828" s="1" t="s">
        <v>38</v>
      </c>
      <c r="C8828" s="1" t="s">
        <v>39</v>
      </c>
      <c r="D8828" s="1" t="s">
        <v>13184</v>
      </c>
      <c r="E8828" s="1" t="s">
        <v>6021</v>
      </c>
      <c r="F8828" s="1" t="s">
        <v>13185</v>
      </c>
      <c r="G8828" s="1" t="s">
        <v>36</v>
      </c>
      <c r="H8828" s="1" t="s">
        <v>29</v>
      </c>
      <c r="I8828" s="1" t="str">
        <f ca="1">IFERROR(__xludf.DUMMYFUNCTION("GOOGLETRANSLATE(F8828, ""auto"", ""en"")
"),"I completely agree with the previous statement!!!! very cool phone!")</f>
        <v>I completely agree with the previous statement!!!! very cool phone!</v>
      </c>
    </row>
    <row r="8829" spans="1:9" x14ac:dyDescent="0.3">
      <c r="A8829" s="1" t="s">
        <v>149</v>
      </c>
      <c r="B8829" s="1" t="s">
        <v>576</v>
      </c>
      <c r="C8829" s="1" t="s">
        <v>80</v>
      </c>
      <c r="D8829" s="1" t="s">
        <v>545</v>
      </c>
      <c r="E8829" s="1" t="s">
        <v>2512</v>
      </c>
      <c r="F8829" s="1" t="s">
        <v>13186</v>
      </c>
      <c r="G8829" s="1" t="s">
        <v>15</v>
      </c>
      <c r="H8829" s="1" t="s">
        <v>16</v>
      </c>
      <c r="I8829" s="1" t="str">
        <f ca="1">IFERROR(__xludf.DUMMYFUNCTION("GOOGLETRANSLATE(F8829, ""auto"", ""en"")
"),"I purchased a vacuum cleaner 2 weeks ago. The only advantage I can think of is the ease. And there are many disadvantages. Suction power very good weak, although the specifications indicate 370 W. Before this, another LG vacuum cleaner with less power bur"&amp;"ned out and it had stronger suction. It is easy to accidentally open the case opening handle when you grab the handle to carry it. In principle, I took it to the dacha. And I wouldn’t even buy it there now. The difference between Soviet and this is ease. "&amp;"and that's all. Although I chose a vacuum cleaner with high suction power to replace the Soviet one. I replaced the awl with soap. I chose another vacuum cleaner for myself, and this one for the dacha. The summer season has begun.")</f>
        <v>I purchased a vacuum cleaner 2 weeks ago. The only advantage I can think of is the ease. And there are many disadvantages. Suction power very good weak, although the specifications indicate 370 W. Before this, another LG vacuum cleaner with less power burned out and it had stronger suction. It is easy to accidentally open the case opening handle when you grab the handle to carry it. In principle, I took it to the dacha. And I wouldn’t even buy it there now. The difference between Soviet and this is ease. and that's all. Although I chose a vacuum cleaner with high suction power to replace the Soviet one. I replaced the awl with soap. I chose another vacuum cleaner for myself, and this one for the dacha. The summer season has begun.</v>
      </c>
    </row>
    <row r="8830" spans="1:9" x14ac:dyDescent="0.3">
      <c r="A8830" s="1" t="s">
        <v>120</v>
      </c>
      <c r="B8830" s="1" t="s">
        <v>256</v>
      </c>
      <c r="C8830" s="1" t="s">
        <v>97</v>
      </c>
      <c r="D8830" s="1" t="s">
        <v>305</v>
      </c>
      <c r="E8830" s="1" t="s">
        <v>7339</v>
      </c>
      <c r="F8830" s="1" t="s">
        <v>13187</v>
      </c>
      <c r="G8830" s="1" t="s">
        <v>28</v>
      </c>
      <c r="H8830" s="1" t="s">
        <v>29</v>
      </c>
      <c r="I8830" s="1" t="str">
        <f ca="1">IFERROR(__xludf.DUMMYFUNCTION("GOOGLETRANSLATE(F8830, ""auto"", ""en"")
"),"I've been using this TV for almost a year.  Pros: 1) good picture, vibrant colors, good sound; there are no competitors)) 2) many settings and options, high-quality remote control;  3) excellent noise reduction, without which watching over-the-air TV is u"&amp;"npleasant;  Cons: 1) “crude” menu - the settings are hidden far away, often illogical, changing the time zone on the internal clock is impossible, exiting the menu is a real pain - four clicks;  2) timers are extremely inconvenient to use - there is NO bu"&amp;"tton on the remote control, and when you fall asleep you have to delve into the menu for a VERY long time, and it is impossible to cancel/add a setting - this is fatal!!!;  3) The USB port is made, but it is useless, the video does not play (due to Sony’s"&amp;" “principles” - they are fighting pirates)));  4) the dynamic contrast is simply infuriating - the image “floats”, fades from scene to scene, especially creepy during the credits and dark frames; and it can't be turned off;  5) the True Cinema function is"&amp;" amazing - it’s a preset of very “pale” image settings and nothing more;  6) the TV does not remember the previously selected screen format, and you will have to set it again on each channel - this is absolutely no problem!!!;  7) a separate antenna input"&amp;" is extremely necessary for receiving digital TV, because when working from cable TV and viewing digital figures from the air, you have to reconnect their cables every time - how did the engineers not think about this?!")</f>
        <v>I've been using this TV for almost a year.  Pros: 1) good picture, vibrant colors, good sound; there are no competitors)) 2) many settings and options, high-quality remote control;  3) excellent noise reduction, without which watching over-the-air TV is unpleasant;  Cons: 1) “crude” menu - the settings are hidden far away, often illogical, changing the time zone on the internal clock is impossible, exiting the menu is a real pain - four clicks;  2) timers are extremely inconvenient to use - there is NO button on the remote control, and when you fall asleep you have to delve into the menu for a VERY long time, and it is impossible to cancel/add a setting - this is fatal!!!;  3) The USB port is made, but it is useless, the video does not play (due to Sony’s “principles” - they are fighting pirates)));  4) the dynamic contrast is simply infuriating - the image “floats”, fades from scene to scene, especially creepy during the credits and dark frames; and it can't be turned off;  5) the True Cinema function is amazing - it’s a preset of very “pale” image settings and nothing more;  6) the TV does not remember the previously selected screen format, and you will have to set it again on each channel - this is absolutely no problem!!!;  7) a separate antenna input is extremely necessary for receiving digital TV, because when working from cable TV and viewing digital figures from the air, you have to reconnect their cables every time - how did the engineers not think about this?!</v>
      </c>
    </row>
    <row r="8831" spans="1:9" x14ac:dyDescent="0.3">
      <c r="A8831" s="1" t="s">
        <v>61</v>
      </c>
      <c r="B8831" s="1" t="s">
        <v>318</v>
      </c>
      <c r="C8831" s="1" t="s">
        <v>213</v>
      </c>
      <c r="D8831" s="1" t="s">
        <v>20</v>
      </c>
      <c r="E8831" s="1" t="s">
        <v>2686</v>
      </c>
      <c r="F8831" s="1" t="s">
        <v>13188</v>
      </c>
      <c r="G8831" s="1" t="s">
        <v>36</v>
      </c>
      <c r="H8831" s="1" t="s">
        <v>29</v>
      </c>
      <c r="I8831" s="1" t="str">
        <f ca="1">IFERROR(__xludf.DUMMYFUNCTION("GOOGLETRANSLATE(F8831, ""auto"", ""en"")
"),"I first saw this model in 2002 from friends and then I really liked it, then I gave the same model to my mother, then I bought it for myself, it worked great without any complaints or leaks, although they broke it for me... (deliberately) then there were "&amp;"Tefals and Philips - they burned and leaked, now again after many years I want the same model, although ancient, but simple and reliable, take it and don’t regret it... it’s not for nothing that this model has been in production for so long...")</f>
        <v>I first saw this model in 2002 from friends and then I really liked it, then I gave the same model to my mother, then I bought it for myself, it worked great without any complaints or leaks, although they broke it for me... (deliberately) then there were Tefals and Philips - they burned and leaked, now again after many years I want the same model, although ancient, but simple and reliable, take it and don’t regret it... it’s not for nothing that this model has been in production for so long...</v>
      </c>
    </row>
    <row r="8832" spans="1:9" x14ac:dyDescent="0.3">
      <c r="A8832" s="1" t="s">
        <v>206</v>
      </c>
      <c r="B8832" s="1" t="s">
        <v>1349</v>
      </c>
      <c r="C8832" s="1" t="s">
        <v>351</v>
      </c>
      <c r="D8832" s="1" t="s">
        <v>7773</v>
      </c>
      <c r="E8832" s="1" t="s">
        <v>4972</v>
      </c>
      <c r="F8832" s="1" t="s">
        <v>13189</v>
      </c>
      <c r="G8832" s="1" t="s">
        <v>36</v>
      </c>
      <c r="H8832" s="1" t="s">
        <v>29</v>
      </c>
      <c r="I8832" s="1" t="str">
        <f ca="1">IFERROR(__xludf.DUMMYFUNCTION("GOOGLETRANSLATE(F8832, ""auto"", ""en"")
"),"Hello everyone! I want to say that I bought this tape recorder a month ago and installed it myself on Pionner acoustics! Guys, for me personally, I don’t need anything more. The tape recorder is excellent, for such a price you have everything, reads any f"&amp;"ormats. You're driving in traffic and watching a DVD, I'm having a blast. In the store, the salesman didn’t exactly dissuade me, but said that Pionner or JVC were better. Well, of course, maybe they were better, but they were an order of magnitude more ex"&amp;"pensive. His only argument is why they are better than Supra, he said that Supra will die in 3 months and will not play as before. I laughed in my heart, because most likely my car will die faster than my tape recorder!))) In general, don’t even worry, ta"&amp;"ke this tape recorder and enjoy.))) Don’t forget the right connector and read the instructions when installing it yourself.")</f>
        <v>Hello everyone! I want to say that I bought this tape recorder a month ago and installed it myself on Pionner acoustics! Guys, for me personally, I don’t need anything more. The tape recorder is excellent, for such a price you have everything, reads any formats. You're driving in traffic and watching a DVD, I'm having a blast. In the store, the salesman didn’t exactly dissuade me, but said that Pionner or JVC were better. Well, of course, maybe they were better, but they were an order of magnitude more expensive. His only argument is why they are better than Supra, he said that Supra will die in 3 months and will not play as before. I laughed in my heart, because most likely my car will die faster than my tape recorder!))) In general, don’t even worry, take this tape recorder and enjoy.))) Don’t forget the right connector and read the instructions when installing it yourself.</v>
      </c>
    </row>
    <row r="8833" spans="1:9" x14ac:dyDescent="0.3">
      <c r="A8833" s="1" t="s">
        <v>149</v>
      </c>
      <c r="B8833" s="1" t="s">
        <v>155</v>
      </c>
      <c r="C8833" s="1" t="s">
        <v>80</v>
      </c>
      <c r="D8833" s="1" t="s">
        <v>943</v>
      </c>
      <c r="E8833" s="1" t="s">
        <v>1948</v>
      </c>
      <c r="F8833" s="1" t="s">
        <v>13190</v>
      </c>
      <c r="G8833" s="1" t="s">
        <v>36</v>
      </c>
      <c r="H8833" s="1" t="s">
        <v>29</v>
      </c>
      <c r="I8833" s="1" t="str">
        <f ca="1">IFERROR(__xludf.DUMMYFUNCTION("GOOGLETRANSLATE(F8833, ""auto"", ""en"")
"),"Convenient, easy to use device. Dust collection container - removed and washed without leaving home. And there are dust bags too, for variety. Very powerful!")</f>
        <v>Convenient, easy to use device. Dust collection container - removed and washed without leaving home. And there are dust bags too, for variety. Very powerful!</v>
      </c>
    </row>
    <row r="8834" spans="1:9" x14ac:dyDescent="0.3">
      <c r="A8834" s="1" t="s">
        <v>89</v>
      </c>
      <c r="B8834" s="1" t="s">
        <v>90</v>
      </c>
      <c r="C8834" s="1" t="s">
        <v>745</v>
      </c>
      <c r="D8834" s="1" t="s">
        <v>592</v>
      </c>
      <c r="E8834" s="1" t="s">
        <v>13191</v>
      </c>
      <c r="F8834" s="1" t="s">
        <v>13192</v>
      </c>
      <c r="G8834" s="1" t="s">
        <v>36</v>
      </c>
      <c r="H8834" s="1" t="s">
        <v>29</v>
      </c>
      <c r="I8834" s="1" t="str">
        <f ca="1">IFERROR(__xludf.DUMMYFUNCTION("GOOGLETRANSLATE(F8834, ""auto"", ""en"")
"),"1) It's cheap - it works well. This is the main quality of this device. I use it not only for coffee - I make flour (from flax seeds, from nuts, from oatmeal) - quickly and moderately finely. Same thing with powdered sugar. Plus - it “fits in the hand” ve"&amp;"ry correctly - thanks to the curved shape and coating - it does not slip out, even if your hands are wet. It doesn’t make noise like a hammer drill :) 2) If you don’t expect a budget coffee grinder to work wonders like a professional machine that costs te"&amp;"ns of thousands, then there are no drawbacks.  3) Price = quality.")</f>
        <v>1) It's cheap - it works well. This is the main quality of this device. I use it not only for coffee - I make flour (from flax seeds, from nuts, from oatmeal) - quickly and moderately finely. Same thing with powdered sugar. Plus - it “fits in the hand” very correctly - thanks to the curved shape and coating - it does not slip out, even if your hands are wet. It doesn’t make noise like a hammer drill :) 2) If you don’t expect a budget coffee grinder to work wonders like a professional machine that costs tens of thousands, then there are no drawbacks.  3) Price = quality.</v>
      </c>
    </row>
    <row r="8835" spans="1:9" x14ac:dyDescent="0.3">
      <c r="A8835" s="1" t="s">
        <v>624</v>
      </c>
      <c r="B8835" s="1" t="s">
        <v>881</v>
      </c>
      <c r="C8835" s="1" t="s">
        <v>479</v>
      </c>
      <c r="D8835" s="1" t="s">
        <v>39</v>
      </c>
      <c r="E8835" s="1" t="s">
        <v>6661</v>
      </c>
      <c r="F8835" s="1" t="s">
        <v>13193</v>
      </c>
      <c r="G8835" s="1" t="s">
        <v>28</v>
      </c>
      <c r="H8835" s="1" t="s">
        <v>29</v>
      </c>
      <c r="I8835" s="1" t="str">
        <f ca="1">IFERROR(__xludf.DUMMYFUNCTION("GOOGLETRANSLATE(F8835, ""auto"", ""en"")
"),"Good game, graphics are so-so, gameplay is reminiscent of Call of Duty parts 2 and 3. The game is for everyone, some will like it, some will not.")</f>
        <v>Good game, graphics are so-so, gameplay is reminiscent of Call of Duty parts 2 and 3. The game is for everyone, some will like it, some will not.</v>
      </c>
    </row>
    <row r="8836" spans="1:9" x14ac:dyDescent="0.3">
      <c r="A8836" s="1" t="s">
        <v>369</v>
      </c>
      <c r="B8836" s="1" t="s">
        <v>370</v>
      </c>
      <c r="C8836" s="1" t="s">
        <v>63</v>
      </c>
      <c r="D8836" s="1" t="s">
        <v>86</v>
      </c>
      <c r="E8836" s="1" t="s">
        <v>13194</v>
      </c>
      <c r="F8836" s="1" t="s">
        <v>13195</v>
      </c>
      <c r="G8836" s="1" t="s">
        <v>36</v>
      </c>
      <c r="H8836" s="1" t="s">
        <v>29</v>
      </c>
      <c r="I8836" s="1" t="str">
        <f ca="1">IFERROR(__xludf.DUMMYFUNCTION("GOOGLETRANSLATE(F8836, ""auto"", ""en"")
"),"Great stove! The workmanship and design are pleasing. The feeling of a quality item in every detail.  A huge plus of this stove is its advanced oven. A huge number of modes. Pastries, meats, baked potatoes, pizza - everything turns out great. Bakes evenly"&amp;". The oven shutdown timer is very convenient. The hob was specially chosen without induction so as not to bother with dishes, no frills of course, but everything you need is there. And one more very important point for us - after an hour of operating the "&amp;"oven at maximum temperature, the glass remains warm, i.e. You don't have to worry about your child!!!!")</f>
        <v>Great stove! The workmanship and design are pleasing. The feeling of a quality item in every detail.  A huge plus of this stove is its advanced oven. A huge number of modes. Pastries, meats, baked potatoes, pizza - everything turns out great. Bakes evenly. The oven shutdown timer is very convenient. The hob was specially chosen without induction so as not to bother with dishes, no frills of course, but everything you need is there. And one more very important point for us - after an hour of operating the oven at maximum temperature, the glass remains warm, i.e. You don't have to worry about your child!!!!</v>
      </c>
    </row>
    <row r="8837" spans="1:9" x14ac:dyDescent="0.3">
      <c r="A8837" s="1" t="s">
        <v>61</v>
      </c>
      <c r="B8837" s="1" t="s">
        <v>318</v>
      </c>
      <c r="C8837" s="1" t="s">
        <v>69</v>
      </c>
      <c r="D8837" s="1" t="s">
        <v>81</v>
      </c>
      <c r="E8837" s="1" t="s">
        <v>1504</v>
      </c>
      <c r="F8837" s="1" t="s">
        <v>13196</v>
      </c>
      <c r="G8837" s="1" t="s">
        <v>36</v>
      </c>
      <c r="H8837" s="1" t="s">
        <v>29</v>
      </c>
      <c r="I8837" s="1" t="str">
        <f ca="1">IFERROR(__xludf.DUMMYFUNCTION("GOOGLETRANSLATE(F8837, ""auto"", ""en"")
"),"We bought a kettle half a year ago. We love drinking tea, so it works all the time. There were no problems during this time. I think that for such a price it is an excellent choice both in appearance and functionality.")</f>
        <v>We bought a kettle half a year ago. We love drinking tea, so it works all the time. There were no problems during this time. I think that for such a price it is an excellent choice both in appearance and functionality.</v>
      </c>
    </row>
    <row r="8838" spans="1:9" x14ac:dyDescent="0.3">
      <c r="A8838" s="1" t="s">
        <v>477</v>
      </c>
      <c r="B8838" s="1" t="s">
        <v>478</v>
      </c>
      <c r="C8838" s="1" t="s">
        <v>479</v>
      </c>
      <c r="D8838" s="1" t="s">
        <v>139</v>
      </c>
      <c r="E8838" s="1" t="s">
        <v>1129</v>
      </c>
      <c r="F8838" s="1" t="s">
        <v>13197</v>
      </c>
      <c r="G8838" s="1" t="s">
        <v>36</v>
      </c>
      <c r="H8838" s="1" t="s">
        <v>29</v>
      </c>
      <c r="I8838" s="1" t="str">
        <f ca="1">IFERROR(__xludf.DUMMYFUNCTION("GOOGLETRANSLATE(F8838, ""auto"", ""en"")
"),"The addition is beautiful, quite suitable for variety before the release of BF3.")</f>
        <v>The addition is beautiful, quite suitable for variety before the release of BF3.</v>
      </c>
    </row>
    <row r="8839" spans="1:9" x14ac:dyDescent="0.3">
      <c r="A8839" s="1" t="s">
        <v>61</v>
      </c>
      <c r="B8839" s="1" t="s">
        <v>180</v>
      </c>
      <c r="C8839" s="1" t="s">
        <v>74</v>
      </c>
      <c r="D8839" s="1" t="s">
        <v>64</v>
      </c>
      <c r="E8839" s="1" t="s">
        <v>3461</v>
      </c>
      <c r="F8839" s="1" t="s">
        <v>13198</v>
      </c>
      <c r="G8839" s="1" t="s">
        <v>15</v>
      </c>
      <c r="H8839" s="1" t="s">
        <v>16</v>
      </c>
      <c r="I8839" s="1" t="str">
        <f ca="1">IFERROR(__xludf.DUMMYFUNCTION("GOOGLETRANSLATE(F8839, ""auto"", ""en"")
"),"I worked for a little over 2 months. At the moment of preparing sandwiches - click - and the bottom handle is already a separate part of the toaster. There was no desire to purchase a new one.")</f>
        <v>I worked for a little over 2 months. At the moment of preparing sandwiches - click - and the bottom handle is already a separate part of the toaster. There was no desire to purchase a new one.</v>
      </c>
    </row>
    <row r="8840" spans="1:9" x14ac:dyDescent="0.3">
      <c r="A8840" s="1" t="s">
        <v>61</v>
      </c>
      <c r="B8840" s="1" t="s">
        <v>318</v>
      </c>
      <c r="C8840" s="1" t="s">
        <v>213</v>
      </c>
      <c r="D8840" s="1" t="s">
        <v>33</v>
      </c>
      <c r="E8840" s="1" t="s">
        <v>2131</v>
      </c>
      <c r="F8840" s="1" t="s">
        <v>13199</v>
      </c>
      <c r="G8840" s="1" t="s">
        <v>36</v>
      </c>
      <c r="H8840" s="1" t="s">
        <v>29</v>
      </c>
      <c r="I8840" s="1" t="str">
        <f ca="1">IFERROR(__xludf.DUMMYFUNCTION("GOOGLETRANSLATE(F8840, ""auto"", ""en"")
"),"We've had an excellent kettle at work for 5 years, we've already worn it out a little, but it works. I’m amazed, it would be nice to work so much at home, there are 16 of us at work. Super durable. I'm not really sure that the quality hasn't dropped since"&amp;" then.")</f>
        <v>We've had an excellent kettle at work for 5 years, we've already worn it out a little, but it works. I’m amazed, it would be nice to work so much at home, there are 16 of us at work. Super durable. I'm not really sure that the quality hasn't dropped since then.</v>
      </c>
    </row>
    <row r="8841" spans="1:9" x14ac:dyDescent="0.3">
      <c r="A8841" s="1" t="s">
        <v>149</v>
      </c>
      <c r="B8841" s="1" t="s">
        <v>423</v>
      </c>
      <c r="C8841" s="1" t="s">
        <v>531</v>
      </c>
      <c r="D8841" s="1" t="s">
        <v>943</v>
      </c>
      <c r="E8841" s="1" t="s">
        <v>9082</v>
      </c>
      <c r="F8841" s="1" t="s">
        <v>13200</v>
      </c>
      <c r="G8841" s="1" t="s">
        <v>49</v>
      </c>
      <c r="H8841" s="1" t="s">
        <v>16</v>
      </c>
      <c r="I8841" s="1" t="str">
        <f ca="1">IFERROR(__xludf.DUMMYFUNCTION("GOOGLETRANSLATE(F8841, ""auto"", ""en"")
"),"Good day everyone! My review is more of a warning before purchasing this unit! I have been using this vacuum cleaner for about three years and there are more disadvantages than advantages. 1) very heavy, not very maneuverable, 2) after dry cleaning one ca"&amp;"rpet you have to rinse for about 10 minutes, 3) at the very beginning of use, the suction power was good, it raised the corner of the carpet, but now it feels like you’re just ironing, 4) it’s hard to wind up the cord, 5) I stopped using wet cleaning alto"&amp;"gether, it’s easier to rinse a rag than to collect a vacuum cleaner, and then wash all the filters, brush and hoses, 6) it also needs to be dried well after each use, otherwise mustiness will appear, 7) it takes up too much space. In my opinion, the quali"&amp;"ty leaves much to be desired, especially for a German vacuum cleaner. I would never buy it, especially for that kind of money.")</f>
        <v>Good day everyone! My review is more of a warning before purchasing this unit! I have been using this vacuum cleaner for about three years and there are more disadvantages than advantages. 1) very heavy, not very maneuverable, 2) after dry cleaning one carpet you have to rinse for about 10 minutes, 3) at the very beginning of use, the suction power was good, it raised the corner of the carpet, but now it feels like you’re just ironing, 4) it’s hard to wind up the cord, 5) I stopped using wet cleaning altogether, it’s easier to rinse a rag than to collect a vacuum cleaner, and then wash all the filters, brush and hoses, 6) it also needs to be dried well after each use, otherwise mustiness will appear, 7) it takes up too much space. In my opinion, the quality leaves much to be desired, especially for a German vacuum cleaner. I would never buy it, especially for that kind of money.</v>
      </c>
    </row>
    <row r="8842" spans="1:9" x14ac:dyDescent="0.3">
      <c r="A8842" s="1" t="s">
        <v>811</v>
      </c>
      <c r="B8842" s="1" t="s">
        <v>812</v>
      </c>
      <c r="C8842" s="1" t="s">
        <v>813</v>
      </c>
      <c r="D8842" s="1" t="s">
        <v>896</v>
      </c>
      <c r="E8842" s="1" t="s">
        <v>7655</v>
      </c>
      <c r="F8842" s="1" t="s">
        <v>13201</v>
      </c>
      <c r="G8842" s="1" t="s">
        <v>36</v>
      </c>
      <c r="H8842" s="1" t="s">
        <v>29</v>
      </c>
      <c r="I8842" s="1" t="str">
        <f ca="1">IFERROR(__xludf.DUMMYFUNCTION("GOOGLETRANSLATE(F8842, ""auto"", ""en"")
"),"A very convenient tripod. Tall, if I am 170 cm, then he is made taller by another 10 cm. I was pleased with the design and the brown color. Stable, you can immediately see that it is well made.")</f>
        <v>A very convenient tripod. Tall, if I am 170 cm, then he is made taller by another 10 cm. I was pleased with the design and the brown color. Stable, you can immediately see that it is well made.</v>
      </c>
    </row>
    <row r="8843" spans="1:9" x14ac:dyDescent="0.3">
      <c r="A8843" s="1" t="s">
        <v>811</v>
      </c>
      <c r="B8843" s="1" t="s">
        <v>1294</v>
      </c>
      <c r="C8843" s="1" t="s">
        <v>1295</v>
      </c>
      <c r="D8843" s="1" t="s">
        <v>102</v>
      </c>
      <c r="E8843" s="1" t="s">
        <v>5294</v>
      </c>
      <c r="F8843" s="1" t="s">
        <v>13202</v>
      </c>
      <c r="G8843" s="1" t="s">
        <v>36</v>
      </c>
      <c r="H8843" s="1" t="s">
        <v>29</v>
      </c>
      <c r="I8843" s="1" t="str">
        <f ca="1">IFERROR(__xludf.DUMMYFUNCTION("GOOGLETRANSLATE(F8843, ""auto"", ""en"")
"),"Convenient brush")</f>
        <v>Convenient brush</v>
      </c>
    </row>
    <row r="8844" spans="1:9" x14ac:dyDescent="0.3">
      <c r="A8844" s="1" t="s">
        <v>61</v>
      </c>
      <c r="B8844" s="1" t="s">
        <v>145</v>
      </c>
      <c r="C8844" s="1" t="s">
        <v>85</v>
      </c>
      <c r="D8844" s="1" t="s">
        <v>1659</v>
      </c>
      <c r="E8844" s="1" t="s">
        <v>10764</v>
      </c>
      <c r="F8844" s="1" t="s">
        <v>13203</v>
      </c>
      <c r="G8844" s="1" t="s">
        <v>49</v>
      </c>
      <c r="H8844" s="1" t="s">
        <v>16</v>
      </c>
      <c r="I8844" s="1" t="str">
        <f ca="1">IFERROR(__xludf.DUMMYFUNCTION("GOOGLETRANSLATE(F8844, ""auto"", ""en"")
"),"Rice cooks for 3 hours. Very weak. I made manti for 1 hour - not ready. Washing is very difficult and takes a long time. I categorically do not recommend it.")</f>
        <v>Rice cooks for 3 hours. Very weak. I made manti for 1 hour - not ready. Washing is very difficult and takes a long time. I categorically do not recommend it.</v>
      </c>
    </row>
    <row r="8845" spans="1:9" x14ac:dyDescent="0.3">
      <c r="A8845" s="1" t="s">
        <v>61</v>
      </c>
      <c r="B8845" s="1" t="s">
        <v>1727</v>
      </c>
      <c r="C8845" s="1" t="s">
        <v>122</v>
      </c>
      <c r="D8845" s="1" t="s">
        <v>474</v>
      </c>
      <c r="E8845" s="1" t="s">
        <v>824</v>
      </c>
      <c r="F8845" s="1" t="s">
        <v>13204</v>
      </c>
      <c r="G8845" s="1" t="s">
        <v>36</v>
      </c>
      <c r="H8845" s="1" t="s">
        <v>29</v>
      </c>
      <c r="I8845" s="1" t="str">
        <f ca="1">IFERROR(__xludf.DUMMYFUNCTION("GOOGLETRANSLATE(F8845, ""auto"", ""en"")
"),"I have not been using multi for a long time, but I have already tried all the functions. I like everything. And how she bakes biscuits.. And prepares soup!!!) Words cannot describe it! Works perfect. I recommend it to everyone.")</f>
        <v>I have not been using multi for a long time, but I have already tried all the functions. I like everything. And how she bakes biscuits.. And prepares soup!!!) Words cannot describe it! Works perfect. I recommend it to everyone.</v>
      </c>
    </row>
    <row r="8846" spans="1:9" x14ac:dyDescent="0.3">
      <c r="A8846" s="1" t="s">
        <v>557</v>
      </c>
      <c r="B8846" s="1" t="s">
        <v>558</v>
      </c>
      <c r="C8846" s="1" t="s">
        <v>816</v>
      </c>
      <c r="D8846" s="1" t="s">
        <v>13205</v>
      </c>
      <c r="E8846" s="1" t="s">
        <v>1273</v>
      </c>
      <c r="F8846" s="1" t="s">
        <v>13206</v>
      </c>
      <c r="G8846" s="1" t="s">
        <v>28</v>
      </c>
      <c r="H8846" s="1" t="s">
        <v>29</v>
      </c>
      <c r="I8846" s="1" t="str">
        <f ca="1">IFERROR(__xludf.DUMMYFUNCTION("GOOGLETRANSLATE(F8846, ""auto"", ""en"")
"),"I purchased a phone for work to replace an old, obsolete device. After connecting to the network, the date and time were automatically set.  The identifier works for URA (it identifies not only the numbers of third-party organizations, but also internal e"&amp;"xtensions). There is the same problem as the review dated January 16, 2010 from Moscow. + There is not a big problem in terms of dialogue with the interlocutor of the conversation on the speakerphone, namely, an echo appears, which distorts the entire con"&amp;"versation. Otherwise, the phone has no complaints from me. Iron - 4 points for the product.")</f>
        <v>I purchased a phone for work to replace an old, obsolete device. After connecting to the network, the date and time were automatically set.  The identifier works for URA (it identifies not only the numbers of third-party organizations, but also internal extensions). There is the same problem as the review dated January 16, 2010 from Moscow. + There is not a big problem in terms of dialogue with the interlocutor of the conversation on the speakerphone, namely, an echo appears, which distorts the entire conversation. Otherwise, the phone has no complaints from me. Iron - 4 points for the product.</v>
      </c>
    </row>
    <row r="8847" spans="1:9" x14ac:dyDescent="0.3">
      <c r="A8847" s="1" t="s">
        <v>61</v>
      </c>
      <c r="B8847" s="1" t="s">
        <v>180</v>
      </c>
      <c r="C8847" s="1" t="s">
        <v>85</v>
      </c>
      <c r="D8847" s="1" t="s">
        <v>335</v>
      </c>
      <c r="E8847" s="1" t="s">
        <v>5594</v>
      </c>
      <c r="F8847" s="1" t="s">
        <v>13207</v>
      </c>
      <c r="G8847" s="1" t="s">
        <v>36</v>
      </c>
      <c r="H8847" s="1" t="s">
        <v>29</v>
      </c>
      <c r="I8847" s="1" t="str">
        <f ca="1">IFERROR(__xludf.DUMMYFUNCTION("GOOGLETRANSLATE(F8847, ""auto"", ""en"")
"),"We've been using it for about three months, no complaints yet. A good functional and stylish toaster, we appreciated the roasting on one side (when choosing it in the store, only this model had this function). Fries evenly, the toast turns out crispy and "&amp;"tasty. The price is certainly not cheap, but I don’t regret the purchase.")</f>
        <v>We've been using it for about three months, no complaints yet. A good functional and stylish toaster, we appreciated the roasting on one side (when choosing it in the store, only this model had this function). Fries evenly, the toast turns out crispy and tasty. The price is certainly not cheap, but I don’t regret the purchase.</v>
      </c>
    </row>
    <row r="8848" spans="1:9" x14ac:dyDescent="0.3">
      <c r="A8848" s="1" t="s">
        <v>61</v>
      </c>
      <c r="B8848" s="1" t="s">
        <v>318</v>
      </c>
      <c r="C8848" s="1" t="s">
        <v>57</v>
      </c>
      <c r="D8848" s="1" t="s">
        <v>172</v>
      </c>
      <c r="E8848" s="1" t="s">
        <v>540</v>
      </c>
      <c r="F8848" s="1" t="s">
        <v>13208</v>
      </c>
      <c r="G8848" s="1" t="s">
        <v>36</v>
      </c>
      <c r="H8848" s="1" t="s">
        <v>29</v>
      </c>
      <c r="I8848" s="1" t="str">
        <f ca="1">IFERROR(__xludf.DUMMYFUNCTION("GOOGLETRANSLATE(F8848, ""auto"", ""en"")
"),"The kettle is super, no complaints, looks beautiful, works flawlessly. Well worth the money!")</f>
        <v>The kettle is super, no complaints, looks beautiful, works flawlessly. Well worth the money!</v>
      </c>
    </row>
    <row r="8849" spans="1:9" x14ac:dyDescent="0.3">
      <c r="A8849" s="1" t="s">
        <v>238</v>
      </c>
      <c r="B8849" s="1" t="s">
        <v>276</v>
      </c>
      <c r="C8849" s="1" t="s">
        <v>1677</v>
      </c>
      <c r="D8849" s="1" t="s">
        <v>589</v>
      </c>
      <c r="E8849" s="1" t="s">
        <v>13209</v>
      </c>
      <c r="F8849" s="1" t="s">
        <v>13210</v>
      </c>
      <c r="G8849" s="1" t="s">
        <v>36</v>
      </c>
      <c r="H8849" s="1" t="s">
        <v>29</v>
      </c>
      <c r="I8849" s="1" t="str">
        <f ca="1">IFERROR(__xludf.DUMMYFUNCTION("GOOGLETRANSLATE(F8849, ""auto"", ""en"")
"),"They say that the main rule when choosing is price-quality. In the case of this refrigerator, the quality exceeds the price many times over. I’ve been using it for three months, nothing has disappointed me: comfortable, beautiful, stylish, roomy and quiet"&amp;"!")</f>
        <v>They say that the main rule when choosing is price-quality. In the case of this refrigerator, the quality exceeds the price many times over. I’ve been using it for three months, nothing has disappointed me: comfortable, beautiful, stylish, roomy and quiet!</v>
      </c>
    </row>
    <row r="8850" spans="1:9" x14ac:dyDescent="0.3">
      <c r="A8850" s="1" t="s">
        <v>169</v>
      </c>
      <c r="B8850" s="1" t="s">
        <v>170</v>
      </c>
      <c r="C8850" s="1" t="s">
        <v>69</v>
      </c>
      <c r="D8850" s="1" t="s">
        <v>247</v>
      </c>
      <c r="E8850" s="1" t="s">
        <v>1603</v>
      </c>
      <c r="F8850" s="1" t="s">
        <v>13211</v>
      </c>
      <c r="G8850" s="1" t="s">
        <v>36</v>
      </c>
      <c r="H8850" s="1" t="s">
        <v>29</v>
      </c>
      <c r="I8850" s="1" t="str">
        <f ca="1">IFERROR(__xludf.DUMMYFUNCTION("GOOGLETRANSLATE(F8850, ""auto"", ""en"")
"),"I bought it for my birthday in January 2011. It’s just great for a TV, it fits perfectly on my head, doesn’t fall off, and doesn’t pinch my ears. Of all the ones I've had before, these are the best. The batteries last for two days, and this despite the fa"&amp;"ct that I don’t turn them off for almost the whole day.")</f>
        <v>I bought it for my birthday in January 2011. It’s just great for a TV, it fits perfectly on my head, doesn’t fall off, and doesn’t pinch my ears. Of all the ones I've had before, these are the best. The batteries last for two days, and this despite the fact that I don’t turn them off for almost the whole day.</v>
      </c>
    </row>
    <row r="8851" spans="1:9" x14ac:dyDescent="0.3">
      <c r="A8851" s="1" t="s">
        <v>120</v>
      </c>
      <c r="B8851" s="1" t="s">
        <v>196</v>
      </c>
      <c r="C8851" s="1" t="s">
        <v>69</v>
      </c>
      <c r="D8851" s="1" t="s">
        <v>152</v>
      </c>
      <c r="E8851" s="1" t="s">
        <v>2735</v>
      </c>
      <c r="F8851" s="1" t="s">
        <v>13212</v>
      </c>
      <c r="G8851" s="1" t="s">
        <v>36</v>
      </c>
      <c r="H8851" s="1" t="s">
        <v>29</v>
      </c>
      <c r="I8851" s="1" t="str">
        <f ca="1">IFERROR(__xludf.DUMMYFUNCTION("GOOGLETRANSLATE(F8851, ""auto"", ""en"")
"),"TV is super! If possible, update the software more often. Thank you!")</f>
        <v>TV is super! If possible, update the software more often. Thank you!</v>
      </c>
    </row>
    <row r="8852" spans="1:9" x14ac:dyDescent="0.3">
      <c r="A8852" s="1" t="s">
        <v>89</v>
      </c>
      <c r="B8852" s="1" t="s">
        <v>90</v>
      </c>
      <c r="C8852" s="1" t="s">
        <v>185</v>
      </c>
      <c r="D8852" s="1" t="s">
        <v>12</v>
      </c>
      <c r="E8852" s="1" t="s">
        <v>1484</v>
      </c>
      <c r="F8852" s="1" t="s">
        <v>13213</v>
      </c>
      <c r="G8852" s="1" t="s">
        <v>36</v>
      </c>
      <c r="H8852" s="1" t="s">
        <v>29</v>
      </c>
      <c r="I8852" s="1" t="str">
        <f ca="1">IFERROR(__xludf.DUMMYFUNCTION("GOOGLETRANSLATE(F8852, ""auto"", ""en"")
"),"The coffee grinder is great! Works quietly! You can set the required grind. Everything is simple and clear. Easy to clean. The best option for home.")</f>
        <v>The coffee grinder is great! Works quietly! You can set the required grind. Everything is simple and clear. Easy to clean. The best option for home.</v>
      </c>
    </row>
    <row r="8853" spans="1:9" x14ac:dyDescent="0.3">
      <c r="A8853" s="1" t="s">
        <v>624</v>
      </c>
      <c r="B8853" s="1" t="s">
        <v>625</v>
      </c>
      <c r="C8853" s="1" t="s">
        <v>479</v>
      </c>
      <c r="D8853" s="1" t="s">
        <v>13214</v>
      </c>
      <c r="E8853" s="1" t="s">
        <v>2735</v>
      </c>
      <c r="F8853" s="1" t="s">
        <v>13215</v>
      </c>
      <c r="G8853" s="1" t="s">
        <v>36</v>
      </c>
      <c r="H8853" s="1" t="s">
        <v>29</v>
      </c>
      <c r="I8853" s="1" t="str">
        <f ca="1">IFERROR(__xludf.DUMMYFUNCTION("GOOGLETRANSLATE(F8853, ""auto"", ""en"")
"),"AWESOME GAME")</f>
        <v>AWESOME GAME</v>
      </c>
    </row>
    <row r="8854" spans="1:9" x14ac:dyDescent="0.3">
      <c r="A8854" s="1" t="s">
        <v>61</v>
      </c>
      <c r="B8854" s="1" t="s">
        <v>180</v>
      </c>
      <c r="C8854" s="1" t="s">
        <v>74</v>
      </c>
      <c r="D8854" s="1" t="s">
        <v>2934</v>
      </c>
      <c r="E8854" s="1" t="s">
        <v>5187</v>
      </c>
      <c r="F8854" s="1" t="s">
        <v>13216</v>
      </c>
      <c r="G8854" s="1" t="s">
        <v>36</v>
      </c>
      <c r="H8854" s="1" t="s">
        <v>29</v>
      </c>
      <c r="I8854" s="1" t="str">
        <f ca="1">IFERROR(__xludf.DUMMYFUNCTION("GOOGLETRANSLATE(F8854, ""auto"", ""en"")
"),"Easy to use and easy to prepare. The sandwiches are very tasty, I make them for my husband with pleasure in the morning :)")</f>
        <v>Easy to use and easy to prepare. The sandwiches are very tasty, I make them for my husband with pleasure in the morning :)</v>
      </c>
    </row>
    <row r="8855" spans="1:9" x14ac:dyDescent="0.3">
      <c r="A8855" s="1" t="s">
        <v>37</v>
      </c>
      <c r="B8855" s="1" t="s">
        <v>355</v>
      </c>
      <c r="C8855" s="1" t="s">
        <v>356</v>
      </c>
      <c r="D8855" s="1" t="s">
        <v>13217</v>
      </c>
      <c r="E8855" s="1" t="s">
        <v>594</v>
      </c>
      <c r="F8855" s="1" t="s">
        <v>13218</v>
      </c>
      <c r="G8855" s="1" t="s">
        <v>28</v>
      </c>
      <c r="H8855" s="1" t="s">
        <v>29</v>
      </c>
      <c r="I8855" s="1" t="str">
        <f ca="1">IFERROR(__xludf.DUMMYFUNCTION("GOOGLETRANSLATE(F8855, ""auto"", ""en"")
"),"Friends, we overpay only for the fact that it is Apple. If it were Nokia, it would cost no more than 15,000 rubles")</f>
        <v>Friends, we overpay only for the fact that it is Apple. If it were Nokia, it would cost no more than 15,000 rubles</v>
      </c>
    </row>
    <row r="8856" spans="1:9" x14ac:dyDescent="0.3">
      <c r="A8856" s="1" t="s">
        <v>61</v>
      </c>
      <c r="B8856" s="1" t="s">
        <v>318</v>
      </c>
      <c r="C8856" s="1" t="s">
        <v>57</v>
      </c>
      <c r="D8856" s="1" t="s">
        <v>152</v>
      </c>
      <c r="E8856" s="1" t="s">
        <v>4452</v>
      </c>
      <c r="F8856" s="1" t="s">
        <v>13219</v>
      </c>
      <c r="G8856" s="1" t="s">
        <v>49</v>
      </c>
      <c r="H8856" s="1" t="s">
        <v>16</v>
      </c>
      <c r="I8856" s="1" t="str">
        <f ca="1">IFERROR(__xludf.DUMMYFUNCTION("GOOGLETRANSLATE(F8856, ""auto"", ""en"")
"),"It makes a lot of noise. Rust has formed on the shade.")</f>
        <v>It makes a lot of noise. Rust has formed on the shade.</v>
      </c>
    </row>
    <row r="8857" spans="1:9" x14ac:dyDescent="0.3">
      <c r="A8857" s="1" t="s">
        <v>211</v>
      </c>
      <c r="B8857" s="1" t="s">
        <v>265</v>
      </c>
      <c r="C8857" s="1" t="s">
        <v>1591</v>
      </c>
      <c r="D8857" s="1" t="s">
        <v>13220</v>
      </c>
      <c r="E8857" s="1" t="s">
        <v>1833</v>
      </c>
      <c r="F8857" s="1" t="s">
        <v>13221</v>
      </c>
      <c r="G8857" s="1" t="s">
        <v>36</v>
      </c>
      <c r="H8857" s="1" t="s">
        <v>29</v>
      </c>
      <c r="I8857" s="1" t="str">
        <f ca="1">IFERROR(__xludf.DUMMYFUNCTION("GOOGLETRANSLATE(F8857, ""auto"", ""en"")
"),"I found out about the Babylis hair clipper on a hairdressing forum. The girls responded well, saying that it works flawlessly. I decided to monitor it and find out where and how much it costs. I found the lowest price here on the website, plus some bonuse"&amp;"s are added to the account. In general, I bought it two months ago. Since then, I've cut my husband's hair three times, the quality of the haircut is nothing short of pleasing, there are no antennas left, and the noise is minimal. The blades can be easily"&amp;" washed under water, and they are also self-sharpening, so you don’t have to worry about getting dull. The hairdressers were right, the machine is really cool. Narrow body, lightweight.")</f>
        <v>I found out about the Babylis hair clipper on a hairdressing forum. The girls responded well, saying that it works flawlessly. I decided to monitor it and find out where and how much it costs. I found the lowest price here on the website, plus some bonuses are added to the account. In general, I bought it two months ago. Since then, I've cut my husband's hair three times, the quality of the haircut is nothing short of pleasing, there are no antennas left, and the noise is minimal. The blades can be easily washed under water, and they are also self-sharpening, so you don’t have to worry about getting dull. The hairdressers were right, the machine is really cool. Narrow body, lightweight.</v>
      </c>
    </row>
    <row r="8858" spans="1:9" x14ac:dyDescent="0.3">
      <c r="A8858" s="1" t="s">
        <v>61</v>
      </c>
      <c r="B8858" s="1" t="s">
        <v>224</v>
      </c>
      <c r="C8858" s="1" t="s">
        <v>57</v>
      </c>
      <c r="D8858" s="1" t="s">
        <v>152</v>
      </c>
      <c r="E8858" s="1" t="s">
        <v>1866</v>
      </c>
      <c r="F8858" s="1" t="s">
        <v>13222</v>
      </c>
      <c r="G8858" s="1" t="s">
        <v>36</v>
      </c>
      <c r="H8858" s="1" t="s">
        <v>29</v>
      </c>
      <c r="I8858" s="1" t="str">
        <f ca="1">IFERROR(__xludf.DUMMYFUNCTION("GOOGLETRANSLATE(F8858, ""auto"", ""en"")
"),"I read the reviews, I had never used anything like this before, I bought and in the evening my wife and I trampled almost 3 kg of oranges by distilling them into juice, the yield was more than 50%, almost 60. We were very satisfied, I recommend it. There "&amp;"is a reverse, 2 nozzles, a little noisy. It's too early to talk about reliability.")</f>
        <v>I read the reviews, I had never used anything like this before, I bought and in the evening my wife and I trampled almost 3 kg of oranges by distilling them into juice, the yield was more than 50%, almost 60. We were very satisfied, I recommend it. There is a reverse, 2 nozzles, a little noisy. It's too early to talk about reliability.</v>
      </c>
    </row>
    <row r="8859" spans="1:9" x14ac:dyDescent="0.3">
      <c r="A8859" s="1" t="s">
        <v>61</v>
      </c>
      <c r="B8859" s="1" t="s">
        <v>318</v>
      </c>
      <c r="C8859" s="1" t="s">
        <v>85</v>
      </c>
      <c r="D8859" s="1" t="s">
        <v>545</v>
      </c>
      <c r="E8859" s="1" t="s">
        <v>10025</v>
      </c>
      <c r="F8859" s="1" t="s">
        <v>13223</v>
      </c>
      <c r="G8859" s="1" t="s">
        <v>36</v>
      </c>
      <c r="H8859" s="1" t="s">
        <v>29</v>
      </c>
      <c r="I8859" s="1" t="str">
        <f ca="1">IFERROR(__xludf.DUMMYFUNCTION("GOOGLETRANSLATE(F8859, ""auto"", ""en"")
"),"The best product of 2016 for me is the Bork K711 Electric Kettle; it attracted me with its original design.  A good compact kettle, no foreign odors, boils fairly quickly. I'm happy with the purchase and recommend it. Who is my husband? I bought this kett"&amp;"le first as soon as it went on sale, I don’t remember how many years ago..")</f>
        <v>The best product of 2016 for me is the Bork K711 Electric Kettle; it attracted me with its original design.  A good compact kettle, no foreign odors, boils fairly quickly. I'm happy with the purchase and recommend it. Who is my husband? I bought this kettle first as soon as it went on sale, I don’t remember how many years ago..</v>
      </c>
    </row>
    <row r="8860" spans="1:9" x14ac:dyDescent="0.3">
      <c r="A8860" s="1" t="s">
        <v>9</v>
      </c>
      <c r="B8860" s="1" t="s">
        <v>137</v>
      </c>
      <c r="C8860" s="1" t="s">
        <v>134</v>
      </c>
      <c r="D8860" s="1" t="s">
        <v>247</v>
      </c>
      <c r="E8860" s="1" t="s">
        <v>7876</v>
      </c>
      <c r="F8860" s="1" t="s">
        <v>13224</v>
      </c>
      <c r="G8860" s="1" t="s">
        <v>36</v>
      </c>
      <c r="H8860" s="1" t="s">
        <v>29</v>
      </c>
      <c r="I8860" s="1" t="str">
        <f ca="1">IFERROR(__xludf.DUMMYFUNCTION("GOOGLETRANSLATE(F8860, ""auto"", ""en"")
"),"It is easy to use, heats water quickly, and is no louder than a stationary PC, even when operating in positions 7-9. Fits perfectly into the interior of a small kitchen.  The only drawback is that the kit did not include instructions in Russian, I had to "&amp;"look it up on the Internet.")</f>
        <v>It is easy to use, heats water quickly, and is no louder than a stationary PC, even when operating in positions 7-9. Fits perfectly into the interior of a small kitchen.  The only drawback is that the kit did not include instructions in Russian, I had to look it up on the Internet.</v>
      </c>
    </row>
    <row r="8861" spans="1:9" x14ac:dyDescent="0.3">
      <c r="A8861" s="1" t="s">
        <v>95</v>
      </c>
      <c r="B8861" s="1" t="s">
        <v>227</v>
      </c>
      <c r="C8861" s="1" t="s">
        <v>97</v>
      </c>
      <c r="D8861" s="1" t="s">
        <v>152</v>
      </c>
      <c r="E8861" s="1" t="s">
        <v>3864</v>
      </c>
      <c r="F8861" s="1" t="s">
        <v>13225</v>
      </c>
      <c r="G8861" s="1" t="s">
        <v>36</v>
      </c>
      <c r="H8861" s="1" t="s">
        <v>29</v>
      </c>
      <c r="I8861" s="1" t="str">
        <f ca="1">IFERROR(__xludf.DUMMYFUNCTION("GOOGLETRANSLATE(F8861, ""auto"", ""en"")
"),"The equipment is super, I immediately tried the races and waved the joystick. Overall, I’m happy. I was pleased with the opening drive, the games are on par, it doesn’t freeze, it doesn’t get too hot even after 5 hours of play. The joysticks are high qual"&amp;"ity, they hold a charge perfectly, I rarely charge them. I advise you to immediately buy additional move joysticks and a dance machine (Just Dance for example) - a party for the whole family is guaranteed.")</f>
        <v>The equipment is super, I immediately tried the races and waved the joystick. Overall, I’m happy. I was pleased with the opening drive, the games are on par, it doesn’t freeze, it doesn’t get too hot even after 5 hours of play. The joysticks are high quality, they hold a charge perfectly, I rarely charge them. I advise you to immediately buy additional move joysticks and a dance machine (Just Dance for example) - a party for the whole family is guaranteed.</v>
      </c>
    </row>
    <row r="8862" spans="1:9" x14ac:dyDescent="0.3">
      <c r="A8862" s="1" t="s">
        <v>30</v>
      </c>
      <c r="B8862" s="1" t="s">
        <v>50</v>
      </c>
      <c r="C8862" s="1" t="s">
        <v>189</v>
      </c>
      <c r="D8862" s="1" t="s">
        <v>13226</v>
      </c>
      <c r="E8862" s="1" t="s">
        <v>1773</v>
      </c>
      <c r="F8862" s="1" t="s">
        <v>13227</v>
      </c>
      <c r="G8862" s="1" t="s">
        <v>28</v>
      </c>
      <c r="H8862" s="1" t="s">
        <v>29</v>
      </c>
      <c r="I8862" s="1" t="str">
        <f ca="1">IFERROR(__xludf.DUMMYFUNCTION("GOOGLETRANSLATE(F8862, ""auto"", ""en"")
"),"cool laptop, everything works clearly and quietly, I bought it a year ago, for this price it’s the best thing, the only thing is when you want to play some kind of toy, you have to look for something a year old))) but for the Internet of movies for work, "&amp;"etc. it’s the best!!!")</f>
        <v>cool laptop, everything works clearly and quietly, I bought it a year ago, for this price it’s the best thing, the only thing is when you want to play some kind of toy, you have to look for something a year old))) but for the Internet of movies for work, etc. it’s the best!!!</v>
      </c>
    </row>
    <row r="8863" spans="1:9" x14ac:dyDescent="0.3">
      <c r="A8863" s="1" t="s">
        <v>211</v>
      </c>
      <c r="B8863" s="1" t="s">
        <v>384</v>
      </c>
      <c r="C8863" s="1" t="s">
        <v>57</v>
      </c>
      <c r="D8863" s="1" t="s">
        <v>589</v>
      </c>
      <c r="E8863" s="1" t="s">
        <v>3690</v>
      </c>
      <c r="F8863" s="1" t="s">
        <v>13228</v>
      </c>
      <c r="G8863" s="1" t="s">
        <v>36</v>
      </c>
      <c r="H8863" s="1" t="s">
        <v>29</v>
      </c>
      <c r="I8863" s="1" t="str">
        <f ca="1">IFERROR(__xludf.DUMMYFUNCTION("GOOGLETRANSLATE(F8863, ""auto"", ""en"")
"),"And I liked the scales. The design is stylish and unobtrusive. They turn on easily and show the weight accurately. You just need to install them on a flat surface and not drag them around the house. There is nothing superfluous. Wonderful item, very pleas"&amp;"ed!")</f>
        <v>And I liked the scales. The design is stylish and unobtrusive. They turn on easily and show the weight accurately. You just need to install them on a flat surface and not drag them around the house. There is nothing superfluous. Wonderful item, very pleased!</v>
      </c>
    </row>
    <row r="8864" spans="1:9" x14ac:dyDescent="0.3">
      <c r="A8864" s="1" t="s">
        <v>37</v>
      </c>
      <c r="B8864" s="1" t="s">
        <v>38</v>
      </c>
      <c r="C8864" s="1" t="s">
        <v>163</v>
      </c>
      <c r="D8864" s="1" t="s">
        <v>305</v>
      </c>
      <c r="E8864" s="1" t="s">
        <v>7124</v>
      </c>
      <c r="F8864" s="1" t="s">
        <v>13229</v>
      </c>
      <c r="G8864" s="1" t="s">
        <v>28</v>
      </c>
      <c r="H8864" s="1" t="s">
        <v>29</v>
      </c>
      <c r="I8864" s="1" t="str">
        <f ca="1">IFERROR(__xludf.DUMMYFUNCTION("GOOGLETRANSLATE(F8864, ""auto"", ""en"")
"),"The Nokia 1680c phone, for its cost of about 2000 rubles, is generally not a bad phone. When making a call, audibility is good, and no one on the other end of the line complained about noise or other sounds. But the speaker for melodies is loud but not ve"&amp;"ry good, if you turn it up to full volume it puts pressure on your ears! If you call often, then for me personally it’s enough for 3-4 days. It lacks the Bluetouth function to send a melody or a photo, but this is a budget phone and, in theory, it is inte"&amp;"nded for calls, and for this you can give a rating of 5 points out of 5! I've been using it for 3 months and haven't noticed any glitches yet! The speakerphone is not bad, the rating is 4 points out of 5 for the sharpness of the speaker! in general, who n"&amp;"eeds a phone just to make calls, 1680 is just right for this!")</f>
        <v>The Nokia 1680c phone, for its cost of about 2000 rubles, is generally not a bad phone. When making a call, audibility is good, and no one on the other end of the line complained about noise or other sounds. But the speaker for melodies is loud but not very good, if you turn it up to full volume it puts pressure on your ears! If you call often, then for me personally it’s enough for 3-4 days. It lacks the Bluetouth function to send a melody or a photo, but this is a budget phone and, in theory, it is intended for calls, and for this you can give a rating of 5 points out of 5! I've been using it for 3 months and haven't noticed any glitches yet! The speakerphone is not bad, the rating is 4 points out of 5 for the sharpness of the speaker! in general, who needs a phone just to make calls, 1680 is just right for this!</v>
      </c>
    </row>
    <row r="8865" spans="1:9" x14ac:dyDescent="0.3">
      <c r="A8865" s="1" t="s">
        <v>105</v>
      </c>
      <c r="B8865" s="1" t="s">
        <v>106</v>
      </c>
      <c r="C8865" s="1" t="s">
        <v>151</v>
      </c>
      <c r="D8865" s="1" t="s">
        <v>13230</v>
      </c>
      <c r="E8865" s="1" t="s">
        <v>2262</v>
      </c>
      <c r="F8865" s="1" t="s">
        <v>13231</v>
      </c>
      <c r="G8865" s="1" t="s">
        <v>49</v>
      </c>
      <c r="H8865" s="1" t="s">
        <v>16</v>
      </c>
      <c r="I8865" s="1" t="str">
        <f ca="1">IFERROR(__xludf.DUMMYFUNCTION("GOOGLETRANSLATE(F8865, ""auto"", ""en"")
"),"Samsung have not learned how to make players.  My younger model died after 9 months. On some songs it stuck and did not always turn on.  Gave it under warranty. We did it. Now when you press the lock button it hisses and turns off.  And the battery lasted"&amp;" for a maximum of 2 hours when fully charged.  So I don’t recommend buying such a player.")</f>
        <v>Samsung have not learned how to make players.  My younger model died after 9 months. On some songs it stuck and did not always turn on.  Gave it under warranty. We did it. Now when you press the lock button it hisses and turns off.  And the battery lasted for a maximum of 2 hours when fully charged.  So I don’t recommend buying such a player.</v>
      </c>
    </row>
    <row r="8866" spans="1:9" x14ac:dyDescent="0.3">
      <c r="A8866" s="1" t="s">
        <v>37</v>
      </c>
      <c r="B8866" s="1" t="s">
        <v>38</v>
      </c>
      <c r="C8866" s="1" t="s">
        <v>163</v>
      </c>
      <c r="D8866" s="1" t="s">
        <v>807</v>
      </c>
      <c r="E8866" s="1" t="s">
        <v>2529</v>
      </c>
      <c r="F8866" s="1" t="s">
        <v>13232</v>
      </c>
      <c r="G8866" s="1" t="s">
        <v>36</v>
      </c>
      <c r="H8866" s="1" t="s">
        <v>29</v>
      </c>
      <c r="I8866" s="1" t="str">
        <f ca="1">IFERROR(__xludf.DUMMYFUNCTION("GOOGLETRANSLATE(F8866, ""auto"", ""en"")
"),"The phone is good, the speaker is not bad, the sound is good and you can hear it well, this phone is for short-term use, if you buy it, then only for a child for school")</f>
        <v>The phone is good, the speaker is not bad, the sound is good and you can hear it well, this phone is for short-term use, if you buy it, then only for a child for school</v>
      </c>
    </row>
    <row r="8867" spans="1:9" x14ac:dyDescent="0.3">
      <c r="A8867" s="1" t="s">
        <v>37</v>
      </c>
      <c r="B8867" s="1" t="s">
        <v>38</v>
      </c>
      <c r="C8867" s="1" t="s">
        <v>151</v>
      </c>
      <c r="D8867" s="1" t="s">
        <v>32</v>
      </c>
      <c r="E8867" s="1" t="s">
        <v>449</v>
      </c>
      <c r="F8867" s="1" t="s">
        <v>13233</v>
      </c>
      <c r="G8867" s="1" t="s">
        <v>36</v>
      </c>
      <c r="H8867" s="1" t="s">
        <v>29</v>
      </c>
      <c r="I8867" s="1" t="str">
        <f ca="1">IFERROR(__xludf.DUMMYFUNCTION("GOOGLETRANSLATE(F8867, ""auto"", ""en"")
"),"The Samsung La Fleur S7070 mobile phone takes into account all the needs of girls/women of the 21st century.")</f>
        <v>The Samsung La Fleur S7070 mobile phone takes into account all the needs of girls/women of the 21st century.</v>
      </c>
    </row>
    <row r="8868" spans="1:9" x14ac:dyDescent="0.3">
      <c r="A8868" s="1" t="s">
        <v>105</v>
      </c>
      <c r="B8868" s="1" t="s">
        <v>106</v>
      </c>
      <c r="C8868" s="1" t="s">
        <v>1209</v>
      </c>
      <c r="D8868" s="1" t="s">
        <v>7017</v>
      </c>
      <c r="E8868" s="1" t="s">
        <v>1330</v>
      </c>
      <c r="F8868" s="1" t="s">
        <v>13234</v>
      </c>
      <c r="G8868" s="1" t="s">
        <v>36</v>
      </c>
      <c r="H8868" s="1" t="s">
        <v>29</v>
      </c>
      <c r="I8868" s="1" t="str">
        <f ca="1">IFERROR(__xludf.DUMMYFUNCTION("GOOGLETRANSLATE(F8868, ""auto"", ""en"")
"),"I bought a player yesterday, the sound is good, people who have a hissing radio, take your original headphones and raise the wire higher, the radio is excellent!")</f>
        <v>I bought a player yesterday, the sound is good, people who have a hissing radio, take your original headphones and raise the wire higher, the radio is excellent!</v>
      </c>
    </row>
    <row r="8869" spans="1:9" x14ac:dyDescent="0.3">
      <c r="A8869" s="1" t="s">
        <v>519</v>
      </c>
      <c r="B8869" s="1" t="s">
        <v>3088</v>
      </c>
      <c r="C8869" s="1" t="s">
        <v>2143</v>
      </c>
      <c r="D8869" s="1" t="s">
        <v>295</v>
      </c>
      <c r="E8869" s="1" t="s">
        <v>5728</v>
      </c>
      <c r="F8869" s="1" t="s">
        <v>13235</v>
      </c>
      <c r="G8869" s="1" t="s">
        <v>36</v>
      </c>
      <c r="H8869" s="1" t="s">
        <v>29</v>
      </c>
      <c r="I8869" s="1" t="str">
        <f ca="1">IFERROR(__xludf.DUMMYFUNCTION("GOOGLETRANSLATE(F8869, ""auto"", ""en"")
"),"The quality is excellent. I doubted whether to buy it for a long time, but I didn’t regret buying it. For a family of 3-4 people, the volume is 10 liters. The casserole + lid-frying pan can be used separately for frying on the stove and for baking in the "&amp;"oven. And the goose maker produces excellent chicken, pilaf, sauce, stuffed peppers and many other dishes. I was lucky, I bought it on sale. The price is steep, but this 2 in 1 thing is worth it!")</f>
        <v>The quality is excellent. I doubted whether to buy it for a long time, but I didn’t regret buying it. For a family of 3-4 people, the volume is 10 liters. The casserole + lid-frying pan can be used separately for frying on the stove and for baking in the oven. And the goose maker produces excellent chicken, pilaf, sauce, stuffed peppers and many other dishes. I was lucky, I bought it on sale. The price is steep, but this 2 in 1 thing is worth it!</v>
      </c>
    </row>
    <row r="8870" spans="1:9" x14ac:dyDescent="0.3">
      <c r="A8870" s="1" t="s">
        <v>211</v>
      </c>
      <c r="B8870" s="1" t="s">
        <v>212</v>
      </c>
      <c r="C8870" s="1" t="s">
        <v>381</v>
      </c>
      <c r="D8870" s="1" t="s">
        <v>12</v>
      </c>
      <c r="E8870" s="1" t="s">
        <v>1084</v>
      </c>
      <c r="F8870" s="1" t="s">
        <v>13236</v>
      </c>
      <c r="G8870" s="1" t="s">
        <v>36</v>
      </c>
      <c r="H8870" s="1" t="s">
        <v>29</v>
      </c>
      <c r="I8870" s="1" t="str">
        <f ca="1">IFERROR(__xludf.DUMMYFUNCTION("GOOGLETRANSLATE(F8870, ""auto"", ""en"")
"),"Fast, high-quality installation. Even if you are not a professional in this matter.  Powerful, comfortable. It's a bit heavy compared to a regular hairdryer, but you get used to it pretty quickly.")</f>
        <v>Fast, high-quality installation. Even if you are not a professional in this matter.  Powerful, comfortable. It's a bit heavy compared to a regular hairdryer, but you get used to it pretty quickly.</v>
      </c>
    </row>
    <row r="8871" spans="1:9" x14ac:dyDescent="0.3">
      <c r="A8871" s="1" t="s">
        <v>9</v>
      </c>
      <c r="B8871" s="1" t="s">
        <v>133</v>
      </c>
      <c r="C8871" s="1" t="s">
        <v>151</v>
      </c>
      <c r="D8871" s="1" t="s">
        <v>1188</v>
      </c>
      <c r="E8871" s="1" t="s">
        <v>3044</v>
      </c>
      <c r="F8871" s="1" t="s">
        <v>13237</v>
      </c>
      <c r="G8871" s="1" t="s">
        <v>36</v>
      </c>
      <c r="H8871" s="1" t="s">
        <v>29</v>
      </c>
      <c r="I8871" s="1" t="str">
        <f ca="1">IFERROR(__xludf.DUMMYFUNCTION("GOOGLETRANSLATE(F8871, ""auto"", ""en"")
"),"This is still a full-fledged oven, and then a microwave. An oven and a microwave rolled into one! This is how she bribed me. It significantly saves space in the kitchen and at the same time I have both necessary appliances. In order for a microwave to tur"&amp;"n into an oven, you just need to change the tray. The trays are made of different materials - 2 for the oven and one for the microwave. Convenient recessed adjustment knobs. Finished cooking, pressed in the controls and beauty! The oven and microwave are "&amp;"controlled separately, which is convenient and certainly won’t get confused. Better than when a bunch of functions are put on one button. There's plenty of space inside. This will fit not only chicken, but also a large goose, which can be quickly baked in"&amp;" the microwave and then crisped in the oven! I liked that the microwave has a maximum of 900 watts (this is a powerful microwave). The oven also has many convenient modes and quick heating. Very good lighting inside, you can really see everything. Of cour"&amp;"se, the most convenient thing is a clock and a timer (for both the microwave and the oven). The device is useful, beautiful and easy to operate even for those who are afraid of newfangled technology.")</f>
        <v>This is still a full-fledged oven, and then a microwave. An oven and a microwave rolled into one! This is how she bribed me. It significantly saves space in the kitchen and at the same time I have both necessary appliances. In order for a microwave to turn into an oven, you just need to change the tray. The trays are made of different materials - 2 for the oven and one for the microwave. Convenient recessed adjustment knobs. Finished cooking, pressed in the controls and beauty! The oven and microwave are controlled separately, which is convenient and certainly won’t get confused. Better than when a bunch of functions are put on one button. There's plenty of space inside. This will fit not only chicken, but also a large goose, which can be quickly baked in the microwave and then crisped in the oven! I liked that the microwave has a maximum of 900 watts (this is a powerful microwave). The oven also has many convenient modes and quick heating. Very good lighting inside, you can really see everything. Of course, the most convenient thing is a clock and a timer (for both the microwave and the oven). The device is useful, beautiful and easy to operate even for those who are afraid of newfangled technology.</v>
      </c>
    </row>
    <row r="8872" spans="1:9" x14ac:dyDescent="0.3">
      <c r="A8872" s="1" t="s">
        <v>30</v>
      </c>
      <c r="B8872" s="1" t="s">
        <v>50</v>
      </c>
      <c r="C8872" s="1" t="s">
        <v>51</v>
      </c>
      <c r="D8872" s="1" t="s">
        <v>13238</v>
      </c>
      <c r="E8872" s="1" t="s">
        <v>1992</v>
      </c>
      <c r="F8872" s="1" t="s">
        <v>13239</v>
      </c>
      <c r="G8872" s="1" t="s">
        <v>36</v>
      </c>
      <c r="H8872" s="1" t="s">
        <v>29</v>
      </c>
      <c r="I8872" s="1" t="str">
        <f ca="1">IFERROR(__xludf.DUMMYFUNCTION("GOOGLETRANSLATE(F8872, ""auto"", ""en"")
"),"The device is super, just what the doctor ordered...")</f>
        <v>The device is super, just what the doctor ordered...</v>
      </c>
    </row>
    <row r="8873" spans="1:9" x14ac:dyDescent="0.3">
      <c r="A8873" s="1" t="s">
        <v>211</v>
      </c>
      <c r="B8873" s="1" t="s">
        <v>410</v>
      </c>
      <c r="C8873" s="1" t="s">
        <v>122</v>
      </c>
      <c r="D8873" s="1" t="s">
        <v>589</v>
      </c>
      <c r="E8873" s="1" t="s">
        <v>1527</v>
      </c>
      <c r="F8873" s="1" t="s">
        <v>13240</v>
      </c>
      <c r="G8873" s="1" t="s">
        <v>36</v>
      </c>
      <c r="H8873" s="1" t="s">
        <v>29</v>
      </c>
      <c r="I8873" s="1" t="str">
        <f ca="1">IFERROR(__xludf.DUMMYFUNCTION("GOOGLETRANSLATE(F8873, ""auto"", ""en"")
"),"I gave it as a gift on February 23rd a year ago, no complaints. It works great, nothing broke!!! You can’t find anything better for that kind of money!")</f>
        <v>I gave it as a gift on February 23rd a year ago, no complaints. It works great, nothing broke!!! You can’t find anything better for that kind of money!</v>
      </c>
    </row>
    <row r="8874" spans="1:9" x14ac:dyDescent="0.3">
      <c r="A8874" s="1" t="s">
        <v>206</v>
      </c>
      <c r="B8874" s="1" t="s">
        <v>261</v>
      </c>
      <c r="C8874" s="1" t="s">
        <v>262</v>
      </c>
      <c r="D8874" s="1" t="s">
        <v>13241</v>
      </c>
      <c r="E8874" s="1" t="s">
        <v>1651</v>
      </c>
      <c r="F8874" s="1" t="s">
        <v>13242</v>
      </c>
      <c r="G8874" s="1" t="s">
        <v>49</v>
      </c>
      <c r="H8874" s="1" t="s">
        <v>16</v>
      </c>
      <c r="I8874" s="1" t="str">
        <f ca="1">IFERROR(__xludf.DUMMYFUNCTION("GOOGLETRANSLATE(F8874, ""auto"", ""en"")
"),"I bought this antenna and paid for installation (I didn’t install it myself). So he doesn’t catch a single channel! I tried to drive closer to the TV tower, and there were a couple of channels there, but the quality was poor. I don’t recommend buying it, "&amp;"it’s not worth the money. An acquaintance bought an ordinary Chinese one for 400 rubles and gave it to me so that I wouldn’t be upset. That's how the Chinese catch it!")</f>
        <v>I bought this antenna and paid for installation (I didn’t install it myself). So he doesn’t catch a single channel! I tried to drive closer to the TV tower, and there were a couple of channels there, but the quality was poor. I don’t recommend buying it, it’s not worth the money. An acquaintance bought an ordinary Chinese one for 400 rubles and gave it to me so that I wouldn’t be upset. That's how the Chinese catch it!</v>
      </c>
    </row>
    <row r="8875" spans="1:9" x14ac:dyDescent="0.3">
      <c r="A8875" s="1" t="s">
        <v>61</v>
      </c>
      <c r="B8875" s="1" t="s">
        <v>318</v>
      </c>
      <c r="C8875" s="1" t="s">
        <v>57</v>
      </c>
      <c r="D8875" s="1" t="s">
        <v>102</v>
      </c>
      <c r="E8875" s="1" t="s">
        <v>8177</v>
      </c>
      <c r="F8875" s="1" t="s">
        <v>13243</v>
      </c>
      <c r="G8875" s="1" t="s">
        <v>36</v>
      </c>
      <c r="H8875" s="1" t="s">
        <v>29</v>
      </c>
      <c r="I8875" s="1" t="str">
        <f ca="1">IFERROR(__xludf.DUMMYFUNCTION("GOOGLETRANSLATE(F8875, ""auto"", ""en"")
"),"A very good kettle. And most importantly, stylish, everyone likes it. I don't regret the money spent.")</f>
        <v>A very good kettle. And most importantly, stylish, everyone likes it. I don't regret the money spent.</v>
      </c>
    </row>
    <row r="8876" spans="1:9" x14ac:dyDescent="0.3">
      <c r="A8876" s="1" t="s">
        <v>732</v>
      </c>
      <c r="B8876" s="1" t="s">
        <v>733</v>
      </c>
      <c r="C8876" s="1" t="s">
        <v>32</v>
      </c>
      <c r="D8876" s="1" t="s">
        <v>2217</v>
      </c>
      <c r="E8876" s="1" t="s">
        <v>201</v>
      </c>
      <c r="F8876" s="1" t="s">
        <v>13244</v>
      </c>
      <c r="G8876" s="1" t="s">
        <v>36</v>
      </c>
      <c r="H8876" s="1" t="s">
        <v>29</v>
      </c>
      <c r="I8876" s="1" t="str">
        <f ca="1">IFERROR(__xludf.DUMMYFUNCTION("GOOGLETRANSLATE(F8876, ""auto"", ""en"")
"),"I liked the monitor, good viewing angles, high contrast, rich colors, you won’t regret it.")</f>
        <v>I liked the monitor, good viewing angles, high contrast, rich colors, you won’t regret it.</v>
      </c>
    </row>
    <row r="8877" spans="1:9" x14ac:dyDescent="0.3">
      <c r="A8877" s="1" t="s">
        <v>37</v>
      </c>
      <c r="B8877" s="1" t="s">
        <v>536</v>
      </c>
      <c r="C8877" s="1" t="s">
        <v>163</v>
      </c>
      <c r="D8877" s="1" t="s">
        <v>13245</v>
      </c>
      <c r="E8877" s="1" t="s">
        <v>1079</v>
      </c>
      <c r="F8877" s="1" t="s">
        <v>13246</v>
      </c>
      <c r="G8877" s="1" t="s">
        <v>36</v>
      </c>
      <c r="H8877" s="1" t="s">
        <v>29</v>
      </c>
      <c r="I8877" s="1" t="str">
        <f ca="1">IFERROR(__xludf.DUMMYFUNCTION("GOOGLETRANSLATE(F8877, ""auto"", ""en"")
"),"Everything is happy, not buggy. I found two downsides: 1) lock button; 2) flash drive deep. As for functionality, everyone has their own requirements. Let me just say that all the functions work great!")</f>
        <v>Everything is happy, not buggy. I found two downsides: 1) lock button; 2) flash drive deep. As for functionality, everyone has their own requirements. Let me just say that all the functions work great!</v>
      </c>
    </row>
    <row r="8878" spans="1:9" x14ac:dyDescent="0.3">
      <c r="A8878" s="1" t="s">
        <v>61</v>
      </c>
      <c r="B8878" s="1" t="s">
        <v>726</v>
      </c>
      <c r="C8878" s="1" t="s">
        <v>85</v>
      </c>
      <c r="D8878" s="1" t="s">
        <v>940</v>
      </c>
      <c r="E8878" s="1" t="s">
        <v>683</v>
      </c>
      <c r="F8878" s="1" t="s">
        <v>13247</v>
      </c>
      <c r="G8878" s="1" t="s">
        <v>49</v>
      </c>
      <c r="H8878" s="1" t="s">
        <v>16</v>
      </c>
      <c r="I8878" s="1" t="str">
        <f ca="1">IFERROR(__xludf.DUMMYFUNCTION("GOOGLETRANSLATE(F8878, ""auto"", ""en"")
"),"After half a year from the start of operation (they baked often, though, once every 2-3 days), a creaking sound arose when the blade rotated. A year later, the engine rotating the blade burned out. Since they did not start using it immediately after purch"&amp;"ase, the warranty has already expired.  The price is expensive, the design is good, and the quality is average.")</f>
        <v>After half a year from the start of operation (they baked often, though, once every 2-3 days), a creaking sound arose when the blade rotated. A year later, the engine rotating the blade burned out. Since they did not start using it immediately after purchase, the warranty has already expired.  The price is expensive, the design is good, and the quality is average.</v>
      </c>
    </row>
    <row r="8879" spans="1:9" x14ac:dyDescent="0.3">
      <c r="A8879" s="1" t="s">
        <v>206</v>
      </c>
      <c r="B8879" s="1" t="s">
        <v>207</v>
      </c>
      <c r="C8879" s="1" t="s">
        <v>97</v>
      </c>
      <c r="D8879" s="1" t="s">
        <v>139</v>
      </c>
      <c r="E8879" s="1" t="s">
        <v>1671</v>
      </c>
      <c r="F8879" s="1" t="s">
        <v>13248</v>
      </c>
      <c r="G8879" s="1" t="s">
        <v>15</v>
      </c>
      <c r="H8879" s="1" t="s">
        <v>16</v>
      </c>
      <c r="I8879" s="1" t="str">
        <f ca="1">IFERROR(__xludf.DUMMYFUNCTION("GOOGLETRANSLATE(F8879, ""auto"", ""en"")
"),"Doesn’t put any pressure on him at all, plays well, hits well, but there’s no pressure. I gave it 350 rms, everything is shaking, I want a crush!")</f>
        <v>Doesn’t put any pressure on him at all, plays well, hits well, but there’s no pressure. I gave it 350 rms, everything is shaking, I want a crush!</v>
      </c>
    </row>
    <row r="8880" spans="1:9" x14ac:dyDescent="0.3">
      <c r="A8880" s="1" t="s">
        <v>43</v>
      </c>
      <c r="B8880" s="1" t="s">
        <v>303</v>
      </c>
      <c r="C8880" s="1" t="s">
        <v>304</v>
      </c>
      <c r="D8880" s="1" t="s">
        <v>940</v>
      </c>
      <c r="E8880" s="1" t="s">
        <v>6971</v>
      </c>
      <c r="F8880" s="1" t="s">
        <v>13249</v>
      </c>
      <c r="G8880" s="1" t="s">
        <v>28</v>
      </c>
      <c r="H8880" s="1" t="s">
        <v>29</v>
      </c>
      <c r="I8880" s="1" t="str">
        <f ca="1">IFERROR(__xludf.DUMMYFUNCTION("GOOGLETRANSLATE(F8880, ""auto"", ""en"")
"),"Disadvantages: no water temperature indicator on the body")</f>
        <v>Disadvantages: no water temperature indicator on the body</v>
      </c>
    </row>
    <row r="8881" spans="1:9" x14ac:dyDescent="0.3">
      <c r="A8881" s="1" t="s">
        <v>811</v>
      </c>
      <c r="B8881" s="1" t="s">
        <v>1712</v>
      </c>
      <c r="C8881" s="1" t="s">
        <v>1645</v>
      </c>
      <c r="D8881" s="1" t="s">
        <v>171</v>
      </c>
      <c r="E8881" s="1" t="s">
        <v>8184</v>
      </c>
      <c r="F8881" s="1" t="s">
        <v>13250</v>
      </c>
      <c r="G8881" s="1" t="s">
        <v>36</v>
      </c>
      <c r="H8881" s="1" t="s">
        <v>29</v>
      </c>
      <c r="I8881" s="1" t="str">
        <f ca="1">IFERROR(__xludf.DUMMYFUNCTION("GOOGLETRANSLATE(F8881, ""auto"", ""en"")
"),"Bought for a gift. Truly the best price-quality ratio. It turns out to be more profitable to buy this frame and memory card than an analogue with built-in memory. When purchasing, I took an SD with photos with me to the store to check. After reading Serge"&amp;"i’s review, I didn’t bother to reflash it))) By the way, I picked up the latest one at the nearest store.")</f>
        <v>Bought for a gift. Truly the best price-quality ratio. It turns out to be more profitable to buy this frame and memory card than an analogue with built-in memory. When purchasing, I took an SD with photos with me to the store to check. After reading Sergei’s review, I didn’t bother to reflash it))) By the way, I picked up the latest one at the nearest store.</v>
      </c>
    </row>
    <row r="8882" spans="1:9" x14ac:dyDescent="0.3">
      <c r="A8882" s="1" t="s">
        <v>211</v>
      </c>
      <c r="B8882" s="1" t="s">
        <v>899</v>
      </c>
      <c r="C8882" s="1" t="s">
        <v>69</v>
      </c>
      <c r="D8882" s="1" t="s">
        <v>32</v>
      </c>
      <c r="E8882" s="1" t="s">
        <v>5193</v>
      </c>
      <c r="F8882" s="1" t="s">
        <v>13251</v>
      </c>
      <c r="G8882" s="1" t="s">
        <v>36</v>
      </c>
      <c r="H8882" s="1" t="s">
        <v>29</v>
      </c>
      <c r="I8882" s="1" t="str">
        <f ca="1">IFERROR(__xludf.DUMMYFUNCTION("GOOGLETRANSLATE(F8882, ""auto"", ""en"")
"),"The brush is super, it cleans great, at first I cleaned it with whitening paste, but then it became very painful, the sensitivity increased. I changed the paste. I took it for sensitive teeth and everything became fine)))")</f>
        <v>The brush is super, it cleans great, at first I cleaned it with whitening paste, but then it became very painful, the sensitivity increased. I changed the paste. I took it for sensitive teeth and everything became fine)))</v>
      </c>
    </row>
    <row r="8883" spans="1:9" x14ac:dyDescent="0.3">
      <c r="A8883" s="1" t="s">
        <v>2087</v>
      </c>
      <c r="B8883" s="1" t="s">
        <v>2088</v>
      </c>
      <c r="C8883" s="1" t="s">
        <v>69</v>
      </c>
      <c r="D8883" s="1" t="s">
        <v>13252</v>
      </c>
      <c r="E8883" s="1" t="s">
        <v>594</v>
      </c>
      <c r="F8883" s="1" t="s">
        <v>13253</v>
      </c>
      <c r="G8883" s="1" t="s">
        <v>36</v>
      </c>
      <c r="H8883" s="1" t="s">
        <v>29</v>
      </c>
      <c r="I8883" s="1" t="str">
        <f ca="1">IFERROR(__xludf.DUMMYFUNCTION("GOOGLETRANSLATE(F8883, ""auto"", ""en"")
"),"I recommend it to everyone")</f>
        <v>I recommend it to everyone</v>
      </c>
    </row>
    <row r="8884" spans="1:9" x14ac:dyDescent="0.3">
      <c r="A8884" s="1" t="s">
        <v>30</v>
      </c>
      <c r="B8884" s="1" t="s">
        <v>31</v>
      </c>
      <c r="C8884" s="1" t="s">
        <v>377</v>
      </c>
      <c r="D8884" s="1" t="s">
        <v>13254</v>
      </c>
      <c r="E8884" s="1" t="s">
        <v>736</v>
      </c>
      <c r="F8884" s="1" t="s">
        <v>13255</v>
      </c>
      <c r="G8884" s="1" t="s">
        <v>28</v>
      </c>
      <c r="H8884" s="1" t="s">
        <v>29</v>
      </c>
      <c r="I8884" s="1" t="str">
        <f ca="1">IFERROR(__xludf.DUMMYFUNCTION("GOOGLETRANSLATE(F8884, ""auto"", ""en"")
"),"The computer is fast, there are no words, but in addition there is only one cell on the motherboard for connecting additional. devices, there is nothing to secure the second hard drive to.")</f>
        <v>The computer is fast, there are no words, but in addition there is only one cell on the motherboard for connecting additional. devices, there is nothing to secure the second hard drive to.</v>
      </c>
    </row>
    <row r="8885" spans="1:9" x14ac:dyDescent="0.3">
      <c r="A8885" s="1" t="s">
        <v>120</v>
      </c>
      <c r="B8885" s="1" t="s">
        <v>196</v>
      </c>
      <c r="C8885" s="1" t="s">
        <v>97</v>
      </c>
      <c r="D8885" s="1" t="s">
        <v>1431</v>
      </c>
      <c r="E8885" s="1" t="s">
        <v>397</v>
      </c>
      <c r="F8885" s="1" t="s">
        <v>13256</v>
      </c>
      <c r="G8885" s="1" t="s">
        <v>36</v>
      </c>
      <c r="H8885" s="1" t="s">
        <v>29</v>
      </c>
      <c r="I8885" s="1" t="str">
        <f ca="1">IFERROR(__xludf.DUMMYFUNCTION("GOOGLETRANSLATE(F8885, ""auto"", ""en"")
"),"I bought the TV a few months ago.   I don't see any shortcomings in functionality. The remote control is a bit inconvenient (a cumbersome menu key that just wants to be pressed).  Overall quite a worthy purchase.  What really upset me was the fact that th"&amp;"e “Picture in Picture” and “Picture and Picture” functions specified in the description are missing!")</f>
        <v>I bought the TV a few months ago.   I don't see any shortcomings in functionality. The remote control is a bit inconvenient (a cumbersome menu key that just wants to be pressed).  Overall quite a worthy purchase.  What really upset me was the fact that the “Picture in Picture” and “Picture and Picture” functions specified in the description are missing!</v>
      </c>
    </row>
    <row r="8886" spans="1:9" x14ac:dyDescent="0.3">
      <c r="A8886" s="1" t="s">
        <v>477</v>
      </c>
      <c r="B8886" s="1" t="s">
        <v>478</v>
      </c>
      <c r="C8886" s="1" t="s">
        <v>479</v>
      </c>
      <c r="D8886" s="1" t="s">
        <v>139</v>
      </c>
      <c r="E8886" s="1" t="s">
        <v>3512</v>
      </c>
      <c r="F8886" s="1" t="s">
        <v>13257</v>
      </c>
      <c r="G8886" s="1" t="s">
        <v>15</v>
      </c>
      <c r="H8886" s="1" t="s">
        <v>16</v>
      </c>
      <c r="I8886" s="1" t="str">
        <f ca="1">IFERROR(__xludf.DUMMYFUNCTION("GOOGLETRANSLATE(F8886, ""auto"", ""en"")
"),"I bought this publication today, having read the comments, I decided to check it out and there the tail was broken in 1 place, as it was already written that the tail was made of very bad material, fortunately they immediately changed it, I decided to ope"&amp;"n it with the seller, the tail was broken in two places. The money was returned immediately, my opinion is not to buy this edition, because the box is designed in such a way that there is really no room for the tail and it will definitely break. The conte"&amp;"nt itself was pleasing, but the face-hugger didn’t have any problems with its breakdowns")</f>
        <v>I bought this publication today, having read the comments, I decided to check it out and there the tail was broken in 1 place, as it was already written that the tail was made of very bad material, fortunately they immediately changed it, I decided to open it with the seller, the tail was broken in two places. The money was returned immediately, my opinion is not to buy this edition, because the box is designed in such a way that there is really no room for the tail and it will definitely break. The content itself was pleasing, but the face-hugger didn’t have any problems with its breakdowns</v>
      </c>
    </row>
    <row r="8887" spans="1:9" x14ac:dyDescent="0.3">
      <c r="A8887" s="1" t="s">
        <v>120</v>
      </c>
      <c r="B8887" s="1" t="s">
        <v>126</v>
      </c>
      <c r="C8887" s="1" t="s">
        <v>151</v>
      </c>
      <c r="D8887" s="1" t="s">
        <v>152</v>
      </c>
      <c r="E8887" s="1" t="s">
        <v>2529</v>
      </c>
      <c r="F8887" s="1" t="s">
        <v>13258</v>
      </c>
      <c r="G8887" s="1" t="s">
        <v>28</v>
      </c>
      <c r="H8887" s="1" t="s">
        <v>29</v>
      </c>
      <c r="I8887" s="1" t="str">
        <f ca="1">IFERROR(__xludf.DUMMYFUNCTION("GOOGLETRANSLATE(F8887, ""auto"", ""en"")
"),"Hello everyone! I’m happy with the TV, the only negative for me is the USB is only for service. But I heard that there are some programs that you install and use USB also to watch videos. Maybe someone knows something specific and can advise? Thanks in ad"&amp;"vance!")</f>
        <v>Hello everyone! I’m happy with the TV, the only negative for me is the USB is only for service. But I heard that there are some programs that you install and use USB also to watch videos. Maybe someone knows something specific and can advise? Thanks in advance!</v>
      </c>
    </row>
    <row r="8888" spans="1:9" x14ac:dyDescent="0.3">
      <c r="A8888" s="1" t="s">
        <v>9</v>
      </c>
      <c r="B8888" s="1" t="s">
        <v>137</v>
      </c>
      <c r="C8888" s="1" t="s">
        <v>870</v>
      </c>
      <c r="D8888" s="1" t="s">
        <v>974</v>
      </c>
      <c r="E8888" s="1" t="s">
        <v>4780</v>
      </c>
      <c r="F8888" s="1" t="s">
        <v>13259</v>
      </c>
      <c r="G8888" s="1" t="s">
        <v>36</v>
      </c>
      <c r="H8888" s="1" t="s">
        <v>29</v>
      </c>
      <c r="I8888" s="1" t="str">
        <f ca="1">IFERROR(__xludf.DUMMYFUNCTION("GOOGLETRANSLATE(F8888, ""auto"", ""en"")
"),"Quite an original design model. Because of this, they took her. The color of the panel is beautiful, the handles are made in an antique style and are located on the side. Convenient location of non-standard size burners - in front. The position of the han"&amp;"dles on the side, as well as the mechanical ignition, took some getting used to in the beginning, but this cannot be called some kind of drawback, since these points were initially clear when purchasing. In general, everything works very well, there is no"&amp;"thing to complain about.")</f>
        <v>Quite an original design model. Because of this, they took her. The color of the panel is beautiful, the handles are made in an antique style and are located on the side. Convenient location of non-standard size burners - in front. The position of the handles on the side, as well as the mechanical ignition, took some getting used to in the beginning, but this cannot be called some kind of drawback, since these points were initially clear when purchasing. In general, everything works very well, there is nothing to complain about.</v>
      </c>
    </row>
    <row r="8889" spans="1:9" x14ac:dyDescent="0.3">
      <c r="A8889" s="1" t="s">
        <v>238</v>
      </c>
      <c r="B8889" s="1" t="s">
        <v>276</v>
      </c>
      <c r="C8889" s="1" t="s">
        <v>277</v>
      </c>
      <c r="D8889" s="1" t="s">
        <v>308</v>
      </c>
      <c r="E8889" s="1" t="s">
        <v>13131</v>
      </c>
      <c r="F8889" s="1" t="s">
        <v>13260</v>
      </c>
      <c r="G8889" s="1" t="s">
        <v>36</v>
      </c>
      <c r="H8889" s="1" t="s">
        <v>29</v>
      </c>
      <c r="I8889" s="1" t="str">
        <f ca="1">IFERROR(__xludf.DUMMYFUNCTION("GOOGLETRANSLATE(F8889, ""auto"", ""en"")
"),"We bought it in 2012 from M-video as an inexpensive option for a rented apartment. The refrigerator is quite quiet, spacious, a very large and spacious drawer for vegetables and fruits, the freezer was defrosted no more than once a year. So far it's worki"&amp;"ng great. A good, inexpensive option without any bells and whistles.")</f>
        <v>We bought it in 2012 from M-video as an inexpensive option for a rented apartment. The refrigerator is quite quiet, spacious, a very large and spacious drawer for vegetables and fruits, the freezer was defrosted no more than once a year. So far it's working great. A good, inexpensive option without any bells and whistles.</v>
      </c>
    </row>
    <row r="8890" spans="1:9" x14ac:dyDescent="0.3">
      <c r="A8890" s="1" t="s">
        <v>211</v>
      </c>
      <c r="B8890" s="1" t="s">
        <v>212</v>
      </c>
      <c r="C8890" s="1" t="s">
        <v>381</v>
      </c>
      <c r="D8890" s="1" t="s">
        <v>13261</v>
      </c>
      <c r="E8890" s="1" t="s">
        <v>5738</v>
      </c>
      <c r="F8890" s="1" t="s">
        <v>13262</v>
      </c>
      <c r="G8890" s="1" t="s">
        <v>36</v>
      </c>
      <c r="H8890" s="1" t="s">
        <v>29</v>
      </c>
      <c r="I8890" s="1" t="str">
        <f ca="1">IFERROR(__xludf.DUMMYFUNCTION("GOOGLETRANSLATE(F8890, ""auto"", ""en"")
"),"The hairdryer is a hundred years old at lunch)) as they say.... I bought it about 7 years ago for sure.... it works with a bang and in my opinion is not going to give up.  I actually bought it 7 years ago")</f>
        <v>The hairdryer is a hundred years old at lunch)) as they say.... I bought it about 7 years ago for sure.... it works with a bang and in my opinion is not going to give up.  I actually bought it 7 years ago</v>
      </c>
    </row>
    <row r="8891" spans="1:9" x14ac:dyDescent="0.3">
      <c r="A8891" s="1" t="s">
        <v>30</v>
      </c>
      <c r="B8891" s="1" t="s">
        <v>50</v>
      </c>
      <c r="C8891" s="1" t="s">
        <v>32</v>
      </c>
      <c r="D8891" s="1" t="s">
        <v>247</v>
      </c>
      <c r="E8891" s="1" t="s">
        <v>1765</v>
      </c>
      <c r="F8891" s="1" t="s">
        <v>13263</v>
      </c>
      <c r="G8891" s="1" t="s">
        <v>36</v>
      </c>
      <c r="H8891" s="1" t="s">
        <v>29</v>
      </c>
      <c r="I8891" s="1" t="str">
        <f ca="1">IFERROR(__xludf.DUMMYFUNCTION("GOOGLETRANSLATE(F8891, ""auto"", ""en"")
"),"I can say that I don’t regret the purchase at all...Windows 7 is new to me, I used XP before, but now I’m quite happy!  The laptop itself is not expensive and quite powerful for its price category... The only thing that really upset me was the lack of Blu"&amp;"etooth and a Web camera :( Otherwise, everything is fine! The display diagonal is also comfortable, but I personally wanted even smaller... But 14.0"" is also normal (not more and not less!). I bought Yota Jingle - it’s very convenient and comfortable, th"&amp;"e speed is almost like on the home Internet. In general, the laptop is good! If you can’t buy a more expensive one, then this one is the best option!")</f>
        <v>I can say that I don’t regret the purchase at all...Windows 7 is new to me, I used XP before, but now I’m quite happy!  The laptop itself is not expensive and quite powerful for its price category... The only thing that really upset me was the lack of Bluetooth and a Web camera :( Otherwise, everything is fine! The display diagonal is also comfortable, but I personally wanted even smaller... But 14.0" is also normal (not more and not less!). I bought Yota Jingle - it’s very convenient and comfortable, the speed is almost like on the home Internet. In general, the laptop is good! If you can’t buy a more expensive one, then this one is the best option!</v>
      </c>
    </row>
    <row r="8892" spans="1:9" x14ac:dyDescent="0.3">
      <c r="A8892" s="1" t="s">
        <v>5066</v>
      </c>
      <c r="B8892" s="1" t="s">
        <v>5067</v>
      </c>
      <c r="C8892" s="1" t="s">
        <v>911</v>
      </c>
      <c r="D8892" s="1" t="s">
        <v>940</v>
      </c>
      <c r="E8892" s="1" t="s">
        <v>9574</v>
      </c>
      <c r="F8892" s="1" t="s">
        <v>13264</v>
      </c>
      <c r="G8892" s="1" t="s">
        <v>36</v>
      </c>
      <c r="H8892" s="1" t="s">
        <v>29</v>
      </c>
      <c r="I8892" s="1" t="str">
        <f ca="1">IFERROR(__xludf.DUMMYFUNCTION("GOOGLETRANSLATE(F8892, ""auto"", ""en"")
"),"only PLUS!!!!!")</f>
        <v>only PLUS!!!!!</v>
      </c>
    </row>
    <row r="8893" spans="1:9" x14ac:dyDescent="0.3">
      <c r="A8893" s="1" t="s">
        <v>120</v>
      </c>
      <c r="B8893" s="1" t="s">
        <v>126</v>
      </c>
      <c r="C8893" s="1" t="s">
        <v>122</v>
      </c>
      <c r="D8893" s="1" t="s">
        <v>305</v>
      </c>
      <c r="E8893" s="1" t="s">
        <v>622</v>
      </c>
      <c r="F8893" s="1" t="s">
        <v>13265</v>
      </c>
      <c r="G8893" s="1" t="s">
        <v>36</v>
      </c>
      <c r="H8893" s="1" t="s">
        <v>29</v>
      </c>
      <c r="I8893" s="1" t="str">
        <f ca="1">IFERROR(__xludf.DUMMYFUNCTION("GOOGLETRANSLATE(F8893, ""auto"", ""en"")
"),"I bought this plasma for myself not long ago, I haven’t been using it for long, but the plasma has already managed to show its good side, it shows a beautiful picture, the colors don’t merge, I haven’t used cable yet, I’ve only watched movies on Blu-ray. "&amp;" Comfortable and beautiful, fits well into the interior of the room.  I'm quite happy with my TV.")</f>
        <v>I bought this plasma for myself not long ago, I haven’t been using it for long, but the plasma has already managed to show its good side, it shows a beautiful picture, the colors don’t merge, I haven’t used cable yet, I’ve only watched movies on Blu-ray.  Comfortable and beautiful, fits well into the interior of the room.  I'm quite happy with my TV.</v>
      </c>
    </row>
    <row r="8894" spans="1:9" x14ac:dyDescent="0.3">
      <c r="A8894" s="1" t="s">
        <v>30</v>
      </c>
      <c r="B8894" s="1" t="s">
        <v>50</v>
      </c>
      <c r="C8894" s="1" t="s">
        <v>377</v>
      </c>
      <c r="D8894" s="1" t="s">
        <v>545</v>
      </c>
      <c r="E8894" s="1" t="s">
        <v>1321</v>
      </c>
      <c r="F8894" s="1" t="s">
        <v>13266</v>
      </c>
      <c r="G8894" s="1" t="s">
        <v>36</v>
      </c>
      <c r="H8894" s="1" t="s">
        <v>29</v>
      </c>
      <c r="I8894" s="1" t="str">
        <f ca="1">IFERROR(__xludf.DUMMYFUNCTION("GOOGLETRANSLATE(F8894, ""auto"", ""en"")
"),"I bought this a couple of weeks ago. very pleased. The only thing is that not all programs are installed on 64 bits, you have to look for suitable ones.")</f>
        <v>I bought this a couple of weeks ago. very pleased. The only thing is that not all programs are installed on 64 bits, you have to look for suitable ones.</v>
      </c>
    </row>
    <row r="8895" spans="1:9" x14ac:dyDescent="0.3">
      <c r="A8895" s="1" t="s">
        <v>211</v>
      </c>
      <c r="B8895" s="1" t="s">
        <v>856</v>
      </c>
      <c r="C8895" s="1" t="s">
        <v>63</v>
      </c>
      <c r="D8895" s="1" t="s">
        <v>139</v>
      </c>
      <c r="E8895" s="1" t="s">
        <v>1207</v>
      </c>
      <c r="F8895" s="1" t="s">
        <v>13267</v>
      </c>
      <c r="G8895" s="1" t="s">
        <v>36</v>
      </c>
      <c r="H8895" s="1" t="s">
        <v>29</v>
      </c>
      <c r="I8895" s="1" t="str">
        <f ca="1">IFERROR(__xludf.DUMMYFUNCTION("GOOGLETRANSLATE(F8895, ""auto"", ""en"")
"),"Yes... the first impression is not very good... but after 10 minutes there are enough even just bubbles!!! Every time you notice new advantages, it’s very relaxing.    And about the attachments. Yes, they don’t rotate, but this is not a minus, because in "&amp;"order to treat the skin you need high speeds (in pedicure salons), but at home it is unsafe, and it’s enough to just rub the steamed callus))).   6 people used it and everyone liked it. Solid Five!!!")</f>
        <v>Yes... the first impression is not very good... but after 10 minutes there are enough even just bubbles!!! Every time you notice new advantages, it’s very relaxing.    And about the attachments. Yes, they don’t rotate, but this is not a minus, because in order to treat the skin you need high speeds (in pedicure salons), but at home it is unsafe, and it’s enough to just rub the steamed callus))).   6 people used it and everyone liked it. Solid Five!!!</v>
      </c>
    </row>
    <row r="8896" spans="1:9" x14ac:dyDescent="0.3">
      <c r="A8896" s="1" t="s">
        <v>557</v>
      </c>
      <c r="B8896" s="1" t="s">
        <v>558</v>
      </c>
      <c r="C8896" s="1" t="s">
        <v>816</v>
      </c>
      <c r="D8896" s="1" t="s">
        <v>114</v>
      </c>
      <c r="E8896" s="1" t="s">
        <v>3320</v>
      </c>
      <c r="F8896" s="1" t="s">
        <v>13268</v>
      </c>
      <c r="G8896" s="1" t="s">
        <v>49</v>
      </c>
      <c r="H8896" s="1" t="s">
        <v>16</v>
      </c>
      <c r="I8896" s="1" t="str">
        <f ca="1">IFERROR(__xludf.DUMMYFUNCTION("GOOGLETRANSLATE(F8896, ""auto"", ""en"")
"),"We bought this device on August 11, 2009 at Lenin Street in Kemerovo. One of the requirements for the device was the presence of a domestic Caller ID standard. The seller assured us that the phone has such a function. However, the phone does not detect an"&amp;"y numbers. The PBX is quite new, digital. Before Motorola there was Texet. I determined the numbers. I pay the owner of the PBX for the caller ID function, so it is connected. You may need to configure Caller ID. But there is no information about setting "&amp;"up Caller ID in the instructions for the phone. The phone does not send the usual signals from domestic callers onto the line.")</f>
        <v>We bought this device on August 11, 2009 at Lenin Street in Kemerovo. One of the requirements for the device was the presence of a domestic Caller ID standard. The seller assured us that the phone has such a function. However, the phone does not detect any numbers. The PBX is quite new, digital. Before Motorola there was Texet. I determined the numbers. I pay the owner of the PBX for the caller ID function, so it is connected. You may need to configure Caller ID. But there is no information about setting up Caller ID in the instructions for the phone. The phone does not send the usual signals from domestic callers onto the line.</v>
      </c>
    </row>
    <row r="8897" spans="1:9" x14ac:dyDescent="0.3">
      <c r="A8897" s="1" t="s">
        <v>105</v>
      </c>
      <c r="B8897" s="1" t="s">
        <v>106</v>
      </c>
      <c r="C8897" s="1" t="s">
        <v>1209</v>
      </c>
      <c r="D8897" s="1" t="s">
        <v>474</v>
      </c>
      <c r="E8897" s="1" t="s">
        <v>2176</v>
      </c>
      <c r="F8897" s="1" t="s">
        <v>13269</v>
      </c>
      <c r="G8897" s="1" t="s">
        <v>36</v>
      </c>
      <c r="H8897" s="1" t="s">
        <v>29</v>
      </c>
      <c r="I8897" s="1" t="str">
        <f ca="1">IFERROR(__xludf.DUMMYFUNCTION("GOOGLETRANSLATE(F8897, ""auto"", ""en"")
"),"I bought the player 2 years ago and still use it with pleasure.  When purchasing, I immediately settled on the Explay company, I wanted video playback, graphic and text files, a sufficient amount of memory, the sensor was also a plus. Therefore, this play"&amp;"er suited me quite well.  Yes, many said that it would not last long, it would freeze... But no. It crashed extremely rarely, a couple of times a year, mainly when rewinding a video. Now I began to notice that I began to sit down faster. But the sound and"&amp;" image did not deteriorate.  So, excuse me, the quality of the player depends on you..")</f>
        <v>I bought the player 2 years ago and still use it with pleasure.  When purchasing, I immediately settled on the Explay company, I wanted video playback, graphic and text files, a sufficient amount of memory, the sensor was also a plus. Therefore, this player suited me quite well.  Yes, many said that it would not last long, it would freeze... But no. It crashed extremely rarely, a couple of times a year, mainly when rewinding a video. Now I began to notice that I began to sit down faster. But the sound and image did not deteriorate.  So, excuse me, the quality of the player depends on you..</v>
      </c>
    </row>
    <row r="8898" spans="1:9" x14ac:dyDescent="0.3">
      <c r="A8898" s="1" t="s">
        <v>9</v>
      </c>
      <c r="B8898" s="1" t="s">
        <v>137</v>
      </c>
      <c r="C8898" s="1" t="s">
        <v>63</v>
      </c>
      <c r="D8898" s="1" t="s">
        <v>282</v>
      </c>
      <c r="E8898" s="1" t="s">
        <v>3714</v>
      </c>
      <c r="F8898" s="1" t="s">
        <v>13270</v>
      </c>
      <c r="G8898" s="1" t="s">
        <v>36</v>
      </c>
      <c r="H8898" s="1" t="s">
        <v>29</v>
      </c>
      <c r="I8898" s="1" t="str">
        <f ca="1">IFERROR(__xludf.DUMMYFUNCTION("GOOGLETRANSLATE(F8898, ""auto"", ""en"")
"),"The electric hob from Bosch is equipped with super-fast heating zones that will help you significantly reduce the cooking time of your favorite dishes. Convenient touch control with heating level from 0 to 9 (in increments of 0.5) will allow you to accura"&amp;"tely and clearly set the optimal cooking temperature. The hob uses two dual-circuit burners for different types of cookware. The glass-ceramic surface is easily cleaned of deposits during the cooking process. Features such as child lock and timer will all"&amp;"ow you to get the most out of this panel safely and effectively.")</f>
        <v>The electric hob from Bosch is equipped with super-fast heating zones that will help you significantly reduce the cooking time of your favorite dishes. Convenient touch control with heating level from 0 to 9 (in increments of 0.5) will allow you to accurately and clearly set the optimal cooking temperature. The hob uses two dual-circuit burners for different types of cookware. The glass-ceramic surface is easily cleaned of deposits during the cooking process. Features such as child lock and timer will allow you to get the most out of this panel safely and effectively.</v>
      </c>
    </row>
    <row r="8899" spans="1:9" x14ac:dyDescent="0.3">
      <c r="A8899" s="1" t="s">
        <v>120</v>
      </c>
      <c r="B8899" s="1" t="s">
        <v>126</v>
      </c>
      <c r="C8899" s="1" t="s">
        <v>151</v>
      </c>
      <c r="D8899" s="1" t="s">
        <v>280</v>
      </c>
      <c r="E8899" s="1" t="s">
        <v>917</v>
      </c>
      <c r="F8899" s="1" t="s">
        <v>13271</v>
      </c>
      <c r="G8899" s="1" t="s">
        <v>36</v>
      </c>
      <c r="H8899" s="1" t="s">
        <v>29</v>
      </c>
      <c r="I8899" s="1" t="str">
        <f ca="1">IFERROR(__xludf.DUMMYFUNCTION("GOOGLETRANSLATE(F8899, ""auto"", ""en"")
"),"In general, after rummaging through the TV and reading for 10 minutes. instructions, I realized that this is not a glitch at all. After 45 min. The software update starts in standby mode. Indeed, exactly after 45 minutes the TV turns on, a search for new "&amp;"software occurs on the air, and if it is found, the installation begins, and if not found, the TV turns off. To get rid of it, do the following. Press Menu, select Support, then select software update. Next - update in dir. expectations. And select - Off."&amp;" That's all. So before you take it to the warranty office, read the instructions. Good luck!")</f>
        <v>In general, after rummaging through the TV and reading for 10 minutes. instructions, I realized that this is not a glitch at all. After 45 min. The software update starts in standby mode. Indeed, exactly after 45 minutes the TV turns on, a search for new software occurs on the air, and if it is found, the installation begins, and if not found, the TV turns off. To get rid of it, do the following. Press Menu, select Support, then select software update. Next - update in dir. expectations. And select - Off. That's all. So before you take it to the warranty office, read the instructions. Good luck!</v>
      </c>
    </row>
    <row r="8900" spans="1:9" x14ac:dyDescent="0.3">
      <c r="A8900" s="1" t="s">
        <v>496</v>
      </c>
      <c r="B8900" s="1" t="s">
        <v>497</v>
      </c>
      <c r="C8900" s="1" t="s">
        <v>487</v>
      </c>
      <c r="D8900" s="1" t="s">
        <v>893</v>
      </c>
      <c r="E8900" s="1" t="s">
        <v>3730</v>
      </c>
      <c r="F8900" s="1" t="s">
        <v>13272</v>
      </c>
      <c r="G8900" s="1" t="s">
        <v>36</v>
      </c>
      <c r="H8900" s="1" t="s">
        <v>29</v>
      </c>
      <c r="I8900" s="1" t="str">
        <f ca="1">IFERROR(__xludf.DUMMYFUNCTION("GOOGLETRANSLATE(F8900, ""auto"", ""en"")
"),"Mikhail, Windows XP does not support DirectX 10 and 11 versions.  This means that the latest games that support DirectX 10/11 will not use version 5 vertex shaders and hardware tesceleration.")</f>
        <v>Mikhail, Windows XP does not support DirectX 10 and 11 versions.  This means that the latest games that support DirectX 10/11 will not use version 5 vertex shaders and hardware tesceleration.</v>
      </c>
    </row>
    <row r="8901" spans="1:9" x14ac:dyDescent="0.3">
      <c r="A8901" s="1" t="s">
        <v>61</v>
      </c>
      <c r="B8901" s="1" t="s">
        <v>318</v>
      </c>
      <c r="C8901" s="1" t="s">
        <v>2840</v>
      </c>
      <c r="D8901" s="1" t="s">
        <v>52</v>
      </c>
      <c r="E8901" s="1" t="s">
        <v>4483</v>
      </c>
      <c r="F8901" s="1" t="s">
        <v>13273</v>
      </c>
      <c r="G8901" s="1" t="s">
        <v>36</v>
      </c>
      <c r="H8901" s="1" t="s">
        <v>29</v>
      </c>
      <c r="I8901" s="1" t="str">
        <f ca="1">IFERROR(__xludf.DUMMYFUNCTION("GOOGLETRANSLATE(F8901, ""auto"", ""en"")
"),"Purchased today. Super design! The workmanship is excellent. A full kettle boils for 6.5 minutes, which is 1.8-1.9 liters of water. Not much noise! The downside is that the power button is not very convenient.")</f>
        <v>Purchased today. Super design! The workmanship is excellent. A full kettle boils for 6.5 minutes, which is 1.8-1.9 liters of water. Not much noise! The downside is that the power button is not very convenient.</v>
      </c>
    </row>
    <row r="8902" spans="1:9" x14ac:dyDescent="0.3">
      <c r="A8902" s="1" t="s">
        <v>67</v>
      </c>
      <c r="B8902" s="1" t="s">
        <v>340</v>
      </c>
      <c r="C8902" s="1" t="s">
        <v>341</v>
      </c>
      <c r="D8902" s="1" t="s">
        <v>774</v>
      </c>
      <c r="E8902" s="1" t="s">
        <v>13274</v>
      </c>
      <c r="F8902" s="1" t="s">
        <v>13275</v>
      </c>
      <c r="G8902" s="1" t="s">
        <v>36</v>
      </c>
      <c r="H8902" s="1" t="s">
        <v>29</v>
      </c>
      <c r="I8902" s="1" t="str">
        <f ca="1">IFERROR(__xludf.DUMMYFUNCTION("GOOGLETRANSLATE(F8902, ""auto"", ""en"")
"),"I haven't found it yet")</f>
        <v>I haven't found it yet</v>
      </c>
    </row>
    <row r="8903" spans="1:9" x14ac:dyDescent="0.3">
      <c r="A8903" s="1" t="s">
        <v>211</v>
      </c>
      <c r="B8903" s="1" t="s">
        <v>899</v>
      </c>
      <c r="C8903" s="1" t="s">
        <v>213</v>
      </c>
      <c r="D8903" s="1" t="s">
        <v>565</v>
      </c>
      <c r="E8903" s="1" t="s">
        <v>4860</v>
      </c>
      <c r="F8903" s="1" t="s">
        <v>13276</v>
      </c>
      <c r="G8903" s="1" t="s">
        <v>36</v>
      </c>
      <c r="H8903" s="1" t="s">
        <v>29</v>
      </c>
      <c r="I8903" s="1" t="str">
        <f ca="1">IFERROR(__xludf.DUMMYFUNCTION("GOOGLETRANSLATE(F8903, ""auto"", ""en"")
"),"I’ve been using it for over a year now, I’m happy with everything, it cleans a hundred times better than regular brushes, I’ll never switch to a regular brush again, well, only if the electricity suddenly goes out, God forbid)))")</f>
        <v>I’ve been using it for over a year now, I’m happy with everything, it cleans a hundred times better than regular brushes, I’ll never switch to a regular brush again, well, only if the electricity suddenly goes out, God forbid)))</v>
      </c>
    </row>
    <row r="8904" spans="1:9" x14ac:dyDescent="0.3">
      <c r="A8904" s="1" t="s">
        <v>43</v>
      </c>
      <c r="B8904" s="1" t="s">
        <v>502</v>
      </c>
      <c r="C8904" s="1" t="s">
        <v>138</v>
      </c>
      <c r="D8904" s="1" t="s">
        <v>13277</v>
      </c>
      <c r="E8904" s="1" t="s">
        <v>3166</v>
      </c>
      <c r="F8904" s="1" t="s">
        <v>13278</v>
      </c>
      <c r="G8904" s="1" t="s">
        <v>49</v>
      </c>
      <c r="H8904" s="1" t="s">
        <v>16</v>
      </c>
      <c r="I8904" s="1" t="str">
        <f ca="1">IFERROR(__xludf.DUMMYFUNCTION("GOOGLETRANSLATE(F8904, ""auto"", ""en"")
"),"I bought this air conditioner a week ago, they installed it, but it doesn’t turn on.")</f>
        <v>I bought this air conditioner a week ago, they installed it, but it doesn’t turn on.</v>
      </c>
    </row>
    <row r="8905" spans="1:9" x14ac:dyDescent="0.3">
      <c r="A8905" s="1" t="s">
        <v>37</v>
      </c>
      <c r="B8905" s="1" t="s">
        <v>38</v>
      </c>
      <c r="C8905" s="1" t="s">
        <v>151</v>
      </c>
      <c r="D8905" s="1" t="s">
        <v>152</v>
      </c>
      <c r="E8905" s="1" t="s">
        <v>1371</v>
      </c>
      <c r="F8905" s="1" t="s">
        <v>13279</v>
      </c>
      <c r="G8905" s="1" t="s">
        <v>15</v>
      </c>
      <c r="H8905" s="1" t="s">
        <v>16</v>
      </c>
      <c r="I8905" s="1" t="str">
        <f ca="1">IFERROR(__xludf.DUMMYFUNCTION("GOOGLETRANSLATE(F8905, ""auto"", ""en"")
"),"The phone is not bad, BUT after 2 months of use glitches appeared. There is severe distortion of the sound when talking, neither I can hear anything nor can I be heard. The connection is interrupted during a conversation, and the network often loses. I tr"&amp;"ied changing the SIM card, same thing. I'll go change it!")</f>
        <v>The phone is not bad, BUT after 2 months of use glitches appeared. There is severe distortion of the sound when talking, neither I can hear anything nor can I be heard. The connection is interrupted during a conversation, and the network often loses. I tried changing the SIM card, same thing. I'll go change it!</v>
      </c>
    </row>
    <row r="8906" spans="1:9" x14ac:dyDescent="0.3">
      <c r="A8906" s="1" t="s">
        <v>477</v>
      </c>
      <c r="B8906" s="1" t="s">
        <v>478</v>
      </c>
      <c r="C8906" s="1" t="s">
        <v>479</v>
      </c>
      <c r="D8906" s="1" t="s">
        <v>13280</v>
      </c>
      <c r="E8906" s="1" t="s">
        <v>4668</v>
      </c>
      <c r="F8906" s="1" t="s">
        <v>13281</v>
      </c>
      <c r="G8906" s="1" t="s">
        <v>36</v>
      </c>
      <c r="H8906" s="1" t="s">
        <v>29</v>
      </c>
      <c r="I8906" s="1" t="str">
        <f ca="1">IFERROR(__xludf.DUMMYFUNCTION("GOOGLETRANSLATE(F8906, ""auto"", ""en"")
"),"This is a wonderful shooter. Great time. This game combines everything harmoniously. Graphics 10/10. The game is made very well. IT ABSOLUTELY DOESN'T STOP UP ON MY COMPUTER! Finally, a domestic developer has learned to make truly good games. 10/10 P.S. T"&amp;"he music in this game is excellent")</f>
        <v>This is a wonderful shooter. Great time. This game combines everything harmoniously. Graphics 10/10. The game is made very well. IT ABSOLUTELY DOESN'T STOP UP ON MY COMPUTER! Finally, a domestic developer has learned to make truly good games. 10/10 P.S. The music in this game is excellent</v>
      </c>
    </row>
    <row r="8907" spans="1:9" x14ac:dyDescent="0.3">
      <c r="A8907" s="1" t="s">
        <v>30</v>
      </c>
      <c r="B8907" s="1" t="s">
        <v>50</v>
      </c>
      <c r="C8907" s="1" t="s">
        <v>51</v>
      </c>
      <c r="D8907" s="1" t="s">
        <v>52</v>
      </c>
      <c r="E8907" s="1" t="s">
        <v>1273</v>
      </c>
      <c r="F8907" s="1" t="s">
        <v>13282</v>
      </c>
      <c r="G8907" s="1" t="s">
        <v>15</v>
      </c>
      <c r="H8907" s="1" t="s">
        <v>16</v>
      </c>
      <c r="I8907" s="1" t="str">
        <f ca="1">IFERROR(__xludf.DUMMYFUNCTION("GOOGLETRANSLATE(F8907, ""auto"", ""en"")
"),"I purchased it relatively recently and immediately reinstalled the operating system on Windows Seven, which entailed a search for adequate drivers for the video card, of which there was no trace of any on the official website for this model. Drivers for s"&amp;"imilar machines simply refused to install. After some “dancing with a tambourine”, the drivers were finally found on one of the bourgeois sites and installed. The image quality pleased me, as did the speed of the laptop. The device generally made a pleasa"&amp;"nt impression until it stopped turning on. The first time before “death”, the device, which had worked absolutely silently before, began to emit an incomprehensible whistling sound coming from the cooler in the rear of the case. As if by magic, a few days"&amp;" later the hard drive began to crack, after which the device died safely. Diagnostics showed that the north bridge on the motherboard, one of the main elements of the computer chipset, responsible for working with the processor, memory and video adapter, "&amp;"had successfully burned out. Great laptop. It’s just a pity that he died a heroic death very quickly.")</f>
        <v>I purchased it relatively recently and immediately reinstalled the operating system on Windows Seven, which entailed a search for adequate drivers for the video card, of which there was no trace of any on the official website for this model. Drivers for similar machines simply refused to install. After some “dancing with a tambourine”, the drivers were finally found on one of the bourgeois sites and installed. The image quality pleased me, as did the speed of the laptop. The device generally made a pleasant impression until it stopped turning on. The first time before “death”, the device, which had worked absolutely silently before, began to emit an incomprehensible whistling sound coming from the cooler in the rear of the case. As if by magic, a few days later the hard drive began to crack, after which the device died safely. Diagnostics showed that the north bridge on the motherboard, one of the main elements of the computer chipset, responsible for working with the processor, memory and video adapter, had successfully burned out. Great laptop. It’s just a pity that he died a heroic death very quickly.</v>
      </c>
    </row>
    <row r="8908" spans="1:9" x14ac:dyDescent="0.3">
      <c r="A8908" s="1" t="s">
        <v>61</v>
      </c>
      <c r="B8908" s="1" t="s">
        <v>62</v>
      </c>
      <c r="C8908" s="1" t="s">
        <v>63</v>
      </c>
      <c r="D8908" s="1" t="s">
        <v>2771</v>
      </c>
      <c r="E8908" s="1" t="s">
        <v>3504</v>
      </c>
      <c r="F8908" s="1" t="s">
        <v>13283</v>
      </c>
      <c r="G8908" s="1" t="s">
        <v>36</v>
      </c>
      <c r="H8908" s="1" t="s">
        <v>29</v>
      </c>
      <c r="I8908" s="1" t="str">
        <f ca="1">IFERROR(__xludf.DUMMYFUNCTION("GOOGLETRANSLATE(F8908, ""auto"", ""en"")
"),"Excellent, cuts and chops quickly.")</f>
        <v>Excellent, cuts and chops quickly.</v>
      </c>
    </row>
    <row r="8909" spans="1:9" x14ac:dyDescent="0.3">
      <c r="A8909" s="1" t="s">
        <v>9</v>
      </c>
      <c r="B8909" s="1" t="s">
        <v>10</v>
      </c>
      <c r="C8909" s="1" t="s">
        <v>407</v>
      </c>
      <c r="D8909" s="1" t="s">
        <v>13284</v>
      </c>
      <c r="E8909" s="1" t="s">
        <v>8309</v>
      </c>
      <c r="F8909" s="1" t="s">
        <v>13285</v>
      </c>
      <c r="G8909" s="1" t="s">
        <v>36</v>
      </c>
      <c r="H8909" s="1" t="s">
        <v>29</v>
      </c>
      <c r="I8909" s="1" t="str">
        <f ca="1">IFERROR(__xludf.DUMMYFUNCTION("GOOGLETRANSLATE(F8909, ""auto"", ""en"")
"),"The hood is stylish, we built it right under the cabinet. Pulls out very well.&amp;nbsp;")</f>
        <v>The hood is stylish, we built it right under the cabinet. Pulls out very well.&amp;nbsp;</v>
      </c>
    </row>
    <row r="8910" spans="1:9" x14ac:dyDescent="0.3">
      <c r="A8910" s="1" t="s">
        <v>30</v>
      </c>
      <c r="B8910" s="1" t="s">
        <v>50</v>
      </c>
      <c r="C8910" s="1" t="s">
        <v>32</v>
      </c>
      <c r="D8910" s="1" t="s">
        <v>52</v>
      </c>
      <c r="E8910" s="1" t="s">
        <v>6363</v>
      </c>
      <c r="F8910" s="1" t="s">
        <v>13286</v>
      </c>
      <c r="G8910" s="1" t="s">
        <v>36</v>
      </c>
      <c r="H8910" s="1" t="s">
        <v>29</v>
      </c>
      <c r="I8910" s="1" t="str">
        <f ca="1">IFERROR(__xludf.DUMMYFUNCTION("GOOGLETRANSLATE(F8910, ""auto"", ""en"")
"),"I climbed yesterday.  everything is great. Oddly enough, it costs seven. hom.x64.  of the minuses: the viewing angle is really small. but this is a laptop. I don’t consider the lack of bluetooth and a camera as any disadvantage (I still don’t use it).   T"&amp;"here are minor problems with the seven. Some online games don't work. but you can solve it by downloading the XP mod or simply reading the forums. all sorts of diamondtools and so on are also not compatible, but I think you just need to look better. I did"&amp;"n’t notice any heating, although it was only on for about three hours.  there are many advantages. starting from a full layout (it’s still convenient) and a good video camera, to ease of portability (16:9 format in my opinion). convenient, pleasant, fast."&amp;"  in general, a decent device (despite the fact that it is an Aser). and for such a price!")</f>
        <v>I climbed yesterday.  everything is great. Oddly enough, it costs seven. hom.x64.  of the minuses: the viewing angle is really small. but this is a laptop. I don’t consider the lack of bluetooth and a camera as any disadvantage (I still don’t use it).   There are minor problems with the seven. Some online games don't work. but you can solve it by downloading the XP mod or simply reading the forums. all sorts of diamondtools and so on are also not compatible, but I think you just need to look better. I didn’t notice any heating, although it was only on for about three hours.  there are many advantages. starting from a full layout (it’s still convenient) and a good video camera, to ease of portability (16:9 format in my opinion). convenient, pleasant, fast.  in general, a decent device (despite the fact that it is an Aser). and for such a price!</v>
      </c>
    </row>
    <row r="8911" spans="1:9" x14ac:dyDescent="0.3">
      <c r="A8911" s="1" t="s">
        <v>43</v>
      </c>
      <c r="B8911" s="1" t="s">
        <v>1370</v>
      </c>
      <c r="C8911" s="1" t="s">
        <v>304</v>
      </c>
      <c r="D8911" s="1" t="s">
        <v>200</v>
      </c>
      <c r="E8911" s="1" t="s">
        <v>157</v>
      </c>
      <c r="F8911" s="1" t="s">
        <v>13287</v>
      </c>
      <c r="G8911" s="1" t="s">
        <v>28</v>
      </c>
      <c r="H8911" s="1" t="s">
        <v>29</v>
      </c>
      <c r="I8911" s="1" t="str">
        <f ca="1">IFERROR(__xludf.DUMMYFUNCTION("GOOGLETRANSLATE(F8911, ""auto"", ""en"")
"),"I bought an Etalon 500 shower instantaneous water heater + installed the faucet as expected (installed a separate electrical wiring line). It is very suitable for summer shutdowns; it heats the water well at normal pressure!!! You can wash yourself just f"&amp;"or such cases.")</f>
        <v>I bought an Etalon 500 shower instantaneous water heater + installed the faucet as expected (installed a separate electrical wiring line). It is very suitable for summer shutdowns; it heats the water well at normal pressure!!! You can wash yourself just for such cases.</v>
      </c>
    </row>
    <row r="8912" spans="1:9" x14ac:dyDescent="0.3">
      <c r="A8912" s="1" t="s">
        <v>120</v>
      </c>
      <c r="B8912" s="1" t="s">
        <v>196</v>
      </c>
      <c r="C8912" s="1" t="s">
        <v>69</v>
      </c>
      <c r="D8912" s="1" t="s">
        <v>424</v>
      </c>
      <c r="E8912" s="1" t="s">
        <v>1786</v>
      </c>
      <c r="F8912" s="1" t="s">
        <v>13288</v>
      </c>
      <c r="G8912" s="1" t="s">
        <v>36</v>
      </c>
      <c r="H8912" s="1" t="s">
        <v>29</v>
      </c>
      <c r="I8912" s="1" t="str">
        <f ca="1">IFERROR(__xludf.DUMMYFUNCTION("GOOGLETRANSLATE(F8912, ""auto"", ""en"")
"),"Great TV! It turned out that this TV has 2D to 3D image conversion. And also there is SMART TV technology!!!")</f>
        <v>Great TV! It turned out that this TV has 2D to 3D image conversion. And also there is SMART TV technology!!!</v>
      </c>
    </row>
    <row r="8913" spans="1:9" x14ac:dyDescent="0.3">
      <c r="A8913" s="1" t="s">
        <v>373</v>
      </c>
      <c r="B8913" s="1" t="s">
        <v>374</v>
      </c>
      <c r="C8913" s="1" t="s">
        <v>159</v>
      </c>
      <c r="D8913" s="1" t="s">
        <v>658</v>
      </c>
      <c r="E8913" s="1" t="s">
        <v>538</v>
      </c>
      <c r="F8913" s="1" t="s">
        <v>13289</v>
      </c>
      <c r="G8913" s="1" t="s">
        <v>36</v>
      </c>
      <c r="H8913" s="1" t="s">
        <v>29</v>
      </c>
      <c r="I8913" s="1" t="str">
        <f ca="1">IFERROR(__xludf.DUMMYFUNCTION("GOOGLETRANSLATE(F8913, ""auto"", ""en"")
"),"We recently purchased an Electrolux dishwasher and are very pleased! Cleans tableware and cutlery perfectly, quickly and cleanly. I don't hear the noise of the machine. Dirty dishes accumulate all day, I go to bed and turn on the dishwasher, I don’t hear "&amp;"it at all!")</f>
        <v>We recently purchased an Electrolux dishwasher and are very pleased! Cleans tableware and cutlery perfectly, quickly and cleanly. I don't hear the noise of the machine. Dirty dishes accumulate all day, I go to bed and turn on the dishwasher, I don’t hear it at all!</v>
      </c>
    </row>
    <row r="8914" spans="1:9" x14ac:dyDescent="0.3">
      <c r="A8914" s="1" t="s">
        <v>61</v>
      </c>
      <c r="B8914" s="1" t="s">
        <v>726</v>
      </c>
      <c r="C8914" s="1" t="s">
        <v>146</v>
      </c>
      <c r="D8914" s="1" t="s">
        <v>102</v>
      </c>
      <c r="E8914" s="1" t="s">
        <v>3694</v>
      </c>
      <c r="F8914" s="1" t="s">
        <v>13290</v>
      </c>
      <c r="G8914" s="1" t="s">
        <v>36</v>
      </c>
      <c r="H8914" s="1" t="s">
        <v>29</v>
      </c>
      <c r="I8914" s="1" t="str">
        <f ca="1">IFERROR(__xludf.DUMMYFUNCTION("GOOGLETRANSLATE(F8914, ""auto"", ""en"")
"),"I bought it a month ago, the bread turns out excellent, not in comparison with store-bought bread, I haven’t bought bread from a store since then. Good thing, I recommend it.")</f>
        <v>I bought it a month ago, the bread turns out excellent, not in comparison with store-bought bread, I haven’t bought bread from a store since then. Good thing, I recommend it.</v>
      </c>
    </row>
    <row r="8915" spans="1:9" x14ac:dyDescent="0.3">
      <c r="A8915" s="1" t="s">
        <v>169</v>
      </c>
      <c r="B8915" s="1" t="s">
        <v>170</v>
      </c>
      <c r="C8915" s="1" t="s">
        <v>69</v>
      </c>
      <c r="D8915" s="1" t="s">
        <v>52</v>
      </c>
      <c r="E8915" s="1" t="s">
        <v>13291</v>
      </c>
      <c r="F8915" s="1" t="s">
        <v>13292</v>
      </c>
      <c r="G8915" s="1" t="s">
        <v>1580</v>
      </c>
      <c r="H8915" s="1" t="s">
        <v>29</v>
      </c>
      <c r="I8915" s="1" t="str">
        <f ca="1">IFERROR(__xludf.DUMMYFUNCTION("GOOGLETRANSLATE(F8915, ""auto"", ""en"")
"),"High quality headphones. Clear sound. Convenient to listen to music from your computer. I especially like the cord. It's made of fabric, very reliable, I'm sure it won't tear.")</f>
        <v>High quality headphones. Clear sound. Convenient to listen to music from your computer. I especially like the cord. It's made of fabric, very reliable, I'm sure it won't tear.</v>
      </c>
    </row>
    <row r="8916" spans="1:9" x14ac:dyDescent="0.3">
      <c r="A8916" s="1" t="s">
        <v>238</v>
      </c>
      <c r="B8916" s="1" t="s">
        <v>276</v>
      </c>
      <c r="C8916" s="1" t="s">
        <v>277</v>
      </c>
      <c r="D8916" s="1" t="s">
        <v>545</v>
      </c>
      <c r="E8916" s="1" t="s">
        <v>3792</v>
      </c>
      <c r="F8916" s="1" t="s">
        <v>13293</v>
      </c>
      <c r="G8916" s="1" t="s">
        <v>36</v>
      </c>
      <c r="H8916" s="1" t="s">
        <v>29</v>
      </c>
      <c r="I8916" s="1" t="str">
        <f ca="1">IFERROR(__xludf.DUMMYFUNCTION("GOOGLETRANSLATE(F8916, ""auto"", ""en"")
"),"We bought it 6 years ago. It still works without any complaints. It freezes well, which is important for us, because at the end of summer during the harvesting season we have to freeze a lot of food (berries, herbs, mushrooms). DOES NOT require frequent d"&amp;"efrosting. The only thing is that the rubber band broke not so long ago, but this can all be solved.")</f>
        <v>We bought it 6 years ago. It still works without any complaints. It freezes well, which is important for us, because at the end of summer during the harvesting season we have to freeze a lot of food (berries, herbs, mushrooms). DOES NOT require frequent defrosting. The only thing is that the rubber band broke not so long ago, but this can all be solved.</v>
      </c>
    </row>
    <row r="8917" spans="1:9" x14ac:dyDescent="0.3">
      <c r="A8917" s="1" t="s">
        <v>61</v>
      </c>
      <c r="B8917" s="1" t="s">
        <v>318</v>
      </c>
      <c r="C8917" s="1" t="s">
        <v>101</v>
      </c>
      <c r="D8917" s="1" t="s">
        <v>2771</v>
      </c>
      <c r="E8917" s="1" t="s">
        <v>651</v>
      </c>
      <c r="F8917" s="1" t="s">
        <v>13294</v>
      </c>
      <c r="G8917" s="1" t="s">
        <v>49</v>
      </c>
      <c r="H8917" s="1" t="s">
        <v>16</v>
      </c>
      <c r="I8917" s="1" t="str">
        <f ca="1">IFERROR(__xludf.DUMMYFUNCTION("GOOGLETRANSLATE(F8917, ""auto"", ""en"")
"),"Until I boiled water with lemon in it, the nasty smell did not go away. Not convenient to use. The plaque inside is difficult to wash off with a rag. Twice it happened that it turned off for no reason, I filled up the water, the full volume. I turn it on "&amp;"and it turns off. The strainer is bad...the assembly is not of good quality, water leaks.")</f>
        <v>Until I boiled water with lemon in it, the nasty smell did not go away. Not convenient to use. The plaque inside is difficult to wash off with a rag. Twice it happened that it turned off for no reason, I filled up the water, the full volume. I turn it on and it turns off. The strainer is bad...the assembly is not of good quality, water leaks.</v>
      </c>
    </row>
    <row r="8918" spans="1:9" x14ac:dyDescent="0.3">
      <c r="A8918" s="1" t="s">
        <v>43</v>
      </c>
      <c r="B8918" s="1" t="s">
        <v>502</v>
      </c>
      <c r="C8918" s="1" t="s">
        <v>151</v>
      </c>
      <c r="D8918" s="1" t="s">
        <v>152</v>
      </c>
      <c r="E8918" s="1" t="s">
        <v>1756</v>
      </c>
      <c r="F8918" s="1" t="s">
        <v>13295</v>
      </c>
      <c r="G8918" s="1" t="s">
        <v>36</v>
      </c>
      <c r="H8918" s="1" t="s">
        <v>29</v>
      </c>
      <c r="I8918" s="1" t="str">
        <f ca="1">IFERROR(__xludf.DUMMYFUNCTION("GOOGLETRANSLATE(F8918, ""auto"", ""en"")
"),"I bought this air conditioner and it was installed by the guys recommended by M-Video. Everything is great!!! I already had a split Samsung seven of Korean assembly. But it was not enough, and this is enough for a room of 16 meters with ceilings of 3.2 me"&amp;"ters (Stalinist). Very pleased!!!")</f>
        <v>I bought this air conditioner and it was installed by the guys recommended by M-Video. Everything is great!!! I already had a split Samsung seven of Korean assembly. But it was not enough, and this is enough for a room of 16 meters with ceilings of 3.2 meters (Stalinist). Very pleased!!!</v>
      </c>
    </row>
    <row r="8919" spans="1:9" x14ac:dyDescent="0.3">
      <c r="A8919" s="1" t="s">
        <v>30</v>
      </c>
      <c r="B8919" s="1" t="s">
        <v>50</v>
      </c>
      <c r="C8919" s="1" t="s">
        <v>189</v>
      </c>
      <c r="D8919" s="1" t="s">
        <v>152</v>
      </c>
      <c r="E8919" s="1" t="s">
        <v>1086</v>
      </c>
      <c r="F8919" s="1" t="s">
        <v>13296</v>
      </c>
      <c r="G8919" s="1" t="s">
        <v>36</v>
      </c>
      <c r="H8919" s="1" t="s">
        <v>29</v>
      </c>
      <c r="I8919" s="1" t="str">
        <f ca="1">IFERROR(__xludf.DUMMYFUNCTION("GOOGLETRANSLATE(F8919, ""auto"", ""en"")
"),"The laptop is very reliable. But, for starters, install W7 and firewood from the official site. Everything works fine. Regarding the camera, it can be easily fixed by installing the firewood according to the camera code.")</f>
        <v>The laptop is very reliable. But, for starters, install W7 and firewood from the official site. Everything works fine. Regarding the camera, it can be easily fixed by installing the firewood according to the camera code.</v>
      </c>
    </row>
    <row r="8920" spans="1:9" x14ac:dyDescent="0.3">
      <c r="A8920" s="1" t="s">
        <v>37</v>
      </c>
      <c r="B8920" s="1" t="s">
        <v>536</v>
      </c>
      <c r="C8920" s="1" t="s">
        <v>1419</v>
      </c>
      <c r="D8920" s="1" t="s">
        <v>4546</v>
      </c>
      <c r="E8920" s="1" t="s">
        <v>2089</v>
      </c>
      <c r="F8920" s="1" t="s">
        <v>13297</v>
      </c>
      <c r="G8920" s="1" t="s">
        <v>36</v>
      </c>
      <c r="H8920" s="1" t="s">
        <v>29</v>
      </c>
      <c r="I8920" s="1" t="str">
        <f ca="1">IFERROR(__xludf.DUMMYFUNCTION("GOOGLETRANSLATE(F8920, ""auto"", ""en"")
"),"This is a communicator, not a phone, so don’t forget to cancel tasks in the manager and it will stop freezing.")</f>
        <v>This is a communicator, not a phone, so don’t forget to cancel tasks in the manager and it will stop freezing.</v>
      </c>
    </row>
    <row r="8921" spans="1:9" x14ac:dyDescent="0.3">
      <c r="A8921" s="1" t="s">
        <v>61</v>
      </c>
      <c r="B8921" s="1" t="s">
        <v>318</v>
      </c>
      <c r="C8921" s="1" t="s">
        <v>2840</v>
      </c>
      <c r="D8921" s="1" t="s">
        <v>46</v>
      </c>
      <c r="E8921" s="1" t="s">
        <v>454</v>
      </c>
      <c r="F8921" s="1" t="s">
        <v>13298</v>
      </c>
      <c r="G8921" s="1" t="s">
        <v>15</v>
      </c>
      <c r="H8921" s="1" t="s">
        <v>16</v>
      </c>
      <c r="I8921" s="1" t="str">
        <f ca="1">IFERROR(__xludf.DUMMYFUNCTION("GOOGLETRANSLATE(F8921, ""auto"", ""en"")
"),"The capacity is good for water. It boils quickly.")</f>
        <v>The capacity is good for water. It boils quickly.</v>
      </c>
    </row>
    <row r="8922" spans="1:9" x14ac:dyDescent="0.3">
      <c r="A8922" s="1" t="s">
        <v>61</v>
      </c>
      <c r="B8922" s="1" t="s">
        <v>977</v>
      </c>
      <c r="C8922" s="1" t="s">
        <v>74</v>
      </c>
      <c r="D8922" s="1" t="s">
        <v>12</v>
      </c>
      <c r="E8922" s="1" t="s">
        <v>12335</v>
      </c>
      <c r="F8922" s="1" t="s">
        <v>13299</v>
      </c>
      <c r="G8922" s="1" t="s">
        <v>36</v>
      </c>
      <c r="H8922" s="1" t="s">
        <v>29</v>
      </c>
      <c r="I8922" s="1" t="str">
        <f ca="1">IFERROR(__xludf.DUMMYFUNCTION("GOOGLETRANSLATE(F8922, ""auto"", ""en"")
"),"Just bought it yesterday. Made puree in 1 minute. So far I like everything, I will continue to watch. I hope there will be no disappointments.  I liked that the bowl was large and there were attachments for graters.")</f>
        <v>Just bought it yesterday. Made puree in 1 minute. So far I like everything, I will continue to watch. I hope there will be no disappointments.  I liked that the bowl was large and there were attachments for graters.</v>
      </c>
    </row>
    <row r="8923" spans="1:9" x14ac:dyDescent="0.3">
      <c r="A8923" s="1" t="s">
        <v>206</v>
      </c>
      <c r="B8923" s="1" t="s">
        <v>1349</v>
      </c>
      <c r="C8923" s="1" t="s">
        <v>262</v>
      </c>
      <c r="D8923" s="1" t="s">
        <v>32</v>
      </c>
      <c r="E8923" s="1" t="s">
        <v>128</v>
      </c>
      <c r="F8923" s="1" t="s">
        <v>13300</v>
      </c>
      <c r="G8923" s="1" t="s">
        <v>15</v>
      </c>
      <c r="H8923" s="1" t="s">
        <v>16</v>
      </c>
      <c r="I8923" s="1" t="str">
        <f ca="1">IFERROR(__xludf.DUMMYFUNCTION("GOOGLETRANSLATE(F8923, ""auto"", ""en"")
"),"I’ve had the radio for 2 years now, almost everything has fallen off, all that’s left is the radio and usb... initially I couldn’t connect the radio to my cell phone at all... I’ll never buy a radio from this company again...")</f>
        <v>I’ve had the radio for 2 years now, almost everything has fallen off, all that’s left is the radio and usb... initially I couldn’t connect the radio to my cell phone at all... I’ll never buy a radio from this company again...</v>
      </c>
    </row>
    <row r="8924" spans="1:9" x14ac:dyDescent="0.3">
      <c r="A8924" s="1" t="s">
        <v>477</v>
      </c>
      <c r="B8924" s="1" t="s">
        <v>478</v>
      </c>
      <c r="C8924" s="1" t="s">
        <v>479</v>
      </c>
      <c r="D8924" s="1" t="s">
        <v>295</v>
      </c>
      <c r="E8924" s="1" t="s">
        <v>5859</v>
      </c>
      <c r="F8924" s="1" t="s">
        <v>13301</v>
      </c>
      <c r="G8924" s="1" t="s">
        <v>36</v>
      </c>
      <c r="H8924" s="1" t="s">
        <v>29</v>
      </c>
      <c r="I8924" s="1" t="str">
        <f ca="1">IFERROR(__xludf.DUMMYFUNCTION("GOOGLETRANSLATE(F8924, ""auto"", ""en"")
"),"In my opinion, the game develops reaction speed and is very exciting in itself. I myself didn’t notice how I got to the end and subsequently I don’t deny myself the pleasure of relaxing by playing it again.")</f>
        <v>In my opinion, the game develops reaction speed and is very exciting in itself. I myself didn’t notice how I got to the end and subsequently I don’t deny myself the pleasure of relaxing by playing it again.</v>
      </c>
    </row>
    <row r="8925" spans="1:9" x14ac:dyDescent="0.3">
      <c r="A8925" s="1" t="s">
        <v>211</v>
      </c>
      <c r="B8925" s="1" t="s">
        <v>212</v>
      </c>
      <c r="C8925" s="1" t="s">
        <v>69</v>
      </c>
      <c r="D8925" s="1" t="s">
        <v>565</v>
      </c>
      <c r="E8925" s="1" t="s">
        <v>715</v>
      </c>
      <c r="F8925" s="1" t="s">
        <v>13302</v>
      </c>
      <c r="G8925" s="1" t="s">
        <v>49</v>
      </c>
      <c r="H8925" s="1" t="s">
        <v>16</v>
      </c>
      <c r="I8925" s="1" t="str">
        <f ca="1">IFERROR(__xludf.DUMMYFUNCTION("GOOGLETRANSLATE(F8925, ""auto"", ""en"")
"),"I didn't like it at all! I agree with all the disadvantages described above. Plus, during the work process the nozzle constantly flies out! And the attachments themselves are uncomfortable! This is some kind of horror!")</f>
        <v>I didn't like it at all! I agree with all the disadvantages described above. Plus, during the work process the nozzle constantly flies out! And the attachments themselves are uncomfortable! This is some kind of horror!</v>
      </c>
    </row>
    <row r="8926" spans="1:9" x14ac:dyDescent="0.3">
      <c r="A8926" s="1" t="s">
        <v>61</v>
      </c>
      <c r="B8926" s="1" t="s">
        <v>977</v>
      </c>
      <c r="C8926" s="1" t="s">
        <v>69</v>
      </c>
      <c r="D8926" s="1" t="s">
        <v>565</v>
      </c>
      <c r="E8926" s="1" t="s">
        <v>1950</v>
      </c>
      <c r="F8926" s="1" t="s">
        <v>13303</v>
      </c>
      <c r="G8926" s="1" t="s">
        <v>36</v>
      </c>
      <c r="H8926" s="1" t="s">
        <v>29</v>
      </c>
      <c r="I8926" s="1" t="str">
        <f ca="1">IFERROR(__xludf.DUMMYFUNCTION("GOOGLETRANSLATE(F8926, ""auto"", ""en"")
"),"Been using it for two months now. I make cocktails with it, chop vegetables for soups, salads, and stews. Cooking borscht has never been so fast. And this eternal problem with onions (we have opponents in our family) has completely disappeared, because th"&amp;"e onions are chopped so finely that their presence in food does not bother anyone.  I am very pleased with the purchase.")</f>
        <v>Been using it for two months now. I make cocktails with it, chop vegetables for soups, salads, and stews. Cooking borscht has never been so fast. And this eternal problem with onions (we have opponents in our family) has completely disappeared, because the onions are chopped so finely that their presence in food does not bother anyone.  I am very pleased with the purchase.</v>
      </c>
    </row>
    <row r="8927" spans="1:9" x14ac:dyDescent="0.3">
      <c r="A8927" s="1" t="s">
        <v>811</v>
      </c>
      <c r="B8927" s="1" t="s">
        <v>812</v>
      </c>
      <c r="C8927" s="1" t="s">
        <v>813</v>
      </c>
      <c r="D8927" s="1" t="s">
        <v>327</v>
      </c>
      <c r="E8927" s="1" t="s">
        <v>2310</v>
      </c>
      <c r="F8927" s="1" t="s">
        <v>13304</v>
      </c>
      <c r="G8927" s="1" t="s">
        <v>15</v>
      </c>
      <c r="H8927" s="1" t="s">
        <v>16</v>
      </c>
      <c r="I8927" s="1" t="str">
        <f ca="1">IFERROR(__xludf.DUMMYFUNCTION("GOOGLETRANSLATE(F8927, ""auto"", ""en"")
"),"I bought it yesterday... and yesterday I regretted it. In principle, there are already several tripods for different purposes, incl. and very ""serious"". But we needed exactly this one - for a specific purpose: to sometimes put the soap dish in video mod"&amp;"e, while the height was at least 140 and the weight was as light as possible. Everything seemed to coincide. And the price. But... The tripod head is designed and stamped with inherent defects. When shooting, the camera will always be tilted 3-5 degrees c"&amp;"lockwise!. This happens due to the platform tilting 90 degrees - when fixing its axial screw, incorrectly applied “teeth” do not allow it to stand completely horizontally. ""No ice!""")</f>
        <v>I bought it yesterday... and yesterday I regretted it. In principle, there are already several tripods for different purposes, incl. and very "serious". But we needed exactly this one - for a specific purpose: to sometimes put the soap dish in video mode, while the height was at least 140 and the weight was as light as possible. Everything seemed to coincide. And the price. But... The tripod head is designed and stamped with inherent defects. When shooting, the camera will always be tilted 3-5 degrees clockwise!. This happens due to the platform tilting 90 degrees - when fixing its axial screw, incorrectly applied “teeth” do not allow it to stand completely horizontally. "No ice!"</v>
      </c>
    </row>
    <row r="8928" spans="1:9" x14ac:dyDescent="0.3">
      <c r="A8928" s="1" t="s">
        <v>624</v>
      </c>
      <c r="B8928" s="1" t="s">
        <v>625</v>
      </c>
      <c r="C8928" s="1" t="s">
        <v>479</v>
      </c>
      <c r="D8928" s="1" t="s">
        <v>13305</v>
      </c>
      <c r="E8928" s="1" t="s">
        <v>1553</v>
      </c>
      <c r="F8928" s="1" t="s">
        <v>13306</v>
      </c>
      <c r="G8928" s="1" t="s">
        <v>36</v>
      </c>
      <c r="H8928" s="1" t="s">
        <v>29</v>
      </c>
      <c r="I8928" s="1" t="str">
        <f ca="1">IFERROR(__xludf.DUMMYFUNCTION("GOOGLETRANSLATE(F8928, ""auto"", ""en"")
"),"The game is just a mega explosion!!! Everyone should buy it urgently, especially since it’s only on the curling iron, you won’t find it on other platforms, everyone should have this game in their collection!!!  Graphics: 5 Story: 5 Controls: 5")</f>
        <v>The game is just a mega explosion!!! Everyone should buy it urgently, especially since it’s only on the curling iron, you won’t find it on other platforms, everyone should have this game in their collection!!!  Graphics: 5 Story: 5 Controls: 5</v>
      </c>
    </row>
    <row r="8929" spans="1:9" x14ac:dyDescent="0.3">
      <c r="A8929" s="1" t="s">
        <v>95</v>
      </c>
      <c r="B8929" s="1" t="s">
        <v>96</v>
      </c>
      <c r="C8929" s="1" t="s">
        <v>97</v>
      </c>
      <c r="D8929" s="1" t="s">
        <v>13307</v>
      </c>
      <c r="E8929" s="1" t="s">
        <v>886</v>
      </c>
      <c r="F8929" s="1" t="s">
        <v>13308</v>
      </c>
      <c r="G8929" s="1" t="s">
        <v>36</v>
      </c>
      <c r="H8929" s="1" t="s">
        <v>29</v>
      </c>
      <c r="I8929" s="1" t="str">
        <f ca="1">IFERROR(__xludf.DUMMYFUNCTION("GOOGLETRANSLATE(F8929, ""auto"", ""en"")
"),"A wonderful thing that is suitable for both adults and children. It is very convenient to use, those who think that this is an ordinary console for “toys and games” are very much mistaken. This is the same computer, in miniature. Music player, video, phot"&amp;"o, etc. Very convenient Internet for the set-top box. You can write a lot of wonderful things about this miracle. So buy it for yourself and your children, you will be very pleased and your children will thank you.")</f>
        <v>A wonderful thing that is suitable for both adults and children. It is very convenient to use, those who think that this is an ordinary console for “toys and games” are very much mistaken. This is the same computer, in miniature. Music player, video, photo, etc. Very convenient Internet for the set-top box. You can write a lot of wonderful things about this miracle. So buy it for yourself and your children, you will be very pleased and your children will thank you.</v>
      </c>
    </row>
    <row r="8930" spans="1:9" x14ac:dyDescent="0.3">
      <c r="A8930" s="1" t="s">
        <v>95</v>
      </c>
      <c r="B8930" s="1" t="s">
        <v>227</v>
      </c>
      <c r="C8930" s="1" t="s">
        <v>97</v>
      </c>
      <c r="D8930" s="1" t="s">
        <v>13309</v>
      </c>
      <c r="E8930" s="1" t="s">
        <v>9945</v>
      </c>
      <c r="F8930" s="1" t="s">
        <v>13310</v>
      </c>
      <c r="G8930" s="1" t="s">
        <v>36</v>
      </c>
      <c r="H8930" s="1" t="s">
        <v>29</v>
      </c>
      <c r="I8930" s="1" t="str">
        <f ca="1">IFERROR(__xludf.DUMMYFUNCTION("GOOGLETRANSLATE(F8930, ""auto"", ""en"")
"),"I’ve been the owner of this console for 3 years now and I still can’t get enough of it. I have music and videos in it, and, of course, games. But it’s high time to change the hard drive, because I only have 80 gigs. Take it.")</f>
        <v>I’ve been the owner of this console for 3 years now and I still can’t get enough of it. I have music and videos in it, and, of course, games. But it’s high time to change the hard drive, because I only have 80 gigs. Take it.</v>
      </c>
    </row>
    <row r="8931" spans="1:9" x14ac:dyDescent="0.3">
      <c r="A8931" s="1" t="s">
        <v>17</v>
      </c>
      <c r="B8931" s="1" t="s">
        <v>18</v>
      </c>
      <c r="C8931" s="1" t="s">
        <v>19</v>
      </c>
      <c r="D8931" s="1" t="s">
        <v>471</v>
      </c>
      <c r="E8931" s="1" t="s">
        <v>201</v>
      </c>
      <c r="F8931" s="1" t="s">
        <v>13311</v>
      </c>
      <c r="G8931" s="1" t="s">
        <v>36</v>
      </c>
      <c r="H8931" s="1" t="s">
        <v>29</v>
      </c>
      <c r="I8931" s="1" t="str">
        <f ca="1">IFERROR(__xludf.DUMMYFUNCTION("GOOGLETRANSLATE(F8931, ""auto"", ""en"")
"),"It washes really quietly and very well.")</f>
        <v>It washes really quietly and very well.</v>
      </c>
    </row>
    <row r="8932" spans="1:9" x14ac:dyDescent="0.3">
      <c r="A8932" s="1" t="s">
        <v>149</v>
      </c>
      <c r="B8932" s="1" t="s">
        <v>155</v>
      </c>
      <c r="C8932" s="1" t="s">
        <v>151</v>
      </c>
      <c r="D8932" s="1" t="s">
        <v>75</v>
      </c>
      <c r="E8932" s="1" t="s">
        <v>6113</v>
      </c>
      <c r="F8932" s="1" t="s">
        <v>13312</v>
      </c>
      <c r="G8932" s="1" t="s">
        <v>36</v>
      </c>
      <c r="H8932" s="1" t="s">
        <v>29</v>
      </c>
      <c r="I8932" s="1" t="str">
        <f ca="1">IFERROR(__xludf.DUMMYFUNCTION("GOOGLETRANSLATE(F8932, ""auto"", ""en"")
"),"Quality product")</f>
        <v>Quality product</v>
      </c>
    </row>
    <row r="8933" spans="1:9" x14ac:dyDescent="0.3">
      <c r="A8933" s="1" t="s">
        <v>37</v>
      </c>
      <c r="B8933" s="1" t="s">
        <v>38</v>
      </c>
      <c r="C8933" s="1" t="s">
        <v>151</v>
      </c>
      <c r="D8933" s="1" t="s">
        <v>295</v>
      </c>
      <c r="E8933" s="1" t="s">
        <v>2793</v>
      </c>
      <c r="F8933" s="1" t="s">
        <v>13313</v>
      </c>
      <c r="G8933" s="1" t="s">
        <v>28</v>
      </c>
      <c r="H8933" s="1" t="s">
        <v>29</v>
      </c>
      <c r="I8933" s="1" t="str">
        <f ca="1">IFERROR(__xludf.DUMMYFUNCTION("GOOGLETRANSLATE(F8933, ""auto"", ""en"")
"),"We bought the phone about a month ago, it didn’t cause any particular complaints, but... firstly, the speaker was confusing, or rather the sound quality, there was no purity, with some kind of hissing, after Sonya this was especially noticeable), although"&amp;" the volume is now really good.  secondly, the navigation key is not very convenient, but over time your fingers get used to it.  One of the advantages is an excellent, strict design, it fits nicely and comfortably in the hand.  In total - a good phone fo"&amp;"r people without any special complaints.")</f>
        <v>We bought the phone about a month ago, it didn’t cause any particular complaints, but... firstly, the speaker was confusing, or rather the sound quality, there was no purity, with some kind of hissing, after Sonya this was especially noticeable), although the volume is now really good.  secondly, the navigation key is not very convenient, but over time your fingers get used to it.  One of the advantages is an excellent, strict design, it fits nicely and comfortably in the hand.  In total - a good phone for people without any special complaints.</v>
      </c>
    </row>
    <row r="8934" spans="1:9" x14ac:dyDescent="0.3">
      <c r="A8934" s="1" t="s">
        <v>149</v>
      </c>
      <c r="B8934" s="1" t="s">
        <v>576</v>
      </c>
      <c r="C8934" s="1" t="s">
        <v>69</v>
      </c>
      <c r="D8934" s="1" t="s">
        <v>13314</v>
      </c>
      <c r="E8934" s="1" t="s">
        <v>7043</v>
      </c>
      <c r="F8934" s="1" t="s">
        <v>13315</v>
      </c>
      <c r="G8934" s="1" t="s">
        <v>36</v>
      </c>
      <c r="H8934" s="1" t="s">
        <v>29</v>
      </c>
      <c r="I8934" s="1" t="str">
        <f ca="1">IFERROR(__xludf.DUMMYFUNCTION("GOOGLETRANSLATE(F8934, ""auto"", ""en"")
"),"powerful, quiet, fairly light and maneuverable")</f>
        <v>powerful, quiet, fairly light and maneuverable</v>
      </c>
    </row>
    <row r="8935" spans="1:9" x14ac:dyDescent="0.3">
      <c r="A8935" s="1" t="s">
        <v>9</v>
      </c>
      <c r="B8935" s="1" t="s">
        <v>10</v>
      </c>
      <c r="C8935" s="1" t="s">
        <v>407</v>
      </c>
      <c r="D8935" s="1" t="s">
        <v>208</v>
      </c>
      <c r="E8935" s="1" t="s">
        <v>1267</v>
      </c>
      <c r="F8935" s="1" t="s">
        <v>13316</v>
      </c>
      <c r="G8935" s="1" t="s">
        <v>36</v>
      </c>
      <c r="H8935" s="1" t="s">
        <v>29</v>
      </c>
      <c r="I8935" s="1" t="str">
        <f ca="1">IFERROR(__xludf.DUMMYFUNCTION("GOOGLETRANSLATE(F8935, ""auto"", ""en"")
"),"Exactly stylish! And the clock is unnecessary there. There are already so many appliances in the kitchen and clocks everywhere! and everyone is not going in sync...")</f>
        <v>Exactly stylish! And the clock is unnecessary there. There are already so many appliances in the kitchen and clocks everywhere! and everyone is not going in sync...</v>
      </c>
    </row>
    <row r="8936" spans="1:9" x14ac:dyDescent="0.3">
      <c r="A8936" s="1" t="s">
        <v>211</v>
      </c>
      <c r="B8936" s="1" t="s">
        <v>265</v>
      </c>
      <c r="C8936" s="1" t="s">
        <v>122</v>
      </c>
      <c r="D8936" s="1" t="s">
        <v>152</v>
      </c>
      <c r="E8936" s="1" t="s">
        <v>7855</v>
      </c>
      <c r="F8936" s="1" t="s">
        <v>13317</v>
      </c>
      <c r="G8936" s="1" t="s">
        <v>49</v>
      </c>
      <c r="H8936" s="1" t="s">
        <v>16</v>
      </c>
      <c r="I8936" s="1" t="str">
        <f ca="1">IFERROR(__xludf.DUMMYFUNCTION("GOOGLETRANSLATE(F8936, ""auto"", ""en"")
"),"We got our hair cut once and realized that it would only waste our nerves, because... The nozzle gets clogged and after each application you have to pick out the hair from it.")</f>
        <v>We got our hair cut once and realized that it would only waste our nerves, because... The nozzle gets clogged and after each application you have to pick out the hair from it.</v>
      </c>
    </row>
    <row r="8937" spans="1:9" x14ac:dyDescent="0.3">
      <c r="A8937" s="1" t="s">
        <v>105</v>
      </c>
      <c r="B8937" s="1" t="s">
        <v>106</v>
      </c>
      <c r="C8937" s="1" t="s">
        <v>151</v>
      </c>
      <c r="D8937" s="1" t="s">
        <v>13318</v>
      </c>
      <c r="E8937" s="1" t="s">
        <v>886</v>
      </c>
      <c r="F8937" s="1" t="s">
        <v>13319</v>
      </c>
      <c r="G8937" s="1" t="s">
        <v>36</v>
      </c>
      <c r="H8937" s="1" t="s">
        <v>29</v>
      </c>
      <c r="I8937" s="1" t="str">
        <f ca="1">IFERROR(__xludf.DUMMYFUNCTION("GOOGLETRANSLATE(F8937, ""auto"", ""en"")
"),"Tomorrow I’m going to buy such a player. I wanted a simple and cheap one. And now I found a candidate, it seems to me an excellent model, the comments are mostly good. I hope it won’t let you down!!! And the colors are just super!!!")</f>
        <v>Tomorrow I’m going to buy such a player. I wanted a simple and cheap one. And now I found a candidate, it seems to me an excellent model, the comments are mostly good. I hope it won’t let you down!!! And the colors are just super!!!</v>
      </c>
    </row>
    <row r="8938" spans="1:9" x14ac:dyDescent="0.3">
      <c r="A8938" s="1" t="s">
        <v>557</v>
      </c>
      <c r="B8938" s="1" t="s">
        <v>1977</v>
      </c>
      <c r="C8938" s="1" t="s">
        <v>122</v>
      </c>
      <c r="D8938" s="1" t="s">
        <v>6732</v>
      </c>
      <c r="E8938" s="1" t="s">
        <v>3114</v>
      </c>
      <c r="F8938" s="1" t="s">
        <v>13320</v>
      </c>
      <c r="G8938" s="1" t="s">
        <v>36</v>
      </c>
      <c r="H8938" s="1" t="s">
        <v>29</v>
      </c>
      <c r="I8938" s="1" t="str">
        <f ca="1">IFERROR(__xludf.DUMMYFUNCTION("GOOGLETRANSLATE(F8938, ""auto"", ""en"")
"),"We bought 5 pieces for the office, we will need more, now all the employees want one. A good notebook, input in Russian, search in Russian too. Latin is also possible. Very simple controls. And most importantly, there is a Redial button - dialing the busi"&amp;"est office is not a problem.")</f>
        <v>We bought 5 pieces for the office, we will need more, now all the employees want one. A good notebook, input in Russian, search in Russian too. Latin is also possible. Very simple controls. And most importantly, there is a Redial button - dialing the busiest office is not a problem.</v>
      </c>
    </row>
    <row r="8939" spans="1:9" x14ac:dyDescent="0.3">
      <c r="A8939" s="1" t="s">
        <v>149</v>
      </c>
      <c r="B8939" s="1" t="s">
        <v>155</v>
      </c>
      <c r="C8939" s="1" t="s">
        <v>151</v>
      </c>
      <c r="D8939" s="1" t="s">
        <v>39</v>
      </c>
      <c r="E8939" s="1" t="s">
        <v>713</v>
      </c>
      <c r="F8939" s="1" t="s">
        <v>13321</v>
      </c>
      <c r="G8939" s="1" t="s">
        <v>1580</v>
      </c>
      <c r="H8939" s="1" t="s">
        <v>29</v>
      </c>
      <c r="I8939" s="1" t="str">
        <f ca="1">IFERROR(__xludf.DUMMYFUNCTION("GOOGLETRANSLATE(F8939, ""auto"", ""en"")
"),"Design, power, ")</f>
        <v xml:space="preserve">Design, power, </v>
      </c>
    </row>
    <row r="8940" spans="1:9" x14ac:dyDescent="0.3">
      <c r="A8940" s="1" t="s">
        <v>43</v>
      </c>
      <c r="B8940" s="1" t="s">
        <v>502</v>
      </c>
      <c r="C8940" s="1" t="s">
        <v>151</v>
      </c>
      <c r="D8940" s="1" t="s">
        <v>1092</v>
      </c>
      <c r="E8940" s="1" t="s">
        <v>2120</v>
      </c>
      <c r="F8940" s="1" t="s">
        <v>13322</v>
      </c>
      <c r="G8940" s="1" t="s">
        <v>15</v>
      </c>
      <c r="H8940" s="1" t="s">
        <v>16</v>
      </c>
      <c r="I8940" s="1" t="str">
        <f ca="1">IFERROR(__xludf.DUMMYFUNCTION("GOOGLETRANSLATE(F8940, ""auto"", ""en"")
"),"Silent (almost inaudible) BUT does not cool well, overnight it cooled the room from 32'C to 27'C degrees when operating at 3rd fan speed and a temperature of 16'C, I advise you to think before you buy")</f>
        <v>Silent (almost inaudible) BUT does not cool well, overnight it cooled the room from 32'C to 27'C degrees when operating at 3rd fan speed and a temperature of 16'C, I advise you to think before you buy</v>
      </c>
    </row>
    <row r="8941" spans="1:9" x14ac:dyDescent="0.3">
      <c r="A8941" s="1" t="s">
        <v>120</v>
      </c>
      <c r="B8941" s="1" t="s">
        <v>121</v>
      </c>
      <c r="C8941" s="1" t="s">
        <v>97</v>
      </c>
      <c r="D8941" s="1" t="s">
        <v>113</v>
      </c>
      <c r="E8941" s="1" t="s">
        <v>3594</v>
      </c>
      <c r="F8941" s="1" t="s">
        <v>13323</v>
      </c>
      <c r="G8941" s="1" t="s">
        <v>36</v>
      </c>
      <c r="H8941" s="1" t="s">
        <v>29</v>
      </c>
      <c r="I8941" s="1" t="str">
        <f ca="1">IFERROR(__xludf.DUMMYFUNCTION("GOOGLETRANSLATE(F8941, ""auto"", ""en"")
"),"The TV is gorgeous, you watch as if you are in a cinema, and because of the choice of scenes, football and concerts are a pleasure to watch")</f>
        <v>The TV is gorgeous, you watch as if you are in a cinema, and because of the choice of scenes, football and concerts are a pleasure to watch</v>
      </c>
    </row>
    <row r="8942" spans="1:9" x14ac:dyDescent="0.3">
      <c r="A8942" s="1" t="s">
        <v>61</v>
      </c>
      <c r="B8942" s="1" t="s">
        <v>318</v>
      </c>
      <c r="C8942" s="1" t="s">
        <v>246</v>
      </c>
      <c r="D8942" s="1" t="s">
        <v>172</v>
      </c>
      <c r="E8942" s="1" t="s">
        <v>932</v>
      </c>
      <c r="F8942" s="1" t="s">
        <v>13324</v>
      </c>
      <c r="G8942" s="1" t="s">
        <v>15</v>
      </c>
      <c r="H8942" s="1" t="s">
        <v>16</v>
      </c>
      <c r="I8942" s="1" t="str">
        <f ca="1">IFERROR(__xludf.DUMMYFUNCTION("GOOGLETRANSLATE(F8942, ""auto"", ""en"")
"),"After 2 years it leaked and the lid fell apart, was collected in pieces and no longer opens. The leak was fixed as follows: take a small 4mm stainless steel bolt, wind it with plumbing thread and screw it from the inside of the kettle into the hole; faste"&amp;"ning the sight glass lasts for six months. We don’t touch the lid, the volume of water is determined by weight, it makes noise like an airplane.")</f>
        <v>After 2 years it leaked and the lid fell apart, was collected in pieces and no longer opens. The leak was fixed as follows: take a small 4mm stainless steel bolt, wind it with plumbing thread and screw it from the inside of the kettle into the hole; fastening the sight glass lasts for six months. We don’t touch the lid, the volume of water is determined by weight, it makes noise like an airplane.</v>
      </c>
    </row>
    <row r="8943" spans="1:9" x14ac:dyDescent="0.3">
      <c r="A8943" s="1" t="s">
        <v>37</v>
      </c>
      <c r="B8943" s="1" t="s">
        <v>38</v>
      </c>
      <c r="C8943" s="1" t="s">
        <v>39</v>
      </c>
      <c r="D8943" s="1" t="s">
        <v>13325</v>
      </c>
      <c r="E8943" s="1" t="s">
        <v>418</v>
      </c>
      <c r="F8943" s="1" t="s">
        <v>13326</v>
      </c>
      <c r="G8943" s="1" t="s">
        <v>36</v>
      </c>
      <c r="H8943" s="1" t="s">
        <v>29</v>
      </c>
      <c r="I8943" s="1" t="str">
        <f ca="1">IFERROR(__xludf.DUMMYFUNCTION("GOOGLETRANSLATE(F8943, ""auto"", ""en"")
"),"The camera takes pictures clearly, the screen is clear, the sound is clear, there are no mistakes. Take a real phone")</f>
        <v>The camera takes pictures clearly, the screen is clear, the sound is clear, there are no mistakes. Take a real phone</v>
      </c>
    </row>
    <row r="8944" spans="1:9" x14ac:dyDescent="0.3">
      <c r="A8944" s="1" t="s">
        <v>477</v>
      </c>
      <c r="B8944" s="1" t="s">
        <v>478</v>
      </c>
      <c r="C8944" s="1" t="s">
        <v>479</v>
      </c>
      <c r="D8944" s="1" t="s">
        <v>13327</v>
      </c>
      <c r="E8944" s="1" t="s">
        <v>540</v>
      </c>
      <c r="F8944" s="1" t="s">
        <v>13328</v>
      </c>
      <c r="G8944" s="1" t="s">
        <v>28</v>
      </c>
      <c r="H8944" s="1" t="s">
        <v>29</v>
      </c>
      <c r="I8944" s="1" t="str">
        <f ca="1">IFERROR(__xludf.DUMMYFUNCTION("GOOGLETRANSLATE(F8944, ""auto"", ""en"")
"),"The description of the product does not correspond to the product itself.  A payment card is being sold, but there is not a word about it in the description. It is advisable to remove all the nonsense that is written there (since the person who buys a pay"&amp;"ment card for the game already knows what kind of game it is), and write a REAL description of the product - how many days the card is for, what servers it is suitable for, etc. etc.    P.s. Included is a card for 60 days of online access - what is includ"&amp;"ed? You are selling it. This is everything else *included*, and the card is the main product.")</f>
        <v>The description of the product does not correspond to the product itself.  A payment card is being sold, but there is not a word about it in the description. It is advisable to remove all the nonsense that is written there (since the person who buys a payment card for the game already knows what kind of game it is), and write a REAL description of the product - how many days the card is for, what servers it is suitable for, etc. etc.    P.s. Included is a card for 60 days of online access - what is included? You are selling it. This is everything else *included*, and the card is the main product.</v>
      </c>
    </row>
    <row r="8945" spans="1:9" x14ac:dyDescent="0.3">
      <c r="A8945" s="1" t="s">
        <v>206</v>
      </c>
      <c r="B8945" s="1" t="s">
        <v>1349</v>
      </c>
      <c r="C8945" s="1" t="s">
        <v>4219</v>
      </c>
      <c r="D8945" s="1" t="s">
        <v>13329</v>
      </c>
      <c r="E8945" s="1" t="s">
        <v>2531</v>
      </c>
      <c r="F8945" s="1" t="s">
        <v>13330</v>
      </c>
      <c r="G8945" s="1" t="s">
        <v>15</v>
      </c>
      <c r="H8945" s="1" t="s">
        <v>16</v>
      </c>
      <c r="I8945" s="1" t="str">
        <f ca="1">IFERROR(__xludf.DUMMYFUNCTION("GOOGLETRANSLATE(F8945, ""auto"", ""en"")
"),"So I thought it was bullshit. Thank you, kind man, for your feedback - saved me!")</f>
        <v>So I thought it was bullshit. Thank you, kind man, for your feedback - saved me!</v>
      </c>
    </row>
    <row r="8946" spans="1:9" x14ac:dyDescent="0.3">
      <c r="A8946" s="1" t="s">
        <v>61</v>
      </c>
      <c r="B8946" s="1" t="s">
        <v>145</v>
      </c>
      <c r="C8946" s="1" t="s">
        <v>69</v>
      </c>
      <c r="D8946" s="1" t="s">
        <v>52</v>
      </c>
      <c r="E8946" s="1" t="s">
        <v>3203</v>
      </c>
      <c r="F8946" s="1" t="s">
        <v>13331</v>
      </c>
      <c r="G8946" s="1" t="s">
        <v>49</v>
      </c>
      <c r="H8946" s="1" t="s">
        <v>16</v>
      </c>
      <c r="I8946" s="1" t="str">
        <f ca="1">IFERROR(__xludf.DUMMYFUNCTION("GOOGLETRANSLATE(F8946, ""auto"", ""en"")
"),"The Philips HD 9140 steamer worked well at first, now when turned on, the REFILL LED constantly blinks and the sound signal beeps intermittently, while the steamer itself works, that is, the steam heats up and the programs function.  The steamer was purch"&amp;"ased from M Video a month and a half ago. Unfortunately, nothing worthwhile is written in the manual for the steamer.")</f>
        <v>The Philips HD 9140 steamer worked well at first, now when turned on, the REFILL LED constantly blinks and the sound signal beeps intermittently, while the steamer itself works, that is, the steam heats up and the programs function.  The steamer was purchased from M Video a month and a half ago. Unfortunately, nothing worthwhile is written in the manual for the steamer.</v>
      </c>
    </row>
    <row r="8947" spans="1:9" x14ac:dyDescent="0.3">
      <c r="A8947" s="1" t="s">
        <v>67</v>
      </c>
      <c r="B8947" s="1" t="s">
        <v>68</v>
      </c>
      <c r="C8947" s="1" t="s">
        <v>69</v>
      </c>
      <c r="D8947" s="1" t="s">
        <v>12</v>
      </c>
      <c r="E8947" s="1" t="s">
        <v>391</v>
      </c>
      <c r="F8947" s="1" t="s">
        <v>13332</v>
      </c>
      <c r="G8947" s="1" t="s">
        <v>15</v>
      </c>
      <c r="H8947" s="1" t="s">
        <v>16</v>
      </c>
      <c r="I8947" s="1" t="str">
        <f ca="1">IFERROR(__xludf.DUMMYFUNCTION("GOOGLETRANSLATE(F8947, ""auto"", ""en"")
"),"We've been using it for over a year. Water is constantly leaking. From unheated water it simply flows like a stream. When ironing it constantly leaves wet spots. You have to draw water every five minutes.")</f>
        <v>We've been using it for over a year. Water is constantly leaking. From unheated water it simply flows like a stream. When ironing it constantly leaves wet spots. You have to draw water every five minutes.</v>
      </c>
    </row>
    <row r="8948" spans="1:9" x14ac:dyDescent="0.3">
      <c r="A8948" s="1" t="s">
        <v>61</v>
      </c>
      <c r="B8948" s="1" t="s">
        <v>977</v>
      </c>
      <c r="C8948" s="1" t="s">
        <v>213</v>
      </c>
      <c r="D8948" s="1" t="s">
        <v>545</v>
      </c>
      <c r="E8948" s="1" t="s">
        <v>1886</v>
      </c>
      <c r="F8948" s="1" t="s">
        <v>13333</v>
      </c>
      <c r="G8948" s="1" t="s">
        <v>36</v>
      </c>
      <c r="H8948" s="1" t="s">
        <v>29</v>
      </c>
      <c r="I8948" s="1" t="str">
        <f ca="1">IFERROR(__xludf.DUMMYFUNCTION("GOOGLETRANSLATE(F8948, ""auto"", ""en"")
"),"The blender is super! I bought it three months ago and I’m very pleased!!! It’s a little disappointing that it doesn’t come with a wall mount, although the website says that it does. But these are minor things. I advise you to buy it.")</f>
        <v>The blender is super! I bought it three months ago and I’m very pleased!!! It’s a little disappointing that it doesn’t come with a wall mount, although the website says that it does. But these are minor things. I advise you to buy it.</v>
      </c>
    </row>
    <row r="8949" spans="1:9" x14ac:dyDescent="0.3">
      <c r="A8949" s="1" t="s">
        <v>811</v>
      </c>
      <c r="B8949" s="1" t="s">
        <v>812</v>
      </c>
      <c r="C8949" s="1" t="s">
        <v>813</v>
      </c>
      <c r="D8949" s="1" t="s">
        <v>13334</v>
      </c>
      <c r="E8949" s="1" t="s">
        <v>3184</v>
      </c>
      <c r="F8949" s="1" t="s">
        <v>13335</v>
      </c>
      <c r="G8949" s="1" t="s">
        <v>15</v>
      </c>
      <c r="H8949" s="1" t="s">
        <v>16</v>
      </c>
      <c r="I8949" s="1" t="str">
        <f ca="1">IFERROR(__xludf.DUMMYFUNCTION("GOOGLETRANSLATE(F8949, ""auto"", ""en"")
"),"I purchased it yesterday. It is non-metallic, contrary to the description. The plastic is black, covered with easily peelable silver paint. The “rubber” plastic on the legs and the platform under the camera stinks very much, as is typical for many Chinese"&amp;" products made from soft plastics. After contact with hands, fingers also stink... Otherwise, it is functional in accordance with its intended purpose. Disappointed with the purchase.")</f>
        <v>I purchased it yesterday. It is non-metallic, contrary to the description. The plastic is black, covered with easily peelable silver paint. The “rubber” plastic on the legs and the platform under the camera stinks very much, as is typical for many Chinese products made from soft plastics. After contact with hands, fingers also stink... Otherwise, it is functional in accordance with its intended purpose. Disappointed with the purchase.</v>
      </c>
    </row>
    <row r="8950" spans="1:9" x14ac:dyDescent="0.3">
      <c r="A8950" s="1" t="s">
        <v>37</v>
      </c>
      <c r="B8950" s="1" t="s">
        <v>38</v>
      </c>
      <c r="C8950" s="1" t="s">
        <v>39</v>
      </c>
      <c r="D8950" s="1" t="s">
        <v>13336</v>
      </c>
      <c r="E8950" s="1" t="s">
        <v>53</v>
      </c>
      <c r="F8950" s="1" t="s">
        <v>13337</v>
      </c>
      <c r="G8950" s="1" t="s">
        <v>28</v>
      </c>
      <c r="H8950" s="1" t="s">
        <v>29</v>
      </c>
      <c r="I8950" s="1" t="str">
        <f ca="1">IFERROR(__xludf.DUMMYFUNCTION("GOOGLETRANSLATE(F8950, ""auto"", ""en"")
"),"The opinion is generally positive, I was pleased with the wonderful themes, excellent screen and thickness with the design. There are also disadvantages, such as quiet sound, glitches in the basic firmware and, frankly speaking, poor quality of music (the"&amp;" phone does not work normally with 16 ohm headphones, noise is heard, despite the fact that it is positioned as a music device).")</f>
        <v>The opinion is generally positive, I was pleased with the wonderful themes, excellent screen and thickness with the design. There are also disadvantages, such as quiet sound, glitches in the basic firmware and, frankly speaking, poor quality of music (the phone does not work normally with 16 ohm headphones, noise is heard, despite the fact that it is positioned as a music device).</v>
      </c>
    </row>
    <row r="8951" spans="1:9" x14ac:dyDescent="0.3">
      <c r="A8951" s="1" t="s">
        <v>17</v>
      </c>
      <c r="B8951" s="1" t="s">
        <v>18</v>
      </c>
      <c r="C8951" s="1" t="s">
        <v>63</v>
      </c>
      <c r="D8951" s="1" t="s">
        <v>742</v>
      </c>
      <c r="E8951" s="1" t="s">
        <v>1270</v>
      </c>
      <c r="F8951" s="1" t="s">
        <v>13338</v>
      </c>
      <c r="G8951" s="1" t="s">
        <v>36</v>
      </c>
      <c r="H8951" s="1" t="s">
        <v>29</v>
      </c>
      <c r="I8951" s="1" t="str">
        <f ca="1">IFERROR(__xludf.DUMMYFUNCTION("GOOGLETRANSLATE(F8951, ""auto"", ""en"")
"),"The machine is excellent, washes perfectly, spins very well, washing for 15 minutes is very convenient, during the spin cycle it perfectly evens out the imbalance, there is absolutely no vibration, it washes quietly, during the spin cycle there is a whist"&amp;"ling characteristic of all machines of the Bosch and Siemens series, but it does not interfere. Before this car I had an AEG Lavamat 88840 that lasted 8.5 years, I hope this one will last no less))) Happy shopping in m-video stores everyone! We have been "&amp;"purchasing household appliances from M Video for 4 years, no complaints!")</f>
        <v>The machine is excellent, washes perfectly, spins very well, washing for 15 minutes is very convenient, during the spin cycle it perfectly evens out the imbalance, there is absolutely no vibration, it washes quietly, during the spin cycle there is a whistling characteristic of all machines of the Bosch and Siemens series, but it does not interfere. Before this car I had an AEG Lavamat 88840 that lasted 8.5 years, I hope this one will last no less))) Happy shopping in m-video stores everyone! We have been purchasing household appliances from M Video for 4 years, no complaints!</v>
      </c>
    </row>
    <row r="8952" spans="1:9" x14ac:dyDescent="0.3">
      <c r="A8952" s="1" t="s">
        <v>61</v>
      </c>
      <c r="B8952" s="1" t="s">
        <v>318</v>
      </c>
      <c r="C8952" s="1" t="s">
        <v>69</v>
      </c>
      <c r="D8952" s="1" t="s">
        <v>305</v>
      </c>
      <c r="E8952" s="1" t="s">
        <v>5859</v>
      </c>
      <c r="F8952" s="1" t="s">
        <v>13339</v>
      </c>
      <c r="G8952" s="1" t="s">
        <v>28</v>
      </c>
      <c r="H8952" s="1" t="s">
        <v>29</v>
      </c>
      <c r="I8952" s="1" t="str">
        <f ca="1">IFERROR(__xludf.DUMMYFUNCTION("GOOGLETRANSLATE(F8952, ""auto"", ""en"")
"),"A normal kettle, simple without any frills. Doesn't smell like plastic. The bad thing is that there is no work indicator. After 1.5 years of use, the screw at the bottom of the handle leaked and I had to throw the kettle away.")</f>
        <v>A normal kettle, simple without any frills. Doesn't smell like plastic. The bad thing is that there is no work indicator. After 1.5 years of use, the screw at the bottom of the handle leaked and I had to throw the kettle away.</v>
      </c>
    </row>
    <row r="8953" spans="1:9" x14ac:dyDescent="0.3">
      <c r="A8953" s="1" t="s">
        <v>61</v>
      </c>
      <c r="B8953" s="1" t="s">
        <v>318</v>
      </c>
      <c r="C8953" s="1" t="s">
        <v>45</v>
      </c>
      <c r="D8953" s="1" t="s">
        <v>456</v>
      </c>
      <c r="E8953" s="1" t="s">
        <v>2680</v>
      </c>
      <c r="F8953" s="1" t="s">
        <v>13340</v>
      </c>
      <c r="G8953" s="1" t="s">
        <v>36</v>
      </c>
      <c r="H8953" s="1" t="s">
        <v>29</v>
      </c>
      <c r="I8953" s="1" t="str">
        <f ca="1">IFERROR(__xludf.DUMMYFUNCTION("GOOGLETRANSLATE(F8953, ""auto"", ""en"")
"),"The kettle is good, not noisy.")</f>
        <v>The kettle is good, not noisy.</v>
      </c>
    </row>
    <row r="8954" spans="1:9" x14ac:dyDescent="0.3">
      <c r="A8954" s="1" t="s">
        <v>811</v>
      </c>
      <c r="B8954" s="1" t="s">
        <v>1599</v>
      </c>
      <c r="C8954" s="1" t="s">
        <v>3051</v>
      </c>
      <c r="D8954" s="1" t="s">
        <v>13341</v>
      </c>
      <c r="E8954" s="1" t="s">
        <v>3333</v>
      </c>
      <c r="F8954" s="1" t="s">
        <v>13342</v>
      </c>
      <c r="G8954" s="1" t="s">
        <v>36</v>
      </c>
      <c r="H8954" s="1" t="s">
        <v>29</v>
      </c>
      <c r="I8954" s="1" t="str">
        <f ca="1">IFERROR(__xludf.DUMMYFUNCTION("GOOGLETRANSLATE(F8954, ""auto"", ""en"")
"),"An excellent medium-sized photo backpack. Convenient compartments for optics and flashes with the possibility of individual configuration. a great place for the camera itself. The presence of compartments for small items. Hard bottom. Overall good shock r"&amp;"esistance. Well, the quality is quite excellent! Very happy with the purchase!")</f>
        <v>An excellent medium-sized photo backpack. Convenient compartments for optics and flashes with the possibility of individual configuration. a great place for the camera itself. The presence of compartments for small items. Hard bottom. Overall good shock resistance. Well, the quality is quite excellent! Very happy with the purchase!</v>
      </c>
    </row>
    <row r="8955" spans="1:9" x14ac:dyDescent="0.3">
      <c r="A8955" s="1" t="s">
        <v>61</v>
      </c>
      <c r="B8955" s="1" t="s">
        <v>318</v>
      </c>
      <c r="C8955" s="1" t="s">
        <v>69</v>
      </c>
      <c r="D8955" s="1" t="s">
        <v>1188</v>
      </c>
      <c r="E8955" s="1" t="s">
        <v>708</v>
      </c>
      <c r="F8955" s="1" t="s">
        <v>13343</v>
      </c>
      <c r="G8955" s="1" t="s">
        <v>36</v>
      </c>
      <c r="H8955" s="1" t="s">
        <v>29</v>
      </c>
      <c r="I8955" s="1" t="str">
        <f ca="1">IFERROR(__xludf.DUMMYFUNCTION("GOOGLETRANSLATE(F8955, ""auto"", ""en"")
"),"Read the reviews and bought it. At first I didn’t like the lid, it was somehow difficult to open, but now everything is fine. The kettle is light and roomy. Thanks for the advice!")</f>
        <v>Read the reviews and bought it. At first I didn’t like the lid, it was somehow difficult to open, but now everything is fine. The kettle is light and roomy. Thanks for the advice!</v>
      </c>
    </row>
    <row r="8956" spans="1:9" x14ac:dyDescent="0.3">
      <c r="A8956" s="1" t="s">
        <v>120</v>
      </c>
      <c r="B8956" s="1" t="s">
        <v>121</v>
      </c>
      <c r="C8956" s="1" t="s">
        <v>97</v>
      </c>
      <c r="D8956" s="1" t="s">
        <v>1117</v>
      </c>
      <c r="E8956" s="1" t="s">
        <v>1871</v>
      </c>
      <c r="F8956" s="1" t="s">
        <v>13344</v>
      </c>
      <c r="G8956" s="1" t="s">
        <v>36</v>
      </c>
      <c r="H8956" s="1" t="s">
        <v>29</v>
      </c>
      <c r="I8956" s="1" t="str">
        <f ca="1">IFERROR(__xludf.DUMMYFUNCTION("GOOGLETRANSLATE(F8956, ""auto"", ""en"")
"),"Dear Zhenya from Vorkuta!  Install some converter program on your computer. I can recommend a simple and at the same time multifunctional, free, unlike others, Russified Format Factory.   Convert the desired file to MPEG. It will take a little time. Copy "&amp;"what you received to a flash drive. Insert it into the corresponding connector on the TV body. Enter the menu. And look.")</f>
        <v>Dear Zhenya from Vorkuta!  Install some converter program on your computer. I can recommend a simple and at the same time multifunctional, free, unlike others, Russified Format Factory.   Convert the desired file to MPEG. It will take a little time. Copy what you received to a flash drive. Insert it into the corresponding connector on the TV body. Enter the menu. And look.</v>
      </c>
    </row>
    <row r="8957" spans="1:9" x14ac:dyDescent="0.3">
      <c r="A8957" s="1" t="s">
        <v>95</v>
      </c>
      <c r="B8957" s="1" t="s">
        <v>648</v>
      </c>
      <c r="C8957" s="1" t="s">
        <v>97</v>
      </c>
      <c r="D8957" s="1" t="s">
        <v>200</v>
      </c>
      <c r="E8957" s="1" t="s">
        <v>3284</v>
      </c>
      <c r="F8957" s="1" t="s">
        <v>13345</v>
      </c>
      <c r="G8957" s="1" t="s">
        <v>36</v>
      </c>
      <c r="H8957" s="1" t="s">
        <v>29</v>
      </c>
      <c r="I8957" s="1" t="str">
        <f ca="1">IFERROR(__xludf.DUMMYFUNCTION("GOOGLETRANSLATE(F8957, ""auto"", ""en"")
"),"5 months ago I bought a console, it’s good and I advise you to download the game god of war, a very interesting game and a couple of shooters")</f>
        <v>5 months ago I bought a console, it’s good and I advise you to download the game god of war, a very interesting game and a couple of shooters</v>
      </c>
    </row>
    <row r="8958" spans="1:9" x14ac:dyDescent="0.3">
      <c r="A8958" s="1" t="s">
        <v>43</v>
      </c>
      <c r="B8958" s="1" t="s">
        <v>44</v>
      </c>
      <c r="C8958" s="1" t="s">
        <v>85</v>
      </c>
      <c r="D8958" s="1" t="s">
        <v>1894</v>
      </c>
      <c r="E8958" s="1" t="s">
        <v>4424</v>
      </c>
      <c r="F8958" s="1" t="s">
        <v>13346</v>
      </c>
      <c r="G8958" s="1" t="s">
        <v>36</v>
      </c>
      <c r="H8958" s="1" t="s">
        <v>29</v>
      </c>
      <c r="I8958" s="1" t="str">
        <f ca="1">IFERROR(__xludf.DUMMYFUNCTION("GOOGLETRANSLATE(F8958, ""auto"", ""en"")
"),"A great fan, I’ve been using it for 4 months now, it’s the only thing that saves me in this heat, I’m thinking about buying a second one for another room.   Stylish, powerful, very quiet, convenient timer, air ionizer.")</f>
        <v>A great fan, I’ve been using it for 4 months now, it’s the only thing that saves me in this heat, I’m thinking about buying a second one for another room.   Stylish, powerful, very quiet, convenient timer, air ionizer.</v>
      </c>
    </row>
    <row r="8959" spans="1:9" x14ac:dyDescent="0.3">
      <c r="A8959" s="1" t="s">
        <v>30</v>
      </c>
      <c r="B8959" s="1" t="s">
        <v>31</v>
      </c>
      <c r="C8959" s="1" t="s">
        <v>32</v>
      </c>
      <c r="D8959" s="1" t="s">
        <v>1681</v>
      </c>
      <c r="E8959" s="1" t="s">
        <v>1707</v>
      </c>
      <c r="F8959" s="1" t="s">
        <v>13347</v>
      </c>
      <c r="G8959" s="1" t="s">
        <v>28</v>
      </c>
      <c r="H8959" s="1" t="s">
        <v>29</v>
      </c>
      <c r="I8959" s="1" t="str">
        <f ca="1">IFERROR(__xludf.DUMMYFUNCTION("GOOGLETRANSLATE(F8959, ""auto"", ""en"")
"),"I bought this model 2 months ago. I'm happy. Quiet, compact, cute. Everything flies! I am contacting the person who wrote that Call of Duty 4 is slow - my 5th crashed!!! Old good games (like Crysis) are not running at full capacity, because, as far as I u"&amp;"nderstand, they don’t see 4 cores!   Personally, one thing confuses me is whether there will be problems with the upgrade in the future. Let's wait and see! Has anyone figured it out yet?? Integrated video??")</f>
        <v>I bought this model 2 months ago. I'm happy. Quiet, compact, cute. Everything flies! I am contacting the person who wrote that Call of Duty 4 is slow - my 5th crashed!!! Old good games (like Crysis) are not running at full capacity, because, as far as I understand, they don’t see 4 cores!   Personally, one thing confuses me is whether there will be problems with the upgrade in the future. Let's wait and see! Has anyone figured it out yet?? Integrated video??</v>
      </c>
    </row>
    <row r="8960" spans="1:9" x14ac:dyDescent="0.3">
      <c r="A8960" s="1" t="s">
        <v>211</v>
      </c>
      <c r="B8960" s="1" t="s">
        <v>212</v>
      </c>
      <c r="C8960" s="1" t="s">
        <v>453</v>
      </c>
      <c r="D8960" s="1" t="s">
        <v>13348</v>
      </c>
      <c r="E8960" s="1" t="s">
        <v>13349</v>
      </c>
      <c r="F8960" s="1" t="s">
        <v>13350</v>
      </c>
      <c r="G8960" s="1" t="s">
        <v>36</v>
      </c>
      <c r="H8960" s="1" t="s">
        <v>29</v>
      </c>
      <c r="I8960" s="1" t="str">
        <f ca="1">IFERROR(__xludf.DUMMYFUNCTION("GOOGLETRANSLATE(F8960, ""auto"", ""en"")
"),"I just bought it the other day. It warms well, but I wouldn’t recommend it for curly haired people. And those who have straight hair and a little curly at the ends, like mine, are not a bad option. And the price is great!")</f>
        <v>I just bought it the other day. It warms well, but I wouldn’t recommend it for curly haired people. And those who have straight hair and a little curly at the ends, like mine, are not a bad option. And the price is great!</v>
      </c>
    </row>
    <row r="8961" spans="1:9" x14ac:dyDescent="0.3">
      <c r="A8961" s="1" t="s">
        <v>120</v>
      </c>
      <c r="B8961" s="1" t="s">
        <v>121</v>
      </c>
      <c r="C8961" s="1" t="s">
        <v>151</v>
      </c>
      <c r="D8961" s="1" t="s">
        <v>4937</v>
      </c>
      <c r="E8961" s="1" t="s">
        <v>176</v>
      </c>
      <c r="F8961" s="1" t="s">
        <v>13351</v>
      </c>
      <c r="G8961" s="1" t="s">
        <v>28</v>
      </c>
      <c r="H8961" s="1" t="s">
        <v>29</v>
      </c>
      <c r="I8961" s="1" t="str">
        <f ca="1">IFERROR(__xludf.DUMMYFUNCTION("GOOGLETRANSLATE(F8961, ""auto"", ""en"")
"),"The device is good IMHO.  The picture is clear, bright, and overall great via HDMI.  but the design is meh. They could have done it more strictly.  One of the objective disadvantages is that the vaunted touch buttons are absolutely invisible against the b"&amp;"ackground of the frame. They could have come up with a backlight or something... but for that - a four.  And watching the broadcast on it is a mockery. But, however, this is the problem with all LCD TVs. Although the tuner is good.  In short - a test.")</f>
        <v>The device is good IMHO.  The picture is clear, bright, and overall great via HDMI.  but the design is meh. They could have done it more strictly.  One of the objective disadvantages is that the vaunted touch buttons are absolutely invisible against the background of the frame. They could have come up with a backlight or something... but for that - a four.  And watching the broadcast on it is a mockery. But, however, this is the problem with all LCD TVs. Although the tuner is good.  In short - a test.</v>
      </c>
    </row>
    <row r="8962" spans="1:9" x14ac:dyDescent="0.3">
      <c r="A8962" s="1" t="s">
        <v>120</v>
      </c>
      <c r="B8962" s="1" t="s">
        <v>126</v>
      </c>
      <c r="C8962" s="1" t="s">
        <v>151</v>
      </c>
      <c r="D8962" s="1" t="s">
        <v>152</v>
      </c>
      <c r="E8962" s="1" t="s">
        <v>734</v>
      </c>
      <c r="F8962" s="1" t="s">
        <v>13352</v>
      </c>
      <c r="G8962" s="1" t="s">
        <v>28</v>
      </c>
      <c r="H8962" s="1" t="s">
        <v>29</v>
      </c>
      <c r="I8962" s="1" t="str">
        <f ca="1">IFERROR(__xludf.DUMMYFUNCTION("GOOGLETRANSLATE(F8962, ""auto"", ""en"")
"),"I bought myself a device in June 2009, thank God there are no problems, except for self-activation. But regarding the question that there is no sound when connecting from a computer via HDMI DVI, only a picture comes out from the computer’s video card, th"&amp;"ere was never any sound!!! Only on computer acoustics!!")</f>
        <v>I bought myself a device in June 2009, thank God there are no problems, except for self-activation. But regarding the question that there is no sound when connecting from a computer via HDMI DVI, only a picture comes out from the computer’s video card, there was never any sound!!! Only on computer acoustics!!</v>
      </c>
    </row>
    <row r="8963" spans="1:9" x14ac:dyDescent="0.3">
      <c r="A8963" s="1" t="s">
        <v>61</v>
      </c>
      <c r="B8963" s="1" t="s">
        <v>318</v>
      </c>
      <c r="C8963" s="1" t="s">
        <v>57</v>
      </c>
      <c r="D8963" s="1" t="s">
        <v>64</v>
      </c>
      <c r="E8963" s="1" t="s">
        <v>6167</v>
      </c>
      <c r="F8963" s="1" t="s">
        <v>13353</v>
      </c>
      <c r="G8963" s="1" t="s">
        <v>36</v>
      </c>
      <c r="H8963" s="1" t="s">
        <v>29</v>
      </c>
      <c r="I8963" s="1" t="str">
        <f ca="1">IFERROR(__xludf.DUMMYFUNCTION("GOOGLETRANSLATE(F8963, ""auto"", ""en"")
"),"A gorgeous kettle, it has served faithfully for 10 years, I’m looking for one just like it, fast and quiet. Very pleased")</f>
        <v>A gorgeous kettle, it has served faithfully for 10 years, I’m looking for one just like it, fast and quiet. Very pleased</v>
      </c>
    </row>
    <row r="8964" spans="1:9" x14ac:dyDescent="0.3">
      <c r="A8964" s="1" t="s">
        <v>43</v>
      </c>
      <c r="B8964" s="1" t="s">
        <v>44</v>
      </c>
      <c r="C8964" s="1" t="s">
        <v>101</v>
      </c>
      <c r="D8964" s="1" t="s">
        <v>5837</v>
      </c>
      <c r="E8964" s="1" t="s">
        <v>4394</v>
      </c>
      <c r="F8964" s="1" t="s">
        <v>13354</v>
      </c>
      <c r="G8964" s="1" t="s">
        <v>36</v>
      </c>
      <c r="H8964" s="1" t="s">
        <v>29</v>
      </c>
      <c r="I8964" s="1" t="str">
        <f ca="1">IFERROR(__xludf.DUMMYFUNCTION("GOOGLETRANSLATE(F8964, ""auto"", ""en"")
"),"You know, Ivan, for such a price it’s a shame to complain, but I’m very pleased and bought it with bonuses, the first speed is quite enough.")</f>
        <v>You know, Ivan, for such a price it’s a shame to complain, but I’m very pleased and bought it with bonuses, the first speed is quite enough.</v>
      </c>
    </row>
    <row r="8965" spans="1:9" x14ac:dyDescent="0.3">
      <c r="A8965" s="1" t="s">
        <v>120</v>
      </c>
      <c r="B8965" s="1" t="s">
        <v>126</v>
      </c>
      <c r="C8965" s="1" t="s">
        <v>151</v>
      </c>
      <c r="D8965" s="1" t="s">
        <v>8096</v>
      </c>
      <c r="E8965" s="1" t="s">
        <v>6378</v>
      </c>
      <c r="F8965" s="1" t="s">
        <v>13355</v>
      </c>
      <c r="G8965" s="1" t="s">
        <v>36</v>
      </c>
      <c r="H8965" s="1" t="s">
        <v>29</v>
      </c>
      <c r="I8965" s="1" t="str">
        <f ca="1">IFERROR(__xludf.DUMMYFUNCTION("GOOGLETRANSLATE(F8965, ""auto"", ""en"")
"),"The TV is excellent, even reads MKV from a flash drive... Sometimes it turns on by itself but doesn’t show the image, probably checking for an update via the antenna or just warming up")</f>
        <v>The TV is excellent, even reads MKV from a flash drive... Sometimes it turns on by itself but doesn’t show the image, probably checking for an update via the antenna or just warming up</v>
      </c>
    </row>
    <row r="8966" spans="1:9" x14ac:dyDescent="0.3">
      <c r="A8966" s="1" t="s">
        <v>496</v>
      </c>
      <c r="B8966" s="1" t="s">
        <v>497</v>
      </c>
      <c r="C8966" s="1" t="s">
        <v>487</v>
      </c>
      <c r="D8966" s="1" t="s">
        <v>280</v>
      </c>
      <c r="E8966" s="1" t="s">
        <v>1273</v>
      </c>
      <c r="F8966" s="1" t="s">
        <v>13356</v>
      </c>
      <c r="G8966" s="1" t="s">
        <v>36</v>
      </c>
      <c r="H8966" s="1" t="s">
        <v>29</v>
      </c>
      <c r="I8966" s="1" t="str">
        <f ca="1">IFERROR(__xludf.DUMMYFUNCTION("GOOGLETRANSLATE(F8966, ""auto"", ""en"")
"),"This is the best that Microsoft has offered... The support service is always ready to solve any problems... Well done to the small software guys... I really like how the domain works in combination with 2008 r2 and windows 7")</f>
        <v>This is the best that Microsoft has offered... The support service is always ready to solve any problems... Well done to the small software guys... I really like how the domain works in combination with 2008 r2 and windows 7</v>
      </c>
    </row>
    <row r="8967" spans="1:9" x14ac:dyDescent="0.3">
      <c r="A8967" s="1" t="s">
        <v>149</v>
      </c>
      <c r="B8967" s="1" t="s">
        <v>155</v>
      </c>
      <c r="C8967" s="1" t="s">
        <v>63</v>
      </c>
      <c r="D8967" s="1" t="s">
        <v>39</v>
      </c>
      <c r="E8967" s="1" t="s">
        <v>1282</v>
      </c>
      <c r="F8967" s="1" t="s">
        <v>13357</v>
      </c>
      <c r="G8967" s="1" t="s">
        <v>1580</v>
      </c>
      <c r="H8967" s="1" t="s">
        <v>29</v>
      </c>
      <c r="I8967" s="1" t="str">
        <f ca="1">IFERROR(__xludf.DUMMYFUNCTION("GOOGLETRANSLATE(F8967, ""auto"", ""en"")
"),"Guaranteed quality of dust collection")</f>
        <v>Guaranteed quality of dust collection</v>
      </c>
    </row>
    <row r="8968" spans="1:9" x14ac:dyDescent="0.3">
      <c r="A8968" s="1" t="s">
        <v>9</v>
      </c>
      <c r="B8968" s="1" t="s">
        <v>133</v>
      </c>
      <c r="C8968" s="1" t="s">
        <v>588</v>
      </c>
      <c r="D8968" s="1" t="s">
        <v>13358</v>
      </c>
      <c r="E8968" s="1" t="s">
        <v>3379</v>
      </c>
      <c r="F8968" s="1" t="s">
        <v>13359</v>
      </c>
      <c r="G8968" s="1" t="s">
        <v>49</v>
      </c>
      <c r="H8968" s="1" t="s">
        <v>16</v>
      </c>
      <c r="I8968" s="1" t="str">
        <f ca="1">IFERROR(__xludf.DUMMYFUNCTION("GOOGLETRANSLATE(F8968, ""auto"", ""en"")
"),"Good installation and cheaper kitchen at any price")</f>
        <v>Good installation and cheaper kitchen at any price</v>
      </c>
    </row>
    <row r="8969" spans="1:9" x14ac:dyDescent="0.3">
      <c r="A8969" s="1" t="s">
        <v>17</v>
      </c>
      <c r="B8969" s="1" t="s">
        <v>18</v>
      </c>
      <c r="C8969" s="1" t="s">
        <v>885</v>
      </c>
      <c r="D8969" s="1" t="s">
        <v>98</v>
      </c>
      <c r="E8969" s="1" t="s">
        <v>779</v>
      </c>
      <c r="F8969" s="1" t="s">
        <v>13360</v>
      </c>
      <c r="G8969" s="1" t="s">
        <v>28</v>
      </c>
      <c r="H8969" s="1" t="s">
        <v>29</v>
      </c>
      <c r="I8969" s="1" t="str">
        <f ca="1">IFERROR(__xludf.DUMMYFUNCTION("GOOGLETRANSLATE(F8969, ""auto"", ""en"")
"),"I bought it two months ago. The choice is related to its depth. The machine washes 5kg at a depth of 35cm. Plus, a low price, nice design and A+ energy consumption class. I don’t know what’s causing this, but it doesn’t completely wash the powder out of t"&amp;"he tray. And the noise level seems to me to be a little higher than others. Maybe this is due to the 5kg load. But overall the device is not bad.")</f>
        <v>I bought it two months ago. The choice is related to its depth. The machine washes 5kg at a depth of 35cm. Plus, a low price, nice design and A+ energy consumption class. I don’t know what’s causing this, but it doesn’t completely wash the powder out of the tray. And the noise level seems to me to be a little higher than others. Maybe this is due to the 5kg load. But overall the device is not bad.</v>
      </c>
    </row>
    <row r="8970" spans="1:9" x14ac:dyDescent="0.3">
      <c r="A8970" s="1" t="s">
        <v>61</v>
      </c>
      <c r="B8970" s="1" t="s">
        <v>318</v>
      </c>
      <c r="C8970" s="1" t="s">
        <v>69</v>
      </c>
      <c r="D8970" s="1" t="s">
        <v>247</v>
      </c>
      <c r="E8970" s="1" t="s">
        <v>2176</v>
      </c>
      <c r="F8970" s="1" t="s">
        <v>13361</v>
      </c>
      <c r="G8970" s="1" t="s">
        <v>15</v>
      </c>
      <c r="H8970" s="1" t="s">
        <v>16</v>
      </c>
      <c r="I8970" s="1" t="str">
        <f ca="1">IFERROR(__xludf.DUMMYFUNCTION("GOOGLETRANSLATE(F8970, ""auto"", ""en"")
"),"The kettle worked for 6 months and then broke down, they took it to the service center, where they told me that it could not be repaired, they gave me a certificate and I went to the store, where they returned my money.")</f>
        <v>The kettle worked for 6 months and then broke down, they took it to the service center, where they told me that it could not be repaired, they gave me a certificate and I went to the store, where they returned my money.</v>
      </c>
    </row>
    <row r="8971" spans="1:9" x14ac:dyDescent="0.3">
      <c r="A8971" s="1" t="s">
        <v>149</v>
      </c>
      <c r="B8971" s="1" t="s">
        <v>155</v>
      </c>
      <c r="C8971" s="1" t="s">
        <v>80</v>
      </c>
      <c r="D8971" s="1" t="s">
        <v>13362</v>
      </c>
      <c r="E8971" s="1" t="s">
        <v>1886</v>
      </c>
      <c r="F8971" s="1" t="s">
        <v>13363</v>
      </c>
      <c r="G8971" s="1" t="s">
        <v>36</v>
      </c>
      <c r="H8971" s="1" t="s">
        <v>29</v>
      </c>
      <c r="I8971" s="1" t="str">
        <f ca="1">IFERROR(__xludf.DUMMYFUNCTION("GOOGLETRANSLATE(F8971, ""auto"", ""en"")
"),"I really liked it, it’s convenient to vacuum and clean, I especially liked the nozzle for parquet, you can get into any place, good value for money. Buy if you need a powerful vacuum cleaner.")</f>
        <v>I really liked it, it’s convenient to vacuum and clean, I especially liked the nozzle for parquet, you can get into any place, good value for money. Buy if you need a powerful vacuum cleaner.</v>
      </c>
    </row>
    <row r="8972" spans="1:9" x14ac:dyDescent="0.3">
      <c r="A8972" s="1" t="s">
        <v>369</v>
      </c>
      <c r="B8972" s="1" t="s">
        <v>587</v>
      </c>
      <c r="C8972" s="1" t="s">
        <v>290</v>
      </c>
      <c r="D8972" s="1" t="s">
        <v>13364</v>
      </c>
      <c r="E8972" s="1" t="s">
        <v>13365</v>
      </c>
      <c r="F8972" s="1" t="s">
        <v>13366</v>
      </c>
      <c r="G8972" s="1" t="s">
        <v>36</v>
      </c>
      <c r="H8972" s="1" t="s">
        <v>29</v>
      </c>
      <c r="I8972" s="1" t="str">
        <f ca="1">IFERROR(__xludf.DUMMYFUNCTION("GOOGLETRANSLATE(F8972, ""auto"", ""en"")
"),"It stood for 5 years. No complaints at all. Nothing buzzes, nothing fails. Bakes great. It’s a pity that we have to give it away - we’re moving to a high-rise")</f>
        <v>It stood for 5 years. No complaints at all. Nothing buzzes, nothing fails. Bakes great. It’s a pity that we have to give it away - we’re moving to a high-rise</v>
      </c>
    </row>
    <row r="8973" spans="1:9" x14ac:dyDescent="0.3">
      <c r="A8973" s="1" t="s">
        <v>149</v>
      </c>
      <c r="B8973" s="1" t="s">
        <v>576</v>
      </c>
      <c r="C8973" s="1" t="s">
        <v>69</v>
      </c>
      <c r="D8973" s="1" t="s">
        <v>232</v>
      </c>
      <c r="E8973" s="1" t="s">
        <v>3084</v>
      </c>
      <c r="F8973" s="1" t="s">
        <v>13367</v>
      </c>
      <c r="G8973" s="1" t="s">
        <v>36</v>
      </c>
      <c r="H8973" s="1" t="s">
        <v>29</v>
      </c>
      <c r="I8973" s="1" t="str">
        <f ca="1">IFERROR(__xludf.DUMMYFUNCTION("GOOGLETRANSLATE(F8973, ""auto"", ""en"")
"),"I have had an excellent vacuum cleaner for more than two years and the power has not dropped. Before this I had a washing vacuum cleaner, the filter was clogged, you can’t buy a new one of this model, I could barely vacuum it, so I had to buy this one.")</f>
        <v>I have had an excellent vacuum cleaner for more than two years and the power has not dropped. Before this I had a washing vacuum cleaner, the filter was clogged, you can’t buy a new one of this model, I could barely vacuum it, so I had to buy this one.</v>
      </c>
    </row>
    <row r="8974" spans="1:9" x14ac:dyDescent="0.3">
      <c r="A8974" s="1" t="s">
        <v>37</v>
      </c>
      <c r="B8974" s="1" t="s">
        <v>536</v>
      </c>
      <c r="C8974" s="1" t="s">
        <v>163</v>
      </c>
      <c r="D8974" s="1" t="s">
        <v>4329</v>
      </c>
      <c r="E8974" s="1" t="s">
        <v>594</v>
      </c>
      <c r="F8974" s="1" t="s">
        <v>13368</v>
      </c>
      <c r="G8974" s="1" t="s">
        <v>36</v>
      </c>
      <c r="H8974" s="1" t="s">
        <v>29</v>
      </c>
      <c r="I8974" s="1" t="str">
        <f ca="1">IFERROR(__xludf.DUMMYFUNCTION("GOOGLETRANSLATE(F8974, ""auto"", ""en"")
"),"I bought 5230. I like it.. the music plays not bad.. but when they call me the music on the call plays quietly.. what should I do?")</f>
        <v>I bought 5230. I like it.. the music plays not bad.. but when they call me the music on the call plays quietly.. what should I do?</v>
      </c>
    </row>
    <row r="8975" spans="1:9" x14ac:dyDescent="0.3">
      <c r="A8975" s="1" t="s">
        <v>43</v>
      </c>
      <c r="B8975" s="1" t="s">
        <v>303</v>
      </c>
      <c r="C8975" s="1" t="s">
        <v>220</v>
      </c>
      <c r="D8975" s="1" t="s">
        <v>605</v>
      </c>
      <c r="E8975" s="1" t="s">
        <v>2113</v>
      </c>
      <c r="F8975" s="1" t="s">
        <v>13369</v>
      </c>
      <c r="G8975" s="1" t="s">
        <v>36</v>
      </c>
      <c r="H8975" s="1" t="s">
        <v>29</v>
      </c>
      <c r="I8975" s="1" t="str">
        <f ca="1">IFERROR(__xludf.DUMMYFUNCTION("GOOGLETRANSLATE(F8975, ""auto"", ""en"")
"),"Excellent heater. Heats water quickly, good thermal insulation between the tank and the body. But there are no spare parts on the market, you need to order.")</f>
        <v>Excellent heater. Heats water quickly, good thermal insulation between the tank and the body. But there are no spare parts on the market, you need to order.</v>
      </c>
    </row>
    <row r="8976" spans="1:9" x14ac:dyDescent="0.3">
      <c r="A8976" s="1" t="s">
        <v>9</v>
      </c>
      <c r="B8976" s="1" t="s">
        <v>137</v>
      </c>
      <c r="C8976" s="1" t="s">
        <v>63</v>
      </c>
      <c r="D8976" s="1" t="s">
        <v>305</v>
      </c>
      <c r="E8976" s="1" t="s">
        <v>1339</v>
      </c>
      <c r="F8976" s="1" t="s">
        <v>13370</v>
      </c>
      <c r="G8976" s="1" t="s">
        <v>36</v>
      </c>
      <c r="H8976" s="1" t="s">
        <v>29</v>
      </c>
      <c r="I8976" s="1" t="str">
        <f ca="1">IFERROR(__xludf.DUMMYFUNCTION("GOOGLETRANSLATE(F8976, ""auto"", ""en"")
"),"Excellent hob, looks very stylish. This is how it looks and how it works. Cast iron grates are very convenient; you can place any kind of dishes.")</f>
        <v>Excellent hob, looks very stylish. This is how it looks and how it works. Cast iron grates are very convenient; you can place any kind of dishes.</v>
      </c>
    </row>
    <row r="8977" spans="1:9" x14ac:dyDescent="0.3">
      <c r="A8977" s="1" t="s">
        <v>37</v>
      </c>
      <c r="B8977" s="1" t="s">
        <v>38</v>
      </c>
      <c r="C8977" s="1" t="s">
        <v>151</v>
      </c>
      <c r="D8977" s="1" t="s">
        <v>1499</v>
      </c>
      <c r="E8977" s="1" t="s">
        <v>2916</v>
      </c>
      <c r="F8977" s="1" t="s">
        <v>13371</v>
      </c>
      <c r="G8977" s="1" t="s">
        <v>36</v>
      </c>
      <c r="H8977" s="1" t="s">
        <v>29</v>
      </c>
      <c r="I8977" s="1" t="str">
        <f ca="1">IFERROR(__xludf.DUMMYFUNCTION("GOOGLETRANSLATE(F8977, ""auto"", ""en"")
"),"I've been using it for over a year - no complaints. Stylish, comfortable, simple. Even a pensioner can understand the settings and menu. The photos are decent, I supplied the subscribers with photos taken with a professional camera - they look great. I st"&amp;"uffed all the music that I love into an additional flash drive, and now I use it as a player. During the year of use, nothing broke, fell off, or peeled off. By the way, it synchronizes with a computer without problems, and specifically with WinXp. Bright"&amp;" big screen.   Of the shortcomings, I can only mention three insignificant nonsense - 1) fingerprints remain on the screen - can be treated by wiping with a cloth, 2) there is no backlighting of the keys, but only on the top cover of the slider, but the j"&amp;"oystick is backlit, as well as the main keyboard, 3) there is no hole for a key fob or wrist strap. But there are no complaints about the quality of assembly, communications, or media.    I recommend it to everyone, especially opponents of touch keys.")</f>
        <v>I've been using it for over a year - no complaints. Stylish, comfortable, simple. Even a pensioner can understand the settings and menu. The photos are decent, I supplied the subscribers with photos taken with a professional camera - they look great. I stuffed all the music that I love into an additional flash drive, and now I use it as a player. During the year of use, nothing broke, fell off, or peeled off. By the way, it synchronizes with a computer without problems, and specifically with WinXp. Bright big screen.   Of the shortcomings, I can only mention three insignificant nonsense - 1) fingerprints remain on the screen - can be treated by wiping with a cloth, 2) there is no backlighting of the keys, but only on the top cover of the slider, but the joystick is backlit, as well as the main keyboard, 3) there is no hole for a key fob or wrist strap. But there are no complaints about the quality of assembly, communications, or media.    I recommend it to everyone, especially opponents of touch keys.</v>
      </c>
    </row>
    <row r="8978" spans="1:9" x14ac:dyDescent="0.3">
      <c r="A8978" s="1" t="s">
        <v>149</v>
      </c>
      <c r="B8978" s="1" t="s">
        <v>150</v>
      </c>
      <c r="C8978" s="1" t="s">
        <v>57</v>
      </c>
      <c r="D8978" s="1" t="s">
        <v>152</v>
      </c>
      <c r="E8978" s="1" t="s">
        <v>367</v>
      </c>
      <c r="F8978" s="1" t="s">
        <v>13372</v>
      </c>
      <c r="G8978" s="1" t="s">
        <v>49</v>
      </c>
      <c r="H8978" s="1" t="s">
        <v>16</v>
      </c>
      <c r="I8978" s="1" t="str">
        <f ca="1">IFERROR(__xludf.DUMMYFUNCTION("GOOGLETRANSLATE(F8978, ""auto"", ""en"")
"),"I bought this vacuum cleaner 1.5 years ago. Six months later we had to send it in for repairs. Now, a year after the repair, the vacuum cleaner cannot work at maximum power - it automatically switches to the lowest power (apparently, the motor will soon s"&amp;"hut down).  It makes a lot of noise, there is no suction: due to the stated 7 stages of filtration, achieving a suction power of 400 W with a consumption of 1800 W is unrealistic. My wife simply hates this vacuum cleaner. There is no advantage to using an"&amp;" aquafilter - you don’t feel any freshness after cleaning, it smells like burnt dust. Static electricity constantly accumulates on the case - when I turned it off, I was always shocked. I had to turn off the vacuum cleaner with my foot in a slipper and no"&amp;"t touch it for 10 minutes, then there was no electric shock. I agree with Alexander from Gomel - I would gladly throw this vacuum cleaner off the balcony.")</f>
        <v>I bought this vacuum cleaner 1.5 years ago. Six months later we had to send it in for repairs. Now, a year after the repair, the vacuum cleaner cannot work at maximum power - it automatically switches to the lowest power (apparently, the motor will soon shut down).  It makes a lot of noise, there is no suction: due to the stated 7 stages of filtration, achieving a suction power of 400 W with a consumption of 1800 W is unrealistic. My wife simply hates this vacuum cleaner. There is no advantage to using an aquafilter - you don’t feel any freshness after cleaning, it smells like burnt dust. Static electricity constantly accumulates on the case - when I turned it off, I was always shocked. I had to turn off the vacuum cleaner with my foot in a slipper and not touch it for 10 minutes, then there was no electric shock. I agree with Alexander from Gomel - I would gladly throw this vacuum cleaner off the balcony.</v>
      </c>
    </row>
    <row r="8979" spans="1:9" x14ac:dyDescent="0.3">
      <c r="A8979" s="1" t="s">
        <v>43</v>
      </c>
      <c r="B8979" s="1" t="s">
        <v>334</v>
      </c>
      <c r="C8979" s="1" t="s">
        <v>1138</v>
      </c>
      <c r="D8979" s="1" t="s">
        <v>742</v>
      </c>
      <c r="E8979" s="1" t="s">
        <v>201</v>
      </c>
      <c r="F8979" s="1" t="s">
        <v>13373</v>
      </c>
      <c r="G8979" s="1" t="s">
        <v>36</v>
      </c>
      <c r="H8979" s="1" t="s">
        <v>29</v>
      </c>
      <c r="I8979" s="1" t="str">
        <f ca="1">IFERROR(__xludf.DUMMYFUNCTION("GOOGLETRANSLATE(F8979, ""auto"", ""en"")
"),"We wanted to buy a floor fan. But we accidentally noticed this species. Now we don’t regret our purchase at all.")</f>
        <v>We wanted to buy a floor fan. But we accidentally noticed this species. Now we don’t regret our purchase at all.</v>
      </c>
    </row>
    <row r="8980" spans="1:9" x14ac:dyDescent="0.3">
      <c r="A8980" s="1" t="s">
        <v>61</v>
      </c>
      <c r="B8980" s="1" t="s">
        <v>318</v>
      </c>
      <c r="C8980" s="1" t="s">
        <v>69</v>
      </c>
      <c r="D8980" s="1" t="s">
        <v>75</v>
      </c>
      <c r="E8980" s="1" t="s">
        <v>10672</v>
      </c>
      <c r="F8980" s="1" t="s">
        <v>13374</v>
      </c>
      <c r="G8980" s="1" t="s">
        <v>28</v>
      </c>
      <c r="H8980" s="1" t="s">
        <v>29</v>
      </c>
      <c r="I8980" s="1" t="str">
        <f ca="1">IFERROR(__xludf.DUMMYFUNCTION("GOOGLETRANSLATE(F8980, ""auto"", ""en"")
"),"I've been using the kettle for 2 years now and I'm quite happy with it. The only small drawback is that it is a little noisy.")</f>
        <v>I've been using the kettle for 2 years now and I'm quite happy with it. The only small drawback is that it is a little noisy.</v>
      </c>
    </row>
    <row r="8981" spans="1:9" x14ac:dyDescent="0.3">
      <c r="A8981" s="1" t="s">
        <v>120</v>
      </c>
      <c r="B8981" s="1" t="s">
        <v>121</v>
      </c>
      <c r="C8981" s="1" t="s">
        <v>151</v>
      </c>
      <c r="D8981" s="1" t="s">
        <v>52</v>
      </c>
      <c r="E8981" s="1" t="s">
        <v>1290</v>
      </c>
      <c r="F8981" s="1" t="s">
        <v>13375</v>
      </c>
      <c r="G8981" s="1" t="s">
        <v>28</v>
      </c>
      <c r="H8981" s="1" t="s">
        <v>29</v>
      </c>
      <c r="I8981" s="1" t="str">
        <f ca="1">IFERROR(__xludf.DUMMYFUNCTION("GOOGLETRANSLATE(F8981, ""auto"", ""en"")
"),"The TV is just great. The only annoying thing is the sound made when turning it on and off.")</f>
        <v>The TV is just great. The only annoying thing is the sound made when turning it on and off.</v>
      </c>
    </row>
    <row r="8982" spans="1:9" x14ac:dyDescent="0.3">
      <c r="A8982" s="1" t="s">
        <v>61</v>
      </c>
      <c r="B8982" s="1" t="s">
        <v>62</v>
      </c>
      <c r="C8982" s="1" t="s">
        <v>63</v>
      </c>
      <c r="D8982" s="1" t="s">
        <v>13376</v>
      </c>
      <c r="E8982" s="1" t="s">
        <v>4248</v>
      </c>
      <c r="F8982" s="1" t="s">
        <v>13377</v>
      </c>
      <c r="G8982" s="1" t="s">
        <v>36</v>
      </c>
      <c r="H8982" s="1" t="s">
        <v>29</v>
      </c>
      <c r="I8982" s="1" t="str">
        <f ca="1">IFERROR(__xludf.DUMMYFUNCTION("GOOGLETRANSLATE(F8982, ""auto"", ""en"")
"),"My husband gave it to me, which made the whole family very happy! Almost silent, practical. The variety of attachments is simply a miracle. The cocktails are amazing. Citrus juices are great! But with hard vegetables and fruits, alas, we were disappointed"&amp;". And for some reason, the manufacturer of the equipment did not think about the fact that when the blender is turned on, the second mechanism, the bowl, works together. And I like it so much!!!")</f>
        <v>My husband gave it to me, which made the whole family very happy! Almost silent, practical. The variety of attachments is simply a miracle. The cocktails are amazing. Citrus juices are great! But with hard vegetables and fruits, alas, we were disappointed. And for some reason, the manufacturer of the equipment did not think about the fact that when the blender is turned on, the second mechanism, the bowl, works together. And I like it so much!!!</v>
      </c>
    </row>
    <row r="8983" spans="1:9" x14ac:dyDescent="0.3">
      <c r="A8983" s="1" t="s">
        <v>120</v>
      </c>
      <c r="B8983" s="1" t="s">
        <v>121</v>
      </c>
      <c r="C8983" s="1" t="s">
        <v>69</v>
      </c>
      <c r="D8983" s="1" t="s">
        <v>172</v>
      </c>
      <c r="E8983" s="1" t="s">
        <v>1330</v>
      </c>
      <c r="F8983" s="1" t="s">
        <v>13378</v>
      </c>
      <c r="G8983" s="1" t="s">
        <v>49</v>
      </c>
      <c r="H8983" s="1" t="s">
        <v>16</v>
      </c>
      <c r="I8983" s="1" t="str">
        <f ca="1">IFERROR(__xludf.DUMMYFUNCTION("GOOGLETRANSLATE(F8983, ""auto"", ""en"")
"),"I agree with Sergei from Surgut, the picture disappears and that’s it, we need to change it...")</f>
        <v>I agree with Sergei from Surgut, the picture disappears and that’s it, we need to change it...</v>
      </c>
    </row>
    <row r="8984" spans="1:9" x14ac:dyDescent="0.3">
      <c r="A8984" s="1" t="s">
        <v>89</v>
      </c>
      <c r="B8984" s="1" t="s">
        <v>90</v>
      </c>
      <c r="C8984" s="1" t="s">
        <v>185</v>
      </c>
      <c r="D8984" s="1" t="s">
        <v>568</v>
      </c>
      <c r="E8984" s="1" t="s">
        <v>4490</v>
      </c>
      <c r="F8984" s="1" t="s">
        <v>13379</v>
      </c>
      <c r="G8984" s="1" t="s">
        <v>36</v>
      </c>
      <c r="H8984" s="1" t="s">
        <v>29</v>
      </c>
      <c r="I8984" s="1" t="str">
        <f ca="1">IFERROR(__xludf.DUMMYFUNCTION("GOOGLETRANSLATE(F8984, ""auto"", ""en"")
"),"We decided to purchase a coffee grinder with millstones for different grinding (turkish, French, etc.) An excellent choice because... the required quantity is poured in and immediately goes to the tedious number of cups and there is no need to stand and w"&amp;"ait, it turns off itself when it is ground.  I recommend it to anyone who likes to take coffee beans and needs to grind a lot to suit themselves.")</f>
        <v>We decided to purchase a coffee grinder with millstones for different grinding (turkish, French, etc.) An excellent choice because... the required quantity is poured in and immediately goes to the tedious number of cups and there is no need to stand and wait, it turns off itself when it is ground.  I recommend it to anyone who likes to take coffee beans and needs to grind a lot to suit themselves.</v>
      </c>
    </row>
    <row r="8985" spans="1:9" x14ac:dyDescent="0.3">
      <c r="A8985" s="1" t="s">
        <v>61</v>
      </c>
      <c r="B8985" s="1" t="s">
        <v>73</v>
      </c>
      <c r="C8985" s="1" t="s">
        <v>314</v>
      </c>
      <c r="D8985" s="1" t="s">
        <v>13380</v>
      </c>
      <c r="E8985" s="1" t="s">
        <v>2120</v>
      </c>
      <c r="F8985" s="1" t="s">
        <v>13381</v>
      </c>
      <c r="G8985" s="1" t="s">
        <v>49</v>
      </c>
      <c r="H8985" s="1" t="s">
        <v>16</v>
      </c>
      <c r="I8985" s="1" t="str">
        <f ca="1">IFERROR(__xludf.DUMMYFUNCTION("GOOGLETRANSLATE(F8985, ""auto"", ""en"")
"),"Yesterday I bought and tested a Zelmer 986.87 Whit meat grinder. I was very upset. He does not roll the defrosted meat, but crushes it, chews it, wraps the films and veins around the knife. The grate and knife, if they are not wiped dry after washing, bec"&amp;"ome covered with rust. What to do with such a meat grinder? The price is quite high, but it doesn’t perform its functions at all.")</f>
        <v>Yesterday I bought and tested a Zelmer 986.87 Whit meat grinder. I was very upset. He does not roll the defrosted meat, but crushes it, chews it, wraps the films and veins around the knife. The grate and knife, if they are not wiped dry after washing, become covered with rust. What to do with such a meat grinder? The price is quite high, but it doesn’t perform its functions at all.</v>
      </c>
    </row>
    <row r="8986" spans="1:9" x14ac:dyDescent="0.3">
      <c r="A8986" s="1" t="s">
        <v>30</v>
      </c>
      <c r="B8986" s="1" t="s">
        <v>50</v>
      </c>
      <c r="C8986" s="1" t="s">
        <v>32</v>
      </c>
      <c r="D8986" s="1" t="s">
        <v>127</v>
      </c>
      <c r="E8986" s="1" t="s">
        <v>3233</v>
      </c>
      <c r="F8986" s="1" t="s">
        <v>13382</v>
      </c>
      <c r="G8986" s="1" t="s">
        <v>28</v>
      </c>
      <c r="H8986" s="1" t="s">
        <v>29</v>
      </c>
      <c r="I8986" s="1" t="str">
        <f ca="1">IFERROR(__xludf.DUMMYFUNCTION("GOOGLETRANSLATE(F8986, ""auto"", ""en"")
"),"A good laptop for its price.  But the pre-installed OS is not Linux, but Vista HB.")</f>
        <v>A good laptop for its price.  But the pre-installed OS is not Linux, but Vista HB.</v>
      </c>
    </row>
    <row r="8987" spans="1:9" x14ac:dyDescent="0.3">
      <c r="A8987" s="1" t="s">
        <v>169</v>
      </c>
      <c r="B8987" s="1" t="s">
        <v>170</v>
      </c>
      <c r="C8987" s="1" t="s">
        <v>122</v>
      </c>
      <c r="D8987" s="1" t="s">
        <v>64</v>
      </c>
      <c r="E8987" s="1" t="s">
        <v>6111</v>
      </c>
      <c r="F8987" s="1" t="s">
        <v>13383</v>
      </c>
      <c r="G8987" s="1" t="s">
        <v>36</v>
      </c>
      <c r="H8987" s="1" t="s">
        <v>29</v>
      </c>
      <c r="I8987" s="1" t="str">
        <f ca="1">IFERROR(__xludf.DUMMYFUNCTION("GOOGLETRANSLATE(F8987, ""auto"", ""en"")
"),"A very successful model. They lasted more than a year, despite the thin wires and my rather careless attitude towards them. They fit well in the ears. I listened to music calmly at a third of the volume, even on public transport. And the price is good. It"&amp;"'s a pity that one ear stopped working, but I'll buy the same ones as a replacement.")</f>
        <v>A very successful model. They lasted more than a year, despite the thin wires and my rather careless attitude towards them. They fit well in the ears. I listened to music calmly at a third of the volume, even on public transport. And the price is good. It's a pity that one ear stopped working, but I'll buy the same ones as a replacement.</v>
      </c>
    </row>
    <row r="8988" spans="1:9" x14ac:dyDescent="0.3">
      <c r="A8988" s="1" t="s">
        <v>61</v>
      </c>
      <c r="B8988" s="1" t="s">
        <v>1727</v>
      </c>
      <c r="C8988" s="1" t="s">
        <v>122</v>
      </c>
      <c r="D8988" s="1" t="s">
        <v>13384</v>
      </c>
      <c r="E8988" s="1" t="s">
        <v>6393</v>
      </c>
      <c r="F8988" s="1" t="s">
        <v>13385</v>
      </c>
      <c r="G8988" s="1" t="s">
        <v>49</v>
      </c>
      <c r="H8988" s="1" t="s">
        <v>16</v>
      </c>
      <c r="I8988" s="1" t="str">
        <f ca="1">IFERROR(__xludf.DUMMYFUNCTION("GOOGLETRANSLATE(F8988, ""auto"", ""en"")
"),"I bought a multicooker from this company and thought I would use it for a very long time. But my hopes were not justified... After six preparations, it began to click, and then stopped turning off altogether. I'm very disappointed.")</f>
        <v>I bought a multicooker from this company and thought I would use it for a very long time. But my hopes were not justified... After six preparations, it began to click, and then stopped turning off altogether. I'm very disappointed.</v>
      </c>
    </row>
    <row r="8989" spans="1:9" x14ac:dyDescent="0.3">
      <c r="A8989" s="1" t="s">
        <v>120</v>
      </c>
      <c r="B8989" s="1" t="s">
        <v>121</v>
      </c>
      <c r="C8989" s="1" t="s">
        <v>151</v>
      </c>
      <c r="D8989" s="1" t="s">
        <v>4136</v>
      </c>
      <c r="E8989" s="1" t="s">
        <v>2565</v>
      </c>
      <c r="F8989" s="1" t="s">
        <v>13386</v>
      </c>
      <c r="G8989" s="1" t="s">
        <v>36</v>
      </c>
      <c r="H8989" s="1" t="s">
        <v>29</v>
      </c>
      <c r="I8989" s="1" t="str">
        <f ca="1">IFERROR(__xludf.DUMMYFUNCTION("GOOGLETRANSLATE(F8989, ""auto"", ""en"")
"),"I adjust the image, turn off the TV and all the settings are lost.")</f>
        <v>I adjust the image, turn off the TV and all the settings are lost.</v>
      </c>
    </row>
    <row r="8990" spans="1:9" x14ac:dyDescent="0.3">
      <c r="A8990" s="1" t="s">
        <v>111</v>
      </c>
      <c r="B8990" s="1" t="s">
        <v>1090</v>
      </c>
      <c r="C8990" s="1" t="s">
        <v>8229</v>
      </c>
      <c r="D8990" s="1" t="s">
        <v>2764</v>
      </c>
      <c r="E8990" s="1" t="s">
        <v>13387</v>
      </c>
      <c r="F8990" s="1" t="s">
        <v>13388</v>
      </c>
      <c r="G8990" s="1" t="s">
        <v>36</v>
      </c>
      <c r="H8990" s="1" t="s">
        <v>29</v>
      </c>
      <c r="I8990" s="1" t="str">
        <f ca="1">IFERROR(__xludf.DUMMYFUNCTION("GOOGLETRANSLATE(F8990, ""auto"", ""en"")
"),"I don't agree with the previous speaker. I've been using the lamp for a year, but the button, like all the other parts, is in place. Nothing about it was broken. Moreover, I’m afraid to guess what needs to be done so that the power button simply falls apa"&amp;"rt into two parts. )))")</f>
        <v>I don't agree with the previous speaker. I've been using the lamp for a year, but the button, like all the other parts, is in place. Nothing about it was broken. Moreover, I’m afraid to guess what needs to be done so that the power button simply falls apart into two parts. )))</v>
      </c>
    </row>
    <row r="8991" spans="1:9" x14ac:dyDescent="0.3">
      <c r="A8991" s="1" t="s">
        <v>89</v>
      </c>
      <c r="B8991" s="1" t="s">
        <v>231</v>
      </c>
      <c r="C8991" s="1" t="s">
        <v>185</v>
      </c>
      <c r="D8991" s="1" t="s">
        <v>152</v>
      </c>
      <c r="E8991" s="1" t="s">
        <v>8206</v>
      </c>
      <c r="F8991" s="1" t="s">
        <v>13389</v>
      </c>
      <c r="G8991" s="1" t="s">
        <v>36</v>
      </c>
      <c r="H8991" s="1" t="s">
        <v>29</v>
      </c>
      <c r="I8991" s="1" t="str">
        <f ca="1">IFERROR(__xludf.DUMMYFUNCTION("GOOGLETRANSLATE(F8991, ""auto"", ""en"")
"),"The machine justifies all the money invested in it 100 percent, it’s as simple as 2 fingers, there were no problems")</f>
        <v>The machine justifies all the money invested in it 100 percent, it’s as simple as 2 fingers, there were no problems</v>
      </c>
    </row>
    <row r="8992" spans="1:9" x14ac:dyDescent="0.3">
      <c r="A8992" s="1" t="s">
        <v>120</v>
      </c>
      <c r="B8992" s="1" t="s">
        <v>256</v>
      </c>
      <c r="C8992" s="1" t="s">
        <v>69</v>
      </c>
      <c r="D8992" s="1" t="s">
        <v>52</v>
      </c>
      <c r="E8992" s="1" t="s">
        <v>1000</v>
      </c>
      <c r="F8992" s="1" t="s">
        <v>13390</v>
      </c>
      <c r="G8992" s="1" t="s">
        <v>28</v>
      </c>
      <c r="H8992" s="1" t="s">
        <v>29</v>
      </c>
      <c r="I8992" s="1" t="str">
        <f ca="1">IFERROR(__xludf.DUMMYFUNCTION("GOOGLETRANSLATE(F8992, ""auto"", ""en"")
"),"An excellent TV for HD-ready, I bought it for my daughter’s room, from a distance of 2 meters the picture is perfect, the only drawback is the vertical viewing angle: if the eye level is below the bottom edge of the TV, the picture becomes dark (the lower"&amp;" the darker), so I hung the bottom edge of the TV on the wall just below eye level and tilted it forward at an angle of 7 degrees - as a result, from any place, even from the floor, the picture looks perfect. In terms of functionality, it is completely sa"&amp;"tisfactory, this is already the second Philips in our family, the first 37"" FullHD is nestled in the living room. In general, this series is pleasing - good quality for reasonable money. The next one will be LED, when it gets cheaper.")</f>
        <v>An excellent TV for HD-ready, I bought it for my daughter’s room, from a distance of 2 meters the picture is perfect, the only drawback is the vertical viewing angle: if the eye level is below the bottom edge of the TV, the picture becomes dark (the lower the darker), so I hung the bottom edge of the TV on the wall just below eye level and tilted it forward at an angle of 7 degrees - as a result, from any place, even from the floor, the picture looks perfect. In terms of functionality, it is completely satisfactory, this is already the second Philips in our family, the first 37" FullHD is nestled in the living room. In general, this series is pleasing - good quality for reasonable money. The next one will be LED, when it gets cheaper.</v>
      </c>
    </row>
    <row r="8993" spans="1:9" x14ac:dyDescent="0.3">
      <c r="A8993" s="1" t="s">
        <v>206</v>
      </c>
      <c r="B8993" s="1" t="s">
        <v>207</v>
      </c>
      <c r="C8993" s="1" t="s">
        <v>351</v>
      </c>
      <c r="D8993" s="1" t="s">
        <v>86</v>
      </c>
      <c r="E8993" s="1" t="s">
        <v>13391</v>
      </c>
      <c r="F8993" s="1" t="s">
        <v>13392</v>
      </c>
      <c r="G8993" s="1" t="s">
        <v>36</v>
      </c>
      <c r="H8993" s="1" t="s">
        <v>29</v>
      </c>
      <c r="I8993" s="1" t="str">
        <f ca="1">IFERROR(__xludf.DUMMYFUNCTION("GOOGLETRANSLATE(F8993, ""auto"", ""en"")
"),"I'm happy with the kit. Hyundai has had an accent for half a year now. Everything works and nothing came off or broke. And as for the wires that were not enough to connect from the amplifier to the subwoofer, I did this - I tied the amp to the back wall o"&amp;"f the subwoofer, and cut off the wires from the positive one (since they were very long) 2 pieces of 20 centimeters each.")</f>
        <v>I'm happy with the kit. Hyundai has had an accent for half a year now. Everything works and nothing came off or broke. And as for the wires that were not enough to connect from the amplifier to the subwoofer, I did this - I tied the amp to the back wall of the subwoofer, and cut off the wires from the positive one (since they were very long) 2 pieces of 20 centimeters each.</v>
      </c>
    </row>
    <row r="8994" spans="1:9" x14ac:dyDescent="0.3">
      <c r="A8994" s="1" t="s">
        <v>120</v>
      </c>
      <c r="B8994" s="1" t="s">
        <v>256</v>
      </c>
      <c r="C8994" s="1" t="s">
        <v>151</v>
      </c>
      <c r="D8994" s="1" t="s">
        <v>420</v>
      </c>
      <c r="E8994" s="1" t="s">
        <v>3203</v>
      </c>
      <c r="F8994" s="1" t="s">
        <v>13393</v>
      </c>
      <c r="G8994" s="1" t="s">
        <v>28</v>
      </c>
      <c r="H8994" s="1" t="s">
        <v>29</v>
      </c>
      <c r="I8994" s="1" t="str">
        <f ca="1">IFERROR(__xludf.DUMMYFUNCTION("GOOGLETRANSLATE(F8994, ""auto"", ""en"")
"),"After 3 weeks, the power button on the side panel began to work like the “POWER” button on the remote control - it either puts the TV into standby mode, or turns on, but does not cut off the power - the socket sparks when plugged in.  Recently I passed ou"&amp;"t while watching, there was no reaction to any of my actions, I went to watch in another room, and after half an hour the TV turned on itself and started working as usual.  The connection on the rear panel of the power cable and TV is like that of a syste"&amp;"m unit - the connector is unstable, Philips is better.  I read that USB can be flashed, so I read the video - tell me where and how to do this for this model?")</f>
        <v>After 3 weeks, the power button on the side panel began to work like the “POWER” button on the remote control - it either puts the TV into standby mode, or turns on, but does not cut off the power - the socket sparks when plugged in.  Recently I passed out while watching, there was no reaction to any of my actions, I went to watch in another room, and after half an hour the TV turned on itself and started working as usual.  The connection on the rear panel of the power cable and TV is like that of a system unit - the connector is unstable, Philips is better.  I read that USB can be flashed, so I read the video - tell me where and how to do this for this model?</v>
      </c>
    </row>
    <row r="8995" spans="1:9" x14ac:dyDescent="0.3">
      <c r="A8995" s="1" t="s">
        <v>43</v>
      </c>
      <c r="B8995" s="1" t="s">
        <v>44</v>
      </c>
      <c r="C8995" s="1" t="s">
        <v>101</v>
      </c>
      <c r="D8995" s="1" t="s">
        <v>247</v>
      </c>
      <c r="E8995" s="1" t="s">
        <v>1628</v>
      </c>
      <c r="F8995" s="1" t="s">
        <v>13394</v>
      </c>
      <c r="G8995" s="1" t="s">
        <v>36</v>
      </c>
      <c r="H8995" s="1" t="s">
        <v>29</v>
      </c>
      <c r="I8995" s="1" t="str">
        <f ca="1">IFERROR(__xludf.DUMMYFUNCTION("GOOGLETRANSLATE(F8995, ""auto"", ""en"")
"),"I bought this model, I’m quite happy for the money, it makes almost no noise, the airflow is great, it’s stable, for the money it’s just a great fan, although many people didn’t recommend buying it. But I'm more than satisfied. The quality far exceeds the"&amp;" meager price, I recommend it to everyone!")</f>
        <v>I bought this model, I’m quite happy for the money, it makes almost no noise, the airflow is great, it’s stable, for the money it’s just a great fan, although many people didn’t recommend buying it. But I'm more than satisfied. The quality far exceeds the meager price, I recommend it to everyone!</v>
      </c>
    </row>
    <row r="8996" spans="1:9" x14ac:dyDescent="0.3">
      <c r="A8996" s="1" t="s">
        <v>17</v>
      </c>
      <c r="B8996" s="1" t="s">
        <v>18</v>
      </c>
      <c r="C8996" s="1" t="s">
        <v>870</v>
      </c>
      <c r="D8996" s="1" t="s">
        <v>13395</v>
      </c>
      <c r="E8996" s="1" t="s">
        <v>251</v>
      </c>
      <c r="F8996" s="1" t="s">
        <v>13396</v>
      </c>
      <c r="G8996" s="1" t="s">
        <v>15</v>
      </c>
      <c r="H8996" s="1" t="s">
        <v>16</v>
      </c>
      <c r="I8996" s="1" t="str">
        <f ca="1">IFERROR(__xludf.DUMMYFUNCTION("GOOGLETRANSLATE(F8996, ""auto"", ""en"")
"),"The first impression of the machine is not very good, large cracks, gaps, build quality corresponds to Russia.  The door looks squishy, ​​in general they thought that water would run through it. When you close it, the lock snaps into place, but the door s"&amp;"till moves forward 1 cm. The lid moves away from the machine at the top.  It seems that they did it with the “crooked hands” of Uncle Vasya.  It is noisy during operation.  It washes normally and does not skip when spinning at 1000 rpm.  Well... I certain"&amp;"ly understand that they bought the car for 20 thousand rubles, but still... I would like better build quality... You can still buy it with the promotion, but not for 12590.")</f>
        <v>The first impression of the machine is not very good, large cracks, gaps, build quality corresponds to Russia.  The door looks squishy, ​​in general they thought that water would run through it. When you close it, the lock snaps into place, but the door still moves forward 1 cm. The lid moves away from the machine at the top.  It seems that they did it with the “crooked hands” of Uncle Vasya.  It is noisy during operation.  It washes normally and does not skip when spinning at 1000 rpm.  Well... I certainly understand that they bought the car for 20 thousand rubles, but still... I would like better build quality... You can still buy it with the promotion, but not for 12590.</v>
      </c>
    </row>
    <row r="8997" spans="1:9" x14ac:dyDescent="0.3">
      <c r="A8997" s="1" t="s">
        <v>149</v>
      </c>
      <c r="B8997" s="1" t="s">
        <v>576</v>
      </c>
      <c r="C8997" s="1" t="s">
        <v>69</v>
      </c>
      <c r="D8997" s="1" t="s">
        <v>308</v>
      </c>
      <c r="E8997" s="1" t="s">
        <v>1093</v>
      </c>
      <c r="F8997" s="1" t="s">
        <v>13397</v>
      </c>
      <c r="G8997" s="1" t="s">
        <v>36</v>
      </c>
      <c r="H8997" s="1" t="s">
        <v>29</v>
      </c>
      <c r="I8997" s="1" t="str">
        <f ca="1">IFERROR(__xludf.DUMMYFUNCTION("GOOGLETRANSLATE(F8997, ""auto"", ""en"")
"),"I bought a vacuum cleaner about six years ago and it has never let me down. It’s very powerful, it suctions well. Thanks to the manufacturers, it’s really a very high-quality vacuum cleaner.")</f>
        <v>I bought a vacuum cleaner about six years ago and it has never let me down. It’s very powerful, it suctions well. Thanks to the manufacturers, it’s really a very high-quality vacuum cleaner.</v>
      </c>
    </row>
    <row r="8998" spans="1:9" x14ac:dyDescent="0.3">
      <c r="A8998" s="1" t="s">
        <v>624</v>
      </c>
      <c r="B8998" s="1" t="s">
        <v>625</v>
      </c>
      <c r="C8998" s="1" t="s">
        <v>479</v>
      </c>
      <c r="D8998" s="1" t="s">
        <v>52</v>
      </c>
      <c r="E8998" s="1" t="s">
        <v>661</v>
      </c>
      <c r="F8998" s="1" t="s">
        <v>13398</v>
      </c>
      <c r="G8998" s="1" t="s">
        <v>36</v>
      </c>
      <c r="H8998" s="1" t="s">
        <v>29</v>
      </c>
      <c r="I8998" s="1" t="str">
        <f ca="1">IFERROR(__xludf.DUMMYFUNCTION("GOOGLETRANSLATE(F8998, ""auto"", ""en"")
"),"The game is good and exciting and will appeal to both children and adults. My wife and I play vied with each other, even took a second joystick for this. I advise those who have children. And those who don’t have a fun game too.")</f>
        <v>The game is good and exciting and will appeal to both children and adults. My wife and I play vied with each other, even took a second joystick for this. I advise those who have children. And those who don’t have a fun game too.</v>
      </c>
    </row>
    <row r="8999" spans="1:9" x14ac:dyDescent="0.3">
      <c r="A8999" s="1" t="s">
        <v>95</v>
      </c>
      <c r="B8999" s="1" t="s">
        <v>486</v>
      </c>
      <c r="C8999" s="1" t="s">
        <v>487</v>
      </c>
      <c r="D8999" s="1" t="s">
        <v>633</v>
      </c>
      <c r="E8999" s="1" t="s">
        <v>6661</v>
      </c>
      <c r="F8999" s="1" t="s">
        <v>13399</v>
      </c>
      <c r="G8999" s="1" t="s">
        <v>15</v>
      </c>
      <c r="H8999" s="1" t="s">
        <v>16</v>
      </c>
      <c r="I8999" s="1" t="str">
        <f ca="1">IFERROR(__xludf.DUMMYFUNCTION("GOOGLETRANSLATE(F8999, ""auto"", ""en"")
"),"The console constantly freezes, scratches discs and does not always turn on.")</f>
        <v>The console constantly freezes, scratches discs and does not always turn on.</v>
      </c>
    </row>
    <row r="9000" spans="1:9" x14ac:dyDescent="0.3">
      <c r="A9000" s="1" t="s">
        <v>89</v>
      </c>
      <c r="B9000" s="1" t="s">
        <v>231</v>
      </c>
      <c r="C9000" s="1" t="s">
        <v>61</v>
      </c>
      <c r="D9000" s="1" t="s">
        <v>545</v>
      </c>
      <c r="E9000" s="1" t="s">
        <v>320</v>
      </c>
      <c r="F9000" s="1" t="s">
        <v>13400</v>
      </c>
      <c r="G9000" s="1" t="s">
        <v>36</v>
      </c>
      <c r="H9000" s="1" t="s">
        <v>29</v>
      </c>
      <c r="I9000" s="1" t="str">
        <f ca="1">IFERROR(__xludf.DUMMYFUNCTION("GOOGLETRANSLATE(F9000, ""auto"", ""en"")
"),"The machine worked under heavy load (in the reception area) for 6 years. I handled her very carefully. The company has its own technical service that serviced the machine. Recently the car broke down. Upon opening it, it turned out that the mechanical par"&amp;"ts were all made of plastic and were worn out.")</f>
        <v>The machine worked under heavy load (in the reception area) for 6 years. I handled her very carefully. The company has its own technical service that serviced the machine. Recently the car broke down. Upon opening it, it turned out that the mechanical parts were all made of plastic and were worn out.</v>
      </c>
    </row>
    <row r="9001" spans="1:9" x14ac:dyDescent="0.3">
      <c r="A9001" s="1" t="s">
        <v>732</v>
      </c>
      <c r="B9001" s="1" t="s">
        <v>733</v>
      </c>
      <c r="C9001" s="1" t="s">
        <v>80</v>
      </c>
      <c r="D9001" s="1" t="s">
        <v>13401</v>
      </c>
      <c r="E9001" s="1" t="s">
        <v>2298</v>
      </c>
      <c r="F9001" s="1" t="s">
        <v>13402</v>
      </c>
      <c r="G9001" s="1" t="s">
        <v>36</v>
      </c>
      <c r="H9001" s="1" t="s">
        <v>29</v>
      </c>
      <c r="I9001" s="1" t="str">
        <f ca="1">IFERROR(__xludf.DUMMYFUNCTION("GOOGLETRANSLATE(F9001, ""auto"", ""en"")
"),"I think the previous author (Sergey) did not understand, his problems are precisely in the connected peripherals.    At this point in time, I give the product a 5 and it’s real... everything works: I really watch the TV Full HD HTV shine, although there a"&amp;"ren’t many channels yet, but it’s not Monica’s fault, as the monitor will give any competitor a head start All interfaces are 100% functional DVI HDMi and standard Dsub. Grain size: 0.248 mm, this means that this is a monitor with a high-quality matrix..."&amp;" Ps try to find a Monica TV with a grain of 0.248 with Full HD resolution for less money.   I agree, a revolutionary product at the moment..")</f>
        <v>I think the previous author (Sergey) did not understand, his problems are precisely in the connected peripherals.    At this point in time, I give the product a 5 and it’s real... everything works: I really watch the TV Full HD HTV shine, although there aren’t many channels yet, but it’s not Monica’s fault, as the monitor will give any competitor a head start All interfaces are 100% functional DVI HDMi and standard Dsub. Grain size: 0.248 mm, this means that this is a monitor with a high-quality matrix... Ps try to find a Monica TV with a grain of 0.248 with Full HD resolution for less money.   I agree, a revolutionary product at the moment..</v>
      </c>
    </row>
    <row r="9002" spans="1:9" x14ac:dyDescent="0.3">
      <c r="A9002" s="1" t="s">
        <v>67</v>
      </c>
      <c r="B9002" s="1" t="s">
        <v>68</v>
      </c>
      <c r="C9002" s="1" t="s">
        <v>69</v>
      </c>
      <c r="D9002" s="1" t="s">
        <v>32</v>
      </c>
      <c r="E9002" s="1" t="s">
        <v>4421</v>
      </c>
      <c r="F9002" s="1" t="s">
        <v>13403</v>
      </c>
      <c r="G9002" s="1" t="s">
        <v>36</v>
      </c>
      <c r="H9002" s="1" t="s">
        <v>29</v>
      </c>
      <c r="I9002" s="1" t="str">
        <f ca="1">IFERROR(__xludf.DUMMYFUNCTION("GOOGLETRANSLATE(F9002, ""auto"", ""en"")
"),"Beautiful in appearance, comfortable to hold, long cord, the iron heats up quickly, I’m happy with it and recommend it to everyone.")</f>
        <v>Beautiful in appearance, comfortable to hold, long cord, the iron heats up quickly, I’m happy with it and recommend it to everyone.</v>
      </c>
    </row>
    <row r="9003" spans="1:9" x14ac:dyDescent="0.3">
      <c r="A9003" s="1" t="s">
        <v>624</v>
      </c>
      <c r="B9003" s="1" t="s">
        <v>2107</v>
      </c>
      <c r="C9003" s="1" t="s">
        <v>487</v>
      </c>
      <c r="D9003" s="1" t="s">
        <v>1072</v>
      </c>
      <c r="E9003" s="1" t="s">
        <v>3494</v>
      </c>
      <c r="F9003" s="1" t="s">
        <v>13404</v>
      </c>
      <c r="G9003" s="1" t="s">
        <v>36</v>
      </c>
      <c r="H9003" s="1" t="s">
        <v>29</v>
      </c>
      <c r="I9003" s="1" t="str">
        <f ca="1">IFERROR(__xludf.DUMMYFUNCTION("GOOGLETRANSLATE(F9003, ""auto"", ""en"")
"),"I don’t know about the first and second parts, I haven’t played them, but this is the only game that my wife and I spent dozens of hours on in a row... very exciting, exciting and played in one breath. Moreover, I am not a fan of this type of genre. I rec"&amp;"ommend it.")</f>
        <v>I don’t know about the first and second parts, I haven’t played them, but this is the only game that my wife and I spent dozens of hours on in a row... very exciting, exciting and played in one breath. Moreover, I am not a fan of this type of genre. I recommend it.</v>
      </c>
    </row>
    <row r="9004" spans="1:9" x14ac:dyDescent="0.3">
      <c r="A9004" s="1" t="s">
        <v>211</v>
      </c>
      <c r="B9004" s="1" t="s">
        <v>212</v>
      </c>
      <c r="C9004" s="1" t="s">
        <v>69</v>
      </c>
      <c r="D9004" s="1" t="s">
        <v>411</v>
      </c>
      <c r="E9004" s="1" t="s">
        <v>969</v>
      </c>
      <c r="F9004" s="1" t="s">
        <v>13405</v>
      </c>
      <c r="G9004" s="1" t="s">
        <v>36</v>
      </c>
      <c r="H9004" s="1" t="s">
        <v>29</v>
      </c>
      <c r="I9004" s="1" t="str">
        <f ca="1">IFERROR(__xludf.DUMMYFUNCTION("GOOGLETRANSLATE(F9004, ""auto"", ""en"")
"),"We used it for several years until it broke. I will buy the same one. Beautiful design, good power, and most importantly - a folding handle, very convenient for storage, + a case with a lock for storage (like a large black cosmetic bag) is included.")</f>
        <v>We used it for several years until it broke. I will buy the same one. Beautiful design, good power, and most importantly - a folding handle, very convenient for storage, + a case with a lock for storage (like a large black cosmetic bag) is included.</v>
      </c>
    </row>
    <row r="9005" spans="1:9" x14ac:dyDescent="0.3">
      <c r="A9005" s="1" t="s">
        <v>78</v>
      </c>
      <c r="B9005" s="1" t="s">
        <v>79</v>
      </c>
      <c r="C9005" s="1" t="s">
        <v>1677</v>
      </c>
      <c r="D9005" s="1" t="s">
        <v>1004</v>
      </c>
      <c r="E9005" s="1" t="s">
        <v>386</v>
      </c>
      <c r="F9005" s="1" t="s">
        <v>13406</v>
      </c>
      <c r="G9005" s="1" t="s">
        <v>28</v>
      </c>
      <c r="H9005" s="1" t="s">
        <v>29</v>
      </c>
      <c r="I9005" s="1" t="str">
        <f ca="1">IFERROR(__xludf.DUMMYFUNCTION("GOOGLETRANSLATE(F9005, ""auto"", ""en"")
"),"I bought it 3 months ago. There is no built-in clock, after the program ends it beeps terribly... I expected more... it seems like a decent design.")</f>
        <v>I bought it 3 months ago. There is no built-in clock, after the program ends it beeps terribly... I expected more... it seems like a decent design.</v>
      </c>
    </row>
    <row r="9006" spans="1:9" x14ac:dyDescent="0.3">
      <c r="A9006" s="1" t="s">
        <v>211</v>
      </c>
      <c r="B9006" s="1" t="s">
        <v>515</v>
      </c>
      <c r="C9006" s="1" t="s">
        <v>213</v>
      </c>
      <c r="D9006" s="1" t="s">
        <v>9379</v>
      </c>
      <c r="E9006" s="1" t="s">
        <v>1029</v>
      </c>
      <c r="F9006" s="1" t="s">
        <v>13407</v>
      </c>
      <c r="G9006" s="1" t="s">
        <v>36</v>
      </c>
      <c r="H9006" s="1" t="s">
        <v>29</v>
      </c>
      <c r="I9006" s="1" t="str">
        <f ca="1">IFERROR(__xludf.DUMMYFUNCTION("GOOGLETRANSLATE(F9006, ""auto"", ""en"")
"),"I have been using this epilator for 6 years and have never had any problems with it. The Braun SilkEpil 1 1170 model copes well with its main task; the legs look smooth and well-groomed. The kit does not include any additional attachments, but I don’t nee"&amp;"d them; there is a convenient brush for cleaning. The epilator has one speed and one main head with 20 small tweezers, which can be used to remove unwanted hair on the legs, bikini area and armpits. The whole process used to take about 30-40 minutes, I us"&amp;"ed the epilator 1-2 times a week, after a few years I spend only 15-20 minutes and repeat the procedure 1-2 times a month. When hair grows, there is no “stubble” effect, the hairs are softer and grow slower. To prevent ingrown hairs, I use a body scrub. A"&amp;" good and reliable model for reasonable money. For those who like to save money, this model is for you!")</f>
        <v>I have been using this epilator for 6 years and have never had any problems with it. The Braun SilkEpil 1 1170 model copes well with its main task; the legs look smooth and well-groomed. The kit does not include any additional attachments, but I don’t need them; there is a convenient brush for cleaning. The epilator has one speed and one main head with 20 small tweezers, which can be used to remove unwanted hair on the legs, bikini area and armpits. The whole process used to take about 30-40 minutes, I used the epilator 1-2 times a week, after a few years I spend only 15-20 minutes and repeat the procedure 1-2 times a month. When hair grows, there is no “stubble” effect, the hairs are softer and grow slower. To prevent ingrown hairs, I use a body scrub. A good and reliable model for reasonable money. For those who like to save money, this model is for you!</v>
      </c>
    </row>
    <row r="9007" spans="1:9" x14ac:dyDescent="0.3">
      <c r="A9007" s="1" t="s">
        <v>211</v>
      </c>
      <c r="B9007" s="1" t="s">
        <v>410</v>
      </c>
      <c r="C9007" s="1" t="s">
        <v>122</v>
      </c>
      <c r="D9007" s="1" t="s">
        <v>280</v>
      </c>
      <c r="E9007" s="1" t="s">
        <v>734</v>
      </c>
      <c r="F9007" s="1" t="s">
        <v>13408</v>
      </c>
      <c r="G9007" s="1" t="s">
        <v>28</v>
      </c>
      <c r="H9007" s="1" t="s">
        <v>29</v>
      </c>
      <c r="I9007" s="1" t="str">
        <f ca="1">IFERROR(__xludf.DUMMYFUNCTION("GOOGLETRANSLATE(F9007, ""auto"", ""en"")
"),"Yes, indeed, there are no words, the razor is good, it shaves hard-to-reach places, as long as the cutting unit does not become dull or the mesh fails. Surprisingly, in the 21st century I am faced with the problem of a shortage of electric razor component"&amp;"s. Even in the online store on the official Panasonic website, if these accessories appear, then no more than once every 2 months, and if they appear, then in small quantities. In this situation, the originality of the razor comes back to its user. It’s s"&amp;"omehow a pity to throw away an electric razor, for which I paid about 5 thousand rubles a year ago.")</f>
        <v>Yes, indeed, there are no words, the razor is good, it shaves hard-to-reach places, as long as the cutting unit does not become dull or the mesh fails. Surprisingly, in the 21st century I am faced with the problem of a shortage of electric razor components. Even in the online store on the official Panasonic website, if these accessories appear, then no more than once every 2 months, and if they appear, then in small quantities. In this situation, the originality of the razor comes back to its user. It’s somehow a pity to throw away an electric razor, for which I paid about 5 thousand rubles a year ago.</v>
      </c>
    </row>
    <row r="9008" spans="1:9" x14ac:dyDescent="0.3">
      <c r="A9008" s="1" t="s">
        <v>211</v>
      </c>
      <c r="B9008" s="1" t="s">
        <v>384</v>
      </c>
      <c r="C9008" s="1" t="s">
        <v>246</v>
      </c>
      <c r="D9008" s="1" t="s">
        <v>172</v>
      </c>
      <c r="E9008" s="1" t="s">
        <v>1909</v>
      </c>
      <c r="F9008" s="1" t="s">
        <v>13409</v>
      </c>
      <c r="G9008" s="1" t="s">
        <v>36</v>
      </c>
      <c r="H9008" s="1" t="s">
        <v>29</v>
      </c>
      <c r="I9008" s="1" t="str">
        <f ca="1">IFERROR(__xludf.DUMMYFUNCTION("GOOGLETRANSLATE(F9008, ""auto"", ""en"")
"),"Excellent scales Tefal is the most accurate scales")</f>
        <v>Excellent scales Tefal is the most accurate scales</v>
      </c>
    </row>
    <row r="9009" spans="1:9" x14ac:dyDescent="0.3">
      <c r="A9009" s="1" t="s">
        <v>105</v>
      </c>
      <c r="B9009" s="1" t="s">
        <v>106</v>
      </c>
      <c r="C9009" s="1" t="s">
        <v>1209</v>
      </c>
      <c r="D9009" s="1" t="s">
        <v>52</v>
      </c>
      <c r="E9009" s="1" t="s">
        <v>6001</v>
      </c>
      <c r="F9009" s="1" t="s">
        <v>13410</v>
      </c>
      <c r="G9009" s="1" t="s">
        <v>36</v>
      </c>
      <c r="H9009" s="1" t="s">
        <v>29</v>
      </c>
      <c r="I9009" s="1" t="str">
        <f ca="1">IFERROR(__xludf.DUMMYFUNCTION("GOOGLETRANSLATE(F9009, ""auto"", ""en"")
"),"The player is excellent!   The sound is amazing; memory for me personally - behind the eyes; excellent color rendering when viewing photos/videos. Completely satisfied.")</f>
        <v>The player is excellent!   The sound is amazing; memory for me personally - behind the eyes; excellent color rendering when viewing photos/videos. Completely satisfied.</v>
      </c>
    </row>
    <row r="9010" spans="1:9" x14ac:dyDescent="0.3">
      <c r="A9010" s="1" t="s">
        <v>105</v>
      </c>
      <c r="B9010" s="1" t="s">
        <v>106</v>
      </c>
      <c r="C9010" s="1" t="s">
        <v>1209</v>
      </c>
      <c r="D9010" s="1" t="s">
        <v>922</v>
      </c>
      <c r="E9010" s="1" t="s">
        <v>822</v>
      </c>
      <c r="F9010" s="1" t="s">
        <v>13411</v>
      </c>
      <c r="G9010" s="1" t="s">
        <v>36</v>
      </c>
      <c r="H9010" s="1" t="s">
        <v>29</v>
      </c>
      <c r="I9010" s="1" t="str">
        <f ca="1">IFERROR(__xludf.DUMMYFUNCTION("GOOGLETRANSLATE(F9010, ""auto"", ""en"")
"),"I bought it yesterday and I can’t be happier) I went to the village and there the TV showed better than a regular TV! This made me happy. The graphics are very good and the sound from the speaker is too. Of the minuses: I turned on the radio and discovere"&amp;"d that if I do not extend the antenna, the radio operates with interference and sometimes does not receive reception. I won’t carry it in a bag, for example, with the antenna extended. I hope it will be better with headphones. It's a good player, I recomm"&amp;"end it!")</f>
        <v>I bought it yesterday and I can’t be happier) I went to the village and there the TV showed better than a regular TV! This made me happy. The graphics are very good and the sound from the speaker is too. Of the minuses: I turned on the radio and discovered that if I do not extend the antenna, the radio operates with interference and sometimes does not receive reception. I won’t carry it in a bag, for example, with the antenna extended. I hope it will be better with headphones. It's a good player, I recommend it!</v>
      </c>
    </row>
    <row r="9011" spans="1:9" x14ac:dyDescent="0.3">
      <c r="A9011" s="1" t="s">
        <v>624</v>
      </c>
      <c r="B9011" s="1" t="s">
        <v>625</v>
      </c>
      <c r="C9011" s="1" t="s">
        <v>479</v>
      </c>
      <c r="D9011" s="1" t="s">
        <v>152</v>
      </c>
      <c r="E9011" s="1" t="s">
        <v>606</v>
      </c>
      <c r="F9011" s="1" t="s">
        <v>13412</v>
      </c>
      <c r="G9011" s="1" t="s">
        <v>49</v>
      </c>
      <c r="H9011" s="1" t="s">
        <v>16</v>
      </c>
      <c r="I9011" s="1" t="str">
        <f ca="1">IFERROR(__xludf.DUMMYFUNCTION("GOOGLETRANSLATE(F9011, ""auto"", ""en"")
"),"What are you saying people! The PS3 certainly won't pay for this game :) What kind of graphics are there????? People are square)))) Constantly twist here, shake some nonsense! Play Uncharted 2! Haven't you seen any other games that really have graphics, A"&amp;"ssassins for example! There are a lot of games for which you don’t feel sorry to pay 2500 rubles! And for this masterpiece, I apologize, no more than 1000 rubles!  And if you play it like me, for example, after work, then it’s so boring that it’s better t"&amp;"o just watch TV! In short, buy mono if you have nothing to do at all!")</f>
        <v>What are you saying people! The PS3 certainly won't pay for this game :) What kind of graphics are there????? People are square)))) Constantly twist here, shake some nonsense! Play Uncharted 2! Haven't you seen any other games that really have graphics, Assassins for example! There are a lot of games for which you don’t feel sorry to pay 2500 rubles! And for this masterpiece, I apologize, no more than 1000 rubles!  And if you play it like me, for example, after work, then it’s so boring that it’s better to just watch TV! In short, buy mono if you have nothing to do at all!</v>
      </c>
    </row>
    <row r="9012" spans="1:9" x14ac:dyDescent="0.3">
      <c r="A9012" s="1" t="s">
        <v>43</v>
      </c>
      <c r="B9012" s="1" t="s">
        <v>1382</v>
      </c>
      <c r="C9012" s="1" t="s">
        <v>57</v>
      </c>
      <c r="D9012" s="1" t="s">
        <v>2679</v>
      </c>
      <c r="E9012" s="1" t="s">
        <v>3306</v>
      </c>
      <c r="F9012" s="1" t="s">
        <v>13413</v>
      </c>
      <c r="G9012" s="1" t="s">
        <v>15</v>
      </c>
      <c r="H9012" s="1" t="s">
        <v>16</v>
      </c>
      <c r="I9012" s="1" t="str">
        <f ca="1">IFERROR(__xludf.DUMMYFUNCTION("GOOGLETRANSLATE(F9012, ""auto"", ""en"")
"),"I bought it on the recommendation of the seller, because... The selected blade was not available. A huge minus that simply kills all other consumer characteristics is that it is very noisy. It is extremely difficult to fall asleep with it on (if you leave"&amp;" it on the timer for an hour). The sound on the TV has to be very loud, otherwise you can’t hear anything... It works a little quieter if the deflector is as high as possible, but then the air flow does not reach the sofa... I couldn’t be more upset with "&amp;"the purchase. At a demonstration in a store, in the presence of a bunch of other noises, the fan’s noise level was not audible, but at home... At my parents’ place, I couldn’t hear it at all.")</f>
        <v>I bought it on the recommendation of the seller, because... The selected blade was not available. A huge minus that simply kills all other consumer characteristics is that it is very noisy. It is extremely difficult to fall asleep with it on (if you leave it on the timer for an hour). The sound on the TV has to be very loud, otherwise you can’t hear anything... It works a little quieter if the deflector is as high as possible, but then the air flow does not reach the sofa... I couldn’t be more upset with the purchase. At a demonstration in a store, in the presence of a bunch of other noises, the fan’s noise level was not audible, but at home... At my parents’ place, I couldn’t hear it at all.</v>
      </c>
    </row>
    <row r="9013" spans="1:9" x14ac:dyDescent="0.3">
      <c r="A9013" s="1" t="s">
        <v>211</v>
      </c>
      <c r="B9013" s="1" t="s">
        <v>515</v>
      </c>
      <c r="C9013" s="1" t="s">
        <v>213</v>
      </c>
      <c r="D9013" s="1" t="s">
        <v>385</v>
      </c>
      <c r="E9013" s="1" t="s">
        <v>440</v>
      </c>
      <c r="F9013" s="1" t="s">
        <v>13414</v>
      </c>
      <c r="G9013" s="1" t="s">
        <v>36</v>
      </c>
      <c r="H9013" s="1" t="s">
        <v>29</v>
      </c>
      <c r="I9013" s="1" t="str">
        <f ca="1">IFERROR(__xludf.DUMMYFUNCTION("GOOGLETRANSLATE(F9013, ""auto"", ""en"")
"),"For a very long time I went to a beauty salon for hair removal treatments, but I always wanted to try this procedure with an epilator. And so my husband bought me, so to speak for testing, a fairly budget model. Cheap does not mean bad, especially when it"&amp;" comes to Brown products. This little epilator is amazing! He does his job very well. Removes hair from legs with a bang. One day, I decided to read about it, and on one of the sites I saw a review that this model is good for epilating armpits. Curiosity "&amp;"and interest were too great and I, of course, decided. The first time was painful and unpleasant, but the effect of 2 weeks drowned out these feelings, and the second and subsequent times it was not as terrible as the first. Another undoubted advantage is"&amp;" the long cord. I can say with confidence that this model is excellent. If anyone still doubts, cast aside all doubts. I am completely satisfied with this model and have no intention of changing to another one yet!")</f>
        <v>For a very long time I went to a beauty salon for hair removal treatments, but I always wanted to try this procedure with an epilator. And so my husband bought me, so to speak for testing, a fairly budget model. Cheap does not mean bad, especially when it comes to Brown products. This little epilator is amazing! He does his job very well. Removes hair from legs with a bang. One day, I decided to read about it, and on one of the sites I saw a review that this model is good for epilating armpits. Curiosity and interest were too great and I, of course, decided. The first time was painful and unpleasant, but the effect of 2 weeks drowned out these feelings, and the second and subsequent times it was not as terrible as the first. Another undoubted advantage is the long cord. I can say with confidence that this model is excellent. If anyone still doubts, cast aside all doubts. I am completely satisfied with this model and have no intention of changing to another one yet!</v>
      </c>
    </row>
    <row r="9014" spans="1:9" x14ac:dyDescent="0.3">
      <c r="A9014" s="1" t="s">
        <v>624</v>
      </c>
      <c r="B9014" s="1" t="s">
        <v>881</v>
      </c>
      <c r="C9014" s="1" t="s">
        <v>479</v>
      </c>
      <c r="D9014" s="1" t="s">
        <v>13415</v>
      </c>
      <c r="E9014" s="1" t="s">
        <v>4240</v>
      </c>
      <c r="F9014" s="1" t="s">
        <v>13416</v>
      </c>
      <c r="G9014" s="1" t="s">
        <v>36</v>
      </c>
      <c r="H9014" s="1" t="s">
        <v>29</v>
      </c>
      <c r="I9014" s="1" t="str">
        <f ca="1">IFERROR(__xludf.DUMMYFUNCTION("GOOGLETRANSLATE(F9014, ""auto"", ""en"")
"),"Very bright and funny. The puzzles are both easy and difficult. If you don’t like pixel graphics, don’t worry, you’ll forget about it after the first level. It’s unrealistically addictive, it seems like you’ve been playing for five minutes, but an hour ha"&amp;"s already passed. ")</f>
        <v xml:space="preserve">Very bright and funny. The puzzles are both easy and difficult. If you don’t like pixel graphics, don’t worry, you’ll forget about it after the first level. It’s unrealistically addictive, it seems like you’ve been playing for five minutes, but an hour has already passed. </v>
      </c>
    </row>
    <row r="9015" spans="1:9" x14ac:dyDescent="0.3">
      <c r="A9015" s="1" t="s">
        <v>120</v>
      </c>
      <c r="B9015" s="1" t="s">
        <v>121</v>
      </c>
      <c r="C9015" s="1" t="s">
        <v>80</v>
      </c>
      <c r="D9015" s="1" t="s">
        <v>13417</v>
      </c>
      <c r="E9015" s="1" t="s">
        <v>1886</v>
      </c>
      <c r="F9015" s="1" t="s">
        <v>13418</v>
      </c>
      <c r="G9015" s="1" t="s">
        <v>36</v>
      </c>
      <c r="H9015" s="1" t="s">
        <v>29</v>
      </c>
      <c r="I9015" s="1" t="str">
        <f ca="1">IFERROR(__xludf.DUMMYFUNCTION("GOOGLETRANSLATE(F9015, ""auto"", ""en"")
"),"Bought. Satisfied. I had the temerity to change the factory firmware 3.44 to 3.55 downloaded from the internet. The quality of the cable has noticeably improved, but at the same time the ability to read some mkv and even avi files has disappeared. Knowled"&amp;"geable people told me about the crooked firmware with video drivers from dashing Polish hackers. What to do? What should I do? Now it doesn’t read past files....and avi after one......I’m in a panic!!!!")</f>
        <v>Bought. Satisfied. I had the temerity to change the factory firmware 3.44 to 3.55 downloaded from the internet. The quality of the cable has noticeably improved, but at the same time the ability to read some mkv and even avi files has disappeared. Knowledgeable people told me about the crooked firmware with video drivers from dashing Polish hackers. What to do? What should I do? Now it doesn’t read past files....and avi after one......I’m in a panic!!!!</v>
      </c>
    </row>
    <row r="9016" spans="1:9" x14ac:dyDescent="0.3">
      <c r="A9016" s="1" t="s">
        <v>61</v>
      </c>
      <c r="B9016" s="1" t="s">
        <v>145</v>
      </c>
      <c r="C9016" s="1" t="s">
        <v>314</v>
      </c>
      <c r="D9016" s="1" t="s">
        <v>9167</v>
      </c>
      <c r="E9016" s="1" t="s">
        <v>267</v>
      </c>
      <c r="F9016" s="1" t="s">
        <v>13419</v>
      </c>
      <c r="G9016" s="1" t="s">
        <v>36</v>
      </c>
      <c r="H9016" s="1" t="s">
        <v>29</v>
      </c>
      <c r="I9016" s="1" t="str">
        <f ca="1">IFERROR(__xludf.DUMMYFUNCTION("GOOGLETRANSLATE(F9016, ""auto"", ""en"")
"),"I bought a slicer on sale, it was made in Poland, it has a laconic design and does the job with an A plus! We can recommend it to anyone who values ​​their time and loves comfort.")</f>
        <v>I bought a slicer on sale, it was made in Poland, it has a laconic design and does the job with an A plus! We can recommend it to anyone who values ​​their time and loves comfort.</v>
      </c>
    </row>
    <row r="9017" spans="1:9" x14ac:dyDescent="0.3">
      <c r="A9017" s="1" t="s">
        <v>9</v>
      </c>
      <c r="B9017" s="1" t="s">
        <v>23</v>
      </c>
      <c r="C9017" s="1" t="s">
        <v>466</v>
      </c>
      <c r="D9017" s="1" t="s">
        <v>308</v>
      </c>
      <c r="E9017" s="1" t="s">
        <v>498</v>
      </c>
      <c r="F9017" s="1" t="s">
        <v>13420</v>
      </c>
      <c r="G9017" s="1" t="s">
        <v>49</v>
      </c>
      <c r="H9017" s="1" t="s">
        <v>16</v>
      </c>
      <c r="I9017" s="1" t="str">
        <f ca="1">IFERROR(__xludf.DUMMYFUNCTION("GOOGLETRANSLATE(F9017, ""auto"", ""en"")
"),"A very bad machine. Don't throw money away! It's better to pay extra and buy a quality item. The machine worked for less than a year! After two years of suffering with its repair, it rests in the trash!")</f>
        <v>A very bad machine. Don't throw money away! It's better to pay extra and buy a quality item. The machine worked for less than a year! After two years of suffering with its repair, it rests in the trash!</v>
      </c>
    </row>
    <row r="9018" spans="1:9" x14ac:dyDescent="0.3">
      <c r="A9018" s="1" t="s">
        <v>149</v>
      </c>
      <c r="B9018" s="1" t="s">
        <v>155</v>
      </c>
      <c r="C9018" s="1" t="s">
        <v>63</v>
      </c>
      <c r="D9018" s="1" t="s">
        <v>39</v>
      </c>
      <c r="E9018" s="1" t="s">
        <v>2880</v>
      </c>
      <c r="F9018" s="1" t="s">
        <v>13421</v>
      </c>
      <c r="G9018" s="1" t="s">
        <v>36</v>
      </c>
      <c r="H9018" s="1" t="s">
        <v>29</v>
      </c>
      <c r="I9018" s="1" t="str">
        <f ca="1">IFERROR(__xludf.DUMMYFUNCTION("GOOGLETRANSLATE(F9018, ""auto"", ""en"")
"),"Excellent quiet, powerful, high-quality vacuum cleaner. The downside is that there is no carrying handle.")</f>
        <v>Excellent quiet, powerful, high-quality vacuum cleaner. The downside is that there is no carrying handle.</v>
      </c>
    </row>
    <row r="9019" spans="1:9" x14ac:dyDescent="0.3">
      <c r="A9019" s="1" t="s">
        <v>120</v>
      </c>
      <c r="B9019" s="1" t="s">
        <v>121</v>
      </c>
      <c r="C9019" s="1" t="s">
        <v>97</v>
      </c>
      <c r="D9019" s="1" t="s">
        <v>152</v>
      </c>
      <c r="E9019" s="1" t="s">
        <v>661</v>
      </c>
      <c r="F9019" s="1" t="s">
        <v>13422</v>
      </c>
      <c r="G9019" s="1" t="s">
        <v>28</v>
      </c>
      <c r="H9019" s="1" t="s">
        <v>29</v>
      </c>
      <c r="I9019" s="1" t="str">
        <f ca="1">IFERROR(__xludf.DUMMYFUNCTION("GOOGLETRANSLATE(F9019, ""auto"", ""en"")
"),"I recently purchased this Sony TV model. Some of what was written here before me is true. In particular, high-quality analog signal reception (built-in digital TV tuner). On the downside, sometimes the sound disappears, even when watching analogue. channe"&amp;"ls without Spanish tuner. Solid four)")</f>
        <v>I recently purchased this Sony TV model. Some of what was written here before me is true. In particular, high-quality analog signal reception (built-in digital TV tuner). On the downside, sometimes the sound disappears, even when watching analogue. channels without Spanish tuner. Solid four)</v>
      </c>
    </row>
    <row r="9020" spans="1:9" x14ac:dyDescent="0.3">
      <c r="A9020" s="1" t="s">
        <v>67</v>
      </c>
      <c r="B9020" s="1" t="s">
        <v>68</v>
      </c>
      <c r="C9020" s="1" t="s">
        <v>85</v>
      </c>
      <c r="D9020" s="1" t="s">
        <v>280</v>
      </c>
      <c r="E9020" s="1" t="s">
        <v>8048</v>
      </c>
      <c r="F9020" s="1" t="s">
        <v>13423</v>
      </c>
      <c r="G9020" s="1" t="s">
        <v>1580</v>
      </c>
      <c r="H9020" s="1" t="s">
        <v>29</v>
      </c>
      <c r="I9020" s="1" t="str">
        <f ca="1">IFERROR(__xludf.DUMMYFUNCTION("GOOGLETRANSLATE(F9020, ""auto"", ""en"")
"),"Excellent, really smooth sole")</f>
        <v>Excellent, really smooth sole</v>
      </c>
    </row>
    <row r="9021" spans="1:9" x14ac:dyDescent="0.3">
      <c r="A9021" s="1" t="s">
        <v>67</v>
      </c>
      <c r="B9021" s="1" t="s">
        <v>340</v>
      </c>
      <c r="C9021" s="1" t="s">
        <v>341</v>
      </c>
      <c r="D9021" s="1" t="s">
        <v>75</v>
      </c>
      <c r="E9021" s="1" t="s">
        <v>8537</v>
      </c>
      <c r="F9021" s="1" t="s">
        <v>13424</v>
      </c>
      <c r="G9021" s="1" t="s">
        <v>36</v>
      </c>
      <c r="H9021" s="1" t="s">
        <v>29</v>
      </c>
      <c r="I9021" s="1" t="str">
        <f ca="1">IFERROR(__xludf.DUMMYFUNCTION("GOOGLETRANSLATE(F9021, ""auto"", ""en"")
"),"I have been using the Astralux 150 sewing machine for more than a year. The model is easy to use and simple to operate. Has a simple stitch and a zigzag stitch. I process the seam sections with a zigzag, because... I sew for myself, there is no need for a"&amp;"n overlocker. I don’t agree with the negative review, there is a problem with the thread tension; if the tension number is chosen incorrectly, on average it is mode 4. The instructions are detailed, after reading it, you can set up the machine for yoursel"&amp;"f. I definitely recommend it.")</f>
        <v>I have been using the Astralux 150 sewing machine for more than a year. The model is easy to use and simple to operate. Has a simple stitch and a zigzag stitch. I process the seam sections with a zigzag, because... I sew for myself, there is no need for an overlocker. I don’t agree with the negative review, there is a problem with the thread tension; if the tension number is chosen incorrectly, on average it is mode 4. The instructions are detailed, after reading it, you can set up the machine for yourself. I definitely recommend it.</v>
      </c>
    </row>
    <row r="9022" spans="1:9" x14ac:dyDescent="0.3">
      <c r="A9022" s="1" t="s">
        <v>373</v>
      </c>
      <c r="B9022" s="1" t="s">
        <v>374</v>
      </c>
      <c r="C9022" s="1" t="s">
        <v>159</v>
      </c>
      <c r="D9022" s="1" t="s">
        <v>305</v>
      </c>
      <c r="E9022" s="1" t="s">
        <v>701</v>
      </c>
      <c r="F9022" s="1" t="s">
        <v>13425</v>
      </c>
      <c r="G9022" s="1" t="s">
        <v>28</v>
      </c>
      <c r="H9022" s="1" t="s">
        <v>29</v>
      </c>
      <c r="I9022" s="1" t="str">
        <f ca="1">IFERROR(__xludf.DUMMYFUNCTION("GOOGLETRANSLATE(F9022, ""auto"", ""en"")
"),"The machine does an excellent job of washing tableware (porcelain and earthenware plates, saucers, cups, glass glasses) and cutlery (steel spoons, forks, knives). If you wash dishes immediately after eating, a short 30-minute program is quite enough.  Pot"&amp;"s and pans are much harder to clean than plates, even with an intensive wash program and after pre-soaking. To thoroughly wash pots and pans, you have to pre-treat burnt and stuck-on dirt with a sponge and only then wash them clean in the machine.  Other "&amp;"disadvantages of the machine: 1) the design of the basket allows only tableware (plates and saucers) to be placed stably, while pots, pans and their lids are poorly fixed or not fixed at all;  2).  3) large plates with a diameter of more than 27 cm do not"&amp;" fit into the machine due to the low height of the washing chamber;  4) a special folding stand for cups does not allow objects higher than 10 cm to be placed on it (again due to the low height of the washing chamber), so large tea cups have to be placed "&amp;"on the bottom of the basket, taking up space from plates and pots.")</f>
        <v>The machine does an excellent job of washing tableware (porcelain and earthenware plates, saucers, cups, glass glasses) and cutlery (steel spoons, forks, knives). If you wash dishes immediately after eating, a short 30-minute program is quite enough.  Pots and pans are much harder to clean than plates, even with an intensive wash program and after pre-soaking. To thoroughly wash pots and pans, you have to pre-treat burnt and stuck-on dirt with a sponge and only then wash them clean in the machine.  Other disadvantages of the machine: 1) the design of the basket allows only tableware (plates and saucers) to be placed stably, while pots, pans and their lids are poorly fixed or not fixed at all;  2).  3) large plates with a diameter of more than 27 cm do not fit into the machine due to the low height of the washing chamber;  4) a special folding stand for cups does not allow objects higher than 10 cm to be placed on it (again due to the low height of the washing chamber), so large tea cups have to be placed on the bottom of the basket, taking up space from plates and pots.</v>
      </c>
    </row>
    <row r="9023" spans="1:9" x14ac:dyDescent="0.3">
      <c r="A9023" s="1" t="s">
        <v>206</v>
      </c>
      <c r="B9023" s="1" t="s">
        <v>207</v>
      </c>
      <c r="C9023" s="1" t="s">
        <v>152</v>
      </c>
      <c r="D9023" s="1" t="s">
        <v>152</v>
      </c>
      <c r="E9023" s="1" t="s">
        <v>824</v>
      </c>
      <c r="F9023" s="1" t="s">
        <v>13426</v>
      </c>
      <c r="G9023" s="1" t="s">
        <v>36</v>
      </c>
      <c r="H9023" s="1" t="s">
        <v>29</v>
      </c>
      <c r="I9023" s="1" t="str">
        <f ca="1">IFERROR(__xludf.DUMMYFUNCTION("GOOGLETRANSLATE(F9023, ""auto"", ""en"")
"),"Awesome sub, it fits in a VAZ 2115, it plays fine, but now I want to get the same one")</f>
        <v>Awesome sub, it fits in a VAZ 2115, it plays fine, but now I want to get the same one</v>
      </c>
    </row>
    <row r="9024" spans="1:9" x14ac:dyDescent="0.3">
      <c r="A9024" s="1" t="s">
        <v>105</v>
      </c>
      <c r="B9024" s="1" t="s">
        <v>106</v>
      </c>
      <c r="C9024" s="1" t="s">
        <v>151</v>
      </c>
      <c r="D9024" s="1" t="s">
        <v>9386</v>
      </c>
      <c r="E9024" s="1" t="s">
        <v>1330</v>
      </c>
      <c r="F9024" s="1" t="s">
        <v>13427</v>
      </c>
      <c r="G9024" s="1" t="s">
        <v>28</v>
      </c>
      <c r="H9024" s="1" t="s">
        <v>29</v>
      </c>
      <c r="I9024" s="1" t="str">
        <f ca="1">IFERROR(__xludf.DUMMYFUNCTION("GOOGLETRANSLATE(F9024, ""auto"", ""en"")
"),"I bought the player as a gift for my daughter, she practically doesn’t let it go out of her hands for six months, she’s happy with everything, the only thing is that the stated time is 50 hours, to put it mildly, exaggerated, at most 8-10 hours, like all "&amp;"other models. (When choosing a model, these declared 50 hours determined the choice)")</f>
        <v>I bought the player as a gift for my daughter, she practically doesn’t let it go out of her hands for six months, she’s happy with everything, the only thing is that the stated time is 50 hours, to put it mildly, exaggerated, at most 8-10 hours, like all other models. (When choosing a model, these declared 50 hours determined the choice)</v>
      </c>
    </row>
    <row r="9025" spans="1:9" x14ac:dyDescent="0.3">
      <c r="A9025" s="1" t="s">
        <v>369</v>
      </c>
      <c r="B9025" s="1" t="s">
        <v>587</v>
      </c>
      <c r="C9025" s="1" t="s">
        <v>588</v>
      </c>
      <c r="D9025" s="1" t="s">
        <v>61</v>
      </c>
      <c r="E9025" s="1" t="s">
        <v>4980</v>
      </c>
      <c r="F9025" s="1" t="s">
        <v>13428</v>
      </c>
      <c r="G9025" s="1" t="s">
        <v>36</v>
      </c>
      <c r="H9025" s="1" t="s">
        <v>29</v>
      </c>
      <c r="I9025" s="1" t="str">
        <f ca="1">IFERROR(__xludf.DUMMYFUNCTION("GOOGLETRANSLATE(F9025, ""auto"", ""en"")
"),"I've been using it for over 4 months and couldn't be happier. The gas makes noise - for the first two days it really bothered me, but now I don’t pay attention to it, I’m used to it. The gas does not ignite for a long time - just press the handle all the "&amp;"way (as stated in the instructions), then you yourself will feel how the handle returns to its original position. The oven bakes amazingly. An interesting point is that when the temperature sensor heats up, the gas is automatically reduced and there is no"&amp;" need to monitor the gas supply to the oven, everything is regulated automatically without human intervention. The utensil drawer is spacious, very convenient and just cool.")</f>
        <v>I've been using it for over 4 months and couldn't be happier. The gas makes noise - for the first two days it really bothered me, but now I don’t pay attention to it, I’m used to it. The gas does not ignite for a long time - just press the handle all the way (as stated in the instructions), then you yourself will feel how the handle returns to its original position. The oven bakes amazingly. An interesting point is that when the temperature sensor heats up, the gas is automatically reduced and there is no need to monitor the gas supply to the oven, everything is regulated automatically without human intervention. The utensil drawer is spacious, very convenient and just cool.</v>
      </c>
    </row>
    <row r="9026" spans="1:9" x14ac:dyDescent="0.3">
      <c r="A9026" s="1" t="s">
        <v>211</v>
      </c>
      <c r="B9026" s="1" t="s">
        <v>212</v>
      </c>
      <c r="C9026" s="1" t="s">
        <v>101</v>
      </c>
      <c r="D9026" s="1" t="s">
        <v>471</v>
      </c>
      <c r="E9026" s="1" t="s">
        <v>2804</v>
      </c>
      <c r="F9026" s="1" t="s">
        <v>13429</v>
      </c>
      <c r="G9026" s="1" t="s">
        <v>36</v>
      </c>
      <c r="H9026" s="1" t="s">
        <v>29</v>
      </c>
      <c r="I9026" s="1" t="str">
        <f ca="1">IFERROR(__xludf.DUMMYFUNCTION("GOOGLETRANSLATE(F9026, ""auto"", ""en"")
"),"I bought it 3.5 years ago. Works great, no downsides. If you want to buy a high-quality and inexpensive model, then this is an ideal option. I'm very pleased.")</f>
        <v>I bought it 3.5 years ago. Works great, no downsides. If you want to buy a high-quality and inexpensive model, then this is an ideal option. I'm very pleased.</v>
      </c>
    </row>
    <row r="9027" spans="1:9" x14ac:dyDescent="0.3">
      <c r="A9027" s="1" t="s">
        <v>149</v>
      </c>
      <c r="B9027" s="1" t="s">
        <v>423</v>
      </c>
      <c r="C9027" s="1" t="s">
        <v>424</v>
      </c>
      <c r="D9027" s="1" t="s">
        <v>7462</v>
      </c>
      <c r="E9027" s="1" t="s">
        <v>7463</v>
      </c>
      <c r="F9027" s="1" t="s">
        <v>13430</v>
      </c>
      <c r="G9027" s="1" t="s">
        <v>36</v>
      </c>
      <c r="H9027" s="1" t="s">
        <v>29</v>
      </c>
      <c r="I9027" s="1" t="str">
        <f ca="1">IFERROR(__xludf.DUMMYFUNCTION("GOOGLETRANSLATE(F9027, ""auto"", ""en"")
"),"Great vacuum cleaner! For 50 sq.m. it takes 10 liters of water and 30 minutes of time. Cleans upholstered furniture and floors well! I recommend!")</f>
        <v>Great vacuum cleaner! For 50 sq.m. it takes 10 liters of water and 30 minutes of time. Cleans upholstered furniture and floors well! I recommend!</v>
      </c>
    </row>
    <row r="9028" spans="1:9" x14ac:dyDescent="0.3">
      <c r="A9028" s="1" t="s">
        <v>9</v>
      </c>
      <c r="B9028" s="1" t="s">
        <v>10</v>
      </c>
      <c r="C9028" s="1" t="s">
        <v>466</v>
      </c>
      <c r="D9028" s="1" t="s">
        <v>521</v>
      </c>
      <c r="E9028" s="1" t="s">
        <v>3983</v>
      </c>
      <c r="F9028" s="1" t="s">
        <v>13431</v>
      </c>
      <c r="G9028" s="1" t="s">
        <v>36</v>
      </c>
      <c r="H9028" s="1" t="s">
        <v>29</v>
      </c>
      <c r="I9028" s="1" t="str">
        <f ca="1">IFERROR(__xludf.DUMMYFUNCTION("GOOGLETRANSLATE(F9028, ""auto"", ""en"")
"),"Excellent hood I don’t regret it at all, it perfectly absorbs fat and odor, I recommend it to everyone")</f>
        <v>Excellent hood I don’t regret it at all, it perfectly absorbs fat and odor, I recommend it to everyone</v>
      </c>
    </row>
    <row r="9029" spans="1:9" x14ac:dyDescent="0.3">
      <c r="A9029" s="1" t="s">
        <v>211</v>
      </c>
      <c r="B9029" s="1" t="s">
        <v>515</v>
      </c>
      <c r="C9029" s="1" t="s">
        <v>381</v>
      </c>
      <c r="D9029" s="1" t="s">
        <v>247</v>
      </c>
      <c r="E9029" s="1" t="s">
        <v>494</v>
      </c>
      <c r="F9029" s="1" t="s">
        <v>13432</v>
      </c>
      <c r="G9029" s="1" t="s">
        <v>36</v>
      </c>
      <c r="H9029" s="1" t="s">
        <v>29</v>
      </c>
      <c r="I9029" s="1" t="str">
        <f ca="1">IFERROR(__xludf.DUMMYFUNCTION("GOOGLETRANSLATE(F9029, ""auto"", ""en"")
"),"Lily, keep shaving with razors =) for me, this model suits me quite well, it takes even very short hair, the girl consultant said that it takes hair from 0.5 mm. I didn't experience any problems. And besides, this epilator really cools the skin, and befor"&amp;"e that there was another one, I bought cooling wipes, I wonder why such troubles, when they are no longer needed in this model. And what’s important is that the price is reasonable. I don’t even understand what people pay for when buying expensive epilato"&amp;"rs?! 40 tweezers, and here there are half as many, and the quality of hair removal is the same. I think this is more of a marketing ploy. What to buy is up to you, I made my choice.")</f>
        <v>Lily, keep shaving with razors =) for me, this model suits me quite well, it takes even very short hair, the girl consultant said that it takes hair from 0.5 mm. I didn't experience any problems. And besides, this epilator really cools the skin, and before that there was another one, I bought cooling wipes, I wonder why such troubles, when they are no longer needed in this model. And what’s important is that the price is reasonable. I don’t even understand what people pay for when buying expensive epilators?! 40 tweezers, and here there are half as many, and the quality of hair removal is the same. I think this is more of a marketing ploy. What to buy is up to you, I made my choice.</v>
      </c>
    </row>
    <row r="9030" spans="1:9" x14ac:dyDescent="0.3">
      <c r="A9030" s="1" t="s">
        <v>211</v>
      </c>
      <c r="B9030" s="1" t="s">
        <v>410</v>
      </c>
      <c r="C9030" s="1" t="s">
        <v>57</v>
      </c>
      <c r="D9030" s="1" t="s">
        <v>295</v>
      </c>
      <c r="E9030" s="1" t="s">
        <v>6752</v>
      </c>
      <c r="F9030" s="1" t="s">
        <v>13433</v>
      </c>
      <c r="G9030" s="1" t="s">
        <v>49</v>
      </c>
      <c r="H9030" s="1" t="s">
        <v>16</v>
      </c>
      <c r="I9030" s="1" t="str">
        <f ca="1">IFERROR(__xludf.DUMMYFUNCTION("GOOGLETRANSLATE(F9030, ""auto"", ""en"")
"),"I gave my dad this electric razor for his birthday, it turned out that it refuses to shave at all, there is no power at all, the heads don’t work, that’s how the gift turned out ((((( never buy this nonsense, I’ll go change it, I hope they’ll take it back"&amp;".")</f>
        <v>I gave my dad this electric razor for his birthday, it turned out that it refuses to shave at all, there is no power at all, the heads don’t work, that’s how the gift turned out ((((( never buy this nonsense, I’ll go change it, I hope they’ll take it back.</v>
      </c>
    </row>
    <row r="9031" spans="1:9" x14ac:dyDescent="0.3">
      <c r="A9031" s="1" t="s">
        <v>61</v>
      </c>
      <c r="B9031" s="1" t="s">
        <v>62</v>
      </c>
      <c r="C9031" s="1" t="s">
        <v>63</v>
      </c>
      <c r="D9031" s="1" t="s">
        <v>335</v>
      </c>
      <c r="E9031" s="1" t="s">
        <v>2265</v>
      </c>
      <c r="F9031" s="1" t="s">
        <v>13434</v>
      </c>
      <c r="G9031" s="1" t="s">
        <v>36</v>
      </c>
      <c r="H9031" s="1" t="s">
        <v>29</v>
      </c>
      <c r="I9031" s="1" t="str">
        <f ca="1">IFERROR(__xludf.DUMMYFUNCTION("GOOGLETRANSLATE(F9031, ""auto"", ""en"")
"),"I bought it a month ago and it has become a super helper in the kitchen. An excellent processor is an understatement. The vinaigrette takes no more than a minute, the dough kneads in 2 minutes.  It washes very quickly, and another important detail in addi"&amp;"tion to all its excellent characteristics is its relatively small size. In my small kitchen it sits on the countertop and doesn’t get in the way. I recommend it to everyone, I haven’t found any cons.")</f>
        <v>I bought it a month ago and it has become a super helper in the kitchen. An excellent processor is an understatement. The vinaigrette takes no more than a minute, the dough kneads in 2 minutes.  It washes very quickly, and another important detail in addition to all its excellent characteristics is its relatively small size. In my small kitchen it sits on the countertop and doesn’t get in the way. I recommend it to everyone, I haven’t found any cons.</v>
      </c>
    </row>
    <row r="9032" spans="1:9" x14ac:dyDescent="0.3">
      <c r="A9032" s="1" t="s">
        <v>37</v>
      </c>
      <c r="B9032" s="1" t="s">
        <v>38</v>
      </c>
      <c r="C9032" s="1" t="s">
        <v>39</v>
      </c>
      <c r="D9032" s="1" t="s">
        <v>1152</v>
      </c>
      <c r="E9032" s="1" t="s">
        <v>1811</v>
      </c>
      <c r="F9032" s="1" t="s">
        <v>13435</v>
      </c>
      <c r="G9032" s="1" t="s">
        <v>36</v>
      </c>
      <c r="H9032" s="1" t="s">
        <v>29</v>
      </c>
      <c r="I9032" s="1" t="str">
        <f ca="1">IFERROR(__xludf.DUMMYFUNCTION("GOOGLETRANSLATE(F9032, ""auto"", ""en"")
"),"It worked for 11 months without problems, until the bottom button on the joystick began to work poorly. I gave it to the warranty service, they returned it, and after a week and a half it died completely. I took it to the store.")</f>
        <v>It worked for 11 months without problems, until the bottom button on the joystick began to work poorly. I gave it to the warranty service, they returned it, and after a week and a half it died completely. I took it to the store.</v>
      </c>
    </row>
    <row r="9033" spans="1:9" x14ac:dyDescent="0.3">
      <c r="A9033" s="1" t="s">
        <v>61</v>
      </c>
      <c r="B9033" s="1" t="s">
        <v>73</v>
      </c>
      <c r="C9033" s="1" t="s">
        <v>63</v>
      </c>
      <c r="D9033" s="1" t="s">
        <v>2336</v>
      </c>
      <c r="E9033" s="1" t="s">
        <v>1084</v>
      </c>
      <c r="F9033" s="1" t="s">
        <v>13436</v>
      </c>
      <c r="G9033" s="1" t="s">
        <v>15</v>
      </c>
      <c r="H9033" s="1" t="s">
        <v>16</v>
      </c>
      <c r="I9033" s="1" t="str">
        <f ca="1">IFERROR(__xludf.DUMMYFUNCTION("GOOGLETRANSLATE(F9033, ""auto"", ""en"")
"),"We bought it a long time ago, we hardly use it because it grinds very poorly, we constantly have to take it apart. It’s easier to twist it in a manual meat grinder!")</f>
        <v>We bought it a long time ago, we hardly use it because it grinds very poorly, we constantly have to take it apart. It’s easier to twist it in a manual meat grinder!</v>
      </c>
    </row>
    <row r="9034" spans="1:9" x14ac:dyDescent="0.3">
      <c r="A9034" s="1" t="s">
        <v>206</v>
      </c>
      <c r="B9034" s="1" t="s">
        <v>207</v>
      </c>
      <c r="C9034" s="1" t="s">
        <v>1143</v>
      </c>
      <c r="D9034" s="1" t="s">
        <v>13437</v>
      </c>
      <c r="E9034" s="1" t="s">
        <v>41</v>
      </c>
      <c r="F9034" s="1" t="s">
        <v>13438</v>
      </c>
      <c r="G9034" s="1" t="s">
        <v>36</v>
      </c>
      <c r="H9034" s="1" t="s">
        <v>29</v>
      </c>
      <c r="I9034" s="1" t="str">
        <f ca="1">IFERROR(__xludf.DUMMYFUNCTION("GOOGLETRANSLATE(F9034, ""auto"", ""en"")
"),"An excellent sub for sound pressure lovers..")</f>
        <v>An excellent sub for sound pressure lovers..</v>
      </c>
    </row>
    <row r="9035" spans="1:9" x14ac:dyDescent="0.3">
      <c r="A9035" s="1" t="s">
        <v>17</v>
      </c>
      <c r="B9035" s="1" t="s">
        <v>18</v>
      </c>
      <c r="C9035" s="1" t="s">
        <v>80</v>
      </c>
      <c r="D9035" s="1" t="s">
        <v>12462</v>
      </c>
      <c r="E9035" s="1" t="s">
        <v>814</v>
      </c>
      <c r="F9035" s="1" t="s">
        <v>13439</v>
      </c>
      <c r="G9035" s="1" t="s">
        <v>36</v>
      </c>
      <c r="H9035" s="1" t="s">
        <v>29</v>
      </c>
      <c r="I9035" s="1" t="str">
        <f ca="1">IFERROR(__xludf.DUMMYFUNCTION("GOOGLETRANSLATE(F9035, ""auto"", ""en"")
"),"I purchased it a couple of days ago, and one look at it shows that the design is good and its functions exceed all expectations. This machine is gorgeous, washes without noise and with high quality. At least I'm happy with my purchase.")</f>
        <v>I purchased it a couple of days ago, and one look at it shows that the design is good and its functions exceed all expectations. This machine is gorgeous, washes without noise and with high quality. At least I'm happy with my purchase.</v>
      </c>
    </row>
    <row r="9036" spans="1:9" x14ac:dyDescent="0.3">
      <c r="A9036" s="1" t="s">
        <v>9</v>
      </c>
      <c r="B9036" s="1" t="s">
        <v>23</v>
      </c>
      <c r="C9036" s="1" t="s">
        <v>885</v>
      </c>
      <c r="D9036" s="1" t="s">
        <v>1744</v>
      </c>
      <c r="E9036" s="1" t="s">
        <v>11337</v>
      </c>
      <c r="F9036" s="1" t="s">
        <v>13440</v>
      </c>
      <c r="G9036" s="1" t="s">
        <v>36</v>
      </c>
      <c r="H9036" s="1" t="s">
        <v>29</v>
      </c>
      <c r="I9036" s="1" t="str">
        <f ca="1">IFERROR(__xludf.DUMMYFUNCTION("GOOGLETRANSLATE(F9036, ""auto"", ""en"")
"),"We bought this dishwasher for 6 months. back and we can’t be happier, it washes wonderfully, leaves no streaks, washes quietly and almost inaudibly. We recommend it, you won't regret it.")</f>
        <v>We bought this dishwasher for 6 months. back and we can’t be happier, it washes wonderfully, leaves no streaks, washes quietly and almost inaudibly. We recommend it, you won't regret it.</v>
      </c>
    </row>
    <row r="9037" spans="1:9" x14ac:dyDescent="0.3">
      <c r="A9037" s="1" t="s">
        <v>37</v>
      </c>
      <c r="B9037" s="1" t="s">
        <v>536</v>
      </c>
      <c r="C9037" s="1" t="s">
        <v>163</v>
      </c>
      <c r="D9037" s="1" t="s">
        <v>471</v>
      </c>
      <c r="E9037" s="1" t="s">
        <v>3038</v>
      </c>
      <c r="F9037" s="1" t="s">
        <v>13441</v>
      </c>
      <c r="G9037" s="1" t="s">
        <v>36</v>
      </c>
      <c r="H9037" s="1" t="s">
        <v>29</v>
      </c>
      <c r="I9037" s="1" t="str">
        <f ca="1">IFERROR(__xludf.DUMMYFUNCTION("GOOGLETRANSLATE(F9037, ""auto"", ""en"")
"),"I bought it 2 days ago, I’m extremely happy with it! It’s quite a smart phone, it doesn’t glitch (at least for now), although I’ve been preferring Nokia for a long time and I can be sure that there shouldn’t be any problems!!! I advise everyone not to thi"&amp;"nk twice and buy this model.")</f>
        <v>I bought it 2 days ago, I’m extremely happy with it! It’s quite a smart phone, it doesn’t glitch (at least for now), although I’ve been preferring Nokia for a long time and I can be sure that there shouldn’t be any problems!!! I advise everyone not to think twice and buy this model.</v>
      </c>
    </row>
    <row r="9038" spans="1:9" x14ac:dyDescent="0.3">
      <c r="A9038" s="1" t="s">
        <v>211</v>
      </c>
      <c r="B9038" s="1" t="s">
        <v>212</v>
      </c>
      <c r="C9038" s="1" t="s">
        <v>381</v>
      </c>
      <c r="D9038" s="1" t="s">
        <v>13442</v>
      </c>
      <c r="E9038" s="1" t="s">
        <v>13443</v>
      </c>
      <c r="F9038" s="1" t="s">
        <v>13444</v>
      </c>
      <c r="G9038" s="1" t="s">
        <v>36</v>
      </c>
      <c r="H9038" s="1" t="s">
        <v>29</v>
      </c>
      <c r="I9038" s="1" t="str">
        <f ca="1">IFERROR(__xludf.DUMMYFUNCTION("GOOGLETRANSLATE(F9038, ""auto"", ""en"")
"),"I bought it to curl my light curls for the holidays. What would be fast and beautiful. In the end, everything worked out for me. p&gt;")</f>
        <v>I bought it to curl my light curls for the holidays. What would be fast and beautiful. In the end, everything worked out for me. p&gt;</v>
      </c>
    </row>
    <row r="9039" spans="1:9" x14ac:dyDescent="0.3">
      <c r="A9039" s="1" t="s">
        <v>43</v>
      </c>
      <c r="B9039" s="1" t="s">
        <v>502</v>
      </c>
      <c r="C9039" s="1" t="s">
        <v>151</v>
      </c>
      <c r="D9039" s="1" t="s">
        <v>545</v>
      </c>
      <c r="E9039" s="1" t="s">
        <v>2275</v>
      </c>
      <c r="F9039" s="1" t="s">
        <v>13445</v>
      </c>
      <c r="G9039" s="1" t="s">
        <v>36</v>
      </c>
      <c r="H9039" s="1" t="s">
        <v>29</v>
      </c>
      <c r="I9039" s="1" t="str">
        <f ca="1">IFERROR(__xludf.DUMMYFUNCTION("GOOGLETRANSLATE(F9039, ""auto"", ""en"")
"),"It works great, they installed it in 1 hour and a pittance, and for some time they argued with the neighbors because... The installation took place exactly at 13:00 on a weekend day. But what can you do, personal comfort is more important. I advise you to"&amp;" follow M-video promotions, sometimes you can save a lot!")</f>
        <v>It works great, they installed it in 1 hour and a pittance, and for some time they argued with the neighbors because... The installation took place exactly at 13:00 on a weekend day. But what can you do, personal comfort is more important. I advise you to follow M-video promotions, sometimes you can save a lot!</v>
      </c>
    </row>
    <row r="9040" spans="1:9" x14ac:dyDescent="0.3">
      <c r="A9040" s="1" t="s">
        <v>120</v>
      </c>
      <c r="B9040" s="1" t="s">
        <v>256</v>
      </c>
      <c r="C9040" s="1" t="s">
        <v>80</v>
      </c>
      <c r="D9040" s="1" t="s">
        <v>152</v>
      </c>
      <c r="E9040" s="1" t="s">
        <v>1527</v>
      </c>
      <c r="F9040" s="1" t="s">
        <v>13446</v>
      </c>
      <c r="G9040" s="1" t="s">
        <v>28</v>
      </c>
      <c r="H9040" s="1" t="s">
        <v>29</v>
      </c>
      <c r="I9040" s="1" t="str">
        <f ca="1">IFERROR(__xludf.DUMMYFUNCTION("GOOGLETRANSLATE(F9040, ""auto"", ""en"")
"),"Taking into account gift cards from the New Year's promotion, I purchased this TV. Shows perfectly, the reception is wonderful. So far one drawback has been noticed. When you turn on the headphones on a program with Nicam Stereo reception, the headphones "&amp;"do not work. Mono - please, but there is NO sound AT ALL in the headphones, NEITHER STEREO OR MONO. But I think I won’t bother because anyway I just tested the work with headphones and I’m unlikely to use it.")</f>
        <v>Taking into account gift cards from the New Year's promotion, I purchased this TV. Shows perfectly, the reception is wonderful. So far one drawback has been noticed. When you turn on the headphones on a program with Nicam Stereo reception, the headphones do not work. Mono - please, but there is NO sound AT ALL in the headphones, NEITHER STEREO OR MONO. But I think I won’t bother because anyway I just tested the work with headphones and I’m unlikely to use it.</v>
      </c>
    </row>
    <row r="9041" spans="1:9" x14ac:dyDescent="0.3">
      <c r="A9041" s="1" t="s">
        <v>149</v>
      </c>
      <c r="B9041" s="1" t="s">
        <v>155</v>
      </c>
      <c r="C9041" s="1" t="s">
        <v>24</v>
      </c>
      <c r="D9041" s="1" t="s">
        <v>305</v>
      </c>
      <c r="E9041" s="1" t="s">
        <v>5145</v>
      </c>
      <c r="F9041" s="1" t="s">
        <v>13447</v>
      </c>
      <c r="G9041" s="1" t="s">
        <v>36</v>
      </c>
      <c r="H9041" s="1" t="s">
        <v>29</v>
      </c>
      <c r="I9041" s="1" t="str">
        <f ca="1">IFERROR(__xludf.DUMMYFUNCTION("GOOGLETRANSLATE(F9041, ""auto"", ""en"")
"),"The materials look inexpensive, but are not brittle and flexible. The hose is a little short, but it rotates, this corrects the situation. I was pleased with the telescopic pipe; it fits well. I vacuumed the apartment and was pleasantly surprised. The pow"&amp;"er is serious, it doesn’t clog quickly. The turbo brush was a delight, and the dust was shaken out without any problems. So far so good. But broken engines happen everywhere, that’s another story, don’t complain, but go to the warranty office if the perio"&amp;"d has not expired.")</f>
        <v>The materials look inexpensive, but are not brittle and flexible. The hose is a little short, but it rotates, this corrects the situation. I was pleased with the telescopic pipe; it fits well. I vacuumed the apartment and was pleasantly surprised. The power is serious, it doesn’t clog quickly. The turbo brush was a delight, and the dust was shaken out without any problems. So far so good. But broken engines happen everywhere, that’s another story, don’t complain, but go to the warranty office if the period has not expired.</v>
      </c>
    </row>
    <row r="9042" spans="1:9" x14ac:dyDescent="0.3">
      <c r="A9042" s="1" t="s">
        <v>369</v>
      </c>
      <c r="B9042" s="1" t="s">
        <v>370</v>
      </c>
      <c r="C9042" s="1" t="s">
        <v>588</v>
      </c>
      <c r="D9042" s="1" t="s">
        <v>152</v>
      </c>
      <c r="E9042" s="1" t="s">
        <v>6239</v>
      </c>
      <c r="F9042" s="1" t="s">
        <v>13448</v>
      </c>
      <c r="G9042" s="1" t="s">
        <v>36</v>
      </c>
      <c r="H9042" s="1" t="s">
        <v>29</v>
      </c>
      <c r="I9042" s="1" t="str">
        <f ca="1">IFERROR(__xludf.DUMMYFUNCTION("GOOGLETRANSLATE(F9042, ""auto"", ""en"")
"),"Bought! Satisfied! No problem! Price + quality at its best! The only thing is, I’m not used to cleaning such a surface! And everything is great, I recommend it to everyone! Stove rated 10 out of 10!")</f>
        <v>Bought! Satisfied! No problem! Price + quality at its best! The only thing is, I’m not used to cleaning such a surface! And everything is great, I recommend it to everyone! Stove rated 10 out of 10!</v>
      </c>
    </row>
    <row r="9043" spans="1:9" x14ac:dyDescent="0.3">
      <c r="A9043" s="1" t="s">
        <v>30</v>
      </c>
      <c r="B9043" s="1" t="s">
        <v>50</v>
      </c>
      <c r="C9043" s="1" t="s">
        <v>32</v>
      </c>
      <c r="D9043" s="1" t="s">
        <v>11706</v>
      </c>
      <c r="E9043" s="1" t="s">
        <v>2502</v>
      </c>
      <c r="F9043" s="1" t="s">
        <v>13449</v>
      </c>
      <c r="G9043" s="1" t="s">
        <v>36</v>
      </c>
      <c r="H9043" s="1" t="s">
        <v>29</v>
      </c>
      <c r="I9043" s="1" t="str">
        <f ca="1">IFERROR(__xludf.DUMMYFUNCTION("GOOGLETRANSLATE(F9043, ""auto"", ""en"")
"),"I bought it on July 5, 2010. It’s a great netbook, the design is generally fine, I’m always on the Internet, everything works well, no bugs. )))")</f>
        <v>I bought it on July 5, 2010. It’s a great netbook, the design is generally fine, I’m always on the Internet, everything works well, no bugs. )))</v>
      </c>
    </row>
    <row r="9044" spans="1:9" x14ac:dyDescent="0.3">
      <c r="A9044" s="1" t="s">
        <v>61</v>
      </c>
      <c r="B9044" s="1" t="s">
        <v>977</v>
      </c>
      <c r="C9044" s="1" t="s">
        <v>85</v>
      </c>
      <c r="D9044" s="1" t="s">
        <v>335</v>
      </c>
      <c r="E9044" s="1" t="s">
        <v>2251</v>
      </c>
      <c r="F9044" s="1" t="s">
        <v>13450</v>
      </c>
      <c r="G9044" s="1" t="s">
        <v>36</v>
      </c>
      <c r="H9044" s="1" t="s">
        <v>29</v>
      </c>
      <c r="I9044" s="1" t="str">
        <f ca="1">IFERROR(__xludf.DUMMYFUNCTION("GOOGLETRANSLATE(F9044, ""auto"", ""en"")
"),"Last week my husband gave me this mixer. The first time I used it, I was delighted with it... everything has become so simple now, to prepare all sorts of pies, cakes that children adore, I no longer waste energy, but enjoy the process)) Thanks to my husb"&amp;"and for the gorgeous gift!!!")</f>
        <v>Last week my husband gave me this mixer. The first time I used it, I was delighted with it... everything has become so simple now, to prepare all sorts of pies, cakes that children adore, I no longer waste energy, but enjoy the process)) Thanks to my husband for the gorgeous gift!!!</v>
      </c>
    </row>
    <row r="9045" spans="1:9" x14ac:dyDescent="0.3">
      <c r="A9045" s="1" t="s">
        <v>120</v>
      </c>
      <c r="B9045" s="1" t="s">
        <v>126</v>
      </c>
      <c r="C9045" s="1" t="s">
        <v>80</v>
      </c>
      <c r="D9045" s="1" t="s">
        <v>13451</v>
      </c>
      <c r="E9045" s="1" t="s">
        <v>3333</v>
      </c>
      <c r="F9045" s="1" t="s">
        <v>13452</v>
      </c>
      <c r="G9045" s="1" t="s">
        <v>36</v>
      </c>
      <c r="H9045" s="1" t="s">
        <v>29</v>
      </c>
      <c r="I9045" s="1" t="str">
        <f ca="1">IFERROR(__xludf.DUMMYFUNCTION("GOOGLETRANSLATE(F9045, ""auto"", ""en"")
"),"You need to take an IR diode. Connect it to the column and check that it blinks through the camera.  You need to launch the file srvc-menu-menu and then go to the options tool as mentioned above. The only negative: the TV does not play the mkv format, onl"&amp;"y DVD and avi")</f>
        <v>You need to take an IR diode. Connect it to the column and check that it blinks through the camera.  You need to launch the file srvc-menu-menu and then go to the options tool as mentioned above. The only negative: the TV does not play the mkv format, only DVD and avi</v>
      </c>
    </row>
    <row r="9046" spans="1:9" x14ac:dyDescent="0.3">
      <c r="A9046" s="1" t="s">
        <v>61</v>
      </c>
      <c r="B9046" s="1" t="s">
        <v>318</v>
      </c>
      <c r="C9046" s="1" t="s">
        <v>85</v>
      </c>
      <c r="D9046" s="1" t="s">
        <v>6081</v>
      </c>
      <c r="E9046" s="1" t="s">
        <v>6069</v>
      </c>
      <c r="F9046" s="1" t="s">
        <v>13453</v>
      </c>
      <c r="G9046" s="1" t="s">
        <v>15</v>
      </c>
      <c r="H9046" s="1" t="s">
        <v>16</v>
      </c>
      <c r="I9046" s="1" t="str">
        <f ca="1">IFERROR(__xludf.DUMMYFUNCTION("GOOGLETRANSLATE(F9046, ""auto"", ""en"")
"),"It makes a lot of noise, the lid is difficult to close, and after 3 years the lid fell off!!!!")</f>
        <v>It makes a lot of noise, the lid is difficult to close, and after 3 years the lid fell off!!!!</v>
      </c>
    </row>
    <row r="9047" spans="1:9" x14ac:dyDescent="0.3">
      <c r="A9047" s="1" t="s">
        <v>120</v>
      </c>
      <c r="B9047" s="1" t="s">
        <v>121</v>
      </c>
      <c r="C9047" s="1" t="s">
        <v>80</v>
      </c>
      <c r="D9047" s="1" t="s">
        <v>280</v>
      </c>
      <c r="E9047" s="1" t="s">
        <v>787</v>
      </c>
      <c r="F9047" s="1" t="s">
        <v>13454</v>
      </c>
      <c r="G9047" s="1" t="s">
        <v>36</v>
      </c>
      <c r="H9047" s="1" t="s">
        <v>29</v>
      </c>
      <c r="I9047" s="1" t="str">
        <f ca="1">IFERROR(__xludf.DUMMYFUNCTION("GOOGLETRANSLATE(F9047, ""auto"", ""en"")
"),"I bought it 10 months ago. Completely satisfied! I watch digital television, the picture is excellent, and the sound too. One downside is that it takes a long time to switch channels, but this is not significant. I'm used to it. USB unlocked using diodes."&amp;" An excellent TV for the money, although it's getting a little outdated.")</f>
        <v>I bought it 10 months ago. Completely satisfied! I watch digital television, the picture is excellent, and the sound too. One downside is that it takes a long time to switch channels, but this is not significant. I'm used to it. USB unlocked using diodes. An excellent TV for the money, although it's getting a little outdated.</v>
      </c>
    </row>
    <row r="9048" spans="1:9" x14ac:dyDescent="0.3">
      <c r="A9048" s="1" t="s">
        <v>477</v>
      </c>
      <c r="B9048" s="1" t="s">
        <v>478</v>
      </c>
      <c r="C9048" s="1" t="s">
        <v>479</v>
      </c>
      <c r="D9048" s="1" t="s">
        <v>39</v>
      </c>
      <c r="E9048" s="1" t="s">
        <v>585</v>
      </c>
      <c r="F9048" s="1" t="s">
        <v>13455</v>
      </c>
      <c r="G9048" s="1" t="s">
        <v>36</v>
      </c>
      <c r="H9048" s="1" t="s">
        <v>29</v>
      </c>
      <c r="I9048" s="1" t="str">
        <f ca="1">IFERROR(__xludf.DUMMYFUNCTION("GOOGLETRANSLATE(F9048, ""auto"", ""en"")
"),"A wonderful, beautiful, thoughtful Western action film. Every self-respecting gamer must read it! (No comparison with Red Dead Redemption!!!) And special thanks for the great price for the game. :)")</f>
        <v>A wonderful, beautiful, thoughtful Western action film. Every self-respecting gamer must read it! (No comparison with Red Dead Redemption!!!) And special thanks for the great price for the game. :)</v>
      </c>
    </row>
    <row r="9049" spans="1:9" x14ac:dyDescent="0.3">
      <c r="A9049" s="1" t="s">
        <v>811</v>
      </c>
      <c r="B9049" s="1" t="s">
        <v>812</v>
      </c>
      <c r="C9049" s="1" t="s">
        <v>813</v>
      </c>
      <c r="D9049" s="1" t="s">
        <v>12</v>
      </c>
      <c r="E9049" s="1" t="s">
        <v>2634</v>
      </c>
      <c r="F9049" s="1" t="s">
        <v>13456</v>
      </c>
      <c r="G9049" s="1" t="s">
        <v>36</v>
      </c>
      <c r="H9049" s="1" t="s">
        <v>29</v>
      </c>
      <c r="I9049" s="1" t="str">
        <f ca="1">IFERROR(__xludf.DUMMYFUNCTION("GOOGLETRANSLATE(F9049, ""auto"", ""en"")
"),"The tripod is excellent, if you take it apart, it is very large. There is a storage bag, easy to carry as it folds into a small bag. I advise)")</f>
        <v>The tripod is excellent, if you take it apart, it is very large. There is a storage bag, easy to carry as it folds into a small bag. I advise)</v>
      </c>
    </row>
    <row r="9050" spans="1:9" x14ac:dyDescent="0.3">
      <c r="A9050" s="1" t="s">
        <v>30</v>
      </c>
      <c r="B9050" s="1" t="s">
        <v>50</v>
      </c>
      <c r="C9050" s="1" t="s">
        <v>1003</v>
      </c>
      <c r="D9050" s="1" t="s">
        <v>13457</v>
      </c>
      <c r="E9050" s="1" t="s">
        <v>8735</v>
      </c>
      <c r="F9050" s="1" t="s">
        <v>13458</v>
      </c>
      <c r="G9050" s="1" t="s">
        <v>28</v>
      </c>
      <c r="H9050" s="1" t="s">
        <v>29</v>
      </c>
      <c r="I9050" s="1" t="str">
        <f ca="1">IFERROR(__xludf.DUMMYFUNCTION("GOOGLETRANSLATE(F9050, ""auto"", ""en"")
"),"I spent a long time choosing and buying this laptop. I really liked the look and performance, although it gets too hot. I worked for a month and a half and the monitor began to flicker. Then only half of the screen was visible. I gave it to the service ce"&amp;"nter. Now I'm waiting for the third week for the train to arrive.")</f>
        <v>I spent a long time choosing and buying this laptop. I really liked the look and performance, although it gets too hot. I worked for a month and a half and the monitor began to flicker. Then only half of the screen was visible. I gave it to the service center. Now I'm waiting for the third week for the train to arrive.</v>
      </c>
    </row>
    <row r="9051" spans="1:9" x14ac:dyDescent="0.3">
      <c r="A9051" s="1" t="s">
        <v>211</v>
      </c>
      <c r="B9051" s="1" t="s">
        <v>212</v>
      </c>
      <c r="C9051" s="1" t="s">
        <v>381</v>
      </c>
      <c r="D9051" s="1" t="s">
        <v>521</v>
      </c>
      <c r="E9051" s="1" t="s">
        <v>1799</v>
      </c>
      <c r="F9051" s="1" t="s">
        <v>13459</v>
      </c>
      <c r="G9051" s="1" t="s">
        <v>36</v>
      </c>
      <c r="H9051" s="1" t="s">
        <v>29</v>
      </c>
      <c r="I9051" s="1" t="str">
        <f ca="1">IFERROR(__xludf.DUMMYFUNCTION("GOOGLETRANSLATE(F9051, ""auto"", ""en"")
"),"I really liked the hair dryer, 3 air supply modes and 3 temperature modes. In turbo mode, it dries your hair quickly and makes it look better) Convenient and compact, I have changed many hair dryers, but this one is the best!!!")</f>
        <v>I really liked the hair dryer, 3 air supply modes and 3 temperature modes. In turbo mode, it dries your hair quickly and makes it look better) Convenient and compact, I have changed many hair dryers, but this one is the best!!!</v>
      </c>
    </row>
    <row r="9052" spans="1:9" x14ac:dyDescent="0.3">
      <c r="A9052" s="1" t="s">
        <v>30</v>
      </c>
      <c r="B9052" s="1" t="s">
        <v>31</v>
      </c>
      <c r="C9052" s="1" t="s">
        <v>32</v>
      </c>
      <c r="D9052" s="1" t="s">
        <v>695</v>
      </c>
      <c r="E9052" s="1" t="s">
        <v>7124</v>
      </c>
      <c r="F9052" s="1" t="s">
        <v>13460</v>
      </c>
      <c r="G9052" s="1" t="s">
        <v>28</v>
      </c>
      <c r="H9052" s="1" t="s">
        <v>29</v>
      </c>
      <c r="I9052" s="1" t="str">
        <f ca="1">IFERROR(__xludf.DUMMYFUNCTION("GOOGLETRANSLATE(F9052, ""auto"", ""en"")
"),"In general terms, the unit is excellent, but there is one minus on the May unit; when I bought it, there were no drivers for it and this upset me! For the third day now I’ve been sitting on the Internet looking for drivers for it! If anyone can help I wou"&amp;"ld be very grateful! here are my contacts nartemij@yandex.ru 400105346")</f>
        <v>In general terms, the unit is excellent, but there is one minus on the May unit; when I bought it, there were no drivers for it and this upset me! For the third day now I’ve been sitting on the Internet looking for drivers for it! If anyone can help I would be very grateful! here are my contacts nartemij@yandex.ru 400105346</v>
      </c>
    </row>
    <row r="9053" spans="1:9" x14ac:dyDescent="0.3">
      <c r="A9053" s="1" t="s">
        <v>37</v>
      </c>
      <c r="B9053" s="1" t="s">
        <v>38</v>
      </c>
      <c r="C9053" s="1" t="s">
        <v>151</v>
      </c>
      <c r="D9053" s="1" t="s">
        <v>385</v>
      </c>
      <c r="E9053" s="1" t="s">
        <v>5091</v>
      </c>
      <c r="F9053" s="1" t="s">
        <v>13461</v>
      </c>
      <c r="G9053" s="1" t="s">
        <v>28</v>
      </c>
      <c r="H9053" s="1" t="s">
        <v>29</v>
      </c>
      <c r="I9053" s="1" t="str">
        <f ca="1">IFERROR(__xludf.DUMMYFUNCTION("GOOGLETRANSLATE(F9053, ""auto"", ""en"")
"),"Everything about it is good, but I have a hold button, i.e. the display lock started to jam early..")</f>
        <v>Everything about it is good, but I have a hold button, i.e. the display lock started to jam early..</v>
      </c>
    </row>
    <row r="9054" spans="1:9" x14ac:dyDescent="0.3">
      <c r="A9054" s="1" t="s">
        <v>37</v>
      </c>
      <c r="B9054" s="1" t="s">
        <v>1829</v>
      </c>
      <c r="C9054" s="1" t="s">
        <v>151</v>
      </c>
      <c r="D9054" s="1" t="s">
        <v>1206</v>
      </c>
      <c r="E9054" s="1" t="s">
        <v>13443</v>
      </c>
      <c r="F9054" s="1" t="s">
        <v>13462</v>
      </c>
      <c r="G9054" s="1" t="s">
        <v>28</v>
      </c>
      <c r="H9054" s="1" t="s">
        <v>29</v>
      </c>
      <c r="I9054" s="1" t="str">
        <f ca="1">IFERROR(__xludf.DUMMYFUNCTION("GOOGLETRANSLATE(F9054, ""auto"", ""en"")
"),"The first impression of wow wears off after a couple of days, and you begin to notice the gap between the screen and the frame where dirt gets in, the back cover that doesn’t close tightly, the flimsy and crooked camera that doesn’t stand level, and the g"&amp;"ap around it. But the filling is good, I like everything, there are a lot of functions and they do it right, everyone will decide for themselves what is useful and what is not, there would be a choice. They say the device gets very hot, what does that mea"&amp;"n? I don’t get burned, but in games it’s natural that the processors all get hot. Many software glitches were fixed with Android 4.3. but there is still something to optimize, which applies to all brands. About the battery. made in china after four months"&amp;" it swelled so much that the phone's lid stopped closing, I didn't return it under warranty, I waited a long time, I ordered it myself from Korea, made in Korea cost 780 rubles. OEM everything is as it should be, it arrived in 12 days, time will show its "&amp;"durability, only Chinese ones are sold in Russia.")</f>
        <v>The first impression of wow wears off after a couple of days, and you begin to notice the gap between the screen and the frame where dirt gets in, the back cover that doesn’t close tightly, the flimsy and crooked camera that doesn’t stand level, and the gap around it. But the filling is good, I like everything, there are a lot of functions and they do it right, everyone will decide for themselves what is useful and what is not, there would be a choice. They say the device gets very hot, what does that mean? I don’t get burned, but in games it’s natural that the processors all get hot. Many software glitches were fixed with Android 4.3. but there is still something to optimize, which applies to all brands. About the battery. made in china after four months it swelled so much that the phone's lid stopped closing, I didn't return it under warranty, I waited a long time, I ordered it myself from Korea, made in Korea cost 780 rubles. OEM everything is as it should be, it arrived in 12 days, time will show its durability, only Chinese ones are sold in Russia.</v>
      </c>
    </row>
    <row r="9055" spans="1:9" x14ac:dyDescent="0.3">
      <c r="A9055" s="1" t="s">
        <v>369</v>
      </c>
      <c r="B9055" s="1" t="s">
        <v>2480</v>
      </c>
      <c r="C9055" s="1" t="s">
        <v>453</v>
      </c>
      <c r="D9055" s="1" t="s">
        <v>20</v>
      </c>
      <c r="E9055" s="1" t="s">
        <v>2440</v>
      </c>
      <c r="F9055" s="1" t="s">
        <v>13463</v>
      </c>
      <c r="G9055" s="1" t="s">
        <v>36</v>
      </c>
      <c r="H9055" s="1" t="s">
        <v>29</v>
      </c>
      <c r="I9055" s="1" t="str">
        <f ca="1">IFERROR(__xludf.DUMMYFUNCTION("GOOGLETRANSLATE(F9055, ""auto"", ""en"")
"),"Only one complaint - the numbers on the control knob are not visible.")</f>
        <v>Only one complaint - the numbers on the control knob are not visible.</v>
      </c>
    </row>
    <row r="9056" spans="1:9" x14ac:dyDescent="0.3">
      <c r="A9056" s="1" t="s">
        <v>30</v>
      </c>
      <c r="B9056" s="1" t="s">
        <v>50</v>
      </c>
      <c r="C9056" s="1" t="s">
        <v>189</v>
      </c>
      <c r="D9056" s="1" t="s">
        <v>2610</v>
      </c>
      <c r="E9056" s="1" t="s">
        <v>1646</v>
      </c>
      <c r="F9056" s="1" t="s">
        <v>13464</v>
      </c>
      <c r="G9056" s="1" t="s">
        <v>36</v>
      </c>
      <c r="H9056" s="1" t="s">
        <v>29</v>
      </c>
      <c r="I9056" s="1" t="str">
        <f ca="1">IFERROR(__xludf.DUMMYFUNCTION("GOOGLETRANSLATE(F9056, ""auto"", ""en"")
"),"I bought it 3 days ago. Excellent laptop: does not heat up, fig. and the sound is wonderful. Fast car. Cons: no Bluetooth, but I don’t need it; nebol. number of ports, only necessary and does not support all types of cards. Otherwise, I repeat once again,"&amp;" an excellent laptop.")</f>
        <v>I bought it 3 days ago. Excellent laptop: does not heat up, fig. and the sound is wonderful. Fast car. Cons: no Bluetooth, but I don’t need it; nebol. number of ports, only necessary and does not support all types of cards. Otherwise, I repeat once again, an excellent laptop.</v>
      </c>
    </row>
    <row r="9057" spans="1:9" x14ac:dyDescent="0.3">
      <c r="A9057" s="1" t="s">
        <v>105</v>
      </c>
      <c r="B9057" s="1" t="s">
        <v>106</v>
      </c>
      <c r="C9057" s="1" t="s">
        <v>151</v>
      </c>
      <c r="D9057" s="1" t="s">
        <v>314</v>
      </c>
      <c r="E9057" s="1" t="s">
        <v>109</v>
      </c>
      <c r="F9057" s="1" t="s">
        <v>13465</v>
      </c>
      <c r="G9057" s="1" t="s">
        <v>36</v>
      </c>
      <c r="H9057" s="1" t="s">
        <v>29</v>
      </c>
      <c r="I9057" s="1" t="str">
        <f ca="1">IFERROR(__xludf.DUMMYFUNCTION("GOOGLETRANSLATE(F9057, ""auto"", ""en"")
"),"An excellent player. I'm about 95 percent happy with it. The only downside is the non-standard connector for connecting the player to a computer. The sound is excellent with my old exlay m3. It's just a good idea to immediately buy good headphones. You wo"&amp;"n't get all the pleasure on small farts.")</f>
        <v>An excellent player. I'm about 95 percent happy with it. The only downside is the non-standard connector for connecting the player to a computer. The sound is excellent with my old exlay m3. It's just a good idea to immediately buy good headphones. You won't get all the pleasure on small farts.</v>
      </c>
    </row>
    <row r="9058" spans="1:9" x14ac:dyDescent="0.3">
      <c r="A9058" s="1" t="s">
        <v>624</v>
      </c>
      <c r="B9058" s="1" t="s">
        <v>6461</v>
      </c>
      <c r="C9058" s="1" t="s">
        <v>479</v>
      </c>
      <c r="D9058" s="1" t="s">
        <v>13466</v>
      </c>
      <c r="E9058" s="1" t="s">
        <v>2787</v>
      </c>
      <c r="F9058" s="1" t="s">
        <v>13467</v>
      </c>
      <c r="G9058" s="1" t="s">
        <v>36</v>
      </c>
      <c r="H9058" s="1" t="s">
        <v>29</v>
      </c>
      <c r="I9058" s="1" t="str">
        <f ca="1">IFERROR(__xludf.DUMMYFUNCTION("GOOGLETRANSLATE(F9058, ""auto"", ""en"")
"),"The game is very cool, I recommend playing it")</f>
        <v>The game is very cool, I recommend playing it</v>
      </c>
    </row>
    <row r="9059" spans="1:9" x14ac:dyDescent="0.3">
      <c r="A9059" s="1" t="s">
        <v>9</v>
      </c>
      <c r="B9059" s="1" t="s">
        <v>23</v>
      </c>
      <c r="C9059" s="1" t="s">
        <v>63</v>
      </c>
      <c r="D9059" s="1" t="s">
        <v>12</v>
      </c>
      <c r="E9059" s="1" t="s">
        <v>397</v>
      </c>
      <c r="F9059" s="1" t="s">
        <v>13468</v>
      </c>
      <c r="G9059" s="1" t="s">
        <v>36</v>
      </c>
      <c r="H9059" s="1" t="s">
        <v>29</v>
      </c>
      <c r="I9059" s="1" t="str">
        <f ca="1">IFERROR(__xludf.DUMMYFUNCTION("GOOGLETRANSLATE(F9059, ""auto"", ""en"")
"),"Cool thing! Works for 2 years, very comfortable and easy to use.  It comes with a 2 year warranty and excellent service!")</f>
        <v>Cool thing! Works for 2 years, very comfortable and easy to use.  It comes with a 2 year warranty and excellent service!</v>
      </c>
    </row>
    <row r="9060" spans="1:9" x14ac:dyDescent="0.3">
      <c r="A9060" s="1" t="s">
        <v>78</v>
      </c>
      <c r="B9060" s="1" t="s">
        <v>1163</v>
      </c>
      <c r="C9060" s="1" t="s">
        <v>1224</v>
      </c>
      <c r="D9060" s="1" t="s">
        <v>304</v>
      </c>
      <c r="E9060" s="1" t="s">
        <v>5073</v>
      </c>
      <c r="F9060" s="1" t="s">
        <v>13469</v>
      </c>
      <c r="G9060" s="1" t="s">
        <v>36</v>
      </c>
      <c r="H9060" s="1" t="s">
        <v>29</v>
      </c>
      <c r="I9060" s="1" t="str">
        <f ca="1">IFERROR(__xludf.DUMMYFUNCTION("GOOGLETRANSLATE(F9060, ""auto"", ""en"")
"),"I hope it will make me happy, otherwise when I bought it, I was almost run over))) Everyone was eager to buy it on sale")</f>
        <v>I hope it will make me happy, otherwise when I bought it, I was almost run over))) Everyone was eager to buy it on sale</v>
      </c>
    </row>
    <row r="9061" spans="1:9" x14ac:dyDescent="0.3">
      <c r="A9061" s="1" t="s">
        <v>95</v>
      </c>
      <c r="B9061" s="1" t="s">
        <v>1334</v>
      </c>
      <c r="C9061" s="1" t="s">
        <v>487</v>
      </c>
      <c r="D9061" s="1" t="s">
        <v>1166</v>
      </c>
      <c r="E9061" s="1" t="s">
        <v>386</v>
      </c>
      <c r="F9061" s="1" t="s">
        <v>13470</v>
      </c>
      <c r="G9061" s="1" t="s">
        <v>36</v>
      </c>
      <c r="H9061" s="1" t="s">
        <v>29</v>
      </c>
      <c r="I9061" s="1" t="str">
        <f ca="1">IFERROR(__xludf.DUMMYFUNCTION("GOOGLETRANSLATE(F9061, ""auto"", ""en"")
"),"people, the controller is super...don't waste this money.  very comfortable cross!!")</f>
        <v>people, the controller is super...don't waste this money.  very comfortable cross!!</v>
      </c>
    </row>
    <row r="9062" spans="1:9" x14ac:dyDescent="0.3">
      <c r="A9062" s="1" t="s">
        <v>43</v>
      </c>
      <c r="B9062" s="1" t="s">
        <v>44</v>
      </c>
      <c r="C9062" s="1" t="s">
        <v>57</v>
      </c>
      <c r="D9062" s="1" t="s">
        <v>172</v>
      </c>
      <c r="E9062" s="1" t="s">
        <v>3004</v>
      </c>
      <c r="F9062" s="1" t="s">
        <v>13471</v>
      </c>
      <c r="G9062" s="1" t="s">
        <v>36</v>
      </c>
      <c r="H9062" s="1" t="s">
        <v>29</v>
      </c>
      <c r="I9062" s="1" t="str">
        <f ca="1">IFERROR(__xludf.DUMMYFUNCTION("GOOGLETRANSLATE(F9062, ""auto"", ""en"")
"),"From July 17 '16 This fan was turned on at 3rd speed and it worked until August 12 - there was always someone at home, spinning non-stop with turns (until it got cool outside). During the entire time there were only two breaks of about 30 minutes. The eng"&amp;"ine did not heat up, there was no noise. It stands firmly, without moving.    We bought and assembled many different valves (and there is air conditioning, this year we almost didn’t turn it on, because last year everyone got sick because of it) and to sa"&amp;"y about VITEK that it’s crooked and loose is strange, I can’t believe it. There are no completely metal valves anymore, everything is plastic, some of it is a little metal.  The assembly of Vitek is clear and simple, nothing is loose or swaying anywhere. "&amp;"Due to the lack of backlash, it works silently. VITEK is the best in its price range. This is not Scarlet, which only the fifth time you can buy a normal one without jambs... Although the prices for Vitek, Scarlet, Bork... etc. are too high. It's time to "&amp;"reduce.")</f>
        <v>From July 17 '16 This fan was turned on at 3rd speed and it worked until August 12 - there was always someone at home, spinning non-stop with turns (until it got cool outside). During the entire time there were only two breaks of about 30 minutes. The engine did not heat up, there was no noise. It stands firmly, without moving.    We bought and assembled many different valves (and there is air conditioning, this year we almost didn’t turn it on, because last year everyone got sick because of it) and to say about VITEK that it’s crooked and loose is strange, I can’t believe it. There are no completely metal valves anymore, everything is plastic, some of it is a little metal.  The assembly of Vitek is clear and simple, nothing is loose or swaying anywhere. Due to the lack of backlash, it works silently. VITEK is the best in its price range. This is not Scarlet, which only the fifth time you can buy a normal one without jambs... Although the prices for Vitek, Scarlet, Bork... etc. are too high. It's time to reduce.</v>
      </c>
    </row>
    <row r="9063" spans="1:9" x14ac:dyDescent="0.3">
      <c r="A9063" s="1" t="s">
        <v>169</v>
      </c>
      <c r="B9063" s="1" t="s">
        <v>170</v>
      </c>
      <c r="C9063" s="1" t="s">
        <v>193</v>
      </c>
      <c r="D9063" s="1" t="s">
        <v>13472</v>
      </c>
      <c r="E9063" s="1" t="s">
        <v>661</v>
      </c>
      <c r="F9063" s="1" t="s">
        <v>13473</v>
      </c>
      <c r="G9063" s="1" t="s">
        <v>36</v>
      </c>
      <c r="H9063" s="1" t="s">
        <v>29</v>
      </c>
      <c r="I9063" s="1" t="str">
        <f ca="1">IFERROR(__xludf.DUMMYFUNCTION("GOOGLETRANSLATE(F9063, ""auto"", ""en"")
"),"The headphones are simply cool. The balance of bass and treble is excellent. The kit comes with a case (not yet sure whether it’s leather or leatherette) and a wire organizer. Plus a pair of foam ear pads. I was pleased with the package. The rubberized wi"&amp;"re is only a plus for durability. On the ipod nano 5G player the sound is even better than with “native” ears. The regulator is of course superfluous for my player, but I can tolerate it (I just don’t use it). I don’t know about pop music, but Iron Maiden"&amp;" is very pleasant to listen to.")</f>
        <v>The headphones are simply cool. The balance of bass and treble is excellent. The kit comes with a case (not yet sure whether it’s leather or leatherette) and a wire organizer. Plus a pair of foam ear pads. I was pleased with the package. The rubberized wire is only a plus for durability. On the ipod nano 5G player the sound is even better than with “native” ears. The regulator is of course superfluous for my player, but I can tolerate it (I just don’t use it). I don’t know about pop music, but Iron Maiden is very pleasant to listen to.</v>
      </c>
    </row>
    <row r="9064" spans="1:9" x14ac:dyDescent="0.3">
      <c r="A9064" s="1" t="s">
        <v>37</v>
      </c>
      <c r="B9064" s="1" t="s">
        <v>38</v>
      </c>
      <c r="C9064" s="1" t="s">
        <v>39</v>
      </c>
      <c r="D9064" s="1" t="s">
        <v>13474</v>
      </c>
      <c r="E9064" s="1" t="s">
        <v>971</v>
      </c>
      <c r="F9064" s="1" t="s">
        <v>13475</v>
      </c>
      <c r="G9064" s="1" t="s">
        <v>36</v>
      </c>
      <c r="H9064" s="1" t="s">
        <v>29</v>
      </c>
      <c r="I9064" s="1" t="str">
        <f ca="1">IFERROR(__xludf.DUMMYFUNCTION("GOOGLETRANSLATE(F9064, ""auto"", ""en"")
"),"The phone is normal, but the SIM card is faulty")</f>
        <v>The phone is normal, but the SIM card is faulty</v>
      </c>
    </row>
    <row r="9065" spans="1:9" x14ac:dyDescent="0.3">
      <c r="A9065" s="1" t="s">
        <v>477</v>
      </c>
      <c r="B9065" s="1" t="s">
        <v>478</v>
      </c>
      <c r="C9065" s="1" t="s">
        <v>479</v>
      </c>
      <c r="D9065" s="1" t="s">
        <v>13476</v>
      </c>
      <c r="E9065" s="1" t="s">
        <v>2006</v>
      </c>
      <c r="F9065" s="1" t="s">
        <v>13477</v>
      </c>
      <c r="G9065" s="1" t="s">
        <v>36</v>
      </c>
      <c r="H9065" s="1" t="s">
        <v>29</v>
      </c>
      <c r="I9065" s="1" t="str">
        <f ca="1">IFERROR(__xludf.DUMMYFUNCTION("GOOGLETRANSLATE(F9065, ""auto"", ""en"")
"),"This game should be given gold! The action takes place in the future: a lot of bells and whistles, weapons, devices, especially a ship. The game towards the end just becomes a waste. I even shed a few tears at the end. By the way, pay attention to the Gua"&amp;"rdians: then you will be amazed at what they will do =) If you pass part 1, you will not be able to tear yourself away, you will want to find out what happened next. And the continuation is the most unusual =) Now suffer yourself =) (Move the last saves o"&amp;"f the first part to the second part, the story will develop more accurately)")</f>
        <v>This game should be given gold! The action takes place in the future: a lot of bells and whistles, weapons, devices, especially a ship. The game towards the end just becomes a waste. I even shed a few tears at the end. By the way, pay attention to the Guardians: then you will be amazed at what they will do =) If you pass part 1, you will not be able to tear yourself away, you will want to find out what happened next. And the continuation is the most unusual =) Now suffer yourself =) (Move the last saves of the first part to the second part, the story will develop more accurately)</v>
      </c>
    </row>
    <row r="9066" spans="1:9" x14ac:dyDescent="0.3">
      <c r="A9066" s="1" t="s">
        <v>211</v>
      </c>
      <c r="B9066" s="1" t="s">
        <v>212</v>
      </c>
      <c r="C9066" s="1" t="s">
        <v>69</v>
      </c>
      <c r="D9066" s="1" t="s">
        <v>2045</v>
      </c>
      <c r="E9066" s="1" t="s">
        <v>708</v>
      </c>
      <c r="F9066" s="1" t="s">
        <v>13478</v>
      </c>
      <c r="G9066" s="1" t="s">
        <v>36</v>
      </c>
      <c r="H9066" s="1" t="s">
        <v>29</v>
      </c>
      <c r="I9066" s="1" t="str">
        <f ca="1">IFERROR(__xludf.DUMMYFUNCTION("GOOGLETRANSLATE(F9066, ""auto"", ""en"")
"),"the thing is just super!!!! I don’t regret it one bit, it straightens perfectly and doesn’t spoil the hair one bit, it’s shiny and soft, I recommend it to everyone!!! You won’t regret it and it’s relatively inexpensive")</f>
        <v>the thing is just super!!!! I don’t regret it one bit, it straightens perfectly and doesn’t spoil the hair one bit, it’s shiny and soft, I recommend it to everyone!!! You won’t regret it and it’s relatively inexpensive</v>
      </c>
    </row>
    <row r="9067" spans="1:9" x14ac:dyDescent="0.3">
      <c r="A9067" s="1" t="s">
        <v>149</v>
      </c>
      <c r="B9067" s="1" t="s">
        <v>155</v>
      </c>
      <c r="C9067" s="1" t="s">
        <v>151</v>
      </c>
      <c r="D9067" s="1" t="s">
        <v>64</v>
      </c>
      <c r="E9067" s="1" t="s">
        <v>3999</v>
      </c>
      <c r="F9067" s="1" t="s">
        <v>13479</v>
      </c>
      <c r="G9067" s="1" t="s">
        <v>36</v>
      </c>
      <c r="H9067" s="1" t="s">
        <v>29</v>
      </c>
      <c r="I9067" s="1" t="str">
        <f ca="1">IFERROR(__xludf.DUMMYFUNCTION("GOOGLETRANSLATE(F9067, ""auto"", ""en"")
"),"This vacuum cleaner does not have a HEPA filter; all filters are washable. The turbo brush removes hair and fur perfectly. After the first use, I was pleasantly surprised: the container was half filled with dust. Works from all outlets.  I’ll see how it w"&amp;"orks in 2-3 months, and I’ll definitely leave another review that will become more objective.")</f>
        <v>This vacuum cleaner does not have a HEPA filter; all filters are washable. The turbo brush removes hair and fur perfectly. After the first use, I was pleasantly surprised: the container was half filled with dust. Works from all outlets.  I’ll see how it works in 2-3 months, and I’ll definitely leave another review that will become more objective.</v>
      </c>
    </row>
    <row r="9068" spans="1:9" x14ac:dyDescent="0.3">
      <c r="A9068" s="1" t="s">
        <v>67</v>
      </c>
      <c r="B9068" s="1" t="s">
        <v>340</v>
      </c>
      <c r="C9068" s="1" t="s">
        <v>341</v>
      </c>
      <c r="D9068" s="1" t="s">
        <v>13480</v>
      </c>
      <c r="E9068" s="1" t="s">
        <v>2919</v>
      </c>
      <c r="F9068" s="1" t="s">
        <v>13481</v>
      </c>
      <c r="G9068" s="1" t="s">
        <v>36</v>
      </c>
      <c r="H9068" s="1" t="s">
        <v>29</v>
      </c>
      <c r="I9068" s="1" t="str">
        <f ca="1">IFERROR(__xludf.DUMMYFUNCTION("GOOGLETRANSLATE(F9068, ""auto"", ""en"")
"),"Hello, I bought this machine a couple of days ago, it was very successful, it was on sale. Very easy to set up, many functions, I haven’t tried everything yet, but so far I’m happy with everything, it sews quietly, it’s convenient for those who have a sma"&amp;"ll child, I sew while he’s sleeping. I recommend it to everyone")</f>
        <v>Hello, I bought this machine a couple of days ago, it was very successful, it was on sale. Very easy to set up, many functions, I haven’t tried everything yet, but so far I’m happy with everything, it sews quietly, it’s convenient for those who have a small child, I sew while he’s sleeping. I recommend it to everyone</v>
      </c>
    </row>
    <row r="9069" spans="1:9" x14ac:dyDescent="0.3">
      <c r="A9069" s="1" t="s">
        <v>149</v>
      </c>
      <c r="B9069" s="1" t="s">
        <v>155</v>
      </c>
      <c r="C9069" s="1" t="s">
        <v>1187</v>
      </c>
      <c r="D9069" s="1" t="s">
        <v>589</v>
      </c>
      <c r="E9069" s="1" t="s">
        <v>2563</v>
      </c>
      <c r="F9069" s="1" t="s">
        <v>13482</v>
      </c>
      <c r="G9069" s="1" t="s">
        <v>28</v>
      </c>
      <c r="H9069" s="1" t="s">
        <v>29</v>
      </c>
      <c r="I9069" s="1" t="str">
        <f ca="1">IFERROR(__xludf.DUMMYFUNCTION("GOOGLETRANSLATE(F9069, ""auto"", ""en"")
"),"I spent a long time choosing, the main indicator was the size, which was what I needed for a small apartment. Although the garbage flask and power would be enough for a large apartment. Compact, powerful, dust does not fly out from the place where the air"&amp;" is blown out, no replacement filters need to be purchased. The only negative is its brush, which is not very comfortable, not like all other Dyson models.")</f>
        <v>I spent a long time choosing, the main indicator was the size, which was what I needed for a small apartment. Although the garbage flask and power would be enough for a large apartment. Compact, powerful, dust does not fly out from the place where the air is blown out, no replacement filters need to be purchased. The only negative is its brush, which is not very comfortable, not like all other Dyson models.</v>
      </c>
    </row>
    <row r="9070" spans="1:9" x14ac:dyDescent="0.3">
      <c r="A9070" s="1" t="s">
        <v>30</v>
      </c>
      <c r="B9070" s="1" t="s">
        <v>50</v>
      </c>
      <c r="C9070" s="1" t="s">
        <v>1003</v>
      </c>
      <c r="D9070" s="1" t="s">
        <v>39</v>
      </c>
      <c r="E9070" s="1" t="s">
        <v>379</v>
      </c>
      <c r="F9070" s="1" t="s">
        <v>13483</v>
      </c>
      <c r="G9070" s="1" t="s">
        <v>36</v>
      </c>
      <c r="H9070" s="1" t="s">
        <v>29</v>
      </c>
      <c r="I9070" s="1" t="str">
        <f ca="1">IFERROR(__xludf.DUMMYFUNCTION("GOOGLETRANSLATE(F9070, ""auto"", ""en"")
"),"I've been using it for about a month. What can I say: a good matte screen, excellent viewing angles horizontally, vertically there is no worse hardware button to disable the touchpad, but software accessibility in “four clicks”, many additional settings f"&amp;"or the touchpad (including horizontal scrolling, although only a vertical strip is drawn on the touchpad itself), large keyboard buttons, standard layout, incl. dedicated cursor keys, big Shift and Enter. The only strange thing is that the bottom row of k"&amp;"eys (spacebar and others like it) is slightly higher in height than all the others, but the function keys are quite cut down. E and 1 are also too narrow in width, I always miss :( it gets noticeably warm on the left side from the bottom, but it works alm"&amp;"ost silently; all ports are located on the sides, there is nothing on the front except the power sliders. A special feature is a combined 3.5 mm headphone + microphone jack - you will have to look for such a headset. Wi-Fi and Bluetooth are turned on with"&amp;" one lever in one click to leave only one working interface you need to go into the setup programs (HP's proprietary utility always hangs in the tray) Windows 7 Starter is a very hacked version, but still it is the most successful and new Windows :) Among"&amp;" the pre-installed software - MS Office 2007 (60-day trial version), MS Works, NIS 2009, CyberLink Power2Go, many utilities from HP, of which the most useful is HP Instant Web shell, launched before the OS starts and includes: browser, pager, multimedia p"&amp;"layer, picture viewer, Skype hardware configuration - complete stuffing for a netbook HD video is not ideal, but you can watch House :) the webcam is lousy, but just right for Skype. There is a proprietary program for setting up and recording video from i"&amp;"t :) 6-cell battery! It hasn’t reached complete discharge yet, but I think it lasts 6-8 hours.  Conclusions: an excellent machine, IMHO the price is a bit high for a netbook, but objectively, taking into account the configuration (and especially powerful "&amp;"battery), it turns out that it could be even higher. 5 out of 5!")</f>
        <v>I've been using it for about a month. What can I say: a good matte screen, excellent viewing angles horizontally, vertically there is no worse hardware button to disable the touchpad, but software accessibility in “four clicks”, many additional settings for the touchpad (including horizontal scrolling, although only a vertical strip is drawn on the touchpad itself), large keyboard buttons, standard layout, incl. dedicated cursor keys, big Shift and Enter. The only strange thing is that the bottom row of keys (spacebar and others like it) is slightly higher in height than all the others, but the function keys are quite cut down. E and 1 are also too narrow in width, I always miss :( it gets noticeably warm on the left side from the bottom, but it works almost silently; all ports are located on the sides, there is nothing on the front except the power sliders. A special feature is a combined 3.5 mm headphone + microphone jack - you will have to look for such a headset. Wi-Fi and Bluetooth are turned on with one lever in one click to leave only one working interface you need to go into the setup programs (HP's proprietary utility always hangs in the tray) Windows 7 Starter is a very hacked version, but still it is the most successful and new Windows :) Among the pre-installed software - MS Office 2007 (60-day trial version), MS Works, NIS 2009, CyberLink Power2Go, many utilities from HP, of which the most useful is HP Instant Web shell, launched before the OS starts and includes: browser, pager, multimedia player, picture viewer, Skype hardware configuration - complete stuffing for a netbook HD video is not ideal, but you can watch House :) the webcam is lousy, but just right for Skype. There is a proprietary program for setting up and recording video from it :) 6-cell battery! It hasn’t reached complete discharge yet, but I think it lasts 6-8 hours.  Conclusions: an excellent machine, IMHO the price is a bit high for a netbook, but objectively, taking into account the configuration (and especially powerful battery), it turns out that it could be even higher. 5 out of 5!</v>
      </c>
    </row>
    <row r="9071" spans="1:9" x14ac:dyDescent="0.3">
      <c r="A9071" s="1" t="s">
        <v>17</v>
      </c>
      <c r="B9071" s="1" t="s">
        <v>18</v>
      </c>
      <c r="C9071" s="1" t="s">
        <v>19</v>
      </c>
      <c r="D9071" s="1" t="s">
        <v>2204</v>
      </c>
      <c r="E9071" s="1" t="s">
        <v>8591</v>
      </c>
      <c r="F9071" s="1" t="s">
        <v>13484</v>
      </c>
      <c r="G9071" s="1" t="s">
        <v>36</v>
      </c>
      <c r="H9071" s="1" t="s">
        <v>29</v>
      </c>
      <c r="I9071" s="1" t="str">
        <f ca="1">IFERROR(__xludf.DUMMYFUNCTION("GOOGLETRANSLATE(F9071, ""auto"", ""en"")
"),"I've been using it for about six months. Purchased at a discounted price. For the money this is a very good machine. Once leveled, it works quietly. It washes things well, has many functions, the main thing is to choose the right program.")</f>
        <v>I've been using it for about six months. Purchased at a discounted price. For the money this is a very good machine. Once leveled, it works quietly. It washes things well, has many functions, the main thing is to choose the right program.</v>
      </c>
    </row>
    <row r="9072" spans="1:9" x14ac:dyDescent="0.3">
      <c r="A9072" s="1" t="s">
        <v>211</v>
      </c>
      <c r="B9072" s="1" t="s">
        <v>212</v>
      </c>
      <c r="C9072" s="1" t="s">
        <v>69</v>
      </c>
      <c r="D9072" s="1" t="s">
        <v>658</v>
      </c>
      <c r="E9072" s="1" t="s">
        <v>4458</v>
      </c>
      <c r="F9072" s="1" t="s">
        <v>13485</v>
      </c>
      <c r="G9072" s="1" t="s">
        <v>36</v>
      </c>
      <c r="H9072" s="1" t="s">
        <v>29</v>
      </c>
      <c r="I9072" s="1" t="str">
        <f ca="1">IFERROR(__xludf.DUMMYFUNCTION("GOOGLETRANSLATE(F9072, ""auto"", ""en"")
"),"Excellent hair dryer brush: it replaced a straightener, a hair dryer, and a comb, I’m very pleased with the purchase.")</f>
        <v>Excellent hair dryer brush: it replaced a straightener, a hair dryer, and a comb, I’m very pleased with the purchase.</v>
      </c>
    </row>
    <row r="9073" spans="1:9" x14ac:dyDescent="0.3">
      <c r="A9073" s="1" t="s">
        <v>43</v>
      </c>
      <c r="B9073" s="1" t="s">
        <v>502</v>
      </c>
      <c r="C9073" s="1" t="s">
        <v>459</v>
      </c>
      <c r="D9073" s="1" t="s">
        <v>1143</v>
      </c>
      <c r="E9073" s="1" t="s">
        <v>3730</v>
      </c>
      <c r="F9073" s="1" t="s">
        <v>13486</v>
      </c>
      <c r="G9073" s="1" t="s">
        <v>36</v>
      </c>
      <c r="H9073" s="1" t="s">
        <v>29</v>
      </c>
      <c r="I9073" s="1" t="str">
        <f ca="1">IFERROR(__xludf.DUMMYFUNCTION("GOOGLETRANSLATE(F9073, ""auto"", ""en"")
"),"We have 6 splits from this company, 4 of them have been working in the office for two years without any complaints, I installed two in my apartment last summer, I didn’t encounter any problems, I hope I won’t in the future! Everything was bought on sale a"&amp;"t great prices. In terms of price/quality ratio, this is an excellent product!")</f>
        <v>We have 6 splits from this company, 4 of them have been working in the office for two years without any complaints, I installed two in my apartment last summer, I didn’t encounter any problems, I hope I won’t in the future! Everything was bought on sale at great prices. In terms of price/quality ratio, this is an excellent product!</v>
      </c>
    </row>
    <row r="9074" spans="1:9" x14ac:dyDescent="0.3">
      <c r="A9074" s="1" t="s">
        <v>43</v>
      </c>
      <c r="B9074" s="1" t="s">
        <v>1370</v>
      </c>
      <c r="C9074" s="1" t="s">
        <v>2137</v>
      </c>
      <c r="D9074" s="1" t="s">
        <v>52</v>
      </c>
      <c r="E9074" s="1" t="s">
        <v>1931</v>
      </c>
      <c r="F9074" s="1" t="s">
        <v>13487</v>
      </c>
      <c r="G9074" s="1" t="s">
        <v>36</v>
      </c>
      <c r="H9074" s="1" t="s">
        <v>29</v>
      </c>
      <c r="I9074" s="1" t="str">
        <f ca="1">IFERROR(__xludf.DUMMYFUNCTION("GOOGLETRANSLATE(F9074, ""auto"", ""en"")
"),"I have been using this device for 5 years during hot water outages.  Quite a decent device. Completely solves the problem.")</f>
        <v>I have been using this device for 5 years during hot water outages.  Quite a decent device. Completely solves the problem.</v>
      </c>
    </row>
    <row r="9075" spans="1:9" x14ac:dyDescent="0.3">
      <c r="A9075" s="1" t="s">
        <v>43</v>
      </c>
      <c r="B9075" s="1" t="s">
        <v>334</v>
      </c>
      <c r="C9075" s="1" t="s">
        <v>101</v>
      </c>
      <c r="D9075" s="1" t="s">
        <v>934</v>
      </c>
      <c r="E9075" s="1" t="s">
        <v>4034</v>
      </c>
      <c r="F9075" s="1" t="s">
        <v>13488</v>
      </c>
      <c r="G9075" s="1" t="s">
        <v>49</v>
      </c>
      <c r="H9075" s="1" t="s">
        <v>16</v>
      </c>
      <c r="I9075" s="1" t="str">
        <f ca="1">IFERROR(__xludf.DUMMYFUNCTION("GOOGLETRANSLATE(F9075, ""auto"", ""en"")
"),"Disgusting, I don't recommend it to anyone. We bought a Val wedge, whatever is cracking there is not worth the money spent.")</f>
        <v>Disgusting, I don't recommend it to anyone. We bought a Val wedge, whatever is cracking there is not worth the money spent.</v>
      </c>
    </row>
    <row r="9076" spans="1:9" x14ac:dyDescent="0.3">
      <c r="A9076" s="1" t="s">
        <v>369</v>
      </c>
      <c r="B9076" s="1" t="s">
        <v>587</v>
      </c>
      <c r="C9076" s="1" t="s">
        <v>308</v>
      </c>
      <c r="D9076" s="1" t="s">
        <v>39</v>
      </c>
      <c r="E9076" s="1" t="s">
        <v>9021</v>
      </c>
      <c r="F9076" s="1" t="s">
        <v>13489</v>
      </c>
      <c r="G9076" s="1" t="s">
        <v>28</v>
      </c>
      <c r="H9076" s="1" t="s">
        <v>29</v>
      </c>
      <c r="I9076" s="1" t="str">
        <f ca="1">IFERROR(__xludf.DUMMYFUNCTION("GOOGLETRANSLATE(F9076, ""auto"", ""en"")
"),"Elena, don’t mislead people, there is no automatic ignition in this stove! But overall, a decent stove for the money. Delivered on time.")</f>
        <v>Elena, don’t mislead people, there is no automatic ignition in this stove! But overall, a decent stove for the money. Delivered on time.</v>
      </c>
    </row>
    <row r="9077" spans="1:9" x14ac:dyDescent="0.3">
      <c r="A9077" s="1" t="s">
        <v>37</v>
      </c>
      <c r="B9077" s="1" t="s">
        <v>38</v>
      </c>
      <c r="C9077" s="1" t="s">
        <v>39</v>
      </c>
      <c r="D9077" s="1" t="s">
        <v>33</v>
      </c>
      <c r="E9077" s="1" t="s">
        <v>346</v>
      </c>
      <c r="F9077" s="1" t="s">
        <v>13490</v>
      </c>
      <c r="G9077" s="1" t="s">
        <v>36</v>
      </c>
      <c r="H9077" s="1" t="s">
        <v>29</v>
      </c>
      <c r="I9077" s="1" t="str">
        <f ca="1">IFERROR(__xludf.DUMMYFUNCTION("GOOGLETRANSLATE(F9077, ""auto"", ""en"")
"),"It's good for everyone to scold the phone. What you all don’t like is that it’s a cool phone, nothing glitches, why are you nitpicking about the little things, and the buttons are comfortable. Why are you upsetting a person who wants to buy this cool phon"&amp;"e, he gets upset in advance....from your insignificant inconveniences like (inconvenient buttons.) ...The phone is super!!!!!!!!")</f>
        <v>It's good for everyone to scold the phone. What you all don’t like is that it’s a cool phone, nothing glitches, why are you nitpicking about the little things, and the buttons are comfortable. Why are you upsetting a person who wants to buy this cool phone, he gets upset in advance....from your insignificant inconveniences like (inconvenient buttons.) ...The phone is super!!!!!!!!</v>
      </c>
    </row>
    <row r="9078" spans="1:9" x14ac:dyDescent="0.3">
      <c r="A9078" s="1" t="s">
        <v>169</v>
      </c>
      <c r="B9078" s="1" t="s">
        <v>170</v>
      </c>
      <c r="C9078" s="1" t="s">
        <v>193</v>
      </c>
      <c r="D9078" s="1" t="s">
        <v>589</v>
      </c>
      <c r="E9078" s="1" t="s">
        <v>3166</v>
      </c>
      <c r="F9078" s="1" t="s">
        <v>13491</v>
      </c>
      <c r="G9078" s="1" t="s">
        <v>36</v>
      </c>
      <c r="H9078" s="1" t="s">
        <v>29</v>
      </c>
      <c r="I9078" s="1" t="str">
        <f ca="1">IFERROR(__xludf.DUMMYFUNCTION("GOOGLETRANSLATE(F9078, ""auto"", ""en"")
"),"When purchasing, I was focused on convenience for DJing and writing music, and I really found what I needed! The ergonomics of the ears are excellent, the headband is fixed well, the cups themselves are large and completely cover the ears (a huge plus for"&amp;" this model compared to the HD-205), and there is no pressure on the head even after prolonged use. Sound insulation is good; we are pleased with solutions such as a rotating cup and a twisted cable.  The sound is clear (easily checked when listening to t"&amp;"racks with atmospheric and vocal “pits”), at first there may be crackling in the high frequencies and hissing in the bass, but this rather depends on the quality of the recording of the tracks themselves, besides, everything is easily adjusted by the equa"&amp;"lizer, I personally reduced the highs and lows, focusing on the purity of the mids (for house, progressive and techno). There are absolutely no complaints when writing music.  Verdict: real quality for reasonable money, I recommend it!")</f>
        <v>When purchasing, I was focused on convenience for DJing and writing music, and I really found what I needed! The ergonomics of the ears are excellent, the headband is fixed well, the cups themselves are large and completely cover the ears (a huge plus for this model compared to the HD-205), and there is no pressure on the head even after prolonged use. Sound insulation is good; we are pleased with solutions such as a rotating cup and a twisted cable.  The sound is clear (easily checked when listening to tracks with atmospheric and vocal “pits”), at first there may be crackling in the high frequencies and hissing in the bass, but this rather depends on the quality of the recording of the tracks themselves, besides, everything is easily adjusted by the equalizer, I personally reduced the highs and lows, focusing on the purity of the mids (for house, progressive and techno). There are absolutely no complaints when writing music.  Verdict: real quality for reasonable money, I recommend it!</v>
      </c>
    </row>
    <row r="9079" spans="1:9" x14ac:dyDescent="0.3">
      <c r="A9079" s="1" t="s">
        <v>61</v>
      </c>
      <c r="B9079" s="1" t="s">
        <v>145</v>
      </c>
      <c r="C9079" s="1" t="s">
        <v>246</v>
      </c>
      <c r="D9079" s="1" t="s">
        <v>896</v>
      </c>
      <c r="E9079" s="1" t="s">
        <v>3771</v>
      </c>
      <c r="F9079" s="1" t="s">
        <v>13492</v>
      </c>
      <c r="G9079" s="1" t="s">
        <v>28</v>
      </c>
      <c r="H9079" s="1" t="s">
        <v>29</v>
      </c>
      <c r="I9079" s="1" t="str">
        <f ca="1">IFERROR(__xludf.DUMMYFUNCTION("GOOGLETRANSLATE(F9079, ""auto"", ""en"")
"),"We recently purchased this steamer, so far I like everything) The only thing is that it’s a bit noisy when the water is heating up and it’s a little annoying to wash it!  But gourmets will appreciate it; steamed food is simply a masterpiece, tasty and ver"&amp;"y healthy!")</f>
        <v>We recently purchased this steamer, so far I like everything) The only thing is that it’s a bit noisy when the water is heating up and it’s a little annoying to wash it!  But gourmets will appreciate it; steamed food is simply a masterpiece, tasty and very healthy!</v>
      </c>
    </row>
    <row r="9080" spans="1:9" x14ac:dyDescent="0.3">
      <c r="A9080" s="1" t="s">
        <v>811</v>
      </c>
      <c r="B9080" s="1" t="s">
        <v>812</v>
      </c>
      <c r="C9080" s="1" t="s">
        <v>813</v>
      </c>
      <c r="D9080" s="1" t="s">
        <v>13493</v>
      </c>
      <c r="E9080" s="1" t="s">
        <v>3145</v>
      </c>
      <c r="F9080" s="1" t="s">
        <v>13494</v>
      </c>
      <c r="G9080" s="1" t="s">
        <v>36</v>
      </c>
      <c r="H9080" s="1" t="s">
        <v>29</v>
      </c>
      <c r="I9080" s="1" t="str">
        <f ca="1">IFERROR(__xludf.DUMMYFUNCTION("GOOGLETRANSLATE(F9080, ""auto"", ""en"")
"),"Holds a lot!")</f>
        <v>Holds a lot!</v>
      </c>
    </row>
    <row r="9081" spans="1:9" x14ac:dyDescent="0.3">
      <c r="A9081" s="1" t="s">
        <v>120</v>
      </c>
      <c r="B9081" s="1" t="s">
        <v>121</v>
      </c>
      <c r="C9081" s="1" t="s">
        <v>69</v>
      </c>
      <c r="D9081" s="1" t="s">
        <v>52</v>
      </c>
      <c r="E9081" s="1" t="s">
        <v>1406</v>
      </c>
      <c r="F9081" s="1" t="s">
        <v>13495</v>
      </c>
      <c r="G9081" s="1" t="s">
        <v>36</v>
      </c>
      <c r="H9081" s="1" t="s">
        <v>29</v>
      </c>
      <c r="I9081" s="1" t="str">
        <f ca="1">IFERROR(__xludf.DUMMYFUNCTION("GOOGLETRANSLATE(F9081, ""auto"", ""en"")
"),"There is no picture and picture (PaP) in this model!!!! Although the price list indicates that it exists! Otherwise, the TV is excellent! I have already updated the software via Front. USB 1.1 Type A port!!! The sound and picture are excellent!! I want to"&amp;" repeat, the TV is excellent!!!!!!!!!!!!!!!!!!!")</f>
        <v>There is no picture and picture (PaP) in this model!!!! Although the price list indicates that it exists! Otherwise, the TV is excellent! I have already updated the software via Front. USB 1.1 Type A port!!! The sound and picture are excellent!! I want to repeat, the TV is excellent!!!!!!!!!!!!!!!!!!!</v>
      </c>
    </row>
    <row r="9082" spans="1:9" x14ac:dyDescent="0.3">
      <c r="A9082" s="1" t="s">
        <v>9</v>
      </c>
      <c r="B9082" s="1" t="s">
        <v>10</v>
      </c>
      <c r="C9082" s="1" t="s">
        <v>466</v>
      </c>
      <c r="D9082" s="1" t="s">
        <v>64</v>
      </c>
      <c r="E9082" s="1" t="s">
        <v>4301</v>
      </c>
      <c r="F9082" s="1" t="s">
        <v>13496</v>
      </c>
      <c r="G9082" s="1" t="s">
        <v>49</v>
      </c>
      <c r="H9082" s="1" t="s">
        <v>16</v>
      </c>
      <c r="I9082" s="1" t="str">
        <f ca="1">IFERROR(__xludf.DUMMYFUNCTION("GOOGLETRANSLATE(F9082, ""auto"", ""en"")
"),"It was possible to turn on the hood only once. When turned on again, only the backlight came on, while the brightness of the light is constantly changing and you can turn it off only by unplugging the plug from the network.")</f>
        <v>It was possible to turn on the hood only once. When turned on again, only the backlight came on, while the brightness of the light is constantly changing and you can turn it off only by unplugging the plug from the network.</v>
      </c>
    </row>
    <row r="9083" spans="1:9" x14ac:dyDescent="0.3">
      <c r="A9083" s="1" t="s">
        <v>61</v>
      </c>
      <c r="B9083" s="1" t="s">
        <v>224</v>
      </c>
      <c r="C9083" s="1" t="s">
        <v>85</v>
      </c>
      <c r="D9083" s="1" t="s">
        <v>327</v>
      </c>
      <c r="E9083" s="1" t="s">
        <v>7855</v>
      </c>
      <c r="F9083" s="1" t="s">
        <v>13497</v>
      </c>
      <c r="G9083" s="1" t="s">
        <v>28</v>
      </c>
      <c r="H9083" s="1" t="s">
        <v>29</v>
      </c>
      <c r="I9083" s="1" t="str">
        <f ca="1">IFERROR(__xludf.DUMMYFUNCTION("GOOGLETRANSLATE(F9083, ""auto"", ""en"")
"),"I used my own garden to extract juice from apples. It doesn’t look like a pro, but the cost is not pro either) In the end, I squeezed out 50 liters of juice. It works great, you just have to clean the mesh very often.")</f>
        <v>I used my own garden to extract juice from apples. It doesn’t look like a pro, but the cost is not pro either) In the end, I squeezed out 50 liters of juice. It works great, you just have to clean the mesh very often.</v>
      </c>
    </row>
    <row r="9084" spans="1:9" x14ac:dyDescent="0.3">
      <c r="A9084" s="1" t="s">
        <v>624</v>
      </c>
      <c r="B9084" s="1" t="s">
        <v>625</v>
      </c>
      <c r="C9084" s="1" t="s">
        <v>479</v>
      </c>
      <c r="D9084" s="1" t="s">
        <v>10780</v>
      </c>
      <c r="E9084" s="1" t="s">
        <v>2882</v>
      </c>
      <c r="F9084" s="1" t="s">
        <v>13498</v>
      </c>
      <c r="G9084" s="1" t="s">
        <v>36</v>
      </c>
      <c r="H9084" s="1" t="s">
        <v>29</v>
      </c>
      <c r="I9084" s="1" t="str">
        <f ca="1">IFERROR(__xludf.DUMMYFUNCTION("GOOGLETRANSLATE(F9084, ""auto"", ""en"")
"),"Simply GREAT 3D Arcade! And playing with PS-Move is a pleasure!!! Don't miss this game!")</f>
        <v>Simply GREAT 3D Arcade! And playing with PS-Move is a pleasure!!! Don't miss this game!</v>
      </c>
    </row>
    <row r="9085" spans="1:9" x14ac:dyDescent="0.3">
      <c r="A9085" s="1" t="s">
        <v>61</v>
      </c>
      <c r="B9085" s="1" t="s">
        <v>318</v>
      </c>
      <c r="C9085" s="1" t="s">
        <v>101</v>
      </c>
      <c r="D9085" s="1" t="s">
        <v>247</v>
      </c>
      <c r="E9085" s="1" t="s">
        <v>802</v>
      </c>
      <c r="F9085" s="1" t="s">
        <v>13499</v>
      </c>
      <c r="G9085" s="1" t="s">
        <v>28</v>
      </c>
      <c r="H9085" s="1" t="s">
        <v>29</v>
      </c>
      <c r="I9085" s="1" t="str">
        <f ca="1">IFERROR(__xludf.DUMMYFUNCTION("GOOGLETRANSLATE(F9085, ""auto"", ""en"")
"),"It looks beautiful, but at first there was a plastic smell, but over time it went away and now we use it, there is no smell, it boils quickly.")</f>
        <v>It looks beautiful, but at first there was a plastic smell, but over time it went away and now we use it, there is no smell, it boils quickly.</v>
      </c>
    </row>
    <row r="9086" spans="1:9" x14ac:dyDescent="0.3">
      <c r="A9086" s="1" t="s">
        <v>120</v>
      </c>
      <c r="B9086" s="1" t="s">
        <v>256</v>
      </c>
      <c r="C9086" s="1" t="s">
        <v>658</v>
      </c>
      <c r="D9086" s="1" t="s">
        <v>247</v>
      </c>
      <c r="E9086" s="1" t="s">
        <v>3166</v>
      </c>
      <c r="F9086" s="1" t="s">
        <v>13500</v>
      </c>
      <c r="G9086" s="1" t="s">
        <v>36</v>
      </c>
      <c r="H9086" s="1" t="s">
        <v>29</v>
      </c>
      <c r="I9086" s="1" t="str">
        <f ca="1">IFERROR(__xludf.DUMMYFUNCTION("GOOGLETRANSLATE(F9086, ""auto"", ""en"")
"),"An excellent candy bar, in a month it will be a year since it entertains us in the kitchen. There is only one drawback: there is not enough “Disc Menu” button on the remote control, but everyone else really likes the TV.")</f>
        <v>An excellent candy bar, in a month it will be a year since it entertains us in the kitchen. There is only one drawback: there is not enough “Disc Menu” button on the remote control, but everyone else really likes the TV.</v>
      </c>
    </row>
    <row r="9087" spans="1:9" x14ac:dyDescent="0.3">
      <c r="A9087" s="1" t="s">
        <v>67</v>
      </c>
      <c r="B9087" s="1" t="s">
        <v>68</v>
      </c>
      <c r="C9087" s="1" t="s">
        <v>185</v>
      </c>
      <c r="D9087" s="1" t="s">
        <v>2764</v>
      </c>
      <c r="E9087" s="1" t="s">
        <v>2636</v>
      </c>
      <c r="F9087" s="1" t="s">
        <v>13501</v>
      </c>
      <c r="G9087" s="1" t="s">
        <v>36</v>
      </c>
      <c r="H9087" s="1" t="s">
        <v>29</v>
      </c>
      <c r="I9087" s="1" t="str">
        <f ca="1">IFERROR(__xludf.DUMMYFUNCTION("GOOGLETRANSLATE(F9087, ""auto"", ""en"")
"),"An excellent assistant in ironing and putting things in order after washing. Irons any fabric very well, you don’t need to add water for a long time. Overall, I was lucky to have him!")</f>
        <v>An excellent assistant in ironing and putting things in order after washing. Irons any fabric very well, you don’t need to add water for a long time. Overall, I was lucky to have him!</v>
      </c>
    </row>
    <row r="9088" spans="1:9" x14ac:dyDescent="0.3">
      <c r="A9088" s="1" t="s">
        <v>67</v>
      </c>
      <c r="B9088" s="1" t="s">
        <v>340</v>
      </c>
      <c r="C9088" s="1" t="s">
        <v>1634</v>
      </c>
      <c r="D9088" s="1" t="s">
        <v>114</v>
      </c>
      <c r="E9088" s="1" t="s">
        <v>2900</v>
      </c>
      <c r="F9088" s="1" t="s">
        <v>13502</v>
      </c>
      <c r="G9088" s="1" t="s">
        <v>28</v>
      </c>
      <c r="H9088" s="1" t="s">
        <v>29</v>
      </c>
      <c r="I9088" s="1" t="str">
        <f ca="1">IFERROR(__xludf.DUMMYFUNCTION("GOOGLETRANSLATE(F9088, ""auto"", ""en"")
"),"I bought it 2 days ago. Noisy, difficult to start. At speed it just wobbles. Replaced it with a similar one. Very different, sews quietly, softly. Apparently the previous one has a manufacturing defect. It’s better to check immediately in the store when p"&amp;"urchasing!")</f>
        <v>I bought it 2 days ago. Noisy, difficult to start. At speed it just wobbles. Replaced it with a similar one. Very different, sews quietly, softly. Apparently the previous one has a manufacturing defect. It’s better to check immediately in the store when purchasing!</v>
      </c>
    </row>
    <row r="9089" spans="1:9" x14ac:dyDescent="0.3">
      <c r="A9089" s="1" t="s">
        <v>111</v>
      </c>
      <c r="B9089" s="1" t="s">
        <v>636</v>
      </c>
      <c r="C9089" s="1" t="s">
        <v>637</v>
      </c>
      <c r="D9089" s="1" t="s">
        <v>13503</v>
      </c>
      <c r="E9089" s="1" t="s">
        <v>7045</v>
      </c>
      <c r="F9089" s="1" t="s">
        <v>13504</v>
      </c>
      <c r="G9089" s="1" t="s">
        <v>49</v>
      </c>
      <c r="H9089" s="1" t="s">
        <v>16</v>
      </c>
      <c r="I9089" s="1" t="str">
        <f ca="1">IFERROR(__xludf.DUMMYFUNCTION("GOOGLETRANSLATE(F9089, ""auto"", ""en"")
"),"We purchased the Oregon Sciencific BAR206 weather station on 05/24/2013. When comparing temperature readings from a remote sensor and the device itself, the difference varies from 0.5 to 1.5 g. On June 2, 2013, they returned it and replaced it with the sa"&amp;"me one, which in the store on the 2nd band showed it seemed to be accurate, but after standing at home in all ranges it again shows with an error from one observation point!!! There is no way to physically check the remaining parameters. In addition, rega"&amp;"rding the convenience of placing the remote sensor, or rather the inconvenience - how can it be securely, in the sense of guaranteeing that it will not fall down or fall out when attached, to attach it to an external wall? It would be a good idea for manu"&amp;"facturers to make a special plastic pocket that can simply be glued on the outside.")</f>
        <v>We purchased the Oregon Sciencific BAR206 weather station on 05/24/2013. When comparing temperature readings from a remote sensor and the device itself, the difference varies from 0.5 to 1.5 g. On June 2, 2013, they returned it and replaced it with the same one, which in the store on the 2nd band showed it seemed to be accurate, but after standing at home in all ranges it again shows with an error from one observation point!!! There is no way to physically check the remaining parameters. In addition, regarding the convenience of placing the remote sensor, or rather the inconvenience - how can it be securely, in the sense of guaranteeing that it will not fall down or fall out when attached, to attach it to an external wall? It would be a good idea for manufacturers to make a special plastic pocket that can simply be glued on the outside.</v>
      </c>
    </row>
    <row r="9090" spans="1:9" x14ac:dyDescent="0.3">
      <c r="A9090" s="1" t="s">
        <v>89</v>
      </c>
      <c r="B9090" s="1" t="s">
        <v>90</v>
      </c>
      <c r="C9090" s="1" t="s">
        <v>85</v>
      </c>
      <c r="D9090" s="1" t="s">
        <v>13505</v>
      </c>
      <c r="E9090" s="1" t="s">
        <v>4176</v>
      </c>
      <c r="F9090" s="1" t="s">
        <v>13506</v>
      </c>
      <c r="G9090" s="1" t="s">
        <v>28</v>
      </c>
      <c r="H9090" s="1" t="s">
        <v>29</v>
      </c>
      <c r="I9090" s="1" t="str">
        <f ca="1">IFERROR(__xludf.DUMMYFUNCTION("GOOGLETRANSLATE(F9090, ""auto"", ""en"")
"),"Quite a normal coffee grinder in terms of grinding quality. The only significant drawback for me is the very inaccurate portion control. The grinding time setting knob is from 0 to 30 seconds... it’s really impossible to set something, you set it to 1-2 s"&amp;"econds. Melts for at least 5-7 seconds, i.e. It is impossible to make one serving, you have to stop grinding forcibly (with the shutdown button), but because of this, each time the serving is different, as a result, the coffee is sometimes very strong (to"&amp;"o much), sometimes weak (not enough).")</f>
        <v>Quite a normal coffee grinder in terms of grinding quality. The only significant drawback for me is the very inaccurate portion control. The grinding time setting knob is from 0 to 30 seconds... it’s really impossible to set something, you set it to 1-2 seconds. Melts for at least 5-7 seconds, i.e. It is impossible to make one serving, you have to stop grinding forcibly (with the shutdown button), but because of this, each time the serving is different, as a result, the coffee is sometimes very strong (too much), sometimes weak (not enough).</v>
      </c>
    </row>
    <row r="9091" spans="1:9" x14ac:dyDescent="0.3">
      <c r="A9091" s="1" t="s">
        <v>120</v>
      </c>
      <c r="B9091" s="1" t="s">
        <v>256</v>
      </c>
      <c r="C9091" s="1" t="s">
        <v>277</v>
      </c>
      <c r="D9091" s="1" t="s">
        <v>474</v>
      </c>
      <c r="E9091" s="1" t="s">
        <v>580</v>
      </c>
      <c r="F9091" s="1" t="s">
        <v>13507</v>
      </c>
      <c r="G9091" s="1" t="s">
        <v>36</v>
      </c>
      <c r="H9091" s="1" t="s">
        <v>29</v>
      </c>
      <c r="I9091" s="1" t="str">
        <f ca="1">IFERROR(__xludf.DUMMYFUNCTION("GOOGLETRANSLATE(F9091, ""auto"", ""en"")
"),"I bought it on sale at a discount, hung it in the kitchen, I’m very pleased, good quality for little money.")</f>
        <v>I bought it on sale at a discount, hung it in the kitchen, I’m very pleased, good quality for little money.</v>
      </c>
    </row>
    <row r="9092" spans="1:9" x14ac:dyDescent="0.3">
      <c r="A9092" s="1" t="s">
        <v>30</v>
      </c>
      <c r="B9092" s="1" t="s">
        <v>50</v>
      </c>
      <c r="C9092" s="1" t="s">
        <v>32</v>
      </c>
      <c r="D9092" s="1" t="s">
        <v>305</v>
      </c>
      <c r="E9092" s="1" t="s">
        <v>2231</v>
      </c>
      <c r="F9092" s="1" t="s">
        <v>13508</v>
      </c>
      <c r="G9092" s="1" t="s">
        <v>28</v>
      </c>
      <c r="H9092" s="1" t="s">
        <v>29</v>
      </c>
      <c r="I9092" s="1" t="str">
        <f ca="1">IFERROR(__xludf.DUMMYFUNCTION("GOOGLETRANSLATE(F9092, ""auto"", ""en"")
"),"Upon purchase, Vista immediately crashed, no extra brakes are needed. With 7 it goes with a bang, productivity has increased significantly. In addition, I increased the memory frequency of the video card from 500 to 580 (the temperature rose only by 8-10 "&amp;"degrees).   Stalker Shadows of Chernobyl - completely at maximum (static lighting on current whist).  For those whose battery lasts 1.5 hours, the first three charges had to be carried out correctly (each for at least 10 hours). Most likely this was a mis"&amp;"take by the sales consultant, who did not really explain. And when working from the network, it is better to remove the battery from the laptop - why waste its resources again?... I didn’t see a blue screen (pah-pah-pah!). This problem is clearly on the a"&amp;"xis or programs, probably the viruses are still working. But the fact that it is heating up... Hmmm.... There are no holes under the fan and the hard drive!!! Chinese marriage makers! Whether jeans or computers, everything starts with the letter “X,” but "&amp;"it’s clearly not “good.”  You'll have to do some manual finishing.    The plus point is the price!  Ask to take it? Of course not! I don’t want anyone else but me to brag about their purchase :) just kidding!")</f>
        <v>Upon purchase, Vista immediately crashed, no extra brakes are needed. With 7 it goes with a bang, productivity has increased significantly. In addition, I increased the memory frequency of the video card from 500 to 580 (the temperature rose only by 8-10 degrees).   Stalker Shadows of Chernobyl - completely at maximum (static lighting on current whist).  For those whose battery lasts 1.5 hours, the first three charges had to be carried out correctly (each for at least 10 hours). Most likely this was a mistake by the sales consultant, who did not really explain. And when working from the network, it is better to remove the battery from the laptop - why waste its resources again?... I didn’t see a blue screen (pah-pah-pah!). This problem is clearly on the axis or programs, probably the viruses are still working. But the fact that it is heating up... Hmmm.... There are no holes under the fan and the hard drive!!! Chinese marriage makers! Whether jeans or computers, everything starts with the letter “X,” but it’s clearly not “good.”  You'll have to do some manual finishing.    The plus point is the price!  Ask to take it? Of course not! I don’t want anyone else but me to brag about their purchase :) just kidding!</v>
      </c>
    </row>
    <row r="9093" spans="1:9" x14ac:dyDescent="0.3">
      <c r="A9093" s="1" t="s">
        <v>624</v>
      </c>
      <c r="B9093" s="1" t="s">
        <v>881</v>
      </c>
      <c r="C9093" s="1" t="s">
        <v>479</v>
      </c>
      <c r="D9093" s="1" t="s">
        <v>13509</v>
      </c>
      <c r="E9093" s="1" t="s">
        <v>2341</v>
      </c>
      <c r="F9093" s="1" t="s">
        <v>13510</v>
      </c>
      <c r="G9093" s="1" t="s">
        <v>36</v>
      </c>
      <c r="H9093" s="1" t="s">
        <v>29</v>
      </c>
      <c r="I9093" s="1" t="str">
        <f ca="1">IFERROR(__xludf.DUMMYFUNCTION("GOOGLETRANSLATE(F9093, ""auto"", ""en"")
"),"great game))) makes your fingers sweat")</f>
        <v>great game))) makes your fingers sweat</v>
      </c>
    </row>
    <row r="9094" spans="1:9" x14ac:dyDescent="0.3">
      <c r="A9094" s="1" t="s">
        <v>30</v>
      </c>
      <c r="B9094" s="1" t="s">
        <v>31</v>
      </c>
      <c r="C9094" s="1" t="s">
        <v>32</v>
      </c>
      <c r="D9094" s="1" t="s">
        <v>729</v>
      </c>
      <c r="E9094" s="1" t="s">
        <v>178</v>
      </c>
      <c r="F9094" s="1" t="s">
        <v>13511</v>
      </c>
      <c r="G9094" s="1" t="s">
        <v>36</v>
      </c>
      <c r="H9094" s="1" t="s">
        <v>29</v>
      </c>
      <c r="I9094" s="1" t="str">
        <f ca="1">IFERROR(__xludf.DUMMYFUNCTION("GOOGLETRANSLATE(F9094, ""auto"", ""en"")
"),"Hello! Installed Windows 7 64 bit! It's a very excellent unit! thinks quickly! The video card, of course, is not very good, one might say none at all! (But I have a problem with the driver for the Card Reader! I can’t find it! The disk drive is also very "&amp;"noisy! I like the cooler well! Although it’s aluminum, it cools well, but the 4th core gets very hot! It’s very small, I wanted to install an additional fan, but it doesn’t fit there! And then I looked at the motherboard and couldn’t find a connector for "&amp;"an additional fan at all! Well in principle, a good price! Quality + Price! 1 year has passed, there have been no breakdowns at all! Well, in general, the computer is good, but the video card upset me! At least put the GeForce GTX 260 THERE! Who knows whe"&amp;"re to download the driver for the Card Reader, please write here!)")</f>
        <v>Hello! Installed Windows 7 64 bit! It's a very excellent unit! thinks quickly! The video card, of course, is not very good, one might say none at all! (But I have a problem with the driver for the Card Reader! I can’t find it! The disk drive is also very noisy! I like the cooler well! Although it’s aluminum, it cools well, but the 4th core gets very hot! It’s very small, I wanted to install an additional fan, but it doesn’t fit there! And then I looked at the motherboard and couldn’t find a connector for an additional fan at all! Well in principle, a good price! Quality + Price! 1 year has passed, there have been no breakdowns at all! Well, in general, the computer is good, but the video card upset me! At least put the GeForce GTX 260 THERE! Who knows where to download the driver for the Card Reader, please write here!)</v>
      </c>
    </row>
    <row r="9095" spans="1:9" x14ac:dyDescent="0.3">
      <c r="A9095" s="1" t="s">
        <v>30</v>
      </c>
      <c r="B9095" s="1" t="s">
        <v>50</v>
      </c>
      <c r="C9095" s="1" t="s">
        <v>51</v>
      </c>
      <c r="D9095" s="1" t="s">
        <v>749</v>
      </c>
      <c r="E9095" s="1" t="s">
        <v>1122</v>
      </c>
      <c r="F9095" s="1" t="s">
        <v>13512</v>
      </c>
      <c r="G9095" s="1" t="s">
        <v>36</v>
      </c>
      <c r="H9095" s="1" t="s">
        <v>29</v>
      </c>
      <c r="I9095" s="1" t="str">
        <f ca="1">IFERROR(__xludf.DUMMYFUNCTION("GOOGLETRANSLATE(F9095, ""auto"", ""en"")
"),"I'm satisfied!!!")</f>
        <v>I'm satisfied!!!</v>
      </c>
    </row>
    <row r="9096" spans="1:9" x14ac:dyDescent="0.3">
      <c r="A9096" s="1" t="s">
        <v>149</v>
      </c>
      <c r="B9096" s="1" t="s">
        <v>155</v>
      </c>
      <c r="C9096" s="1" t="s">
        <v>151</v>
      </c>
      <c r="D9096" s="1" t="s">
        <v>172</v>
      </c>
      <c r="E9096" s="1" t="s">
        <v>2131</v>
      </c>
      <c r="F9096" s="1" t="s">
        <v>13513</v>
      </c>
      <c r="G9096" s="1" t="s">
        <v>28</v>
      </c>
      <c r="H9096" s="1" t="s">
        <v>29</v>
      </c>
      <c r="I9096" s="1" t="str">
        <f ca="1">IFERROR(__xludf.DUMMYFUNCTION("GOOGLETRANSLATE(F9096, ""auto"", ""en"")
"),"We've been using it for 2 years. Didn't let me down, didn't break down. Probably the only negative is that it clogs quickly. When clean it sucks very well, but after 3-4 cleanings of 2 rooms the suction power drops significantly. The filter needs to be wa"&amp;"shed. Although you can clean the apartment 3-4 more times (of course, shaking out the container), the quality will not be the same.      If you drill into the walls with a hammer drill and use this vacuum cleaner to suck up flying dust, the filter will cl"&amp;"og instantly. You can continue to drill holes, but you won’t be able to vacuum the carpets, only for washing.     In short, overall we are satisfied with the device; it works fine for its intended purpose.")</f>
        <v>We've been using it for 2 years. Didn't let me down, didn't break down. Probably the only negative is that it clogs quickly. When clean it sucks very well, but after 3-4 cleanings of 2 rooms the suction power drops significantly. The filter needs to be washed. Although you can clean the apartment 3-4 more times (of course, shaking out the container), the quality will not be the same.      If you drill into the walls with a hammer drill and use this vacuum cleaner to suck up flying dust, the filter will clog instantly. You can continue to drill holes, but you won’t be able to vacuum the carpets, only for washing.     In short, overall we are satisfied with the device; it works fine for its intended purpose.</v>
      </c>
    </row>
    <row r="9097" spans="1:9" x14ac:dyDescent="0.3">
      <c r="A9097" s="1" t="s">
        <v>67</v>
      </c>
      <c r="B9097" s="1" t="s">
        <v>68</v>
      </c>
      <c r="C9097" s="1" t="s">
        <v>246</v>
      </c>
      <c r="D9097" s="1" t="s">
        <v>13514</v>
      </c>
      <c r="E9097" s="1" t="s">
        <v>3262</v>
      </c>
      <c r="F9097" s="1" t="s">
        <v>13515</v>
      </c>
      <c r="G9097" s="1" t="s">
        <v>49</v>
      </c>
      <c r="H9097" s="1" t="s">
        <v>16</v>
      </c>
      <c r="I9097" s="1" t="str">
        <f ca="1">IFERROR(__xludf.DUMMYFUNCTION("GOOGLETRANSLATE(F9097, ""auto"", ""en"")
"),"bought . I was horrified and gave it back; the steam supply is weak and doesn’t clean itself, but the other day sparks started flying, it’s good that I was without water")</f>
        <v>bought . I was horrified and gave it back; the steam supply is weak and doesn’t clean itself, but the other day sparks started flying, it’s good that I was without water</v>
      </c>
    </row>
    <row r="9098" spans="1:9" x14ac:dyDescent="0.3">
      <c r="A9098" s="1" t="s">
        <v>211</v>
      </c>
      <c r="B9098" s="1" t="s">
        <v>212</v>
      </c>
      <c r="C9098" s="1" t="s">
        <v>381</v>
      </c>
      <c r="D9098" s="1" t="s">
        <v>335</v>
      </c>
      <c r="E9098" s="1" t="s">
        <v>1838</v>
      </c>
      <c r="F9098" s="1" t="s">
        <v>13516</v>
      </c>
      <c r="G9098" s="1" t="s">
        <v>36</v>
      </c>
      <c r="H9098" s="1" t="s">
        <v>29</v>
      </c>
      <c r="I9098" s="1" t="str">
        <f ca="1">IFERROR(__xludf.DUMMYFUNCTION("GOOGLETRANSLATE(F9098, ""auto"", ""en"")
"),"I've been using it for almost a year now. My hair is naturally very curly - if I don’t style it, they usually ask if I have chemicals. A hairdryer helps you style your hair into a voluminous hairstyle much faster and with less harm to your hair. Maybe I h"&amp;"aven’t learned, but you won’t be able to get a voluminous hairstyle from straight hair using this hairdryer alone. All the same, the top hair will be a little fluffy. Therefore, I dry it to a semi-dry state on my own without a hairdryer, then I lay it in "&amp;"cold air with a hairdryer, and then iron it on top with a little heat-protective spray at a minimum temperature to remove frizz. Overall, I’m very pleased with the hairdryer, but there are two drawbacks: it’s a little heavy - you can’t hold it at arm’s le"&amp;"ngth for a long time (you get used to it over time), and it’s expensive for such power characteristics. Right now the promotion is its very price. Yes, from the shortcomings that were previously written - I have never had a nozzle fall out when I put it o"&amp;"n until it clicks, and I have never overheated.")</f>
        <v>I've been using it for almost a year now. My hair is naturally very curly - if I don’t style it, they usually ask if I have chemicals. A hairdryer helps you style your hair into a voluminous hairstyle much faster and with less harm to your hair. Maybe I haven’t learned, but you won’t be able to get a voluminous hairstyle from straight hair using this hairdryer alone. All the same, the top hair will be a little fluffy. Therefore, I dry it to a semi-dry state on my own without a hairdryer, then I lay it in cold air with a hairdryer, and then iron it on top with a little heat-protective spray at a minimum temperature to remove frizz. Overall, I’m very pleased with the hairdryer, but there are two drawbacks: it’s a little heavy - you can’t hold it at arm’s length for a long time (you get used to it over time), and it’s expensive for such power characteristics. Right now the promotion is its very price. Yes, from the shortcomings that were previously written - I have never had a nozzle fall out when I put it on until it clicks, and I have never overheated.</v>
      </c>
    </row>
    <row r="9099" spans="1:9" x14ac:dyDescent="0.3">
      <c r="A9099" s="1" t="s">
        <v>17</v>
      </c>
      <c r="B9099" s="1" t="s">
        <v>18</v>
      </c>
      <c r="C9099" s="1" t="s">
        <v>885</v>
      </c>
      <c r="D9099" s="1" t="s">
        <v>13517</v>
      </c>
      <c r="E9099" s="1" t="s">
        <v>2887</v>
      </c>
      <c r="F9099" s="1" t="s">
        <v>13518</v>
      </c>
      <c r="G9099" s="1" t="s">
        <v>36</v>
      </c>
      <c r="H9099" s="1" t="s">
        <v>29</v>
      </c>
      <c r="I9099" s="1" t="str">
        <f ca="1">IFERROR(__xludf.DUMMYFUNCTION("GOOGLETRANSLATE(F9099, ""auto"", ""en"")
"),"The machine is not the quietest, but it washes very well. Even those stains that I couldn’t wash off on my hands! And even on a quick wash. Probably because of the unusual drum: it has some large bumps. There are many programs, it dries well. Doesn't jump"&amp;" while drying, maybe because it was installed well. The only downside is that the numbers are not very visible; the glass could be made darker. And lies over time. Shows more than he actually needs, but not always.")</f>
        <v>The machine is not the quietest, but it washes very well. Even those stains that I couldn’t wash off on my hands! And even on a quick wash. Probably because of the unusual drum: it has some large bumps. There are many programs, it dries well. Doesn't jump while drying, maybe because it was installed well. The only downside is that the numbers are not very visible; the glass could be made darker. And lies over time. Shows more than he actually needs, but not always.</v>
      </c>
    </row>
    <row r="9100" spans="1:9" x14ac:dyDescent="0.3">
      <c r="A9100" s="1" t="s">
        <v>78</v>
      </c>
      <c r="B9100" s="1" t="s">
        <v>79</v>
      </c>
      <c r="C9100" s="1" t="s">
        <v>80</v>
      </c>
      <c r="D9100" s="1" t="s">
        <v>280</v>
      </c>
      <c r="E9100" s="1" t="s">
        <v>10476</v>
      </c>
      <c r="F9100" s="1" t="s">
        <v>13519</v>
      </c>
      <c r="G9100" s="1" t="s">
        <v>28</v>
      </c>
      <c r="H9100" s="1" t="s">
        <v>29</v>
      </c>
      <c r="I9100" s="1" t="str">
        <f ca="1">IFERROR(__xludf.DUMMYFUNCTION("GOOGLETRANSLATE(F9100, ""auto"", ""en"")
"),"Normal oven. Satisfied. I discovered the grill a little later, because it was unnecessary. Overall quite satisfied. You won't regret it.")</f>
        <v>Normal oven. Satisfied. I discovered the grill a little later, because it was unnecessary. Overall quite satisfied. You won't regret it.</v>
      </c>
    </row>
    <row r="9101" spans="1:9" x14ac:dyDescent="0.3">
      <c r="A9101" s="1" t="s">
        <v>61</v>
      </c>
      <c r="B9101" s="1" t="s">
        <v>1126</v>
      </c>
      <c r="C9101" s="1" t="s">
        <v>57</v>
      </c>
      <c r="D9101" s="1" t="s">
        <v>934</v>
      </c>
      <c r="E9101" s="1" t="s">
        <v>13520</v>
      </c>
      <c r="F9101" s="1" t="s">
        <v>13521</v>
      </c>
      <c r="G9101" s="1" t="s">
        <v>36</v>
      </c>
      <c r="H9101" s="1" t="s">
        <v>29</v>
      </c>
      <c r="I9101" s="1" t="str">
        <f ca="1">IFERROR(__xludf.DUMMYFUNCTION("GOOGLETRANSLATE(F9101, ""auto"", ""en"")
"),"I have had these scales for over 3 years. Very accurate, compact - an indispensable thing in the kitchen. I recommend it to everyone!")</f>
        <v>I have had these scales for over 3 years. Very accurate, compact - an indispensable thing in the kitchen. I recommend it to everyone!</v>
      </c>
    </row>
    <row r="9102" spans="1:9" x14ac:dyDescent="0.3">
      <c r="A9102" s="1" t="s">
        <v>811</v>
      </c>
      <c r="B9102" s="1" t="s">
        <v>1294</v>
      </c>
      <c r="C9102" s="1" t="s">
        <v>1295</v>
      </c>
      <c r="D9102" s="1" t="s">
        <v>1055</v>
      </c>
      <c r="E9102" s="1" t="s">
        <v>5882</v>
      </c>
      <c r="F9102" s="1" t="s">
        <v>13522</v>
      </c>
      <c r="G9102" s="1" t="s">
        <v>36</v>
      </c>
      <c r="H9102" s="1" t="s">
        <v>29</v>
      </c>
      <c r="I9102" s="1" t="str">
        <f ca="1">IFERROR(__xludf.DUMMYFUNCTION("GOOGLETRANSLATE(F9102, ""auto"", ""en"")
"),"An excellent remedy. Great markers. At first there were doubts whether to take it or not, but the result exceeded expectations: everything cleans perfectly. I was pleased with the pear in the set: quite convenient and small. Definitely a useful purchase.")</f>
        <v>An excellent remedy. Great markers. At first there were doubts whether to take it or not, but the result exceeded expectations: everything cleans perfectly. I was pleased with the pear in the set: quite convenient and small. Definitely a useful purchase.</v>
      </c>
    </row>
    <row r="9103" spans="1:9" x14ac:dyDescent="0.3">
      <c r="A9103" s="1" t="s">
        <v>89</v>
      </c>
      <c r="B9103" s="1" t="s">
        <v>90</v>
      </c>
      <c r="C9103" s="1" t="s">
        <v>57</v>
      </c>
      <c r="D9103" s="1" t="s">
        <v>12</v>
      </c>
      <c r="E9103" s="1" t="s">
        <v>1971</v>
      </c>
      <c r="F9103" s="1" t="s">
        <v>13523</v>
      </c>
      <c r="G9103" s="1" t="s">
        <v>28</v>
      </c>
      <c r="H9103" s="1" t="s">
        <v>29</v>
      </c>
      <c r="I9103" s="1" t="str">
        <f ca="1">IFERROR(__xludf.DUMMYFUNCTION("GOOGLETRANSLATE(F9103, ""auto"", ""en"")
"),"The coffee grinder is good, the only negative is that it heats up quite quickly and takes a long time to cool down. Otherwise everything is fine. 100 gr. I ground the coffee three times with a bang!")</f>
        <v>The coffee grinder is good, the only negative is that it heats up quite quickly and takes a long time to cool down. Otherwise everything is fine. 100 gr. I ground the coffee three times with a bang!</v>
      </c>
    </row>
    <row r="9104" spans="1:9" x14ac:dyDescent="0.3">
      <c r="A9104" s="1" t="s">
        <v>557</v>
      </c>
      <c r="B9104" s="1" t="s">
        <v>558</v>
      </c>
      <c r="C9104" s="1" t="s">
        <v>122</v>
      </c>
      <c r="D9104" s="1" t="s">
        <v>13524</v>
      </c>
      <c r="E9104" s="1" t="s">
        <v>5137</v>
      </c>
      <c r="F9104" s="1" t="s">
        <v>13525</v>
      </c>
      <c r="G9104" s="1" t="s">
        <v>28</v>
      </c>
      <c r="H9104" s="1" t="s">
        <v>29</v>
      </c>
      <c r="I9104" s="1" t="str">
        <f ca="1">IFERROR(__xludf.DUMMYFUNCTION("GOOGLETRANSLATE(F9104, ""auto"", ""en"")
"),"6 months have passed since the purchase of the phone. I took it on the basis of price and quality. The sound quality is very good. It's easy to use. There are not many settings in it, but they are all necessary and easy to understand. The Caller ID (autom"&amp;"atic number identification) function works - it’s convenient. I didn’t like two things about it: 1) there is no keyboard backlight (it’s not convenient to dial a number in the dark); 2) batteries (weak - maybe they have such a disease) immediately took ex"&amp;"tra. GP 70AAAHC-UC2 batteries (also weak - last for max. 5 days). Well, overall I liked the phone. The choice is yours?)")</f>
        <v>6 months have passed since the purchase of the phone. I took it on the basis of price and quality. The sound quality is very good. It's easy to use. There are not many settings in it, but they are all necessary and easy to understand. The Caller ID (automatic number identification) function works - it’s convenient. I didn’t like two things about it: 1) there is no keyboard backlight (it’s not convenient to dial a number in the dark); 2) batteries (weak - maybe they have such a disease) immediately took extra. GP 70AAAHC-UC2 batteries (also weak - last for max. 5 days). Well, overall I liked the phone. The choice is yours?)</v>
      </c>
    </row>
    <row r="9105" spans="1:9" x14ac:dyDescent="0.3">
      <c r="A9105" s="1" t="s">
        <v>17</v>
      </c>
      <c r="B9105" s="1" t="s">
        <v>18</v>
      </c>
      <c r="C9105" s="1" t="s">
        <v>277</v>
      </c>
      <c r="D9105" s="1" t="s">
        <v>13526</v>
      </c>
      <c r="E9105" s="1" t="s">
        <v>1905</v>
      </c>
      <c r="F9105" s="1" t="s">
        <v>13527</v>
      </c>
      <c r="G9105" s="1" t="s">
        <v>28</v>
      </c>
      <c r="H9105" s="1" t="s">
        <v>29</v>
      </c>
      <c r="I9105" s="1" t="str">
        <f ca="1">IFERROR(__xludf.DUMMYFUNCTION("GOOGLETRANSLATE(F9105, ""auto"", ""en"")
"),"We bought it about 2 months ago, we wash it every day, sometimes 2 times a day, the quality of the wash is excellent. The machine fulfills all the stated characteristics: washing class - A, spin class - D, spinning noise from the bathroom with the door cl"&amp;"osed is not heard in the rooms. A good set of washing programs, there is even so-called “light ironing” as a feature for this ultra-budget model. So the machine is suitable for washing all types of things that are generally intended for washing. The linen"&amp;" practically does not twist.  There are only oddities with the door - at the end of the wash it automatically unlocks only after 2 minutes, but the door lock causes great concern. Even the hand you pull to open it feels too flimsy. There are no more comme"&amp;"nts or inconveniences.")</f>
        <v>We bought it about 2 months ago, we wash it every day, sometimes 2 times a day, the quality of the wash is excellent. The machine fulfills all the stated characteristics: washing class - A, spin class - D, spinning noise from the bathroom with the door closed is not heard in the rooms. A good set of washing programs, there is even so-called “light ironing” as a feature for this ultra-budget model. So the machine is suitable for washing all types of things that are generally intended for washing. The linen practically does not twist.  There are only oddities with the door - at the end of the wash it automatically unlocks only after 2 minutes, but the door lock causes great concern. Even the hand you pull to open it feels too flimsy. There are no more comments or inconveniences.</v>
      </c>
    </row>
    <row r="9106" spans="1:9" x14ac:dyDescent="0.3">
      <c r="A9106" s="1" t="s">
        <v>30</v>
      </c>
      <c r="B9106" s="1" t="s">
        <v>31</v>
      </c>
      <c r="C9106" s="1" t="s">
        <v>32</v>
      </c>
      <c r="D9106" s="1" t="s">
        <v>305</v>
      </c>
      <c r="E9106" s="1" t="s">
        <v>2280</v>
      </c>
      <c r="F9106" s="1" t="s">
        <v>13528</v>
      </c>
      <c r="G9106" s="1" t="s">
        <v>36</v>
      </c>
      <c r="H9106" s="1" t="s">
        <v>29</v>
      </c>
      <c r="I9106" s="1" t="str">
        <f ca="1">IFERROR(__xludf.DUMMYFUNCTION("GOOGLETRANSLATE(F9106, ""auto"", ""en"")
"),"I bought it 3 days ago, so far so good! Very good iron! Moreover, it’s fashionable, youthful and stylish!))))))))")</f>
        <v>I bought it 3 days ago, so far so good! Very good iron! Moreover, it’s fashionable, youthful and stylish!))))))))</v>
      </c>
    </row>
    <row r="9107" spans="1:9" x14ac:dyDescent="0.3">
      <c r="A9107" s="1" t="s">
        <v>55</v>
      </c>
      <c r="B9107" s="1" t="s">
        <v>56</v>
      </c>
      <c r="C9107" s="1" t="s">
        <v>1373</v>
      </c>
      <c r="D9107" s="1" t="s">
        <v>474</v>
      </c>
      <c r="E9107" s="1" t="s">
        <v>3842</v>
      </c>
      <c r="F9107" s="1" t="s">
        <v>3500</v>
      </c>
      <c r="G9107" s="1" t="s">
        <v>36</v>
      </c>
      <c r="H9107" s="1" t="s">
        <v>29</v>
      </c>
      <c r="I9107" s="1" t="str">
        <f ca="1">IFERROR(__xludf.DUMMYFUNCTION("GOOGLETRANSLATE(F9107, ""auto"", ""en"")
"),"Because We have a heating season of 8 months a year - an irreplaceable thing. This is our third humidifier after 2 Electroluxes. We chose it not for its beauty, but for its evaporation/spraying parameters - we turn it on 2 hours before bedtime, in the mid"&amp;"dle room it brings the humidity from 20 to 50% and works at half power all night long. The dispersion is minute - it doesn't leave drops on the floor. The noise level is average, the lights are bright, you have to turn it away from the wall. The spray noz"&amp;"zle is convenient because it rotates in all directions. The large tank is enough for us for 2 nights. It can be washed conveniently through the hole for pouring water (even a man’s hand will fit through). The only downside is that every six months/year yo"&amp;"u have to change the mixture in the filter cartridge, but they don’t sell it anywhere :(")</f>
        <v>Because We have a heating season of 8 months a year - an irreplaceable thing. This is our third humidifier after 2 Electroluxes. We chose it not for its beauty, but for its evaporation/spraying parameters - we turn it on 2 hours before bedtime, in the middle room it brings the humidity from 20 to 50% and works at half power all night long. The dispersion is minute - it doesn't leave drops on the floor. The noise level is average, the lights are bright, you have to turn it away from the wall. The spray nozzle is convenient because it rotates in all directions. The large tank is enough for us for 2 nights. It can be washed conveniently through the hole for pouring water (even a man’s hand will fit through). The only downside is that every six months/year you have to change the mixture in the filter cartridge, but they don’t sell it anywhere :(</v>
      </c>
    </row>
    <row r="9108" spans="1:9" x14ac:dyDescent="0.3">
      <c r="A9108" s="1" t="s">
        <v>211</v>
      </c>
      <c r="B9108" s="1" t="s">
        <v>212</v>
      </c>
      <c r="C9108" s="1" t="s">
        <v>381</v>
      </c>
      <c r="D9108" s="1" t="s">
        <v>471</v>
      </c>
      <c r="E9108" s="1" t="s">
        <v>8605</v>
      </c>
      <c r="F9108" s="1" t="s">
        <v>13529</v>
      </c>
      <c r="G9108" s="1" t="s">
        <v>36</v>
      </c>
      <c r="H9108" s="1" t="s">
        <v>29</v>
      </c>
      <c r="I9108" s="1" t="str">
        <f ca="1">IFERROR(__xludf.DUMMYFUNCTION("GOOGLETRANSLATE(F9108, ""auto"", ""en"")
"),"Great hairdryer. Gifted 1.5 years ago before New Year's Eve. I'm very pleased. Powerful, it doesn’t dry out your hair or slip out of your hands, it’s very comfortable to hold and even pleasant. My mother’s hairdryer is more expensive, I’ve already replace"&amp;"d three of these in about 4 years! So for the price it's a great item!")</f>
        <v>Great hairdryer. Gifted 1.5 years ago before New Year's Eve. I'm very pleased. Powerful, it doesn’t dry out your hair or slip out of your hands, it’s very comfortable to hold and even pleasant. My mother’s hairdryer is more expensive, I’ve already replaced three of these in about 4 years! So for the price it's a great item!</v>
      </c>
    </row>
    <row r="9109" spans="1:9" x14ac:dyDescent="0.3">
      <c r="A9109" s="1" t="s">
        <v>61</v>
      </c>
      <c r="B9109" s="1" t="s">
        <v>224</v>
      </c>
      <c r="C9109" s="1" t="s">
        <v>101</v>
      </c>
      <c r="D9109" s="1" t="s">
        <v>247</v>
      </c>
      <c r="E9109" s="1" t="s">
        <v>6907</v>
      </c>
      <c r="F9109" s="1" t="s">
        <v>13530</v>
      </c>
      <c r="G9109" s="1" t="s">
        <v>15</v>
      </c>
      <c r="H9109" s="1" t="s">
        <v>16</v>
      </c>
      <c r="I9109" s="1" t="str">
        <f ca="1">IFERROR(__xludf.DUMMYFUNCTION("GOOGLETRANSLATE(F9109, ""auto"", ""en"")
"),"This juicer is of very poor quality.  I do not recommend this model.  Having bought this juicer, I decided to squeeze carrot juice, but in the end I couldn’t even use up 1 carrot. It makes a very loud noise, squeezes terribly, and immediately becomes clog"&amp;"ged.  I'll go and take it today.")</f>
        <v>This juicer is of very poor quality.  I do not recommend this model.  Having bought this juicer, I decided to squeeze carrot juice, but in the end I couldn’t even use up 1 carrot. It makes a very loud noise, squeezes terribly, and immediately becomes clogged.  I'll go and take it today.</v>
      </c>
    </row>
    <row r="9110" spans="1:9" x14ac:dyDescent="0.3">
      <c r="A9110" s="1" t="s">
        <v>61</v>
      </c>
      <c r="B9110" s="1" t="s">
        <v>73</v>
      </c>
      <c r="C9110" s="1" t="s">
        <v>146</v>
      </c>
      <c r="D9110" s="1" t="s">
        <v>13531</v>
      </c>
      <c r="E9110" s="1" t="s">
        <v>13532</v>
      </c>
      <c r="F9110" s="1" t="s">
        <v>13533</v>
      </c>
      <c r="G9110" s="1" t="s">
        <v>36</v>
      </c>
      <c r="H9110" s="1" t="s">
        <v>29</v>
      </c>
      <c r="I9110" s="1" t="str">
        <f ca="1">IFERROR(__xludf.DUMMYFUNCTION("GOOGLETRANSLATE(F9110, ""auto"", ""en"")
"),"powerful")</f>
        <v>powerful</v>
      </c>
    </row>
    <row r="9111" spans="1:9" x14ac:dyDescent="0.3">
      <c r="A9111" s="1" t="s">
        <v>120</v>
      </c>
      <c r="B9111" s="1" t="s">
        <v>126</v>
      </c>
      <c r="C9111" s="1" t="s">
        <v>80</v>
      </c>
      <c r="D9111" s="1" t="s">
        <v>171</v>
      </c>
      <c r="E9111" s="1" t="s">
        <v>734</v>
      </c>
      <c r="F9111" s="1" t="s">
        <v>13534</v>
      </c>
      <c r="G9111" s="1" t="s">
        <v>36</v>
      </c>
      <c r="H9111" s="1" t="s">
        <v>29</v>
      </c>
      <c r="I9111" s="1" t="str">
        <f ca="1">IFERROR(__xludf.DUMMYFUNCTION("GOOGLETRANSLATE(F9111, ""auto"", ""en"")
"),"After the “tubular” Sharp 21' diagonal, this TV is just like a monster :) In the good sense of the word “monster”. Parents can now see and even read the ticker or any text in programs without glasses :) Watching hockey is a real pleasure, because... the p"&amp;"uck is visible to the naked eye :) With the activation of USB diodes (I did it with one) everything is simple.   The main thing is to check with a camera or cell phone that the signal from the source actually goes to the diode. When the menu loads, point "&amp;"the remote arrows at the line with Tool Options and press the right arrow. A submenu will appear, at the bottom of which there is a point about USB. We point a line at it and press the number 2 on the remote control and OK. All.   After a couple of second"&amp;"s, the service menu will disappear on its own. And in the main menu of the TV, in addition to Sound, Time, etc. - a square with USB will appear. Insert the flash drive, select the data type (movie in DivX, mp3, photos) and enjoy. Hello everyone, good mood"&amp;", health and well-being ;)")</f>
        <v>After the “tubular” Sharp 21' diagonal, this TV is just like a monster :) In the good sense of the word “monster”. Parents can now see and even read the ticker or any text in programs without glasses :) Watching hockey is a real pleasure, because... the puck is visible to the naked eye :) With the activation of USB diodes (I did it with one) everything is simple.   The main thing is to check with a camera or cell phone that the signal from the source actually goes to the diode. When the menu loads, point the remote arrows at the line with Tool Options and press the right arrow. A submenu will appear, at the bottom of which there is a point about USB. We point a line at it and press the number 2 on the remote control and OK. All.   After a couple of seconds, the service menu will disappear on its own. And in the main menu of the TV, in addition to Sound, Time, etc. - a square with USB will appear. Insert the flash drive, select the data type (movie in DivX, mp3, photos) and enjoy. Hello everyone, good mood, health and well-being ;)</v>
      </c>
    </row>
    <row r="9112" spans="1:9" x14ac:dyDescent="0.3">
      <c r="A9112" s="1" t="s">
        <v>120</v>
      </c>
      <c r="B9112" s="1" t="s">
        <v>121</v>
      </c>
      <c r="C9112" s="1" t="s">
        <v>151</v>
      </c>
      <c r="D9112" s="1" t="s">
        <v>7879</v>
      </c>
      <c r="E9112" s="1" t="s">
        <v>3664</v>
      </c>
      <c r="F9112" s="1" t="s">
        <v>13535</v>
      </c>
      <c r="G9112" s="1" t="s">
        <v>36</v>
      </c>
      <c r="H9112" s="1" t="s">
        <v>29</v>
      </c>
      <c r="I9112" s="1" t="str">
        <f ca="1">IFERROR(__xludf.DUMMYFUNCTION("GOOGLETRANSLATE(F9112, ""auto"", ""en"")
"),"An excellent panel, but only if there is a good signal (Digital or cable). Otherwise, everything is super, very satisfied!")</f>
        <v>An excellent panel, but only if there is a good signal (Digital or cable). Otherwise, everything is super, very satisfied!</v>
      </c>
    </row>
    <row r="9113" spans="1:9" x14ac:dyDescent="0.3">
      <c r="A9113" s="1" t="s">
        <v>811</v>
      </c>
      <c r="B9113" s="1" t="s">
        <v>4226</v>
      </c>
      <c r="C9113" s="1" t="s">
        <v>122</v>
      </c>
      <c r="D9113" s="1" t="s">
        <v>13536</v>
      </c>
      <c r="E9113" s="1" t="s">
        <v>2459</v>
      </c>
      <c r="F9113" s="1" t="s">
        <v>13537</v>
      </c>
      <c r="G9113" s="1" t="s">
        <v>36</v>
      </c>
      <c r="H9113" s="1" t="s">
        <v>29</v>
      </c>
      <c r="I9113" s="1" t="str">
        <f ca="1">IFERROR(__xludf.DUMMYFUNCTION("GOOGLETRANSLATE(F9113, ""auto"", ""en"")
"),"It is very cheap and, unlike other batteries, they provide a special storage case, which is great for those situations when I take this battery with me just in case. ")</f>
        <v xml:space="preserve">It is very cheap and, unlike other batteries, they provide a special storage case, which is great for those situations when I take this battery with me just in case. </v>
      </c>
    </row>
    <row r="9114" spans="1:9" x14ac:dyDescent="0.3">
      <c r="A9114" s="1" t="s">
        <v>61</v>
      </c>
      <c r="B9114" s="1" t="s">
        <v>1727</v>
      </c>
      <c r="C9114" s="1" t="s">
        <v>122</v>
      </c>
      <c r="D9114" s="1" t="s">
        <v>4244</v>
      </c>
      <c r="E9114" s="1" t="s">
        <v>1164</v>
      </c>
      <c r="F9114" s="1" t="s">
        <v>13538</v>
      </c>
      <c r="G9114" s="1" t="s">
        <v>36</v>
      </c>
      <c r="H9114" s="1" t="s">
        <v>29</v>
      </c>
      <c r="I9114" s="1" t="str">
        <f ca="1">IFERROR(__xludf.DUMMYFUNCTION("GOOGLETRANSLATE(F9114, ""auto"", ""en"")
"),"It's just a miracle. She cooks everything herself, no need to stand at the stove. Bakes, fries, boils, stews, and even steams! Cleans quickly and easily.  The only negative is that heating after cooking cannot be turned off; sometimes it is not needed. Bu"&amp;"t this is not significant compared to the advantages.")</f>
        <v>It's just a miracle. She cooks everything herself, no need to stand at the stove. Bakes, fries, boils, stews, and even steams! Cleans quickly and easily.  The only negative is that heating after cooking cannot be turned off; sometimes it is not needed. But this is not significant compared to the advantages.</v>
      </c>
    </row>
    <row r="9115" spans="1:9" x14ac:dyDescent="0.3">
      <c r="A9115" s="1" t="s">
        <v>17</v>
      </c>
      <c r="B9115" s="1" t="s">
        <v>18</v>
      </c>
      <c r="C9115" s="1" t="s">
        <v>80</v>
      </c>
      <c r="D9115" s="1" t="s">
        <v>8908</v>
      </c>
      <c r="E9115" s="1" t="s">
        <v>306</v>
      </c>
      <c r="F9115" s="1" t="s">
        <v>13539</v>
      </c>
      <c r="G9115" s="1" t="s">
        <v>36</v>
      </c>
      <c r="H9115" s="1" t="s">
        <v>29</v>
      </c>
      <c r="I9115" s="1" t="str">
        <f ca="1">IFERROR(__xludf.DUMMYFUNCTION("GOOGLETRANSLATE(F9115, ""auto"", ""en"")
"),"takes up little space, everything is clear, there is child protection")</f>
        <v>takes up little space, everything is clear, there is child protection</v>
      </c>
    </row>
    <row r="9116" spans="1:9" x14ac:dyDescent="0.3">
      <c r="A9116" s="1" t="s">
        <v>61</v>
      </c>
      <c r="B9116" s="1" t="s">
        <v>318</v>
      </c>
      <c r="C9116" s="1" t="s">
        <v>101</v>
      </c>
      <c r="D9116" s="1" t="s">
        <v>247</v>
      </c>
      <c r="E9116" s="1" t="s">
        <v>1847</v>
      </c>
      <c r="F9116" s="1" t="s">
        <v>13540</v>
      </c>
      <c r="G9116" s="1" t="s">
        <v>36</v>
      </c>
      <c r="H9116" s="1" t="s">
        <v>29</v>
      </c>
      <c r="I9116" s="1" t="str">
        <f ca="1">IFERROR(__xludf.DUMMYFUNCTION("GOOGLETRANSLATE(F9116, ""auto"", ""en"")
"),"We have been using it for 4 years, the double walls hold the water temperature perfectly, nothing has broken, the backlight is on. The only thing was that the last time I poured a lot of acid on the scale, it burned everything there and started leaking. A"&amp;"nd they would continue to use it)))")</f>
        <v>We have been using it for 4 years, the double walls hold the water temperature perfectly, nothing has broken, the backlight is on. The only thing was that the last time I poured a lot of acid on the scale, it burned everything there and started leaking. And they would continue to use it)))</v>
      </c>
    </row>
    <row r="9117" spans="1:9" x14ac:dyDescent="0.3">
      <c r="A9117" s="1" t="s">
        <v>9</v>
      </c>
      <c r="B9117" s="1" t="s">
        <v>133</v>
      </c>
      <c r="C9117" s="1" t="s">
        <v>588</v>
      </c>
      <c r="D9117" s="1" t="s">
        <v>327</v>
      </c>
      <c r="E9117" s="1" t="s">
        <v>4434</v>
      </c>
      <c r="F9117" s="1" t="s">
        <v>13541</v>
      </c>
      <c r="G9117" s="1" t="s">
        <v>94</v>
      </c>
      <c r="H9117" s="1" t="s">
        <v>29</v>
      </c>
      <c r="I9117" s="1" t="str">
        <f ca="1">IFERROR(__xludf.DUMMYFUNCTION("GOOGLETRANSLATE(F9117, ""auto"", ""en"")
"),"easy to use, cooks great")</f>
        <v>easy to use, cooks great</v>
      </c>
    </row>
    <row r="9118" spans="1:9" x14ac:dyDescent="0.3">
      <c r="A9118" s="1" t="s">
        <v>120</v>
      </c>
      <c r="B9118" s="1" t="s">
        <v>121</v>
      </c>
      <c r="C9118" s="1" t="s">
        <v>69</v>
      </c>
      <c r="D9118" s="1" t="s">
        <v>742</v>
      </c>
      <c r="E9118" s="1" t="s">
        <v>2323</v>
      </c>
      <c r="F9118" s="1" t="s">
        <v>13542</v>
      </c>
      <c r="G9118" s="1" t="s">
        <v>36</v>
      </c>
      <c r="H9118" s="1" t="s">
        <v>29</v>
      </c>
      <c r="I9118" s="1" t="str">
        <f ca="1">IFERROR(__xludf.DUMMYFUNCTION("GOOGLETRANSLATE(F9118, ""auto"", ""en"")
"),"I don’t understand something, I have this Full HD model, but here they claim HD ready. If for 15990 the resolution is 1920 x 1080 pixels, then it’s SUPER CHEAP. I bought 19990 1 month ago. And the fact that it doesn’t read video formats from a flash drive"&amp;" is a small matter. You shouldn’t expect good quality video from a flash drive, it’s easier to buy a multi-format one DVD player for 2000 rub. and watch without any glitches and problems such as video transcoding, cutting the film into pieces, etc.")</f>
        <v>I don’t understand something, I have this Full HD model, but here they claim HD ready. If for 15990 the resolution is 1920 x 1080 pixels, then it’s SUPER CHEAP. I bought 19990 1 month ago. And the fact that it doesn’t read video formats from a flash drive is a small matter. You shouldn’t expect good quality video from a flash drive, it’s easier to buy a multi-format one DVD player for 2000 rub. and watch without any glitches and problems such as video transcoding, cutting the film into pieces, etc.</v>
      </c>
    </row>
    <row r="9119" spans="1:9" x14ac:dyDescent="0.3">
      <c r="A9119" s="1" t="s">
        <v>78</v>
      </c>
      <c r="B9119" s="1" t="s">
        <v>1163</v>
      </c>
      <c r="C9119" s="1" t="s">
        <v>45</v>
      </c>
      <c r="D9119" s="1" t="s">
        <v>240</v>
      </c>
      <c r="E9119" s="1" t="s">
        <v>393</v>
      </c>
      <c r="F9119" s="1" t="s">
        <v>13543</v>
      </c>
      <c r="G9119" s="1" t="s">
        <v>36</v>
      </c>
      <c r="H9119" s="1" t="s">
        <v>29</v>
      </c>
      <c r="I9119" s="1" t="str">
        <f ca="1">IFERROR(__xludf.DUMMYFUNCTION("GOOGLETRANSLATE(F9119, ""auto"", ""en"")
"),"Thank you very much to the sales consultants from ""RIO"" on Cheryomushkinskaya. I was not at all disappointed with the purchase. I quickly figured out the cooking modes. For now I’m just heating up breakfasts and dinners, but I’m planning on cooking some"&amp;"thing in a crockpot. The consultants immediately recommended purchasing them, as I really love it. In addition, I also took a metal Mystery kettle for overall style in the kitchen.")</f>
        <v>Thank you very much to the sales consultants from "RIO" on Cheryomushkinskaya. I was not at all disappointed with the purchase. I quickly figured out the cooking modes. For now I’m just heating up breakfasts and dinners, but I’m planning on cooking something in a crockpot. The consultants immediately recommended purchasing them, as I really love it. In addition, I also took a metal Mystery kettle for overall style in the kitchen.</v>
      </c>
    </row>
    <row r="9120" spans="1:9" x14ac:dyDescent="0.3">
      <c r="A9120" s="1" t="s">
        <v>61</v>
      </c>
      <c r="B9120" s="1" t="s">
        <v>318</v>
      </c>
      <c r="C9120" s="1" t="s">
        <v>69</v>
      </c>
      <c r="D9120" s="1" t="s">
        <v>12</v>
      </c>
      <c r="E9120" s="1" t="s">
        <v>6363</v>
      </c>
      <c r="F9120" s="1" t="s">
        <v>13544</v>
      </c>
      <c r="G9120" s="1" t="s">
        <v>36</v>
      </c>
      <c r="H9120" s="1" t="s">
        <v>29</v>
      </c>
      <c r="I9120" s="1" t="str">
        <f ca="1">IFERROR(__xludf.DUMMYFUNCTION("GOOGLETRANSLATE(F9120, ""auto"", ""en"")
"),"The kettle is good. Acceleration when turned on is quite fast, boiling speed is 1l. unboiled water - 2 minutes With backlight it looks very nice (I don’t know how long it will last)")</f>
        <v>The kettle is good. Acceleration when turned on is quite fast, boiling speed is 1l. unboiled water - 2 minutes With backlight it looks very nice (I don’t know how long it will last)</v>
      </c>
    </row>
    <row r="9121" spans="1:9" x14ac:dyDescent="0.3">
      <c r="A9121" s="1" t="s">
        <v>6277</v>
      </c>
      <c r="B9121" s="1" t="s">
        <v>6823</v>
      </c>
      <c r="C9121" s="1" t="s">
        <v>85</v>
      </c>
      <c r="D9121" s="1" t="s">
        <v>13545</v>
      </c>
      <c r="E9121" s="1" t="s">
        <v>6824</v>
      </c>
      <c r="F9121" s="1" t="s">
        <v>13546</v>
      </c>
      <c r="G9121" s="1" t="s">
        <v>36</v>
      </c>
      <c r="H9121" s="1" t="s">
        <v>29</v>
      </c>
      <c r="I9121" s="1" t="str">
        <f ca="1">IFERROR(__xludf.DUMMYFUNCTION("GOOGLETRANSLATE(F9121, ""auto"", ""en"")
"),"Quite recently we went to buy some new filter for our model, looked at all the prices on the Internet in advance, and realized that it was not very expensive at all. We consulted with consultants, they told us to choose this particular model, they say it "&amp;"is really relevant in the summer, they say when you turn on the air conditioner, some bacteria appear there, and this filter fights them. To be honest, I don’t understand this at all, but we bought and installed the filter and, in principle, everything wo"&amp;"rks as well as before. I think it does its job well.")</f>
        <v>Quite recently we went to buy some new filter for our model, looked at all the prices on the Internet in advance, and realized that it was not very expensive at all. We consulted with consultants, they told us to choose this particular model, they say it is really relevant in the summer, they say when you turn on the air conditioner, some bacteria appear there, and this filter fights them. To be honest, I don’t understand this at all, but we bought and installed the filter and, in principle, everything works as well as before. I think it does its job well.</v>
      </c>
    </row>
    <row r="9122" spans="1:9" x14ac:dyDescent="0.3">
      <c r="A9122" s="1" t="s">
        <v>211</v>
      </c>
      <c r="B9122" s="1" t="s">
        <v>410</v>
      </c>
      <c r="C9122" s="1" t="s">
        <v>69</v>
      </c>
      <c r="D9122" s="1" t="s">
        <v>305</v>
      </c>
      <c r="E9122" s="1" t="s">
        <v>1179</v>
      </c>
      <c r="F9122" s="1" t="s">
        <v>13547</v>
      </c>
      <c r="G9122" s="1" t="s">
        <v>49</v>
      </c>
      <c r="H9122" s="1" t="s">
        <v>16</v>
      </c>
      <c r="I9122" s="1" t="str">
        <f ca="1">IFERROR(__xludf.DUMMYFUNCTION("GOOGLETRANSLATE(F9122, ""auto"", ""en"")
"),"2 years of use and this is the review - complete nonsense not worth the money.   1. The battery quickly lost its capacity. It charges but there is no power anymore.   2. Problem associated with loss of power - there is no way to connect the power cord to "&amp;"the razor to bypass the battery.  3. The problem associated with the first two (the battery is garbage and there is no socket for the cord) is a situation when the battery runs out while shaving, you are stupidly left with an unshaven face because you hav"&amp;"e to put the razor on charge and wait until it is fully (40 minutes) charged. An undercharged battery will run out instantly.  4. A razor and a man’s real stubble are not compatible! Use it to shave only youthful fluff! You will use it until the skin on y"&amp;"our face burns!   5. The so-called 3D head is complete crap. The knives stand in a rigid fixed plane and do not perform their functions. They only work on a flat surface! With high-quality razors, each blade “floats” and cuts. There is nothing like that i"&amp;"n this razor!")</f>
        <v>2 years of use and this is the review - complete nonsense not worth the money.   1. The battery quickly lost its capacity. It charges but there is no power anymore.   2. Problem associated with loss of power - there is no way to connect the power cord to the razor to bypass the battery.  3. The problem associated with the first two (the battery is garbage and there is no socket for the cord) is a situation when the battery runs out while shaving, you are stupidly left with an unshaven face because you have to put the razor on charge and wait until it is fully (40 minutes) charged. An undercharged battery will run out instantly.  4. A razor and a man’s real stubble are not compatible! Use it to shave only youthful fluff! You will use it until the skin on your face burns!   5. The so-called 3D head is complete crap. The knives stand in a rigid fixed plane and do not perform their functions. They only work on a flat surface! With high-quality razors, each blade “floats” and cuts. There is nothing like that in this razor!</v>
      </c>
    </row>
    <row r="9123" spans="1:9" x14ac:dyDescent="0.3">
      <c r="A9123" s="1" t="s">
        <v>169</v>
      </c>
      <c r="B9123" s="1" t="s">
        <v>170</v>
      </c>
      <c r="C9123" s="1" t="s">
        <v>69</v>
      </c>
      <c r="D9123" s="1" t="s">
        <v>13548</v>
      </c>
      <c r="E9123" s="1" t="s">
        <v>1446</v>
      </c>
      <c r="F9123" s="1" t="s">
        <v>13549</v>
      </c>
      <c r="G9123" s="1" t="s">
        <v>28</v>
      </c>
      <c r="H9123" s="1" t="s">
        <v>29</v>
      </c>
      <c r="I9123" s="1" t="str">
        <f ca="1">IFERROR(__xludf.DUMMYFUNCTION("GOOGLETRANSLATE(F9123, ""auto"", ""en"")
"),"Elite headphones with very low frequencies are just right for bass lovers. The right one is slightly louder than the left one.  after six months of active use, the left one almost died, although the right one is in perfect order")</f>
        <v>Elite headphones with very low frequencies are just right for bass lovers. The right one is slightly louder than the left one.  after six months of active use, the left one almost died, although the right one is in perfect order</v>
      </c>
    </row>
    <row r="9124" spans="1:9" x14ac:dyDescent="0.3">
      <c r="A9124" s="1" t="s">
        <v>9</v>
      </c>
      <c r="B9124" s="1" t="s">
        <v>133</v>
      </c>
      <c r="C9124" s="1" t="s">
        <v>870</v>
      </c>
      <c r="D9124" s="1" t="s">
        <v>4281</v>
      </c>
      <c r="E9124" s="1" t="s">
        <v>3652</v>
      </c>
      <c r="F9124" s="1" t="s">
        <v>13550</v>
      </c>
      <c r="G9124" s="1" t="s">
        <v>36</v>
      </c>
      <c r="H9124" s="1" t="s">
        <v>29</v>
      </c>
      <c r="I9124" s="1" t="str">
        <f ca="1">IFERROR(__xludf.DUMMYFUNCTION("GOOGLETRANSLATE(F9124, ""auto"", ""en"")
"),"the oven is simply a MIRACLE!!! I couldn’t be happier!!!!!!!!!!!!!!cooking is a joy, and what baking!!!!")</f>
        <v>the oven is simply a MIRACLE!!! I couldn’t be happier!!!!!!!!!!!!!!cooking is a joy, and what baking!!!!</v>
      </c>
    </row>
    <row r="9125" spans="1:9" x14ac:dyDescent="0.3">
      <c r="A9125" s="1" t="s">
        <v>95</v>
      </c>
      <c r="B9125" s="1" t="s">
        <v>486</v>
      </c>
      <c r="C9125" s="1" t="s">
        <v>487</v>
      </c>
      <c r="D9125" s="1" t="s">
        <v>139</v>
      </c>
      <c r="E9125" s="1" t="s">
        <v>6001</v>
      </c>
      <c r="F9125" s="1" t="s">
        <v>13551</v>
      </c>
      <c r="G9125" s="1" t="s">
        <v>36</v>
      </c>
      <c r="H9125" s="1" t="s">
        <v>29</v>
      </c>
      <c r="I9125" s="1" t="str">
        <f ca="1">IFERROR(__xludf.DUMMYFUNCTION("GOOGLETRANSLATE(F9125, ""auto"", ""en"")
"),"Downloaded games are only available on the updated console.")</f>
        <v>Downloaded games are only available on the updated console.</v>
      </c>
    </row>
    <row r="9126" spans="1:9" x14ac:dyDescent="0.3">
      <c r="A9126" s="1" t="s">
        <v>37</v>
      </c>
      <c r="B9126" s="1" t="s">
        <v>38</v>
      </c>
      <c r="C9126" s="1" t="s">
        <v>39</v>
      </c>
      <c r="D9126" s="1" t="s">
        <v>474</v>
      </c>
      <c r="E9126" s="1" t="s">
        <v>1695</v>
      </c>
      <c r="F9126" s="1" t="s">
        <v>13552</v>
      </c>
      <c r="G9126" s="1" t="s">
        <v>36</v>
      </c>
      <c r="H9126" s="1" t="s">
        <v>29</v>
      </c>
      <c r="I9126" s="1" t="str">
        <f ca="1">IFERROR(__xludf.DUMMYFUNCTION("GOOGLETRANSLATE(F9126, ""auto"", ""en"")
"),"I purchased the phone 8 months ago, almost as soon as it went on sale in our city. The model is cool (in my opinion, purely female). I can't say anything bad about him. Stylish, eye-catching (I have blue), convenient menu, loud speaker (especially after S"&amp;"amsunga U600), convenient to open the phone with one hand. The only thing I still can’t understand is how “gesture control” works. In most cases it doesn't work. In general, the phone is good, it has never glitched in the entire time. I highly recommend i"&amp;"t to girls!")</f>
        <v>I purchased the phone 8 months ago, almost as soon as it went on sale in our city. The model is cool (in my opinion, purely female). I can't say anything bad about him. Stylish, eye-catching (I have blue), convenient menu, loud speaker (especially after Samsunga U600), convenient to open the phone with one hand. The only thing I still can’t understand is how “gesture control” works. In most cases it doesn't work. In general, the phone is good, it has never glitched in the entire time. I highly recommend it to girls!</v>
      </c>
    </row>
    <row r="9127" spans="1:9" x14ac:dyDescent="0.3">
      <c r="A9127" s="1" t="s">
        <v>120</v>
      </c>
      <c r="B9127" s="1" t="s">
        <v>256</v>
      </c>
      <c r="C9127" s="1" t="s">
        <v>32</v>
      </c>
      <c r="D9127" s="1" t="s">
        <v>171</v>
      </c>
      <c r="E9127" s="1" t="s">
        <v>730</v>
      </c>
      <c r="F9127" s="1" t="s">
        <v>13553</v>
      </c>
      <c r="G9127" s="1" t="s">
        <v>36</v>
      </c>
      <c r="H9127" s="1" t="s">
        <v>29</v>
      </c>
      <c r="I9127" s="1" t="str">
        <f ca="1">IFERROR(__xludf.DUMMYFUNCTION("GOOGLETRANSLATE(F9127, ""auto"", ""en"")
"),"Everything about this model is attractive: promotional price, unusual design, convenient menu with a large number of modes, excellent color rendition + Full HD and digital tuner. Overall an ideal choice for anyone looking for a small, attractive and inter"&amp;"esting TV.")</f>
        <v>Everything about this model is attractive: promotional price, unusual design, convenient menu with a large number of modes, excellent color rendition + Full HD and digital tuner. Overall an ideal choice for anyone looking for a small, attractive and interesting TV.</v>
      </c>
    </row>
    <row r="9128" spans="1:9" x14ac:dyDescent="0.3">
      <c r="A9128" s="1" t="s">
        <v>61</v>
      </c>
      <c r="B9128" s="1" t="s">
        <v>224</v>
      </c>
      <c r="C9128" s="1" t="s">
        <v>314</v>
      </c>
      <c r="D9128" s="1" t="s">
        <v>335</v>
      </c>
      <c r="E9128" s="1" t="s">
        <v>5456</v>
      </c>
      <c r="F9128" s="1" t="s">
        <v>13554</v>
      </c>
      <c r="G9128" s="1" t="s">
        <v>36</v>
      </c>
      <c r="H9128" s="1" t="s">
        <v>29</v>
      </c>
      <c r="I9128" s="1" t="str">
        <f ca="1">IFERROR(__xludf.DUMMYFUNCTION("GOOGLETRANSLATE(F9128, ""auto"", ""en"")
"),"We've been using it for almost six months. For this price everything is fine. The machine is running, the juice is flowing. What else do you need? Pineapple leaves a delicious puree)")</f>
        <v>We've been using it for almost six months. For this price everything is fine. The machine is running, the juice is flowing. What else do you need? Pineapple leaves a delicious puree)</v>
      </c>
    </row>
    <row r="9129" spans="1:9" x14ac:dyDescent="0.3">
      <c r="A9129" s="1" t="s">
        <v>105</v>
      </c>
      <c r="B9129" s="1" t="s">
        <v>106</v>
      </c>
      <c r="C9129" s="1" t="s">
        <v>151</v>
      </c>
      <c r="D9129" s="1" t="s">
        <v>13555</v>
      </c>
      <c r="E9129" s="1" t="s">
        <v>1807</v>
      </c>
      <c r="F9129" s="1" t="s">
        <v>13556</v>
      </c>
      <c r="G9129" s="1" t="s">
        <v>49</v>
      </c>
      <c r="H9129" s="1" t="s">
        <v>16</v>
      </c>
      <c r="I9129" s="1" t="str">
        <f ca="1">IFERROR(__xludf.DUMMYFUNCTION("GOOGLETRANSLATE(F9129, ""auto"", ""en"")
"),"The charge lasts about ten hours.  After six months of use it started to freeze. Moreover, at some point, pressing reset no longer helped: it was treated only by plugging it into the computer. Then, on large files (about an hour), when stopping and resumi"&amp;"ng listening, I began to reset the stop point 10-15 minutes ago.  Then problems began with the computer identifying the player as a removable device.  Then, after a night of being plugged into the computer, I suddenly found myself with a completely discha"&amp;"rged battery. It would be fine once, but it also turned into a system. I came to the service center - it works, complaints about glitches - sorry.  Formatted and re-uploaded the firmware.  PS: but the sound quality cannot be taken away.")</f>
        <v>The charge lasts about ten hours.  After six months of use it started to freeze. Moreover, at some point, pressing reset no longer helped: it was treated only by plugging it into the computer. Then, on large files (about an hour), when stopping and resuming listening, I began to reset the stop point 10-15 minutes ago.  Then problems began with the computer identifying the player as a removable device.  Then, after a night of being plugged into the computer, I suddenly found myself with a completely discharged battery. It would be fine once, but it also turned into a system. I came to the service center - it works, complaints about glitches - sorry.  Formatted and re-uploaded the firmware.  PS: but the sound quality cannot be taken away.</v>
      </c>
    </row>
    <row r="9130" spans="1:9" x14ac:dyDescent="0.3">
      <c r="A9130" s="1" t="s">
        <v>9</v>
      </c>
      <c r="B9130" s="1" t="s">
        <v>10</v>
      </c>
      <c r="C9130" s="1" t="s">
        <v>466</v>
      </c>
      <c r="D9130" s="1" t="s">
        <v>589</v>
      </c>
      <c r="E9130" s="1" t="s">
        <v>6067</v>
      </c>
      <c r="F9130" s="1" t="s">
        <v>13557</v>
      </c>
      <c r="G9130" s="1" t="s">
        <v>36</v>
      </c>
      <c r="H9130" s="1" t="s">
        <v>29</v>
      </c>
      <c r="I9130" s="1" t="str">
        <f ca="1">IFERROR(__xludf.DUMMYFUNCTION("GOOGLETRANSLATE(F9130, ""auto"", ""en"")
"),"I've been using it for 2 years now and have no complaints! It pulls out odors simply superb, and the noise is not great! Price-quality is excellent. I chose from many many models and settled on this one (thanks to the manager of M.video), which I am very "&amp;"happy about! We bought this model for all our relatives. ))))) Fits perfectly into the interior.  I highly recommend this model!")</f>
        <v>I've been using it for 2 years now and have no complaints! It pulls out odors simply superb, and the noise is not great! Price-quality is excellent. I chose from many many models and settled on this one (thanks to the manager of M.video), which I am very happy about! We bought this model for all our relatives. ))))) Fits perfectly into the interior.  I highly recommend this model!</v>
      </c>
    </row>
    <row r="9131" spans="1:9" x14ac:dyDescent="0.3">
      <c r="A9131" s="1" t="s">
        <v>361</v>
      </c>
      <c r="B9131" s="1" t="s">
        <v>2555</v>
      </c>
      <c r="C9131" s="1" t="s">
        <v>4871</v>
      </c>
      <c r="D9131" s="1" t="s">
        <v>152</v>
      </c>
      <c r="E9131" s="1" t="s">
        <v>8005</v>
      </c>
      <c r="F9131" s="1" t="s">
        <v>13558</v>
      </c>
      <c r="G9131" s="1" t="s">
        <v>36</v>
      </c>
      <c r="H9131" s="1" t="s">
        <v>29</v>
      </c>
      <c r="I9131" s="1" t="str">
        <f ca="1">IFERROR(__xludf.DUMMYFUNCTION("GOOGLETRANSLATE(F9131, ""auto"", ""en"")
"),"Cool thermos. Nice and high quality made down to the smallest detail, holds heat well.")</f>
        <v>Cool thermos. Nice and high quality made down to the smallest detail, holds heat well.</v>
      </c>
    </row>
    <row r="9132" spans="1:9" x14ac:dyDescent="0.3">
      <c r="A9132" s="1" t="s">
        <v>17</v>
      </c>
      <c r="B9132" s="1" t="s">
        <v>18</v>
      </c>
      <c r="C9132" s="1" t="s">
        <v>19</v>
      </c>
      <c r="D9132" s="1" t="s">
        <v>456</v>
      </c>
      <c r="E9132" s="1" t="s">
        <v>4235</v>
      </c>
      <c r="F9132" s="1" t="s">
        <v>13559</v>
      </c>
      <c r="G9132" s="1" t="s">
        <v>49</v>
      </c>
      <c r="H9132" s="1" t="s">
        <v>16</v>
      </c>
      <c r="I9132" s="1" t="str">
        <f ca="1">IFERROR(__xludf.DUMMYFUNCTION("GOOGLETRANSLATE(F9132, ""auto"", ""en"")
"),"Ariston washing machines began to be made of terrible quality, before that there was also an Ariston, it worked for 13 years without complaints, we bought from the same company, since the price is very attractive, and based on past experience! As a result"&amp;": the clothes washed poorly, compared to the old one, it was noisy, and most importantly, a year later we already encountered the first breakdown!!!  The master repaired it, replaced some part, but immediately warned that it would not work for long, a yea"&amp;"r or two, since very cheap materials are used to assemble such machines (Indesite, Ariston)! In general, we took it to the dacha, bought a new one, only now made in Italy by another company, more expensive, but it’s worth overpaying for it if you don’t wa"&amp;"nt to suffer later, call a repairman every year, etc.! and the quality of washing is really different, although they all say class A, but now I understand from my own experience why the prices are so different! Cheap equipment cannot be good, this is a mi"&amp;"sconception of many! It's worth paying a little extra for good quality!")</f>
        <v>Ariston washing machines began to be made of terrible quality, before that there was also an Ariston, it worked for 13 years without complaints, we bought from the same company, since the price is very attractive, and based on past experience! As a result: the clothes washed poorly, compared to the old one, it was noisy, and most importantly, a year later we already encountered the first breakdown!!!  The master repaired it, replaced some part, but immediately warned that it would not work for long, a year or two, since very cheap materials are used to assemble such machines (Indesite, Ariston)! In general, we took it to the dacha, bought a new one, only now made in Italy by another company, more expensive, but it’s worth overpaying for it if you don’t want to suffer later, call a repairman every year, etc.! and the quality of washing is really different, although they all say class A, but now I understand from my own experience why the prices are so different! Cheap equipment cannot be good, this is a misconception of many! It's worth paying a little extra for good quality!</v>
      </c>
    </row>
    <row r="9133" spans="1:9" x14ac:dyDescent="0.3">
      <c r="A9133" s="1" t="s">
        <v>169</v>
      </c>
      <c r="B9133" s="1" t="s">
        <v>170</v>
      </c>
      <c r="C9133" s="1" t="s">
        <v>122</v>
      </c>
      <c r="D9133" s="1" t="s">
        <v>327</v>
      </c>
      <c r="E9133" s="1" t="s">
        <v>12241</v>
      </c>
      <c r="F9133" s="1" t="s">
        <v>13560</v>
      </c>
      <c r="G9133" s="1" t="s">
        <v>36</v>
      </c>
      <c r="H9133" s="1" t="s">
        <v>29</v>
      </c>
      <c r="I9133" s="1" t="str">
        <f ca="1">IFERROR(__xludf.DUMMYFUNCTION("GOOGLETRANSLATE(F9133, ""auto"", ""en"")
"),"Even though I’ve been using the headphones for just over a year, I think that the fact that nothing has broken during this time indicates the good quality of the headphones. I wear it mostly at home, sometimes such a long wire gets in the way, but the sou"&amp;"nd is always very clear and good. My best recommendations")</f>
        <v>Even though I’ve been using the headphones for just over a year, I think that the fact that nothing has broken during this time indicates the good quality of the headphones. I wear it mostly at home, sometimes such a long wire gets in the way, but the sound is always very clear and good. My best recommendations</v>
      </c>
    </row>
    <row r="9134" spans="1:9" x14ac:dyDescent="0.3">
      <c r="A9134" s="1" t="s">
        <v>361</v>
      </c>
      <c r="B9134" s="1" t="s">
        <v>2555</v>
      </c>
      <c r="C9134" s="1" t="s">
        <v>4871</v>
      </c>
      <c r="D9134" s="1" t="s">
        <v>943</v>
      </c>
      <c r="E9134" s="1" t="s">
        <v>5270</v>
      </c>
      <c r="F9134" s="1" t="s">
        <v>13561</v>
      </c>
      <c r="G9134" s="1" t="s">
        <v>36</v>
      </c>
      <c r="H9134" s="1" t="s">
        <v>29</v>
      </c>
      <c r="I9134" s="1" t="str">
        <f ca="1">IFERROR(__xludf.DUMMYFUNCTION("GOOGLETRANSLATE(F9134, ""auto"", ""en"")
"),"Excellent, thermos, wide neck, convenient for pouring soup. Keeps warm for a long time - after 6 hours the soup is hot. The thermos itself is lightweight and easy to carry. The strap is inconvenient - I took it off and don’t use it, it would be better if "&amp;"there was a small handle.")</f>
        <v>Excellent, thermos, wide neck, convenient for pouring soup. Keeps warm for a long time - after 6 hours the soup is hot. The thermos itself is lightweight and easy to carry. The strap is inconvenient - I took it off and don’t use it, it would be better if there was a small handle.</v>
      </c>
    </row>
    <row r="9135" spans="1:9" x14ac:dyDescent="0.3">
      <c r="A9135" s="1" t="s">
        <v>9</v>
      </c>
      <c r="B9135" s="1" t="s">
        <v>137</v>
      </c>
      <c r="C9135" s="1" t="s">
        <v>134</v>
      </c>
      <c r="D9135" s="1" t="s">
        <v>545</v>
      </c>
      <c r="E9135" s="1" t="s">
        <v>2097</v>
      </c>
      <c r="F9135" s="1" t="s">
        <v>13562</v>
      </c>
      <c r="G9135" s="1" t="s">
        <v>36</v>
      </c>
      <c r="H9135" s="1" t="s">
        <v>29</v>
      </c>
      <c r="I9135" s="1" t="str">
        <f ca="1">IFERROR(__xludf.DUMMYFUNCTION("GOOGLETRANSLATE(F9135, ""auto"", ""en"")
"),"I spent a long time choosing and settled on this model. The convenient location of the handles, high-quality cast iron grates and the classic look decided the choice. I bought it about 3 years ago. No complaints.")</f>
        <v>I spent a long time choosing and settled on this model. The convenient location of the handles, high-quality cast iron grates and the classic look decided the choice. I bought it about 3 years ago. No complaints.</v>
      </c>
    </row>
    <row r="9136" spans="1:9" x14ac:dyDescent="0.3">
      <c r="A9136" s="1" t="s">
        <v>120</v>
      </c>
      <c r="B9136" s="1" t="s">
        <v>126</v>
      </c>
      <c r="C9136" s="1" t="s">
        <v>151</v>
      </c>
      <c r="D9136" s="1" t="s">
        <v>280</v>
      </c>
      <c r="E9136" s="1" t="s">
        <v>580</v>
      </c>
      <c r="F9136" s="1" t="s">
        <v>13563</v>
      </c>
      <c r="G9136" s="1" t="s">
        <v>28</v>
      </c>
      <c r="H9136" s="1" t="s">
        <v>29</v>
      </c>
      <c r="I9136" s="1" t="str">
        <f ca="1">IFERROR(__xludf.DUMMYFUNCTION("GOOGLETRANSLATE(F9136, ""auto"", ""en"")
"),"The picture is very good.  But functionally it’s already yesterday.  The mode for automatically adjusting brightness based on illumination does not work as well as expected. Some steps.  I don’t use sound on TV - I connected it to the receiver and everyth"&amp;"ing got better. The built-in media player is not very good - it doesn’t understand a lot of things. And for some reason what it understands is not displayed on the full screen, but as it pleases.  At the 9th month I gave birth to a vertical red stripe acr"&amp;"oss the entire screen. Thin, but nasty. We are waiting for a technician under warranty.")</f>
        <v>The picture is very good.  But functionally it’s already yesterday.  The mode for automatically adjusting brightness based on illumination does not work as well as expected. Some steps.  I don’t use sound on TV - I connected it to the receiver and everything got better. The built-in media player is not very good - it doesn’t understand a lot of things. And for some reason what it understands is not displayed on the full screen, but as it pleases.  At the 9th month I gave birth to a vertical red stripe across the entire screen. Thin, but nasty. We are waiting for a technician under warranty.</v>
      </c>
    </row>
    <row r="9137" spans="1:9" x14ac:dyDescent="0.3">
      <c r="A9137" s="1" t="s">
        <v>61</v>
      </c>
      <c r="B9137" s="1" t="s">
        <v>977</v>
      </c>
      <c r="C9137" s="1" t="s">
        <v>213</v>
      </c>
      <c r="D9137" s="1" t="s">
        <v>64</v>
      </c>
      <c r="E9137" s="1" t="s">
        <v>971</v>
      </c>
      <c r="F9137" s="1" t="s">
        <v>13564</v>
      </c>
      <c r="G9137" s="1" t="s">
        <v>36</v>
      </c>
      <c r="H9137" s="1" t="s">
        <v>29</v>
      </c>
      <c r="I9137" s="1" t="str">
        <f ca="1">IFERROR(__xludf.DUMMYFUNCTION("GOOGLETRANSLATE(F9137, ""auto"", ""en"")
"),"I bought it today and tried it out. I really liked it. And making porridge for a baby is very simple and quick.  The only thing is the cord is a little short, but the rest is just great.  I recommend it to everyone, especially if you have small children.")</f>
        <v>I bought it today and tried it out. I really liked it. And making porridge for a baby is very simple and quick.  The only thing is the cord is a little short, but the rest is just great.  I recommend it to everyone, especially if you have small children.</v>
      </c>
    </row>
    <row r="9138" spans="1:9" x14ac:dyDescent="0.3">
      <c r="A9138" s="1" t="s">
        <v>55</v>
      </c>
      <c r="B9138" s="1" t="s">
        <v>56</v>
      </c>
      <c r="C9138" s="1" t="s">
        <v>1502</v>
      </c>
      <c r="D9138" s="1" t="s">
        <v>378</v>
      </c>
      <c r="E9138" s="1" t="s">
        <v>1504</v>
      </c>
      <c r="F9138" s="1" t="s">
        <v>13565</v>
      </c>
      <c r="G9138" s="1" t="s">
        <v>36</v>
      </c>
      <c r="H9138" s="1" t="s">
        <v>29</v>
      </c>
      <c r="I9138" s="1" t="str">
        <f ca="1">IFERROR(__xludf.DUMMYFUNCTION("GOOGLETRANSLATE(F9138, ""auto"", ""en"")
"),"Very easy to operate. All the functions are necessary, although we mainly use auto or night mode. Very quiet. If the air is very dry, you have to add water every day. And there is a problem with spare cartridges. But there is a way to extend their life (y"&amp;"ou can find it in search engines). A white coating on surrounding objects and furniture is also present on the original cartridges. (The humidifier must be positioned correctly). We have been using it for five years. Performs its direct function at 5+.")</f>
        <v>Very easy to operate. All the functions are necessary, although we mainly use auto or night mode. Very quiet. If the air is very dry, you have to add water every day. And there is a problem with spare cartridges. But there is a way to extend their life (you can find it in search engines). A white coating on surrounding objects and furniture is also present on the original cartridges. (The humidifier must be positioned correctly). We have been using it for five years. Performs its direct function at 5+.</v>
      </c>
    </row>
    <row r="9139" spans="1:9" x14ac:dyDescent="0.3">
      <c r="A9139" s="1" t="s">
        <v>61</v>
      </c>
      <c r="B9139" s="1" t="s">
        <v>318</v>
      </c>
      <c r="C9139" s="1" t="s">
        <v>85</v>
      </c>
      <c r="D9139" s="1" t="s">
        <v>39</v>
      </c>
      <c r="E9139" s="1" t="s">
        <v>2684</v>
      </c>
      <c r="F9139" s="1" t="s">
        <v>13566</v>
      </c>
      <c r="G9139" s="1" t="s">
        <v>49</v>
      </c>
      <c r="H9139" s="1" t="s">
        <v>16</v>
      </c>
      <c r="I9139" s="1" t="str">
        <f ca="1">IFERROR(__xludf.DUMMYFUNCTION("GOOGLETRANSLATE(F9139, ""auto"", ""en"")
"),"I completely disagree with the previous statement. It’s a terrible kettle, I’ve been using it for a couple of years, in the first month some white crap inside flew off, after another three months the plastic edging of the measuring scale near the handle c"&amp;"racked, after a year it began to go dull, did not turn off when boiling, did not turn on a couple of times, the lid stopped opening/closing only if I picked it with a knife, and finally the curtain began to leak!! And this is in two years!! I’ve had an an"&amp;"cient Phillips in my dacha for about 10 years now and it’s damn good!! I hope I buy something like this from BORK again, never!! Pseudo-brand Bork, registered in Germany, which they don’t even know about there))")</f>
        <v>I completely disagree with the previous statement. It’s a terrible kettle, I’ve been using it for a couple of years, in the first month some white crap inside flew off, after another three months the plastic edging of the measuring scale near the handle cracked, after a year it began to go dull, did not turn off when boiling, did not turn on a couple of times, the lid stopped opening/closing only if I picked it with a knife, and finally the curtain began to leak!! And this is in two years!! I’ve had an ancient Phillips in my dacha for about 10 years now and it’s damn good!! I hope I buy something like this from BORK again, never!! Pseudo-brand Bork, registered in Germany, which they don’t even know about there))</v>
      </c>
    </row>
    <row r="9140" spans="1:9" x14ac:dyDescent="0.3">
      <c r="A9140" s="1" t="s">
        <v>149</v>
      </c>
      <c r="B9140" s="1" t="s">
        <v>150</v>
      </c>
      <c r="C9140" s="1" t="s">
        <v>2016</v>
      </c>
      <c r="D9140" s="1" t="s">
        <v>13567</v>
      </c>
      <c r="E9140" s="1" t="s">
        <v>4867</v>
      </c>
      <c r="F9140" s="1" t="s">
        <v>13568</v>
      </c>
      <c r="G9140" s="1" t="s">
        <v>36</v>
      </c>
      <c r="H9140" s="1" t="s">
        <v>29</v>
      </c>
      <c r="I9140" s="1" t="str">
        <f ca="1">IFERROR(__xludf.DUMMYFUNCTION("GOOGLETRANSLATE(F9140, ""auto"", ""en"")
"),"I spent a long time choosing among the available models, reading reviews, and chose the Black and Decker PAD 1200-XK. I bought it as usual - by accident.. :)) We arrived at the dacha, went to the cinema in Serpukhov, and then I remembered that I wanted a "&amp;"vacuum cleaner :) I went to Mvideo, I had a bonus card, and as a result I saved money. I tried it that same evening. Great traction! I was transporting parrots to the dacha - I scattered a bunch of food... 5 minutes and the problem was solved :) Very happ"&amp;"y with the purchase! Although there is a regular vacuum cleaner in the garage, it somehow turned out that I have to do the cleaning in the car at the dacha :) and I’m always too lazy to unwind the carrier.. And then in a matter of minutes - whack and clea"&amp;"n :) I highly recommend it to everyone in the car!")</f>
        <v>I spent a long time choosing among the available models, reading reviews, and chose the Black and Decker PAD 1200-XK. I bought it as usual - by accident.. :)) We arrived at the dacha, went to the cinema in Serpukhov, and then I remembered that I wanted a vacuum cleaner :) I went to Mvideo, I had a bonus card, and as a result I saved money. I tried it that same evening. Great traction! I was transporting parrots to the dacha - I scattered a bunch of food... 5 minutes and the problem was solved :) Very happy with the purchase! Although there is a regular vacuum cleaner in the garage, it somehow turned out that I have to do the cleaning in the car at the dacha :) and I’m always too lazy to unwind the carrier.. And then in a matter of minutes - whack and clean :) I highly recommend it to everyone in the car!</v>
      </c>
    </row>
    <row r="9141" spans="1:9" x14ac:dyDescent="0.3">
      <c r="A9141" s="1" t="s">
        <v>43</v>
      </c>
      <c r="B9141" s="1" t="s">
        <v>1382</v>
      </c>
      <c r="C9141" s="1" t="s">
        <v>45</v>
      </c>
      <c r="D9141" s="1" t="s">
        <v>471</v>
      </c>
      <c r="E9141" s="1" t="s">
        <v>2998</v>
      </c>
      <c r="F9141" s="1" t="s">
        <v>13569</v>
      </c>
      <c r="G9141" s="1" t="s">
        <v>36</v>
      </c>
      <c r="H9141" s="1" t="s">
        <v>29</v>
      </c>
      <c r="I9141" s="1" t="str">
        <f ca="1">IFERROR(__xludf.DUMMYFUNCTION("GOOGLETRANSLATE(F9141, ""auto"", ""en"")
"),"I bought this model on the recommendation of a friend. I like it very much. Aesthetic appearance, power, remote control and timer, which is very convenient. I recommend it.")</f>
        <v>I bought this model on the recommendation of a friend. I like it very much. Aesthetic appearance, power, remote control and timer, which is very convenient. I recommend it.</v>
      </c>
    </row>
    <row r="9142" spans="1:9" x14ac:dyDescent="0.3">
      <c r="A9142" s="1" t="s">
        <v>61</v>
      </c>
      <c r="B9142" s="1" t="s">
        <v>726</v>
      </c>
      <c r="C9142" s="1" t="s">
        <v>85</v>
      </c>
      <c r="D9142" s="1" t="s">
        <v>139</v>
      </c>
      <c r="E9142" s="1" t="s">
        <v>9367</v>
      </c>
      <c r="F9142" s="1" t="s">
        <v>13570</v>
      </c>
      <c r="G9142" s="1" t="s">
        <v>36</v>
      </c>
      <c r="H9142" s="1" t="s">
        <v>29</v>
      </c>
      <c r="I9142" s="1" t="str">
        <f ca="1">IFERROR(__xludf.DUMMYFUNCTION("GOOGLETRANSLATE(F9142, ""auto"", ""en"")
"),"When I bought it at first, not everything worked out; the fault was that the products were not loaded correctly. On the third attempt I completely figured it out and bakes everything perfectly. I recommend it to everyone. I would also like to note that th"&amp;"e set includes two bowls for different baked goods, which is very convenient.")</f>
        <v>When I bought it at first, not everything worked out; the fault was that the products were not loaded correctly. On the third attempt I completely figured it out and bakes everything perfectly. I recommend it to everyone. I would also like to note that the set includes two bowls for different baked goods, which is very convenient.</v>
      </c>
    </row>
    <row r="9143" spans="1:9" x14ac:dyDescent="0.3">
      <c r="A9143" s="1" t="s">
        <v>211</v>
      </c>
      <c r="B9143" s="1" t="s">
        <v>212</v>
      </c>
      <c r="C9143" s="1" t="s">
        <v>294</v>
      </c>
      <c r="D9143" s="1" t="s">
        <v>565</v>
      </c>
      <c r="E9143" s="1" t="s">
        <v>4452</v>
      </c>
      <c r="F9143" s="1" t="s">
        <v>13571</v>
      </c>
      <c r="G9143" s="1" t="s">
        <v>36</v>
      </c>
      <c r="H9143" s="1" t="s">
        <v>29</v>
      </c>
      <c r="I9143" s="1" t="str">
        <f ca="1">IFERROR(__xludf.DUMMYFUNCTION("GOOGLETRANSLATE(F9143, ""auto"", ""en"")
"),"The hairdryer is wonderful. Works great. I was attracted by the simplicity. Let's see what happens in a year))")</f>
        <v>The hairdryer is wonderful. Works great. I was attracted by the simplicity. Let's see what happens in a year))</v>
      </c>
    </row>
    <row r="9144" spans="1:9" x14ac:dyDescent="0.3">
      <c r="A9144" s="1" t="s">
        <v>17</v>
      </c>
      <c r="B9144" s="1" t="s">
        <v>325</v>
      </c>
      <c r="C9144" s="1" t="s">
        <v>326</v>
      </c>
      <c r="D9144" s="1" t="s">
        <v>335</v>
      </c>
      <c r="E9144" s="1" t="s">
        <v>4271</v>
      </c>
      <c r="F9144" s="1" t="s">
        <v>13572</v>
      </c>
      <c r="G9144" s="1" t="s">
        <v>36</v>
      </c>
      <c r="H9144" s="1" t="s">
        <v>29</v>
      </c>
      <c r="I9144" s="1" t="str">
        <f ca="1">IFERROR(__xludf.DUMMYFUNCTION("GOOGLETRANSLATE(F9144, ""auto"", ""en"")
"),"I bought this machine only because I had an M.video gift card and for a very long time I didn’t know what to spend it on. As a result, I decided to add a little and buy such a machine.   Only Rainbow -1 was exhibited in the hall, and it was much smaller i"&amp;"n size, so there were doubts about the purchase.   The machine was bought for a dorm room for washing mainly bed linen and large towels.   I'm happy with the purchase! You can wash quite a lot of small items at one time; large items like duvet covers are "&amp;"recommended to be washed one at a time. I've tried the machine 3 times so far, no complaints.   The advantages: it’s convenient to store in the room and transfer to the laundry room, you can load absolutely any bin: from small items to 2 kg of laundry, yo"&amp;"u can open and see how everything is washed, add powder or add things. Washing thick cotton takes only 15 minutes.   The manufacturer recommends using powder as for automatic machines to avoid excessive foaming - I follow his advice, although I have come "&amp;"across many opinions on this matter.    The machine, of course, requires constant participation - pouring and draining water, setting the timer. But for that kind of money - such an opportunity: wash and rinse! You have to push it with your hands. But if "&amp;"you take into account that previously a complete washing cycle had to be done by hand, but now you only have to wring it out, then there is no price for such a little helper!")</f>
        <v>I bought this machine only because I had an M.video gift card and for a very long time I didn’t know what to spend it on. As a result, I decided to add a little and buy such a machine.   Only Rainbow -1 was exhibited in the hall, and it was much smaller in size, so there were doubts about the purchase.   The machine was bought for a dorm room for washing mainly bed linen and large towels.   I'm happy with the purchase! You can wash quite a lot of small items at one time; large items like duvet covers are recommended to be washed one at a time. I've tried the machine 3 times so far, no complaints.   The advantages: it’s convenient to store in the room and transfer to the laundry room, you can load absolutely any bin: from small items to 2 kg of laundry, you can open and see how everything is washed, add powder or add things. Washing thick cotton takes only 15 minutes.   The manufacturer recommends using powder as for automatic machines to avoid excessive foaming - I follow his advice, although I have come across many opinions on this matter.    The machine, of course, requires constant participation - pouring and draining water, setting the timer. But for that kind of money - such an opportunity: wash and rinse! You have to push it with your hands. But if you take into account that previously a complete washing cycle had to be done by hand, but now you only have to wring it out, then there is no price for such a little helper!</v>
      </c>
    </row>
    <row r="9145" spans="1:9" x14ac:dyDescent="0.3">
      <c r="A9145" s="1" t="s">
        <v>61</v>
      </c>
      <c r="B9145" s="1" t="s">
        <v>726</v>
      </c>
      <c r="C9145" s="1" t="s">
        <v>74</v>
      </c>
      <c r="D9145" s="1" t="s">
        <v>308</v>
      </c>
      <c r="E9145" s="1" t="s">
        <v>1738</v>
      </c>
      <c r="F9145" s="1" t="s">
        <v>13573</v>
      </c>
      <c r="G9145" s="1" t="s">
        <v>36</v>
      </c>
      <c r="H9145" s="1" t="s">
        <v>29</v>
      </c>
      <c r="I9145" s="1" t="str">
        <f ca="1">IFERROR(__xludf.DUMMYFUNCTION("GOOGLETRANSLATE(F9145, ""auto"", ""en"")
"),"For the New Year I decided to give my family a gift... And I was not mistaken in my choice!!! Wonderful stove!!! At first it didn’t work out, but over time we mastered everything... Now we spoil everyone with delicious bread =)")</f>
        <v>For the New Year I decided to give my family a gift... And I was not mistaken in my choice!!! Wonderful stove!!! At first it didn’t work out, but over time we mastered everything... Now we spoil everyone with delicious bread =)</v>
      </c>
    </row>
    <row r="9146" spans="1:9" x14ac:dyDescent="0.3">
      <c r="A9146" s="1" t="s">
        <v>149</v>
      </c>
      <c r="B9146" s="1" t="s">
        <v>150</v>
      </c>
      <c r="C9146" s="1" t="s">
        <v>85</v>
      </c>
      <c r="D9146" s="1" t="s">
        <v>456</v>
      </c>
      <c r="E9146" s="1" t="s">
        <v>11349</v>
      </c>
      <c r="F9146" s="1" t="s">
        <v>13574</v>
      </c>
      <c r="G9146" s="1" t="s">
        <v>49</v>
      </c>
      <c r="H9146" s="1" t="s">
        <v>16</v>
      </c>
      <c r="I9146" s="1" t="str">
        <f ca="1">IFERROR(__xludf.DUMMYFUNCTION("GOOGLETRANSLATE(F9146, ""auto"", ""en"")
"),"The comb of the mechanism immediately broke. allowing you to change the tilt of the dust collector.  On the second day, the charger burned out. Specialists at the repair shop said that the winding and the input wire burned out.  I wouldn’t trust the Chine"&amp;"se to spoil BORK’s image. It is clear that I will never buy equipment from this brand again.")</f>
        <v>The comb of the mechanism immediately broke. allowing you to change the tilt of the dust collector.  On the second day, the charger burned out. Specialists at the repair shop said that the winding and the input wire burned out.  I wouldn’t trust the Chinese to spoil BORK’s image. It is clear that I will never buy equipment from this brand again.</v>
      </c>
    </row>
    <row r="9147" spans="1:9" x14ac:dyDescent="0.3">
      <c r="A9147" s="1" t="s">
        <v>30</v>
      </c>
      <c r="B9147" s="1" t="s">
        <v>50</v>
      </c>
      <c r="C9147" s="1" t="s">
        <v>32</v>
      </c>
      <c r="D9147" s="1" t="s">
        <v>13575</v>
      </c>
      <c r="E9147" s="1" t="s">
        <v>6363</v>
      </c>
      <c r="F9147" s="1" t="s">
        <v>13576</v>
      </c>
      <c r="G9147" s="1" t="s">
        <v>28</v>
      </c>
      <c r="H9147" s="1" t="s">
        <v>29</v>
      </c>
      <c r="I9147" s="1" t="str">
        <f ca="1">IFERROR(__xludf.DUMMYFUNCTION("GOOGLETRANSLATE(F9147, ""auto"", ""en"")
"),"good laptop. It really makes a noise like an airplane, even when completely idle and with charging connected, the cooler works at 100%.  and it’s still not clear - the specialists write video memory ddr3, but in reality the programs write ddr2 :(")</f>
        <v>good laptop. It really makes a noise like an airplane, even when completely idle and with charging connected, the cooler works at 100%.  and it’s still not clear - the specialists write video memory ddr3, but in reality the programs write ddr2 :(</v>
      </c>
    </row>
    <row r="9148" spans="1:9" x14ac:dyDescent="0.3">
      <c r="A9148" s="1" t="s">
        <v>211</v>
      </c>
      <c r="B9148" s="1" t="s">
        <v>265</v>
      </c>
      <c r="C9148" s="1" t="s">
        <v>57</v>
      </c>
      <c r="D9148" s="1" t="s">
        <v>474</v>
      </c>
      <c r="E9148" s="1" t="s">
        <v>4540</v>
      </c>
      <c r="F9148" s="1" t="s">
        <v>13577</v>
      </c>
      <c r="G9148" s="1" t="s">
        <v>49</v>
      </c>
      <c r="H9148" s="1" t="s">
        <v>16</v>
      </c>
      <c r="I9148" s="1" t="str">
        <f ca="1">IFERROR(__xludf.DUMMYFUNCTION("GOOGLETRANSLATE(F9148, ""auto"", ""en"")
"),"It doesn't cut hair, it tears it out, and it heats up quickly.  The knives just become boiling water and if you cut without an attachment, the pleasure will not be pleasant for the one who is doing the cutting.  We've used it 5 times and are already plann"&amp;"ing to buy another one. This is not a hair clipper. My rating is 0.")</f>
        <v>It doesn't cut hair, it tears it out, and it heats up quickly.  The knives just become boiling water and if you cut without an attachment, the pleasure will not be pleasant for the one who is doing the cutting.  We've used it 5 times and are already planning to buy another one. This is not a hair clipper. My rating is 0.</v>
      </c>
    </row>
    <row r="9149" spans="1:9" x14ac:dyDescent="0.3">
      <c r="A9149" s="1" t="s">
        <v>169</v>
      </c>
      <c r="B9149" s="1" t="s">
        <v>170</v>
      </c>
      <c r="C9149" s="1" t="s">
        <v>97</v>
      </c>
      <c r="D9149" s="1" t="s">
        <v>335</v>
      </c>
      <c r="E9149" s="1" t="s">
        <v>954</v>
      </c>
      <c r="F9149" s="1" t="s">
        <v>13578</v>
      </c>
      <c r="G9149" s="1" t="s">
        <v>36</v>
      </c>
      <c r="H9149" s="1" t="s">
        <v>29</v>
      </c>
      <c r="I9149" s="1" t="str">
        <f ca="1">IFERROR(__xludf.DUMMYFUNCTION("GOOGLETRANSLATE(F9149, ""auto"", ""en"")
"),"Previously, I couldn’t use the “drops”; they fell out of my ears, or I couldn’t hear anything. But my father pleased me with a gift.   Comfortable, great sound. The most important thing is that they last a long time. Each couple lived with me for more tha"&amp;"n a year. Now I'm going to buy it again.")</f>
        <v>Previously, I couldn’t use the “drops”; they fell out of my ears, or I couldn’t hear anything. But my father pleased me with a gift.   Comfortable, great sound. The most important thing is that they last a long time. Each couple lived with me for more than a year. Now I'm going to buy it again.</v>
      </c>
    </row>
    <row r="9150" spans="1:9" x14ac:dyDescent="0.3">
      <c r="A9150" s="1" t="s">
        <v>211</v>
      </c>
      <c r="B9150" s="1" t="s">
        <v>384</v>
      </c>
      <c r="C9150" s="1" t="s">
        <v>246</v>
      </c>
      <c r="D9150" s="1" t="s">
        <v>2204</v>
      </c>
      <c r="E9150" s="1" t="s">
        <v>1649</v>
      </c>
      <c r="F9150" s="1" t="s">
        <v>13579</v>
      </c>
      <c r="G9150" s="1" t="s">
        <v>36</v>
      </c>
      <c r="H9150" s="1" t="s">
        <v>29</v>
      </c>
      <c r="I9150" s="1" t="str">
        <f ca="1">IFERROR(__xludf.DUMMYFUNCTION("GOOGLETRANSLATE(F9150, ""auto"", ""en"")
"),"These scales were given to me on March 8th. I'm very pleased. I weigh myself several times a day, the accuracy is true. True, if you move on them when they are in the process of measurement, then the result may vary from the present. Very light, safe for "&amp;"children. The numbers are all visible even with poor eyesight. If anything, the result lingers on the screen for 5 seconds. And they are very cute :)")</f>
        <v>These scales were given to me on March 8th. I'm very pleased. I weigh myself several times a day, the accuracy is true. True, if you move on them when they are in the process of measurement, then the result may vary from the present. Very light, safe for children. The numbers are all visible even with poor eyesight. If anything, the result lingers on the screen for 5 seconds. And they are very cute :)</v>
      </c>
    </row>
    <row r="9151" spans="1:9" x14ac:dyDescent="0.3">
      <c r="A9151" s="1" t="s">
        <v>78</v>
      </c>
      <c r="B9151" s="1" t="s">
        <v>493</v>
      </c>
      <c r="C9151" s="1" t="s">
        <v>80</v>
      </c>
      <c r="D9151" s="1" t="s">
        <v>742</v>
      </c>
      <c r="E9151" s="1" t="s">
        <v>1122</v>
      </c>
      <c r="F9151" s="1" t="s">
        <v>13580</v>
      </c>
      <c r="G9151" s="1" t="s">
        <v>36</v>
      </c>
      <c r="H9151" s="1" t="s">
        <v>29</v>
      </c>
      <c r="I9151" s="1" t="str">
        <f ca="1">IFERROR(__xludf.DUMMYFUNCTION("GOOGLETRANSLATE(F9151, ""auto"", ""en"")
"),"The stove is just super, I recommend it to everyone")</f>
        <v>The stove is just super, I recommend it to everyone</v>
      </c>
    </row>
    <row r="9152" spans="1:9" x14ac:dyDescent="0.3">
      <c r="A9152" s="1" t="s">
        <v>211</v>
      </c>
      <c r="B9152" s="1" t="s">
        <v>212</v>
      </c>
      <c r="C9152" s="1" t="s">
        <v>294</v>
      </c>
      <c r="D9152" s="1" t="s">
        <v>75</v>
      </c>
      <c r="E9152" s="1" t="s">
        <v>1221</v>
      </c>
      <c r="F9152" s="1" t="s">
        <v>13581</v>
      </c>
      <c r="G9152" s="1" t="s">
        <v>36</v>
      </c>
      <c r="H9152" s="1" t="s">
        <v>29</v>
      </c>
      <c r="I9152" s="1" t="str">
        <f ca="1">IFERROR(__xludf.DUMMYFUNCTION("GOOGLETRANSLATE(F9152, ""auto"", ""en"")
"),"The straightener is simply excellent. Very gentle on thin colored hair. Hair does not deteriorate even with daily(!) use for a long time. I recommend it to everyone.")</f>
        <v>The straightener is simply excellent. Very gentle on thin colored hair. Hair does not deteriorate even with daily(!) use for a long time. I recommend it to everyone.</v>
      </c>
    </row>
    <row r="9153" spans="1:9" x14ac:dyDescent="0.3">
      <c r="A9153" s="1" t="s">
        <v>624</v>
      </c>
      <c r="B9153" s="1" t="s">
        <v>2107</v>
      </c>
      <c r="C9153" s="1" t="s">
        <v>479</v>
      </c>
      <c r="D9153" s="1" t="s">
        <v>139</v>
      </c>
      <c r="E9153" s="1" t="s">
        <v>2338</v>
      </c>
      <c r="F9153" s="1" t="s">
        <v>13582</v>
      </c>
      <c r="G9153" s="1" t="s">
        <v>28</v>
      </c>
      <c r="H9153" s="1" t="s">
        <v>29</v>
      </c>
      <c r="I9153" s="1" t="str">
        <f ca="1">IFERROR(__xludf.DUMMYFUNCTION("GOOGLETRANSLATE(F9153, ""auto"", ""en"")
"),"I bought this game a year ago purely for the sake of the cooperative mode. So-so.. but missions are different from solo playthrough. In cooperation, this is the case in Russia and the enemies speak.. English of course!:) but curse words! Russians. This is"&amp;" so bad.")</f>
        <v>I bought this game a year ago purely for the sake of the cooperative mode. So-so.. but missions are different from solo playthrough. In cooperation, this is the case in Russia and the enemies speak.. English of course!:) but curse words! Russians. This is so bad.</v>
      </c>
    </row>
    <row r="9154" spans="1:9" x14ac:dyDescent="0.3">
      <c r="A9154" s="1" t="s">
        <v>61</v>
      </c>
      <c r="B9154" s="1" t="s">
        <v>726</v>
      </c>
      <c r="C9154" s="1" t="s">
        <v>74</v>
      </c>
      <c r="D9154" s="1" t="s">
        <v>33</v>
      </c>
      <c r="E9154" s="1" t="s">
        <v>1384</v>
      </c>
      <c r="F9154" s="1" t="s">
        <v>13583</v>
      </c>
      <c r="G9154" s="1" t="s">
        <v>28</v>
      </c>
      <c r="H9154" s="1" t="s">
        <v>29</v>
      </c>
      <c r="I9154" s="1" t="str">
        <f ca="1">IFERROR(__xludf.DUMMYFUNCTION("GOOGLETRANSLATE(F9154, ""auto"", ""en"")
"),"It bakes well, my mother-in-law likes it. Only after 4 months of operation it leaked a little during mixing and the oil seal was worn out.")</f>
        <v>It bakes well, my mother-in-law likes it. Only after 4 months of operation it leaked a little during mixing and the oil seal was worn out.</v>
      </c>
    </row>
    <row r="9155" spans="1:9" x14ac:dyDescent="0.3">
      <c r="A9155" s="1" t="s">
        <v>1823</v>
      </c>
      <c r="B9155" s="1" t="s">
        <v>7549</v>
      </c>
      <c r="C9155" s="1" t="s">
        <v>1825</v>
      </c>
      <c r="D9155" s="1" t="s">
        <v>247</v>
      </c>
      <c r="E9155" s="1" t="s">
        <v>6258</v>
      </c>
      <c r="F9155" s="1" t="s">
        <v>13584</v>
      </c>
      <c r="G9155" s="1" t="s">
        <v>15</v>
      </c>
      <c r="H9155" s="1" t="s">
        <v>16</v>
      </c>
      <c r="I9155" s="1" t="str">
        <f ca="1">IFERROR(__xludf.DUMMYFUNCTION("GOOGLETRANSLATE(F9155, ""auto"", ""en"")
"),"After two weeks of use, the stick that holds the ropes broke, and there’s nothing you can do except throw it away, even the bedding can’t stand it, a wet duvet cover and it’s over... no quality. I don't recommend it!")</f>
        <v>After two weeks of use, the stick that holds the ropes broke, and there’s nothing you can do except throw it away, even the bedding can’t stand it, a wet duvet cover and it’s over... no quality. I don't recommend it!</v>
      </c>
    </row>
    <row r="9156" spans="1:9" x14ac:dyDescent="0.3">
      <c r="A9156" s="1" t="s">
        <v>206</v>
      </c>
      <c r="B9156" s="1" t="s">
        <v>207</v>
      </c>
      <c r="C9156" s="1" t="s">
        <v>97</v>
      </c>
      <c r="D9156" s="1" t="s">
        <v>52</v>
      </c>
      <c r="E9156" s="1" t="s">
        <v>836</v>
      </c>
      <c r="F9156" s="1" t="s">
        <v>13585</v>
      </c>
      <c r="G9156" s="1" t="s">
        <v>36</v>
      </c>
      <c r="H9156" s="1" t="s">
        <v>29</v>
      </c>
      <c r="I9156" s="1" t="str">
        <f ca="1">IFERROR(__xludf.DUMMYFUNCTION("GOOGLETRANSLATE(F9156, ""auto"", ""en"")
"),"Before it there was the same one, but only 12 were missing, I sold it and bought this one, excellent deep bass, plays excellent both rock and strawberries. I recommend it to everyone.")</f>
        <v>Before it there was the same one, but only 12 were missing, I sold it and bought this one, excellent deep bass, plays excellent both rock and strawberries. I recommend it to everyone.</v>
      </c>
    </row>
    <row r="9157" spans="1:9" x14ac:dyDescent="0.3">
      <c r="A9157" s="1" t="s">
        <v>211</v>
      </c>
      <c r="B9157" s="1" t="s">
        <v>515</v>
      </c>
      <c r="C9157" s="1" t="s">
        <v>69</v>
      </c>
      <c r="D9157" s="1" t="s">
        <v>2764</v>
      </c>
      <c r="E9157" s="1" t="s">
        <v>715</v>
      </c>
      <c r="F9157" s="1" t="s">
        <v>13586</v>
      </c>
      <c r="G9157" s="1" t="s">
        <v>28</v>
      </c>
      <c r="H9157" s="1" t="s">
        <v>29</v>
      </c>
      <c r="I9157" s="1" t="str">
        <f ca="1">IFERROR(__xludf.DUMMYFUNCTION("GOOGLETRANSLATE(F9157, ""auto"", ""en"")
"),"I just bought this epilator. He's my first. I thought it would be much more painful, but it turned out to be quite bearable. The redness went away quickly. It grabs even small and thin hairs, but the longer the hairs, the more painful it is. Therefore, ad"&amp;"vice: do not grow it too much, 1 mm is enough. I think that for such a price the wave is of excellent quality... it’s a pity that you have to go over the same place 10-15 times, but I think that this is all due to the peculiarities of hair growth and dire"&amp;"ction.")</f>
        <v>I just bought this epilator. He's my first. I thought it would be much more painful, but it turned out to be quite bearable. The redness went away quickly. It grabs even small and thin hairs, but the longer the hairs, the more painful it is. Therefore, advice: do not grow it too much, 1 mm is enough. I think that for such a price the wave is of excellent quality... it’s a pity that you have to go over the same place 10-15 times, but I think that this is all due to the peculiarities of hair growth and direction.</v>
      </c>
    </row>
    <row r="9158" spans="1:9" x14ac:dyDescent="0.3">
      <c r="A9158" s="1" t="s">
        <v>61</v>
      </c>
      <c r="B9158" s="1" t="s">
        <v>145</v>
      </c>
      <c r="C9158" s="1" t="s">
        <v>85</v>
      </c>
      <c r="D9158" s="1" t="s">
        <v>52</v>
      </c>
      <c r="E9158" s="1" t="s">
        <v>3323</v>
      </c>
      <c r="F9158" s="1" t="s">
        <v>13587</v>
      </c>
      <c r="G9158" s="1" t="s">
        <v>49</v>
      </c>
      <c r="H9158" s="1" t="s">
        <v>16</v>
      </c>
      <c r="I9158" s="1" t="str">
        <f ca="1">IFERROR(__xludf.DUMMYFUNCTION("GOOGLETRANSLATE(F9158, ""auto"", ""en"")
"),"So, the water is poured over 20 minutes after the start of cooking. I hardly believe that this is some kind of malfunction. Those. it works, the meat cooks normally, but the water overflowing its banks, flooding the floor, looks to my inexperienced and un"&amp;"professional eye like a design error in the device... I called the bureau - they didn’t seem to have heard of such a problem, they told me to bring it (although I seemed to pay more for the bork just for the sake of the quality and competence of the servi"&amp;"ce... and judging by the reviews, the problem I described is not a rare occurrence). It still cooks well) But I wouldn’t mind getting a new one from Bork that works better)")</f>
        <v>So, the water is poured over 20 minutes after the start of cooking. I hardly believe that this is some kind of malfunction. Those. it works, the meat cooks normally, but the water overflowing its banks, flooding the floor, looks to my inexperienced and unprofessional eye like a design error in the device... I called the bureau - they didn’t seem to have heard of such a problem, they told me to bring it (although I seemed to pay more for the bork just for the sake of the quality and competence of the service... and judging by the reviews, the problem I described is not a rare occurrence). It still cooks well) But I wouldn’t mind getting a new one from Bork that works better)</v>
      </c>
    </row>
    <row r="9159" spans="1:9" x14ac:dyDescent="0.3">
      <c r="A9159" s="1" t="s">
        <v>61</v>
      </c>
      <c r="B9159" s="1" t="s">
        <v>726</v>
      </c>
      <c r="C9159" s="1" t="s">
        <v>146</v>
      </c>
      <c r="D9159" s="1" t="s">
        <v>1520</v>
      </c>
      <c r="E9159" s="1" t="s">
        <v>727</v>
      </c>
      <c r="F9159" s="1" t="s">
        <v>13588</v>
      </c>
      <c r="G9159" s="1" t="s">
        <v>36</v>
      </c>
      <c r="H9159" s="1" t="s">
        <v>29</v>
      </c>
      <c r="I9159" s="1" t="str">
        <f ca="1">IFERROR(__xludf.DUMMYFUNCTION("GOOGLETRANSLATE(F9159, ""auto"", ""en"")
"),"I bought it for my wife as a gift, I didn’t expect such a result, I bake everything I can, my imagination is unlimited, I gave it to friends and relatives to try, everyone was eager to buy it and have already purchased it!!!")</f>
        <v>I bought it for my wife as a gift, I didn’t expect such a result, I bake everything I can, my imagination is unlimited, I gave it to friends and relatives to try, everyone was eager to buy it and have already purchased it!!!</v>
      </c>
    </row>
    <row r="9160" spans="1:9" x14ac:dyDescent="0.3">
      <c r="A9160" s="1" t="s">
        <v>43</v>
      </c>
      <c r="B9160" s="1" t="s">
        <v>44</v>
      </c>
      <c r="C9160" s="1" t="s">
        <v>57</v>
      </c>
      <c r="D9160" s="1" t="s">
        <v>592</v>
      </c>
      <c r="E9160" s="1" t="s">
        <v>1195</v>
      </c>
      <c r="F9160" s="1" t="s">
        <v>13589</v>
      </c>
      <c r="G9160" s="1" t="s">
        <v>36</v>
      </c>
      <c r="H9160" s="1" t="s">
        <v>29</v>
      </c>
      <c r="I9160" s="1" t="str">
        <f ca="1">IFERROR(__xludf.DUMMYFUNCTION("GOOGLETRANSLATE(F9160, ""auto"", ""en"")
"),"It's been working for 3 days so far. The company is Austrian, although the assembly, of course, is China, but it is of very high quality. It turned out to be the most powerful (we have other floor fans, which we also bought from M-video... - convenient st"&amp;"ore). And absolutely silent!!  While I was looking on the Internet, I didn’t like it (I don’t like the “crosshair”, I prefer only stable round stands, for rooms, because of rugs...), I saw it in the sales area, looked at the technical specifications again"&amp;" and made up my mind. The choice turned out to be successful: it works more powerful than other fans (perhaps because the specified power in the specification = 60 W) and this saves from the sun... It looks very nice! Although I only considered technical "&amp;"qualities. All chrome plated and shiny.  I took it for the kitchen (10m2). Therefore, the lack of a remote control for this model is not important for us (and there are already a lot of electrical appliances with remote controls...) It blows the heat out "&amp;"of the blue! Now the kitchen is heaven, it’s nice to be cool.")</f>
        <v>It's been working for 3 days so far. The company is Austrian, although the assembly, of course, is China, but it is of very high quality. It turned out to be the most powerful (we have other floor fans, which we also bought from M-video... - convenient store). And absolutely silent!!  While I was looking on the Internet, I didn’t like it (I don’t like the “crosshair”, I prefer only stable round stands, for rooms, because of rugs...), I saw it in the sales area, looked at the technical specifications again and made up my mind. The choice turned out to be successful: it works more powerful than other fans (perhaps because the specified power in the specification = 60 W) and this saves from the sun... It looks very nice! Although I only considered technical qualities. All chrome plated and shiny.  I took it for the kitchen (10m2). Therefore, the lack of a remote control for this model is not important for us (and there are already a lot of electrical appliances with remote controls...) It blows the heat out of the blue! Now the kitchen is heaven, it’s nice to be cool.</v>
      </c>
    </row>
    <row r="9161" spans="1:9" x14ac:dyDescent="0.3">
      <c r="A9161" s="1" t="s">
        <v>519</v>
      </c>
      <c r="B9161" s="1" t="s">
        <v>520</v>
      </c>
      <c r="C9161" s="1" t="s">
        <v>2143</v>
      </c>
      <c r="D9161" s="1" t="s">
        <v>247</v>
      </c>
      <c r="E9161" s="1" t="s">
        <v>971</v>
      </c>
      <c r="F9161" s="1" t="s">
        <v>13590</v>
      </c>
      <c r="G9161" s="1" t="s">
        <v>36</v>
      </c>
      <c r="H9161" s="1" t="s">
        <v>29</v>
      </c>
      <c r="I9161" s="1" t="str">
        <f ca="1">IFERROR(__xludf.DUMMYFUNCTION("GOOGLETRANSLATE(F9161, ""auto"", ""en"")
"),"A good set of dishes and excellent quality for the price. Everything literally boils in seconds. Very easy to use! I recommend it, you won’t regret it.")</f>
        <v>A good set of dishes and excellent quality for the price. Everything literally boils in seconds. Very easy to use! I recommend it, you won’t regret it.</v>
      </c>
    </row>
    <row r="9162" spans="1:9" x14ac:dyDescent="0.3">
      <c r="A9162" s="1" t="s">
        <v>282</v>
      </c>
      <c r="B9162" s="1" t="s">
        <v>806</v>
      </c>
      <c r="C9162" s="1" t="s">
        <v>284</v>
      </c>
      <c r="D9162" s="1" t="s">
        <v>52</v>
      </c>
      <c r="E9162" s="1" t="s">
        <v>13591</v>
      </c>
      <c r="F9162" s="1" t="s">
        <v>13592</v>
      </c>
      <c r="G9162" s="1" t="s">
        <v>36</v>
      </c>
      <c r="H9162" s="1" t="s">
        <v>29</v>
      </c>
      <c r="I9162" s="1" t="str">
        <f ca="1">IFERROR(__xludf.DUMMYFUNCTION("GOOGLETRANSLATE(F9162, ""auto"", ""en"")
"),"Excellent, light movie with great actors. Looks like a breeze. About the disc: The picture is 5+, the sound is excellent. I recommend it.")</f>
        <v>Excellent, light movie with great actors. Looks like a breeze. About the disc: The picture is 5+, the sound is excellent. I recommend it.</v>
      </c>
    </row>
    <row r="9163" spans="1:9" x14ac:dyDescent="0.3">
      <c r="A9163" s="1" t="s">
        <v>105</v>
      </c>
      <c r="B9163" s="1" t="s">
        <v>106</v>
      </c>
      <c r="C9163" s="1" t="s">
        <v>1921</v>
      </c>
      <c r="D9163" s="1" t="s">
        <v>280</v>
      </c>
      <c r="E9163" s="1" t="s">
        <v>2543</v>
      </c>
      <c r="F9163" s="1" t="s">
        <v>13593</v>
      </c>
      <c r="G9163" s="1" t="s">
        <v>15</v>
      </c>
      <c r="H9163" s="1" t="s">
        <v>16</v>
      </c>
      <c r="I9163" s="1" t="str">
        <f ca="1">IFERROR(__xludf.DUMMYFUNCTION("GOOGLETRANSLATE(F9163, ""auto"", ""en"")
"),"I bought it yesterday, delivered it today! The computer stopped seeing him. Awesome player, buy it and give it right away..............")</f>
        <v>I bought it yesterday, delivered it today! The computer stopped seeing him. Awesome player, buy it and give it right away..............</v>
      </c>
    </row>
    <row r="9164" spans="1:9" x14ac:dyDescent="0.3">
      <c r="A9164" s="1" t="s">
        <v>211</v>
      </c>
      <c r="B9164" s="1" t="s">
        <v>212</v>
      </c>
      <c r="C9164" s="1" t="s">
        <v>294</v>
      </c>
      <c r="D9164" s="1" t="s">
        <v>2045</v>
      </c>
      <c r="E9164" s="1" t="s">
        <v>872</v>
      </c>
      <c r="F9164" s="1" t="s">
        <v>13594</v>
      </c>
      <c r="G9164" s="1" t="s">
        <v>36</v>
      </c>
      <c r="H9164" s="1" t="s">
        <v>29</v>
      </c>
      <c r="I9164" s="1" t="str">
        <f ca="1">IFERROR(__xludf.DUMMYFUNCTION("GOOGLETRANSLATE(F9164, ""auto"", ""en"")
"),"The straightener is very good! but it doesn’t work very well with my thick hair yet! The only negative: it gets very hot, but there is no protection against burns, I bought it based on reviews - I don’t regret it!")</f>
        <v>The straightener is very good! but it doesn’t work very well with my thick hair yet! The only negative: it gets very hot, but there is no protection against burns, I bought it based on reviews - I don’t regret it!</v>
      </c>
    </row>
    <row r="9165" spans="1:9" x14ac:dyDescent="0.3">
      <c r="A9165" s="1" t="s">
        <v>89</v>
      </c>
      <c r="B9165" s="1" t="s">
        <v>90</v>
      </c>
      <c r="C9165" s="1" t="s">
        <v>57</v>
      </c>
      <c r="D9165" s="1" t="s">
        <v>13595</v>
      </c>
      <c r="E9165" s="1" t="s">
        <v>375</v>
      </c>
      <c r="F9165" s="1" t="s">
        <v>13596</v>
      </c>
      <c r="G9165" s="1" t="s">
        <v>36</v>
      </c>
      <c r="H9165" s="1" t="s">
        <v>29</v>
      </c>
      <c r="I9165" s="1" t="str">
        <f ca="1">IFERROR(__xludf.DUMMYFUNCTION("GOOGLETRANSLATE(F9165, ""auto"", ""en"")
"),"Quiet, quite powerful, very comfortable, attractive design.  Does its job at 5+. What else do you need from a coffee grinder?    Of the minuses, the cable is short, but this is not critical.")</f>
        <v>Quiet, quite powerful, very comfortable, attractive design.  Does its job at 5+. What else do you need from a coffee grinder?    Of the minuses, the cable is short, but this is not critical.</v>
      </c>
    </row>
    <row r="9166" spans="1:9" x14ac:dyDescent="0.3">
      <c r="A9166" s="1" t="s">
        <v>61</v>
      </c>
      <c r="B9166" s="1" t="s">
        <v>318</v>
      </c>
      <c r="C9166" s="1" t="s">
        <v>69</v>
      </c>
      <c r="D9166" s="1" t="s">
        <v>3501</v>
      </c>
      <c r="E9166" s="1" t="s">
        <v>5046</v>
      </c>
      <c r="F9166" s="1" t="s">
        <v>13597</v>
      </c>
      <c r="G9166" s="1" t="s">
        <v>36</v>
      </c>
      <c r="H9166" s="1" t="s">
        <v>29</v>
      </c>
      <c r="I9166" s="1" t="str">
        <f ca="1">IFERROR(__xludf.DUMMYFUNCTION("GOOGLETRANSLATE(F9166, ""auto"", ""en"")
"),"The teapot lived faithfully for 4.5 years. And it tinkled normally, and nothing leaked, and there was no smell of plastic.  And I would probably have lived longer if it weren’t for this stupid anti-scale. I always used vinegar, no matter how funny it may "&amp;"seem, but then I fell asleep.   I'll go buy the same new one.")</f>
        <v>The teapot lived faithfully for 4.5 years. And it tinkled normally, and nothing leaked, and there was no smell of plastic.  And I would probably have lived longer if it weren’t for this stupid anti-scale. I always used vinegar, no matter how funny it may seem, but then I fell asleep.   I'll go buy the same new one.</v>
      </c>
    </row>
    <row r="9167" spans="1:9" x14ac:dyDescent="0.3">
      <c r="A9167" s="1" t="s">
        <v>169</v>
      </c>
      <c r="B9167" s="1" t="s">
        <v>170</v>
      </c>
      <c r="C9167" s="1" t="s">
        <v>122</v>
      </c>
      <c r="D9167" s="1" t="s">
        <v>20</v>
      </c>
      <c r="E9167" s="1" t="s">
        <v>2876</v>
      </c>
      <c r="F9167" s="1" t="s">
        <v>13598</v>
      </c>
      <c r="G9167" s="1" t="s">
        <v>28</v>
      </c>
      <c r="H9167" s="1" t="s">
        <v>29</v>
      </c>
      <c r="I9167" s="1" t="str">
        <f ca="1">IFERROR(__xludf.DUMMYFUNCTION("GOOGLETRANSLATE(F9167, ""auto"", ""en"")
"),"I’m not a music critic, of course, but I love music, so I noticed that the bass of the headphones is not strong, although in general the sound is good and even better that there are not too many low frequencies; as they say, “no mess”, so they suit me qui"&amp;"te well. The wire length is always sufficient, especially when you watch TV while sitting on the couch. In general, anyone who wants a decent option for headphones, I advise you to take a closer look.")</f>
        <v>I’m not a music critic, of course, but I love music, so I noticed that the bass of the headphones is not strong, although in general the sound is good and even better that there are not too many low frequencies; as they say, “no mess”, so they suit me quite well. The wire length is always sufficient, especially when you watch TV while sitting on the couch. In general, anyone who wants a decent option for headphones, I advise you to take a closer look.</v>
      </c>
    </row>
    <row r="9168" spans="1:9" x14ac:dyDescent="0.3">
      <c r="A9168" s="1" t="s">
        <v>9</v>
      </c>
      <c r="B9168" s="1" t="s">
        <v>137</v>
      </c>
      <c r="C9168" s="1" t="s">
        <v>151</v>
      </c>
      <c r="D9168" s="1" t="s">
        <v>113</v>
      </c>
      <c r="E9168" s="1" t="s">
        <v>9097</v>
      </c>
      <c r="F9168" s="1" t="s">
        <v>13599</v>
      </c>
      <c r="G9168" s="1" t="s">
        <v>36</v>
      </c>
      <c r="H9168" s="1" t="s">
        <v>29</v>
      </c>
      <c r="I9168" s="1" t="str">
        <f ca="1">IFERROR(__xludf.DUMMYFUNCTION("GOOGLETRANSLATE(F9168, ""auto"", ""en"")
"),"We bought it 5 years ago and we still use it! never let you down! 1 burner heats up a little slower than the others - I adjusted it) it can be cleaned very well with a scraper and a special product! I advise)!")</f>
        <v>We bought it 5 years ago and we still use it! never let you down! 1 burner heats up a little slower than the others - I adjusted it) it can be cleaned very well with a scraper and a special product! I advise)!</v>
      </c>
    </row>
    <row r="9169" spans="1:9" x14ac:dyDescent="0.3">
      <c r="A9169" s="1" t="s">
        <v>43</v>
      </c>
      <c r="B9169" s="1" t="s">
        <v>502</v>
      </c>
      <c r="C9169" s="1" t="s">
        <v>122</v>
      </c>
      <c r="D9169" s="1" t="s">
        <v>13600</v>
      </c>
      <c r="E9169" s="1" t="s">
        <v>5112</v>
      </c>
      <c r="F9169" s="1" t="s">
        <v>13601</v>
      </c>
      <c r="G9169" s="1" t="s">
        <v>28</v>
      </c>
      <c r="H9169" s="1" t="s">
        <v>29</v>
      </c>
      <c r="I9169" s="1" t="str">
        <f ca="1">IFERROR(__xludf.DUMMYFUNCTION("GOOGLETRANSLATE(F9169, ""auto"", ""en"")
"),"2 jambs from the whole split: - Chinese remote control, just poor, not informative. The indoor unit is also not informative, 2 light bulbs and that’s it. BUT, I think these are minor things. You turned on the program and it works in the mode you need. And"&amp;" how much temperature there is outside, air humidity, degree of thin air, etc. - all this can be found on Chinese Conders, they are obviously stuffed with similar toys in order to somehow draw in the buyer. (For example, professional music equipment - onl"&amp;"y the on/off button and volume, so why bother tweaking anything else..?!)")</f>
        <v>2 jambs from the whole split: - Chinese remote control, just poor, not informative. The indoor unit is also not informative, 2 light bulbs and that’s it. BUT, I think these are minor things. You turned on the program and it works in the mode you need. And how much temperature there is outside, air humidity, degree of thin air, etc. - all this can be found on Chinese Conders, they are obviously stuffed with similar toys in order to somehow draw in the buyer. (For example, professional music equipment - only the on/off button and volume, so why bother tweaking anything else..?!)</v>
      </c>
    </row>
    <row r="9170" spans="1:9" x14ac:dyDescent="0.3">
      <c r="A9170" s="1" t="s">
        <v>89</v>
      </c>
      <c r="B9170" s="1" t="s">
        <v>90</v>
      </c>
      <c r="C9170" s="1" t="s">
        <v>57</v>
      </c>
      <c r="D9170" s="1" t="s">
        <v>1921</v>
      </c>
      <c r="E9170" s="1" t="s">
        <v>5687</v>
      </c>
      <c r="F9170" s="1" t="s">
        <v>13602</v>
      </c>
      <c r="G9170" s="1" t="s">
        <v>28</v>
      </c>
      <c r="H9170" s="1" t="s">
        <v>29</v>
      </c>
      <c r="I9170" s="1" t="str">
        <f ca="1">IFERROR(__xludf.DUMMYFUNCTION("GOOGLETRANSLATE(F9170, ""auto"", ""en"")
"),"I have been using this product for 3 weeks. I chose a low-power electric coffee grinder with a small load of coffee for grinding and one with a metal cup")</f>
        <v>I have been using this product for 3 weeks. I chose a low-power electric coffee grinder with a small load of coffee for grinding and one with a metal cup</v>
      </c>
    </row>
    <row r="9171" spans="1:9" x14ac:dyDescent="0.3">
      <c r="A9171" s="1" t="s">
        <v>211</v>
      </c>
      <c r="B9171" s="1" t="s">
        <v>856</v>
      </c>
      <c r="C9171" s="1" t="s">
        <v>57</v>
      </c>
      <c r="D9171" s="1" t="s">
        <v>13603</v>
      </c>
      <c r="E9171" s="1" t="s">
        <v>1529</v>
      </c>
      <c r="F9171" s="1" t="s">
        <v>13604</v>
      </c>
      <c r="G9171" s="1" t="s">
        <v>36</v>
      </c>
      <c r="H9171" s="1" t="s">
        <v>29</v>
      </c>
      <c r="I9171" s="1" t="str">
        <f ca="1">IFERROR(__xludf.DUMMYFUNCTION("GOOGLETRANSLATE(F9171, ""auto"", ""en"")
"),"It was given as a gift for March 8th, I’m using it! Everything works great, no problems with charging, I use all the attachments!!! Great machine, I recommend buying it))")</f>
        <v>It was given as a gift for March 8th, I’m using it! Everything works great, no problems with charging, I use all the attachments!!! Great machine, I recommend buying it))</v>
      </c>
    </row>
    <row r="9172" spans="1:9" x14ac:dyDescent="0.3">
      <c r="A9172" s="1" t="s">
        <v>149</v>
      </c>
      <c r="B9172" s="1" t="s">
        <v>576</v>
      </c>
      <c r="C9172" s="1" t="s">
        <v>80</v>
      </c>
      <c r="D9172" s="1" t="s">
        <v>3559</v>
      </c>
      <c r="E9172" s="1" t="s">
        <v>395</v>
      </c>
      <c r="F9172" s="1" t="s">
        <v>13605</v>
      </c>
      <c r="G9172" s="1" t="s">
        <v>49</v>
      </c>
      <c r="H9172" s="1" t="s">
        <v>16</v>
      </c>
      <c r="I9172" s="1" t="str">
        <f ca="1">IFERROR(__xludf.DUMMYFUNCTION("GOOGLETRANSLATE(F9172, ""auto"", ""en"")
"),"We bought it a little over a year ago to remove dust from laminate flooring (not carpets!). The suction power gradually decreased, last week it stopped completely. It is impossible to clean the engine; it cannot be disassembled. There is no point in repai"&amp;"ring; the price is equivalent to buying a new one.")</f>
        <v>We bought it a little over a year ago to remove dust from laminate flooring (not carpets!). The suction power gradually decreased, last week it stopped completely. It is impossible to clean the engine; it cannot be disassembled. There is no point in repairing; the price is equivalent to buying a new one.</v>
      </c>
    </row>
    <row r="9173" spans="1:9" x14ac:dyDescent="0.3">
      <c r="A9173" s="1" t="s">
        <v>1119</v>
      </c>
      <c r="B9173" s="1" t="s">
        <v>1120</v>
      </c>
      <c r="C9173" s="1" t="s">
        <v>97</v>
      </c>
      <c r="D9173" s="1" t="s">
        <v>305</v>
      </c>
      <c r="E9173" s="1" t="s">
        <v>2780</v>
      </c>
      <c r="F9173" s="1" t="s">
        <v>13606</v>
      </c>
      <c r="G9173" s="1" t="s">
        <v>49</v>
      </c>
      <c r="H9173" s="1" t="s">
        <v>16</v>
      </c>
      <c r="I9173" s="1" t="str">
        <f ca="1">IFERROR(__xludf.DUMMYFUNCTION("GOOGLETRANSLATE(F9173, ""auto"", ""en"")
"),"This video camera works in Full HD only in photo mode. The video has a custom format of 720-576 pixels. I was very upset by the purchase, well, the guys from M.video quickly corrected the situation and exchanged it for PANASONIC.")</f>
        <v>This video camera works in Full HD only in photo mode. The video has a custom format of 720-576 pixels. I was very upset by the purchase, well, the guys from M.video quickly corrected the situation and exchanged it for PANASONIC.</v>
      </c>
    </row>
    <row r="9174" spans="1:9" x14ac:dyDescent="0.3">
      <c r="A9174" s="1" t="s">
        <v>211</v>
      </c>
      <c r="B9174" s="1" t="s">
        <v>899</v>
      </c>
      <c r="C9174" s="1" t="s">
        <v>213</v>
      </c>
      <c r="D9174" s="1" t="s">
        <v>172</v>
      </c>
      <c r="E9174" s="1" t="s">
        <v>12068</v>
      </c>
      <c r="F9174" s="1" t="s">
        <v>13607</v>
      </c>
      <c r="G9174" s="1" t="s">
        <v>36</v>
      </c>
      <c r="H9174" s="1" t="s">
        <v>29</v>
      </c>
      <c r="I9174" s="1" t="str">
        <f ca="1">IFERROR(__xludf.DUMMYFUNCTION("GOOGLETRANSLATE(F9174, ""auto"", ""en"")
"),"It was a favorite for a long time, but gradually began to hold a charge less. I saw the PRO-6000, also oral-bi, but much more beautiful in appearance, and decided to buy it. She's certainly better. But before that, 3000 was quite enough. Of course it remo"&amp;"ves plaque like a charm")</f>
        <v>It was a favorite for a long time, but gradually began to hold a charge less. I saw the PRO-6000, also oral-bi, but much more beautiful in appearance, and decided to buy it. She's certainly better. But before that, 3000 was quite enough. Of course it removes plaque like a charm</v>
      </c>
    </row>
    <row r="9175" spans="1:9" x14ac:dyDescent="0.3">
      <c r="A9175" s="1" t="s">
        <v>61</v>
      </c>
      <c r="B9175" s="1" t="s">
        <v>318</v>
      </c>
      <c r="C9175" s="1" t="s">
        <v>246</v>
      </c>
      <c r="D9175" s="1" t="s">
        <v>305</v>
      </c>
      <c r="E9175" s="1" t="s">
        <v>263</v>
      </c>
      <c r="F9175" s="1" t="s">
        <v>13608</v>
      </c>
      <c r="G9175" s="1" t="s">
        <v>36</v>
      </c>
      <c r="H9175" s="1" t="s">
        <v>29</v>
      </c>
      <c r="I9175" s="1" t="str">
        <f ca="1">IFERROR(__xludf.DUMMYFUNCTION("GOOGLETRANSLATE(F9175, ""auto"", ""en"")
"),"Purchased on April 30 and tested on a trip to Belovezhskaya Pushcha from May 1 to 5 by a family of 3 people (father + mother + son). It fully justified its purpose - to serve hot tea in the rooms, in the absence of a kettle in the rooms of Belarusian nurs"&amp;"ing homes and hotels. Boils quickly, no plastic smell. The set includes two glasses and two spoons, but for the third one there were no problems with the dishes :) Yes, the automation worked flawlessly. Another good thing is a filter-strainer in the spout"&amp;" (this is a feature of all Tefals, in my opinion) and a little bag :) In general, it’s been tested - we recommend it.")</f>
        <v>Purchased on April 30 and tested on a trip to Belovezhskaya Pushcha from May 1 to 5 by a family of 3 people (father + mother + son). It fully justified its purpose - to serve hot tea in the rooms, in the absence of a kettle in the rooms of Belarusian nursing homes and hotels. Boils quickly, no plastic smell. The set includes two glasses and two spoons, but for the third one there were no problems with the dishes :) Yes, the automation worked flawlessly. Another good thing is a filter-strainer in the spout (this is a feature of all Tefals, in my opinion) and a little bag :) In general, it’s been tested - we recommend it.</v>
      </c>
    </row>
    <row r="9176" spans="1:9" x14ac:dyDescent="0.3">
      <c r="A9176" s="1" t="s">
        <v>43</v>
      </c>
      <c r="B9176" s="1" t="s">
        <v>44</v>
      </c>
      <c r="C9176" s="1" t="s">
        <v>257</v>
      </c>
      <c r="D9176" s="1" t="s">
        <v>13609</v>
      </c>
      <c r="E9176" s="1" t="s">
        <v>491</v>
      </c>
      <c r="F9176" s="1" t="s">
        <v>13610</v>
      </c>
      <c r="G9176" s="1" t="s">
        <v>28</v>
      </c>
      <c r="H9176" s="1" t="s">
        <v>29</v>
      </c>
      <c r="I9176" s="1" t="str">
        <f ca="1">IFERROR(__xludf.DUMMYFUNCTION("GOOGLETRANSLATE(F9176, ""auto"", ""en"")
"),"but it’s not true, we’re in our 2nd year and so far no complaints, great for the minimum price!")</f>
        <v>but it’s not true, we’re in our 2nd year and so far no complaints, great for the minimum price!</v>
      </c>
    </row>
    <row r="9177" spans="1:9" x14ac:dyDescent="0.3">
      <c r="A9177" s="1" t="s">
        <v>113</v>
      </c>
      <c r="B9177" s="1" t="s">
        <v>1251</v>
      </c>
      <c r="C9177" s="1" t="s">
        <v>122</v>
      </c>
      <c r="D9177" s="1" t="s">
        <v>8096</v>
      </c>
      <c r="E9177" s="1" t="s">
        <v>3867</v>
      </c>
      <c r="F9177" s="1" t="s">
        <v>13611</v>
      </c>
      <c r="G9177" s="1" t="s">
        <v>36</v>
      </c>
      <c r="H9177" s="1" t="s">
        <v>29</v>
      </c>
      <c r="I9177" s="1" t="str">
        <f ca="1">IFERROR(__xludf.DUMMYFUNCTION("GOOGLETRANSLATE(F9177, ""auto"", ""en"")
"),"The camera is simply class, especially the 10x magnification. Buy it, you won’t regret it.")</f>
        <v>The camera is simply class, especially the 10x magnification. Buy it, you won’t regret it.</v>
      </c>
    </row>
    <row r="9178" spans="1:9" x14ac:dyDescent="0.3">
      <c r="A9178" s="1" t="s">
        <v>61</v>
      </c>
      <c r="B9178" s="1" t="s">
        <v>977</v>
      </c>
      <c r="C9178" s="1" t="s">
        <v>101</v>
      </c>
      <c r="D9178" s="1" t="s">
        <v>64</v>
      </c>
      <c r="E9178" s="1" t="s">
        <v>5038</v>
      </c>
      <c r="F9178" s="1" t="s">
        <v>13612</v>
      </c>
      <c r="G9178" s="1" t="s">
        <v>36</v>
      </c>
      <c r="H9178" s="1" t="s">
        <v>29</v>
      </c>
      <c r="I9178" s="1" t="str">
        <f ca="1">IFERROR(__xludf.DUMMYFUNCTION("GOOGLETRANSLATE(F9178, ""auto"", ""en"")
"),"I really liked the blender, for the money it’s a great thing!!! I make puree soups, knead dough, cocktails! I'm 100% satisfied, I'll buy another one and give it to my grandmother for the New Year)))")</f>
        <v>I really liked the blender, for the money it’s a great thing!!! I make puree soups, knead dough, cocktails! I'm 100% satisfied, I'll buy another one and give it to my grandmother for the New Year)))</v>
      </c>
    </row>
    <row r="9179" spans="1:9" x14ac:dyDescent="0.3">
      <c r="A9179" s="1" t="s">
        <v>37</v>
      </c>
      <c r="B9179" s="1" t="s">
        <v>38</v>
      </c>
      <c r="C9179" s="1" t="s">
        <v>163</v>
      </c>
      <c r="D9179" s="1" t="s">
        <v>327</v>
      </c>
      <c r="E9179" s="1" t="s">
        <v>2565</v>
      </c>
      <c r="F9179" s="1" t="s">
        <v>13613</v>
      </c>
      <c r="G9179" s="1" t="s">
        <v>36</v>
      </c>
      <c r="H9179" s="1" t="s">
        <v>29</v>
      </c>
      <c r="I9179" s="1" t="str">
        <f ca="1">IFERROR(__xludf.DUMMYFUNCTION("GOOGLETRANSLATE(F9179, ""auto"", ""en"")
"),"Nokia 3720 on 5+.")</f>
        <v>Nokia 3720 on 5+.</v>
      </c>
    </row>
    <row r="9180" spans="1:9" x14ac:dyDescent="0.3">
      <c r="A9180" s="1" t="s">
        <v>37</v>
      </c>
      <c r="B9180" s="1" t="s">
        <v>1829</v>
      </c>
      <c r="C9180" s="1" t="s">
        <v>151</v>
      </c>
      <c r="D9180" s="1" t="s">
        <v>203</v>
      </c>
      <c r="E9180" s="1" t="s">
        <v>13614</v>
      </c>
      <c r="F9180" s="1" t="s">
        <v>13615</v>
      </c>
      <c r="G9180" s="1" t="s">
        <v>49</v>
      </c>
      <c r="H9180" s="1" t="s">
        <v>16</v>
      </c>
      <c r="I9180" s="1" t="str">
        <f ca="1">IFERROR(__xludf.DUMMYFUNCTION("GOOGLETRANSLATE(F9180, ""auto"", ""en"")
"),"Phone disaster! In the sun, cracks appeared randomly on the screen on its own. The screen just dripped. According to experts, this is caused by heating of the device itself. Is this normal? Threw money down the drain! Let's see if warranty repair or repla"&amp;"cement will be carried out! When choosing this device, think seriously! Cheap plastic, a screen that cracks itself and a slow operating system for very decent money, do you need such a phone? Don't repeat my mistake!")</f>
        <v>Phone disaster! In the sun, cracks appeared randomly on the screen on its own. The screen just dripped. According to experts, this is caused by heating of the device itself. Is this normal? Threw money down the drain! Let's see if warranty repair or replacement will be carried out! When choosing this device, think seriously! Cheap plastic, a screen that cracks itself and a slow operating system for very decent money, do you need such a phone? Don't repeat my mistake!</v>
      </c>
    </row>
    <row r="9181" spans="1:9" x14ac:dyDescent="0.3">
      <c r="A9181" s="1" t="s">
        <v>17</v>
      </c>
      <c r="B9181" s="1" t="s">
        <v>18</v>
      </c>
      <c r="C9181" s="1" t="s">
        <v>885</v>
      </c>
      <c r="D9181" s="1" t="s">
        <v>1506</v>
      </c>
      <c r="E9181" s="1" t="s">
        <v>1181</v>
      </c>
      <c r="F9181" s="1" t="s">
        <v>13616</v>
      </c>
      <c r="G9181" s="1" t="s">
        <v>28</v>
      </c>
      <c r="H9181" s="1" t="s">
        <v>29</v>
      </c>
      <c r="I9181" s="1" t="str">
        <f ca="1">IFERROR(__xludf.DUMMYFUNCTION("GOOGLETRANSLATE(F9181, ""auto"", ""en"")
"),"I bought the machine in September, in April the electronic menu had already started to glitch, I had to use the PDO, the problem was fixed quickly, now it works fine, pah-pah. Overall, the machine is good, although it makes a bit of noise, but you can was"&amp;"h a synthetic blanket in it without any problems. Decide for yourself! :)")</f>
        <v>I bought the machine in September, in April the electronic menu had already started to glitch, I had to use the PDO, the problem was fixed quickly, now it works fine, pah-pah. Overall, the machine is good, although it makes a bit of noise, but you can wash a synthetic blanket in it without any problems. Decide for yourself! :)</v>
      </c>
    </row>
    <row r="9182" spans="1:9" x14ac:dyDescent="0.3">
      <c r="A9182" s="1" t="s">
        <v>30</v>
      </c>
      <c r="B9182" s="1" t="s">
        <v>50</v>
      </c>
      <c r="C9182" s="1" t="s">
        <v>1003</v>
      </c>
      <c r="D9182" s="1" t="s">
        <v>5909</v>
      </c>
      <c r="E9182" s="1" t="s">
        <v>1122</v>
      </c>
      <c r="F9182" s="1" t="s">
        <v>13617</v>
      </c>
      <c r="G9182" s="1" t="s">
        <v>36</v>
      </c>
      <c r="H9182" s="1" t="s">
        <v>29</v>
      </c>
      <c r="I9182" s="1" t="str">
        <f ca="1">IFERROR(__xludf.DUMMYFUNCTION("GOOGLETRANSLATE(F9182, ""auto"", ""en"")
"),"The laptop is class, powerful and fast, I like it so far. There is one minus for me, the keyboard is not backlit.")</f>
        <v>The laptop is class, powerful and fast, I like it so far. There is one minus for me, the keyboard is not backlit.</v>
      </c>
    </row>
    <row r="9183" spans="1:9" x14ac:dyDescent="0.3">
      <c r="A9183" s="1" t="s">
        <v>37</v>
      </c>
      <c r="B9183" s="1" t="s">
        <v>536</v>
      </c>
      <c r="C9183" s="1" t="s">
        <v>163</v>
      </c>
      <c r="D9183" s="1" t="s">
        <v>39</v>
      </c>
      <c r="E9183" s="1" t="s">
        <v>1565</v>
      </c>
      <c r="F9183" s="1" t="s">
        <v>13618</v>
      </c>
      <c r="G9183" s="1" t="s">
        <v>49</v>
      </c>
      <c r="H9183" s="1" t="s">
        <v>16</v>
      </c>
      <c r="I9183" s="1" t="str">
        <f ca="1">IFERROR(__xludf.DUMMYFUNCTION("GOOGLETRANSLATE(F9183, ""auto"", ""en"")
"),"The dumbest phone from NOKIA! I bought it in September and returned it to the store a week later. Movies compared to Iphone 3gs and 4 are complete *****, the image is also *****. Take Iphone 4, you will be happy with it!")</f>
        <v>The dumbest phone from NOKIA! I bought it in September and returned it to the store a week later. Movies compared to Iphone 3gs and 4 are complete *****, the image is also *****. Take Iphone 4, you will be happy with it!</v>
      </c>
    </row>
    <row r="9184" spans="1:9" x14ac:dyDescent="0.3">
      <c r="A9184" s="1" t="s">
        <v>2087</v>
      </c>
      <c r="B9184" s="1" t="s">
        <v>2088</v>
      </c>
      <c r="C9184" s="1" t="s">
        <v>80</v>
      </c>
      <c r="D9184" s="1" t="s">
        <v>13619</v>
      </c>
      <c r="E9184" s="1" t="s">
        <v>1190</v>
      </c>
      <c r="F9184" s="1" t="s">
        <v>13620</v>
      </c>
      <c r="G9184" s="1" t="s">
        <v>28</v>
      </c>
      <c r="H9184" s="1" t="s">
        <v>29</v>
      </c>
      <c r="I9184" s="1" t="str">
        <f ca="1">IFERROR(__xludf.DUMMYFUNCTION("GOOGLETRANSLATE(F9184, ""auto"", ""en"")
"),"A solid “four”, but no more, will get its money’s worth, but the picture from the BBK BD3000 is more interesting, although it can be firmly ranked with the Pioneer DV LX-50 in terms of picture quality from DVD, in general we can recommend it - take it!!")</f>
        <v>A solid “four”, but no more, will get its money’s worth, but the picture from the BBK BD3000 is more interesting, although it can be firmly ranked with the Pioneer DV LX-50 in terms of picture quality from DVD, in general we can recommend it - take it!!</v>
      </c>
    </row>
    <row r="9185" spans="1:9" x14ac:dyDescent="0.3">
      <c r="A9185" s="1" t="s">
        <v>9</v>
      </c>
      <c r="B9185" s="1" t="s">
        <v>4430</v>
      </c>
      <c r="C9185" s="1" t="s">
        <v>134</v>
      </c>
      <c r="D9185" s="1" t="s">
        <v>20</v>
      </c>
      <c r="E9185" s="1" t="s">
        <v>2202</v>
      </c>
      <c r="F9185" s="1" t="s">
        <v>13621</v>
      </c>
      <c r="G9185" s="1" t="s">
        <v>36</v>
      </c>
      <c r="H9185" s="1" t="s">
        <v>29</v>
      </c>
      <c r="I9185" s="1" t="str">
        <f ca="1">IFERROR(__xludf.DUMMYFUNCTION("GOOGLETRANSLATE(F9185, ""auto"", ""en"")
"),"An excellent washing machine, it can do everything, it washes quickly and efficiently. It squeezes out very well. I recommend it to everyone!")</f>
        <v>An excellent washing machine, it can do everything, it washes quickly and efficiently. It squeezes out very well. I recommend it to everyone!</v>
      </c>
    </row>
    <row r="9186" spans="1:9" x14ac:dyDescent="0.3">
      <c r="A9186" s="1" t="s">
        <v>30</v>
      </c>
      <c r="B9186" s="1" t="s">
        <v>50</v>
      </c>
      <c r="C9186" s="1" t="s">
        <v>32</v>
      </c>
      <c r="D9186" s="1" t="s">
        <v>13622</v>
      </c>
      <c r="E9186" s="1" t="s">
        <v>4327</v>
      </c>
      <c r="F9186" s="1" t="s">
        <v>13623</v>
      </c>
      <c r="G9186" s="1" t="s">
        <v>36</v>
      </c>
      <c r="H9186" s="1" t="s">
        <v>29</v>
      </c>
      <c r="I9186" s="1" t="str">
        <f ca="1">IFERROR(__xludf.DUMMYFUNCTION("GOOGLETRANSLATE(F9186, ""auto"", ""en"")
"),"The fact that 288 gigs is free, because there is an image of Windows on the hard drive, and when will the Windows disappear? you can restore it in 10 minutes from this image! You can see this section of Windows only through a special program.")</f>
        <v>The fact that 288 gigs is free, because there is an image of Windows on the hard drive, and when will the Windows disappear? you can restore it in 10 minutes from this image! You can see this section of Windows only through a special program.</v>
      </c>
    </row>
    <row r="9187" spans="1:9" x14ac:dyDescent="0.3">
      <c r="A9187" s="1" t="s">
        <v>211</v>
      </c>
      <c r="B9187" s="1" t="s">
        <v>212</v>
      </c>
      <c r="C9187" s="1" t="s">
        <v>381</v>
      </c>
      <c r="D9187" s="1" t="s">
        <v>922</v>
      </c>
      <c r="E9187" s="1" t="s">
        <v>734</v>
      </c>
      <c r="F9187" s="1" t="s">
        <v>13624</v>
      </c>
      <c r="G9187" s="1" t="s">
        <v>36</v>
      </c>
      <c r="H9187" s="1" t="s">
        <v>29</v>
      </c>
      <c r="I9187" s="1" t="str">
        <f ca="1">IFERROR(__xludf.DUMMYFUNCTION("GOOGLETRANSLATE(F9187, ""auto"", ""en"")
"),"I recently bought this straightener. It took me a long time to choose, but I settled on it. This is the most functional and reliable rectifier of all. I have curly hair and at a certain temperature it straightens it perfectly without damage. I would recom"&amp;"mend purchasing this particular product! It is very convenient!!!")</f>
        <v>I recently bought this straightener. It took me a long time to choose, but I settled on it. This is the most functional and reliable rectifier of all. I have curly hair and at a certain temperature it straightens it perfectly without damage. I would recommend purchasing this particular product! It is very convenient!!!</v>
      </c>
    </row>
    <row r="9188" spans="1:9" x14ac:dyDescent="0.3">
      <c r="A9188" s="1" t="s">
        <v>9</v>
      </c>
      <c r="B9188" s="1" t="s">
        <v>133</v>
      </c>
      <c r="C9188" s="1" t="s">
        <v>151</v>
      </c>
      <c r="D9188" s="1" t="s">
        <v>247</v>
      </c>
      <c r="E9188" s="1" t="s">
        <v>367</v>
      </c>
      <c r="F9188" s="1" t="s">
        <v>13625</v>
      </c>
      <c r="G9188" s="1" t="s">
        <v>36</v>
      </c>
      <c r="H9188" s="1" t="s">
        <v>29</v>
      </c>
      <c r="I9188" s="1" t="str">
        <f ca="1">IFERROR(__xludf.DUMMYFUNCTION("GOOGLETRANSLATE(F9188, ""auto"", ""en"")
"),"In the spring we bought a built-in electric oven Samsung BF68CDB, and now we have finished renovating the kitchen. I couldn't be happier with my new oven! The design without unnecessary buttons looks great and will surprise your friends. The pies turn out"&amp;" very good and airy. I thought it would be difficult to operate the oven, but I figured it out in one try - it’s very simple! The steam cleaning feature helped me easily remove grease from the sides and glass after cooking baked chicken. I recommend this "&amp;"oven to everyone who likes the combination of quality + ease of control + stylish design.")</f>
        <v>In the spring we bought a built-in electric oven Samsung BF68CDB, and now we have finished renovating the kitchen. I couldn't be happier with my new oven! The design without unnecessary buttons looks great and will surprise your friends. The pies turn out very good and airy. I thought it would be difficult to operate the oven, but I figured it out in one try - it’s very simple! The steam cleaning feature helped me easily remove grease from the sides and glass after cooking baked chicken. I recommend this oven to everyone who likes the combination of quality + ease of control + stylish design.</v>
      </c>
    </row>
    <row r="9189" spans="1:9" x14ac:dyDescent="0.3">
      <c r="A9189" s="1" t="s">
        <v>211</v>
      </c>
      <c r="B9189" s="1" t="s">
        <v>410</v>
      </c>
      <c r="C9189" s="1" t="s">
        <v>213</v>
      </c>
      <c r="D9189" s="1" t="s">
        <v>319</v>
      </c>
      <c r="E9189" s="1" t="s">
        <v>2231</v>
      </c>
      <c r="F9189" s="1" t="s">
        <v>13626</v>
      </c>
      <c r="G9189" s="1" t="s">
        <v>36</v>
      </c>
      <c r="H9189" s="1" t="s">
        <v>29</v>
      </c>
      <c r="I9189" s="1" t="str">
        <f ca="1">IFERROR(__xludf.DUMMYFUNCTION("GOOGLETRANSLATE(F9189, ""auto"", ""en"")
"),"So far I have only tried it without foam, I really liked it. There is no comparison with the machine. Shaves cleanly, no irritation.")</f>
        <v>So far I have only tried it without foam, I really liked it. There is no comparison with the machine. Shaves cleanly, no irritation.</v>
      </c>
    </row>
    <row r="9190" spans="1:9" x14ac:dyDescent="0.3">
      <c r="A9190" s="1" t="s">
        <v>43</v>
      </c>
      <c r="B9190" s="1" t="s">
        <v>1616</v>
      </c>
      <c r="C9190" s="1" t="s">
        <v>185</v>
      </c>
      <c r="D9190" s="1" t="s">
        <v>13627</v>
      </c>
      <c r="E9190" s="1" t="s">
        <v>2251</v>
      </c>
      <c r="F9190" s="1" t="s">
        <v>13628</v>
      </c>
      <c r="G9190" s="1" t="s">
        <v>28</v>
      </c>
      <c r="H9190" s="1" t="s">
        <v>29</v>
      </c>
      <c r="I9190" s="1" t="str">
        <f ca="1">IFERROR(__xludf.DUMMYFUNCTION("GOOGLETRANSLATE(F9190, ""auto"", ""en"")
"),"This coder saved me for 2 summers))) and I hope for it in the future! There are some inconveniences, but when it’s HOT outside you can’t help but these inconveniences seem like a trifle!!! )))")</f>
        <v>This coder saved me for 2 summers))) and I hope for it in the future! There are some inconveniences, but when it’s HOT outside you can’t help but these inconveniences seem like a trifle!!! )))</v>
      </c>
    </row>
    <row r="9191" spans="1:9" x14ac:dyDescent="0.3">
      <c r="A9191" s="1" t="s">
        <v>17</v>
      </c>
      <c r="B9191" s="1" t="s">
        <v>325</v>
      </c>
      <c r="C9191" s="1" t="s">
        <v>326</v>
      </c>
      <c r="D9191" s="1" t="s">
        <v>12</v>
      </c>
      <c r="E9191" s="1" t="s">
        <v>13629</v>
      </c>
      <c r="F9191" s="1" t="s">
        <v>13630</v>
      </c>
      <c r="G9191" s="1" t="s">
        <v>36</v>
      </c>
      <c r="H9191" s="1" t="s">
        <v>29</v>
      </c>
      <c r="I9191" s="1" t="str">
        <f ca="1">IFERROR(__xludf.DUMMYFUNCTION("GOOGLETRANSLATE(F9191, ""auto"", ""en"")
"),"Wonderful washing machine! all you need to do is just pour the water yourself, which, however, is quite simple (I extend the shower hose and fill it in) and at the end of the wash, wring out the laundry before putting it to dry; all manual manipulations t"&amp;"ake a maximum of 15 minutes with a full load. I live in a hostel and have problems connecting to an automatic machine, so I decided to try this model. I was pleasantly surprised by the convenience, price-quality ratio and most importantly the result! I’ve"&amp;" been using it for about 2 months now, I’ve washed everything, including down jackets, curtains, bed linen! I'm delighted")</f>
        <v>Wonderful washing machine! all you need to do is just pour the water yourself, which, however, is quite simple (I extend the shower hose and fill it in) and at the end of the wash, wring out the laundry before putting it to dry; all manual manipulations take a maximum of 15 minutes with a full load. I live in a hostel and have problems connecting to an automatic machine, so I decided to try this model. I was pleasantly surprised by the convenience, price-quality ratio and most importantly the result! I’ve been using it for about 2 months now, I’ve washed everything, including down jackets, curtains, bed linen! I'm delighted</v>
      </c>
    </row>
    <row r="9192" spans="1:9" x14ac:dyDescent="0.3">
      <c r="A9192" s="1" t="s">
        <v>211</v>
      </c>
      <c r="B9192" s="1" t="s">
        <v>265</v>
      </c>
      <c r="C9192" s="1" t="s">
        <v>122</v>
      </c>
      <c r="D9192" s="1" t="s">
        <v>86</v>
      </c>
      <c r="E9192" s="1" t="s">
        <v>13631</v>
      </c>
      <c r="F9192" s="1" t="s">
        <v>13632</v>
      </c>
      <c r="G9192" s="1" t="s">
        <v>36</v>
      </c>
      <c r="H9192" s="1" t="s">
        <v>29</v>
      </c>
      <c r="I9192" s="1" t="str">
        <f ca="1">IFERROR(__xludf.DUMMYFUNCTION("GOOGLETRANSLATE(F9192, ""auto"", ""en"")
"),"Easy to hold and handle, attachments can be changed easily and quickly, works quietly and quickly")</f>
        <v>Easy to hold and handle, attachments can be changed easily and quickly, works quietly and quickly</v>
      </c>
    </row>
    <row r="9193" spans="1:9" x14ac:dyDescent="0.3">
      <c r="A9193" s="1" t="s">
        <v>61</v>
      </c>
      <c r="B9193" s="1" t="s">
        <v>318</v>
      </c>
      <c r="C9193" s="1" t="s">
        <v>246</v>
      </c>
      <c r="D9193" s="1" t="s">
        <v>32</v>
      </c>
      <c r="E9193" s="1" t="s">
        <v>1864</v>
      </c>
      <c r="F9193" s="1" t="s">
        <v>13633</v>
      </c>
      <c r="G9193" s="1" t="s">
        <v>15</v>
      </c>
      <c r="H9193" s="1" t="s">
        <v>16</v>
      </c>
      <c r="I9193" s="1" t="str">
        <f ca="1">IFERROR(__xludf.DUMMYFUNCTION("GOOGLETRANSLATE(F9193, ""auto"", ""en"")
"),"I repeat, but: it makes so much noise that it drowns out not only the TV, but also the interlocutor, if there is one nearby; the body gets very hot, you can’t see the water level, it’s very heavy, the lid won’t close after a month, scale appears on the bo"&amp;"ttom immediately, but what shocks me most is that the mesh filter allows scale to pass through! I have a baby, it’s annoying... But I have to not finish my tea. Moreover, the mesh broke (itself) for 2 months. use.")</f>
        <v>I repeat, but: it makes so much noise that it drowns out not only the TV, but also the interlocutor, if there is one nearby; the body gets very hot, you can’t see the water level, it’s very heavy, the lid won’t close after a month, scale appears on the bottom immediately, but what shocks me most is that the mesh filter allows scale to pass through! I have a baby, it’s annoying... But I have to not finish my tea. Moreover, the mesh broke (itself) for 2 months. use.</v>
      </c>
    </row>
    <row r="9194" spans="1:9" x14ac:dyDescent="0.3">
      <c r="A9194" s="1" t="s">
        <v>211</v>
      </c>
      <c r="B9194" s="1" t="s">
        <v>212</v>
      </c>
      <c r="C9194" s="1" t="s">
        <v>381</v>
      </c>
      <c r="D9194" s="1" t="s">
        <v>922</v>
      </c>
      <c r="E9194" s="1" t="s">
        <v>3435</v>
      </c>
      <c r="F9194" s="1" t="s">
        <v>13634</v>
      </c>
      <c r="G9194" s="1" t="s">
        <v>36</v>
      </c>
      <c r="H9194" s="1" t="s">
        <v>29</v>
      </c>
      <c r="I9194" s="1" t="str">
        <f ca="1">IFERROR(__xludf.DUMMYFUNCTION("GOOGLETRANSLATE(F9194, ""auto"", ""en"")
"),"Very, very, very satisfied! The hair dryer is powerful, the body does not heat up during operation, you can get used to the location of the buttons (I hold it slightly sideways and don’t switch anything while using it), there are enough operating modes fo"&amp;"r all occasions - you can adjust both the air flow speed and the temperature. Creates volume perfectly! The first impression after use was that the thing was really professional.")</f>
        <v>Very, very, very satisfied! The hair dryer is powerful, the body does not heat up during operation, you can get used to the location of the buttons (I hold it slightly sideways and don’t switch anything while using it), there are enough operating modes for all occasions - you can adjust both the air flow speed and the temperature. Creates volume perfectly! The first impression after use was that the thing was really professional.</v>
      </c>
    </row>
    <row r="9195" spans="1:9" x14ac:dyDescent="0.3">
      <c r="A9195" s="1" t="s">
        <v>61</v>
      </c>
      <c r="B9195" s="1" t="s">
        <v>318</v>
      </c>
      <c r="C9195" s="1" t="s">
        <v>246</v>
      </c>
      <c r="D9195" s="1" t="s">
        <v>240</v>
      </c>
      <c r="E9195" s="1" t="s">
        <v>3189</v>
      </c>
      <c r="F9195" s="1" t="s">
        <v>13635</v>
      </c>
      <c r="G9195" s="1" t="s">
        <v>36</v>
      </c>
      <c r="H9195" s="1" t="s">
        <v>29</v>
      </c>
      <c r="I9195" s="1" t="str">
        <f ca="1">IFERROR(__xludf.DUMMYFUNCTION("GOOGLETRANSLATE(F9195, ""auto"", ""en"")
"),"The teapot was given to us as a wedding gift exactly 8 years ago. I have never seen electric kettles work so much in my life. Good, not flashy design, heats well (quickly), quiet, easy to clean. The kettle is wonderful, it still works without any complain"&amp;"ts, we are going to change it because... The cleaning agent (I blame it) has corroded the plastic (where the water level scale is) and is now leaking. I'm thinking of buying the same one!")</f>
        <v>The teapot was given to us as a wedding gift exactly 8 years ago. I have never seen electric kettles work so much in my life. Good, not flashy design, heats well (quickly), quiet, easy to clean. The kettle is wonderful, it still works without any complaints, we are going to change it because... The cleaning agent (I blame it) has corroded the plastic (where the water level scale is) and is now leaking. I'm thinking of buying the same one!</v>
      </c>
    </row>
    <row r="9196" spans="1:9" x14ac:dyDescent="0.3">
      <c r="A9196" s="1" t="s">
        <v>211</v>
      </c>
      <c r="B9196" s="1" t="s">
        <v>856</v>
      </c>
      <c r="C9196" s="1" t="s">
        <v>57</v>
      </c>
      <c r="D9196" s="1" t="s">
        <v>117</v>
      </c>
      <c r="E9196" s="1" t="s">
        <v>4962</v>
      </c>
      <c r="F9196" s="1" t="s">
        <v>13636</v>
      </c>
      <c r="G9196" s="1" t="s">
        <v>36</v>
      </c>
      <c r="H9196" s="1" t="s">
        <v>29</v>
      </c>
      <c r="I9196" s="1" t="str">
        <f ca="1">IFERROR(__xludf.DUMMYFUNCTION("GOOGLETRANSLATE(F9196, ""auto"", ""en"")
"),"Gave it to my mom for New Year...Very good thing for the money. It is assembled with high quality, not heavy, pleasant in appearance.   The basic functions are there, but there is one thing: The bubbles are excellent. The vibration is also good, but the h"&amp;"eating... It is designed so that if you poured water at, for example, 60 degrees, then don’t expect it to stay that way - because of the bubbles it cools down quickly and the heating is designed to maintain a temperature of 36-40 degrees. Therefore, the w"&amp;"ater generally remains really warm, but if someone wants to leave the water as it was, look for something else, because this is not a boiler after all. And if she could maintain the temperature at the primary level, then it would already be some kind of k"&amp;"ettle.     And everything is great, mom is delighted.")</f>
        <v>Gave it to my mom for New Year...Very good thing for the money. It is assembled with high quality, not heavy, pleasant in appearance.   The basic functions are there, but there is one thing: The bubbles are excellent. The vibration is also good, but the heating... It is designed so that if you poured water at, for example, 60 degrees, then don’t expect it to stay that way - because of the bubbles it cools down quickly and the heating is designed to maintain a temperature of 36-40 degrees. Therefore, the water generally remains really warm, but if someone wants to leave the water as it was, look for something else, because this is not a boiler after all. And if she could maintain the temperature at the primary level, then it would already be some kind of kettle.     And everything is great, mom is delighted.</v>
      </c>
    </row>
    <row r="9197" spans="1:9" x14ac:dyDescent="0.3">
      <c r="A9197" s="1" t="s">
        <v>61</v>
      </c>
      <c r="B9197" s="1" t="s">
        <v>180</v>
      </c>
      <c r="C9197" s="1" t="s">
        <v>101</v>
      </c>
      <c r="D9197" s="1" t="s">
        <v>280</v>
      </c>
      <c r="E9197" s="1" t="s">
        <v>13637</v>
      </c>
      <c r="F9197" s="1" t="s">
        <v>13638</v>
      </c>
      <c r="G9197" s="1" t="s">
        <v>49</v>
      </c>
      <c r="H9197" s="1" t="s">
        <v>16</v>
      </c>
      <c r="I9197" s="1" t="str">
        <f ca="1">IFERROR(__xludf.DUMMYFUNCTION("GOOGLETRANSLATE(F9197, ""auto"", ""en"")
"),"It cracked and then fell apart, the plastic is weak, the non-stick coating has worn off, everything is bad.")</f>
        <v>It cracked and then fell apart, the plastic is weak, the non-stick coating has worn off, everything is bad.</v>
      </c>
    </row>
    <row r="9198" spans="1:9" x14ac:dyDescent="0.3">
      <c r="A9198" s="1" t="s">
        <v>624</v>
      </c>
      <c r="B9198" s="1" t="s">
        <v>2107</v>
      </c>
      <c r="C9198" s="1" t="s">
        <v>479</v>
      </c>
      <c r="D9198" s="1" t="s">
        <v>6300</v>
      </c>
      <c r="E9198" s="1" t="s">
        <v>6111</v>
      </c>
      <c r="F9198" s="1" t="s">
        <v>13639</v>
      </c>
      <c r="G9198" s="1" t="s">
        <v>28</v>
      </c>
      <c r="H9198" s="1" t="s">
        <v>29</v>
      </c>
      <c r="I9198" s="1" t="str">
        <f ca="1">IFERROR(__xludf.DUMMYFUNCTION("GOOGLETRANSLATE(F9198, ""auto"", ""en"")
"),"I give it a solid four; it’s a wonderful horror film, a good price, excellent graphics and a very well-developed engine! Of course, for localization a point lower, the second part could have been Russified and only the credits! Have fun on your Xbox!")</f>
        <v>I give it a solid four; it’s a wonderful horror film, a good price, excellent graphics and a very well-developed engine! Of course, for localization a point lower, the second part could have been Russified and only the credits! Have fun on your Xbox!</v>
      </c>
    </row>
    <row r="9199" spans="1:9" x14ac:dyDescent="0.3">
      <c r="A9199" s="1" t="s">
        <v>61</v>
      </c>
      <c r="B9199" s="1" t="s">
        <v>726</v>
      </c>
      <c r="C9199" s="1" t="s">
        <v>146</v>
      </c>
      <c r="D9199" s="1" t="s">
        <v>232</v>
      </c>
      <c r="E9199" s="1" t="s">
        <v>4187</v>
      </c>
      <c r="F9199" s="1" t="s">
        <v>13640</v>
      </c>
      <c r="G9199" s="1" t="s">
        <v>36</v>
      </c>
      <c r="H9199" s="1" t="s">
        <v>29</v>
      </c>
      <c r="I9199" s="1" t="str">
        <f ca="1">IFERROR(__xludf.DUMMYFUNCTION("GOOGLETRANSLATE(F9199, ""auto"", ""en"")
"),"I chose a bread maker that bakes gluten-free bread, and the Kenwood just has this function. It’s easy to use, and they also gave me a book with recipes as a gift.")</f>
        <v>I chose a bread maker that bakes gluten-free bread, and the Kenwood just has this function. It’s easy to use, and they also gave me a book with recipes as a gift.</v>
      </c>
    </row>
    <row r="9200" spans="1:9" x14ac:dyDescent="0.3">
      <c r="A9200" s="1" t="s">
        <v>120</v>
      </c>
      <c r="B9200" s="1" t="s">
        <v>196</v>
      </c>
      <c r="C9200" s="1" t="s">
        <v>69</v>
      </c>
      <c r="D9200" s="1" t="s">
        <v>13641</v>
      </c>
      <c r="E9200" s="1" t="s">
        <v>2231</v>
      </c>
      <c r="F9200" s="1" t="s">
        <v>13642</v>
      </c>
      <c r="G9200" s="1" t="s">
        <v>36</v>
      </c>
      <c r="H9200" s="1" t="s">
        <v>29</v>
      </c>
      <c r="I9200" s="1" t="str">
        <f ca="1">IFERROR(__xludf.DUMMYFUNCTION("GOOGLETRANSLATE(F9200, ""auto"", ""en"")
"),"I recently bought it and am very pleased. I constantly connect via HDMI&gt;HDMI to my computer. Very bright and clear images, even better than the glossy laptop screen. I watch 3D movies with glasses, natural cinema. It reads mp3 and jpeg perfectly from a fl"&amp;"ash drive. The fact that the video cannot be played is honestly written about this. As for the 2nd tuner, this is not even written about. I don’t know what kind of picture it is with graphics or inside a graph (Picture in graphics). But in my opinion, the"&amp;" tuner on this unit is digital, so there shouldn’t be a problem with digital television.  Stitch in just 5 minutes. Before downloading, check the TV software, Home button&gt;Installation&gt;Software update&gt;Installed software. Download the firmware and unpack it"&amp;" onto a flash drive. Copy autorun.upg to the root of the flash drive. Turn off the TV and insert the USB flash drive. Turn on the TV, after recognizing the flash drive, a menu will appear on the screen. Select Install&gt;Software Update&gt;Local Update. Then yo"&amp;"u will understand everything yourself.  P.S. If you connect HDMI&gt;DVI, then you must have a jack for sound. Otherwise the sound will only be on the computer.")</f>
        <v>I recently bought it and am very pleased. I constantly connect via HDMI&gt;HDMI to my computer. Very bright and clear images, even better than the glossy laptop screen. I watch 3D movies with glasses, natural cinema. It reads mp3 and jpeg perfectly from a flash drive. The fact that the video cannot be played is honestly written about this. As for the 2nd tuner, this is not even written about. I don’t know what kind of picture it is with graphics or inside a graph (Picture in graphics). But in my opinion, the tuner on this unit is digital, so there shouldn’t be a problem with digital television.  Stitch in just 5 minutes. Before downloading, check the TV software, Home button&gt;Installation&gt;Software update&gt;Installed software. Download the firmware and unpack it onto a flash drive. Copy autorun.upg to the root of the flash drive. Turn off the TV and insert the USB flash drive. Turn on the TV, after recognizing the flash drive, a menu will appear on the screen. Select Install&gt;Software Update&gt;Local Update. Then you will understand everything yourself.  P.S. If you connect HDMI&gt;DVI, then you must have a jack for sound. Otherwise the sound will only be on the computer.</v>
      </c>
    </row>
    <row r="9201" spans="1:9" x14ac:dyDescent="0.3">
      <c r="A9201" s="1" t="s">
        <v>211</v>
      </c>
      <c r="B9201" s="1" t="s">
        <v>212</v>
      </c>
      <c r="C9201" s="1" t="s">
        <v>381</v>
      </c>
      <c r="D9201" s="1" t="s">
        <v>113</v>
      </c>
      <c r="E9201" s="1" t="s">
        <v>254</v>
      </c>
      <c r="F9201" s="1" t="s">
        <v>13643</v>
      </c>
      <c r="G9201" s="1" t="s">
        <v>36</v>
      </c>
      <c r="H9201" s="1" t="s">
        <v>29</v>
      </c>
      <c r="I9201" s="1" t="str">
        <f ca="1">IFERROR(__xludf.DUMMYFUNCTION("GOOGLETRANSLATE(F9201, ""auto"", ""en"")
"),"The selection of hair dryers is huge. my gaze immediately fell on the professional form of the hairdryer. I didn’t figure it out for a long time. I thought - there is a cold mode, and okay. I'm happy with everything. the quality is good. Among the shortco"&amp;"mings, I can note that it is a little heavy. your hands get tired when you do styling for a long time.")</f>
        <v>The selection of hair dryers is huge. my gaze immediately fell on the professional form of the hairdryer. I didn’t figure it out for a long time. I thought - there is a cold mode, and okay. I'm happy with everything. the quality is good. Among the shortcomings, I can note that it is a little heavy. your hands get tired when you do styling for a long time.</v>
      </c>
    </row>
    <row r="9202" spans="1:9" x14ac:dyDescent="0.3">
      <c r="A9202" s="1" t="s">
        <v>37</v>
      </c>
      <c r="B9202" s="1" t="s">
        <v>536</v>
      </c>
      <c r="C9202" s="1" t="s">
        <v>163</v>
      </c>
      <c r="D9202" s="1" t="s">
        <v>471</v>
      </c>
      <c r="E9202" s="1" t="s">
        <v>2325</v>
      </c>
      <c r="F9202" s="1" t="s">
        <v>13644</v>
      </c>
      <c r="G9202" s="1" t="s">
        <v>28</v>
      </c>
      <c r="H9202" s="1" t="s">
        <v>29</v>
      </c>
      <c r="I9202" s="1" t="str">
        <f ca="1">IFERROR(__xludf.DUMMYFUNCTION("GOOGLETRANSLATE(F9202, ""auto"", ""en"")
"),"I've been using it for over a year. Lately it has been freezing a lot, turning itself off, turning itself on... But the phone is excellent.   The camera is good!!")</f>
        <v>I've been using it for over a year. Lately it has been freezing a lot, turning itself off, turning itself on... But the phone is excellent.   The camera is good!!</v>
      </c>
    </row>
    <row r="9203" spans="1:9" x14ac:dyDescent="0.3">
      <c r="A9203" s="1" t="s">
        <v>624</v>
      </c>
      <c r="B9203" s="1" t="s">
        <v>625</v>
      </c>
      <c r="C9203" s="1" t="s">
        <v>479</v>
      </c>
      <c r="D9203" s="1" t="s">
        <v>11138</v>
      </c>
      <c r="E9203" s="1" t="s">
        <v>3755</v>
      </c>
      <c r="F9203" s="1" t="s">
        <v>13645</v>
      </c>
      <c r="G9203" s="1" t="s">
        <v>28</v>
      </c>
      <c r="H9203" s="1" t="s">
        <v>29</v>
      </c>
      <c r="I9203" s="1" t="str">
        <f ca="1">IFERROR(__xludf.DUMMYFUNCTION("GOOGLETRANSLATE(F9203, ""auto"", ""en"")
"),"I’ll sit in a chair in front of a high-definition TV 127 diagonal 100 hertz and binge on Kane &amp; Lynch 2: Dog Days... the action was actually filmed with an amateur camera with all the details, a bloody crime story for real boys")</f>
        <v>I’ll sit in a chair in front of a high-definition TV 127 diagonal 100 hertz and binge on Kane &amp; Lynch 2: Dog Days... the action was actually filmed with an amateur camera with all the details, a bloody crime story for real boys</v>
      </c>
    </row>
    <row r="9204" spans="1:9" x14ac:dyDescent="0.3">
      <c r="A9204" s="1" t="s">
        <v>120</v>
      </c>
      <c r="B9204" s="1" t="s">
        <v>126</v>
      </c>
      <c r="C9204" s="1" t="s">
        <v>122</v>
      </c>
      <c r="D9204" s="1" t="s">
        <v>545</v>
      </c>
      <c r="E9204" s="1" t="s">
        <v>7270</v>
      </c>
      <c r="F9204" s="1" t="s">
        <v>13646</v>
      </c>
      <c r="G9204" s="1" t="s">
        <v>36</v>
      </c>
      <c r="H9204" s="1" t="s">
        <v>29</v>
      </c>
      <c r="I9204" s="1" t="str">
        <f ca="1">IFERROR(__xludf.DUMMYFUNCTION("GOOGLETRANSLATE(F9204, ""auto"", ""en"")
"),"And I like everything, I bought it about 2 months ago, everything is super. And by the way, any TV other than an LCD will probably have glare, a regular CRT does have glare, the solution was found quite simply, my plasma is located opposite the color sour"&amp;"ce, and there is no glare during the day, although I had to make a small rearrangement, but these are minor things. And the fact that someone doesn’t like the broadcast is a matter of taste, for me it’s normal, and I didn’t really tinker with the settings"&amp;". And for such a price, I didn’t really worry about the shortcomings :)")</f>
        <v>And I like everything, I bought it about 2 months ago, everything is super. And by the way, any TV other than an LCD will probably have glare, a regular CRT does have glare, the solution was found quite simply, my plasma is located opposite the color source, and there is no glare during the day, although I had to make a small rearrangement, but these are minor things. And the fact that someone doesn’t like the broadcast is a matter of taste, for me it’s normal, and I didn’t really tinker with the settings. And for such a price, I didn’t really worry about the shortcomings :)</v>
      </c>
    </row>
    <row r="9205" spans="1:9" x14ac:dyDescent="0.3">
      <c r="A9205" s="1" t="s">
        <v>43</v>
      </c>
      <c r="B9205" s="1" t="s">
        <v>303</v>
      </c>
      <c r="C9205" s="1" t="s">
        <v>220</v>
      </c>
      <c r="D9205" s="1" t="s">
        <v>13647</v>
      </c>
      <c r="E9205" s="1" t="s">
        <v>6907</v>
      </c>
      <c r="F9205" s="1" t="s">
        <v>13648</v>
      </c>
      <c r="G9205" s="1" t="s">
        <v>15</v>
      </c>
      <c r="H9205" s="1" t="s">
        <v>16</v>
      </c>
      <c r="I9205" s="1" t="str">
        <f ca="1">IFERROR(__xludf.DUMMYFUNCTION("GOOGLETRANSLATE(F9205, ""auto"", ""en"")
"),"I can’t say anything about electronics. But we had enough trouble with the tank. After a season of work (over the summer), the tank began to leak. Luckily we live on the first floor, otherwise there would have been problems with the neighbors (they were f"&amp;"looded). After the warranty replacement (okay, at least they changed it), the tank started leaking from the new replaced water heater. I can’t take it for repairs anymore, I don’t have enough nerves or desire. Bad technique.")</f>
        <v>I can’t say anything about electronics. But we had enough trouble with the tank. After a season of work (over the summer), the tank began to leak. Luckily we live on the first floor, otherwise there would have been problems with the neighbors (they were flooded). After the warranty replacement (okay, at least they changed it), the tank started leaking from the new replaced water heater. I can’t take it for repairs anymore, I don’t have enough nerves or desire. Bad technique.</v>
      </c>
    </row>
    <row r="9206" spans="1:9" x14ac:dyDescent="0.3">
      <c r="A9206" s="1" t="s">
        <v>206</v>
      </c>
      <c r="B9206" s="1" t="s">
        <v>1349</v>
      </c>
      <c r="C9206" s="1" t="s">
        <v>4219</v>
      </c>
      <c r="D9206" s="1" t="s">
        <v>127</v>
      </c>
      <c r="E9206" s="1" t="s">
        <v>3652</v>
      </c>
      <c r="F9206" s="1" t="s">
        <v>13649</v>
      </c>
      <c r="G9206" s="1" t="s">
        <v>28</v>
      </c>
      <c r="H9206" s="1" t="s">
        <v>29</v>
      </c>
      <c r="I9206" s="1" t="str">
        <f ca="1">IFERROR(__xludf.DUMMYFUNCTION("GOOGLETRANSLATE(F9206, ""auto"", ""en"")
"),"In general, the device is good, there are not very many settings, but not a few. The image quality, for a screen of this size, is 5. The sound quality is 4. I would have used it further, but 4 months after installation, problems began with the volume cont"&amp;"rol. When adding volume, the radio itself could raise it by 3-5 divisions and immediately drop it 5-6 lower... Fortunately, the remote control is included. Passed it under warranty. When submitting the warranty, I was assured that this was a one-time inci"&amp;"dent.  Otherwise, I'm happy with the radio.")</f>
        <v>In general, the device is good, there are not very many settings, but not a few. The image quality, for a screen of this size, is 5. The sound quality is 4. I would have used it further, but 4 months after installation, problems began with the volume control. When adding volume, the radio itself could raise it by 3-5 divisions and immediately drop it 5-6 lower... Fortunately, the remote control is included. Passed it under warranty. When submitting the warranty, I was assured that this was a one-time incident.  Otherwise, I'm happy with the radio.</v>
      </c>
    </row>
    <row r="9207" spans="1:9" x14ac:dyDescent="0.3">
      <c r="A9207" s="1" t="s">
        <v>211</v>
      </c>
      <c r="B9207" s="1" t="s">
        <v>212</v>
      </c>
      <c r="C9207" s="1" t="s">
        <v>1591</v>
      </c>
      <c r="D9207" s="1" t="s">
        <v>247</v>
      </c>
      <c r="E9207" s="1" t="s">
        <v>1133</v>
      </c>
      <c r="F9207" s="1" t="s">
        <v>13650</v>
      </c>
      <c r="G9207" s="1" t="s">
        <v>36</v>
      </c>
      <c r="H9207" s="1" t="s">
        <v>29</v>
      </c>
      <c r="I9207" s="1" t="str">
        <f ca="1">IFERROR(__xludf.DUMMYFUNCTION("GOOGLETRANSLATE(F9207, ""auto"", ""en"")
"),"I've been using the 2735E brush for about a week. I really like it! Powerful, hair does not frizz, thanks to ionization; boar bristles on two brushes, one rotates in two directions - very convenient! The second brush is like a regular round brush and blow"&amp;"s air out of it, the third is like an iron, the fourth is like a regular hair dryer and blows air out of the hole). The large nozzle moves slightly away from the handle when drying.  Instead of wasting time on a hairdryer and then a straightener, I use th"&amp;"is brush for 10 minutes. Babyliss have proven themselves to be the best! I advise!")</f>
        <v>I've been using the 2735E brush for about a week. I really like it! Powerful, hair does not frizz, thanks to ionization; boar bristles on two brushes, one rotates in two directions - very convenient! The second brush is like a regular round brush and blows air out of it, the third is like an iron, the fourth is like a regular hair dryer and blows air out of the hole). The large nozzle moves slightly away from the handle when drying.  Instead of wasting time on a hairdryer and then a straightener, I use this brush for 10 minutes. Babyliss have proven themselves to be the best! I advise!</v>
      </c>
    </row>
    <row r="9208" spans="1:9" x14ac:dyDescent="0.3">
      <c r="A9208" s="1" t="s">
        <v>67</v>
      </c>
      <c r="B9208" s="1" t="s">
        <v>68</v>
      </c>
      <c r="C9208" s="1" t="s">
        <v>381</v>
      </c>
      <c r="D9208" s="1" t="s">
        <v>3015</v>
      </c>
      <c r="E9208" s="1" t="s">
        <v>4581</v>
      </c>
      <c r="F9208" s="1" t="s">
        <v>13651</v>
      </c>
      <c r="G9208" s="1" t="s">
        <v>36</v>
      </c>
      <c r="H9208" s="1" t="s">
        <v>29</v>
      </c>
      <c r="I9208" s="1" t="str">
        <f ca="1">IFERROR(__xludf.DUMMYFUNCTION("GOOGLETRANSLATE(F9208, ""auto"", ""en"")
"),"I bought an iron from M.Video 2 months ago. Very happy with the purchase! The iron has an unusual design, easy to use: a large water tank, a long cord. The steam produces a lot, comparable to a steam generator. And also the assembly is German, there is a "&amp;"two-year guarantee. I haven't found any shortcomings yet.")</f>
        <v>I bought an iron from M.Video 2 months ago. Very happy with the purchase! The iron has an unusual design, easy to use: a large water tank, a long cord. The steam produces a lot, comparable to a steam generator. And also the assembly is German, there is a two-year guarantee. I haven't found any shortcomings yet.</v>
      </c>
    </row>
    <row r="9209" spans="1:9" x14ac:dyDescent="0.3">
      <c r="A9209" s="1" t="s">
        <v>61</v>
      </c>
      <c r="B9209" s="1" t="s">
        <v>224</v>
      </c>
      <c r="C9209" s="1" t="s">
        <v>85</v>
      </c>
      <c r="D9209" s="1" t="s">
        <v>2045</v>
      </c>
      <c r="E9209" s="1" t="s">
        <v>1467</v>
      </c>
      <c r="F9209" s="1" t="s">
        <v>13652</v>
      </c>
      <c r="G9209" s="1" t="s">
        <v>36</v>
      </c>
      <c r="H9209" s="1" t="s">
        <v>29</v>
      </c>
      <c r="I9209" s="1" t="str">
        <f ca="1">IFERROR(__xludf.DUMMYFUNCTION("GOOGLETRANSLATE(F9209, ""auto"", ""en"")
"),"The juicer is great! The cake is dry, the juice is clear! I'm pleased with the low noise level and the large container for the pulp. I recommend!!!")</f>
        <v>The juicer is great! The cake is dry, the juice is clear! I'm pleased with the low noise level and the large container for the pulp. I recommend!!!</v>
      </c>
    </row>
    <row r="9210" spans="1:9" x14ac:dyDescent="0.3">
      <c r="A9210" s="1" t="s">
        <v>17</v>
      </c>
      <c r="B9210" s="1" t="s">
        <v>18</v>
      </c>
      <c r="C9210" s="1" t="s">
        <v>243</v>
      </c>
      <c r="D9210" s="1" t="s">
        <v>152</v>
      </c>
      <c r="E9210" s="1" t="s">
        <v>13653</v>
      </c>
      <c r="F9210" s="1" t="s">
        <v>13654</v>
      </c>
      <c r="G9210" s="1" t="s">
        <v>28</v>
      </c>
      <c r="H9210" s="1" t="s">
        <v>29</v>
      </c>
      <c r="I9210" s="1" t="str">
        <f ca="1">IFERROR(__xludf.DUMMYFUNCTION("GOOGLETRANSLATE(F9210, ""auto"", ""en"")
"),"price, functionality")</f>
        <v>price, functionality</v>
      </c>
    </row>
    <row r="9211" spans="1:9" x14ac:dyDescent="0.3">
      <c r="A9211" s="1" t="s">
        <v>67</v>
      </c>
      <c r="B9211" s="1" t="s">
        <v>340</v>
      </c>
      <c r="C9211" s="1" t="s">
        <v>1634</v>
      </c>
      <c r="D9211" s="1" t="s">
        <v>39</v>
      </c>
      <c r="E9211" s="1" t="s">
        <v>13655</v>
      </c>
      <c r="F9211" s="1" t="s">
        <v>13656</v>
      </c>
      <c r="G9211" s="1" t="s">
        <v>36</v>
      </c>
      <c r="H9211" s="1" t="s">
        <v>29</v>
      </c>
      <c r="I9211" s="1" t="str">
        <f ca="1">IFERROR(__xludf.DUMMYFUNCTION("GOOGLETRANSLATE(F9211, ""auto"", ""en"")
"),"I bought it for my wife as a gift. I'm very pleased. Easy to use. Nice appearance. Optimal ratio \price-quality-functionality\. Of the minuses: there is no oil can.")</f>
        <v>I bought it for my wife as a gift. I'm very pleased. Easy to use. Nice appearance. Optimal ratio \price-quality-functionality\. Of the minuses: there is no oil can.</v>
      </c>
    </row>
    <row r="9212" spans="1:9" x14ac:dyDescent="0.3">
      <c r="A9212" s="1" t="s">
        <v>78</v>
      </c>
      <c r="B9212" s="1" t="s">
        <v>1163</v>
      </c>
      <c r="C9212" s="1" t="s">
        <v>459</v>
      </c>
      <c r="D9212" s="1" t="s">
        <v>5431</v>
      </c>
      <c r="E9212" s="1" t="s">
        <v>5798</v>
      </c>
      <c r="F9212" s="1" t="s">
        <v>13657</v>
      </c>
      <c r="G9212" s="1" t="s">
        <v>28</v>
      </c>
      <c r="H9212" s="1" t="s">
        <v>29</v>
      </c>
      <c r="I9212" s="1" t="str">
        <f ca="1">IFERROR(__xludf.DUMMYFUNCTION("GOOGLETRANSLATE(F9212, ""auto"", ""en"")
"),"Good day! This microwave served me for 1.5 years, then the control unit failed - or rather the dial cable, which I’m now trying to find on the Mitino radio market.")</f>
        <v>Good day! This microwave served me for 1.5 years, then the control unit failed - or rather the dial cable, which I’m now trying to find on the Mitino radio market.</v>
      </c>
    </row>
    <row r="9213" spans="1:9" x14ac:dyDescent="0.3">
      <c r="A9213" s="1" t="s">
        <v>43</v>
      </c>
      <c r="B9213" s="1" t="s">
        <v>1616</v>
      </c>
      <c r="C9213" s="1" t="s">
        <v>185</v>
      </c>
      <c r="D9213" s="1" t="s">
        <v>39</v>
      </c>
      <c r="E9213" s="1" t="s">
        <v>481</v>
      </c>
      <c r="F9213" s="1" t="s">
        <v>13658</v>
      </c>
      <c r="G9213" s="1" t="s">
        <v>36</v>
      </c>
      <c r="H9213" s="1" t="s">
        <v>29</v>
      </c>
      <c r="I9213" s="1" t="str">
        <f ca="1">IFERROR(__xludf.DUMMYFUNCTION("GOOGLETRANSLATE(F9213, ""auto"", ""en"")
"),"I'm happy with the purchase, before I bought it I studied foreign tops on mobile air conditioners, this model takes first place everywhere (for different countries they make it with different indices and slight differences in characteristics), the most pl"&amp;"easant design of everything I've seen, it works in general like everything else with Noise, but that year there was another one in the office that hummed just like a tractor, so everything is better here IMHO again, I took it just in case (remembering the"&amp;" terrible summer 2010), for the dacha... but for now it’s at home, I think I’ll drive it in Moscow this summer... let’s do some testing, so to speak)))")</f>
        <v>I'm happy with the purchase, before I bought it I studied foreign tops on mobile air conditioners, this model takes first place everywhere (for different countries they make it with different indices and slight differences in characteristics), the most pleasant design of everything I've seen, it works in general like everything else with Noise, but that year there was another one in the office that hummed just like a tractor, so everything is better here IMHO again, I took it just in case (remembering the terrible summer 2010), for the dacha... but for now it’s at home, I think I’ll drive it in Moscow this summer... let’s do some testing, so to speak)))</v>
      </c>
    </row>
    <row r="9214" spans="1:9" x14ac:dyDescent="0.3">
      <c r="A9214" s="1" t="s">
        <v>149</v>
      </c>
      <c r="B9214" s="1" t="s">
        <v>576</v>
      </c>
      <c r="C9214" s="1" t="s">
        <v>122</v>
      </c>
      <c r="D9214" s="1" t="s">
        <v>1610</v>
      </c>
      <c r="E9214" s="1" t="s">
        <v>1660</v>
      </c>
      <c r="F9214" s="1" t="s">
        <v>13659</v>
      </c>
      <c r="G9214" s="1" t="s">
        <v>36</v>
      </c>
      <c r="H9214" s="1" t="s">
        <v>29</v>
      </c>
      <c r="I9214" s="1" t="str">
        <f ca="1">IFERROR(__xludf.DUMMYFUNCTION("GOOGLETRANSLATE(F9214, ""auto"", ""en"")
"),"The vacuum cleaner is just super. very satisfied!")</f>
        <v>The vacuum cleaner is just super. very satisfied!</v>
      </c>
    </row>
    <row r="9215" spans="1:9" x14ac:dyDescent="0.3">
      <c r="A9215" s="1" t="s">
        <v>149</v>
      </c>
      <c r="B9215" s="1" t="s">
        <v>155</v>
      </c>
      <c r="C9215" s="1" t="s">
        <v>80</v>
      </c>
      <c r="D9215" s="1" t="s">
        <v>305</v>
      </c>
      <c r="E9215" s="1" t="s">
        <v>883</v>
      </c>
      <c r="F9215" s="1" t="s">
        <v>13660</v>
      </c>
      <c r="G9215" s="1" t="s">
        <v>36</v>
      </c>
      <c r="H9215" s="1" t="s">
        <v>29</v>
      </c>
      <c r="I9215" s="1" t="str">
        <f ca="1">IFERROR(__xludf.DUMMYFUNCTION("GOOGLETRANSLATE(F9215, ""auto"", ""en"")
"),"I've been using it for a month and don't see any problems. There is enough power for everything, it perfectly collects cat hair from medium-pile carpet. Moreover, it vacuums the floor even through the mat, so I don’t know why the madam who wrote above is "&amp;"not happy about the power (most likely a banal failure to follow the instructions). I don’t know what vacuum cleaner for such ridiculous money has a washable filter.     The result: a vacuum cleaner that vacuums. 5 points")</f>
        <v>I've been using it for a month and don't see any problems. There is enough power for everything, it perfectly collects cat hair from medium-pile carpet. Moreover, it vacuums the floor even through the mat, so I don’t know why the madam who wrote above is not happy about the power (most likely a banal failure to follow the instructions). I don’t know what vacuum cleaner for such ridiculous money has a washable filter.     The result: a vacuum cleaner that vacuums. 5 points</v>
      </c>
    </row>
    <row r="9216" spans="1:9" x14ac:dyDescent="0.3">
      <c r="A9216" s="1" t="s">
        <v>120</v>
      </c>
      <c r="B9216" s="1" t="s">
        <v>126</v>
      </c>
      <c r="C9216" s="1" t="s">
        <v>151</v>
      </c>
      <c r="D9216" s="1" t="s">
        <v>152</v>
      </c>
      <c r="E9216" s="1" t="s">
        <v>164</v>
      </c>
      <c r="F9216" s="1" t="s">
        <v>13661</v>
      </c>
      <c r="G9216" s="1" t="s">
        <v>15</v>
      </c>
      <c r="H9216" s="1" t="s">
        <v>16</v>
      </c>
      <c r="I9216" s="1" t="str">
        <f ca="1">IFERROR(__xludf.DUMMYFUNCTION("GOOGLETRANSLATE(F9216, ""auto"", ""en"")
"),"I bought this TV for my Mom's birthday. Wow, the previous Alexander wrote that the TV was super and I decided to buy it. And for some reason I was very upset about the purchase! The image quality is very, very average; I didn’t feel anything indicated in "&amp;"the contrast and brightness characteristics. If the sun is shining, the image is barely visible, everything glows, I expected more from plasma! The remote control is very inconvenient in terms of functionality. For example, if you need to turn on slip mod"&amp;"e you need to go into the main menu and look there, how can an elderly person do this? For example, on Panasonic you just press one button and you're done. As a result, some functions listed in the list are missing. For example, picture in picture, pictur"&amp;"e and picture. In general, a terrible purchase, except for the fact that it is huge, there is not a single plus. Now I regret my purchase! Don't make the same mistake!")</f>
        <v>I bought this TV for my Mom's birthday. Wow, the previous Alexander wrote that the TV was super and I decided to buy it. And for some reason I was very upset about the purchase! The image quality is very, very average; I didn’t feel anything indicated in the contrast and brightness characteristics. If the sun is shining, the image is barely visible, everything glows, I expected more from plasma! The remote control is very inconvenient in terms of functionality. For example, if you need to turn on slip mode you need to go into the main menu and look there, how can an elderly person do this? For example, on Panasonic you just press one button and you're done. As a result, some functions listed in the list are missing. For example, picture in picture, picture and picture. In general, a terrible purchase, except for the fact that it is huge, there is not a single plus. Now I regret my purchase! Don't make the same mistake!</v>
      </c>
    </row>
    <row r="9217" spans="1:9" x14ac:dyDescent="0.3">
      <c r="A9217" s="1" t="s">
        <v>624</v>
      </c>
      <c r="B9217" s="1" t="s">
        <v>625</v>
      </c>
      <c r="C9217" s="1" t="s">
        <v>479</v>
      </c>
      <c r="D9217" s="1" t="s">
        <v>81</v>
      </c>
      <c r="E9217" s="1" t="s">
        <v>5241</v>
      </c>
      <c r="F9217" s="1" t="s">
        <v>13662</v>
      </c>
      <c r="G9217" s="1" t="s">
        <v>36</v>
      </c>
      <c r="H9217" s="1" t="s">
        <v>29</v>
      </c>
      <c r="I9217" s="1" t="str">
        <f ca="1">IFERROR(__xludf.DUMMYFUNCTION("GOOGLETRANSLATE(F9217, ""auto"", ""en"")
"),"I have never seen a better simulator. Good graphics, excellent physics. Lots of tricks and their varieties. During improvisation, you can combine different tricks. There are a lot of dangerous places in the game where you can only grind, it looks amazing!"&amp;" I recommend it to everyone!")</f>
        <v>I have never seen a better simulator. Good graphics, excellent physics. Lots of tricks and their varieties. During improvisation, you can combine different tricks. There are a lot of dangerous places in the game where you can only grind, it looks amazing! I recommend it to everyone!</v>
      </c>
    </row>
    <row r="9218" spans="1:9" x14ac:dyDescent="0.3">
      <c r="A9218" s="1" t="s">
        <v>61</v>
      </c>
      <c r="B9218" s="1" t="s">
        <v>318</v>
      </c>
      <c r="C9218" s="1" t="s">
        <v>246</v>
      </c>
      <c r="D9218" s="1" t="s">
        <v>2204</v>
      </c>
      <c r="E9218" s="1" t="s">
        <v>4122</v>
      </c>
      <c r="F9218" s="1" t="s">
        <v>13663</v>
      </c>
      <c r="G9218" s="1" t="s">
        <v>28</v>
      </c>
      <c r="H9218" s="1" t="s">
        <v>29</v>
      </c>
      <c r="I9218" s="1" t="str">
        <f ca="1">IFERROR(__xludf.DUMMYFUNCTION("GOOGLETRANSLATE(F9218, ""auto"", ""en"")
"),"Worked honestly for 7 years")</f>
        <v>Worked honestly for 7 years</v>
      </c>
    </row>
    <row r="9219" spans="1:9" x14ac:dyDescent="0.3">
      <c r="A9219" s="1" t="s">
        <v>61</v>
      </c>
      <c r="B9219" s="1" t="s">
        <v>145</v>
      </c>
      <c r="C9219" s="1" t="s">
        <v>45</v>
      </c>
      <c r="D9219" s="1" t="s">
        <v>247</v>
      </c>
      <c r="E9219" s="1" t="s">
        <v>1012</v>
      </c>
      <c r="F9219" s="1" t="s">
        <v>13664</v>
      </c>
      <c r="G9219" s="1" t="s">
        <v>36</v>
      </c>
      <c r="H9219" s="1" t="s">
        <v>29</v>
      </c>
      <c r="I9219" s="1" t="str">
        <f ca="1">IFERROR(__xludf.DUMMYFUNCTION("GOOGLETRANSLATE(F9219, ""auto"", ""en"")
"),"Gifted for my birthday. There was no oven, but I really wanted to cook casseroles, meat in foil, pies. A dream come true! most wonderful thing! I’ve already prepared so much) The cooking process is visible, everything is baked perfectly, what meat in a po"&amp;"t! Well, it’s just delicious) And the fish))) Juicy) The only drawback: it’s a removable lid. At first I burned myself several times. Now I remove the lid with a mitten.  It doesn’t stink of any plastic, don’t believe it, unless there is an initial manufa"&amp;"cturing defect, of course.")</f>
        <v>Gifted for my birthday. There was no oven, but I really wanted to cook casseroles, meat in foil, pies. A dream come true! most wonderful thing! I’ve already prepared so much) The cooking process is visible, everything is baked perfectly, what meat in a pot! Well, it’s just delicious) And the fish))) Juicy) The only drawback: it’s a removable lid. At first I burned myself several times. Now I remove the lid with a mitten.  It doesn’t stink of any plastic, don’t believe it, unless there is an initial manufacturing defect, of course.</v>
      </c>
    </row>
    <row r="9220" spans="1:9" x14ac:dyDescent="0.3">
      <c r="A9220" s="1" t="s">
        <v>211</v>
      </c>
      <c r="B9220" s="1" t="s">
        <v>410</v>
      </c>
      <c r="C9220" s="1" t="s">
        <v>69</v>
      </c>
      <c r="D9220" s="1" t="s">
        <v>742</v>
      </c>
      <c r="E9220" s="1" t="s">
        <v>214</v>
      </c>
      <c r="F9220" s="1" t="s">
        <v>13665</v>
      </c>
      <c r="G9220" s="1" t="s">
        <v>36</v>
      </c>
      <c r="H9220" s="1" t="s">
        <v>29</v>
      </c>
      <c r="I9220" s="1" t="str">
        <f ca="1">IFERROR(__xludf.DUMMYFUNCTION("GOOGLETRANSLATE(F9220, ""auto"", ""en"")
"),"This is my first electric razor! I've been using it for a month now, and I have only positive impressions!!!")</f>
        <v>This is my first electric razor! I've been using it for a month now, and I have only positive impressions!!!</v>
      </c>
    </row>
    <row r="9221" spans="1:9" x14ac:dyDescent="0.3">
      <c r="A9221" s="1" t="s">
        <v>61</v>
      </c>
      <c r="B9221" s="1" t="s">
        <v>977</v>
      </c>
      <c r="C9221" s="1" t="s">
        <v>101</v>
      </c>
      <c r="D9221" s="1" t="s">
        <v>13666</v>
      </c>
      <c r="E9221" s="1" t="s">
        <v>3755</v>
      </c>
      <c r="F9221" s="1" t="s">
        <v>13667</v>
      </c>
      <c r="G9221" s="1" t="s">
        <v>36</v>
      </c>
      <c r="H9221" s="1" t="s">
        <v>29</v>
      </c>
      <c r="I9221" s="1" t="str">
        <f ca="1">IFERROR(__xludf.DUMMYFUNCTION("GOOGLETRANSLATE(F9221, ""auto"", ""en"")
"),"It hasn’t let me down even once in a year! value for money! I especially like chopping onions!))) 3 seconds and you're done!")</f>
        <v>It hasn’t let me down even once in a year! value for money! I especially like chopping onions!))) 3 seconds and you're done!</v>
      </c>
    </row>
    <row r="9222" spans="1:9" x14ac:dyDescent="0.3">
      <c r="A9222" s="1" t="s">
        <v>55</v>
      </c>
      <c r="B9222" s="1" t="s">
        <v>56</v>
      </c>
      <c r="C9222" s="1" t="s">
        <v>85</v>
      </c>
      <c r="D9222" s="1" t="s">
        <v>456</v>
      </c>
      <c r="E9222" s="1" t="s">
        <v>10075</v>
      </c>
      <c r="F9222" s="1" t="s">
        <v>13668</v>
      </c>
      <c r="G9222" s="1" t="s">
        <v>49</v>
      </c>
      <c r="H9222" s="1" t="s">
        <v>16</v>
      </c>
      <c r="I9222" s="1" t="str">
        <f ca="1">IFERROR(__xludf.DUMMYFUNCTION("GOOGLETRANSLATE(F9222, ""auto"", ""en"")
"),"We bought a humidifier a year ago and couldn’t be happier with it. After 3 months the membrane broke. They repaired it under warranty, but a day later it broke down again. We exchanged it for a new one, the new one worked a little longer. While the warran"&amp;"ty is still there, I'll go take it in.")</f>
        <v>We bought a humidifier a year ago and couldn’t be happier with it. After 3 months the membrane broke. They repaired it under warranty, but a day later it broke down again. We exchanged it for a new one, the new one worked a little longer. While the warranty is still there, I'll go take it in.</v>
      </c>
    </row>
    <row r="9223" spans="1:9" x14ac:dyDescent="0.3">
      <c r="A9223" s="1" t="s">
        <v>211</v>
      </c>
      <c r="B9223" s="1" t="s">
        <v>212</v>
      </c>
      <c r="C9223" s="1" t="s">
        <v>213</v>
      </c>
      <c r="D9223" s="1" t="s">
        <v>589</v>
      </c>
      <c r="E9223" s="1" t="s">
        <v>540</v>
      </c>
      <c r="F9223" s="1" t="s">
        <v>13669</v>
      </c>
      <c r="G9223" s="1" t="s">
        <v>36</v>
      </c>
      <c r="H9223" s="1" t="s">
        <v>29</v>
      </c>
      <c r="I9223" s="1" t="str">
        <f ca="1">IFERROR(__xludf.DUMMYFUNCTION("GOOGLETRANSLATE(F9223, ""auto"", ""en"")
"),"Great hairdryer!!!!! Comfortable design, powerful flow of hot and cold air, very satisfied!!! I have been using it EVERY DAY for 3 years now, and I hope to use it for a long time!!! In general, a THING is a THING!")</f>
        <v>Great hairdryer!!!!! Comfortable design, powerful flow of hot and cold air, very satisfied!!! I have been using it EVERY DAY for 3 years now, and I hope to use it for a long time!!! In general, a THING is a THING!</v>
      </c>
    </row>
    <row r="9224" spans="1:9" x14ac:dyDescent="0.3">
      <c r="A9224" s="1" t="s">
        <v>120</v>
      </c>
      <c r="B9224" s="1" t="s">
        <v>196</v>
      </c>
      <c r="C9224" s="1" t="s">
        <v>97</v>
      </c>
      <c r="D9224" s="1" t="s">
        <v>1456</v>
      </c>
      <c r="E9224" s="1" t="s">
        <v>661</v>
      </c>
      <c r="F9224" s="1" t="s">
        <v>13670</v>
      </c>
      <c r="G9224" s="1" t="s">
        <v>36</v>
      </c>
      <c r="H9224" s="1" t="s">
        <v>29</v>
      </c>
      <c r="I9224" s="1" t="str">
        <f ca="1">IFERROR(__xludf.DUMMYFUNCTION("GOOGLETRANSLATE(F9224, ""auto"", ""en"")
"),"In general, Sony Bravia is one of the best TVs on the technology market. My friend took this TV and couldn’t get enough of it, so I decided to take a masterpiece and couldn’t be happier!")</f>
        <v>In general, Sony Bravia is one of the best TVs on the technology market. My friend took this TV and couldn’t get enough of it, so I decided to take a masterpiece and couldn’t be happier!</v>
      </c>
    </row>
    <row r="9225" spans="1:9" x14ac:dyDescent="0.3">
      <c r="A9225" s="1" t="s">
        <v>211</v>
      </c>
      <c r="B9225" s="1" t="s">
        <v>1818</v>
      </c>
      <c r="C9225" s="1" t="s">
        <v>213</v>
      </c>
      <c r="D9225" s="1" t="s">
        <v>589</v>
      </c>
      <c r="E9225" s="1" t="s">
        <v>897</v>
      </c>
      <c r="F9225" s="1" t="s">
        <v>13671</v>
      </c>
      <c r="G9225" s="1" t="s">
        <v>36</v>
      </c>
      <c r="H9225" s="1" t="s">
        <v>29</v>
      </c>
      <c r="I9225" s="1" t="str">
        <f ca="1">IFERROR(__xludf.DUMMYFUNCTION("GOOGLETRANSLATE(F9225, ""auto"", ""en"")
"),"May I know what is included in this product? I bought a comb, but apart from it there is nothing in the kit. should it be or not? thanks in advance.")</f>
        <v>May I know what is included in this product? I bought a comb, but apart from it there is nothing in the kit. should it be or not? thanks in advance.</v>
      </c>
    </row>
    <row r="9226" spans="1:9" x14ac:dyDescent="0.3">
      <c r="A9226" s="1" t="s">
        <v>89</v>
      </c>
      <c r="B9226" s="1" t="s">
        <v>231</v>
      </c>
      <c r="C9226" s="1" t="s">
        <v>185</v>
      </c>
      <c r="D9226" s="1" t="s">
        <v>13672</v>
      </c>
      <c r="E9226" s="1" t="s">
        <v>1112</v>
      </c>
      <c r="F9226" s="1" t="s">
        <v>13673</v>
      </c>
      <c r="G9226" s="1" t="s">
        <v>36</v>
      </c>
      <c r="H9226" s="1" t="s">
        <v>29</v>
      </c>
      <c r="I9226" s="1" t="str">
        <f ca="1">IFERROR(__xludf.DUMMYFUNCTION("GOOGLETRANSLATE(F9226, ""auto"", ""en"")
"),"Convenient functionality, quick switching from steam function to coffee preparation")</f>
        <v>Convenient functionality, quick switching from steam function to coffee preparation</v>
      </c>
    </row>
    <row r="9227" spans="1:9" x14ac:dyDescent="0.3">
      <c r="A9227" s="1" t="s">
        <v>149</v>
      </c>
      <c r="B9227" s="1" t="s">
        <v>155</v>
      </c>
      <c r="C9227" s="1" t="s">
        <v>80</v>
      </c>
      <c r="D9227" s="1" t="s">
        <v>308</v>
      </c>
      <c r="E9227" s="1" t="s">
        <v>1195</v>
      </c>
      <c r="F9227" s="1" t="s">
        <v>13674</v>
      </c>
      <c r="G9227" s="1" t="s">
        <v>36</v>
      </c>
      <c r="H9227" s="1" t="s">
        <v>29</v>
      </c>
      <c r="I9227" s="1" t="str">
        <f ca="1">IFERROR(__xludf.DUMMYFUNCTION("GOOGLETRANSLATE(F9227, ""auto"", ""en"")
"),"Excellent vacuum cleaner. It has been working for more than two years, in principle, no problems have arisen.  The kit includes a very convenient container and attachments necessary for good cleaning. The brush is very convenient for cleaning the keyboard"&amp;".    Among the disadvantages: the cord is difficult to wind up; the filters at least need to be washed every 5 cleanings, otherwise it will not absorb dust well.  I advise you to buy.")</f>
        <v>Excellent vacuum cleaner. It has been working for more than two years, in principle, no problems have arisen.  The kit includes a very convenient container and attachments necessary for good cleaning. The brush is very convenient for cleaning the keyboard.    Among the disadvantages: the cord is difficult to wind up; the filters at least need to be washed every 5 cleanings, otherwise it will not absorb dust well.  I advise you to buy.</v>
      </c>
    </row>
    <row r="9228" spans="1:9" x14ac:dyDescent="0.3">
      <c r="A9228" s="1" t="s">
        <v>369</v>
      </c>
      <c r="B9228" s="1" t="s">
        <v>2480</v>
      </c>
      <c r="C9228" s="1" t="s">
        <v>453</v>
      </c>
      <c r="D9228" s="1" t="s">
        <v>52</v>
      </c>
      <c r="E9228" s="1" t="s">
        <v>10672</v>
      </c>
      <c r="F9228" s="1" t="s">
        <v>13675</v>
      </c>
      <c r="G9228" s="1" t="s">
        <v>49</v>
      </c>
      <c r="H9228" s="1" t="s">
        <v>16</v>
      </c>
      <c r="I9228" s="1" t="str">
        <f ca="1">IFERROR(__xludf.DUMMYFUNCTION("GOOGLETRANSLATE(F9228, ""auto"", ""en"")
"),"1) There were advantages only when we paid attention to the external design and affordable price (for an urgent purchase at a time).   2) Cons - the case gets very hot (very hot, you can’t even touch it from the bottom or the side). It stood on a temporar"&amp;"y wooden table on a thick rubber stand, which was constantly changed because... it burned out and fell away like sand, and in this place the wooden table was damaged and all cracked.  - the temperature regulator, when set from 1 to 3, warms up for the fir"&amp;"st time (by heating to the maximum temperature), after which it turns off until it cools down almost completely. It was so difficult to cook, I had to manually set the maximum and turn it off when it boiled - at first the heating panel was washed with gre"&amp;"at difficulty from traces of cooking, but now almost the entire surface is covered with rust, because... the top layer was removed with dirt.  - dark spots remain on the bottom of the new dishes, from strong incandescence at max. Purchased on 01.2015.  I "&amp;"have no desire to use such a tile and also do not recommend it to others.")</f>
        <v>1) There were advantages only when we paid attention to the external design and affordable price (for an urgent purchase at a time).   2) Cons - the case gets very hot (very hot, you can’t even touch it from the bottom or the side). It stood on a temporary wooden table on a thick rubber stand, which was constantly changed because... it burned out and fell away like sand, and in this place the wooden table was damaged and all cracked.  - the temperature regulator, when set from 1 to 3, warms up for the first time (by heating to the maximum temperature), after which it turns off until it cools down almost completely. It was so difficult to cook, I had to manually set the maximum and turn it off when it boiled - at first the heating panel was washed with great difficulty from traces of cooking, but now almost the entire surface is covered with rust, because... the top layer was removed with dirt.  - dark spots remain on the bottom of the new dishes, from strong incandescence at max. Purchased on 01.2015.  I have no desire to use such a tile and also do not recommend it to others.</v>
      </c>
    </row>
    <row r="9229" spans="1:9" x14ac:dyDescent="0.3">
      <c r="A9229" s="1" t="s">
        <v>149</v>
      </c>
      <c r="B9229" s="1" t="s">
        <v>150</v>
      </c>
      <c r="C9229" s="1" t="s">
        <v>6732</v>
      </c>
      <c r="D9229" s="1" t="s">
        <v>305</v>
      </c>
      <c r="E9229" s="1" t="s">
        <v>1586</v>
      </c>
      <c r="F9229" s="1" t="s">
        <v>13676</v>
      </c>
      <c r="G9229" s="1" t="s">
        <v>28</v>
      </c>
      <c r="H9229" s="1" t="s">
        <v>29</v>
      </c>
      <c r="I9229" s="1" t="str">
        <f ca="1">IFERROR(__xludf.DUMMYFUNCTION("GOOGLETRANSLATE(F9229, ""auto"", ""en"")
"),"I bought this vacuum cleaner, but it was called Hansa back in 2007, there were no problems at all. It cleans everything very well, the only thing that didn’t suit me was the lack of a replaceable HEPA filter on sale, especially since there are 2 of them. "&amp;"As for the container, it’s actually quite difficult to clean.")</f>
        <v>I bought this vacuum cleaner, but it was called Hansa back in 2007, there were no problems at all. It cleans everything very well, the only thing that didn’t suit me was the lack of a replaceable HEPA filter on sale, especially since there are 2 of them. As for the container, it’s actually quite difficult to clean.</v>
      </c>
    </row>
    <row r="9230" spans="1:9" x14ac:dyDescent="0.3">
      <c r="A9230" s="1" t="s">
        <v>30</v>
      </c>
      <c r="B9230" s="1" t="s">
        <v>50</v>
      </c>
      <c r="C9230" s="1" t="s">
        <v>1386</v>
      </c>
      <c r="D9230" s="1" t="s">
        <v>5747</v>
      </c>
      <c r="E9230" s="1" t="s">
        <v>2702</v>
      </c>
      <c r="F9230" s="1" t="s">
        <v>13677</v>
      </c>
      <c r="G9230" s="1" t="s">
        <v>36</v>
      </c>
      <c r="H9230" s="1" t="s">
        <v>29</v>
      </c>
      <c r="I9230" s="1" t="str">
        <f ca="1">IFERROR(__xludf.DUMMYFUNCTION("GOOGLETRANSLATE(F9230, ""auto"", ""en"")
"),"Yesterday I bought this device. Naturally, when I got home I immediately tested it. Quite fast for its parameters. I set him the task of not freezing when installing an antivirus program, watching a video clip, downloading a movie from the Internet, while"&amp;" working in Word at the same time. He successfully completed his task without thinking for a minute!  I really liked the appearance, strict, neat, convenient buttons with large letters. In addition, the presence of a webcam and card reader for such a pric"&amp;"e was a particularly pleasant surprise :)) And the e-Machines brand, although a budget one, may not inspire confidence in some, but I can say for sure that in my family I am the third person who bought a laptop of this brand. Moreover, the first two work "&amp;"perfectly, without any lags, do not slow down :)) So, I give it a solid 5, and I advise anyone who is deciding whether to buy or not, BUY!!! :)))")</f>
        <v>Yesterday I bought this device. Naturally, when I got home I immediately tested it. Quite fast for its parameters. I set him the task of not freezing when installing an antivirus program, watching a video clip, downloading a movie from the Internet, while working in Word at the same time. He successfully completed his task without thinking for a minute!  I really liked the appearance, strict, neat, convenient buttons with large letters. In addition, the presence of a webcam and card reader for such a price was a particularly pleasant surprise :)) And the e-Machines brand, although a budget one, may not inspire confidence in some, but I can say for sure that in my family I am the third person who bought a laptop of this brand. Moreover, the first two work perfectly, without any lags, do not slow down :)) So, I give it a solid 5, and I advise anyone who is deciding whether to buy or not, BUY!!! :)))</v>
      </c>
    </row>
    <row r="9231" spans="1:9" x14ac:dyDescent="0.3">
      <c r="A9231" s="1" t="s">
        <v>89</v>
      </c>
      <c r="B9231" s="1" t="s">
        <v>90</v>
      </c>
      <c r="C9231" s="1" t="s">
        <v>63</v>
      </c>
      <c r="D9231" s="1" t="s">
        <v>565</v>
      </c>
      <c r="E9231" s="1" t="s">
        <v>3186</v>
      </c>
      <c r="F9231" s="1" t="s">
        <v>13678</v>
      </c>
      <c r="G9231" s="1" t="s">
        <v>94</v>
      </c>
      <c r="H9231" s="1" t="s">
        <v>29</v>
      </c>
      <c r="I9231" s="1" t="str">
        <f ca="1">IFERROR(__xludf.DUMMYFUNCTION("GOOGLETRANSLATE(F9231, ""auto"", ""en"")
"),"I'm happy with everything.")</f>
        <v>I'm happy with everything.</v>
      </c>
    </row>
    <row r="9232" spans="1:9" x14ac:dyDescent="0.3">
      <c r="A9232" s="1" t="s">
        <v>37</v>
      </c>
      <c r="B9232" s="1" t="s">
        <v>38</v>
      </c>
      <c r="C9232" s="1" t="s">
        <v>39</v>
      </c>
      <c r="D9232" s="1" t="s">
        <v>896</v>
      </c>
      <c r="E9232" s="1" t="s">
        <v>2468</v>
      </c>
      <c r="F9232" s="1" t="s">
        <v>13679</v>
      </c>
      <c r="G9232" s="1" t="s">
        <v>36</v>
      </c>
      <c r="H9232" s="1" t="s">
        <v>29</v>
      </c>
      <c r="I9232" s="1" t="str">
        <f ca="1">IFERROR(__xludf.DUMMYFUNCTION("GOOGLETRANSLATE(F9232, ""auto"", ""en"")
"),"I bought this phone three months ago, I’m delighted... everything is convenient and high quality))) everything is fine with it, no glitches, the slider is reliable, the phone is decent for the price)))) I recommend it))")</f>
        <v>I bought this phone three months ago, I’m delighted... everything is convenient and high quality))) everything is fine with it, no glitches, the slider is reliable, the phone is decent for the price)))) I recommend it))</v>
      </c>
    </row>
    <row r="9233" spans="1:9" x14ac:dyDescent="0.3">
      <c r="A9233" s="1" t="s">
        <v>811</v>
      </c>
      <c r="B9233" s="1" t="s">
        <v>4226</v>
      </c>
      <c r="C9233" s="1" t="s">
        <v>13680</v>
      </c>
      <c r="D9233" s="1" t="s">
        <v>228</v>
      </c>
      <c r="E9233" s="1" t="s">
        <v>13681</v>
      </c>
      <c r="F9233" s="1" t="s">
        <v>13682</v>
      </c>
      <c r="G9233" s="1" t="s">
        <v>49</v>
      </c>
      <c r="H9233" s="1" t="s">
        <v>16</v>
      </c>
      <c r="I9233" s="1" t="str">
        <f ca="1">IFERROR(__xludf.DUMMYFUNCTION("GOOGLETRANSLATE(F9233, ""auto"", ""en"")
"),"Yesterday I went to change the DU14 AcmePower battery I bought at M-Video, they replaced it without any problems, I immediately put it in the camera (I took it with me) and again the battery is defective - it does not fit in the camera, it falls out, I re"&amp;"turned the money. I do not recommend buying this product.")</f>
        <v>Yesterday I went to change the DU14 AcmePower battery I bought at M-Video, they replaced it without any problems, I immediately put it in the camera (I took it with me) and again the battery is defective - it does not fit in the camera, it falls out, I returned the money. I do not recommend buying this product.</v>
      </c>
    </row>
    <row r="9234" spans="1:9" x14ac:dyDescent="0.3">
      <c r="A9234" s="1" t="s">
        <v>43</v>
      </c>
      <c r="B9234" s="1" t="s">
        <v>1382</v>
      </c>
      <c r="C9234" s="1" t="s">
        <v>45</v>
      </c>
      <c r="D9234" s="1" t="s">
        <v>13683</v>
      </c>
      <c r="E9234" s="1" t="s">
        <v>1129</v>
      </c>
      <c r="F9234" s="1" t="s">
        <v>13684</v>
      </c>
      <c r="G9234" s="1" t="s">
        <v>36</v>
      </c>
      <c r="H9234" s="1" t="s">
        <v>29</v>
      </c>
      <c r="I9234" s="1" t="str">
        <f ca="1">IFERROR(__xludf.DUMMYFUNCTION("GOOGLETRANSLATE(F9234, ""auto"", ""en"")
"),"I specifically went to the site to express my gratitude to the sellers of the store in Balashikha (Vertical), who recommended this fan model. All the necessary and required functions are available in this model. This includes noiselessness, compactness, s"&amp;"tyle, and a remote control. I found everything I was looking for. Once again I thank the consultants for their recommendations.")</f>
        <v>I specifically went to the site to express my gratitude to the sellers of the store in Balashikha (Vertical), who recommended this fan model. All the necessary and required functions are available in this model. This includes noiselessness, compactness, style, and a remote control. I found everything I was looking for. Once again I thank the consultants for their recommendations.</v>
      </c>
    </row>
    <row r="9235" spans="1:9" x14ac:dyDescent="0.3">
      <c r="A9235" s="1" t="s">
        <v>624</v>
      </c>
      <c r="B9235" s="1" t="s">
        <v>2107</v>
      </c>
      <c r="C9235" s="1" t="s">
        <v>479</v>
      </c>
      <c r="D9235" s="1" t="s">
        <v>4937</v>
      </c>
      <c r="E9235" s="1" t="s">
        <v>4540</v>
      </c>
      <c r="F9235" s="1" t="s">
        <v>13685</v>
      </c>
      <c r="G9235" s="1" t="s">
        <v>36</v>
      </c>
      <c r="H9235" s="1" t="s">
        <v>29</v>
      </c>
      <c r="I9235" s="1" t="str">
        <f ca="1">IFERROR(__xludf.DUMMYFUNCTION("GOOGLETRANSLATE(F9235, ""auto"", ""en"")
"),"Buy the game, it’s great! The plot is amazing, and the actions in the game themselves are also great!")</f>
        <v>Buy the game, it’s great! The plot is amazing, and the actions in the game themselves are also great!</v>
      </c>
    </row>
    <row r="9236" spans="1:9" x14ac:dyDescent="0.3">
      <c r="A9236" s="1" t="s">
        <v>120</v>
      </c>
      <c r="B9236" s="1" t="s">
        <v>196</v>
      </c>
      <c r="C9236" s="1" t="s">
        <v>151</v>
      </c>
      <c r="D9236" s="1" t="s">
        <v>127</v>
      </c>
      <c r="E9236" s="1" t="s">
        <v>251</v>
      </c>
      <c r="F9236" s="1" t="s">
        <v>13686</v>
      </c>
      <c r="G9236" s="1" t="s">
        <v>36</v>
      </c>
      <c r="H9236" s="1" t="s">
        <v>29</v>
      </c>
      <c r="I9236" s="1" t="str">
        <f ca="1">IFERROR(__xludf.DUMMYFUNCTION("GOOGLETRANSLATE(F9236, ""auto"", ""en"")
"),"There is a video player from a flash drive, you just need to turn it on through the TV service menu. Look for information on forums.")</f>
        <v>There is a video player from a flash drive, you just need to turn it on through the TV service menu. Look for information on forums.</v>
      </c>
    </row>
    <row r="9237" spans="1:9" x14ac:dyDescent="0.3">
      <c r="A9237" s="1" t="s">
        <v>206</v>
      </c>
      <c r="B9237" s="1" t="s">
        <v>1349</v>
      </c>
      <c r="C9237" s="1" t="s">
        <v>262</v>
      </c>
      <c r="D9237" s="1" t="s">
        <v>13687</v>
      </c>
      <c r="E9237" s="1" t="s">
        <v>3664</v>
      </c>
      <c r="F9237" s="1" t="s">
        <v>13688</v>
      </c>
      <c r="G9237" s="1" t="s">
        <v>36</v>
      </c>
      <c r="H9237" s="1" t="s">
        <v>29</v>
      </c>
      <c r="I9237" s="1" t="str">
        <f ca="1">IFERROR(__xludf.DUMMYFUNCTION("GOOGLETRANSLATE(F9237, ""auto"", ""en"")
"),"I had a similar problem, pay special attention to the antenna, buy a good antenna (so that it has a power connection) with a signal amplifier and I think everything will be fine.")</f>
        <v>I had a similar problem, pay special attention to the antenna, buy a good antenna (so that it has a power connection) with a signal amplifier and I think everything will be fine.</v>
      </c>
    </row>
    <row r="9238" spans="1:9" x14ac:dyDescent="0.3">
      <c r="A9238" s="1" t="s">
        <v>61</v>
      </c>
      <c r="B9238" s="1" t="s">
        <v>224</v>
      </c>
      <c r="C9238" s="1" t="s">
        <v>85</v>
      </c>
      <c r="D9238" s="1" t="s">
        <v>934</v>
      </c>
      <c r="E9238" s="1" t="s">
        <v>608</v>
      </c>
      <c r="F9238" s="1" t="s">
        <v>13689</v>
      </c>
      <c r="G9238" s="1" t="s">
        <v>49</v>
      </c>
      <c r="H9238" s="1" t="s">
        <v>16</v>
      </c>
      <c r="I9238" s="1" t="str">
        <f ca="1">IFERROR(__xludf.DUMMYFUNCTION("GOOGLETRANSLATE(F9238, ""auto"", ""en"")
"),"I bought it yesterday. Today I squeezed 3 carrots and the juicer went bad. Here's the BORK S800. Now I have a lot of trouble waiting for me to return it. A useless piece of iron.")</f>
        <v>I bought it yesterday. Today I squeezed 3 carrots and the juicer went bad. Here's the BORK S800. Now I have a lot of trouble waiting for me to return it. A useless piece of iron.</v>
      </c>
    </row>
    <row r="9239" spans="1:9" x14ac:dyDescent="0.3">
      <c r="A9239" s="1" t="s">
        <v>373</v>
      </c>
      <c r="B9239" s="1" t="s">
        <v>374</v>
      </c>
      <c r="C9239" s="1" t="s">
        <v>24</v>
      </c>
      <c r="D9239" s="1" t="s">
        <v>203</v>
      </c>
      <c r="E9239" s="1" t="s">
        <v>1219</v>
      </c>
      <c r="F9239" s="1" t="s">
        <v>13690</v>
      </c>
      <c r="G9239" s="1" t="s">
        <v>36</v>
      </c>
      <c r="H9239" s="1" t="s">
        <v>29</v>
      </c>
      <c r="I9239" s="1" t="str">
        <f ca="1">IFERROR(__xludf.DUMMYFUNCTION("GOOGLETRANSLATE(F9239, ""auto"", ""en"")
"),"A big plus is the ability to connect to hot water and turn off the heaters; in this mode, the machine practically does not consume electricity. Cleans well and quickly compared to other machines in this class. Of the minuses: the rinse aid container is ve"&amp;"ry far away.")</f>
        <v>A big plus is the ability to connect to hot water and turn off the heaters; in this mode, the machine practically does not consume electricity. Cleans well and quickly compared to other machines in this class. Of the minuses: the rinse aid container is very far away.</v>
      </c>
    </row>
    <row r="9240" spans="1:9" x14ac:dyDescent="0.3">
      <c r="A9240" s="1" t="s">
        <v>105</v>
      </c>
      <c r="B9240" s="1" t="s">
        <v>106</v>
      </c>
      <c r="C9240" s="1" t="s">
        <v>1209</v>
      </c>
      <c r="D9240" s="1" t="s">
        <v>13691</v>
      </c>
      <c r="E9240" s="1" t="s">
        <v>2176</v>
      </c>
      <c r="F9240" s="1" t="s">
        <v>13692</v>
      </c>
      <c r="G9240" s="1" t="s">
        <v>36</v>
      </c>
      <c r="H9240" s="1" t="s">
        <v>29</v>
      </c>
      <c r="I9240" s="1" t="str">
        <f ca="1">IFERROR(__xludf.DUMMYFUNCTION("GOOGLETRANSLATE(F9240, ""auto"", ""en"")
"),"I bought this miracle a little less than a week ago and couldn’t be happier. everything is shown and reproduced perfectly. My TV reception was bad, but it doesn’t matter. The trouble just happened later - last night the player froze, the screen glowed, bu"&amp;"t refused to respond. I tried to reset, but in vain. the device is simply amazing, but it didn’t hang after a night =( tell me, has anyone already encountered such a problem, what should I do?")</f>
        <v>I bought this miracle a little less than a week ago and couldn’t be happier. everything is shown and reproduced perfectly. My TV reception was bad, but it doesn’t matter. The trouble just happened later - last night the player froze, the screen glowed, but refused to respond. I tried to reset, but in vain. the device is simply amazing, but it didn’t hang after a night =( tell me, has anyone already encountered such a problem, what should I do?</v>
      </c>
    </row>
    <row r="9241" spans="1:9" x14ac:dyDescent="0.3">
      <c r="A9241" s="1" t="s">
        <v>9</v>
      </c>
      <c r="B9241" s="1" t="s">
        <v>137</v>
      </c>
      <c r="C9241" s="1" t="s">
        <v>466</v>
      </c>
      <c r="D9241" s="1" t="s">
        <v>742</v>
      </c>
      <c r="E9241" s="1" t="s">
        <v>11337</v>
      </c>
      <c r="F9241" s="1" t="s">
        <v>13693</v>
      </c>
      <c r="G9241" s="1" t="s">
        <v>36</v>
      </c>
      <c r="H9241" s="1" t="s">
        <v>29</v>
      </c>
      <c r="I9241" s="1" t="str">
        <f ca="1">IFERROR(__xludf.DUMMYFUNCTION("GOOGLETRANSLATE(F9241, ""auto"", ""en"")
"),"The gas panel is amazing! Very convenient to use. I have 4 years of cooking experience. I had to cook on 3 different devices. This panel is just great. Meets all my needs. I recommend it to everyone!!! Happy cooking!  P.S.: If you take it with delivery, d"&amp;"on’t be lazy, go to the office. website and look at the package. It was delivered to me on the 3rd try.")</f>
        <v>The gas panel is amazing! Very convenient to use. I have 4 years of cooking experience. I had to cook on 3 different devices. This panel is just great. Meets all my needs. I recommend it to everyone!!! Happy cooking!  P.S.: If you take it with delivery, don’t be lazy, go to the office. website and look at the package. It was delivered to me on the 3rd try.</v>
      </c>
    </row>
    <row r="9242" spans="1:9" x14ac:dyDescent="0.3">
      <c r="A9242" s="1" t="s">
        <v>95</v>
      </c>
      <c r="B9242" s="1" t="s">
        <v>486</v>
      </c>
      <c r="C9242" s="1" t="s">
        <v>487</v>
      </c>
      <c r="D9242" s="1" t="s">
        <v>3962</v>
      </c>
      <c r="E9242" s="1" t="s">
        <v>201</v>
      </c>
      <c r="F9242" s="1" t="s">
        <v>13694</v>
      </c>
      <c r="G9242" s="1" t="s">
        <v>36</v>
      </c>
      <c r="H9242" s="1" t="s">
        <v>29</v>
      </c>
      <c r="I9242" s="1" t="str">
        <f ca="1">IFERROR(__xludf.DUMMYFUNCTION("GOOGLETRANSLATE(F9242, ""auto"", ""en"")
"),"Guys, is it stitched or not??????")</f>
        <v>Guys, is it stitched or not??????</v>
      </c>
    </row>
    <row r="9243" spans="1:9" x14ac:dyDescent="0.3">
      <c r="A9243" s="1" t="s">
        <v>211</v>
      </c>
      <c r="B9243" s="1" t="s">
        <v>384</v>
      </c>
      <c r="C9243" s="1" t="s">
        <v>246</v>
      </c>
      <c r="D9243" s="1" t="s">
        <v>916</v>
      </c>
      <c r="E9243" s="1" t="s">
        <v>13520</v>
      </c>
      <c r="F9243" s="1" t="s">
        <v>13695</v>
      </c>
      <c r="G9243" s="1" t="s">
        <v>36</v>
      </c>
      <c r="H9243" s="1" t="s">
        <v>29</v>
      </c>
      <c r="I9243" s="1" t="str">
        <f ca="1">IFERROR(__xludf.DUMMYFUNCTION("GOOGLETRANSLATE(F9243, ""auto"", ""en"")
"),"Great scales. They have been working for more than a year, they show correctly. Among electronic scales, there are a lot of buggy ones, regardless of the company. Here, apparently, how lucky you are.")</f>
        <v>Great scales. They have been working for more than a year, they show correctly. Among electronic scales, there are a lot of buggy ones, regardless of the company. Here, apparently, how lucky you are.</v>
      </c>
    </row>
    <row r="9244" spans="1:9" x14ac:dyDescent="0.3">
      <c r="A9244" s="1" t="s">
        <v>9</v>
      </c>
      <c r="B9244" s="1" t="s">
        <v>10</v>
      </c>
      <c r="C9244" s="1" t="s">
        <v>407</v>
      </c>
      <c r="D9244" s="1" t="s">
        <v>4244</v>
      </c>
      <c r="E9244" s="1" t="s">
        <v>13696</v>
      </c>
      <c r="F9244" s="1" t="s">
        <v>13697</v>
      </c>
      <c r="G9244" s="1" t="s">
        <v>36</v>
      </c>
      <c r="H9244" s="1" t="s">
        <v>29</v>
      </c>
      <c r="I9244" s="1" t="str">
        <f ca="1">IFERROR(__xludf.DUMMYFUNCTION("GOOGLETRANSLATE(F9244, ""auto"", ""en"")
"),"We purchased it in 2011, now we are moving to a new apartment, we will buy the same model again! It is beautiful and functional. And I think the price for such a luxurious hood is acceptable")</f>
        <v>We purchased it in 2011, now we are moving to a new apartment, we will buy the same model again! It is beautiful and functional. And I think the price for such a luxurious hood is acceptable</v>
      </c>
    </row>
    <row r="9245" spans="1:9" x14ac:dyDescent="0.3">
      <c r="A9245" s="1" t="s">
        <v>149</v>
      </c>
      <c r="B9245" s="1" t="s">
        <v>155</v>
      </c>
      <c r="C9245" s="1" t="s">
        <v>151</v>
      </c>
      <c r="D9245" s="1" t="s">
        <v>13698</v>
      </c>
      <c r="E9245" s="1" t="s">
        <v>10135</v>
      </c>
      <c r="F9245" s="1" t="s">
        <v>13699</v>
      </c>
      <c r="G9245" s="1" t="s">
        <v>49</v>
      </c>
      <c r="H9245" s="1" t="s">
        <v>16</v>
      </c>
      <c r="I9245" s="1" t="str">
        <f ca="1">IFERROR(__xludf.DUMMYFUNCTION("GOOGLETRANSLATE(F9245, ""auto"", ""en"")
"),"We bought a vacuum cleaner in December 2013. Vacuumed a maximum of 15 times - in March 2014. The device began to hum terribly, making a piercing noise. They brought it to the service center. As a result, a certificate of work performed indicating the phra"&amp;"se is not a warranty case. In general, I think it’s better to buy a more expensive device. And this is a waste of money!")</f>
        <v>We bought a vacuum cleaner in December 2013. Vacuumed a maximum of 15 times - in March 2014. The device began to hum terribly, making a piercing noise. They brought it to the service center. As a result, a certificate of work performed indicating the phrase is not a warranty case. In general, I think it’s better to buy a more expensive device. And this is a waste of money!</v>
      </c>
    </row>
    <row r="9246" spans="1:9" x14ac:dyDescent="0.3">
      <c r="A9246" s="1" t="s">
        <v>30</v>
      </c>
      <c r="B9246" s="1" t="s">
        <v>50</v>
      </c>
      <c r="C9246" s="1" t="s">
        <v>1386</v>
      </c>
      <c r="D9246" s="1" t="s">
        <v>5864</v>
      </c>
      <c r="E9246" s="1" t="s">
        <v>26</v>
      </c>
      <c r="F9246" s="1" t="s">
        <v>13700</v>
      </c>
      <c r="G9246" s="1" t="s">
        <v>49</v>
      </c>
      <c r="H9246" s="1" t="s">
        <v>16</v>
      </c>
      <c r="I9246" s="1" t="str">
        <f ca="1">IFERROR(__xludf.DUMMYFUNCTION("GOOGLETRANSLATE(F9246, ""auto"", ""en"")
"),"I bought this netbook, and six months later the speakers broke.  I put it under warranty. Judge for yourself...")</f>
        <v>I bought this netbook, and six months later the speakers broke.  I put it under warranty. Judge for yourself...</v>
      </c>
    </row>
    <row r="9247" spans="1:9" x14ac:dyDescent="0.3">
      <c r="A9247" s="1" t="s">
        <v>852</v>
      </c>
      <c r="B9247" s="1" t="s">
        <v>2476</v>
      </c>
      <c r="C9247" s="1" t="s">
        <v>356</v>
      </c>
      <c r="D9247" s="1" t="s">
        <v>335</v>
      </c>
      <c r="E9247" s="1" t="s">
        <v>3954</v>
      </c>
      <c r="F9247" s="1" t="s">
        <v>13701</v>
      </c>
      <c r="G9247" s="1" t="s">
        <v>36</v>
      </c>
      <c r="H9247" s="1" t="s">
        <v>29</v>
      </c>
      <c r="I9247" s="1" t="str">
        <f ca="1">IFERROR(__xludf.DUMMYFUNCTION("GOOGLETRANSLATE(F9247, ""auto"", ""en"")
"),"The computer is just great!!! The performance is excellent, the screen is super, although you need to get used to Mac OS, but for those who have worked on a Mac before, I think this is not a problem. I bought a computer a week ago (before that I had a PC "&amp;"with Windows), I’m very pleased, I installed Windows 7 using Parallels desktop, installed Office 2007 on it and bought iWork (alas, my computer doesn’t print from Windows). Setting up the Internet without any problems, the interface is very simple, everyt"&amp;"hing is clear. Those who prefer this option, I think, will not regret it :))) A separate story with the mouse and keyboard, I read a lot of different reviews, I can say about mine, they work perfectly without any complaints, the mouse is very comfortable,"&amp;" you get used to it instantly!")</f>
        <v>The computer is just great!!! The performance is excellent, the screen is super, although you need to get used to Mac OS, but for those who have worked on a Mac before, I think this is not a problem. I bought a computer a week ago (before that I had a PC with Windows), I’m very pleased, I installed Windows 7 using Parallels desktop, installed Office 2007 on it and bought iWork (alas, my computer doesn’t print from Windows). Setting up the Internet without any problems, the interface is very simple, everything is clear. Those who prefer this option, I think, will not regret it :))) A separate story with the mouse and keyboard, I read a lot of different reviews, I can say about mine, they work perfectly without any complaints, the mouse is very comfortable, you get used to it instantly!</v>
      </c>
    </row>
    <row r="9248" spans="1:9" x14ac:dyDescent="0.3">
      <c r="A9248" s="1" t="s">
        <v>30</v>
      </c>
      <c r="B9248" s="1" t="s">
        <v>50</v>
      </c>
      <c r="C9248" s="1" t="s">
        <v>32</v>
      </c>
      <c r="D9248" s="1" t="s">
        <v>13702</v>
      </c>
      <c r="E9248" s="1" t="s">
        <v>41</v>
      </c>
      <c r="F9248" s="1" t="s">
        <v>13703</v>
      </c>
      <c r="G9248" s="1" t="s">
        <v>28</v>
      </c>
      <c r="H9248" s="1" t="s">
        <v>29</v>
      </c>
      <c r="I9248" s="1" t="str">
        <f ca="1">IFERROR(__xludf.DUMMYFUNCTION("GOOGLETRANSLATE(F9248, ""auto"", ""en"")
"),"The laptop is very powerful, but most importantly it is very quiet, + I was very pleased with the built-in programs and the webcam (it is very clear), a bunch of useful programs (Acer Acadoe Deluxe, Word 2007 and much more).  But I set it to 4, since char"&amp;"ging runs out very quickly (perhaps this is due to the size and power of the laptop).  But overall the computer is perfect.")</f>
        <v>The laptop is very powerful, but most importantly it is very quiet, + I was very pleased with the built-in programs and the webcam (it is very clear), a bunch of useful programs (Acer Acadoe Deluxe, Word 2007 and much more).  But I set it to 4, since charging runs out very quickly (perhaps this is due to the size and power of the laptop).  But overall the computer is perfect.</v>
      </c>
    </row>
    <row r="9249" spans="1:9" x14ac:dyDescent="0.3">
      <c r="A9249" s="1" t="s">
        <v>211</v>
      </c>
      <c r="B9249" s="1" t="s">
        <v>212</v>
      </c>
      <c r="C9249" s="1" t="s">
        <v>294</v>
      </c>
      <c r="D9249" s="1" t="s">
        <v>13704</v>
      </c>
      <c r="E9249" s="1" t="s">
        <v>176</v>
      </c>
      <c r="F9249" s="1" t="s">
        <v>13705</v>
      </c>
      <c r="G9249" s="1" t="s">
        <v>36</v>
      </c>
      <c r="H9249" s="1" t="s">
        <v>29</v>
      </c>
      <c r="I9249" s="1" t="str">
        <f ca="1">IFERROR(__xludf.DUMMYFUNCTION("GOOGLETRANSLATE(F9249, ""auto"", ""en"")
"),"Very pleased with the purchase. Reasonable price, fast heating, great glide. I have very curly hair, but in 15 minutes it's straight. I recommend it to everyone, you won’t regret it!")</f>
        <v>Very pleased with the purchase. Reasonable price, fast heating, great glide. I have very curly hair, but in 15 minutes it's straight. I recommend it to everyone, you won’t regret it!</v>
      </c>
    </row>
    <row r="9250" spans="1:9" x14ac:dyDescent="0.3">
      <c r="A9250" s="1" t="s">
        <v>89</v>
      </c>
      <c r="B9250" s="1" t="s">
        <v>231</v>
      </c>
      <c r="C9250" s="1" t="s">
        <v>61</v>
      </c>
      <c r="D9250" s="1" t="s">
        <v>139</v>
      </c>
      <c r="E9250" s="1" t="s">
        <v>128</v>
      </c>
      <c r="F9250" s="1" t="s">
        <v>13706</v>
      </c>
      <c r="G9250" s="1" t="s">
        <v>28</v>
      </c>
      <c r="H9250" s="1" t="s">
        <v>29</v>
      </c>
      <c r="I9250" s="1" t="str">
        <f ca="1">IFERROR(__xludf.DUMMYFUNCTION("GOOGLETRANSLATE(F9250, ""auto"", ""en"")
"),"It has been working for 4 months already. No problem. Very comfortable.")</f>
        <v>It has been working for 4 months already. No problem. Very comfortable.</v>
      </c>
    </row>
    <row r="9251" spans="1:9" x14ac:dyDescent="0.3">
      <c r="A9251" s="1" t="s">
        <v>9</v>
      </c>
      <c r="B9251" s="1" t="s">
        <v>133</v>
      </c>
      <c r="C9251" s="1" t="s">
        <v>290</v>
      </c>
      <c r="D9251" s="1" t="s">
        <v>438</v>
      </c>
      <c r="E9251" s="1" t="s">
        <v>13707</v>
      </c>
      <c r="F9251" s="1" t="s">
        <v>13708</v>
      </c>
      <c r="G9251" s="1" t="s">
        <v>15</v>
      </c>
      <c r="H9251" s="1" t="s">
        <v>16</v>
      </c>
      <c r="I9251" s="1" t="str">
        <f ca="1">IFERROR(__xludf.DUMMYFUNCTION("GOOGLETRANSLATE(F9251, ""auto"", ""en"")
"),"It says glass baking tray, but there isn't one. Personally, for me, it only fries on one side (on the left), nothing cooks on the right, after 30 minutes of operation it starts to ring, the washing mode (50 degrees and put 500 ml of water on a baking shee"&amp;"t) after 20 minutes the water flowed straight onto the floor... I’m returning it.")</f>
        <v>It says glass baking tray, but there isn't one. Personally, for me, it only fries on one side (on the left), nothing cooks on the right, after 30 minutes of operation it starts to ring, the washing mode (50 degrees and put 500 ml of water on a baking sheet) after 20 minutes the water flowed straight onto the floor... I’m returning it.</v>
      </c>
    </row>
    <row r="9252" spans="1:9" x14ac:dyDescent="0.3">
      <c r="A9252" s="1" t="s">
        <v>1031</v>
      </c>
      <c r="B9252" s="1" t="s">
        <v>1032</v>
      </c>
      <c r="C9252" s="1" t="s">
        <v>6206</v>
      </c>
      <c r="D9252" s="1" t="s">
        <v>305</v>
      </c>
      <c r="E9252" s="1" t="s">
        <v>1510</v>
      </c>
      <c r="F9252" s="1" t="s">
        <v>13709</v>
      </c>
      <c r="G9252" s="1" t="s">
        <v>36</v>
      </c>
      <c r="H9252" s="1" t="s">
        <v>29</v>
      </c>
      <c r="I9252" s="1" t="str">
        <f ca="1">IFERROR(__xludf.DUMMYFUNCTION("GOOGLETRANSLATE(F9252, ""auto"", ""en"")
"),"I use it to turn on the electric kettle in the morning.")</f>
        <v>I use it to turn on the electric kettle in the morning.</v>
      </c>
    </row>
    <row r="9253" spans="1:9" x14ac:dyDescent="0.3">
      <c r="A9253" s="1" t="s">
        <v>206</v>
      </c>
      <c r="B9253" s="1" t="s">
        <v>207</v>
      </c>
      <c r="C9253" s="1" t="s">
        <v>1143</v>
      </c>
      <c r="D9253" s="1" t="s">
        <v>152</v>
      </c>
      <c r="E9253" s="1" t="s">
        <v>6752</v>
      </c>
      <c r="F9253" s="1" t="s">
        <v>13710</v>
      </c>
      <c r="G9253" s="1" t="s">
        <v>36</v>
      </c>
      <c r="H9253" s="1" t="s">
        <v>29</v>
      </c>
      <c r="I9253" s="1" t="str">
        <f ca="1">IFERROR(__xludf.DUMMYFUNCTION("GOOGLETRANSLATE(F9253, ""auto"", ""en"")
"),"Yeah, I didn’t expect to put two of these and the amplifier is 3500w, so in my 2113 the windows almost fall off, I have to open it, it’s very good, you can hear it from 50 meters away and I’m not kidding, the hair on my head is moving and not only on my h"&amp;"ead, but the other day I took the drive, well, what can I say, I have no words, no one has the best subwoofer like me.")</f>
        <v>Yeah, I didn’t expect to put two of these and the amplifier is 3500w, so in my 2113 the windows almost fall off, I have to open it, it’s very good, you can hear it from 50 meters away and I’m not kidding, the hair on my head is moving and not only on my head, but the other day I took the drive, well, what can I say, I have no words, no one has the best subwoofer like me.</v>
      </c>
    </row>
    <row r="9254" spans="1:9" x14ac:dyDescent="0.3">
      <c r="A9254" s="1" t="s">
        <v>624</v>
      </c>
      <c r="B9254" s="1" t="s">
        <v>625</v>
      </c>
      <c r="C9254" s="1" t="s">
        <v>479</v>
      </c>
      <c r="D9254" s="1" t="s">
        <v>152</v>
      </c>
      <c r="E9254" s="1" t="s">
        <v>937</v>
      </c>
      <c r="F9254" s="1" t="s">
        <v>13711</v>
      </c>
      <c r="G9254" s="1" t="s">
        <v>36</v>
      </c>
      <c r="H9254" s="1" t="s">
        <v>29</v>
      </c>
      <c r="I9254" s="1" t="str">
        <f ca="1">IFERROR(__xludf.DUMMYFUNCTION("GOOGLETRANSLATE(F9254, ""auto"", ""en"")
"),"The game is just great. This is how I imagined it, incredibly atmospheric, depressing, with a twisted plot and a real right to choose, and this choice will not go in vain, but will actually change something. The translation is excellent, the actors play s"&amp;"uperbly, you really believe in what is happening. The graphics are 100% perfect, and it is thanks to it and the acting that you immerse yourself in the game and experience the same feelings as the character, be it fear or despair.     P.S. A must buy for "&amp;"all PS3 owners!")</f>
        <v>The game is just great. This is how I imagined it, incredibly atmospheric, depressing, with a twisted plot and a real right to choose, and this choice will not go in vain, but will actually change something. The translation is excellent, the actors play superbly, you really believe in what is happening. The graphics are 100% perfect, and it is thanks to it and the acting that you immerse yourself in the game and experience the same feelings as the character, be it fear or despair.     P.S. A must buy for all PS3 owners!</v>
      </c>
    </row>
    <row r="9255" spans="1:9" x14ac:dyDescent="0.3">
      <c r="A9255" s="1" t="s">
        <v>211</v>
      </c>
      <c r="B9255" s="1" t="s">
        <v>212</v>
      </c>
      <c r="C9255" s="1" t="s">
        <v>266</v>
      </c>
      <c r="D9255" s="1" t="s">
        <v>589</v>
      </c>
      <c r="E9255" s="1" t="s">
        <v>5032</v>
      </c>
      <c r="F9255" s="1" t="s">
        <v>13712</v>
      </c>
      <c r="G9255" s="1" t="s">
        <v>36</v>
      </c>
      <c r="H9255" s="1" t="s">
        <v>29</v>
      </c>
      <c r="I9255" s="1" t="str">
        <f ca="1">IFERROR(__xludf.DUMMYFUNCTION("GOOGLETRANSLATE(F9255, ""auto"", ""en"")
"),"I liked everything! Girls, if you have waves soon after straightening, this does not mean that the product is of poor quality. It all depends on your hair and the humidity you are in, if it is high, then the hair will take on a natural state.")</f>
        <v>I liked everything! Girls, if you have waves soon after straightening, this does not mean that the product is of poor quality. It all depends on your hair and the humidity you are in, if it is high, then the hair will take on a natural state.</v>
      </c>
    </row>
    <row r="9256" spans="1:9" x14ac:dyDescent="0.3">
      <c r="A9256" s="1" t="s">
        <v>43</v>
      </c>
      <c r="B9256" s="1" t="s">
        <v>219</v>
      </c>
      <c r="C9256" s="1" t="s">
        <v>665</v>
      </c>
      <c r="D9256" s="1" t="s">
        <v>345</v>
      </c>
      <c r="E9256" s="1" t="s">
        <v>7749</v>
      </c>
      <c r="F9256" s="1" t="s">
        <v>13713</v>
      </c>
      <c r="G9256" s="1" t="s">
        <v>36</v>
      </c>
      <c r="H9256" s="1" t="s">
        <v>29</v>
      </c>
      <c r="I9256" s="1" t="str">
        <f ca="1">IFERROR(__xludf.DUMMYFUNCTION("GOOGLETRANSLATE(F9256, ""auto"", ""en"")
"),"Easy to install, heats up quickly (15 minutes and 8 liters of hot water is ready - I think this amount of water is enough to wash when the hot water is turned off in the summer), compact - does not take up much space. I recommend it to everyone!!!")</f>
        <v>Easy to install, heats up quickly (15 minutes and 8 liters of hot water is ready - I think this amount of water is enough to wash when the hot water is turned off in the summer), compact - does not take up much space. I recommend it to everyone!!!</v>
      </c>
    </row>
    <row r="9257" spans="1:9" x14ac:dyDescent="0.3">
      <c r="A9257" s="1" t="s">
        <v>1443</v>
      </c>
      <c r="B9257" s="1" t="s">
        <v>1444</v>
      </c>
      <c r="C9257" s="1" t="s">
        <v>1445</v>
      </c>
      <c r="D9257" s="1" t="s">
        <v>653</v>
      </c>
      <c r="E9257" s="1" t="s">
        <v>1955</v>
      </c>
      <c r="F9257" s="1" t="s">
        <v>13714</v>
      </c>
      <c r="G9257" s="1" t="s">
        <v>36</v>
      </c>
      <c r="H9257" s="1" t="s">
        <v>29</v>
      </c>
      <c r="I9257" s="1" t="str">
        <f ca="1">IFERROR(__xludf.DUMMYFUNCTION("GOOGLETRANSLATE(F9257, ""auto"", ""en"")
"),"Very pleased, excellent quality. I recommend.")</f>
        <v>Very pleased, excellent quality. I recommend.</v>
      </c>
    </row>
    <row r="9258" spans="1:9" x14ac:dyDescent="0.3">
      <c r="A9258" s="1" t="s">
        <v>169</v>
      </c>
      <c r="B9258" s="1" t="s">
        <v>170</v>
      </c>
      <c r="C9258" s="1" t="s">
        <v>69</v>
      </c>
      <c r="D9258" s="1" t="s">
        <v>13715</v>
      </c>
      <c r="E9258" s="1" t="s">
        <v>13716</v>
      </c>
      <c r="F9258" s="1" t="s">
        <v>13717</v>
      </c>
      <c r="G9258" s="1" t="s">
        <v>36</v>
      </c>
      <c r="H9258" s="1" t="s">
        <v>29</v>
      </c>
      <c r="I9258" s="1" t="str">
        <f ca="1">IFERROR(__xludf.DUMMYFUNCTION("GOOGLETRANSLATE(F9258, ""auto"", ""en"")
"),"The sound in the headphones is excellent, good bass. They stay on the ears confidently; the mount has not become loose in two years. True, I put something on them, and the “ear” broke off. One of these days I will go buy the same ones, they are wonderful!"&amp;".. Especially considering the price.")</f>
        <v>The sound in the headphones is excellent, good bass. They stay on the ears confidently; the mount has not become loose in two years. True, I put something on them, and the “ear” broke off. One of these days I will go buy the same ones, they are wonderful!.. Especially considering the price.</v>
      </c>
    </row>
    <row r="9259" spans="1:9" x14ac:dyDescent="0.3">
      <c r="A9259" s="1" t="s">
        <v>206</v>
      </c>
      <c r="B9259" s="1" t="s">
        <v>261</v>
      </c>
      <c r="C9259" s="1" t="s">
        <v>152</v>
      </c>
      <c r="D9259" s="1" t="s">
        <v>152</v>
      </c>
      <c r="E9259" s="1" t="s">
        <v>8284</v>
      </c>
      <c r="F9259" s="1" t="s">
        <v>13718</v>
      </c>
      <c r="G9259" s="1" t="s">
        <v>15</v>
      </c>
      <c r="H9259" s="1" t="s">
        <v>16</v>
      </c>
      <c r="I9259" s="1" t="str">
        <f ca="1">IFERROR(__xludf.DUMMYFUNCTION("GOOGLETRANSLATE(F9259, ""auto"", ""en"")
"),"for such a set the price is clearly too high, the difference with a set for a 4-channel amplifier is 200 rubles in total. and the main and big disadvantage of this kit is due to the fact that the power cable (red) was not enough for me! I laid everything "&amp;"as it should without unnecessary bends, but it’s normally missing from the casing; the wire does not stick out in the trunk! I’ll build it up. car Honda Civic 4D")</f>
        <v>for such a set the price is clearly too high, the difference with a set for a 4-channel amplifier is 200 rubles in total. and the main and big disadvantage of this kit is due to the fact that the power cable (red) was not enough for me! I laid everything as it should without unnecessary bends, but it’s normally missing from the casing; the wire does not stick out in the trunk! I’ll build it up. car Honda Civic 4D</v>
      </c>
    </row>
    <row r="9260" spans="1:9" x14ac:dyDescent="0.3">
      <c r="A9260" s="1" t="s">
        <v>120</v>
      </c>
      <c r="B9260" s="1" t="s">
        <v>121</v>
      </c>
      <c r="C9260" s="1" t="s">
        <v>80</v>
      </c>
      <c r="D9260" s="1" t="s">
        <v>366</v>
      </c>
      <c r="E9260" s="1" t="s">
        <v>178</v>
      </c>
      <c r="F9260" s="1" t="s">
        <v>13719</v>
      </c>
      <c r="G9260" s="1" t="s">
        <v>36</v>
      </c>
      <c r="H9260" s="1" t="s">
        <v>29</v>
      </c>
      <c r="I9260" s="1" t="str">
        <f ca="1">IFERROR(__xludf.DUMMYFUNCTION("GOOGLETRANSLATE(F9260, ""auto"", ""en"")
"),"I've been using the TV for 2 years, I'm very pleased, clear picture, good sound.")</f>
        <v>I've been using the TV for 2 years, I'm very pleased, clear picture, good sound.</v>
      </c>
    </row>
    <row r="9261" spans="1:9" x14ac:dyDescent="0.3">
      <c r="A9261" s="1" t="s">
        <v>37</v>
      </c>
      <c r="B9261" s="1" t="s">
        <v>38</v>
      </c>
      <c r="C9261" s="1" t="s">
        <v>39</v>
      </c>
      <c r="D9261" s="1" t="s">
        <v>280</v>
      </c>
      <c r="E9261" s="1" t="s">
        <v>131</v>
      </c>
      <c r="F9261" s="1" t="s">
        <v>13720</v>
      </c>
      <c r="G9261" s="1" t="s">
        <v>49</v>
      </c>
      <c r="H9261" s="1" t="s">
        <v>16</v>
      </c>
      <c r="I9261" s="1" t="str">
        <f ca="1">IFERROR(__xludf.DUMMYFUNCTION("GOOGLETRANSLATE(F9261, ""auto"", ""en"")
"),"The phone is not very good, I don’t recommend taking it to people who need a loud phone, this phone is very quiet and its photo camera is crap, I’ve had it for 3 months now, the screen is crap, I walked with it in the cold for about 5 hours, I came home -"&amp;" the screen was cracked!")</f>
        <v>The phone is not very good, I don’t recommend taking it to people who need a loud phone, this phone is very quiet and its photo camera is crap, I’ve had it for 3 months now, the screen is crap, I walked with it in the cold for about 5 hours, I came home - the screen was cracked!</v>
      </c>
    </row>
    <row r="9262" spans="1:9" x14ac:dyDescent="0.3">
      <c r="A9262" s="1" t="s">
        <v>211</v>
      </c>
      <c r="B9262" s="1" t="s">
        <v>789</v>
      </c>
      <c r="C9262" s="1" t="s">
        <v>246</v>
      </c>
      <c r="D9262" s="1" t="s">
        <v>335</v>
      </c>
      <c r="E9262" s="1" t="s">
        <v>1384</v>
      </c>
      <c r="F9262" s="1" t="s">
        <v>13721</v>
      </c>
      <c r="G9262" s="1" t="s">
        <v>28</v>
      </c>
      <c r="H9262" s="1" t="s">
        <v>29</v>
      </c>
      <c r="I9262" s="1" t="str">
        <f ca="1">IFERROR(__xludf.DUMMYFUNCTION("GOOGLETRANSLATE(F9262, ""auto"", ""en"")
"),"On many sites there are negative reviews - they say it breaks quickly and often. I don't agree. An excellent device, but mine had one serious drawback. In some mysterious way, after descaling, it does not complete the full cycle for some time - it turns o"&amp;"ff immediately after the water boils. This problem can only be “treated” by persistent repetition - “drain-rinse-pour again-turn on-measure how long it works.” If it turns off early again, then repeat everything again after 15 minutes. It takes me several"&amp;" repetitions to get the device “sensible”. With a small child, you get longer breaks... so sometimes it takes half a day. It makes no sense to take it to repairs; they don’t treat it, but shrug their shoulders.    But in all other respects - an excellent "&amp;"thing, breast pumps and bottles, pacifiers and other nonsense - everything fits.")</f>
        <v>On many sites there are negative reviews - they say it breaks quickly and often. I don't agree. An excellent device, but mine had one serious drawback. In some mysterious way, after descaling, it does not complete the full cycle for some time - it turns off immediately after the water boils. This problem can only be “treated” by persistent repetition - “drain-rinse-pour again-turn on-measure how long it works.” If it turns off early again, then repeat everything again after 15 minutes. It takes me several repetitions to get the device “sensible”. With a small child, you get longer breaks... so sometimes it takes half a day. It makes no sense to take it to repairs; they don’t treat it, but shrug their shoulders.    But in all other respects - an excellent thing, breast pumps and bottles, pacifiers and other nonsense - everything fits.</v>
      </c>
    </row>
    <row r="9263" spans="1:9" x14ac:dyDescent="0.3">
      <c r="A9263" s="1" t="s">
        <v>496</v>
      </c>
      <c r="B9263" s="1" t="s">
        <v>497</v>
      </c>
      <c r="C9263" s="1" t="s">
        <v>8539</v>
      </c>
      <c r="D9263" s="1" t="s">
        <v>13722</v>
      </c>
      <c r="E9263" s="1" t="s">
        <v>7095</v>
      </c>
      <c r="F9263" s="1" t="s">
        <v>13723</v>
      </c>
      <c r="G9263" s="1" t="s">
        <v>36</v>
      </c>
      <c r="H9263" s="1" t="s">
        <v>29</v>
      </c>
      <c r="I9263" s="1" t="str">
        <f ca="1">IFERROR(__xludf.DUMMYFUNCTION("GOOGLETRANSLATE(F9263, ""auto"", ""en"")
"),"AVG antivirus is simply superb. I've been using it for two years now. Protects against almost everything bad on the global network. I recommend him to everyone.")</f>
        <v>AVG antivirus is simply superb. I've been using it for two years now. Protects against almost everything bad on the global network. I recommend him to everyone.</v>
      </c>
    </row>
    <row r="9264" spans="1:9" x14ac:dyDescent="0.3">
      <c r="A9264" s="1" t="s">
        <v>95</v>
      </c>
      <c r="B9264" s="1" t="s">
        <v>486</v>
      </c>
      <c r="C9264" s="1" t="s">
        <v>487</v>
      </c>
      <c r="D9264" s="1" t="s">
        <v>2923</v>
      </c>
      <c r="E9264" s="1" t="s">
        <v>2502</v>
      </c>
      <c r="F9264" s="1" t="s">
        <v>13724</v>
      </c>
      <c r="G9264" s="1" t="s">
        <v>36</v>
      </c>
      <c r="H9264" s="1" t="s">
        <v>29</v>
      </c>
      <c r="I9264" s="1" t="str">
        <f ca="1">IFERROR(__xludf.DUMMYFUNCTION("GOOGLETRANSLATE(F9264, ""auto"", ""en"")
"),"Live will be officially launched in Russia this year.  Jasper, which is now sold in Mvideo, is much better quality than the Slim version (watch the video where the guy took it apart) and the Slim version is not flashed.")</f>
        <v>Live will be officially launched in Russia this year.  Jasper, which is now sold in Mvideo, is much better quality than the Slim version (watch the video where the guy took it apart) and the Slim version is not flashed.</v>
      </c>
    </row>
    <row r="9265" spans="1:9" x14ac:dyDescent="0.3">
      <c r="A9265" s="1" t="s">
        <v>61</v>
      </c>
      <c r="B9265" s="1" t="s">
        <v>318</v>
      </c>
      <c r="C9265" s="1" t="s">
        <v>57</v>
      </c>
      <c r="D9265" s="1" t="s">
        <v>565</v>
      </c>
      <c r="E9265" s="1" t="s">
        <v>3782</v>
      </c>
      <c r="F9265" s="1" t="s">
        <v>13725</v>
      </c>
      <c r="G9265" s="1" t="s">
        <v>28</v>
      </c>
      <c r="H9265" s="1" t="s">
        <v>29</v>
      </c>
      <c r="I9265" s="1" t="str">
        <f ca="1">IFERROR(__xludf.DUMMYFUNCTION("GOOGLETRANSLATE(F9265, ""auto"", ""en"")
"),"At first it was unusual that the blue light was constantly on. After 3.5 months. The kettle started acting up on/off: it turned on about 10 times, several times I had to turn it off myself, because... it boiled without turning off on its own. The store su"&amp;"ccessfully exchanged it for us with another one of the same type and it has been working properly for over a year now. Maybe some batch was defective, I don’t know. But so far I haven’t seen any comments.")</f>
        <v>At first it was unusual that the blue light was constantly on. After 3.5 months. The kettle started acting up on/off: it turned on about 10 times, several times I had to turn it off myself, because... it boiled without turning off on its own. The store successfully exchanged it for us with another one of the same type and it has been working properly for over a year now. Maybe some batch was defective, I don’t know. But so far I haven’t seen any comments.</v>
      </c>
    </row>
    <row r="9266" spans="1:9" x14ac:dyDescent="0.3">
      <c r="A9266" s="1" t="s">
        <v>211</v>
      </c>
      <c r="B9266" s="1" t="s">
        <v>212</v>
      </c>
      <c r="C9266" s="1" t="s">
        <v>381</v>
      </c>
      <c r="D9266" s="1" t="s">
        <v>280</v>
      </c>
      <c r="E9266" s="1" t="s">
        <v>323</v>
      </c>
      <c r="F9266" s="1" t="s">
        <v>13726</v>
      </c>
      <c r="G9266" s="1" t="s">
        <v>36</v>
      </c>
      <c r="H9266" s="1" t="s">
        <v>29</v>
      </c>
      <c r="I9266" s="1" t="str">
        <f ca="1">IFERROR(__xludf.DUMMYFUNCTION("GOOGLETRANSLATE(F9266, ""auto"", ""en"")
"),"Works")</f>
        <v>Works</v>
      </c>
    </row>
    <row r="9267" spans="1:9" x14ac:dyDescent="0.3">
      <c r="A9267" s="1" t="s">
        <v>211</v>
      </c>
      <c r="B9267" s="1" t="s">
        <v>265</v>
      </c>
      <c r="C9267" s="1" t="s">
        <v>122</v>
      </c>
      <c r="D9267" s="1" t="s">
        <v>305</v>
      </c>
      <c r="E9267" s="1" t="s">
        <v>6357</v>
      </c>
      <c r="F9267" s="1" t="s">
        <v>13727</v>
      </c>
      <c r="G9267" s="1" t="s">
        <v>49</v>
      </c>
      <c r="H9267" s="1" t="s">
        <v>16</v>
      </c>
      <c r="I9267" s="1" t="str">
        <f ca="1">IFERROR(__xludf.DUMMYFUNCTION("GOOGLETRANSLATE(F9267, ""auto"", ""en"")
"),"There are no advantages. Doesn't work.")</f>
        <v>There are no advantages. Doesn't work.</v>
      </c>
    </row>
    <row r="9268" spans="1:9" x14ac:dyDescent="0.3">
      <c r="A9268" s="1" t="s">
        <v>95</v>
      </c>
      <c r="B9268" s="1" t="s">
        <v>227</v>
      </c>
      <c r="C9268" s="1" t="s">
        <v>97</v>
      </c>
      <c r="D9268" s="1" t="s">
        <v>152</v>
      </c>
      <c r="E9268" s="1" t="s">
        <v>1332</v>
      </c>
      <c r="F9268" s="1" t="s">
        <v>13728</v>
      </c>
      <c r="G9268" s="1" t="s">
        <v>36</v>
      </c>
      <c r="H9268" s="1" t="s">
        <v>29</v>
      </c>
      <c r="I9268" s="1" t="str">
        <f ca="1">IFERROR(__xludf.DUMMYFUNCTION("GOOGLETRANSLATE(F9268, ""auto"", ""en"")
"),"Today I bought it from M.Video, but I’ve been preparing for this since May (i.e. I saved money, looked for as much information as possible on the Internet about seventh generation consoles, etc.) I’m a student myself, I have a fairly powerful laptop, whic"&amp;"h I’ve been playing on in my free time for six months now... But I wanted something brighter, something more spectacular, and in the end, simpler (without this endless optimization of games “graph = fps”, which I spent probably most of the ""rest""). No, "&amp;"the settings were successful, but with each new game it became more and more difficult... It was decided to use a console, but which one?  I immediately discarded Nintendo, but I experienced the confrontation between Sony and Microsoft the hard way - too "&amp;"much has already been said, but I will tell you my opinion... The entire school period of my life passed under the PlayStation 1 (so gray and big). In theory, I should have immediately abandoned the “Bill Geitz prefix” (for reasons of fidelity), but I had"&amp;" to check everything... I learned almost everything about them that is necessary and what is not.  Why PlayStation 3? I counted many more advantages (three times than those of Box), but I will say the main ones... Buying a Coffin 360, flashing it and writ"&amp;"ing discs yourself or buying somewhere on Gorbushka is not interesting. Yes, yes! I took a specially old Box from a friend, the first one (stitched) and realized this. And on the laptop the license was always better, somehow more pleasant or something... "&amp;"The lack of Wi-Fi (without an additional fee), Blue Ray and a large HDD on the Box was not as deadly as its noise level, constant overheating (judging by the reviews of my friends) and the lack of things like Heavy Rain, Gran Turismo 5 and Metal Gear Soli"&amp;"d 4 or at least worthy analogues of them simply put it below Nintendo.  It’s no longer a secret that the PSN Store, of course, doesn’t have all the games, but they are 2-3 times cheaper than on disk. And this is a license! And additions, music, themes, et"&amp;"c. - generally free.  In short, I recommend it to anyone who needs a complete multimedia center with all the amenities, so to speak... Or to those who were the proud owner of the First, Second or Portable Sony. See you on PSN!")</f>
        <v>Today I bought it from M.Video, but I’ve been preparing for this since May (i.e. I saved money, looked for as much information as possible on the Internet about seventh generation consoles, etc.) I’m a student myself, I have a fairly powerful laptop, which I’ve been playing on in my free time for six months now... But I wanted something brighter, something more spectacular, and in the end, simpler (without this endless optimization of games “graph = fps”, which I spent probably most of the "rest"). No, the settings were successful, but with each new game it became more and more difficult... It was decided to use a console, but which one?  I immediately discarded Nintendo, but I experienced the confrontation between Sony and Microsoft the hard way - too much has already been said, but I will tell you my opinion... The entire school period of my life passed under the PlayStation 1 (so gray and big). In theory, I should have immediately abandoned the “Bill Geitz prefix” (for reasons of fidelity), but I had to check everything... I learned almost everything about them that is necessary and what is not.  Why PlayStation 3? I counted many more advantages (three times than those of Box), but I will say the main ones... Buying a Coffin 360, flashing it and writing discs yourself or buying somewhere on Gorbushka is not interesting. Yes, yes! I took a specially old Box from a friend, the first one (stitched) and realized this. And on the laptop the license was always better, somehow more pleasant or something... The lack of Wi-Fi (without an additional fee), Blue Ray and a large HDD on the Box was not as deadly as its noise level, constant overheating (judging by the reviews of my friends) and the lack of things like Heavy Rain, Gran Turismo 5 and Metal Gear Solid 4 or at least worthy analogues of them simply put it below Nintendo.  It’s no longer a secret that the PSN Store, of course, doesn’t have all the games, but they are 2-3 times cheaper than on disk. And this is a license! And additions, music, themes, etc. - generally free.  In short, I recommend it to anyone who needs a complete multimedia center with all the amenities, so to speak... Or to those who were the proud owner of the First, Second or Portable Sony. See you on PSN!</v>
      </c>
    </row>
    <row r="9269" spans="1:9" x14ac:dyDescent="0.3">
      <c r="A9269" s="1" t="s">
        <v>37</v>
      </c>
      <c r="B9269" s="1" t="s">
        <v>536</v>
      </c>
      <c r="C9269" s="1" t="s">
        <v>189</v>
      </c>
      <c r="D9269" s="1" t="s">
        <v>39</v>
      </c>
      <c r="E9269" s="1" t="s">
        <v>3664</v>
      </c>
      <c r="F9269" s="1" t="s">
        <v>13729</v>
      </c>
      <c r="G9269" s="1" t="s">
        <v>36</v>
      </c>
      <c r="H9269" s="1" t="s">
        <v>29</v>
      </c>
      <c r="I9269" s="1" t="str">
        <f ca="1">IFERROR(__xludf.DUMMYFUNCTION("GOOGLETRANSLATE(F9269, ""auto"", ""en"")
"),"I apologize for the misinformation. The battery needed to be “hardened”. After the second charge it lasted 2 days with rare attempts to drain the battery. On the asusmobile website it is written to perform up to 6 cycles of these (with forced charging las"&amp;"ting 12 hours, and subsequent self-discharge)")</f>
        <v>I apologize for the misinformation. The battery needed to be “hardened”. After the second charge it lasted 2 days with rare attempts to drain the battery. On the asusmobile website it is written to perform up to 6 cycles of these (with forced charging lasting 12 hours, and subsequent self-discharge)</v>
      </c>
    </row>
    <row r="9270" spans="1:9" x14ac:dyDescent="0.3">
      <c r="A9270" s="1" t="s">
        <v>477</v>
      </c>
      <c r="B9270" s="1" t="s">
        <v>478</v>
      </c>
      <c r="C9270" s="1" t="s">
        <v>479</v>
      </c>
      <c r="D9270" s="1" t="s">
        <v>13730</v>
      </c>
      <c r="E9270" s="1" t="s">
        <v>1955</v>
      </c>
      <c r="F9270" s="1" t="s">
        <v>13731</v>
      </c>
      <c r="G9270" s="1" t="s">
        <v>36</v>
      </c>
      <c r="H9270" s="1" t="s">
        <v>29</v>
      </c>
      <c r="I9270" s="1" t="str">
        <f ca="1">IFERROR(__xludf.DUMMYFUNCTION("GOOGLETRANSLATE(F9270, ""auto"", ""en"")
"),"I advise everyone to buy it recently, I can’t put it down, and the DLS is cool too")</f>
        <v>I advise everyone to buy it recently, I can’t put it down, and the DLS is cool too</v>
      </c>
    </row>
    <row r="9271" spans="1:9" x14ac:dyDescent="0.3">
      <c r="A9271" s="1" t="s">
        <v>61</v>
      </c>
      <c r="B9271" s="1" t="s">
        <v>62</v>
      </c>
      <c r="C9271" s="1" t="s">
        <v>246</v>
      </c>
      <c r="D9271" s="1" t="s">
        <v>46</v>
      </c>
      <c r="E9271" s="1" t="s">
        <v>1450</v>
      </c>
      <c r="F9271" s="1" t="s">
        <v>13732</v>
      </c>
      <c r="G9271" s="1" t="s">
        <v>36</v>
      </c>
      <c r="H9271" s="1" t="s">
        <v>29</v>
      </c>
      <c r="I9271" s="1" t="str">
        <f ca="1">IFERROR(__xludf.DUMMYFUNCTION("GOOGLETRANSLATE(F9271, ""auto"", ""en"")
"),"I’ve been using it for more than two years now, and the food processor justifies itself perfectly, you can prepare anything you want, I have no complaints about the quality")</f>
        <v>I’ve been using it for more than two years now, and the food processor justifies itself perfectly, you can prepare anything you want, I have no complaints about the quality</v>
      </c>
    </row>
    <row r="9272" spans="1:9" x14ac:dyDescent="0.3">
      <c r="A9272" s="1" t="s">
        <v>30</v>
      </c>
      <c r="B9272" s="1" t="s">
        <v>50</v>
      </c>
      <c r="C9272" s="1" t="s">
        <v>1003</v>
      </c>
      <c r="D9272" s="1" t="s">
        <v>3962</v>
      </c>
      <c r="E9272" s="1" t="s">
        <v>2146</v>
      </c>
      <c r="F9272" s="1" t="s">
        <v>13733</v>
      </c>
      <c r="G9272" s="1" t="s">
        <v>36</v>
      </c>
      <c r="H9272" s="1" t="s">
        <v>29</v>
      </c>
      <c r="I9272" s="1" t="str">
        <f ca="1">IFERROR(__xludf.DUMMYFUNCTION("GOOGLETRANSLATE(F9272, ""auto"", ""en"")
"),"The laptop is generally excellent, all games work, but when I play on my knees my legs get really hot, otherwise it’s ok, I bought it in May")</f>
        <v>The laptop is generally excellent, all games work, but when I play on my knees my legs get really hot, otherwise it’s ok, I bought it in May</v>
      </c>
    </row>
    <row r="9273" spans="1:9" x14ac:dyDescent="0.3">
      <c r="A9273" s="1" t="s">
        <v>61</v>
      </c>
      <c r="B9273" s="1" t="s">
        <v>318</v>
      </c>
      <c r="C9273" s="1" t="s">
        <v>101</v>
      </c>
      <c r="D9273" s="1" t="s">
        <v>13734</v>
      </c>
      <c r="E9273" s="1" t="s">
        <v>3379</v>
      </c>
      <c r="F9273" s="1" t="s">
        <v>13735</v>
      </c>
      <c r="G9273" s="1" t="s">
        <v>15</v>
      </c>
      <c r="H9273" s="1" t="s">
        <v>16</v>
      </c>
      <c r="I9273" s="1" t="str">
        <f ca="1">IFERROR(__xludf.DUMMYFUNCTION("GOOGLETRANSLATE(F9273, ""auto"", ""en"")
"),"Beautiful, heats up quickly.")</f>
        <v>Beautiful, heats up quickly.</v>
      </c>
    </row>
    <row r="9274" spans="1:9" x14ac:dyDescent="0.3">
      <c r="A9274" s="1" t="s">
        <v>105</v>
      </c>
      <c r="B9274" s="1" t="s">
        <v>106</v>
      </c>
      <c r="C9274" s="1" t="s">
        <v>107</v>
      </c>
      <c r="D9274" s="1" t="s">
        <v>13736</v>
      </c>
      <c r="E9274" s="1" t="s">
        <v>1811</v>
      </c>
      <c r="F9274" s="1" t="s">
        <v>13737</v>
      </c>
      <c r="G9274" s="1" t="s">
        <v>36</v>
      </c>
      <c r="H9274" s="1" t="s">
        <v>29</v>
      </c>
      <c r="I9274" s="1" t="str">
        <f ca="1">IFERROR(__xludf.DUMMYFUNCTION("GOOGLETRANSLATE(F9274, ""auto"", ""en"")
"),"I bought it 2 days ago, everything suits me, BUT there is no speaker, at full volume at home it’s barely audible, and if in transport, then it’s not worth talking at all.  I will continue to use it!")</f>
        <v>I bought it 2 days ago, everything suits me, BUT there is no speaker, at full volume at home it’s barely audible, and if in transport, then it’s not worth talking at all.  I will continue to use it!</v>
      </c>
    </row>
    <row r="9275" spans="1:9" x14ac:dyDescent="0.3">
      <c r="A9275" s="1" t="s">
        <v>17</v>
      </c>
      <c r="B9275" s="1" t="s">
        <v>18</v>
      </c>
      <c r="C9275" s="1" t="s">
        <v>151</v>
      </c>
      <c r="D9275" s="1" t="s">
        <v>335</v>
      </c>
      <c r="E9275" s="1" t="s">
        <v>1738</v>
      </c>
      <c r="F9275" s="1" t="s">
        <v>13738</v>
      </c>
      <c r="G9275" s="1" t="s">
        <v>36</v>
      </c>
      <c r="H9275" s="1" t="s">
        <v>29</v>
      </c>
      <c r="I9275" s="1" t="str">
        <f ca="1">IFERROR(__xludf.DUMMYFUNCTION("GOOGLETRANSLATE(F9275, ""auto"", ""en"")
"),"We bought it a month and a half ago and wash it every day. I really like it. We didn’t regret choosing this particular model.")</f>
        <v>We bought it a month and a half ago and wash it every day. I really like it. We didn’t regret choosing this particular model.</v>
      </c>
    </row>
    <row r="9276" spans="1:9" x14ac:dyDescent="0.3">
      <c r="A9276" s="1" t="s">
        <v>120</v>
      </c>
      <c r="B9276" s="1" t="s">
        <v>121</v>
      </c>
      <c r="C9276" s="1" t="s">
        <v>151</v>
      </c>
      <c r="D9276" s="1" t="s">
        <v>13739</v>
      </c>
      <c r="E9276" s="1" t="s">
        <v>1576</v>
      </c>
      <c r="F9276" s="1" t="s">
        <v>13740</v>
      </c>
      <c r="G9276" s="1" t="s">
        <v>36</v>
      </c>
      <c r="H9276" s="1" t="s">
        <v>29</v>
      </c>
      <c r="I9276" s="1" t="str">
        <f ca="1">IFERROR(__xludf.DUMMYFUNCTION("GOOGLETRANSLATE(F9276, ""auto"", ""en"")
"),"TV is good. Quality. Design. It's all flawless.  There are minor flaws: the picture-in-picture function is missing;    does not see the flash drive;    The ""alarm clock"" function is also missing, although in those. characteristics it is also mentioned; "&amp;"   but this is not critical, it performs the main function - playing a TV signal - perfectly.")</f>
        <v>TV is good. Quality. Design. It's all flawless.  There are minor flaws: the picture-in-picture function is missing;    does not see the flash drive;    The "alarm clock" function is also missing, although in those. characteristics it is also mentioned;    but this is not critical, it performs the main function - playing a TV signal - perfectly.</v>
      </c>
    </row>
    <row r="9277" spans="1:9" x14ac:dyDescent="0.3">
      <c r="A9277" s="1" t="s">
        <v>120</v>
      </c>
      <c r="B9277" s="1" t="s">
        <v>121</v>
      </c>
      <c r="C9277" s="1" t="s">
        <v>151</v>
      </c>
      <c r="D9277" s="1" t="s">
        <v>203</v>
      </c>
      <c r="E9277" s="1" t="s">
        <v>2265</v>
      </c>
      <c r="F9277" s="1" t="s">
        <v>13741</v>
      </c>
      <c r="G9277" s="1" t="s">
        <v>36</v>
      </c>
      <c r="H9277" s="1" t="s">
        <v>29</v>
      </c>
      <c r="I9277" s="1" t="str">
        <f ca="1">IFERROR(__xludf.DUMMYFUNCTION("GOOGLETRANSLATE(F9277, ""auto"", ""en"")
"),"Excellent TV, digital TV shows perfectly, without any distortion. Plus, it’s an awesome monitor, so you don’t have to look out of the “small window.” It has not yet been possible to evaluate all its advantages due to the lack of a movie player in Full HD "&amp;"format...")</f>
        <v>Excellent TV, digital TV shows perfectly, without any distortion. Plus, it’s an awesome monitor, so you don’t have to look out of the “small window.” It has not yet been possible to evaluate all its advantages due to the lack of a movie player in Full HD format...</v>
      </c>
    </row>
    <row r="9278" spans="1:9" x14ac:dyDescent="0.3">
      <c r="A9278" s="1" t="s">
        <v>9</v>
      </c>
      <c r="B9278" s="1" t="s">
        <v>23</v>
      </c>
      <c r="C9278" s="1" t="s">
        <v>24</v>
      </c>
      <c r="D9278" s="1" t="s">
        <v>589</v>
      </c>
      <c r="E9278" s="1" t="s">
        <v>1467</v>
      </c>
      <c r="F9278" s="1" t="s">
        <v>13742</v>
      </c>
      <c r="G9278" s="1" t="s">
        <v>36</v>
      </c>
      <c r="H9278" s="1" t="s">
        <v>29</v>
      </c>
      <c r="I9278" s="1" t="str">
        <f ca="1">IFERROR(__xludf.DUMMYFUNCTION("GOOGLETRANSLATE(F9278, ""auto"", ""en"")
"),"I have already used the machine 2 times. Very compact, I have a very small kitchen. I wouldn’t say that it’s not noisy, it’s very noisy when drawing water, but maybe it’s some kind of defect with the hoses or something else, and not in the machine. When w"&amp;"ashing directly, it does not make any noise. Many modes! Satisfied!")</f>
        <v>I have already used the machine 2 times. Very compact, I have a very small kitchen. I wouldn’t say that it’s not noisy, it’s very noisy when drawing water, but maybe it’s some kind of defect with the hoses or something else, and not in the machine. When washing directly, it does not make any noise. Many modes! Satisfied!</v>
      </c>
    </row>
    <row r="9279" spans="1:9" x14ac:dyDescent="0.3">
      <c r="A9279" s="1" t="s">
        <v>43</v>
      </c>
      <c r="B9279" s="1" t="s">
        <v>303</v>
      </c>
      <c r="C9279" s="1" t="s">
        <v>220</v>
      </c>
      <c r="D9279" s="1" t="s">
        <v>114</v>
      </c>
      <c r="E9279" s="1" t="s">
        <v>10689</v>
      </c>
      <c r="F9279" s="1" t="s">
        <v>13743</v>
      </c>
      <c r="G9279" s="1" t="s">
        <v>15</v>
      </c>
      <c r="H9279" s="1" t="s">
        <v>16</v>
      </c>
      <c r="I9279" s="1" t="str">
        <f ca="1">IFERROR(__xludf.DUMMYFUNCTION("GOOGLETRANSLATE(F9279, ""auto"", ""en"")
"),"As long as it works, it's good.  We turn it on only when there is no hot water.  In two years, only 1-1.5 months of work.  Ten burned out.  Relatives have already changed the heating element twice in three years; they turn it on for a maximum of a month a"&amp;" year.  Tens are of terrible quality.  At this price such quality.   Additional costs, loss of time, nerves and lack of hot water.  I wouldn't buy this manufacturer a second time.")</f>
        <v>As long as it works, it's good.  We turn it on only when there is no hot water.  In two years, only 1-1.5 months of work.  Ten burned out.  Relatives have already changed the heating element twice in three years; they turn it on for a maximum of a month a year.  Tens are of terrible quality.  At this price such quality.   Additional costs, loss of time, nerves and lack of hot water.  I wouldn't buy this manufacturer a second time.</v>
      </c>
    </row>
    <row r="9280" spans="1:9" x14ac:dyDescent="0.3">
      <c r="A9280" s="1" t="s">
        <v>9</v>
      </c>
      <c r="B9280" s="1" t="s">
        <v>10</v>
      </c>
      <c r="C9280" s="1" t="s">
        <v>407</v>
      </c>
      <c r="D9280" s="1" t="s">
        <v>152</v>
      </c>
      <c r="E9280" s="1" t="s">
        <v>2105</v>
      </c>
      <c r="F9280" s="1" t="s">
        <v>13744</v>
      </c>
      <c r="G9280" s="1" t="s">
        <v>49</v>
      </c>
      <c r="H9280" s="1" t="s">
        <v>16</v>
      </c>
      <c r="I9280" s="1" t="str">
        <f ca="1">IFERROR(__xludf.DUMMYFUNCTION("GOOGLETRANSLATE(F9280, ""auto"", ""en"")
"),"No one was home; there was glass from the hood all over the kitchen. And the cat looks pitifully, they thought she jumped on the visor and broke it, it’s good that I read your comments (I went to the site again and wanted to take the same one), the cat wi"&amp;"ll avoid cremation.")</f>
        <v>No one was home; there was glass from the hood all over the kitchen. And the cat looks pitifully, they thought she jumped on the visor and broke it, it’s good that I read your comments (I went to the site again and wanted to take the same one), the cat will avoid cremation.</v>
      </c>
    </row>
    <row r="9281" spans="1:9" x14ac:dyDescent="0.3">
      <c r="A9281" s="1" t="s">
        <v>211</v>
      </c>
      <c r="B9281" s="1" t="s">
        <v>1818</v>
      </c>
      <c r="C9281" s="1" t="s">
        <v>213</v>
      </c>
      <c r="D9281" s="1" t="s">
        <v>335</v>
      </c>
      <c r="E9281" s="1" t="s">
        <v>1131</v>
      </c>
      <c r="F9281" s="1" t="s">
        <v>13745</v>
      </c>
      <c r="G9281" s="1" t="s">
        <v>49</v>
      </c>
      <c r="H9281" s="1" t="s">
        <v>16</v>
      </c>
      <c r="I9281" s="1" t="str">
        <f ca="1">IFERROR(__xludf.DUMMYFUNCTION("GOOGLETRANSLATE(F9281, ""auto"", ""en"")
"),"The electrification doesn’t help me at all, my hair remains unmanageable ((. A waste of money!")</f>
        <v>The electrification doesn’t help me at all, my hair remains unmanageable ((. A waste of money!</v>
      </c>
    </row>
    <row r="9282" spans="1:9" x14ac:dyDescent="0.3">
      <c r="A9282" s="1" t="s">
        <v>67</v>
      </c>
      <c r="B9282" s="1" t="s">
        <v>68</v>
      </c>
      <c r="C9282" s="1" t="s">
        <v>85</v>
      </c>
      <c r="D9282" s="1" t="s">
        <v>305</v>
      </c>
      <c r="E9282" s="1" t="s">
        <v>5738</v>
      </c>
      <c r="F9282" s="1" t="s">
        <v>13746</v>
      </c>
      <c r="G9282" s="1" t="s">
        <v>36</v>
      </c>
      <c r="H9282" s="1" t="s">
        <v>29</v>
      </c>
      <c r="I9282" s="1" t="str">
        <f ca="1">IFERROR(__xludf.DUMMYFUNCTION("GOOGLETRANSLATE(F9282, ""auto"", ""en"")
"),"Strokes well")</f>
        <v>Strokes well</v>
      </c>
    </row>
    <row r="9283" spans="1:9" x14ac:dyDescent="0.3">
      <c r="A9283" s="1" t="s">
        <v>120</v>
      </c>
      <c r="B9283" s="1" t="s">
        <v>256</v>
      </c>
      <c r="C9283" s="1" t="s">
        <v>151</v>
      </c>
      <c r="D9283" s="1" t="s">
        <v>39</v>
      </c>
      <c r="E9283" s="1" t="s">
        <v>4929</v>
      </c>
      <c r="F9283" s="1" t="s">
        <v>13747</v>
      </c>
      <c r="G9283" s="1" t="s">
        <v>36</v>
      </c>
      <c r="H9283" s="1" t="s">
        <v>29</v>
      </c>
      <c r="I9283" s="1" t="str">
        <f ca="1">IFERROR(__xludf.DUMMYFUNCTION("GOOGLETRANSLATE(F9283, ""auto"", ""en"")
"),"I bought this TV model for the kitchen. I was very pleased with the quality it showed from a conventional antenna. Worth the money 100%. Great option!!!")</f>
        <v>I bought this TV model for the kitchen. I was very pleased with the quality it showed from a conventional antenna. Worth the money 100%. Great option!!!</v>
      </c>
    </row>
    <row r="9284" spans="1:9" x14ac:dyDescent="0.3">
      <c r="A9284" s="1" t="s">
        <v>120</v>
      </c>
      <c r="B9284" s="1" t="s">
        <v>121</v>
      </c>
      <c r="C9284" s="1" t="s">
        <v>151</v>
      </c>
      <c r="D9284" s="1" t="s">
        <v>13748</v>
      </c>
      <c r="E9284" s="1" t="s">
        <v>379</v>
      </c>
      <c r="F9284" s="1" t="s">
        <v>13749</v>
      </c>
      <c r="G9284" s="1" t="s">
        <v>36</v>
      </c>
      <c r="H9284" s="1" t="s">
        <v>29</v>
      </c>
      <c r="I9284" s="1" t="str">
        <f ca="1">IFERROR(__xludf.DUMMYFUNCTION("GOOGLETRANSLATE(F9284, ""auto"", ""en"")
"),"I was choosing between Philips and the rest. As a result, I settled on “Samsung” and this particular model.  Design - 5+, not worth discussing.  Very convenient viewing via USB. The interface is easy to use, the picture is great. I have Avangard TV, it lo"&amp;"oks great on this TV. In general, I advise everyone, the TV is worth the money.  Among the shortcomings, I can only highlight the rather weak sound, but along with all the advantages, this disadvantage is erased and not noticeable. Take it - you won't reg"&amp;"ret it!")</f>
        <v>I was choosing between Philips and the rest. As a result, I settled on “Samsung” and this particular model.  Design - 5+, not worth discussing.  Very convenient viewing via USB. The interface is easy to use, the picture is great. I have Avangard TV, it looks great on this TV. In general, I advise everyone, the TV is worth the money.  Among the shortcomings, I can only highlight the rather weak sound, but along with all the advantages, this disadvantage is erased and not noticeable. Take it - you won't regret it!</v>
      </c>
    </row>
    <row r="9285" spans="1:9" x14ac:dyDescent="0.3">
      <c r="A9285" s="1" t="s">
        <v>211</v>
      </c>
      <c r="B9285" s="1" t="s">
        <v>212</v>
      </c>
      <c r="C9285" s="1" t="s">
        <v>69</v>
      </c>
      <c r="D9285" s="1" t="s">
        <v>1744</v>
      </c>
      <c r="E9285" s="1" t="s">
        <v>2627</v>
      </c>
      <c r="F9285" s="1" t="s">
        <v>13750</v>
      </c>
      <c r="G9285" s="1" t="s">
        <v>28</v>
      </c>
      <c r="H9285" s="1" t="s">
        <v>29</v>
      </c>
      <c r="I9285" s="1" t="str">
        <f ca="1">IFERROR(__xludf.DUMMYFUNCTION("GOOGLETRANSLATE(F9285, ""auto"", ""en"")
"),"A very good straightener, heats up instantly, straightens and curls in seconds. The only thing is that it’s not clear how to make curls....")</f>
        <v>A very good straightener, heats up instantly, straightens and curls in seconds. The only thing is that it’s not clear how to make curls....</v>
      </c>
    </row>
    <row r="9286" spans="1:9" x14ac:dyDescent="0.3">
      <c r="A9286" s="1" t="s">
        <v>732</v>
      </c>
      <c r="B9286" s="1" t="s">
        <v>733</v>
      </c>
      <c r="C9286" s="1" t="s">
        <v>80</v>
      </c>
      <c r="D9286" s="1" t="s">
        <v>13751</v>
      </c>
      <c r="E9286" s="1" t="s">
        <v>5798</v>
      </c>
      <c r="F9286" s="1" t="s">
        <v>13752</v>
      </c>
      <c r="G9286" s="1" t="s">
        <v>36</v>
      </c>
      <c r="H9286" s="1" t="s">
        <v>29</v>
      </c>
      <c r="I9286" s="1" t="str">
        <f ca="1">IFERROR(__xludf.DUMMYFUNCTION("GOOGLETRANSLATE(F9286, ""auto"", ""en"")
"),"Nice Monique!!! Of all the others, I chose LG and I think I won’t have to regret it!  I’m also not overjoyed with its quality, comparing it with other monitors.  Connect a Playstation2 to it - and there will be no limit to the pleasure!! :) It is convenie"&amp;"nt for working in Photoshop and just looks very cool in itself - black and elegant!!!!!!!:) Of course there are a couple of disadvantages: it is so big and bright that the white windows on the Internet pages make the eyes uncomfortable, it is very blindin"&amp;"g.  And older games like NFS U2, etc. do not have this resolution, you have to get used to the elongated image.  Yes, and digital video is not yet of such high quality that with such a stretch of 1920x1080 it would bring a lot of pleasure, and not everyon"&amp;"e has HD yet.  But these are most likely errors not of the monitor itself, so there’s no need to worry too much.  Time, of course, does not stand still, but so far LG is a 100% FUCKING HIT!!! EVERYONE TAKE IT!:)")</f>
        <v>Nice Monique!!! Of all the others, I chose LG and I think I won’t have to regret it!  I’m also not overjoyed with its quality, comparing it with other monitors.  Connect a Playstation2 to it - and there will be no limit to the pleasure!! :) It is convenient for working in Photoshop and just looks very cool in itself - black and elegant!!!!!!!:) Of course there are a couple of disadvantages: it is so big and bright that the white windows on the Internet pages make the eyes uncomfortable, it is very blinding.  And older games like NFS U2, etc. do not have this resolution, you have to get used to the elongated image.  Yes, and digital video is not yet of such high quality that with such a stretch of 1920x1080 it would bring a lot of pleasure, and not everyone has HD yet.  But these are most likely errors not of the monitor itself, so there’s no need to worry too much.  Time, of course, does not stand still, but so far LG is a 100% FUCKING HIT!!! EVERYONE TAKE IT!:)</v>
      </c>
    </row>
    <row r="9287" spans="1:9" x14ac:dyDescent="0.3">
      <c r="A9287" s="1" t="s">
        <v>206</v>
      </c>
      <c r="B9287" s="1" t="s">
        <v>1349</v>
      </c>
      <c r="C9287" s="1" t="s">
        <v>4219</v>
      </c>
      <c r="D9287" s="1" t="s">
        <v>327</v>
      </c>
      <c r="E9287" s="1" t="s">
        <v>13753</v>
      </c>
      <c r="F9287" s="1" t="s">
        <v>13754</v>
      </c>
      <c r="G9287" s="1" t="s">
        <v>15</v>
      </c>
      <c r="H9287" s="1" t="s">
        <v>16</v>
      </c>
      <c r="I9287" s="1" t="str">
        <f ca="1">IFERROR(__xludf.DUMMYFUNCTION("GOOGLETRANSLATE(F9287, ""auto"", ""en"")
"),"Basically an ordinary radio. It would be quite suitable for a non-music lover, if not for one BUT: the encoder on the radio (aka shuttle, quite simply - a knob for controlling volume and other functions) breaks down literally in the first 2-3 months. I bo"&amp;"ught one and changed it after 3 months, bought a second one - half a year later the same story. Volume control, as already mentioned, lives on its own. For those who use a remote control and don’t really need this knob, feel free to take it. I categorical"&amp;"ly do not recommend it to anyone who does not use the remote control.")</f>
        <v>Basically an ordinary radio. It would be quite suitable for a non-music lover, if not for one BUT: the encoder on the radio (aka shuttle, quite simply - a knob for controlling volume and other functions) breaks down literally in the first 2-3 months. I bought one and changed it after 3 months, bought a second one - half a year later the same story. Volume control, as already mentioned, lives on its own. For those who use a remote control and don’t really need this knob, feel free to take it. I categorically do not recommend it to anyone who does not use the remote control.</v>
      </c>
    </row>
    <row r="9288" spans="1:9" x14ac:dyDescent="0.3">
      <c r="A9288" s="1" t="s">
        <v>17</v>
      </c>
      <c r="B9288" s="1" t="s">
        <v>18</v>
      </c>
      <c r="C9288" s="1" t="s">
        <v>19</v>
      </c>
      <c r="D9288" s="1" t="s">
        <v>142</v>
      </c>
      <c r="E9288" s="1" t="s">
        <v>3009</v>
      </c>
      <c r="F9288" s="1" t="s">
        <v>13755</v>
      </c>
      <c r="G9288" s="1" t="s">
        <v>28</v>
      </c>
      <c r="H9288" s="1" t="s">
        <v>29</v>
      </c>
      <c r="I9288" s="1" t="str">
        <f ca="1">IFERROR(__xludf.DUMMYFUNCTION("GOOGLETRANSLATE(F9288, ""auto"", ""en"")
"),"I've been using the machine for about two years. It rinses well, except for powder like Tide! It “thinks” for a long time, and you won’t be able to do everything you want regarding canceling and adding functions. Therefore 4 stars. It runs loud only at 12"&amp;"00 rpm.")</f>
        <v>I've been using the machine for about two years. It rinses well, except for powder like Tide! It “thinks” for a long time, and you won’t be able to do everything you want regarding canceling and adding functions. Therefore 4 stars. It runs loud only at 1200 rpm.</v>
      </c>
    </row>
    <row r="9289" spans="1:9" x14ac:dyDescent="0.3">
      <c r="A9289" s="1" t="s">
        <v>61</v>
      </c>
      <c r="B9289" s="1" t="s">
        <v>726</v>
      </c>
      <c r="C9289" s="1" t="s">
        <v>85</v>
      </c>
      <c r="D9289" s="1" t="s">
        <v>308</v>
      </c>
      <c r="E9289" s="1" t="s">
        <v>2236</v>
      </c>
      <c r="F9289" s="1" t="s">
        <v>13756</v>
      </c>
      <c r="G9289" s="1" t="s">
        <v>36</v>
      </c>
      <c r="H9289" s="1" t="s">
        <v>29</v>
      </c>
      <c r="I9289" s="1" t="str">
        <f ca="1">IFERROR(__xludf.DUMMYFUNCTION("GOOGLETRANSLATE(F9289, ""auto"", ""en"")
"),"I've been using it for about 3 weeks. It bakes and kneads everything well. Stainless steel is also +. It would be cheaper). For that kind of money they could have added more molds, and there are few recipes in the book, I also looked on the Internet. A me"&amp;"asuring cup is not needed, we bought a VitekVT-1969Silver electronic scale (a convenient thing). The bread is delicious. In general, I recommend it.")</f>
        <v>I've been using it for about 3 weeks. It bakes and kneads everything well. Stainless steel is also +. It would be cheaper). For that kind of money they could have added more molds, and there are few recipes in the book, I also looked on the Internet. A measuring cup is not needed, we bought a VitekVT-1969Silver electronic scale (a convenient thing). The bread is delicious. In general, I recommend it.</v>
      </c>
    </row>
    <row r="9290" spans="1:9" x14ac:dyDescent="0.3">
      <c r="A9290" s="1" t="s">
        <v>120</v>
      </c>
      <c r="B9290" s="1" t="s">
        <v>196</v>
      </c>
      <c r="C9290" s="1" t="s">
        <v>151</v>
      </c>
      <c r="D9290" s="1" t="s">
        <v>13757</v>
      </c>
      <c r="E9290" s="1" t="s">
        <v>675</v>
      </c>
      <c r="F9290" s="1" t="s">
        <v>13758</v>
      </c>
      <c r="G9290" s="1" t="s">
        <v>36</v>
      </c>
      <c r="H9290" s="1" t="s">
        <v>29</v>
      </c>
      <c r="I9290" s="1" t="str">
        <f ca="1">IFERROR(__xludf.DUMMYFUNCTION("GOOGLETRANSLATE(F9290, ""auto"", ""en"")
"),"I used to work as a salesman for elite audio-video equipment and, in principle, I can say that in terms of price-quality ratio, this is a very decent TV. The colors are ok and so is the design. I would never take Philips, which takes almost all the fillin"&amp;"g from LG.")</f>
        <v>I used to work as a salesman for elite audio-video equipment and, in principle, I can say that in terms of price-quality ratio, this is a very decent TV. The colors are ok and so is the design. I would never take Philips, which takes almost all the filling from LG.</v>
      </c>
    </row>
    <row r="9291" spans="1:9" x14ac:dyDescent="0.3">
      <c r="A9291" s="1" t="s">
        <v>211</v>
      </c>
      <c r="B9291" s="1" t="s">
        <v>899</v>
      </c>
      <c r="C9291" s="1" t="s">
        <v>213</v>
      </c>
      <c r="D9291" s="1" t="s">
        <v>326</v>
      </c>
      <c r="E9291" s="1" t="s">
        <v>7115</v>
      </c>
      <c r="F9291" s="1" t="s">
        <v>13759</v>
      </c>
      <c r="G9291" s="1" t="s">
        <v>36</v>
      </c>
      <c r="H9291" s="1" t="s">
        <v>29</v>
      </c>
      <c r="I9291" s="1" t="str">
        <f ca="1">IFERROR(__xludf.DUMMYFUNCTION("GOOGLETRANSLATE(F9291, ""auto"", ""en"")
"),"A successful model. The equipment is modest, but this brush can clean your teeth with different attachments, and not just the one included in the initial kit. That is, if you wish, you can buy additional components or use those that you have or have left "&amp;"over from other brushes. I purchased this model for the first time, but I already had experience using electric brushes, and the family already had and still have brushes themselves. This copy was intended for a teenage daughter, who wanted to have not on"&amp;"ly her own personal removable head, but also her own personal brush. This product satisfied our general needs and capabilities.  Compared to analogues, the size is not large, it is not expensive, but it cleans teeth well and copes with its intended purpos"&amp;"e “excellently”.")</f>
        <v>A successful model. The equipment is modest, but this brush can clean your teeth with different attachments, and not just the one included in the initial kit. That is, if you wish, you can buy additional components or use those that you have or have left over from other brushes. I purchased this model for the first time, but I already had experience using electric brushes, and the family already had and still have brushes themselves. This copy was intended for a teenage daughter, who wanted to have not only her own personal removable head, but also her own personal brush. This product satisfied our general needs and capabilities.  Compared to analogues, the size is not large, it is not expensive, but it cleans teeth well and copes with its intended purpose “excellently”.</v>
      </c>
    </row>
    <row r="9292" spans="1:9" x14ac:dyDescent="0.3">
      <c r="A9292" s="1" t="s">
        <v>965</v>
      </c>
      <c r="B9292" s="1" t="s">
        <v>966</v>
      </c>
      <c r="C9292" s="1" t="s">
        <v>2149</v>
      </c>
      <c r="D9292" s="1" t="s">
        <v>33</v>
      </c>
      <c r="E9292" s="1" t="s">
        <v>559</v>
      </c>
      <c r="F9292" s="1" t="s">
        <v>13760</v>
      </c>
      <c r="G9292" s="1" t="s">
        <v>36</v>
      </c>
      <c r="H9292" s="1" t="s">
        <v>29</v>
      </c>
      <c r="I9292" s="1" t="str">
        <f ca="1">IFERROR(__xludf.DUMMYFUNCTION("GOOGLETRANSLATE(F9292, ""auto"", ""en"")
"),"I’ve been using them for 4-5 years now and haven’t found any flaws! A bargain!")</f>
        <v>I’ve been using them for 4-5 years now and haven’t found any flaws! A bargain!</v>
      </c>
    </row>
    <row r="9293" spans="1:9" x14ac:dyDescent="0.3">
      <c r="A9293" s="1" t="s">
        <v>30</v>
      </c>
      <c r="B9293" s="1" t="s">
        <v>50</v>
      </c>
      <c r="C9293" s="1" t="s">
        <v>189</v>
      </c>
      <c r="D9293" s="1" t="s">
        <v>12214</v>
      </c>
      <c r="E9293" s="1" t="s">
        <v>26</v>
      </c>
      <c r="F9293" s="1" t="s">
        <v>13761</v>
      </c>
      <c r="G9293" s="1" t="s">
        <v>15</v>
      </c>
      <c r="H9293" s="1" t="s">
        <v>16</v>
      </c>
      <c r="I9293" s="1" t="str">
        <f ca="1">IFERROR(__xludf.DUMMYFUNCTION("GOOGLETRANSLATE(F9293, ""auto"", ""en"")
"),"When I bought it, it seemed like a very good laptop, but when I got home I discovered that it couldn’t read or write DVDs, even though the CD worked fine.  Didn't expect it from ASUS!")</f>
        <v>When I bought it, it seemed like a very good laptop, but when I got home I discovered that it couldn’t read or write DVDs, even though the CD worked fine.  Didn't expect it from ASUS!</v>
      </c>
    </row>
    <row r="9294" spans="1:9" x14ac:dyDescent="0.3">
      <c r="A9294" s="1" t="s">
        <v>477</v>
      </c>
      <c r="B9294" s="1" t="s">
        <v>478</v>
      </c>
      <c r="C9294" s="1" t="s">
        <v>479</v>
      </c>
      <c r="D9294" s="1" t="s">
        <v>152</v>
      </c>
      <c r="E9294" s="1" t="s">
        <v>1649</v>
      </c>
      <c r="F9294" s="1" t="s">
        <v>13762</v>
      </c>
      <c r="G9294" s="1" t="s">
        <v>28</v>
      </c>
      <c r="H9294" s="1" t="s">
        <v>29</v>
      </c>
      <c r="I9294" s="1" t="str">
        <f ca="1">IFERROR(__xludf.DUMMYFUNCTION("GOOGLETRANSLATE(F9294, ""auto"", ""en"")
"),"Well, in general, both the publication and the game itself are quite good. True, 1C promised to put everything in a plastic box, but here it’s only cardboard... Well, that’s okay, this company loves to cheat (we especially remember the case with the Fallo"&amp;"ut 3 collectible). And in general, you can recall that the “Weyland-Yutani Corp” patch, a holographic postcard and a mouse pad disappeared from our collector’s edition, plus in the Western edition the Facehugger was packaged in a plastic package shaped li"&amp;"ke an egg (here the resemblance to an egg is very distant). And it is unclear whether additional skins and maps will be available to owners of this publication in Russia, as is done in the rest of the world. In short, typical clownery, we are not like eve"&amp;"ryone else. But the game doesn't get worse because of it. I bought a collector's item and don't regret it at all. vice versa. It's a shame, really. There are not enough players in the ""multi"" yet... I hope that the situation will change soon. So feel fr"&amp;"ee to buy, throw away your pirated items and see you in the game!")</f>
        <v>Well, in general, both the publication and the game itself are quite good. True, 1C promised to put everything in a plastic box, but here it’s only cardboard... Well, that’s okay, this company loves to cheat (we especially remember the case with the Fallout 3 collectible). And in general, you can recall that the “Weyland-Yutani Corp” patch, a holographic postcard and a mouse pad disappeared from our collector’s edition, plus in the Western edition the Facehugger was packaged in a plastic package shaped like an egg (here the resemblance to an egg is very distant). And it is unclear whether additional skins and maps will be available to owners of this publication in Russia, as is done in the rest of the world. In short, typical clownery, we are not like everyone else. But the game doesn't get worse because of it. I bought a collector's item and don't regret it at all. vice versa. It's a shame, really. There are not enough players in the "multi" yet... I hope that the situation will change soon. So feel free to buy, throw away your pirated items and see you in the game!</v>
      </c>
    </row>
    <row r="9295" spans="1:9" x14ac:dyDescent="0.3">
      <c r="A9295" s="1" t="s">
        <v>169</v>
      </c>
      <c r="B9295" s="1" t="s">
        <v>170</v>
      </c>
      <c r="C9295" s="1" t="s">
        <v>122</v>
      </c>
      <c r="D9295" s="1" t="s">
        <v>13763</v>
      </c>
      <c r="E9295" s="1" t="s">
        <v>4203</v>
      </c>
      <c r="F9295" s="1" t="s">
        <v>13764</v>
      </c>
      <c r="G9295" s="1" t="s">
        <v>36</v>
      </c>
      <c r="H9295" s="1" t="s">
        <v>29</v>
      </c>
      <c r="I9295" s="1" t="str">
        <f ca="1">IFERROR(__xludf.DUMMYFUNCTION("GOOGLETRANSLATE(F9295, ""auto"", ""en"")
"),"Don't listen to anyone! The headphones are excellent and the bass, by the way, is very cool! They pleased me, I even tried the Philips for 999 rubles in quality and sound!")</f>
        <v>Don't listen to anyone! The headphones are excellent and the bass, by the way, is very cool! They pleased me, I even tried the Philips for 999 rubles in quality and sound!</v>
      </c>
    </row>
    <row r="9296" spans="1:9" x14ac:dyDescent="0.3">
      <c r="A9296" s="1" t="s">
        <v>206</v>
      </c>
      <c r="B9296" s="1" t="s">
        <v>261</v>
      </c>
      <c r="C9296" s="1" t="s">
        <v>13765</v>
      </c>
      <c r="D9296" s="1" t="s">
        <v>2087</v>
      </c>
      <c r="E9296" s="1" t="s">
        <v>1056</v>
      </c>
      <c r="F9296" s="1" t="s">
        <v>13766</v>
      </c>
      <c r="G9296" s="1" t="s">
        <v>49</v>
      </c>
      <c r="H9296" s="1" t="s">
        <v>16</v>
      </c>
      <c r="I9296" s="1" t="str">
        <f ca="1">IFERROR(__xludf.DUMMYFUNCTION("GOOGLETRANSLATE(F9296, ""auto"", ""en"")
"),"doesn’t catch anything, the old passive one catches better")</f>
        <v>doesn’t catch anything, the old passive one catches better</v>
      </c>
    </row>
    <row r="9297" spans="1:9" x14ac:dyDescent="0.3">
      <c r="A9297" s="1" t="s">
        <v>61</v>
      </c>
      <c r="B9297" s="1" t="s">
        <v>318</v>
      </c>
      <c r="C9297" s="1" t="s">
        <v>85</v>
      </c>
      <c r="D9297" s="1" t="s">
        <v>280</v>
      </c>
      <c r="E9297" s="1" t="s">
        <v>4445</v>
      </c>
      <c r="F9297" s="1" t="s">
        <v>13767</v>
      </c>
      <c r="G9297" s="1" t="s">
        <v>36</v>
      </c>
      <c r="H9297" s="1" t="s">
        <v>29</v>
      </c>
      <c r="I9297" s="1" t="str">
        <f ca="1">IFERROR(__xludf.DUMMYFUNCTION("GOOGLETRANSLATE(F9297, ""auto"", ""en"")
"),"The kettle is very good. It works much quieter than all my previous kettles, there were no problems in use. I'm pleased with the functionality and design. Water pours well into a mug or glass and does not flow down the spout. I recommend it to everyone.")</f>
        <v>The kettle is very good. It works much quieter than all my previous kettles, there were no problems in use. I'm pleased with the functionality and design. Water pours well into a mug or glass and does not flow down the spout. I recommend it to everyone.</v>
      </c>
    </row>
    <row r="9298" spans="1:9" x14ac:dyDescent="0.3">
      <c r="A9298" s="1" t="s">
        <v>30</v>
      </c>
      <c r="B9298" s="1" t="s">
        <v>50</v>
      </c>
      <c r="C9298" s="1" t="s">
        <v>32</v>
      </c>
      <c r="D9298" s="1" t="s">
        <v>280</v>
      </c>
      <c r="E9298" s="1" t="s">
        <v>2146</v>
      </c>
      <c r="F9298" s="1" t="s">
        <v>13768</v>
      </c>
      <c r="G9298" s="1" t="s">
        <v>36</v>
      </c>
      <c r="H9298" s="1" t="s">
        <v>29</v>
      </c>
      <c r="I9298" s="1" t="str">
        <f ca="1">IFERROR(__xludf.DUMMYFUNCTION("GOOGLETRANSLATE(F9298, ""auto"", ""en"")
"),"For that kind of money - just a song. Hoarse speakers can be treated by reinstalling the sound driver. And the dead speakers are resurrected!")</f>
        <v>For that kind of money - just a song. Hoarse speakers can be treated by reinstalling the sound driver. And the dead speakers are resurrected!</v>
      </c>
    </row>
    <row r="9299" spans="1:9" x14ac:dyDescent="0.3">
      <c r="A9299" s="1" t="s">
        <v>61</v>
      </c>
      <c r="B9299" s="1" t="s">
        <v>318</v>
      </c>
      <c r="C9299" s="1" t="s">
        <v>63</v>
      </c>
      <c r="D9299" s="1" t="s">
        <v>13769</v>
      </c>
      <c r="E9299" s="1" t="s">
        <v>3664</v>
      </c>
      <c r="F9299" s="1" t="s">
        <v>13770</v>
      </c>
      <c r="G9299" s="1" t="s">
        <v>36</v>
      </c>
      <c r="H9299" s="1" t="s">
        <v>29</v>
      </c>
      <c r="I9299" s="1" t="str">
        <f ca="1">IFERROR(__xludf.DUMMYFUNCTION("GOOGLETRANSLATE(F9299, ""auto"", ""en"")
"),"cool electric kettle.")</f>
        <v>cool electric kettle.</v>
      </c>
    </row>
    <row r="9300" spans="1:9" x14ac:dyDescent="0.3">
      <c r="A9300" s="1" t="s">
        <v>30</v>
      </c>
      <c r="B9300" s="1" t="s">
        <v>50</v>
      </c>
      <c r="C9300" s="1" t="s">
        <v>32</v>
      </c>
      <c r="D9300" s="1" t="s">
        <v>2868</v>
      </c>
      <c r="E9300" s="1" t="s">
        <v>2874</v>
      </c>
      <c r="F9300" s="1" t="s">
        <v>13771</v>
      </c>
      <c r="G9300" s="1" t="s">
        <v>36</v>
      </c>
      <c r="H9300" s="1" t="s">
        <v>29</v>
      </c>
      <c r="I9300" s="1" t="str">
        <f ca="1">IFERROR(__xludf.DUMMYFUNCTION("GOOGLETRANSLATE(F9300, ""auto"", ""en"")
"),"Lena from Moscow and Dima from Tyumen there is no webcam on this laptop)))) what did you mean I went to Mvideo laptop to buy, after I received the newspaper, there was a Samsung there, I wanted to take it, but when I came to the store it turned out there "&amp;"was no such thing, they were sold out, probably or there was none at all, I had 20,000, I started choosing from those available, in the end I had my eye on 5541, and bought an Acer I trust it because I’ve been using an Acer of a different model for three "&amp;"years now and everything is fine, I liked it: 16:9 screen, resolution, Windows 7 x64, 3GB of RAM, appearance, Wi-Fi, price.  cons: 1) msafe antivirus immediately demolished this stupid antivirus, installed a free microsoft one thanks to lic.windows, 2) th"&amp;"ere is no web camera and microphone 3) and of course there are only 2 usb ports (but if you think about it, you can buy a usb multiplier, it’s probably not expensive either) 4) the sound is like on a mobile phone, you can’t even watch movies, the quality "&amp;"is bad (I bought a cable and connected it to the music center nice! now) in the end I solved all the disadvantages of the laptop.  They offered to take an additional service certificate, I refused because I know it doesn’t give anything good (I consider i"&amp;"t a waste of money), and the warranty is a year, but it seems by law there should be 2 years for everything.  for that mvideo was pleased with the mvideo program bonus, in general, for buying a laptop for 20,000 I received 500 bonus rubles for a purchase "&amp;"in mvideo, you can just buy a webcam!))) today, exactly 3 months since I bought the laptop, I’m very pleased, it doesn’t slow down, the games are still running, before that I didn’t buy anything in mvideo and haven’t even been there, now if there is a que"&amp;"stion about buying equipment, I definitely compare it with mvideo and go there, I like everything there except the additional service program, prices, sellers, location, products!  cool laptop! Ugh! Ugh! Ugh! Hurray thanks Acer and Mvideo!")</f>
        <v>Lena from Moscow and Dima from Tyumen there is no webcam on this laptop)))) what did you mean I went to Mvideo laptop to buy, after I received the newspaper, there was a Samsung there, I wanted to take it, but when I came to the store it turned out there was no such thing, they were sold out, probably or there was none at all, I had 20,000, I started choosing from those available, in the end I had my eye on 5541, and bought an Acer I trust it because I’ve been using an Acer of a different model for three years now and everything is fine, I liked it: 16:9 screen, resolution, Windows 7 x64, 3GB of RAM, appearance, Wi-Fi, price.  cons: 1) msafe antivirus immediately demolished this stupid antivirus, installed a free microsoft one thanks to lic.windows, 2) there is no web camera and microphone 3) and of course there are only 2 usb ports (but if you think about it, you can buy a usb multiplier, it’s probably not expensive either) 4) the sound is like on a mobile phone, you can’t even watch movies, the quality is bad (I bought a cable and connected it to the music center nice! now) in the end I solved all the disadvantages of the laptop.  They offered to take an additional service certificate, I refused because I know it doesn’t give anything good (I consider it a waste of money), and the warranty is a year, but it seems by law there should be 2 years for everything.  for that mvideo was pleased with the mvideo program bonus, in general, for buying a laptop for 20,000 I received 500 bonus rubles for a purchase in mvideo, you can just buy a webcam!))) today, exactly 3 months since I bought the laptop, I’m very pleased, it doesn’t slow down, the games are still running, before that I didn’t buy anything in mvideo and haven’t even been there, now if there is a question about buying equipment, I definitely compare it with mvideo and go there, I like everything there except the additional service program, prices, sellers, location, products!  cool laptop! Ugh! Ugh! Ugh! Hurray thanks Acer and Mvideo!</v>
      </c>
    </row>
    <row r="9301" spans="1:9" x14ac:dyDescent="0.3">
      <c r="A9301" s="1" t="s">
        <v>67</v>
      </c>
      <c r="B9301" s="1" t="s">
        <v>68</v>
      </c>
      <c r="C9301" s="1" t="s">
        <v>69</v>
      </c>
      <c r="D9301" s="1" t="s">
        <v>208</v>
      </c>
      <c r="E9301" s="1" t="s">
        <v>864</v>
      </c>
      <c r="F9301" s="1" t="s">
        <v>13772</v>
      </c>
      <c r="G9301" s="1" t="s">
        <v>28</v>
      </c>
      <c r="H9301" s="1" t="s">
        <v>29</v>
      </c>
      <c r="I9301" s="1" t="str">
        <f ca="1">IFERROR(__xludf.DUMMYFUNCTION("GOOGLETRANSLATE(F9301, ""auto"", ""en"")
"),"The iron is excellent, heats up quickly, smooths everything out. One drawback is that it wheezes when you put it vertically :(")</f>
        <v>The iron is excellent, heats up quickly, smooths everything out. One drawback is that it wheezes when you put it vertically :(</v>
      </c>
    </row>
    <row r="9302" spans="1:9" x14ac:dyDescent="0.3">
      <c r="A9302" s="1" t="s">
        <v>61</v>
      </c>
      <c r="B9302" s="1" t="s">
        <v>318</v>
      </c>
      <c r="C9302" s="1" t="s">
        <v>213</v>
      </c>
      <c r="D9302" s="1" t="s">
        <v>411</v>
      </c>
      <c r="E9302" s="1" t="s">
        <v>1086</v>
      </c>
      <c r="F9302" s="1" t="s">
        <v>13773</v>
      </c>
      <c r="G9302" s="1" t="s">
        <v>36</v>
      </c>
      <c r="H9302" s="1" t="s">
        <v>29</v>
      </c>
      <c r="I9302" s="1" t="str">
        <f ca="1">IFERROR(__xludf.DUMMYFUNCTION("GOOGLETRANSLATE(F9302, ""auto"", ""en"")
"),"The teapot is immortal! It's been plowing like hell for over 5 years now and no problems! It doesn’t leak, doesn’t smell like plastic, and heats the water quickly. Great choice!")</f>
        <v>The teapot is immortal! It's been plowing like hell for over 5 years now and no problems! It doesn’t leak, doesn’t smell like plastic, and heats the water quickly. Great choice!</v>
      </c>
    </row>
    <row r="9303" spans="1:9" x14ac:dyDescent="0.3">
      <c r="A9303" s="1" t="s">
        <v>120</v>
      </c>
      <c r="B9303" s="1" t="s">
        <v>126</v>
      </c>
      <c r="C9303" s="1" t="s">
        <v>80</v>
      </c>
      <c r="D9303" s="1" t="s">
        <v>327</v>
      </c>
      <c r="E9303" s="1" t="s">
        <v>1290</v>
      </c>
      <c r="F9303" s="1" t="s">
        <v>13774</v>
      </c>
      <c r="G9303" s="1" t="s">
        <v>36</v>
      </c>
      <c r="H9303" s="1" t="s">
        <v>29</v>
      </c>
      <c r="I9303" s="1" t="str">
        <f ca="1">IFERROR(__xludf.DUMMYFUNCTION("GOOGLETRANSLATE(F9303, ""auto"", ""en"")
"),"At the end of July I bought myself this TV. Actually I was going to buy a 32-inch LCD. But everyone recommended plasma for gaming. I decided to buy a 32-inch plasma. I went online to see what happened. On the M-Video website I saw a promotion that when yo"&amp;"u buy this TV they give a card worth 5,000 rubles. for your next purchase. And I just need an x-box or ps3. That is, it turns out that I either bought the TV for 19900 (24990-5000), or the xbox for 6990 (11990-5000). So the offer is very profitable. Of co"&amp;"urse, the assembly is in Russia (probably Kaliningrad), the LG brand and the conditions of the promotion are strange: the discount can only be used after the end of the promotion and you can pay no more than 50% of the purchase. The main thing here is not"&amp;" to be thrown away like these cards are not valid... In short, in my opinion, the move is very smart, the TV is also not bad, but without the promotion I would not have bought it.")</f>
        <v>At the end of July I bought myself this TV. Actually I was going to buy a 32-inch LCD. But everyone recommended plasma for gaming. I decided to buy a 32-inch plasma. I went online to see what happened. On the M-Video website I saw a promotion that when you buy this TV they give a card worth 5,000 rubles. for your next purchase. And I just need an x-box or ps3. That is, it turns out that I either bought the TV for 19900 (24990-5000), or the xbox for 6990 (11990-5000). So the offer is very profitable. Of course, the assembly is in Russia (probably Kaliningrad), the LG brand and the conditions of the promotion are strange: the discount can only be used after the end of the promotion and you can pay no more than 50% of the purchase. The main thing here is not to be thrown away like these cards are not valid... In short, in my opinion, the move is very smart, the TV is also not bad, but without the promotion I would not have bought it.</v>
      </c>
    </row>
    <row r="9304" spans="1:9" x14ac:dyDescent="0.3">
      <c r="A9304" s="1" t="s">
        <v>37</v>
      </c>
      <c r="B9304" s="1" t="s">
        <v>355</v>
      </c>
      <c r="C9304" s="1" t="s">
        <v>356</v>
      </c>
      <c r="D9304" s="1" t="s">
        <v>127</v>
      </c>
      <c r="E9304" s="1" t="s">
        <v>124</v>
      </c>
      <c r="F9304" s="1" t="s">
        <v>13775</v>
      </c>
      <c r="G9304" s="1" t="s">
        <v>36</v>
      </c>
      <c r="H9304" s="1" t="s">
        <v>29</v>
      </c>
      <c r="I9304" s="1" t="str">
        <f ca="1">IFERROR(__xludf.DUMMYFUNCTION("GOOGLETRANSLATE(F9304, ""auto"", ""en"")
"),"The device is excellent. There is more than enough memory. Everything is done for people. There are no glitches. The difference in speed compared to the previous model is very noticeable.")</f>
        <v>The device is excellent. There is more than enough memory. Everything is done for people. There are no glitches. The difference in speed compared to the previous model is very noticeable.</v>
      </c>
    </row>
    <row r="9305" spans="1:9" x14ac:dyDescent="0.3">
      <c r="A9305" s="1" t="s">
        <v>149</v>
      </c>
      <c r="B9305" s="1" t="s">
        <v>150</v>
      </c>
      <c r="C9305" s="1" t="s">
        <v>2016</v>
      </c>
      <c r="D9305" s="1" t="s">
        <v>3108</v>
      </c>
      <c r="E9305" s="1" t="s">
        <v>285</v>
      </c>
      <c r="F9305" s="1" t="s">
        <v>13776</v>
      </c>
      <c r="G9305" s="1" t="s">
        <v>36</v>
      </c>
      <c r="H9305" s="1" t="s">
        <v>29</v>
      </c>
      <c r="I9305" s="1" t="str">
        <f ca="1">IFERROR(__xludf.DUMMYFUNCTION("GOOGLETRANSLATE(F9305, ""auto"", ""en"")
"),"I'm 100% satisfied. Vacuums well, the cord is about 3 meters. I also bought a 2 year warranty.")</f>
        <v>I'm 100% satisfied. Vacuums well, the cord is about 3 meters. I also bought a 2 year warranty.</v>
      </c>
    </row>
    <row r="9306" spans="1:9" x14ac:dyDescent="0.3">
      <c r="A9306" s="1" t="s">
        <v>67</v>
      </c>
      <c r="B9306" s="1" t="s">
        <v>68</v>
      </c>
      <c r="C9306" s="1" t="s">
        <v>101</v>
      </c>
      <c r="D9306" s="1" t="s">
        <v>13777</v>
      </c>
      <c r="E9306" s="1" t="s">
        <v>3477</v>
      </c>
      <c r="F9306" s="1" t="s">
        <v>13778</v>
      </c>
      <c r="G9306" s="1" t="s">
        <v>36</v>
      </c>
      <c r="H9306" s="1" t="s">
        <v>29</v>
      </c>
      <c r="I9306" s="1" t="str">
        <f ca="1">IFERROR(__xludf.DUMMYFUNCTION("GOOGLETRANSLATE(F9306, ""auto"", ""en"")
"),"Yesterday I bought myself such a model. I picked it from the cheapest one, and it had a steam supply. The iron is just super, good steam supply, irons perfectly and leaves no marks on the fabric. The only downside is that when you tilt it into a vertical "&amp;"position, sometimes water leaks from the filler neck, and another drawback is the lack of a steam boost. But for such a price it’s fine. Overall a good compact device at a reasonable price.")</f>
        <v>Yesterday I bought myself such a model. I picked it from the cheapest one, and it had a steam supply. The iron is just super, good steam supply, irons perfectly and leaves no marks on the fabric. The only downside is that when you tilt it into a vertical position, sometimes water leaks from the filler neck, and another drawback is the lack of a steam boost. But for such a price it’s fine. Overall a good compact device at a reasonable price.</v>
      </c>
    </row>
    <row r="9307" spans="1:9" x14ac:dyDescent="0.3">
      <c r="A9307" s="1" t="s">
        <v>238</v>
      </c>
      <c r="B9307" s="1" t="s">
        <v>276</v>
      </c>
      <c r="C9307" s="1" t="s">
        <v>1677</v>
      </c>
      <c r="D9307" s="1" t="s">
        <v>13779</v>
      </c>
      <c r="E9307" s="1" t="s">
        <v>1553</v>
      </c>
      <c r="F9307" s="1" t="s">
        <v>13780</v>
      </c>
      <c r="G9307" s="1" t="s">
        <v>36</v>
      </c>
      <c r="H9307" s="1" t="s">
        <v>29</v>
      </c>
      <c r="I9307" s="1" t="str">
        <f ca="1">IFERROR(__xludf.DUMMYFUNCTION("GOOGLETRANSLATE(F9307, ""auto"", ""en"")
"),"Excellent unit! Stylish, almost silent). Very roomy, the trunk from Auchan fits)) There is no unpleasant smell. But frost.  + good assembly, neither Ketai)) I didn’t notice any disadvantages.")</f>
        <v>Excellent unit! Stylish, almost silent). Very roomy, the trunk from Auchan fits)) There is no unpleasant smell. But frost.  + good assembly, neither Ketai)) I didn’t notice any disadvantages.</v>
      </c>
    </row>
    <row r="9308" spans="1:9" x14ac:dyDescent="0.3">
      <c r="A9308" s="1" t="s">
        <v>211</v>
      </c>
      <c r="B9308" s="1" t="s">
        <v>212</v>
      </c>
      <c r="C9308" s="1" t="s">
        <v>69</v>
      </c>
      <c r="D9308" s="1" t="s">
        <v>335</v>
      </c>
      <c r="E9308" s="1" t="s">
        <v>1277</v>
      </c>
      <c r="F9308" s="1" t="s">
        <v>13781</v>
      </c>
      <c r="G9308" s="1" t="s">
        <v>36</v>
      </c>
      <c r="H9308" s="1" t="s">
        <v>29</v>
      </c>
      <c r="I9308" s="1" t="str">
        <f ca="1">IFERROR(__xludf.DUMMYFUNCTION("GOOGLETRANSLATE(F9308, ""auto"", ""en"")
"),"Great stuff! And the pins should be inserted perpendicular to the curlers, and not along :)")</f>
        <v>Great stuff! And the pins should be inserted perpendicular to the curlers, and not along :)</v>
      </c>
    </row>
    <row r="9309" spans="1:9" x14ac:dyDescent="0.3">
      <c r="A9309" s="1" t="s">
        <v>624</v>
      </c>
      <c r="B9309" s="1" t="s">
        <v>625</v>
      </c>
      <c r="C9309" s="1" t="s">
        <v>479</v>
      </c>
      <c r="D9309" s="1" t="s">
        <v>39</v>
      </c>
      <c r="E9309" s="1" t="s">
        <v>960</v>
      </c>
      <c r="F9309" s="1" t="s">
        <v>13782</v>
      </c>
      <c r="G9309" s="1" t="s">
        <v>15</v>
      </c>
      <c r="H9309" s="1" t="s">
        <v>16</v>
      </c>
      <c r="I9309" s="1" t="str">
        <f ca="1">IFERROR(__xludf.DUMMYFUNCTION("GOOGLETRANSLATE(F9309, ""auto"", ""en"")
"),"heavy rain is just hyped bullshit, you want to play through it once and throw it away, it’s a shame that you wasted money, I don’t advise anyone who is planning to buy it, unless it’s 500 rubles. Gameplay can be said to be absent, like a fool shake the jo"&amp;"ystick here and shake it, in short, you sit and watch a movie for 3 thousand, with the same success you can buy 3 cool blu-ray discs with films and watch. The demo version of the most spectacular episodes was shut down, people behaved like donkeys, includ"&amp;"ing me, and bought it.")</f>
        <v>heavy rain is just hyped bullshit, you want to play through it once and throw it away, it’s a shame that you wasted money, I don’t advise anyone who is planning to buy it, unless it’s 500 rubles. Gameplay can be said to be absent, like a fool shake the joystick here and shake it, in short, you sit and watch a movie for 3 thousand, with the same success you can buy 3 cool blu-ray discs with films and watch. The demo version of the most spectacular episodes was shut down, people behaved like donkeys, including me, and bought it.</v>
      </c>
    </row>
    <row r="9310" spans="1:9" x14ac:dyDescent="0.3">
      <c r="A9310" s="1" t="s">
        <v>61</v>
      </c>
      <c r="B9310" s="1" t="s">
        <v>73</v>
      </c>
      <c r="C9310" s="1" t="s">
        <v>85</v>
      </c>
      <c r="D9310" s="1" t="s">
        <v>308</v>
      </c>
      <c r="E9310" s="1" t="s">
        <v>4363</v>
      </c>
      <c r="F9310" s="1" t="s">
        <v>13783</v>
      </c>
      <c r="G9310" s="1" t="s">
        <v>49</v>
      </c>
      <c r="H9310" s="1" t="s">
        <v>16</v>
      </c>
      <c r="I9310" s="1" t="str">
        <f ca="1">IFERROR(__xludf.DUMMYFUNCTION("GOOGLETRANSLATE(F9310, ""auto"", ""en"")
"),"We bought a meat grinder 3 weeks ago. For some reason, we didn’t think of trying it out right away; we hoped that the brand was well-known and there wouldn’t be any problems with it. When the meat grinder was turned on, it began to make such sounds that i"&amp;"t was beyond words. Apparently the auger touched something from the inside and did not spin. We will change it.")</f>
        <v>We bought a meat grinder 3 weeks ago. For some reason, we didn’t think of trying it out right away; we hoped that the brand was well-known and there wouldn’t be any problems with it. When the meat grinder was turned on, it began to make such sounds that it was beyond words. Apparently the auger touched something from the inside and did not spin. We will change it.</v>
      </c>
    </row>
    <row r="9311" spans="1:9" x14ac:dyDescent="0.3">
      <c r="A9311" s="1" t="s">
        <v>30</v>
      </c>
      <c r="B9311" s="1" t="s">
        <v>50</v>
      </c>
      <c r="C9311" s="1" t="s">
        <v>1003</v>
      </c>
      <c r="D9311" s="1" t="s">
        <v>171</v>
      </c>
      <c r="E9311" s="1" t="s">
        <v>1319</v>
      </c>
      <c r="F9311" s="1" t="s">
        <v>13784</v>
      </c>
      <c r="G9311" s="1" t="s">
        <v>36</v>
      </c>
      <c r="H9311" s="1" t="s">
        <v>29</v>
      </c>
      <c r="I9311" s="1" t="str">
        <f ca="1">IFERROR(__xludf.DUMMYFUNCTION("GOOGLETRANSLATE(F9311, ""auto"", ""en"")
"),"Excellent device! I've been using it for 4 months. I carefully chose from a variety of models from various manufacturers, and was not disappointed in the purchase. I chose it based on technical characteristics, and it’s also a very good face. Powerful, st"&amp;"ylish, black! Among the shortcomings, I highlight the not entirely successful pairing of the keyboard backing with the speaker panel, but this is rather a defect... A pleasant surprise from the manufacturer - a good-quality bag included!")</f>
        <v>Excellent device! I've been using it for 4 months. I carefully chose from a variety of models from various manufacturers, and was not disappointed in the purchase. I chose it based on technical characteristics, and it’s also a very good face. Powerful, stylish, black! Among the shortcomings, I highlight the not entirely successful pairing of the keyboard backing with the speaker panel, but this is rather a defect... A pleasant surprise from the manufacturer - a good-quality bag included!</v>
      </c>
    </row>
    <row r="9312" spans="1:9" x14ac:dyDescent="0.3">
      <c r="A9312" s="1" t="s">
        <v>111</v>
      </c>
      <c r="B9312" s="1" t="s">
        <v>112</v>
      </c>
      <c r="C9312" s="1" t="s">
        <v>1230</v>
      </c>
      <c r="D9312" s="1" t="s">
        <v>171</v>
      </c>
      <c r="E9312" s="1" t="s">
        <v>1500</v>
      </c>
      <c r="F9312" s="1" t="s">
        <v>13785</v>
      </c>
      <c r="G9312" s="1" t="s">
        <v>15</v>
      </c>
      <c r="H9312" s="1" t="s">
        <v>16</v>
      </c>
      <c r="I9312" s="1" t="str">
        <f ca="1">IFERROR(__xludf.DUMMYFUNCTION("GOOGLETRANSLATE(F9312, ""auto"", ""en"")
"),"Design.")</f>
        <v>Design.</v>
      </c>
    </row>
    <row r="9313" spans="1:9" x14ac:dyDescent="0.3">
      <c r="A9313" s="1" t="s">
        <v>120</v>
      </c>
      <c r="B9313" s="1" t="s">
        <v>121</v>
      </c>
      <c r="C9313" s="1" t="s">
        <v>658</v>
      </c>
      <c r="D9313" s="1" t="s">
        <v>139</v>
      </c>
      <c r="E9313" s="1" t="s">
        <v>1742</v>
      </c>
      <c r="F9313" s="1" t="s">
        <v>13786</v>
      </c>
      <c r="G9313" s="1" t="s">
        <v>28</v>
      </c>
      <c r="H9313" s="1" t="s">
        <v>29</v>
      </c>
      <c r="I9313" s="1" t="str">
        <f ca="1">IFERROR(__xludf.DUMMYFUNCTION("GOOGLETRANSLATE(F9313, ""auto"", ""en"")
"),"I chose from TV at a cost of up to 18,000 rubles.  The main criterion was image quality and color rendition.  At the stand, all the LCDs on the tab on the right were turned on.  the signal was from a simple collective antenna (I specifically asked for bro"&amp;"adcasting), Sonya and Toshiba immediately stood out. LJ and Sams have some unnatural colors... but Sonya also seemed a little worse compared to the Toshiba, the only thing I still hesitated between was the LG Fulka and the Toshiba. but still settled on To"&amp;"shiba.  the only unpleasant surprise at home was the weak tuner! even though the antenna is on the roof, the signal is of poor quality... and those programs that the previous CRT TV showed more or less passably - the LCD seemed much worse! :(one channel c"&amp;"ategorically does not want to be seen at all. But the picture on the DVD is excellent - the colors are balanced, the picture is good.")</f>
        <v>I chose from TV at a cost of up to 18,000 rubles.  The main criterion was image quality and color rendition.  At the stand, all the LCDs on the tab on the right were turned on.  the signal was from a simple collective antenna (I specifically asked for broadcasting), Sonya and Toshiba immediately stood out. LJ and Sams have some unnatural colors... but Sonya also seemed a little worse compared to the Toshiba, the only thing I still hesitated between was the LG Fulka and the Toshiba. but still settled on Toshiba.  the only unpleasant surprise at home was the weak tuner! even though the antenna is on the roof, the signal is of poor quality... and those programs that the previous CRT TV showed more or less passably - the LCD seemed much worse! :(one channel categorically does not want to be seen at all. But the picture on the DVD is excellent - the colors are balanced, the picture is good.</v>
      </c>
    </row>
    <row r="9314" spans="1:9" x14ac:dyDescent="0.3">
      <c r="A9314" s="1" t="s">
        <v>120</v>
      </c>
      <c r="B9314" s="1" t="s">
        <v>126</v>
      </c>
      <c r="C9314" s="1" t="s">
        <v>122</v>
      </c>
      <c r="D9314" s="1" t="s">
        <v>13787</v>
      </c>
      <c r="E9314" s="1" t="s">
        <v>1228</v>
      </c>
      <c r="F9314" s="1" t="s">
        <v>13788</v>
      </c>
      <c r="G9314" s="1" t="s">
        <v>36</v>
      </c>
      <c r="H9314" s="1" t="s">
        <v>29</v>
      </c>
      <c r="I9314" s="1" t="str">
        <f ca="1">IFERROR(__xludf.DUMMYFUNCTION("GOOGLETRANSLATE(F9314, ""auto"", ""en"")
"),"to antoHa, I don’t agree with you, the TX-PR42 C10 is amazing - on DVD and blue rey for sure! Good resolution, there is HDTV - this gives the picture great clarity. Another very cool detail - today I went to the cinema with friends to see “2012”, and at h"&amp;"ome I turned on “The Day After Tomorrow” - on TV the film looks very similar to in the cinema, this, I was told, has the True Cinema function helps. Cool design, hung the TV on the wall, looks great with light wallpaper. In general, the plasma is excellen"&amp;"t")</f>
        <v>to antoHa, I don’t agree with you, the TX-PR42 C10 is amazing - on DVD and blue rey for sure! Good resolution, there is HDTV - this gives the picture great clarity. Another very cool detail - today I went to the cinema with friends to see “2012”, and at home I turned on “The Day After Tomorrow” - on TV the film looks very similar to in the cinema, this, I was told, has the True Cinema function helps. Cool design, hung the TV on the wall, looks great with light wallpaper. In general, the plasma is excellent</v>
      </c>
    </row>
    <row r="9315" spans="1:9" x14ac:dyDescent="0.3">
      <c r="A9315" s="1" t="s">
        <v>61</v>
      </c>
      <c r="B9315" s="1" t="s">
        <v>318</v>
      </c>
      <c r="C9315" s="1" t="s">
        <v>57</v>
      </c>
      <c r="D9315" s="1" t="s">
        <v>545</v>
      </c>
      <c r="E9315" s="1" t="s">
        <v>504</v>
      </c>
      <c r="F9315" s="1" t="s">
        <v>13789</v>
      </c>
      <c r="G9315" s="1" t="s">
        <v>36</v>
      </c>
      <c r="H9315" s="1" t="s">
        <v>29</v>
      </c>
      <c r="I9315" s="1" t="str">
        <f ca="1">IFERROR(__xludf.DUMMYFUNCTION("GOOGLETRANSLATE(F9315, ""auto"", ""en"")
"),"I don’t really like it. It doesn’t stink at all, it boils quickly and turns off immediately. There are no problems. Neither the wires nor the plastic of the kettle get hot, the water can be boiled right away.")</f>
        <v>I don’t really like it. It doesn’t stink at all, it boils quickly and turns off immediately. There are no problems. Neither the wires nor the plastic of the kettle get hot, the water can be boiled right away.</v>
      </c>
    </row>
    <row r="9316" spans="1:9" x14ac:dyDescent="0.3">
      <c r="A9316" s="1" t="s">
        <v>105</v>
      </c>
      <c r="B9316" s="1" t="s">
        <v>106</v>
      </c>
      <c r="C9316" s="1" t="s">
        <v>69</v>
      </c>
      <c r="D9316" s="1" t="s">
        <v>232</v>
      </c>
      <c r="E9316" s="1" t="s">
        <v>21</v>
      </c>
      <c r="F9316" s="1" t="s">
        <v>13790</v>
      </c>
      <c r="G9316" s="1" t="s">
        <v>36</v>
      </c>
      <c r="H9316" s="1" t="s">
        <v>29</v>
      </c>
      <c r="I9316" s="1" t="str">
        <f ca="1">IFERROR(__xludf.DUMMYFUNCTION("GOOGLETRANSLATE(F9316, ""auto"", ""en"")
"),"Subject, I purchased this product today, the rating on a five-point scale is five. Of the cheap options (800-2000), this one seems to me to be the best. Easy to use, does not take up much space in your pocket, the sound quality was very pleasing, USB char"&amp;"ging, which is very important for me (I didn’t have to spend an extra 200 rubles on a charger, since this little guy came without one), the batteries will last you a lot. In general, only advantages for now I see it in him, we’ll see what happens next. I "&amp;"advise everyone...")</f>
        <v>Subject, I purchased this product today, the rating on a five-point scale is five. Of the cheap options (800-2000), this one seems to me to be the best. Easy to use, does not take up much space in your pocket, the sound quality was very pleasing, USB charging, which is very important for me (I didn’t have to spend an extra 200 rubles on a charger, since this little guy came without one), the batteries will last you a lot. In general, only advantages for now I see it in him, we’ll see what happens next. I advise everyone...</v>
      </c>
    </row>
    <row r="9317" spans="1:9" x14ac:dyDescent="0.3">
      <c r="A9317" s="1" t="s">
        <v>211</v>
      </c>
      <c r="B9317" s="1" t="s">
        <v>265</v>
      </c>
      <c r="C9317" s="1" t="s">
        <v>266</v>
      </c>
      <c r="D9317" s="1" t="s">
        <v>152</v>
      </c>
      <c r="E9317" s="1" t="s">
        <v>4261</v>
      </c>
      <c r="F9317" s="1" t="s">
        <v>13791</v>
      </c>
      <c r="G9317" s="1" t="s">
        <v>49</v>
      </c>
      <c r="H9317" s="1" t="s">
        <v>16</v>
      </c>
      <c r="I9317" s="1" t="str">
        <f ca="1">IFERROR(__xludf.DUMMYFUNCTION("GOOGLETRANSLATE(F9317, ""auto"", ""en"")
"),"I imagined a beautiful, neat beard, but in the end it was a complete failure and fake. I agree with previous speakers. Don’t even think about it, guys, take a regular hair machine and use it. And this device &amp;minus; Only suitable for the nose and ears.")</f>
        <v>I imagined a beautiful, neat beard, but in the end it was a complete failure and fake. I agree with previous speakers. Don’t even think about it, guys, take a regular hair machine and use it. And this device &amp;minus; Only suitable for the nose and ears.</v>
      </c>
    </row>
    <row r="9318" spans="1:9" x14ac:dyDescent="0.3">
      <c r="A9318" s="1" t="s">
        <v>9</v>
      </c>
      <c r="B9318" s="1" t="s">
        <v>23</v>
      </c>
      <c r="C9318" s="1" t="s">
        <v>466</v>
      </c>
      <c r="D9318" s="1" t="s">
        <v>2714</v>
      </c>
      <c r="E9318" s="1" t="s">
        <v>1305</v>
      </c>
      <c r="F9318" s="1" t="s">
        <v>2715</v>
      </c>
      <c r="G9318" s="1" t="s">
        <v>36</v>
      </c>
      <c r="H9318" s="1" t="s">
        <v>29</v>
      </c>
      <c r="I9318" s="1" t="str">
        <f ca="1">IFERROR(__xludf.DUMMYFUNCTION("GOOGLETRANSLATE(F9318, ""auto"", ""en"")
"),"The sink has been working for me for three years now. The washing quality is satisfactory. But you don’t need to put dishes with dried pieces of food in it, or if you save up washing for a long time, do a preliminary rinse. Select the correct rinse aid se"&amp;"tting. And most importantly, place the dishes in the machine correctly - and you will be happy!")</f>
        <v>The sink has been working for me for three years now. The washing quality is satisfactory. But you don’t need to put dishes with dried pieces of food in it, or if you save up washing for a long time, do a preliminary rinse. Select the correct rinse aid setting. And most importantly, place the dishes in the machine correctly - and you will be happy!</v>
      </c>
    </row>
    <row r="9319" spans="1:9" x14ac:dyDescent="0.3">
      <c r="A9319" s="1" t="s">
        <v>61</v>
      </c>
      <c r="B9319" s="1" t="s">
        <v>726</v>
      </c>
      <c r="C9319" s="1" t="s">
        <v>122</v>
      </c>
      <c r="D9319" s="1" t="s">
        <v>46</v>
      </c>
      <c r="E9319" s="1" t="s">
        <v>2533</v>
      </c>
      <c r="F9319" s="1" t="s">
        <v>13792</v>
      </c>
      <c r="G9319" s="1" t="s">
        <v>36</v>
      </c>
      <c r="H9319" s="1" t="s">
        <v>29</v>
      </c>
      <c r="I9319" s="1" t="str">
        <f ca="1">IFERROR(__xludf.DUMMYFUNCTION("GOOGLETRANSLATE(F9319, ""auto"", ""en"")
"),"We bought this bread maker when there were good discounts on them in the m-video. They took it from the display and were very worried that the product might be substandard. Half a year has passed and there are no complaints. We bake fresh bread with bran,"&amp;" raisins, cereals, i.e. whatever your heart desires. The dough for pies and pizzas is beyond praise. And the most wonderful thing is when the whole family wakes up in the morning to the amazing smell of bread, which is what we wish for you too!")</f>
        <v>We bought this bread maker when there were good discounts on them in the m-video. They took it from the display and were very worried that the product might be substandard. Half a year has passed and there are no complaints. We bake fresh bread with bran, raisins, cereals, i.e. whatever your heart desires. The dough for pies and pizzas is beyond praise. And the most wonderful thing is when the whole family wakes up in the morning to the amazing smell of bread, which is what we wish for you too!</v>
      </c>
    </row>
    <row r="9320" spans="1:9" x14ac:dyDescent="0.3">
      <c r="A9320" s="1" t="s">
        <v>2087</v>
      </c>
      <c r="B9320" s="1" t="s">
        <v>2088</v>
      </c>
      <c r="C9320" s="1" t="s">
        <v>97</v>
      </c>
      <c r="D9320" s="1" t="s">
        <v>39</v>
      </c>
      <c r="E9320" s="1" t="s">
        <v>2265</v>
      </c>
      <c r="F9320" s="1" t="s">
        <v>13793</v>
      </c>
      <c r="G9320" s="1" t="s">
        <v>28</v>
      </c>
      <c r="H9320" s="1" t="s">
        <v>29</v>
      </c>
      <c r="I9320" s="1" t="str">
        <f ca="1">IFERROR(__xludf.DUMMYFUNCTION("GOOGLETRANSLATE(F9320, ""auto"", ""en"")
"),"The device was purchased shortly before the New Year 2010 as a family gift. Since there are no acoustics in the living room for a long time, and there is only a TV, I decided that I shouldn’t buy Shmarants there! :))) I settled on Sony - maybe marketing p"&amp;"layed a role, but I didn’t really want to look at the “Koreans”, even if they all gather in China too, and chose Sony. Initially, I intended to take a Blu-Ray player from Toshiba (for the sake of additional synchronization with the TV and other nice “tric"&amp;"ks”) - but they were not sold legally anywhere in Russia, and to this day they are not sold.    Now let's get straight to the point. The first thing that pleasantly surprised me about the unit was the menu. Displayed on a translucent gray background, lett"&amp;"ers and icons are smoothed. I'm not an expert in playing Blu-Ray discs, but I was very pleased with the image quality from them. The difference compared to DVD is visible to the naked eye from 5 meters when played on a 32-inch screen. And at close range, "&amp;"no noticeable traces of video compression were observed - and interference in dark places was largely generated by the inherent noise of modern professional film. The function of playing mp3 from discs is also available - it will not be needed often, but "&amp;"in the rare case of some small drinking session it will do. :))) And now about the shortcomings - unfortunately, they exist. Some clearly pursue a marketing goal, while others are defects in technology at the hardware and software level. The “marketing” d"&amp;"isadvantages here are the following: 1) the inability to play low-level video content (such as DivX, XviD and other such “dirt”), 2) the inability to read information from a USB drive. No, there is a USB connector there - but it is intended for storing se"&amp;"rvice information on a flash drive, but not for reading media files, be it photos, music, or I don’t know what else.  I noticed the following shortcomings at the software level. Probably many of us have noticed: if you watch a movie on a computer with def"&amp;"ault settings, all the faces of the actors are lilac, like the plastic bags offered to us in stores. Personally, this irritates me terribly, and in the player itself I did not find a color adjustment function, I have to strain the TV in vain on this topic"&amp;", fortunately it has these settings. Another drawback is the inability to display images in JPG format that have progressive compression technology; it stupidly does not understand them, although it would seem that it would not be difficult to implement t"&amp;"his into the firmware.  At the hardware level, there is only one problem, and it’s more like a joke: you can’t... open and close (without playing) the drive directly from the remote control! What inspired them to remove this far from unnecessary opportuni"&amp;"ty? Habits of the hi-fi class, where equipment is made “dumb as a log” in function for the sake of idealizing electronic components for impeccable sound quality? It seems that the style doesn’t fit at all, and the price doesn’t either. Therefore, their id"&amp;"eology is completely incomprehensible to me - to press an inconvenient button and dirty the surface of the device, instead of carefully opening the drive from the remote control.    To be able to play video content compressed into DivX from discs or USB d"&amp;"rives, I had to additionally purchase a Sony DVP-NS728H DVD player. But that's a completely different story.    I give it four stars - the rating was reduced mainly for the lack of a drive opening button on the remote control. The rest can be taken for gr"&amp;"anted.")</f>
        <v>The device was purchased shortly before the New Year 2010 as a family gift. Since there are no acoustics in the living room for a long time, and there is only a TV, I decided that I shouldn’t buy Shmarants there! :))) I settled on Sony - maybe marketing played a role, but I didn’t really want to look at the “Koreans”, even if they all gather in China too, and chose Sony. Initially, I intended to take a Blu-Ray player from Toshiba (for the sake of additional synchronization with the TV and other nice “tricks”) - but they were not sold legally anywhere in Russia, and to this day they are not sold.    Now let's get straight to the point. The first thing that pleasantly surprised me about the unit was the menu. Displayed on a translucent gray background, letters and icons are smoothed. I'm not an expert in playing Blu-Ray discs, but I was very pleased with the image quality from them. The difference compared to DVD is visible to the naked eye from 5 meters when played on a 32-inch screen. And at close range, no noticeable traces of video compression were observed - and interference in dark places was largely generated by the inherent noise of modern professional film. The function of playing mp3 from discs is also available - it will not be needed often, but in the rare case of some small drinking session it will do. :))) And now about the shortcomings - unfortunately, they exist. Some clearly pursue a marketing goal, while others are defects in technology at the hardware and software level. The “marketing” disadvantages here are the following: 1) the inability to play low-level video content (such as DivX, XviD and other such “dirt”), 2) the inability to read information from a USB drive. No, there is a USB connector there - but it is intended for storing service information on a flash drive, but not for reading media files, be it photos, music, or I don’t know what else.  I noticed the following shortcomings at the software level. Probably many of us have noticed: if you watch a movie on a computer with default settings, all the faces of the actors are lilac, like the plastic bags offered to us in stores. Personally, this irritates me terribly, and in the player itself I did not find a color adjustment function, I have to strain the TV in vain on this topic, fortunately it has these settings. Another drawback is the inability to display images in JPG format that have progressive compression technology; it stupidly does not understand them, although it would seem that it would not be difficult to implement this into the firmware.  At the hardware level, there is only one problem, and it’s more like a joke: you can’t... open and close (without playing) the drive directly from the remote control! What inspired them to remove this far from unnecessary opportunity? Habits of the hi-fi class, where equipment is made “dumb as a log” in function for the sake of idealizing electronic components for impeccable sound quality? It seems that the style doesn’t fit at all, and the price doesn’t either. Therefore, their ideology is completely incomprehensible to me - to press an inconvenient button and dirty the surface of the device, instead of carefully opening the drive from the remote control.    To be able to play video content compressed into DivX from discs or USB drives, I had to additionally purchase a Sony DVP-NS728H DVD player. But that's a completely different story.    I give it four stars - the rating was reduced mainly for the lack of a drive opening button on the remote control. The rest can be taken for granted.</v>
      </c>
    </row>
    <row r="9321" spans="1:9" x14ac:dyDescent="0.3">
      <c r="A9321" s="1" t="s">
        <v>61</v>
      </c>
      <c r="B9321" s="1" t="s">
        <v>318</v>
      </c>
      <c r="C9321" s="1" t="s">
        <v>101</v>
      </c>
      <c r="D9321" s="1" t="s">
        <v>75</v>
      </c>
      <c r="E9321" s="1" t="s">
        <v>1586</v>
      </c>
      <c r="F9321" s="1" t="s">
        <v>13794</v>
      </c>
      <c r="G9321" s="1" t="s">
        <v>15</v>
      </c>
      <c r="H9321" s="1" t="s">
        <v>16</v>
      </c>
      <c r="I9321" s="1" t="str">
        <f ca="1">IFERROR(__xludf.DUMMYFUNCTION("GOOGLETRANSLATE(F9321, ""auto"", ""en"")
"),"Less than a year has passed since it began to flow. I feel sorry for the money I spent on it; for that kind of money I could have bought two cheaper ones that would have lasted longer. and I agree with all the shortcomings described here. absolute discrep"&amp;"ancy between price and quality ((and in general this brand is not particularly pleasing, so I will look for something more reliable...")</f>
        <v>Less than a year has passed since it began to flow. I feel sorry for the money I spent on it; for that kind of money I could have bought two cheaper ones that would have lasted longer. and I agree with all the shortcomings described here. absolute discrepancy between price and quality ((and in general this brand is not particularly pleasing, so I will look for something more reliable...</v>
      </c>
    </row>
    <row r="9322" spans="1:9" x14ac:dyDescent="0.3">
      <c r="A9322" s="1" t="s">
        <v>105</v>
      </c>
      <c r="B9322" s="1" t="s">
        <v>106</v>
      </c>
      <c r="C9322" s="1" t="s">
        <v>1921</v>
      </c>
      <c r="D9322" s="1" t="s">
        <v>7505</v>
      </c>
      <c r="E9322" s="1" t="s">
        <v>822</v>
      </c>
      <c r="F9322" s="1" t="s">
        <v>13795</v>
      </c>
      <c r="G9322" s="1" t="s">
        <v>15</v>
      </c>
      <c r="H9322" s="1" t="s">
        <v>16</v>
      </c>
      <c r="I9322" s="1" t="str">
        <f ca="1">IFERROR(__xludf.DUMMYFUNCTION("GOOGLETRANSLATE(F9322, ""auto"", ""en"")
"),"I bought it two days ago. Now I regret it, seriously. I like the interface, and the battery is designed for 2 hours max for video, 4 hours for music. I tested it over time specifically. I discharged and charged the battery four times. The duration of work"&amp;" has not increased. out of 5 points - 2.5.")</f>
        <v>I bought it two days ago. Now I regret it, seriously. I like the interface, and the battery is designed for 2 hours max for video, 4 hours for music. I tested it over time specifically. I discharged and charged the battery four times. The duration of work has not increased. out of 5 points - 2.5.</v>
      </c>
    </row>
    <row r="9323" spans="1:9" x14ac:dyDescent="0.3">
      <c r="A9323" s="1" t="s">
        <v>120</v>
      </c>
      <c r="B9323" s="1" t="s">
        <v>256</v>
      </c>
      <c r="C9323" s="1" t="s">
        <v>151</v>
      </c>
      <c r="D9323" s="1" t="s">
        <v>102</v>
      </c>
      <c r="E9323" s="1" t="s">
        <v>13796</v>
      </c>
      <c r="F9323" s="1" t="s">
        <v>13797</v>
      </c>
      <c r="G9323" s="1" t="s">
        <v>36</v>
      </c>
      <c r="H9323" s="1" t="s">
        <v>29</v>
      </c>
      <c r="I9323" s="1" t="str">
        <f ca="1">IFERROR(__xludf.DUMMYFUNCTION("GOOGLETRANSLATE(F9323, ""auto"", ""en"")
"),"The TV is excellent. It was only 3 days after arriving from the store that it stopped showing. :)) But these three days worked 100%. Shows the broadcast signal very well. Even surprised. I recommend purchasing it :))")</f>
        <v>The TV is excellent. It was only 3 days after arriving from the store that it stopped showing. :)) But these three days worked 100%. Shows the broadcast signal very well. Even surprised. I recommend purchasing it :))</v>
      </c>
    </row>
    <row r="9324" spans="1:9" x14ac:dyDescent="0.3">
      <c r="A9324" s="1" t="s">
        <v>149</v>
      </c>
      <c r="B9324" s="1" t="s">
        <v>576</v>
      </c>
      <c r="C9324" s="1" t="s">
        <v>69</v>
      </c>
      <c r="D9324" s="1" t="s">
        <v>52</v>
      </c>
      <c r="E9324" s="1" t="s">
        <v>13798</v>
      </c>
      <c r="F9324" s="1" t="s">
        <v>13799</v>
      </c>
      <c r="G9324" s="1" t="s">
        <v>36</v>
      </c>
      <c r="H9324" s="1" t="s">
        <v>29</v>
      </c>
      <c r="I9324" s="1" t="str">
        <f ca="1">IFERROR(__xludf.DUMMYFUNCTION("GOOGLETRANSLATE(F9324, ""auto"", ""en"")
"),"I have been using this vacuum cleaner for 3 months. Very pleased! An excellent curved brush with bristles at the ends, with a reusable dust bag that can be washed, you can also use paper ones, ideal value for money, powerful and convenient, the hose is re"&amp;"liable.")</f>
        <v>I have been using this vacuum cleaner for 3 months. Very pleased! An excellent curved brush with bristles at the ends, with a reusable dust bag that can be washed, you can also use paper ones, ideal value for money, powerful and convenient, the hose is reliable.</v>
      </c>
    </row>
    <row r="9325" spans="1:9" x14ac:dyDescent="0.3">
      <c r="A9325" s="1" t="s">
        <v>17</v>
      </c>
      <c r="B9325" s="1" t="s">
        <v>18</v>
      </c>
      <c r="C9325" s="1" t="s">
        <v>243</v>
      </c>
      <c r="D9325" s="1" t="s">
        <v>52</v>
      </c>
      <c r="E9325" s="1" t="s">
        <v>4490</v>
      </c>
      <c r="F9325" s="1" t="s">
        <v>13800</v>
      </c>
      <c r="G9325" s="1" t="s">
        <v>36</v>
      </c>
      <c r="H9325" s="1" t="s">
        <v>29</v>
      </c>
      <c r="I9325" s="1" t="str">
        <f ca="1">IFERROR(__xludf.DUMMYFUNCTION("GOOGLETRANSLATE(F9325, ""auto"", ""en"")
"),"We purchased a car in October for an elderly man (82 years old). Easy to use and accessible to older people. There are no complaints about the operation of washing machines of this class.")</f>
        <v>We purchased a car in October for an elderly man (82 years old). Easy to use and accessible to older people. There are no complaints about the operation of washing machines of this class.</v>
      </c>
    </row>
    <row r="9326" spans="1:9" x14ac:dyDescent="0.3">
      <c r="A9326" s="1" t="s">
        <v>149</v>
      </c>
      <c r="B9326" s="1" t="s">
        <v>576</v>
      </c>
      <c r="C9326" s="1" t="s">
        <v>80</v>
      </c>
      <c r="D9326" s="1" t="s">
        <v>5399</v>
      </c>
      <c r="E9326" s="1" t="s">
        <v>1129</v>
      </c>
      <c r="F9326" s="1" t="s">
        <v>13801</v>
      </c>
      <c r="G9326" s="1" t="s">
        <v>36</v>
      </c>
      <c r="H9326" s="1" t="s">
        <v>29</v>
      </c>
      <c r="I9326" s="1" t="str">
        <f ca="1">IFERROR(__xludf.DUMMYFUNCTION("GOOGLETRANSLATE(F9326, ""auto"", ""en"")
"),"Vacuum cleaner - tornado!!! I thought that the carpet was dusty, but I couldn’t even imagine collecting so much dust and hair from it! The turbo brush is excellent. There is a second cleaning duster with a turbo brush (they took it for 12 thousand rubles)"&amp;", but this one is much better!")</f>
        <v>Vacuum cleaner - tornado!!! I thought that the carpet was dusty, but I couldn’t even imagine collecting so much dust and hair from it! The turbo brush is excellent. There is a second cleaning duster with a turbo brush (they took it for 12 thousand rubles), but this one is much better!</v>
      </c>
    </row>
    <row r="9327" spans="1:9" x14ac:dyDescent="0.3">
      <c r="A9327" s="1" t="s">
        <v>30</v>
      </c>
      <c r="B9327" s="1" t="s">
        <v>50</v>
      </c>
      <c r="C9327" s="1" t="s">
        <v>694</v>
      </c>
      <c r="D9327" s="1" t="s">
        <v>127</v>
      </c>
      <c r="E9327" s="1" t="s">
        <v>1065</v>
      </c>
      <c r="F9327" s="1" t="s">
        <v>13802</v>
      </c>
      <c r="G9327" s="1" t="s">
        <v>28</v>
      </c>
      <c r="H9327" s="1" t="s">
        <v>29</v>
      </c>
      <c r="I9327" s="1" t="str">
        <f ca="1">IFERROR(__xludf.DUMMYFUNCTION("GOOGLETRANSLATE(F9327, ""auto"", ""en"")
"),"A good replacement for a netbook, both good for work and for leisure. It fully corresponds to its linear series and the price corresponds to the model.")</f>
        <v>A good replacement for a netbook, both good for work and for leisure. It fully corresponds to its linear series and the price corresponds to the model.</v>
      </c>
    </row>
    <row r="9328" spans="1:9" x14ac:dyDescent="0.3">
      <c r="A9328" s="1" t="s">
        <v>61</v>
      </c>
      <c r="B9328" s="1" t="s">
        <v>318</v>
      </c>
      <c r="C9328" s="1" t="s">
        <v>2840</v>
      </c>
      <c r="D9328" s="1" t="s">
        <v>305</v>
      </c>
      <c r="E9328" s="1" t="s">
        <v>4750</v>
      </c>
      <c r="F9328" s="1" t="s">
        <v>13803</v>
      </c>
      <c r="G9328" s="1" t="s">
        <v>36</v>
      </c>
      <c r="H9328" s="1" t="s">
        <v>29</v>
      </c>
      <c r="I9328" s="1" t="str">
        <f ca="1">IFERROR(__xludf.DUMMYFUNCTION("GOOGLETRANSLATE(F9328, ""auto"", ""en"")
"),"I bought this kettle about a month ago and am happy with everything. The quality is excellent. The price is a little high. It boils water for a very long time, namely 6-odd minutes, and you can turn it on again only a minute after boiling, and the instruc"&amp;"tions say that the indicator should light blue, but for me it lights red, but that’s not the point. In general, the kettle is excellent, I recommend it!")</f>
        <v>I bought this kettle about a month ago and am happy with everything. The quality is excellent. The price is a little high. It boils water for a very long time, namely 6-odd minutes, and you can turn it on again only a minute after boiling, and the instructions say that the indicator should light blue, but for me it lights red, but that’s not the point. In general, the kettle is excellent, I recommend it!</v>
      </c>
    </row>
    <row r="9329" spans="1:9" x14ac:dyDescent="0.3">
      <c r="A9329" s="1" t="s">
        <v>43</v>
      </c>
      <c r="B9329" s="1" t="s">
        <v>1370</v>
      </c>
      <c r="C9329" s="1" t="s">
        <v>2137</v>
      </c>
      <c r="D9329" s="1" t="s">
        <v>1092</v>
      </c>
      <c r="E9329" s="1" t="s">
        <v>7969</v>
      </c>
      <c r="F9329" s="1" t="s">
        <v>13804</v>
      </c>
      <c r="G9329" s="1" t="s">
        <v>49</v>
      </c>
      <c r="H9329" s="1" t="s">
        <v>16</v>
      </c>
      <c r="I9329" s="1" t="str">
        <f ca="1">IFERROR(__xludf.DUMMYFUNCTION("GOOGLETRANSLATE(F9329, ""auto"", ""en"")
"),"The warranty is 2 years and it’s good, otherwise I wouldn’t have returned the money.... + cheap, simple - no power cable included (this is a huge minus), no instructions for connecting the cable (on the replaced Electrolux it is indicated + - weight), on "&amp;"the Atmore nothing is indicated at all.... Didn’t survive 2 water outages in Moscow (the work is more than gentle for a water heater)... In general, it heats worse than its competitors, I only use a 2kW button for heating, competitors heat better and more"&amp;" water pressure can be provided.... Replaceable electrolux (more expensive), but a couple of classes better in terms of heating and quality inside..... So I don’t recommend buying an atmosphere... My mother has had a Polaris at home for several years (sin"&amp;"ce 2008), so it faithfully serves every season when the water is cut off.... I don’t recommend buying it")</f>
        <v>The warranty is 2 years and it’s good, otherwise I wouldn’t have returned the money.... + cheap, simple - no power cable included (this is a huge minus), no instructions for connecting the cable (on the replaced Electrolux it is indicated + - weight), on the Atmore nothing is indicated at all.... Didn’t survive 2 water outages in Moscow (the work is more than gentle for a water heater)... In general, it heats worse than its competitors, I only use a 2kW button for heating, competitors heat better and more water pressure can be provided.... Replaceable electrolux (more expensive), but a couple of classes better in terms of heating and quality inside..... So I don’t recommend buying an atmosphere... My mother has had a Polaris at home for several years (since 2008), so it faithfully serves every season when the water is cut off.... I don’t recommend buying it</v>
      </c>
    </row>
    <row r="9330" spans="1:9" x14ac:dyDescent="0.3">
      <c r="A9330" s="1" t="s">
        <v>9</v>
      </c>
      <c r="B9330" s="1" t="s">
        <v>137</v>
      </c>
      <c r="C9330" s="1" t="s">
        <v>870</v>
      </c>
      <c r="D9330" s="1" t="s">
        <v>545</v>
      </c>
      <c r="E9330" s="1" t="s">
        <v>12636</v>
      </c>
      <c r="F9330" s="1" t="s">
        <v>13805</v>
      </c>
      <c r="G9330" s="1" t="s">
        <v>28</v>
      </c>
      <c r="H9330" s="1" t="s">
        <v>29</v>
      </c>
      <c r="I9330" s="1" t="str">
        <f ca="1">IFERROR(__xludf.DUMMYFUNCTION("GOOGLETRANSLATE(F9330, ""auto"", ""en"")
"),"I've been using it for half a year and it looks like new! But for this you need to make efforts. On a black surface, all dirt and dust are very clearly visible. The ignition does not work immediately. You need to hold the burners for a few seconds. But th"&amp;"ey are of good quality and do not melt. Buy it, I recommend it!")</f>
        <v>I've been using it for half a year and it looks like new! But for this you need to make efforts. On a black surface, all dirt and dust are very clearly visible. The ignition does not work immediately. You need to hold the burners for a few seconds. But they are of good quality and do not melt. Buy it, I recommend it!</v>
      </c>
    </row>
    <row r="9331" spans="1:9" x14ac:dyDescent="0.3">
      <c r="A9331" s="1" t="s">
        <v>30</v>
      </c>
      <c r="B9331" s="1" t="s">
        <v>50</v>
      </c>
      <c r="C9331" s="1" t="s">
        <v>32</v>
      </c>
      <c r="D9331" s="1" t="s">
        <v>280</v>
      </c>
      <c r="E9331" s="1" t="s">
        <v>357</v>
      </c>
      <c r="F9331" s="1" t="s">
        <v>13806</v>
      </c>
      <c r="G9331" s="1" t="s">
        <v>36</v>
      </c>
      <c r="H9331" s="1" t="s">
        <v>29</v>
      </c>
      <c r="I9331" s="1" t="str">
        <f ca="1">IFERROR(__xludf.DUMMYFUNCTION("GOOGLETRANSLATE(F9331, ""auto"", ""en"")
"),"The most powerful laptop in this price category. (I bought it in an online store for 36,000) Everything flies. I chose for a long time and carefully... in all respects this laptop is ahead of Asus etc. I recommend it to everyone))))")</f>
        <v>The most powerful laptop in this price category. (I bought it in an online store for 36,000) Everything flies. I chose for a long time and carefully... in all respects this laptop is ahead of Asus etc. I recommend it to everyone))))</v>
      </c>
    </row>
    <row r="9332" spans="1:9" x14ac:dyDescent="0.3">
      <c r="A9332" s="1" t="s">
        <v>211</v>
      </c>
      <c r="B9332" s="1" t="s">
        <v>899</v>
      </c>
      <c r="C9332" s="1" t="s">
        <v>69</v>
      </c>
      <c r="D9332" s="1" t="s">
        <v>172</v>
      </c>
      <c r="E9332" s="1" t="s">
        <v>3634</v>
      </c>
      <c r="F9332" s="1" t="s">
        <v>13807</v>
      </c>
      <c r="G9332" s="1" t="s">
        <v>36</v>
      </c>
      <c r="H9332" s="1" t="s">
        <v>29</v>
      </c>
      <c r="I9332" s="1" t="str">
        <f ca="1">IFERROR(__xludf.DUMMYFUNCTION("GOOGLETRANSLATE(F9332, ""auto"", ""en"")
"),"Noisy? And you close the door to the bathroom. Never let me down. It is 100% sealed, the battery discharge is easily traced by a decrease in the speed of revolutions. Charging - leave it overnight and that's enough. I’ve been using it for 4 years - there "&amp;"were no replacement heads on sale, so I bought a new brush :) The main drawback is that you have to catch it on sale.")</f>
        <v>Noisy? And you close the door to the bathroom. Never let me down. It is 100% sealed, the battery discharge is easily traced by a decrease in the speed of revolutions. Charging - leave it overnight and that's enough. I’ve been using it for 4 years - there were no replacement heads on sale, so I bought a new brush :) The main drawback is that you have to catch it on sale.</v>
      </c>
    </row>
    <row r="9333" spans="1:9" x14ac:dyDescent="0.3">
      <c r="A9333" s="1" t="s">
        <v>169</v>
      </c>
      <c r="B9333" s="1" t="s">
        <v>170</v>
      </c>
      <c r="C9333" s="1" t="s">
        <v>69</v>
      </c>
      <c r="D9333" s="1" t="s">
        <v>4412</v>
      </c>
      <c r="E9333" s="1" t="s">
        <v>3080</v>
      </c>
      <c r="F9333" s="1" t="s">
        <v>13808</v>
      </c>
      <c r="G9333" s="1" t="s">
        <v>36</v>
      </c>
      <c r="H9333" s="1" t="s">
        <v>29</v>
      </c>
      <c r="I9333" s="1" t="str">
        <f ca="1">IFERROR(__xludf.DUMMYFUNCTION("GOOGLETRANSLATE(F9333, ""auto"", ""en"")
"),"I recently bought excellent headphones, they fit well in the ears, excellent sound")</f>
        <v>I recently bought excellent headphones, they fit well in the ears, excellent sound</v>
      </c>
    </row>
    <row r="9334" spans="1:9" x14ac:dyDescent="0.3">
      <c r="A9334" s="1" t="s">
        <v>78</v>
      </c>
      <c r="B9334" s="1" t="s">
        <v>493</v>
      </c>
      <c r="C9334" s="1" t="s">
        <v>80</v>
      </c>
      <c r="D9334" s="1" t="s">
        <v>385</v>
      </c>
      <c r="E9334" s="1" t="s">
        <v>5353</v>
      </c>
      <c r="F9334" s="1" t="s">
        <v>13809</v>
      </c>
      <c r="G9334" s="1" t="s">
        <v>36</v>
      </c>
      <c r="H9334" s="1" t="s">
        <v>29</v>
      </c>
      <c r="I9334" s="1" t="str">
        <f ca="1">IFERROR(__xludf.DUMMYFUNCTION("GOOGLETRANSLATE(F9334, ""auto"", ""en"")
"),"There is everything, just a bunch of different modes, you can even replace the oven, but the most important thing is that it has a grill.   4 main modes: micro (microwaves), grill, combi (includes 2 modes simultaneously); convection (using the oven as an "&amp;"oven). There are also a number of automatic programs, for example, “Fried chicken”, “Grilled wings”, “Baked potatoes” and others.  There is a child lock. The internal coating of the microwave is made of stainless steel with antibacterial coating. The set "&amp;"includes two grill grates and a crisping plate. The controls are touch-sensitive, the menu is clear, in Russian.  There is a book with recipes.  I recommend the microwave to everyone")</f>
        <v>There is everything, just a bunch of different modes, you can even replace the oven, but the most important thing is that it has a grill.   4 main modes: micro (microwaves), grill, combi (includes 2 modes simultaneously); convection (using the oven as an oven). There are also a number of automatic programs, for example, “Fried chicken”, “Grilled wings”, “Baked potatoes” and others.  There is a child lock. The internal coating of the microwave is made of stainless steel with antibacterial coating. The set includes two grill grates and a crisping plate. The controls are touch-sensitive, the menu is clear, in Russian.  There is a book with recipes.  I recommend the microwave to everyone</v>
      </c>
    </row>
    <row r="9335" spans="1:9" x14ac:dyDescent="0.3">
      <c r="A9335" s="1" t="s">
        <v>211</v>
      </c>
      <c r="B9335" s="1" t="s">
        <v>384</v>
      </c>
      <c r="C9335" s="1" t="s">
        <v>246</v>
      </c>
      <c r="D9335" s="1" t="s">
        <v>247</v>
      </c>
      <c r="E9335" s="1" t="s">
        <v>400</v>
      </c>
      <c r="F9335" s="1" t="s">
        <v>13810</v>
      </c>
      <c r="G9335" s="1" t="s">
        <v>49</v>
      </c>
      <c r="H9335" s="1" t="s">
        <v>16</v>
      </c>
      <c r="I9335" s="1" t="str">
        <f ca="1">IFERROR(__xludf.DUMMYFUNCTION("GOOGLETRANSLATE(F9335, ""auto"", ""en"")
"),"They also creaked during weighing. They also broke after six months, the plastic legs broke off, and since the sensors respond to the pressing of these very legs, it is clear that weighing has become meaningless. These are unlikely to be accepted under wa"&amp;"rranty.")</f>
        <v>They also creaked during weighing. They also broke after six months, the plastic legs broke off, and since the sensors respond to the pressing of these very legs, it is clear that weighing has become meaningless. These are unlikely to be accepted under warranty.</v>
      </c>
    </row>
    <row r="9336" spans="1:9" x14ac:dyDescent="0.3">
      <c r="A9336" s="1" t="s">
        <v>43</v>
      </c>
      <c r="B9336" s="1" t="s">
        <v>44</v>
      </c>
      <c r="C9336" s="1" t="s">
        <v>101</v>
      </c>
      <c r="D9336" s="1" t="s">
        <v>335</v>
      </c>
      <c r="E9336" s="1" t="s">
        <v>5951</v>
      </c>
      <c r="F9336" s="1" t="s">
        <v>13811</v>
      </c>
      <c r="G9336" s="1" t="s">
        <v>36</v>
      </c>
      <c r="H9336" s="1" t="s">
        <v>29</v>
      </c>
      <c r="I9336" s="1" t="str">
        <f ca="1">IFERROR(__xludf.DUMMYFUNCTION("GOOGLETRANSLATE(F9336, ""auto"", ""en"")
"),"Quiet, powerful, no plastic smell detected")</f>
        <v>Quiet, powerful, no plastic smell detected</v>
      </c>
    </row>
    <row r="9337" spans="1:9" x14ac:dyDescent="0.3">
      <c r="A9337" s="1" t="s">
        <v>211</v>
      </c>
      <c r="B9337" s="1" t="s">
        <v>899</v>
      </c>
      <c r="C9337" s="1" t="s">
        <v>213</v>
      </c>
      <c r="D9337" s="1" t="s">
        <v>987</v>
      </c>
      <c r="E9337" s="1" t="s">
        <v>6243</v>
      </c>
      <c r="F9337" s="1" t="s">
        <v>13812</v>
      </c>
      <c r="G9337" s="1" t="s">
        <v>36</v>
      </c>
      <c r="H9337" s="1" t="s">
        <v>29</v>
      </c>
      <c r="I9337" s="1" t="str">
        <f ca="1">IFERROR(__xludf.DUMMYFUNCTION("GOOGLETRANSLATE(F9337, ""auto"", ""en"")
"),"I want to tell you about something that has helped me a lot in my dental care. Ugh... almost intimate details of personal life, some moments may seem unpleasant to some, but I will tell it as it is.  So... It so happened that as a child I somehow didn’t b"&amp;"other much about taking care of my teeth, and I didn’t have any special problems (in terms of tooth pain). I brushed my teeth mostly once a day - I was a lazy child, and quite short-sighted (now I understand this). The use of dental floss and brushes was "&amp;"unknown in our house (maximum toothpicks, which is very traumatic in my opinion). But my father was the happy owner of good teeth, and did not wear dentures until he was 54 years old, while my mother, on the contrary, had a lot of problems with her teeth "&amp;"in her youth, and by the age of 45-50, she had practically no teeth left. So my genetics are controversial, and now I understand this, but then I had no time for it. My parents had no time to monitor my oral hygiene, because they worked, and I grew up as "&amp;"an independent and responsible person. Fortunately, I ate a lot of apples, maybe that’s why my teeth didn’t rot)))…I’m kidding. As a result, by the age of 20, the situation with my teeth was as follows - some were affected by caries (mostly molars, some d"&amp;"eep, some very superficial), there was plaque - thanks to coffee and tea, which I drink in large quantities, there was tartar - mainly on the inside of the teeth (from the side of the tongue), some of the teeth had fillings, the dentition is not entirely "&amp;"straight - but not critically crooked in my opinion (in short asymmetry, on one side of the face - the teeth are quite even, on the other there are clear displacements mainly in the frontal part of the jaw), periodontitis of the 1st degree (stages??? - I "&amp;"don’t know how exactly, in short the initial one), periodically the gums bled, and in general there were pockets in the gums clogged with all sorts of nasty things, plus on one of the molars there was a crown. Ew sounds terrible, right? But I came to my s"&amp;"enses and decided to take charge of myself. After taking a course at the dentist, where they sanitized my mouth, then I went to the periodontist, they removed all the stones, carried out a course of applications on the jaw, in the end most of the problems"&amp;" were eliminated (all that remained was to maintain them in proper form and correct a number of teeth, “crowding”, so to speak, which I decided to do and am already collecting information on what to do and how). So, I decided to switch to different dental"&amp;" care. First of all, I got some floss, changed toothpastes, and bought another brush. Braun Oral-B Professional Care 500 - I walked around it for a long time, it was scary, it seemed like it would scratch all my already problematic jaws, and ruin the enam"&amp;"el, and in general, holding something vibrating in your mouth is somehow doubtful in my opinion. But I bought it, 2 years have passed and now I can say with confidence that I have not regretted purchasing it at all. I love my assistant with hot and tender"&amp;" love.  It’s difficult to say about the number of rotational and reciprocating movements; you won’t be able to accurately count them and you won’t be able to check the reliability of the information in everyday conditions. The brushing completion timer is"&amp;" actually 2 minutes. After every 30 seconds, the brush seems to pause, giving you a signal that it’s time to move on to cleaning another area and continues working again. The timer is not sound, but vibration. In general, the brush has a nice ergonomic de"&amp;"sign, it is extremely easy to operate - it has only one button and a charge indicator.  A battery that blinks green when charging, stops blinking when the battery is fully charged, and blinks red when the device needs to be recharged. The handle of the de"&amp;"vice is rubberized, really waterproof - I like to use the brush while I wash in the shower. Regarding the nozzle - it is a round head with bristles that rotates and makes translational movements of such intensity that you will not immediately understand. "&amp;"The need to change the nozzle is indicated to us by the blue indicator bristles, which turn lighter when it is time to change the nozzle.  There is only one downside for me: water is poured under the nozzle... I recommend it to everyone")</f>
        <v>I want to tell you about something that has helped me a lot in my dental care. Ugh... almost intimate details of personal life, some moments may seem unpleasant to some, but I will tell it as it is.  So... It so happened that as a child I somehow didn’t bother much about taking care of my teeth, and I didn’t have any special problems (in terms of tooth pain). I brushed my teeth mostly once a day - I was a lazy child, and quite short-sighted (now I understand this). The use of dental floss and brushes was unknown in our house (maximum toothpicks, which is very traumatic in my opinion). But my father was the happy owner of good teeth, and did not wear dentures until he was 54 years old, while my mother, on the contrary, had a lot of problems with her teeth in her youth, and by the age of 45-50, she had practically no teeth left. So my genetics are controversial, and now I understand this, but then I had no time for it. My parents had no time to monitor my oral hygiene, because they worked, and I grew up as an independent and responsible person. Fortunately, I ate a lot of apples, maybe that’s why my teeth didn’t rot)))…I’m kidding. As a result, by the age of 20, the situation with my teeth was as follows - some were affected by caries (mostly molars, some deep, some very superficial), there was plaque - thanks to coffee and tea, which I drink in large quantities, there was tartar - mainly on the inside of the teeth (from the side of the tongue), some of the teeth had fillings, the dentition is not entirely straight - but not critically crooked in my opinion (in short asymmetry, on one side of the face - the teeth are quite even, on the other there are clear displacements mainly in the frontal part of the jaw), periodontitis of the 1st degree (stages??? - I don’t know how exactly, in short the initial one), periodically the gums bled, and in general there were pockets in the gums clogged with all sorts of nasty things, plus on one of the molars there was a crown. Ew sounds terrible, right? But I came to my senses and decided to take charge of myself. After taking a course at the dentist, where they sanitized my mouth, then I went to the periodontist, they removed all the stones, carried out a course of applications on the jaw, in the end most of the problems were eliminated (all that remained was to maintain them in proper form and correct a number of teeth, “crowding”, so to speak, which I decided to do and am already collecting information on what to do and how). So, I decided to switch to different dental care. First of all, I got some floss, changed toothpastes, and bought another brush. Braun Oral-B Professional Care 500 - I walked around it for a long time, it was scary, it seemed like it would scratch all my already problematic jaws, and ruin the enamel, and in general, holding something vibrating in your mouth is somehow doubtful in my opinion. But I bought it, 2 years have passed and now I can say with confidence that I have not regretted purchasing it at all. I love my assistant with hot and tender love.  It’s difficult to say about the number of rotational and reciprocating movements; you won’t be able to accurately count them and you won’t be able to check the reliability of the information in everyday conditions. The brushing completion timer is actually 2 minutes. After every 30 seconds, the brush seems to pause, giving you a signal that it’s time to move on to cleaning another area and continues working again. The timer is not sound, but vibration. In general, the brush has a nice ergonomic design, it is extremely easy to operate - it has only one button and a charge indicator.  A battery that blinks green when charging, stops blinking when the battery is fully charged, and blinks red when the device needs to be recharged. The handle of the device is rubberized, really waterproof - I like to use the brush while I wash in the shower. Regarding the nozzle - it is a round head with bristles that rotates and makes translational movements of such intensity that you will not immediately understand. The need to change the nozzle is indicated to us by the blue indicator bristles, which turn lighter when it is time to change the nozzle.  There is only one downside for me: water is poured under the nozzle... I recommend it to everyone</v>
      </c>
    </row>
    <row r="9338" spans="1:9" x14ac:dyDescent="0.3">
      <c r="A9338" s="1" t="s">
        <v>61</v>
      </c>
      <c r="B9338" s="1" t="s">
        <v>62</v>
      </c>
      <c r="C9338" s="1" t="s">
        <v>63</v>
      </c>
      <c r="D9338" s="1" t="s">
        <v>1854</v>
      </c>
      <c r="E9338" s="1" t="s">
        <v>2810</v>
      </c>
      <c r="F9338" s="1" t="s">
        <v>13813</v>
      </c>
      <c r="G9338" s="1" t="s">
        <v>36</v>
      </c>
      <c r="H9338" s="1" t="s">
        <v>29</v>
      </c>
      <c r="I9338" s="1" t="str">
        <f ca="1">IFERROR(__xludf.DUMMYFUNCTION("GOOGLETRANSLATE(F9338, ""auto"", ""en"")
"),"I’ve been using it for a week, and I think, how did I ever live without it, in the morning, a milkshake for the children, cottage cheese desserts, for salads in general, the dough kneads flawlessly, until I tried it, I haven’t tried the attachment for cit"&amp;"rus fruits and for whipping cream, a food processor for five plus, and especially for such a price. I spent a long time choosing, and I was not mistaken")</f>
        <v>I’ve been using it for a week, and I think, how did I ever live without it, in the morning, a milkshake for the children, cottage cheese desserts, for salads in general, the dough kneads flawlessly, until I tried it, I haven’t tried the attachment for citrus fruits and for whipping cream, a food processor for five plus, and especially for such a price. I spent a long time choosing, and I was not mistaken</v>
      </c>
    </row>
    <row r="9339" spans="1:9" x14ac:dyDescent="0.3">
      <c r="A9339" s="1" t="s">
        <v>61</v>
      </c>
      <c r="B9339" s="1" t="s">
        <v>180</v>
      </c>
      <c r="C9339" s="1" t="s">
        <v>101</v>
      </c>
      <c r="D9339" s="1" t="s">
        <v>32</v>
      </c>
      <c r="E9339" s="1" t="s">
        <v>7070</v>
      </c>
      <c r="F9339" s="1" t="s">
        <v>13814</v>
      </c>
      <c r="G9339" s="1" t="s">
        <v>28</v>
      </c>
      <c r="H9339" s="1" t="s">
        <v>29</v>
      </c>
      <c r="I9339" s="1" t="str">
        <f ca="1">IFERROR(__xludf.DUMMYFUNCTION("GOOGLETRANSLATE(F9339, ""auto"", ""en"")
"),"inexpensive")</f>
        <v>inexpensive</v>
      </c>
    </row>
    <row r="9340" spans="1:9" x14ac:dyDescent="0.3">
      <c r="A9340" s="1" t="s">
        <v>624</v>
      </c>
      <c r="B9340" s="1" t="s">
        <v>625</v>
      </c>
      <c r="C9340" s="1" t="s">
        <v>479</v>
      </c>
      <c r="D9340" s="1" t="s">
        <v>417</v>
      </c>
      <c r="E9340" s="1" t="s">
        <v>1875</v>
      </c>
      <c r="F9340" s="1" t="s">
        <v>13815</v>
      </c>
      <c r="G9340" s="1" t="s">
        <v>28</v>
      </c>
      <c r="H9340" s="1" t="s">
        <v>29</v>
      </c>
      <c r="I9340" s="1" t="str">
        <f ca="1">IFERROR(__xludf.DUMMYFUNCTION("GOOGLETRANSLATE(F9340, ""auto"", ""en"")
"),"I bought the game yesterday and can share my review. First of all, I'll start with the disadvantages: 1. plastic guitar, from the outside it looks like an ordinary children's toy 2. Runs on batteries. I can’t say how long they last, but so far they work f"&amp;"or about 5 hours.  3. The “turbo” button is awkwardly made (those who played will understand). It is made not far from the pause button.  4. works from a USB port. That is, this guitar receives a signal not from wifi or bluetooh, but from its own device. "&amp;"Now the advantages are 1. Beautiful stickers included 2. Works without lags or glitches 3. the top buttons are conveniently made (though not familiar at first) 4. cool music (but this is in the game itself) 5. comfortable strap included")</f>
        <v>I bought the game yesterday and can share my review. First of all, I'll start with the disadvantages: 1. plastic guitar, from the outside it looks like an ordinary children's toy 2. Runs on batteries. I can’t say how long they last, but so far they work for about 5 hours.  3. The “turbo” button is awkwardly made (those who played will understand). It is made not far from the pause button.  4. works from a USB port. That is, this guitar receives a signal not from wifi or bluetooh, but from its own device. Now the advantages are 1. Beautiful stickers included 2. Works without lags or glitches 3. the top buttons are conveniently made (though not familiar at first) 4. cool music (but this is in the game itself) 5. comfortable strap included</v>
      </c>
    </row>
    <row r="9341" spans="1:9" x14ac:dyDescent="0.3">
      <c r="A9341" s="1" t="s">
        <v>17</v>
      </c>
      <c r="B9341" s="1" t="s">
        <v>18</v>
      </c>
      <c r="C9341" s="1" t="s">
        <v>63</v>
      </c>
      <c r="D9341" s="1" t="s">
        <v>13816</v>
      </c>
      <c r="E9341" s="1" t="s">
        <v>1181</v>
      </c>
      <c r="F9341" s="1" t="s">
        <v>13817</v>
      </c>
      <c r="G9341" s="1" t="s">
        <v>36</v>
      </c>
      <c r="H9341" s="1" t="s">
        <v>29</v>
      </c>
      <c r="I9341" s="1" t="str">
        <f ca="1">IFERROR(__xludf.DUMMYFUNCTION("GOOGLETRANSLATE(F9341, ""auto"", ""en"")
"),"A 15-minute wash, like any other, will never take the specified time, so the machine, depending on the laundry and its amount of density, can automatically add water to the tank and control the number of rinses, because it has a laundry rinsing sensor, so"&amp;" the washing time may vary!!!")</f>
        <v>A 15-minute wash, like any other, will never take the specified time, so the machine, depending on the laundry and its amount of density, can automatically add water to the tank and control the number of rinses, because it has a laundry rinsing sensor, so the washing time may vary!!!</v>
      </c>
    </row>
    <row r="9342" spans="1:9" x14ac:dyDescent="0.3">
      <c r="A9342" s="1" t="s">
        <v>373</v>
      </c>
      <c r="B9342" s="1" t="s">
        <v>374</v>
      </c>
      <c r="C9342" s="1" t="s">
        <v>63</v>
      </c>
      <c r="D9342" s="1" t="s">
        <v>519</v>
      </c>
      <c r="E9342" s="1" t="s">
        <v>3123</v>
      </c>
      <c r="F9342" s="1" t="s">
        <v>13818</v>
      </c>
      <c r="G9342" s="1" t="s">
        <v>36</v>
      </c>
      <c r="H9342" s="1" t="s">
        <v>29</v>
      </c>
      <c r="I9342" s="1" t="str">
        <f ca="1">IFERROR(__xludf.DUMMYFUNCTION("GOOGLETRANSLATE(F9342, ""auto"", ""en"")
"),"I am 56 years old. Only now I realized what a great blessing it is to have such an assistant at home. Your hands have healed, there is no reason to think that “you have to wash the dishes again...” The quality of washing cannot be compared with washing di"&amp;"shes by hand. I washed everything. I wanted to invite my neighbors with dirty dishes, then I decided that everyone should have such a helper.  Delight and the most positive emotions. The kitchen is sanitary and clean.")</f>
        <v>I am 56 years old. Only now I realized what a great blessing it is to have such an assistant at home. Your hands have healed, there is no reason to think that “you have to wash the dishes again...” The quality of washing cannot be compared with washing dishes by hand. I washed everything. I wanted to invite my neighbors with dirty dishes, then I decided that everyone should have such a helper.  Delight and the most positive emotions. The kitchen is sanitary and clean.</v>
      </c>
    </row>
    <row r="9343" spans="1:9" x14ac:dyDescent="0.3">
      <c r="A9343" s="1" t="s">
        <v>37</v>
      </c>
      <c r="B9343" s="1" t="s">
        <v>38</v>
      </c>
      <c r="C9343" s="1" t="s">
        <v>163</v>
      </c>
      <c r="D9343" s="1" t="s">
        <v>13819</v>
      </c>
      <c r="E9343" s="1" t="s">
        <v>288</v>
      </c>
      <c r="F9343" s="1" t="s">
        <v>13820</v>
      </c>
      <c r="G9343" s="1" t="s">
        <v>49</v>
      </c>
      <c r="H9343" s="1" t="s">
        <v>16</v>
      </c>
      <c r="I9343" s="1" t="str">
        <f ca="1">IFERROR(__xludf.DUMMYFUNCTION("GOOGLETRANSLATE(F9343, ""auto"", ""en"")
"),"I bought the phone as a gift for my wife on March 8th! Both my wife and I are disappointed.  The main disadvantage is the sound quality for both reception and transmission. I constantly have to ask again - the speech is unintelligible, with what blocking "&amp;"and extraneous noise. We contacted the Nokia center and returned it 5 days later, but the quality did not improve. Now they have given it away again to exchange it for another model. We are waiting for a decision from the service center. I have had many p"&amp;"hones from this company - both cheap and expensive - but this is the first time with such sound quality. By the way, in the store I called from another phone of the same type - the quality was still bad. Most likely a failed model.  And secondly, it is ve"&amp;"ry soiled, hand marks always remain on the case and you have to constantly wipe it off.  I don't recommend it, it's not worth the money.")</f>
        <v>I bought the phone as a gift for my wife on March 8th! Both my wife and I are disappointed.  The main disadvantage is the sound quality for both reception and transmission. I constantly have to ask again - the speech is unintelligible, with what blocking and extraneous noise. We contacted the Nokia center and returned it 5 days later, but the quality did not improve. Now they have given it away again to exchange it for another model. We are waiting for a decision from the service center. I have had many phones from this company - both cheap and expensive - but this is the first time with such sound quality. By the way, in the store I called from another phone of the same type - the quality was still bad. Most likely a failed model.  And secondly, it is very soiled, hand marks always remain on the case and you have to constantly wipe it off.  I don't recommend it, it's not worth the money.</v>
      </c>
    </row>
    <row r="9344" spans="1:9" x14ac:dyDescent="0.3">
      <c r="A9344" s="1" t="s">
        <v>61</v>
      </c>
      <c r="B9344" s="1" t="s">
        <v>318</v>
      </c>
      <c r="C9344" s="1" t="s">
        <v>69</v>
      </c>
      <c r="D9344" s="1" t="s">
        <v>4546</v>
      </c>
      <c r="E9344" s="1" t="s">
        <v>1608</v>
      </c>
      <c r="F9344" s="1" t="s">
        <v>13821</v>
      </c>
      <c r="G9344" s="1" t="s">
        <v>49</v>
      </c>
      <c r="H9344" s="1" t="s">
        <v>16</v>
      </c>
      <c r="I9344" s="1" t="str">
        <f ca="1">IFERROR(__xludf.DUMMYFUNCTION("GOOGLETRANSLATE(F9344, ""auto"", ""en"")
"),"After a month of operation (not very intensively) it stopped turning off, it boils and boils - it probably wants to boil everything away and then turn off.")</f>
        <v>After a month of operation (not very intensively) it stopped turning off, it boils and boils - it probably wants to boil everything away and then turn off.</v>
      </c>
    </row>
    <row r="9345" spans="1:9" x14ac:dyDescent="0.3">
      <c r="A9345" s="1" t="s">
        <v>95</v>
      </c>
      <c r="B9345" s="1" t="s">
        <v>648</v>
      </c>
      <c r="C9345" s="1" t="s">
        <v>97</v>
      </c>
      <c r="D9345" s="1" t="s">
        <v>471</v>
      </c>
      <c r="E9345" s="1" t="s">
        <v>26</v>
      </c>
      <c r="F9345" s="1" t="s">
        <v>13822</v>
      </c>
      <c r="G9345" s="1" t="s">
        <v>36</v>
      </c>
      <c r="H9345" s="1" t="s">
        <v>29</v>
      </c>
      <c r="I9345" s="1" t="str">
        <f ca="1">IFERROR(__xludf.DUMMYFUNCTION("GOOGLETRANSLATE(F9345, ""auto"", ""en"")
"),"This is a super gaming console! This wonderful toy can be taken anywhere, and you can also flash and buy games on the cheap. Eh, I don’t have it, damn it, I really want it)))")</f>
        <v>This is a super gaming console! This wonderful toy can be taken anywhere, and you can also flash and buy games on the cheap. Eh, I don’t have it, damn it, I really want it)))</v>
      </c>
    </row>
    <row r="9346" spans="1:9" x14ac:dyDescent="0.3">
      <c r="A9346" s="1" t="s">
        <v>37</v>
      </c>
      <c r="B9346" s="1" t="s">
        <v>38</v>
      </c>
      <c r="C9346" s="1" t="s">
        <v>39</v>
      </c>
      <c r="D9346" s="1" t="s">
        <v>13823</v>
      </c>
      <c r="E9346" s="1" t="s">
        <v>5800</v>
      </c>
      <c r="F9346" s="1" t="s">
        <v>13824</v>
      </c>
      <c r="G9346" s="1" t="s">
        <v>36</v>
      </c>
      <c r="H9346" s="1" t="s">
        <v>29</v>
      </c>
      <c r="I9346" s="1" t="str">
        <f ca="1">IFERROR(__xludf.DUMMYFUNCTION("GOOGLETRANSLATE(F9346, ""auto"", ""en"")
"),"very good phone, I don't understand why everyone is complaining. Yes, it has its drawbacks - but like every phone. I agree, the battery here is of course rather weak, it lasts me a day, but I didn’t regret the purchase, because... I wanted a phone with go"&amp;"od music playback. That's how it turned out :) the sound is very good and clear. When talking, you are clearly heard - and you hear your interlocutor perfectly. They often complain that there is not enough memory for applications, ICQ does not load, and t"&amp;"hat the phone is crap, etc. So if you don’t have enough memory, why are you buying it, and then also say that the phone is bad, I’m happy with everything about it, although the T9 is terrible. oh well, I don’t text often. so here's what I'll say: if you n"&amp;"eed a phone and an MP3 player together, buy a phone :) I'm very pleased with it, despite all the bad comments. what did you want, this is a budget phone :) I hope my comment was helpful :)")</f>
        <v>very good phone, I don't understand why everyone is complaining. Yes, it has its drawbacks - but like every phone. I agree, the battery here is of course rather weak, it lasts me a day, but I didn’t regret the purchase, because... I wanted a phone with good music playback. That's how it turned out :) the sound is very good and clear. When talking, you are clearly heard - and you hear your interlocutor perfectly. They often complain that there is not enough memory for applications, ICQ does not load, and that the phone is crap, etc. So if you don’t have enough memory, why are you buying it, and then also say that the phone is bad, I’m happy with everything about it, although the T9 is terrible. oh well, I don’t text often. so here's what I'll say: if you need a phone and an MP3 player together, buy a phone :) I'm very pleased with it, despite all the bad comments. what did you want, this is a budget phone :) I hope my comment was helpful :)</v>
      </c>
    </row>
    <row r="9347" spans="1:9" x14ac:dyDescent="0.3">
      <c r="A9347" s="1" t="s">
        <v>37</v>
      </c>
      <c r="B9347" s="1" t="s">
        <v>38</v>
      </c>
      <c r="C9347" s="1" t="s">
        <v>69</v>
      </c>
      <c r="D9347" s="1" t="s">
        <v>13825</v>
      </c>
      <c r="E9347" s="1" t="s">
        <v>1037</v>
      </c>
      <c r="F9347" s="1" t="s">
        <v>13826</v>
      </c>
      <c r="G9347" s="1" t="s">
        <v>49</v>
      </c>
      <c r="H9347" s="1" t="s">
        <v>16</v>
      </c>
      <c r="I9347" s="1" t="str">
        <f ca="1">IFERROR(__xludf.DUMMYFUNCTION("GOOGLETRANSLATE(F9347, ""auto"", ""en"")
"),"The phone is simply “MIRACLE”, what to expect from it: 1. Breakdowns - it can happen, you need to be prepared - mine died, 2. Java games - there will be no (tried, tried)!  3. Photo camera - it couldn’t have been better (maybe without it it would have cos"&amp;"t 400 rubles less)!  4. Fingerprints are always on the case - this is the best thing for Zhiglov, their Ministry of Internal Affairs - no need to worry about asking for fingers - he gave me the phone to hold, that’s all!  5. MP3 - not for him with a map o"&amp;"f 1 hectare, it slows down with might and main, it takes a very long time to read it.  6. Radio - it couldn’t be dumber, there’s no way to listen through a speaker with your ears connected.  7. Hot-swapping cards - not for him - he turned himself off 10 t"&amp;"imes when replacing the card.  8. It may turn itself off - this is a malfunction.  9. Holds a charge for approximately 10-12 days, taking into account 15-20 minutes of calls per day.  10. The monitor is heavy and goes blind in the sun.  11. I put the phot"&amp;"o on speed dial - it slows down with might and main.  12. The main thing is not Philips, their delpet. I don’t remember the Chinese company Zero or Zero, but in a year in 2012 their contract for the use of the trademark expires.  TOTAL: whether it's a fly"&amp;" or a Philips phone - the brothers install the firmware from one to the other - if you don't care and if you need an inexpensive (well, if it's so nice to throw it in the trash) phone, then take the fly, and if you want a normal phone from China, then thi"&amp;"s is Alcatel - the Chinese company TST farts a cool version of OT-800, there are no glitches at all - I recommend it.")</f>
        <v>The phone is simply “MIRACLE”, what to expect from it: 1. Breakdowns - it can happen, you need to be prepared - mine died, 2. Java games - there will be no (tried, tried)!  3. Photo camera - it couldn’t have been better (maybe without it it would have cost 400 rubles less)!  4. Fingerprints are always on the case - this is the best thing for Zhiglov, their Ministry of Internal Affairs - no need to worry about asking for fingers - he gave me the phone to hold, that’s all!  5. MP3 - not for him with a map of 1 hectare, it slows down with might and main, it takes a very long time to read it.  6. Radio - it couldn’t be dumber, there’s no way to listen through a speaker with your ears connected.  7. Hot-swapping cards - not for him - he turned himself off 10 times when replacing the card.  8. It may turn itself off - this is a malfunction.  9. Holds a charge for approximately 10-12 days, taking into account 15-20 minutes of calls per day.  10. The monitor is heavy and goes blind in the sun.  11. I put the photo on speed dial - it slows down with might and main.  12. The main thing is not Philips, their delpet. I don’t remember the Chinese company Zero or Zero, but in a year in 2012 their contract for the use of the trademark expires.  TOTAL: whether it's a fly or a Philips phone - the brothers install the firmware from one to the other - if you don't care and if you need an inexpensive (well, if it's so nice to throw it in the trash) phone, then take the fly, and if you want a normal phone from China, then this is Alcatel - the Chinese company TST farts a cool version of OT-800, there are no glitches at all - I recommend it.</v>
      </c>
    </row>
    <row r="9348" spans="1:9" x14ac:dyDescent="0.3">
      <c r="A9348" s="1" t="s">
        <v>113</v>
      </c>
      <c r="B9348" s="1" t="s">
        <v>1251</v>
      </c>
      <c r="C9348" s="1" t="s">
        <v>2115</v>
      </c>
      <c r="D9348" s="1" t="s">
        <v>114</v>
      </c>
      <c r="E9348" s="1" t="s">
        <v>594</v>
      </c>
      <c r="F9348" s="1" t="s">
        <v>13827</v>
      </c>
      <c r="G9348" s="1" t="s">
        <v>36</v>
      </c>
      <c r="H9348" s="1" t="s">
        <v>29</v>
      </c>
      <c r="I9348" s="1" t="str">
        <f ca="1">IFERROR(__xludf.DUMMYFUNCTION("GOOGLETRANSLATE(F9348, ""auto"", ""en"")
"),"I expected the photo quality to be worse than it is :) I haven’t found any shortcomings yet")</f>
        <v>I expected the photo quality to be worse than it is :) I haven’t found any shortcomings yet</v>
      </c>
    </row>
    <row r="9349" spans="1:9" x14ac:dyDescent="0.3">
      <c r="A9349" s="1" t="s">
        <v>61</v>
      </c>
      <c r="B9349" s="1" t="s">
        <v>318</v>
      </c>
      <c r="C9349" s="1" t="s">
        <v>101</v>
      </c>
      <c r="D9349" s="1" t="s">
        <v>13828</v>
      </c>
      <c r="E9349" s="1" t="s">
        <v>13829</v>
      </c>
      <c r="F9349" s="1" t="s">
        <v>13830</v>
      </c>
      <c r="G9349" s="1" t="s">
        <v>36</v>
      </c>
      <c r="H9349" s="1" t="s">
        <v>29</v>
      </c>
      <c r="I9349" s="1" t="str">
        <f ca="1">IFERROR(__xludf.DUMMYFUNCTION("GOOGLETRANSLATE(F9349, ""auto"", ""en"")
"),"We bought this product from Scarlett 2 years ago, it works like a charm to this day! Definitely take it!")</f>
        <v>We bought this product from Scarlett 2 years ago, it works like a charm to this day! Definitely take it!</v>
      </c>
    </row>
    <row r="9350" spans="1:9" x14ac:dyDescent="0.3">
      <c r="A9350" s="1" t="s">
        <v>1823</v>
      </c>
      <c r="B9350" s="1" t="s">
        <v>1824</v>
      </c>
      <c r="C9350" s="1" t="s">
        <v>1825</v>
      </c>
      <c r="D9350" s="1" t="s">
        <v>545</v>
      </c>
      <c r="E9350" s="1" t="s">
        <v>1982</v>
      </c>
      <c r="F9350" s="1" t="s">
        <v>13831</v>
      </c>
      <c r="G9350" s="1" t="s">
        <v>28</v>
      </c>
      <c r="H9350" s="1" t="s">
        <v>29</v>
      </c>
      <c r="I9350" s="1" t="str">
        <f ca="1">IFERROR(__xludf.DUMMYFUNCTION("GOOGLETRANSLATE(F9350, ""auto"", ""en"")
"),"My husband gave it to me on March 8th, I was impressed by its size and the additional accessories that came with it. My husband bought another cover in addition, it’s very beautiful, I’ve been using it for 2 months now, there are no complaints at all - I "&amp;"use steam, there are no puddles, under the board... I usually install the board everywhere - in the corridor, in the hall and it doesn’t wobble, plus everything comes with a cord with a socket included; it’s convenient; no extra wires are needed and the i"&amp;"ron is free and not tied to anything. So I'm actually very pleased.")</f>
        <v>My husband gave it to me on March 8th, I was impressed by its size and the additional accessories that came with it. My husband bought another cover in addition, it’s very beautiful, I’ve been using it for 2 months now, there are no complaints at all - I use steam, there are no puddles, under the board... I usually install the board everywhere - in the corridor, in the hall and it doesn’t wobble, plus everything comes with a cord with a socket included; it’s convenient; no extra wires are needed and the iron is free and not tied to anything. So I'm actually very pleased.</v>
      </c>
    </row>
    <row r="9351" spans="1:9" x14ac:dyDescent="0.3">
      <c r="A9351" s="1" t="s">
        <v>61</v>
      </c>
      <c r="B9351" s="1" t="s">
        <v>145</v>
      </c>
      <c r="C9351" s="1" t="s">
        <v>246</v>
      </c>
      <c r="D9351" s="1" t="s">
        <v>1593</v>
      </c>
      <c r="E9351" s="1" t="s">
        <v>1150</v>
      </c>
      <c r="F9351" s="1" t="s">
        <v>13832</v>
      </c>
      <c r="G9351" s="1" t="s">
        <v>36</v>
      </c>
      <c r="H9351" s="1" t="s">
        <v>29</v>
      </c>
      <c r="I9351" s="1" t="str">
        <f ca="1">IFERROR(__xludf.DUMMYFUNCTION("GOOGLETRANSLATE(F9351, ""auto"", ""en"")
"),"Super deep fryer! I really liked it! Fast and tasty. And if you buy ready-made frozen potatoes, it turns out even tastier!")</f>
        <v>Super deep fryer! I really liked it! Fast and tasty. And if you buy ready-made frozen potatoes, it turns out even tastier!</v>
      </c>
    </row>
    <row r="9352" spans="1:9" x14ac:dyDescent="0.3">
      <c r="A9352" s="1" t="s">
        <v>43</v>
      </c>
      <c r="B9352" s="1" t="s">
        <v>334</v>
      </c>
      <c r="C9352" s="1" t="s">
        <v>57</v>
      </c>
      <c r="D9352" s="1" t="s">
        <v>545</v>
      </c>
      <c r="E9352" s="1" t="s">
        <v>859</v>
      </c>
      <c r="F9352" s="1" t="s">
        <v>13833</v>
      </c>
      <c r="G9352" s="1" t="s">
        <v>36</v>
      </c>
      <c r="H9352" s="1" t="s">
        <v>29</v>
      </c>
      <c r="I9352" s="1" t="str">
        <f ca="1">IFERROR(__xludf.DUMMYFUNCTION("GOOGLETRANSLATE(F9352, ""auto"", ""en"")
"),"Quite by accident I bought this fan as a “load” for my MP3 player. It was spring. Back then I couldn’t even imagine that the summer would be so hot! Vitek just saved us. It worked just great. No complaints, only some advantages: powerful, quiet, compact.")</f>
        <v>Quite by accident I bought this fan as a “load” for my MP3 player. It was spring. Back then I couldn’t even imagine that the summer would be so hot! Vitek just saved us. It worked just great. No complaints, only some advantages: powerful, quiet, compact.</v>
      </c>
    </row>
    <row r="9353" spans="1:9" x14ac:dyDescent="0.3">
      <c r="A9353" s="1" t="s">
        <v>519</v>
      </c>
      <c r="B9353" s="1" t="s">
        <v>3088</v>
      </c>
      <c r="C9353" s="1" t="s">
        <v>246</v>
      </c>
      <c r="D9353" s="1" t="s">
        <v>2096</v>
      </c>
      <c r="E9353" s="1" t="s">
        <v>1856</v>
      </c>
      <c r="F9353" s="1" t="s">
        <v>13834</v>
      </c>
      <c r="G9353" s="1" t="s">
        <v>49</v>
      </c>
      <c r="H9353" s="1" t="s">
        <v>16</v>
      </c>
      <c r="I9353" s="1" t="str">
        <f ca="1">IFERROR(__xludf.DUMMYFUNCTION("GOOGLETRANSLATE(F9353, ""auto"", ""en"")
"),"I bought it and was disappointed. After a week of use, the middle bent. Now it’s like a tumbler on the stove.")</f>
        <v>I bought it and was disappointed. After a week of use, the middle bent. Now it’s like a tumbler on the stove.</v>
      </c>
    </row>
    <row r="9354" spans="1:9" x14ac:dyDescent="0.3">
      <c r="A9354" s="1" t="s">
        <v>61</v>
      </c>
      <c r="B9354" s="1" t="s">
        <v>180</v>
      </c>
      <c r="C9354" s="1" t="s">
        <v>57</v>
      </c>
      <c r="D9354" s="1" t="s">
        <v>13835</v>
      </c>
      <c r="E9354" s="1" t="s">
        <v>2094</v>
      </c>
      <c r="F9354" s="1" t="s">
        <v>13836</v>
      </c>
      <c r="G9354" s="1" t="s">
        <v>36</v>
      </c>
      <c r="H9354" s="1" t="s">
        <v>29</v>
      </c>
      <c r="I9354" s="1" t="str">
        <f ca="1">IFERROR(__xludf.DUMMYFUNCTION("GOOGLETRANSLATE(F9354, ""auto"", ""en"")
"),"As soon as I bought it, I started eating a lot of rolls. Tasty, good, but put on weight. I gave it to a skinny friend and am watching the results.")</f>
        <v>As soon as I bought it, I started eating a lot of rolls. Tasty, good, but put on weight. I gave it to a skinny friend and am watching the results.</v>
      </c>
    </row>
    <row r="9355" spans="1:9" x14ac:dyDescent="0.3">
      <c r="A9355" s="1" t="s">
        <v>9</v>
      </c>
      <c r="B9355" s="1" t="s">
        <v>137</v>
      </c>
      <c r="C9355" s="1" t="s">
        <v>24</v>
      </c>
      <c r="D9355" s="1" t="s">
        <v>13837</v>
      </c>
      <c r="E9355" s="1" t="s">
        <v>6296</v>
      </c>
      <c r="F9355" s="1" t="s">
        <v>13838</v>
      </c>
      <c r="G9355" s="1" t="s">
        <v>28</v>
      </c>
      <c r="H9355" s="1" t="s">
        <v>29</v>
      </c>
      <c r="I9355" s="1" t="str">
        <f ca="1">IFERROR(__xludf.DUMMYFUNCTION("GOOGLETRANSLATE(F9355, ""auto"", ""en"")
"),"Works great with small saucepans. It would be more interesting with a cast-iron grate, otherwise the dishes with steel sometimes slip off - imagine a boiling pan riding on you!")</f>
        <v>Works great with small saucepans. It would be more interesting with a cast-iron grate, otherwise the dishes with steel sometimes slip off - imagine a boiling pan riding on you!</v>
      </c>
    </row>
    <row r="9356" spans="1:9" x14ac:dyDescent="0.3">
      <c r="A9356" s="1" t="s">
        <v>61</v>
      </c>
      <c r="B9356" s="1" t="s">
        <v>1126</v>
      </c>
      <c r="C9356" s="1" t="s">
        <v>57</v>
      </c>
      <c r="D9356" s="1" t="s">
        <v>280</v>
      </c>
      <c r="E9356" s="1" t="s">
        <v>1732</v>
      </c>
      <c r="F9356" s="1" t="s">
        <v>13839</v>
      </c>
      <c r="G9356" s="1" t="s">
        <v>49</v>
      </c>
      <c r="H9356" s="1" t="s">
        <v>16</v>
      </c>
      <c r="I9356" s="1" t="str">
        <f ca="1">IFERROR(__xludf.DUMMYFUNCTION("GOOGLETRANSLATE(F9356, ""auto"", ""en"")
"),"They lived for six months and died. New batteries didn't help")</f>
        <v>They lived for six months and died. New batteries didn't help</v>
      </c>
    </row>
    <row r="9357" spans="1:9" x14ac:dyDescent="0.3">
      <c r="A9357" s="1" t="s">
        <v>43</v>
      </c>
      <c r="B9357" s="1" t="s">
        <v>219</v>
      </c>
      <c r="C9357" s="1" t="s">
        <v>220</v>
      </c>
      <c r="D9357" s="1" t="s">
        <v>1431</v>
      </c>
      <c r="E9357" s="1" t="s">
        <v>9053</v>
      </c>
      <c r="F9357" s="1" t="s">
        <v>13840</v>
      </c>
      <c r="G9357" s="1" t="s">
        <v>36</v>
      </c>
      <c r="H9357" s="1" t="s">
        <v>29</v>
      </c>
      <c r="I9357" s="1" t="str">
        <f ca="1">IFERROR(__xludf.DUMMYFUNCTION("GOOGLETRANSLATE(F9357, ""auto"", ""en"")
"),"Normal device. I took it to survive pressure testing of pipes without kettles and basins. 15 liters is still not enough for one person to wash. Well, if you connect it according to a temporary scheme - instead of a shower. And if you heat it to 70 degrees"&amp;", and then mix it in a mixer with cold water, there will still be some left. And so I connected the shower to the break (15 minutes of work) and have been using it for 2 weeks. When the hot water is turned on, I’ll take it off and hide it until next summe"&amp;"r.")</f>
        <v>Normal device. I took it to survive pressure testing of pipes without kettles and basins. 15 liters is still not enough for one person to wash. Well, if you connect it according to a temporary scheme - instead of a shower. And if you heat it to 70 degrees, and then mix it in a mixer with cold water, there will still be some left. And so I connected the shower to the break (15 minutes of work) and have been using it for 2 weeks. When the hot water is turned on, I’ll take it off and hide it until next summer.</v>
      </c>
    </row>
    <row r="9358" spans="1:9" x14ac:dyDescent="0.3">
      <c r="A9358" s="1" t="s">
        <v>149</v>
      </c>
      <c r="B9358" s="1" t="s">
        <v>423</v>
      </c>
      <c r="C9358" s="1" t="s">
        <v>424</v>
      </c>
      <c r="D9358" s="1" t="s">
        <v>39</v>
      </c>
      <c r="E9358" s="1" t="s">
        <v>508</v>
      </c>
      <c r="F9358" s="1" t="s">
        <v>13841</v>
      </c>
      <c r="G9358" s="1" t="s">
        <v>36</v>
      </c>
      <c r="H9358" s="1" t="s">
        <v>29</v>
      </c>
      <c r="I9358" s="1" t="str">
        <f ca="1">IFERROR(__xludf.DUMMYFUNCTION("GOOGLETRANSLATE(F9358, ""auto"", ""en"")
"),"I purchased this model 4 months ago. On the first day I washed the sofa (there were a lot of stains from juice, milk, etc. (small child)) I did an excellent job, there were no stains or odors left, although the process was labor-intensive. The suction pow"&amp;"er is excellent, especially when compared with conventional vacuum cleaners. The next positive thing is the turbo brush, after which the carpets became like new. The only negative is the lack of an aqua filter in the kit. Cleans up quickly and easily afte"&amp;"r cleaning.   My wife and I really like it and recommend it to everyone.")</f>
        <v>I purchased this model 4 months ago. On the first day I washed the sofa (there were a lot of stains from juice, milk, etc. (small child)) I did an excellent job, there were no stains or odors left, although the process was labor-intensive. The suction power is excellent, especially when compared with conventional vacuum cleaners. The next positive thing is the turbo brush, after which the carpets became like new. The only negative is the lack of an aqua filter in the kit. Cleans up quickly and easily after cleaning.   My wife and I really like it and recommend it to everyone.</v>
      </c>
    </row>
    <row r="9359" spans="1:9" x14ac:dyDescent="0.3">
      <c r="A9359" s="1" t="s">
        <v>169</v>
      </c>
      <c r="B9359" s="1" t="s">
        <v>170</v>
      </c>
      <c r="C9359" s="1" t="s">
        <v>193</v>
      </c>
      <c r="D9359" s="1" t="s">
        <v>13842</v>
      </c>
      <c r="E9359" s="1" t="s">
        <v>312</v>
      </c>
      <c r="F9359" s="1" t="s">
        <v>13843</v>
      </c>
      <c r="G9359" s="1" t="s">
        <v>36</v>
      </c>
      <c r="H9359" s="1" t="s">
        <v>29</v>
      </c>
      <c r="I9359" s="1" t="str">
        <f ca="1">IFERROR(__xludf.DUMMYFUNCTION("GOOGLETRANSLATE(F9359, ""auto"", ""en"")
"),"as they wrote above in the review that they are a little quiet, this mlW player does not output much, but I agree that the sound is great, as for the plug, it’s a little unstable, but you can re-solder it, you don’t have to throw it away, in general I lik"&amp;"e them")</f>
        <v>as they wrote above in the review that they are a little quiet, this mlW player does not output much, but I agree that the sound is great, as for the plug, it’s a little unstable, but you can re-solder it, you don’t have to throw it away, in general I like them</v>
      </c>
    </row>
    <row r="9360" spans="1:9" x14ac:dyDescent="0.3">
      <c r="A9360" s="1" t="s">
        <v>61</v>
      </c>
      <c r="B9360" s="1" t="s">
        <v>224</v>
      </c>
      <c r="C9360" s="1" t="s">
        <v>74</v>
      </c>
      <c r="D9360" s="1" t="s">
        <v>305</v>
      </c>
      <c r="E9360" s="1" t="s">
        <v>1730</v>
      </c>
      <c r="F9360" s="1" t="s">
        <v>13844</v>
      </c>
      <c r="G9360" s="1" t="s">
        <v>15</v>
      </c>
      <c r="H9360" s="1" t="s">
        <v>16</v>
      </c>
      <c r="I9360" s="1" t="str">
        <f ca="1">IFERROR(__xludf.DUMMYFUNCTION("GOOGLETRANSLATE(F9360, ""auto"", ""en"")
"),"I squeezed it out for a while. I think I squeezed out a total of 12 liters during the entire period of ownership. Once again, during use, the power dropped, so to speak, before our eyes. Naturally, I took it apart and looked at what was broken there. The "&amp;"engine is very small, like some children's toys. Such an engine will not withstand normal loads, so it overheats along the way. In general, this device was destroyed immediately. I don't recommend it.")</f>
        <v>I squeezed it out for a while. I think I squeezed out a total of 12 liters during the entire period of ownership. Once again, during use, the power dropped, so to speak, before our eyes. Naturally, I took it apart and looked at what was broken there. The engine is very small, like some children's toys. Such an engine will not withstand normal loads, so it overheats along the way. In general, this device was destroyed immediately. I don't recommend it.</v>
      </c>
    </row>
    <row r="9361" spans="1:9" x14ac:dyDescent="0.3">
      <c r="A9361" s="1" t="s">
        <v>61</v>
      </c>
      <c r="B9361" s="1" t="s">
        <v>145</v>
      </c>
      <c r="C9361" s="1" t="s">
        <v>85</v>
      </c>
      <c r="D9361" s="1" t="s">
        <v>102</v>
      </c>
      <c r="E9361" s="1" t="s">
        <v>2215</v>
      </c>
      <c r="F9361" s="1" t="s">
        <v>13845</v>
      </c>
      <c r="G9361" s="1" t="s">
        <v>36</v>
      </c>
      <c r="H9361" s="1" t="s">
        <v>29</v>
      </c>
      <c r="I9361" s="1" t="str">
        <f ca="1">IFERROR(__xludf.DUMMYFUNCTION("GOOGLETRANSLATE(F9361, ""auto"", ""en"")
"),"Very cool steamer!!! My wife and I are very pleased that we bought a steamer from this company!!! I recommend it to everyone!!! You won't regret it!!!")</f>
        <v>Very cool steamer!!! My wife and I are very pleased that we bought a steamer from this company!!! I recommend it to everyone!!! You won't regret it!!!</v>
      </c>
    </row>
    <row r="9362" spans="1:9" x14ac:dyDescent="0.3">
      <c r="A9362" s="1" t="s">
        <v>149</v>
      </c>
      <c r="B9362" s="1" t="s">
        <v>150</v>
      </c>
      <c r="C9362" s="1" t="s">
        <v>2016</v>
      </c>
      <c r="D9362" s="1" t="s">
        <v>13846</v>
      </c>
      <c r="E9362" s="1" t="s">
        <v>330</v>
      </c>
      <c r="F9362" s="1" t="s">
        <v>13847</v>
      </c>
      <c r="G9362" s="1" t="s">
        <v>36</v>
      </c>
      <c r="H9362" s="1" t="s">
        <v>29</v>
      </c>
      <c r="I9362" s="1" t="str">
        <f ca="1">IFERROR(__xludf.DUMMYFUNCTION("GOOGLETRANSLATE(F9362, ""auto"", ""en"")
"),"I bought this vacuum cleaner and was pleased with the choice. I liked the compactness, convenient attachments, flexible hose, and stylish design. In principle, the power is sufficient. It is clear that this is not a home vacuum cleaner, but it vacuumed th"&amp;"e car quite well, the nozzle fits into any crevices. In general, it’s nice to pick it up and vacuuming is a pleasure. The instructions say that you should work for no more than 30 minutes so that the battery does not run out and you need to vacuum with th"&amp;"e engine off.")</f>
        <v>I bought this vacuum cleaner and was pleased with the choice. I liked the compactness, convenient attachments, flexible hose, and stylish design. In principle, the power is sufficient. It is clear that this is not a home vacuum cleaner, but it vacuumed the car quite well, the nozzle fits into any crevices. In general, it’s nice to pick it up and vacuuming is a pleasure. The instructions say that you should work for no more than 30 minutes so that the battery does not run out and you need to vacuum with the engine off.</v>
      </c>
    </row>
    <row r="9363" spans="1:9" x14ac:dyDescent="0.3">
      <c r="A9363" s="1" t="s">
        <v>89</v>
      </c>
      <c r="B9363" s="1" t="s">
        <v>231</v>
      </c>
      <c r="C9363" s="1" t="s">
        <v>185</v>
      </c>
      <c r="D9363" s="1" t="s">
        <v>2764</v>
      </c>
      <c r="E9363" s="1" t="s">
        <v>4844</v>
      </c>
      <c r="F9363" s="1" t="s">
        <v>13848</v>
      </c>
      <c r="G9363" s="1" t="s">
        <v>36</v>
      </c>
      <c r="H9363" s="1" t="s">
        <v>29</v>
      </c>
      <c r="I9363" s="1" t="str">
        <f ca="1">IFERROR(__xludf.DUMMYFUNCTION("GOOGLETRANSLATE(F9363, ""auto"", ""en"")
"),"It’s as simple as two, no extra bells and whistles, can use both beans and ground coffee, 5 year warranty according to the instructions, and of course the price")</f>
        <v>It’s as simple as two, no extra bells and whistles, can use both beans and ground coffee, 5 year warranty according to the instructions, and of course the price</v>
      </c>
    </row>
    <row r="9364" spans="1:9" x14ac:dyDescent="0.3">
      <c r="A9364" s="1" t="s">
        <v>61</v>
      </c>
      <c r="B9364" s="1" t="s">
        <v>145</v>
      </c>
      <c r="C9364" s="1" t="s">
        <v>246</v>
      </c>
      <c r="D9364" s="1" t="s">
        <v>729</v>
      </c>
      <c r="E9364" s="1" t="s">
        <v>1660</v>
      </c>
      <c r="F9364" s="1" t="s">
        <v>13849</v>
      </c>
      <c r="G9364" s="1" t="s">
        <v>15</v>
      </c>
      <c r="H9364" s="1" t="s">
        <v>16</v>
      </c>
      <c r="I9364" s="1" t="str">
        <f ca="1">IFERROR(__xludf.DUMMYFUNCTION("GOOGLETRANSLATE(F9364, ""auto"", ""en"")
"),"We use steamers every day, so they break down quickly. This steamer is the third one. Lasted six months.   1. there is no addition of water during cooking, which is inconvenient.  2. glitchy timer - when turned on, you need to control it so that it starts"&amp;" working 3. after some time it stops turning off - it was warm all the time, unless you unplug it.  Verdict: one of the most unsuccessful Tefal models. Model 100130 is definitely better both in terms of ease of use and workmanship.")</f>
        <v>We use steamers every day, so they break down quickly. This steamer is the third one. Lasted six months.   1. there is no addition of water during cooking, which is inconvenient.  2. glitchy timer - when turned on, you need to control it so that it starts working 3. after some time it stops turning off - it was warm all the time, unless you unplug it.  Verdict: one of the most unsuccessful Tefal models. Model 100130 is definitely better both in terms of ease of use and workmanship.</v>
      </c>
    </row>
    <row r="9365" spans="1:9" x14ac:dyDescent="0.3">
      <c r="A9365" s="1" t="s">
        <v>211</v>
      </c>
      <c r="B9365" s="1" t="s">
        <v>899</v>
      </c>
      <c r="C9365" s="1" t="s">
        <v>213</v>
      </c>
      <c r="D9365" s="1" t="s">
        <v>75</v>
      </c>
      <c r="E9365" s="1" t="s">
        <v>3975</v>
      </c>
      <c r="F9365" s="1" t="s">
        <v>13850</v>
      </c>
      <c r="G9365" s="1" t="s">
        <v>36</v>
      </c>
      <c r="H9365" s="1" t="s">
        <v>29</v>
      </c>
      <c r="I9365" s="1" t="str">
        <f ca="1">IFERROR(__xludf.DUMMYFUNCTION("GOOGLETRANSLATE(F9365, ""auto"", ""en"")
"),"I got acquainted with the Oral-B electric brush 2 years ago, when I decided to give myself a nice gift for the New Year. I was looking for a pink one, but unfortunately they don’t bring them to our city.. BUT! I was not at all upset when I bought a differ"&amp;"ent color, because it’s not the color at all, but the brush itself.) Having bought the brush and coming home, I immediately tried it out. This is a MIRACLE invention. I am a person who sleeps until the last minute and works late. This brush saves me both "&amp;"in the morning, when I stand in front of the mirror with sleepy eyes, and the brush does everything for me, I just point it in the right direction and that’s it, and in the evening, when I have absolutely no strength left. After purchasing this Miracle, I"&amp;" go to the dentist less often! The brush cleans in hard-to-reach places, and using blend-a-mend 3D white paste, it’s absolutely the Bomb! My teeth have become whiter, at least half a shade!) I have never regretted purchasing it!! Thank you, thank you, tha"&amp;"nk you to the manufacturers!")</f>
        <v>I got acquainted with the Oral-B electric brush 2 years ago, when I decided to give myself a nice gift for the New Year. I was looking for a pink one, but unfortunately they don’t bring them to our city.. BUT! I was not at all upset when I bought a different color, because it’s not the color at all, but the brush itself.) Having bought the brush and coming home, I immediately tried it out. This is a MIRACLE invention. I am a person who sleeps until the last minute and works late. This brush saves me both in the morning, when I stand in front of the mirror with sleepy eyes, and the brush does everything for me, I just point it in the right direction and that’s it, and in the evening, when I have absolutely no strength left. After purchasing this Miracle, I go to the dentist less often! The brush cleans in hard-to-reach places, and using blend-a-mend 3D white paste, it’s absolutely the Bomb! My teeth have become whiter, at least half a shade!) I have never regretted purchasing it!! Thank you, thank you, thank you to the manufacturers!</v>
      </c>
    </row>
    <row r="9366" spans="1:9" x14ac:dyDescent="0.3">
      <c r="A9366" s="1" t="s">
        <v>211</v>
      </c>
      <c r="B9366" s="1" t="s">
        <v>212</v>
      </c>
      <c r="C9366" s="1" t="s">
        <v>266</v>
      </c>
      <c r="D9366" s="1" t="s">
        <v>308</v>
      </c>
      <c r="E9366" s="1" t="s">
        <v>9939</v>
      </c>
      <c r="F9366" s="1" t="s">
        <v>13851</v>
      </c>
      <c r="G9366" s="1" t="s">
        <v>15</v>
      </c>
      <c r="H9366" s="1" t="s">
        <v>16</v>
      </c>
      <c r="I9366" s="1" t="str">
        <f ca="1">IFERROR(__xludf.DUMMYFUNCTION("GOOGLETRANSLATE(F9366, ""auto"", ""en"")
"),"The design is beautiful, the curlers do not burn the hair, but do not hold the style. After a couple of hours, I still haven’t curled it, but I use hair fixation products (mousse, hairspray). So they gather dust on the shelf.")</f>
        <v>The design is beautiful, the curlers do not burn the hair, but do not hold the style. After a couple of hours, I still haven’t curled it, but I use hair fixation products (mousse, hairspray). So they gather dust on the shelf.</v>
      </c>
    </row>
    <row r="9367" spans="1:9" x14ac:dyDescent="0.3">
      <c r="A9367" s="1" t="s">
        <v>61</v>
      </c>
      <c r="B9367" s="1" t="s">
        <v>318</v>
      </c>
      <c r="C9367" s="1" t="s">
        <v>101</v>
      </c>
      <c r="D9367" s="1" t="s">
        <v>13852</v>
      </c>
      <c r="E9367" s="1" t="s">
        <v>1866</v>
      </c>
      <c r="F9367" s="1" t="s">
        <v>13853</v>
      </c>
      <c r="G9367" s="1" t="s">
        <v>36</v>
      </c>
      <c r="H9367" s="1" t="s">
        <v>29</v>
      </c>
      <c r="I9367" s="1" t="str">
        <f ca="1">IFERROR(__xludf.DUMMYFUNCTION("GOOGLETRANSLATE(F9367, ""auto"", ""en"")
"),"The kettle is very compact, although it can hold 1.6-1.7 liters of water.   It boils full in about 4 minutes, while burning exactly 0.1 kW/h on the meter.   I don’t understand those who say that electric kettles are a waste of electricity.  If you boil it"&amp;" 3-4 times a day every day, then in a month it will burn a maximum of 30 rubles. I liked that it has no plastic at all - it is completely metal.   There was no unpleasant smell initially (but I boiled it a couple of times to be sure, before the first cup "&amp;"of coffee).")</f>
        <v>The kettle is very compact, although it can hold 1.6-1.7 liters of water.   It boils full in about 4 minutes, while burning exactly 0.1 kW/h on the meter.   I don’t understand those who say that electric kettles are a waste of electricity.  If you boil it 3-4 times a day every day, then in a month it will burn a maximum of 30 rubles. I liked that it has no plastic at all - it is completely metal.   There was no unpleasant smell initially (but I boiled it a couple of times to be sure, before the first cup of coffee).</v>
      </c>
    </row>
    <row r="9368" spans="1:9" x14ac:dyDescent="0.3">
      <c r="A9368" s="1" t="s">
        <v>169</v>
      </c>
      <c r="B9368" s="1" t="s">
        <v>170</v>
      </c>
      <c r="C9368" s="1" t="s">
        <v>122</v>
      </c>
      <c r="D9368" s="1" t="s">
        <v>1575</v>
      </c>
      <c r="E9368" s="1" t="s">
        <v>2686</v>
      </c>
      <c r="F9368" s="1" t="s">
        <v>13854</v>
      </c>
      <c r="G9368" s="1" t="s">
        <v>36</v>
      </c>
      <c r="H9368" s="1" t="s">
        <v>29</v>
      </c>
      <c r="I9368" s="1" t="str">
        <f ca="1">IFERROR(__xludf.DUMMYFUNCTION("GOOGLETRANSLATE(F9368, ""auto"", ""en"")
"),"Good, comfortable, lightweight, super bass sound is a separate issue, I'm delighted with them. Much depends on the device.  I listen to it on explay m5 and it plays great on nokia 5130.")</f>
        <v>Good, comfortable, lightweight, super bass sound is a separate issue, I'm delighted with them. Much depends on the device.  I listen to it on explay m5 and it plays great on nokia 5130.</v>
      </c>
    </row>
    <row r="9369" spans="1:9" x14ac:dyDescent="0.3">
      <c r="A9369" s="1" t="s">
        <v>9</v>
      </c>
      <c r="B9369" s="1" t="s">
        <v>4242</v>
      </c>
      <c r="C9369" s="1" t="s">
        <v>63</v>
      </c>
      <c r="D9369" s="1" t="s">
        <v>172</v>
      </c>
      <c r="E9369" s="1" t="s">
        <v>1788</v>
      </c>
      <c r="F9369" s="1" t="s">
        <v>13855</v>
      </c>
      <c r="G9369" s="1" t="s">
        <v>36</v>
      </c>
      <c r="H9369" s="1" t="s">
        <v>29</v>
      </c>
      <c r="I9369" s="1" t="str">
        <f ca="1">IFERROR(__xludf.DUMMYFUNCTION("GOOGLETRANSLATE(F9369, ""auto"", ""en"")
"),"Nice refrigerator!  Fits perfectly into the interior.  Works quietly.  Easy.  Without any special bells and whistles, reliable - just what you need.  In a word - German.")</f>
        <v>Nice refrigerator!  Fits perfectly into the interior.  Works quietly.  Easy.  Without any special bells and whistles, reliable - just what you need.  In a word - German.</v>
      </c>
    </row>
    <row r="9370" spans="1:9" x14ac:dyDescent="0.3">
      <c r="A9370" s="1" t="s">
        <v>61</v>
      </c>
      <c r="B9370" s="1" t="s">
        <v>726</v>
      </c>
      <c r="C9370" s="1" t="s">
        <v>80</v>
      </c>
      <c r="D9370" s="1" t="s">
        <v>2436</v>
      </c>
      <c r="E9370" s="1" t="s">
        <v>4187</v>
      </c>
      <c r="F9370" s="1" t="s">
        <v>13856</v>
      </c>
      <c r="G9370" s="1" t="s">
        <v>36</v>
      </c>
      <c r="H9370" s="1" t="s">
        <v>29</v>
      </c>
      <c r="I9370" s="1" t="str">
        <f ca="1">IFERROR(__xludf.DUMMYFUNCTION("GOOGLETRANSLATE(F9370, ""auto"", ""en"")
"),"He bakes everything, even cooks cabbage soup! Only there is no instruction manual in Russian!")</f>
        <v>He bakes everything, even cooks cabbage soup! Only there is no instruction manual in Russian!</v>
      </c>
    </row>
    <row r="9371" spans="1:9" x14ac:dyDescent="0.3">
      <c r="A9371" s="1" t="s">
        <v>61</v>
      </c>
      <c r="B9371" s="1" t="s">
        <v>73</v>
      </c>
      <c r="C9371" s="1" t="s">
        <v>74</v>
      </c>
      <c r="D9371" s="1" t="s">
        <v>64</v>
      </c>
      <c r="E9371" s="1" t="s">
        <v>9808</v>
      </c>
      <c r="F9371" s="1" t="s">
        <v>13857</v>
      </c>
      <c r="G9371" s="1" t="s">
        <v>28</v>
      </c>
      <c r="H9371" s="1" t="s">
        <v>29</v>
      </c>
      <c r="I9371" s="1" t="str">
        <f ca="1">IFERROR(__xludf.DUMMYFUNCTION("GOOGLETRANSLATE(F9371, ""auto"", ""en"")
"),"I've been using it for a week, overall it's fine, but there are some nuances. I’ll say right away that the above complaints about the fastening from a person who has not used a meat grinder are delusional - although the fastening is plastic (like 90% of m"&amp;"odern meat grinders in general), it is thick and strong, nothing wobbles or falls out. Pros: 1. The meat twists quite normally, does not chew anything. However, I only twisted the tenderloin and cut it into pieces, as written in the instructions. 2. A fai"&amp;"rly convenient grater, it grates carrots very quickly, it consists of only 2 parts, so it is very easy to disassemble and clean. 3. Quite compact, the main unit with the nozzle removed is even quite compact. Cons: 1. The rotation speed is not adjustable, "&amp;"and personally, sometimes I want the device to spin more slowly. 2. Roars like an airplane turbine. Even my absolutely calm cat is blown out of the kitchen when turned on. 3. If you rub a lot, the grater begins to clog and it is advisable to release the g"&amp;"rated material with something. Personally, I just do this with my finger, it’s not dangerous, the grater blades are on the other side. And just a note - I tried the attachment for cutlets, it’s funny but difficult to disassemble and wash - it’s not worth "&amp;"it, it’s easier and faster to sculpt it by hand. I haven't used the juicer yet.")</f>
        <v>I've been using it for a week, overall it's fine, but there are some nuances. I’ll say right away that the above complaints about the fastening from a person who has not used a meat grinder are delusional - although the fastening is plastic (like 90% of modern meat grinders in general), it is thick and strong, nothing wobbles or falls out. Pros: 1. The meat twists quite normally, does not chew anything. However, I only twisted the tenderloin and cut it into pieces, as written in the instructions. 2. A fairly convenient grater, it grates carrots very quickly, it consists of only 2 parts, so it is very easy to disassemble and clean. 3. Quite compact, the main unit with the nozzle removed is even quite compact. Cons: 1. The rotation speed is not adjustable, and personally, sometimes I want the device to spin more slowly. 2. Roars like an airplane turbine. Even my absolutely calm cat is blown out of the kitchen when turned on. 3. If you rub a lot, the grater begins to clog and it is advisable to release the grated material with something. Personally, I just do this with my finger, it’s not dangerous, the grater blades are on the other side. And just a note - I tried the attachment for cutlets, it’s funny but difficult to disassemble and wash - it’s not worth it, it’s easier and faster to sculpt it by hand. I haven't used the juicer yet.</v>
      </c>
    </row>
    <row r="9372" spans="1:9" x14ac:dyDescent="0.3">
      <c r="A9372" s="1" t="s">
        <v>61</v>
      </c>
      <c r="B9372" s="1" t="s">
        <v>318</v>
      </c>
      <c r="C9372" s="1" t="s">
        <v>213</v>
      </c>
      <c r="D9372" s="1" t="s">
        <v>52</v>
      </c>
      <c r="E9372" s="1" t="s">
        <v>26</v>
      </c>
      <c r="F9372" s="1" t="s">
        <v>13858</v>
      </c>
      <c r="G9372" s="1" t="s">
        <v>36</v>
      </c>
      <c r="H9372" s="1" t="s">
        <v>29</v>
      </c>
      <c r="I9372" s="1" t="str">
        <f ca="1">IFERROR(__xludf.DUMMYFUNCTION("GOOGLETRANSLATE(F9372, ""auto"", ""en"")
"),"Excellent kettle, very convenient and super reliable. We've been using it at work for 5 years, turning it on 20 times a day. Truly immortal.")</f>
        <v>Excellent kettle, very convenient and super reliable. We've been using it at work for 5 years, turning it on 20 times a day. Truly immortal.</v>
      </c>
    </row>
    <row r="9373" spans="1:9" x14ac:dyDescent="0.3">
      <c r="A9373" s="1" t="s">
        <v>120</v>
      </c>
      <c r="B9373" s="1" t="s">
        <v>196</v>
      </c>
      <c r="C9373" s="1" t="s">
        <v>97</v>
      </c>
      <c r="D9373" s="1" t="s">
        <v>171</v>
      </c>
      <c r="E9373" s="1" t="s">
        <v>191</v>
      </c>
      <c r="F9373" s="1" t="s">
        <v>13859</v>
      </c>
      <c r="G9373" s="1" t="s">
        <v>36</v>
      </c>
      <c r="H9373" s="1" t="s">
        <v>29</v>
      </c>
      <c r="I9373" s="1" t="str">
        <f ca="1">IFERROR(__xludf.DUMMYFUNCTION("GOOGLETRANSLATE(F9373, ""auto"", ""en"")
"),"I've been using it for about 2 months. The image is wonderful, especially when watching satellite TV, and even better when watching movies in combination with a DVD theater with Sony DAV-DZ690M floor-standing speakers. I wonder why it is not mentioned any"&amp;"where that the TV supports Motionflow™ Technology-100 Hz.   There are suspicions that this device is called abroad: KDL-40W5100, since on the native SONY website and on the Russian SONY website the model KDL-40 W5710 Black does not appear anywhere, and 7 "&amp;"apparently means Russia.   I definitely recommend purchasing!")</f>
        <v>I've been using it for about 2 months. The image is wonderful, especially when watching satellite TV, and even better when watching movies in combination with a DVD theater with Sony DAV-DZ690M floor-standing speakers. I wonder why it is not mentioned anywhere that the TV supports Motionflow™ Technology-100 Hz.   There are suspicions that this device is called abroad: KDL-40W5100, since on the native SONY website and on the Russian SONY website the model KDL-40 W5710 Black does not appear anywhere, and 7 apparently means Russia.   I definitely recommend purchasing!</v>
      </c>
    </row>
    <row r="9374" spans="1:9" x14ac:dyDescent="0.3">
      <c r="A9374" s="1" t="s">
        <v>37</v>
      </c>
      <c r="B9374" s="1" t="s">
        <v>536</v>
      </c>
      <c r="C9374" s="1" t="s">
        <v>39</v>
      </c>
      <c r="D9374" s="1" t="s">
        <v>13860</v>
      </c>
      <c r="E9374" s="1" t="s">
        <v>3454</v>
      </c>
      <c r="F9374" s="1" t="s">
        <v>13861</v>
      </c>
      <c r="G9374" s="1" t="s">
        <v>15</v>
      </c>
      <c r="H9374" s="1" t="s">
        <v>16</v>
      </c>
      <c r="I9374" s="1" t="str">
        <f ca="1">IFERROR(__xludf.DUMMYFUNCTION("GOOGLETRANSLATE(F9374, ""auto"", ""en"")
"),"I had the opportunity to use it for 3 months. very nice interface, high-quality materials, comfortable keys, a little strange touch key, which you then begin to miss.  BUT. 6.5 is a very crude Windows. the phone may take a very long time to think, the scr"&amp;"een may flip at the wrong time, but the most unpleasant thing is that it may simply freeze. and not only when you work with it, but, for example, at night, when it is charging and you are waiting for the alarm to ring. the bell won't ring. For 30,000 I wo"&amp;"uldn’t wish such happiness on anyone")</f>
        <v>I had the opportunity to use it for 3 months. very nice interface, high-quality materials, comfortable keys, a little strange touch key, which you then begin to miss.  BUT. 6.5 is a very crude Windows. the phone may take a very long time to think, the screen may flip at the wrong time, but the most unpleasant thing is that it may simply freeze. and not only when you work with it, but, for example, at night, when it is charging and you are waiting for the alarm to ring. the bell won't ring. For 30,000 I wouldn’t wish such happiness on anyone</v>
      </c>
    </row>
    <row r="9375" spans="1:9" x14ac:dyDescent="0.3">
      <c r="A9375" s="1" t="s">
        <v>61</v>
      </c>
      <c r="B9375" s="1" t="s">
        <v>73</v>
      </c>
      <c r="C9375" s="1" t="s">
        <v>314</v>
      </c>
      <c r="D9375" s="1" t="s">
        <v>39</v>
      </c>
      <c r="E9375" s="1" t="s">
        <v>11654</v>
      </c>
      <c r="F9375" s="1" t="s">
        <v>13862</v>
      </c>
      <c r="G9375" s="1" t="s">
        <v>28</v>
      </c>
      <c r="H9375" s="1" t="s">
        <v>29</v>
      </c>
      <c r="I9375" s="1" t="str">
        <f ca="1">IFERROR(__xludf.DUMMYFUNCTION("GOOGLETRANSLATE(F9375, ""auto"", ""en"")
"),"The rated power of the meat grinder is 260 W, the maximum is 650 W, and some peak power is 1500 W. The reduction gearbox has plastic gears, possibly caprolon, but then the presence of lubricant is strange. The meat grinds perfectly, quickly. The knife is "&amp;"made double-sided, so it doesn’t matter which side it is installed on, therefore its service life before sharpening is higher. You can also purchase a juice cone for berries and a shredding and grating set. It works quite quietly. So far I'm happy.")</f>
        <v>The rated power of the meat grinder is 260 W, the maximum is 650 W, and some peak power is 1500 W. The reduction gearbox has plastic gears, possibly caprolon, but then the presence of lubricant is strange. The meat grinds perfectly, quickly. The knife is made double-sided, so it doesn’t matter which side it is installed on, therefore its service life before sharpening is higher. You can also purchase a juice cone for berries and a shredding and grating set. It works quite quietly. So far I'm happy.</v>
      </c>
    </row>
    <row r="9376" spans="1:9" x14ac:dyDescent="0.3">
      <c r="A9376" s="1" t="s">
        <v>211</v>
      </c>
      <c r="B9376" s="1" t="s">
        <v>212</v>
      </c>
      <c r="C9376" s="1" t="s">
        <v>381</v>
      </c>
      <c r="D9376" s="1" t="s">
        <v>565</v>
      </c>
      <c r="E9376" s="1" t="s">
        <v>3737</v>
      </c>
      <c r="F9376" s="1" t="s">
        <v>13863</v>
      </c>
      <c r="G9376" s="1" t="s">
        <v>36</v>
      </c>
      <c r="H9376" s="1" t="s">
        <v>29</v>
      </c>
      <c r="I9376" s="1" t="str">
        <f ca="1">IFERROR(__xludf.DUMMYFUNCTION("GOOGLETRANSLATE(F9376, ""auto"", ""en"")
"),"I used this hairdryer for about 8 years (!), and only today it broke((. The brush stopped spinning(. The hairdryer is simply irreplaceable, suitable for hair of any length (at one time I had a shoulder-length bob, now my hair is below the shoulder blades,"&amp;" so I judge from my own experience). My hair is porous and slightly curly - the hairdryer stretches it almost the same way as they do in a hairdresser and it takes about 15-20 minutes. So I recommend that everyone learn how to do it correctly You can use "&amp;"it in a few days. Today I’m going to buy a new one, because I can’t imagine how to live without it))")</f>
        <v>I used this hairdryer for about 8 years (!), and only today it broke((. The brush stopped spinning(. The hairdryer is simply irreplaceable, suitable for hair of any length (at one time I had a shoulder-length bob, now my hair is below the shoulder blades, so I judge from my own experience). My hair is porous and slightly curly - the hairdryer stretches it almost the same way as they do in a hairdresser and it takes about 15-20 minutes. So I recommend that everyone learn how to do it correctly You can use it in a few days. Today I’m going to buy a new one, because I can’t imagine how to live without it))</v>
      </c>
    </row>
    <row r="9377" spans="1:9" x14ac:dyDescent="0.3">
      <c r="A9377" s="1" t="s">
        <v>61</v>
      </c>
      <c r="B9377" s="1" t="s">
        <v>145</v>
      </c>
      <c r="C9377" s="1" t="s">
        <v>45</v>
      </c>
      <c r="D9377" s="1" t="s">
        <v>13864</v>
      </c>
      <c r="E9377" s="1" t="s">
        <v>1669</v>
      </c>
      <c r="F9377" s="1" t="s">
        <v>13865</v>
      </c>
      <c r="G9377" s="1" t="s">
        <v>28</v>
      </c>
      <c r="H9377" s="1" t="s">
        <v>29</v>
      </c>
      <c r="I9377" s="1" t="str">
        <f ca="1">IFERROR(__xludf.DUMMYFUNCTION("GOOGLETRANSLATE(F9377, ""auto"", ""en"")
"),"Good thing, cooks great!!! Most importantly, I’m happy for the hungry young family from Nizhny Tagil, who could not cook a chicken without an air fryer, and then the whole chicken, probably alive. Well, you give!!!")</f>
        <v>Good thing, cooks great!!! Most importantly, I’m happy for the hungry young family from Nizhny Tagil, who could not cook a chicken without an air fryer, and then the whole chicken, probably alive. Well, you give!!!</v>
      </c>
    </row>
    <row r="9378" spans="1:9" x14ac:dyDescent="0.3">
      <c r="A9378" s="1" t="s">
        <v>111</v>
      </c>
      <c r="B9378" s="1" t="s">
        <v>112</v>
      </c>
      <c r="C9378" s="1" t="s">
        <v>967</v>
      </c>
      <c r="D9378" s="1" t="s">
        <v>719</v>
      </c>
      <c r="E9378" s="1" t="s">
        <v>753</v>
      </c>
      <c r="F9378" s="1" t="s">
        <v>13866</v>
      </c>
      <c r="G9378" s="1" t="s">
        <v>36</v>
      </c>
      <c r="H9378" s="1" t="s">
        <v>29</v>
      </c>
      <c r="I9378" s="1" t="str">
        <f ca="1">IFERROR(__xludf.DUMMYFUNCTION("GOOGLETRANSLATE(F9378, ""auto"", ""en"")
"),"It copes very well with everything that I expected when purchasing this particular model. Connected: gaming system, monitor and 2.1 system. With this connection, the stabilizer practically does not heat up, or rather, barely warm. And what is also importa"&amp;"nt, very small dimensions. Quite a nice looking one.")</f>
        <v>It copes very well with everything that I expected when purchasing this particular model. Connected: gaming system, monitor and 2.1 system. With this connection, the stabilizer practically does not heat up, or rather, barely warm. And what is also important, very small dimensions. Quite a nice looking one.</v>
      </c>
    </row>
    <row r="9379" spans="1:9" x14ac:dyDescent="0.3">
      <c r="A9379" s="1" t="s">
        <v>361</v>
      </c>
      <c r="B9379" s="1" t="s">
        <v>1077</v>
      </c>
      <c r="C9379" s="1" t="s">
        <v>2143</v>
      </c>
      <c r="D9379" s="1" t="s">
        <v>13867</v>
      </c>
      <c r="E9379" s="1" t="s">
        <v>10328</v>
      </c>
      <c r="F9379" s="1" t="s">
        <v>13868</v>
      </c>
      <c r="G9379" s="1" t="s">
        <v>36</v>
      </c>
      <c r="H9379" s="1" t="s">
        <v>29</v>
      </c>
      <c r="I9379" s="1" t="str">
        <f ca="1">IFERROR(__xludf.DUMMYFUNCTION("GOOGLETRANSLATE(F9379, ""auto"", ""en"")
"),"The teapot is a miracle. Today we bought it about two hours ago, it boiled and the water in it is still very hot, comfortable, stylish, in short, cool.")</f>
        <v>The teapot is a miracle. Today we bought it about two hours ago, it boiled and the water in it is still very hot, comfortable, stylish, in short, cool.</v>
      </c>
    </row>
    <row r="9380" spans="1:9" x14ac:dyDescent="0.3">
      <c r="A9380" s="1" t="s">
        <v>238</v>
      </c>
      <c r="B9380" s="1" t="s">
        <v>276</v>
      </c>
      <c r="C9380" s="1" t="s">
        <v>1677</v>
      </c>
      <c r="D9380" s="1" t="s">
        <v>13869</v>
      </c>
      <c r="E9380" s="1" t="s">
        <v>4486</v>
      </c>
      <c r="F9380" s="1" t="s">
        <v>13870</v>
      </c>
      <c r="G9380" s="1" t="s">
        <v>36</v>
      </c>
      <c r="H9380" s="1" t="s">
        <v>29</v>
      </c>
      <c r="I9380" s="1" t="str">
        <f ca="1">IFERROR(__xludf.DUMMYFUNCTION("GOOGLETRANSLATE(F9380, ""auto"", ""en"")
"),"The refrigerator is great! The air ionizer in the refrigerator just stopped working! tell me how to repair it!???")</f>
        <v>The refrigerator is great! The air ionizer in the refrigerator just stopped working! tell me how to repair it!???</v>
      </c>
    </row>
    <row r="9381" spans="1:9" x14ac:dyDescent="0.3">
      <c r="A9381" s="1" t="s">
        <v>61</v>
      </c>
      <c r="B9381" s="1" t="s">
        <v>62</v>
      </c>
      <c r="C9381" s="1" t="s">
        <v>146</v>
      </c>
      <c r="D9381" s="1" t="s">
        <v>295</v>
      </c>
      <c r="E9381" s="1" t="s">
        <v>5585</v>
      </c>
      <c r="F9381" s="1" t="s">
        <v>13871</v>
      </c>
      <c r="G9381" s="1" t="s">
        <v>36</v>
      </c>
      <c r="H9381" s="1" t="s">
        <v>29</v>
      </c>
      <c r="I9381" s="1" t="str">
        <f ca="1">IFERROR(__xludf.DUMMYFUNCTION("GOOGLETRANSLATE(F9381, ""auto"", ""en"")
"),"I've been using it for 2 years. Not a single breakdown. The price-quality ratio is ideal. But in the future I will buy a more powerful and more functional one.")</f>
        <v>I've been using it for 2 years. Not a single breakdown. The price-quality ratio is ideal. But in the future I will buy a more powerful and more functional one.</v>
      </c>
    </row>
    <row r="9382" spans="1:9" x14ac:dyDescent="0.3">
      <c r="A9382" s="1" t="s">
        <v>211</v>
      </c>
      <c r="B9382" s="1" t="s">
        <v>265</v>
      </c>
      <c r="C9382" s="1" t="s">
        <v>294</v>
      </c>
      <c r="D9382" s="1" t="s">
        <v>152</v>
      </c>
      <c r="E9382" s="1" t="s">
        <v>7948</v>
      </c>
      <c r="F9382" s="1" t="s">
        <v>13872</v>
      </c>
      <c r="G9382" s="1" t="s">
        <v>36</v>
      </c>
      <c r="H9382" s="1" t="s">
        <v>29</v>
      </c>
      <c r="I9382" s="1" t="str">
        <f ca="1">IFERROR(__xludf.DUMMYFUNCTION("GOOGLETRANSLATE(F9382, ""auto"", ""en"")
"),"I’ve been using it for over a year, the blades haven’t become dull, the battery lasts as long as stated by the manufacturer, I use it every three weeks)) lubricate the blades and everything will be fine)))")</f>
        <v>I’ve been using it for over a year, the blades haven’t become dull, the battery lasts as long as stated by the manufacturer, I use it every three weeks)) lubricate the blades and everything will be fine)))</v>
      </c>
    </row>
    <row r="9383" spans="1:9" x14ac:dyDescent="0.3">
      <c r="A9383" s="1" t="s">
        <v>624</v>
      </c>
      <c r="B9383" s="1" t="s">
        <v>625</v>
      </c>
      <c r="C9383" s="1" t="s">
        <v>479</v>
      </c>
      <c r="D9383" s="1" t="s">
        <v>6910</v>
      </c>
      <c r="E9383" s="1" t="s">
        <v>1290</v>
      </c>
      <c r="F9383" s="1" t="s">
        <v>13873</v>
      </c>
      <c r="G9383" s="1" t="s">
        <v>28</v>
      </c>
      <c r="H9383" s="1" t="s">
        <v>29</v>
      </c>
      <c r="I9383" s="1" t="str">
        <f ca="1">IFERROR(__xludf.DUMMYFUNCTION("GOOGLETRANSLATE(F9383, ""auto"", ""en"")
"),"cool toy, take it, you won’t regret it")</f>
        <v>cool toy, take it, you won’t regret it</v>
      </c>
    </row>
    <row r="9384" spans="1:9" x14ac:dyDescent="0.3">
      <c r="A9384" s="1" t="s">
        <v>61</v>
      </c>
      <c r="B9384" s="1" t="s">
        <v>180</v>
      </c>
      <c r="C9384" s="1" t="s">
        <v>74</v>
      </c>
      <c r="D9384" s="1" t="s">
        <v>13874</v>
      </c>
      <c r="E9384" s="1" t="s">
        <v>11483</v>
      </c>
      <c r="F9384" s="1" t="s">
        <v>13875</v>
      </c>
      <c r="G9384" s="1" t="s">
        <v>36</v>
      </c>
      <c r="H9384" s="1" t="s">
        <v>29</v>
      </c>
      <c r="I9384" s="1" t="str">
        <f ca="1">IFERROR(__xludf.DUMMYFUNCTION("GOOGLETRANSLATE(F9384, ""auto"", ""en"")
"),"I bought it for my wife and I don’t regret it) Great thing! The sandwiches are very tasty, slightly crispy. Like pies) Nice appearance. Quite a high quality build. Cooks quickly and tasty. Of the minuses: there is no on/off button. There is no shutdown ti"&amp;"mer. (You have to watch the sandwiches so they don’t burn) Overall, I’m very pleased with the purchase! Take it, you won't regret it!")</f>
        <v>I bought it for my wife and I don’t regret it) Great thing! The sandwiches are very tasty, slightly crispy. Like pies) Nice appearance. Quite a high quality build. Cooks quickly and tasty. Of the minuses: there is no on/off button. There is no shutdown timer. (You have to watch the sandwiches so they don’t burn) Overall, I’m very pleased with the purchase! Take it, you won't regret it!</v>
      </c>
    </row>
    <row r="9385" spans="1:9" x14ac:dyDescent="0.3">
      <c r="A9385" s="1" t="s">
        <v>61</v>
      </c>
      <c r="B9385" s="1" t="s">
        <v>145</v>
      </c>
      <c r="C9385" s="1" t="s">
        <v>85</v>
      </c>
      <c r="D9385" s="1" t="s">
        <v>471</v>
      </c>
      <c r="E9385" s="1" t="s">
        <v>267</v>
      </c>
      <c r="F9385" s="1" t="s">
        <v>13876</v>
      </c>
      <c r="G9385" s="1" t="s">
        <v>36</v>
      </c>
      <c r="H9385" s="1" t="s">
        <v>29</v>
      </c>
      <c r="I9385" s="1" t="str">
        <f ca="1">IFERROR(__xludf.DUMMYFUNCTION("GOOGLETRANSLATE(F9385, ""auto"", ""en"")
"),"Yesterday I bought this model. Today I already tried it in action. I was pleased with the result. Cooks great, easy to use, easy to clean, convenient shape, beautiful design!!! So far I’m happy with everything) I’m planning to buy a toaster and a juicer o"&amp;"f this brand))) P.S. Thank you very much to the sales consultants of the M.Video store for their good attitude, sociability, attentiveness, politeness and for detailed information about the products they offer!!!")</f>
        <v>Yesterday I bought this model. Today I already tried it in action. I was pleased with the result. Cooks great, easy to use, easy to clean, convenient shape, beautiful design!!! So far I’m happy with everything) I’m planning to buy a toaster and a juicer of this brand))) P.S. Thank you very much to the sales consultants of the M.Video store for their good attitude, sociability, attentiveness, politeness and for detailed information about the products they offer!!!</v>
      </c>
    </row>
    <row r="9386" spans="1:9" x14ac:dyDescent="0.3">
      <c r="A9386" s="1" t="s">
        <v>1174</v>
      </c>
      <c r="B9386" s="1" t="s">
        <v>1175</v>
      </c>
      <c r="C9386" s="1" t="s">
        <v>356</v>
      </c>
      <c r="D9386" s="1" t="s">
        <v>345</v>
      </c>
      <c r="E9386" s="1" t="s">
        <v>1167</v>
      </c>
      <c r="F9386" s="1" t="s">
        <v>13877</v>
      </c>
      <c r="G9386" s="1" t="s">
        <v>28</v>
      </c>
      <c r="H9386" s="1" t="s">
        <v>29</v>
      </c>
      <c r="I9386" s="1" t="str">
        <f ca="1">IFERROR(__xludf.DUMMYFUNCTION("GOOGLETRANSLATE(F9386, ""auto"", ""en"")
"),"I am the owner of a phone. Having finally killed the standard ears, I was puzzled by buying new ones. I was choosing between the Sennheiser CX-300-II Black and this model. I settled on headphones from Apple. We had to sacrifice quality in favor of ease of"&amp;" use. I know that there is a Sennheiser MM-50 (analogous to the CX-300-2 only with a remote control), but I couldn’t find it on sale. The headphones turned out to be no better and no worse than the headset that came with the body. The remote control perfo"&amp;"rms a standard set of functions (receive/end calls, play/stop, switch tracks). Unfortunately, due to the design features of the phone, volume control is not supported.")</f>
        <v>I am the owner of a phone. Having finally killed the standard ears, I was puzzled by buying new ones. I was choosing between the Sennheiser CX-300-II Black and this model. I settled on headphones from Apple. We had to sacrifice quality in favor of ease of use. I know that there is a Sennheiser MM-50 (analogous to the CX-300-2 only with a remote control), but I couldn’t find it on sale. The headphones turned out to be no better and no worse than the headset that came with the body. The remote control performs a standard set of functions (receive/end calls, play/stop, switch tracks). Unfortunately, due to the design features of the phone, volume control is not supported.</v>
      </c>
    </row>
    <row r="9387" spans="1:9" x14ac:dyDescent="0.3">
      <c r="A9387" s="1" t="s">
        <v>206</v>
      </c>
      <c r="B9387" s="1" t="s">
        <v>207</v>
      </c>
      <c r="C9387" s="1" t="s">
        <v>152</v>
      </c>
      <c r="D9387" s="1" t="s">
        <v>420</v>
      </c>
      <c r="E9387" s="1" t="s">
        <v>594</v>
      </c>
      <c r="F9387" s="1" t="s">
        <v>13878</v>
      </c>
      <c r="G9387" s="1" t="s">
        <v>36</v>
      </c>
      <c r="H9387" s="1" t="s">
        <v>29</v>
      </c>
      <c r="I9387" s="1" t="str">
        <f ca="1">IFERROR(__xludf.DUMMYFUNCTION("GOOGLETRANSLATE(F9387, ""auto"", ""en"")
"),"In terms of price-quality ratio, this sub is simply excellent.  The bass is clear, without buzzing. The sub is very compact, so it is convenient to place in the trunk.")</f>
        <v>In terms of price-quality ratio, this sub is simply excellent.  The bass is clear, without buzzing. The sub is very compact, so it is convenient to place in the trunk.</v>
      </c>
    </row>
    <row r="9388" spans="1:9" x14ac:dyDescent="0.3">
      <c r="A9388" s="1" t="s">
        <v>30</v>
      </c>
      <c r="B9388" s="1" t="s">
        <v>50</v>
      </c>
      <c r="C9388" s="1" t="s">
        <v>32</v>
      </c>
      <c r="D9388" s="1" t="s">
        <v>695</v>
      </c>
      <c r="E9388" s="1" t="s">
        <v>4697</v>
      </c>
      <c r="F9388" s="1" t="s">
        <v>13879</v>
      </c>
      <c r="G9388" s="1" t="s">
        <v>28</v>
      </c>
      <c r="H9388" s="1" t="s">
        <v>29</v>
      </c>
      <c r="I9388" s="1" t="str">
        <f ca="1">IFERROR(__xludf.DUMMYFUNCTION("GOOGLETRANSLATE(F9388, ""auto"", ""en"")
"),"I bought a laptop on August 31, 2009. I reinstalled the OS on Win XP. For everyday work I consider it the best option + price-quality ratio!")</f>
        <v>I bought a laptop on August 31, 2009. I reinstalled the OS on Win XP. For everyday work I consider it the best option + price-quality ratio!</v>
      </c>
    </row>
    <row r="9389" spans="1:9" x14ac:dyDescent="0.3">
      <c r="A9389" s="1" t="s">
        <v>30</v>
      </c>
      <c r="B9389" s="1" t="s">
        <v>50</v>
      </c>
      <c r="C9389" s="1" t="s">
        <v>1003</v>
      </c>
      <c r="D9389" s="1" t="s">
        <v>13880</v>
      </c>
      <c r="E9389" s="1" t="s">
        <v>3872</v>
      </c>
      <c r="F9389" s="1" t="s">
        <v>13881</v>
      </c>
      <c r="G9389" s="1" t="s">
        <v>15</v>
      </c>
      <c r="H9389" s="1" t="s">
        <v>16</v>
      </c>
      <c r="I9389" s="1" t="str">
        <f ca="1">IFERROR(__xludf.DUMMYFUNCTION("GOOGLETRANSLATE(F9389, ""auto"", ""en"")
"),"There are a lot of unpleasant things, from creaks to scratches and a plush display, but these are minor things. Two months later, freezes appeared, it seems only video, the sound remains, and so does the display. This is after two hours of playing and not"&amp;" even a shooter, but a civilian game. I’m also thinking about organizing a refund somehow ((")</f>
        <v>There are a lot of unpleasant things, from creaks to scratches and a plush display, but these are minor things. Two months later, freezes appeared, it seems only video, the sound remains, and so does the display. This is after two hours of playing and not even a shooter, but a civilian game. I’m also thinking about organizing a refund somehow ((</v>
      </c>
    </row>
    <row r="9390" spans="1:9" x14ac:dyDescent="0.3">
      <c r="A9390" s="1" t="s">
        <v>89</v>
      </c>
      <c r="B9390" s="1" t="s">
        <v>231</v>
      </c>
      <c r="C9390" s="1" t="s">
        <v>1072</v>
      </c>
      <c r="D9390" s="1" t="s">
        <v>64</v>
      </c>
      <c r="E9390" s="1" t="s">
        <v>526</v>
      </c>
      <c r="F9390" s="1" t="s">
        <v>13882</v>
      </c>
      <c r="G9390" s="1" t="s">
        <v>36</v>
      </c>
      <c r="H9390" s="1" t="s">
        <v>29</v>
      </c>
      <c r="I9390" s="1" t="str">
        <f ca="1">IFERROR(__xludf.DUMMYFUNCTION("GOOGLETRANSLATE(F9390, ""auto"", ""en"")
"),"In my opinion - the best ratio of price and functionality. I chose the manual cappuccino maker consciously: it is only necessary to rinse the outer nozzle-tube, and the price is significantly lower than with an automatic one. And the cappuccino turns out "&amp;"excellent! The design suits me quite well. I read a review somewhere that some brands of coffee machines with curved corners are reminiscent of vacuum cleaners from the 90s - that’s the point. This one has a modern design. You can adjust the grind finenes"&amp;"s, coffee strength, and the amount of water per cup. We drink 2-4 cups a day, the first descaling was needed a month after starting use. The product was bought for 250 rubles. (domestic, bought at Caffeine), it is enough for 5-6 cleanings.")</f>
        <v>In my opinion - the best ratio of price and functionality. I chose the manual cappuccino maker consciously: it is only necessary to rinse the outer nozzle-tube, and the price is significantly lower than with an automatic one. And the cappuccino turns out excellent! The design suits me quite well. I read a review somewhere that some brands of coffee machines with curved corners are reminiscent of vacuum cleaners from the 90s - that’s the point. This one has a modern design. You can adjust the grind fineness, coffee strength, and the amount of water per cup. We drink 2-4 cups a day, the first descaling was needed a month after starting use. The product was bought for 250 rubles. (domestic, bought at Caffeine), it is enough for 5-6 cleanings.</v>
      </c>
    </row>
    <row r="9391" spans="1:9" x14ac:dyDescent="0.3">
      <c r="A9391" s="1" t="s">
        <v>120</v>
      </c>
      <c r="B9391" s="1" t="s">
        <v>256</v>
      </c>
      <c r="C9391" s="1" t="s">
        <v>69</v>
      </c>
      <c r="D9391" s="1" t="s">
        <v>6327</v>
      </c>
      <c r="E9391" s="1" t="s">
        <v>2733</v>
      </c>
      <c r="F9391" s="1" t="s">
        <v>13883</v>
      </c>
      <c r="G9391" s="1" t="s">
        <v>36</v>
      </c>
      <c r="H9391" s="1" t="s">
        <v>29</v>
      </c>
      <c r="I9391" s="1" t="str">
        <f ca="1">IFERROR(__xludf.DUMMYFUNCTION("GOOGLETRANSLATE(F9391, ""auto"", ""en"")
"),"It has been working for 3 months, there are no complaints, the price/quality combination is optimal. Satisfied, thank you.")</f>
        <v>It has been working for 3 months, there are no complaints, the price/quality combination is optimal. Satisfied, thank you.</v>
      </c>
    </row>
    <row r="9392" spans="1:9" x14ac:dyDescent="0.3">
      <c r="A9392" s="1" t="s">
        <v>9</v>
      </c>
      <c r="B9392" s="1" t="s">
        <v>23</v>
      </c>
      <c r="C9392" s="1" t="s">
        <v>466</v>
      </c>
      <c r="D9392" s="1" t="s">
        <v>32</v>
      </c>
      <c r="E9392" s="1" t="s">
        <v>13884</v>
      </c>
      <c r="F9392" s="1" t="s">
        <v>13885</v>
      </c>
      <c r="G9392" s="1" t="s">
        <v>49</v>
      </c>
      <c r="H9392" s="1" t="s">
        <v>16</v>
      </c>
      <c r="I9392" s="1" t="str">
        <f ca="1">IFERROR(__xludf.DUMMYFUNCTION("GOOGLETRANSLATE(F9392, ""auto"", ""en"")
"),"I bought this product and was disappointed: it doesn’t wash well, the dishes aren’t rinsed one after another, they’re wet. After 2 months of work, strange things began: either foam after washing in the machine, or water at the bottom after work, after 4 m"&amp;"onths it completely broke down - it began to show an error on the heating element and did not wash at all. I strictly followed all the recommendations - salt, rinse aid, washing powder. And it’s also very noisy, even in a separate kitchen with the door cl"&amp;"osed!")</f>
        <v>I bought this product and was disappointed: it doesn’t wash well, the dishes aren’t rinsed one after another, they’re wet. After 2 months of work, strange things began: either foam after washing in the machine, or water at the bottom after work, after 4 months it completely broke down - it began to show an error on the heating element and did not wash at all. I strictly followed all the recommendations - salt, rinse aid, washing powder. And it’s also very noisy, even in a separate kitchen with the door closed!</v>
      </c>
    </row>
    <row r="9393" spans="1:9" x14ac:dyDescent="0.3">
      <c r="A9393" s="1" t="s">
        <v>9</v>
      </c>
      <c r="B9393" s="1" t="s">
        <v>10</v>
      </c>
      <c r="C9393" s="1" t="s">
        <v>466</v>
      </c>
      <c r="D9393" s="1" t="s">
        <v>13886</v>
      </c>
      <c r="E9393" s="1" t="s">
        <v>4182</v>
      </c>
      <c r="F9393" s="1" t="s">
        <v>13887</v>
      </c>
      <c r="G9393" s="1" t="s">
        <v>36</v>
      </c>
      <c r="H9393" s="1" t="s">
        <v>29</v>
      </c>
      <c r="I9393" s="1" t="str">
        <f ca="1">IFERROR(__xludf.DUMMYFUNCTION("GOOGLETRANSLATE(F9393, ""auto"", ""en"")
"),"I entrusted the choice to my wife) We got the hood at a discount for less than 7 thousand and we were right. Every day we fry something and without exhaust hood the wallpaper became very black and there was a strong smell. Now this is no longer the case; "&amp;"there is no smell in the apartment during cooking. It makes moderate noise, you can be patient without changing the wallpaper every six months). By the way, I installed it myself, did everything according to the diagram and managed it so as not to overpay"&amp;".")</f>
        <v>I entrusted the choice to my wife) We got the hood at a discount for less than 7 thousand and we were right. Every day we fry something and without exhaust hood the wallpaper became very black and there was a strong smell. Now this is no longer the case; there is no smell in the apartment during cooking. It makes moderate noise, you can be patient without changing the wallpaper every six months). By the way, I installed it myself, did everything according to the diagram and managed it so as not to overpay.</v>
      </c>
    </row>
    <row r="9394" spans="1:9" x14ac:dyDescent="0.3">
      <c r="A9394" s="1" t="s">
        <v>965</v>
      </c>
      <c r="B9394" s="1" t="s">
        <v>966</v>
      </c>
      <c r="C9394" s="1" t="s">
        <v>2149</v>
      </c>
      <c r="D9394" s="1" t="s">
        <v>152</v>
      </c>
      <c r="E9394" s="1" t="s">
        <v>3494</v>
      </c>
      <c r="F9394" s="1" t="s">
        <v>13888</v>
      </c>
      <c r="G9394" s="1" t="s">
        <v>36</v>
      </c>
      <c r="H9394" s="1" t="s">
        <v>29</v>
      </c>
      <c r="I9394" s="1" t="str">
        <f ca="1">IFERROR(__xludf.DUMMYFUNCTION("GOOGLETRANSLATE(F9394, ""auto"", ""en"")
"),"the speakers are great!  The sound is high quality, the subwoofer pumps normally.  The downside is that after a while the volume control on the remote starts to get a little dull.  and if someone has bad sound, then the sound card of your computer also pl"&amp;"ays an important role here.")</f>
        <v>the speakers are great!  The sound is high quality, the subwoofer pumps normally.  The downside is that after a while the volume control on the remote starts to get a little dull.  and if someone has bad sound, then the sound card of your computer also plays an important role here.</v>
      </c>
    </row>
    <row r="9395" spans="1:9" x14ac:dyDescent="0.3">
      <c r="A9395" s="1" t="s">
        <v>78</v>
      </c>
      <c r="B9395" s="1" t="s">
        <v>493</v>
      </c>
      <c r="C9395" s="1" t="s">
        <v>996</v>
      </c>
      <c r="D9395" s="1" t="s">
        <v>287</v>
      </c>
      <c r="E9395" s="1" t="s">
        <v>4860</v>
      </c>
      <c r="F9395" s="1" t="s">
        <v>13889</v>
      </c>
      <c r="G9395" s="1" t="s">
        <v>36</v>
      </c>
      <c r="H9395" s="1" t="s">
        <v>29</v>
      </c>
      <c r="I9395" s="1" t="str">
        <f ca="1">IFERROR(__xludf.DUMMYFUNCTION("GOOGLETRANSLATE(F9395, ""auto"", ""en"")
"),"The microwave is very good, except that it itself is not small, and on the back side its intestines protrude about 10 cm (rear body), and it is very convenient and the design is suitable for any kitchen =)")</f>
        <v>The microwave is very good, except that it itself is not small, and on the back side its intestines protrude about 10 cm (rear body), and it is very convenient and the design is suitable for any kitchen =)</v>
      </c>
    </row>
    <row r="9396" spans="1:9" x14ac:dyDescent="0.3">
      <c r="A9396" s="1" t="s">
        <v>67</v>
      </c>
      <c r="B9396" s="1" t="s">
        <v>68</v>
      </c>
      <c r="C9396" s="1" t="s">
        <v>69</v>
      </c>
      <c r="D9396" s="1" t="s">
        <v>2145</v>
      </c>
      <c r="E9396" s="1" t="s">
        <v>1099</v>
      </c>
      <c r="F9396" s="1" t="s">
        <v>13890</v>
      </c>
      <c r="G9396" s="1" t="s">
        <v>28</v>
      </c>
      <c r="H9396" s="1" t="s">
        <v>29</v>
      </c>
      <c r="I9396" s="1" t="str">
        <f ca="1">IFERROR(__xludf.DUMMYFUNCTION("GOOGLETRANSLATE(F9396, ""auto"", ""en"")
"),"The iron is good. Everything that has been written about him is true.  But apparently I got a defective copy. During the ironing process, the electrical cord begins to get wet, starting from the hinge to a length of 15-20 cm.??? I bought it just before th"&amp;"e New Year.")</f>
        <v>The iron is good. Everything that has been written about him is true.  But apparently I got a defective copy. During the ironing process, the electrical cord begins to get wet, starting from the hinge to a length of 15-20 cm.??? I bought it just before the New Year.</v>
      </c>
    </row>
    <row r="9397" spans="1:9" x14ac:dyDescent="0.3">
      <c r="A9397" s="1" t="s">
        <v>811</v>
      </c>
      <c r="B9397" s="1" t="s">
        <v>812</v>
      </c>
      <c r="C9397" s="1" t="s">
        <v>813</v>
      </c>
      <c r="D9397" s="1" t="s">
        <v>139</v>
      </c>
      <c r="E9397" s="1" t="s">
        <v>8520</v>
      </c>
      <c r="F9397" s="1" t="s">
        <v>13891</v>
      </c>
      <c r="G9397" s="1" t="s">
        <v>28</v>
      </c>
      <c r="H9397" s="1" t="s">
        <v>29</v>
      </c>
      <c r="I9397" s="1" t="str">
        <f ca="1">IFERROR(__xludf.DUMMYFUNCTION("GOOGLETRANSLATE(F9397, ""auto"", ""en"")
"),"A very convenient and high quality tripod for the price. It’s impossible to shoot video without jerking, but I doubt that at this price it’s even possible to find a tripod with a head that moves perfectly smoothly.")</f>
        <v>A very convenient and high quality tripod for the price. It’s impossible to shoot video without jerking, but I doubt that at this price it’s even possible to find a tripod with a head that moves perfectly smoothly.</v>
      </c>
    </row>
    <row r="9398" spans="1:9" x14ac:dyDescent="0.3">
      <c r="A9398" s="1" t="s">
        <v>30</v>
      </c>
      <c r="B9398" s="1" t="s">
        <v>50</v>
      </c>
      <c r="C9398" s="1" t="s">
        <v>32</v>
      </c>
      <c r="D9398" s="1" t="s">
        <v>1456</v>
      </c>
      <c r="E9398" s="1" t="s">
        <v>634</v>
      </c>
      <c r="F9398" s="1" t="s">
        <v>13892</v>
      </c>
      <c r="G9398" s="1" t="s">
        <v>36</v>
      </c>
      <c r="H9398" s="1" t="s">
        <v>29</v>
      </c>
      <c r="I9398" s="1" t="str">
        <f ca="1">IFERROR(__xludf.DUMMYFUNCTION("GOOGLETRANSLATE(F9398, ""auto"", ""en"")
"),"I’m happy with the laptop! The design is stunning! However, the space bar has started to creak, it’s very annoying! But I think I’ll get used to it)! The best replacement for a hospital phone for the money! I’ll note that it makes virtually no noise and d"&amp;"oesn’t get hot!")</f>
        <v>I’m happy with the laptop! The design is stunning! However, the space bar has started to creak, it’s very annoying! But I think I’ll get used to it)! The best replacement for a hospital phone for the money! I’ll note that it makes virtually no noise and doesn’t get hot!</v>
      </c>
    </row>
    <row r="9399" spans="1:9" x14ac:dyDescent="0.3">
      <c r="A9399" s="1" t="s">
        <v>61</v>
      </c>
      <c r="B9399" s="1" t="s">
        <v>318</v>
      </c>
      <c r="C9399" s="1" t="s">
        <v>101</v>
      </c>
      <c r="D9399" s="1" t="s">
        <v>335</v>
      </c>
      <c r="E9399" s="1" t="s">
        <v>1767</v>
      </c>
      <c r="F9399" s="1" t="s">
        <v>13893</v>
      </c>
      <c r="G9399" s="1" t="s">
        <v>28</v>
      </c>
      <c r="H9399" s="1" t="s">
        <v>29</v>
      </c>
      <c r="I9399" s="1" t="str">
        <f ca="1">IFERROR(__xludf.DUMMYFUNCTION("GOOGLETRANSLATE(F9399, ""auto"", ""en"")
"),"Well, I don’t know, nothing is leaking. The kettle works fine, boils quickly enough, and there is no smell from it. And the lighting cannot but please - a kind of kitchen decor, and also functional.")</f>
        <v>Well, I don’t know, nothing is leaking. The kettle works fine, boils quickly enough, and there is no smell from it. And the lighting cannot but please - a kind of kitchen decor, and also functional.</v>
      </c>
    </row>
    <row r="9400" spans="1:9" x14ac:dyDescent="0.3">
      <c r="A9400" s="1" t="s">
        <v>9</v>
      </c>
      <c r="B9400" s="1" t="s">
        <v>10</v>
      </c>
      <c r="C9400" s="1" t="s">
        <v>466</v>
      </c>
      <c r="D9400" s="1" t="s">
        <v>64</v>
      </c>
      <c r="E9400" s="1" t="s">
        <v>2514</v>
      </c>
      <c r="F9400" s="1" t="s">
        <v>13894</v>
      </c>
      <c r="G9400" s="1" t="s">
        <v>36</v>
      </c>
      <c r="H9400" s="1" t="s">
        <v>29</v>
      </c>
      <c r="I9400" s="1" t="str">
        <f ca="1">IFERROR(__xludf.DUMMYFUNCTION("GOOGLETRANSLATE(F9400, ""auto"", ""en"")
"),"I recently purchased it, but I am very pleased.")</f>
        <v>I recently purchased it, but I am very pleased.</v>
      </c>
    </row>
    <row r="9401" spans="1:9" x14ac:dyDescent="0.3">
      <c r="A9401" s="1" t="s">
        <v>624</v>
      </c>
      <c r="B9401" s="1" t="s">
        <v>625</v>
      </c>
      <c r="C9401" s="1" t="s">
        <v>479</v>
      </c>
      <c r="D9401" s="1" t="s">
        <v>152</v>
      </c>
      <c r="E9401" s="1" t="s">
        <v>1352</v>
      </c>
      <c r="F9401" s="1" t="s">
        <v>13895</v>
      </c>
      <c r="G9401" s="1" t="s">
        <v>36</v>
      </c>
      <c r="H9401" s="1" t="s">
        <v>29</v>
      </c>
      <c r="I9401" s="1" t="str">
        <f ca="1">IFERROR(__xludf.DUMMYFUNCTION("GOOGLETRANSLATE(F9401, ""auto"", ""en"")
"),"An excellent game that combines all the advantages of the first and second parts, so buy it.")</f>
        <v>An excellent game that combines all the advantages of the first and second parts, so buy it.</v>
      </c>
    </row>
    <row r="9402" spans="1:9" x14ac:dyDescent="0.3">
      <c r="A9402" s="1" t="s">
        <v>206</v>
      </c>
      <c r="B9402" s="1" t="s">
        <v>207</v>
      </c>
      <c r="C9402" s="1" t="s">
        <v>97</v>
      </c>
      <c r="D9402" s="1" t="s">
        <v>1431</v>
      </c>
      <c r="E9402" s="1" t="s">
        <v>2627</v>
      </c>
      <c r="F9402" s="1" t="s">
        <v>13896</v>
      </c>
      <c r="G9402" s="1" t="s">
        <v>28</v>
      </c>
      <c r="H9402" s="1" t="s">
        <v>29</v>
      </c>
      <c r="I9402" s="1" t="str">
        <f ca="1">IFERROR(__xludf.DUMMYFUNCTION("GOOGLETRANSLATE(F9402, ""auto"", ""en"")
"),"I bought this sub a couple of months ago. The first thing that impressed me was the width of the suspension! The dimensions of the sub, even though it is in a closed box, are not small, this is affected by the din size of 15. The quality of workmanship di"&amp;"d not raise any complaints.  Plays amazing!!! The size of the speaker and the closed type of the case have a positive effect on the depth of the bass; serious pressure is created, although, in general, the declared power is not so high. It is quite diffic"&amp;"ult to achieve humming and extraneous noise. In short, I'm glad!")</f>
        <v>I bought this sub a couple of months ago. The first thing that impressed me was the width of the suspension! The dimensions of the sub, even though it is in a closed box, are not small, this is affected by the din size of 15. The quality of workmanship did not raise any complaints.  Plays amazing!!! The size of the speaker and the closed type of the case have a positive effect on the depth of the bass; serious pressure is created, although, in general, the declared power is not so high. It is quite difficult to achieve humming and extraneous noise. In short, I'm glad!</v>
      </c>
    </row>
    <row r="9403" spans="1:9" x14ac:dyDescent="0.3">
      <c r="A9403" s="1" t="s">
        <v>61</v>
      </c>
      <c r="B9403" s="1" t="s">
        <v>180</v>
      </c>
      <c r="C9403" s="1" t="s">
        <v>85</v>
      </c>
      <c r="D9403" s="1" t="s">
        <v>52</v>
      </c>
      <c r="E9403" s="1" t="s">
        <v>7655</v>
      </c>
      <c r="F9403" s="1" t="s">
        <v>13897</v>
      </c>
      <c r="G9403" s="1" t="s">
        <v>36</v>
      </c>
      <c r="H9403" s="1" t="s">
        <v>29</v>
      </c>
      <c r="I9403" s="1" t="str">
        <f ca="1">IFERROR(__xludf.DUMMYFUNCTION("GOOGLETRANSLATE(F9403, ""auto"", ""en"")
"),"I am very pleased with the purchase, the toasts turn out simply excellent, do not burn, and are perfectly fried. The toaster itself has a very attractive design and is very reliable, because... I've been using it for quite a long time. Among the advantage"&amp;"s I will highlight: smooth immersion and rise of bread slices, silent operation, illuminated buttons and a sound signal when cooking is ready. I recommend it to anyone who likes a good breakfast.")</f>
        <v>I am very pleased with the purchase, the toasts turn out simply excellent, do not burn, and are perfectly fried. The toaster itself has a very attractive design and is very reliable, because... I've been using it for quite a long time. Among the advantages I will highlight: smooth immersion and rise of bread slices, silent operation, illuminated buttons and a sound signal when cooking is ready. I recommend it to anyone who likes a good breakfast.</v>
      </c>
    </row>
    <row r="9404" spans="1:9" x14ac:dyDescent="0.3">
      <c r="A9404" s="1" t="s">
        <v>238</v>
      </c>
      <c r="B9404" s="1" t="s">
        <v>239</v>
      </c>
      <c r="C9404" s="1" t="s">
        <v>240</v>
      </c>
      <c r="D9404" s="1" t="s">
        <v>1055</v>
      </c>
      <c r="E9404" s="1" t="s">
        <v>5661</v>
      </c>
      <c r="F9404" s="1" t="s">
        <v>13898</v>
      </c>
      <c r="G9404" s="1" t="s">
        <v>36</v>
      </c>
      <c r="H9404" s="1" t="s">
        <v>29</v>
      </c>
      <c r="I9404" s="1" t="str">
        <f ca="1">IFERROR(__xludf.DUMMYFUNCTION("GOOGLETRANSLATE(F9404, ""auto"", ""en"")
"),"I love it!")</f>
        <v>I love it!</v>
      </c>
    </row>
    <row r="9405" spans="1:9" x14ac:dyDescent="0.3">
      <c r="A9405" s="1" t="s">
        <v>211</v>
      </c>
      <c r="B9405" s="1" t="s">
        <v>384</v>
      </c>
      <c r="C9405" s="1" t="s">
        <v>257</v>
      </c>
      <c r="D9405" s="1" t="s">
        <v>13899</v>
      </c>
      <c r="E9405" s="1" t="s">
        <v>10249</v>
      </c>
      <c r="F9405" s="1" t="s">
        <v>13900</v>
      </c>
      <c r="G9405" s="1" t="s">
        <v>49</v>
      </c>
      <c r="H9405" s="1" t="s">
        <v>16</v>
      </c>
      <c r="I9405" s="1" t="str">
        <f ca="1">IFERROR(__xludf.DUMMYFUNCTION("GOOGLETRANSLATE(F9405, ""auto"", ""en"")
"),"I would not recommend this product. I bought these yesterday at MVideo-Nalchik. Firstly, they initially forgot to give me a battery (included in the kit), and I had to go get it a second time, and the store employees didn’t even apologize! Secondly, the s"&amp;"cales do not turn on normally, although they should turn on “by lightly pressing your foot,” as stated in the instructions. You can turn them on only by shaking or reinserting the battery!")</f>
        <v>I would not recommend this product. I bought these yesterday at MVideo-Nalchik. Firstly, they initially forgot to give me a battery (included in the kit), and I had to go get it a second time, and the store employees didn’t even apologize! Secondly, the scales do not turn on normally, although they should turn on “by lightly pressing your foot,” as stated in the instructions. You can turn them on only by shaking or reinserting the battery!</v>
      </c>
    </row>
    <row r="9406" spans="1:9" x14ac:dyDescent="0.3">
      <c r="A9406" s="1" t="s">
        <v>61</v>
      </c>
      <c r="B9406" s="1" t="s">
        <v>318</v>
      </c>
      <c r="C9406" s="1" t="s">
        <v>57</v>
      </c>
      <c r="D9406" s="1" t="s">
        <v>568</v>
      </c>
      <c r="E9406" s="1" t="s">
        <v>2495</v>
      </c>
      <c r="F9406" s="1" t="s">
        <v>13901</v>
      </c>
      <c r="G9406" s="1" t="s">
        <v>49</v>
      </c>
      <c r="H9406" s="1" t="s">
        <v>16</v>
      </c>
      <c r="I9406" s="1" t="str">
        <f ca="1">IFERROR(__xludf.DUMMYFUNCTION("GOOGLETRANSLATE(F9406, ""auto"", ""en"")
"),"Less than half a year later the glass cracked out of the blue!   It always looks dirty, covered in scale already 5 days after washing, you drink with it closed and can’t see it, but here everything is in plain sight, you drink and wash, drink and wash.")</f>
        <v>Less than half a year later the glass cracked out of the blue!   It always looks dirty, covered in scale already 5 days after washing, you drink with it closed and can’t see it, but here everything is in plain sight, you drink and wash, drink and wash.</v>
      </c>
    </row>
    <row r="9407" spans="1:9" x14ac:dyDescent="0.3">
      <c r="A9407" s="1" t="s">
        <v>557</v>
      </c>
      <c r="B9407" s="1" t="s">
        <v>558</v>
      </c>
      <c r="C9407" s="1" t="s">
        <v>122</v>
      </c>
      <c r="D9407" s="1" t="s">
        <v>13902</v>
      </c>
      <c r="E9407" s="1" t="s">
        <v>10414</v>
      </c>
      <c r="F9407" s="1" t="s">
        <v>13903</v>
      </c>
      <c r="G9407" s="1" t="s">
        <v>15</v>
      </c>
      <c r="H9407" s="1" t="s">
        <v>16</v>
      </c>
      <c r="I9407" s="1" t="str">
        <f ca="1">IFERROR(__xludf.DUMMYFUNCTION("GOOGLETRANSLATE(F9407, ""auto"", ""en"")
"),"There is no voice caller ID, no backlit keys. The letters on the keys are hard to read. I returned it.")</f>
        <v>There is no voice caller ID, no backlit keys. The letters on the keys are hard to read. I returned it.</v>
      </c>
    </row>
    <row r="9408" spans="1:9" x14ac:dyDescent="0.3">
      <c r="A9408" s="1" t="s">
        <v>9</v>
      </c>
      <c r="B9408" s="1" t="s">
        <v>137</v>
      </c>
      <c r="C9408" s="1" t="s">
        <v>151</v>
      </c>
      <c r="D9408" s="1" t="s">
        <v>545</v>
      </c>
      <c r="E9408" s="1" t="s">
        <v>4530</v>
      </c>
      <c r="F9408" s="1" t="s">
        <v>13904</v>
      </c>
      <c r="G9408" s="1" t="s">
        <v>49</v>
      </c>
      <c r="H9408" s="1" t="s">
        <v>16</v>
      </c>
      <c r="I9408" s="1" t="str">
        <f ca="1">IFERROR(__xludf.DUMMYFUNCTION("GOOGLETRANSLATE(F9408, ""auto"", ""en"")
"),"This hob was purchased in January. I do not recommend anyone to buy this product. Everything takes a very long time to boil and can turn off at any moment. For example, if you put a pan of water on it, it won’t boil at all without a lid. Every time I cook"&amp;" with it and every time I dream of getting rid of it. At first my husband and I decided that it was connected incorrectly, but there are no problems with that. I do not recommend it to anyone!!!")</f>
        <v>This hob was purchased in January. I do not recommend anyone to buy this product. Everything takes a very long time to boil and can turn off at any moment. For example, if you put a pan of water on it, it won’t boil at all without a lid. Every time I cook with it and every time I dream of getting rid of it. At first my husband and I decided that it was connected incorrectly, but there are no problems with that. I do not recommend it to anyone!!!</v>
      </c>
    </row>
    <row r="9409" spans="1:9" x14ac:dyDescent="0.3">
      <c r="A9409" s="1" t="s">
        <v>89</v>
      </c>
      <c r="B9409" s="1" t="s">
        <v>90</v>
      </c>
      <c r="C9409" s="1" t="s">
        <v>63</v>
      </c>
      <c r="D9409" s="1" t="s">
        <v>152</v>
      </c>
      <c r="E9409" s="1" t="s">
        <v>3416</v>
      </c>
      <c r="F9409" s="1" t="s">
        <v>13905</v>
      </c>
      <c r="G9409" s="1" t="s">
        <v>36</v>
      </c>
      <c r="H9409" s="1" t="s">
        <v>29</v>
      </c>
      <c r="I9409" s="1" t="str">
        <f ca="1">IFERROR(__xludf.DUMMYFUNCTION("GOOGLETRANSLATE(F9409, ""auto"", ""en"")
"),"I bought it for 1990 rubles, spent 1500 bonus rubles, and paid a total of 490 rubles in cash. The coffee grinder is good. I hesitated for a long time whether to buy it. After all, in the reviews they wrote that the plastic cover was cracking. But I took a"&amp;" chance and bought it. Indeed, the lid where it enters the body is very thin. But! I think those people who wrote about the bursting lid were those who ground walnuts, shells, or something similar in it, because when you grind coffee in it, the lid does n"&amp;"ot crack or burst. The coffee grinder operates quietly, especially if you do not press it to the table, but simply hold it in your hands. It gets hot because there is not a single ventilation hole, but if you follow the instructions and after three 25-sec"&amp;"ond grinds, let it rest for half an hour, then I think it will last a long time. It is strictly forbidden to grind sugar in it, as it can melt and seal the entire coffee grinder and the motor pulley, after which the motor will always work under load, this"&amp;" is even written in the instructions and there is a prohibitory sign on the lid. But things like oatmeal and dried herbs from the pharmacy can be ground into flour without any problems. And yes, you can’t even wipe it with a damp cloth, much less wash it;"&amp;" I clean it after each use with a cosmetic brush, like a watercolor one, only with stiffer bristles. It's a good coffee grinder, let's see how long it will last if used carefully in straight hands.")</f>
        <v>I bought it for 1990 rubles, spent 1500 bonus rubles, and paid a total of 490 rubles in cash. The coffee grinder is good. I hesitated for a long time whether to buy it. After all, in the reviews they wrote that the plastic cover was cracking. But I took a chance and bought it. Indeed, the lid where it enters the body is very thin. But! I think those people who wrote about the bursting lid were those who ground walnuts, shells, or something similar in it, because when you grind coffee in it, the lid does not crack or burst. The coffee grinder operates quietly, especially if you do not press it to the table, but simply hold it in your hands. It gets hot because there is not a single ventilation hole, but if you follow the instructions and after three 25-second grinds, let it rest for half an hour, then I think it will last a long time. It is strictly forbidden to grind sugar in it, as it can melt and seal the entire coffee grinder and the motor pulley, after which the motor will always work under load, this is even written in the instructions and there is a prohibitory sign on the lid. But things like oatmeal and dried herbs from the pharmacy can be ground into flour without any problems. And yes, you can’t even wipe it with a damp cloth, much less wash it; I clean it after each use with a cosmetic brush, like a watercolor one, only with stiffer bristles. It's a good coffee grinder, let's see how long it will last if used carefully in straight hands.</v>
      </c>
    </row>
    <row r="9410" spans="1:9" x14ac:dyDescent="0.3">
      <c r="A9410" s="1" t="s">
        <v>149</v>
      </c>
      <c r="B9410" s="1" t="s">
        <v>155</v>
      </c>
      <c r="C9410" s="1" t="s">
        <v>101</v>
      </c>
      <c r="D9410" s="1" t="s">
        <v>521</v>
      </c>
      <c r="E9410" s="1" t="s">
        <v>13391</v>
      </c>
      <c r="F9410" s="1" t="s">
        <v>13906</v>
      </c>
      <c r="G9410" s="1" t="s">
        <v>28</v>
      </c>
      <c r="H9410" s="1" t="s">
        <v>29</v>
      </c>
      <c r="I9410" s="1" t="str">
        <f ca="1">IFERROR(__xludf.DUMMYFUNCTION("GOOGLETRANSLATE(F9410, ""auto"", ""en"")
"),"I bought it in October 2011. It vacuums well until the filter gets clogged, and it gets clogged quickly. The filter is of course washable, but this is a troublesome task. You don’t need any technical education to parse and assemble it. I don’t have it, I "&amp;"figured it out quickly, although there were no instructions))) they probably forgot to put it in. Noisy.........that's not the right word! But for the money that I gave for him, I forgive him everything!!! This is the kind of equipment that lasts for 2-3 "&amp;"years, and then you just throw it away. During this time, it completely justifies itself, it is not advisable to do repairs, and in general it is not a pity to throw it away.")</f>
        <v>I bought it in October 2011. It vacuums well until the filter gets clogged, and it gets clogged quickly. The filter is of course washable, but this is a troublesome task. You don’t need any technical education to parse and assemble it. I don’t have it, I figured it out quickly, although there were no instructions))) they probably forgot to put it in. Noisy.........that's not the right word! But for the money that I gave for him, I forgive him everything!!! This is the kind of equipment that lasts for 2-3 years, and then you just throw it away. During this time, it completely justifies itself, it is not advisable to do repairs, and in general it is not a pity to throw it away.</v>
      </c>
    </row>
    <row r="9411" spans="1:9" x14ac:dyDescent="0.3">
      <c r="A9411" s="1" t="s">
        <v>211</v>
      </c>
      <c r="B9411" s="1" t="s">
        <v>899</v>
      </c>
      <c r="C9411" s="1" t="s">
        <v>213</v>
      </c>
      <c r="D9411" s="1" t="s">
        <v>64</v>
      </c>
      <c r="E9411" s="1" t="s">
        <v>13907</v>
      </c>
      <c r="F9411" s="1" t="s">
        <v>13908</v>
      </c>
      <c r="G9411" s="1" t="s">
        <v>36</v>
      </c>
      <c r="H9411" s="1" t="s">
        <v>29</v>
      </c>
      <c r="I9411" s="1" t="str">
        <f ca="1">IFERROR(__xludf.DUMMYFUNCTION("GOOGLETRANSLATE(F9411, ""auto"", ""en"")
"),"Now for me an electric brush is like a mixer or a hair dryer. It seems that everyone used to live without technology, but this is heaven and earth) The main thing for me was to stop being afraid of it and clean the gums normally, at first I only brushed t"&amp;"he ends of my teeth)) but the dentist explained the mistake, so there is no need to be afraid. It won’t do anything to the gums; on the contrary, you need to brush right along them, then they will be massaged at the same time. And this is very useful.")</f>
        <v>Now for me an electric brush is like a mixer or a hair dryer. It seems that everyone used to live without technology, but this is heaven and earth) The main thing for me was to stop being afraid of it and clean the gums normally, at first I only brushed the ends of my teeth)) but the dentist explained the mistake, so there is no need to be afraid. It won’t do anything to the gums; on the contrary, you need to brush right along them, then they will be massaged at the same time. And this is very useful.</v>
      </c>
    </row>
    <row r="9412" spans="1:9" x14ac:dyDescent="0.3">
      <c r="A9412" s="1" t="s">
        <v>211</v>
      </c>
      <c r="B9412" s="1" t="s">
        <v>856</v>
      </c>
      <c r="C9412" s="1" t="s">
        <v>57</v>
      </c>
      <c r="D9412" s="1" t="s">
        <v>3596</v>
      </c>
      <c r="E9412" s="1" t="s">
        <v>13909</v>
      </c>
      <c r="F9412" s="1" t="s">
        <v>13910</v>
      </c>
      <c r="G9412" s="1" t="s">
        <v>49</v>
      </c>
      <c r="H9412" s="1" t="s">
        <v>16</v>
      </c>
      <c r="I9412" s="1" t="str">
        <f ca="1">IFERROR(__xludf.DUMMYFUNCTION("GOOGLETRANSLATE(F9412, ""auto"", ""en"")
"),"The device is low-power. More of a toy for children than a manicure set. Not suitable for hardware manicure at all.")</f>
        <v>The device is low-power. More of a toy for children than a manicure set. Not suitable for hardware manicure at all.</v>
      </c>
    </row>
    <row r="9413" spans="1:9" x14ac:dyDescent="0.3">
      <c r="A9413" s="1" t="s">
        <v>120</v>
      </c>
      <c r="B9413" s="1" t="s">
        <v>196</v>
      </c>
      <c r="C9413" s="1" t="s">
        <v>80</v>
      </c>
      <c r="D9413" s="1" t="s">
        <v>11496</v>
      </c>
      <c r="E9413" s="1" t="s">
        <v>2265</v>
      </c>
      <c r="F9413" s="1" t="s">
        <v>13911</v>
      </c>
      <c r="G9413" s="1" t="s">
        <v>36</v>
      </c>
      <c r="H9413" s="1" t="s">
        <v>29</v>
      </c>
      <c r="I9413" s="1" t="str">
        <f ca="1">IFERROR(__xludf.DUMMYFUNCTION("GOOGLETRANSLATE(F9413, ""auto"", ""en"")
"),"The downside is slow channel switching. The rest is nothing but positives. The ability to watch video from USB (I like to carry movies on a flash drive, it’s very convenient), excellent color rendition, good sound, a convenient menu with wide customizatio"&amp;"n options, a cool droplet indicator and, most importantly, a very attractive price tag compared to analogues.")</f>
        <v>The downside is slow channel switching. The rest is nothing but positives. The ability to watch video from USB (I like to carry movies on a flash drive, it’s very convenient), excellent color rendition, good sound, a convenient menu with wide customization options, a cool droplet indicator and, most importantly, a very attractive price tag compared to analogues.</v>
      </c>
    </row>
    <row r="9414" spans="1:9" x14ac:dyDescent="0.3">
      <c r="A9414" s="1" t="s">
        <v>9</v>
      </c>
      <c r="B9414" s="1" t="s">
        <v>10</v>
      </c>
      <c r="C9414" s="1" t="s">
        <v>407</v>
      </c>
      <c r="D9414" s="1" t="s">
        <v>13912</v>
      </c>
      <c r="E9414" s="1" t="s">
        <v>8529</v>
      </c>
      <c r="F9414" s="1" t="s">
        <v>13913</v>
      </c>
      <c r="G9414" s="1" t="s">
        <v>36</v>
      </c>
      <c r="H9414" s="1" t="s">
        <v>29</v>
      </c>
      <c r="I9414" s="1" t="str">
        <f ca="1">IFERROR(__xludf.DUMMYFUNCTION("GOOGLETRANSLATE(F9414, ""auto"", ""en"")
"),"Excellent hood - stylish design, very low noise level, excellent quality, convenient touch controls, quite easy to clean and most importantly, very good suction.")</f>
        <v>Excellent hood - stylish design, very low noise level, excellent quality, convenient touch controls, quite easy to clean and most importantly, very good suction.</v>
      </c>
    </row>
    <row r="9415" spans="1:9" x14ac:dyDescent="0.3">
      <c r="A9415" s="1" t="s">
        <v>37</v>
      </c>
      <c r="B9415" s="1" t="s">
        <v>38</v>
      </c>
      <c r="C9415" s="1" t="s">
        <v>151</v>
      </c>
      <c r="D9415" s="1" t="s">
        <v>335</v>
      </c>
      <c r="E9415" s="1" t="s">
        <v>594</v>
      </c>
      <c r="F9415" s="1" t="s">
        <v>13914</v>
      </c>
      <c r="G9415" s="1" t="s">
        <v>36</v>
      </c>
      <c r="H9415" s="1" t="s">
        <v>29</v>
      </c>
      <c r="I9415" s="1" t="str">
        <f ca="1">IFERROR(__xludf.DUMMYFUNCTION("GOOGLETRANSLATE(F9415, ""auto"", ""en"")
"),"If you install ICQ and enable history saving, will ICQ be saved to the phone's memory or will it be on the memory card? I really like the phone... but I can’t choose between 5560 and 5620. help me choose please)))")</f>
        <v>If you install ICQ and enable history saving, will ICQ be saved to the phone's memory or will it be on the memory card? I really like the phone... but I can’t choose between 5560 and 5620. help me choose please)))</v>
      </c>
    </row>
    <row r="9416" spans="1:9" x14ac:dyDescent="0.3">
      <c r="A9416" s="1" t="s">
        <v>1119</v>
      </c>
      <c r="B9416" s="1" t="s">
        <v>1120</v>
      </c>
      <c r="C9416" s="1" t="s">
        <v>122</v>
      </c>
      <c r="D9416" s="1" t="s">
        <v>64</v>
      </c>
      <c r="E9416" s="1" t="s">
        <v>1742</v>
      </c>
      <c r="F9416" s="1" t="s">
        <v>13915</v>
      </c>
      <c r="G9416" s="1" t="s">
        <v>15</v>
      </c>
      <c r="H9416" s="1" t="s">
        <v>16</v>
      </c>
      <c r="I9416" s="1" t="str">
        <f ca="1">IFERROR(__xludf.DUMMYFUNCTION("GOOGLETRANSLATE(F9416, ""auto"", ""en"")
"),"+: when zooming, the picture is very clear and the range is amazing... -: video quality - the blurred image was disappointing...")</f>
        <v>+: when zooming, the picture is very clear and the range is amazing... -: video quality - the blurred image was disappointing...</v>
      </c>
    </row>
    <row r="9417" spans="1:9" x14ac:dyDescent="0.3">
      <c r="A9417" s="1" t="s">
        <v>120</v>
      </c>
      <c r="B9417" s="1" t="s">
        <v>126</v>
      </c>
      <c r="C9417" s="1" t="s">
        <v>151</v>
      </c>
      <c r="D9417" s="1" t="s">
        <v>3108</v>
      </c>
      <c r="E9417" s="1" t="s">
        <v>2529</v>
      </c>
      <c r="F9417" s="1" t="s">
        <v>13916</v>
      </c>
      <c r="G9417" s="1" t="s">
        <v>36</v>
      </c>
      <c r="H9417" s="1" t="s">
        <v>29</v>
      </c>
      <c r="I9417" s="1" t="str">
        <f ca="1">IFERROR(__xludf.DUMMYFUNCTION("GOOGLETRANSLATE(F9417, ""auto"", ""en"")
"),"TV is great! I bought it two weeks ago. I download the movie to a flash drive (USB) and go ahead to watch the movie.")</f>
        <v>TV is great! I bought it two weeks ago. I download the movie to a flash drive (USB) and go ahead to watch the movie.</v>
      </c>
    </row>
    <row r="9418" spans="1:9" x14ac:dyDescent="0.3">
      <c r="A9418" s="1" t="s">
        <v>37</v>
      </c>
      <c r="B9418" s="1" t="s">
        <v>536</v>
      </c>
      <c r="C9418" s="1" t="s">
        <v>163</v>
      </c>
      <c r="D9418" s="1" t="s">
        <v>568</v>
      </c>
      <c r="E9418" s="1" t="s">
        <v>9663</v>
      </c>
      <c r="F9418" s="1" t="s">
        <v>13917</v>
      </c>
      <c r="G9418" s="1" t="s">
        <v>28</v>
      </c>
      <c r="H9418" s="1" t="s">
        <v>29</v>
      </c>
      <c r="I9418" s="1" t="str">
        <f ca="1">IFERROR(__xludf.DUMMYFUNCTION("GOOGLETRANSLATE(F9418, ""auto"", ""en"")
"),"The phone is not bad at all. It's been in use for almost a year now. When purchasing, I advise you to pay attention to the back cover; there may be a small gap on one side, which you may not like, although technically this gap will not interfere. Dirt doe"&amp;"s not get through it. The back cover itself is made of aluminum-magnesium alloy, which increases its service life. The surface is rough, protects from scratches. In principle, it tolerates falls from a height of 2 meters normally - on carpet and linoleum "&amp;"- it will not even freeze. The front panel doesn't really come off unless you pry it with a screwdriver. The lower part can be lifted with your finger, but to tear it off you will need to apply some force. Dust does not cause trouble, because... does not "&amp;"fit under the buttons. The key controls are convenient, but if you play often, you can often hit the email function key with your finger. The speaker is good. It sounds loud. There is only one minus. If you set the alarm clock for the morning and put the "&amp;"phone on the bed with the buttons facing up, then you can sleep for the set time, because... The speaker is muffled very much in this way. The keys constantly flicker once every 10 seconds, you can turn it off. The connection quality is normal. The only u"&amp;"npleasant thing I noticed was that it happens that the phone may freeze (~ 3-4 times during the year of operation), but as described above - most likely due to crude firmware. At maximum load on the phone with all factory applications enabled and a couple"&amp;" of additional installed ones, the phone behaved calmly, there were no freezes, and it continued to work quickly. Skype, ICQ and other applications were (and are) used successfully and without failures. The GPS navigator can sometimes be dull due to the I"&amp;"nternet and slow down the determination of a given location, but in general it works with a bang: real-time route tracking and traffic does not fail. Reading files and editing documents is also acceptable; sometimes fonts may glitch when text files with R"&amp;"ussian-language texts are transferred from a computer to a phone. The camera is not bad, BUT it is very, very lacking in autofocus, which is why photographs are spoiled (for example, photographing text from books, notebooks and other alphanumeric data). R"&amp;"egarding shooting with the flash on: THERE IS such a possibility and it works. I checked it myself. It helps a lot on the street at night, the minus is that directly during video recording you can only turn on the backlight; the flash will not work as a f"&amp;"lashlight without shooting. The phone has many functions, as mentioned above, but this is a business model, and this is where it should be.  I’m also pleased with such a detail as the phone’s sensor, that is, when rotated 90 degrees, the screen stretches "&amp;"horizontally, but it only works from a vertical position and when the phone is turned to the left, but it’s still not a touchscreen phone, but a push-button candy bar, don’t demand extraordinary miracles from it :). This very twist will be useful when wat"&amp;"ching movies on your phone. nothing, but nice. Wi-Fi is stable. 3G too. Receives calls, everything works reliably. The battery is pleasing, even when there is not a single charge remaining; in the low power consumption mode, the phone continues to live fo"&amp;"r another couple of hours, at a minimum, and you can always make a couple of important calls. Conclusion: quite a good phone. Maybe it just lacks a qwerty keyboard, like in its improved E75 model, but this is a different phone.... :)")</f>
        <v>The phone is not bad at all. It's been in use for almost a year now. When purchasing, I advise you to pay attention to the back cover; there may be a small gap on one side, which you may not like, although technically this gap will not interfere. Dirt does not get through it. The back cover itself is made of aluminum-magnesium alloy, which increases its service life. The surface is rough, protects from scratches. In principle, it tolerates falls from a height of 2 meters normally - on carpet and linoleum - it will not even freeze. The front panel doesn't really come off unless you pry it with a screwdriver. The lower part can be lifted with your finger, but to tear it off you will need to apply some force. Dust does not cause trouble, because... does not fit under the buttons. The key controls are convenient, but if you play often, you can often hit the email function key with your finger. The speaker is good. It sounds loud. There is only one minus. If you set the alarm clock for the morning and put the phone on the bed with the buttons facing up, then you can sleep for the set time, because... The speaker is muffled very much in this way. The keys constantly flicker once every 10 seconds, you can turn it off. The connection quality is normal. The only unpleasant thing I noticed was that it happens that the phone may freeze (~ 3-4 times during the year of operation), but as described above - most likely due to crude firmware. At maximum load on the phone with all factory applications enabled and a couple of additional installed ones, the phone behaved calmly, there were no freezes, and it continued to work quickly. Skype, ICQ and other applications were (and are) used successfully and without failures. The GPS navigator can sometimes be dull due to the Internet and slow down the determination of a given location, but in general it works with a bang: real-time route tracking and traffic does not fail. Reading files and editing documents is also acceptable; sometimes fonts may glitch when text files with Russian-language texts are transferred from a computer to a phone. The camera is not bad, BUT it is very, very lacking in autofocus, which is why photographs are spoiled (for example, photographing text from books, notebooks and other alphanumeric data). Regarding shooting with the flash on: THERE IS such a possibility and it works. I checked it myself. It helps a lot on the street at night, the minus is that directly during video recording you can only turn on the backlight; the flash will not work as a flashlight without shooting. The phone has many functions, as mentioned above, but this is a business model, and this is where it should be.  I’m also pleased with such a detail as the phone’s sensor, that is, when rotated 90 degrees, the screen stretches horizontally, but it only works from a vertical position and when the phone is turned to the left, but it’s still not a touchscreen phone, but a push-button candy bar, don’t demand extraordinary miracles from it :). This very twist will be useful when watching movies on your phone. nothing, but nice. Wi-Fi is stable. 3G too. Receives calls, everything works reliably. The battery is pleasing, even when there is not a single charge remaining; in the low power consumption mode, the phone continues to live for another couple of hours, at a minimum, and you can always make a couple of important calls. Conclusion: quite a good phone. Maybe it just lacks a qwerty keyboard, like in its improved E75 model, but this is a different phone.... :)</v>
      </c>
    </row>
    <row r="9419" spans="1:9" x14ac:dyDescent="0.3">
      <c r="A9419" s="1" t="s">
        <v>61</v>
      </c>
      <c r="B9419" s="1" t="s">
        <v>180</v>
      </c>
      <c r="C9419" s="1" t="s">
        <v>85</v>
      </c>
      <c r="D9419" s="1" t="s">
        <v>335</v>
      </c>
      <c r="E9419" s="1" t="s">
        <v>1016</v>
      </c>
      <c r="F9419" s="1" t="s">
        <v>13918</v>
      </c>
      <c r="G9419" s="1" t="s">
        <v>36</v>
      </c>
      <c r="H9419" s="1" t="s">
        <v>29</v>
      </c>
      <c r="I9419" s="1" t="str">
        <f ca="1">IFERROR(__xludf.DUMMYFUNCTION("GOOGLETRANSLATE(F9419, ""auto"", ""en"")
"),"appearance, functionality")</f>
        <v>appearance, functionality</v>
      </c>
    </row>
    <row r="9420" spans="1:9" x14ac:dyDescent="0.3">
      <c r="A9420" s="1" t="s">
        <v>149</v>
      </c>
      <c r="B9420" s="1" t="s">
        <v>155</v>
      </c>
      <c r="C9420" s="1" t="s">
        <v>101</v>
      </c>
      <c r="D9420" s="1" t="s">
        <v>280</v>
      </c>
      <c r="E9420" s="1" t="s">
        <v>1497</v>
      </c>
      <c r="F9420" s="1" t="s">
        <v>13919</v>
      </c>
      <c r="G9420" s="1" t="s">
        <v>28</v>
      </c>
      <c r="H9420" s="1" t="s">
        <v>29</v>
      </c>
      <c r="I9420" s="1" t="str">
        <f ca="1">IFERROR(__xludf.DUMMYFUNCTION("GOOGLETRANSLATE(F9420, ""auto"", ""en"")
"),"Vacuuming carpets is not convenient - it wouldn't hurt to buy a special attachment.  Otherwise everything is fine so far.")</f>
        <v>Vacuuming carpets is not convenient - it wouldn't hurt to buy a special attachment.  Otherwise everything is fine so far.</v>
      </c>
    </row>
    <row r="9421" spans="1:9" x14ac:dyDescent="0.3">
      <c r="A9421" s="1" t="s">
        <v>120</v>
      </c>
      <c r="B9421" s="1" t="s">
        <v>121</v>
      </c>
      <c r="C9421" s="1" t="s">
        <v>122</v>
      </c>
      <c r="D9421" s="1" t="s">
        <v>280</v>
      </c>
      <c r="E9421" s="1" t="s">
        <v>4146</v>
      </c>
      <c r="F9421" s="1" t="s">
        <v>13920</v>
      </c>
      <c r="G9421" s="1" t="s">
        <v>36</v>
      </c>
      <c r="H9421" s="1" t="s">
        <v>29</v>
      </c>
      <c r="I9421" s="1" t="str">
        <f ca="1">IFERROR(__xludf.DUMMYFUNCTION("GOOGLETRANSLATE(F9421, ""auto"", ""en"")
"),"The images are clear and sharp, there are no blurs, it works from a common house antenna, which is found in all multi-storey buildings.   I looked at Photos and listened to music from both SD and USB, everything works, the main thing is that the file syst"&amp;"em is both on a USB flash drive and on an SD FAT 32, I tried a flash drive with a FAT file system, it just doesn’t work, after which the flash drive was formatted to FAT 32 and everything worked.  So the TV is excellent, the colors and image quality are s"&amp;"imply pleasing. In the settings, the menu is easy and clear, in principle, you can even configure it without looking at the instructions, everything is clear, but still, initially, of course, it is better to configure it using the instructions.  As for th"&amp;"e on timer and clock, I couldn’t find it either. Although there may be a turn-on timer, when connecting additional devices, I haven’t connected it myself yet. In general, we liked this TV, I advise you will not regret it.")</f>
        <v>The images are clear and sharp, there are no blurs, it works from a common house antenna, which is found in all multi-storey buildings.   I looked at Photos and listened to music from both SD and USB, everything works, the main thing is that the file system is both on a USB flash drive and on an SD FAT 32, I tried a flash drive with a FAT file system, it just doesn’t work, after which the flash drive was formatted to FAT 32 and everything worked.  So the TV is excellent, the colors and image quality are simply pleasing. In the settings, the menu is easy and clear, in principle, you can even configure it without looking at the instructions, everything is clear, but still, initially, of course, it is better to configure it using the instructions.  As for the on timer and clock, I couldn’t find it either. Although there may be a turn-on timer, when connecting additional devices, I haven’t connected it myself yet. In general, we liked this TV, I advise you will not regret it.</v>
      </c>
    </row>
    <row r="9422" spans="1:9" x14ac:dyDescent="0.3">
      <c r="A9422" s="1" t="s">
        <v>61</v>
      </c>
      <c r="B9422" s="1" t="s">
        <v>318</v>
      </c>
      <c r="C9422" s="1" t="s">
        <v>57</v>
      </c>
      <c r="D9422" s="1" t="s">
        <v>308</v>
      </c>
      <c r="E9422" s="1" t="s">
        <v>4780</v>
      </c>
      <c r="F9422" s="1" t="s">
        <v>13921</v>
      </c>
      <c r="G9422" s="1" t="s">
        <v>36</v>
      </c>
      <c r="H9422" s="1" t="s">
        <v>29</v>
      </c>
      <c r="I9422" s="1" t="str">
        <f ca="1">IFERROR(__xludf.DUMMYFUNCTION("GOOGLETRANSLATE(F9422, ""auto"", ""en"")
"),"We have been using this model of kettle for five years, no complaints, a very convenient thing on the road or on a business trip. Just a wonderful gift for people in uniform! That’s why I bought it for my beloved son-in-law.")</f>
        <v>We have been using this model of kettle for five years, no complaints, a very convenient thing on the road or on a business trip. Just a wonderful gift for people in uniform! That’s why I bought it for my beloved son-in-law.</v>
      </c>
    </row>
    <row r="9423" spans="1:9" x14ac:dyDescent="0.3">
      <c r="A9423" s="1" t="s">
        <v>30</v>
      </c>
      <c r="B9423" s="1" t="s">
        <v>50</v>
      </c>
      <c r="C9423" s="1" t="s">
        <v>51</v>
      </c>
      <c r="D9423" s="1" t="s">
        <v>139</v>
      </c>
      <c r="E9423" s="1" t="s">
        <v>1886</v>
      </c>
      <c r="F9423" s="1" t="s">
        <v>13922</v>
      </c>
      <c r="G9423" s="1" t="s">
        <v>36</v>
      </c>
      <c r="H9423" s="1" t="s">
        <v>29</v>
      </c>
      <c r="I9423" s="1" t="str">
        <f ca="1">IFERROR(__xludf.DUMMYFUNCTION("GOOGLETRANSLATE(F9423, ""auto"", ""en"")
"),"It's been 3 weeks since I purchased this laptop. Not the slightest jamb was found! Everything is great! Bluetooth, touch buttons and touchpad work like a clock. Probably those who wrote below were just unlucky... Only FIFA10 is installed among the games. "&amp;"It works without problems, but if you plug it into a power outlet while playing, it’s even better. Happy with Windows 7!!! And the design is just lovely. I really like everything!)))")</f>
        <v>It's been 3 weeks since I purchased this laptop. Not the slightest jamb was found! Everything is great! Bluetooth, touch buttons and touchpad work like a clock. Probably those who wrote below were just unlucky... Only FIFA10 is installed among the games. It works without problems, but if you plug it into a power outlet while playing, it’s even better. Happy with Windows 7!!! And the design is just lovely. I really like everything!)))</v>
      </c>
    </row>
    <row r="9424" spans="1:9" x14ac:dyDescent="0.3">
      <c r="A9424" s="1" t="s">
        <v>61</v>
      </c>
      <c r="B9424" s="1" t="s">
        <v>977</v>
      </c>
      <c r="C9424" s="1" t="s">
        <v>69</v>
      </c>
      <c r="D9424" s="1" t="s">
        <v>152</v>
      </c>
      <c r="E9424" s="1" t="s">
        <v>3906</v>
      </c>
      <c r="F9424" s="1" t="s">
        <v>13923</v>
      </c>
      <c r="G9424" s="1" t="s">
        <v>36</v>
      </c>
      <c r="H9424" s="1" t="s">
        <v>29</v>
      </c>
      <c r="I9424" s="1" t="str">
        <f ca="1">IFERROR(__xludf.DUMMYFUNCTION("GOOGLETRANSLATE(F9424, ""auto"", ""en"")
"),"We use this blender in a professional kitchen (restaurant). With the most severe use it has lasted for a year and a half. This, by the way, is a record. Others ""died"" after 2-8 months.  If used carefully at home, it will last three times longer, I’m sur"&amp;"e.   Very comfortable, good equipment.   The power is enough for the eyes - even turns ice cubes into porridge in seconds.")</f>
        <v>We use this blender in a professional kitchen (restaurant). With the most severe use it has lasted for a year and a half. This, by the way, is a record. Others "died" after 2-8 months.  If used carefully at home, it will last three times longer, I’m sure.   Very comfortable, good equipment.   The power is enough for the eyes - even turns ice cubes into porridge in seconds.</v>
      </c>
    </row>
    <row r="9425" spans="1:9" x14ac:dyDescent="0.3">
      <c r="A9425" s="1" t="s">
        <v>120</v>
      </c>
      <c r="B9425" s="1" t="s">
        <v>126</v>
      </c>
      <c r="C9425" s="1" t="s">
        <v>151</v>
      </c>
      <c r="D9425" s="1" t="s">
        <v>327</v>
      </c>
      <c r="E9425" s="1" t="s">
        <v>5963</v>
      </c>
      <c r="F9425" s="1" t="s">
        <v>13924</v>
      </c>
      <c r="G9425" s="1" t="s">
        <v>36</v>
      </c>
      <c r="H9425" s="1" t="s">
        <v>29</v>
      </c>
      <c r="I9425" s="1" t="str">
        <f ca="1">IFERROR(__xludf.DUMMYFUNCTION("GOOGLETRANSLATE(F9425, ""auto"", ""en"")
"),"I bought it in November 2010, I’m very pleased with the purchase. I really like the picture quality and it’s quite functional. It’s a thing that’s worth the money. I bought an external 500 GB hard drive instead of a flash drive, it reads everything perfec"&amp;"tly and without brakes.!!! I bought the same one for my parents in early January, they are also very happy! my rating is +10 out of 10.")</f>
        <v>I bought it in November 2010, I’m very pleased with the purchase. I really like the picture quality and it’s quite functional. It’s a thing that’s worth the money. I bought an external 500 GB hard drive instead of a flash drive, it reads everything perfectly and without brakes.!!! I bought the same one for my parents in early January, they are also very happy! my rating is +10 out of 10.</v>
      </c>
    </row>
    <row r="9426" spans="1:9" x14ac:dyDescent="0.3">
      <c r="A9426" s="1" t="s">
        <v>169</v>
      </c>
      <c r="B9426" s="1" t="s">
        <v>170</v>
      </c>
      <c r="C9426" s="1" t="s">
        <v>122</v>
      </c>
      <c r="D9426" s="1" t="s">
        <v>232</v>
      </c>
      <c r="E9426" s="1" t="s">
        <v>1982</v>
      </c>
      <c r="F9426" s="1" t="s">
        <v>13925</v>
      </c>
      <c r="G9426" s="1" t="s">
        <v>28</v>
      </c>
      <c r="H9426" s="1" t="s">
        <v>29</v>
      </c>
      <c r="I9426" s="1" t="str">
        <f ca="1">IFERROR(__xludf.DUMMYFUNCTION("GOOGLETRANSLATE(F9426, ""auto"", ""en"")
"),"I will say this, whoever has a quiet phone or player, take it, they are very sensitive, they will seem louder, they are worth the money.")</f>
        <v>I will say this, whoever has a quiet phone or player, take it, they are very sensitive, they will seem louder, they are worth the money.</v>
      </c>
    </row>
    <row r="9427" spans="1:9" x14ac:dyDescent="0.3">
      <c r="A9427" s="1" t="s">
        <v>30</v>
      </c>
      <c r="B9427" s="1" t="s">
        <v>50</v>
      </c>
      <c r="C9427" s="1" t="s">
        <v>51</v>
      </c>
      <c r="D9427" s="1" t="s">
        <v>152</v>
      </c>
      <c r="E9427" s="1" t="s">
        <v>1649</v>
      </c>
      <c r="F9427" s="1" t="s">
        <v>13926</v>
      </c>
      <c r="G9427" s="1" t="s">
        <v>36</v>
      </c>
      <c r="H9427" s="1" t="s">
        <v>29</v>
      </c>
      <c r="I9427" s="1" t="str">
        <f ca="1">IFERROR(__xludf.DUMMYFUNCTION("GOOGLETRANSLATE(F9427, ""auto"", ""en"")
"),"I agree with Raf. Apparently I was also in a hurry with the dv6-2019er. Who is hesitating whether or not to buy this laptop - take it without hesitation.")</f>
        <v>I agree with Raf. Apparently I was also in a hurry with the dv6-2019er. Who is hesitating whether or not to buy this laptop - take it without hesitation.</v>
      </c>
    </row>
    <row r="9428" spans="1:9" x14ac:dyDescent="0.3">
      <c r="A9428" s="1" t="s">
        <v>37</v>
      </c>
      <c r="B9428" s="1" t="s">
        <v>1829</v>
      </c>
      <c r="C9428" s="1" t="s">
        <v>151</v>
      </c>
      <c r="D9428" s="1" t="s">
        <v>172</v>
      </c>
      <c r="E9428" s="1" t="s">
        <v>9852</v>
      </c>
      <c r="F9428" s="1" t="s">
        <v>13927</v>
      </c>
      <c r="G9428" s="1" t="s">
        <v>15</v>
      </c>
      <c r="H9428" s="1" t="s">
        <v>16</v>
      </c>
      <c r="I9428" s="1" t="str">
        <f ca="1">IFERROR(__xludf.DUMMYFUNCTION("GOOGLETRANSLATE(F9428, ""auto"", ""en"")
"),"The battery runs out in 6 hours if it is in your pocket. The case is constantly hot. I don't recommend it")</f>
        <v>The battery runs out in 6 hours if it is in your pocket. The case is constantly hot. I don't recommend it</v>
      </c>
    </row>
    <row r="9429" spans="1:9" x14ac:dyDescent="0.3">
      <c r="A9429" s="1" t="s">
        <v>211</v>
      </c>
      <c r="B9429" s="1" t="s">
        <v>265</v>
      </c>
      <c r="C9429" s="1" t="s">
        <v>122</v>
      </c>
      <c r="D9429" s="1" t="s">
        <v>232</v>
      </c>
      <c r="E9429" s="1" t="s">
        <v>4512</v>
      </c>
      <c r="F9429" s="1" t="s">
        <v>13928</v>
      </c>
      <c r="G9429" s="1" t="s">
        <v>94</v>
      </c>
      <c r="H9429" s="1" t="s">
        <v>29</v>
      </c>
      <c r="I9429" s="1" t="str">
        <f ca="1">IFERROR(__xludf.DUMMYFUNCTION("GOOGLETRANSLATE(F9429, ""auto"", ""en"")
"),"convenient, compact, works both from mains and battery!!! In one word: Like)")</f>
        <v>convenient, compact, works both from mains and battery!!! In one word: Like)</v>
      </c>
    </row>
    <row r="9430" spans="1:9" x14ac:dyDescent="0.3">
      <c r="A9430" s="1" t="s">
        <v>30</v>
      </c>
      <c r="B9430" s="1" t="s">
        <v>50</v>
      </c>
      <c r="C9430" s="1" t="s">
        <v>32</v>
      </c>
      <c r="D9430" s="1" t="s">
        <v>13929</v>
      </c>
      <c r="E9430" s="1" t="s">
        <v>2684</v>
      </c>
      <c r="F9430" s="1" t="s">
        <v>13930</v>
      </c>
      <c r="G9430" s="1" t="s">
        <v>36</v>
      </c>
      <c r="H9430" s="1" t="s">
        <v>29</v>
      </c>
      <c r="I9430" s="1" t="str">
        <f ca="1">IFERROR(__xludf.DUMMYFUNCTION("GOOGLETRANSLATE(F9430, ""auto"", ""en"")
"),"Great car!  Among the shortcomings, perhaps - Windows 7 Lack of Wi-Fi 802.11n Lack of a camera But everything is more than outweighed by the advantages!    Worth taking without hesitation!!!     Only there were problems with it... I came across a model wi"&amp;"th unstable memory... I didn’t swear, I didn’t take it to the service center. Changed it, now the flight is excellent!)")</f>
        <v>Great car!  Among the shortcomings, perhaps - Windows 7 Lack of Wi-Fi 802.11n Lack of a camera But everything is more than outweighed by the advantages!    Worth taking without hesitation!!!     Only there were problems with it... I came across a model with unstable memory... I didn’t swear, I didn’t take it to the service center. Changed it, now the flight is excellent!)</v>
      </c>
    </row>
    <row r="9431" spans="1:9" x14ac:dyDescent="0.3">
      <c r="A9431" s="1" t="s">
        <v>105</v>
      </c>
      <c r="B9431" s="1" t="s">
        <v>106</v>
      </c>
      <c r="C9431" s="1" t="s">
        <v>151</v>
      </c>
      <c r="D9431" s="1" t="s">
        <v>2873</v>
      </c>
      <c r="E9431" s="1" t="s">
        <v>1527</v>
      </c>
      <c r="F9431" s="1" t="s">
        <v>13931</v>
      </c>
      <c r="G9431" s="1" t="s">
        <v>36</v>
      </c>
      <c r="H9431" s="1" t="s">
        <v>29</v>
      </c>
      <c r="I9431" s="1" t="str">
        <f ca="1">IFERROR(__xludf.DUMMYFUNCTION("GOOGLETRANSLATE(F9431, ""auto"", ""en"")
"),"For Samsung, the player is excellent and fully justifies its cost, but there are also minor drawbacks associated with the firmware... There is no direct function for exiting the mode of listening to radio and music, you have to perform unnecessary actions"&amp;" necessary to exit (The sound is good, but for my HD215 it seems not too loud even at maximum... I would like it to be louder for a day (... The big plus is support for viewing avi even without preliminary conversion and listening to FLAC, but for this yo"&amp;"u need to buy good ears))) + on alarm clock, you can set any melody of your choice and change the design themes to your taste)... Overall, I’m happy with the player... For the money you won’t find a better one!")</f>
        <v>For Samsung, the player is excellent and fully justifies its cost, but there are also minor drawbacks associated with the firmware... There is no direct function for exiting the mode of listening to radio and music, you have to perform unnecessary actions necessary to exit (The sound is good, but for my HD215 it seems not too loud even at maximum... I would like it to be louder for a day (... The big plus is support for viewing avi even without preliminary conversion and listening to FLAC, but for this you need to buy good ears))) + on alarm clock, you can set any melody of your choice and change the design themes to your taste)... Overall, I’m happy with the player... For the money you won’t find a better one!</v>
      </c>
    </row>
    <row r="9432" spans="1:9" x14ac:dyDescent="0.3">
      <c r="A9432" s="1" t="s">
        <v>17</v>
      </c>
      <c r="B9432" s="1" t="s">
        <v>18</v>
      </c>
      <c r="C9432" s="1" t="s">
        <v>243</v>
      </c>
      <c r="D9432" s="1" t="s">
        <v>13687</v>
      </c>
      <c r="E9432" s="1" t="s">
        <v>4157</v>
      </c>
      <c r="F9432" s="1" t="s">
        <v>13932</v>
      </c>
      <c r="G9432" s="1" t="s">
        <v>36</v>
      </c>
      <c r="H9432" s="1" t="s">
        <v>29</v>
      </c>
      <c r="I9432" s="1" t="str">
        <f ca="1">IFERROR(__xludf.DUMMYFUNCTION("GOOGLETRANSLATE(F9432, ""auto"", ""en"")
"),"Turned on empty maximum wash with powder (rinse). I got a knock-knock on the spin cycle (what do you want after being transported to -30?) I poured 200-300 grams of boiling water from the kettle into the drain hose... turned it on to spin, and lo and beho"&amp;"ld... water from the drain hose..)) well, then I think I’ll experiment to the fullest, I stuffed 3 woolen sweaters. Pouring water is louder than washing... spinning with a whistle... but where have you seen a machine spinning without a whistle?? The gap t"&amp;"o the kitchen set was 10 mm and still is.. in general I’m happy.. there are no shortcomings yet.. I was looking for a super-narrow one..")</f>
        <v>Turned on empty maximum wash with powder (rinse). I got a knock-knock on the spin cycle (what do you want after being transported to -30?) I poured 200-300 grams of boiling water from the kettle into the drain hose... turned it on to spin, and lo and behold... water from the drain hose..)) well, then I think I’ll experiment to the fullest, I stuffed 3 woolen sweaters. Pouring water is louder than washing... spinning with a whistle... but where have you seen a machine spinning without a whistle?? The gap to the kitchen set was 10 mm and still is.. in general I’m happy.. there are no shortcomings yet.. I was looking for a super-narrow one..</v>
      </c>
    </row>
    <row r="9433" spans="1:9" x14ac:dyDescent="0.3">
      <c r="A9433" s="1" t="s">
        <v>111</v>
      </c>
      <c r="B9433" s="1" t="s">
        <v>298</v>
      </c>
      <c r="C9433" s="1" t="s">
        <v>299</v>
      </c>
      <c r="D9433" s="1" t="s">
        <v>13933</v>
      </c>
      <c r="E9433" s="1" t="s">
        <v>3694</v>
      </c>
      <c r="F9433" s="1" t="s">
        <v>13934</v>
      </c>
      <c r="G9433" s="1" t="s">
        <v>36</v>
      </c>
      <c r="H9433" s="1" t="s">
        <v>29</v>
      </c>
      <c r="I9433" s="1" t="str">
        <f ca="1">IFERROR(__xludf.DUMMYFUNCTION("GOOGLETRANSLATE(F9433, ""auto"", ""en"")
"),"Simple, good dryer, I'm happy. The only thing is that if you need to dry boots with soft tops, make sure that the tops don’t fall to one side, you need an outlet for warm air.")</f>
        <v>Simple, good dryer, I'm happy. The only thing is that if you need to dry boots with soft tops, make sure that the tops don’t fall to one side, you need an outlet for warm air.</v>
      </c>
    </row>
    <row r="9434" spans="1:9" x14ac:dyDescent="0.3">
      <c r="A9434" s="1" t="s">
        <v>61</v>
      </c>
      <c r="B9434" s="1" t="s">
        <v>977</v>
      </c>
      <c r="C9434" s="1" t="s">
        <v>85</v>
      </c>
      <c r="D9434" s="1" t="s">
        <v>305</v>
      </c>
      <c r="E9434" s="1" t="s">
        <v>12894</v>
      </c>
      <c r="F9434" s="1" t="s">
        <v>13935</v>
      </c>
      <c r="G9434" s="1" t="s">
        <v>36</v>
      </c>
      <c r="H9434" s="1" t="s">
        <v>29</v>
      </c>
      <c r="I9434" s="1" t="str">
        <f ca="1">IFERROR(__xludf.DUMMYFUNCTION("GOOGLETRANSLATE(F9434, ""auto"", ""en"")
"),"Having scoured the entire Internet, I couldn’t find a better one, the only thing that bothered me was the price, of course I wanted it cheaper, but those who won in terms of price lost in all respects, from design to power. I love drinking cocktails and p"&amp;"reviously used an immersion blender, spending a lot of time, now it’s just a fairy tale - you put all the desired ingredients into it and as a result you get an excellent, perfectly mixed drink. The second discovery is that he successfully chops meat for "&amp;"steaks. I recommend it to those who love quality in stylish design and are willing to pay for it!")</f>
        <v>Having scoured the entire Internet, I couldn’t find a better one, the only thing that bothered me was the price, of course I wanted it cheaper, but those who won in terms of price lost in all respects, from design to power. I love drinking cocktails and previously used an immersion blender, spending a lot of time, now it’s just a fairy tale - you put all the desired ingredients into it and as a result you get an excellent, perfectly mixed drink. The second discovery is that he successfully chops meat for steaks. I recommend it to those who love quality in stylish design and are willing to pay for it!</v>
      </c>
    </row>
    <row r="9435" spans="1:9" x14ac:dyDescent="0.3">
      <c r="A9435" s="1" t="s">
        <v>17</v>
      </c>
      <c r="B9435" s="1" t="s">
        <v>18</v>
      </c>
      <c r="C9435" s="1" t="s">
        <v>19</v>
      </c>
      <c r="D9435" s="1" t="s">
        <v>295</v>
      </c>
      <c r="E9435" s="1" t="s">
        <v>6444</v>
      </c>
      <c r="F9435" s="1" t="s">
        <v>13936</v>
      </c>
      <c r="G9435" s="1" t="s">
        <v>15</v>
      </c>
      <c r="H9435" s="1" t="s">
        <v>16</v>
      </c>
      <c r="I9435" s="1" t="str">
        <f ca="1">IFERROR(__xludf.DUMMYFUNCTION("GOOGLETRANSLATE(F9435, ""auto"", ""en"")
"),"1) Doesn’t wash well! (everything according to the instructions) 2) The smell of melting wiring! at t40 (at test t60 there was no smell) 3) Noisy! (clicks, buzzes, knocks, the pump roars, whistles during the spin cycle) 4) On the Wool program, the laundry"&amp;" does not rinse! 5) It feels like the speed when squeezing does not change depending on the program, it’s always about 800! I really regretted that we exchanged the old one (20 years old!) for this outright crap!")</f>
        <v>1) Doesn’t wash well! (everything according to the instructions) 2) The smell of melting wiring! at t40 (at test t60 there was no smell) 3) Noisy! (clicks, buzzes, knocks, the pump roars, whistles during the spin cycle) 4) On the Wool program, the laundry does not rinse! 5) It feels like the speed when squeezing does not change depending on the program, it’s always about 800! I really regretted that we exchanged the old one (20 years old!) for this outright crap!</v>
      </c>
    </row>
    <row r="9436" spans="1:9" x14ac:dyDescent="0.3">
      <c r="A9436" s="1" t="s">
        <v>37</v>
      </c>
      <c r="B9436" s="1" t="s">
        <v>38</v>
      </c>
      <c r="C9436" s="1" t="s">
        <v>163</v>
      </c>
      <c r="D9436" s="1" t="s">
        <v>2886</v>
      </c>
      <c r="E9436" s="1" t="s">
        <v>1871</v>
      </c>
      <c r="F9436" s="1" t="s">
        <v>13937</v>
      </c>
      <c r="G9436" s="1" t="s">
        <v>36</v>
      </c>
      <c r="H9436" s="1" t="s">
        <v>29</v>
      </c>
      <c r="I9436" s="1" t="str">
        <f ca="1">IFERROR(__xludf.DUMMYFUNCTION("GOOGLETRANSLATE(F9436, ""auto"", ""en"")
"),"Guys, is the flash drive included?")</f>
        <v>Guys, is the flash drive included?</v>
      </c>
    </row>
    <row r="9437" spans="1:9" x14ac:dyDescent="0.3">
      <c r="A9437" s="1" t="s">
        <v>61</v>
      </c>
      <c r="B9437" s="1" t="s">
        <v>318</v>
      </c>
      <c r="C9437" s="1" t="s">
        <v>122</v>
      </c>
      <c r="D9437" s="1" t="s">
        <v>52</v>
      </c>
      <c r="E9437" s="1" t="s">
        <v>5307</v>
      </c>
      <c r="F9437" s="1" t="s">
        <v>13938</v>
      </c>
      <c r="G9437" s="1" t="s">
        <v>36</v>
      </c>
      <c r="H9437" s="1" t="s">
        <v>29</v>
      </c>
      <c r="I9437" s="1" t="str">
        <f ca="1">IFERROR(__xludf.DUMMYFUNCTION("GOOGLETRANSLATE(F9437, ""auto"", ""en"")
"),"I've been using it for about a month. Much more convenient than a kettle, the water is always hot. For us, as a young family with a child, it is simply irreplaceable - you can make the mixture very quickly and do not have to wait for the kettle to boil. W"&amp;"e are very pleased.")</f>
        <v>I've been using it for about a month. Much more convenient than a kettle, the water is always hot. For us, as a young family with a child, it is simply irreplaceable - you can make the mixture very quickly and do not have to wait for the kettle to boil. We are very pleased.</v>
      </c>
    </row>
    <row r="9438" spans="1:9" x14ac:dyDescent="0.3">
      <c r="A9438" s="1" t="s">
        <v>169</v>
      </c>
      <c r="B9438" s="1" t="s">
        <v>170</v>
      </c>
      <c r="C9438" s="1" t="s">
        <v>122</v>
      </c>
      <c r="D9438" s="1" t="s">
        <v>305</v>
      </c>
      <c r="E9438" s="1" t="s">
        <v>886</v>
      </c>
      <c r="F9438" s="1" t="s">
        <v>13939</v>
      </c>
      <c r="G9438" s="1" t="s">
        <v>36</v>
      </c>
      <c r="H9438" s="1" t="s">
        <v>29</v>
      </c>
      <c r="I9438" s="1" t="str">
        <f ca="1">IFERROR(__xludf.DUMMYFUNCTION("GOOGLETRANSLATE(F9438, ""auto"", ""en"")
"),"the best and relatively inexpensive ears, after 3 years of use the wire got bent, I found them on sale again, I’ll go buy them now... very good sound")</f>
        <v>the best and relatively inexpensive ears, after 3 years of use the wire got bent, I found them on sale again, I’ll go buy them now... very good sound</v>
      </c>
    </row>
    <row r="9439" spans="1:9" x14ac:dyDescent="0.3">
      <c r="A9439" s="1" t="s">
        <v>30</v>
      </c>
      <c r="B9439" s="1" t="s">
        <v>50</v>
      </c>
      <c r="C9439" s="1" t="s">
        <v>32</v>
      </c>
      <c r="D9439" s="1" t="s">
        <v>39</v>
      </c>
      <c r="E9439" s="1" t="s">
        <v>2502</v>
      </c>
      <c r="F9439" s="1" t="s">
        <v>13940</v>
      </c>
      <c r="G9439" s="1" t="s">
        <v>36</v>
      </c>
      <c r="H9439" s="1" t="s">
        <v>29</v>
      </c>
      <c r="I9439" s="1" t="str">
        <f ca="1">IFERROR(__xludf.DUMMYFUNCTION("GOOGLETRANSLATE(F9439, ""auto"", ""en"")
"),"First I bought a Sony VAIO VPC-F11E1R /H, I really didn’t like it... I didn’t want anything!!! I came to the store and exchanged it for this model. An excellent laptop for all occasions, the only negative is the screen (it flickers at a certain angle)")</f>
        <v>First I bought a Sony VAIO VPC-F11E1R /H, I really didn’t like it... I didn’t want anything!!! I came to the store and exchanged it for this model. An excellent laptop for all occasions, the only negative is the screen (it flickers at a certain angle)</v>
      </c>
    </row>
    <row r="9440" spans="1:9" x14ac:dyDescent="0.3">
      <c r="A9440" s="1" t="s">
        <v>169</v>
      </c>
      <c r="B9440" s="1" t="s">
        <v>170</v>
      </c>
      <c r="C9440" s="1" t="s">
        <v>171</v>
      </c>
      <c r="D9440" s="1" t="s">
        <v>345</v>
      </c>
      <c r="E9440" s="1" t="s">
        <v>504</v>
      </c>
      <c r="F9440" s="1" t="s">
        <v>13941</v>
      </c>
      <c r="G9440" s="1" t="s">
        <v>15</v>
      </c>
      <c r="H9440" s="1" t="s">
        <v>16</v>
      </c>
      <c r="I9440" s="1" t="str">
        <f ca="1">IFERROR(__xludf.DUMMYFUNCTION("GOOGLETRANSLATE(F9440, ""auto"", ""en"")
"),"I didn't like the headphones at all. They don't fit well in the ears. After about five minutes the listening starts to get annoying. The sound is uneven. They do not fit every player (they play quietly on some players, too loudly on others). So don't list"&amp;"en to consultants who recommend them to you. I wanted to exchange it for another company for the same price, but they refused to do so without even understanding the situation. Now these headphones just lie on the table and gather dust. Money down the dra"&amp;"in. Don't take Fisher at all.")</f>
        <v>I didn't like the headphones at all. They don't fit well in the ears. After about five minutes the listening starts to get annoying. The sound is uneven. They do not fit every player (they play quietly on some players, too loudly on others). So don't listen to consultants who recommend them to you. I wanted to exchange it for another company for the same price, but they refused to do so without even understanding the situation. Now these headphones just lie on the table and gather dust. Money down the drain. Don't take Fisher at all.</v>
      </c>
    </row>
    <row r="9441" spans="1:9" x14ac:dyDescent="0.3">
      <c r="A9441" s="1" t="s">
        <v>67</v>
      </c>
      <c r="B9441" s="1" t="s">
        <v>68</v>
      </c>
      <c r="C9441" s="1" t="s">
        <v>381</v>
      </c>
      <c r="D9441" s="1" t="s">
        <v>64</v>
      </c>
      <c r="E9441" s="1" t="s">
        <v>2248</v>
      </c>
      <c r="F9441" s="1" t="s">
        <v>13942</v>
      </c>
      <c r="G9441" s="1" t="s">
        <v>49</v>
      </c>
      <c r="H9441" s="1" t="s">
        <v>16</v>
      </c>
      <c r="I9441" s="1" t="str">
        <f ca="1">IFERROR(__xludf.DUMMYFUNCTION("GOOGLETRANSLATE(F9441, ""auto"", ""en"")
"),"Don't buy this iron, I've been using it for a year. It flows, the water is not visible, the buttons are not conveniently located, it is too heavy, after 5 months. the steam generator began to act up and died")</f>
        <v>Don't buy this iron, I've been using it for a year. It flows, the water is not visible, the buttons are not conveniently located, it is too heavy, after 5 months. the steam generator began to act up and died</v>
      </c>
    </row>
    <row r="9442" spans="1:9" x14ac:dyDescent="0.3">
      <c r="A9442" s="1" t="s">
        <v>120</v>
      </c>
      <c r="B9442" s="1" t="s">
        <v>126</v>
      </c>
      <c r="C9442" s="1" t="s">
        <v>122</v>
      </c>
      <c r="D9442" s="1" t="s">
        <v>327</v>
      </c>
      <c r="E9442" s="1" t="s">
        <v>201</v>
      </c>
      <c r="F9442" s="1" t="s">
        <v>13943</v>
      </c>
      <c r="G9442" s="1" t="s">
        <v>36</v>
      </c>
      <c r="H9442" s="1" t="s">
        <v>29</v>
      </c>
      <c r="I9442" s="1" t="str">
        <f ca="1">IFERROR(__xludf.DUMMYFUNCTION("GOOGLETRANSLATE(F9442, ""auto"", ""en"")
"),"I wanted to take the Panasonic TX-PR42 U20, but from a distance of 1.5 m, I couldn’t find any differences in the image from the C10 in HD quality. The choice was left to the latter. It shows better from a collective antenna.  Since yesterday I have been d"&amp;"isappointed in M.Video. They gave me a remote control for a different model, and in order to exchange it they offered to bring the entire TV (just like in the joke).")</f>
        <v>I wanted to take the Panasonic TX-PR42 U20, but from a distance of 1.5 m, I couldn’t find any differences in the image from the C10 in HD quality. The choice was left to the latter. It shows better from a collective antenna.  Since yesterday I have been disappointed in M.Video. They gave me a remote control for a different model, and in order to exchange it they offered to bring the entire TV (just like in the joke).</v>
      </c>
    </row>
    <row r="9443" spans="1:9" x14ac:dyDescent="0.3">
      <c r="A9443" s="1" t="s">
        <v>361</v>
      </c>
      <c r="B9443" s="1" t="s">
        <v>462</v>
      </c>
      <c r="C9443" s="1" t="s">
        <v>463</v>
      </c>
      <c r="D9443" s="1" t="s">
        <v>12950</v>
      </c>
      <c r="E9443" s="1" t="s">
        <v>9073</v>
      </c>
      <c r="F9443" s="1" t="s">
        <v>13944</v>
      </c>
      <c r="G9443" s="1" t="s">
        <v>36</v>
      </c>
      <c r="H9443" s="1" t="s">
        <v>29</v>
      </c>
      <c r="I9443" s="1" t="str">
        <f ca="1">IFERROR(__xludf.DUMMYFUNCTION("GOOGLETRANSLATE(F9443, ""auto"", ""en"")
"),"In terms of volume, it is the largest of the Barrier series; I bought a second one as a gift for my parents. Before that, we used aquaphor, and it left scale.  In the case of the Barrier cassette, choose standard 4, if there is chlorine in the water, if t"&amp;"he water is without chlorine and hard, then choose cassette number 6. I previously took the color red, it looks better than blue.  The quality is excellent, take it, you won’t regret it! The set includes one cassette as a gift.")</f>
        <v>In terms of volume, it is the largest of the Barrier series; I bought a second one as a gift for my parents. Before that, we used aquaphor, and it left scale.  In the case of the Barrier cassette, choose standard 4, if there is chlorine in the water, if the water is without chlorine and hard, then choose cassette number 6. I previously took the color red, it looks better than blue.  The quality is excellent, take it, you won’t regret it! The set includes one cassette as a gift.</v>
      </c>
    </row>
    <row r="9444" spans="1:9" x14ac:dyDescent="0.3">
      <c r="A9444" s="1" t="s">
        <v>30</v>
      </c>
      <c r="B9444" s="1" t="s">
        <v>50</v>
      </c>
      <c r="C9444" s="1" t="s">
        <v>32</v>
      </c>
      <c r="D9444" s="1" t="s">
        <v>52</v>
      </c>
      <c r="E9444" s="1" t="s">
        <v>491</v>
      </c>
      <c r="F9444" s="1" t="s">
        <v>13945</v>
      </c>
      <c r="G9444" s="1" t="s">
        <v>36</v>
      </c>
      <c r="H9444" s="1" t="s">
        <v>29</v>
      </c>
      <c r="I9444" s="1" t="str">
        <f ca="1">IFERROR(__xludf.DUMMYFUNCTION("GOOGLETRANSLATE(F9444, ""auto"", ""en"")
"),"I bet you the laptop is very good. And the price for a laptop with such performance is very reasonable! Most likely you came across such a laptop. If this was an eternal problem for him, then there would be several more such people, for some reason, accor"&amp;"ding to reviews, not only on this site, I have never seen such a problem with anyone.  I have this laptop myself and am happy with it. The only thing is that windows 7 home basic costs, but these are minor things, who needs it and will reinstall it. I wil"&amp;"l not force this laptop on others, but if someone decides to buy it, I assure you that you will not regret it! Well, I still recommend taking out an additional guarantee, because no one is insured against anything! I confidently give him 5 points!")</f>
        <v>I bet you the laptop is very good. And the price for a laptop with such performance is very reasonable! Most likely you came across such a laptop. If this was an eternal problem for him, then there would be several more such people, for some reason, according to reviews, not only on this site, I have never seen such a problem with anyone.  I have this laptop myself and am happy with it. The only thing is that windows 7 home basic costs, but these are minor things, who needs it and will reinstall it. I will not force this laptop on others, but if someone decides to buy it, I assure you that you will not regret it! Well, I still recommend taking out an additional guarantee, because no one is insured against anything! I confidently give him 5 points!</v>
      </c>
    </row>
    <row r="9445" spans="1:9" x14ac:dyDescent="0.3">
      <c r="A9445" s="1" t="s">
        <v>965</v>
      </c>
      <c r="B9445" s="1" t="s">
        <v>966</v>
      </c>
      <c r="C9445" s="1" t="s">
        <v>967</v>
      </c>
      <c r="D9445" s="1" t="s">
        <v>345</v>
      </c>
      <c r="E9445" s="1" t="s">
        <v>395</v>
      </c>
      <c r="F9445" s="1" t="s">
        <v>13946</v>
      </c>
      <c r="G9445" s="1" t="s">
        <v>36</v>
      </c>
      <c r="H9445" s="1" t="s">
        <v>29</v>
      </c>
      <c r="I9445" s="1" t="str">
        <f ca="1">IFERROR(__xludf.DUMMYFUNCTION("GOOGLETRANSLATE(F9445, ""auto"", ""en"")
"),"SVEN have always been on top! Before this, 6 years ago I bought myself SVEN speakers and now I will not change this company. Value for money! They complement the interior well! I didn’t regret it!!!")</f>
        <v>SVEN have always been on top! Before this, 6 years ago I bought myself SVEN speakers and now I will not change this company. Value for money! They complement the interior well! I didn’t regret it!!!</v>
      </c>
    </row>
    <row r="9446" spans="1:9" x14ac:dyDescent="0.3">
      <c r="A9446" s="1" t="s">
        <v>169</v>
      </c>
      <c r="B9446" s="1" t="s">
        <v>170</v>
      </c>
      <c r="C9446" s="1" t="s">
        <v>97</v>
      </c>
      <c r="D9446" s="1" t="s">
        <v>13947</v>
      </c>
      <c r="E9446" s="1" t="s">
        <v>1350</v>
      </c>
      <c r="F9446" s="1" t="s">
        <v>13948</v>
      </c>
      <c r="G9446" s="1" t="s">
        <v>28</v>
      </c>
      <c r="H9446" s="1" t="s">
        <v>29</v>
      </c>
      <c r="I9446" s="1" t="str">
        <f ca="1">IFERROR(__xludf.DUMMYFUNCTION("GOOGLETRANSLATE(F9446, ""auto"", ""en"")
"),"I bought the headphones and have been using them for two days. Sensitivity is excellent, any rustle can be heard. The lower playback frequency starts from 30Hz, if you press it to your ear it starts from 20Hz. After prolonged use, the ears do not hurt. Ov"&amp;"erall the headphones are good, but not 5 stars.")</f>
        <v>I bought the headphones and have been using them for two days. Sensitivity is excellent, any rustle can be heard. The lower playback frequency starts from 30Hz, if you press it to your ear it starts from 20Hz. After prolonged use, the ears do not hurt. Overall the headphones are good, but not 5 stars.</v>
      </c>
    </row>
    <row r="9447" spans="1:9" x14ac:dyDescent="0.3">
      <c r="A9447" s="1" t="s">
        <v>67</v>
      </c>
      <c r="B9447" s="1" t="s">
        <v>68</v>
      </c>
      <c r="C9447" s="1" t="s">
        <v>85</v>
      </c>
      <c r="D9447" s="1" t="s">
        <v>589</v>
      </c>
      <c r="E9447" s="1" t="s">
        <v>1446</v>
      </c>
      <c r="F9447" s="1" t="s">
        <v>13949</v>
      </c>
      <c r="G9447" s="1" t="s">
        <v>36</v>
      </c>
      <c r="H9447" s="1" t="s">
        <v>29</v>
      </c>
      <c r="I9447" s="1" t="str">
        <f ca="1">IFERROR(__xludf.DUMMYFUNCTION("GOOGLETRANSLATE(F9447, ""auto"", ""en"")
"),"My husband gave me this iron for New Year, and overall I really like it.  although I haven’t stroked them much yet.  The surface is good and glides well.   auto shutdown works.")</f>
        <v>My husband gave me this iron for New Year, and overall I really like it.  although I haven’t stroked them much yet.  The surface is good and glides well.   auto shutdown works.</v>
      </c>
    </row>
    <row r="9448" spans="1:9" x14ac:dyDescent="0.3">
      <c r="A9448" s="1" t="s">
        <v>105</v>
      </c>
      <c r="B9448" s="1" t="s">
        <v>106</v>
      </c>
      <c r="C9448" s="1" t="s">
        <v>1921</v>
      </c>
      <c r="D9448" s="1" t="s">
        <v>280</v>
      </c>
      <c r="E9448" s="1" t="s">
        <v>173</v>
      </c>
      <c r="F9448" s="1" t="s">
        <v>13950</v>
      </c>
      <c r="G9448" s="1" t="s">
        <v>28</v>
      </c>
      <c r="H9448" s="1" t="s">
        <v>29</v>
      </c>
      <c r="I9448" s="1" t="str">
        <f ca="1">IFERROR(__xludf.DUMMYFUNCTION("GOOGLETRANSLATE(F9448, ""auto"", ""en"")
"),"Good day to you.  I became the owner of this device a month ago.  I was more pleased with the batteries than ever, I didn’t check them before they were discharged, but I never found myself with a dead battery, I can’t discuss the sound quality, it’s hard "&amp;"to evaluate it on a train or in city noise. As for the button failure...there are two on/off switches, read the manual and you will be happy.       In general, of course, there are no global complaints, but there are small shortcomings.  first: the centra"&amp;"l confirmation button ""M"" sometimes works like an ""up"" button, and only sometimes))) second: in the automatic scrolling of the text, the adjustment of 4-6-8 seconds is very lacking 5 seconds (or generally smooth in increments of 0.25)... because after"&amp;" 6 you get tired of waiting and after 4 you don’t have time to comprehend what you read.  third: the most serious thing is that when sorting files in a folder, the device software for some reason thinks that “0” comes after “9” or something like that... a"&amp;"s a result, it is impossible to listen to audiobooks because file 2 is placed after 19 and 01 and 02 are placed at the end of the list after 78 79. In general, the product deserves a solid 4 plus, and if you are not going to read or listen to books, then "&amp;"5 ki.")</f>
        <v>Good day to you.  I became the owner of this device a month ago.  I was more pleased with the batteries than ever, I didn’t check them before they were discharged, but I never found myself with a dead battery, I can’t discuss the sound quality, it’s hard to evaluate it on a train or in city noise. As for the button failure...there are two on/off switches, read the manual and you will be happy.       In general, of course, there are no global complaints, but there are small shortcomings.  first: the central confirmation button "M" sometimes works like an "up" button, and only sometimes))) second: in the automatic scrolling of the text, the adjustment of 4-6-8 seconds is very lacking 5 seconds (or generally smooth in increments of 0.25)... because after 6 you get tired of waiting and after 4 you don’t have time to comprehend what you read.  third: the most serious thing is that when sorting files in a folder, the device software for some reason thinks that “0” comes after “9” or something like that... as a result, it is impossible to listen to audiobooks because file 2 is placed after 19 and 01 and 02 are placed at the end of the list after 78 79. In general, the product deserves a solid 4 plus, and if you are not going to read or listen to books, then 5 ki.</v>
      </c>
    </row>
    <row r="9449" spans="1:9" x14ac:dyDescent="0.3">
      <c r="A9449" s="1" t="s">
        <v>519</v>
      </c>
      <c r="B9449" s="1" t="s">
        <v>520</v>
      </c>
      <c r="C9449" s="1" t="s">
        <v>3571</v>
      </c>
      <c r="D9449" s="1" t="s">
        <v>52</v>
      </c>
      <c r="E9449" s="1" t="s">
        <v>11448</v>
      </c>
      <c r="F9449" s="1" t="s">
        <v>13951</v>
      </c>
      <c r="G9449" s="1" t="s">
        <v>36</v>
      </c>
      <c r="H9449" s="1" t="s">
        <v>29</v>
      </c>
      <c r="I9449" s="1" t="str">
        <f ca="1">IFERROR(__xludf.DUMMYFUNCTION("GOOGLETRANSLATE(F9449, ""auto"", ""en"")
"),"In vain they write that the bottom is thin, the bottom is thick")</f>
        <v>In vain they write that the bottom is thin, the bottom is thick</v>
      </c>
    </row>
    <row r="9450" spans="1:9" x14ac:dyDescent="0.3">
      <c r="A9450" s="1" t="s">
        <v>61</v>
      </c>
      <c r="B9450" s="1" t="s">
        <v>180</v>
      </c>
      <c r="C9450" s="1" t="s">
        <v>74</v>
      </c>
      <c r="D9450" s="1" t="s">
        <v>521</v>
      </c>
      <c r="E9450" s="1" t="s">
        <v>7310</v>
      </c>
      <c r="F9450" s="1" t="s">
        <v>13952</v>
      </c>
      <c r="G9450" s="1" t="s">
        <v>36</v>
      </c>
      <c r="H9450" s="1" t="s">
        <v>29</v>
      </c>
      <c r="I9450" s="1" t="str">
        <f ca="1">IFERROR(__xludf.DUMMYFUNCTION("GOOGLETRANSLATE(F9450, ""auto"", ""en"")
"),"This unit is amazing! I don’t make toast in it, but the sandwiches turn out excellent, rosy, appetizing, the bread is moderately crispy. Waffles are an excellent option for dessert; they bake well. Cleaning the removable mold plates is very convenient. I "&amp;"recommend it.")</f>
        <v>This unit is amazing! I don’t make toast in it, but the sandwiches turn out excellent, rosy, appetizing, the bread is moderately crispy. Waffles are an excellent option for dessert; they bake well. Cleaning the removable mold plates is very convenient. I recommend it.</v>
      </c>
    </row>
    <row r="9451" spans="1:9" x14ac:dyDescent="0.3">
      <c r="A9451" s="1" t="s">
        <v>95</v>
      </c>
      <c r="B9451" s="1" t="s">
        <v>486</v>
      </c>
      <c r="C9451" s="1" t="s">
        <v>487</v>
      </c>
      <c r="D9451" s="1" t="s">
        <v>13953</v>
      </c>
      <c r="E9451" s="1" t="s">
        <v>1955</v>
      </c>
      <c r="F9451" s="1" t="s">
        <v>13954</v>
      </c>
      <c r="G9451" s="1" t="s">
        <v>36</v>
      </c>
      <c r="H9451" s="1" t="s">
        <v>29</v>
      </c>
      <c r="I9451" s="1" t="str">
        <f ca="1">IFERROR(__xludf.DUMMYFUNCTION("GOOGLETRANSLATE(F9451, ""auto"", ""en"")
"),"TAKE IT!!! YES WITH HALO:REACH!!! TAKE IT!!!")</f>
        <v>TAKE IT!!! YES WITH HALO:REACH!!! TAKE IT!!!</v>
      </c>
    </row>
    <row r="9452" spans="1:9" x14ac:dyDescent="0.3">
      <c r="A9452" s="1" t="s">
        <v>361</v>
      </c>
      <c r="B9452" s="1" t="s">
        <v>2555</v>
      </c>
      <c r="C9452" s="1" t="s">
        <v>4871</v>
      </c>
      <c r="D9452" s="1" t="s">
        <v>39</v>
      </c>
      <c r="E9452" s="1" t="s">
        <v>3330</v>
      </c>
      <c r="F9452" s="1" t="s">
        <v>13955</v>
      </c>
      <c r="G9452" s="1" t="s">
        <v>36</v>
      </c>
      <c r="H9452" s="1" t="s">
        <v>29</v>
      </c>
      <c r="I9452" s="1" t="str">
        <f ca="1">IFERROR(__xludf.DUMMYFUNCTION("GOOGLETRANSLATE(F9452, ""auto"", ""en"")
"),"Good valve, convenient design. It maintains the temperature very well!    Now I would take the 1.2 volume - it is a little higher in height, but it will be enough for a cup for the fourth person.")</f>
        <v>Good valve, convenient design. It maintains the temperature very well!    Now I would take the 1.2 volume - it is a little higher in height, but it will be enough for a cup for the fourth person.</v>
      </c>
    </row>
    <row r="9453" spans="1:9" x14ac:dyDescent="0.3">
      <c r="A9453" s="1" t="s">
        <v>9</v>
      </c>
      <c r="B9453" s="1" t="s">
        <v>137</v>
      </c>
      <c r="C9453" s="1" t="s">
        <v>151</v>
      </c>
      <c r="D9453" s="1" t="s">
        <v>13956</v>
      </c>
      <c r="E9453" s="1" t="s">
        <v>4925</v>
      </c>
      <c r="F9453" s="1" t="s">
        <v>13957</v>
      </c>
      <c r="G9453" s="1" t="s">
        <v>36</v>
      </c>
      <c r="H9453" s="1" t="s">
        <v>29</v>
      </c>
      <c r="I9453" s="1" t="str">
        <f ca="1">IFERROR(__xludf.DUMMYFUNCTION("GOOGLETRANSLATE(F9453, ""auto"", ""en"")
"),"I've been using it for 2 years and the flight is normal.")</f>
        <v>I've been using it for 2 years and the flight is normal.</v>
      </c>
    </row>
    <row r="9454" spans="1:9" x14ac:dyDescent="0.3">
      <c r="A9454" s="1" t="s">
        <v>211</v>
      </c>
      <c r="B9454" s="1" t="s">
        <v>212</v>
      </c>
      <c r="C9454" s="1" t="s">
        <v>381</v>
      </c>
      <c r="D9454" s="1" t="s">
        <v>13958</v>
      </c>
      <c r="E9454" s="1" t="s">
        <v>1481</v>
      </c>
      <c r="F9454" s="1" t="s">
        <v>13959</v>
      </c>
      <c r="G9454" s="1" t="s">
        <v>36</v>
      </c>
      <c r="H9454" s="1" t="s">
        <v>29</v>
      </c>
      <c r="I9454" s="1" t="str">
        <f ca="1">IFERROR(__xludf.DUMMYFUNCTION("GOOGLETRANSLATE(F9454, ""auto"", ""en"")
"),"The straightener is great! I bought it as a gift for March 8th and I was not mistaken. Meets all positive parameters. You can adjust the temperature, which is important for those who care about hair health, and the ionization function gives your hair shin"&amp;"e. Buy with confidence, enjoy using it and give others a pleasant experience with your beautiful hairstyles made using this straightener!!!")</f>
        <v>The straightener is great! I bought it as a gift for March 8th and I was not mistaken. Meets all positive parameters. You can adjust the temperature, which is important for those who care about hair health, and the ionization function gives your hair shine. Buy with confidence, enjoy using it and give others a pleasant experience with your beautiful hairstyles made using this straightener!!!</v>
      </c>
    </row>
    <row r="9455" spans="1:9" x14ac:dyDescent="0.3">
      <c r="A9455" s="1" t="s">
        <v>105</v>
      </c>
      <c r="B9455" s="1" t="s">
        <v>106</v>
      </c>
      <c r="C9455" s="1" t="s">
        <v>1209</v>
      </c>
      <c r="D9455" s="1" t="s">
        <v>13960</v>
      </c>
      <c r="E9455" s="1" t="s">
        <v>4445</v>
      </c>
      <c r="F9455" s="1" t="s">
        <v>13961</v>
      </c>
      <c r="G9455" s="1" t="s">
        <v>49</v>
      </c>
      <c r="H9455" s="1" t="s">
        <v>16</v>
      </c>
      <c r="I9455" s="1" t="str">
        <f ca="1">IFERROR(__xludf.DUMMYFUNCTION("GOOGLETRANSLATE(F9455, ""auto"", ""en"")
"),"After using the player for about a year, I can say that if I could turn back time, I would never have bought it. The operating time is about three hours, but it charges in no more than fifteen minutes. Very disappointed. Now I want to change it. But now I"&amp;" will be more picky.")</f>
        <v>After using the player for about a year, I can say that if I could turn back time, I would never have bought it. The operating time is about three hours, but it charges in no more than fifteen minutes. Very disappointed. Now I want to change it. But now I will be more picky.</v>
      </c>
    </row>
    <row r="9456" spans="1:9" x14ac:dyDescent="0.3">
      <c r="A9456" s="1" t="s">
        <v>211</v>
      </c>
      <c r="B9456" s="1" t="s">
        <v>899</v>
      </c>
      <c r="C9456" s="1" t="s">
        <v>69</v>
      </c>
      <c r="D9456" s="1" t="s">
        <v>127</v>
      </c>
      <c r="E9456" s="1" t="s">
        <v>4198</v>
      </c>
      <c r="F9456" s="1" t="s">
        <v>13962</v>
      </c>
      <c r="G9456" s="1" t="s">
        <v>28</v>
      </c>
      <c r="H9456" s="1" t="s">
        <v>29</v>
      </c>
      <c r="I9456" s="1" t="str">
        <f ca="1">IFERROR(__xludf.DUMMYFUNCTION("GOOGLETRANSLATE(F9456, ""auto"", ""en"")
"),"I switched to this toothbrush from OralB. The first sensations, frankly speaking, are not unambiguous. Due to the high amplitude of vibrations, it creates a sensation of itching in the gums, fortunately I read in the instructions about the habituation mod"&amp;"e and this mode helped a lot. Then the gums adapted and the brush did not cause any more discomfort. It cleans really well, you don’t even need to use dental floss. The battery lasts for a long time - about a week and a half of daily cleaning, which is al"&amp;"so a plus. OralB discharged faster. Overall I'm happy with the purchase. I recommend it.")</f>
        <v>I switched to this toothbrush from OralB. The first sensations, frankly speaking, are not unambiguous. Due to the high amplitude of vibrations, it creates a sensation of itching in the gums, fortunately I read in the instructions about the habituation mode and this mode helped a lot. Then the gums adapted and the brush did not cause any more discomfort. It cleans really well, you don’t even need to use dental floss. The battery lasts for a long time - about a week and a half of daily cleaning, which is also a plus. OralB discharged faster. Overall I'm happy with the purchase. I recommend it.</v>
      </c>
    </row>
    <row r="9457" spans="1:9" x14ac:dyDescent="0.3">
      <c r="A9457" s="1" t="s">
        <v>30</v>
      </c>
      <c r="B9457" s="1" t="s">
        <v>50</v>
      </c>
      <c r="C9457" s="1" t="s">
        <v>189</v>
      </c>
      <c r="D9457" s="1" t="s">
        <v>13963</v>
      </c>
      <c r="E9457" s="1" t="s">
        <v>3184</v>
      </c>
      <c r="F9457" s="1" t="s">
        <v>13964</v>
      </c>
      <c r="G9457" s="1" t="s">
        <v>36</v>
      </c>
      <c r="H9457" s="1" t="s">
        <v>29</v>
      </c>
      <c r="I9457" s="1" t="str">
        <f ca="1">IFERROR(__xludf.DUMMYFUNCTION("GOOGLETRANSLATE(F9457, ""auto"", ""en"")
"),"Great model! There are many advantages, everything you need is there, it hardly gets hot. The downside is Windows 7, but I dual booted and installed XP. In general, everything is great! Buy it, you won't regret it)")</f>
        <v>Great model! There are many advantages, everything you need is there, it hardly gets hot. The downside is Windows 7, but I dual booted and installed XP. In general, everything is great! Buy it, you won't regret it)</v>
      </c>
    </row>
    <row r="9458" spans="1:9" x14ac:dyDescent="0.3">
      <c r="A9458" s="1" t="s">
        <v>149</v>
      </c>
      <c r="B9458" s="1" t="s">
        <v>155</v>
      </c>
      <c r="C9458" s="1" t="s">
        <v>80</v>
      </c>
      <c r="D9458" s="1" t="s">
        <v>64</v>
      </c>
      <c r="E9458" s="1" t="s">
        <v>2254</v>
      </c>
      <c r="F9458" s="1" t="s">
        <v>13965</v>
      </c>
      <c r="G9458" s="1" t="s">
        <v>36</v>
      </c>
      <c r="H9458" s="1" t="s">
        <v>29</v>
      </c>
      <c r="I9458" s="1" t="str">
        <f ca="1">IFERROR(__xludf.DUMMYFUNCTION("GOOGLETRANSLATE(F9458, ""auto"", ""en"")
"),"My husband and I decided to buy a new unit. It took us a long time to choose, but this model immediately caught my eye. We also decided to test the new trash compaction system.   From a carpet knocked out on the street and cleaned with an old vacuum clean"&amp;"er, the new vacuum cleaner pulled out so much dirt that I was simply shocked. So I recommend everyone to buy this model - you won’t regret it.")</f>
        <v>My husband and I decided to buy a new unit. It took us a long time to choose, but this model immediately caught my eye. We also decided to test the new trash compaction system.   From a carpet knocked out on the street and cleaned with an old vacuum cleaner, the new vacuum cleaner pulled out so much dirt that I was simply shocked. So I recommend everyone to buy this model - you won’t regret it.</v>
      </c>
    </row>
    <row r="9459" spans="1:9" x14ac:dyDescent="0.3">
      <c r="A9459" s="1" t="s">
        <v>17</v>
      </c>
      <c r="B9459" s="1" t="s">
        <v>18</v>
      </c>
      <c r="C9459" s="1" t="s">
        <v>138</v>
      </c>
      <c r="D9459" s="1" t="s">
        <v>102</v>
      </c>
      <c r="E9459" s="1" t="s">
        <v>4327</v>
      </c>
      <c r="F9459" s="1" t="s">
        <v>13966</v>
      </c>
      <c r="G9459" s="1" t="s">
        <v>36</v>
      </c>
      <c r="H9459" s="1" t="s">
        <v>29</v>
      </c>
      <c r="I9459" s="1" t="str">
        <f ca="1">IFERROR(__xludf.DUMMYFUNCTION("GOOGLETRANSLATE(F9459, ""auto"", ""en"")
"),"I've been washing it for three months now, no complaints, I like everything. quality item")</f>
        <v>I've been washing it for three months now, no complaints, I like everything. quality item</v>
      </c>
    </row>
    <row r="9460" spans="1:9" x14ac:dyDescent="0.3">
      <c r="A9460" s="1" t="s">
        <v>111</v>
      </c>
      <c r="B9460" s="1" t="s">
        <v>636</v>
      </c>
      <c r="C9460" s="1" t="s">
        <v>2610</v>
      </c>
      <c r="D9460" s="1" t="s">
        <v>308</v>
      </c>
      <c r="E9460" s="1" t="s">
        <v>897</v>
      </c>
      <c r="F9460" s="1" t="s">
        <v>13967</v>
      </c>
      <c r="G9460" s="1" t="s">
        <v>15</v>
      </c>
      <c r="H9460" s="1" t="s">
        <v>16</v>
      </c>
      <c r="I9460" s="1" t="str">
        <f ca="1">IFERROR(__xludf.DUMMYFUNCTION("GOOGLETRANSLATE(F9460, ""auto"", ""en"")
"),"The projection is only visible at night and only in red. In other colors the projection is clear only in the center. If you set the projection color to red, then the clock display also glows in a scary red color.")</f>
        <v>The projection is only visible at night and only in red. In other colors the projection is clear only in the center. If you set the projection color to red, then the clock display also glows in a scary red color.</v>
      </c>
    </row>
    <row r="9461" spans="1:9" x14ac:dyDescent="0.3">
      <c r="A9461" s="1" t="s">
        <v>211</v>
      </c>
      <c r="B9461" s="1" t="s">
        <v>212</v>
      </c>
      <c r="C9461" s="1" t="s">
        <v>101</v>
      </c>
      <c r="D9461" s="1" t="s">
        <v>13968</v>
      </c>
      <c r="E9461" s="1" t="s">
        <v>1000</v>
      </c>
      <c r="F9461" s="1" t="s">
        <v>13969</v>
      </c>
      <c r="G9461" s="1" t="s">
        <v>49</v>
      </c>
      <c r="H9461" s="1" t="s">
        <v>16</v>
      </c>
      <c r="I9461" s="1" t="str">
        <f ca="1">IFERROR(__xludf.DUMMYFUNCTION("GOOGLETRANSLATE(F9461, ""auto"", ""en"")
"),"I have one... or rather it was... The plates simply melted, leaving a burnt clump of hair... and the teeth constantly clung to the hair and tore it out. In general, girls, do not spare money on a straightener - the appearance of your hair and its health d"&amp;"epend on it!")</f>
        <v>I have one... or rather it was... The plates simply melted, leaving a burnt clump of hair... and the teeth constantly clung to the hair and tore it out. In general, girls, do not spare money on a straightener - the appearance of your hair and its health depend on it!</v>
      </c>
    </row>
    <row r="9462" spans="1:9" x14ac:dyDescent="0.3">
      <c r="A9462" s="1" t="s">
        <v>17</v>
      </c>
      <c r="B9462" s="1" t="s">
        <v>18</v>
      </c>
      <c r="C9462" s="1" t="s">
        <v>243</v>
      </c>
      <c r="D9462" s="1" t="s">
        <v>117</v>
      </c>
      <c r="E9462" s="1" t="s">
        <v>13970</v>
      </c>
      <c r="F9462" s="1" t="s">
        <v>13971</v>
      </c>
      <c r="G9462" s="1" t="s">
        <v>36</v>
      </c>
      <c r="H9462" s="1" t="s">
        <v>29</v>
      </c>
      <c r="I9462" s="1" t="str">
        <f ca="1">IFERROR(__xludf.DUMMYFUNCTION("GOOGLETRANSLATE(F9462, ""auto"", ""en"")
"),"Silent")</f>
        <v>Silent</v>
      </c>
    </row>
    <row r="9463" spans="1:9" x14ac:dyDescent="0.3">
      <c r="A9463" s="1" t="s">
        <v>111</v>
      </c>
      <c r="B9463" s="1" t="s">
        <v>112</v>
      </c>
      <c r="C9463" s="1" t="s">
        <v>113</v>
      </c>
      <c r="D9463" s="1" t="s">
        <v>568</v>
      </c>
      <c r="E9463" s="1" t="s">
        <v>2265</v>
      </c>
      <c r="F9463" s="1" t="s">
        <v>13972</v>
      </c>
      <c r="G9463" s="1" t="s">
        <v>36</v>
      </c>
      <c r="H9463" s="1" t="s">
        <v>29</v>
      </c>
      <c r="I9463" s="1" t="str">
        <f ca="1">IFERROR(__xludf.DUMMYFUNCTION("GOOGLETRANSLATE(F9463, ""auto"", ""en"")
"),"Great device! I’ve been using it for three months now, for plasma and at home. cinema - no complaints. The color of the switch shows what voltage we have in the network - high\low\normal. Nice design, assembly - at a good level. It doesn't turn on right a"&amp;"way - but it's done that way on purpose. I don’t know where the previous author got his hands on - that he managed to burn the PILOT filter! An excellent product of Russian, not Chinese, technology.")</f>
        <v>Great device! I’ve been using it for three months now, for plasma and at home. cinema - no complaints. The color of the switch shows what voltage we have in the network - high\low\normal. Nice design, assembly - at a good level. It doesn't turn on right away - but it's done that way on purpose. I don’t know where the previous author got his hands on - that he managed to burn the PILOT filter! An excellent product of Russian, not Chinese, technology.</v>
      </c>
    </row>
    <row r="9464" spans="1:9" x14ac:dyDescent="0.3">
      <c r="A9464" s="1" t="s">
        <v>61</v>
      </c>
      <c r="B9464" s="1" t="s">
        <v>180</v>
      </c>
      <c r="C9464" s="1" t="s">
        <v>63</v>
      </c>
      <c r="D9464" s="1" t="s">
        <v>545</v>
      </c>
      <c r="E9464" s="1" t="s">
        <v>2845</v>
      </c>
      <c r="F9464" s="1" t="s">
        <v>13973</v>
      </c>
      <c r="G9464" s="1" t="s">
        <v>36</v>
      </c>
      <c r="H9464" s="1" t="s">
        <v>29</v>
      </c>
      <c r="I9464" s="1" t="str">
        <f ca="1">IFERROR(__xludf.DUMMYFUNCTION("GOOGLETRANSLATE(F9464, ""auto"", ""en"")
"),"The toaster is wonderful. Easy to use. In mode 5 you get excellent crispy toskicks, I recommend them to everyone.   I give it a 5+++")</f>
        <v>The toaster is wonderful. Easy to use. In mode 5 you get excellent crispy toskicks, I recommend them to everyone.   I give it a 5+++</v>
      </c>
    </row>
    <row r="9465" spans="1:9" x14ac:dyDescent="0.3">
      <c r="A9465" s="1" t="s">
        <v>30</v>
      </c>
      <c r="B9465" s="1" t="s">
        <v>50</v>
      </c>
      <c r="C9465" s="1" t="s">
        <v>189</v>
      </c>
      <c r="D9465" s="1" t="s">
        <v>5864</v>
      </c>
      <c r="E9465" s="1" t="s">
        <v>2215</v>
      </c>
      <c r="F9465" s="1" t="s">
        <v>13974</v>
      </c>
      <c r="G9465" s="1" t="s">
        <v>36</v>
      </c>
      <c r="H9465" s="1" t="s">
        <v>29</v>
      </c>
      <c r="I9465" s="1" t="str">
        <f ca="1">IFERROR(__xludf.DUMMYFUNCTION("GOOGLETRANSLATE(F9465, ""auto"", ""en"")
"),"I’ve been using it for three days now, but it works well, everything works fine, the video card is generally great. In general, everything is great.")</f>
        <v>I’ve been using it for three days now, but it works well, everything works fine, the video card is generally great. In general, everything is great.</v>
      </c>
    </row>
    <row r="9466" spans="1:9" x14ac:dyDescent="0.3">
      <c r="A9466" s="1" t="s">
        <v>61</v>
      </c>
      <c r="B9466" s="1" t="s">
        <v>726</v>
      </c>
      <c r="C9466" s="1" t="s">
        <v>351</v>
      </c>
      <c r="D9466" s="1" t="s">
        <v>13975</v>
      </c>
      <c r="E9466" s="1" t="s">
        <v>2778</v>
      </c>
      <c r="F9466" s="1" t="s">
        <v>13976</v>
      </c>
      <c r="G9466" s="1" t="s">
        <v>36</v>
      </c>
      <c r="H9466" s="1" t="s">
        <v>29</v>
      </c>
      <c r="I9466" s="1" t="str">
        <f ca="1">IFERROR(__xludf.DUMMYFUNCTION("GOOGLETRANSLATE(F9466, ""auto"", ""en"")
"),"For its price, the stove justified itself inside and out. The most important thing is the correct recipe with the correct proportions and that’s it, you are guaranteed a delicious bun for breakfast or dinner!")</f>
        <v>For its price, the stove justified itself inside and out. The most important thing is the correct recipe with the correct proportions and that’s it, you are guaranteed a delicious bun for breakfast or dinner!</v>
      </c>
    </row>
    <row r="9467" spans="1:9" x14ac:dyDescent="0.3">
      <c r="A9467" s="1" t="s">
        <v>61</v>
      </c>
      <c r="B9467" s="1" t="s">
        <v>180</v>
      </c>
      <c r="C9467" s="1" t="s">
        <v>74</v>
      </c>
      <c r="D9467" s="1" t="s">
        <v>471</v>
      </c>
      <c r="E9467" s="1" t="s">
        <v>4842</v>
      </c>
      <c r="F9467" s="1" t="s">
        <v>13977</v>
      </c>
      <c r="G9467" s="1" t="s">
        <v>28</v>
      </c>
      <c r="H9467" s="1" t="s">
        <v>29</v>
      </c>
      <c r="I9467" s="1" t="str">
        <f ca="1">IFERROR(__xludf.DUMMYFUNCTION("GOOGLETRANSLATE(F9467, ""auto"", ""en"")
"),"Did an excellent job with its functions")</f>
        <v>Did an excellent job with its functions</v>
      </c>
    </row>
    <row r="9468" spans="1:9" x14ac:dyDescent="0.3">
      <c r="A9468" s="1" t="s">
        <v>37</v>
      </c>
      <c r="B9468" s="1" t="s">
        <v>38</v>
      </c>
      <c r="C9468" s="1" t="s">
        <v>69</v>
      </c>
      <c r="D9468" s="1" t="s">
        <v>742</v>
      </c>
      <c r="E9468" s="1" t="s">
        <v>5195</v>
      </c>
      <c r="F9468" s="1" t="s">
        <v>13978</v>
      </c>
      <c r="G9468" s="1" t="s">
        <v>28</v>
      </c>
      <c r="H9468" s="1" t="s">
        <v>29</v>
      </c>
      <c r="I9468" s="1" t="str">
        <f ca="1">IFERROR(__xludf.DUMMYFUNCTION("GOOGLETRANSLATE(F9468, ""auto"", ""en"")
"),"In principle, I like everything, but there is one drawback, which in my opinion is significant - there is no notepad, or a “notes” function like on Nokia. If you need to record information that is not tied to any date or person from your phone list, then "&amp;"this is not possible! There is no place to write it down. It seems that I have found a way out: it is possible to read e-books)) I created a “notepad” document with .txt resolution, uploaded it to the phone, but it does not recognize the letters (although"&amp;" at first glance there should be no problems, since it is possible to change the encoding) and instead of Cyrillic letters it produces unknown hieroglyphs (by the way, it does not see documents with .doc resolution at all). Managing a memory card in Nokia"&amp;" is much more convenient; in Philips, for some reason, the ringtone can only be set from the Music folder, where the phone automatically sends you. I almost overslept on my way to work because the alarm clock can be set to “snooze” only 2 or 3 times, then"&amp;" it turns off. The calculator does not have a percentage function. I understand that percentages can be calculated by division and multiplication, but this takes a long time. But otherwise the price corresponds to the quality. I was pleased with the batte"&amp;"ry capacity and design. If anyone can tell me how to solve the problem with the notepad, I will be grateful.")</f>
        <v>In principle, I like everything, but there is one drawback, which in my opinion is significant - there is no notepad, or a “notes” function like on Nokia. If you need to record information that is not tied to any date or person from your phone list, then this is not possible! There is no place to write it down. It seems that I have found a way out: it is possible to read e-books)) I created a “notepad” document with .txt resolution, uploaded it to the phone, but it does not recognize the letters (although at first glance there should be no problems, since it is possible to change the encoding) and instead of Cyrillic letters it produces unknown hieroglyphs (by the way, it does not see documents with .doc resolution at all). Managing a memory card in Nokia is much more convenient; in Philips, for some reason, the ringtone can only be set from the Music folder, where the phone automatically sends you. I almost overslept on my way to work because the alarm clock can be set to “snooze” only 2 or 3 times, then it turns off. The calculator does not have a percentage function. I understand that percentages can be calculated by division and multiplication, but this takes a long time. But otherwise the price corresponds to the quality. I was pleased with the battery capacity and design. If anyone can tell me how to solve the problem with the notepad, I will be grateful.</v>
      </c>
    </row>
    <row r="9469" spans="1:9" x14ac:dyDescent="0.3">
      <c r="A9469" s="1" t="s">
        <v>120</v>
      </c>
      <c r="B9469" s="1" t="s">
        <v>196</v>
      </c>
      <c r="C9469" s="1" t="s">
        <v>69</v>
      </c>
      <c r="D9469" s="1" t="s">
        <v>327</v>
      </c>
      <c r="E9469" s="1" t="s">
        <v>41</v>
      </c>
      <c r="F9469" s="1" t="s">
        <v>13979</v>
      </c>
      <c r="G9469" s="1" t="s">
        <v>36</v>
      </c>
      <c r="H9469" s="1" t="s">
        <v>29</v>
      </c>
      <c r="I9469" s="1" t="str">
        <f ca="1">IFERROR(__xludf.DUMMYFUNCTION("GOOGLETRANSLATE(F9469, ""auto"", ""en"")
"),"TV is excellent!!! Meets all my requirements. If only I could read MKV files from a flash drive, it would be great!!")</f>
        <v>TV is excellent!!! Meets all my requirements. If only I could read MKV files from a flash drive, it would be great!!</v>
      </c>
    </row>
    <row r="9470" spans="1:9" x14ac:dyDescent="0.3">
      <c r="A9470" s="1" t="s">
        <v>373</v>
      </c>
      <c r="B9470" s="1" t="s">
        <v>374</v>
      </c>
      <c r="C9470" s="1" t="s">
        <v>19</v>
      </c>
      <c r="D9470" s="1" t="s">
        <v>565</v>
      </c>
      <c r="E9470" s="1" t="s">
        <v>1287</v>
      </c>
      <c r="F9470" s="1" t="s">
        <v>13980</v>
      </c>
      <c r="G9470" s="1" t="s">
        <v>28</v>
      </c>
      <c r="H9470" s="1" t="s">
        <v>29</v>
      </c>
      <c r="I9470" s="1" t="str">
        <f ca="1">IFERROR(__xludf.DUMMYFUNCTION("GOOGLETRANSLATE(F9470, ""auto"", ""en"")
"),"Regarding the tablets, I would like to add that I have been using them from the very beginning of the purchase; Marina probably did not fully understand it after purchasing this machine. The door has a special compartment for tablets. Overall the car is g"&amp;"ood. The only negative in my opinion is the lack of protection against leaks (there were such cases during operation)")</f>
        <v>Regarding the tablets, I would like to add that I have been using them from the very beginning of the purchase; Marina probably did not fully understand it after purchasing this machine. The door has a special compartment for tablets. Overall the car is good. The only negative in my opinion is the lack of protection against leaks (there were such cases during operation)</v>
      </c>
    </row>
    <row r="9471" spans="1:9" x14ac:dyDescent="0.3">
      <c r="A9471" s="1" t="s">
        <v>43</v>
      </c>
      <c r="B9471" s="1" t="s">
        <v>334</v>
      </c>
      <c r="C9471" s="1" t="s">
        <v>101</v>
      </c>
      <c r="D9471" s="1" t="s">
        <v>152</v>
      </c>
      <c r="E9471" s="1" t="s">
        <v>13981</v>
      </c>
      <c r="F9471" s="1" t="s">
        <v>13982</v>
      </c>
      <c r="G9471" s="1" t="s">
        <v>28</v>
      </c>
      <c r="H9471" s="1" t="s">
        <v>29</v>
      </c>
      <c r="I9471" s="1" t="str">
        <f ca="1">IFERROR(__xludf.DUMMYFUNCTION("GOOGLETRANSLATE(F9471, ""auto"", ""en"")
"),"Does its job - and well.")</f>
        <v>Does its job - and well.</v>
      </c>
    </row>
    <row r="9472" spans="1:9" x14ac:dyDescent="0.3">
      <c r="A9472" s="1" t="s">
        <v>211</v>
      </c>
      <c r="B9472" s="1" t="s">
        <v>410</v>
      </c>
      <c r="C9472" s="1" t="s">
        <v>69</v>
      </c>
      <c r="D9472" s="1" t="s">
        <v>13983</v>
      </c>
      <c r="E9472" s="1" t="s">
        <v>1280</v>
      </c>
      <c r="F9472" s="1" t="s">
        <v>13984</v>
      </c>
      <c r="G9472" s="1" t="s">
        <v>36</v>
      </c>
      <c r="H9472" s="1" t="s">
        <v>29</v>
      </c>
      <c r="I9472" s="1" t="str">
        <f ca="1">IFERROR(__xludf.DUMMYFUNCTION("GOOGLETRANSLATE(F9472, ""auto"", ""en"")
"),"I recently bought a razor. I'm happy with the purchase, it's comfortable to shave. The charge really lasts a long time and charges very quickly.")</f>
        <v>I recently bought a razor. I'm happy with the purchase, it's comfortable to shave. The charge really lasts a long time and charges very quickly.</v>
      </c>
    </row>
    <row r="9473" spans="1:9" x14ac:dyDescent="0.3">
      <c r="A9473" s="1" t="s">
        <v>89</v>
      </c>
      <c r="B9473" s="1" t="s">
        <v>1106</v>
      </c>
      <c r="C9473" s="1" t="s">
        <v>246</v>
      </c>
      <c r="D9473" s="1" t="s">
        <v>152</v>
      </c>
      <c r="E9473" s="1" t="s">
        <v>4977</v>
      </c>
      <c r="F9473" s="1" t="s">
        <v>13985</v>
      </c>
      <c r="G9473" s="1" t="s">
        <v>49</v>
      </c>
      <c r="H9473" s="1" t="s">
        <v>16</v>
      </c>
      <c r="I9473" s="1" t="str">
        <f ca="1">IFERROR(__xludf.DUMMYFUNCTION("GOOGLETRANSLATE(F9473, ""auto"", ""en"")
"),"I looked at coffee makers for a long time and finally chose this model... Yes, ""Tefal"" thinks about us. I have another coffee maker, I don’t remember the model. It has been working for 15 years, but I decided to buy another coffee maker. I looked closel"&amp;"y at coffee makers for a long time and finally chose this model... Yes, ""Tefal"" thinks about us. The main drawback of this coffee maker is that the water flows into the coffee pot too quickly. As a result, instead of strong and aromatic coffee (Lavazza "&amp;"Crema e Gusto coffee is used), you get a featureless, dark-colored liquid. I really don't recommend buying it. Disappointed. Does anyone know of a model that has water flowing slowly into the coffee pot?")</f>
        <v>I looked at coffee makers for a long time and finally chose this model... Yes, "Tefal" thinks about us. I have another coffee maker, I don’t remember the model. It has been working for 15 years, but I decided to buy another coffee maker. I looked closely at coffee makers for a long time and finally chose this model... Yes, "Tefal" thinks about us. The main drawback of this coffee maker is that the water flows into the coffee pot too quickly. As a result, instead of strong and aromatic coffee (Lavazza Crema e Gusto coffee is used), you get a featureless, dark-colored liquid. I really don't recommend buying it. Disappointed. Does anyone know of a model that has water flowing slowly into the coffee pot?</v>
      </c>
    </row>
    <row r="9474" spans="1:9" x14ac:dyDescent="0.3">
      <c r="A9474" s="1" t="s">
        <v>55</v>
      </c>
      <c r="B9474" s="1" t="s">
        <v>235</v>
      </c>
      <c r="C9474" s="1" t="s">
        <v>185</v>
      </c>
      <c r="D9474" s="1" t="s">
        <v>7408</v>
      </c>
      <c r="E9474" s="1" t="s">
        <v>4187</v>
      </c>
      <c r="F9474" s="1" t="s">
        <v>13986</v>
      </c>
      <c r="G9474" s="1" t="s">
        <v>28</v>
      </c>
      <c r="H9474" s="1" t="s">
        <v>29</v>
      </c>
      <c r="I9474" s="1" t="str">
        <f ca="1">IFERROR(__xludf.DUMMYFUNCTION("GOOGLETRANSLATE(F9474, ""auto"", ""en"")
"),"This fan heater has been running for 2 years now and heats well in 2 modes. Helps in the off-season when the heating has not yet been turned on and it’s cool outside. But there is a small drawback, as with all spiral fan heaters. They burn oxygen, so if y"&amp;"ou have a lot of money, it is advisable to buy a ceramic fan heater!")</f>
        <v>This fan heater has been running for 2 years now and heats well in 2 modes. Helps in the off-season when the heating has not yet been turned on and it’s cool outside. But there is a small drawback, as with all spiral fan heaters. They burn oxygen, so if you have a lot of money, it is advisable to buy a ceramic fan heater!</v>
      </c>
    </row>
    <row r="9475" spans="1:9" x14ac:dyDescent="0.3">
      <c r="A9475" s="1" t="s">
        <v>37</v>
      </c>
      <c r="B9475" s="1" t="s">
        <v>38</v>
      </c>
      <c r="C9475" s="1" t="s">
        <v>163</v>
      </c>
      <c r="D9475" s="1" t="s">
        <v>13987</v>
      </c>
      <c r="E9475" s="1" t="s">
        <v>201</v>
      </c>
      <c r="F9475" s="1" t="s">
        <v>13988</v>
      </c>
      <c r="G9475" s="1" t="s">
        <v>36</v>
      </c>
      <c r="H9475" s="1" t="s">
        <v>29</v>
      </c>
      <c r="I9475" s="1" t="str">
        <f ca="1">IFERROR(__xludf.DUMMYFUNCTION("GOOGLETRANSLATE(F9475, ""auto"", ""en"")
"),"the phone is excellent. I'm happy with everything. and money is not the main thing")</f>
        <v>the phone is excellent. I'm happy with everything. and money is not the main thing</v>
      </c>
    </row>
    <row r="9476" spans="1:9" x14ac:dyDescent="0.3">
      <c r="A9476" s="1" t="s">
        <v>149</v>
      </c>
      <c r="B9476" s="1" t="s">
        <v>155</v>
      </c>
      <c r="C9476" s="1" t="s">
        <v>1187</v>
      </c>
      <c r="D9476" s="1" t="s">
        <v>13989</v>
      </c>
      <c r="E9476" s="1" t="s">
        <v>53</v>
      </c>
      <c r="F9476" s="1" t="s">
        <v>13990</v>
      </c>
      <c r="G9476" s="1" t="s">
        <v>36</v>
      </c>
      <c r="H9476" s="1" t="s">
        <v>29</v>
      </c>
      <c r="I9476" s="1" t="str">
        <f ca="1">IFERROR(__xludf.DUMMYFUNCTION("GOOGLETRANSLATE(F9476, ""auto"", ""en"")
"),"We are very glad that we bought it. Vacuumed everywhere, goes into all the cracks, the power is very good, even the side things are pulled in by something and you can’t pull it away. The container is convenient, easy to put out. The pipe-handle is extende"&amp;"d with a special button, which is located on it and you don’t have to stand to disassemble individual parts like in others. corresponds. A little heavy, on and off button. If it were in the pen itself, it would be great.")</f>
        <v>We are very glad that we bought it. Vacuumed everywhere, goes into all the cracks, the power is very good, even the side things are pulled in by something and you can’t pull it away. The container is convenient, easy to put out. The pipe-handle is extended with a special button, which is located on it and you don’t have to stand to disassemble individual parts like in others. corresponds. A little heavy, on and off button. If it were in the pen itself, it would be great.</v>
      </c>
    </row>
    <row r="9477" spans="1:9" x14ac:dyDescent="0.3">
      <c r="A9477" s="1" t="s">
        <v>9</v>
      </c>
      <c r="B9477" s="1" t="s">
        <v>133</v>
      </c>
      <c r="C9477" s="1" t="s">
        <v>19</v>
      </c>
      <c r="D9477" s="1" t="s">
        <v>474</v>
      </c>
      <c r="E9477" s="1" t="s">
        <v>3720</v>
      </c>
      <c r="F9477" s="1" t="s">
        <v>13991</v>
      </c>
      <c r="G9477" s="1" t="s">
        <v>36</v>
      </c>
      <c r="H9477" s="1" t="s">
        <v>29</v>
      </c>
      <c r="I9477" s="1" t="str">
        <f ca="1">IFERROR(__xludf.DUMMYFUNCTION("GOOGLETRANSLATE(F9477, ""auto"", ""en"")
"),"We were looking for a white gas oven. Of the three models, I chose this one and I don’t regret it, it looks very nice in the kitchen. I bought it a year and a half ago and I still can’t get enough of it. It cooks food very well, I was very pleased with th"&amp;"e presence of a grill and the fact that it is electric. There is an electric ignition. The control knobs are very conveniently located. very easy to clean. I can say with full confidence that this model is worth buying.")</f>
        <v>We were looking for a white gas oven. Of the three models, I chose this one and I don’t regret it, it looks very nice in the kitchen. I bought it a year and a half ago and I still can’t get enough of it. It cooks food very well, I was very pleased with the presence of a grill and the fact that it is electric. There is an electric ignition. The control knobs are very conveniently located. very easy to clean. I can say with full confidence that this model is worth buying.</v>
      </c>
    </row>
    <row r="9478" spans="1:9" x14ac:dyDescent="0.3">
      <c r="A9478" s="1" t="s">
        <v>238</v>
      </c>
      <c r="B9478" s="1" t="s">
        <v>276</v>
      </c>
      <c r="C9478" s="1" t="s">
        <v>1677</v>
      </c>
      <c r="D9478" s="1" t="s">
        <v>335</v>
      </c>
      <c r="E9478" s="1" t="s">
        <v>708</v>
      </c>
      <c r="F9478" s="1" t="s">
        <v>13992</v>
      </c>
      <c r="G9478" s="1" t="s">
        <v>36</v>
      </c>
      <c r="H9478" s="1" t="s">
        <v>29</v>
      </c>
      <c r="I9478" s="1" t="str">
        <f ca="1">IFERROR(__xludf.DUMMYFUNCTION("GOOGLETRANSLATE(F9478, ""auto"", ""en"")
"),"The refrigerator is simply super - we have been dreaming about this for a long time. Our expectations were justified - beautiful, roomy, quite quiet, cozy, cooling. For a family - just what we need!!!")</f>
        <v>The refrigerator is simply super - we have been dreaming about this for a long time. Our expectations were justified - beautiful, roomy, quite quiet, cozy, cooling. For a family - just what we need!!!</v>
      </c>
    </row>
    <row r="9479" spans="1:9" x14ac:dyDescent="0.3">
      <c r="A9479" s="1" t="s">
        <v>120</v>
      </c>
      <c r="B9479" s="1" t="s">
        <v>121</v>
      </c>
      <c r="C9479" s="1" t="s">
        <v>80</v>
      </c>
      <c r="D9479" s="1" t="s">
        <v>280</v>
      </c>
      <c r="E9479" s="1" t="s">
        <v>4972</v>
      </c>
      <c r="F9479" s="1" t="s">
        <v>13993</v>
      </c>
      <c r="G9479" s="1" t="s">
        <v>36</v>
      </c>
      <c r="H9479" s="1" t="s">
        <v>29</v>
      </c>
      <c r="I9479" s="1" t="str">
        <f ca="1">IFERROR(__xludf.DUMMYFUNCTION("GOOGLETRANSLATE(F9479, ""auto"", ""en"")
"),"in high quality, fortunately USB supports a lot of video formats. Photos and music are also played, and you can start viewing photos and music at the same time - it's nice to watch digital photo albums! In general, I’m happy with everything!  But without "&amp;"shortcomings, the review would not be complete. So I did find one drawback: it takes a long time to turn on! 3-5 seconds. If you don’t pay attention to this little thing, then my rating is 5+! I recommend!")</f>
        <v>in high quality, fortunately USB supports a lot of video formats. Photos and music are also played, and you can start viewing photos and music at the same time - it's nice to watch digital photo albums! In general, I’m happy with everything!  But without shortcomings, the review would not be complete. So I did find one drawback: it takes a long time to turn on! 3-5 seconds. If you don’t pay attention to this little thing, then my rating is 5+! I recommend!</v>
      </c>
    </row>
    <row r="9480" spans="1:9" x14ac:dyDescent="0.3">
      <c r="A9480" s="1" t="s">
        <v>105</v>
      </c>
      <c r="B9480" s="1" t="s">
        <v>106</v>
      </c>
      <c r="C9480" s="1" t="s">
        <v>151</v>
      </c>
      <c r="D9480" s="1" t="s">
        <v>8056</v>
      </c>
      <c r="E9480" s="1" t="s">
        <v>3637</v>
      </c>
      <c r="F9480" s="1" t="s">
        <v>13994</v>
      </c>
      <c r="G9480" s="1" t="s">
        <v>36</v>
      </c>
      <c r="H9480" s="1" t="s">
        <v>29</v>
      </c>
      <c r="I9480" s="1" t="str">
        <f ca="1">IFERROR(__xludf.DUMMYFUNCTION("GOOGLETRANSLATE(F9480, ""auto"", ""en"")
"),"Gorgeous. How does it turn on!!! How does it turn off!!! Nravitsa. Little case... It's bad that there is no cord for the neck. Adapted another one. Negatives will arise, apparently later. Yes, and of course I changed the headphones. The standard ones are "&amp;"too “bassless”.")</f>
        <v>Gorgeous. How does it turn on!!! How does it turn off!!! Nravitsa. Little case... It's bad that there is no cord for the neck. Adapted another one. Negatives will arise, apparently later. Yes, and of course I changed the headphones. The standard ones are too “bassless”.</v>
      </c>
    </row>
    <row r="9481" spans="1:9" x14ac:dyDescent="0.3">
      <c r="A9481" s="1" t="s">
        <v>1174</v>
      </c>
      <c r="B9481" s="1" t="s">
        <v>1175</v>
      </c>
      <c r="C9481" s="1" t="s">
        <v>356</v>
      </c>
      <c r="D9481" s="1" t="s">
        <v>280</v>
      </c>
      <c r="E9481" s="1" t="s">
        <v>1826</v>
      </c>
      <c r="F9481" s="1" t="s">
        <v>13995</v>
      </c>
      <c r="G9481" s="1" t="s">
        <v>36</v>
      </c>
      <c r="H9481" s="1" t="s">
        <v>29</v>
      </c>
      <c r="I9481" s="1" t="str">
        <f ca="1">IFERROR(__xludf.DUMMYFUNCTION("GOOGLETRANSLATE(F9481, ""auto"", ""en"")
"),"As for me, these are very good headphones, I had 2 pairs of these, one came with an iPhone, and the other with an iPod. The headphones from the iPhone worked for 1.5 years, after which the right earphone failed, and the headphones from the iPod still work"&amp;". Regarding the fact that they are fragile, I will say this: if the hands grow from the right place, everything always works fine. My iPhone is almost two years old, and there are a maximum of 3-4 small scratches on the back cover, and I can see my reflec"&amp;"tion in the apple, but my friend’s iPhone is already completely destroyed, and it’s not even 1.5 years old yet. Judge for yourself, you need to be more careful with things. This is my opinion, although the taste and color should not be forgotten.")</f>
        <v>As for me, these are very good headphones, I had 2 pairs of these, one came with an iPhone, and the other with an iPod. The headphones from the iPhone worked for 1.5 years, after which the right earphone failed, and the headphones from the iPod still work. Regarding the fact that they are fragile, I will say this: if the hands grow from the right place, everything always works fine. My iPhone is almost two years old, and there are a maximum of 3-4 small scratches on the back cover, and I can see my reflection in the apple, but my friend’s iPhone is already completely destroyed, and it’s not even 1.5 years old yet. Judge for yourself, you need to be more careful with things. This is my opinion, although the taste and color should not be forgotten.</v>
      </c>
    </row>
    <row r="9482" spans="1:9" x14ac:dyDescent="0.3">
      <c r="A9482" s="1" t="s">
        <v>89</v>
      </c>
      <c r="B9482" s="1" t="s">
        <v>1106</v>
      </c>
      <c r="C9482" s="1" t="s">
        <v>246</v>
      </c>
      <c r="D9482" s="1" t="s">
        <v>208</v>
      </c>
      <c r="E9482" s="1" t="s">
        <v>3102</v>
      </c>
      <c r="F9482" s="1" t="s">
        <v>13996</v>
      </c>
      <c r="G9482" s="1" t="s">
        <v>36</v>
      </c>
      <c r="H9482" s="1" t="s">
        <v>29</v>
      </c>
      <c r="I9482" s="1" t="str">
        <f ca="1">IFERROR(__xludf.DUMMYFUNCTION("GOOGLETRANSLATE(F9482, ""auto"", ""en"")
"),"A simple and very convenient tefal coffee maker brews really excellent coffee. As many people have written here, it is important to maintain proportions; I can immediately say that a cup requires more insoluble coffee than instant coffee due to different "&amp;"preparation technologies. However, the taste and aroma of this drink is worth it.")</f>
        <v>A simple and very convenient tefal coffee maker brews really excellent coffee. As many people have written here, it is important to maintain proportions; I can immediately say that a cup requires more insoluble coffee than instant coffee due to different preparation technologies. However, the taste and aroma of this drink is worth it.</v>
      </c>
    </row>
    <row r="9483" spans="1:9" x14ac:dyDescent="0.3">
      <c r="A9483" s="1" t="s">
        <v>61</v>
      </c>
      <c r="B9483" s="1" t="s">
        <v>318</v>
      </c>
      <c r="C9483" s="1" t="s">
        <v>57</v>
      </c>
      <c r="D9483" s="1" t="s">
        <v>1619</v>
      </c>
      <c r="E9483" s="1" t="s">
        <v>346</v>
      </c>
      <c r="F9483" s="1" t="s">
        <v>13997</v>
      </c>
      <c r="G9483" s="1" t="s">
        <v>28</v>
      </c>
      <c r="H9483" s="1" t="s">
        <v>29</v>
      </c>
      <c r="I9483" s="1" t="str">
        <f ca="1">IFERROR(__xludf.DUMMYFUNCTION("GOOGLETRANSLATE(F9483, ""auto"", ""en"")
"),"Yesterday I bought this kettle, I just can’t get used to the fact that when the kettle is turned off, the blue backlight is on (how long will it last?), as if the kettle was heated... And at night it’s like a night light, cool :)")</f>
        <v>Yesterday I bought this kettle, I just can’t get used to the fact that when the kettle is turned off, the blue backlight is on (how long will it last?), as if the kettle was heated... And at night it’s like a night light, cool :)</v>
      </c>
    </row>
    <row r="9484" spans="1:9" x14ac:dyDescent="0.3">
      <c r="A9484" s="1" t="s">
        <v>61</v>
      </c>
      <c r="B9484" s="1" t="s">
        <v>434</v>
      </c>
      <c r="C9484" s="1" t="s">
        <v>101</v>
      </c>
      <c r="D9484" s="1" t="s">
        <v>565</v>
      </c>
      <c r="E9484" s="1" t="s">
        <v>3861</v>
      </c>
      <c r="F9484" s="1" t="s">
        <v>13998</v>
      </c>
      <c r="G9484" s="1" t="s">
        <v>36</v>
      </c>
      <c r="H9484" s="1" t="s">
        <v>29</v>
      </c>
      <c r="I9484" s="1" t="str">
        <f ca="1">IFERROR(__xludf.DUMMYFUNCTION("GOOGLETRANSLATE(F9484, ""auto"", ""en"")
"),"Bake perfectly. I read that she smells like a bad chemical smell, thank God I didn’t encounter that. The materials are acceptable, no complaints. I really love baking potatoes, they come out with such an appetizing crust.")</f>
        <v>Bake perfectly. I read that she smells like a bad chemical smell, thank God I didn’t encounter that. The materials are acceptable, no complaints. I really love baking potatoes, they come out with such an appetizing crust.</v>
      </c>
    </row>
    <row r="9485" spans="1:9" x14ac:dyDescent="0.3">
      <c r="A9485" s="1" t="s">
        <v>61</v>
      </c>
      <c r="B9485" s="1" t="s">
        <v>145</v>
      </c>
      <c r="C9485" s="1" t="s">
        <v>246</v>
      </c>
      <c r="D9485" s="1" t="s">
        <v>2595</v>
      </c>
      <c r="E9485" s="1" t="s">
        <v>1816</v>
      </c>
      <c r="F9485" s="1" t="s">
        <v>13999</v>
      </c>
      <c r="G9485" s="1" t="s">
        <v>36</v>
      </c>
      <c r="H9485" s="1" t="s">
        <v>29</v>
      </c>
      <c r="I9485" s="1" t="str">
        <f ca="1">IFERROR(__xludf.DUMMYFUNCTION("GOOGLETRANSLATE(F9485, ""auto"", ""en"")
"),"I've had this pancake maker for 15 years! Only then the body design was white. It has never let me down, I bake both large and small pancakes. No smoke, no soot, no need to stand near a hot stove!")</f>
        <v>I've had this pancake maker for 15 years! Only then the body design was white. It has never let me down, I bake both large and small pancakes. No smoke, no soot, no need to stand near a hot stove!</v>
      </c>
    </row>
    <row r="9486" spans="1:9" x14ac:dyDescent="0.3">
      <c r="A9486" s="1" t="s">
        <v>206</v>
      </c>
      <c r="B9486" s="1" t="s">
        <v>207</v>
      </c>
      <c r="C9486" s="1" t="s">
        <v>1143</v>
      </c>
      <c r="D9486" s="1" t="s">
        <v>52</v>
      </c>
      <c r="E9486" s="1" t="s">
        <v>4171</v>
      </c>
      <c r="F9486" s="1" t="s">
        <v>14000</v>
      </c>
      <c r="G9486" s="1" t="s">
        <v>15</v>
      </c>
      <c r="H9486" s="1" t="s">
        <v>16</v>
      </c>
      <c r="I9486" s="1" t="str">
        <f ca="1">IFERROR(__xludf.DUMMYFUNCTION("GOOGLETRANSLATE(F9486, ""auto"", ""en"")
"),"1) Compact 2) Good design")</f>
        <v>1) Compact 2) Good design</v>
      </c>
    </row>
    <row r="9487" spans="1:9" x14ac:dyDescent="0.3">
      <c r="A9487" s="1" t="s">
        <v>9</v>
      </c>
      <c r="B9487" s="1" t="s">
        <v>23</v>
      </c>
      <c r="C9487" s="1" t="s">
        <v>466</v>
      </c>
      <c r="D9487" s="1" t="s">
        <v>102</v>
      </c>
      <c r="E9487" s="1" t="s">
        <v>14001</v>
      </c>
      <c r="F9487" s="1" t="s">
        <v>14002</v>
      </c>
      <c r="G9487" s="1" t="s">
        <v>36</v>
      </c>
      <c r="H9487" s="1" t="s">
        <v>29</v>
      </c>
      <c r="I9487" s="1" t="str">
        <f ca="1">IFERROR(__xludf.DUMMYFUNCTION("GOOGLETRANSLATE(F9487, ""auto"", ""en"")
"),"Anyone who gets an E3 error!!! Install the drain hose correctly, as in washing machines; it should rise from bottom to top and then fall into the sewer. At first I struggled with this error, but everything was resolved immediately. It washes even dry dish"&amp;"es perfectly, using a 3-in-one product.")</f>
        <v>Anyone who gets an E3 error!!! Install the drain hose correctly, as in washing machines; it should rise from bottom to top and then fall into the sewer. At first I struggled with this error, but everything was resolved immediately. It washes even dry dishes perfectly, using a 3-in-one product.</v>
      </c>
    </row>
    <row r="9488" spans="1:9" x14ac:dyDescent="0.3">
      <c r="A9488" s="1" t="s">
        <v>61</v>
      </c>
      <c r="B9488" s="1" t="s">
        <v>977</v>
      </c>
      <c r="C9488" s="1" t="s">
        <v>246</v>
      </c>
      <c r="D9488" s="1" t="s">
        <v>208</v>
      </c>
      <c r="E9488" s="1" t="s">
        <v>6703</v>
      </c>
      <c r="F9488" s="1" t="s">
        <v>14003</v>
      </c>
      <c r="G9488" s="1" t="s">
        <v>28</v>
      </c>
      <c r="H9488" s="1" t="s">
        <v>29</v>
      </c>
      <c r="I9488" s="1" t="str">
        <f ca="1">IFERROR(__xludf.DUMMYFUNCTION("GOOGLETRANSLATE(F9488, ""auto"", ""en"")
"),"We bought a good blender 2 years ago. Everything suits me. Convenient to wash and convenient to use. Only a year ago, the whipping attachment began to make a lot of “noise” during operation, apparently something got into the gear mechanism or the gear was"&amp;" worn out, but it nevertheless continues to work.")</f>
        <v>We bought a good blender 2 years ago. Everything suits me. Convenient to wash and convenient to use. Only a year ago, the whipping attachment began to make a lot of “noise” during operation, apparently something got into the gear mechanism or the gear was worn out, but it nevertheless continues to work.</v>
      </c>
    </row>
    <row r="9489" spans="1:9" x14ac:dyDescent="0.3">
      <c r="A9489" s="1" t="s">
        <v>61</v>
      </c>
      <c r="B9489" s="1" t="s">
        <v>318</v>
      </c>
      <c r="C9489" s="1" t="s">
        <v>122</v>
      </c>
      <c r="D9489" s="1" t="s">
        <v>14004</v>
      </c>
      <c r="E9489" s="1" t="s">
        <v>14005</v>
      </c>
      <c r="F9489" s="1" t="s">
        <v>14006</v>
      </c>
      <c r="G9489" s="1" t="s">
        <v>36</v>
      </c>
      <c r="H9489" s="1" t="s">
        <v>29</v>
      </c>
      <c r="I9489" s="1" t="str">
        <f ca="1">IFERROR(__xludf.DUMMYFUNCTION("GOOGLETRANSLATE(F9489, ""auto"", ""en"")
"),"I bought it a month ago, I was pleased with the purchase. I almost stopped using the kettle. The thing is very convenient!")</f>
        <v>I bought it a month ago, I was pleased with the purchase. I almost stopped using the kettle. The thing is very convenient!</v>
      </c>
    </row>
    <row r="9490" spans="1:9" x14ac:dyDescent="0.3">
      <c r="A9490" s="1" t="s">
        <v>149</v>
      </c>
      <c r="B9490" s="1" t="s">
        <v>576</v>
      </c>
      <c r="C9490" s="1" t="s">
        <v>63</v>
      </c>
      <c r="D9490" s="1" t="s">
        <v>280</v>
      </c>
      <c r="E9490" s="1" t="s">
        <v>1738</v>
      </c>
      <c r="F9490" s="1" t="s">
        <v>14007</v>
      </c>
      <c r="G9490" s="1" t="s">
        <v>36</v>
      </c>
      <c r="H9490" s="1" t="s">
        <v>29</v>
      </c>
      <c r="I9490" s="1" t="str">
        <f ca="1">IFERROR(__xludf.DUMMYFUNCTION("GOOGLETRANSLATE(F9490, ""auto"", ""en"")
"),"He didn't suck any worse. Here the power button rotates left and right, this regulates the power, many are too lazy to look at the instructions. I ended up like this myself))) I was very upset that he began to work poorly. The vacuum cleaner is excellent,"&amp;" I bought it from M.Video 3 years ago, only it was red then and the warranty on it was more than a year.")</f>
        <v>He didn't suck any worse. Here the power button rotates left and right, this regulates the power, many are too lazy to look at the instructions. I ended up like this myself))) I was very upset that he began to work poorly. The vacuum cleaner is excellent, I bought it from M.Video 3 years ago, only it was red then and the warranty on it was more than a year.</v>
      </c>
    </row>
    <row r="9491" spans="1:9" x14ac:dyDescent="0.3">
      <c r="A9491" s="1" t="s">
        <v>61</v>
      </c>
      <c r="B9491" s="1" t="s">
        <v>318</v>
      </c>
      <c r="C9491" s="1" t="s">
        <v>57</v>
      </c>
      <c r="D9491" s="1" t="s">
        <v>308</v>
      </c>
      <c r="E9491" s="1" t="s">
        <v>5470</v>
      </c>
      <c r="F9491" s="1" t="s">
        <v>14008</v>
      </c>
      <c r="G9491" s="1" t="s">
        <v>36</v>
      </c>
      <c r="H9491" s="1" t="s">
        <v>29</v>
      </c>
      <c r="I9491" s="1" t="str">
        <f ca="1">IFERROR(__xludf.DUMMYFUNCTION("GOOGLETRANSLATE(F9491, ""auto"", ""en"")
"),"I always dreamed of a glass teapot, I bought it 6 years ago. I'm happy with everything so far, but the other day the fasteners on the lid broke (they fell apart), you can continue to use it, but it's not convenient, and the silver on the lid has peeled of"&amp;"f. The kettle is perfect, so I’m going to buy the same one again))))")</f>
        <v>I always dreamed of a glass teapot, I bought it 6 years ago. I'm happy with everything so far, but the other day the fasteners on the lid broke (they fell apart), you can continue to use it, but it's not convenient, and the silver on the lid has peeled off. The kettle is perfect, so I’m going to buy the same one again))))</v>
      </c>
    </row>
    <row r="9492" spans="1:9" x14ac:dyDescent="0.3">
      <c r="A9492" s="1" t="s">
        <v>120</v>
      </c>
      <c r="B9492" s="1" t="s">
        <v>196</v>
      </c>
      <c r="C9492" s="1" t="s">
        <v>80</v>
      </c>
      <c r="D9492" s="1" t="s">
        <v>335</v>
      </c>
      <c r="E9492" s="1" t="s">
        <v>1384</v>
      </c>
      <c r="F9492" s="1" t="s">
        <v>14009</v>
      </c>
      <c r="G9492" s="1" t="s">
        <v>36</v>
      </c>
      <c r="H9492" s="1" t="s">
        <v>29</v>
      </c>
      <c r="I9492" s="1" t="str">
        <f ca="1">IFERROR(__xludf.DUMMYFUNCTION("GOOGLETRANSLATE(F9492, ""auto"", ""en"")
"),"We bought it six months ago. not the slightest complaints about the work. great option!")</f>
        <v>We bought it six months ago. not the slightest complaints about the work. great option!</v>
      </c>
    </row>
    <row r="9493" spans="1:9" x14ac:dyDescent="0.3">
      <c r="A9493" s="1" t="s">
        <v>120</v>
      </c>
      <c r="B9493" s="1" t="s">
        <v>121</v>
      </c>
      <c r="C9493" s="1" t="s">
        <v>122</v>
      </c>
      <c r="D9493" s="1" t="s">
        <v>114</v>
      </c>
      <c r="E9493" s="1" t="s">
        <v>1376</v>
      </c>
      <c r="F9493" s="1" t="s">
        <v>14010</v>
      </c>
      <c r="G9493" s="1" t="s">
        <v>28</v>
      </c>
      <c r="H9493" s="1" t="s">
        <v>29</v>
      </c>
      <c r="I9493" s="1" t="str">
        <f ca="1">IFERROR(__xludf.DUMMYFUNCTION("GOOGLETRANSLATE(F9493, ""auto"", ""en"")
"),"I liked the TV for several reasons: it has good image quality, well-produced blacks, and the picture is bright and colorful. Large diagonal of 32 inches, and all this at a reasonable price. I really liked the TV, I use it together with my computer at home"&amp;" as an additional monitor, + I play games.")</f>
        <v>I liked the TV for several reasons: it has good image quality, well-produced blacks, and the picture is bright and colorful. Large diagonal of 32 inches, and all this at a reasonable price. I really liked the TV, I use it together with my computer at home as an additional monitor, + I play games.</v>
      </c>
    </row>
    <row r="9494" spans="1:9" x14ac:dyDescent="0.3">
      <c r="A9494" s="1" t="s">
        <v>61</v>
      </c>
      <c r="B9494" s="1" t="s">
        <v>726</v>
      </c>
      <c r="C9494" s="1" t="s">
        <v>146</v>
      </c>
      <c r="D9494" s="1" t="s">
        <v>521</v>
      </c>
      <c r="E9494" s="1" t="s">
        <v>5970</v>
      </c>
      <c r="F9494" s="1" t="s">
        <v>14011</v>
      </c>
      <c r="G9494" s="1" t="s">
        <v>36</v>
      </c>
      <c r="H9494" s="1" t="s">
        <v>29</v>
      </c>
      <c r="I9494" s="1" t="str">
        <f ca="1">IFERROR(__xludf.DUMMYFUNCTION("GOOGLETRANSLATE(F9494, ""auto"", ""en"")
"),"I bought this stove in 2011 in Mvideo. It copes with its tasks perfectly. We buy bread very rarely. And now that I’ve learned how to bake Borodino bread here, I can completely forget about store-bought bread. I use it almost every day. My favorite white b"&amp;"read recipe is French, it is most similar to simple white bread, only tastier. I mix dough for pies, noodles, dumplings, pizza, and cake in it. She can knead very tough dough, so much so that I have difficulty rolling it out later. I only use it to make b"&amp;"atter (pancakes, pancakes), but it does everything else perfectly. There was a problem with the bucket, or rather with the plastic seal - it cracked and the bucket had to be replaced. This most likely happened due to my fault, when I filled the hot bucket"&amp;" with cold water, the plastic cracked due to the temperature change. Now I don't do that. There are programs for baking gluten-free bread.")</f>
        <v>I bought this stove in 2011 in Mvideo. It copes with its tasks perfectly. We buy bread very rarely. And now that I’ve learned how to bake Borodino bread here, I can completely forget about store-bought bread. I use it almost every day. My favorite white bread recipe is French, it is most similar to simple white bread, only tastier. I mix dough for pies, noodles, dumplings, pizza, and cake in it. She can knead very tough dough, so much so that I have difficulty rolling it out later. I only use it to make batter (pancakes, pancakes), but it does everything else perfectly. There was a problem with the bucket, or rather with the plastic seal - it cracked and the bucket had to be replaced. This most likely happened due to my fault, when I filled the hot bucket with cold water, the plastic cracked due to the temperature change. Now I don't do that. There are programs for baking gluten-free bread.</v>
      </c>
    </row>
    <row r="9495" spans="1:9" x14ac:dyDescent="0.3">
      <c r="A9495" s="1" t="s">
        <v>105</v>
      </c>
      <c r="B9495" s="1" t="s">
        <v>106</v>
      </c>
      <c r="C9495" s="1" t="s">
        <v>1209</v>
      </c>
      <c r="D9495" s="1" t="s">
        <v>14012</v>
      </c>
      <c r="E9495" s="1" t="s">
        <v>1310</v>
      </c>
      <c r="F9495" s="1" t="s">
        <v>14013</v>
      </c>
      <c r="G9495" s="1" t="s">
        <v>36</v>
      </c>
      <c r="H9495" s="1" t="s">
        <v>29</v>
      </c>
      <c r="I9495" s="1" t="str">
        <f ca="1">IFERROR(__xludf.DUMMYFUNCTION("GOOGLETRANSLATE(F9495, ""auto"", ""en"")
"),"I bought this player and did not regret it! The sound quality is good with good headphones. And what's in the package g...!!! Like a TV, it’s normal if you use it in the city and not somewhere in the village. All functions work fine in this player. There "&amp;"is an equalizer. Reads everything without conversion. The player works for its 3990 rubles. What about the quality - no worse than Sony, iPod. But not better either. I believe that for that kind of money you will not find anything more solid.         Good"&amp;" man.")</f>
        <v>I bought this player and did not regret it! The sound quality is good with good headphones. And what's in the package g...!!! Like a TV, it’s normal if you use it in the city and not somewhere in the village. All functions work fine in this player. There is an equalizer. Reads everything without conversion. The player works for its 3990 rubles. What about the quality - no worse than Sony, iPod. But not better either. I believe that for that kind of money you will not find anything more solid.         Good man.</v>
      </c>
    </row>
    <row r="9496" spans="1:9" x14ac:dyDescent="0.3">
      <c r="A9496" s="1" t="s">
        <v>1443</v>
      </c>
      <c r="B9496" s="1" t="s">
        <v>1444</v>
      </c>
      <c r="C9496" s="1" t="s">
        <v>1489</v>
      </c>
      <c r="D9496" s="1" t="s">
        <v>14014</v>
      </c>
      <c r="E9496" s="1" t="s">
        <v>3875</v>
      </c>
      <c r="F9496" s="1" t="s">
        <v>14015</v>
      </c>
      <c r="G9496" s="1" t="s">
        <v>28</v>
      </c>
      <c r="H9496" s="1" t="s">
        <v>29</v>
      </c>
      <c r="I9496" s="1" t="str">
        <f ca="1">IFERROR(__xludf.DUMMYFUNCTION("GOOGLETRANSLATE(F9496, ""auto"", ""en"")
"),"Large memory capacity, user-friendly design. I've been using this flash drive every day for about a little over six months. Never glitched, opens quickly. The speed of work is satisfactory.")</f>
        <v>Large memory capacity, user-friendly design. I've been using this flash drive every day for about a little over six months. Never glitched, opens quickly. The speed of work is satisfactory.</v>
      </c>
    </row>
    <row r="9497" spans="1:9" x14ac:dyDescent="0.3">
      <c r="A9497" s="1" t="s">
        <v>61</v>
      </c>
      <c r="B9497" s="1" t="s">
        <v>318</v>
      </c>
      <c r="C9497" s="1" t="s">
        <v>2840</v>
      </c>
      <c r="D9497" s="1" t="s">
        <v>474</v>
      </c>
      <c r="E9497" s="1" t="s">
        <v>9299</v>
      </c>
      <c r="F9497" s="1" t="s">
        <v>2268</v>
      </c>
      <c r="G9497" s="1" t="s">
        <v>49</v>
      </c>
      <c r="H9497" s="1" t="s">
        <v>16</v>
      </c>
      <c r="I9497" s="1" t="str">
        <f ca="1">IFERROR(__xludf.DUMMYFUNCTION("GOOGLETRANSLATE(F9497, ""auto"", ""en"")
"),"No")</f>
        <v>No</v>
      </c>
    </row>
    <row r="9498" spans="1:9" x14ac:dyDescent="0.3">
      <c r="A9498" s="1" t="s">
        <v>17</v>
      </c>
      <c r="B9498" s="1" t="s">
        <v>18</v>
      </c>
      <c r="C9498" s="1" t="s">
        <v>138</v>
      </c>
      <c r="D9498" s="1" t="s">
        <v>12</v>
      </c>
      <c r="E9498" s="1" t="s">
        <v>367</v>
      </c>
      <c r="F9498" s="1" t="s">
        <v>14016</v>
      </c>
      <c r="G9498" s="1" t="s">
        <v>36</v>
      </c>
      <c r="H9498" s="1" t="s">
        <v>29</v>
      </c>
      <c r="I9498" s="1" t="str">
        <f ca="1">IFERROR(__xludf.DUMMYFUNCTION("GOOGLETRANSLATE(F9498, ""auto"", ""en"")
"),"We recently purchased an excellent machine, not noisy, easy to operate, beautiful design. For such a price - just a miracle.")</f>
        <v>We recently purchased an excellent machine, not noisy, easy to operate, beautiful design. For such a price - just a miracle.</v>
      </c>
    </row>
    <row r="9499" spans="1:9" x14ac:dyDescent="0.3">
      <c r="A9499" s="1" t="s">
        <v>17</v>
      </c>
      <c r="B9499" s="1" t="s">
        <v>18</v>
      </c>
      <c r="C9499" s="1" t="s">
        <v>80</v>
      </c>
      <c r="D9499" s="1" t="s">
        <v>14017</v>
      </c>
      <c r="E9499" s="1" t="s">
        <v>1228</v>
      </c>
      <c r="F9499" s="1" t="s">
        <v>14018</v>
      </c>
      <c r="G9499" s="1" t="s">
        <v>15</v>
      </c>
      <c r="H9499" s="1" t="s">
        <v>16</v>
      </c>
      <c r="I9499" s="1" t="str">
        <f ca="1">IFERROR(__xludf.DUMMYFUNCTION("GOOGLETRANSLATE(F9499, ""auto"", ""en"")
"),"I bought this machine as a gift with delivery, I saw it only the next day, otherwise I would not have accepted it: the plastic of the control panel does not fit tightly to the body, it makes noise when vibrating during washing, one of the hidden elements "&amp;"and 2 visible self-tapping screws for fastening the top cover are broken - crooked assembly")</f>
        <v>I bought this machine as a gift with delivery, I saw it only the next day, otherwise I would not have accepted it: the plastic of the control panel does not fit tightly to the body, it makes noise when vibrating during washing, one of the hidden elements and 2 visible self-tapping screws for fastening the top cover are broken - crooked assembly</v>
      </c>
    </row>
    <row r="9500" spans="1:9" x14ac:dyDescent="0.3">
      <c r="A9500" s="1" t="s">
        <v>67</v>
      </c>
      <c r="B9500" s="1" t="s">
        <v>68</v>
      </c>
      <c r="C9500" s="1" t="s">
        <v>101</v>
      </c>
      <c r="D9500" s="1" t="s">
        <v>474</v>
      </c>
      <c r="E9500" s="1" t="s">
        <v>8601</v>
      </c>
      <c r="F9500" s="1" t="s">
        <v>14019</v>
      </c>
      <c r="G9500" s="1" t="s">
        <v>36</v>
      </c>
      <c r="H9500" s="1" t="s">
        <v>29</v>
      </c>
      <c r="I9500" s="1" t="str">
        <f ca="1">IFERROR(__xludf.DUMMYFUNCTION("GOOGLETRANSLATE(F9500, ""auto"", ""en"")
"),"Lightweight, compact, convenient for ironing small parts, and it does a great job with large ones!")</f>
        <v>Lightweight, compact, convenient for ironing small parts, and it does a great job with large ones!</v>
      </c>
    </row>
    <row r="9501" spans="1:9" x14ac:dyDescent="0.3">
      <c r="A9501" s="1" t="s">
        <v>206</v>
      </c>
      <c r="B9501" s="1" t="s">
        <v>207</v>
      </c>
      <c r="C9501" s="1" t="s">
        <v>152</v>
      </c>
      <c r="D9501" s="1" t="s">
        <v>2055</v>
      </c>
      <c r="E9501" s="1" t="s">
        <v>2070</v>
      </c>
      <c r="F9501" s="1" t="s">
        <v>14020</v>
      </c>
      <c r="G9501" s="1" t="s">
        <v>36</v>
      </c>
      <c r="H9501" s="1" t="s">
        <v>29</v>
      </c>
      <c r="I9501" s="1" t="str">
        <f ca="1">IFERROR(__xludf.DUMMYFUNCTION("GOOGLETRANSLATE(F9501, ""auto"", ""en"")
"),"After installing the Sony 660 radio, loud and high-quality sound appeared. But the only problem is that the high frequencies are missing. Clicky tweeters add high-quality sound, but in my case I was disappointed because... they play really well, but not a"&amp;"s much as we would like.")</f>
        <v>After installing the Sony 660 radio, loud and high-quality sound appeared. But the only problem is that the high frequencies are missing. Clicky tweeters add high-quality sound, but in my case I was disappointed because... they play really well, but not as much as we would like.</v>
      </c>
    </row>
    <row r="9502" spans="1:9" x14ac:dyDescent="0.3">
      <c r="A9502" s="1" t="s">
        <v>17</v>
      </c>
      <c r="B9502" s="1" t="s">
        <v>18</v>
      </c>
      <c r="C9502" s="1" t="s">
        <v>885</v>
      </c>
      <c r="D9502" s="1" t="s">
        <v>474</v>
      </c>
      <c r="E9502" s="1" t="s">
        <v>2348</v>
      </c>
      <c r="F9502" s="1" t="s">
        <v>14021</v>
      </c>
      <c r="G9502" s="1" t="s">
        <v>15</v>
      </c>
      <c r="H9502" s="1" t="s">
        <v>16</v>
      </c>
      <c r="I9502" s="1" t="str">
        <f ca="1">IFERROR(__xludf.DUMMYFUNCTION("GOOGLETRANSLATE(F9502, ""auto"", ""en"")
"),"During the spin cycle, a loud grinding noise is heard from the drum. At the end of the wash, the smell of burnt plastic appeared.. The only good thing was the large hatch))) We will change the machine..")</f>
        <v>During the spin cycle, a loud grinding noise is heard from the drum. At the end of the wash, the smell of burnt plastic appeared.. The only good thing was the large hatch))) We will change the machine..</v>
      </c>
    </row>
    <row r="9503" spans="1:9" x14ac:dyDescent="0.3">
      <c r="A9503" s="1" t="s">
        <v>67</v>
      </c>
      <c r="B9503" s="1" t="s">
        <v>68</v>
      </c>
      <c r="C9503" s="1" t="s">
        <v>69</v>
      </c>
      <c r="D9503" s="1" t="s">
        <v>2728</v>
      </c>
      <c r="E9503" s="1" t="s">
        <v>4844</v>
      </c>
      <c r="F9503" s="1" t="s">
        <v>14022</v>
      </c>
      <c r="G9503" s="1" t="s">
        <v>36</v>
      </c>
      <c r="H9503" s="1" t="s">
        <v>29</v>
      </c>
      <c r="I9503" s="1" t="str">
        <f ca="1">IFERROR(__xludf.DUMMYFUNCTION("GOOGLETRANSLATE(F9503, ""auto"", ""en"")
"),"Plus in everything")</f>
        <v>Plus in everything</v>
      </c>
    </row>
    <row r="9504" spans="1:9" x14ac:dyDescent="0.3">
      <c r="A9504" s="1" t="s">
        <v>17</v>
      </c>
      <c r="B9504" s="1" t="s">
        <v>18</v>
      </c>
      <c r="C9504" s="1" t="s">
        <v>138</v>
      </c>
      <c r="D9504" s="1" t="s">
        <v>1499</v>
      </c>
      <c r="E9504" s="1" t="s">
        <v>2780</v>
      </c>
      <c r="F9504" s="1" t="s">
        <v>14023</v>
      </c>
      <c r="G9504" s="1" t="s">
        <v>15</v>
      </c>
      <c r="H9504" s="1" t="s">
        <v>16</v>
      </c>
      <c r="I9504" s="1" t="str">
        <f ca="1">IFERROR(__xludf.DUMMYFUNCTION("GOOGLETRANSLATE(F9504, ""auto"", ""en"")
"),"On the second wash the machine broke down. It just stopped during washing and nothing further. the water does not drain.   The bad thing is that during washing it is not clear what stage it is at and how long to wait.  I won't go after cheap anymore.  I i"&amp;"ntend to change the brand.")</f>
        <v>On the second wash the machine broke down. It just stopped during washing and nothing further. the water does not drain.   The bad thing is that during washing it is not clear what stage it is at and how long to wait.  I won't go after cheap anymore.  I intend to change the brand.</v>
      </c>
    </row>
    <row r="9505" spans="1:9" x14ac:dyDescent="0.3">
      <c r="A9505" s="1" t="s">
        <v>43</v>
      </c>
      <c r="B9505" s="1" t="s">
        <v>502</v>
      </c>
      <c r="C9505" s="1" t="s">
        <v>159</v>
      </c>
      <c r="D9505" s="1" t="s">
        <v>14024</v>
      </c>
      <c r="E9505" s="1" t="s">
        <v>7571</v>
      </c>
      <c r="F9505" s="1" t="s">
        <v>14025</v>
      </c>
      <c r="G9505" s="1" t="s">
        <v>36</v>
      </c>
      <c r="H9505" s="1" t="s">
        <v>29</v>
      </c>
      <c r="I9505" s="1" t="str">
        <f ca="1">IFERROR(__xludf.DUMMYFUNCTION("GOOGLETRANSLATE(F9505, ""auto"", ""en"")
"),"Previously, at our house we had the most ordinary air conditioner in the form of such a box, but in the summer it simply consumed an enormous amount of energy, so we made a strong-willed decision to buy a split system to save energy. Indeed, the bill bega"&amp;"n to arrive several times less (in the summer the horses work around the clock!). In addition, the noise level has decreased significantly. Even in turbo mode, this model makes much less noise. The room cools completely in about 20 minutes, but if you sit"&amp;" close to the air stream, it will become cool immediately. Excellent convenient remote control with backlight, the curtain can be used to change the direction of the jet. It cools very carefully, before anyone has a fever, as often happens with a sharp te"&amp;"mperature change. Worth the money!")</f>
        <v>Previously, at our house we had the most ordinary air conditioner in the form of such a box, but in the summer it simply consumed an enormous amount of energy, so we made a strong-willed decision to buy a split system to save energy. Indeed, the bill began to arrive several times less (in the summer the horses work around the clock!). In addition, the noise level has decreased significantly. Even in turbo mode, this model makes much less noise. The room cools completely in about 20 minutes, but if you sit close to the air stream, it will become cool immediately. Excellent convenient remote control with backlight, the curtain can be used to change the direction of the jet. It cools very carefully, before anyone has a fever, as often happens with a sharp temperature change. Worth the money!</v>
      </c>
    </row>
    <row r="9506" spans="1:9" x14ac:dyDescent="0.3">
      <c r="A9506" s="1" t="s">
        <v>732</v>
      </c>
      <c r="B9506" s="1" t="s">
        <v>733</v>
      </c>
      <c r="C9506" s="1" t="s">
        <v>1680</v>
      </c>
      <c r="D9506" s="1" t="s">
        <v>545</v>
      </c>
      <c r="E9506" s="1" t="s">
        <v>1236</v>
      </c>
      <c r="F9506" s="1" t="s">
        <v>14026</v>
      </c>
      <c r="G9506" s="1" t="s">
        <v>36</v>
      </c>
      <c r="H9506" s="1" t="s">
        <v>29</v>
      </c>
      <c r="I9506" s="1" t="str">
        <f ca="1">IFERROR(__xludf.DUMMYFUNCTION("GOOGLETRANSLATE(F9506, ""auto"", ""en"")
"),"I bought the monitor in the spring of 2010. I am completely satisfied with the performance of the monitor. Take it without hesitation. By the way, does anyone know how to remove the plastic cover from the back of the monitor in order to remove it and hang"&amp;" the monitor on the wall. Where do you need to press on the lid and in what direction should you move it to remove it, otherwise you can’t remove it.")</f>
        <v>I bought the monitor in the spring of 2010. I am completely satisfied with the performance of the monitor. Take it without hesitation. By the way, does anyone know how to remove the plastic cover from the back of the monitor in order to remove it and hang the monitor on the wall. Where do you need to press on the lid and in what direction should you move it to remove it, otherwise you can’t remove it.</v>
      </c>
    </row>
    <row r="9507" spans="1:9" x14ac:dyDescent="0.3">
      <c r="A9507" s="1" t="s">
        <v>37</v>
      </c>
      <c r="B9507" s="1" t="s">
        <v>536</v>
      </c>
      <c r="C9507" s="1" t="s">
        <v>537</v>
      </c>
      <c r="D9507" s="1" t="s">
        <v>52</v>
      </c>
      <c r="E9507" s="1" t="s">
        <v>1376</v>
      </c>
      <c r="F9507" s="1" t="s">
        <v>14027</v>
      </c>
      <c r="G9507" s="1" t="s">
        <v>36</v>
      </c>
      <c r="H9507" s="1" t="s">
        <v>29</v>
      </c>
      <c r="I9507" s="1" t="str">
        <f ca="1">IFERROR(__xludf.DUMMYFUNCTION("GOOGLETRANSLATE(F9507, ""auto"", ""en"")
"),"The device is good, there are almost no complaints.  The only thing is that you have to download the programs yourself. If you download them, the PDA is simply a miracle.")</f>
        <v>The device is good, there are almost no complaints.  The only thing is that you have to download the programs yourself. If you download them, the PDA is simply a miracle.</v>
      </c>
    </row>
    <row r="9508" spans="1:9" x14ac:dyDescent="0.3">
      <c r="A9508" s="1" t="s">
        <v>206</v>
      </c>
      <c r="B9508" s="1" t="s">
        <v>1349</v>
      </c>
      <c r="C9508" s="1" t="s">
        <v>351</v>
      </c>
      <c r="D9508" s="1" t="s">
        <v>589</v>
      </c>
      <c r="E9508" s="1" t="s">
        <v>743</v>
      </c>
      <c r="F9508" s="1" t="s">
        <v>14028</v>
      </c>
      <c r="G9508" s="1" t="s">
        <v>15</v>
      </c>
      <c r="H9508" s="1" t="s">
        <v>16</v>
      </c>
      <c r="I9508" s="1" t="str">
        <f ca="1">IFERROR(__xludf.DUMMYFUNCTION("GOOGLETRANSLATE(F9508, ""auto"", ""en"")
"),"The radio is very nice in appearance, it made me happy at first, but then: it turns itself off, thinks for a long time, the external screen comes off and doesn’t work...")</f>
        <v>The radio is very nice in appearance, it made me happy at first, but then: it turns itself off, thinks for a long time, the external screen comes off and doesn’t work...</v>
      </c>
    </row>
    <row r="9509" spans="1:9" x14ac:dyDescent="0.3">
      <c r="A9509" s="1" t="s">
        <v>811</v>
      </c>
      <c r="B9509" s="1" t="s">
        <v>4226</v>
      </c>
      <c r="C9509" s="1" t="s">
        <v>97</v>
      </c>
      <c r="D9509" s="1" t="s">
        <v>14029</v>
      </c>
      <c r="E9509" s="1" t="s">
        <v>1767</v>
      </c>
      <c r="F9509" s="1" t="s">
        <v>14030</v>
      </c>
      <c r="G9509" s="1" t="s">
        <v>28</v>
      </c>
      <c r="H9509" s="1" t="s">
        <v>29</v>
      </c>
      <c r="I9509" s="1" t="str">
        <f ca="1">IFERROR(__xludf.DUMMYFUNCTION("GOOGLETRANSLATE(F9509, ""auto"", ""en"")
"),"After charging, the battery lasts a long time, significantly longer than the battery that was originally included with my Sonya. The only worrying thing is that it only has a three-month warranty. But I still hope that the Japanese battery will still be d"&amp;"urable.")</f>
        <v>After charging, the battery lasts a long time, significantly longer than the battery that was originally included with my Sonya. The only worrying thing is that it only has a three-month warranty. But I still hope that the Japanese battery will still be durable.</v>
      </c>
    </row>
    <row r="9510" spans="1:9" x14ac:dyDescent="0.3">
      <c r="A9510" s="1" t="s">
        <v>61</v>
      </c>
      <c r="B9510" s="1" t="s">
        <v>318</v>
      </c>
      <c r="C9510" s="1" t="s">
        <v>101</v>
      </c>
      <c r="D9510" s="1" t="s">
        <v>152</v>
      </c>
      <c r="E9510" s="1" t="s">
        <v>3504</v>
      </c>
      <c r="F9510" s="1" t="s">
        <v>14031</v>
      </c>
      <c r="G9510" s="1" t="s">
        <v>36</v>
      </c>
      <c r="H9510" s="1" t="s">
        <v>29</v>
      </c>
      <c r="I9510" s="1" t="str">
        <f ca="1">IFERROR(__xludf.DUMMYFUNCTION("GOOGLETRANSLATE(F9510, ""auto"", ""en"")
"),"not expensive, backlit design, boils quickly")</f>
        <v>not expensive, backlit design, boils quickly</v>
      </c>
    </row>
    <row r="9511" spans="1:9" x14ac:dyDescent="0.3">
      <c r="A9511" s="1" t="s">
        <v>17</v>
      </c>
      <c r="B9511" s="1" t="s">
        <v>18</v>
      </c>
      <c r="C9511" s="1" t="s">
        <v>151</v>
      </c>
      <c r="D9511" s="1" t="s">
        <v>171</v>
      </c>
      <c r="E9511" s="1" t="s">
        <v>124</v>
      </c>
      <c r="F9511" s="1" t="s">
        <v>14032</v>
      </c>
      <c r="G9511" s="1" t="s">
        <v>36</v>
      </c>
      <c r="H9511" s="1" t="s">
        <v>29</v>
      </c>
      <c r="I9511" s="1" t="str">
        <f ca="1">IFERROR(__xludf.DUMMYFUNCTION("GOOGLETRANSLATE(F9511, ""auto"", ""en"")
"),"I bought the car as a gift for my parents. Everything is so simple and logical that I wanted to buy one myself. The machine is very quiet, it washes quietly, it sits evenly during the spin cycle, but there is a slight vibration.")</f>
        <v>I bought the car as a gift for my parents. Everything is so simple and logical that I wanted to buy one myself. The machine is very quiet, it washes quietly, it sits evenly during the spin cycle, but there is a slight vibration.</v>
      </c>
    </row>
    <row r="9512" spans="1:9" x14ac:dyDescent="0.3">
      <c r="A9512" s="1" t="s">
        <v>37</v>
      </c>
      <c r="B9512" s="1" t="s">
        <v>38</v>
      </c>
      <c r="C9512" s="1" t="s">
        <v>163</v>
      </c>
      <c r="D9512" s="1" t="s">
        <v>14033</v>
      </c>
      <c r="E9512" s="1" t="s">
        <v>41</v>
      </c>
      <c r="F9512" s="1" t="s">
        <v>14034</v>
      </c>
      <c r="G9512" s="1" t="s">
        <v>28</v>
      </c>
      <c r="H9512" s="1" t="s">
        <v>29</v>
      </c>
      <c r="I9512" s="1" t="str">
        <f ca="1">IFERROR(__xludf.DUMMYFUNCTION("GOOGLETRANSLATE(F9512, ""auto"", ""en"")
"),"After a month of use, for some reason the sound of the bell speaker went down.")</f>
        <v>After a month of use, for some reason the sound of the bell speaker went down.</v>
      </c>
    </row>
    <row r="9513" spans="1:9" x14ac:dyDescent="0.3">
      <c r="A9513" s="1" t="s">
        <v>43</v>
      </c>
      <c r="B9513" s="1" t="s">
        <v>44</v>
      </c>
      <c r="C9513" s="1" t="s">
        <v>57</v>
      </c>
      <c r="D9513" s="1" t="s">
        <v>14035</v>
      </c>
      <c r="E9513" s="1" t="s">
        <v>4563</v>
      </c>
      <c r="F9513" s="1" t="s">
        <v>14036</v>
      </c>
      <c r="G9513" s="1" t="s">
        <v>36</v>
      </c>
      <c r="H9513" s="1" t="s">
        <v>29</v>
      </c>
      <c r="I9513" s="1" t="str">
        <f ca="1">IFERROR(__xludf.DUMMYFUNCTION("GOOGLETRANSLATE(F9513, ""auto"", ""en"")
"),"Air conditioning in our climate is often completely useless, so we decided to buy some kind of fan in case of abnormal heat. It’s not needed - put it out of sight and that’s it, with the air conditioning it won’t work like that, just attach it - just fix "&amp;"it forever. Due to the fact that it is not low, it is easy to “ventilate”, so to speak, a room with high ceilings, and you can always adjust it downwards. At the same time, it is quite “slender”, so it does not take up much space; you can place it in a co"&amp;"rner, then it blows air through the entire room at the highest third speed. The design seems very reliable, the leg is stable, and even when operating at the highest power, the fan does not tilt or wobble. The materials are of good quality, the blades are"&amp;" securely hidden behind the grille, the children will not harm themselves in any way, otherwise curiosity is off the charts.")</f>
        <v>Air conditioning in our climate is often completely useless, so we decided to buy some kind of fan in case of abnormal heat. It’s not needed - put it out of sight and that’s it, with the air conditioning it won’t work like that, just attach it - just fix it forever. Due to the fact that it is not low, it is easy to “ventilate”, so to speak, a room with high ceilings, and you can always adjust it downwards. At the same time, it is quite “slender”, so it does not take up much space; you can place it in a corner, then it blows air through the entire room at the highest third speed. The design seems very reliable, the leg is stable, and even when operating at the highest power, the fan does not tilt or wobble. The materials are of good quality, the blades are securely hidden behind the grille, the children will not harm themselves in any way, otherwise curiosity is off the charts.</v>
      </c>
    </row>
    <row r="9514" spans="1:9" x14ac:dyDescent="0.3">
      <c r="A9514" s="1" t="s">
        <v>37</v>
      </c>
      <c r="B9514" s="1" t="s">
        <v>38</v>
      </c>
      <c r="C9514" s="1" t="s">
        <v>151</v>
      </c>
      <c r="D9514" s="1" t="s">
        <v>14037</v>
      </c>
      <c r="E9514" s="1" t="s">
        <v>320</v>
      </c>
      <c r="F9514" s="1" t="s">
        <v>14038</v>
      </c>
      <c r="G9514" s="1" t="s">
        <v>28</v>
      </c>
      <c r="H9514" s="1" t="s">
        <v>29</v>
      </c>
      <c r="I9514" s="1" t="str">
        <f ca="1">IFERROR(__xludf.DUMMYFUNCTION("GOOGLETRANSLATE(F9514, ""auto"", ""en"")
"),"I bought it as a gift for my mother, she is very pleased. She especially liked the quality of the camera and the cool display of numbers on the second display.   A good woman's phone.")</f>
        <v>I bought it as a gift for my mother, she is very pleased. She especially liked the quality of the camera and the cool display of numbers on the second display.   A good woman's phone.</v>
      </c>
    </row>
    <row r="9515" spans="1:9" x14ac:dyDescent="0.3">
      <c r="A9515" s="1" t="s">
        <v>61</v>
      </c>
      <c r="B9515" s="1" t="s">
        <v>180</v>
      </c>
      <c r="C9515" s="1" t="s">
        <v>85</v>
      </c>
      <c r="D9515" s="1" t="s">
        <v>52</v>
      </c>
      <c r="E9515" s="1" t="s">
        <v>4892</v>
      </c>
      <c r="F9515" s="1" t="s">
        <v>14039</v>
      </c>
      <c r="G9515" s="1" t="s">
        <v>36</v>
      </c>
      <c r="H9515" s="1" t="s">
        <v>29</v>
      </c>
      <c r="I9515" s="1" t="str">
        <f ca="1">IFERROR(__xludf.DUMMYFUNCTION("GOOGLETRANSLATE(F9515, ""auto"", ""en"")
"),"Just like the previous one who unsubscribed, they took this unit after a toaster from another company broke down. Fortunately, Mvideo has good service and they changed it without any problems. True, I had to pay a decent amount. The first thing that impre"&amp;"sses is the design! he's just gorgeous! The second is the smooth rise of the toast, it’s just fun to press it at the moment when they are roasting and watch how it happens. A very good function of frying on one side - once fried, put a slice of cheese on "&amp;"it, very tasty! In general, the toaster is excellent, I recommend it to everyone! As the old saying goes - I'm not rich enough to buy cheap things!")</f>
        <v>Just like the previous one who unsubscribed, they took this unit after a toaster from another company broke down. Fortunately, Mvideo has good service and they changed it without any problems. True, I had to pay a decent amount. The first thing that impresses is the design! he's just gorgeous! The second is the smooth rise of the toast, it’s just fun to press it at the moment when they are roasting and watch how it happens. A very good function of frying on one side - once fried, put a slice of cheese on it, very tasty! In general, the toaster is excellent, I recommend it to everyone! As the old saying goes - I'm not rich enough to buy cheap things!</v>
      </c>
    </row>
    <row r="9516" spans="1:9" x14ac:dyDescent="0.3">
      <c r="A9516" s="1" t="s">
        <v>211</v>
      </c>
      <c r="B9516" s="1" t="s">
        <v>212</v>
      </c>
      <c r="C9516" s="1" t="s">
        <v>294</v>
      </c>
      <c r="D9516" s="1" t="s">
        <v>10310</v>
      </c>
      <c r="E9516" s="1" t="s">
        <v>1339</v>
      </c>
      <c r="F9516" s="1" t="s">
        <v>14040</v>
      </c>
      <c r="G9516" s="1" t="s">
        <v>15</v>
      </c>
      <c r="H9516" s="1" t="s">
        <v>16</v>
      </c>
      <c r="I9516" s="1" t="str">
        <f ca="1">IFERROR(__xludf.DUMMYFUNCTION("GOOGLETRANSLATE(F9516, ""auto"", ""en"")
"),"Personally, I didn't like it. straightens for a long time.")</f>
        <v>Personally, I didn't like it. straightens for a long time.</v>
      </c>
    </row>
    <row r="9517" spans="1:9" x14ac:dyDescent="0.3">
      <c r="A9517" s="1" t="s">
        <v>211</v>
      </c>
      <c r="B9517" s="1" t="s">
        <v>384</v>
      </c>
      <c r="C9517" s="1" t="s">
        <v>57</v>
      </c>
      <c r="D9517" s="1" t="s">
        <v>1823</v>
      </c>
      <c r="E9517" s="1" t="s">
        <v>606</v>
      </c>
      <c r="F9517" s="1" t="s">
        <v>14041</v>
      </c>
      <c r="G9517" s="1" t="s">
        <v>36</v>
      </c>
      <c r="H9517" s="1" t="s">
        <v>29</v>
      </c>
      <c r="I9517" s="1" t="str">
        <f ca="1">IFERROR(__xludf.DUMMYFUNCTION("GOOGLETRANSLATE(F9517, ""auto"", ""en"")
"),"normal scales, I actually have them on the laminate... they show everything clearly... stand up at least five times in a row... they will show the same thing... and as for turning them on... just lightly tap them with your foot and they turn on... I don’t"&amp;" have any problems with that at all...")</f>
        <v>normal scales, I actually have them on the laminate... they show everything clearly... stand up at least five times in a row... they will show the same thing... and as for turning them on... just lightly tap them with your foot and they turn on... I don’t have any problems with that at all...</v>
      </c>
    </row>
    <row r="9518" spans="1:9" x14ac:dyDescent="0.3">
      <c r="A9518" s="1" t="s">
        <v>373</v>
      </c>
      <c r="B9518" s="1" t="s">
        <v>374</v>
      </c>
      <c r="C9518" s="1" t="s">
        <v>63</v>
      </c>
      <c r="D9518" s="1" t="s">
        <v>20</v>
      </c>
      <c r="E9518" s="1" t="s">
        <v>285</v>
      </c>
      <c r="F9518" s="1" t="s">
        <v>14042</v>
      </c>
      <c r="G9518" s="1" t="s">
        <v>36</v>
      </c>
      <c r="H9518" s="1" t="s">
        <v>29</v>
      </c>
      <c r="I9518" s="1" t="str">
        <f ca="1">IFERROR(__xludf.DUMMYFUNCTION("GOOGLETRANSLATE(F9518, ""auto"", ""en"")
"),"Yes, it seems like nothing - cute and working :-)")</f>
        <v>Yes, it seems like nothing - cute and working :-)</v>
      </c>
    </row>
    <row r="9519" spans="1:9" x14ac:dyDescent="0.3">
      <c r="A9519" s="1" t="s">
        <v>211</v>
      </c>
      <c r="B9519" s="1" t="s">
        <v>265</v>
      </c>
      <c r="C9519" s="1" t="s">
        <v>122</v>
      </c>
      <c r="D9519" s="1" t="s">
        <v>64</v>
      </c>
      <c r="E9519" s="1" t="s">
        <v>3262</v>
      </c>
      <c r="F9519" s="1" t="s">
        <v>14043</v>
      </c>
      <c r="G9519" s="1" t="s">
        <v>49</v>
      </c>
      <c r="H9519" s="1" t="s">
        <v>16</v>
      </c>
      <c r="I9519" s="1" t="str">
        <f ca="1">IFERROR(__xludf.DUMMYFUNCTION("GOOGLETRANSLATE(F9519, ""auto"", ""en"")
"),"I don’t know what she should do, but this machine is clearly not for cutting hair. If she does get a haircut, then only to 0, since she doesn’t even take 0.5 cm, stupidly smoothes her hair, cuts off a few hairs only when you run it over the same area 10 t"&amp;"imes. It gets clogged tightly after you run it 1 time, the cut hair clogs the blades, you have to remove the nozzle every time and suffer, picking them out from there, since this clogged hair The machine shreds so much that you don’t worry. We are shocked"&amp;" by such a machine, there are no words, only emotions. Our only regret is that we didn’t read the reviews about it in advance, since every review is negative (to put it mildly). People, don't waste your money on such a MIRACLE INVENTION!")</f>
        <v>I don’t know what she should do, but this machine is clearly not for cutting hair. If she does get a haircut, then only to 0, since she doesn’t even take 0.5 cm, stupidly smoothes her hair, cuts off a few hairs only when you run it over the same area 10 times. It gets clogged tightly after you run it 1 time, the cut hair clogs the blades, you have to remove the nozzle every time and suffer, picking them out from there, since this clogged hair The machine shreds so much that you don’t worry. We are shocked by such a machine, there are no words, only emotions. Our only regret is that we didn’t read the reviews about it in advance, since every review is negative (to put it mildly). People, don't waste your money on such a MIRACLE INVENTION!</v>
      </c>
    </row>
    <row r="9520" spans="1:9" x14ac:dyDescent="0.3">
      <c r="A9520" s="1" t="s">
        <v>206</v>
      </c>
      <c r="B9520" s="1" t="s">
        <v>261</v>
      </c>
      <c r="C9520" s="1" t="s">
        <v>152</v>
      </c>
      <c r="D9520" s="1" t="s">
        <v>305</v>
      </c>
      <c r="E9520" s="1" t="s">
        <v>3125</v>
      </c>
      <c r="F9520" s="1" t="s">
        <v>14044</v>
      </c>
      <c r="G9520" s="1" t="s">
        <v>36</v>
      </c>
      <c r="H9520" s="1" t="s">
        <v>29</v>
      </c>
      <c r="I9520" s="1" t="str">
        <f ca="1">IFERROR(__xludf.DUMMYFUNCTION("GOOGLETRANSLATE(F9520, ""auto"", ""en"")
"),"Tough but flexible. Easy to install. High quality tulips. They don't jump off. The signal goes without unnecessary interference.")</f>
        <v>Tough but flexible. Easy to install. High quality tulips. They don't jump off. The signal goes without unnecessary interference.</v>
      </c>
    </row>
    <row r="9521" spans="1:9" x14ac:dyDescent="0.3">
      <c r="A9521" s="1" t="s">
        <v>61</v>
      </c>
      <c r="B9521" s="1" t="s">
        <v>224</v>
      </c>
      <c r="C9521" s="1" t="s">
        <v>314</v>
      </c>
      <c r="D9521" s="1" t="s">
        <v>14045</v>
      </c>
      <c r="E9521" s="1" t="s">
        <v>109</v>
      </c>
      <c r="F9521" s="1" t="s">
        <v>14046</v>
      </c>
      <c r="G9521" s="1" t="s">
        <v>36</v>
      </c>
      <c r="H9521" s="1" t="s">
        <v>29</v>
      </c>
      <c r="I9521" s="1" t="str">
        <f ca="1">IFERROR(__xludf.DUMMYFUNCTION("GOOGLETRANSLATE(F9521, ""auto"", ""en"")
"),"Rubs apples and carrots into trash. The cake is moist but not wet!  For a glass of juice - 2-3 apples.  Price-quality completely cover each other. I would even say the quality is superior.  There are a lot of POSITIVE reviews on the Internet!  I recommend")</f>
        <v>Rubs apples and carrots into trash. The cake is moist but not wet!  For a glass of juice - 2-3 apples.  Price-quality completely cover each other. I would even say the quality is superior.  There are a lot of POSITIVE reviews on the Internet!  I recommend</v>
      </c>
    </row>
    <row r="9522" spans="1:9" x14ac:dyDescent="0.3">
      <c r="A9522" s="1" t="s">
        <v>2087</v>
      </c>
      <c r="B9522" s="1" t="s">
        <v>2088</v>
      </c>
      <c r="C9522" s="1" t="s">
        <v>151</v>
      </c>
      <c r="D9522" s="1" t="s">
        <v>366</v>
      </c>
      <c r="E9522" s="1" t="s">
        <v>178</v>
      </c>
      <c r="F9522" s="1" t="s">
        <v>14047</v>
      </c>
      <c r="G9522" s="1" t="s">
        <v>28</v>
      </c>
      <c r="H9522" s="1" t="s">
        <v>29</v>
      </c>
      <c r="I9522" s="1" t="str">
        <f ca="1">IFERROR(__xludf.DUMMYFUNCTION("GOOGLETRANSLATE(F9522, ""auto"", ""en"")
"),"the player is good, reads an external hard drive, as in fat and ntfs, plays mkv, but the audio tracks need to be re-encoded and set to 448 kb/s, higher speeds will slow down")</f>
        <v>the player is good, reads an external hard drive, as in fat and ntfs, plays mkv, but the audio tracks need to be re-encoded and set to 448 kb/s, higher speeds will slow down</v>
      </c>
    </row>
    <row r="9523" spans="1:9" x14ac:dyDescent="0.3">
      <c r="A9523" s="1" t="s">
        <v>30</v>
      </c>
      <c r="B9523" s="1" t="s">
        <v>50</v>
      </c>
      <c r="C9523" s="1" t="s">
        <v>51</v>
      </c>
      <c r="D9523" s="1" t="s">
        <v>14048</v>
      </c>
      <c r="E9523" s="1" t="s">
        <v>1086</v>
      </c>
      <c r="F9523" s="1" t="s">
        <v>14049</v>
      </c>
      <c r="G9523" s="1" t="s">
        <v>36</v>
      </c>
      <c r="H9523" s="1" t="s">
        <v>29</v>
      </c>
      <c r="I9523" s="1" t="str">
        <f ca="1">IFERROR(__xludf.DUMMYFUNCTION("GOOGLETRANSLATE(F9523, ""auto"", ""en"")
"),"The parameters are quite decent computer. I don't regret the purchase")</f>
        <v>The parameters are quite decent computer. I don't regret the purchase</v>
      </c>
    </row>
    <row r="9524" spans="1:9" x14ac:dyDescent="0.3">
      <c r="A9524" s="1" t="s">
        <v>105</v>
      </c>
      <c r="B9524" s="1" t="s">
        <v>106</v>
      </c>
      <c r="C9524" s="1" t="s">
        <v>1209</v>
      </c>
      <c r="D9524" s="1" t="s">
        <v>14050</v>
      </c>
      <c r="E9524" s="1" t="s">
        <v>1765</v>
      </c>
      <c r="F9524" s="1" t="s">
        <v>14051</v>
      </c>
      <c r="G9524" s="1" t="s">
        <v>28</v>
      </c>
      <c r="H9524" s="1" t="s">
        <v>29</v>
      </c>
      <c r="I9524" s="1" t="str">
        <f ca="1">IFERROR(__xludf.DUMMYFUNCTION("GOOGLETRANSLATE(F9524, ""auto"", ""en"")
"),"The player is so-so, happy at first, then the audio input refused and I paid 500 rubles for repairs. It would have been better to take a more expensive player and it messes up with video very often, i.e. freezes.")</f>
        <v>The player is so-so, happy at first, then the audio input refused and I paid 500 rubles for repairs. It would have been better to take a more expensive player and it messes up with video very often, i.e. freezes.</v>
      </c>
    </row>
    <row r="9525" spans="1:9" x14ac:dyDescent="0.3">
      <c r="A9525" s="1" t="s">
        <v>120</v>
      </c>
      <c r="B9525" s="1" t="s">
        <v>256</v>
      </c>
      <c r="C9525" s="1" t="s">
        <v>151</v>
      </c>
      <c r="D9525" s="1" t="s">
        <v>39</v>
      </c>
      <c r="E9525" s="1" t="s">
        <v>2131</v>
      </c>
      <c r="F9525" s="1" t="s">
        <v>14052</v>
      </c>
      <c r="G9525" s="1" t="s">
        <v>15</v>
      </c>
      <c r="H9525" s="1" t="s">
        <v>16</v>
      </c>
      <c r="I9525" s="1" t="str">
        <f ca="1">IFERROR(__xludf.DUMMYFUNCTION("GOOGLETRANSLATE(F9525, ""auto"", ""en"")
"),"We bought this TV for our dacha. We drove around the city for a couple of days, through your cable TV. The quality of the on-air picture is very poor. The image is all artifacts. With a conventional antenna the artifacts are the same. Viewing angles are g"&amp;"ood, the matrix is ​​not TN. I connected the PlayStation3 - there are no artifacts, but the fast-moving picture is noticeably blurry. The response time of the TV seems to be so-so. Inconvenient stand with screws. I bought it on sale; for that amount of mo"&amp;"ney it would have been better not to buy it. It's definitely not worth 15k.")</f>
        <v>We bought this TV for our dacha. We drove around the city for a couple of days, through your cable TV. The quality of the on-air picture is very poor. The image is all artifacts. With a conventional antenna the artifacts are the same. Viewing angles are good, the matrix is ​​not TN. I connected the PlayStation3 - there are no artifacts, but the fast-moving picture is noticeably blurry. The response time of the TV seems to be so-so. Inconvenient stand with screws. I bought it on sale; for that amount of money it would have been better not to buy it. It's definitely not worth 15k.</v>
      </c>
    </row>
    <row r="9526" spans="1:9" x14ac:dyDescent="0.3">
      <c r="A9526" s="1" t="s">
        <v>206</v>
      </c>
      <c r="B9526" s="1" t="s">
        <v>207</v>
      </c>
      <c r="C9526" s="1" t="s">
        <v>152</v>
      </c>
      <c r="D9526" s="1" t="s">
        <v>14053</v>
      </c>
      <c r="E9526" s="1" t="s">
        <v>4049</v>
      </c>
      <c r="F9526" s="1" t="s">
        <v>14054</v>
      </c>
      <c r="G9526" s="1" t="s">
        <v>28</v>
      </c>
      <c r="H9526" s="1" t="s">
        <v>29</v>
      </c>
      <c r="I9526" s="1" t="str">
        <f ca="1">IFERROR(__xludf.DUMMYFUNCTION("GOOGLETRANSLATE(F9526, ""auto"", ""en"")
"),"There is no bass reflex and small volume, so it is good to use with a powerful amplifier. Saves a lot of space in the trunk.")</f>
        <v>There is no bass reflex and small volume, so it is good to use with a powerful amplifier. Saves a lot of space in the trunk.</v>
      </c>
    </row>
    <row r="9527" spans="1:9" x14ac:dyDescent="0.3">
      <c r="A9527" s="1" t="s">
        <v>95</v>
      </c>
      <c r="B9527" s="1" t="s">
        <v>486</v>
      </c>
      <c r="C9527" s="1" t="s">
        <v>487</v>
      </c>
      <c r="D9527" s="1" t="s">
        <v>4412</v>
      </c>
      <c r="E9527" s="1" t="s">
        <v>4504</v>
      </c>
      <c r="F9527" s="1" t="s">
        <v>14055</v>
      </c>
      <c r="G9527" s="1" t="s">
        <v>36</v>
      </c>
      <c r="H9527" s="1" t="s">
        <v>29</v>
      </c>
      <c r="I9527" s="1" t="str">
        <f ca="1">IFERROR(__xludf.DUMMYFUNCTION("GOOGLETRANSLATE(F9527, ""auto"", ""en"")
"),"The device is good, but it’s just not sewn yet ((")</f>
        <v>The device is good, but it’s just not sewn yet ((</v>
      </c>
    </row>
    <row r="9528" spans="1:9" x14ac:dyDescent="0.3">
      <c r="A9528" s="1" t="s">
        <v>17</v>
      </c>
      <c r="B9528" s="1" t="s">
        <v>18</v>
      </c>
      <c r="C9528" s="1" t="s">
        <v>80</v>
      </c>
      <c r="D9528" s="1" t="s">
        <v>308</v>
      </c>
      <c r="E9528" s="1" t="s">
        <v>529</v>
      </c>
      <c r="F9528" s="1" t="s">
        <v>14056</v>
      </c>
      <c r="G9528" s="1" t="s">
        <v>36</v>
      </c>
      <c r="H9528" s="1" t="s">
        <v>29</v>
      </c>
      <c r="I9528" s="1" t="str">
        <f ca="1">IFERROR(__xludf.DUMMYFUNCTION("GOOGLETRANSLATE(F9528, ""auto"", ""en"")
"),"I purchased this miracle a month ago. I couldn't be happier. Thanks to everyone who left reviews - it helped a lot in choosing a machine. I recommend it to anyone who still doubts!")</f>
        <v>I purchased this miracle a month ago. I couldn't be happier. Thanks to everyone who left reviews - it helped a lot in choosing a machine. I recommend it to anyone who still doubts!</v>
      </c>
    </row>
    <row r="9529" spans="1:9" x14ac:dyDescent="0.3">
      <c r="A9529" s="1" t="s">
        <v>105</v>
      </c>
      <c r="B9529" s="1" t="s">
        <v>106</v>
      </c>
      <c r="C9529" s="1" t="s">
        <v>1921</v>
      </c>
      <c r="D9529" s="1" t="s">
        <v>64</v>
      </c>
      <c r="E9529" s="1" t="s">
        <v>708</v>
      </c>
      <c r="F9529" s="1" t="s">
        <v>14057</v>
      </c>
      <c r="G9529" s="1" t="s">
        <v>15</v>
      </c>
      <c r="H9529" s="1" t="s">
        <v>16</v>
      </c>
      <c r="I9529" s="1" t="str">
        <f ca="1">IFERROR(__xludf.DUMMYFUNCTION("GOOGLETRANSLATE(F9529, ""auto"", ""en"")
"),"Stopped turning on on the 3rd day of careful use. I see that I am not alone in this problem. Tomorrow I'm taking it back to the store for an exchange.")</f>
        <v>Stopped turning on on the 3rd day of careful use. I see that I am not alone in this problem. Tomorrow I'm taking it back to the store for an exchange.</v>
      </c>
    </row>
    <row r="9530" spans="1:9" x14ac:dyDescent="0.3">
      <c r="A9530" s="1" t="s">
        <v>17</v>
      </c>
      <c r="B9530" s="1" t="s">
        <v>18</v>
      </c>
      <c r="C9530" s="1" t="s">
        <v>63</v>
      </c>
      <c r="D9530" s="1" t="s">
        <v>1055</v>
      </c>
      <c r="E9530" s="1" t="s">
        <v>386</v>
      </c>
      <c r="F9530" s="1" t="s">
        <v>14058</v>
      </c>
      <c r="G9530" s="1" t="s">
        <v>36</v>
      </c>
      <c r="H9530" s="1" t="s">
        <v>29</v>
      </c>
      <c r="I9530" s="1" t="str">
        <f ca="1">IFERROR(__xludf.DUMMYFUNCTION("GOOGLETRANSLATE(F9530, ""auto"", ""en"")
"),"Ordered online and delivered this week. We are already actively using it, no complaints, it’s easy to operate, quiet (compared to our ex, which was already 20 years old!!!), washes well, we are very happy with the purchase.")</f>
        <v>Ordered online and delivered this week. We are already actively using it, no complaints, it’s easy to operate, quiet (compared to our ex, which was already 20 years old!!!), washes well, we are very happy with the purchase.</v>
      </c>
    </row>
    <row r="9531" spans="1:9" x14ac:dyDescent="0.3">
      <c r="A9531" s="1" t="s">
        <v>61</v>
      </c>
      <c r="B9531" s="1" t="s">
        <v>977</v>
      </c>
      <c r="C9531" s="1" t="s">
        <v>69</v>
      </c>
      <c r="D9531" s="1" t="s">
        <v>12</v>
      </c>
      <c r="E9531" s="1" t="s">
        <v>5803</v>
      </c>
      <c r="F9531" s="1" t="s">
        <v>14059</v>
      </c>
      <c r="G9531" s="1" t="s">
        <v>36</v>
      </c>
      <c r="H9531" s="1" t="s">
        <v>29</v>
      </c>
      <c r="I9531" s="1" t="str">
        <f ca="1">IFERROR(__xludf.DUMMYFUNCTION("GOOGLETRANSLATE(F9531, ""auto"", ""en"")
"),"I really liked this machine))) In a bowl with knives we chopped cheese for pizza, everything was just perfect!!! Power is good!!! I used the blender to puree the frozen fruit, and it did the job perfectly!")</f>
        <v>I really liked this machine))) In a bowl with knives we chopped cheese for pizza, everything was just perfect!!! Power is good!!! I used the blender to puree the frozen fruit, and it did the job perfectly!</v>
      </c>
    </row>
    <row r="9532" spans="1:9" x14ac:dyDescent="0.3">
      <c r="A9532" s="1" t="s">
        <v>30</v>
      </c>
      <c r="B9532" s="1" t="s">
        <v>50</v>
      </c>
      <c r="C9532" s="1" t="s">
        <v>32</v>
      </c>
      <c r="D9532" s="1" t="s">
        <v>420</v>
      </c>
      <c r="E9532" s="1" t="s">
        <v>460</v>
      </c>
      <c r="F9532" s="1" t="s">
        <v>14060</v>
      </c>
      <c r="G9532" s="1" t="s">
        <v>36</v>
      </c>
      <c r="H9532" s="1" t="s">
        <v>29</v>
      </c>
      <c r="I9532" s="1" t="str">
        <f ca="1">IFERROR(__xludf.DUMMYFUNCTION("GOOGLETRANSLATE(F9532, ""auto"", ""en"")
"),"Why are you all talking about this lid..look at the price and calm your soul..its technical characteristics are simply excellent for any load..I completely agree about the cooling pad..and for those who don’t have a lot of dough for it, I advise you to at"&amp;" least put it on bottle caps for home use to create a gap from the laptop to the table..it’s heated blah!.. in general, you’ll spend a long time thinking about what to buy, then it’s already in the market place don’t look for it.. because of the good dema"&amp;"nd, I flew from Anapa to Moscow for it.. good luck!.")</f>
        <v>Why are you all talking about this lid..look at the price and calm your soul..its technical characteristics are simply excellent for any load..I completely agree about the cooling pad..and for those who don’t have a lot of dough for it, I advise you to at least put it on bottle caps for home use to create a gap from the laptop to the table..it’s heated blah!.. in general, you’ll spend a long time thinking about what to buy, then it’s already in the market place don’t look for it.. because of the good demand, I flew from Anapa to Moscow for it.. good luck!.</v>
      </c>
    </row>
    <row r="9533" spans="1:9" x14ac:dyDescent="0.3">
      <c r="A9533" s="1" t="s">
        <v>120</v>
      </c>
      <c r="B9533" s="1" t="s">
        <v>126</v>
      </c>
      <c r="C9533" s="1" t="s">
        <v>122</v>
      </c>
      <c r="D9533" s="1" t="s">
        <v>695</v>
      </c>
      <c r="E9533" s="1" t="s">
        <v>1065</v>
      </c>
      <c r="F9533" s="1" t="s">
        <v>14061</v>
      </c>
      <c r="G9533" s="1" t="s">
        <v>28</v>
      </c>
      <c r="H9533" s="1" t="s">
        <v>29</v>
      </c>
      <c r="I9533" s="1" t="str">
        <f ca="1">IFERROR(__xludf.DUMMYFUNCTION("GOOGLETRANSLATE(F9533, ""auto"", ""en"")
"),"The new TV fits perfectly into the interior, looks great, shows great. We thought about taking 42 inches, but it costs more, and the dimensions of the apartment are not royal. So my wife and I agreed on this. It shows well, conveys shades well, connecting"&amp;" DVDs and speakers is easy, there are many outputs, so maybe we can add some more. We are satisfied with the quality, there are no mistakes, and I hope there won’t be any.")</f>
        <v>The new TV fits perfectly into the interior, looks great, shows great. We thought about taking 42 inches, but it costs more, and the dimensions of the apartment are not royal. So my wife and I agreed on this. It shows well, conveys shades well, connecting DVDs and speakers is easy, there are many outputs, so maybe we can add some more. We are satisfied with the quality, there are no mistakes, and I hope there won’t be any.</v>
      </c>
    </row>
    <row r="9534" spans="1:9" x14ac:dyDescent="0.3">
      <c r="A9534" s="1" t="s">
        <v>61</v>
      </c>
      <c r="B9534" s="1" t="s">
        <v>145</v>
      </c>
      <c r="C9534" s="1" t="s">
        <v>85</v>
      </c>
      <c r="D9534" s="1" t="s">
        <v>102</v>
      </c>
      <c r="E9534" s="1" t="s">
        <v>9445</v>
      </c>
      <c r="F9534" s="1" t="s">
        <v>14062</v>
      </c>
      <c r="G9534" s="1" t="s">
        <v>36</v>
      </c>
      <c r="H9534" s="1" t="s">
        <v>29</v>
      </c>
      <c r="I9534" s="1" t="str">
        <f ca="1">IFERROR(__xludf.DUMMYFUNCTION("GOOGLETRANSLATE(F9534, ""auto"", ""en"")
"),"I’ve been using the steamer for six months and I’m happy with it! I didn’t think that steamed foods could be so delicious! Operating the F500 couldn't be easier: throw in the food, set the time, and a tasty and healthy dish is ready! I recommend!!!")</f>
        <v>I’ve been using the steamer for six months and I’m happy with it! I didn’t think that steamed foods could be so delicious! Operating the F500 couldn't be easier: throw in the food, set the time, and a tasty and healthy dish is ready! I recommend!!!</v>
      </c>
    </row>
    <row r="9535" spans="1:9" x14ac:dyDescent="0.3">
      <c r="A9535" s="1" t="s">
        <v>55</v>
      </c>
      <c r="B9535" s="1" t="s">
        <v>56</v>
      </c>
      <c r="C9535" s="1" t="s">
        <v>85</v>
      </c>
      <c r="D9535" s="1" t="s">
        <v>335</v>
      </c>
      <c r="E9535" s="1" t="s">
        <v>14063</v>
      </c>
      <c r="F9535" s="1" t="s">
        <v>14064</v>
      </c>
      <c r="G9535" s="1" t="s">
        <v>36</v>
      </c>
      <c r="H9535" s="1" t="s">
        <v>29</v>
      </c>
      <c r="I9535" s="1" t="str">
        <f ca="1">IFERROR(__xludf.DUMMYFUNCTION("GOOGLETRANSLATE(F9535, ""auto"", ""en"")
"),"We bought it a year and a half ago! The house was terribly dry. Within two days the humidity rose from 30% to 47%! It’s become easier to breathe, you feel better in the morning, and it feels like even when we don’t sleep much, we get enough sleep! Very pl"&amp;"eased!")</f>
        <v>We bought it a year and a half ago! The house was terribly dry. Within two days the humidity rose from 30% to 47%! It’s become easier to breathe, you feel better in the morning, and it feels like even when we don’t sleep much, we get enough sleep! Very pleased!</v>
      </c>
    </row>
    <row r="9536" spans="1:9" x14ac:dyDescent="0.3">
      <c r="A9536" s="1" t="s">
        <v>369</v>
      </c>
      <c r="B9536" s="1" t="s">
        <v>370</v>
      </c>
      <c r="C9536" s="1" t="s">
        <v>159</v>
      </c>
      <c r="D9536" s="1" t="s">
        <v>33</v>
      </c>
      <c r="E9536" s="1" t="s">
        <v>1219</v>
      </c>
      <c r="F9536" s="1" t="s">
        <v>14065</v>
      </c>
      <c r="G9536" s="1" t="s">
        <v>36</v>
      </c>
      <c r="H9536" s="1" t="s">
        <v>29</v>
      </c>
      <c r="I9536" s="1" t="str">
        <f ca="1">IFERROR(__xludf.DUMMYFUNCTION("GOOGLETRANSLATE(F9536, ""auto"", ""en"")
"),"Actually, there is nothing to compare with... In another apartment they used gas stoves... We bought this ""EKS"" - my wife is happy, we fried the chicken with a fan: it turned out like a grill... Everything baked pies great... I don’t know how it is with"&amp;" expensive stoves - the first acquaintance and a good opinion about it... Good luck to everyone...")</f>
        <v>Actually, there is nothing to compare with... In another apartment they used gas stoves... We bought this "EKS" - my wife is happy, we fried the chicken with a fan: it turned out like a grill... Everything baked pies great... I don’t know how it is with expensive stoves - the first acquaintance and a good opinion about it... Good luck to everyone...</v>
      </c>
    </row>
    <row r="9537" spans="1:9" x14ac:dyDescent="0.3">
      <c r="A9537" s="1" t="s">
        <v>61</v>
      </c>
      <c r="B9537" s="1" t="s">
        <v>145</v>
      </c>
      <c r="C9537" s="1" t="s">
        <v>74</v>
      </c>
      <c r="D9537" s="1" t="s">
        <v>1055</v>
      </c>
      <c r="E9537" s="1" t="s">
        <v>6098</v>
      </c>
      <c r="F9537" s="1" t="s">
        <v>14066</v>
      </c>
      <c r="G9537" s="1" t="s">
        <v>36</v>
      </c>
      <c r="H9537" s="1" t="s">
        <v>29</v>
      </c>
      <c r="I9537" s="1" t="str">
        <f ca="1">IFERROR(__xludf.DUMMYFUNCTION("GOOGLETRANSLATE(F9537, ""auto"", ""en"")
"),"An irreplaceable thing in the kitchen. Quickly chop the onion, garlic, herbs, nuts, etc. I have been using Mulenex (a similar model) for more than ten years. I bought this model for my daughter as a gift, she is also pleased.")</f>
        <v>An irreplaceable thing in the kitchen. Quickly chop the onion, garlic, herbs, nuts, etc. I have been using Mulenex (a similar model) for more than ten years. I bought this model for my daughter as a gift, she is also pleased.</v>
      </c>
    </row>
    <row r="9538" spans="1:9" x14ac:dyDescent="0.3">
      <c r="A9538" s="1" t="s">
        <v>17</v>
      </c>
      <c r="B9538" s="1" t="s">
        <v>18</v>
      </c>
      <c r="C9538" s="1" t="s">
        <v>80</v>
      </c>
      <c r="D9538" s="1" t="s">
        <v>102</v>
      </c>
      <c r="E9538" s="1" t="s">
        <v>3379</v>
      </c>
      <c r="F9538" s="1" t="s">
        <v>14067</v>
      </c>
      <c r="G9538" s="1" t="s">
        <v>28</v>
      </c>
      <c r="H9538" s="1" t="s">
        <v>29</v>
      </c>
      <c r="I9538" s="1" t="str">
        <f ca="1">IFERROR(__xludf.DUMMYFUNCTION("GOOGLETRANSLATE(F9538, ""auto"", ""en"")
"),"washing quality is excellent ")</f>
        <v xml:space="preserve">washing quality is excellent </v>
      </c>
    </row>
    <row r="9539" spans="1:9" x14ac:dyDescent="0.3">
      <c r="A9539" s="1" t="s">
        <v>105</v>
      </c>
      <c r="B9539" s="1" t="s">
        <v>106</v>
      </c>
      <c r="C9539" s="1" t="s">
        <v>69</v>
      </c>
      <c r="D9539" s="1" t="s">
        <v>327</v>
      </c>
      <c r="E9539" s="1" t="s">
        <v>2280</v>
      </c>
      <c r="F9539" s="1" t="s">
        <v>14068</v>
      </c>
      <c r="G9539" s="1" t="s">
        <v>36</v>
      </c>
      <c r="H9539" s="1" t="s">
        <v>29</v>
      </c>
      <c r="I9539" s="1" t="str">
        <f ca="1">IFERROR(__xludf.DUMMYFUNCTION("GOOGLETRANSLATE(F9539, ""auto"", ""en"")
"),"I bought it yesterday and didn’t regret it! Although I use nothing, I like it! I use Ritmix RH-110 plugs, the sound is amazing, like on a car stereo! The retractable USB port is confusing, but I think PHILIPS knows its stuff and it's done well. There is a"&amp;"pparently no option to delete files here, but the player is designed for the user to have a computer. Therefore, a USB charger is not included in the kit.  Standard headphones sound okay, but they are best for listening to audiobooks. They are not very go"&amp;"od for music... Easy to use, easy to learn.  In fact, the player has not 4 gigs, but 3.67 if my memory serves me correctly. This is usually always the case: the memory size is rounded up to the standard value. But for that kind of money + long battery lif"&amp;"e + awesome sound... Buy it before it's too late!")</f>
        <v>I bought it yesterday and didn’t regret it! Although I use nothing, I like it! I use Ritmix RH-110 plugs, the sound is amazing, like on a car stereo! The retractable USB port is confusing, but I think PHILIPS knows its stuff and it's done well. There is apparently no option to delete files here, but the player is designed for the user to have a computer. Therefore, a USB charger is not included in the kit.  Standard headphones sound okay, but they are best for listening to audiobooks. They are not very good for music... Easy to use, easy to learn.  In fact, the player has not 4 gigs, but 3.67 if my memory serves me correctly. This is usually always the case: the memory size is rounded up to the standard value. But for that kind of money + long battery life + awesome sound... Buy it before it's too late!</v>
      </c>
    </row>
    <row r="9540" spans="1:9" x14ac:dyDescent="0.3">
      <c r="A9540" s="1" t="s">
        <v>120</v>
      </c>
      <c r="B9540" s="1" t="s">
        <v>126</v>
      </c>
      <c r="C9540" s="1" t="s">
        <v>151</v>
      </c>
      <c r="D9540" s="1" t="s">
        <v>114</v>
      </c>
      <c r="E9540" s="1" t="s">
        <v>1245</v>
      </c>
      <c r="F9540" s="1" t="s">
        <v>14069</v>
      </c>
      <c r="G9540" s="1" t="s">
        <v>36</v>
      </c>
      <c r="H9540" s="1" t="s">
        <v>29</v>
      </c>
      <c r="I9540" s="1" t="str">
        <f ca="1">IFERROR(__xludf.DUMMYFUNCTION("GOOGLETRANSLATE(F9540, ""auto"", ""en"")
"),"Plus: reads all video formats directly from an external hard drive (even mkv!!!)")</f>
        <v>Plus: reads all video formats directly from an external hard drive (even mkv!!!)</v>
      </c>
    </row>
    <row r="9541" spans="1:9" x14ac:dyDescent="0.3">
      <c r="A9541" s="1" t="s">
        <v>211</v>
      </c>
      <c r="B9541" s="1" t="s">
        <v>212</v>
      </c>
      <c r="C9541" s="1" t="s">
        <v>381</v>
      </c>
      <c r="D9541" s="1" t="s">
        <v>565</v>
      </c>
      <c r="E9541" s="1" t="s">
        <v>7756</v>
      </c>
      <c r="F9541" s="1" t="s">
        <v>14070</v>
      </c>
      <c r="G9541" s="1" t="s">
        <v>36</v>
      </c>
      <c r="H9541" s="1" t="s">
        <v>29</v>
      </c>
      <c r="I9541" s="1" t="str">
        <f ca="1">IFERROR(__xludf.DUMMYFUNCTION("GOOGLETRANSLATE(F9541, ""auto"", ""en"")
"),"I recently bought this hair dryer. After the first use I was wildly delighted! The hair is alive and soft, like after a hairdresser! The previous hairdryer made straw on the head, and this is a gorgeous thing! Very happy with the purchase! I recommend it "&amp;"to everyone!")</f>
        <v>I recently bought this hair dryer. After the first use I was wildly delighted! The hair is alive and soft, like after a hairdresser! The previous hairdryer made straw on the head, and this is a gorgeous thing! Very happy with the purchase! I recommend it to everyone!</v>
      </c>
    </row>
    <row r="9542" spans="1:9" x14ac:dyDescent="0.3">
      <c r="A9542" s="1" t="s">
        <v>67</v>
      </c>
      <c r="B9542" s="1" t="s">
        <v>68</v>
      </c>
      <c r="C9542" s="1" t="s">
        <v>69</v>
      </c>
      <c r="D9542" s="1" t="s">
        <v>742</v>
      </c>
      <c r="E9542" s="1" t="s">
        <v>6064</v>
      </c>
      <c r="F9542" s="1" t="s">
        <v>14071</v>
      </c>
      <c r="G9542" s="1" t="s">
        <v>94</v>
      </c>
      <c r="H9542" s="1" t="s">
        <v>29</v>
      </c>
      <c r="I9542" s="1" t="str">
        <f ca="1">IFERROR(__xludf.DUMMYFUNCTION("GOOGLETRANSLATE(F9542, ""auto"", ""en"")
"),"In operation for more than 2 years. Reliable, convenient, price matches the quality.")</f>
        <v>In operation for more than 2 years. Reliable, convenient, price matches the quality.</v>
      </c>
    </row>
    <row r="9543" spans="1:9" x14ac:dyDescent="0.3">
      <c r="A9543" s="1" t="s">
        <v>211</v>
      </c>
      <c r="B9543" s="1" t="s">
        <v>856</v>
      </c>
      <c r="C9543" s="1" t="s">
        <v>57</v>
      </c>
      <c r="D9543" s="1" t="s">
        <v>64</v>
      </c>
      <c r="E9543" s="1" t="s">
        <v>794</v>
      </c>
      <c r="F9543" s="1" t="s">
        <v>14072</v>
      </c>
      <c r="G9543" s="1" t="s">
        <v>36</v>
      </c>
      <c r="H9543" s="1" t="s">
        <v>29</v>
      </c>
      <c r="I9543" s="1" t="str">
        <f ca="1">IFERROR(__xludf.DUMMYFUNCTION("GOOGLETRANSLATE(F9543, ""auto"", ""en"")
"),"And I really like the set. I tried all the attachments, I liked them all, I’m happy with them all. In general, M.Video is a good store, all the products are of excellent quality!")</f>
        <v>And I really like the set. I tried all the attachments, I liked them all, I’m happy with them all. In general, M.Video is a good store, all the products are of excellent quality!</v>
      </c>
    </row>
    <row r="9544" spans="1:9" x14ac:dyDescent="0.3">
      <c r="A9544" s="1" t="s">
        <v>17</v>
      </c>
      <c r="B9544" s="1" t="s">
        <v>18</v>
      </c>
      <c r="C9544" s="1" t="s">
        <v>19</v>
      </c>
      <c r="D9544" s="1" t="s">
        <v>592</v>
      </c>
      <c r="E9544" s="1" t="s">
        <v>12112</v>
      </c>
      <c r="F9544" s="1" t="s">
        <v>14073</v>
      </c>
      <c r="G9544" s="1" t="s">
        <v>36</v>
      </c>
      <c r="H9544" s="1" t="s">
        <v>29</v>
      </c>
      <c r="I9544" s="1" t="str">
        <f ca="1">IFERROR(__xludf.DUMMYFUNCTION("GOOGLETRANSLATE(F9544, ""auto"", ""en"")
"),"Quiet and high quality")</f>
        <v>Quiet and high quality</v>
      </c>
    </row>
    <row r="9545" spans="1:9" x14ac:dyDescent="0.3">
      <c r="A9545" s="1" t="s">
        <v>211</v>
      </c>
      <c r="B9545" s="1" t="s">
        <v>212</v>
      </c>
      <c r="C9545" s="1" t="s">
        <v>294</v>
      </c>
      <c r="D9545" s="1" t="s">
        <v>474</v>
      </c>
      <c r="E9545" s="1" t="s">
        <v>2680</v>
      </c>
      <c r="F9545" s="1" t="s">
        <v>14074</v>
      </c>
      <c r="G9545" s="1" t="s">
        <v>36</v>
      </c>
      <c r="H9545" s="1" t="s">
        <v>29</v>
      </c>
      <c r="I9545" s="1" t="str">
        <f ca="1">IFERROR(__xludf.DUMMYFUNCTION("GOOGLETRANSLATE(F9545, ""auto"", ""en"")
"),"I really liked this straightener, it's great, comfortable and not too big. I recommend it to everyone)))))))))")</f>
        <v>I really liked this straightener, it's great, comfortable and not too big. I recommend it to everyone)))))))))</v>
      </c>
    </row>
    <row r="9546" spans="1:9" x14ac:dyDescent="0.3">
      <c r="A9546" s="1" t="s">
        <v>149</v>
      </c>
      <c r="B9546" s="1" t="s">
        <v>576</v>
      </c>
      <c r="C9546" s="1" t="s">
        <v>85</v>
      </c>
      <c r="D9546" s="1" t="s">
        <v>1391</v>
      </c>
      <c r="E9546" s="1" t="s">
        <v>5369</v>
      </c>
      <c r="F9546" s="1" t="s">
        <v>14075</v>
      </c>
      <c r="G9546" s="1" t="s">
        <v>36</v>
      </c>
      <c r="H9546" s="1" t="s">
        <v>29</v>
      </c>
      <c r="I9546" s="1" t="str">
        <f ca="1">IFERROR(__xludf.DUMMYFUNCTION("GOOGLETRANSLATE(F9546, ""auto"", ""en"")
"),"Soft edging of the case does not damage the surface of the furniture. Compact placement of additional attachments. ")</f>
        <v xml:space="preserve">Soft edging of the case does not damage the surface of the furniture. Compact placement of additional attachments. </v>
      </c>
    </row>
    <row r="9547" spans="1:9" x14ac:dyDescent="0.3">
      <c r="A9547" s="1" t="s">
        <v>17</v>
      </c>
      <c r="B9547" s="1" t="s">
        <v>18</v>
      </c>
      <c r="C9547" s="1" t="s">
        <v>243</v>
      </c>
      <c r="D9547" s="1" t="s">
        <v>1506</v>
      </c>
      <c r="E9547" s="1" t="s">
        <v>3673</v>
      </c>
      <c r="F9547" s="1" t="s">
        <v>14076</v>
      </c>
      <c r="G9547" s="1" t="s">
        <v>28</v>
      </c>
      <c r="H9547" s="1" t="s">
        <v>29</v>
      </c>
      <c r="I9547" s="1" t="str">
        <f ca="1">IFERROR(__xludf.DUMMYFUNCTION("GOOGLETRANSLATE(F9547, ""auto"", ""en"")
"),"I bought an Indesit wisn 100 two years ago. Still works great. It really makes a lot of noise during the spin cycle. But considering that this is Russian production. So I don’t consider the noise to be a defect. Friends have the same one and it makes a lo"&amp;"t of noise too.")</f>
        <v>I bought an Indesit wisn 100 two years ago. Still works great. It really makes a lot of noise during the spin cycle. But considering that this is Russian production. So I don’t consider the noise to be a defect. Friends have the same one and it makes a lot of noise too.</v>
      </c>
    </row>
    <row r="9548" spans="1:9" x14ac:dyDescent="0.3">
      <c r="A9548" s="1" t="s">
        <v>61</v>
      </c>
      <c r="B9548" s="1" t="s">
        <v>1126</v>
      </c>
      <c r="C9548" s="1" t="s">
        <v>57</v>
      </c>
      <c r="D9548" s="1" t="s">
        <v>8293</v>
      </c>
      <c r="E9548" s="1" t="s">
        <v>4502</v>
      </c>
      <c r="F9548" s="1" t="s">
        <v>14077</v>
      </c>
      <c r="G9548" s="1" t="s">
        <v>36</v>
      </c>
      <c r="H9548" s="1" t="s">
        <v>29</v>
      </c>
      <c r="I9548" s="1" t="str">
        <f ca="1">IFERROR(__xludf.DUMMYFUNCTION("GOOGLETRANSLATE(F9548, ""auto"", ""en"")
"),"Great scales! Not a single complaint in two years. I recommend it to everyone!")</f>
        <v>Great scales! Not a single complaint in two years. I recommend it to everyone!</v>
      </c>
    </row>
    <row r="9549" spans="1:9" x14ac:dyDescent="0.3">
      <c r="A9549" s="1" t="s">
        <v>30</v>
      </c>
      <c r="B9549" s="1" t="s">
        <v>50</v>
      </c>
      <c r="C9549" s="1" t="s">
        <v>1003</v>
      </c>
      <c r="D9549" s="1" t="s">
        <v>203</v>
      </c>
      <c r="E9549" s="1" t="s">
        <v>201</v>
      </c>
      <c r="F9549" s="1" t="s">
        <v>14078</v>
      </c>
      <c r="G9549" s="1" t="s">
        <v>36</v>
      </c>
      <c r="H9549" s="1" t="s">
        <v>29</v>
      </c>
      <c r="I9549" s="1" t="str">
        <f ca="1">IFERROR(__xludf.DUMMYFUNCTION("GOOGLETRANSLATE(F9549, ""auto"", ""en"")
"),"I bought an excellent beech a week ago and I can’t get enough of it. I sold the computer on purpose to take it on vacation, one minus is the fingers on the case, the rest is all fine...")</f>
        <v>I bought an excellent beech a week ago and I can’t get enough of it. I sold the computer on purpose to take it on vacation, one minus is the fingers on the case, the rest is all fine...</v>
      </c>
    </row>
    <row r="9550" spans="1:9" x14ac:dyDescent="0.3">
      <c r="A9550" s="1" t="s">
        <v>37</v>
      </c>
      <c r="B9550" s="1" t="s">
        <v>38</v>
      </c>
      <c r="C9550" s="1" t="s">
        <v>163</v>
      </c>
      <c r="D9550" s="1" t="s">
        <v>5431</v>
      </c>
      <c r="E9550" s="1" t="s">
        <v>1646</v>
      </c>
      <c r="F9550" s="1" t="s">
        <v>14079</v>
      </c>
      <c r="G9550" s="1" t="s">
        <v>36</v>
      </c>
      <c r="H9550" s="1" t="s">
        <v>29</v>
      </c>
      <c r="I9550" s="1" t="str">
        <f ca="1">IFERROR(__xludf.DUMMYFUNCTION("GOOGLETRANSLATE(F9550, ""auto"", ""en"")
"),"Here He is! Finally! For such money such quality and functionality! AWESOME!")</f>
        <v>Here He is! Finally! For such money such quality and functionality! AWESOME!</v>
      </c>
    </row>
    <row r="9551" spans="1:9" x14ac:dyDescent="0.3">
      <c r="A9551" s="1" t="s">
        <v>105</v>
      </c>
      <c r="B9551" s="1" t="s">
        <v>106</v>
      </c>
      <c r="C9551" s="1" t="s">
        <v>107</v>
      </c>
      <c r="D9551" s="1" t="s">
        <v>52</v>
      </c>
      <c r="E9551" s="1" t="s">
        <v>947</v>
      </c>
      <c r="F9551" s="1" t="s">
        <v>14080</v>
      </c>
      <c r="G9551" s="1" t="s">
        <v>49</v>
      </c>
      <c r="H9551" s="1" t="s">
        <v>16</v>
      </c>
      <c r="I9551" s="1" t="str">
        <f ca="1">IFERROR(__xludf.DUMMYFUNCTION("GOOGLETRANSLATE(F9551, ""auto"", ""en"")
"),"Thin, stylish, light with a bright screen and a good menu. This is where the positive reviews end. The player has sclerosis, because After waking up from sleep, he doesn’t remember where he stopped and loads music in a completely random order. Listening t"&amp;"o audiobooks or just anything is impossible. Call the buttons controls - the tongue does not turn, it takes a few seconds to correct the sound or pause. Etc. etc. Frankly crude firmware, and the topic has been going on since last year, but the developer h"&amp;"asn’t picked up the snot. There is no support as such.")</f>
        <v>Thin, stylish, light with a bright screen and a good menu. This is where the positive reviews end. The player has sclerosis, because After waking up from sleep, he doesn’t remember where he stopped and loads music in a completely random order. Listening to audiobooks or just anything is impossible. Call the buttons controls - the tongue does not turn, it takes a few seconds to correct the sound or pause. Etc. etc. Frankly crude firmware, and the topic has been going on since last year, but the developer hasn’t picked up the snot. There is no support as such.</v>
      </c>
    </row>
    <row r="9552" spans="1:9" x14ac:dyDescent="0.3">
      <c r="A9552" s="1" t="s">
        <v>61</v>
      </c>
      <c r="B9552" s="1" t="s">
        <v>318</v>
      </c>
      <c r="C9552" s="1" t="s">
        <v>69</v>
      </c>
      <c r="D9552" s="1" t="s">
        <v>6528</v>
      </c>
      <c r="E9552" s="1" t="s">
        <v>8003</v>
      </c>
      <c r="F9552" s="1" t="s">
        <v>14081</v>
      </c>
      <c r="G9552" s="1" t="s">
        <v>36</v>
      </c>
      <c r="H9552" s="1" t="s">
        <v>29</v>
      </c>
      <c r="I9552" s="1" t="str">
        <f ca="1">IFERROR(__xludf.DUMMYFUNCTION("GOOGLETRANSLATE(F9552, ""auto"", ""en"")
"),"It's been working for almost 3 years now, no problems. Boils quickly, makes moderate noise. There's a thermometer missing, but that's not the most important thing in a kettle.")</f>
        <v>It's been working for almost 3 years now, no problems. Boils quickly, makes moderate noise. There's a thermometer missing, but that's not the most important thing in a kettle.</v>
      </c>
    </row>
    <row r="9553" spans="1:9" x14ac:dyDescent="0.3">
      <c r="A9553" s="1" t="s">
        <v>61</v>
      </c>
      <c r="B9553" s="1" t="s">
        <v>977</v>
      </c>
      <c r="C9553" s="1" t="s">
        <v>69</v>
      </c>
      <c r="D9553" s="1" t="s">
        <v>10310</v>
      </c>
      <c r="E9553" s="1" t="s">
        <v>1553</v>
      </c>
      <c r="F9553" s="1" t="s">
        <v>14082</v>
      </c>
      <c r="G9553" s="1" t="s">
        <v>49</v>
      </c>
      <c r="H9553" s="1" t="s">
        <v>16</v>
      </c>
      <c r="I9553" s="1" t="str">
        <f ca="1">IFERROR(__xludf.DUMMYFUNCTION("GOOGLETRANSLATE(F9553, ""auto"", ""en"")
"),"I bought it for making baby food. While chopping a banana, the part connecting the part with the motor and the glass broke.")</f>
        <v>I bought it for making baby food. While chopping a banana, the part connecting the part with the motor and the glass broke.</v>
      </c>
    </row>
    <row r="9554" spans="1:9" x14ac:dyDescent="0.3">
      <c r="A9554" s="1" t="s">
        <v>89</v>
      </c>
      <c r="B9554" s="1" t="s">
        <v>231</v>
      </c>
      <c r="C9554" s="1" t="s">
        <v>1072</v>
      </c>
      <c r="D9554" s="1" t="s">
        <v>152</v>
      </c>
      <c r="E9554" s="1" t="s">
        <v>6741</v>
      </c>
      <c r="F9554" s="1" t="s">
        <v>14083</v>
      </c>
      <c r="G9554" s="1" t="s">
        <v>36</v>
      </c>
      <c r="H9554" s="1" t="s">
        <v>29</v>
      </c>
      <c r="I9554" s="1" t="str">
        <f ca="1">IFERROR(__xludf.DUMMYFUNCTION("GOOGLETRANSLATE(F9554, ""auto"", ""en"")
"),"The coffee machine is very interesting! Very interesting to froth, it is possible to prepare all kinds of milk-based drinks. The cappuccino turns out excellent! The black coffee brews is very aromatic! There are many coffee settings, very convenient! I re"&amp;"commend this coffee machine to everyone1")</f>
        <v>The coffee machine is very interesting! Very interesting to froth, it is possible to prepare all kinds of milk-based drinks. The cappuccino turns out excellent! The black coffee brews is very aromatic! There are many coffee settings, very convenient! I recommend this coffee machine to everyone1</v>
      </c>
    </row>
    <row r="9555" spans="1:9" x14ac:dyDescent="0.3">
      <c r="A9555" s="1" t="s">
        <v>17</v>
      </c>
      <c r="B9555" s="1" t="s">
        <v>18</v>
      </c>
      <c r="C9555" s="1" t="s">
        <v>290</v>
      </c>
      <c r="D9555" s="1" t="s">
        <v>14084</v>
      </c>
      <c r="E9555" s="1" t="s">
        <v>1852</v>
      </c>
      <c r="F9555" s="1" t="s">
        <v>14085</v>
      </c>
      <c r="G9555" s="1" t="s">
        <v>28</v>
      </c>
      <c r="H9555" s="1" t="s">
        <v>29</v>
      </c>
      <c r="I9555" s="1" t="str">
        <f ca="1">IFERROR(__xludf.DUMMYFUNCTION("GOOGLETRANSLATE(F9555, ""auto"", ""en"")
"),"It's a good machine, modern, quiet, spins dry, the hatch is large - it's easy to stuff blankets in.")</f>
        <v>It's a good machine, modern, quiet, spins dry, the hatch is large - it's easy to stuff blankets in.</v>
      </c>
    </row>
    <row r="9556" spans="1:9" x14ac:dyDescent="0.3">
      <c r="A9556" s="1" t="s">
        <v>43</v>
      </c>
      <c r="B9556" s="1" t="s">
        <v>1616</v>
      </c>
      <c r="C9556" s="1" t="s">
        <v>1138</v>
      </c>
      <c r="D9556" s="1" t="s">
        <v>33</v>
      </c>
      <c r="E9556" s="1" t="s">
        <v>1671</v>
      </c>
      <c r="F9556" s="1" t="s">
        <v>14086</v>
      </c>
      <c r="G9556" s="1" t="s">
        <v>15</v>
      </c>
      <c r="H9556" s="1" t="s">
        <v>16</v>
      </c>
      <c r="I9556" s="1" t="str">
        <f ca="1">IFERROR(__xludf.DUMMYFUNCTION("GOOGLETRANSLATE(F9556, ""auto"", ""en"")
"),"I bought this air conditioner because there is no way to install a wall-mounted one, it broke after a week of use, I took it to the service center, I’ve been waiting for a month (and the temperature here is 40 C), they don’t give me a replacement air cond"&amp;"itioner in the store. It would be better if I bought a vintelator.")</f>
        <v>I bought this air conditioner because there is no way to install a wall-mounted one, it broke after a week of use, I took it to the service center, I’ve been waiting for a month (and the temperature here is 40 C), they don’t give me a replacement air conditioner in the store. It would be better if I bought a vintelator.</v>
      </c>
    </row>
    <row r="9557" spans="1:9" x14ac:dyDescent="0.3">
      <c r="A9557" s="1" t="s">
        <v>149</v>
      </c>
      <c r="B9557" s="1" t="s">
        <v>423</v>
      </c>
      <c r="C9557" s="1" t="s">
        <v>314</v>
      </c>
      <c r="D9557" s="1" t="s">
        <v>12</v>
      </c>
      <c r="E9557" s="1" t="s">
        <v>3733</v>
      </c>
      <c r="F9557" s="1" t="s">
        <v>14087</v>
      </c>
      <c r="G9557" s="1" t="s">
        <v>94</v>
      </c>
      <c r="H9557" s="1" t="s">
        <v>29</v>
      </c>
      <c r="I9557" s="1" t="str">
        <f ca="1">IFERROR(__xludf.DUMMYFUNCTION("GOOGLETRANSLATE(F9557, ""auto"", ""en"")
"),"Very easy to clean, no unnecessary parts")</f>
        <v>Very easy to clean, no unnecessary parts</v>
      </c>
    </row>
    <row r="9558" spans="1:9" x14ac:dyDescent="0.3">
      <c r="A9558" s="1" t="s">
        <v>211</v>
      </c>
      <c r="B9558" s="1" t="s">
        <v>856</v>
      </c>
      <c r="C9558" s="1" t="s">
        <v>57</v>
      </c>
      <c r="D9558" s="1" t="s">
        <v>14088</v>
      </c>
      <c r="E9558" s="1" t="s">
        <v>6038</v>
      </c>
      <c r="F9558" s="1" t="s">
        <v>14089</v>
      </c>
      <c r="G9558" s="1" t="s">
        <v>49</v>
      </c>
      <c r="H9558" s="1" t="s">
        <v>16</v>
      </c>
      <c r="I9558" s="1" t="str">
        <f ca="1">IFERROR(__xludf.DUMMYFUNCTION("GOOGLETRANSLATE(F9558, ""auto"", ""en"")
"),"People, don't waste your money!!!! Useless thing. No power. Can't do anything with my nails. It has been sitting in the closet for several years.")</f>
        <v>People, don't waste your money!!!! Useless thing. No power. Can't do anything with my nails. It has been sitting in the closet for several years.</v>
      </c>
    </row>
    <row r="9559" spans="1:9" x14ac:dyDescent="0.3">
      <c r="A9559" s="1" t="s">
        <v>149</v>
      </c>
      <c r="B9559" s="1" t="s">
        <v>150</v>
      </c>
      <c r="C9559" s="1" t="s">
        <v>57</v>
      </c>
      <c r="D9559" s="1" t="s">
        <v>152</v>
      </c>
      <c r="E9559" s="1" t="s">
        <v>1339</v>
      </c>
      <c r="F9559" s="1" t="s">
        <v>14090</v>
      </c>
      <c r="G9559" s="1" t="s">
        <v>28</v>
      </c>
      <c r="H9559" s="1" t="s">
        <v>29</v>
      </c>
      <c r="I9559" s="1" t="str">
        <f ca="1">IFERROR(__xludf.DUMMYFUNCTION("GOOGLETRANSLATE(F9559, ""auto"", ""en"")
"),"The vacuum cleaner has been working for three years. Quite satisfied. I don't like the fact that you have to wash the container after each use, but this is a design feature that you should think about immediately before purchasing.  One of the disadvantag"&amp;"es is the static voltage on the body, but after we began to more closely monitor the water level in the container, the “defect” disappeared. After a year, the suction power became less. Cured by washing the filter.")</f>
        <v>The vacuum cleaner has been working for three years. Quite satisfied. I don't like the fact that you have to wash the container after each use, but this is a design feature that you should think about immediately before purchasing.  One of the disadvantages is the static voltage on the body, but after we began to more closely monitor the water level in the container, the “defect” disappeared. After a year, the suction power became less. Cured by washing the filter.</v>
      </c>
    </row>
    <row r="9560" spans="1:9" x14ac:dyDescent="0.3">
      <c r="A9560" s="1" t="s">
        <v>37</v>
      </c>
      <c r="B9560" s="1" t="s">
        <v>38</v>
      </c>
      <c r="C9560" s="1" t="s">
        <v>151</v>
      </c>
      <c r="D9560" s="1" t="s">
        <v>305</v>
      </c>
      <c r="E9560" s="1" t="s">
        <v>4054</v>
      </c>
      <c r="F9560" s="1" t="s">
        <v>14091</v>
      </c>
      <c r="G9560" s="1" t="s">
        <v>49</v>
      </c>
      <c r="H9560" s="1" t="s">
        <v>16</v>
      </c>
      <c r="I9560" s="1" t="str">
        <f ca="1">IFERROR(__xludf.DUMMYFUNCTION("GOOGLETRANSLATE(F9560, ""auto"", ""en"")
"),"This phone has poor sound quality when connected. Moreover, it’s hard to hear both for you and for the person you’re talking to. There is extraneous background and echo. I don't recommend buying.")</f>
        <v>This phone has poor sound quality when connected. Moreover, it’s hard to hear both for you and for the person you’re talking to. There is extraneous background and echo. I don't recommend buying.</v>
      </c>
    </row>
    <row r="9561" spans="1:9" x14ac:dyDescent="0.3">
      <c r="A9561" s="1" t="s">
        <v>211</v>
      </c>
      <c r="B9561" s="1" t="s">
        <v>212</v>
      </c>
      <c r="C9561" s="1" t="s">
        <v>63</v>
      </c>
      <c r="D9561" s="1" t="s">
        <v>1188</v>
      </c>
      <c r="E9561" s="1" t="s">
        <v>14092</v>
      </c>
      <c r="F9561" s="1" t="s">
        <v>14093</v>
      </c>
      <c r="G9561" s="1" t="s">
        <v>28</v>
      </c>
      <c r="H9561" s="1" t="s">
        <v>29</v>
      </c>
      <c r="I9561" s="1" t="str">
        <f ca="1">IFERROR(__xludf.DUMMYFUNCTION("GOOGLETRANSLATE(F9561, ""auto"", ""en"")
"),"If you adapt, everything will work out. I did curls, and straightened, and volume. You just need to use hair styling products, and then your hairstyle will last the whole day, or even two. They gave it to me 3 years ago and nothing is broken!")</f>
        <v>If you adapt, everything will work out. I did curls, and straightened, and volume. You just need to use hair styling products, and then your hairstyle will last the whole day, or even two. They gave it to me 3 years ago and nothing is broken!</v>
      </c>
    </row>
    <row r="9562" spans="1:9" x14ac:dyDescent="0.3">
      <c r="A9562" s="1" t="s">
        <v>120</v>
      </c>
      <c r="B9562" s="1" t="s">
        <v>126</v>
      </c>
      <c r="C9562" s="1" t="s">
        <v>122</v>
      </c>
      <c r="D9562" s="1" t="s">
        <v>52</v>
      </c>
      <c r="E9562" s="1" t="s">
        <v>1228</v>
      </c>
      <c r="F9562" s="1" t="s">
        <v>14094</v>
      </c>
      <c r="G9562" s="1" t="s">
        <v>36</v>
      </c>
      <c r="H9562" s="1" t="s">
        <v>29</v>
      </c>
      <c r="I9562" s="1" t="str">
        <f ca="1">IFERROR(__xludf.DUMMYFUNCTION("GOOGLETRANSLATE(F9562, ""auto"", ""en"")
"),"I bought this model a month ago. A decent budget TV, with good reception and images in various modes. It does not have a TV programming function instead of an alarm clock (as stated in the description above), only a sleep timer from 15 to 90 minutes. In g"&amp;"eneral, a pleasant device that justifies its price 100%.")</f>
        <v>I bought this model a month ago. A decent budget TV, with good reception and images in various modes. It does not have a TV programming function instead of an alarm clock (as stated in the description above), only a sleep timer from 15 to 90 minutes. In general, a pleasant device that justifies its price 100%.</v>
      </c>
    </row>
    <row r="9563" spans="1:9" x14ac:dyDescent="0.3">
      <c r="A9563" s="1" t="s">
        <v>61</v>
      </c>
      <c r="B9563" s="1" t="s">
        <v>318</v>
      </c>
      <c r="C9563" s="1" t="s">
        <v>246</v>
      </c>
      <c r="D9563" s="1" t="s">
        <v>75</v>
      </c>
      <c r="E9563" s="1" t="s">
        <v>4760</v>
      </c>
      <c r="F9563" s="1" t="s">
        <v>14095</v>
      </c>
      <c r="G9563" s="1" t="s">
        <v>49</v>
      </c>
      <c r="H9563" s="1" t="s">
        <v>16</v>
      </c>
      <c r="I9563" s="1" t="str">
        <f ca="1">IFERROR(__xludf.DUMMYFUNCTION("GOOGLETRANSLATE(F9563, ""auto"", ""en"")
"),"Nice kettle")</f>
        <v>Nice kettle</v>
      </c>
    </row>
    <row r="9564" spans="1:9" x14ac:dyDescent="0.3">
      <c r="A9564" s="1" t="s">
        <v>43</v>
      </c>
      <c r="B9564" s="1" t="s">
        <v>1370</v>
      </c>
      <c r="C9564" s="1" t="s">
        <v>2137</v>
      </c>
      <c r="D9564" s="1" t="s">
        <v>14096</v>
      </c>
      <c r="E9564" s="1" t="s">
        <v>2540</v>
      </c>
      <c r="F9564" s="1" t="s">
        <v>14097</v>
      </c>
      <c r="G9564" s="1" t="s">
        <v>36</v>
      </c>
      <c r="H9564" s="1" t="s">
        <v>29</v>
      </c>
      <c r="I9564" s="1" t="str">
        <f ca="1">IFERROR(__xludf.DUMMYFUNCTION("GOOGLETRANSLATE(F9564, ""auto"", ""en"")
"),"Guys, I bought a heater, connected it, tested it, I’ll say this - MAST HAVE! For that kind of money I didn’t even expect it, it heats super, you don’t need more. Installation is very easy, works 100%! Take it, you won't regret it. Already recommended it t"&amp;"o friends. You just need to take into account one fact: while the heater is operating, there should be no kettles or dishwashers hanging on the line, otherwise the machine will go out while both are operating. In my experience, when the dishwasher is runn"&amp;"ing, the machine knocks out.")</f>
        <v>Guys, I bought a heater, connected it, tested it, I’ll say this - MAST HAVE! For that kind of money I didn’t even expect it, it heats super, you don’t need more. Installation is very easy, works 100%! Take it, you won't regret it. Already recommended it to friends. You just need to take into account one fact: while the heater is operating, there should be no kettles or dishwashers hanging on the line, otherwise the machine will go out while both are operating. In my experience, when the dishwasher is running, the machine knocks out.</v>
      </c>
    </row>
    <row r="9565" spans="1:9" x14ac:dyDescent="0.3">
      <c r="A9565" s="1" t="s">
        <v>120</v>
      </c>
      <c r="B9565" s="1" t="s">
        <v>121</v>
      </c>
      <c r="C9565" s="1" t="s">
        <v>69</v>
      </c>
      <c r="D9565" s="1" t="s">
        <v>232</v>
      </c>
      <c r="E9565" s="1" t="s">
        <v>3454</v>
      </c>
      <c r="F9565" s="1" t="s">
        <v>14098</v>
      </c>
      <c r="G9565" s="1" t="s">
        <v>28</v>
      </c>
      <c r="H9565" s="1" t="s">
        <v>29</v>
      </c>
      <c r="I9565" s="1" t="str">
        <f ca="1">IFERROR(__xludf.DUMMYFUNCTION("GOOGLETRANSLATE(F9565, ""auto"", ""en"")
"),"When watching TV from an antenna, sometimes (especially during the day) the image disappears for 1-2 seconds. and often. The 1995 Panasonic picks up channels much better with the same antenna. The tuner is weak.")</f>
        <v>When watching TV from an antenna, sometimes (especially during the day) the image disappears for 1-2 seconds. and often. The 1995 Panasonic picks up channels much better with the same antenna. The tuner is weak.</v>
      </c>
    </row>
    <row r="9566" spans="1:9" x14ac:dyDescent="0.3">
      <c r="A9566" s="1" t="s">
        <v>477</v>
      </c>
      <c r="B9566" s="1" t="s">
        <v>478</v>
      </c>
      <c r="C9566" s="1" t="s">
        <v>479</v>
      </c>
      <c r="D9566" s="1" t="s">
        <v>14099</v>
      </c>
      <c r="E9566" s="1" t="s">
        <v>4240</v>
      </c>
      <c r="F9566" s="1" t="s">
        <v>14100</v>
      </c>
      <c r="G9566" s="1" t="s">
        <v>36</v>
      </c>
      <c r="H9566" s="1" t="s">
        <v>29</v>
      </c>
      <c r="I9566" s="1" t="str">
        <f ca="1">IFERROR(__xludf.DUMMYFUNCTION("GOOGLETRANSLATE(F9566, ""auto"", ""en"")
"),"An interesting game in the quest genre, I think, one of the cult games of the 2000s, well, this is my subjective opinion. ")</f>
        <v xml:space="preserve">An interesting game in the quest genre, I think, one of the cult games of the 2000s, well, this is my subjective opinion. </v>
      </c>
    </row>
    <row r="9567" spans="1:9" x14ac:dyDescent="0.3">
      <c r="A9567" s="1" t="s">
        <v>37</v>
      </c>
      <c r="B9567" s="1" t="s">
        <v>38</v>
      </c>
      <c r="C9567" s="1" t="s">
        <v>151</v>
      </c>
      <c r="D9567" s="1" t="s">
        <v>466</v>
      </c>
      <c r="E9567" s="1" t="s">
        <v>4049</v>
      </c>
      <c r="F9567" s="1" t="s">
        <v>14101</v>
      </c>
      <c r="G9567" s="1" t="s">
        <v>36</v>
      </c>
      <c r="H9567" s="1" t="s">
        <v>29</v>
      </c>
      <c r="I9567" s="1" t="str">
        <f ca="1">IFERROR(__xludf.DUMMYFUNCTION("GOOGLETRANSLATE(F9567, ""auto"", ""en"")
"),"Oddly enough, I was very pleased with the phone - it has everything you need from a phone: compactness, lightness, stylish design, it flies freely over the network and does not glitch, plus it supports microSD and has a decent speaker. The only thing that"&amp;" didn’t please me was that I downloaded Asya via wap. Well, it’s a gorgeous phone - an excellent replacement for a Nokia brick)")</f>
        <v>Oddly enough, I was very pleased with the phone - it has everything you need from a phone: compactness, lightness, stylish design, it flies freely over the network and does not glitch, plus it supports microSD and has a decent speaker. The only thing that didn’t please me was that I downloaded Asya via wap. Well, it’s a gorgeous phone - an excellent replacement for a Nokia brick)</v>
      </c>
    </row>
    <row r="9568" spans="1:9" x14ac:dyDescent="0.3">
      <c r="A9568" s="1" t="s">
        <v>120</v>
      </c>
      <c r="B9568" s="1" t="s">
        <v>196</v>
      </c>
      <c r="C9568" s="1" t="s">
        <v>151</v>
      </c>
      <c r="D9568" s="1" t="s">
        <v>152</v>
      </c>
      <c r="E9568" s="1" t="s">
        <v>4603</v>
      </c>
      <c r="F9568" s="1" t="s">
        <v>14102</v>
      </c>
      <c r="G9568" s="1" t="s">
        <v>28</v>
      </c>
      <c r="H9568" s="1" t="s">
        <v>29</v>
      </c>
      <c r="I9568" s="1" t="str">
        <f ca="1">IFERROR(__xludf.DUMMYFUNCTION("GOOGLETRANSLATE(F9568, ""auto"", ""en"")
"),"Hello to everyone who is looking for, choosing!  I bought this SAMSUNG model on the recommendation of friends, in principle I’m happy with everything, rich colors, and at 50% settings!! Accordingly, a large supply +/-. Easy menu and everything is clear..."&amp;" Since I didn’t have much time to choose and look (I trust my friends), I decided to closely communicate with the sales consultant on this model and in the end, either take it or not.  The pros outweighed the cons (which, in principle, were not there))) -"&amp;" this is understandable... and I decided to take it. It turned out later that this model does not have the PIP (Picture in Picture) function, although one of the first questions to the seller was about this and the answer was positive!! Moreover, you can "&amp;"configure them so that one is active, the other without sound, or two are active, etc.((And also, when turned on, this model emits a ringing tone (like on phones), only this function can be disabled in the phone, but on this model it is not, I think on al"&amp;"l models too... Apparently, this is a proprietary SAMSUNG “feature”, to be honest, it’s annoying, this definitely had to be mentioned to the client. In principle, all of the above is not spoils the picture about the quality of this “unit”, this informatio"&amp;"n is for people like me, at one time, when I was looking...)) I should have looked for information better... as a result, my rating is 4+")</f>
        <v>Hello to everyone who is looking for, choosing!  I bought this SAMSUNG model on the recommendation of friends, in principle I’m happy with everything, rich colors, and at 50% settings!! Accordingly, a large supply +/-. Easy menu and everything is clear... Since I didn’t have much time to choose and look (I trust my friends), I decided to closely communicate with the sales consultant on this model and in the end, either take it or not.  The pros outweighed the cons (which, in principle, were not there))) - this is understandable... and I decided to take it. It turned out later that this model does not have the PIP (Picture in Picture) function, although one of the first questions to the seller was about this and the answer was positive!! Moreover, you can configure them so that one is active, the other without sound, or two are active, etc.((And also, when turned on, this model emits a ringing tone (like on phones), only this function can be disabled in the phone, but on this model it is not, I think on all models too... Apparently, this is a proprietary SAMSUNG “feature”, to be honest, it’s annoying, this definitely had to be mentioned to the client. In principle, all of the above is not spoils the picture about the quality of this “unit”, this information is for people like me, at one time, when I was looking...)) I should have looked for information better... as a result, my rating is 4+</v>
      </c>
    </row>
    <row r="9569" spans="1:9" x14ac:dyDescent="0.3">
      <c r="A9569" s="1" t="s">
        <v>149</v>
      </c>
      <c r="B9569" s="1" t="s">
        <v>423</v>
      </c>
      <c r="C9569" s="1" t="s">
        <v>314</v>
      </c>
      <c r="D9569" s="1" t="s">
        <v>14103</v>
      </c>
      <c r="E9569" s="1" t="s">
        <v>1228</v>
      </c>
      <c r="F9569" s="1" t="s">
        <v>14104</v>
      </c>
      <c r="G9569" s="1" t="s">
        <v>36</v>
      </c>
      <c r="H9569" s="1" t="s">
        <v>29</v>
      </c>
      <c r="I9569" s="1" t="str">
        <f ca="1">IFERROR(__xludf.DUMMYFUNCTION("GOOGLETRANSLATE(F9569, ""auto"", ""en"")
"),"Just recently my husband and I bought this vacuum cleaner, which we are incredibly happy about. I completely agree with the descriptions of Alexey and Dmitry, so I won’t repeat myself and praise it, the vacuum cleaner is really good. We have carpets all a"&amp;"round, a small child, a cat, and we ourselves love to eat in the hall, then you accidentally spill tea, or a child will drop chocolate cheese, and even crush it in the process. Before this, I bought it occasionally. powder, rubbed vigorously for several h"&amp;"ours at a time, then it dried for a day or even two, then vacuumed, in general it took a lot of effort and time. And now cleaning takes 30 minutes and the carpets are clean!!!  We first gave our vacuum cleaner a small test. We wet-cleaned exactly half of "&amp;"the carpet in the hall, and there were a lot of stubborn stains that I planned to thoroughly rub with my hands first, but we didn’t do that, we just kept the sprayer in places of heavy contamination - the result was perfect cleanliness. Unlike Alexey, we "&amp;"didn’t wear a separate nozzle to collect liquid, just a regular one with a sprayer and the power was not maximum, but penultimate. The carpet was slightly damp and at first I was upset, for some reason I expected a completely dry result, but after an hour"&amp;" it was completely dry. And the difference with the second half of the carpet was of course noticeable. We also immediately bought a special liquid product in the same store and there was actually no foam, and we haven’t tried the powder that came with th"&amp;"e vacuum cleaner yet, it seems to me that it will definitely foam a lot. That’s why we haven’t tried our vacuum cleaner yet. “written.” But thanks for the note, I’ll know for the future, it would have scared me, but now I know it’s nothing to worry about."&amp;"   In general, we are very pleased! We recommend it to everyone!")</f>
        <v>Just recently my husband and I bought this vacuum cleaner, which we are incredibly happy about. I completely agree with the descriptions of Alexey and Dmitry, so I won’t repeat myself and praise it, the vacuum cleaner is really good. We have carpets all around, a small child, a cat, and we ourselves love to eat in the hall, then you accidentally spill tea, or a child will drop chocolate cheese, and even crush it in the process. Before this, I bought it occasionally. powder, rubbed vigorously for several hours at a time, then it dried for a day or even two, then vacuumed, in general it took a lot of effort and time. And now cleaning takes 30 minutes and the carpets are clean!!!  We first gave our vacuum cleaner a small test. We wet-cleaned exactly half of the carpet in the hall, and there were a lot of stubborn stains that I planned to thoroughly rub with my hands first, but we didn’t do that, we just kept the sprayer in places of heavy contamination - the result was perfect cleanliness. Unlike Alexey, we didn’t wear a separate nozzle to collect liquid, just a regular one with a sprayer and the power was not maximum, but penultimate. The carpet was slightly damp and at first I was upset, for some reason I expected a completely dry result, but after an hour it was completely dry. And the difference with the second half of the carpet was of course noticeable. We also immediately bought a special liquid product in the same store and there was actually no foam, and we haven’t tried the powder that came with the vacuum cleaner yet, it seems to me that it will definitely foam a lot. That’s why we haven’t tried our vacuum cleaner yet. “written.” But thanks for the note, I’ll know for the future, it would have scared me, but now I know it’s nothing to worry about.   In general, we are very pleased! We recommend it to everyone!</v>
      </c>
    </row>
    <row r="9570" spans="1:9" x14ac:dyDescent="0.3">
      <c r="A9570" s="1" t="s">
        <v>211</v>
      </c>
      <c r="B9570" s="1" t="s">
        <v>515</v>
      </c>
      <c r="C9570" s="1" t="s">
        <v>69</v>
      </c>
      <c r="D9570" s="1" t="s">
        <v>247</v>
      </c>
      <c r="E9570" s="1" t="s">
        <v>3038</v>
      </c>
      <c r="F9570" s="1" t="s">
        <v>14105</v>
      </c>
      <c r="G9570" s="1" t="s">
        <v>49</v>
      </c>
      <c r="H9570" s="1" t="s">
        <v>16</v>
      </c>
      <c r="I9570" s="1" t="str">
        <f ca="1">IFERROR(__xludf.DUMMYFUNCTION("GOOGLETRANSLATE(F9570, ""auto"", ""en"")
"),"I didn't like this epilator.  Pain. Quite noticeable. She could not be tolerated for long. But!!! Epilation takes about 25 minutes per leg.   Not much pleasant.  I definitely didn't like it.")</f>
        <v>I didn't like this epilator.  Pain. Quite noticeable. She could not be tolerated for long. But!!! Epilation takes about 25 minutes per leg.   Not much pleasant.  I definitely didn't like it.</v>
      </c>
    </row>
    <row r="9571" spans="1:9" x14ac:dyDescent="0.3">
      <c r="A9571" s="1" t="s">
        <v>282</v>
      </c>
      <c r="B9571" s="1" t="s">
        <v>283</v>
      </c>
      <c r="C9571" s="1" t="s">
        <v>11550</v>
      </c>
      <c r="D9571" s="1" t="s">
        <v>86</v>
      </c>
      <c r="E9571" s="1" t="s">
        <v>285</v>
      </c>
      <c r="F9571" s="1" t="s">
        <v>14106</v>
      </c>
      <c r="G9571" s="1" t="s">
        <v>36</v>
      </c>
      <c r="H9571" s="1" t="s">
        <v>29</v>
      </c>
      <c r="I9571" s="1" t="str">
        <f ca="1">IFERROR(__xludf.DUMMYFUNCTION("GOOGLETRANSLATE(F9571, ""auto"", ""en"")
"),"Dynamic film. The best recommendations for home cinema! Take it, you won’t regret it!")</f>
        <v>Dynamic film. The best recommendations for home cinema! Take it, you won’t regret it!</v>
      </c>
    </row>
    <row r="9572" spans="1:9" x14ac:dyDescent="0.3">
      <c r="A9572" s="1" t="s">
        <v>111</v>
      </c>
      <c r="B9572" s="1" t="s">
        <v>112</v>
      </c>
      <c r="C9572" s="1" t="s">
        <v>113</v>
      </c>
      <c r="D9572" s="1" t="s">
        <v>305</v>
      </c>
      <c r="E9572" s="1" t="s">
        <v>3861</v>
      </c>
      <c r="F9572" s="1" t="s">
        <v>14107</v>
      </c>
      <c r="G9572" s="1" t="s">
        <v>36</v>
      </c>
      <c r="H9572" s="1" t="s">
        <v>29</v>
      </c>
      <c r="I9572" s="1" t="str">
        <f ca="1">IFERROR(__xludf.DUMMYFUNCTION("GOOGLETRANSLATE(F9572, ""auto"", ""en"")
"),"I have been using Pilot for a very long time. Recently I thought it was time to change the old pilots for all the equipment in the house (the pilots have been working in normal mode for 10 years now) with new ones, for safety reasons. I didn’t even consid"&amp;"er another company; I only chose Pilot. Perhaps he has defects, but I think that in percentage terms, it is tiny. I recommend it to everyone! Price and reliability are at a good level.")</f>
        <v>I have been using Pilot for a very long time. Recently I thought it was time to change the old pilots for all the equipment in the house (the pilots have been working in normal mode for 10 years now) with new ones, for safety reasons. I didn’t even consider another company; I only chose Pilot. Perhaps he has defects, but I think that in percentage terms, it is tiny. I recommend it to everyone! Price and reliability are at a good level.</v>
      </c>
    </row>
    <row r="9573" spans="1:9" x14ac:dyDescent="0.3">
      <c r="A9573" s="1" t="s">
        <v>624</v>
      </c>
      <c r="B9573" s="1" t="s">
        <v>625</v>
      </c>
      <c r="C9573" s="1" t="s">
        <v>479</v>
      </c>
      <c r="D9573" s="1" t="s">
        <v>2336</v>
      </c>
      <c r="E9573" s="1" t="s">
        <v>8675</v>
      </c>
      <c r="F9573" s="1" t="s">
        <v>14108</v>
      </c>
      <c r="G9573" s="1" t="s">
        <v>36</v>
      </c>
      <c r="H9573" s="1" t="s">
        <v>29</v>
      </c>
      <c r="I9573" s="1" t="str">
        <f ca="1">IFERROR(__xludf.DUMMYFUNCTION("GOOGLETRANSLATE(F9573, ""auto"", ""en"")
"),"An excellent toy! A unique world and the cutest main character, you just can’t get bored of it! The only game out of a bunch of discs that I won’t let anyone play for a while! I recommend it to EVERYONE! Buy and join the game online!")</f>
        <v>An excellent toy! A unique world and the cutest main character, you just can’t get bored of it! The only game out of a bunch of discs that I won’t let anyone play for a while! I recommend it to EVERYONE! Buy and join the game online!</v>
      </c>
    </row>
    <row r="9574" spans="1:9" x14ac:dyDescent="0.3">
      <c r="A9574" s="1" t="s">
        <v>55</v>
      </c>
      <c r="B9574" s="1" t="s">
        <v>184</v>
      </c>
      <c r="C9574" s="1" t="s">
        <v>101</v>
      </c>
      <c r="D9574" s="1" t="s">
        <v>474</v>
      </c>
      <c r="E9574" s="1" t="s">
        <v>5475</v>
      </c>
      <c r="F9574" s="1" t="s">
        <v>14109</v>
      </c>
      <c r="G9574" s="1" t="s">
        <v>36</v>
      </c>
      <c r="H9574" s="1" t="s">
        <v>29</v>
      </c>
      <c r="I9574" s="1" t="str">
        <f ca="1">IFERROR(__xludf.DUMMYFUNCTION("GOOGLETRANSLATE(F9574, ""auto"", ""en"")
"),"I read the reviews and had my doubts, but the money wasn’t much, and the house was getting colder, so I decided to buy it. And I’m very pleased! In 20-30 minutes the temperature in 12 squares is noticeably higher! It's really warm! Much more compact than "&amp;"oil-based, but the effect is the same, plus savings again. In short, I have no regrets and recommend it.")</f>
        <v>I read the reviews and had my doubts, but the money wasn’t much, and the house was getting colder, so I decided to buy it. And I’m very pleased! In 20-30 minutes the temperature in 12 squares is noticeably higher! It's really warm! Much more compact than oil-based, but the effect is the same, plus savings again. In short, I have no regrets and recommend it.</v>
      </c>
    </row>
    <row r="9575" spans="1:9" x14ac:dyDescent="0.3">
      <c r="A9575" s="1" t="s">
        <v>95</v>
      </c>
      <c r="B9575" s="1" t="s">
        <v>486</v>
      </c>
      <c r="C9575" s="1" t="s">
        <v>487</v>
      </c>
      <c r="D9575" s="1" t="s">
        <v>20</v>
      </c>
      <c r="E9575" s="1" t="s">
        <v>1287</v>
      </c>
      <c r="F9575" s="1" t="s">
        <v>14110</v>
      </c>
      <c r="G9575" s="1" t="s">
        <v>36</v>
      </c>
      <c r="H9575" s="1" t="s">
        <v>29</v>
      </c>
      <c r="I9575" s="1" t="str">
        <f ca="1">IFERROR(__xludf.DUMMYFUNCTION("GOOGLETRANSLATE(F9575, ""auto"", ""en"")
"),"Great console! I haven’t experienced any problems with overheating, and it works 10-15 hours a day! I’ve been using it for a year and a half now and recommend it to everyone! And if you want an unnecessary bluray format, you can overpay for the PS3, which"&amp;" is inferior to the XBOX in many ways! By the way, the noise from it is no more than from a good system unit on a PC; it absolutely does not interfere with enjoying the gameplay!")</f>
        <v>Great console! I haven’t experienced any problems with overheating, and it works 10-15 hours a day! I’ve been using it for a year and a half now and recommend it to everyone! And if you want an unnecessary bluray format, you can overpay for the PS3, which is inferior to the XBOX in many ways! By the way, the noise from it is no more than from a good system unit on a PC; it absolutely does not interfere with enjoying the gameplay!</v>
      </c>
    </row>
    <row r="9576" spans="1:9" x14ac:dyDescent="0.3">
      <c r="A9576" s="1" t="s">
        <v>17</v>
      </c>
      <c r="B9576" s="1" t="s">
        <v>18</v>
      </c>
      <c r="C9576" s="1" t="s">
        <v>138</v>
      </c>
      <c r="D9576" s="1" t="s">
        <v>411</v>
      </c>
      <c r="E9576" s="1" t="s">
        <v>2146</v>
      </c>
      <c r="F9576" s="1" t="s">
        <v>14111</v>
      </c>
      <c r="G9576" s="1" t="s">
        <v>28</v>
      </c>
      <c r="H9576" s="1" t="s">
        <v>29</v>
      </c>
      <c r="I9576" s="1" t="str">
        <f ca="1">IFERROR(__xludf.DUMMYFUNCTION("GOOGLETRANSLATE(F9576, ""auto"", ""en"")
"),"I bought the car for 9,990 on sale. There were no competitors at that price at that time. Overall the car is not bad, but in my opinion it is noisy, approx. During the spin cycle it whistles very loudly. also because of m.b. on an uneven floor, it vibrate"&amp;"s, but does not budge, because... I bought special silicone coasters. Convenient display shows the time until the end of the wash. I don’t like that after the program is finished the door remains locked for about 5 minutes, I think that’s a long time. But"&amp;" for the price this is the best choice!")</f>
        <v>I bought the car for 9,990 on sale. There were no competitors at that price at that time. Overall the car is not bad, but in my opinion it is noisy, approx. During the spin cycle it whistles very loudly. also because of m.b. on an uneven floor, it vibrates, but does not budge, because... I bought special silicone coasters. Convenient display shows the time until the end of the wash. I don’t like that after the program is finished the door remains locked for about 5 minutes, I think that’s a long time. But for the price this is the best choice!</v>
      </c>
    </row>
    <row r="9577" spans="1:9" x14ac:dyDescent="0.3">
      <c r="A9577" s="1" t="s">
        <v>43</v>
      </c>
      <c r="B9577" s="1" t="s">
        <v>303</v>
      </c>
      <c r="C9577" s="1" t="s">
        <v>665</v>
      </c>
      <c r="D9577" s="1" t="s">
        <v>335</v>
      </c>
      <c r="E9577" s="1" t="s">
        <v>1408</v>
      </c>
      <c r="F9577" s="1" t="s">
        <v>14112</v>
      </c>
      <c r="G9577" s="1" t="s">
        <v>36</v>
      </c>
      <c r="H9577" s="1" t="s">
        <v>29</v>
      </c>
      <c r="I9577" s="1" t="str">
        <f ca="1">IFERROR(__xludf.DUMMYFUNCTION("GOOGLETRANSLATE(F9577, ""auto"", ""en"")
"),"This is the second water heater in our house, but we weren’t lucky with the first one. We listened to the consultants, they call it... you've seen them - ordinary students with part-time jobs who have absolutely no understanding of technology. They advert"&amp;"ised it so much that even my husband believed it, but after two months he began to drip. In general, the second water heater was chosen more carefully. It’s better to study and understand everything yourself or take the advice of friends. Haier was recomm"&amp;"ended by our friends, they just have a different model, but we liked this one. We decided that 80 liters for four would be enough - and so it is. The power is small, but the water heats up very quickly and energy is consumed economically. There was no sha"&amp;"rp jump in payments, which is encouraging. It’s convenient to use, the controls are clear, we connected it ourselves - everything works great.")</f>
        <v>This is the second water heater in our house, but we weren’t lucky with the first one. We listened to the consultants, they call it... you've seen them - ordinary students with part-time jobs who have absolutely no understanding of technology. They advertised it so much that even my husband believed it, but after two months he began to drip. In general, the second water heater was chosen more carefully. It’s better to study and understand everything yourself or take the advice of friends. Haier was recommended by our friends, they just have a different model, but we liked this one. We decided that 80 liters for four would be enough - and so it is. The power is small, but the water heats up very quickly and energy is consumed economically. There was no sharp jump in payments, which is encouraging. It’s convenient to use, the controls are clear, we connected it ourselves - everything works great.</v>
      </c>
    </row>
    <row r="9578" spans="1:9" x14ac:dyDescent="0.3">
      <c r="A9578" s="1" t="s">
        <v>61</v>
      </c>
      <c r="B9578" s="1" t="s">
        <v>318</v>
      </c>
      <c r="C9578" s="1" t="s">
        <v>246</v>
      </c>
      <c r="D9578" s="1" t="s">
        <v>7494</v>
      </c>
      <c r="E9578" s="1" t="s">
        <v>543</v>
      </c>
      <c r="F9578" s="1" t="s">
        <v>14113</v>
      </c>
      <c r="G9578" s="1" t="s">
        <v>49</v>
      </c>
      <c r="H9578" s="1" t="s">
        <v>16</v>
      </c>
      <c r="I9578" s="1" t="str">
        <f ca="1">IFERROR(__xludf.DUMMYFUNCTION("GOOGLETRANSLATE(F9578, ""auto"", ""en"")
"),"Six months later, the plastic on the lid began to crumble, the lid fell apart, began to leak.....just horror, what disgusting...")</f>
        <v>Six months later, the plastic on the lid began to crumble, the lid fell apart, began to leak.....just horror, what disgusting...</v>
      </c>
    </row>
    <row r="9579" spans="1:9" x14ac:dyDescent="0.3">
      <c r="A9579" s="1" t="s">
        <v>61</v>
      </c>
      <c r="B9579" s="1" t="s">
        <v>318</v>
      </c>
      <c r="C9579" s="1" t="s">
        <v>57</v>
      </c>
      <c r="D9579" s="1" t="s">
        <v>1147</v>
      </c>
      <c r="E9579" s="1" t="s">
        <v>6779</v>
      </c>
      <c r="F9579" s="1" t="s">
        <v>14114</v>
      </c>
      <c r="G9579" s="1" t="s">
        <v>36</v>
      </c>
      <c r="H9579" s="1" t="s">
        <v>29</v>
      </c>
      <c r="I9579" s="1" t="str">
        <f ca="1">IFERROR(__xludf.DUMMYFUNCTION("GOOGLETRANSLATE(F9579, ""auto"", ""en"")
"),"We even took mushrooms into the forest, it was super warm. It maintains the temperature for a long time, and the capacity is simply super.")</f>
        <v>We even took mushrooms into the forest, it was super warm. It maintains the temperature for a long time, and the capacity is simply super.</v>
      </c>
    </row>
    <row r="9580" spans="1:9" x14ac:dyDescent="0.3">
      <c r="A9580" s="1" t="s">
        <v>149</v>
      </c>
      <c r="B9580" s="1" t="s">
        <v>576</v>
      </c>
      <c r="C9580" s="1" t="s">
        <v>24</v>
      </c>
      <c r="D9580" s="1" t="s">
        <v>280</v>
      </c>
      <c r="E9580" s="1" t="s">
        <v>7655</v>
      </c>
      <c r="F9580" s="1" t="s">
        <v>14115</v>
      </c>
      <c r="G9580" s="1" t="s">
        <v>36</v>
      </c>
      <c r="H9580" s="1" t="s">
        <v>29</v>
      </c>
      <c r="I9580" s="1" t="str">
        <f ca="1">IFERROR(__xludf.DUMMYFUNCTION("GOOGLETRANSLATE(F9580, ""auto"", ""en"")
"),"I took it yesterday, the determining factor in the choice was the price. Pros: sufficient power, good looks, light weight, convenient large buttons and power regulator, and easy to change bags. Cons: The cord is short, the tube is non-telescopic (just a c"&amp;"omposite one), the main brush is too small (although it’s quite enough for an apartment, unless you have Catherine’s palace), there are only three attachments - main, medium and narrow (it also has a rotating part with a brush), they probably meant that t"&amp;"he narrow one with and without a brush is two attachments, and not the same), well, this is not so important. I will note a feature that can be a plus or a minus - very powerful cord rewinding, one touch of the button, and the wire will be pulled out alon"&amp;"g with the socket. On the one hand, the wire does not have to be pushed inside, on the other hand, you need to be careful when winding it up. Overall: take it with confidence, the price will justify almost all the disadvantages.")</f>
        <v>I took it yesterday, the determining factor in the choice was the price. Pros: sufficient power, good looks, light weight, convenient large buttons and power regulator, and easy to change bags. Cons: The cord is short, the tube is non-telescopic (just a composite one), the main brush is too small (although it’s quite enough for an apartment, unless you have Catherine’s palace), there are only three attachments - main, medium and narrow (it also has a rotating part with a brush), they probably meant that the narrow one with and without a brush is two attachments, and not the same), well, this is not so important. I will note a feature that can be a plus or a minus - very powerful cord rewinding, one touch of the button, and the wire will be pulled out along with the socket. On the one hand, the wire does not have to be pushed inside, on the other hand, you need to be careful when winding it up. Overall: take it with confidence, the price will justify almost all the disadvantages.</v>
      </c>
    </row>
    <row r="9581" spans="1:9" x14ac:dyDescent="0.3">
      <c r="A9581" s="1" t="s">
        <v>211</v>
      </c>
      <c r="B9581" s="1" t="s">
        <v>212</v>
      </c>
      <c r="C9581" s="1" t="s">
        <v>69</v>
      </c>
      <c r="D9581" s="1" t="s">
        <v>295</v>
      </c>
      <c r="E9581" s="1" t="s">
        <v>11954</v>
      </c>
      <c r="F9581" s="1" t="s">
        <v>14116</v>
      </c>
      <c r="G9581" s="1" t="s">
        <v>28</v>
      </c>
      <c r="H9581" s="1" t="s">
        <v>29</v>
      </c>
      <c r="I9581" s="1" t="str">
        <f ca="1">IFERROR(__xludf.DUMMYFUNCTION("GOOGLETRANSLATE(F9581, ""auto"", ""en"")
"),"The hairdryer is very good, it styles well, but unfortunately it ruins the hair.")</f>
        <v>The hairdryer is very good, it styles well, but unfortunately it ruins the hair.</v>
      </c>
    </row>
    <row r="9582" spans="1:9" x14ac:dyDescent="0.3">
      <c r="A9582" s="1" t="s">
        <v>55</v>
      </c>
      <c r="B9582" s="1" t="s">
        <v>56</v>
      </c>
      <c r="C9582" s="1" t="s">
        <v>57</v>
      </c>
      <c r="D9582" s="1" t="s">
        <v>420</v>
      </c>
      <c r="E9582" s="1" t="s">
        <v>7872</v>
      </c>
      <c r="F9582" s="1" t="s">
        <v>14117</v>
      </c>
      <c r="G9582" s="1" t="s">
        <v>36</v>
      </c>
      <c r="H9582" s="1" t="s">
        <v>29</v>
      </c>
      <c r="I9582" s="1" t="str">
        <f ca="1">IFERROR(__xludf.DUMMYFUNCTION("GOOGLETRANSLATE(F9582, ""auto"", ""en"")
"),"I measured the humidity in the new apartment, in the end it was 24%, I bought it, now it’s been working for a month, the flowers have bloomed before my eyes! Cons: I completely disassembled it, removed the squeak (the build quality is low), drilled a hole"&amp;" for water from the top! The standard probably turned out when the developers were not in the company, the humidity sensor is lying like crazy - no wonder if you take it apart and see it. The result is very good for the money! It gurgles quietly, we sleep"&amp;" without problems. I recommend, Everything can be fixed with Russians, that’s who we are)")</f>
        <v>I measured the humidity in the new apartment, in the end it was 24%, I bought it, now it’s been working for a month, the flowers have bloomed before my eyes! Cons: I completely disassembled it, removed the squeak (the build quality is low), drilled a hole for water from the top! The standard probably turned out when the developers were not in the company, the humidity sensor is lying like crazy - no wonder if you take it apart and see it. The result is very good for the money! It gurgles quietly, we sleep without problems. I recommend, Everything can be fixed with Russians, that’s who we are)</v>
      </c>
    </row>
    <row r="9583" spans="1:9" x14ac:dyDescent="0.3">
      <c r="A9583" s="1" t="s">
        <v>9</v>
      </c>
      <c r="B9583" s="1" t="s">
        <v>23</v>
      </c>
      <c r="C9583" s="1" t="s">
        <v>159</v>
      </c>
      <c r="D9583" s="1" t="s">
        <v>8257</v>
      </c>
      <c r="E9583" s="1" t="s">
        <v>2514</v>
      </c>
      <c r="F9583" s="1" t="s">
        <v>14118</v>
      </c>
      <c r="G9583" s="1" t="s">
        <v>28</v>
      </c>
      <c r="H9583" s="1" t="s">
        <v>29</v>
      </c>
      <c r="I9583" s="1" t="str">
        <f ca="1">IFERROR(__xludf.DUMMYFUNCTION("GOOGLETRANSLATE(F9583, ""auto"", ""en"")
"),"We bought the machine in the spring of 2010. It works really quietly, washes the dishes well, but does not dry them completely. However, on the 3rd day of operation, the machine began to turn off during the washing process. It turned out that in this way "&amp;"the machine reacts to voltage changes in the network. I had to buy an additional voltage stabilizer for the car (((.")</f>
        <v>We bought the machine in the spring of 2010. It works really quietly, washes the dishes well, but does not dry them completely. However, on the 3rd day of operation, the machine began to turn off during the washing process. It turned out that in this way the machine reacts to voltage changes in the network. I had to buy an additional voltage stabilizer for the car (((.</v>
      </c>
    </row>
    <row r="9584" spans="1:9" x14ac:dyDescent="0.3">
      <c r="A9584" s="1" t="s">
        <v>17</v>
      </c>
      <c r="B9584" s="1" t="s">
        <v>18</v>
      </c>
      <c r="C9584" s="1" t="s">
        <v>243</v>
      </c>
      <c r="D9584" s="1" t="s">
        <v>545</v>
      </c>
      <c r="E9584" s="1" t="s">
        <v>5767</v>
      </c>
      <c r="F9584" s="1" t="s">
        <v>14119</v>
      </c>
      <c r="G9584" s="1" t="s">
        <v>36</v>
      </c>
      <c r="H9584" s="1" t="s">
        <v>29</v>
      </c>
      <c r="I9584" s="1" t="str">
        <f ca="1">IFERROR(__xludf.DUMMYFUNCTION("GOOGLETRANSLATE(F9584, ""auto"", ""en"")
"),"I am very pleased with the machine. It washes and rinses clothes well. Many necessary programs and additional functions. Washing and spinning are practically inaudible even with the bathroom door open. I am very pleased with the Express15 program. The mos"&amp;"t important thing is that the machine does not jump, take off, or be knocked out of place, you just need to remember to unscrew the fixing bolts on the back wall, which hold the drum during transportation.")</f>
        <v>I am very pleased with the machine. It washes and rinses clothes well. Many necessary programs and additional functions. Washing and spinning are practically inaudible even with the bathroom door open. I am very pleased with the Express15 program. The most important thing is that the machine does not jump, take off, or be knocked out of place, you just need to remember to unscrew the fixing bolts on the back wall, which hold the drum during transportation.</v>
      </c>
    </row>
    <row r="9585" spans="1:9" x14ac:dyDescent="0.3">
      <c r="A9585" s="1" t="s">
        <v>55</v>
      </c>
      <c r="B9585" s="1" t="s">
        <v>184</v>
      </c>
      <c r="C9585" s="1" t="s">
        <v>85</v>
      </c>
      <c r="D9585" s="1" t="s">
        <v>52</v>
      </c>
      <c r="E9585" s="1" t="s">
        <v>594</v>
      </c>
      <c r="F9585" s="1" t="s">
        <v>14120</v>
      </c>
      <c r="G9585" s="1" t="s">
        <v>49</v>
      </c>
      <c r="H9585" s="1" t="s">
        <v>16</v>
      </c>
      <c r="I9585" s="1" t="str">
        <f ca="1">IFERROR(__xludf.DUMMYFUNCTION("GOOGLETRANSLATE(F9585, ""auto"", ""en"")
"),"Mega noisy. no fan speed adjustment. Tomorrow I'll go back to the store")</f>
        <v>Mega noisy. no fan speed adjustment. Tomorrow I'll go back to the store</v>
      </c>
    </row>
    <row r="9586" spans="1:9" x14ac:dyDescent="0.3">
      <c r="A9586" s="1" t="s">
        <v>17</v>
      </c>
      <c r="B9586" s="1" t="s">
        <v>18</v>
      </c>
      <c r="C9586" s="1" t="s">
        <v>24</v>
      </c>
      <c r="D9586" s="1" t="s">
        <v>232</v>
      </c>
      <c r="E9586" s="1" t="s">
        <v>1245</v>
      </c>
      <c r="F9586" s="1" t="s">
        <v>14121</v>
      </c>
      <c r="G9586" s="1" t="s">
        <v>36</v>
      </c>
      <c r="H9586" s="1" t="s">
        <v>29</v>
      </c>
      <c r="I9586" s="1" t="str">
        <f ca="1">IFERROR(__xludf.DUMMYFUNCTION("GOOGLETRANSLATE(F9586, ""auto"", ""en"")
"),"Washing: 5 points Noise: 5 points Design: 5 points")</f>
        <v>Washing: 5 points Noise: 5 points Design: 5 points</v>
      </c>
    </row>
    <row r="9587" spans="1:9" x14ac:dyDescent="0.3">
      <c r="A9587" s="1" t="s">
        <v>30</v>
      </c>
      <c r="B9587" s="1" t="s">
        <v>50</v>
      </c>
      <c r="C9587" s="1" t="s">
        <v>1003</v>
      </c>
      <c r="D9587" s="1" t="s">
        <v>2068</v>
      </c>
      <c r="E9587" s="1" t="s">
        <v>10065</v>
      </c>
      <c r="F9587" s="1" t="s">
        <v>14122</v>
      </c>
      <c r="G9587" s="1" t="s">
        <v>49</v>
      </c>
      <c r="H9587" s="1" t="s">
        <v>16</v>
      </c>
      <c r="I9587" s="1" t="str">
        <f ca="1">IFERROR(__xludf.DUMMYFUNCTION("GOOGLETRANSLATE(F9587, ""auto"", ""en"")
"),"I was very happy with the purchase of the HP Pavilion dv6 2116er, although not for long. Immediately after the year of warranty ended, the hard drive fell off. Then the cable burned out, then the north bridge. Then the mother died. Read the reviews from p"&amp;"avilion specialists - the lowest quality version and there are a lot of complaints about the assembly.")</f>
        <v>I was very happy with the purchase of the HP Pavilion dv6 2116er, although not for long. Immediately after the year of warranty ended, the hard drive fell off. Then the cable burned out, then the north bridge. Then the mother died. Read the reviews from pavilion specialists - the lowest quality version and there are a lot of complaints about the assembly.</v>
      </c>
    </row>
    <row r="9588" spans="1:9" x14ac:dyDescent="0.3">
      <c r="A9588" s="1" t="s">
        <v>519</v>
      </c>
      <c r="B9588" s="1" t="s">
        <v>3212</v>
      </c>
      <c r="C9588" s="1" t="s">
        <v>246</v>
      </c>
      <c r="D9588" s="1" t="s">
        <v>308</v>
      </c>
      <c r="E9588" s="1" t="s">
        <v>2338</v>
      </c>
      <c r="F9588" s="1" t="s">
        <v>14123</v>
      </c>
      <c r="G9588" s="1" t="s">
        <v>36</v>
      </c>
      <c r="H9588" s="1" t="s">
        <v>29</v>
      </c>
      <c r="I9588" s="1" t="str">
        <f ca="1">IFERROR(__xludf.DUMMYFUNCTION("GOOGLETRANSLATE(F9588, ""auto"", ""en"")
"),"Really high quality and good item. Easy to use thanks to the handles. I’ve been using it for more than five years and only now I’m thinking about replacing it because I accidentally scratched the coating. I recommend it to everyone! Take it and you won't "&amp;"regret it.")</f>
        <v>Really high quality and good item. Easy to use thanks to the handles. I’ve been using it for more than five years and only now I’m thinking about replacing it because I accidentally scratched the coating. I recommend it to everyone! Take it and you won't regret it.</v>
      </c>
    </row>
    <row r="9589" spans="1:9" x14ac:dyDescent="0.3">
      <c r="A9589" s="1" t="s">
        <v>211</v>
      </c>
      <c r="B9589" s="1" t="s">
        <v>410</v>
      </c>
      <c r="C9589" s="1" t="s">
        <v>213</v>
      </c>
      <c r="D9589" s="1" t="s">
        <v>341</v>
      </c>
      <c r="E9589" s="1" t="s">
        <v>1545</v>
      </c>
      <c r="F9589" s="1" t="s">
        <v>14124</v>
      </c>
      <c r="G9589" s="1" t="s">
        <v>36</v>
      </c>
      <c r="H9589" s="1" t="s">
        <v>29</v>
      </c>
      <c r="I9589" s="1" t="str">
        <f ca="1">IFERROR(__xludf.DUMMYFUNCTION("GOOGLETRANSLATE(F9589, ""auto"", ""en"")
"),"It shaves perfectly, no irritation, plus a lot of functions, although in my opinion, there are some things that are not needed. In general, to be honest, this razor is not worth buying for that amount of money. There are cheaper options, but the quality i"&amp;"s not inferior. It’s a personal matter)))")</f>
        <v>It shaves perfectly, no irritation, plus a lot of functions, although in my opinion, there are some things that are not needed. In general, to be honest, this razor is not worth buying for that amount of money. There are cheaper options, but the quality is not inferior. It’s a personal matter)))</v>
      </c>
    </row>
    <row r="9590" spans="1:9" x14ac:dyDescent="0.3">
      <c r="A9590" s="1" t="s">
        <v>149</v>
      </c>
      <c r="B9590" s="1" t="s">
        <v>150</v>
      </c>
      <c r="C9590" s="1" t="s">
        <v>57</v>
      </c>
      <c r="D9590" s="1" t="s">
        <v>14125</v>
      </c>
      <c r="E9590" s="1" t="s">
        <v>4558</v>
      </c>
      <c r="F9590" s="1" t="s">
        <v>14126</v>
      </c>
      <c r="G9590" s="1" t="s">
        <v>36</v>
      </c>
      <c r="H9590" s="1" t="s">
        <v>29</v>
      </c>
      <c r="I9590" s="1" t="str">
        <f ca="1">IFERROR(__xludf.DUMMYFUNCTION("GOOGLETRANSLATE(F9590, ""auto"", ""en"")
"),"A fairly ordinary car vacuum cleaner in terms of power. It differs from others by the presence of a decent case included and convenient attachments, especially the brush attachment. The charge is enough time to clean the rugs and seats.")</f>
        <v>A fairly ordinary car vacuum cleaner in terms of power. It differs from others by the presence of a decent case included and convenient attachments, especially the brush attachment. The charge is enough time to clean the rugs and seats.</v>
      </c>
    </row>
    <row r="9591" spans="1:9" x14ac:dyDescent="0.3">
      <c r="A9591" s="1" t="s">
        <v>105</v>
      </c>
      <c r="B9591" s="1" t="s">
        <v>106</v>
      </c>
      <c r="C9591" s="1" t="s">
        <v>1209</v>
      </c>
      <c r="D9591" s="1" t="s">
        <v>5617</v>
      </c>
      <c r="E9591" s="1" t="s">
        <v>3469</v>
      </c>
      <c r="F9591" s="1" t="s">
        <v>14127</v>
      </c>
      <c r="G9591" s="1" t="s">
        <v>28</v>
      </c>
      <c r="H9591" s="1" t="s">
        <v>29</v>
      </c>
      <c r="I9591" s="1" t="str">
        <f ca="1">IFERROR(__xludf.DUMMYFUNCTION("GOOGLETRANSLATE(F9591, ""auto"", ""en"")
"),"I bought an Explay M8 (8Gb) player, I liked it, it reads almost all the videos, as soon as I installed the flash card it immediately became stupid - I removed it and it doesn’t bother me!!! I record from the radio - I dull it and leave it for the whole ni"&amp;"ght until the battery runs out!!! In general, I like it, but it’s better not to record from the radio and not to install a 2Gb flash card!!")</f>
        <v>I bought an Explay M8 (8Gb) player, I liked it, it reads almost all the videos, as soon as I installed the flash card it immediately became stupid - I removed it and it doesn’t bother me!!! I record from the radio - I dull it and leave it for the whole night until the battery runs out!!! In general, I like it, but it’s better not to record from the radio and not to install a 2Gb flash card!!</v>
      </c>
    </row>
    <row r="9592" spans="1:9" x14ac:dyDescent="0.3">
      <c r="A9592" s="1" t="s">
        <v>211</v>
      </c>
      <c r="B9592" s="1" t="s">
        <v>789</v>
      </c>
      <c r="C9592" s="1" t="s">
        <v>3628</v>
      </c>
      <c r="D9592" s="1" t="s">
        <v>295</v>
      </c>
      <c r="E9592" s="1" t="s">
        <v>14128</v>
      </c>
      <c r="F9592" s="1" t="s">
        <v>14129</v>
      </c>
      <c r="G9592" s="1" t="s">
        <v>28</v>
      </c>
      <c r="H9592" s="1" t="s">
        <v>29</v>
      </c>
      <c r="I9592" s="1" t="str">
        <f ca="1">IFERROR(__xludf.DUMMYFUNCTION("GOOGLETRANSLATE(F9592, ""auto"", ""en"")
"),"Advantages: Quite accurate and fast temperature measurement, Does not sink, Soft shell (rubber or caoutchouc), Nothing sharp.  Disadvantages: It would always float with the sensor towards the bottom.  Comment: The little one first of all hunts and pounces"&amp;" on this thermometer :) The thermometer itself slowly floats up after diving.  Motor skills and patience are developing: at first it was difficult for him to grab (he “creaked” with anger) a thermometer rotating on the surface of the water, but then he le"&amp;"arned :) It’s interesting to watch this")</f>
        <v>Advantages: Quite accurate and fast temperature measurement, Does not sink, Soft shell (rubber or caoutchouc), Nothing sharp.  Disadvantages: It would always float with the sensor towards the bottom.  Comment: The little one first of all hunts and pounces on this thermometer :) The thermometer itself slowly floats up after diving.  Motor skills and patience are developing: at first it was difficult for him to grab (he “creaked” with anger) a thermometer rotating on the surface of the water, but then he learned :) It’s interesting to watch this</v>
      </c>
    </row>
    <row r="9593" spans="1:9" x14ac:dyDescent="0.3">
      <c r="A9593" s="1" t="s">
        <v>169</v>
      </c>
      <c r="B9593" s="1" t="s">
        <v>170</v>
      </c>
      <c r="C9593" s="1" t="s">
        <v>69</v>
      </c>
      <c r="D9593" s="1" t="s">
        <v>295</v>
      </c>
      <c r="E9593" s="1" t="s">
        <v>9817</v>
      </c>
      <c r="F9593" s="1" t="s">
        <v>14130</v>
      </c>
      <c r="G9593" s="1" t="s">
        <v>28</v>
      </c>
      <c r="H9593" s="1" t="s">
        <v>29</v>
      </c>
      <c r="I9593" s="1" t="str">
        <f ca="1">IFERROR(__xludf.DUMMYFUNCTION("GOOGLETRANSLATE(F9593, ""auto"", ""en"")
"),"The headphones are simply great! The sound quality is excellent. The Otto Dix bass felt great! But they still died without living even three months. First the ear itself broke off. They glued it - it held. Then the junction broke (where two cables turn in"&amp;"to one), and then the base itself. And, as everyone says, the ears themselves become loose and hardly stay in place. But the headphones were simply excellent! I have never loved any of mine so much.")</f>
        <v>The headphones are simply great! The sound quality is excellent. The Otto Dix bass felt great! But they still died without living even three months. First the ear itself broke off. They glued it - it held. Then the junction broke (where two cables turn into one), and then the base itself. And, as everyone says, the ears themselves become loose and hardly stay in place. But the headphones were simply excellent! I have never loved any of mine so much.</v>
      </c>
    </row>
    <row r="9594" spans="1:9" x14ac:dyDescent="0.3">
      <c r="A9594" s="1" t="s">
        <v>17</v>
      </c>
      <c r="B9594" s="1" t="s">
        <v>18</v>
      </c>
      <c r="C9594" s="1" t="s">
        <v>243</v>
      </c>
      <c r="D9594" s="1" t="s">
        <v>280</v>
      </c>
      <c r="E9594" s="1" t="s">
        <v>14131</v>
      </c>
      <c r="F9594" s="1" t="s">
        <v>14132</v>
      </c>
      <c r="G9594" s="1" t="s">
        <v>28</v>
      </c>
      <c r="H9594" s="1" t="s">
        <v>29</v>
      </c>
      <c r="I9594" s="1" t="str">
        <f ca="1">IFERROR(__xludf.DUMMYFUNCTION("GOOGLETRANSLATE(F9594, ""auto"", ""en"")
"),"We bought this model in October 2010. We chose a compact and inexpensive washing machine. We settled on this model. In addition, we purchased PDO. The machine worked flawlessly.  Pros: Controls are convenient. The size is compact. The price is reasonable."&amp;" Minus: a little noisy. After 3 years, when the warranty (1 year) expired, the machine broke down. Thanks to the purchase of the PDO (additional service program) for 5 years, it was possible to call a specialist to your home for free. The repairman fixed "&amp;"the breakdown by replacing parts. After that, she worked for another year and finally broke down. Thanks to the same program, according to which the deadline had not expired, they called the master. Diagnosis: the module has burned out, repair is impracti"&amp;"cal, the washing machine needs to be replaced. We are now looking at a new unit, a different one. Overall, I recommend it.")</f>
        <v>We bought this model in October 2010. We chose a compact and inexpensive washing machine. We settled on this model. In addition, we purchased PDO. The machine worked flawlessly.  Pros: Controls are convenient. The size is compact. The price is reasonable. Minus: a little noisy. After 3 years, when the warranty (1 year) expired, the machine broke down. Thanks to the purchase of the PDO (additional service program) for 5 years, it was possible to call a specialist to your home for free. The repairman fixed the breakdown by replacing parts. After that, she worked for another year and finally broke down. Thanks to the same program, according to which the deadline had not expired, they called the master. Diagnosis: the module has burned out, repair is impractical, the washing machine needs to be replaced. We are now looking at a new unit, a different one. Overall, I recommend it.</v>
      </c>
    </row>
    <row r="9595" spans="1:9" x14ac:dyDescent="0.3">
      <c r="A9595" s="1" t="s">
        <v>67</v>
      </c>
      <c r="B9595" s="1" t="s">
        <v>340</v>
      </c>
      <c r="C9595" s="1" t="s">
        <v>341</v>
      </c>
      <c r="D9595" s="1" t="s">
        <v>75</v>
      </c>
      <c r="E9595" s="1" t="s">
        <v>638</v>
      </c>
      <c r="F9595" s="1" t="s">
        <v>14133</v>
      </c>
      <c r="G9595" s="1" t="s">
        <v>36</v>
      </c>
      <c r="H9595" s="1" t="s">
        <v>29</v>
      </c>
      <c r="I9595" s="1" t="str">
        <f ca="1">IFERROR(__xludf.DUMMYFUNCTION("GOOGLETRANSLATE(F9595, ""auto"", ""en"")
"),"It's a normal machine. I'm a newbie, of course, but I figured it out quickly. It works without problems. It even sews jeans. What I didn't like was that it was the last one in the video and I picked it up from the store. The kit was missing some parts. br"&amp;"ushes and steamer. Maybe something else, but I didn't notice.")</f>
        <v>It's a normal machine. I'm a newbie, of course, but I figured it out quickly. It works without problems. It even sews jeans. What I didn't like was that it was the last one in the video and I picked it up from the store. The kit was missing some parts. brushes and steamer. Maybe something else, but I didn't notice.</v>
      </c>
    </row>
    <row r="9596" spans="1:9" x14ac:dyDescent="0.3">
      <c r="A9596" s="1" t="s">
        <v>55</v>
      </c>
      <c r="B9596" s="1" t="s">
        <v>56</v>
      </c>
      <c r="C9596" s="1" t="s">
        <v>85</v>
      </c>
      <c r="D9596" s="1" t="s">
        <v>621</v>
      </c>
      <c r="E9596" s="1" t="s">
        <v>1669</v>
      </c>
      <c r="F9596" s="1" t="s">
        <v>14134</v>
      </c>
      <c r="G9596" s="1" t="s">
        <v>28</v>
      </c>
      <c r="H9596" s="1" t="s">
        <v>29</v>
      </c>
      <c r="I9596" s="1" t="str">
        <f ca="1">IFERROR(__xludf.DUMMYFUNCTION("GOOGLETRANSLATE(F9596, ""auto"", ""en"")
"),"The humidifier is declared as ultrasonic and SILENT! But if IT is silent, then it’s scary to imagine what is being sold for 3 thousand rubles. So the most incomprehensible thing is that it is always buzzing... The water has run out, you press the ""power"&amp;""" button. on the display, it still buzzes until you unplug it from the socket! Some people write “when the TV is working you can’t hear it,” damn it, but how can you sleep? In general, we are used to it, but in my opinion this is not normal. We went to B"&amp;"ork, listened to all the humidifiers around this price category, they all hum like transformers. It moisturizes wonderfully, in winter it showed 67% humidity and breathed perfectly. Now, with the windows wide open, it shows 53%. Do not place it on wooden "&amp;"furniture, it was originally on our chest of drawers, the chest of drawers swelled up underneath it... summary: I really like the design and efficiency of this model, but I want it to be truly SILENT...")</f>
        <v>The humidifier is declared as ultrasonic and SILENT! But if IT is silent, then it’s scary to imagine what is being sold for 3 thousand rubles. So the most incomprehensible thing is that it is always buzzing... The water has run out, you press the "power" button. on the display, it still buzzes until you unplug it from the socket! Some people write “when the TV is working you can’t hear it,” damn it, but how can you sleep? In general, we are used to it, but in my opinion this is not normal. We went to Bork, listened to all the humidifiers around this price category, they all hum like transformers. It moisturizes wonderfully, in winter it showed 67% humidity and breathed perfectly. Now, with the windows wide open, it shows 53%. Do not place it on wooden furniture, it was originally on our chest of drawers, the chest of drawers swelled up underneath it... summary: I really like the design and efficiency of this model, but I want it to be truly SILENT...</v>
      </c>
    </row>
    <row r="9597" spans="1:9" x14ac:dyDescent="0.3">
      <c r="A9597" s="1" t="s">
        <v>37</v>
      </c>
      <c r="B9597" s="1" t="s">
        <v>38</v>
      </c>
      <c r="C9597" s="1" t="s">
        <v>163</v>
      </c>
      <c r="D9597" s="1" t="s">
        <v>9466</v>
      </c>
      <c r="E9597" s="1" t="s">
        <v>3080</v>
      </c>
      <c r="F9597" s="1" t="s">
        <v>14135</v>
      </c>
      <c r="G9597" s="1" t="s">
        <v>36</v>
      </c>
      <c r="H9597" s="1" t="s">
        <v>29</v>
      </c>
      <c r="I9597" s="1" t="str">
        <f ca="1">IFERROR(__xludf.DUMMYFUNCTION("GOOGLETRANSLATE(F9597, ""auto"", ""en"")
"),"The 7600 is a great phone, I really like it because it's easy to use. Nice design, good sound, excellent speaker. In general, I am very pleased and recommend it to everyone who has their eyes on this model! And the fact that they squeak about bad buttons "&amp;"or the speaker, well, that means they were given something wrong.")</f>
        <v>The 7600 is a great phone, I really like it because it's easy to use. Nice design, good sound, excellent speaker. In general, I am very pleased and recommend it to everyone who has their eyes on this model! And the fact that they squeak about bad buttons or the speaker, well, that means they were given something wrong.</v>
      </c>
    </row>
    <row r="9598" spans="1:9" x14ac:dyDescent="0.3">
      <c r="A9598" s="1" t="s">
        <v>211</v>
      </c>
      <c r="B9598" s="1" t="s">
        <v>515</v>
      </c>
      <c r="C9598" s="1" t="s">
        <v>213</v>
      </c>
      <c r="D9598" s="1" t="s">
        <v>308</v>
      </c>
      <c r="E9598" s="1" t="s">
        <v>2870</v>
      </c>
      <c r="F9598" s="1" t="s">
        <v>14136</v>
      </c>
      <c r="G9598" s="1" t="s">
        <v>28</v>
      </c>
      <c r="H9598" s="1" t="s">
        <v>29</v>
      </c>
      <c r="I9598" s="1" t="str">
        <f ca="1">IFERROR(__xludf.DUMMYFUNCTION("GOOGLETRANSLATE(F9598, ""auto"", ""en"")
"),"Compactness. Battery operation (no need to charge, the main thing is to have a fresh AAA “little finger” in stock).")</f>
        <v>Compactness. Battery operation (no need to charge, the main thing is to have a fresh AAA “little finger” in stock).</v>
      </c>
    </row>
    <row r="9599" spans="1:9" x14ac:dyDescent="0.3">
      <c r="A9599" s="1" t="s">
        <v>9</v>
      </c>
      <c r="B9599" s="1" t="s">
        <v>23</v>
      </c>
      <c r="C9599" s="1" t="s">
        <v>134</v>
      </c>
      <c r="D9599" s="1" t="s">
        <v>1744</v>
      </c>
      <c r="E9599" s="1" t="s">
        <v>323</v>
      </c>
      <c r="F9599" s="1" t="s">
        <v>14137</v>
      </c>
      <c r="G9599" s="1" t="s">
        <v>49</v>
      </c>
      <c r="H9599" s="1" t="s">
        <v>16</v>
      </c>
      <c r="I9599" s="1" t="str">
        <f ca="1">IFERROR(__xludf.DUMMYFUNCTION("GOOGLETRANSLATE(F9599, ""auto"", ""en"")
"),"-")</f>
        <v>-</v>
      </c>
    </row>
    <row r="9600" spans="1:9" x14ac:dyDescent="0.3">
      <c r="A9600" s="1" t="s">
        <v>149</v>
      </c>
      <c r="B9600" s="1" t="s">
        <v>155</v>
      </c>
      <c r="C9600" s="1" t="s">
        <v>1187</v>
      </c>
      <c r="D9600" s="1" t="s">
        <v>46</v>
      </c>
      <c r="E9600" s="1" t="s">
        <v>6442</v>
      </c>
      <c r="F9600" s="1" t="s">
        <v>14138</v>
      </c>
      <c r="G9600" s="1" t="s">
        <v>36</v>
      </c>
      <c r="H9600" s="1" t="s">
        <v>29</v>
      </c>
      <c r="I9600" s="1" t="str">
        <f ca="1">IFERROR(__xludf.DUMMYFUNCTION("GOOGLETRANSLATE(F9600, ""auto"", ""en"")
"),"It's just a fairy tale - small, durable, powerful.")</f>
        <v>It's just a fairy tale - small, durable, powerful.</v>
      </c>
    </row>
    <row r="9601" spans="1:9" x14ac:dyDescent="0.3">
      <c r="A9601" s="1" t="s">
        <v>206</v>
      </c>
      <c r="B9601" s="1" t="s">
        <v>261</v>
      </c>
      <c r="C9601" s="1" t="s">
        <v>257</v>
      </c>
      <c r="D9601" s="1" t="s">
        <v>14139</v>
      </c>
      <c r="E9601" s="1" t="s">
        <v>201</v>
      </c>
      <c r="F9601" s="1" t="s">
        <v>14140</v>
      </c>
      <c r="G9601" s="1" t="s">
        <v>15</v>
      </c>
      <c r="H9601" s="1" t="s">
        <v>16</v>
      </c>
      <c r="I9601" s="1" t="str">
        <f ca="1">IFERROR(__xludf.DUMMYFUNCTION("GOOGLETRANSLATE(F9601, ""auto"", ""en"")
"),"I haven’t had time to try it in action yet, but I’m already disappointed: I set it to copy music - the copying speed is 60 kilobytes per second. I thought such flash memory was not produced in principle. It takes 9 hours to copy 2 GB - a nightmare. It jus"&amp;"t sucks.")</f>
        <v>I haven’t had time to try it in action yet, but I’m already disappointed: I set it to copy music - the copying speed is 60 kilobytes per second. I thought such flash memory was not produced in principle. It takes 9 hours to copy 2 GB - a nightmare. It just sucks.</v>
      </c>
    </row>
    <row r="9602" spans="1:9" x14ac:dyDescent="0.3">
      <c r="A9602" s="1" t="s">
        <v>61</v>
      </c>
      <c r="B9602" s="1" t="s">
        <v>977</v>
      </c>
      <c r="C9602" s="1" t="s">
        <v>213</v>
      </c>
      <c r="D9602" s="1" t="s">
        <v>2233</v>
      </c>
      <c r="E9602" s="1" t="s">
        <v>3095</v>
      </c>
      <c r="F9602" s="1" t="s">
        <v>14141</v>
      </c>
      <c r="G9602" s="1" t="s">
        <v>36</v>
      </c>
      <c r="H9602" s="1" t="s">
        <v>29</v>
      </c>
      <c r="I9602" s="1" t="str">
        <f ca="1">IFERROR(__xludf.DUMMYFUNCTION("GOOGLETRANSLATE(F9602, ""auto"", ""en"")
"),"A very good blender, I’ve been using it for 2 years, an irreplaceable thing in the kitchen, I put the food processor in a box and put it away as unnecessary, since now Brown does everything and doesn’t take up much space. And my mother bought the same one"&amp;" for herself and is also happy. Of all the companies, this is the most reliable!!! Now I’m a Brown fan.")</f>
        <v>A very good blender, I’ve been using it for 2 years, an irreplaceable thing in the kitchen, I put the food processor in a box and put it away as unnecessary, since now Brown does everything and doesn’t take up much space. And my mother bought the same one for herself and is also happy. Of all the companies, this is the most reliable!!! Now I’m a Brown fan.</v>
      </c>
    </row>
    <row r="9603" spans="1:9" x14ac:dyDescent="0.3">
      <c r="A9603" s="1" t="s">
        <v>61</v>
      </c>
      <c r="B9603" s="1" t="s">
        <v>180</v>
      </c>
      <c r="C9603" s="1" t="s">
        <v>74</v>
      </c>
      <c r="D9603" s="1" t="s">
        <v>621</v>
      </c>
      <c r="E9603" s="1" t="s">
        <v>6572</v>
      </c>
      <c r="F9603" s="1" t="s">
        <v>14142</v>
      </c>
      <c r="G9603" s="1" t="s">
        <v>36</v>
      </c>
      <c r="H9603" s="1" t="s">
        <v>29</v>
      </c>
      <c r="I9603" s="1" t="str">
        <f ca="1">IFERROR(__xludf.DUMMYFUNCTION("GOOGLETRANSLATE(F9603, ""auto"", ""en"")
"),"I really like this sandwich maker, it's quick and easy to prepare. Viennese waffles are very tasty, kids love them very much. Sandwiches with cheese, sausage or sausages are irreplaceable on the road, delicious crispy crusts. Super thing!")</f>
        <v>I really like this sandwich maker, it's quick and easy to prepare. Viennese waffles are very tasty, kids love them very much. Sandwiches with cheese, sausage or sausages are irreplaceable on the road, delicious crispy crusts. Super thing!</v>
      </c>
    </row>
    <row r="9604" spans="1:9" x14ac:dyDescent="0.3">
      <c r="A9604" s="1" t="s">
        <v>282</v>
      </c>
      <c r="B9604" s="1" t="s">
        <v>806</v>
      </c>
      <c r="C9604" s="1" t="s">
        <v>284</v>
      </c>
      <c r="D9604" s="1" t="s">
        <v>1329</v>
      </c>
      <c r="E9604" s="1" t="s">
        <v>688</v>
      </c>
      <c r="F9604" s="1" t="s">
        <v>14143</v>
      </c>
      <c r="G9604" s="1" t="s">
        <v>36</v>
      </c>
      <c r="H9604" s="1" t="s">
        <v>29</v>
      </c>
      <c r="I9604" s="1" t="str">
        <f ca="1">IFERROR(__xludf.DUMMYFUNCTION("GOOGLETRANSLATE(F9604, ""auto"", ""en"")
"),"First-class picture (as my daughter said: “It’s like you’re sitting in the hall.”), good sound. It's worth the money.")</f>
        <v>First-class picture (as my daughter said: “It’s like you’re sitting in the hall.”), good sound. It's worth the money.</v>
      </c>
    </row>
    <row r="9605" spans="1:9" x14ac:dyDescent="0.3">
      <c r="A9605" s="1" t="s">
        <v>169</v>
      </c>
      <c r="B9605" s="1" t="s">
        <v>170</v>
      </c>
      <c r="C9605" s="1" t="s">
        <v>171</v>
      </c>
      <c r="D9605" s="1" t="s">
        <v>14144</v>
      </c>
      <c r="E9605" s="1" t="s">
        <v>3805</v>
      </c>
      <c r="F9605" s="1" t="s">
        <v>14145</v>
      </c>
      <c r="G9605" s="1" t="s">
        <v>49</v>
      </c>
      <c r="H9605" s="1" t="s">
        <v>16</v>
      </c>
      <c r="I9605" s="1" t="str">
        <f ca="1">IFERROR(__xludf.DUMMYFUNCTION("GOOGLETRANSLATE(F9605, ""auto"", ""en"")
"),"Oh, I’ve read a lot of reviews here - “what good headphones”, I bought them today, connected them to the player (Samsung P3) and... the sound is terrible!!!! My rating is 2 out of 10!!!")</f>
        <v>Oh, I’ve read a lot of reviews here - “what good headphones”, I bought them today, connected them to the player (Samsung P3) and... the sound is terrible!!!! My rating is 2 out of 10!!!</v>
      </c>
    </row>
    <row r="9606" spans="1:9" x14ac:dyDescent="0.3">
      <c r="A9606" s="1" t="s">
        <v>206</v>
      </c>
      <c r="B9606" s="1" t="s">
        <v>1253</v>
      </c>
      <c r="C9606" s="1" t="s">
        <v>4464</v>
      </c>
      <c r="D9606" s="1" t="s">
        <v>14146</v>
      </c>
      <c r="E9606" s="1" t="s">
        <v>2298</v>
      </c>
      <c r="F9606" s="1" t="s">
        <v>14147</v>
      </c>
      <c r="G9606" s="1" t="s">
        <v>49</v>
      </c>
      <c r="H9606" s="1" t="s">
        <v>16</v>
      </c>
      <c r="I9606" s="1" t="str">
        <f ca="1">IFERROR(__xludf.DUMMYFUNCTION("GOOGLETRANSLATE(F9606, ""auto"", ""en"")
"),"I agree with Alexander (Ekaterinburg), the radio does not charge at all!!!!!  At first I bought another model, but it didn’t have batteries, so I exchanged it for this one and was disappointed again")</f>
        <v>I agree with Alexander (Ekaterinburg), the radio does not charge at all!!!!!  At first I bought another model, but it didn’t have batteries, so I exchanged it for this one and was disappointed again</v>
      </c>
    </row>
    <row r="9607" spans="1:9" x14ac:dyDescent="0.3">
      <c r="A9607" s="1" t="s">
        <v>78</v>
      </c>
      <c r="B9607" s="1" t="s">
        <v>493</v>
      </c>
      <c r="C9607" s="1" t="s">
        <v>80</v>
      </c>
      <c r="D9607" s="1" t="s">
        <v>385</v>
      </c>
      <c r="E9607" s="1" t="s">
        <v>14148</v>
      </c>
      <c r="F9607" s="1" t="s">
        <v>14149</v>
      </c>
      <c r="G9607" s="1" t="s">
        <v>28</v>
      </c>
      <c r="H9607" s="1" t="s">
        <v>29</v>
      </c>
      <c r="I9607" s="1" t="str">
        <f ca="1">IFERROR(__xludf.DUMMYFUNCTION("GOOGLETRANSLATE(F9607, ""auto"", ""en"")
"),"Great microwave! We bought it almost six months ago. Excellent for heating and defrosting food. Easily washed off.  And in general it is very convenient to use. I'm planning to buy the same one for my sister.")</f>
        <v>Great microwave! We bought it almost six months ago. Excellent for heating and defrosting food. Easily washed off.  And in general it is very convenient to use. I'm planning to buy the same one for my sister.</v>
      </c>
    </row>
    <row r="9608" spans="1:9" x14ac:dyDescent="0.3">
      <c r="A9608" s="1" t="s">
        <v>61</v>
      </c>
      <c r="B9608" s="1" t="s">
        <v>318</v>
      </c>
      <c r="C9608" s="1" t="s">
        <v>69</v>
      </c>
      <c r="D9608" s="1" t="s">
        <v>14150</v>
      </c>
      <c r="E9608" s="1" t="s">
        <v>316</v>
      </c>
      <c r="F9608" s="1" t="s">
        <v>14151</v>
      </c>
      <c r="G9608" s="1" t="s">
        <v>36</v>
      </c>
      <c r="H9608" s="1" t="s">
        <v>29</v>
      </c>
      <c r="I9608" s="1" t="str">
        <f ca="1">IFERROR(__xludf.DUMMYFUNCTION("GOOGLETRANSLATE(F9608, ""auto"", ""en"")
"),"I bought it in December 2010 (I wrote my impressions by March 2011 here, see above). It’s strange to read that someone’s power button leaked quickly, and someone else’s had a fragile power button. Nothing is leaking! Often the kettle is on the floor (the "&amp;"socket is near the baseboard) - I turn it on with a slipper (but carefully, of course, not with all the foolishness) and nothing cracks. I pour water from a Barrier jug ​​(D-6 cartridge). From time to time, scale still appears - I boil water with citric a"&amp;"cid (about 1 tablespoon per 1.2-1.5 liters of water) and everything is as clean as new. p.s. Maybe the gloomy reviews are written by competitor marketers? After all, for such a price this model is beyond competition. I will buy the same one as a gift (I w"&amp;"on’t be ashamed).")</f>
        <v>I bought it in December 2010 (I wrote my impressions by March 2011 here, see above). It’s strange to read that someone’s power button leaked quickly, and someone else’s had a fragile power button. Nothing is leaking! Often the kettle is on the floor (the socket is near the baseboard) - I turn it on with a slipper (but carefully, of course, not with all the foolishness) and nothing cracks. I pour water from a Barrier jug ​​(D-6 cartridge). From time to time, scale still appears - I boil water with citric acid (about 1 tablespoon per 1.2-1.5 liters of water) and everything is as clean as new. p.s. Maybe the gloomy reviews are written by competitor marketers? After all, for such a price this model is beyond competition. I will buy the same one as a gift (I won’t be ashamed).</v>
      </c>
    </row>
    <row r="9609" spans="1:9" x14ac:dyDescent="0.3">
      <c r="A9609" s="1" t="s">
        <v>61</v>
      </c>
      <c r="B9609" s="1" t="s">
        <v>726</v>
      </c>
      <c r="C9609" s="1" t="s">
        <v>146</v>
      </c>
      <c r="D9609" s="1" t="s">
        <v>280</v>
      </c>
      <c r="E9609" s="1" t="s">
        <v>3422</v>
      </c>
      <c r="F9609" s="1" t="s">
        <v>14152</v>
      </c>
      <c r="G9609" s="1" t="s">
        <v>36</v>
      </c>
      <c r="H9609" s="1" t="s">
        <v>29</v>
      </c>
      <c r="I9609" s="1" t="str">
        <f ca="1">IFERROR(__xludf.DUMMYFUNCTION("GOOGLETRANSLATE(F9609, ""auto"", ""en"")
"),"Good quality ")</f>
        <v xml:space="preserve">Good quality </v>
      </c>
    </row>
    <row r="9610" spans="1:9" x14ac:dyDescent="0.3">
      <c r="A9610" s="1" t="s">
        <v>89</v>
      </c>
      <c r="B9610" s="1" t="s">
        <v>1106</v>
      </c>
      <c r="C9610" s="1" t="s">
        <v>246</v>
      </c>
      <c r="D9610" s="1" t="s">
        <v>1033</v>
      </c>
      <c r="E9610" s="1" t="s">
        <v>3439</v>
      </c>
      <c r="F9610" s="1" t="s">
        <v>14153</v>
      </c>
      <c r="G9610" s="1" t="s">
        <v>36</v>
      </c>
      <c r="H9610" s="1" t="s">
        <v>29</v>
      </c>
      <c r="I9610" s="1" t="str">
        <f ca="1">IFERROR(__xludf.DUMMYFUNCTION("GOOGLETRANSLATE(F9610, ""auto"", ""en"")
"),"Today we bought this Tefal CM410530 drip coffee maker. And we were very pleased with the deliciously prepared and, most importantly, fast coffee. Doesn't take up much space, nice design. We recommend it to everyone!!! Disposable filters 100 bags for 145 r"&amp;"ubles, very convenient and inexpensive!!!")</f>
        <v>Today we bought this Tefal CM410530 drip coffee maker. And we were very pleased with the deliciously prepared and, most importantly, fast coffee. Doesn't take up much space, nice design. We recommend it to everyone!!! Disposable filters 100 bags for 145 rubles, very convenient and inexpensive!!!</v>
      </c>
    </row>
    <row r="9611" spans="1:9" x14ac:dyDescent="0.3">
      <c r="A9611" s="1" t="s">
        <v>17</v>
      </c>
      <c r="B9611" s="1" t="s">
        <v>18</v>
      </c>
      <c r="C9611" s="1" t="s">
        <v>19</v>
      </c>
      <c r="D9611" s="1" t="s">
        <v>86</v>
      </c>
      <c r="E9611" s="1" t="s">
        <v>2735</v>
      </c>
      <c r="F9611" s="1" t="s">
        <v>14154</v>
      </c>
      <c r="G9611" s="1" t="s">
        <v>36</v>
      </c>
      <c r="H9611" s="1" t="s">
        <v>29</v>
      </c>
      <c r="I9611" s="1" t="str">
        <f ca="1">IFERROR(__xludf.DUMMYFUNCTION("GOOGLETRANSLATE(F9611, ""auto"", ""en"")
"),"It washes really quietly, uses water very economically (looked at the meter) and electricity. Washes heavily soiled laundry without any problems, just set the program correctly. Before using, set the machine level and place a rubber mat or rubber stands u"&amp;"nder the legs (available in m-video). In general, I am pleased with the machine, especially with the centrifuge, which does not rattle like a bumper.")</f>
        <v>It washes really quietly, uses water very economically (looked at the meter) and electricity. Washes heavily soiled laundry without any problems, just set the program correctly. Before using, set the machine level and place a rubber mat or rubber stands under the legs (available in m-video). In general, I am pleased with the machine, especially with the centrifuge, which does not rattle like a bumper.</v>
      </c>
    </row>
    <row r="9612" spans="1:9" x14ac:dyDescent="0.3">
      <c r="A9612" s="1" t="s">
        <v>9</v>
      </c>
      <c r="B9612" s="1" t="s">
        <v>4430</v>
      </c>
      <c r="C9612" s="1" t="s">
        <v>63</v>
      </c>
      <c r="D9612" s="1" t="s">
        <v>14155</v>
      </c>
      <c r="E9612" s="1" t="s">
        <v>2619</v>
      </c>
      <c r="F9612" s="1" t="s">
        <v>14156</v>
      </c>
      <c r="G9612" s="1" t="s">
        <v>36</v>
      </c>
      <c r="H9612" s="1" t="s">
        <v>29</v>
      </c>
      <c r="I9612" s="1" t="str">
        <f ca="1">IFERROR(__xludf.DUMMYFUNCTION("GOOGLETRANSLATE(F9612, ""auto"", ""en"")
"),"Large selection of different programs and many functions. Spin 1200 - I get things almost dry. It works quietly, in other rooms you can’t hear it at all. Although it does not have a display, the indication of program stages makes it clear at what stage of"&amp;" the wash. The drum is quite roomy, the hatch is convenient, now I can even load a whole mattress without any problems!")</f>
        <v>Large selection of different programs and many functions. Spin 1200 - I get things almost dry. It works quietly, in other rooms you can’t hear it at all. Although it does not have a display, the indication of program stages makes it clear at what stage of the wash. The drum is quite roomy, the hatch is convenient, now I can even load a whole mattress without any problems!</v>
      </c>
    </row>
    <row r="9613" spans="1:9" x14ac:dyDescent="0.3">
      <c r="A9613" s="1" t="s">
        <v>30</v>
      </c>
      <c r="B9613" s="1" t="s">
        <v>50</v>
      </c>
      <c r="C9613" s="1" t="s">
        <v>694</v>
      </c>
      <c r="D9613" s="1" t="s">
        <v>568</v>
      </c>
      <c r="E9613" s="1" t="s">
        <v>1387</v>
      </c>
      <c r="F9613" s="1" t="s">
        <v>14157</v>
      </c>
      <c r="G9613" s="1" t="s">
        <v>36</v>
      </c>
      <c r="H9613" s="1" t="s">
        <v>29</v>
      </c>
      <c r="I9613" s="1" t="str">
        <f ca="1">IFERROR(__xludf.DUMMYFUNCTION("GOOGLETRANSLATE(F9613, ""auto"", ""en"")
"),"Nastya (Moscow), Yes, you cannot insert a SIM card into this particular netbook.    But, some netbooks of the same brand, Lenovo s10-2, come with built-in 3g modems.     Ask the sellers.")</f>
        <v>Nastya (Moscow), Yes, you cannot insert a SIM card into this particular netbook.    But, some netbooks of the same brand, Lenovo s10-2, come with built-in 3g modems.     Ask the sellers.</v>
      </c>
    </row>
    <row r="9614" spans="1:9" x14ac:dyDescent="0.3">
      <c r="A9614" s="1" t="s">
        <v>120</v>
      </c>
      <c r="B9614" s="1" t="s">
        <v>256</v>
      </c>
      <c r="C9614" s="1" t="s">
        <v>32</v>
      </c>
      <c r="D9614" s="1" t="s">
        <v>152</v>
      </c>
      <c r="E9614" s="1" t="s">
        <v>3890</v>
      </c>
      <c r="F9614" s="1" t="s">
        <v>14158</v>
      </c>
      <c r="G9614" s="1" t="s">
        <v>36</v>
      </c>
      <c r="H9614" s="1" t="s">
        <v>29</v>
      </c>
      <c r="I9614" s="1" t="str">
        <f ca="1">IFERROR(__xludf.DUMMYFUNCTION("GOOGLETRANSLATE(F9614, ""auto"", ""en"")
"),"I have been using this panel for 3 days. Absolutely delighted!!! I immediately picked up 21 channels from a regular antenna, excellent quality. I tried connecting it to PS3 and laptop, everything works. An excellent universal panel for small rooms!")</f>
        <v>I have been using this panel for 3 days. Absolutely delighted!!! I immediately picked up 21 channels from a regular antenna, excellent quality. I tried connecting it to PS3 and laptop, everything works. An excellent universal panel for small rooms!</v>
      </c>
    </row>
    <row r="9615" spans="1:9" x14ac:dyDescent="0.3">
      <c r="A9615" s="1" t="s">
        <v>149</v>
      </c>
      <c r="B9615" s="1" t="s">
        <v>155</v>
      </c>
      <c r="C9615" s="1" t="s">
        <v>151</v>
      </c>
      <c r="D9615" s="1" t="s">
        <v>75</v>
      </c>
      <c r="E9615" s="1" t="s">
        <v>5653</v>
      </c>
      <c r="F9615" s="1" t="s">
        <v>14159</v>
      </c>
      <c r="G9615" s="1" t="s">
        <v>36</v>
      </c>
      <c r="H9615" s="1" t="s">
        <v>29</v>
      </c>
      <c r="I9615" s="1" t="str">
        <f ca="1">IFERROR(__xludf.DUMMYFUNCTION("GOOGLETRANSLATE(F9615, ""auto"", ""en"")
"),"I've been using this vacuum cleaner for 2 years now and I can't stop admiring it!!! Excellent vacuum cleaner, super powerful, even lifts the carpet!!! I read reviews that say you have to wash it after every cleaning - this is a minus, but in my opinion th"&amp;"is is not a minus, but a plus!!! The vacuum cleaner always remains clean, and there is no smell. This is the option when the quality far exceeds the price!!! In general, the vacuum cleaner is a beast, take it, you won’t regret it!!!")</f>
        <v>I've been using this vacuum cleaner for 2 years now and I can't stop admiring it!!! Excellent vacuum cleaner, super powerful, even lifts the carpet!!! I read reviews that say you have to wash it after every cleaning - this is a minus, but in my opinion this is not a minus, but a plus!!! The vacuum cleaner always remains clean, and there is no smell. This is the option when the quality far exceeds the price!!! In general, the vacuum cleaner is a beast, take it, you won’t regret it!!!</v>
      </c>
    </row>
    <row r="9616" spans="1:9" x14ac:dyDescent="0.3">
      <c r="A9616" s="1" t="s">
        <v>120</v>
      </c>
      <c r="B9616" s="1" t="s">
        <v>256</v>
      </c>
      <c r="C9616" s="1" t="s">
        <v>80</v>
      </c>
      <c r="D9616" s="1" t="s">
        <v>14160</v>
      </c>
      <c r="E9616" s="1" t="s">
        <v>659</v>
      </c>
      <c r="F9616" s="1" t="s">
        <v>14161</v>
      </c>
      <c r="G9616" s="1" t="s">
        <v>28</v>
      </c>
      <c r="H9616" s="1" t="s">
        <v>29</v>
      </c>
      <c r="I9616" s="1" t="str">
        <f ca="1">IFERROR(__xludf.DUMMYFUNCTION("GOOGLETRANSLATE(F9616, ""auto"", ""en"")
"),"such a neat TV, beautiful :-)")</f>
        <v>such a neat TV, beautiful :-)</v>
      </c>
    </row>
    <row r="9617" spans="1:9" x14ac:dyDescent="0.3">
      <c r="A9617" s="1" t="s">
        <v>149</v>
      </c>
      <c r="B9617" s="1" t="s">
        <v>576</v>
      </c>
      <c r="C9617" s="1" t="s">
        <v>80</v>
      </c>
      <c r="D9617" s="1" t="s">
        <v>545</v>
      </c>
      <c r="E9617" s="1" t="s">
        <v>3550</v>
      </c>
      <c r="F9617" s="1" t="s">
        <v>14162</v>
      </c>
      <c r="G9617" s="1" t="s">
        <v>49</v>
      </c>
      <c r="H9617" s="1" t="s">
        <v>16</v>
      </c>
      <c r="I9617" s="1" t="str">
        <f ca="1">IFERROR(__xludf.DUMMYFUNCTION("GOOGLETRANSLATE(F9617, ""auto"", ""en"")
"),"We bought this model in September 2009. Almost immediately problems with the nozzles began - the turbo nozzle gets clogged all the time, and the wheels of the second nozzle immediately began to fall off, and after 2 months of use it completely broke down."&amp;".. And the vacuum cleaner is not the cheapest...")</f>
        <v>We bought this model in September 2009. Almost immediately problems with the nozzles began - the turbo nozzle gets clogged all the time, and the wheels of the second nozzle immediately began to fall off, and after 2 months of use it completely broke down... And the vacuum cleaner is not the cheapest...</v>
      </c>
    </row>
    <row r="9618" spans="1:9" x14ac:dyDescent="0.3">
      <c r="A9618" s="1" t="s">
        <v>95</v>
      </c>
      <c r="B9618" s="1" t="s">
        <v>648</v>
      </c>
      <c r="C9618" s="1" t="s">
        <v>97</v>
      </c>
      <c r="D9618" s="1" t="s">
        <v>14163</v>
      </c>
      <c r="E9618" s="1" t="s">
        <v>1909</v>
      </c>
      <c r="F9618" s="1" t="s">
        <v>14164</v>
      </c>
      <c r="G9618" s="1" t="s">
        <v>36</v>
      </c>
      <c r="H9618" s="1" t="s">
        <v>29</v>
      </c>
      <c r="I9618" s="1" t="str">
        <f ca="1">IFERROR(__xludf.DUMMYFUNCTION("GOOGLETRANSLATE(F9618, ""auto"", ""en"")
"),"I studied it inside and out. I will take N1008 because it comes with Sony's guarantee.")</f>
        <v>I studied it inside and out. I will take N1008 because it comes with Sony's guarantee.</v>
      </c>
    </row>
    <row r="9619" spans="1:9" x14ac:dyDescent="0.3">
      <c r="A9619" s="1" t="s">
        <v>67</v>
      </c>
      <c r="B9619" s="1" t="s">
        <v>68</v>
      </c>
      <c r="C9619" s="1" t="s">
        <v>246</v>
      </c>
      <c r="D9619" s="1" t="s">
        <v>295</v>
      </c>
      <c r="E9619" s="1" t="s">
        <v>1639</v>
      </c>
      <c r="F9619" s="1" t="s">
        <v>14165</v>
      </c>
      <c r="G9619" s="1" t="s">
        <v>36</v>
      </c>
      <c r="H9619" s="1" t="s">
        <v>29</v>
      </c>
      <c r="I9619" s="1" t="str">
        <f ca="1">IFERROR(__xludf.DUMMYFUNCTION("GOOGLETRANSLATE(F9619, ""auto"", ""en"")
"),"I bought it recently. inexpensive. excellent sole, nice interface, low price. happy")</f>
        <v>I bought it recently. inexpensive. excellent sole, nice interface, low price. happy</v>
      </c>
    </row>
    <row r="9620" spans="1:9" x14ac:dyDescent="0.3">
      <c r="A9620" s="1" t="s">
        <v>30</v>
      </c>
      <c r="B9620" s="1" t="s">
        <v>50</v>
      </c>
      <c r="C9620" s="1" t="s">
        <v>32</v>
      </c>
      <c r="D9620" s="1" t="s">
        <v>1917</v>
      </c>
      <c r="E9620" s="1" t="s">
        <v>3356</v>
      </c>
      <c r="F9620" s="1" t="s">
        <v>14166</v>
      </c>
      <c r="G9620" s="1" t="s">
        <v>36</v>
      </c>
      <c r="H9620" s="1" t="s">
        <v>29</v>
      </c>
      <c r="I9620" s="1" t="str">
        <f ca="1">IFERROR(__xludf.DUMMYFUNCTION("GOOGLETRANSLATE(F9620, ""auto"", ""en"")
"),"I've been using the same thermal paste for 5 years, I've been stuck in the world for the last five years....sad 10 out of 10, 10 out of 10!")</f>
        <v>I've been using the same thermal paste for 5 years, I've been stuck in the world for the last five years....sad 10 out of 10, 10 out of 10!</v>
      </c>
    </row>
    <row r="9621" spans="1:9" x14ac:dyDescent="0.3">
      <c r="A9621" s="1" t="s">
        <v>43</v>
      </c>
      <c r="B9621" s="1" t="s">
        <v>1370</v>
      </c>
      <c r="C9621" s="1" t="s">
        <v>2137</v>
      </c>
      <c r="D9621" s="1" t="s">
        <v>52</v>
      </c>
      <c r="E9621" s="1" t="s">
        <v>1984</v>
      </c>
      <c r="F9621" s="1" t="s">
        <v>14167</v>
      </c>
      <c r="G9621" s="1" t="s">
        <v>36</v>
      </c>
      <c r="H9621" s="1" t="s">
        <v>29</v>
      </c>
      <c r="I9621" s="1" t="str">
        <f ca="1">IFERROR(__xludf.DUMMYFUNCTION("GOOGLETRANSLATE(F9621, ""auto"", ""en"")
"),"Atmor are excellent instantaneous water heaters. Good quality, easy to use, simple.")</f>
        <v>Atmor are excellent instantaneous water heaters. Good quality, easy to use, simple.</v>
      </c>
    </row>
    <row r="9622" spans="1:9" x14ac:dyDescent="0.3">
      <c r="A9622" s="1" t="s">
        <v>30</v>
      </c>
      <c r="B9622" s="1" t="s">
        <v>50</v>
      </c>
      <c r="C9622" s="1" t="s">
        <v>1003</v>
      </c>
      <c r="D9622" s="1" t="s">
        <v>1008</v>
      </c>
      <c r="E9622" s="1" t="s">
        <v>251</v>
      </c>
      <c r="F9622" s="1" t="s">
        <v>14168</v>
      </c>
      <c r="G9622" s="1" t="s">
        <v>49</v>
      </c>
      <c r="H9622" s="1" t="s">
        <v>16</v>
      </c>
      <c r="I9622" s="1" t="str">
        <f ca="1">IFERROR(__xludf.DUMMYFUNCTION("GOOGLETRANSLATE(F9622, ""auto"", ""en"")
"),"In February 2009 I bought Pavilion dv5. From the very beginning, the cooler worked at full capacity and was simply blazing hot. The day after the warranty expired, the laptop began to turn off. I installed the Everest program - and oh, horror - 100 degree"&amp;"s of processor heating. Servicing the cooling system and replacing thermal paste did not help. The cooling system is simply primitive. And this is for ungodly overheating AMD processors. Appeals to HP did not lead to anything....like eat what we throw at "&amp;"you. That's how things are. HP laptops turn out to be disposable, but before I thought it was a normal company.")</f>
        <v>In February 2009 I bought Pavilion dv5. From the very beginning, the cooler worked at full capacity and was simply blazing hot. The day after the warranty expired, the laptop began to turn off. I installed the Everest program - and oh, horror - 100 degrees of processor heating. Servicing the cooling system and replacing thermal paste did not help. The cooling system is simply primitive. And this is for ungodly overheating AMD processors. Appeals to HP did not lead to anything....like eat what we throw at you. That's how things are. HP laptops turn out to be disposable, but before I thought it was a normal company.</v>
      </c>
    </row>
    <row r="9623" spans="1:9" x14ac:dyDescent="0.3">
      <c r="A9623" s="1" t="s">
        <v>67</v>
      </c>
      <c r="B9623" s="1" t="s">
        <v>68</v>
      </c>
      <c r="C9623" s="1" t="s">
        <v>69</v>
      </c>
      <c r="D9623" s="1" t="s">
        <v>64</v>
      </c>
      <c r="E9623" s="1" t="s">
        <v>9060</v>
      </c>
      <c r="F9623" s="1" t="s">
        <v>14169</v>
      </c>
      <c r="G9623" s="1" t="s">
        <v>36</v>
      </c>
      <c r="H9623" s="1" t="s">
        <v>29</v>
      </c>
      <c r="I9623" s="1" t="str">
        <f ca="1">IFERROR(__xludf.DUMMYFUNCTION("GOOGLETRANSLATE(F9623, ""auto"", ""en"")
"),"I spent a long time choosing an iron based on reviews and decided to leave my choice on this one, and I was not mistaken. After using an old iron that took a long time to heat up and ironed poorly, I was amazed! Heats up quickly. Smoothes things out in on"&amp;"e motion. And with steam it’s even faster and smoothes out all the wrinkles. And the cord is really long, which is very convenient, now you don’t need any extension cords. So I recommend it!!")</f>
        <v>I spent a long time choosing an iron based on reviews and decided to leave my choice on this one, and I was not mistaken. After using an old iron that took a long time to heat up and ironed poorly, I was amazed! Heats up quickly. Smoothes things out in one motion. And with steam it’s even faster and smoothes out all the wrinkles. And the cord is really long, which is very convenient, now you don’t need any extension cords. So I recommend it!!</v>
      </c>
    </row>
    <row r="9624" spans="1:9" x14ac:dyDescent="0.3">
      <c r="A9624" s="1" t="s">
        <v>211</v>
      </c>
      <c r="B9624" s="1" t="s">
        <v>899</v>
      </c>
      <c r="C9624" s="1" t="s">
        <v>213</v>
      </c>
      <c r="D9624" s="1" t="s">
        <v>2771</v>
      </c>
      <c r="E9624" s="1" t="s">
        <v>1048</v>
      </c>
      <c r="F9624" s="1" t="s">
        <v>14170</v>
      </c>
      <c r="G9624" s="1" t="s">
        <v>36</v>
      </c>
      <c r="H9624" s="1" t="s">
        <v>29</v>
      </c>
      <c r="I9624" s="1" t="str">
        <f ca="1">IFERROR(__xludf.DUMMYFUNCTION("GOOGLETRANSLATE(F9624, ""auto"", ""en"")
"),"I haven't had electric brushes before. But one day I became the owner of this miracle. The brush exceeded all my expectations. It is very powerful and the battery lasts a very long time (it lasts me at least 2 weeks). I was pleased with the presence of a "&amp;"timer and protection from strong pressure on the teeth. Overall, I'm pleased with the purchase. I like that this brush can be used with any attachment.")</f>
        <v>I haven't had electric brushes before. But one day I became the owner of this miracle. The brush exceeded all my expectations. It is very powerful and the battery lasts a very long time (it lasts me at least 2 weeks). I was pleased with the presence of a timer and protection from strong pressure on the teeth. Overall, I'm pleased with the purchase. I like that this brush can be used with any attachment.</v>
      </c>
    </row>
    <row r="9625" spans="1:9" x14ac:dyDescent="0.3">
      <c r="A9625" s="1" t="s">
        <v>30</v>
      </c>
      <c r="B9625" s="1" t="s">
        <v>50</v>
      </c>
      <c r="C9625" s="1" t="s">
        <v>151</v>
      </c>
      <c r="D9625" s="1" t="s">
        <v>139</v>
      </c>
      <c r="E9625" s="1" t="s">
        <v>7995</v>
      </c>
      <c r="F9625" s="1" t="s">
        <v>14171</v>
      </c>
      <c r="G9625" s="1" t="s">
        <v>36</v>
      </c>
      <c r="H9625" s="1" t="s">
        <v>29</v>
      </c>
      <c r="I9625" s="1" t="str">
        <f ca="1">IFERROR(__xludf.DUMMYFUNCTION("GOOGLETRANSLATE(F9625, ""auto"", ""en"")
"),"The laptop is just great. Powerful machine at this price. The only downside is that the hard drive is very slow and noisy (but this can be eliminated by replacing the hard drive with another one, preferably of larger capacity and speed, and from a differe"&amp;"nt manufacturer). And so everything runs on it (and everything flies), I even plow GTA 4 on medium ones.")</f>
        <v>The laptop is just great. Powerful machine at this price. The only downside is that the hard drive is very slow and noisy (but this can be eliminated by replacing the hard drive with another one, preferably of larger capacity and speed, and from a different manufacturer). And so everything runs on it (and everything flies), I even plow GTA 4 on medium ones.</v>
      </c>
    </row>
    <row r="9626" spans="1:9" x14ac:dyDescent="0.3">
      <c r="A9626" s="1" t="s">
        <v>67</v>
      </c>
      <c r="B9626" s="1" t="s">
        <v>68</v>
      </c>
      <c r="C9626" s="1" t="s">
        <v>246</v>
      </c>
      <c r="D9626" s="1" t="s">
        <v>232</v>
      </c>
      <c r="E9626" s="1" t="s">
        <v>99</v>
      </c>
      <c r="F9626" s="1" t="s">
        <v>14172</v>
      </c>
      <c r="G9626" s="1" t="s">
        <v>15</v>
      </c>
      <c r="H9626" s="1" t="s">
        <v>16</v>
      </c>
      <c r="I9626" s="1" t="str">
        <f ca="1">IFERROR(__xludf.DUMMYFUNCTION("GOOGLETRANSLATE(F9626, ""auto"", ""en"")
"),"We bought this model about a year ago, I won’t describe its advantages, they are described above, but there is one significant disadvantage that successfully covers all the advantages. This minus is rusty drops that constantly pour out of the steam holes "&amp;"in the sole. Every ironing turned into a horror of waiting to see if I would ruin another white T-shirt or shirt. The worst thing is that nothing can be done about it.")</f>
        <v>We bought this model about a year ago, I won’t describe its advantages, they are described above, but there is one significant disadvantage that successfully covers all the advantages. This minus is rusty drops that constantly pour out of the steam holes in the sole. Every ironing turned into a horror of waiting to see if I would ruin another white T-shirt or shirt. The worst thing is that nothing can be done about it.</v>
      </c>
    </row>
    <row r="9627" spans="1:9" x14ac:dyDescent="0.3">
      <c r="A9627" s="1" t="s">
        <v>61</v>
      </c>
      <c r="B9627" s="1" t="s">
        <v>73</v>
      </c>
      <c r="C9627" s="1" t="s">
        <v>122</v>
      </c>
      <c r="D9627" s="1" t="s">
        <v>420</v>
      </c>
      <c r="E9627" s="1" t="s">
        <v>3313</v>
      </c>
      <c r="F9627" s="1" t="s">
        <v>14173</v>
      </c>
      <c r="G9627" s="1" t="s">
        <v>36</v>
      </c>
      <c r="H9627" s="1" t="s">
        <v>29</v>
      </c>
      <c r="I9627" s="1" t="str">
        <f ca="1">IFERROR(__xludf.DUMMYFUNCTION("GOOGLETRANSLATE(F9627, ""auto"", ""en"")
"),"Works great. I bought an electric meat grinder for the first time, but before that I used a manual one and got tired of twisting my hands.  Grinded 1.5 kg of meat quickly and efficiently. The pieces of meat need to be cut no larger than the size of the ho"&amp;"le to pass through to the auger, then there is no need to push them through and the engine runs without increased load, which means there is no need for repairs.")</f>
        <v>Works great. I bought an electric meat grinder for the first time, but before that I used a manual one and got tired of twisting my hands.  Grinded 1.5 kg of meat quickly and efficiently. The pieces of meat need to be cut no larger than the size of the hole to pass through to the auger, then there is no need to push them through and the engine runs without increased load, which means there is no need for repairs.</v>
      </c>
    </row>
    <row r="9628" spans="1:9" x14ac:dyDescent="0.3">
      <c r="A9628" s="1" t="s">
        <v>17</v>
      </c>
      <c r="B9628" s="1" t="s">
        <v>18</v>
      </c>
      <c r="C9628" s="1" t="s">
        <v>243</v>
      </c>
      <c r="D9628" s="1" t="s">
        <v>6081</v>
      </c>
      <c r="E9628" s="1" t="s">
        <v>670</v>
      </c>
      <c r="F9628" s="1" t="s">
        <v>14174</v>
      </c>
      <c r="G9628" s="1" t="s">
        <v>49</v>
      </c>
      <c r="H9628" s="1" t="s">
        <v>16</v>
      </c>
      <c r="I9628" s="1" t="str">
        <f ca="1">IFERROR(__xludf.DUMMYFUNCTION("GOOGLETRANSLATE(F9628, ""auto"", ""en"")
"),"small drum (((((")</f>
        <v>small drum (((((</v>
      </c>
    </row>
    <row r="9629" spans="1:9" x14ac:dyDescent="0.3">
      <c r="A9629" s="1" t="s">
        <v>43</v>
      </c>
      <c r="B9629" s="1" t="s">
        <v>502</v>
      </c>
      <c r="C9629" s="1" t="s">
        <v>122</v>
      </c>
      <c r="D9629" s="1" t="s">
        <v>3097</v>
      </c>
      <c r="E9629" s="1" t="s">
        <v>14175</v>
      </c>
      <c r="F9629" s="1" t="s">
        <v>14176</v>
      </c>
      <c r="G9629" s="1" t="s">
        <v>36</v>
      </c>
      <c r="H9629" s="1" t="s">
        <v>29</v>
      </c>
      <c r="I9629" s="1" t="str">
        <f ca="1">IFERROR(__xludf.DUMMYFUNCTION("GOOGLETRANSLATE(F9629, ""auto"", ""en"")
"),"I'm already buying a second Panasonic 9. The first one has been working great for seven years in one room. With the same power as its competitor, the Panasonic blows more air during cooling and heating, the blinds are not a feature of all Panasonics, but "&amp;"if not above the bed, the airflow does not interfere. Both are in rooms of 20 square meters.")</f>
        <v>I'm already buying a second Panasonic 9. The first one has been working great for seven years in one room. With the same power as its competitor, the Panasonic blows more air during cooling and heating, the blinds are not a feature of all Panasonics, but if not above the bed, the airflow does not interfere. Both are in rooms of 20 square meters.</v>
      </c>
    </row>
    <row r="9630" spans="1:9" x14ac:dyDescent="0.3">
      <c r="A9630" s="1" t="s">
        <v>519</v>
      </c>
      <c r="B9630" s="1" t="s">
        <v>1026</v>
      </c>
      <c r="C9630" s="1" t="s">
        <v>246</v>
      </c>
      <c r="D9630" s="1" t="s">
        <v>1055</v>
      </c>
      <c r="E9630" s="1" t="s">
        <v>1423</v>
      </c>
      <c r="F9630" s="1" t="s">
        <v>14177</v>
      </c>
      <c r="G9630" s="1" t="s">
        <v>36</v>
      </c>
      <c r="H9630" s="1" t="s">
        <v>29</v>
      </c>
      <c r="I9630" s="1" t="str">
        <f ca="1">IFERROR(__xludf.DUMMYFUNCTION("GOOGLETRANSLATE(F9630, ""auto"", ""en"")
"),"Excellent quality lid")</f>
        <v>Excellent quality lid</v>
      </c>
    </row>
    <row r="9631" spans="1:9" x14ac:dyDescent="0.3">
      <c r="A9631" s="1" t="s">
        <v>169</v>
      </c>
      <c r="B9631" s="1" t="s">
        <v>170</v>
      </c>
      <c r="C9631" s="1" t="s">
        <v>122</v>
      </c>
      <c r="D9631" s="1" t="s">
        <v>14178</v>
      </c>
      <c r="E9631" s="1" t="s">
        <v>9839</v>
      </c>
      <c r="F9631" s="1" t="s">
        <v>14179</v>
      </c>
      <c r="G9631" s="1" t="s">
        <v>36</v>
      </c>
      <c r="H9631" s="1" t="s">
        <v>29</v>
      </c>
      <c r="I9631" s="1" t="str">
        <f ca="1">IFERROR(__xludf.DUMMYFUNCTION("GOOGLETRANSLATE(F9631, ""auto"", ""en"")
"),"Happy with the purchase. The headphones are easy to use and unpretentious, and it’s amazing that such high-quality headphones are not at all overpriced! I've been using them for a couple of months and so far I can't say anything bad about them. Their soun"&amp;"d is clear and good, I don’t know why they say that it’s “mess” and “doesn’t sound” - for me, even for such a price, they even sound very good)) High-quality Panas)")</f>
        <v>Happy with the purchase. The headphones are easy to use and unpretentious, and it’s amazing that such high-quality headphones are not at all overpriced! I've been using them for a couple of months and so far I can't say anything bad about them. Their sound is clear and good, I don’t know why they say that it’s “mess” and “doesn’t sound” - for me, even for such a price, they even sound very good)) High-quality Panas)</v>
      </c>
    </row>
    <row r="9632" spans="1:9" x14ac:dyDescent="0.3">
      <c r="A9632" s="1" t="s">
        <v>169</v>
      </c>
      <c r="B9632" s="1" t="s">
        <v>170</v>
      </c>
      <c r="C9632" s="1" t="s">
        <v>2545</v>
      </c>
      <c r="D9632" s="1" t="s">
        <v>14180</v>
      </c>
      <c r="E9632" s="1" t="s">
        <v>2126</v>
      </c>
      <c r="F9632" s="1" t="s">
        <v>14181</v>
      </c>
      <c r="G9632" s="1" t="s">
        <v>36</v>
      </c>
      <c r="H9632" s="1" t="s">
        <v>29</v>
      </c>
      <c r="I9632" s="1" t="str">
        <f ca="1">IFERROR(__xludf.DUMMYFUNCTION("GOOGLETRANSLATE(F9632, ""auto"", ""en"")
"),"I already bought a second one, due to the fact that the wires break in 3 parts, the first is where the plug is, the second is under the right speaker, and the third is in the left. At first I was afraid to open and repair it myself, but it turned out to b"&amp;"e much simpler... If you use it in normal mode, it will last a long time, but if you use it harshly (LIKE ME), then only for 9-12 months... I personally recommend and even suggest this earphone. 5 points out of 5.  Despite the disadvantages, because nothi"&amp;"ng and nothing is perfect. And by the way, I also have iRiver. Oh, I almost forgot, think about the hairstyle, how important it is. Well, good luck everyone.")</f>
        <v>I already bought a second one, due to the fact that the wires break in 3 parts, the first is where the plug is, the second is under the right speaker, and the third is in the left. At first I was afraid to open and repair it myself, but it turned out to be much simpler... If you use it in normal mode, it will last a long time, but if you use it harshly (LIKE ME), then only for 9-12 months... I personally recommend and even suggest this earphone. 5 points out of 5.  Despite the disadvantages, because nothing and nothing is perfect. And by the way, I also have iRiver. Oh, I almost forgot, think about the hairstyle, how important it is. Well, good luck everyone.</v>
      </c>
    </row>
    <row r="9633" spans="1:9" x14ac:dyDescent="0.3">
      <c r="A9633" s="1" t="s">
        <v>61</v>
      </c>
      <c r="B9633" s="1" t="s">
        <v>73</v>
      </c>
      <c r="C9633" s="1" t="s">
        <v>122</v>
      </c>
      <c r="D9633" s="1" t="s">
        <v>565</v>
      </c>
      <c r="E9633" s="1" t="s">
        <v>204</v>
      </c>
      <c r="F9633" s="1" t="s">
        <v>14182</v>
      </c>
      <c r="G9633" s="1" t="s">
        <v>36</v>
      </c>
      <c r="H9633" s="1" t="s">
        <v>29</v>
      </c>
      <c r="I9633" s="1" t="str">
        <f ca="1">IFERROR(__xludf.DUMMYFUNCTION("GOOGLETRANSLATE(F9633, ""auto"", ""en"")
"),"The other day we bought this meat grinder, we had our doubts before purchasing it, but when we got home we started using it and were satisfied. Let's see how it behaves further.")</f>
        <v>The other day we bought this meat grinder, we had our doubts before purchasing it, but when we got home we started using it and were satisfied. Let's see how it behaves further.</v>
      </c>
    </row>
    <row r="9634" spans="1:9" x14ac:dyDescent="0.3">
      <c r="A9634" s="1" t="s">
        <v>206</v>
      </c>
      <c r="B9634" s="1" t="s">
        <v>2026</v>
      </c>
      <c r="C9634" s="1" t="s">
        <v>4219</v>
      </c>
      <c r="D9634" s="1" t="s">
        <v>14183</v>
      </c>
      <c r="E9634" s="1" t="s">
        <v>2222</v>
      </c>
      <c r="F9634" s="1" t="s">
        <v>14184</v>
      </c>
      <c r="G9634" s="1" t="s">
        <v>15</v>
      </c>
      <c r="H9634" s="1" t="s">
        <v>16</v>
      </c>
      <c r="I9634" s="1" t="str">
        <f ca="1">IFERROR(__xludf.DUMMYFUNCTION("GOOGLETRANSLATE(F9634, ""auto"", ""en"")
"),"I bought this device today. With his antenna in the car he caught 2 channels in terrible quality. It feels like there is no tuner in it at all. I almost fell for the idea that I needed to buy an external active antenna for it. But in time I remembered tha"&amp;"t I had a Chinese car TV with a picture tube that picked up all the channels perfectly.     The only plus of the model is that it reads movies from an SD card.")</f>
        <v>I bought this device today. With his antenna in the car he caught 2 channels in terrible quality. It feels like there is no tuner in it at all. I almost fell for the idea that I needed to buy an external active antenna for it. But in time I remembered that I had a Chinese car TV with a picture tube that picked up all the channels perfectly.     The only plus of the model is that it reads movies from an SD card.</v>
      </c>
    </row>
    <row r="9635" spans="1:9" x14ac:dyDescent="0.3">
      <c r="A9635" s="1" t="s">
        <v>61</v>
      </c>
      <c r="B9635" s="1" t="s">
        <v>318</v>
      </c>
      <c r="C9635" s="1" t="s">
        <v>246</v>
      </c>
      <c r="D9635" s="1" t="s">
        <v>14185</v>
      </c>
      <c r="E9635" s="1" t="s">
        <v>1669</v>
      </c>
      <c r="F9635" s="1" t="s">
        <v>14186</v>
      </c>
      <c r="G9635" s="1" t="s">
        <v>36</v>
      </c>
      <c r="H9635" s="1" t="s">
        <v>29</v>
      </c>
      <c r="I9635" s="1" t="str">
        <f ca="1">IFERROR(__xludf.DUMMYFUNCTION("GOOGLETRANSLATE(F9635, ""auto"", ""en"")
"),"In our family it is customary to be friends with Tefal. It all started when I was at the end of 2003. For the New Year I gave my parents a Tefal teapot, plastic, made in France. It worked conscientiously for exactly 8 years until the end of December 2011."&amp;" Then, literally in one week, its lid broke, the on button broke, the plastic cracked, and it generally stopped working. Therefore, for the New Year 2012, I gave my parents Tefal BI 7625 Vitesse Inox made of stainless steel. The new kettle is made in Chin"&amp;"a. So far there are no complaints. Works great. The cover is in place. No more noise than the previous model. There are no cracks, scratches, or other defects. I like everything. By the way, my husband and I also have Tefal (BF 6621 VitesseS). Yellow, pla"&amp;"stic. Made in China. When we were choosing, we settled on this model without hesitation. Oddly enough, we also bought it for the New Year. In use since January 2009. No complaints so far. Works great.")</f>
        <v>In our family it is customary to be friends with Tefal. It all started when I was at the end of 2003. For the New Year I gave my parents a Tefal teapot, plastic, made in France. It worked conscientiously for exactly 8 years until the end of December 2011. Then, literally in one week, its lid broke, the on button broke, the plastic cracked, and it generally stopped working. Therefore, for the New Year 2012, I gave my parents Tefal BI 7625 Vitesse Inox made of stainless steel. The new kettle is made in China. So far there are no complaints. Works great. The cover is in place. No more noise than the previous model. There are no cracks, scratches, or other defects. I like everything. By the way, my husband and I also have Tefal (BF 6621 VitesseS). Yellow, plastic. Made in China. When we were choosing, we settled on this model without hesitation. Oddly enough, we also bought it for the New Year. In use since January 2009. No complaints so far. Works great.</v>
      </c>
    </row>
    <row r="9636" spans="1:9" x14ac:dyDescent="0.3">
      <c r="A9636" s="1" t="s">
        <v>9</v>
      </c>
      <c r="B9636" s="1" t="s">
        <v>10</v>
      </c>
      <c r="C9636" s="1" t="s">
        <v>466</v>
      </c>
      <c r="D9636" s="1" t="s">
        <v>203</v>
      </c>
      <c r="E9636" s="1" t="s">
        <v>2772</v>
      </c>
      <c r="F9636" s="1" t="s">
        <v>14187</v>
      </c>
      <c r="G9636" s="1" t="s">
        <v>36</v>
      </c>
      <c r="H9636" s="1" t="s">
        <v>29</v>
      </c>
      <c r="I9636" s="1" t="str">
        <f ca="1">IFERROR(__xludf.DUMMYFUNCTION("GOOGLETRANSLATE(F9636, ""auto"", ""en"")
"),"I bought it today. The performance is good, there is no motor noise, only the air in the grilles (filters) makes noise. For the money it's a great buy. There is only one drawback - when extended, it is 44 cm. That is, about 6 cm is missing to completely c"&amp;"over the slab. But this can be compensated for by 6 cm of wooden spacers between the wall and the hood.")</f>
        <v>I bought it today. The performance is good, there is no motor noise, only the air in the grilles (filters) makes noise. For the money it's a great buy. There is only one drawback - when extended, it is 44 cm. That is, about 6 cm is missing to completely cover the slab. But this can be compensated for by 6 cm of wooden spacers between the wall and the hood.</v>
      </c>
    </row>
    <row r="9637" spans="1:9" x14ac:dyDescent="0.3">
      <c r="A9637" s="1" t="s">
        <v>120</v>
      </c>
      <c r="B9637" s="1" t="s">
        <v>121</v>
      </c>
      <c r="C9637" s="1" t="s">
        <v>97</v>
      </c>
      <c r="D9637" s="1" t="s">
        <v>52</v>
      </c>
      <c r="E9637" s="1" t="s">
        <v>2735</v>
      </c>
      <c r="F9637" s="1" t="s">
        <v>14188</v>
      </c>
      <c r="G9637" s="1" t="s">
        <v>36</v>
      </c>
      <c r="H9637" s="1" t="s">
        <v>29</v>
      </c>
      <c r="I9637" s="1" t="str">
        <f ca="1">IFERROR(__xludf.DUMMYFUNCTION("GOOGLETRANSLATE(F9637, ""auto"", ""en"")
"),"The TV is cool. I don’t regret what I bought. I just can’t find the picture-in-picture functions.")</f>
        <v>The TV is cool. I don’t regret what I bought. I just can’t find the picture-in-picture functions.</v>
      </c>
    </row>
    <row r="9638" spans="1:9" x14ac:dyDescent="0.3">
      <c r="A9638" s="1" t="s">
        <v>61</v>
      </c>
      <c r="B9638" s="1" t="s">
        <v>145</v>
      </c>
      <c r="C9638" s="1" t="s">
        <v>45</v>
      </c>
      <c r="D9638" s="1" t="s">
        <v>589</v>
      </c>
      <c r="E9638" s="1" t="s">
        <v>1115</v>
      </c>
      <c r="F9638" s="1" t="s">
        <v>14189</v>
      </c>
      <c r="G9638" s="1" t="s">
        <v>36</v>
      </c>
      <c r="H9638" s="1" t="s">
        <v>29</v>
      </c>
      <c r="I9638" s="1" t="str">
        <f ca="1">IFERROR(__xludf.DUMMYFUNCTION("GOOGLETRANSLATE(F9638, ""auto"", ""en"")
"),"We were given this wonderful purchase!) I’m still getting the hang of it, but cooking in an air fryer takes much longer than in an oven, and baking also needs to get used to. Everything turns out delicious, my husband is happy!)")</f>
        <v>We were given this wonderful purchase!) I’m still getting the hang of it, but cooking in an air fryer takes much longer than in an oven, and baking also needs to get used to. Everything turns out delicious, my husband is happy!)</v>
      </c>
    </row>
    <row r="9639" spans="1:9" x14ac:dyDescent="0.3">
      <c r="A9639" s="1" t="s">
        <v>89</v>
      </c>
      <c r="B9639" s="1" t="s">
        <v>1106</v>
      </c>
      <c r="C9639" s="1" t="s">
        <v>246</v>
      </c>
      <c r="D9639" s="1" t="s">
        <v>14190</v>
      </c>
      <c r="E9639" s="1" t="s">
        <v>7190</v>
      </c>
      <c r="F9639" s="1" t="s">
        <v>14191</v>
      </c>
      <c r="G9639" s="1" t="s">
        <v>36</v>
      </c>
      <c r="H9639" s="1" t="s">
        <v>29</v>
      </c>
      <c r="I9639" s="1" t="str">
        <f ca="1">IFERROR(__xludf.DUMMYFUNCTION("GOOGLETRANSLATE(F9639, ""auto"", ""en"")
"),"It’s simple in appearance, and its controls are hassle-free! I really like that you can brew a lot of coffee at one time, the flask is spacious, enough for my husband and I to drink two cups of coffee in the morning and even have some left over)) After tu"&amp;"rning it on, it doesn’t splash with coffee, like some machines with a similar design, so it’s easy to keep clean. It’s great that after making coffee you can keep it hot thanks to heating, it’s incredibly convenient! And it comes with regular filters, sol"&amp;"d in any store - you don’t need to rush around the city looking for some special ones to replace it)) I’m completely satisfied with it, it’s a good value for money, and the coffee tastes no worse than in expensive coffee makers))")</f>
        <v>It’s simple in appearance, and its controls are hassle-free! I really like that you can brew a lot of coffee at one time, the flask is spacious, enough for my husband and I to drink two cups of coffee in the morning and even have some left over)) After turning it on, it doesn’t splash with coffee, like some machines with a similar design, so it’s easy to keep clean. It’s great that after making coffee you can keep it hot thanks to heating, it’s incredibly convenient! And it comes with regular filters, sold in any store - you don’t need to rush around the city looking for some special ones to replace it)) I’m completely satisfied with it, it’s a good value for money, and the coffee tastes no worse than in expensive coffee makers))</v>
      </c>
    </row>
    <row r="9640" spans="1:9" x14ac:dyDescent="0.3">
      <c r="A9640" s="1" t="s">
        <v>61</v>
      </c>
      <c r="B9640" s="1" t="s">
        <v>318</v>
      </c>
      <c r="C9640" s="1" t="s">
        <v>57</v>
      </c>
      <c r="D9640" s="1" t="s">
        <v>64</v>
      </c>
      <c r="E9640" s="1" t="s">
        <v>13631</v>
      </c>
      <c r="F9640" s="1" t="s">
        <v>14192</v>
      </c>
      <c r="G9640" s="1" t="s">
        <v>28</v>
      </c>
      <c r="H9640" s="1" t="s">
        <v>29</v>
      </c>
      <c r="I9640" s="1" t="str">
        <f ca="1">IFERROR(__xludf.DUMMYFUNCTION("GOOGLETRANSLATE(F9640, ""auto"", ""en"")
"),"The large volume is convenient for a family; a regular kettle often had to be filled. Hot water is always at hand. Not a bad design.")</f>
        <v>The large volume is convenient for a family; a regular kettle often had to be filled. Hot water is always at hand. Not a bad design.</v>
      </c>
    </row>
    <row r="9641" spans="1:9" x14ac:dyDescent="0.3">
      <c r="A9641" s="1" t="s">
        <v>211</v>
      </c>
      <c r="B9641" s="1" t="s">
        <v>212</v>
      </c>
      <c r="C9641" s="1" t="s">
        <v>294</v>
      </c>
      <c r="D9641" s="1" t="s">
        <v>474</v>
      </c>
      <c r="E9641" s="1" t="s">
        <v>1978</v>
      </c>
      <c r="F9641" s="1" t="s">
        <v>14193</v>
      </c>
      <c r="G9641" s="1" t="s">
        <v>36</v>
      </c>
      <c r="H9641" s="1" t="s">
        <v>29</v>
      </c>
      <c r="I9641" s="1" t="str">
        <f ca="1">IFERROR(__xludf.DUMMYFUNCTION("GOOGLETRANSLATE(F9641, ""auto"", ""en"")
"),"Good straightener, doesn't catch anything. There were brushes in the set, and the eyelash curler works (though you can achieve the same effect with mascara). Only it’s better to straighten your hair on a single or double setting, it gets very hot.")</f>
        <v>Good straightener, doesn't catch anything. There were brushes in the set, and the eyelash curler works (though you can achieve the same effect with mascara). Only it’s better to straighten your hair on a single or double setting, it gets very hot.</v>
      </c>
    </row>
    <row r="9642" spans="1:9" x14ac:dyDescent="0.3">
      <c r="A9642" s="1" t="s">
        <v>30</v>
      </c>
      <c r="B9642" s="1" t="s">
        <v>50</v>
      </c>
      <c r="C9642" s="1" t="s">
        <v>694</v>
      </c>
      <c r="D9642" s="1" t="s">
        <v>326</v>
      </c>
      <c r="E9642" s="1" t="s">
        <v>3002</v>
      </c>
      <c r="F9642" s="1" t="s">
        <v>14194</v>
      </c>
      <c r="G9642" s="1" t="s">
        <v>36</v>
      </c>
      <c r="H9642" s="1" t="s">
        <v>29</v>
      </c>
      <c r="I9642" s="1" t="str">
        <f ca="1">IFERROR(__xludf.DUMMYFUNCTION("GOOGLETRANSLATE(F9642, ""auto"", ""en"")
"),"My husband bought a gift 2 months ago. I’m very pleased. A wonderful model for not a lot of money. For work, for the Internet, and for study, I think it’s suitable for everyone.")</f>
        <v>My husband bought a gift 2 months ago. I’m very pleased. A wonderful model for not a lot of money. For work, for the Internet, and for study, I think it’s suitable for everyone.</v>
      </c>
    </row>
    <row r="9643" spans="1:9" x14ac:dyDescent="0.3">
      <c r="A9643" s="1" t="s">
        <v>1119</v>
      </c>
      <c r="B9643" s="1" t="s">
        <v>1120</v>
      </c>
      <c r="C9643" s="1" t="s">
        <v>4468</v>
      </c>
      <c r="D9643" s="1" t="s">
        <v>14195</v>
      </c>
      <c r="E9643" s="1" t="s">
        <v>173</v>
      </c>
      <c r="F9643" s="1" t="s">
        <v>14196</v>
      </c>
      <c r="G9643" s="1" t="s">
        <v>15</v>
      </c>
      <c r="H9643" s="1" t="s">
        <v>16</v>
      </c>
      <c r="I9643" s="1" t="str">
        <f ca="1">IFERROR(__xludf.DUMMYFUNCTION("GOOGLETRANSLATE(F9643, ""auto"", ""en"")
"),"I recently bought this video camera. Now I really regret it. This stuff is terrible. It takes pictures almost worse than with a camera. Shooting in twilight lighting is generally below any criticism. Yes, and in the daytime it’s not much better. The image"&amp;" turns out to be “flattened” on the sides and elongated upward. I don’t understand the praise of those who describe the quality of filming with this video camera. in my opinion, even many (not very “advanced” at the same time) digital point-and-shoot came"&amp;"ras take MUCH better photos!")</f>
        <v>I recently bought this video camera. Now I really regret it. This stuff is terrible. It takes pictures almost worse than with a camera. Shooting in twilight lighting is generally below any criticism. Yes, and in the daytime it’s not much better. The image turns out to be “flattened” on the sides and elongated upward. I don’t understand the praise of those who describe the quality of filming with this video camera. in my opinion, even many (not very “advanced” at the same time) digital point-and-shoot cameras take MUCH better photos!</v>
      </c>
    </row>
    <row r="9644" spans="1:9" x14ac:dyDescent="0.3">
      <c r="A9644" s="1" t="s">
        <v>105</v>
      </c>
      <c r="B9644" s="1" t="s">
        <v>106</v>
      </c>
      <c r="C9644" s="1" t="s">
        <v>1209</v>
      </c>
      <c r="D9644" s="1" t="s">
        <v>14197</v>
      </c>
      <c r="E9644" s="1" t="s">
        <v>822</v>
      </c>
      <c r="F9644" s="1" t="s">
        <v>14198</v>
      </c>
      <c r="G9644" s="1" t="s">
        <v>36</v>
      </c>
      <c r="H9644" s="1" t="s">
        <v>29</v>
      </c>
      <c r="I9644" s="1" t="str">
        <f ca="1">IFERROR(__xludf.DUMMYFUNCTION("GOOGLETRANSLATE(F9644, ""auto"", ""en"")
"),"I recently purchased this player and am very pleased with everything, except that the headphones are connected to the side, which is not very convenient, but everything is fine, the sound is loud even in my own ears")</f>
        <v>I recently purchased this player and am very pleased with everything, except that the headphones are connected to the side, which is not very convenient, but everything is fine, the sound is loud even in my own ears</v>
      </c>
    </row>
    <row r="9645" spans="1:9" x14ac:dyDescent="0.3">
      <c r="A9645" s="1" t="s">
        <v>211</v>
      </c>
      <c r="B9645" s="1" t="s">
        <v>212</v>
      </c>
      <c r="C9645" s="1" t="s">
        <v>213</v>
      </c>
      <c r="D9645" s="1" t="s">
        <v>75</v>
      </c>
      <c r="E9645" s="1" t="s">
        <v>1448</v>
      </c>
      <c r="F9645" s="1" t="s">
        <v>14199</v>
      </c>
      <c r="G9645" s="1" t="s">
        <v>36</v>
      </c>
      <c r="H9645" s="1" t="s">
        <v>29</v>
      </c>
      <c r="I9645" s="1" t="str">
        <f ca="1">IFERROR(__xludf.DUMMYFUNCTION("GOOGLETRANSLATE(F9645, ""auto"", ""en"")
"),"Great stuff!!! I recommend it to everyone.")</f>
        <v>Great stuff!!! I recommend it to everyone.</v>
      </c>
    </row>
    <row r="9646" spans="1:9" x14ac:dyDescent="0.3">
      <c r="A9646" s="1" t="s">
        <v>477</v>
      </c>
      <c r="B9646" s="1" t="s">
        <v>478</v>
      </c>
      <c r="C9646" s="1" t="s">
        <v>479</v>
      </c>
      <c r="D9646" s="1" t="s">
        <v>891</v>
      </c>
      <c r="E9646" s="1" t="s">
        <v>1012</v>
      </c>
      <c r="F9646" s="1" t="s">
        <v>14200</v>
      </c>
      <c r="G9646" s="1" t="s">
        <v>28</v>
      </c>
      <c r="H9646" s="1" t="s">
        <v>29</v>
      </c>
      <c r="I9646" s="1" t="str">
        <f ca="1">IFERROR(__xludf.DUMMYFUNCTION("GOOGLETRANSLATE(F9646, ""auto"", ""en"")
"),"Super game costs little")</f>
        <v>Super game costs little</v>
      </c>
    </row>
    <row r="9647" spans="1:9" x14ac:dyDescent="0.3">
      <c r="A9647" s="1" t="s">
        <v>206</v>
      </c>
      <c r="B9647" s="1" t="s">
        <v>1253</v>
      </c>
      <c r="C9647" s="1" t="s">
        <v>4464</v>
      </c>
      <c r="D9647" s="1" t="s">
        <v>102</v>
      </c>
      <c r="E9647" s="1" t="s">
        <v>233</v>
      </c>
      <c r="F9647" s="1" t="s">
        <v>14201</v>
      </c>
      <c r="G9647" s="1" t="s">
        <v>15</v>
      </c>
      <c r="H9647" s="1" t="s">
        <v>16</v>
      </c>
      <c r="I9647" s="1" t="str">
        <f ca="1">IFERROR(__xludf.DUMMYFUNCTION("GOOGLETRANSLATE(F9647, ""auto"", ""en"")
"),"I gave it to my friends for New Years so they could go skiing. To be honest, this model did not live up to my expectations. They may be suitable for hiking in the summer, but not so much for skiers.   - Firstly, they are quiet, you can’t hear anything in "&amp;"the helmet.   - Secondly, poor reception, small obstacles interfere with the signal.  - Thirdly, it’s inconvenient; it’s not at all convenient to hold a walkie-talkie with gloves on.  Bottom line: The Midland G5 radio is for hiking in the forest in the su"&amp;"mmer; for skiing, take something more serious.")</f>
        <v>I gave it to my friends for New Years so they could go skiing. To be honest, this model did not live up to my expectations. They may be suitable for hiking in the summer, but not so much for skiers.   - Firstly, they are quiet, you can’t hear anything in the helmet.   - Secondly, poor reception, small obstacles interfere with the signal.  - Thirdly, it’s inconvenient; it’s not at all convenient to hold a walkie-talkie with gloves on.  Bottom line: The Midland G5 radio is for hiking in the forest in the summer; for skiing, take something more serious.</v>
      </c>
    </row>
    <row r="9648" spans="1:9" x14ac:dyDescent="0.3">
      <c r="A9648" s="1" t="s">
        <v>30</v>
      </c>
      <c r="B9648" s="1" t="s">
        <v>50</v>
      </c>
      <c r="C9648" s="1" t="s">
        <v>32</v>
      </c>
      <c r="D9648" s="1" t="s">
        <v>420</v>
      </c>
      <c r="E9648" s="1" t="s">
        <v>998</v>
      </c>
      <c r="F9648" s="1" t="s">
        <v>14202</v>
      </c>
      <c r="G9648" s="1" t="s">
        <v>36</v>
      </c>
      <c r="H9648" s="1" t="s">
        <v>29</v>
      </c>
      <c r="I9648" s="1" t="str">
        <f ca="1">IFERROR(__xludf.DUMMYFUNCTION("GOOGLETRANSLATE(F9648, ""auto"", ""en"")
"),"I bought the same model, but with a built-in camera and W7, only made in China. Everything is fine in the laptop, except: - uncomfortable touchpad;  - weak battery and these are all the shortcomings that I found in 3 months.    I would like to note the ve"&amp;"ry convenient keyboard and set of built-in programs; of course, I had to add a couple.  The power is great and my RAM can be increased to 8 gigs.     This model has many modifications - pay attention!")</f>
        <v>I bought the same model, but with a built-in camera and W7, only made in China. Everything is fine in the laptop, except: - uncomfortable touchpad;  - weak battery and these are all the shortcomings that I found in 3 months.    I would like to note the very convenient keyboard and set of built-in programs; of course, I had to add a couple.  The power is great and my RAM can be increased to 8 gigs.     This model has many modifications - pay attention!</v>
      </c>
    </row>
    <row r="9649" spans="1:9" x14ac:dyDescent="0.3">
      <c r="A9649" s="1" t="s">
        <v>61</v>
      </c>
      <c r="B9649" s="1" t="s">
        <v>1126</v>
      </c>
      <c r="C9649" s="1" t="s">
        <v>57</v>
      </c>
      <c r="D9649" s="1" t="s">
        <v>247</v>
      </c>
      <c r="E9649" s="1" t="s">
        <v>2543</v>
      </c>
      <c r="F9649" s="1" t="s">
        <v>14203</v>
      </c>
      <c r="G9649" s="1" t="s">
        <v>15</v>
      </c>
      <c r="H9649" s="1" t="s">
        <v>16</v>
      </c>
      <c r="I9649" s="1" t="str">
        <f ca="1">IFERROR(__xludf.DUMMYFUNCTION("GOOGLETRANSLATE(F9649, ""auto"", ""en"")
"),"I bought these scales for baking. They have only one advantage: price. The scales lie: 200 g of flour is given out as 400, and vice versa, you pour it in and pour it in, they show 400, but when you weigh it, it’s 200 more grams. In addition, it is not con"&amp;"venient to weigh out bulk items on them, because everything gets clogged under the buttons.")</f>
        <v>I bought these scales for baking. They have only one advantage: price. The scales lie: 200 g of flour is given out as 400, and vice versa, you pour it in and pour it in, they show 400, but when you weigh it, it’s 200 more grams. In addition, it is not convenient to weigh out bulk items on them, because everything gets clogged under the buttons.</v>
      </c>
    </row>
    <row r="9650" spans="1:9" x14ac:dyDescent="0.3">
      <c r="A9650" s="1" t="s">
        <v>120</v>
      </c>
      <c r="B9650" s="1" t="s">
        <v>121</v>
      </c>
      <c r="C9650" s="1" t="s">
        <v>97</v>
      </c>
      <c r="D9650" s="1" t="s">
        <v>86</v>
      </c>
      <c r="E9650" s="1" t="s">
        <v>2735</v>
      </c>
      <c r="F9650" s="1" t="s">
        <v>14204</v>
      </c>
      <c r="G9650" s="1" t="s">
        <v>36</v>
      </c>
      <c r="H9650" s="1" t="s">
        <v>29</v>
      </c>
      <c r="I9650" s="1" t="str">
        <f ca="1">IFERROR(__xludf.DUMMYFUNCTION("GOOGLETRANSLATE(F9650, ""auto"", ""en"")
"),"For its price, the TV is simply perfect!  Yes, the matrix is ​​worse than that of TVs of more expensive models, but this difference is felt only from the price of 60,000 rubles. Again, it depends on what kind of video input you use: a high-quality satelli"&amp;"te receiver or a “semi-live” broadcast signal or other digital sources. The TV is worthy of the highest praise based on the indicator: price - quality.    And the law - you pay more - you get better; unfortunately, it doesn’t always work! Buy and never re"&amp;"gret the purchase!!! Enjoy your shopping in M-Video!!! Sincerely, Nikolay!")</f>
        <v>For its price, the TV is simply perfect!  Yes, the matrix is ​​worse than that of TVs of more expensive models, but this difference is felt only from the price of 60,000 rubles. Again, it depends on what kind of video input you use: a high-quality satellite receiver or a “semi-live” broadcast signal or other digital sources. The TV is worthy of the highest praise based on the indicator: price - quality.    And the law - you pay more - you get better; unfortunately, it doesn’t always work! Buy and never regret the purchase!!! Enjoy your shopping in M-Video!!! Sincerely, Nikolay!</v>
      </c>
    </row>
    <row r="9651" spans="1:9" x14ac:dyDescent="0.3">
      <c r="A9651" s="1" t="s">
        <v>61</v>
      </c>
      <c r="B9651" s="1" t="s">
        <v>726</v>
      </c>
      <c r="C9651" s="1" t="s">
        <v>146</v>
      </c>
      <c r="D9651" s="1" t="s">
        <v>208</v>
      </c>
      <c r="E9651" s="1" t="s">
        <v>3494</v>
      </c>
      <c r="F9651" s="1" t="s">
        <v>14205</v>
      </c>
      <c r="G9651" s="1" t="s">
        <v>28</v>
      </c>
      <c r="H9651" s="1" t="s">
        <v>29</v>
      </c>
      <c r="I9651" s="1" t="str">
        <f ca="1">IFERROR(__xludf.DUMMYFUNCTION("GOOGLETRANSLATE(F9651, ""auto"", ""en"")
"),"Bought in November 2010. It bakes good bread (including “gray” and “black”). I don’t even want to look at “store-bought” anymore. After a couple of months of use, a serious defect in the container appeared every other day. The Teflon has begun to peel off"&amp;". The defect is progressing. It is impossible to find additional containers (round and rectangular) on sale. It was not possible to submit the container for warranty repair due to a defect - they say that the container is not included in the warranty (the"&amp;"y are probably lying).")</f>
        <v>Bought in November 2010. It bakes good bread (including “gray” and “black”). I don’t even want to look at “store-bought” anymore. After a couple of months of use, a serious defect in the container appeared every other day. The Teflon has begun to peel off. The defect is progressing. It is impossible to find additional containers (round and rectangular) on sale. It was not possible to submit the container for warranty repair due to a defect - they say that the container is not included in the warranty (they are probably lying).</v>
      </c>
    </row>
    <row r="9652" spans="1:9" x14ac:dyDescent="0.3">
      <c r="A9652" s="1" t="s">
        <v>120</v>
      </c>
      <c r="B9652" s="1" t="s">
        <v>256</v>
      </c>
      <c r="C9652" s="1" t="s">
        <v>665</v>
      </c>
      <c r="D9652" s="1" t="s">
        <v>52</v>
      </c>
      <c r="E9652" s="1" t="s">
        <v>2043</v>
      </c>
      <c r="F9652" s="1" t="s">
        <v>14206</v>
      </c>
      <c r="G9652" s="1" t="s">
        <v>49</v>
      </c>
      <c r="H9652" s="1" t="s">
        <v>16</v>
      </c>
      <c r="I9652" s="1" t="str">
        <f ca="1">IFERROR(__xludf.DUMMYFUNCTION("GOOGLETRANSLATE(F9652, ""auto"", ""en"")
"),"I chose this model precisely because of the presence of a digital tuner, it finds all digital channels, but gives only descriptions and sound from them without a picture. The manual is VERY concise")</f>
        <v>I chose this model precisely because of the presence of a digital tuner, it finds all digital channels, but gives only descriptions and sound from them without a picture. The manual is VERY concise</v>
      </c>
    </row>
    <row r="9653" spans="1:9" x14ac:dyDescent="0.3">
      <c r="A9653" s="1" t="s">
        <v>9</v>
      </c>
      <c r="B9653" s="1" t="s">
        <v>10</v>
      </c>
      <c r="C9653" s="1" t="s">
        <v>407</v>
      </c>
      <c r="D9653" s="1" t="s">
        <v>4773</v>
      </c>
      <c r="E9653" s="1" t="s">
        <v>779</v>
      </c>
      <c r="F9653" s="1" t="s">
        <v>14207</v>
      </c>
      <c r="G9653" s="1" t="s">
        <v>28</v>
      </c>
      <c r="H9653" s="1" t="s">
        <v>29</v>
      </c>
      <c r="I9653" s="1" t="str">
        <f ca="1">IFERROR(__xludf.DUMMYFUNCTION("GOOGLETRANSLATE(F9653, ""auto"", ""en"")
"),"The hood is really powerful, but at the same time quiet.  The design is modern, comfortable and cozy lighting.    One minus is that it is difficult for a short person to reach the control buttons.")</f>
        <v>The hood is really powerful, but at the same time quiet.  The design is modern, comfortable and cozy lighting.    One minus is that it is difficult for a short person to reach the control buttons.</v>
      </c>
    </row>
    <row r="9654" spans="1:9" x14ac:dyDescent="0.3">
      <c r="A9654" s="1" t="s">
        <v>369</v>
      </c>
      <c r="B9654" s="1" t="s">
        <v>370</v>
      </c>
      <c r="C9654" s="1" t="s">
        <v>290</v>
      </c>
      <c r="D9654" s="1" t="s">
        <v>114</v>
      </c>
      <c r="E9654" s="1" t="s">
        <v>5706</v>
      </c>
      <c r="F9654" s="1" t="s">
        <v>14208</v>
      </c>
      <c r="G9654" s="1" t="s">
        <v>36</v>
      </c>
      <c r="H9654" s="1" t="s">
        <v>29</v>
      </c>
      <c r="I9654" s="1" t="str">
        <f ca="1">IFERROR(__xludf.DUMMYFUNCTION("GOOGLETRANSLATE(F9654, ""auto"", ""en"")
"),"It’s a good stove, I’ve been using it for a couple of months, there are no complaints, it’s compact, but at the same time everything fits on it. A good oven with many functions, suitable for baking and cooking various dishes.  There is a drawer at the bot"&amp;"tom, which is not immediately noticeable; you can put a frying pan or baking tray there, for example. The display is mainly useful only because it shows the time; it has no other special functions.  Pros: Convenient.  Cons: The display could show the oven"&amp;" temperature.  Conclusion: I'm happy with the purchase.")</f>
        <v>It’s a good stove, I’ve been using it for a couple of months, there are no complaints, it’s compact, but at the same time everything fits on it. A good oven with many functions, suitable for baking and cooking various dishes.  There is a drawer at the bottom, which is not immediately noticeable; you can put a frying pan or baking tray there, for example. The display is mainly useful only because it shows the time; it has no other special functions.  Pros: Convenient.  Cons: The display could show the oven temperature.  Conclusion: I'm happy with the purchase.</v>
      </c>
    </row>
    <row r="9655" spans="1:9" x14ac:dyDescent="0.3">
      <c r="A9655" s="1" t="s">
        <v>61</v>
      </c>
      <c r="B9655" s="1" t="s">
        <v>726</v>
      </c>
      <c r="C9655" s="1" t="s">
        <v>122</v>
      </c>
      <c r="D9655" s="1" t="s">
        <v>1747</v>
      </c>
      <c r="E9655" s="1" t="s">
        <v>822</v>
      </c>
      <c r="F9655" s="1" t="s">
        <v>14209</v>
      </c>
      <c r="G9655" s="1" t="s">
        <v>36</v>
      </c>
      <c r="H9655" s="1" t="s">
        <v>29</v>
      </c>
      <c r="I9655" s="1" t="str">
        <f ca="1">IFERROR(__xludf.DUMMYFUNCTION("GOOGLETRANSLATE(F9655, ""auto"", ""en"")
"),"We’ve been using it for 3 months now and all our friends and relatives are already “hooked” on our bread. Quiet, well made. We tried baking everything, everything turned out great. During the process of use, two tips appeared for those who choose: 1. The "&amp;"weight of the bread is indicated as 1200 grams. Keep in mind that this is a large size of bread with additions (raisins, nuts, etc.) Just bread 900 grams. 2. Knead the dough for dumplings to be runny. It needs to be stirred.  Everything else is without co"&amp;"mplaint.")</f>
        <v>We’ve been using it for 3 months now and all our friends and relatives are already “hooked” on our bread. Quiet, well made. We tried baking everything, everything turned out great. During the process of use, two tips appeared for those who choose: 1. The weight of the bread is indicated as 1200 grams. Keep in mind that this is a large size of bread with additions (raisins, nuts, etc.) Just bread 900 grams. 2. Knead the dough for dumplings to be runny. It needs to be stirred.  Everything else is without complaint.</v>
      </c>
    </row>
    <row r="9656" spans="1:9" x14ac:dyDescent="0.3">
      <c r="A9656" s="1" t="s">
        <v>211</v>
      </c>
      <c r="B9656" s="1" t="s">
        <v>410</v>
      </c>
      <c r="C9656" s="1" t="s">
        <v>213</v>
      </c>
      <c r="D9656" s="1" t="s">
        <v>14210</v>
      </c>
      <c r="E9656" s="1" t="s">
        <v>4259</v>
      </c>
      <c r="F9656" s="1" t="s">
        <v>14211</v>
      </c>
      <c r="G9656" s="1" t="s">
        <v>36</v>
      </c>
      <c r="H9656" s="1" t="s">
        <v>29</v>
      </c>
      <c r="I9656" s="1" t="str">
        <f ca="1">IFERROR(__xludf.DUMMYFUNCTION("GOOGLETRANSLATE(F9656, ""auto"", ""en"")
"),"Before this razor, I used Braun 5 series for 3 years. I was happy with it, although sometimes I got irritated if I overdid it. I noticed that in this model they reduced the size of the shaving foil, which reduced the impact on the skin -&gt; there is actuall"&amp;"y less irritation, or rather there is none at all. You can rub it in the face as much as you want until it’s perfectly clean. I like that the foil and blade are fixed (in previous models they were separate), it seems to me that this allows them to fit in "&amp;"perfectly, and after some use I began to shave better. I think that a glass is unnecessary, especially for that kind of money. After each shave, I wash the foil and the razor itself under the tap. If you have the money, then take this one, if you want it "&amp;"cheaper, then I think you can take it without the pulsonic, but I highly recommend the mesh + knife like in this model.")</f>
        <v>Before this razor, I used Braun 5 series for 3 years. I was happy with it, although sometimes I got irritated if I overdid it. I noticed that in this model they reduced the size of the shaving foil, which reduced the impact on the skin -&gt; there is actually less irritation, or rather there is none at all. You can rub it in the face as much as you want until it’s perfectly clean. I like that the foil and blade are fixed (in previous models they were separate), it seems to me that this allows them to fit in perfectly, and after some use I began to shave better. I think that a glass is unnecessary, especially for that kind of money. After each shave, I wash the foil and the razor itself under the tap. If you have the money, then take this one, if you want it cheaper, then I think you can take it without the pulsonic, but I highly recommend the mesh + knife like in this model.</v>
      </c>
    </row>
    <row r="9657" spans="1:9" x14ac:dyDescent="0.3">
      <c r="A9657" s="1" t="s">
        <v>149</v>
      </c>
      <c r="B9657" s="1" t="s">
        <v>423</v>
      </c>
      <c r="C9657" s="1" t="s">
        <v>531</v>
      </c>
      <c r="D9657" s="1" t="s">
        <v>64</v>
      </c>
      <c r="E9657" s="1" t="s">
        <v>14212</v>
      </c>
      <c r="F9657" s="1" t="s">
        <v>14213</v>
      </c>
      <c r="G9657" s="1" t="s">
        <v>36</v>
      </c>
      <c r="H9657" s="1" t="s">
        <v>29</v>
      </c>
      <c r="I9657" s="1" t="str">
        <f ca="1">IFERROR(__xludf.DUMMYFUNCTION("GOOGLETRANSLATE(F9657, ""auto"", ""en"")
"),"I bought it about a month ago, but I’m already very happy with the purchase. There is a dog in the house and the vacuum cleaner does a great job removing hair and sand. During the first cleaning I changed the water four times, I didn’t even think that the"&amp;"re was so much dirt in the carpet. I use it in different modes, everything suits me. Other reviews wrote that there is no lid for the water bucket, I agree with this, it wouldn’t hurt at all, because... It’s scary to remove and wash the lid of the vacuum "&amp;"cleaner every time, its fastening looks very flimsy. Suction is excellent and the linoleum lifts up. The main thing is to rinse the hose and all the insides after each cleaning. I’m happy with the vacuum cleaner, I recommend buying it")</f>
        <v>I bought it about a month ago, but I’m already very happy with the purchase. There is a dog in the house and the vacuum cleaner does a great job removing hair and sand. During the first cleaning I changed the water four times, I didn’t even think that there was so much dirt in the carpet. I use it in different modes, everything suits me. Other reviews wrote that there is no lid for the water bucket, I agree with this, it wouldn’t hurt at all, because... It’s scary to remove and wash the lid of the vacuum cleaner every time, its fastening looks very flimsy. Suction is excellent and the linoleum lifts up. The main thing is to rinse the hose and all the insides after each cleaning. I’m happy with the vacuum cleaner, I recommend buying it</v>
      </c>
    </row>
    <row r="9658" spans="1:9" x14ac:dyDescent="0.3">
      <c r="A9658" s="1" t="s">
        <v>61</v>
      </c>
      <c r="B9658" s="1" t="s">
        <v>180</v>
      </c>
      <c r="C9658" s="1" t="s">
        <v>74</v>
      </c>
      <c r="D9658" s="1" t="s">
        <v>64</v>
      </c>
      <c r="E9658" s="1" t="s">
        <v>1029</v>
      </c>
      <c r="F9658" s="1" t="s">
        <v>14214</v>
      </c>
      <c r="G9658" s="1" t="s">
        <v>36</v>
      </c>
      <c r="H9658" s="1" t="s">
        <v>29</v>
      </c>
      <c r="I9658" s="1" t="str">
        <f ca="1">IFERROR(__xludf.DUMMYFUNCTION("GOOGLETRANSLATE(F9658, ""auto"", ""en"")
"),"I bought this sandwich-toaster through a promotion and points. What I like about it is that it has removable attachments for waffles and toast, it’s very convenient. The waffles turn out delicious and large. It also works great as a toaster. Children eat "&amp;"toast for breakfast before school. The bread is crispy on the outside, and melted cheese and ham inside, it’s something special. We also made it with bananas and chocolate, also delicious. You can put any topping, it will be delicious.  By the way, when g"&amp;"uests are on the doorstep and there is nothing for tea, a toaster helps out.  In general, take it, you won’t regret it. At first I thought that this was not an essential item, but any appliance in my kitchen comes in handy and this sandwich - a toaster is"&amp;" no exception.")</f>
        <v>I bought this sandwich-toaster through a promotion and points. What I like about it is that it has removable attachments for waffles and toast, it’s very convenient. The waffles turn out delicious and large. It also works great as a toaster. Children eat toast for breakfast before school. The bread is crispy on the outside, and melted cheese and ham inside, it’s something special. We also made it with bananas and chocolate, also delicious. You can put any topping, it will be delicious.  By the way, when guests are on the doorstep and there is nothing for tea, a toaster helps out.  In general, take it, you won’t regret it. At first I thought that this was not an essential item, but any appliance in my kitchen comes in handy and this sandwich - a toaster is no exception.</v>
      </c>
    </row>
    <row r="9659" spans="1:9" x14ac:dyDescent="0.3">
      <c r="A9659" s="1" t="s">
        <v>17</v>
      </c>
      <c r="B9659" s="1" t="s">
        <v>18</v>
      </c>
      <c r="C9659" s="1" t="s">
        <v>243</v>
      </c>
      <c r="D9659" s="1" t="s">
        <v>232</v>
      </c>
      <c r="E9659" s="1" t="s">
        <v>13591</v>
      </c>
      <c r="F9659" s="1" t="s">
        <v>14215</v>
      </c>
      <c r="G9659" s="1" t="s">
        <v>36</v>
      </c>
      <c r="H9659" s="1" t="s">
        <v>29</v>
      </c>
      <c r="I9659" s="1" t="str">
        <f ca="1">IFERROR(__xludf.DUMMYFUNCTION("GOOGLETRANSLATE(F9659, ""auto"", ""en"")
"),"I bought it on sale on December 5, 2014, I installed it myself (remembering to remove the transport bolts), it doesn’t run, doesn’t jump, I tried all the programs, it’s a little noisy when spinning at 900 rpm, overall I highly recommend it.")</f>
        <v>I bought it on sale on December 5, 2014, I installed it myself (remembering to remove the transport bolts), it doesn’t run, doesn’t jump, I tried all the programs, it’s a little noisy when spinning at 900 rpm, overall I highly recommend it.</v>
      </c>
    </row>
    <row r="9660" spans="1:9" x14ac:dyDescent="0.3">
      <c r="A9660" s="1" t="s">
        <v>211</v>
      </c>
      <c r="B9660" s="1" t="s">
        <v>515</v>
      </c>
      <c r="C9660" s="1" t="s">
        <v>213</v>
      </c>
      <c r="D9660" s="1" t="s">
        <v>545</v>
      </c>
      <c r="E9660" s="1" t="s">
        <v>10025</v>
      </c>
      <c r="F9660" s="1" t="s">
        <v>14216</v>
      </c>
      <c r="G9660" s="1" t="s">
        <v>36</v>
      </c>
      <c r="H9660" s="1" t="s">
        <v>29</v>
      </c>
      <c r="I9660" s="1" t="str">
        <f ca="1">IFERROR(__xludf.DUMMYFUNCTION("GOOGLETRANSLATE(F9660, ""auto"", ""en"")
"),"No extra overpayments.")</f>
        <v>No extra overpayments.</v>
      </c>
    </row>
    <row r="9661" spans="1:9" x14ac:dyDescent="0.3">
      <c r="A9661" s="1" t="s">
        <v>211</v>
      </c>
      <c r="B9661" s="1" t="s">
        <v>899</v>
      </c>
      <c r="C9661" s="1" t="s">
        <v>213</v>
      </c>
      <c r="D9661" s="1" t="s">
        <v>2771</v>
      </c>
      <c r="E9661" s="1" t="s">
        <v>386</v>
      </c>
      <c r="F9661" s="1" t="s">
        <v>14217</v>
      </c>
      <c r="G9661" s="1" t="s">
        <v>36</v>
      </c>
      <c r="H9661" s="1" t="s">
        <v>29</v>
      </c>
      <c r="I9661" s="1" t="str">
        <f ca="1">IFERROR(__xludf.DUMMYFUNCTION("GOOGLETRANSLATE(F9661, ""auto"", ""en"")
"),"Great toothbrush. We are pleased with the purchase and recommend it to everyone.")</f>
        <v>Great toothbrush. We are pleased with the purchase and recommend it to everyone.</v>
      </c>
    </row>
    <row r="9662" spans="1:9" x14ac:dyDescent="0.3">
      <c r="A9662" s="1" t="s">
        <v>557</v>
      </c>
      <c r="B9662" s="1" t="s">
        <v>558</v>
      </c>
      <c r="C9662" s="1" t="s">
        <v>122</v>
      </c>
      <c r="D9662" s="1" t="s">
        <v>589</v>
      </c>
      <c r="E9662" s="1" t="s">
        <v>2432</v>
      </c>
      <c r="F9662" s="1" t="s">
        <v>14218</v>
      </c>
      <c r="G9662" s="1" t="s">
        <v>36</v>
      </c>
      <c r="H9662" s="1" t="s">
        <v>29</v>
      </c>
      <c r="I9662" s="1" t="str">
        <f ca="1">IFERROR(__xludf.DUMMYFUNCTION("GOOGLETRANSLATE(F9662, ""auto"", ""en"")
"),"wonderful phone: loud, color, caller ID, answering machine, what else do you need?! I really like it.")</f>
        <v>wonderful phone: loud, color, caller ID, answering machine, what else do you need?! I really like it.</v>
      </c>
    </row>
    <row r="9663" spans="1:9" x14ac:dyDescent="0.3">
      <c r="A9663" s="1" t="s">
        <v>43</v>
      </c>
      <c r="B9663" s="1" t="s">
        <v>44</v>
      </c>
      <c r="C9663" s="1" t="s">
        <v>101</v>
      </c>
      <c r="D9663" s="1" t="s">
        <v>14219</v>
      </c>
      <c r="E9663" s="1" t="s">
        <v>2298</v>
      </c>
      <c r="F9663" s="1" t="s">
        <v>14220</v>
      </c>
      <c r="G9663" s="1" t="s">
        <v>28</v>
      </c>
      <c r="H9663" s="1" t="s">
        <v>29</v>
      </c>
      <c r="I9663" s="1" t="str">
        <f ca="1">IFERROR(__xludf.DUMMYFUNCTION("GOOGLETRANSLATE(F9663, ""auto"", ""en"")
"),"Normal fan. It is no louder than others (I listened in the store). There is no need to modify anything with a knife, there are special grooves in the plugs, apparently not everyone just looks closely. It is made flimsily, but this is not a hindrance, ever"&amp;"ything was assembled quickly, nothing is wobbly, the buttons work without problems - in short, a normal wind blower.")</f>
        <v>Normal fan. It is no louder than others (I listened in the store). There is no need to modify anything with a knife, there are special grooves in the plugs, apparently not everyone just looks closely. It is made flimsily, but this is not a hindrance, everything was assembled quickly, nothing is wobbly, the buttons work without problems - in short, a normal wind blower.</v>
      </c>
    </row>
    <row r="9664" spans="1:9" x14ac:dyDescent="0.3">
      <c r="A9664" s="1" t="s">
        <v>61</v>
      </c>
      <c r="B9664" s="1" t="s">
        <v>318</v>
      </c>
      <c r="C9664" s="1" t="s">
        <v>101</v>
      </c>
      <c r="D9664" s="1" t="s">
        <v>12</v>
      </c>
      <c r="E9664" s="1" t="s">
        <v>1210</v>
      </c>
      <c r="F9664" s="1" t="s">
        <v>14221</v>
      </c>
      <c r="G9664" s="1" t="s">
        <v>36</v>
      </c>
      <c r="H9664" s="1" t="s">
        <v>29</v>
      </c>
      <c r="I9664" s="1" t="str">
        <f ca="1">IFERROR(__xludf.DUMMYFUNCTION("GOOGLETRANSLATE(F9664, ""auto"", ""en"")
"),"I liked the kettle, it doesn’t make much noise, it heats up quickly, the handle is comfortable, it’s light weight.")</f>
        <v>I liked the kettle, it doesn’t make much noise, it heats up quickly, the handle is comfortable, it’s light weight.</v>
      </c>
    </row>
    <row r="9665" spans="1:9" x14ac:dyDescent="0.3">
      <c r="A9665" s="1" t="s">
        <v>105</v>
      </c>
      <c r="B9665" s="1" t="s">
        <v>106</v>
      </c>
      <c r="C9665" s="1" t="s">
        <v>107</v>
      </c>
      <c r="D9665" s="1" t="s">
        <v>749</v>
      </c>
      <c r="E9665" s="1" t="s">
        <v>2686</v>
      </c>
      <c r="F9665" s="1" t="s">
        <v>14222</v>
      </c>
      <c r="G9665" s="1" t="s">
        <v>36</v>
      </c>
      <c r="H9665" s="1" t="s">
        <v>29</v>
      </c>
      <c r="I9665" s="1" t="str">
        <f ca="1">IFERROR(__xludf.DUMMYFUNCTION("GOOGLETRANSLATE(F9665, ""auto"", ""en"")
"),"cool player, buy it and you won’t regret it, it’s convenient, simple, it will appeal to both those who just listen to music and those who need something more. But keep in mind there is no clock(!) and who can help, my player did not turn on after pressing"&amp;" Reset.")</f>
        <v>cool player, buy it and you won’t regret it, it’s convenient, simple, it will appeal to both those who just listen to music and those who need something more. But keep in mind there is no clock(!) and who can help, my player did not turn on after pressing Reset.</v>
      </c>
    </row>
    <row r="9666" spans="1:9" x14ac:dyDescent="0.3">
      <c r="A9666" s="1" t="s">
        <v>211</v>
      </c>
      <c r="B9666" s="1" t="s">
        <v>410</v>
      </c>
      <c r="C9666" s="1" t="s">
        <v>122</v>
      </c>
      <c r="D9666" s="1" t="s">
        <v>86</v>
      </c>
      <c r="E9666" s="1" t="s">
        <v>3002</v>
      </c>
      <c r="F9666" s="1" t="s">
        <v>14223</v>
      </c>
      <c r="G9666" s="1" t="s">
        <v>49</v>
      </c>
      <c r="H9666" s="1" t="s">
        <v>16</v>
      </c>
      <c r="I9666" s="1" t="str">
        <f ca="1">IFERROR(__xludf.DUMMYFUNCTION("GOOGLETRANSLATE(F9666, ""auto"", ""en"")
"),"I regret that I bought it, it's a waste of money.  You've been shaving for half an hour, but there's no point. Missed shaving. Leaves a lot of hairs. It turns out to be a shave like a person with lichen. Both wet and dry are the same. In general, I don’t "&amp;"recommend it.")</f>
        <v>I regret that I bought it, it's a waste of money.  You've been shaving for half an hour, but there's no point. Missed shaving. Leaves a lot of hairs. It turns out to be a shave like a person with lichen. Both wet and dry are the same. In general, I don’t recommend it.</v>
      </c>
    </row>
    <row r="9667" spans="1:9" x14ac:dyDescent="0.3">
      <c r="A9667" s="1" t="s">
        <v>1823</v>
      </c>
      <c r="B9667" s="1" t="s">
        <v>7549</v>
      </c>
      <c r="C9667" s="1" t="s">
        <v>1825</v>
      </c>
      <c r="D9667" s="1" t="s">
        <v>14224</v>
      </c>
      <c r="E9667" s="1" t="s">
        <v>484</v>
      </c>
      <c r="F9667" s="1" t="s">
        <v>14225</v>
      </c>
      <c r="G9667" s="1" t="s">
        <v>36</v>
      </c>
      <c r="H9667" s="1" t="s">
        <v>29</v>
      </c>
      <c r="I9667" s="1" t="str">
        <f ca="1">IFERROR(__xludf.DUMMYFUNCTION("GOOGLETRANSLATE(F9667, ""auto"", ""en"")
"),"It seems that drying is a thing on which you can and should save money, well, what could be special about it?? But look at this one, it has several significant differences from all its cheaper analogues. Firstly, it “stands straight” on its legs, they do "&amp;"not cross. Secondly, it has plastic protective parts and the legs have a stupor in the direction of unfolding. Thirdly, wheels are built into the legs, and even if you are drying up to 20 kg of laundry it can be easily moved indoors. Fourthly, it is equip"&amp;"ped with wonderful detachable “ears” that can be adapted to the battery if intensive drying is needed or the amount of laundry is small. And, lastly, there is a clip on which it closes, preventing it from falling apart during storage. It’s just a dream!!!")</f>
        <v>It seems that drying is a thing on which you can and should save money, well, what could be special about it?? But look at this one, it has several significant differences from all its cheaper analogues. Firstly, it “stands straight” on its legs, they do not cross. Secondly, it has plastic protective parts and the legs have a stupor in the direction of unfolding. Thirdly, wheels are built into the legs, and even if you are drying up to 20 kg of laundry it can be easily moved indoors. Fourthly, it is equipped with wonderful detachable “ears” that can be adapted to the battery if intensive drying is needed or the amount of laundry is small. And, lastly, there is a clip on which it closes, preventing it from falling apart during storage. It’s just a dream!!!</v>
      </c>
    </row>
    <row r="9668" spans="1:9" x14ac:dyDescent="0.3">
      <c r="A9668" s="1" t="s">
        <v>55</v>
      </c>
      <c r="B9668" s="1" t="s">
        <v>184</v>
      </c>
      <c r="C9668" s="1" t="s">
        <v>57</v>
      </c>
      <c r="D9668" s="1" t="s">
        <v>39</v>
      </c>
      <c r="E9668" s="1" t="s">
        <v>603</v>
      </c>
      <c r="F9668" s="1" t="s">
        <v>14226</v>
      </c>
      <c r="G9668" s="1" t="s">
        <v>15</v>
      </c>
      <c r="H9668" s="1" t="s">
        <v>16</v>
      </c>
      <c r="I9668" s="1" t="str">
        <f ca="1">IFERROR(__xludf.DUMMYFUNCTION("GOOGLETRANSLATE(F9668, ""auto"", ""en"")
"),"Smelly plastic. The rear dust filter smells especially strongly.  I wanted to put it at work, but with such a stink in the room there is no place for it.  “I got burned” for 24 hours, of course it didn’t help, if the plastic is smelly, then the stench won"&amp;"’t go away.")</f>
        <v>Smelly plastic. The rear dust filter smells especially strongly.  I wanted to put it at work, but with such a stink in the room there is no place for it.  “I got burned” for 24 hours, of course it didn’t help, if the plastic is smelly, then the stench won’t go away.</v>
      </c>
    </row>
    <row r="9669" spans="1:9" x14ac:dyDescent="0.3">
      <c r="A9669" s="1" t="s">
        <v>1443</v>
      </c>
      <c r="B9669" s="1" t="s">
        <v>1444</v>
      </c>
      <c r="C9669" s="1" t="s">
        <v>1489</v>
      </c>
      <c r="D9669" s="1" t="s">
        <v>52</v>
      </c>
      <c r="E9669" s="1" t="s">
        <v>14227</v>
      </c>
      <c r="F9669" s="1" t="s">
        <v>14228</v>
      </c>
      <c r="G9669" s="1" t="s">
        <v>15</v>
      </c>
      <c r="H9669" s="1" t="s">
        <v>16</v>
      </c>
      <c r="I9669" s="1" t="str">
        <f ca="1">IFERROR(__xludf.DUMMYFUNCTION("GOOGLETRANSLATE(F9669, ""auto"", ""en"")
"),"What money - such a product. The recording speed is terrible!!! The file is 2.53 gigabytes, it takes 6 minutes to write on it!!! It's better not to record large files on it!!!! You can use music or photos. The only good thing is the capacity of the flash "&amp;"drive!!!")</f>
        <v>What money - such a product. The recording speed is terrible!!! The file is 2.53 gigabytes, it takes 6 minutes to write on it!!! It's better not to record large files on it!!!! You can use music or photos. The only good thing is the capacity of the flash drive!!!</v>
      </c>
    </row>
    <row r="9670" spans="1:9" x14ac:dyDescent="0.3">
      <c r="A9670" s="1" t="s">
        <v>369</v>
      </c>
      <c r="B9670" s="1" t="s">
        <v>587</v>
      </c>
      <c r="C9670" s="1" t="s">
        <v>290</v>
      </c>
      <c r="D9670" s="1" t="s">
        <v>152</v>
      </c>
      <c r="E9670" s="1" t="s">
        <v>6624</v>
      </c>
      <c r="F9670" s="1" t="s">
        <v>14229</v>
      </c>
      <c r="G9670" s="1" t="s">
        <v>36</v>
      </c>
      <c r="H9670" s="1" t="s">
        <v>29</v>
      </c>
      <c r="I9670" s="1" t="str">
        <f ca="1">IFERROR(__xludf.DUMMYFUNCTION("GOOGLETRANSLATE(F9670, ""auto"", ""en"")
"),"We’ve been using it for a year now, everything is good as far as cooking is concerned, the grill cooks it with a bang in 10 minutes) everything is good except for the Protein, what they cover them with, it’s very difficult to wash even after washing it in"&amp;" the dishwasher after several times, very small droplets of stuck fat still remain. The timer is extremely quiet, yes, but this timer has a convenient function to turn off the oven or burners.")</f>
        <v>We’ve been using it for a year now, everything is good as far as cooking is concerned, the grill cooks it with a bang in 10 minutes) everything is good except for the Protein, what they cover them with, it’s very difficult to wash even after washing it in the dishwasher after several times, very small droplets of stuck fat still remain. The timer is extremely quiet, yes, but this timer has a convenient function to turn off the oven or burners.</v>
      </c>
    </row>
    <row r="9671" spans="1:9" x14ac:dyDescent="0.3">
      <c r="A9671" s="1" t="s">
        <v>120</v>
      </c>
      <c r="B9671" s="1" t="s">
        <v>121</v>
      </c>
      <c r="C9671" s="1" t="s">
        <v>80</v>
      </c>
      <c r="D9671" s="1" t="s">
        <v>139</v>
      </c>
      <c r="E9671" s="1" t="s">
        <v>2383</v>
      </c>
      <c r="F9671" s="1" t="s">
        <v>14230</v>
      </c>
      <c r="G9671" s="1" t="s">
        <v>28</v>
      </c>
      <c r="H9671" s="1" t="s">
        <v>29</v>
      </c>
      <c r="I9671" s="1" t="str">
        <f ca="1">IFERROR(__xludf.DUMMYFUNCTION("GOOGLETRANSLATE(F9671, ""auto"", ""en"")
"),"When connecting a hard drive (320GB) with power, it gives an error connecting a Usb device. A hard USB without power (from a laptop) does not produce any messages at all. I only identified a regular 512MB flash drive and the program opened to play files f"&amp;"rom the media. Does anyone know what size flash drives this model supports? And is there any way to connect an external hard drive with its own power supply?")</f>
        <v>When connecting a hard drive (320GB) with power, it gives an error connecting a Usb device. A hard USB without power (from a laptop) does not produce any messages at all. I only identified a regular 512MB flash drive and the program opened to play files from the media. Does anyone know what size flash drives this model supports? And is there any way to connect an external hard drive with its own power supply?</v>
      </c>
    </row>
    <row r="9672" spans="1:9" x14ac:dyDescent="0.3">
      <c r="A9672" s="1" t="s">
        <v>9</v>
      </c>
      <c r="B9672" s="1" t="s">
        <v>10</v>
      </c>
      <c r="C9672" s="1" t="s">
        <v>407</v>
      </c>
      <c r="D9672" s="1" t="s">
        <v>14231</v>
      </c>
      <c r="E9672" s="1" t="s">
        <v>3076</v>
      </c>
      <c r="F9672" s="1" t="s">
        <v>14232</v>
      </c>
      <c r="G9672" s="1" t="s">
        <v>36</v>
      </c>
      <c r="H9672" s="1" t="s">
        <v>29</v>
      </c>
      <c r="I9672" s="1" t="str">
        <f ca="1">IFERROR(__xludf.DUMMYFUNCTION("GOOGLETRANSLATE(F9672, ""auto"", ""en"")
"),"We bought a hood so that it would simply pull smoke out of our kitchen, otherwise my husband smokes all the time, this terribly interferes with my ability to adequately cook anything.. Therefore, we didn’t look for any bells and whistles, but for the most"&amp;" ordinary one, the main thing is that it works adequately. This model, of course, was attractive due to its price, it looks good compared to others, so we bought it. In principle, we don’t regret it, because even the second speed is enough for all this sm"&amp;"oking smoke to go nowhere. I calmly cook for myself, and after cooking, of course, I turn it on, and there are no smells left from the food I prepared. In principle, the thing turned out to be convenient.")</f>
        <v>We bought a hood so that it would simply pull smoke out of our kitchen, otherwise my husband smokes all the time, this terribly interferes with my ability to adequately cook anything.. Therefore, we didn’t look for any bells and whistles, but for the most ordinary one, the main thing is that it works adequately. This model, of course, was attractive due to its price, it looks good compared to others, so we bought it. In principle, we don’t regret it, because even the second speed is enough for all this smoking smoke to go nowhere. I calmly cook for myself, and after cooking, of course, I turn it on, and there are no smells left from the food I prepared. In principle, the thing turned out to be convenient.</v>
      </c>
    </row>
    <row r="9673" spans="1:9" x14ac:dyDescent="0.3">
      <c r="A9673" s="1" t="s">
        <v>211</v>
      </c>
      <c r="B9673" s="1" t="s">
        <v>212</v>
      </c>
      <c r="C9673" s="1" t="s">
        <v>63</v>
      </c>
      <c r="D9673" s="1" t="s">
        <v>75</v>
      </c>
      <c r="E9673" s="1" t="s">
        <v>14233</v>
      </c>
      <c r="F9673" s="1" t="s">
        <v>14234</v>
      </c>
      <c r="G9673" s="1" t="s">
        <v>15</v>
      </c>
      <c r="H9673" s="1" t="s">
        <v>16</v>
      </c>
      <c r="I9673" s="1" t="str">
        <f ca="1">IFERROR(__xludf.DUMMYFUNCTION("GOOGLETRANSLATE(F9673, ""auto"", ""en"")
"),"It brought me joy for the first 8 months... Then the attachments all melted during drying, the air was blowing so much that my hair was smoking (((If you dry it for more than 2 minutes and turn it off, it will turn on again only after 10 minutes... I regr"&amp;"etted that I took this hair dryer...")</f>
        <v>It brought me joy for the first 8 months... Then the attachments all melted during drying, the air was blowing so much that my hair was smoking (((If you dry it for more than 2 minutes and turn it off, it will turn on again only after 10 minutes... I regretted that I took this hair dryer...</v>
      </c>
    </row>
    <row r="9674" spans="1:9" x14ac:dyDescent="0.3">
      <c r="A9674" s="1" t="s">
        <v>105</v>
      </c>
      <c r="B9674" s="1" t="s">
        <v>106</v>
      </c>
      <c r="C9674" s="1" t="s">
        <v>1209</v>
      </c>
      <c r="D9674" s="1" t="s">
        <v>14235</v>
      </c>
      <c r="E9674" s="1" t="s">
        <v>1826</v>
      </c>
      <c r="F9674" s="1" t="s">
        <v>14236</v>
      </c>
      <c r="G9674" s="1" t="s">
        <v>36</v>
      </c>
      <c r="H9674" s="1" t="s">
        <v>29</v>
      </c>
      <c r="I9674" s="1" t="str">
        <f ca="1">IFERROR(__xludf.DUMMYFUNCTION("GOOGLETRANSLATE(F9674, ""auto"", ""en"")
"),"I bought this player and... I was just in heaven with such happiness, everything was perfect. Many people write that the headphone jack breaks. This is wrong. If you pull it out carelessly, it will naturally break. You need to be careful with things and e"&amp;"verything will be OK!")</f>
        <v>I bought this player and... I was just in heaven with such happiness, everything was perfect. Many people write that the headphone jack breaks. This is wrong. If you pull it out carelessly, it will naturally break. You need to be careful with things and everything will be OK!</v>
      </c>
    </row>
    <row r="9675" spans="1:9" x14ac:dyDescent="0.3">
      <c r="A9675" s="1" t="s">
        <v>211</v>
      </c>
      <c r="B9675" s="1" t="s">
        <v>212</v>
      </c>
      <c r="C9675" s="1" t="s">
        <v>69</v>
      </c>
      <c r="D9675" s="1" t="s">
        <v>247</v>
      </c>
      <c r="E9675" s="1" t="s">
        <v>13161</v>
      </c>
      <c r="F9675" s="1" t="s">
        <v>14237</v>
      </c>
      <c r="G9675" s="1" t="s">
        <v>36</v>
      </c>
      <c r="H9675" s="1" t="s">
        <v>29</v>
      </c>
      <c r="I9675" s="1" t="str">
        <f ca="1">IFERROR(__xludf.DUMMYFUNCTION("GOOGLETRANSLATE(F9675, ""auto"", ""en"")
"),"Today I bought a hair dryer at a discount. I'm satisfied with the quality. Dries well!!! I recommend")</f>
        <v>Today I bought a hair dryer at a discount. I'm satisfied with the quality. Dries well!!! I recommend</v>
      </c>
    </row>
    <row r="9676" spans="1:9" x14ac:dyDescent="0.3">
      <c r="A9676" s="1" t="s">
        <v>43</v>
      </c>
      <c r="B9676" s="1" t="s">
        <v>1370</v>
      </c>
      <c r="C9676" s="1" t="s">
        <v>2137</v>
      </c>
      <c r="D9676" s="1" t="s">
        <v>14238</v>
      </c>
      <c r="E9676" s="1" t="s">
        <v>1005</v>
      </c>
      <c r="F9676" s="1" t="s">
        <v>14239</v>
      </c>
      <c r="G9676" s="1" t="s">
        <v>36</v>
      </c>
      <c r="H9676" s="1" t="s">
        <v>29</v>
      </c>
      <c r="I9676" s="1" t="str">
        <f ca="1">IFERROR(__xludf.DUMMYFUNCTION("GOOGLETRANSLATE(F9676, ""auto"", ""en"")
"),"We bought a water heater at the beginning of August. They connected the house and carried out successful tests. I use it actively and am very pleased with the purchase. We don’t turn it on at full power; 3 kW is enough, with average water pressure. both t"&amp;"he faucet and shower work well. But we must take into account that in addition to the water heater, you will also need to buy a hose and a faucet, as well as fasteners. If connected correctly, everything will work fine.")</f>
        <v>We bought a water heater at the beginning of August. They connected the house and carried out successful tests. I use it actively and am very pleased with the purchase. We don’t turn it on at full power; 3 kW is enough, with average water pressure. both the faucet and shower work well. But we must take into account that in addition to the water heater, you will also need to buy a hose and a faucet, as well as fasteners. If connected correctly, everything will work fine.</v>
      </c>
    </row>
    <row r="9677" spans="1:9" x14ac:dyDescent="0.3">
      <c r="A9677" s="1" t="s">
        <v>17</v>
      </c>
      <c r="B9677" s="1" t="s">
        <v>18</v>
      </c>
      <c r="C9677" s="1" t="s">
        <v>151</v>
      </c>
      <c r="D9677" s="1" t="s">
        <v>14240</v>
      </c>
      <c r="E9677" s="1" t="s">
        <v>5585</v>
      </c>
      <c r="F9677" s="1" t="s">
        <v>14241</v>
      </c>
      <c r="G9677" s="1" t="s">
        <v>36</v>
      </c>
      <c r="H9677" s="1" t="s">
        <v>29</v>
      </c>
      <c r="I9677" s="1" t="str">
        <f ca="1">IFERROR(__xludf.DUMMYFUNCTION("GOOGLETRANSLATE(F9677, ""auto"", ""en"")
"),"I've used washing machines, I've eaten a dog, and more than one. This model blew my mind.  1)Easy to use, everything is clear on the panel.  2) It doesn’t make much noise (if you don’t wash it at night if you have a day-night electric meter).  3) If you w"&amp;"ash the bra (not in a special case), then the bone will not get stuck in the drum hole and will not scrape the heating element, which is what is good about the honeycomb drum.  4) I even wash nylon tights in it, they don’t get tangled or tied in a knot.  "&amp;" 5) There are no additional functions in it that no one needs, you just have to pay extra. 6) It rinses very well, don’t use it to save water, spend more water on additional rinsing so that white streaks don’t remain on things. I wash with powder without "&amp;"colored granules, sometimes with white or domestos, primitively, but it still works. And remember, this is a washing machine, not a dry cleaner.")</f>
        <v>I've used washing machines, I've eaten a dog, and more than one. This model blew my mind.  1)Easy to use, everything is clear on the panel.  2) It doesn’t make much noise (if you don’t wash it at night if you have a day-night electric meter).  3) If you wash the bra (not in a special case), then the bone will not get stuck in the drum hole and will not scrape the heating element, which is what is good about the honeycomb drum.  4) I even wash nylon tights in it, they don’t get tangled or tied in a knot.   5) There are no additional functions in it that no one needs, you just have to pay extra. 6) It rinses very well, don’t use it to save water, spend more water on additional rinsing so that white streaks don’t remain on things. I wash with powder without colored granules, sometimes with white or domestos, primitively, but it still works. And remember, this is a washing machine, not a dry cleaner.</v>
      </c>
    </row>
    <row r="9678" spans="1:9" x14ac:dyDescent="0.3">
      <c r="A9678" s="1" t="s">
        <v>61</v>
      </c>
      <c r="B9678" s="1" t="s">
        <v>73</v>
      </c>
      <c r="C9678" s="1" t="s">
        <v>146</v>
      </c>
      <c r="D9678" s="1" t="s">
        <v>208</v>
      </c>
      <c r="E9678" s="1" t="s">
        <v>6703</v>
      </c>
      <c r="F9678" s="1" t="s">
        <v>14242</v>
      </c>
      <c r="G9678" s="1" t="s">
        <v>15</v>
      </c>
      <c r="H9678" s="1" t="s">
        <v>16</v>
      </c>
      <c r="I9678" s="1" t="str">
        <f ca="1">IFERROR(__xludf.DUMMYFUNCTION("GOOGLETRANSLATE(F9678, ""auto"", ""en"")
"),"I bought one for myself a couple of years ago. As a meat grinder it is normal, if not a few but. Firstly, the assembly is not very good (the gaps between the housing and the rotor in my case). When you start to “twist” fish, minced meat, in general, anyth"&amp;"ing that contains water or juice, liquid flows into these cracks and gets on the electrics - this is not safe. I had to send it in for repairs after another portion of dumplings. There, the rusty parts were replaced, but they could not eliminate the gap. "&amp;"I had to seal it with tape and now it works fine. The noise is simply terrible... After work, my ears ring for a long time, it is better to use earplugs. The reverse button is not in a very convenient place. The fastening of the metal part of the meat gri"&amp;"nder to the body is not successful (it is tightened with a bolt with a large head and that’s it - it can be seen in the picture). I think the mounting could have been done better. In general, there is little “pleasure” from it, another thing is that when "&amp;"I was choosing, I didn’t find anything better. They are all kind of meat grinders with common “problems”.")</f>
        <v>I bought one for myself a couple of years ago. As a meat grinder it is normal, if not a few but. Firstly, the assembly is not very good (the gaps between the housing and the rotor in my case). When you start to “twist” fish, minced meat, in general, anything that contains water or juice, liquid flows into these cracks and gets on the electrics - this is not safe. I had to send it in for repairs after another portion of dumplings. There, the rusty parts were replaced, but they could not eliminate the gap. I had to seal it with tape and now it works fine. The noise is simply terrible... After work, my ears ring for a long time, it is better to use earplugs. The reverse button is not in a very convenient place. The fastening of the metal part of the meat grinder to the body is not successful (it is tightened with a bolt with a large head and that’s it - it can be seen in the picture). I think the mounting could have been done better. In general, there is little “pleasure” from it, another thing is that when I was choosing, I didn’t find anything better. They are all kind of meat grinders with common “problems”.</v>
      </c>
    </row>
    <row r="9679" spans="1:9" x14ac:dyDescent="0.3">
      <c r="A9679" s="1" t="s">
        <v>37</v>
      </c>
      <c r="B9679" s="1" t="s">
        <v>536</v>
      </c>
      <c r="C9679" s="1" t="s">
        <v>32</v>
      </c>
      <c r="D9679" s="1" t="s">
        <v>280</v>
      </c>
      <c r="E9679" s="1" t="s">
        <v>937</v>
      </c>
      <c r="F9679" s="1" t="s">
        <v>14243</v>
      </c>
      <c r="G9679" s="1" t="s">
        <v>36</v>
      </c>
      <c r="H9679" s="1" t="s">
        <v>29</v>
      </c>
      <c r="I9679" s="1" t="str">
        <f ca="1">IFERROR(__xludf.DUMMYFUNCTION("GOOGLETRANSLATE(F9679, ""auto"", ""en"")
"),"Well, finally this device appeared in the m-video :) a very interesting specimen. We are waiting for the price to drop!!!))")</f>
        <v>Well, finally this device appeared in the m-video :) a very interesting specimen. We are waiting for the price to drop!!!))</v>
      </c>
    </row>
    <row r="9680" spans="1:9" x14ac:dyDescent="0.3">
      <c r="A9680" s="1" t="s">
        <v>30</v>
      </c>
      <c r="B9680" s="1" t="s">
        <v>50</v>
      </c>
      <c r="C9680" s="1" t="s">
        <v>32</v>
      </c>
      <c r="D9680" s="1" t="s">
        <v>172</v>
      </c>
      <c r="E9680" s="1" t="s">
        <v>288</v>
      </c>
      <c r="F9680" s="1" t="s">
        <v>14244</v>
      </c>
      <c r="G9680" s="1" t="s">
        <v>28</v>
      </c>
      <c r="H9680" s="1" t="s">
        <v>29</v>
      </c>
      <c r="I9680" s="1" t="str">
        <f ca="1">IFERROR(__xludf.DUMMYFUNCTION("GOOGLETRANSLATE(F9680, ""auto"", ""en"")
"),"Yesterday I bought it, so far the only criticism I can voice is the frankly cheap quality of the materials, on the other hand, it’s simply impossible to expect even very good performance from a laptop for this money. As a friend noted after the purchase, "&amp;"“This is a purchase dictated by the mind and not the heart.” The keyboard is comfortable, the performance has not yet caused any complaints (the games are not bad)), it doesn’t make much noise, it doesn’t get hot. Also, one of the obvious disadvantages is"&amp;" the very quiet sound of standard speakers, the absence of a microphone and a webcam, in my opinion, not everyone will notice. In short, a solid 4+.")</f>
        <v>Yesterday I bought it, so far the only criticism I can voice is the frankly cheap quality of the materials, on the other hand, it’s simply impossible to expect even very good performance from a laptop for this money. As a friend noted after the purchase, “This is a purchase dictated by the mind and not the heart.” The keyboard is comfortable, the performance has not yet caused any complaints (the games are not bad)), it doesn’t make much noise, it doesn’t get hot. Also, one of the obvious disadvantages is the very quiet sound of standard speakers, the absence of a microphone and a webcam, in my opinion, not everyone will notice. In short, a solid 4+.</v>
      </c>
    </row>
    <row r="9681" spans="1:9" x14ac:dyDescent="0.3">
      <c r="A9681" s="1" t="s">
        <v>149</v>
      </c>
      <c r="B9681" s="1" t="s">
        <v>423</v>
      </c>
      <c r="C9681" s="1" t="s">
        <v>314</v>
      </c>
      <c r="D9681" s="1" t="s">
        <v>247</v>
      </c>
      <c r="E9681" s="1" t="s">
        <v>9101</v>
      </c>
      <c r="F9681" s="1" t="s">
        <v>14245</v>
      </c>
      <c r="G9681" s="1" t="s">
        <v>36</v>
      </c>
      <c r="H9681" s="1" t="s">
        <v>29</v>
      </c>
      <c r="I9681" s="1" t="str">
        <f ca="1">IFERROR(__xludf.DUMMYFUNCTION("GOOGLETRANSLATE(F9681, ""auto"", ""en"")
"),"Design, Aqua filter, Good power")</f>
        <v>Design, Aqua filter, Good power</v>
      </c>
    </row>
    <row r="9682" spans="1:9" x14ac:dyDescent="0.3">
      <c r="A9682" s="1" t="s">
        <v>37</v>
      </c>
      <c r="B9682" s="1" t="s">
        <v>38</v>
      </c>
      <c r="C9682" s="1" t="s">
        <v>163</v>
      </c>
      <c r="D9682" s="1" t="s">
        <v>1147</v>
      </c>
      <c r="E9682" s="1" t="s">
        <v>1172</v>
      </c>
      <c r="F9682" s="1" t="s">
        <v>14246</v>
      </c>
      <c r="G9682" s="1" t="s">
        <v>36</v>
      </c>
      <c r="H9682" s="1" t="s">
        <v>29</v>
      </c>
      <c r="I9682" s="1" t="str">
        <f ca="1">IFERROR(__xludf.DUMMYFUNCTION("GOOGLETRANSLATE(F9682, ""auto"", ""en"")
"),"I’m very pleased. I was convinced from my last smartphone that I simply don’t need many options or don’t need them that often.  Therefore - only Nokia 3720 Gray.)) Compact, lightweight. It has everything I need. Without frills and unnecessary decorations."&amp;" With the Internet, music, good polyphony... and so on... I recommend it.")</f>
        <v>I’m very pleased. I was convinced from my last smartphone that I simply don’t need many options or don’t need them that often.  Therefore - only Nokia 3720 Gray.)) Compact, lightweight. It has everything I need. Without frills and unnecessary decorations. With the Internet, music, good polyphony... and so on... I recommend it.</v>
      </c>
    </row>
    <row r="9683" spans="1:9" x14ac:dyDescent="0.3">
      <c r="A9683" s="1" t="s">
        <v>211</v>
      </c>
      <c r="B9683" s="1" t="s">
        <v>265</v>
      </c>
      <c r="C9683" s="1" t="s">
        <v>122</v>
      </c>
      <c r="D9683" s="1" t="s">
        <v>308</v>
      </c>
      <c r="E9683" s="1" t="s">
        <v>4089</v>
      </c>
      <c r="F9683" s="1" t="s">
        <v>14247</v>
      </c>
      <c r="G9683" s="1" t="s">
        <v>36</v>
      </c>
      <c r="H9683" s="1" t="s">
        <v>29</v>
      </c>
      <c r="I9683" s="1" t="str">
        <f ca="1">IFERROR(__xludf.DUMMYFUNCTION("GOOGLETRANSLATE(F9683, ""auto"", ""en"")
"),"simple, easy to use, bought it for my husband, does the job")</f>
        <v>simple, easy to use, bought it for my husband, does the job</v>
      </c>
    </row>
    <row r="9684" spans="1:9" x14ac:dyDescent="0.3">
      <c r="A9684" s="1" t="s">
        <v>211</v>
      </c>
      <c r="B9684" s="1" t="s">
        <v>410</v>
      </c>
      <c r="C9684" s="1" t="s">
        <v>213</v>
      </c>
      <c r="D9684" s="1" t="s">
        <v>308</v>
      </c>
      <c r="E9684" s="1" t="s">
        <v>7855</v>
      </c>
      <c r="F9684" s="1" t="s">
        <v>14248</v>
      </c>
      <c r="G9684" s="1" t="s">
        <v>36</v>
      </c>
      <c r="H9684" s="1" t="s">
        <v>29</v>
      </c>
      <c r="I9684" s="1" t="str">
        <f ca="1">IFERROR(__xludf.DUMMYFUNCTION("GOOGLETRANSLATE(F9684, ""auto"", ""en"")
"),"Gave it to my son on February 23rd. Bought on sale. My son is very happy, shaves clean, no irritation. There is a trimmer for shaving temples and neck. Beautiful and convenient design. The razor can be cleaned under running water. The set includes a razor"&amp;" case. Very happy with the purchase.")</f>
        <v>Gave it to my son on February 23rd. Bought on sale. My son is very happy, shaves clean, no irritation. There is a trimmer for shaving temples and neck. Beautiful and convenient design. The razor can be cleaned under running water. The set includes a razor case. Very happy with the purchase.</v>
      </c>
    </row>
    <row r="9685" spans="1:9" x14ac:dyDescent="0.3">
      <c r="A9685" s="1" t="s">
        <v>43</v>
      </c>
      <c r="B9685" s="1" t="s">
        <v>303</v>
      </c>
      <c r="C9685" s="1" t="s">
        <v>665</v>
      </c>
      <c r="D9685" s="1" t="s">
        <v>420</v>
      </c>
      <c r="E9685" s="1" t="s">
        <v>14249</v>
      </c>
      <c r="F9685" s="1" t="s">
        <v>14250</v>
      </c>
      <c r="G9685" s="1" t="s">
        <v>36</v>
      </c>
      <c r="H9685" s="1" t="s">
        <v>29</v>
      </c>
      <c r="I9685" s="1" t="str">
        <f ca="1">IFERROR(__xludf.DUMMYFUNCTION("GOOGLETRANSLATE(F9685, ""auto"", ""en"")
"),"I've been using it for over a year and I'm happy with it. Cons. 1.Hardly suitable for a large family (30 l). 2. There is a risk of connecting to standard aluminum wiring with a cross-section of 2.5 mm2 (it can get burned if more consumers are connected at"&amp;" the same time). 3.Retail price has been raised. Pros. 1. Very fast heating - after 10 minutes you can already use warm water (according to the passport, full heating is 40 minutes - super). 2. An enameled tank will outperform many stainless steel ones (p"&amp;"oor quality of welds and savings on metal thickness). 3. Very good thermal insulation - when idle, the temperature drops slowly. Despite the power of the heating element being 2.5 kW, it turned out to be quite economical. 4. You can fill the bath - the ou"&amp;"tput is about 70 liters of warm water. After 15 minutes, the water has time to heat up for rinsing. 5.Good design + equipment.")</f>
        <v>I've been using it for over a year and I'm happy with it. Cons. 1.Hardly suitable for a large family (30 l). 2. There is a risk of connecting to standard aluminum wiring with a cross-section of 2.5 mm2 (it can get burned if more consumers are connected at the same time). 3.Retail price has been raised. Pros. 1. Very fast heating - after 10 minutes you can already use warm water (according to the passport, full heating is 40 minutes - super). 2. An enameled tank will outperform many stainless steel ones (poor quality of welds and savings on metal thickness). 3. Very good thermal insulation - when idle, the temperature drops slowly. Despite the power of the heating element being 2.5 kW, it turned out to be quite economical. 4. You can fill the bath - the output is about 70 liters of warm water. After 15 minutes, the water has time to heat up for rinsing. 5.Good design + equipment.</v>
      </c>
    </row>
    <row r="9686" spans="1:9" x14ac:dyDescent="0.3">
      <c r="A9686" s="1" t="s">
        <v>149</v>
      </c>
      <c r="B9686" s="1" t="s">
        <v>155</v>
      </c>
      <c r="C9686" s="1" t="s">
        <v>159</v>
      </c>
      <c r="D9686" s="1" t="s">
        <v>592</v>
      </c>
      <c r="E9686" s="1" t="s">
        <v>1875</v>
      </c>
      <c r="F9686" s="1" t="s">
        <v>14251</v>
      </c>
      <c r="G9686" s="1" t="s">
        <v>36</v>
      </c>
      <c r="H9686" s="1" t="s">
        <v>29</v>
      </c>
      <c r="I9686" s="1" t="str">
        <f ca="1">IFERROR(__xludf.DUMMYFUNCTION("GOOGLETRANSLATE(F9686, ""auto"", ""en"")
"),"I bought an Electrolux vacuum cleaner on a promotion, and there was also a bonus of 200 rubles, so it cost 4,200 rubles. I have long wanted to replace my old vacuum cleaner with a bag with a new one with a container. Heaven and earth! Now the cleaning pro"&amp;"cess is a pleasant and easy process. The power is high, so it sucks up plenty of dust. The container is easy to clean. And you don’t need to wash it after every cleaning. The output filter is washable, this is a serious advantage (in most vacuum cleaners "&amp;"it is replaceable).  So I recommend it to everyone!")</f>
        <v>I bought an Electrolux vacuum cleaner on a promotion, and there was also a bonus of 200 rubles, so it cost 4,200 rubles. I have long wanted to replace my old vacuum cleaner with a bag with a new one with a container. Heaven and earth! Now the cleaning process is a pleasant and easy process. The power is high, so it sucks up plenty of dust. The container is easy to clean. And you don’t need to wash it after every cleaning. The output filter is washable, this is a serious advantage (in most vacuum cleaners it is replaceable).  So I recommend it to everyone!</v>
      </c>
    </row>
    <row r="9687" spans="1:9" x14ac:dyDescent="0.3">
      <c r="A9687" s="1" t="s">
        <v>37</v>
      </c>
      <c r="B9687" s="1" t="s">
        <v>38</v>
      </c>
      <c r="C9687" s="1" t="s">
        <v>39</v>
      </c>
      <c r="D9687" s="1" t="s">
        <v>14252</v>
      </c>
      <c r="E9687" s="1" t="s">
        <v>1553</v>
      </c>
      <c r="F9687" s="1" t="s">
        <v>14253</v>
      </c>
      <c r="G9687" s="1" t="s">
        <v>15</v>
      </c>
      <c r="H9687" s="1" t="s">
        <v>16</v>
      </c>
      <c r="I9687" s="1" t="str">
        <f ca="1">IFERROR(__xludf.DUMMYFUNCTION("GOOGLETRANSLATE(F9687, ""auto"", ""en"")
"),"I haven't found any particular advantages yet. I've only been fiddling with it for three days.    Let's start with SMS. This bastard himself, without asking, decides whether your message will be SMS or MMS. You cannot edit received SMS, you cannot add it "&amp;"to templates, you can only forward it without editing. Apparently the creators were guided by the saying: “you can’t erase a word from a song.” There are no animated SMS emoticons that are familiar to me. A trifle, but disgusting! MMS emoticons are as sca"&amp;"ry as my life. I don’t know about others, but my contacts’ birthdays were added to the calendar the second or third time. Probably producers don’t like other people’s birthdays either. And finally, BLUETUS. In 54 minutes I transferred 11 files of 4.50 MB "&amp;"(4,724,639 bytes). What kind of speed is this anyway? Are you going to drive more quietly or what? Well, I won’t talk about the product being overcrowded with all sorts of tweeters and Facebooks. Poured from the heart. I don’t know, maybe someone needs it"&amp;", but I don’t.    Either I'm a fool and haven't learned how to use it properly yet. Or the phone is bad. K750i is much more convenient! Eh, I remember my mother telling me: “take the Samsung.”     I'll break down, I won't cry.")</f>
        <v>I haven't found any particular advantages yet. I've only been fiddling with it for three days.    Let's start with SMS. This bastard himself, without asking, decides whether your message will be SMS or MMS. You cannot edit received SMS, you cannot add it to templates, you can only forward it without editing. Apparently the creators were guided by the saying: “you can’t erase a word from a song.” There are no animated SMS emoticons that are familiar to me. A trifle, but disgusting! MMS emoticons are as scary as my life. I don’t know about others, but my contacts’ birthdays were added to the calendar the second or third time. Probably producers don’t like other people’s birthdays either. And finally, BLUETUS. In 54 minutes I transferred 11 files of 4.50 MB (4,724,639 bytes). What kind of speed is this anyway? Are you going to drive more quietly or what? Well, I won’t talk about the product being overcrowded with all sorts of tweeters and Facebooks. Poured from the heart. I don’t know, maybe someone needs it, but I don’t.    Either I'm a fool and haven't learned how to use it properly yet. Or the phone is bad. K750i is much more convenient! Eh, I remember my mother telling me: “take the Samsung.”     I'll break down, I won't cry.</v>
      </c>
    </row>
    <row r="9688" spans="1:9" x14ac:dyDescent="0.3">
      <c r="A9688" s="1" t="s">
        <v>211</v>
      </c>
      <c r="B9688" s="1" t="s">
        <v>212</v>
      </c>
      <c r="C9688" s="1" t="s">
        <v>294</v>
      </c>
      <c r="D9688" s="1" t="s">
        <v>1158</v>
      </c>
      <c r="E9688" s="1" t="s">
        <v>2325</v>
      </c>
      <c r="F9688" s="1" t="s">
        <v>14254</v>
      </c>
      <c r="G9688" s="1" t="s">
        <v>36</v>
      </c>
      <c r="H9688" s="1" t="s">
        <v>29</v>
      </c>
      <c r="I9688" s="1" t="str">
        <f ca="1">IFERROR(__xludf.DUMMYFUNCTION("GOOGLETRANSLATE(F9688, ""auto"", ""en"")
"),"I only buy this brand. The iron is super - it straightens efficiently, but in any case it burns the hair like any other.")</f>
        <v>I only buy this brand. The iron is super - it straightens efficiently, but in any case it burns the hair like any other.</v>
      </c>
    </row>
    <row r="9689" spans="1:9" x14ac:dyDescent="0.3">
      <c r="A9689" s="1" t="s">
        <v>120</v>
      </c>
      <c r="B9689" s="1" t="s">
        <v>121</v>
      </c>
      <c r="C9689" s="1" t="s">
        <v>151</v>
      </c>
      <c r="D9689" s="1" t="s">
        <v>916</v>
      </c>
      <c r="E9689" s="1" t="s">
        <v>7124</v>
      </c>
      <c r="F9689" s="1" t="s">
        <v>14255</v>
      </c>
      <c r="G9689" s="1" t="s">
        <v>36</v>
      </c>
      <c r="H9689" s="1" t="s">
        <v>29</v>
      </c>
      <c r="I9689" s="1" t="str">
        <f ca="1">IFERROR(__xludf.DUMMYFUNCTION("GOOGLETRANSLATE(F9689, ""auto"", ""en"")
"),"Excellent TV) I really liked it, the quality is good, the sound is nice, the USB port is really cool)")</f>
        <v>Excellent TV) I really liked it, the quality is good, the sound is nice, the USB port is really cool)</v>
      </c>
    </row>
    <row r="9690" spans="1:9" x14ac:dyDescent="0.3">
      <c r="A9690" s="1" t="s">
        <v>519</v>
      </c>
      <c r="B9690" s="1" t="s">
        <v>3212</v>
      </c>
      <c r="C9690" s="1" t="s">
        <v>561</v>
      </c>
      <c r="D9690" s="1" t="s">
        <v>247</v>
      </c>
      <c r="E9690" s="1" t="s">
        <v>1347</v>
      </c>
      <c r="F9690" s="1" t="s">
        <v>14256</v>
      </c>
      <c r="G9690" s="1" t="s">
        <v>36</v>
      </c>
      <c r="H9690" s="1" t="s">
        <v>29</v>
      </c>
      <c r="I9690" s="1" t="str">
        <f ca="1">IFERROR(__xludf.DUMMYFUNCTION("GOOGLETRANSLATE(F9690, ""auto"", ""en"")
"),"I bought it for myself, and then as a gift for my mother and friends, I recommend it to everyone, it’s easy to clean, doesn’t burn, cooks quickly in it, round pizza still tastes better))")</f>
        <v>I bought it for myself, and then as a gift for my mother and friends, I recommend it to everyone, it’s easy to clean, doesn’t burn, cooks quickly in it, round pizza still tastes better))</v>
      </c>
    </row>
    <row r="9691" spans="1:9" x14ac:dyDescent="0.3">
      <c r="A9691" s="1" t="s">
        <v>149</v>
      </c>
      <c r="B9691" s="1" t="s">
        <v>155</v>
      </c>
      <c r="C9691" s="1" t="s">
        <v>63</v>
      </c>
      <c r="D9691" s="1" t="s">
        <v>305</v>
      </c>
      <c r="E9691" s="1" t="s">
        <v>6557</v>
      </c>
      <c r="F9691" s="1" t="s">
        <v>14257</v>
      </c>
      <c r="G9691" s="1" t="s">
        <v>36</v>
      </c>
      <c r="H9691" s="1" t="s">
        <v>29</v>
      </c>
      <c r="I9691" s="1" t="str">
        <f ca="1">IFERROR(__xludf.DUMMYFUNCTION("GOOGLETRANSLATE(F9691, ""auto"", ""en"")
"),"I took the German Bosch because... The first vacuum cleaner with a container (about 8 years old, now works for my daughter) is wonderful. Calm, caring attitude. After each cleaning, you need to shake out the container and it is better to lightly rinse the"&amp;" microfilter in soapy water (for the smell). Just dip the Hepa filter in soapy water once a year and then be sure to dry it for at least a day. The vacuum cleaner is excellent, because... I have allergies, so I feel clean air when cleaning. The main thing"&amp;" is to take care of the vacuum cleaner. And everything will be okay.")</f>
        <v>I took the German Bosch because... The first vacuum cleaner with a container (about 8 years old, now works for my daughter) is wonderful. Calm, caring attitude. After each cleaning, you need to shake out the container and it is better to lightly rinse the microfilter in soapy water (for the smell). Just dip the Hepa filter in soapy water once a year and then be sure to dry it for at least a day. The vacuum cleaner is excellent, because... I have allergies, so I feel clean air when cleaning. The main thing is to take care of the vacuum cleaner. And everything will be okay.</v>
      </c>
    </row>
    <row r="9692" spans="1:9" x14ac:dyDescent="0.3">
      <c r="A9692" s="1" t="s">
        <v>149</v>
      </c>
      <c r="B9692" s="1" t="s">
        <v>150</v>
      </c>
      <c r="C9692" s="1" t="s">
        <v>57</v>
      </c>
      <c r="D9692" s="1" t="s">
        <v>742</v>
      </c>
      <c r="E9692" s="1" t="s">
        <v>109</v>
      </c>
      <c r="F9692" s="1" t="s">
        <v>14258</v>
      </c>
      <c r="G9692" s="1" t="s">
        <v>49</v>
      </c>
      <c r="H9692" s="1" t="s">
        <v>16</v>
      </c>
      <c r="I9692" s="1" t="str">
        <f ca="1">IFERROR(__xludf.DUMMYFUNCTION("GOOGLETRANSLATE(F9692, ""auto"", ""en"")
"),"I agree with Irina. I’ve never seen such a thing in my life. And it also turns out that the vacuum cleaner is not equipped with an aqua filter, but with water for air purification. water in it does not play the role of a filter - it can be compared in ter"&amp;"ms of the principle of operation with a vacuum cleaner without a dust bag, only the water removes the dust in it - but the very principle of an aquafilter is NOT in it! This is such a G...! Don't take it, it's a waste of money")</f>
        <v>I agree with Irina. I’ve never seen such a thing in my life. And it also turns out that the vacuum cleaner is not equipped with an aqua filter, but with water for air purification. water in it does not play the role of a filter - it can be compared in terms of the principle of operation with a vacuum cleaner without a dust bag, only the water removes the dust in it - but the very principle of an aquafilter is NOT in it! This is such a G...! Don't take it, it's a waste of money</v>
      </c>
    </row>
    <row r="9693" spans="1:9" x14ac:dyDescent="0.3">
      <c r="A9693" s="1" t="s">
        <v>105</v>
      </c>
      <c r="B9693" s="1" t="s">
        <v>106</v>
      </c>
      <c r="C9693" s="1" t="s">
        <v>1209</v>
      </c>
      <c r="D9693" s="1" t="s">
        <v>14259</v>
      </c>
      <c r="E9693" s="1" t="s">
        <v>1290</v>
      </c>
      <c r="F9693" s="1" t="s">
        <v>14260</v>
      </c>
      <c r="G9693" s="1" t="s">
        <v>36</v>
      </c>
      <c r="H9693" s="1" t="s">
        <v>29</v>
      </c>
      <c r="I9693" s="1" t="str">
        <f ca="1">IFERROR(__xludf.DUMMYFUNCTION("GOOGLETRANSLATE(F9693, ""auto"", ""en"")
"),"The sound of the M5 is simply inimitable! Besides the simple equalizer, there is a customizable Play FX mode that can create really clean and very powerful bass.  very convenient control. Unlike touchscreen models, you don’t have to poke your fingers on t"&amp;"he display, thereby smearing it. I really liked that in addition to standard toys, you can install more. The video is truly DVD quality. With a high bit stream, there are no artifacts or other problems. To tell the truth, the converter that came with the "&amp;"kit refused to convert the video, but I easily found a working one. Moreover, there is a newer version. But to really feel the quality of this player, it is advisable to buy good headphones because... In addition, like everything else I've seen, it comes "&amp;"with headphones of average quality. I don't think this is just a disadvantage of this player. In general, it’s not clear why a player with such sound costs so little.")</f>
        <v>The sound of the M5 is simply inimitable! Besides the simple equalizer, there is a customizable Play FX mode that can create really clean and very powerful bass.  very convenient control. Unlike touchscreen models, you don’t have to poke your fingers on the display, thereby smearing it. I really liked that in addition to standard toys, you can install more. The video is truly DVD quality. With a high bit stream, there are no artifacts or other problems. To tell the truth, the converter that came with the kit refused to convert the video, but I easily found a working one. Moreover, there is a newer version. But to really feel the quality of this player, it is advisable to buy good headphones because... In addition, like everything else I've seen, it comes with headphones of average quality. I don't think this is just a disadvantage of this player. In general, it’s not clear why a player with such sound costs so little.</v>
      </c>
    </row>
    <row r="9694" spans="1:9" x14ac:dyDescent="0.3">
      <c r="A9694" s="1" t="s">
        <v>30</v>
      </c>
      <c r="B9694" s="1" t="s">
        <v>50</v>
      </c>
      <c r="C9694" s="1" t="s">
        <v>51</v>
      </c>
      <c r="D9694" s="1" t="s">
        <v>14261</v>
      </c>
      <c r="E9694" s="1" t="s">
        <v>2684</v>
      </c>
      <c r="F9694" s="1" t="s">
        <v>14262</v>
      </c>
      <c r="G9694" s="1" t="s">
        <v>36</v>
      </c>
      <c r="H9694" s="1" t="s">
        <v>29</v>
      </c>
      <c r="I9694" s="1" t="str">
        <f ca="1">IFERROR(__xludf.DUMMYFUNCTION("GOOGLETRANSLATE(F9694, ""auto"", ""en"")
"),"The computer is class, no doubt about it! I’ve been using it for almost half a year. :) But now a problem has arisen: the Turbo Boost monitor gadget has stopped working. And that’s why I can’t see how my accelerator works. I tried to reinstall or at least"&amp;" delete...it's no use. I can't find a solution to the problem on the internet.")</f>
        <v>The computer is class, no doubt about it! I’ve been using it for almost half a year. :) But now a problem has arisen: the Turbo Boost monitor gadget has stopped working. And that’s why I can’t see how my accelerator works. I tried to reinstall or at least delete...it's no use. I can't find a solution to the problem on the internet.</v>
      </c>
    </row>
    <row r="9695" spans="1:9" x14ac:dyDescent="0.3">
      <c r="A9695" s="1" t="s">
        <v>30</v>
      </c>
      <c r="B9695" s="1" t="s">
        <v>50</v>
      </c>
      <c r="C9695" s="1" t="s">
        <v>1003</v>
      </c>
      <c r="D9695" s="1" t="s">
        <v>3130</v>
      </c>
      <c r="E9695" s="1" t="s">
        <v>585</v>
      </c>
      <c r="F9695" s="1" t="s">
        <v>14263</v>
      </c>
      <c r="G9695" s="1" t="s">
        <v>36</v>
      </c>
      <c r="H9695" s="1" t="s">
        <v>29</v>
      </c>
      <c r="I9695" s="1" t="str">
        <f ca="1">IFERROR(__xludf.DUMMYFUNCTION("GOOGLETRANSLATE(F9695, ""auto"", ""en"")
"),"Excellent laptop.  I repeat with everyone, the minus is sis. cooling....it's getting too hot, so I did this, put 2 small erasers under the rear legs...it seems like it's getting less hot)")</f>
        <v>Excellent laptop.  I repeat with everyone, the minus is sis. cooling....it's getting too hot, so I did this, put 2 small erasers under the rear legs...it seems like it's getting less hot)</v>
      </c>
    </row>
    <row r="9696" spans="1:9" x14ac:dyDescent="0.3">
      <c r="A9696" s="1" t="s">
        <v>17</v>
      </c>
      <c r="B9696" s="1" t="s">
        <v>18</v>
      </c>
      <c r="C9696" s="1" t="s">
        <v>80</v>
      </c>
      <c r="D9696" s="1" t="s">
        <v>295</v>
      </c>
      <c r="E9696" s="1" t="s">
        <v>4634</v>
      </c>
      <c r="F9696" s="1" t="s">
        <v>14264</v>
      </c>
      <c r="G9696" s="1" t="s">
        <v>36</v>
      </c>
      <c r="H9696" s="1" t="s">
        <v>29</v>
      </c>
      <c r="I9696" s="1" t="str">
        <f ca="1">IFERROR(__xludf.DUMMYFUNCTION("GOOGLETRANSLATE(F9696, ""auto"", ""en"")
"),"Great machine!!!")</f>
        <v>Great machine!!!</v>
      </c>
    </row>
    <row r="9697" spans="1:9" x14ac:dyDescent="0.3">
      <c r="A9697" s="1" t="s">
        <v>61</v>
      </c>
      <c r="B9697" s="1" t="s">
        <v>73</v>
      </c>
      <c r="C9697" s="1" t="s">
        <v>146</v>
      </c>
      <c r="D9697" s="1" t="s">
        <v>14265</v>
      </c>
      <c r="E9697" s="1" t="s">
        <v>1784</v>
      </c>
      <c r="F9697" s="1" t="s">
        <v>14266</v>
      </c>
      <c r="G9697" s="1" t="s">
        <v>36</v>
      </c>
      <c r="H9697" s="1" t="s">
        <v>29</v>
      </c>
      <c r="I9697" s="1" t="str">
        <f ca="1">IFERROR(__xludf.DUMMYFUNCTION("GOOGLETRANSLATE(F9697, ""auto"", ""en"")
"),"I’ve been using this for a year now, no complaints whatsoever, it turns everything, veins, larger pieces, all in one fell swoop. It even turns raw carrots without any complaints, the machine has a reverse, which is also very convenient, and the knives are"&amp;" of good quality; I haven’t bought them once in a year, although I have a former BOSCH meat grinder every three cuts, the connection where the auger part is made of metal, I don’t go broke on adapters like I did with the old one, so I’m delighted now.  I "&amp;"recommend it to everyone!")</f>
        <v>I’ve been using this for a year now, no complaints whatsoever, it turns everything, veins, larger pieces, all in one fell swoop. It even turns raw carrots without any complaints, the machine has a reverse, which is also very convenient, and the knives are of good quality; I haven’t bought them once in a year, although I have a former BOSCH meat grinder every three cuts, the connection where the auger part is made of metal, I don’t go broke on adapters like I did with the old one, so I’m delighted now.  I recommend it to everyone!</v>
      </c>
    </row>
    <row r="9698" spans="1:9" x14ac:dyDescent="0.3">
      <c r="A9698" s="1" t="s">
        <v>206</v>
      </c>
      <c r="B9698" s="1" t="s">
        <v>2026</v>
      </c>
      <c r="C9698" s="1" t="s">
        <v>4219</v>
      </c>
      <c r="D9698" s="1" t="s">
        <v>4136</v>
      </c>
      <c r="E9698" s="1" t="s">
        <v>5947</v>
      </c>
      <c r="F9698" s="1" t="s">
        <v>14267</v>
      </c>
      <c r="G9698" s="1" t="s">
        <v>49</v>
      </c>
      <c r="H9698" s="1" t="s">
        <v>16</v>
      </c>
      <c r="I9698" s="1" t="str">
        <f ca="1">IFERROR(__xludf.DUMMYFUNCTION("GOOGLETRANSLATE(F9698, ""auto"", ""en"")
"),"I bought it and realized that I was throwing money away. It’s simply not realistic to switch to manual tuning, and in general you won’t be able to catch anything other than autotuning.")</f>
        <v>I bought it and realized that I was throwing money away. It’s simply not realistic to switch to manual tuning, and in general you won’t be able to catch anything other than autotuning.</v>
      </c>
    </row>
    <row r="9699" spans="1:9" x14ac:dyDescent="0.3">
      <c r="A9699" s="1" t="s">
        <v>811</v>
      </c>
      <c r="B9699" s="1" t="s">
        <v>1712</v>
      </c>
      <c r="C9699" s="1" t="s">
        <v>97</v>
      </c>
      <c r="D9699" s="1" t="s">
        <v>4178</v>
      </c>
      <c r="E9699" s="1" t="s">
        <v>1387</v>
      </c>
      <c r="F9699" s="1" t="s">
        <v>14268</v>
      </c>
      <c r="G9699" s="1" t="s">
        <v>36</v>
      </c>
      <c r="H9699" s="1" t="s">
        <v>29</v>
      </c>
      <c r="I9699" s="1" t="str">
        <f ca="1">IFERROR(__xludf.DUMMYFUNCTION("GOOGLETRANSLATE(F9699, ""auto"", ""en"")
"),"So far so good and I really like it! It looks expensive and costs little! It’s a nice frame and there’s a cool watch there, but I haven’t tried to upload photos yet, I haven’t had time!")</f>
        <v>So far so good and I really like it! It looks expensive and costs little! It’s a nice frame and there’s a cool watch there, but I haven’t tried to upload photos yet, I haven’t had time!</v>
      </c>
    </row>
    <row r="9700" spans="1:9" x14ac:dyDescent="0.3">
      <c r="A9700" s="1" t="s">
        <v>17</v>
      </c>
      <c r="B9700" s="1" t="s">
        <v>18</v>
      </c>
      <c r="C9700" s="1" t="s">
        <v>665</v>
      </c>
      <c r="D9700" s="1" t="s">
        <v>456</v>
      </c>
      <c r="E9700" s="1" t="s">
        <v>3552</v>
      </c>
      <c r="F9700" s="1" t="s">
        <v>14269</v>
      </c>
      <c r="G9700" s="1" t="s">
        <v>28</v>
      </c>
      <c r="H9700" s="1" t="s">
        <v>29</v>
      </c>
      <c r="I9700" s="1" t="str">
        <f ca="1">IFERROR(__xludf.DUMMYFUNCTION("GOOGLETRANSLATE(F9700, ""auto"", ""en"")
"),"I’ve been doing laundry for 3.5 years now, it works, it washes... I’m happy with everything!")</f>
        <v>I’ve been doing laundry for 3.5 years now, it works, it washes... I’m happy with everything!</v>
      </c>
    </row>
    <row r="9701" spans="1:9" x14ac:dyDescent="0.3">
      <c r="A9701" s="1" t="s">
        <v>624</v>
      </c>
      <c r="B9701" s="1" t="s">
        <v>2107</v>
      </c>
      <c r="C9701" s="1" t="s">
        <v>479</v>
      </c>
      <c r="D9701" s="1" t="s">
        <v>171</v>
      </c>
      <c r="E9701" s="1" t="s">
        <v>2401</v>
      </c>
      <c r="F9701" s="1" t="s">
        <v>14270</v>
      </c>
      <c r="G9701" s="1" t="s">
        <v>36</v>
      </c>
      <c r="H9701" s="1" t="s">
        <v>29</v>
      </c>
      <c r="I9701" s="1" t="str">
        <f ca="1">IFERROR(__xludf.DUMMYFUNCTION("GOOGLETRANSLATE(F9701, ""auto"", ""en"")
"),"The game is a masterpiece. Already bought the Legendary Edition.")</f>
        <v>The game is a masterpiece. Already bought the Legendary Edition.</v>
      </c>
    </row>
    <row r="9702" spans="1:9" x14ac:dyDescent="0.3">
      <c r="A9702" s="1" t="s">
        <v>30</v>
      </c>
      <c r="B9702" s="1" t="s">
        <v>50</v>
      </c>
      <c r="C9702" s="1" t="s">
        <v>377</v>
      </c>
      <c r="D9702" s="1" t="s">
        <v>152</v>
      </c>
      <c r="E9702" s="1" t="s">
        <v>1527</v>
      </c>
      <c r="F9702" s="1" t="s">
        <v>14271</v>
      </c>
      <c r="G9702" s="1" t="s">
        <v>36</v>
      </c>
      <c r="H9702" s="1" t="s">
        <v>29</v>
      </c>
      <c r="I9702" s="1" t="str">
        <f ca="1">IFERROR(__xludf.DUMMYFUNCTION("GOOGLETRANSLATE(F9702, ""auto"", ""en"")
"),"The best price-quality ratio!  Workhorse, lightweight, powerful and affordable, 6 cell battery.  Cons - there is not enough input for a digital camera, 1920*1080 does not work (HDTV only), the DVD button is broken, now, like in a Macintosh, you have to ta"&amp;"ke out the disk :)")</f>
        <v>The best price-quality ratio!  Workhorse, lightweight, powerful and affordable, 6 cell battery.  Cons - there is not enough input for a digital camera, 1920*1080 does not work (HDTV only), the DVD button is broken, now, like in a Macintosh, you have to take out the disk :)</v>
      </c>
    </row>
    <row r="9703" spans="1:9" x14ac:dyDescent="0.3">
      <c r="A9703" s="1" t="s">
        <v>43</v>
      </c>
      <c r="B9703" s="1" t="s">
        <v>502</v>
      </c>
      <c r="C9703" s="1" t="s">
        <v>1627</v>
      </c>
      <c r="D9703" s="1" t="s">
        <v>139</v>
      </c>
      <c r="E9703" s="1" t="s">
        <v>6752</v>
      </c>
      <c r="F9703" s="1" t="s">
        <v>14272</v>
      </c>
      <c r="G9703" s="1" t="s">
        <v>36</v>
      </c>
      <c r="H9703" s="1" t="s">
        <v>29</v>
      </c>
      <c r="I9703" s="1" t="str">
        <f ca="1">IFERROR(__xludf.DUMMYFUNCTION("GOOGLETRANSLATE(F9703, ""auto"", ""en"")
"),"Variety of functions, was purchased at the end of August 2012, by that time the heat had subsided, so I didn’t check for the cold, but I checked at the end of September for the heat, this air conditioner pleasantly surprised me, it didn’t freeze in the ap"&amp;"artment at all and worked until the heating was turned on, but of course I didn’t use it in sub-zero temperatures. It works almost without noise, when summer comes, then we’ll check it for the cold, and so far the rating is 5!!!")</f>
        <v>Variety of functions, was purchased at the end of August 2012, by that time the heat had subsided, so I didn’t check for the cold, but I checked at the end of September for the heat, this air conditioner pleasantly surprised me, it didn’t freeze in the apartment at all and worked until the heating was turned on, but of course I didn’t use it in sub-zero temperatures. It works almost without noise, when summer comes, then we’ll check it for the cold, and so far the rating is 5!!!</v>
      </c>
    </row>
    <row r="9704" spans="1:9" x14ac:dyDescent="0.3">
      <c r="A9704" s="1" t="s">
        <v>9</v>
      </c>
      <c r="B9704" s="1" t="s">
        <v>133</v>
      </c>
      <c r="C9704" s="1" t="s">
        <v>19</v>
      </c>
      <c r="D9704" s="1" t="s">
        <v>308</v>
      </c>
      <c r="E9704" s="1" t="s">
        <v>2948</v>
      </c>
      <c r="F9704" s="1" t="s">
        <v>14273</v>
      </c>
      <c r="G9704" s="1" t="s">
        <v>36</v>
      </c>
      <c r="H9704" s="1" t="s">
        <v>29</v>
      </c>
      <c r="I9704" s="1" t="str">
        <f ca="1">IFERROR(__xludf.DUMMYFUNCTION("GOOGLETRANSLATE(F9704, ""auto"", ""en"")
"),"Served for 5 years and a half, no complaints! There is nothing superfluous in it, not a single function that would not be used in the modern rhythm of life.")</f>
        <v>Served for 5 years and a half, no complaints! There is nothing superfluous in it, not a single function that would not be used in the modern rhythm of life.</v>
      </c>
    </row>
    <row r="9705" spans="1:9" x14ac:dyDescent="0.3">
      <c r="A9705" s="1" t="s">
        <v>149</v>
      </c>
      <c r="B9705" s="1" t="s">
        <v>150</v>
      </c>
      <c r="C9705" s="1" t="s">
        <v>2016</v>
      </c>
      <c r="D9705" s="1" t="s">
        <v>2292</v>
      </c>
      <c r="E9705" s="1" t="s">
        <v>4558</v>
      </c>
      <c r="F9705" s="1" t="s">
        <v>14274</v>
      </c>
      <c r="G9705" s="1" t="s">
        <v>36</v>
      </c>
      <c r="H9705" s="1" t="s">
        <v>29</v>
      </c>
      <c r="I9705" s="1" t="str">
        <f ca="1">IFERROR(__xludf.DUMMYFUNCTION("GOOGLETRANSLATE(F9705, ""auto"", ""en"")
"),"I was pleasantly surprised by the power of the vacuum cleaner, I didn’t expect that for such a price you could buy such a monster - it removes pieces of dirt from the floor, it pulls dust out of cracks normally and it’s very convenient to clean the seats,"&amp;" besides, the set comes with two brush attachments, and not one, like many models with similar characteristics. From the cigarette lighter it works perfectly, the plug fits tightly in it and does not dangle when the vacuum cleaner is in use. It’s also con"&amp;"venient that the set includes a case for storing it; now I always carry the vacuum cleaner in the trunk with other things and it doesn’t get damaged by contact with them. The only weak point I can note is that it attracts dust strongly; after cleaning you"&amp;" have to wipe the entire body with a damp cloth, but this is still a minor drawback, you can put up with it, I think.")</f>
        <v>I was pleasantly surprised by the power of the vacuum cleaner, I didn’t expect that for such a price you could buy such a monster - it removes pieces of dirt from the floor, it pulls dust out of cracks normally and it’s very convenient to clean the seats, besides, the set comes with two brush attachments, and not one, like many models with similar characteristics. From the cigarette lighter it works perfectly, the plug fits tightly in it and does not dangle when the vacuum cleaner is in use. It’s also convenient that the set includes a case for storing it; now I always carry the vacuum cleaner in the trunk with other things and it doesn’t get damaged by contact with them. The only weak point I can note is that it attracts dust strongly; after cleaning you have to wipe the entire body with a damp cloth, but this is still a minor drawback, you can put up with it, I think.</v>
      </c>
    </row>
    <row r="9706" spans="1:9" x14ac:dyDescent="0.3">
      <c r="A9706" s="1" t="s">
        <v>120</v>
      </c>
      <c r="B9706" s="1" t="s">
        <v>126</v>
      </c>
      <c r="C9706" s="1" t="s">
        <v>122</v>
      </c>
      <c r="D9706" s="1" t="s">
        <v>305</v>
      </c>
      <c r="E9706" s="1" t="s">
        <v>6393</v>
      </c>
      <c r="F9706" s="1" t="s">
        <v>14275</v>
      </c>
      <c r="G9706" s="1" t="s">
        <v>36</v>
      </c>
      <c r="H9706" s="1" t="s">
        <v>29</v>
      </c>
      <c r="I9706" s="1" t="str">
        <f ca="1">IFERROR(__xludf.DUMMYFUNCTION("GOOGLETRANSLATE(F9706, ""auto"", ""en"")
"),"Let me start by saying that we spent a long time choosing between plasma and LCD, and in the end I bought it... Even though we’ve only been using it for a week, we’re happy with the TV. (pros) 1) The picture quality when watching movies is amazing (especi"&amp;"ally in Full HD); 2) good design, materials and assembly (Czech Republic), the immediate impression of purchasing a quality product; 3) User-friendly interface and software. software, I didn’t even open the instructions, everything is learned intuitively "&amp;"at random. (cons) They are not terrifying and in many ways similar to other modern TVs... 1) You can’t call them a machine gun, they think slowly (when turning on and switching digital TV channels); 2) the broadcast shows a little worse than the Sony LCD "&amp;"(there is something to compare with). They assured me that 42-inch plasma is a perversion, they say you need to take 50 inches at a minimum (but due to the small bedroom space, I couldn’t afford it, I didn’t listen and bought it. :) In the end, the TV met"&amp;" my expectations, watching movies is a pleasure!!! it doesn’t get hot and doesn’t make noise (possibly for now), the effect of residual white static image turned out to be dimmer too, everything is perfect (perhaps this was a long time ago). Bottom line: "&amp;"If you take a TV to the dacha, or for reasons of constantly watching over-the-air channels, it’s not worth it... it’s better to take an LCD and it’s cheaper and the image quality is also normal. However, if watching movies, cartoons and movie series (down"&amp;"loaded and purchased content) exceeds 50% of the time you spend watching TV, this device will definitely not disappoint you!) p.s. Panasonic because they developed and have neoPlasma technology, they have the best plasma panels... however, this is the fir"&amp;"st plasma TV in our family, I can only compare it with LCD.")</f>
        <v>Let me start by saying that we spent a long time choosing between plasma and LCD, and in the end I bought it... Even though we’ve only been using it for a week, we’re happy with the TV. (pros) 1) The picture quality when watching movies is amazing (especially in Full HD); 2) good design, materials and assembly (Czech Republic), the immediate impression of purchasing a quality product; 3) User-friendly interface and software. software, I didn’t even open the instructions, everything is learned intuitively at random. (cons) They are not terrifying and in many ways similar to other modern TVs... 1) You can’t call them a machine gun, they think slowly (when turning on and switching digital TV channels); 2) the broadcast shows a little worse than the Sony LCD (there is something to compare with). They assured me that 42-inch plasma is a perversion, they say you need to take 50 inches at a minimum (but due to the small bedroom space, I couldn’t afford it, I didn’t listen and bought it. :) In the end, the TV met my expectations, watching movies is a pleasure!!! it doesn’t get hot and doesn’t make noise (possibly for now), the effect of residual white static image turned out to be dimmer too, everything is perfect (perhaps this was a long time ago). Bottom line: If you take a TV to the dacha, or for reasons of constantly watching over-the-air channels, it’s not worth it... it’s better to take an LCD and it’s cheaper and the image quality is also normal. However, if watching movies, cartoons and movie series (downloaded and purchased content) exceeds 50% of the time you spend watching TV, this device will definitely not disappoint you!) p.s. Panasonic because they developed and have neoPlasma technology, they have the best plasma panels... however, this is the first plasma TV in our family, I can only compare it with LCD.</v>
      </c>
    </row>
    <row r="9707" spans="1:9" x14ac:dyDescent="0.3">
      <c r="A9707" s="1" t="s">
        <v>211</v>
      </c>
      <c r="B9707" s="1" t="s">
        <v>212</v>
      </c>
      <c r="C9707" s="1" t="s">
        <v>381</v>
      </c>
      <c r="D9707" s="1" t="s">
        <v>232</v>
      </c>
      <c r="E9707" s="1" t="s">
        <v>11502</v>
      </c>
      <c r="F9707" s="1" t="s">
        <v>14276</v>
      </c>
      <c r="G9707" s="1" t="s">
        <v>28</v>
      </c>
      <c r="H9707" s="1" t="s">
        <v>29</v>
      </c>
      <c r="I9707" s="1" t="str">
        <f ca="1">IFERROR(__xludf.DUMMYFUNCTION("GOOGLETRANSLATE(F9707, ""auto"", ""en"")
"),"Compact, powerful, convenient. I can’t say anything about reliability yet - I bought it recently. But the previous similar hair dryer, Rowenta Practic EK 70 1200 w, purchased in Germany, lasted 25 years.")</f>
        <v>Compact, powerful, convenient. I can’t say anything about reliability yet - I bought it recently. But the previous similar hair dryer, Rowenta Practic EK 70 1200 w, purchased in Germany, lasted 25 years.</v>
      </c>
    </row>
    <row r="9708" spans="1:9" x14ac:dyDescent="0.3">
      <c r="A9708" s="1" t="s">
        <v>211</v>
      </c>
      <c r="B9708" s="1" t="s">
        <v>856</v>
      </c>
      <c r="C9708" s="1" t="s">
        <v>266</v>
      </c>
      <c r="D9708" s="1" t="s">
        <v>438</v>
      </c>
      <c r="E9708" s="1" t="s">
        <v>4490</v>
      </c>
      <c r="F9708" s="1" t="s">
        <v>14277</v>
      </c>
      <c r="G9708" s="1" t="s">
        <v>36</v>
      </c>
      <c r="H9708" s="1" t="s">
        <v>29</v>
      </c>
      <c r="I9708" s="1" t="str">
        <f ca="1">IFERROR(__xludf.DUMMYFUNCTION("GOOGLETRANSLATE(F9708, ""auto"", ""en"")
"),"I really liked this manicure set. It has only advantages and a lot of positive emotions when using it. There is no need to go to a manicurist - you can use it at home - there are many different attachments for both manicure and pedicure. Convenient and ea"&amp;"sy to use. I advise you to buy it and you won’t regret it!!!")</f>
        <v>I really liked this manicure set. It has only advantages and a lot of positive emotions when using it. There is no need to go to a manicurist - you can use it at home - there are many different attachments for both manicure and pedicure. Convenient and easy to use. I advise you to buy it and you won’t regret it!!!</v>
      </c>
    </row>
    <row r="9709" spans="1:9" x14ac:dyDescent="0.3">
      <c r="A9709" s="1" t="s">
        <v>67</v>
      </c>
      <c r="B9709" s="1" t="s">
        <v>68</v>
      </c>
      <c r="C9709" s="1" t="s">
        <v>246</v>
      </c>
      <c r="D9709" s="1" t="s">
        <v>14278</v>
      </c>
      <c r="E9709" s="1" t="s">
        <v>2663</v>
      </c>
      <c r="F9709" s="1" t="s">
        <v>14279</v>
      </c>
      <c r="G9709" s="1" t="s">
        <v>36</v>
      </c>
      <c r="H9709" s="1" t="s">
        <v>29</v>
      </c>
      <c r="I9709" s="1" t="str">
        <f ca="1">IFERROR(__xludf.DUMMYFUNCTION("GOOGLETRANSLATE(F9709, ""auto"", ""en"")
"),"The old iron broke. It took me a long time to choose a replacement for him. Until I came across Tefal GV 8461E0. There were many doubts, and the price for the iron was not low. But the first time I used it, I realized that I had made the right choice. Iro"&amp;"ns children's clothes in seconds; there are no problems with bed linen at all. The cord winds up, which is very important for me. It glides and steams just beautifully. In a word, buy it, you won’t regret it. The time spent ironing clothes has been reduce"&amp;"d by exactly half.")</f>
        <v>The old iron broke. It took me a long time to choose a replacement for him. Until I came across Tefal GV 8461E0. There were many doubts, and the price for the iron was not low. But the first time I used it, I realized that I had made the right choice. Irons children's clothes in seconds; there are no problems with bed linen at all. The cord winds up, which is very important for me. It glides and steams just beautifully. In a word, buy it, you won’t regret it. The time spent ironing clothes has been reduced by exactly half.</v>
      </c>
    </row>
    <row r="9710" spans="1:9" x14ac:dyDescent="0.3">
      <c r="A9710" s="1" t="s">
        <v>37</v>
      </c>
      <c r="B9710" s="1" t="s">
        <v>38</v>
      </c>
      <c r="C9710" s="1" t="s">
        <v>151</v>
      </c>
      <c r="D9710" s="1" t="s">
        <v>39</v>
      </c>
      <c r="E9710" s="1" t="s">
        <v>3652</v>
      </c>
      <c r="F9710" s="1" t="s">
        <v>14280</v>
      </c>
      <c r="G9710" s="1" t="s">
        <v>36</v>
      </c>
      <c r="H9710" s="1" t="s">
        <v>29</v>
      </c>
      <c r="I9710" s="1" t="str">
        <f ca="1">IFERROR(__xludf.DUMMYFUNCTION("GOOGLETRANSLATE(F9710, ""auto"", ""en"")
"),"I bought this phone a month ago and I like it. Navigation system Mobile Navigator. Convenient thing. Shows all traffic jams, all sorts of road barriers, traffic police posts and other useful marks on the roads. I never thought before that with such progra"&amp;"ms you can save 20-30 minutes of travel, and only 400 rubles per month... Well, the phone is convenient and stylish. Glad I bought it.")</f>
        <v>I bought this phone a month ago and I like it. Navigation system Mobile Navigator. Convenient thing. Shows all traffic jams, all sorts of road barriers, traffic police posts and other useful marks on the roads. I never thought before that with such programs you can save 20-30 minutes of travel, and only 400 rubles per month... Well, the phone is convenient and stylish. Glad I bought it.</v>
      </c>
    </row>
    <row r="9711" spans="1:9" x14ac:dyDescent="0.3">
      <c r="A9711" s="1" t="s">
        <v>17</v>
      </c>
      <c r="B9711" s="1" t="s">
        <v>18</v>
      </c>
      <c r="C9711" s="1" t="s">
        <v>63</v>
      </c>
      <c r="D9711" s="1" t="s">
        <v>14281</v>
      </c>
      <c r="E9711" s="1" t="s">
        <v>680</v>
      </c>
      <c r="F9711" s="1" t="s">
        <v>14282</v>
      </c>
      <c r="G9711" s="1" t="s">
        <v>36</v>
      </c>
      <c r="H9711" s="1" t="s">
        <v>29</v>
      </c>
      <c r="I9711" s="1" t="str">
        <f ca="1">IFERROR(__xludf.DUMMYFUNCTION("GOOGLETRANSLATE(F9711, ""auto"", ""en"")
"),"A very good car - bought after the new year - works flawlessly.")</f>
        <v>A very good car - bought after the new year - works flawlessly.</v>
      </c>
    </row>
    <row r="9712" spans="1:9" x14ac:dyDescent="0.3">
      <c r="A9712" s="1" t="s">
        <v>373</v>
      </c>
      <c r="B9712" s="1" t="s">
        <v>374</v>
      </c>
      <c r="C9712" s="1" t="s">
        <v>159</v>
      </c>
      <c r="D9712" s="1" t="s">
        <v>280</v>
      </c>
      <c r="E9712" s="1" t="s">
        <v>2486</v>
      </c>
      <c r="F9712" s="1" t="s">
        <v>14283</v>
      </c>
      <c r="G9712" s="1" t="s">
        <v>49</v>
      </c>
      <c r="H9712" s="1" t="s">
        <v>16</v>
      </c>
      <c r="I9712" s="1" t="str">
        <f ca="1">IFERROR(__xludf.DUMMYFUNCTION("GOOGLETRANSLATE(F9712, ""auto"", ""en"")
"),"We bought this dishwasher last year. And...the wife’s joy ended. Today I started receiving electric shock from the car. We checked the grounding in the socket (everything is ok). Calling a specialist to determine the defect costs 1000 rubles + the cost of"&amp;" work (about 5 thousand rubles). Electrolux has been having real quality problems lately. So think about it. Most likely we will pick up a new car, and this one will go to the dump.")</f>
        <v>We bought this dishwasher last year. And...the wife’s joy ended. Today I started receiving electric shock from the car. We checked the grounding in the socket (everything is ok). Calling a specialist to determine the defect costs 1000 rubles + the cost of work (about 5 thousand rubles). Electrolux has been having real quality problems lately. So think about it. Most likely we will pick up a new car, and this one will go to the dump.</v>
      </c>
    </row>
    <row r="9713" spans="1:9" x14ac:dyDescent="0.3">
      <c r="A9713" s="1" t="s">
        <v>557</v>
      </c>
      <c r="B9713" s="1" t="s">
        <v>558</v>
      </c>
      <c r="C9713" s="1" t="s">
        <v>122</v>
      </c>
      <c r="D9713" s="1" t="s">
        <v>411</v>
      </c>
      <c r="E9713" s="1" t="s">
        <v>3284</v>
      </c>
      <c r="F9713" s="1" t="s">
        <v>14284</v>
      </c>
      <c r="G9713" s="1" t="s">
        <v>28</v>
      </c>
      <c r="H9713" s="1" t="s">
        <v>29</v>
      </c>
      <c r="I9713" s="1" t="str">
        <f ca="1">IFERROR(__xludf.DUMMYFUNCTION("GOOGLETRANSLATE(F9713, ""auto"", ""en"")
"),"An excellent phone, it is very convenient that there is both a base station and a radio handset. It works well, the buttons are of high quality, settings, melodies are all normal.")</f>
        <v>An excellent phone, it is very convenient that there is both a base station and a radio handset. It works well, the buttons are of high quality, settings, melodies are all normal.</v>
      </c>
    </row>
    <row r="9714" spans="1:9" x14ac:dyDescent="0.3">
      <c r="A9714" s="1" t="s">
        <v>169</v>
      </c>
      <c r="B9714" s="1" t="s">
        <v>170</v>
      </c>
      <c r="C9714" s="1" t="s">
        <v>69</v>
      </c>
      <c r="D9714" s="1" t="s">
        <v>208</v>
      </c>
      <c r="E9714" s="1" t="s">
        <v>1971</v>
      </c>
      <c r="F9714" s="1" t="s">
        <v>14285</v>
      </c>
      <c r="G9714" s="1" t="s">
        <v>36</v>
      </c>
      <c r="H9714" s="1" t="s">
        <v>29</v>
      </c>
      <c r="I9714" s="1" t="str">
        <f ca="1">IFERROR(__xludf.DUMMYFUNCTION("GOOGLETRANSLATE(F9714, ""auto"", ""en"")
"),"I bought it at the beginning of September 2015. I bought it for running. Before that I ran in vacuum Panasonics. They stay on the head perfectly. The wire is made with a cord (soft rag braid). It doesn't dull at all in the cold. I was VERY pleased with th"&amp;"e sound. All the bass can be heard. Panasonic are resting. Phillips hadn't even considered it before. But in vain. I recommend it to everyone.  One of the SMALL minuses is that in the heat after 10 km your ears get very warm :)")</f>
        <v>I bought it at the beginning of September 2015. I bought it for running. Before that I ran in vacuum Panasonics. They stay on the head perfectly. The wire is made with a cord (soft rag braid). It doesn't dull at all in the cold. I was VERY pleased with the sound. All the bass can be heard. Panasonic are resting. Phillips hadn't even considered it before. But in vain. I recommend it to everyone.  One of the SMALL minuses is that in the heat after 10 km your ears get very warm :)</v>
      </c>
    </row>
    <row r="9715" spans="1:9" x14ac:dyDescent="0.3">
      <c r="A9715" s="1" t="s">
        <v>120</v>
      </c>
      <c r="B9715" s="1" t="s">
        <v>196</v>
      </c>
      <c r="C9715" s="1" t="s">
        <v>97</v>
      </c>
      <c r="D9715" s="1" t="s">
        <v>57</v>
      </c>
      <c r="E9715" s="1" t="s">
        <v>717</v>
      </c>
      <c r="F9715" s="1" t="s">
        <v>14286</v>
      </c>
      <c r="G9715" s="1" t="s">
        <v>15</v>
      </c>
      <c r="H9715" s="1" t="s">
        <v>16</v>
      </c>
      <c r="I9715" s="1" t="str">
        <f ca="1">IFERROR(__xludf.DUMMYFUNCTION("GOOGLETRANSLATE(F9715, ""auto"", ""en"")
"),"The TV was purchased on September 27, 2009. It doesn’t work well with analog TV; neither a surge protector, nor an antenna, nor an expensive coaxial cable help. Old, kinescope 100 Hz Thompson 29' and 50 Hz. Toshiba and Philips on the same antenna outdo it"&amp;" by an order of magnitude. Watching DVD via HDMI with RDR AT100 Sony is excellent, but you bought a TV, not a monitor for D.K. - you want to know what's going on in the world, and football online is more interesting. Every day the predominance of blue-vio"&amp;"let-green tones, which cannot be adjusted by any means, is increasing, apparently a visit to the Service Center is ahead. Regarding the “analogue” - living in the city center, it’s a shame to buy satellite TV...")</f>
        <v>The TV was purchased on September 27, 2009. It doesn’t work well with analog TV; neither a surge protector, nor an antenna, nor an expensive coaxial cable help. Old, kinescope 100 Hz Thompson 29' and 50 Hz. Toshiba and Philips on the same antenna outdo it by an order of magnitude. Watching DVD via HDMI with RDR AT100 Sony is excellent, but you bought a TV, not a monitor for D.K. - you want to know what's going on in the world, and football online is more interesting. Every day the predominance of blue-violet-green tones, which cannot be adjusted by any means, is increasing, apparently a visit to the Service Center is ahead. Regarding the “analogue” - living in the city center, it’s a shame to buy satellite TV...</v>
      </c>
    </row>
    <row r="9716" spans="1:9" x14ac:dyDescent="0.3">
      <c r="A9716" s="1" t="s">
        <v>95</v>
      </c>
      <c r="B9716" s="1" t="s">
        <v>648</v>
      </c>
      <c r="C9716" s="1" t="s">
        <v>97</v>
      </c>
      <c r="D9716" s="1" t="s">
        <v>11148</v>
      </c>
      <c r="E9716" s="1" t="s">
        <v>1510</v>
      </c>
      <c r="F9716" s="1" t="s">
        <v>14287</v>
      </c>
      <c r="G9716" s="1" t="s">
        <v>36</v>
      </c>
      <c r="H9716" s="1" t="s">
        <v>29</v>
      </c>
      <c r="I9716" s="1" t="str">
        <f ca="1">IFERROR(__xludf.DUMMYFUNCTION("GOOGLETRANSLATE(F9716, ""auto"", ""en"")
"),"very excellent set-top box, buy everything included, everything you need is included, it’s a pity you can’t flash it for some reason)))))!!!!!")</f>
        <v>very excellent set-top box, buy everything included, everything you need is included, it’s a pity you can’t flash it for some reason)))))!!!!!</v>
      </c>
    </row>
    <row r="9717" spans="1:9" x14ac:dyDescent="0.3">
      <c r="A9717" s="1" t="s">
        <v>9</v>
      </c>
      <c r="B9717" s="1" t="s">
        <v>133</v>
      </c>
      <c r="C9717" s="1" t="s">
        <v>290</v>
      </c>
      <c r="D9717" s="1" t="s">
        <v>75</v>
      </c>
      <c r="E9717" s="1" t="s">
        <v>5081</v>
      </c>
      <c r="F9717" s="1" t="s">
        <v>14288</v>
      </c>
      <c r="G9717" s="1" t="s">
        <v>36</v>
      </c>
      <c r="H9717" s="1" t="s">
        <v>29</v>
      </c>
      <c r="I9717" s="1" t="str">
        <f ca="1">IFERROR(__xludf.DUMMYFUNCTION("GOOGLETRANSLATE(F9717, ""auto"", ""en"")
"),"Great stove, I really like it. We bought it with gift cards for the 20th anniversary of Mvideo, so it cost us very little at all. It bakes everything well and doesn’t burn. I am very pleased with the cleaning system, I even surprised my mother with such a"&amp;"n innovation. I recommend it to everyone.")</f>
        <v>Great stove, I really like it. We bought it with gift cards for the 20th anniversary of Mvideo, so it cost us very little at all. It bakes everything well and doesn’t burn. I am very pleased with the cleaning system, I even surprised my mother with such an innovation. I recommend it to everyone.</v>
      </c>
    </row>
    <row r="9718" spans="1:9" x14ac:dyDescent="0.3">
      <c r="A9718" s="1" t="s">
        <v>120</v>
      </c>
      <c r="B9718" s="1" t="s">
        <v>126</v>
      </c>
      <c r="C9718" s="1" t="s">
        <v>151</v>
      </c>
      <c r="D9718" s="1" t="s">
        <v>1391</v>
      </c>
      <c r="E9718" s="1" t="s">
        <v>12138</v>
      </c>
      <c r="F9718" s="1" t="s">
        <v>14289</v>
      </c>
      <c r="G9718" s="1" t="s">
        <v>36</v>
      </c>
      <c r="H9718" s="1" t="s">
        <v>29</v>
      </c>
      <c r="I9718" s="1" t="str">
        <f ca="1">IFERROR(__xludf.DUMMYFUNCTION("GOOGLETRANSLATE(F9718, ""auto"", ""en"")
"),"The TV is just great. Don’t look at what is not HD resolution, what is available is quite enough and even shows HD movies with a bang.  Very high quality device. I’ve been using it for 7 months now and even enjoy cable TV.  Definitely recommend to everyon"&amp;"e!")</f>
        <v>The TV is just great. Don’t look at what is not HD resolution, what is available is quite enough and even shows HD movies with a bang.  Very high quality device. I’ve been using it for 7 months now and even enjoy cable TV.  Definitely recommend to everyone!</v>
      </c>
    </row>
    <row r="9719" spans="1:9" x14ac:dyDescent="0.3">
      <c r="A9719" s="1" t="s">
        <v>211</v>
      </c>
      <c r="B9719" s="1" t="s">
        <v>410</v>
      </c>
      <c r="C9719" s="1" t="s">
        <v>213</v>
      </c>
      <c r="D9719" s="1" t="s">
        <v>1894</v>
      </c>
      <c r="E9719" s="1" t="s">
        <v>12634</v>
      </c>
      <c r="F9719" s="1" t="s">
        <v>14290</v>
      </c>
      <c r="G9719" s="1" t="s">
        <v>36</v>
      </c>
      <c r="H9719" s="1" t="s">
        <v>29</v>
      </c>
      <c r="I9719" s="1" t="str">
        <f ca="1">IFERROR(__xludf.DUMMYFUNCTION("GOOGLETRANSLATE(F9719, ""auto"", ""en"")
"),"No water or foam, easy and safe to use, no irritation, stubble grows slower, convenience and comfort are obvious")</f>
        <v>No water or foam, easy and safe to use, no irritation, stubble grows slower, convenience and comfort are obvious</v>
      </c>
    </row>
    <row r="9720" spans="1:9" x14ac:dyDescent="0.3">
      <c r="A9720" s="1" t="s">
        <v>211</v>
      </c>
      <c r="B9720" s="1" t="s">
        <v>1818</v>
      </c>
      <c r="C9720" s="1" t="s">
        <v>213</v>
      </c>
      <c r="D9720" s="1" t="s">
        <v>64</v>
      </c>
      <c r="E9720" s="1" t="s">
        <v>92</v>
      </c>
      <c r="F9720" s="1" t="s">
        <v>14291</v>
      </c>
      <c r="G9720" s="1" t="s">
        <v>36</v>
      </c>
      <c r="H9720" s="1" t="s">
        <v>29</v>
      </c>
      <c r="I9720" s="1" t="str">
        <f ca="1">IFERROR(__xludf.DUMMYFUNCTION("GOOGLETRANSLATE(F9720, ""auto"", ""en"")
"),"The hair doesn't really electrify.")</f>
        <v>The hair doesn't really electrify.</v>
      </c>
    </row>
    <row r="9721" spans="1:9" x14ac:dyDescent="0.3">
      <c r="A9721" s="1" t="s">
        <v>149</v>
      </c>
      <c r="B9721" s="1" t="s">
        <v>150</v>
      </c>
      <c r="C9721" s="1" t="s">
        <v>6732</v>
      </c>
      <c r="D9721" s="1" t="s">
        <v>545</v>
      </c>
      <c r="E9721" s="1" t="s">
        <v>1553</v>
      </c>
      <c r="F9721" s="1" t="s">
        <v>14292</v>
      </c>
      <c r="G9721" s="1" t="s">
        <v>36</v>
      </c>
      <c r="H9721" s="1" t="s">
        <v>29</v>
      </c>
      <c r="I9721" s="1" t="str">
        <f ca="1">IFERROR(__xludf.DUMMYFUNCTION("GOOGLETRANSLATE(F9721, ""auto"", ""en"")
"),"Very happy with the vacuum cleaner! As for the inconvenience when washing the water container, these are minor things. The controls both on the vacuum cleaner itself and on the handle are very convenient! High power - just class!")</f>
        <v>Very happy with the vacuum cleaner! As for the inconvenience when washing the water container, these are minor things. The controls both on the vacuum cleaner itself and on the handle are very convenient! High power - just class!</v>
      </c>
    </row>
    <row r="9722" spans="1:9" x14ac:dyDescent="0.3">
      <c r="A9722" s="1" t="s">
        <v>43</v>
      </c>
      <c r="B9722" s="1" t="s">
        <v>334</v>
      </c>
      <c r="C9722" s="1" t="s">
        <v>101</v>
      </c>
      <c r="D9722" s="1" t="s">
        <v>81</v>
      </c>
      <c r="E9722" s="1" t="s">
        <v>1270</v>
      </c>
      <c r="F9722" s="1" t="s">
        <v>14293</v>
      </c>
      <c r="G9722" s="1" t="s">
        <v>36</v>
      </c>
      <c r="H9722" s="1" t="s">
        <v>29</v>
      </c>
      <c r="I9722" s="1" t="str">
        <f ca="1">IFERROR(__xludf.DUMMYFUNCTION("GOOGLETRANSLATE(F9722, ""auto"", ""en"")
"),"I bought it a week ago. It blows well and is quiet. It's at arm's length: I don't even use it at second speed. I recommend")</f>
        <v>I bought it a week ago. It blows well and is quiet. It's at arm's length: I don't even use it at second speed. I recommend</v>
      </c>
    </row>
    <row r="9723" spans="1:9" x14ac:dyDescent="0.3">
      <c r="A9723" s="1" t="s">
        <v>95</v>
      </c>
      <c r="B9723" s="1" t="s">
        <v>648</v>
      </c>
      <c r="C9723" s="1" t="s">
        <v>97</v>
      </c>
      <c r="D9723" s="1" t="s">
        <v>2250</v>
      </c>
      <c r="E9723" s="1" t="s">
        <v>3755</v>
      </c>
      <c r="F9723" s="1" t="s">
        <v>14294</v>
      </c>
      <c r="G9723" s="1" t="s">
        <v>36</v>
      </c>
      <c r="H9723" s="1" t="s">
        <v>29</v>
      </c>
      <c r="I9723" s="1" t="str">
        <f ca="1">IFERROR(__xludf.DUMMYFUNCTION("GOOGLETRANSLATE(F9723, ""auto"", ""en"")
"),"Can you watch movies on it?")</f>
        <v>Can you watch movies on it?</v>
      </c>
    </row>
    <row r="9724" spans="1:9" x14ac:dyDescent="0.3">
      <c r="A9724" s="1" t="s">
        <v>61</v>
      </c>
      <c r="B9724" s="1" t="s">
        <v>5714</v>
      </c>
      <c r="C9724" s="1" t="s">
        <v>146</v>
      </c>
      <c r="D9724" s="1" t="s">
        <v>14295</v>
      </c>
      <c r="E9724" s="1" t="s">
        <v>9073</v>
      </c>
      <c r="F9724" s="1" t="s">
        <v>14296</v>
      </c>
      <c r="G9724" s="1" t="s">
        <v>36</v>
      </c>
      <c r="H9724" s="1" t="s">
        <v>29</v>
      </c>
      <c r="I9724" s="1" t="str">
        <f ca="1">IFERROR(__xludf.DUMMYFUNCTION("GOOGLETRANSLATE(F9724, ""auto"", ""en"")
"),"I have a Kenwood food processor, and it was just right for it. Well, it has become impossible to buy minced meat or even more so ready-made cutlets in stores! They just pour water in there, or they stuff more dough than meat! It’s better to grind the meat"&amp;" the old fashioned way, at least you’ll know that you’re eating natural things. The meat grinder is wonderful, very strong, sometimes no, no, and even a small bone will come across, but it doesn’t care - it grinds everything, be healthy! It seems to me th"&amp;"at it is simply impossible to break it. It chops meat very quickly, several kilograms in a couple of minutes. Easy to clean, nothing gets stuck in it.")</f>
        <v>I have a Kenwood food processor, and it was just right for it. Well, it has become impossible to buy minced meat or even more so ready-made cutlets in stores! They just pour water in there, or they stuff more dough than meat! It’s better to grind the meat the old fashioned way, at least you’ll know that you’re eating natural things. The meat grinder is wonderful, very strong, sometimes no, no, and even a small bone will come across, but it doesn’t care - it grinds everything, be healthy! It seems to me that it is simply impossible to break it. It chops meat very quickly, several kilograms in a couple of minutes. Easy to clean, nothing gets stuck in it.</v>
      </c>
    </row>
    <row r="9725" spans="1:9" x14ac:dyDescent="0.3">
      <c r="A9725" s="1" t="s">
        <v>95</v>
      </c>
      <c r="B9725" s="1" t="s">
        <v>486</v>
      </c>
      <c r="C9725" s="1" t="s">
        <v>487</v>
      </c>
      <c r="D9725" s="1" t="s">
        <v>39</v>
      </c>
      <c r="E9725" s="1" t="s">
        <v>415</v>
      </c>
      <c r="F9725" s="1" t="s">
        <v>14297</v>
      </c>
      <c r="G9725" s="1" t="s">
        <v>36</v>
      </c>
      <c r="H9725" s="1" t="s">
        <v>29</v>
      </c>
      <c r="I9725" s="1" t="str">
        <f ca="1">IFERROR(__xludf.DUMMYFUNCTION("GOOGLETRANSLATE(F9725, ""auto"", ""en"")
"),"The console is excellent, everything is fine, nothing has broken yet, it is really durable. I advise everyone to buy it!")</f>
        <v>The console is excellent, everything is fine, nothing has broken yet, it is really durable. I advise everyone to buy it!</v>
      </c>
    </row>
    <row r="9726" spans="1:9" x14ac:dyDescent="0.3">
      <c r="A9726" s="1" t="s">
        <v>451</v>
      </c>
      <c r="B9726" s="1" t="s">
        <v>452</v>
      </c>
      <c r="C9726" s="1" t="s">
        <v>453</v>
      </c>
      <c r="D9726" s="1" t="s">
        <v>471</v>
      </c>
      <c r="E9726" s="1" t="s">
        <v>10841</v>
      </c>
      <c r="F9726" s="1" t="s">
        <v>14298</v>
      </c>
      <c r="G9726" s="1" t="s">
        <v>36</v>
      </c>
      <c r="H9726" s="1" t="s">
        <v>29</v>
      </c>
      <c r="I9726" s="1" t="str">
        <f ca="1">IFERROR(__xludf.DUMMYFUNCTION("GOOGLETRANSLATE(F9726, ""auto"", ""en"")
"),"The car is very good. Removes pellets very well, things look like new")</f>
        <v>The car is very good. Removes pellets very well, things look like new</v>
      </c>
    </row>
    <row r="9727" spans="1:9" x14ac:dyDescent="0.3">
      <c r="A9727" s="1" t="s">
        <v>206</v>
      </c>
      <c r="B9727" s="1" t="s">
        <v>261</v>
      </c>
      <c r="C9727" s="1" t="s">
        <v>351</v>
      </c>
      <c r="D9727" s="1" t="s">
        <v>86</v>
      </c>
      <c r="E9727" s="1" t="s">
        <v>4659</v>
      </c>
      <c r="F9727" s="1" t="s">
        <v>14299</v>
      </c>
      <c r="G9727" s="1" t="s">
        <v>15</v>
      </c>
      <c r="H9727" s="1" t="s">
        <v>16</v>
      </c>
      <c r="I9727" s="1" t="str">
        <f ca="1">IFERROR(__xludf.DUMMYFUNCTION("GOOGLETRANSLATE(F9727, ""auto"", ""en"")
"),"A terrible set, let's start with the fact that the cables are not completely copper, most of them are aluminum, covered with copper. The manufacturing quality itself is not very good, to put it mildly. One plus is that the large cross-sections of the cabl"&amp;"es compensate for the poor material.")</f>
        <v>A terrible set, let's start with the fact that the cables are not completely copper, most of them are aluminum, covered with copper. The manufacturing quality itself is not very good, to put it mildly. One plus is that the large cross-sections of the cables compensate for the poor material.</v>
      </c>
    </row>
    <row r="9728" spans="1:9" x14ac:dyDescent="0.3">
      <c r="A9728" s="1" t="s">
        <v>61</v>
      </c>
      <c r="B9728" s="1" t="s">
        <v>318</v>
      </c>
      <c r="C9728" s="1" t="s">
        <v>63</v>
      </c>
      <c r="D9728" s="1" t="s">
        <v>565</v>
      </c>
      <c r="E9728" s="1" t="s">
        <v>897</v>
      </c>
      <c r="F9728" s="1" t="s">
        <v>14300</v>
      </c>
      <c r="G9728" s="1" t="s">
        <v>15</v>
      </c>
      <c r="H9728" s="1" t="s">
        <v>16</v>
      </c>
      <c r="I9728" s="1" t="str">
        <f ca="1">IFERROR(__xludf.DUMMYFUNCTION("GOOGLETRANSLATE(F9728, ""auto"", ""en"")
"),"It served for almost 8 years, the indicator light burned out after a year, the contact in the stand burned out a couple of times (my husband took it apart and repaired it), the scale filter is just one name, it falls out and interferes more than it filter"&amp;"s, but the main disadvantage is the structure of the spout, it leaks when pouring shamelessly - from the spout and down the body. Until I got the hang of it, I doused my feet with boiling water more than once.")</f>
        <v>It served for almost 8 years, the indicator light burned out after a year, the contact in the stand burned out a couple of times (my husband took it apart and repaired it), the scale filter is just one name, it falls out and interferes more than it filters, but the main disadvantage is the structure of the spout, it leaks when pouring shamelessly - from the spout and down the body. Until I got the hang of it, I doused my feet with boiling water more than once.</v>
      </c>
    </row>
    <row r="9729" spans="1:9" x14ac:dyDescent="0.3">
      <c r="A9729" s="1" t="s">
        <v>149</v>
      </c>
      <c r="B9729" s="1" t="s">
        <v>155</v>
      </c>
      <c r="C9729" s="1" t="s">
        <v>80</v>
      </c>
      <c r="D9729" s="1" t="s">
        <v>39</v>
      </c>
      <c r="E9729" s="1" t="s">
        <v>3775</v>
      </c>
      <c r="F9729" s="1" t="s">
        <v>14301</v>
      </c>
      <c r="G9729" s="1" t="s">
        <v>36</v>
      </c>
      <c r="H9729" s="1" t="s">
        <v>29</v>
      </c>
      <c r="I9729" s="1" t="str">
        <f ca="1">IFERROR(__xludf.DUMMYFUNCTION("GOOGLETRANSLATE(F9729, ""auto"", ""en"")
"),"I bought a vacuum cleaner today and tried it out. I really liked it. The first is excellent design, the second is ease of disassembly. It is very powerful in operation, the engine runs quite quietly and pulls in at 100. I am very pleased with the purchase"&amp;".")</f>
        <v>I bought a vacuum cleaner today and tried it out. I really liked it. The first is excellent design, the second is ease of disassembly. It is very powerful in operation, the engine runs quite quietly and pulls in at 100. I am very pleased with the purchase.</v>
      </c>
    </row>
    <row r="9730" spans="1:9" x14ac:dyDescent="0.3">
      <c r="A9730" s="1" t="s">
        <v>61</v>
      </c>
      <c r="B9730" s="1" t="s">
        <v>224</v>
      </c>
      <c r="C9730" s="1" t="s">
        <v>74</v>
      </c>
      <c r="D9730" s="1" t="s">
        <v>545</v>
      </c>
      <c r="E9730" s="1" t="s">
        <v>594</v>
      </c>
      <c r="F9730" s="1" t="s">
        <v>14302</v>
      </c>
      <c r="G9730" s="1" t="s">
        <v>36</v>
      </c>
      <c r="H9730" s="1" t="s">
        <v>29</v>
      </c>
      <c r="I9730" s="1" t="str">
        <f ca="1">IFERROR(__xludf.DUMMYFUNCTION("GOOGLETRANSLATE(F9730, ""auto"", ""en"")
"),"Great stuff! I bought it despite all the persuasion of the sales assistant not to buy (and there are such things...) I came home, expected disappointment, but received only pleasure and delicious juice in the shortest possible time. The carrots squeeze pe"&amp;"rfectly, which the seller did not promise, and the cake is dry, although they said that you will need to press it with your hands, and the sieve does not often clog, as promised. In general, I’m happy, even if it takes up a lot of space, and you have to w"&amp;"ash a lot of things, but it’s enough just to bring it to the water))")</f>
        <v>Great stuff! I bought it despite all the persuasion of the sales assistant not to buy (and there are such things...) I came home, expected disappointment, but received only pleasure and delicious juice in the shortest possible time. The carrots squeeze perfectly, which the seller did not promise, and the cake is dry, although they said that you will need to press it with your hands, and the sieve does not often clog, as promised. In general, I’m happy, even if it takes up a lot of space, and you have to wash a lot of things, but it’s enough just to bring it to the water))</v>
      </c>
    </row>
    <row r="9731" spans="1:9" x14ac:dyDescent="0.3">
      <c r="A9731" s="1" t="s">
        <v>37</v>
      </c>
      <c r="B9731" s="1" t="s">
        <v>38</v>
      </c>
      <c r="C9731" s="1" t="s">
        <v>163</v>
      </c>
      <c r="D9731" s="1" t="s">
        <v>1036</v>
      </c>
      <c r="E9731" s="1" t="s">
        <v>128</v>
      </c>
      <c r="F9731" s="1" t="s">
        <v>14303</v>
      </c>
      <c r="G9731" s="1" t="s">
        <v>36</v>
      </c>
      <c r="H9731" s="1" t="s">
        <v>29</v>
      </c>
      <c r="I9731" s="1" t="str">
        <f ca="1">IFERROR(__xludf.DUMMYFUNCTION("GOOGLETRANSLATE(F9731, ""auto"", ""en"")
"),"The phone is very cool!! Nothing extra, but everything you need is there! For those who have cracks on the silver part - advice: in every city there are salons where they select stickers for individual models, buy them and don’t worry!!! (for residents of"&amp;" Chelyabinsk, this is Megapolis)")</f>
        <v>The phone is very cool!! Nothing extra, but everything you need is there! For those who have cracks on the silver part - advice: in every city there are salons where they select stickers for individual models, buy them and don’t worry!!! (for residents of Chelyabinsk, this is Megapolis)</v>
      </c>
    </row>
    <row r="9732" spans="1:9" x14ac:dyDescent="0.3">
      <c r="A9732" s="1" t="s">
        <v>211</v>
      </c>
      <c r="B9732" s="1" t="s">
        <v>384</v>
      </c>
      <c r="C9732" s="1" t="s">
        <v>101</v>
      </c>
      <c r="D9732" s="1" t="s">
        <v>14304</v>
      </c>
      <c r="E9732" s="1" t="s">
        <v>1454</v>
      </c>
      <c r="F9732" s="1" t="s">
        <v>14305</v>
      </c>
      <c r="G9732" s="1" t="s">
        <v>28</v>
      </c>
      <c r="H9732" s="1" t="s">
        <v>29</v>
      </c>
      <c r="I9732" s="1" t="str">
        <f ca="1">IFERROR(__xludf.DUMMYFUNCTION("GOOGLETRANSLATE(F9732, ""auto"", ""en"")
"),"The scales are like scales, I’ve been using them for 4 months. They seem to show the truth. But honestly, the price is 250-300 rubles.")</f>
        <v>The scales are like scales, I’ve been using them for 4 months. They seem to show the truth. But honestly, the price is 250-300 rubles.</v>
      </c>
    </row>
    <row r="9733" spans="1:9" x14ac:dyDescent="0.3">
      <c r="A9733" s="1" t="s">
        <v>43</v>
      </c>
      <c r="B9733" s="1" t="s">
        <v>44</v>
      </c>
      <c r="C9733" s="1" t="s">
        <v>101</v>
      </c>
      <c r="D9733" s="1" t="s">
        <v>474</v>
      </c>
      <c r="E9733" s="1" t="s">
        <v>10689</v>
      </c>
      <c r="F9733" s="1" t="s">
        <v>14306</v>
      </c>
      <c r="G9733" s="1" t="s">
        <v>28</v>
      </c>
      <c r="H9733" s="1" t="s">
        <v>29</v>
      </c>
      <c r="I9733" s="1" t="str">
        <f ca="1">IFERROR(__xludf.DUMMYFUNCTION("GOOGLETRANSLATE(F9733, ""auto"", ""en"")
"),"I bought this fan that year, it still works and I think it will last the next year, good airflow is convenient, several speeds, does not take up much space, the price is normal for a small room, it is quite suitable, a budget option, the color is quite ni"&amp;"ce, it copes with its functions perfectly, the downside is that it takes a long time to assemble but it’s not scary, I was also pleasantly pleased with the price")</f>
        <v>I bought this fan that year, it still works and I think it will last the next year, good airflow is convenient, several speeds, does not take up much space, the price is normal for a small room, it is quite suitable, a budget option, the color is quite nice, it copes with its functions perfectly, the downside is that it takes a long time to assemble but it’s not scary, I was also pleasantly pleased with the price</v>
      </c>
    </row>
    <row r="9734" spans="1:9" x14ac:dyDescent="0.3">
      <c r="A9734" s="1" t="s">
        <v>89</v>
      </c>
      <c r="B9734" s="1" t="s">
        <v>90</v>
      </c>
      <c r="C9734" s="1" t="s">
        <v>101</v>
      </c>
      <c r="D9734" s="1" t="s">
        <v>12</v>
      </c>
      <c r="E9734" s="1" t="s">
        <v>4483</v>
      </c>
      <c r="F9734" s="1" t="s">
        <v>14307</v>
      </c>
      <c r="G9734" s="1" t="s">
        <v>36</v>
      </c>
      <c r="H9734" s="1" t="s">
        <v>29</v>
      </c>
      <c r="I9734" s="1" t="str">
        <f ca="1">IFERROR(__xludf.DUMMYFUNCTION("GOOGLETRANSLATE(F9734, ""auto"", ""en"")
"),"I read a lot of reviews before buying this coffee grinder. I've been using it for 2 months - everything is fine. The grinding is good, there is no foreign smell during grinding (burnt or burnt plastic, for example), the grinding quality, in my opinion, is"&amp;" good. Satisfied.")</f>
        <v>I read a lot of reviews before buying this coffee grinder. I've been using it for 2 months - everything is fine. The grinding is good, there is no foreign smell during grinding (burnt or burnt plastic, for example), the grinding quality, in my opinion, is good. Satisfied.</v>
      </c>
    </row>
    <row r="9735" spans="1:9" x14ac:dyDescent="0.3">
      <c r="A9735" s="1" t="s">
        <v>211</v>
      </c>
      <c r="B9735" s="1" t="s">
        <v>2818</v>
      </c>
      <c r="C9735" s="1" t="s">
        <v>122</v>
      </c>
      <c r="D9735" s="1" t="s">
        <v>14308</v>
      </c>
      <c r="E9735" s="1" t="s">
        <v>868</v>
      </c>
      <c r="F9735" s="1" t="s">
        <v>14309</v>
      </c>
      <c r="G9735" s="1" t="s">
        <v>36</v>
      </c>
      <c r="H9735" s="1" t="s">
        <v>29</v>
      </c>
      <c r="I9735" s="1" t="str">
        <f ca="1">IFERROR(__xludf.DUMMYFUNCTION("GOOGLETRANSLATE(F9735, ""auto"", ""en"")
"),"It’s a good mesh, it’s very inexpensive, but it lasts quite a long time. I’ve already bought two pieces in a year and am completely satisfied. It fit my razor (model 4025) just right, there were no problems with attaching it, it holds up well and doesn’t "&amp;"fall off during shaving. It is also easy to clean; in my case, I just rinse it under water and then no other manipulations are required; it also dries quickly. The result is an excellent quality razor accessory, I’m not disappointed!")</f>
        <v>It’s a good mesh, it’s very inexpensive, but it lasts quite a long time. I’ve already bought two pieces in a year and am completely satisfied. It fit my razor (model 4025) just right, there were no problems with attaching it, it holds up well and doesn’t fall off during shaving. It is also easy to clean; in my case, I just rinse it under water and then no other manipulations are required; it also dries quickly. The result is an excellent quality razor accessory, I’m not disappointed!</v>
      </c>
    </row>
    <row r="9736" spans="1:9" x14ac:dyDescent="0.3">
      <c r="A9736" s="1" t="s">
        <v>624</v>
      </c>
      <c r="B9736" s="1" t="s">
        <v>625</v>
      </c>
      <c r="C9736" s="1" t="s">
        <v>479</v>
      </c>
      <c r="D9736" s="1" t="s">
        <v>11207</v>
      </c>
      <c r="E9736" s="1" t="s">
        <v>1899</v>
      </c>
      <c r="F9736" s="1" t="s">
        <v>14310</v>
      </c>
      <c r="G9736" s="1" t="s">
        <v>28</v>
      </c>
      <c r="H9736" s="1" t="s">
        <v>29</v>
      </c>
      <c r="I9736" s="1" t="str">
        <f ca="1">IFERROR(__xludf.DUMMYFUNCTION("GOOGLETRANSLATE(F9736, ""auto"", ""en"")
"),"The plot is good, but online is worse than in BC-2")</f>
        <v>The plot is good, but online is worse than in BC-2</v>
      </c>
    </row>
    <row r="9737" spans="1:9" x14ac:dyDescent="0.3">
      <c r="A9737" s="1" t="s">
        <v>61</v>
      </c>
      <c r="B9737" s="1" t="s">
        <v>318</v>
      </c>
      <c r="C9737" s="1" t="s">
        <v>246</v>
      </c>
      <c r="D9737" s="1" t="s">
        <v>12</v>
      </c>
      <c r="E9737" s="1" t="s">
        <v>755</v>
      </c>
      <c r="F9737" s="1" t="s">
        <v>14311</v>
      </c>
      <c r="G9737" s="1" t="s">
        <v>36</v>
      </c>
      <c r="H9737" s="1" t="s">
        <v>29</v>
      </c>
      <c r="I9737" s="1" t="str">
        <f ca="1">IFERROR(__xludf.DUMMYFUNCTION("GOOGLETRANSLATE(F9737, ""auto"", ""en"")
"),"Nice, quiet, boils water very quickly. Water is poured into it through a spout, which is very convenient. Don’t believe that it’s inconvenient to pour water from it into a thermos; they even poured water from it into a bottle. In general, I highly recomme"&amp;"nd it. We bought it to replace a yellow Moulinex whose lid had fallen off and breathed a sigh of relief, not even realizing that we were all slightly deaf from the old kettle.")</f>
        <v>Nice, quiet, boils water very quickly. Water is poured into it through a spout, which is very convenient. Don’t believe that it’s inconvenient to pour water from it into a thermos; they even poured water from it into a bottle. In general, I highly recommend it. We bought it to replace a yellow Moulinex whose lid had fallen off and breathed a sigh of relief, not even realizing that we were all slightly deaf from the old kettle.</v>
      </c>
    </row>
    <row r="9738" spans="1:9" x14ac:dyDescent="0.3">
      <c r="A9738" s="1" t="s">
        <v>105</v>
      </c>
      <c r="B9738" s="1" t="s">
        <v>106</v>
      </c>
      <c r="C9738" s="1" t="s">
        <v>151</v>
      </c>
      <c r="D9738" s="1" t="s">
        <v>14312</v>
      </c>
      <c r="E9738" s="1" t="s">
        <v>6661</v>
      </c>
      <c r="F9738" s="1" t="s">
        <v>14313</v>
      </c>
      <c r="G9738" s="1" t="s">
        <v>36</v>
      </c>
      <c r="H9738" s="1" t="s">
        <v>29</v>
      </c>
      <c r="I9738" s="1" t="str">
        <f ca="1">IFERROR(__xludf.DUMMYFUNCTION("GOOGLETRANSLATE(F9738, ""auto"", ""en"")
"),"the player is already 2 years old, just an excellent device, holds a charge for a long time, a special coating prevents the player from being scratched, a great menu, excellent design. The programs for it are very well selected, generally cool, I listen t"&amp;"o music all the time) as for the headphones, yes they are good, but after 6 months the input broke, well, the wire broke, but that doesn’t mean that they are bad, I just drag the player back and forth. I still haven’t even figured out many of them program"&amp;"s) and I don’t know about them) in general, take it, you won’t regret it)")</f>
        <v>the player is already 2 years old, just an excellent device, holds a charge for a long time, a special coating prevents the player from being scratched, a great menu, excellent design. The programs for it are very well selected, generally cool, I listen to music all the time) as for the headphones, yes they are good, but after 6 months the input broke, well, the wire broke, but that doesn’t mean that they are bad, I just drag the player back and forth. I still haven’t even figured out many of them programs) and I don’t know about them) in general, take it, you won’t regret it)</v>
      </c>
    </row>
    <row r="9739" spans="1:9" x14ac:dyDescent="0.3">
      <c r="A9739" s="1" t="s">
        <v>9</v>
      </c>
      <c r="B9739" s="1" t="s">
        <v>10</v>
      </c>
      <c r="C9739" s="1" t="s">
        <v>466</v>
      </c>
      <c r="D9739" s="1" t="s">
        <v>2826</v>
      </c>
      <c r="E9739" s="1" t="s">
        <v>2344</v>
      </c>
      <c r="F9739" s="1" t="s">
        <v>14314</v>
      </c>
      <c r="G9739" s="1" t="s">
        <v>36</v>
      </c>
      <c r="H9739" s="1" t="s">
        <v>29</v>
      </c>
      <c r="I9739" s="1" t="str">
        <f ca="1">IFERROR(__xludf.DUMMYFUNCTION("GOOGLETRANSLATE(F9739, ""auto"", ""en"")
"),"Stylish, not noisy, powerful with small dimensions")</f>
        <v>Stylish, not noisy, powerful with small dimensions</v>
      </c>
    </row>
    <row r="9740" spans="1:9" x14ac:dyDescent="0.3">
      <c r="A9740" s="1" t="s">
        <v>9</v>
      </c>
      <c r="B9740" s="1" t="s">
        <v>23</v>
      </c>
      <c r="C9740" s="1" t="s">
        <v>466</v>
      </c>
      <c r="D9740" s="1" t="s">
        <v>156</v>
      </c>
      <c r="E9740" s="1" t="s">
        <v>1669</v>
      </c>
      <c r="F9740" s="1" t="s">
        <v>14315</v>
      </c>
      <c r="G9740" s="1" t="s">
        <v>49</v>
      </c>
      <c r="H9740" s="1" t="s">
        <v>16</v>
      </c>
      <c r="I9740" s="1" t="str">
        <f ca="1">IFERROR(__xludf.DUMMYFUNCTION("GOOGLETRANSLATE(F9740, ""auto"", ""en"")
"),"Cleans terribly the first time. at least with a pill, at least separately. It doesn’t show any errors yet, but it’s terrible. I have to wash it. immediately regretted the purchase.&amp;nbsp;")</f>
        <v>Cleans terribly the first time. at least with a pill, at least separately. It doesn’t show any errors yet, but it’s terrible. I have to wash it. immediately regretted the purchase.&amp;nbsp;</v>
      </c>
    </row>
    <row r="9741" spans="1:9" x14ac:dyDescent="0.3">
      <c r="A9741" s="1" t="s">
        <v>211</v>
      </c>
      <c r="B9741" s="1" t="s">
        <v>212</v>
      </c>
      <c r="C9741" s="1" t="s">
        <v>381</v>
      </c>
      <c r="D9741" s="1" t="s">
        <v>64</v>
      </c>
      <c r="E9741" s="1" t="s">
        <v>3769</v>
      </c>
      <c r="F9741" s="1" t="s">
        <v>14316</v>
      </c>
      <c r="G9741" s="1" t="s">
        <v>49</v>
      </c>
      <c r="H9741" s="1" t="s">
        <v>16</v>
      </c>
      <c r="I9741" s="1" t="str">
        <f ca="1">IFERROR(__xludf.DUMMYFUNCTION("GOOGLETRANSLATE(F9741, ""auto"", ""en"")
"),"I bought these curling irons in the hope that I would curl large curls for myself, like Madonna or Shakira))) But alas and ah: this curling iron either does not heat up at all, or the diameter is too large, but the hair was straight and remained... Althou"&amp;"gh I held it for a very long time, sparing neither effort, nor time, nor styling products, nor the hair itself... Now it lies idle. If anyone needs it, I would give it away for free!")</f>
        <v>I bought these curling irons in the hope that I would curl large curls for myself, like Madonna or Shakira))) But alas and ah: this curling iron either does not heat up at all, or the diameter is too large, but the hair was straight and remained... Although I held it for a very long time, sparing neither effort, nor time, nor styling products, nor the hair itself... Now it lies idle. If anyone needs it, I would give it away for free!</v>
      </c>
    </row>
    <row r="9742" spans="1:9" x14ac:dyDescent="0.3">
      <c r="A9742" s="1" t="s">
        <v>61</v>
      </c>
      <c r="B9742" s="1" t="s">
        <v>5714</v>
      </c>
      <c r="C9742" s="1" t="s">
        <v>146</v>
      </c>
      <c r="D9742" s="1" t="s">
        <v>5031</v>
      </c>
      <c r="E9742" s="1" t="s">
        <v>2841</v>
      </c>
      <c r="F9742" s="1" t="s">
        <v>14317</v>
      </c>
      <c r="G9742" s="1" t="s">
        <v>36</v>
      </c>
      <c r="H9742" s="1" t="s">
        <v>29</v>
      </c>
      <c r="I9742" s="1" t="str">
        <f ca="1">IFERROR(__xludf.DUMMYFUNCTION("GOOGLETRANSLATE(F9742, ""auto"", ""en"")
"),"We received an attachment for our Kenwood food processor for our anniversary. We love real pasta very much, and here is a special attachment that ideally makes thin, long, high-quality pasta. It is made very well, made of stainless steel - you can immedia"&amp;"tely feel that it is of high quality. We recommend!")</f>
        <v>We received an attachment for our Kenwood food processor for our anniversary. We love real pasta very much, and here is a special attachment that ideally makes thin, long, high-quality pasta. It is made very well, made of stainless steel - you can immediately feel that it is of high quality. We recommend!</v>
      </c>
    </row>
    <row r="9743" spans="1:9" x14ac:dyDescent="0.3">
      <c r="A9743" s="1" t="s">
        <v>61</v>
      </c>
      <c r="B9743" s="1" t="s">
        <v>62</v>
      </c>
      <c r="C9743" s="1" t="s">
        <v>146</v>
      </c>
      <c r="D9743" s="1" t="s">
        <v>1241</v>
      </c>
      <c r="E9743" s="1" t="s">
        <v>4896</v>
      </c>
      <c r="F9743" s="1" t="s">
        <v>14318</v>
      </c>
      <c r="G9743" s="1" t="s">
        <v>36</v>
      </c>
      <c r="H9743" s="1" t="s">
        <v>29</v>
      </c>
      <c r="I9743" s="1" t="str">
        <f ca="1">IFERROR(__xludf.DUMMYFUNCTION("GOOGLETRANSLATE(F9743, ""auto"", ""en"")
"),"Excellent food processor, I've been using it for almost a year, powerful, many attachments, easy to disassemble and assemble, easy to use, I'm very happy with my purchase! I recommend it.")</f>
        <v>Excellent food processor, I've been using it for almost a year, powerful, many attachments, easy to disassemble and assemble, easy to use, I'm very happy with my purchase! I recommend it.</v>
      </c>
    </row>
    <row r="9744" spans="1:9" x14ac:dyDescent="0.3">
      <c r="A9744" s="1" t="s">
        <v>30</v>
      </c>
      <c r="B9744" s="1" t="s">
        <v>31</v>
      </c>
      <c r="C9744" s="1" t="s">
        <v>32</v>
      </c>
      <c r="D9744" s="1" t="s">
        <v>280</v>
      </c>
      <c r="E9744" s="1" t="s">
        <v>3184</v>
      </c>
      <c r="F9744" s="1" t="s">
        <v>14319</v>
      </c>
      <c r="G9744" s="1" t="s">
        <v>28</v>
      </c>
      <c r="H9744" s="1" t="s">
        <v>29</v>
      </c>
      <c r="I9744" s="1" t="str">
        <f ca="1">IFERROR(__xludf.DUMMYFUNCTION("GOOGLETRANSLATE(F9744, ""auto"", ""en"")
"),"Those for whom this miracle works normally after a reboot are lucky; the reboot doesn’t have such a beneficial effect on me, it freezes as many times as I try to play, but it only freezes in games. The unit was purchased mainly for games, because it is po"&amp;"sitioned as an optimized gaming station. And, okay, even when you play in single player, but it’s inconvenient in front of your opponents online when you crash out of the game in the most interesting place. In general, there is little joy so far, except f"&amp;"or the fact that most modern games run great at maximum speed without a hint of brakes, but the pleasure lasts for about 15 minutes. I gave it a 4 with the hope of fixing the problem.  Maybe someone has found a way to solve the problem, please tell me wha"&amp;"t’s wrong, how to fix it?")</f>
        <v>Those for whom this miracle works normally after a reboot are lucky; the reboot doesn’t have such a beneficial effect on me, it freezes as many times as I try to play, but it only freezes in games. The unit was purchased mainly for games, because it is positioned as an optimized gaming station. And, okay, even when you play in single player, but it’s inconvenient in front of your opponents online when you crash out of the game in the most interesting place. In general, there is little joy so far, except for the fact that most modern games run great at maximum speed without a hint of brakes, but the pleasure lasts for about 15 minutes. I gave it a 4 with the hope of fixing the problem.  Maybe someone has found a way to solve the problem, please tell me what’s wrong, how to fix it?</v>
      </c>
    </row>
    <row r="9745" spans="1:9" x14ac:dyDescent="0.3">
      <c r="A9745" s="1" t="s">
        <v>37</v>
      </c>
      <c r="B9745" s="1" t="s">
        <v>536</v>
      </c>
      <c r="C9745" s="1" t="s">
        <v>163</v>
      </c>
      <c r="D9745" s="1" t="s">
        <v>14320</v>
      </c>
      <c r="E9745" s="1" t="s">
        <v>1654</v>
      </c>
      <c r="F9745" s="1" t="s">
        <v>14321</v>
      </c>
      <c r="G9745" s="1" t="s">
        <v>36</v>
      </c>
      <c r="H9745" s="1" t="s">
        <v>29</v>
      </c>
      <c r="I9745" s="1" t="str">
        <f ca="1">IFERROR(__xludf.DUMMYFUNCTION("GOOGLETRANSLATE(F9745, ""auto"", ""en"")
"),"I like the phone, I bought it a couple of days ago!!! Can be used as a toy, but at the same time for simple communication!!!!   The speaker is really not strong, but it plays well for headphones!)))) The camera is weak!")</f>
        <v>I like the phone, I bought it a couple of days ago!!! Can be used as a toy, but at the same time for simple communication!!!!   The speaker is really not strong, but it plays well for headphones!)))) The camera is weak!</v>
      </c>
    </row>
    <row r="9746" spans="1:9" x14ac:dyDescent="0.3">
      <c r="A9746" s="1" t="s">
        <v>43</v>
      </c>
      <c r="B9746" s="1" t="s">
        <v>1370</v>
      </c>
      <c r="C9746" s="1" t="s">
        <v>2137</v>
      </c>
      <c r="D9746" s="1" t="s">
        <v>14322</v>
      </c>
      <c r="E9746" s="1" t="s">
        <v>3020</v>
      </c>
      <c r="F9746" s="1" t="s">
        <v>14323</v>
      </c>
      <c r="G9746" s="1" t="s">
        <v>49</v>
      </c>
      <c r="H9746" s="1" t="s">
        <v>16</v>
      </c>
      <c r="I9746" s="1" t="str">
        <f ca="1">IFERROR(__xludf.DUMMYFUNCTION("GOOGLETRANSLATE(F9746, ""auto"", ""en"")
"),"Disappointed. Only lukewarm water runs at 5 kW, the flask burst 3 months after purchase and water poured onto the floor - it’s good that we were at home at that moment.")</f>
        <v>Disappointed. Only lukewarm water runs at 5 kW, the flask burst 3 months after purchase and water poured onto the floor - it’s good that we were at home at that moment.</v>
      </c>
    </row>
    <row r="9747" spans="1:9" x14ac:dyDescent="0.3">
      <c r="A9747" s="1" t="s">
        <v>67</v>
      </c>
      <c r="B9747" s="1" t="s">
        <v>68</v>
      </c>
      <c r="C9747" s="1" t="s">
        <v>246</v>
      </c>
      <c r="D9747" s="1" t="s">
        <v>14324</v>
      </c>
      <c r="E9747" s="1" t="s">
        <v>511</v>
      </c>
      <c r="F9747" s="1" t="s">
        <v>14325</v>
      </c>
      <c r="G9747" s="1" t="s">
        <v>36</v>
      </c>
      <c r="H9747" s="1" t="s">
        <v>29</v>
      </c>
      <c r="I9747" s="1" t="str">
        <f ca="1">IFERROR(__xludf.DUMMYFUNCTION("GOOGLETRANSLATE(F9747, ""auto"", ""en"")
"),"I bought it, tried it - it seemed good... But I can’t figure it out - how to remove the rod for cleaning?! I pressed the button, the rod came out a little... What next? Should I take it out? I'm afraid I'll break it by using excessive force... :(((It was "&amp;"also stressful that the instructions begin not with Russian, but with Little Russian...")</f>
        <v>I bought it, tried it - it seemed good... But I can’t figure it out - how to remove the rod for cleaning?! I pressed the button, the rod came out a little... What next? Should I take it out? I'm afraid I'll break it by using excessive force... :(((It was also stressful that the instructions begin not with Russian, but with Little Russian...</v>
      </c>
    </row>
    <row r="9748" spans="1:9" x14ac:dyDescent="0.3">
      <c r="A9748" s="1" t="s">
        <v>30</v>
      </c>
      <c r="B9748" s="1" t="s">
        <v>50</v>
      </c>
      <c r="C9748" s="1" t="s">
        <v>32</v>
      </c>
      <c r="D9748" s="1" t="s">
        <v>114</v>
      </c>
      <c r="E9748" s="1" t="s">
        <v>191</v>
      </c>
      <c r="F9748" s="1" t="s">
        <v>14326</v>
      </c>
      <c r="G9748" s="1" t="s">
        <v>36</v>
      </c>
      <c r="H9748" s="1" t="s">
        <v>29</v>
      </c>
      <c r="I9748" s="1" t="str">
        <f ca="1">IFERROR(__xludf.DUMMYFUNCTION("GOOGLETRANSLATE(F9748, ""auto"", ""en"")
"),"Very pleased with the purchase. With such performance characteristics for such a price, this is a good price/filling ratio. a good processor, 500 gigs on a screw (which I had already filled with all sorts of rubbish in a week) and the “vidyukha” made me v"&amp;"ery happy.   Well, now the cons.  1) and main. pre-installed 64-bit Windows is very annoying. even though all applications work. it still slows down (working with heavy applications (Adobe Audition, etc.) causes a little discomfort. Well, it’s not the lap"&amp;"top’s fault (we’ll blame it on Gates’ crooked hands =)) Now the disadvantages of the laptop.  2) the drive is inconveniently close to the USB port; a couple of times I found myself unable to remove the disk because of a plugged-in flash drive.  3) very fl"&amp;"imsy monitor cover. Doesn't fit tightly when closed. If you lightly press the lid on the other side while working, you can see the pixels floating happily on the monitor, which is a little scary when you want to move the laptop towards you.      I was ver"&amp;"y pleased with everything else.   Over time I’ll tear down Windows and install my favorite Open Suse. I hope it will improve productivity.")</f>
        <v>Very pleased with the purchase. With such performance characteristics for such a price, this is a good price/filling ratio. a good processor, 500 gigs on a screw (which I had already filled with all sorts of rubbish in a week) and the “vidyukha” made me very happy.   Well, now the cons.  1) and main. pre-installed 64-bit Windows is very annoying. even though all applications work. it still slows down (working with heavy applications (Adobe Audition, etc.) causes a little discomfort. Well, it’s not the laptop’s fault (we’ll blame it on Gates’ crooked hands =)) Now the disadvantages of the laptop.  2) the drive is inconveniently close to the USB port; a couple of times I found myself unable to remove the disk because of a plugged-in flash drive.  3) very flimsy monitor cover. Doesn't fit tightly when closed. If you lightly press the lid on the other side while working, you can see the pixels floating happily on the monitor, which is a little scary when you want to move the laptop towards you.      I was very pleased with everything else.   Over time I’ll tear down Windows and install my favorite Open Suse. I hope it will improve productivity.</v>
      </c>
    </row>
    <row r="9749" spans="1:9" x14ac:dyDescent="0.3">
      <c r="A9749" s="1" t="s">
        <v>149</v>
      </c>
      <c r="B9749" s="1" t="s">
        <v>155</v>
      </c>
      <c r="C9749" s="1" t="s">
        <v>159</v>
      </c>
      <c r="D9749" s="1" t="s">
        <v>545</v>
      </c>
      <c r="E9749" s="1" t="s">
        <v>1875</v>
      </c>
      <c r="F9749" s="1" t="s">
        <v>14327</v>
      </c>
      <c r="G9749" s="1" t="s">
        <v>49</v>
      </c>
      <c r="H9749" s="1" t="s">
        <v>16</v>
      </c>
      <c r="I9749" s="1" t="str">
        <f ca="1">IFERROR(__xludf.DUMMYFUNCTION("GOOGLETRANSLATE(F9749, ""auto"", ""en"")
"),"Gifted for my birthday. The cord tensioner broke during the first week. That is, it does not hold the extended cord, it gets wrapped up. We attached a clothespin :)) It held! The container cannot be pulled out! Every time I'm afraid I'll break it! I didn’"&amp;"t wash the filter once, but the second time the vacuum cleaner doesn’t work! A little more and the filter and cap fell out from behind. It doesn't fit at all! If it weren’t for the gift, I would have brought it back! Don't buy it! He's not even a year old"&amp;" yet, but he's all broken up! Better to overpay!")</f>
        <v>Gifted for my birthday. The cord tensioner broke during the first week. That is, it does not hold the extended cord, it gets wrapped up. We attached a clothespin :)) It held! The container cannot be pulled out! Every time I'm afraid I'll break it! I didn’t wash the filter once, but the second time the vacuum cleaner doesn’t work! A little more and the filter and cap fell out from behind. It doesn't fit at all! If it weren’t for the gift, I would have brought it back! Don't buy it! He's not even a year old yet, but he's all broken up! Better to overpay!</v>
      </c>
    </row>
    <row r="9750" spans="1:9" x14ac:dyDescent="0.3">
      <c r="A9750" s="1" t="s">
        <v>17</v>
      </c>
      <c r="B9750" s="1" t="s">
        <v>18</v>
      </c>
      <c r="C9750" s="1" t="s">
        <v>159</v>
      </c>
      <c r="D9750" s="1" t="s">
        <v>1890</v>
      </c>
      <c r="E9750" s="1" t="s">
        <v>3945</v>
      </c>
      <c r="F9750" s="1" t="s">
        <v>14328</v>
      </c>
      <c r="G9750" s="1" t="s">
        <v>36</v>
      </c>
      <c r="H9750" s="1" t="s">
        <v>29</v>
      </c>
      <c r="I9750" s="1" t="str">
        <f ca="1">IFERROR(__xludf.DUMMYFUNCTION("GOOGLETRANSLATE(F9750, ""auto"", ""en"")
"),"It was very easy for me to make a choice in favor of this washing machine model. Firstly, this is definitely an Electrolux company (I have been using an oven and hob from this company for several years now, no complaints). Secondly, after renovating the b"&amp;"athroom, due to its overall dimensions, I only needed a top-loading machine. Thirdly, the convenience of the menu and ease of cleaning after washing (in this model the drain pump is located inside the drum - the filter is easy to remove and clean). Silent"&amp;"ly washes and spins. And the fact that there is no timer, you get used to it and have a rough idea of ​​how long this or that program lasts. Moreover, a sound signal is given. In general, I recommend it!")</f>
        <v>It was very easy for me to make a choice in favor of this washing machine model. Firstly, this is definitely an Electrolux company (I have been using an oven and hob from this company for several years now, no complaints). Secondly, after renovating the bathroom, due to its overall dimensions, I only needed a top-loading machine. Thirdly, the convenience of the menu and ease of cleaning after washing (in this model the drain pump is located inside the drum - the filter is easy to remove and clean). Silently washes and spins. And the fact that there is no timer, you get used to it and have a rough idea of ​​how long this or that program lasts. Moreover, a sound signal is given. In general, I recommend it!</v>
      </c>
    </row>
    <row r="9751" spans="1:9" x14ac:dyDescent="0.3">
      <c r="A9751" s="1" t="s">
        <v>120</v>
      </c>
      <c r="B9751" s="1" t="s">
        <v>126</v>
      </c>
      <c r="C9751" s="1" t="s">
        <v>151</v>
      </c>
      <c r="D9751" s="1" t="s">
        <v>14329</v>
      </c>
      <c r="E9751" s="1" t="s">
        <v>883</v>
      </c>
      <c r="F9751" s="1" t="s">
        <v>14330</v>
      </c>
      <c r="G9751" s="1" t="s">
        <v>28</v>
      </c>
      <c r="H9751" s="1" t="s">
        <v>29</v>
      </c>
      <c r="I9751" s="1" t="str">
        <f ca="1">IFERROR(__xludf.DUMMYFUNCTION("GOOGLETRANSLATE(F9751, ""auto"", ""en"")
"),"I agree with what was written earlier. The TV is really excellent. Watching movies in HD from the built-in media player is the best experience. But when connecting the PlayStation 3, all the shortcomings of plasma technology immediately emerged. This is s"&amp;"tatic, flickering, lack of smoothing, etc. My eyes immediately began to get tired. For games - definitely an LCD. For films - definitely plasma.   Tip 1: To prevent the TV from turning on itself at night, disable the “Software update in standby mode” menu"&amp;" item Support-Software update.  Tip 2: When downloading movies from torrents, watch out for the High@L4.1 parameter; above 4.1 the TV will not read it, verified)")</f>
        <v>I agree with what was written earlier. The TV is really excellent. Watching movies in HD from the built-in media player is the best experience. But when connecting the PlayStation 3, all the shortcomings of plasma technology immediately emerged. This is static, flickering, lack of smoothing, etc. My eyes immediately began to get tired. For games - definitely an LCD. For films - definitely plasma.   Tip 1: To prevent the TV from turning on itself at night, disable the “Software update in standby mode” menu item Support-Software update.  Tip 2: When downloading movies from torrents, watch out for the High@L4.1 parameter; above 4.1 the TV will not read it, verified)</v>
      </c>
    </row>
    <row r="9752" spans="1:9" x14ac:dyDescent="0.3">
      <c r="A9752" s="1" t="s">
        <v>811</v>
      </c>
      <c r="B9752" s="1" t="s">
        <v>812</v>
      </c>
      <c r="C9752" s="1" t="s">
        <v>813</v>
      </c>
      <c r="D9752" s="1" t="s">
        <v>247</v>
      </c>
      <c r="E9752" s="1" t="s">
        <v>3145</v>
      </c>
      <c r="F9752" s="1" t="s">
        <v>14331</v>
      </c>
      <c r="G9752" s="1" t="s">
        <v>36</v>
      </c>
      <c r="H9752" s="1" t="s">
        <v>29</v>
      </c>
      <c r="I9752" s="1" t="str">
        <f ca="1">IFERROR(__xludf.DUMMYFUNCTION("GOOGLETRANSLATE(F9752, ""auto"", ""en"")
"),"The maximum load is greater than in the documents")</f>
        <v>The maximum load is greater than in the documents</v>
      </c>
    </row>
    <row r="9753" spans="1:9" x14ac:dyDescent="0.3">
      <c r="A9753" s="1" t="s">
        <v>61</v>
      </c>
      <c r="B9753" s="1" t="s">
        <v>73</v>
      </c>
      <c r="C9753" s="1" t="s">
        <v>146</v>
      </c>
      <c r="D9753" s="1" t="s">
        <v>295</v>
      </c>
      <c r="E9753" s="1" t="s">
        <v>288</v>
      </c>
      <c r="F9753" s="1" t="s">
        <v>14332</v>
      </c>
      <c r="G9753" s="1" t="s">
        <v>36</v>
      </c>
      <c r="H9753" s="1" t="s">
        <v>29</v>
      </c>
      <c r="I9753" s="1" t="str">
        <f ca="1">IFERROR(__xludf.DUMMYFUNCTION("GOOGLETRANSLATE(F9753, ""auto"", ""en"")
"),"We bought ourselves such a meat grinder on the occasion of the numerous upcoming spring holidays, and we are not used to eating semi-finished products. We approached the choice very seriously, conducted a SURVEY among our friends, what shortcomings in the"&amp;"ir equipment bothered them, took them into account, and, excluding all their dissatisfaction, our choice fell on this meat grinder. In terms of price-quality ratio - only 5 points. The metal body and auger add reliability; before this we had a meat grinde"&amp;"r with a plastic auger, but the auger wore out after six months.")</f>
        <v>We bought ourselves such a meat grinder on the occasion of the numerous upcoming spring holidays, and we are not used to eating semi-finished products. We approached the choice very seriously, conducted a SURVEY among our friends, what shortcomings in their equipment bothered them, took them into account, and, excluding all their dissatisfaction, our choice fell on this meat grinder. In terms of price-quality ratio - only 5 points. The metal body and auger add reliability; before this we had a meat grinder with a plastic auger, but the auger wore out after six months.</v>
      </c>
    </row>
    <row r="9754" spans="1:9" x14ac:dyDescent="0.3">
      <c r="A9754" s="1" t="s">
        <v>30</v>
      </c>
      <c r="B9754" s="1" t="s">
        <v>50</v>
      </c>
      <c r="C9754" s="1" t="s">
        <v>51</v>
      </c>
      <c r="D9754" s="1" t="s">
        <v>14333</v>
      </c>
      <c r="E9754" s="1" t="s">
        <v>201</v>
      </c>
      <c r="F9754" s="1" t="s">
        <v>14334</v>
      </c>
      <c r="G9754" s="1" t="s">
        <v>36</v>
      </c>
      <c r="H9754" s="1" t="s">
        <v>29</v>
      </c>
      <c r="I9754" s="1" t="str">
        <f ca="1">IFERROR(__xludf.DUMMYFUNCTION("GOOGLETRANSLATE(F9754, ""auto"", ""en"")
"),"Cool laptop.  I recommend it to everyone")</f>
        <v>Cool laptop.  I recommend it to everyone</v>
      </c>
    </row>
    <row r="9755" spans="1:9" x14ac:dyDescent="0.3">
      <c r="A9755" s="1" t="s">
        <v>61</v>
      </c>
      <c r="B9755" s="1" t="s">
        <v>224</v>
      </c>
      <c r="C9755" s="1" t="s">
        <v>85</v>
      </c>
      <c r="D9755" s="1" t="s">
        <v>3937</v>
      </c>
      <c r="E9755" s="1" t="s">
        <v>3673</v>
      </c>
      <c r="F9755" s="1" t="s">
        <v>14335</v>
      </c>
      <c r="G9755" s="1" t="s">
        <v>36</v>
      </c>
      <c r="H9755" s="1" t="s">
        <v>29</v>
      </c>
      <c r="I9755" s="1" t="str">
        <f ca="1">IFERROR(__xludf.DUMMYFUNCTION("GOOGLETRANSLATE(F9755, ""auto"", ""en"")
"),"I dreamed about this model for a long time, and 3 months ago my husband gave it to me for his birthday) now we drink juice every morning!  from 2 apples the juice yield is 200-250 ml!!!  it's just gorgeous!!!  nothing gets clogged, everything washes great"&amp;") it harvests citrus fruits and tomatoes with a bang!")</f>
        <v>I dreamed about this model for a long time, and 3 months ago my husband gave it to me for his birthday) now we drink juice every morning!  from 2 apples the juice yield is 200-250 ml!!!  it's just gorgeous!!!  nothing gets clogged, everything washes great) it harvests citrus fruits and tomatoes with a bang!</v>
      </c>
    </row>
    <row r="9756" spans="1:9" x14ac:dyDescent="0.3">
      <c r="A9756" s="1" t="s">
        <v>61</v>
      </c>
      <c r="B9756" s="1" t="s">
        <v>318</v>
      </c>
      <c r="C9756" s="1" t="s">
        <v>1461</v>
      </c>
      <c r="D9756" s="1" t="s">
        <v>14336</v>
      </c>
      <c r="E9756" s="1" t="s">
        <v>1384</v>
      </c>
      <c r="F9756" s="1" t="s">
        <v>14337</v>
      </c>
      <c r="G9756" s="1" t="s">
        <v>36</v>
      </c>
      <c r="H9756" s="1" t="s">
        <v>29</v>
      </c>
      <c r="I9756" s="1" t="str">
        <f ca="1">IFERROR(__xludf.DUMMYFUNCTION("GOOGLETRANSLATE(F9756, ""auto"", ""en"")
"),"I bought a kettle about 3 months ago! very good, no complaints! I’m happy)))")</f>
        <v>I bought a kettle about 3 months ago! very good, no complaints! I’m happy)))</v>
      </c>
    </row>
    <row r="9757" spans="1:9" x14ac:dyDescent="0.3">
      <c r="A9757" s="1" t="s">
        <v>624</v>
      </c>
      <c r="B9757" s="1" t="s">
        <v>881</v>
      </c>
      <c r="C9757" s="1" t="s">
        <v>479</v>
      </c>
      <c r="D9757" s="1" t="s">
        <v>14338</v>
      </c>
      <c r="E9757" s="1" t="s">
        <v>4129</v>
      </c>
      <c r="F9757" s="1" t="s">
        <v>14339</v>
      </c>
      <c r="G9757" s="1" t="s">
        <v>36</v>
      </c>
      <c r="H9757" s="1" t="s">
        <v>29</v>
      </c>
      <c r="I9757" s="1" t="str">
        <f ca="1">IFERROR(__xludf.DUMMYFUNCTION("GOOGLETRANSLATE(F9757, ""auto"", ""en"")
"),"Undoubtedly one of the best games in this genre! Well done Square Enix! Long life to them and creative success. And we will wait for Final Fantasy VII, in a new incarnation.")</f>
        <v>Undoubtedly one of the best games in this genre! Well done Square Enix! Long life to them and creative success. And we will wait for Final Fantasy VII, in a new incarnation.</v>
      </c>
    </row>
    <row r="9758" spans="1:9" x14ac:dyDescent="0.3">
      <c r="A9758" s="1" t="s">
        <v>373</v>
      </c>
      <c r="B9758" s="1" t="s">
        <v>374</v>
      </c>
      <c r="C9758" s="1" t="s">
        <v>19</v>
      </c>
      <c r="D9758" s="1" t="s">
        <v>247</v>
      </c>
      <c r="E9758" s="1" t="s">
        <v>2171</v>
      </c>
      <c r="F9758" s="1" t="s">
        <v>14340</v>
      </c>
      <c r="G9758" s="1" t="s">
        <v>28</v>
      </c>
      <c r="H9758" s="1" t="s">
        <v>29</v>
      </c>
      <c r="I9758" s="1" t="str">
        <f ca="1">IFERROR(__xludf.DUMMYFUNCTION("GOOGLETRANSLATE(F9758, ""auto"", ""en"")
"),"I've been using the dishwasher for a year and a half. Overall there are no complaints. You just need to read the instructions carefully! It doesn't always wash the pots, but everything else just shines. You need to correctly dose the detergent (preferably"&amp;" powder) and rinse aid. But it does not dry on all modes. Suitable for daily use 3. Previously, I only had one washing machine, and now I have a dishwasher. Thanks to her!")</f>
        <v>I've been using the dishwasher for a year and a half. Overall there are no complaints. You just need to read the instructions carefully! It doesn't always wash the pots, but everything else just shines. You need to correctly dose the detergent (preferably powder) and rinse aid. But it does not dry on all modes. Suitable for daily use 3. Previously, I only had one washing machine, and now I have a dishwasher. Thanks to her!</v>
      </c>
    </row>
    <row r="9759" spans="1:9" x14ac:dyDescent="0.3">
      <c r="A9759" s="1" t="s">
        <v>9</v>
      </c>
      <c r="B9759" s="1" t="s">
        <v>133</v>
      </c>
      <c r="C9759" s="1" t="s">
        <v>588</v>
      </c>
      <c r="D9759" s="1" t="s">
        <v>385</v>
      </c>
      <c r="E9759" s="1" t="s">
        <v>3778</v>
      </c>
      <c r="F9759" s="1" t="s">
        <v>14341</v>
      </c>
      <c r="G9759" s="1" t="s">
        <v>36</v>
      </c>
      <c r="H9759" s="1" t="s">
        <v>29</v>
      </c>
      <c r="I9759" s="1" t="str">
        <f ca="1">IFERROR(__xludf.DUMMYFUNCTION("GOOGLETRANSLATE(F9759, ""auto"", ""en"")
"),"The oven is super! Includes 3 baking sheets and a wire rack + a temperature probe for meat. We cooked meat, everything was tasty and fast. Cleans up very easily. I’m very pleased with what I purchased!")</f>
        <v>The oven is super! Includes 3 baking sheets and a wire rack + a temperature probe for meat. We cooked meat, everything was tasty and fast. Cleans up very easily. I’m very pleased with what I purchased!</v>
      </c>
    </row>
    <row r="9760" spans="1:9" x14ac:dyDescent="0.3">
      <c r="A9760" s="1" t="s">
        <v>149</v>
      </c>
      <c r="B9760" s="1" t="s">
        <v>155</v>
      </c>
      <c r="C9760" s="1" t="s">
        <v>151</v>
      </c>
      <c r="D9760" s="1" t="s">
        <v>335</v>
      </c>
      <c r="E9760" s="1" t="s">
        <v>3390</v>
      </c>
      <c r="F9760" s="1" t="s">
        <v>14342</v>
      </c>
      <c r="G9760" s="1" t="s">
        <v>28</v>
      </c>
      <c r="H9760" s="1" t="s">
        <v>29</v>
      </c>
      <c r="I9760" s="1" t="str">
        <f ca="1">IFERROR(__xludf.DUMMYFUNCTION("GOOGLETRANSLATE(F9760, ""auto"", ""en"")
"),"I liked it, it's a normal vacuum cleaner. I don’t know what will happen in the future, but for now everything is fine.")</f>
        <v>I liked it, it's a normal vacuum cleaner. I don’t know what will happen in the future, but for now everything is fine.</v>
      </c>
    </row>
    <row r="9761" spans="1:9" x14ac:dyDescent="0.3">
      <c r="A9761" s="1" t="s">
        <v>169</v>
      </c>
      <c r="B9761" s="1" t="s">
        <v>170</v>
      </c>
      <c r="C9761" s="1" t="s">
        <v>193</v>
      </c>
      <c r="D9761" s="1" t="s">
        <v>86</v>
      </c>
      <c r="E9761" s="1" t="s">
        <v>2271</v>
      </c>
      <c r="F9761" s="1" t="s">
        <v>14343</v>
      </c>
      <c r="G9761" s="1" t="s">
        <v>36</v>
      </c>
      <c r="H9761" s="1" t="s">
        <v>29</v>
      </c>
      <c r="I9761" s="1" t="str">
        <f ca="1">IFERROR(__xludf.DUMMYFUNCTION("GOOGLETRANSLATE(F9761, ""auto"", ""en"")
"),"Excellent headphones, comfortable, not annoying, and they sound great! For its price it's just 5+)))")</f>
        <v>Excellent headphones, comfortable, not annoying, and they sound great! For its price it's just 5+)))</v>
      </c>
    </row>
    <row r="9762" spans="1:9" x14ac:dyDescent="0.3">
      <c r="A9762" s="1" t="s">
        <v>369</v>
      </c>
      <c r="B9762" s="1" t="s">
        <v>587</v>
      </c>
      <c r="C9762" s="1" t="s">
        <v>588</v>
      </c>
      <c r="D9762" s="1" t="s">
        <v>943</v>
      </c>
      <c r="E9762" s="1" t="s">
        <v>6578</v>
      </c>
      <c r="F9762" s="1" t="s">
        <v>14344</v>
      </c>
      <c r="G9762" s="1" t="s">
        <v>36</v>
      </c>
      <c r="H9762" s="1" t="s">
        <v>29</v>
      </c>
      <c r="I9762" s="1" t="str">
        <f ca="1">IFERROR(__xludf.DUMMYFUNCTION("GOOGLETRANSLATE(F9762, ""auto"", ""en"")
"),"The stainless steel was burnt due to a fire on a large burner on the second day, with black soot.")</f>
        <v>The stainless steel was burnt due to a fire on a large burner on the second day, with black soot.</v>
      </c>
    </row>
    <row r="9763" spans="1:9" x14ac:dyDescent="0.3">
      <c r="A9763" s="1" t="s">
        <v>61</v>
      </c>
      <c r="B9763" s="1" t="s">
        <v>180</v>
      </c>
      <c r="C9763" s="1" t="s">
        <v>74</v>
      </c>
      <c r="D9763" s="1" t="s">
        <v>247</v>
      </c>
      <c r="E9763" s="1" t="s">
        <v>7120</v>
      </c>
      <c r="F9763" s="1" t="s">
        <v>14345</v>
      </c>
      <c r="G9763" s="1" t="s">
        <v>36</v>
      </c>
      <c r="H9763" s="1" t="s">
        <v>29</v>
      </c>
      <c r="I9763" s="1" t="str">
        <f ca="1">IFERROR(__xludf.DUMMYFUNCTION("GOOGLETRANSLATE(F9763, ""auto"", ""en"")
"),"A convenient and irreplaceable thing in the kitchen, the sandwiches turn out very tasty.")</f>
        <v>A convenient and irreplaceable thing in the kitchen, the sandwiches turn out very tasty.</v>
      </c>
    </row>
    <row r="9764" spans="1:9" x14ac:dyDescent="0.3">
      <c r="A9764" s="1" t="s">
        <v>361</v>
      </c>
      <c r="B9764" s="1" t="s">
        <v>2555</v>
      </c>
      <c r="C9764" s="1" t="s">
        <v>4871</v>
      </c>
      <c r="D9764" s="1" t="s">
        <v>1188</v>
      </c>
      <c r="E9764" s="1" t="s">
        <v>9010</v>
      </c>
      <c r="F9764" s="1" t="s">
        <v>14346</v>
      </c>
      <c r="G9764" s="1" t="s">
        <v>36</v>
      </c>
      <c r="H9764" s="1" t="s">
        <v>29</v>
      </c>
      <c r="I9764" s="1" t="str">
        <f ca="1">IFERROR(__xludf.DUMMYFUNCTION("GOOGLETRANSLATE(F9764, ""auto"", ""en"")
"),"We have been using it for 5 months every day around the clock, we need water for the mixture, we are very satisfied! nothing leaks, the valve is very convenient, we always take it outside in hot or cold weather! A little heavy of course, but it holds the "&amp;"temperature perfectly!")</f>
        <v>We have been using it for 5 months every day around the clock, we need water for the mixture, we are very satisfied! nothing leaks, the valve is very convenient, we always take it outside in hot or cold weather! A little heavy of course, but it holds the temperature perfectly!</v>
      </c>
    </row>
    <row r="9765" spans="1:9" x14ac:dyDescent="0.3">
      <c r="A9765" s="1" t="s">
        <v>95</v>
      </c>
      <c r="B9765" s="1" t="s">
        <v>402</v>
      </c>
      <c r="C9765" s="1" t="s">
        <v>403</v>
      </c>
      <c r="D9765" s="1" t="s">
        <v>568</v>
      </c>
      <c r="E9765" s="1" t="s">
        <v>2778</v>
      </c>
      <c r="F9765" s="1" t="s">
        <v>14347</v>
      </c>
      <c r="G9765" s="1" t="s">
        <v>36</v>
      </c>
      <c r="H9765" s="1" t="s">
        <v>29</v>
      </c>
      <c r="I9765" s="1" t="str">
        <f ca="1">IFERROR(__xludf.DUMMYFUNCTION("GOOGLETRANSLATE(F9765, ""auto"", ""en"")
"),"I've been using this console for 4 months now. The impressions are only positive. The graphics, of course, are without any special frills, but they are quite at the level to enjoy the game. I was very pleased with the quality of workmanship - good plastic"&amp;", which, despite the glossy surface, does not scratch even when carrying the console in a pocket, and also practically does not collect fingerprints (the exception is the frame around the 3D screen, fingerprints are visible on it). Very high quality touch"&amp;" display, responds quickly and accurately. Importantly, the presence of a second screen makes the gameplay unique, and also allows the console to combine the advantages of touch and conventional button controls. Some games also use motion sensor controls."&amp;" There were no questions for him either - he instantly monitors the slightest change in the position of the console. The Internet browser is the most convenient I have ever seen on mobile devices, but unfortunately, it does not support Flash. There is onl"&amp;"y one drawback for me so far - the console does not support direct connection to a PC, and in order to upload, for example, photos, you have to take out the memory card, so a card reader is required.  In general, the product is excellent and I recommend i"&amp;"t to everyone. I would also like to point out that the comrades who gave the console the lowest rating are NOT its owners, and therefore cannot write objective reviews (in fact, one star is when the product is made extremely poorly; if you evaluate the co"&amp;"nsole objectively in all respects, then even an uninterested person cannot give it the minimum rating). Those who bought and used the console generally rated it ""excellent.""")</f>
        <v>I've been using this console for 4 months now. The impressions are only positive. The graphics, of course, are without any special frills, but they are quite at the level to enjoy the game. I was very pleased with the quality of workmanship - good plastic, which, despite the glossy surface, does not scratch even when carrying the console in a pocket, and also practically does not collect fingerprints (the exception is the frame around the 3D screen, fingerprints are visible on it). Very high quality touch display, responds quickly and accurately. Importantly, the presence of a second screen makes the gameplay unique, and also allows the console to combine the advantages of touch and conventional button controls. Some games also use motion sensor controls. There were no questions for him either - he instantly monitors the slightest change in the position of the console. The Internet browser is the most convenient I have ever seen on mobile devices, but unfortunately, it does not support Flash. There is only one drawback for me so far - the console does not support direct connection to a PC, and in order to upload, for example, photos, you have to take out the memory card, so a card reader is required.  In general, the product is excellent and I recommend it to everyone. I would also like to point out that the comrades who gave the console the lowest rating are NOT its owners, and therefore cannot write objective reviews (in fact, one star is when the product is made extremely poorly; if you evaluate the console objectively in all respects, then even an uninterested person cannot give it the minimum rating). Those who bought and used the console generally rated it "excellent."</v>
      </c>
    </row>
    <row r="9766" spans="1:9" x14ac:dyDescent="0.3">
      <c r="A9766" s="1" t="s">
        <v>37</v>
      </c>
      <c r="B9766" s="1" t="s">
        <v>355</v>
      </c>
      <c r="C9766" s="1" t="s">
        <v>356</v>
      </c>
      <c r="D9766" s="1" t="s">
        <v>39</v>
      </c>
      <c r="E9766" s="1" t="s">
        <v>606</v>
      </c>
      <c r="F9766" s="1" t="s">
        <v>14348</v>
      </c>
      <c r="G9766" s="1" t="s">
        <v>28</v>
      </c>
      <c r="H9766" s="1" t="s">
        <v>29</v>
      </c>
      <c r="I9766" s="1" t="str">
        <f ca="1">IFERROR(__xludf.DUMMYFUNCTION("GOOGLETRANSLATE(F9766, ""auto"", ""en"")
"),"I’m a fan of apple maniacs, but in reality, the price of all products is too high, even when the fourth one came out, the price of the three fell by only two thousand, or our operators simply determined the price of the fourth to be, to put it mildly, “vi"&amp;"gneral.”  The car is good, no doubt (although one already had a short circuit on the board; I just wanted to charge it in the car), but it’s all very overblown and shouldn’t cost that much.  I can say one thing in favor that the entire interface and funct"&amp;"ions inside do not work through the “back passage”, and other manufacturers have everything the same.")</f>
        <v>I’m a fan of apple maniacs, but in reality, the price of all products is too high, even when the fourth one came out, the price of the three fell by only two thousand, or our operators simply determined the price of the fourth to be, to put it mildly, “vigneral.”  The car is good, no doubt (although one already had a short circuit on the board; I just wanted to charge it in the car), but it’s all very overblown and shouldn’t cost that much.  I can say one thing in favor that the entire interface and functions inside do not work through the “back passage”, and other manufacturers have everything the same.</v>
      </c>
    </row>
    <row r="9767" spans="1:9" x14ac:dyDescent="0.3">
      <c r="A9767" s="1" t="s">
        <v>78</v>
      </c>
      <c r="B9767" s="1" t="s">
        <v>79</v>
      </c>
      <c r="C9767" s="1" t="s">
        <v>80</v>
      </c>
      <c r="D9767" s="1" t="s">
        <v>247</v>
      </c>
      <c r="E9767" s="1" t="s">
        <v>864</v>
      </c>
      <c r="F9767" s="1" t="s">
        <v>14349</v>
      </c>
      <c r="G9767" s="1" t="s">
        <v>36</v>
      </c>
      <c r="H9767" s="1" t="s">
        <v>29</v>
      </c>
      <c r="I9767" s="1" t="str">
        <f ca="1">IFERROR(__xludf.DUMMYFUNCTION("GOOGLETRANSLATE(F9767, ""auto"", ""en"")
"),"We bought this before the New Year. Completely satisfied, easy to clean.")</f>
        <v>We bought this before the New Year. Completely satisfied, easy to clean.</v>
      </c>
    </row>
    <row r="9768" spans="1:9" x14ac:dyDescent="0.3">
      <c r="A9768" s="1" t="s">
        <v>282</v>
      </c>
      <c r="B9768" s="1" t="s">
        <v>806</v>
      </c>
      <c r="C9768" s="1" t="s">
        <v>284</v>
      </c>
      <c r="D9768" s="1" t="s">
        <v>568</v>
      </c>
      <c r="E9768" s="1" t="s">
        <v>849</v>
      </c>
      <c r="F9768" s="1" t="s">
        <v>14350</v>
      </c>
      <c r="G9768" s="1" t="s">
        <v>36</v>
      </c>
      <c r="H9768" s="1" t="s">
        <v>29</v>
      </c>
      <c r="I9768" s="1" t="str">
        <f ca="1">IFERROR(__xludf.DUMMYFUNCTION("GOOGLETRANSLATE(F9768, ""auto"", ""en"")
"),"I purchased this film today from you, on the M-Video network, and I am very happy with this purchase. I thought that there would be some difficulties with playing this movie on my PlayStation 3 console, but as I expected, everything works smoothly and eff"&amp;"iciently! The picture is amazing. And the film is very good! I even felt a little nostalgia, since I watched this film in 2004 in Sochi, on vacation... thank you very much for the product you provided! I am a frequent visitor to your chain of stores, and "&amp;"I will be glad to continue to be there...thanks again!  I advise everyone to buy this film!")</f>
        <v>I purchased this film today from you, on the M-Video network, and I am very happy with this purchase. I thought that there would be some difficulties with playing this movie on my PlayStation 3 console, but as I expected, everything works smoothly and efficiently! The picture is amazing. And the film is very good! I even felt a little nostalgia, since I watched this film in 2004 in Sochi, on vacation... thank you very much for the product you provided! I am a frequent visitor to your chain of stores, and I will be glad to continue to be there...thanks again!  I advise everyone to buy this film!</v>
      </c>
    </row>
    <row r="9769" spans="1:9" x14ac:dyDescent="0.3">
      <c r="A9769" s="1" t="s">
        <v>149</v>
      </c>
      <c r="B9769" s="1" t="s">
        <v>155</v>
      </c>
      <c r="C9769" s="1" t="s">
        <v>159</v>
      </c>
      <c r="D9769" s="1" t="s">
        <v>171</v>
      </c>
      <c r="E9769" s="1" t="s">
        <v>2640</v>
      </c>
      <c r="F9769" s="1" t="s">
        <v>14351</v>
      </c>
      <c r="G9769" s="1" t="s">
        <v>49</v>
      </c>
      <c r="H9769" s="1" t="s">
        <v>16</v>
      </c>
      <c r="I9769" s="1" t="str">
        <f ca="1">IFERROR(__xludf.DUMMYFUNCTION("GOOGLETRANSLATE(F9769, ""auto"", ""en"")
"),"I can't say anything positive. I completely agree with the above claims.  It’s better not to buy such a “miracle”. It will be impossible to clean the apartment.")</f>
        <v>I can't say anything positive. I completely agree with the above claims.  It’s better not to buy such a “miracle”. It will be impossible to clean the apartment.</v>
      </c>
    </row>
    <row r="9770" spans="1:9" x14ac:dyDescent="0.3">
      <c r="A9770" s="1" t="s">
        <v>1443</v>
      </c>
      <c r="B9770" s="1" t="s">
        <v>1444</v>
      </c>
      <c r="C9770" s="1" t="s">
        <v>1445</v>
      </c>
      <c r="D9770" s="1" t="s">
        <v>305</v>
      </c>
      <c r="E9770" s="1" t="s">
        <v>6342</v>
      </c>
      <c r="F9770" s="1" t="s">
        <v>14352</v>
      </c>
      <c r="G9770" s="1" t="s">
        <v>36</v>
      </c>
      <c r="H9770" s="1" t="s">
        <v>29</v>
      </c>
      <c r="I9770" s="1" t="str">
        <f ca="1">IFERROR(__xludf.DUMMYFUNCTION("GOOGLETRANSLATE(F9770, ""auto"", ""en"")
"),"I don’t know who’s got it loose, I’ve been using it for 2 years, and with the keys in my pocket it rubs like new, nothing is loose anywhere, it works great! I often use it in the radio, 16 GB of music reads quickly, it has never hung up or been disconnect"&amp;"ed! I recommend it to everyone!!!")</f>
        <v>I don’t know who’s got it loose, I’ve been using it for 2 years, and with the keys in my pocket it rubs like new, nothing is loose anywhere, it works great! I often use it in the radio, 16 GB of music reads quickly, it has never hung up or been disconnected! I recommend it to everyone!!!</v>
      </c>
    </row>
    <row r="9771" spans="1:9" x14ac:dyDescent="0.3">
      <c r="A9771" s="1" t="s">
        <v>211</v>
      </c>
      <c r="B9771" s="1" t="s">
        <v>212</v>
      </c>
      <c r="C9771" s="1" t="s">
        <v>381</v>
      </c>
      <c r="D9771" s="1" t="s">
        <v>11271</v>
      </c>
      <c r="E9771" s="1" t="s">
        <v>1861</v>
      </c>
      <c r="F9771" s="1" t="s">
        <v>14353</v>
      </c>
      <c r="G9771" s="1" t="s">
        <v>36</v>
      </c>
      <c r="H9771" s="1" t="s">
        <v>29</v>
      </c>
      <c r="I9771" s="1" t="str">
        <f ca="1">IFERROR(__xludf.DUMMYFUNCTION("GOOGLETRANSLATE(F9771, ""auto"", ""en"")
"),"Straightens very well at low degrees.")</f>
        <v>Straightens very well at low degrees.</v>
      </c>
    </row>
    <row r="9772" spans="1:9" x14ac:dyDescent="0.3">
      <c r="A9772" s="1" t="s">
        <v>105</v>
      </c>
      <c r="B9772" s="1" t="s">
        <v>106</v>
      </c>
      <c r="C9772" s="1" t="s">
        <v>97</v>
      </c>
      <c r="D9772" s="1" t="s">
        <v>14354</v>
      </c>
      <c r="E9772" s="1" t="s">
        <v>3147</v>
      </c>
      <c r="F9772" s="1" t="s">
        <v>14355</v>
      </c>
      <c r="G9772" s="1" t="s">
        <v>36</v>
      </c>
      <c r="H9772" s="1" t="s">
        <v>29</v>
      </c>
      <c r="I9772" s="1" t="str">
        <f ca="1">IFERROR(__xludf.DUMMYFUNCTION("GOOGLETRANSLATE(F9772, ""auto"", ""en"")
"),"Today I purchased this device)) I spent a long time choosing, surfing various sites, comparing everything, and in the end I decided that this is the one! And you were right! The sound is EXCELLENT, the design is excellent, the controls are simple and conv"&amp;"enient, the display is the optimal size, all the shortcomings are minimal... In general, for the money it pays for itself completely. Don’t take texets, rovers, explays and other cheap nonsense, it’s better to overpay, it’s worth it, believe me")</f>
        <v>Today I purchased this device)) I spent a long time choosing, surfing various sites, comparing everything, and in the end I decided that this is the one! And you were right! The sound is EXCELLENT, the design is excellent, the controls are simple and convenient, the display is the optimal size, all the shortcomings are minimal... In general, for the money it pays for itself completely. Don’t take texets, rovers, explays and other cheap nonsense, it’s better to overpay, it’s worth it, believe me</v>
      </c>
    </row>
    <row r="9773" spans="1:9" x14ac:dyDescent="0.3">
      <c r="A9773" s="1" t="s">
        <v>43</v>
      </c>
      <c r="B9773" s="1" t="s">
        <v>1616</v>
      </c>
      <c r="C9773" s="1" t="s">
        <v>257</v>
      </c>
      <c r="D9773" s="1" t="s">
        <v>280</v>
      </c>
      <c r="E9773" s="1" t="s">
        <v>960</v>
      </c>
      <c r="F9773" s="1" t="s">
        <v>14356</v>
      </c>
      <c r="G9773" s="1" t="s">
        <v>49</v>
      </c>
      <c r="H9773" s="1" t="s">
        <v>16</v>
      </c>
      <c r="I9773" s="1" t="str">
        <f ca="1">IFERROR(__xludf.DUMMYFUNCTION("GOOGLETRANSLATE(F9773, ""auto"", ""en"")
"),"I spent a long time deciding whether to buy this model or a daiva, which is a little more expensive, in the end I took the daiva, a friend took this model - for him it works purely like a fan, only under it if you put a small child to sleep")</f>
        <v>I spent a long time deciding whether to buy this model or a daiva, which is a little more expensive, in the end I took the daiva, a friend took this model - for him it works purely like a fan, only under it if you put a small child to sleep</v>
      </c>
    </row>
    <row r="9774" spans="1:9" x14ac:dyDescent="0.3">
      <c r="A9774" s="1" t="s">
        <v>61</v>
      </c>
      <c r="B9774" s="1" t="s">
        <v>145</v>
      </c>
      <c r="C9774" s="1" t="s">
        <v>85</v>
      </c>
      <c r="D9774" s="1" t="s">
        <v>545</v>
      </c>
      <c r="E9774" s="1" t="s">
        <v>5307</v>
      </c>
      <c r="F9774" s="1" t="s">
        <v>14357</v>
      </c>
      <c r="G9774" s="1" t="s">
        <v>28</v>
      </c>
      <c r="H9774" s="1" t="s">
        <v>29</v>
      </c>
      <c r="I9774" s="1" t="str">
        <f ca="1">IFERROR(__xludf.DUMMYFUNCTION("GOOGLETRANSLATE(F9774, ""auto"", ""en"")
"),"This is my first steamer, I cook well in it, the instructions are clearly written - there is everything a beginner needs to know. I would also like to note that the baskets are not interchangeable (of different sizes), but this has never caused any inconv"&amp;"enience.")</f>
        <v>This is my first steamer, I cook well in it, the instructions are clearly written - there is everything a beginner needs to know. I would also like to note that the baskets are not interchangeable (of different sizes), but this has never caused any inconvenience.</v>
      </c>
    </row>
    <row r="9775" spans="1:9" x14ac:dyDescent="0.3">
      <c r="A9775" s="1" t="s">
        <v>206</v>
      </c>
      <c r="B9775" s="1" t="s">
        <v>207</v>
      </c>
      <c r="C9775" s="1" t="s">
        <v>1143</v>
      </c>
      <c r="D9775" s="1" t="s">
        <v>3326</v>
      </c>
      <c r="E9775" s="1" t="s">
        <v>3361</v>
      </c>
      <c r="F9775" s="1" t="s">
        <v>14358</v>
      </c>
      <c r="G9775" s="1" t="s">
        <v>36</v>
      </c>
      <c r="H9775" s="1" t="s">
        <v>29</v>
      </c>
      <c r="I9775" s="1" t="str">
        <f ca="1">IFERROR(__xludf.DUMMYFUNCTION("GOOGLETRANSLATE(F9775, ""auto"", ""en"")
"),"he needs a bigger box. literally by 5-10 liters. and fazik is better")</f>
        <v>he needs a bigger box. literally by 5-10 liters. and fazik is better</v>
      </c>
    </row>
    <row r="9776" spans="1:9" x14ac:dyDescent="0.3">
      <c r="A9776" s="1" t="s">
        <v>61</v>
      </c>
      <c r="B9776" s="1" t="s">
        <v>318</v>
      </c>
      <c r="C9776" s="1" t="s">
        <v>69</v>
      </c>
      <c r="D9776" s="1" t="s">
        <v>1917</v>
      </c>
      <c r="E9776" s="1" t="s">
        <v>71</v>
      </c>
      <c r="F9776" s="1" t="s">
        <v>14359</v>
      </c>
      <c r="G9776" s="1" t="s">
        <v>36</v>
      </c>
      <c r="H9776" s="1" t="s">
        <v>29</v>
      </c>
      <c r="I9776" s="1" t="str">
        <f ca="1">IFERROR(__xludf.DUMMYFUNCTION("GOOGLETRANSLATE(F9776, ""auto"", ""en"")
"),"Great kettle!!! After a year of use, nothing leaks. It's really hard, but it's not tolerable. And the quality is good. The plastic is not dry, there is no rust. No matter what they write there, everything is fine with me.")</f>
        <v>Great kettle!!! After a year of use, nothing leaks. It's really hard, but it's not tolerable. And the quality is good. The plastic is not dry, there is no rust. No matter what they write there, everything is fine with me.</v>
      </c>
    </row>
    <row r="9777" spans="1:9" x14ac:dyDescent="0.3">
      <c r="A9777" s="1" t="s">
        <v>149</v>
      </c>
      <c r="B9777" s="1" t="s">
        <v>155</v>
      </c>
      <c r="C9777" s="1" t="s">
        <v>63</v>
      </c>
      <c r="D9777" s="1" t="s">
        <v>411</v>
      </c>
      <c r="E9777" s="1" t="s">
        <v>5583</v>
      </c>
      <c r="F9777" s="1" t="s">
        <v>14360</v>
      </c>
      <c r="G9777" s="1" t="s">
        <v>15</v>
      </c>
      <c r="H9777" s="1" t="s">
        <v>16</v>
      </c>
      <c r="I9777" s="1" t="str">
        <f ca="1">IFERROR(__xludf.DUMMYFUNCTION("GOOGLETRANSLATE(F9777, ""auto"", ""en"")
"),"Worked for more than 2 years. It worked fine for the first six months, then it began to have poor suction. I had to clean the filters quite often, I did everything in accordance with the instruction manual. After this, the power increased, but still not a"&amp;"s it was at first. And now I’ve cleaned everything out - it doesn’t suck at all, although it hums. I called the service technician and am waiting for the additional warranty program.  Bosch lasted for 2 years")</f>
        <v>Worked for more than 2 years. It worked fine for the first six months, then it began to have poor suction. I had to clean the filters quite often, I did everything in accordance with the instruction manual. After this, the power increased, but still not as it was at first. And now I’ve cleaned everything out - it doesn’t suck at all, although it hums. I called the service technician and am waiting for the additional warranty program.  Bosch lasted for 2 years</v>
      </c>
    </row>
    <row r="9778" spans="1:9" x14ac:dyDescent="0.3">
      <c r="A9778" s="1" t="s">
        <v>169</v>
      </c>
      <c r="B9778" s="1" t="s">
        <v>170</v>
      </c>
      <c r="C9778" s="1" t="s">
        <v>97</v>
      </c>
      <c r="D9778" s="1" t="s">
        <v>327</v>
      </c>
      <c r="E9778" s="1" t="s">
        <v>3928</v>
      </c>
      <c r="F9778" s="1" t="s">
        <v>14361</v>
      </c>
      <c r="G9778" s="1" t="s">
        <v>15</v>
      </c>
      <c r="H9778" s="1" t="s">
        <v>16</v>
      </c>
      <c r="I9778" s="1" t="str">
        <f ca="1">IFERROR(__xludf.DUMMYFUNCTION("GOOGLETRANSLATE(F9778, ""auto"", ""en"")
"),"A frankly quiet sound that does not drown out the street at all. What kind of bass is there - you can hear a car passing by better than a song")</f>
        <v>A frankly quiet sound that does not drown out the street at all. What kind of bass is there - you can hear a car passing by better than a song</v>
      </c>
    </row>
    <row r="9779" spans="1:9" x14ac:dyDescent="0.3">
      <c r="A9779" s="1" t="s">
        <v>238</v>
      </c>
      <c r="B9779" s="1" t="s">
        <v>239</v>
      </c>
      <c r="C9779" s="1" t="s">
        <v>240</v>
      </c>
      <c r="D9779" s="1" t="s">
        <v>295</v>
      </c>
      <c r="E9779" s="1" t="s">
        <v>1601</v>
      </c>
      <c r="F9779" s="1" t="s">
        <v>945</v>
      </c>
      <c r="G9779" s="1" t="s">
        <v>36</v>
      </c>
      <c r="H9779" s="1" t="s">
        <v>29</v>
      </c>
      <c r="I9779" s="1" t="str">
        <f ca="1">IFERROR(__xludf.DUMMYFUNCTION("GOOGLETRANSLATE(F9779, ""auto"", ""en"")
"),"All")</f>
        <v>All</v>
      </c>
    </row>
    <row r="9780" spans="1:9" x14ac:dyDescent="0.3">
      <c r="A9780" s="1" t="s">
        <v>61</v>
      </c>
      <c r="B9780" s="1" t="s">
        <v>318</v>
      </c>
      <c r="C9780" s="1" t="s">
        <v>63</v>
      </c>
      <c r="D9780" s="1" t="s">
        <v>1681</v>
      </c>
      <c r="E9780" s="1" t="s">
        <v>708</v>
      </c>
      <c r="F9780" s="1" t="s">
        <v>14362</v>
      </c>
      <c r="G9780" s="1" t="s">
        <v>36</v>
      </c>
      <c r="H9780" s="1" t="s">
        <v>29</v>
      </c>
      <c r="I9780" s="1" t="str">
        <f ca="1">IFERROR(__xludf.DUMMYFUNCTION("GOOGLETRANSLATE(F9780, ""auto"", ""en"")
"),"Judging by the negative reviews, it seems that people were sold a fake. My kettle is almost a year old, the inscriptions have not been erased, the scale does not leak, there is no scale on the scale. However, I think that everything depends on proper use."&amp;" Previously, if necessary, I myself always poured cold water into a kettle that had not yet cooled down. However, this causes the water scale to crack. The store gave me the right advice, which made me very happy. I also noticed that when there were probl"&amp;"ems with turning off after boiling, this was also my fault. It’s just that when pouring water, I also came across the boiling indicator, and it was at these times that it did not turn off the boiling kettle.  Now it works like a charm.")</f>
        <v>Judging by the negative reviews, it seems that people were sold a fake. My kettle is almost a year old, the inscriptions have not been erased, the scale does not leak, there is no scale on the scale. However, I think that everything depends on proper use. Previously, if necessary, I myself always poured cold water into a kettle that had not yet cooled down. However, this causes the water scale to crack. The store gave me the right advice, which made me very happy. I also noticed that when there were problems with turning off after boiling, this was also my fault. It’s just that when pouring water, I also came across the boiling indicator, and it was at these times that it did not turn off the boiling kettle.  Now it works like a charm.</v>
      </c>
    </row>
    <row r="9781" spans="1:9" x14ac:dyDescent="0.3">
      <c r="A9781" s="1" t="s">
        <v>169</v>
      </c>
      <c r="B9781" s="1" t="s">
        <v>170</v>
      </c>
      <c r="C9781" s="1" t="s">
        <v>193</v>
      </c>
      <c r="D9781" s="1" t="s">
        <v>127</v>
      </c>
      <c r="E9781" s="1" t="s">
        <v>1012</v>
      </c>
      <c r="F9781" s="1" t="s">
        <v>14363</v>
      </c>
      <c r="G9781" s="1" t="s">
        <v>36</v>
      </c>
      <c r="H9781" s="1" t="s">
        <v>29</v>
      </c>
      <c r="I9781" s="1" t="str">
        <f ca="1">IFERROR(__xludf.DUMMYFUNCTION("GOOGLETRANSLATE(F9781, ""auto"", ""en"")
"),"After the headphones from the iPod broke, I searched for a long time for a replacement and found it. The headphones suit everyone completely, especially the good low frequencies.")</f>
        <v>After the headphones from the iPod broke, I searched for a long time for a replacement and found it. The headphones suit everyone completely, especially the good low frequencies.</v>
      </c>
    </row>
    <row r="9782" spans="1:9" x14ac:dyDescent="0.3">
      <c r="A9782" s="1" t="s">
        <v>965</v>
      </c>
      <c r="B9782" s="1" t="s">
        <v>966</v>
      </c>
      <c r="C9782" s="1" t="s">
        <v>2149</v>
      </c>
      <c r="D9782" s="1" t="s">
        <v>280</v>
      </c>
      <c r="E9782" s="1" t="s">
        <v>2126</v>
      </c>
      <c r="F9782" s="1" t="s">
        <v>14364</v>
      </c>
      <c r="G9782" s="1" t="s">
        <v>36</v>
      </c>
      <c r="H9782" s="1" t="s">
        <v>29</v>
      </c>
      <c r="I9782" s="1" t="str">
        <f ca="1">IFERROR(__xludf.DUMMYFUNCTION("GOOGLETRANSLATE(F9782, ""auto"", ""en"")
"),"A week ago I bought myself this acoustics! I want to say that I was not disappointed at all, but on the contrary, I was glad. Actually, this is what I expected from her and I finally got it! My friends, if someone is going to buy something like this for t"&amp;"hemselves, I can immediately say, don’t even think about it - TAKE IT, you won’t regret it. The sound is wonderful, especially for fans of electronic music, but if you have a preference for rock or instrumentals in general, then... I’ll say right away tha"&amp;"t not everything will be heard, because the sub has a rather soft bass, and judge for yourself what two small speakers that are located exactly in the center of each of the speakers can produce, because the top and bottom are not responsible for this, as "&amp;"it might seem at first glance, and I myself thought that there were three bands on each!!!  In short, for lovers of everything electronic and some instrumental - I ADVISE YOU TO TAKE IT, although the PRICE BITES a little, but it’s worth it!  As for the de"&amp;"sign, a special thanks to the creators of this thing, it looks just great, and it takes up very little space - I mean the satellites, and the sub can be hidden!  P.S. If you are still thinking about what to take, well, maybe you will find something cheape"&amp;"r there, you will probably find it, but... definitely not her. It will look different and the sound will be different!!! :-)")</f>
        <v>A week ago I bought myself this acoustics! I want to say that I was not disappointed at all, but on the contrary, I was glad. Actually, this is what I expected from her and I finally got it! My friends, if someone is going to buy something like this for themselves, I can immediately say, don’t even think about it - TAKE IT, you won’t regret it. The sound is wonderful, especially for fans of electronic music, but if you have a preference for rock or instrumentals in general, then... I’ll say right away that not everything will be heard, because the sub has a rather soft bass, and judge for yourself what two small speakers that are located exactly in the center of each of the speakers can produce, because the top and bottom are not responsible for this, as it might seem at first glance, and I myself thought that there were three bands on each!!!  In short, for lovers of everything electronic and some instrumental - I ADVISE YOU TO TAKE IT, although the PRICE BITES a little, but it’s worth it!  As for the design, a special thanks to the creators of this thing, it looks just great, and it takes up very little space - I mean the satellites, and the sub can be hidden!  P.S. If you are still thinking about what to take, well, maybe you will find something cheaper there, you will probably find it, but... definitely not her. It will look different and the sound will be different!!! :-)</v>
      </c>
    </row>
    <row r="9783" spans="1:9" x14ac:dyDescent="0.3">
      <c r="A9783" s="1" t="s">
        <v>61</v>
      </c>
      <c r="B9783" s="1" t="s">
        <v>318</v>
      </c>
      <c r="C9783" s="1" t="s">
        <v>57</v>
      </c>
      <c r="D9783" s="1" t="s">
        <v>474</v>
      </c>
      <c r="E9783" s="1" t="s">
        <v>2057</v>
      </c>
      <c r="F9783" s="1" t="s">
        <v>14365</v>
      </c>
      <c r="G9783" s="1" t="s">
        <v>28</v>
      </c>
      <c r="H9783" s="1" t="s">
        <v>29</v>
      </c>
      <c r="I9783" s="1" t="str">
        <f ca="1">IFERROR(__xludf.DUMMYFUNCTION("GOOGLETRANSLATE(F9783, ""auto"", ""en"")
"),"Everything works properly, it’s convenient that the buttons are translated into Russian.  My mom figured it out right away.   So far we have found only one drawback: a metallic smell.  Well, you can’t completely drain the water, if necessary, after the mi"&amp;"nimum it starts to heat up. We have to unplug it and drag out all this thermopot to pour it out.. but overall, we are happy.. we checked, it hardly consumes electricity))")</f>
        <v>Everything works properly, it’s convenient that the buttons are translated into Russian.  My mom figured it out right away.   So far we have found only one drawback: a metallic smell.  Well, you can’t completely drain the water, if necessary, after the minimum it starts to heat up. We have to unplug it and drag out all this thermopot to pour it out.. but overall, we are happy.. we checked, it hardly consumes electricity))</v>
      </c>
    </row>
    <row r="9784" spans="1:9" x14ac:dyDescent="0.3">
      <c r="A9784" s="1" t="s">
        <v>211</v>
      </c>
      <c r="B9784" s="1" t="s">
        <v>410</v>
      </c>
      <c r="C9784" s="1" t="s">
        <v>213</v>
      </c>
      <c r="D9784" s="1" t="s">
        <v>968</v>
      </c>
      <c r="E9784" s="1" t="s">
        <v>430</v>
      </c>
      <c r="F9784" s="1" t="s">
        <v>14366</v>
      </c>
      <c r="G9784" s="1" t="s">
        <v>36</v>
      </c>
      <c r="H9784" s="1" t="s">
        <v>29</v>
      </c>
      <c r="I9784" s="1" t="str">
        <f ca="1">IFERROR(__xludf.DUMMYFUNCTION("GOOGLETRANSLATE(F9784, ""auto"", ""en"")
"),"My first electric razor. In principle, I’m happy with everything, I shaved 2 times.")</f>
        <v>My first electric razor. In principle, I’m happy with everything, I shaved 2 times.</v>
      </c>
    </row>
    <row r="9785" spans="1:9" x14ac:dyDescent="0.3">
      <c r="A9785" s="1" t="s">
        <v>496</v>
      </c>
      <c r="B9785" s="1" t="s">
        <v>497</v>
      </c>
      <c r="C9785" s="1" t="s">
        <v>487</v>
      </c>
      <c r="D9785" s="1" t="s">
        <v>33</v>
      </c>
      <c r="E9785" s="1" t="s">
        <v>2371</v>
      </c>
      <c r="F9785" s="1" t="s">
        <v>14367</v>
      </c>
      <c r="G9785" s="1" t="s">
        <v>36</v>
      </c>
      <c r="H9785" s="1" t="s">
        <v>29</v>
      </c>
      <c r="I9785" s="1" t="str">
        <f ca="1">IFERROR(__xludf.DUMMYFUNCTION("GOOGLETRANSLATE(F9785, ""auto"", ""en"")
"),"I bought it for school and am very pleased. Unlike previous versions, this one is clearer and more convenient.")</f>
        <v>I bought it for school and am very pleased. Unlike previous versions, this one is clearer and more convenient.</v>
      </c>
    </row>
    <row r="9786" spans="1:9" x14ac:dyDescent="0.3">
      <c r="A9786" s="1" t="s">
        <v>61</v>
      </c>
      <c r="B9786" s="1" t="s">
        <v>318</v>
      </c>
      <c r="C9786" s="1" t="s">
        <v>74</v>
      </c>
      <c r="D9786" s="1" t="s">
        <v>14368</v>
      </c>
      <c r="E9786" s="1" t="s">
        <v>5696</v>
      </c>
      <c r="F9786" s="1" t="s">
        <v>14369</v>
      </c>
      <c r="G9786" s="1" t="s">
        <v>28</v>
      </c>
      <c r="H9786" s="1" t="s">
        <v>29</v>
      </c>
      <c r="I9786" s="1" t="str">
        <f ca="1">IFERROR(__xludf.DUMMYFUNCTION("GOOGLETRANSLATE(F9786, ""auto"", ""en"")
"),"It served perfectly for 4 years, heated the water quite quickly. Then, like many others, the bottom began to leak.")</f>
        <v>It served perfectly for 4 years, heated the water quite quickly. Then, like many others, the bottom began to leak.</v>
      </c>
    </row>
    <row r="9787" spans="1:9" x14ac:dyDescent="0.3">
      <c r="A9787" s="1" t="s">
        <v>105</v>
      </c>
      <c r="B9787" s="1" t="s">
        <v>106</v>
      </c>
      <c r="C9787" s="1" t="s">
        <v>1209</v>
      </c>
      <c r="D9787" s="1" t="s">
        <v>1996</v>
      </c>
      <c r="E9787" s="1" t="s">
        <v>1784</v>
      </c>
      <c r="F9787" s="1" t="s">
        <v>14370</v>
      </c>
      <c r="G9787" s="1" t="s">
        <v>36</v>
      </c>
      <c r="H9787" s="1" t="s">
        <v>29</v>
      </c>
      <c r="I9787" s="1" t="str">
        <f ca="1">IFERROR(__xludf.DUMMYFUNCTION("GOOGLETRANSLATE(F9787, ""auto"", ""en"")
"),"The player is great for listening to music. The radio hisses. It has lasted for 5 years. The battery lasts 15 hours. It's buggy in rock mode but works well with the rest.")</f>
        <v>The player is great for listening to music. The radio hisses. It has lasted for 5 years. The battery lasts 15 hours. It's buggy in rock mode but works well with the rest.</v>
      </c>
    </row>
    <row r="9788" spans="1:9" x14ac:dyDescent="0.3">
      <c r="A9788" s="1" t="s">
        <v>105</v>
      </c>
      <c r="B9788" s="1" t="s">
        <v>106</v>
      </c>
      <c r="C9788" s="1" t="s">
        <v>69</v>
      </c>
      <c r="D9788" s="1" t="s">
        <v>14371</v>
      </c>
      <c r="E9788" s="1" t="s">
        <v>1632</v>
      </c>
      <c r="F9788" s="1" t="s">
        <v>14372</v>
      </c>
      <c r="G9788" s="1" t="s">
        <v>36</v>
      </c>
      <c r="H9788" s="1" t="s">
        <v>29</v>
      </c>
      <c r="I9788" s="1" t="str">
        <f ca="1">IFERROR(__xludf.DUMMYFUNCTION("GOOGLETRANSLATE(F9788, ""auto"", ""en"")
"),"The sound is great! I bought other better headphones, but it turned out that the standard ones sound no worse. I listen to metal and rock. Very high quality live sound. The battery lasts the stated time. Radio quality. There are NO downsides! Everything i"&amp;"s stylish and reliable.")</f>
        <v>The sound is great! I bought other better headphones, but it turned out that the standard ones sound no worse. I listen to metal and rock. Very high quality live sound. The battery lasts the stated time. Radio quality. There are NO downsides! Everything is stylish and reliable.</v>
      </c>
    </row>
    <row r="9789" spans="1:9" x14ac:dyDescent="0.3">
      <c r="A9789" s="1" t="s">
        <v>105</v>
      </c>
      <c r="B9789" s="1" t="s">
        <v>106</v>
      </c>
      <c r="C9789" s="1" t="s">
        <v>97</v>
      </c>
      <c r="D9789" s="1" t="s">
        <v>749</v>
      </c>
      <c r="E9789" s="1" t="s">
        <v>2815</v>
      </c>
      <c r="F9789" s="1" t="s">
        <v>14373</v>
      </c>
      <c r="G9789" s="1" t="s">
        <v>28</v>
      </c>
      <c r="H9789" s="1" t="s">
        <v>29</v>
      </c>
      <c r="I9789" s="1" t="str">
        <f ca="1">IFERROR(__xludf.DUMMYFUNCTION("GOOGLETRANSLATE(F9789, ""auto"", ""en"")
"),"Purchased on March 23, 2010 MP3 Flash 4 GB Sony NWZ-E443 (4Gb) Pros: neat, durable case, high-quality connectors, buttons have a clear movement, ergonomic, despite the small size. The sound is excellent.  Cons: small screen, lack of expansion card slot.  "&amp;"  p/s: I chose from Explay M8 (8Gb), Samsung YP-Q2AB. The first one just has a crappy case and buttons - I eliminated it immediately, despite the slightly larger screen and expansion slot. The second one was not in the store where I bought it, and since t"&amp;"hey are identical to the Sony NWZ-E443, the choice fell on Sony. An additional argument was the name of the line - Welkman is still a brand with history.")</f>
        <v>Purchased on March 23, 2010 MP3 Flash 4 GB Sony NWZ-E443 (4Gb) Pros: neat, durable case, high-quality connectors, buttons have a clear movement, ergonomic, despite the small size. The sound is excellent.  Cons: small screen, lack of expansion card slot.    p/s: I chose from Explay M8 (8Gb), Samsung YP-Q2AB. The first one just has a crappy case and buttons - I eliminated it immediately, despite the slightly larger screen and expansion slot. The second one was not in the store where I bought it, and since they are identical to the Sony NWZ-E443, the choice fell on Sony. An additional argument was the name of the line - Welkman is still a brand with history.</v>
      </c>
    </row>
    <row r="9790" spans="1:9" x14ac:dyDescent="0.3">
      <c r="A9790" s="1" t="s">
        <v>9</v>
      </c>
      <c r="B9790" s="1" t="s">
        <v>137</v>
      </c>
      <c r="C9790" s="1" t="s">
        <v>151</v>
      </c>
      <c r="D9790" s="1" t="s">
        <v>592</v>
      </c>
      <c r="E9790" s="1" t="s">
        <v>2035</v>
      </c>
      <c r="F9790" s="1" t="s">
        <v>14374</v>
      </c>
      <c r="G9790" s="1" t="s">
        <v>36</v>
      </c>
      <c r="H9790" s="1" t="s">
        <v>29</v>
      </c>
      <c r="I9790" s="1" t="str">
        <f ca="1">IFERROR(__xludf.DUMMYFUNCTION("GOOGLETRANSLATE(F9790, ""auto"", ""en"")
"),"Overall satisfied. I'm used to the touch buttons, the timer is convenient to use, heats up quickly, nice design.")</f>
        <v>Overall satisfied. I'm used to the touch buttons, the timer is convenient to use, heats up quickly, nice design.</v>
      </c>
    </row>
    <row r="9791" spans="1:9" x14ac:dyDescent="0.3">
      <c r="A9791" s="1" t="s">
        <v>61</v>
      </c>
      <c r="B9791" s="1" t="s">
        <v>318</v>
      </c>
      <c r="C9791" s="1" t="s">
        <v>85</v>
      </c>
      <c r="D9791" s="1" t="s">
        <v>152</v>
      </c>
      <c r="E9791" s="1" t="s">
        <v>5423</v>
      </c>
      <c r="F9791" s="1" t="s">
        <v>14375</v>
      </c>
      <c r="G9791" s="1" t="s">
        <v>36</v>
      </c>
      <c r="H9791" s="1" t="s">
        <v>29</v>
      </c>
      <c r="I9791" s="1" t="str">
        <f ca="1">IFERROR(__xludf.DUMMYFUNCTION("GOOGLETRANSLATE(F9791, ""auto"", ""en"")
"),"Nice kettle. Money well spent.")</f>
        <v>Nice kettle. Money well spent.</v>
      </c>
    </row>
    <row r="9792" spans="1:9" x14ac:dyDescent="0.3">
      <c r="A9792" s="1" t="s">
        <v>43</v>
      </c>
      <c r="B9792" s="1" t="s">
        <v>1616</v>
      </c>
      <c r="C9792" s="1" t="s">
        <v>257</v>
      </c>
      <c r="D9792" s="1" t="s">
        <v>139</v>
      </c>
      <c r="E9792" s="1" t="s">
        <v>1270</v>
      </c>
      <c r="F9792" s="1" t="s">
        <v>14376</v>
      </c>
      <c r="G9792" s="1" t="s">
        <v>36</v>
      </c>
      <c r="H9792" s="1" t="s">
        <v>29</v>
      </c>
      <c r="I9792" s="1" t="str">
        <f ca="1">IFERROR(__xludf.DUMMYFUNCTION("GOOGLETRANSLATE(F9792, ""auto"", ""en"")
"),"For the second year it works like a Swiss watch - last year I didn’t turn it off for 2 months even for a minute, this year I made a normal plug for a plexiglass window for 1200 rubles. - and finally it became great!!! Room 17m. cools to 25 degrees. - ther"&amp;"e is not enough strength below. But this is a quite comfortable temperature. I just put the tube into a 10 liter canister. for the candence, the shutter did not turn off at night, otherwise in the heat I ran three times a day to empty the tank, and the ca"&amp;"nister lasts for 2 days on average at 35 outboard and 25 in the room. And you also need to make sure that the air intake mesh does not become clogged with dust - I remove it with a vacuum cleaner once a week. I like it better than the split because in the"&amp;" evening when you open the window it ventilates the room very well and quickly. We had a split installed in the next room this year - the main disadvantage is that it circulates air inside the room without ventilation. Each of them has its own pros and co"&amp;"ns.")</f>
        <v>For the second year it works like a Swiss watch - last year I didn’t turn it off for 2 months even for a minute, this year I made a normal plug for a plexiglass window for 1200 rubles. - and finally it became great!!! Room 17m. cools to 25 degrees. - there is not enough strength below. But this is a quite comfortable temperature. I just put the tube into a 10 liter canister. for the candence, the shutter did not turn off at night, otherwise in the heat I ran three times a day to empty the tank, and the canister lasts for 2 days on average at 35 outboard and 25 in the room. And you also need to make sure that the air intake mesh does not become clogged with dust - I remove it with a vacuum cleaner once a week. I like it better than the split because in the evening when you open the window it ventilates the room very well and quickly. We had a split installed in the next room this year - the main disadvantage is that it circulates air inside the room without ventilation. Each of them has its own pros and cons.</v>
      </c>
    </row>
    <row r="9793" spans="1:9" x14ac:dyDescent="0.3">
      <c r="A9793" s="1" t="s">
        <v>9</v>
      </c>
      <c r="B9793" s="1" t="s">
        <v>23</v>
      </c>
      <c r="C9793" s="1" t="s">
        <v>24</v>
      </c>
      <c r="D9793" s="1" t="s">
        <v>545</v>
      </c>
      <c r="E9793" s="1" t="s">
        <v>7617</v>
      </c>
      <c r="F9793" s="1" t="s">
        <v>14377</v>
      </c>
      <c r="G9793" s="1" t="s">
        <v>28</v>
      </c>
      <c r="H9793" s="1" t="s">
        <v>29</v>
      </c>
      <c r="I9793" s="1" t="str">
        <f ca="1">IFERROR(__xludf.DUMMYFUNCTION("GOOGLETRANSLATE(F9793, ""auto"", ""en"")
"),"Mine is 6 years old, I had no complaints about it, everything suited me, I used it every day, sometimes twice. But the other day the recirculation pump failed - the time has come. It costs about 5,000, you also need to find it, plus installation - it’s be"&amp;"tter to buy a new one.")</f>
        <v>Mine is 6 years old, I had no complaints about it, everything suited me, I used it every day, sometimes twice. But the other day the recirculation pump failed - the time has come. It costs about 5,000, you also need to find it, plus installation - it’s better to buy a new one.</v>
      </c>
    </row>
    <row r="9794" spans="1:9" x14ac:dyDescent="0.3">
      <c r="A9794" s="1" t="s">
        <v>211</v>
      </c>
      <c r="B9794" s="1" t="s">
        <v>410</v>
      </c>
      <c r="C9794" s="1" t="s">
        <v>213</v>
      </c>
      <c r="D9794" s="1" t="s">
        <v>4132</v>
      </c>
      <c r="E9794" s="1" t="s">
        <v>2126</v>
      </c>
      <c r="F9794" s="1" t="s">
        <v>14378</v>
      </c>
      <c r="G9794" s="1" t="s">
        <v>28</v>
      </c>
      <c r="H9794" s="1" t="s">
        <v>29</v>
      </c>
      <c r="I9794" s="1" t="str">
        <f ca="1">IFERROR(__xludf.DUMMYFUNCTION("GOOGLETRANSLATE(F9794, ""auto"", ""en"")
"),"I bought the razor in the video recently, I shaved a couple of times, in general it’s quite pleasant to shave, but as for shaving the neck, the hairs under the jaw where the hair growth is almost parallel to the skin are shaved rather poorly, although thi"&amp;"s may be due to my inexperience, the wire gets in the way, in general - you only buy a razor with a battery =))))")</f>
        <v>I bought the razor in the video recently, I shaved a couple of times, in general it’s quite pleasant to shave, but as for shaving the neck, the hairs under the jaw where the hair growth is almost parallel to the skin are shaved rather poorly, although this may be due to my inexperience, the wire gets in the way, in general - you only buy a razor with a battery =))))</v>
      </c>
    </row>
    <row r="9795" spans="1:9" x14ac:dyDescent="0.3">
      <c r="A9795" s="1" t="s">
        <v>211</v>
      </c>
      <c r="B9795" s="1" t="s">
        <v>212</v>
      </c>
      <c r="C9795" s="1" t="s">
        <v>69</v>
      </c>
      <c r="D9795" s="1" t="s">
        <v>589</v>
      </c>
      <c r="E9795" s="1" t="s">
        <v>1270</v>
      </c>
      <c r="F9795" s="1" t="s">
        <v>14379</v>
      </c>
      <c r="G9795" s="1" t="s">
        <v>36</v>
      </c>
      <c r="H9795" s="1" t="s">
        <v>29</v>
      </c>
      <c r="I9795" s="1" t="str">
        <f ca="1">IFERROR(__xludf.DUMMYFUNCTION("GOOGLETRANSLATE(F9795, ""auto"", ""en"")
"),"I bought this hair dryer more than 2 years ago, I still use it, but only now it started to malfunction and overheat at first speed. But he has already served for quite a long time. Very convenient for travel, because... The handle folds up + there is a mo"&amp;"de for switching the power supply from 220 to 100V")</f>
        <v>I bought this hair dryer more than 2 years ago, I still use it, but only now it started to malfunction and overheat at first speed. But he has already served for quite a long time. Very convenient for travel, because... The handle folds up + there is a mode for switching the power supply from 220 to 100V</v>
      </c>
    </row>
    <row r="9796" spans="1:9" x14ac:dyDescent="0.3">
      <c r="A9796" s="1" t="s">
        <v>61</v>
      </c>
      <c r="B9796" s="1" t="s">
        <v>318</v>
      </c>
      <c r="C9796" s="1" t="s">
        <v>63</v>
      </c>
      <c r="D9796" s="1" t="s">
        <v>280</v>
      </c>
      <c r="E9796" s="1" t="s">
        <v>651</v>
      </c>
      <c r="F9796" s="1" t="s">
        <v>14380</v>
      </c>
      <c r="G9796" s="1" t="s">
        <v>36</v>
      </c>
      <c r="H9796" s="1" t="s">
        <v>29</v>
      </c>
      <c r="I9796" s="1" t="str">
        <f ca="1">IFERROR(__xludf.DUMMYFUNCTION("GOOGLETRANSLATE(F9796, ""auto"", ""en"")
"),"The flight has been normal for the ninth year. I'm really tired of it... :)")</f>
        <v>The flight has been normal for the ninth year. I'm really tired of it... :)</v>
      </c>
    </row>
    <row r="9797" spans="1:9" x14ac:dyDescent="0.3">
      <c r="A9797" s="1" t="s">
        <v>61</v>
      </c>
      <c r="B9797" s="1" t="s">
        <v>145</v>
      </c>
      <c r="C9797" s="1" t="s">
        <v>69</v>
      </c>
      <c r="D9797" s="1" t="s">
        <v>633</v>
      </c>
      <c r="E9797" s="1" t="s">
        <v>128</v>
      </c>
      <c r="F9797" s="1" t="s">
        <v>14381</v>
      </c>
      <c r="G9797" s="1" t="s">
        <v>36</v>
      </c>
      <c r="H9797" s="1" t="s">
        <v>29</v>
      </c>
      <c r="I9797" s="1" t="str">
        <f ca="1">IFERROR(__xludf.DUMMYFUNCTION("GOOGLETRANSLATE(F9797, ""auto"", ""en"")
"),"The steamer is super, the menu is accessible and convenient. The cutlets taste the same as fried. The manti are super, the first time they also stuck, then I thoroughly greased the baskets and each manti with a brush and everything worked out. Now I don’t"&amp;" have time to buy rice.")</f>
        <v>The steamer is super, the menu is accessible and convenient. The cutlets taste the same as fried. The manti are super, the first time they also stuck, then I thoroughly greased the baskets and each manti with a brush and everything worked out. Now I don’t have time to buy rice.</v>
      </c>
    </row>
    <row r="9798" spans="1:9" x14ac:dyDescent="0.3">
      <c r="A9798" s="1" t="s">
        <v>43</v>
      </c>
      <c r="B9798" s="1" t="s">
        <v>303</v>
      </c>
      <c r="C9798" s="1" t="s">
        <v>220</v>
      </c>
      <c r="D9798" s="1" t="s">
        <v>6419</v>
      </c>
      <c r="E9798" s="1" t="s">
        <v>5423</v>
      </c>
      <c r="F9798" s="1" t="s">
        <v>14382</v>
      </c>
      <c r="G9798" s="1" t="s">
        <v>36</v>
      </c>
      <c r="H9798" s="1" t="s">
        <v>29</v>
      </c>
      <c r="I9798" s="1" t="str">
        <f ca="1">IFERROR(__xludf.DUMMYFUNCTION("GOOGLETRANSLATE(F9798, ""auto"", ""en"")
"),"Pleasant appearance, stable operation, delights children with the glow of the display))")</f>
        <v>Pleasant appearance, stable operation, delights children with the glow of the display))</v>
      </c>
    </row>
    <row r="9799" spans="1:9" x14ac:dyDescent="0.3">
      <c r="A9799" s="1" t="s">
        <v>369</v>
      </c>
      <c r="B9799" s="1" t="s">
        <v>2480</v>
      </c>
      <c r="C9799" s="1" t="s">
        <v>453</v>
      </c>
      <c r="D9799" s="1" t="s">
        <v>3015</v>
      </c>
      <c r="E9799" s="1" t="s">
        <v>3178</v>
      </c>
      <c r="F9799" s="1" t="s">
        <v>14383</v>
      </c>
      <c r="G9799" s="1" t="s">
        <v>49</v>
      </c>
      <c r="H9799" s="1" t="s">
        <v>16</v>
      </c>
      <c r="I9799" s="1" t="str">
        <f ca="1">IFERROR(__xludf.DUMMYFUNCTION("GOOGLETRANSLATE(F9799, ""auto"", ""en"")
"),"Disgusting tile! Poorly adjusted and broke after 8 months of careful use! Don't buy it!")</f>
        <v>Disgusting tile! Poorly adjusted and broke after 8 months of careful use! Don't buy it!</v>
      </c>
    </row>
    <row r="9800" spans="1:9" x14ac:dyDescent="0.3">
      <c r="A9800" s="1" t="s">
        <v>61</v>
      </c>
      <c r="B9800" s="1" t="s">
        <v>318</v>
      </c>
      <c r="C9800" s="1" t="s">
        <v>2840</v>
      </c>
      <c r="D9800" s="1" t="s">
        <v>117</v>
      </c>
      <c r="E9800" s="1" t="s">
        <v>5493</v>
      </c>
      <c r="F9800" s="1" t="s">
        <v>413</v>
      </c>
      <c r="G9800" s="1" t="s">
        <v>49</v>
      </c>
      <c r="H9800" s="1" t="s">
        <v>16</v>
      </c>
      <c r="I9800" s="1" t="str">
        <f ca="1">IFERROR(__xludf.DUMMYFUNCTION("GOOGLETRANSLATE(F9800, ""auto"", ""en"")
"),"No")</f>
        <v>No</v>
      </c>
    </row>
    <row r="9801" spans="1:9" x14ac:dyDescent="0.3">
      <c r="A9801" s="1" t="s">
        <v>169</v>
      </c>
      <c r="B9801" s="1" t="s">
        <v>170</v>
      </c>
      <c r="C9801" s="1" t="s">
        <v>193</v>
      </c>
      <c r="D9801" s="1" t="s">
        <v>52</v>
      </c>
      <c r="E9801" s="1" t="s">
        <v>6393</v>
      </c>
      <c r="F9801" s="1" t="s">
        <v>14384</v>
      </c>
      <c r="G9801" s="1" t="s">
        <v>36</v>
      </c>
      <c r="H9801" s="1" t="s">
        <v>29</v>
      </c>
      <c r="I9801" s="1" t="str">
        <f ca="1">IFERROR(__xludf.DUMMYFUNCTION("GOOGLETRANSLATE(F9801, ""auto"", ""en"")
"),"Amazing headphones... I've been using them for 4 years. No problems so far. Of course, they rubbed, but no problems with the sound appeared... just as they downloaded, they continue to download. The wire is also alive and well and the plug is reliable (no"&amp;"thing comes off, nothing goes wrong), in general it’s class.")</f>
        <v>Amazing headphones... I've been using them for 4 years. No problems so far. Of course, they rubbed, but no problems with the sound appeared... just as they downloaded, they continue to download. The wire is also alive and well and the plug is reliable (nothing comes off, nothing goes wrong), in general it’s class.</v>
      </c>
    </row>
    <row r="9802" spans="1:9" x14ac:dyDescent="0.3">
      <c r="A9802" s="1" t="s">
        <v>211</v>
      </c>
      <c r="B9802" s="1" t="s">
        <v>265</v>
      </c>
      <c r="C9802" s="1" t="s">
        <v>122</v>
      </c>
      <c r="D9802" s="1" t="s">
        <v>228</v>
      </c>
      <c r="E9802" s="1" t="s">
        <v>903</v>
      </c>
      <c r="F9802" s="1" t="s">
        <v>14385</v>
      </c>
      <c r="G9802" s="1" t="s">
        <v>36</v>
      </c>
      <c r="H9802" s="1" t="s">
        <v>29</v>
      </c>
      <c r="I9802" s="1" t="str">
        <f ca="1">IFERROR(__xludf.DUMMYFUNCTION("GOOGLETRANSLATE(F9802, ""auto"", ""en"")
"),"Very good trimmer, the best on the market :D")</f>
        <v>Very good trimmer, the best on the market :D</v>
      </c>
    </row>
    <row r="9803" spans="1:9" x14ac:dyDescent="0.3">
      <c r="A9803" s="1" t="s">
        <v>61</v>
      </c>
      <c r="B9803" s="1" t="s">
        <v>180</v>
      </c>
      <c r="C9803" s="1" t="s">
        <v>74</v>
      </c>
      <c r="D9803" s="1" t="s">
        <v>9260</v>
      </c>
      <c r="E9803" s="1" t="s">
        <v>1365</v>
      </c>
      <c r="F9803" s="1" t="s">
        <v>14386</v>
      </c>
      <c r="G9803" s="1" t="s">
        <v>49</v>
      </c>
      <c r="H9803" s="1" t="s">
        <v>16</v>
      </c>
      <c r="I9803" s="1" t="str">
        <f ca="1">IFERROR(__xludf.DUMMYFUNCTION("GOOGLETRANSLATE(F9803, ""auto"", ""en"")
"),"They gave it to me and I have never received a worse gift. In a toaster the bread is at least crusty and crunchy, but here it is quite soft. If you make a big sandwich, it won't close. To turn it off, just unplug it from the socket; there are no switches."&amp;" In the microwave, a similar hot sandwich is obtained with fewer problems.")</f>
        <v>They gave it to me and I have never received a worse gift. In a toaster the bread is at least crusty and crunchy, but here it is quite soft. If you make a big sandwich, it won't close. To turn it off, just unplug it from the socket; there are no switches. In the microwave, a similar hot sandwich is obtained with fewer problems.</v>
      </c>
    </row>
    <row r="9804" spans="1:9" x14ac:dyDescent="0.3">
      <c r="A9804" s="1" t="s">
        <v>9</v>
      </c>
      <c r="B9804" s="1" t="s">
        <v>10</v>
      </c>
      <c r="C9804" s="1" t="s">
        <v>407</v>
      </c>
      <c r="D9804" s="1" t="s">
        <v>305</v>
      </c>
      <c r="E9804" s="1" t="s">
        <v>2882</v>
      </c>
      <c r="F9804" s="1" t="s">
        <v>14387</v>
      </c>
      <c r="G9804" s="1" t="s">
        <v>36</v>
      </c>
      <c r="H9804" s="1" t="s">
        <v>29</v>
      </c>
      <c r="I9804" s="1" t="str">
        <f ca="1">IFERROR(__xludf.DUMMYFUNCTION("GOOGLETRANSLATE(F9804, ""auto"", ""en"")
"),"Excellent hood. Quiet at first speed, we rarely use the rest because of the noise. I'm glad that the buttons are higher than the glass and the light bulbs are behind the glass... I don't understand how in other hoods they are made from below. There is an "&amp;"undocumented ventilation function. If your hood was running at first speed, and you need to leave, but there is no ventilation yet... press the ON/OFF button 2 times and it turns on only for 5 minutes. In this case, the first speed indicator flashes and d"&amp;"oes not light up. After 5 minutes it will turn itself off. Glass is VERY easy to clean (many people are afraid to take it with glass)")</f>
        <v>Excellent hood. Quiet at first speed, we rarely use the rest because of the noise. I'm glad that the buttons are higher than the glass and the light bulbs are behind the glass... I don't understand how in other hoods they are made from below. There is an undocumented ventilation function. If your hood was running at first speed, and you need to leave, but there is no ventilation yet... press the ON/OFF button 2 times and it turns on only for 5 minutes. In this case, the first speed indicator flashes and does not light up. After 5 minutes it will turn itself off. Glass is VERY easy to clean (many people are afraid to take it with glass)</v>
      </c>
    </row>
    <row r="9805" spans="1:9" x14ac:dyDescent="0.3">
      <c r="A9805" s="1" t="s">
        <v>169</v>
      </c>
      <c r="B9805" s="1" t="s">
        <v>170</v>
      </c>
      <c r="C9805" s="1" t="s">
        <v>69</v>
      </c>
      <c r="D9805" s="1" t="s">
        <v>411</v>
      </c>
      <c r="E9805" s="1" t="s">
        <v>1654</v>
      </c>
      <c r="F9805" s="1" t="s">
        <v>14388</v>
      </c>
      <c r="G9805" s="1" t="s">
        <v>36</v>
      </c>
      <c r="H9805" s="1" t="s">
        <v>29</v>
      </c>
      <c r="I9805" s="1" t="str">
        <f ca="1">IFERROR(__xludf.DUMMYFUNCTION("GOOGLETRANSLATE(F9805, ""auto"", ""en"")
"),"There was a need to choose monitor headphones for home use, limiting the price range to 3 thousand rubles. All existing Mvideo headphones were tested. As a result, in terms of comfort and sound quality, these ears managed to outdo the Sennheiser 2900 and "&amp;"other models.   For this price the choice is definitely good. I recommend it.")</f>
        <v>There was a need to choose monitor headphones for home use, limiting the price range to 3 thousand rubles. All existing Mvideo headphones were tested. As a result, in terms of comfort and sound quality, these ears managed to outdo the Sennheiser 2900 and other models.   For this price the choice is definitely good. I recommend it.</v>
      </c>
    </row>
    <row r="9806" spans="1:9" x14ac:dyDescent="0.3">
      <c r="A9806" s="1" t="s">
        <v>17</v>
      </c>
      <c r="B9806" s="1" t="s">
        <v>18</v>
      </c>
      <c r="C9806" s="1" t="s">
        <v>870</v>
      </c>
      <c r="D9806" s="1" t="s">
        <v>295</v>
      </c>
      <c r="E9806" s="1" t="s">
        <v>6685</v>
      </c>
      <c r="F9806" s="1" t="s">
        <v>14389</v>
      </c>
      <c r="G9806" s="1" t="s">
        <v>36</v>
      </c>
      <c r="H9806" s="1" t="s">
        <v>29</v>
      </c>
      <c r="I9806" s="1" t="str">
        <f ca="1">IFERROR(__xludf.DUMMYFUNCTION("GOOGLETRANSLATE(F9806, ""auto"", ""en"")
"),"We bought the car six months ago! Very pleased! I advise everyone, it takes up little space, does not make noise, does not jump. I really like it!")</f>
        <v>We bought the car six months ago! Very pleased! I advise everyone, it takes up little space, does not make noise, does not jump. I really like it!</v>
      </c>
    </row>
    <row r="9807" spans="1:9" x14ac:dyDescent="0.3">
      <c r="A9807" s="1" t="s">
        <v>30</v>
      </c>
      <c r="B9807" s="1" t="s">
        <v>31</v>
      </c>
      <c r="C9807" s="1" t="s">
        <v>32</v>
      </c>
      <c r="D9807" s="1" t="s">
        <v>14390</v>
      </c>
      <c r="E9807" s="1" t="s">
        <v>1086</v>
      </c>
      <c r="F9807" s="1" t="s">
        <v>14391</v>
      </c>
      <c r="G9807" s="1" t="s">
        <v>36</v>
      </c>
      <c r="H9807" s="1" t="s">
        <v>29</v>
      </c>
      <c r="I9807" s="1" t="str">
        <f ca="1">IFERROR(__xludf.DUMMYFUNCTION("GOOGLETRANSLATE(F9807, ""auto"", ""en"")
"),"Great computer!!  Very small and nimble. I carried it under my arm from the store)) It’s really very small)) a little larger than a laptop)) Among other things, I was pleased with the support for 7.1 acoustics!!  Well, for me it can easily handle 2 22-inc"&amp;"h monitors at once.  Very small and nimble. I'm very happy about him. It can be placed on its side or stood up.  takes up very little space.  Its main advantage is great power in small sizes. And it’s inexpensive.")</f>
        <v>Great computer!!  Very small and nimble. I carried it under my arm from the store)) It’s really very small)) a little larger than a laptop)) Among other things, I was pleased with the support for 7.1 acoustics!!  Well, for me it can easily handle 2 22-inch monitors at once.  Very small and nimble. I'm very happy about him. It can be placed on its side or stood up.  takes up very little space.  Its main advantage is great power in small sizes. And it’s inexpensive.</v>
      </c>
    </row>
    <row r="9808" spans="1:9" x14ac:dyDescent="0.3">
      <c r="A9808" s="1" t="s">
        <v>61</v>
      </c>
      <c r="B9808" s="1" t="s">
        <v>318</v>
      </c>
      <c r="C9808" s="1" t="s">
        <v>85</v>
      </c>
      <c r="D9808" s="1" t="s">
        <v>14392</v>
      </c>
      <c r="E9808" s="1" t="s">
        <v>8368</v>
      </c>
      <c r="F9808" s="1" t="s">
        <v>14393</v>
      </c>
      <c r="G9808" s="1" t="s">
        <v>36</v>
      </c>
      <c r="H9808" s="1" t="s">
        <v>29</v>
      </c>
      <c r="I9808" s="1" t="str">
        <f ca="1">IFERROR(__xludf.DUMMYFUNCTION("GOOGLETRANSLATE(F9808, ""auto"", ""en"")
"),"Before this I used Brown... I don’t understand how I lived before this) This kettle itself brews all types of Tea.... at whatever strength YOU need... Delayed start is very convenient if you want to taste a cup of your favorite tea in the morning. Take it"&amp;" - you won’t regret it")</f>
        <v>Before this I used Brown... I don’t understand how I lived before this) This kettle itself brews all types of Tea.... at whatever strength YOU need... Delayed start is very convenient if you want to taste a cup of your favorite tea in the morning. Take it - you won’t regret it</v>
      </c>
    </row>
    <row r="9809" spans="1:9" x14ac:dyDescent="0.3">
      <c r="A9809" s="1" t="s">
        <v>30</v>
      </c>
      <c r="B9809" s="1" t="s">
        <v>50</v>
      </c>
      <c r="C9809" s="1" t="s">
        <v>1386</v>
      </c>
      <c r="D9809" s="1" t="s">
        <v>12027</v>
      </c>
      <c r="E9809" s="1" t="s">
        <v>4187</v>
      </c>
      <c r="F9809" s="1" t="s">
        <v>14394</v>
      </c>
      <c r="G9809" s="1" t="s">
        <v>36</v>
      </c>
      <c r="H9809" s="1" t="s">
        <v>29</v>
      </c>
      <c r="I9809" s="1" t="str">
        <f ca="1">IFERROR(__xludf.DUMMYFUNCTION("GOOGLETRANSLATE(F9809, ""auto"", ""en"")
"),"Cool laptop, I really liked it, it gets hot but not fatally, I recommend it!")</f>
        <v>Cool laptop, I really liked it, it gets hot but not fatally, I recommend it!</v>
      </c>
    </row>
    <row r="9810" spans="1:9" x14ac:dyDescent="0.3">
      <c r="A9810" s="1" t="s">
        <v>17</v>
      </c>
      <c r="B9810" s="1" t="s">
        <v>18</v>
      </c>
      <c r="C9810" s="1" t="s">
        <v>80</v>
      </c>
      <c r="D9810" s="1" t="s">
        <v>171</v>
      </c>
      <c r="E9810" s="1" t="s">
        <v>2231</v>
      </c>
      <c r="F9810" s="1" t="s">
        <v>14395</v>
      </c>
      <c r="G9810" s="1" t="s">
        <v>36</v>
      </c>
      <c r="H9810" s="1" t="s">
        <v>29</v>
      </c>
      <c r="I9810" s="1" t="str">
        <f ca="1">IFERROR(__xludf.DUMMYFUNCTION("GOOGLETRANSLATE(F9810, ""auto"", ""en"")
"),"I bought it a week ago. I installed it and connected it without any problems (I just bought a longer hose). Washes great. Quiet, even during the spin cycle. Stands on tiles, vibration is barely noticeable. One drawback, but it doesn’t even apply to the ma"&amp;"chine, is the poor instructions for use. I am very pleased with the machine!")</f>
        <v>I bought it a week ago. I installed it and connected it without any problems (I just bought a longer hose). Washes great. Quiet, even during the spin cycle. Stands on tiles, vibration is barely noticeable. One drawback, but it doesn’t even apply to the machine, is the poor instructions for use. I am very pleased with the machine!</v>
      </c>
    </row>
    <row r="9811" spans="1:9" x14ac:dyDescent="0.3">
      <c r="A9811" s="1" t="s">
        <v>149</v>
      </c>
      <c r="B9811" s="1" t="s">
        <v>155</v>
      </c>
      <c r="C9811" s="1" t="s">
        <v>80</v>
      </c>
      <c r="D9811" s="1" t="s">
        <v>39</v>
      </c>
      <c r="E9811" s="1" t="s">
        <v>312</v>
      </c>
      <c r="F9811" s="1" t="s">
        <v>14396</v>
      </c>
      <c r="G9811" s="1" t="s">
        <v>36</v>
      </c>
      <c r="H9811" s="1" t="s">
        <v>29</v>
      </c>
      <c r="I9811" s="1" t="str">
        <f ca="1">IFERROR(__xludf.DUMMYFUNCTION("GOOGLETRANSLATE(F9811, ""auto"", ""en"")
"),"Thanks for the comment from “04/18/2010 1111111111111 (Kyiv)”, how to cure a vacuum cleaner if the traction has weakened.  The same nonsense happened with the Samsung SC6570, today, I also removed one grid and the traction returned. I already wanted to th"&amp;"row out the vacuum cleaner; under warranty, I had no desire to take it anywhere. Thank you.")</f>
        <v>Thanks for the comment from “04/18/2010 1111111111111 (Kyiv)”, how to cure a vacuum cleaner if the traction has weakened.  The same nonsense happened with the Samsung SC6570, today, I also removed one grid and the traction returned. I already wanted to throw out the vacuum cleaner; under warranty, I had no desire to take it anywhere. Thank you.</v>
      </c>
    </row>
    <row r="9812" spans="1:9" x14ac:dyDescent="0.3">
      <c r="A9812" s="1" t="s">
        <v>89</v>
      </c>
      <c r="B9812" s="1" t="s">
        <v>231</v>
      </c>
      <c r="C9812" s="1" t="s">
        <v>185</v>
      </c>
      <c r="D9812" s="1" t="s">
        <v>565</v>
      </c>
      <c r="E9812" s="1" t="s">
        <v>7231</v>
      </c>
      <c r="F9812" s="1" t="s">
        <v>14397</v>
      </c>
      <c r="G9812" s="1" t="s">
        <v>15</v>
      </c>
      <c r="H9812" s="1" t="s">
        <v>16</v>
      </c>
      <c r="I9812" s="1" t="str">
        <f ca="1">IFERROR(__xludf.DUMMYFUNCTION("GOOGLETRANSLATE(F9812, ""auto"", ""en"")
"),"The coffee maker works according to your mood, sometimes it won’t turn on at all. It crunches, rattles loudly, the coffee doesn’t come out quite hot, the mechanical handles and switches break quickly and the tray is plastic. Cheap coffee maker, you have t"&amp;"o be nervous to drink coffee in the morning(((")</f>
        <v>The coffee maker works according to your mood, sometimes it won’t turn on at all. It crunches, rattles loudly, the coffee doesn’t come out quite hot, the mechanical handles and switches break quickly and the tray is plastic. Cheap coffee maker, you have to be nervous to drink coffee in the morning(((</v>
      </c>
    </row>
    <row r="9813" spans="1:9" x14ac:dyDescent="0.3">
      <c r="A9813" s="1" t="s">
        <v>369</v>
      </c>
      <c r="B9813" s="1" t="s">
        <v>2480</v>
      </c>
      <c r="C9813" s="1" t="s">
        <v>453</v>
      </c>
      <c r="D9813" s="1" t="s">
        <v>295</v>
      </c>
      <c r="E9813" s="1" t="s">
        <v>8951</v>
      </c>
      <c r="F9813" s="1" t="s">
        <v>14398</v>
      </c>
      <c r="G9813" s="1" t="s">
        <v>36</v>
      </c>
      <c r="H9813" s="1" t="s">
        <v>29</v>
      </c>
      <c r="I9813" s="1" t="str">
        <f ca="1">IFERROR(__xludf.DUMMYFUNCTION("GOOGLETRANSLATE(F9813, ""auto"", ""en"")
"),"Lightweight, heats up quickly")</f>
        <v>Lightweight, heats up quickly</v>
      </c>
    </row>
    <row r="9814" spans="1:9" x14ac:dyDescent="0.3">
      <c r="A9814" s="1" t="s">
        <v>95</v>
      </c>
      <c r="B9814" s="1" t="s">
        <v>486</v>
      </c>
      <c r="C9814" s="1" t="s">
        <v>487</v>
      </c>
      <c r="D9814" s="1" t="s">
        <v>14399</v>
      </c>
      <c r="E9814" s="1" t="s">
        <v>1273</v>
      </c>
      <c r="F9814" s="1" t="s">
        <v>14400</v>
      </c>
      <c r="G9814" s="1" t="s">
        <v>36</v>
      </c>
      <c r="H9814" s="1" t="s">
        <v>29</v>
      </c>
      <c r="I9814" s="1" t="str">
        <f ca="1">IFERROR(__xludf.DUMMYFUNCTION("GOOGLETRANSLATE(F9814, ""auto"", ""en"")
"),"Excellent console, excellent graphics, a lot of possibilities! Justifies its price. 5 points. I advise you to buy it and enjoy!!!")</f>
        <v>Excellent console, excellent graphics, a lot of possibilities! Justifies its price. 5 points. I advise you to buy it and enjoy!!!</v>
      </c>
    </row>
    <row r="9815" spans="1:9" x14ac:dyDescent="0.3">
      <c r="A9815" s="1" t="s">
        <v>477</v>
      </c>
      <c r="B9815" s="1" t="s">
        <v>478</v>
      </c>
      <c r="C9815" s="1" t="s">
        <v>479</v>
      </c>
      <c r="D9815" s="1" t="s">
        <v>52</v>
      </c>
      <c r="E9815" s="1" t="s">
        <v>3550</v>
      </c>
      <c r="F9815" s="1" t="s">
        <v>14401</v>
      </c>
      <c r="G9815" s="1" t="s">
        <v>36</v>
      </c>
      <c r="H9815" s="1" t="s">
        <v>29</v>
      </c>
      <c r="I9815" s="1" t="str">
        <f ca="1">IFERROR(__xludf.DUMMYFUNCTION("GOOGLETRANSLATE(F9815, ""auto"", ""en"")
"),"Battlefield Bad Company 2. What can you say about this EA Dice project? This is absolutely one of the best action games I've ever played... It has everything to keep you sitting at the monitor screen with your mouth open. Firstly, the graphics are amazing"&amp;": in some scenes the game looks like a photograph of some travel agency - the Alps, the Bolivian jungle, some colorful desert - the only thing missing is the slogan “The travel agency invites you to the most amazing corners of our planet.” Secondly, almos"&amp;"t complete destructibility, and this is not another tempting lie from the developers, everything is exactly like this: entire buildings, fences, pillars, in short, almost everything are collapsing! Bricks, fragments, chips, glass, opponents and their weap"&amp;"ons are constantly flying on the screen... Thirdly, the sound... I can say without a twinge of conscience that here are the best sound effects that have ever come from my headphones... What is that moment worth when, making my way through the jungle of Bo"&amp;"livia and hearing the squeak of mosquitoes, I began to brush it off in reality, after which I laughed at myself for a long time... Single player campaign.  The plot of the project is a banal “cranberry” about evil Russians and the main villain Kirilenko.."&amp;". But it’s still interesting to play, you never know what your squad will do in the next mission. There's a lot of humor and stupid situations here... In general, it's very worth going through the single.  Multiplayer.  Oooh... You won't find battles of t"&amp;"his scale anywhere else (on PC, on PS3 there is MAG). Every second in the frame, something explodes and collapses, helicopters fall, snipers are not allowed to run through open spaces and are called into mortar fire, attack aircraft and engineers are maki"&amp;"ng holes in houses and running into them with incessant shooting, doctors are helping their comrades... In a word, join our ranks, Soldiers... We are waiting for you...")</f>
        <v>Battlefield Bad Company 2. What can you say about this EA Dice project? This is absolutely one of the best action games I've ever played... It has everything to keep you sitting at the monitor screen with your mouth open. Firstly, the graphics are amazing: in some scenes the game looks like a photograph of some travel agency - the Alps, the Bolivian jungle, some colorful desert - the only thing missing is the slogan “The travel agency invites you to the most amazing corners of our planet.” Secondly, almost complete destructibility, and this is not another tempting lie from the developers, everything is exactly like this: entire buildings, fences, pillars, in short, almost everything are collapsing! Bricks, fragments, chips, glass, opponents and their weapons are constantly flying on the screen... Thirdly, the sound... I can say without a twinge of conscience that here are the best sound effects that have ever come from my headphones... What is that moment worth when, making my way through the jungle of Bolivia and hearing the squeak of mosquitoes, I began to brush it off in reality, after which I laughed at myself for a long time... Single player campaign.  The plot of the project is a banal “cranberry” about evil Russians and the main villain Kirilenko... But it’s still interesting to play, you never know what your squad will do in the next mission. There's a lot of humor and stupid situations here... In general, it's very worth going through the single.  Multiplayer.  Oooh... You won't find battles of this scale anywhere else (on PC, on PS3 there is MAG). Every second in the frame, something explodes and collapses, helicopters fall, snipers are not allowed to run through open spaces and are called into mortar fire, attack aircraft and engineers are making holes in houses and running into them with incessant shooting, doctors are helping their comrades... In a word, join our ranks, Soldiers... We are waiting for you...</v>
      </c>
    </row>
    <row r="9816" spans="1:9" x14ac:dyDescent="0.3">
      <c r="A9816" s="1" t="s">
        <v>30</v>
      </c>
      <c r="B9816" s="1" t="s">
        <v>50</v>
      </c>
      <c r="C9816" s="1" t="s">
        <v>694</v>
      </c>
      <c r="D9816" s="1" t="s">
        <v>14402</v>
      </c>
      <c r="E9816" s="1" t="s">
        <v>2298</v>
      </c>
      <c r="F9816" s="1" t="s">
        <v>14403</v>
      </c>
      <c r="G9816" s="1" t="s">
        <v>36</v>
      </c>
      <c r="H9816" s="1" t="s">
        <v>29</v>
      </c>
      <c r="I9816" s="1" t="str">
        <f ca="1">IFERROR(__xludf.DUMMYFUNCTION("GOOGLETRANSLATE(F9816, ""auto"", ""en"")
"),"I liked this netbook...but before I buy it, I'm wondering what the downsides are??")</f>
        <v>I liked this netbook...but before I buy it, I'm wondering what the downsides are??</v>
      </c>
    </row>
    <row r="9817" spans="1:9" x14ac:dyDescent="0.3">
      <c r="A9817" s="1" t="s">
        <v>149</v>
      </c>
      <c r="B9817" s="1" t="s">
        <v>576</v>
      </c>
      <c r="C9817" s="1" t="s">
        <v>69</v>
      </c>
      <c r="D9817" s="1" t="s">
        <v>232</v>
      </c>
      <c r="E9817" s="1" t="s">
        <v>14404</v>
      </c>
      <c r="F9817" s="1" t="s">
        <v>14405</v>
      </c>
      <c r="G9817" s="1" t="s">
        <v>36</v>
      </c>
      <c r="H9817" s="1" t="s">
        <v>29</v>
      </c>
      <c r="I9817" s="1" t="str">
        <f ca="1">IFERROR(__xludf.DUMMYFUNCTION("GOOGLETRANSLATE(F9817, ""auto"", ""en"")
"),"everything is 5")</f>
        <v>everything is 5</v>
      </c>
    </row>
    <row r="9818" spans="1:9" x14ac:dyDescent="0.3">
      <c r="A9818" s="1" t="s">
        <v>55</v>
      </c>
      <c r="B9818" s="1" t="s">
        <v>56</v>
      </c>
      <c r="C9818" s="1" t="s">
        <v>3651</v>
      </c>
      <c r="D9818" s="1" t="s">
        <v>14406</v>
      </c>
      <c r="E9818" s="1" t="s">
        <v>985</v>
      </c>
      <c r="F9818" s="1" t="s">
        <v>14407</v>
      </c>
      <c r="G9818" s="1" t="s">
        <v>36</v>
      </c>
      <c r="H9818" s="1" t="s">
        <v>29</v>
      </c>
      <c r="I9818" s="1" t="str">
        <f ca="1">IFERROR(__xludf.DUMMYFUNCTION("GOOGLETRANSLATE(F9818, ""auto"", ""en"")
"),"Very good moisturizer! easy to operate, there is no residue, since I fill it with water from under the filter, it works very quietly and at night you can hardly hear it, there are many operating modes. The only thing they didn’t immediately understand was"&amp;" that it needed to be installed as far as possible from the walls and floor, because... this does affect the actual air humidity it measures, but once installed correctly it works great! I recommend it to everyone, it’s a good thing!!!")</f>
        <v>Very good moisturizer! easy to operate, there is no residue, since I fill it with water from under the filter, it works very quietly and at night you can hardly hear it, there are many operating modes. The only thing they didn’t immediately understand was that it needed to be installed as far as possible from the walls and floor, because... this does affect the actual air humidity it measures, but once installed correctly it works great! I recommend it to everyone, it’s a good thing!!!</v>
      </c>
    </row>
    <row r="9819" spans="1:9" x14ac:dyDescent="0.3">
      <c r="A9819" s="1" t="s">
        <v>9</v>
      </c>
      <c r="B9819" s="1" t="s">
        <v>133</v>
      </c>
      <c r="C9819" s="1" t="s">
        <v>290</v>
      </c>
      <c r="D9819" s="1" t="s">
        <v>39</v>
      </c>
      <c r="E9819" s="1" t="s">
        <v>800</v>
      </c>
      <c r="F9819" s="1" t="s">
        <v>14408</v>
      </c>
      <c r="G9819" s="1" t="s">
        <v>28</v>
      </c>
      <c r="H9819" s="1" t="s">
        <v>29</v>
      </c>
      <c r="I9819" s="1" t="str">
        <f ca="1">IFERROR(__xludf.DUMMYFUNCTION("GOOGLETRANSLATE(F9819, ""auto"", ""en"")
"),"It seems like nothing at all) There are no instructions for the menu, so I press all the buttons in a row to turn it on...")</f>
        <v>It seems like nothing at all) There are no instructions for the menu, so I press all the buttons in a row to turn it on...</v>
      </c>
    </row>
    <row r="9820" spans="1:9" x14ac:dyDescent="0.3">
      <c r="A9820" s="1" t="s">
        <v>43</v>
      </c>
      <c r="B9820" s="1" t="s">
        <v>303</v>
      </c>
      <c r="C9820" s="1" t="s">
        <v>220</v>
      </c>
      <c r="D9820" s="1" t="s">
        <v>14409</v>
      </c>
      <c r="E9820" s="1" t="s">
        <v>3078</v>
      </c>
      <c r="F9820" s="1" t="s">
        <v>14410</v>
      </c>
      <c r="G9820" s="1" t="s">
        <v>28</v>
      </c>
      <c r="H9820" s="1" t="s">
        <v>29</v>
      </c>
      <c r="I9820" s="1" t="str">
        <f ca="1">IFERROR(__xludf.DUMMYFUNCTION("GOOGLETRANSLATE(F9820, ""auto"", ""en"")
"),"Reliable stainless steel, appearance and shape (flat)")</f>
        <v>Reliable stainless steel, appearance and shape (flat)</v>
      </c>
    </row>
    <row r="9821" spans="1:9" x14ac:dyDescent="0.3">
      <c r="A9821" s="1" t="s">
        <v>211</v>
      </c>
      <c r="B9821" s="1" t="s">
        <v>212</v>
      </c>
      <c r="C9821" s="1" t="s">
        <v>381</v>
      </c>
      <c r="D9821" s="1" t="s">
        <v>1744</v>
      </c>
      <c r="E9821" s="1" t="s">
        <v>2627</v>
      </c>
      <c r="F9821" s="1" t="s">
        <v>14411</v>
      </c>
      <c r="G9821" s="1" t="s">
        <v>36</v>
      </c>
      <c r="H9821" s="1" t="s">
        <v>29</v>
      </c>
      <c r="I9821" s="1" t="str">
        <f ca="1">IFERROR(__xludf.DUMMYFUNCTION("GOOGLETRANSLATE(F9821, ""auto"", ""en"")
"),"I bought this straightener for my birthday and immediately fell in love with it. We tried it with friends who all have different hair types, but everyone was absolutely delighted!!! For those who want to forget about the problem of hair straightening, thi"&amp;"s is your salvation.")</f>
        <v>I bought this straightener for my birthday and immediately fell in love with it. We tried it with friends who all have different hair types, but everyone was absolutely delighted!!! For those who want to forget about the problem of hair straightening, this is your salvation.</v>
      </c>
    </row>
    <row r="9822" spans="1:9" x14ac:dyDescent="0.3">
      <c r="A9822" s="1" t="s">
        <v>61</v>
      </c>
      <c r="B9822" s="1" t="s">
        <v>318</v>
      </c>
      <c r="C9822" s="1" t="s">
        <v>213</v>
      </c>
      <c r="D9822" s="1" t="s">
        <v>228</v>
      </c>
      <c r="E9822" s="1" t="s">
        <v>7460</v>
      </c>
      <c r="F9822" s="1" t="s">
        <v>14412</v>
      </c>
      <c r="G9822" s="1" t="s">
        <v>36</v>
      </c>
      <c r="H9822" s="1" t="s">
        <v>29</v>
      </c>
      <c r="I9822" s="1" t="str">
        <f ca="1">IFERROR(__xludf.DUMMYFUNCTION("GOOGLETRANSLATE(F9822, ""auto"", ""en"")
"),"Boils quickly, low noise, no soldered spout or windows that leak, quality materials, comfortable handle, appearance.")</f>
        <v>Boils quickly, low noise, no soldered spout or windows that leak, quality materials, comfortable handle, appearance.</v>
      </c>
    </row>
    <row r="9823" spans="1:9" x14ac:dyDescent="0.3">
      <c r="A9823" s="1" t="s">
        <v>61</v>
      </c>
      <c r="B9823" s="1" t="s">
        <v>180</v>
      </c>
      <c r="C9823" s="1" t="s">
        <v>57</v>
      </c>
      <c r="D9823" s="1" t="s">
        <v>14413</v>
      </c>
      <c r="E9823" s="1" t="s">
        <v>5767</v>
      </c>
      <c r="F9823" s="1" t="s">
        <v>14414</v>
      </c>
      <c r="G9823" s="1" t="s">
        <v>49</v>
      </c>
      <c r="H9823" s="1" t="s">
        <v>16</v>
      </c>
      <c r="I9823" s="1" t="str">
        <f ca="1">IFERROR(__xludf.DUMMYFUNCTION("GOOGLETRANSLATE(F9823, ""auto"", ""en"")
"),"I gave it to my husband on February 23rd, after the first use the toast turned out just terrible, instead of golden browning there was a burnt crust and this was on the second mode. I exchanged it for a toaster from another company within the same cost an"&amp;"d forgot about the previous sad experience.")</f>
        <v>I gave it to my husband on February 23rd, after the first use the toast turned out just terrible, instead of golden browning there was a burnt crust and this was on the second mode. I exchanged it for a toaster from another company within the same cost and forgot about the previous sad experience.</v>
      </c>
    </row>
    <row r="9824" spans="1:9" x14ac:dyDescent="0.3">
      <c r="A9824" s="1" t="s">
        <v>149</v>
      </c>
      <c r="B9824" s="1" t="s">
        <v>423</v>
      </c>
      <c r="C9824" s="1" t="s">
        <v>531</v>
      </c>
      <c r="D9824" s="1" t="s">
        <v>33</v>
      </c>
      <c r="E9824" s="1" t="s">
        <v>14415</v>
      </c>
      <c r="F9824" s="1" t="s">
        <v>14416</v>
      </c>
      <c r="G9824" s="1" t="s">
        <v>36</v>
      </c>
      <c r="H9824" s="1" t="s">
        <v>29</v>
      </c>
      <c r="I9824" s="1" t="str">
        <f ca="1">IFERROR(__xludf.DUMMYFUNCTION("GOOGLETRANSLATE(F9824, ""auto"", ""en"")
"),"I ordered in November 2014 via the Internet. Quite heavy and takes up space, but it's worth it. The power is excellent and they are a pleasure to clean.  Someone wrote that washing the filters and disassembling it takes a very long time. This is all nonse"&amp;"nse. It takes 3-4 minutes to wash the filter. The hose does get twisted, but you quickly get used to it.")</f>
        <v>I ordered in November 2014 via the Internet. Quite heavy and takes up space, but it's worth it. The power is excellent and they are a pleasure to clean.  Someone wrote that washing the filters and disassembling it takes a very long time. This is all nonsense. It takes 3-4 minutes to wash the filter. The hose does get twisted, but you quickly get used to it.</v>
      </c>
    </row>
    <row r="9825" spans="1:9" x14ac:dyDescent="0.3">
      <c r="A9825" s="1" t="s">
        <v>61</v>
      </c>
      <c r="B9825" s="1" t="s">
        <v>73</v>
      </c>
      <c r="C9825" s="1" t="s">
        <v>146</v>
      </c>
      <c r="D9825" s="1" t="s">
        <v>139</v>
      </c>
      <c r="E9825" s="1" t="s">
        <v>14417</v>
      </c>
      <c r="F9825" s="1" t="s">
        <v>14418</v>
      </c>
      <c r="G9825" s="1" t="s">
        <v>36</v>
      </c>
      <c r="H9825" s="1" t="s">
        <v>29</v>
      </c>
      <c r="I9825" s="1" t="str">
        <f ca="1">IFERROR(__xludf.DUMMYFUNCTION("GOOGLETRANSLATE(F9825, ""auto"", ""en"")
"),"The meat grinder is excellent. We spent a long time choosing from many brands and chose Kenwood. It meets all the parameters: compact, comfortable, functional, and most importantly, all the fittings are metal. It chops meat perfectly and grinds any veins."&amp;" The seller showed that you can buy many more attachments, graters, shredders, cube cutters, etc. We took the cube cutter and are very pleased. I recommend it to everyone!!!!! And many thanks to the seller for the competent advice!!!!!!!!")</f>
        <v>The meat grinder is excellent. We spent a long time choosing from many brands and chose Kenwood. It meets all the parameters: compact, comfortable, functional, and most importantly, all the fittings are metal. It chops meat perfectly and grinds any veins. The seller showed that you can buy many more attachments, graters, shredders, cube cutters, etc. We took the cube cutter and are very pleased. I recommend it to everyone!!!!! And many thanks to the seller for the competent advice!!!!!!!!</v>
      </c>
    </row>
    <row r="9826" spans="1:9" x14ac:dyDescent="0.3">
      <c r="A9826" s="1" t="s">
        <v>206</v>
      </c>
      <c r="B9826" s="1" t="s">
        <v>207</v>
      </c>
      <c r="C9826" s="1" t="s">
        <v>152</v>
      </c>
      <c r="D9826" s="1" t="s">
        <v>6046</v>
      </c>
      <c r="E9826" s="1" t="s">
        <v>7240</v>
      </c>
      <c r="F9826" s="1" t="s">
        <v>14419</v>
      </c>
      <c r="G9826" s="1" t="s">
        <v>36</v>
      </c>
      <c r="H9826" s="1" t="s">
        <v>29</v>
      </c>
      <c r="I9826" s="1" t="str">
        <f ca="1">IFERROR(__xludf.DUMMYFUNCTION("GOOGLETRANSLATE(F9826, ""auto"", ""en"")
"),"So you argue whether they are good or bad... good. But for them to play well, they must be connected correctly! Namely through crossovers!!! and not shout that they are bad!!!)) experts, damn it)))")</f>
        <v>So you argue whether they are good or bad... good. But for them to play well, they must be connected correctly! Namely through crossovers!!! and not shout that they are bad!!!)) experts, damn it)))</v>
      </c>
    </row>
    <row r="9827" spans="1:9" x14ac:dyDescent="0.3">
      <c r="A9827" s="1" t="s">
        <v>965</v>
      </c>
      <c r="B9827" s="1" t="s">
        <v>14420</v>
      </c>
      <c r="C9827" s="1" t="s">
        <v>8257</v>
      </c>
      <c r="D9827" s="1" t="s">
        <v>280</v>
      </c>
      <c r="E9827" s="1" t="s">
        <v>1868</v>
      </c>
      <c r="F9827" s="1" t="s">
        <v>14421</v>
      </c>
      <c r="G9827" s="1" t="s">
        <v>36</v>
      </c>
      <c r="H9827" s="1" t="s">
        <v>29</v>
      </c>
      <c r="I9827" s="1" t="str">
        <f ca="1">IFERROR(__xludf.DUMMYFUNCTION("GOOGLETRANSLATE(F9827, ""auto"", ""en"")
"),"I highly recommend it! The apartment is covered without question, and the Internet is connected via a Wi-Fi router through three walls! The signal level never dropped below 25%.")</f>
        <v>I highly recommend it! The apartment is covered without question, and the Internet is connected via a Wi-Fi router through three walls! The signal level never dropped below 25%.</v>
      </c>
    </row>
    <row r="9828" spans="1:9" x14ac:dyDescent="0.3">
      <c r="A9828" s="1" t="s">
        <v>30</v>
      </c>
      <c r="B9828" s="1" t="s">
        <v>50</v>
      </c>
      <c r="C9828" s="1" t="s">
        <v>32</v>
      </c>
      <c r="D9828" s="1" t="s">
        <v>152</v>
      </c>
      <c r="E9828" s="1" t="s">
        <v>6021</v>
      </c>
      <c r="F9828" s="1" t="s">
        <v>14422</v>
      </c>
      <c r="G9828" s="1" t="s">
        <v>36</v>
      </c>
      <c r="H9828" s="1" t="s">
        <v>29</v>
      </c>
      <c r="I9828" s="1" t="str">
        <f ca="1">IFERROR(__xludf.DUMMYFUNCTION("GOOGLETRANSLATE(F9828, ""auto"", ""en"")
"),"Super laptop for both work and play. sound, video, keyboard everything is super!!!  GTA4 doesn't slow down! ;)")</f>
        <v>Super laptop for both work and play. sound, video, keyboard everything is super!!!  GTA4 doesn't slow down! ;)</v>
      </c>
    </row>
    <row r="9829" spans="1:9" x14ac:dyDescent="0.3">
      <c r="A9829" s="1" t="s">
        <v>373</v>
      </c>
      <c r="B9829" s="1" t="s">
        <v>374</v>
      </c>
      <c r="C9829" s="1" t="s">
        <v>5293</v>
      </c>
      <c r="D9829" s="1" t="s">
        <v>1506</v>
      </c>
      <c r="E9829" s="1" t="s">
        <v>3652</v>
      </c>
      <c r="F9829" s="1" t="s">
        <v>14423</v>
      </c>
      <c r="G9829" s="1" t="s">
        <v>36</v>
      </c>
      <c r="H9829" s="1" t="s">
        <v>29</v>
      </c>
      <c r="I9829" s="1" t="str">
        <f ca="1">IFERROR(__xludf.DUMMYFUNCTION("GOOGLETRANSLATE(F9829, ""auto"", ""en"")
"),"I've been using it for over a year and a half. Magnificent car! You can choose any washing mode - from three minutes to four hours. I wash lightly soiled dishes without tablets. I wash baking sheets from the oven, plates, crystal glasses - any dishes. The"&amp;"re is a mode in which I wash plastic thin containers. The machine automatically extends or shortens the washing time - there are sensors that monitor the cleanliness of the dishes. Heavily burnt dishes cannot be washed in one go, but they can be put back "&amp;"a second time. I put the dishes in the machine “as is”, I don’t clean off any leftover food, only large pieces. It takes little electricity. The skin on my hands has become soft - the machine washes all the dishes for me. There is only one drawback - for "&amp;"14 sets, now I would look for 16 or more.")</f>
        <v>I've been using it for over a year and a half. Magnificent car! You can choose any washing mode - from three minutes to four hours. I wash lightly soiled dishes without tablets. I wash baking sheets from the oven, plates, crystal glasses - any dishes. There is a mode in which I wash plastic thin containers. The machine automatically extends or shortens the washing time - there are sensors that monitor the cleanliness of the dishes. Heavily burnt dishes cannot be washed in one go, but they can be put back a second time. I put the dishes in the machine “as is”, I don’t clean off any leftover food, only large pieces. It takes little electricity. The skin on my hands has become soft - the machine washes all the dishes for me. There is only one drawback - for 14 sets, now I would look for 16 or more.</v>
      </c>
    </row>
    <row r="9830" spans="1:9" x14ac:dyDescent="0.3">
      <c r="A9830" s="1" t="s">
        <v>624</v>
      </c>
      <c r="B9830" s="1" t="s">
        <v>625</v>
      </c>
      <c r="C9830" s="1" t="s">
        <v>479</v>
      </c>
      <c r="D9830" s="1" t="s">
        <v>139</v>
      </c>
      <c r="E9830" s="1" t="s">
        <v>4668</v>
      </c>
      <c r="F9830" s="1" t="s">
        <v>14424</v>
      </c>
      <c r="G9830" s="1" t="s">
        <v>36</v>
      </c>
      <c r="H9830" s="1" t="s">
        <v>29</v>
      </c>
      <c r="I9830" s="1" t="str">
        <f ca="1">IFERROR(__xludf.DUMMYFUNCTION("GOOGLETRANSLATE(F9830, ""auto"", ""en"")
"),"“Good, interesting, memorable” - that’s what my son said when he finished it all. The graphics and story are really good. If you buy it, you won't go wrong.")</f>
        <v>“Good, interesting, memorable” - that’s what my son said when he finished it all. The graphics and story are really good. If you buy it, you won't go wrong.</v>
      </c>
    </row>
    <row r="9831" spans="1:9" x14ac:dyDescent="0.3">
      <c r="A9831" s="1" t="s">
        <v>67</v>
      </c>
      <c r="B9831" s="1" t="s">
        <v>68</v>
      </c>
      <c r="C9831" s="1" t="s">
        <v>246</v>
      </c>
      <c r="D9831" s="1" t="s">
        <v>14425</v>
      </c>
      <c r="E9831" s="1" t="s">
        <v>128</v>
      </c>
      <c r="F9831" s="1" t="s">
        <v>14426</v>
      </c>
      <c r="G9831" s="1" t="s">
        <v>36</v>
      </c>
      <c r="H9831" s="1" t="s">
        <v>29</v>
      </c>
      <c r="I9831" s="1" t="str">
        <f ca="1">IFERROR(__xludf.DUMMYFUNCTION("GOOGLETRANSLATE(F9831, ""auto"", ""en"")
"),"I tested the iron on jeans - they have never been so ironed! Things that were previously difficult to steam with a burst of steam are now ironed simply with a bang without using this function. Ironing is very easy, the steamer is just super, even my husba"&amp;"nd appreciated it, because... helps me iron diapers and baby clothes. Saves time, because there is no need to iron one place several times. I am also satisfied with dry ironing. Ironing is now a pleasure. Before buying, I looked through all the reviews ab"&amp;"out this iron and didn’t find a single negative one. I’m very happy with the purchase! Thanks to everyone who left their positive reviews!")</f>
        <v>I tested the iron on jeans - they have never been so ironed! Things that were previously difficult to steam with a burst of steam are now ironed simply with a bang without using this function. Ironing is very easy, the steamer is just super, even my husband appreciated it, because... helps me iron diapers and baby clothes. Saves time, because there is no need to iron one place several times. I am also satisfied with dry ironing. Ironing is now a pleasure. Before buying, I looked through all the reviews about this iron and didn’t find a single negative one. I’m very happy with the purchase! Thanks to everyone who left their positive reviews!</v>
      </c>
    </row>
    <row r="9832" spans="1:9" x14ac:dyDescent="0.3">
      <c r="A9832" s="1" t="s">
        <v>43</v>
      </c>
      <c r="B9832" s="1" t="s">
        <v>502</v>
      </c>
      <c r="C9832" s="1" t="s">
        <v>151</v>
      </c>
      <c r="D9832" s="1" t="s">
        <v>1416</v>
      </c>
      <c r="E9832" s="1" t="s">
        <v>118</v>
      </c>
      <c r="F9832" s="1" t="s">
        <v>14427</v>
      </c>
      <c r="G9832" s="1" t="s">
        <v>28</v>
      </c>
      <c r="H9832" s="1" t="s">
        <v>29</v>
      </c>
      <c r="I9832" s="1" t="str">
        <f ca="1">IFERROR(__xludf.DUMMYFUNCTION("GOOGLETRANSLATE(F9832, ""auto"", ""en"")
"),"We installed the air conditioner, everything was fine, silent, stylish, functional. But when I decided to clean the filters, I was surprised to find that they were not there and it was unclear where they had gone and whether they should be there, after re"&amp;"ading the instructions I still did not understand whether they should be there or not. But the fact remains that the air purification is zero, which is very sad.")</f>
        <v>We installed the air conditioner, everything was fine, silent, stylish, functional. But when I decided to clean the filters, I was surprised to find that they were not there and it was unclear where they had gone and whether they should be there, after reading the instructions I still did not understand whether they should be there or not. But the fact remains that the air purification is zero, which is very sad.</v>
      </c>
    </row>
    <row r="9833" spans="1:9" x14ac:dyDescent="0.3">
      <c r="A9833" s="1" t="s">
        <v>61</v>
      </c>
      <c r="B9833" s="1" t="s">
        <v>318</v>
      </c>
      <c r="C9833" s="1" t="s">
        <v>246</v>
      </c>
      <c r="D9833" s="1" t="s">
        <v>64</v>
      </c>
      <c r="E9833" s="1" t="s">
        <v>2354</v>
      </c>
      <c r="F9833" s="1" t="s">
        <v>14428</v>
      </c>
      <c r="G9833" s="1" t="s">
        <v>28</v>
      </c>
      <c r="H9833" s="1" t="s">
        <v>29</v>
      </c>
      <c r="I9833" s="1" t="str">
        <f ca="1">IFERROR(__xludf.DUMMYFUNCTION("GOOGLETRANSLATE(F9833, ""auto"", ""en"")
"),"The kettle is great, we have been using it for a long time and it has never let us down. One minus - very noisy!")</f>
        <v>The kettle is great, we have been using it for a long time and it has never let us down. One minus - very noisy!</v>
      </c>
    </row>
    <row r="9834" spans="1:9" x14ac:dyDescent="0.3">
      <c r="A9834" s="1" t="s">
        <v>120</v>
      </c>
      <c r="B9834" s="1" t="s">
        <v>126</v>
      </c>
      <c r="C9834" s="1" t="s">
        <v>122</v>
      </c>
      <c r="D9834" s="1" t="s">
        <v>14429</v>
      </c>
      <c r="E9834" s="1" t="s">
        <v>2815</v>
      </c>
      <c r="F9834" s="1" t="s">
        <v>14430</v>
      </c>
      <c r="G9834" s="1" t="s">
        <v>36</v>
      </c>
      <c r="H9834" s="1" t="s">
        <v>29</v>
      </c>
      <c r="I9834" s="1" t="str">
        <f ca="1">IFERROR(__xludf.DUMMYFUNCTION("GOOGLETRANSLATE(F9834, ""auto"", ""en"")
"),"I personally liked the TV")</f>
        <v>I personally liked the TV</v>
      </c>
    </row>
    <row r="9835" spans="1:9" x14ac:dyDescent="0.3">
      <c r="A9835" s="1" t="s">
        <v>55</v>
      </c>
      <c r="B9835" s="1" t="s">
        <v>3549</v>
      </c>
      <c r="C9835" s="1" t="s">
        <v>85</v>
      </c>
      <c r="D9835" s="1" t="s">
        <v>52</v>
      </c>
      <c r="E9835" s="1" t="s">
        <v>4146</v>
      </c>
      <c r="F9835" s="1" t="s">
        <v>14431</v>
      </c>
      <c r="G9835" s="1" t="s">
        <v>36</v>
      </c>
      <c r="H9835" s="1" t="s">
        <v>29</v>
      </c>
      <c r="I9835" s="1" t="str">
        <f ca="1">IFERROR(__xludf.DUMMYFUNCTION("GOOGLETRANSLATE(F9835, ""auto"", ""en"")
"),"I have been using the Bork APRIH 3737WT Air Purifier for a year. Impeccable technique.")</f>
        <v>I have been using the Bork APRIH 3737WT Air Purifier for a year. Impeccable technique.</v>
      </c>
    </row>
    <row r="9836" spans="1:9" x14ac:dyDescent="0.3">
      <c r="A9836" s="1" t="s">
        <v>67</v>
      </c>
      <c r="B9836" s="1" t="s">
        <v>340</v>
      </c>
      <c r="C9836" s="1" t="s">
        <v>1634</v>
      </c>
      <c r="D9836" s="1" t="s">
        <v>565</v>
      </c>
      <c r="E9836" s="1" t="s">
        <v>14432</v>
      </c>
      <c r="F9836" s="1" t="s">
        <v>14433</v>
      </c>
      <c r="G9836" s="1" t="s">
        <v>15</v>
      </c>
      <c r="H9836" s="1" t="s">
        <v>16</v>
      </c>
      <c r="I9836" s="1" t="str">
        <f ca="1">IFERROR(__xludf.DUMMYFUNCTION("GOOGLETRANSLATE(F9836, ""auto"", ""en"")
"),"First of all, it sews very noisily.   secondly, the stitch frequency is not very small, I set it to maximum; thirdly, it is difficult to straighten and the lower thread gets tangled all the time")</f>
        <v>First of all, it sews very noisily.   secondly, the stitch frequency is not very small, I set it to maximum; thirdly, it is difficult to straighten and the lower thread gets tangled all the time</v>
      </c>
    </row>
    <row r="9837" spans="1:9" x14ac:dyDescent="0.3">
      <c r="A9837" s="1" t="s">
        <v>1443</v>
      </c>
      <c r="B9837" s="1" t="s">
        <v>1444</v>
      </c>
      <c r="C9837" s="1" t="s">
        <v>4886</v>
      </c>
      <c r="D9837" s="1" t="s">
        <v>232</v>
      </c>
      <c r="E9837" s="1" t="s">
        <v>443</v>
      </c>
      <c r="F9837" s="1" t="s">
        <v>14434</v>
      </c>
      <c r="G9837" s="1" t="s">
        <v>36</v>
      </c>
      <c r="H9837" s="1" t="s">
        <v>29</v>
      </c>
      <c r="I9837" s="1" t="str">
        <f ca="1">IFERROR(__xludf.DUMMYFUNCTION("GOOGLETRANSLATE(F9837, ""auto"", ""en"")
"),"Comfortable, lightweight, very compact (even small).  I liked it right away. No complaints, even though they were made in China. I recommend it. By the way, we sell such flash drives only at M-Video.")</f>
        <v>Comfortable, lightweight, very compact (even small).  I liked it right away. No complaints, even though they were made in China. I recommend it. By the way, we sell such flash drives only at M-Video.</v>
      </c>
    </row>
    <row r="9838" spans="1:9" x14ac:dyDescent="0.3">
      <c r="A9838" s="1" t="s">
        <v>211</v>
      </c>
      <c r="B9838" s="1" t="s">
        <v>212</v>
      </c>
      <c r="C9838" s="1" t="s">
        <v>69</v>
      </c>
      <c r="D9838" s="1" t="s">
        <v>14435</v>
      </c>
      <c r="E9838" s="1" t="s">
        <v>5949</v>
      </c>
      <c r="F9838" s="1" t="s">
        <v>14436</v>
      </c>
      <c r="G9838" s="1" t="s">
        <v>36</v>
      </c>
      <c r="H9838" s="1" t="s">
        <v>29</v>
      </c>
      <c r="I9838" s="1" t="str">
        <f ca="1">IFERROR(__xludf.DUMMYFUNCTION("GOOGLETRANSLATE(F9838, ""auto"", ""en"")
"),"These tongs are simply awesome! Very comfortable. They are gentle on your hair due to the ceramic coating. I only recommend them to everyone!")</f>
        <v>These tongs are simply awesome! Very comfortable. They are gentle on your hair due to the ceramic coating. I only recommend them to everyone!</v>
      </c>
    </row>
    <row r="9839" spans="1:9" x14ac:dyDescent="0.3">
      <c r="A9839" s="1" t="s">
        <v>120</v>
      </c>
      <c r="B9839" s="1" t="s">
        <v>126</v>
      </c>
      <c r="C9839" s="1" t="s">
        <v>80</v>
      </c>
      <c r="D9839" s="1" t="s">
        <v>152</v>
      </c>
      <c r="E9839" s="1" t="s">
        <v>1228</v>
      </c>
      <c r="F9839" s="1" t="s">
        <v>14437</v>
      </c>
      <c r="G9839" s="1" t="s">
        <v>36</v>
      </c>
      <c r="H9839" s="1" t="s">
        <v>29</v>
      </c>
      <c r="I9839" s="1" t="str">
        <f ca="1">IFERROR(__xludf.DUMMYFUNCTION("GOOGLETRANSLATE(F9839, ""auto"", ""en"")
"),"At first I wanted to buy an LCD, but the sellers asked what it would be used for, he said that my son watches DVD cartoons, I play games on the computer, I also bought a satellite dish, they said plasma would be better.  I bought 42, installed everything,"&amp;" turned it on and enjoyed the satellite dish - the quality is EXCELLENT!! I connected the NFS-SHIFT computer, the realism is just great! I recommend it.")</f>
        <v>At first I wanted to buy an LCD, but the sellers asked what it would be used for, he said that my son watches DVD cartoons, I play games on the computer, I also bought a satellite dish, they said plasma would be better.  I bought 42, installed everything, turned it on and enjoyed the satellite dish - the quality is EXCELLENT!! I connected the NFS-SHIFT computer, the realism is just great! I recommend it.</v>
      </c>
    </row>
    <row r="9840" spans="1:9" x14ac:dyDescent="0.3">
      <c r="A9840" s="1" t="s">
        <v>78</v>
      </c>
      <c r="B9840" s="1" t="s">
        <v>493</v>
      </c>
      <c r="C9840" s="1" t="s">
        <v>80</v>
      </c>
      <c r="D9840" s="1" t="s">
        <v>545</v>
      </c>
      <c r="E9840" s="1" t="s">
        <v>5944</v>
      </c>
      <c r="F9840" s="1" t="s">
        <v>14438</v>
      </c>
      <c r="G9840" s="1" t="s">
        <v>28</v>
      </c>
      <c r="H9840" s="1" t="s">
        <v>29</v>
      </c>
      <c r="I9840" s="1" t="str">
        <f ca="1">IFERROR(__xludf.DUMMYFUNCTION("GOOGLETRANSLATE(F9840, ""auto"", ""en"")
"),"I bought it 2 months ago and am completely satisfied. Appearance is 5+, heats up perfectly, washes without problems. True, in the Auto mode the cook does not fry the chicken well in the allotted time, it turns out like a stew, you have to increase the tim"&amp;"e, and then it turns out delicious, fried on both sides and beautiful to look at.")</f>
        <v>I bought it 2 months ago and am completely satisfied. Appearance is 5+, heats up perfectly, washes without problems. True, in the Auto mode the cook does not fry the chicken well in the allotted time, it turns out like a stew, you have to increase the time, and then it turns out delicious, fried on both sides and beautiful to look at.</v>
      </c>
    </row>
    <row r="9841" spans="1:9" x14ac:dyDescent="0.3">
      <c r="A9841" s="1" t="s">
        <v>211</v>
      </c>
      <c r="B9841" s="1" t="s">
        <v>265</v>
      </c>
      <c r="C9841" s="1" t="s">
        <v>294</v>
      </c>
      <c r="D9841" s="1" t="s">
        <v>232</v>
      </c>
      <c r="E9841" s="1" t="s">
        <v>594</v>
      </c>
      <c r="F9841" s="1" t="s">
        <v>14439</v>
      </c>
      <c r="G9841" s="1" t="s">
        <v>15</v>
      </c>
      <c r="H9841" s="1" t="s">
        <v>16</v>
      </c>
      <c r="I9841" s="1" t="str">
        <f ca="1">IFERROR(__xludf.DUMMYFUNCTION("GOOGLETRANSLATE(F9841, ""auto"", ""en"")
"),"It is inconvenient to use this trimmer to trim nose and ear hair.  Very bad trimmer. I'm disappointed.")</f>
        <v>It is inconvenient to use this trimmer to trim nose and ear hair.  Very bad trimmer. I'm disappointed.</v>
      </c>
    </row>
    <row r="9842" spans="1:9" x14ac:dyDescent="0.3">
      <c r="A9842" s="1" t="s">
        <v>120</v>
      </c>
      <c r="B9842" s="1" t="s">
        <v>196</v>
      </c>
      <c r="C9842" s="1" t="s">
        <v>151</v>
      </c>
      <c r="D9842" s="1" t="s">
        <v>14440</v>
      </c>
      <c r="E9842" s="1" t="s">
        <v>1387</v>
      </c>
      <c r="F9842" s="1" t="s">
        <v>14441</v>
      </c>
      <c r="G9842" s="1" t="s">
        <v>36</v>
      </c>
      <c r="H9842" s="1" t="s">
        <v>29</v>
      </c>
      <c r="I9842" s="1" t="str">
        <f ca="1">IFERROR(__xludf.DUMMYFUNCTION("GOOGLETRANSLATE(F9842, ""auto"", ""en"")
"),"I bought a promotion in M ​​video for 19900, what can I say - the TV is excellent, as a monitor for a computer it is generally beyond praise, the quality of analog channels actually could have been better, but it’s only 3+.  Video in HD is generally a fai"&amp;"ry tale. No cons have been noticed so far.  In general, take it without hesitation!!!")</f>
        <v>I bought a promotion in M ​​video for 19900, what can I say - the TV is excellent, as a monitor for a computer it is generally beyond praise, the quality of analog channels actually could have been better, but it’s only 3+.  Video in HD is generally a fairy tale. No cons have been noticed so far.  In general, take it without hesitation!!!</v>
      </c>
    </row>
    <row r="9843" spans="1:9" x14ac:dyDescent="0.3">
      <c r="A9843" s="1" t="s">
        <v>624</v>
      </c>
      <c r="B9843" s="1" t="s">
        <v>2107</v>
      </c>
      <c r="C9843" s="1" t="s">
        <v>479</v>
      </c>
      <c r="D9843" s="1" t="s">
        <v>305</v>
      </c>
      <c r="E9843" s="1" t="s">
        <v>229</v>
      </c>
      <c r="F9843" s="1" t="s">
        <v>14442</v>
      </c>
      <c r="G9843" s="1" t="s">
        <v>36</v>
      </c>
      <c r="H9843" s="1" t="s">
        <v>29</v>
      </c>
      <c r="I9843" s="1" t="str">
        <f ca="1">IFERROR(__xludf.DUMMYFUNCTION("GOOGLETRANSLATE(F9843, ""auto"", ""en"")
"),"Super game. I went through the whole thing.  This is a collector's edition. The hero's share is distinguished by all sorts of things and clothes.")</f>
        <v>Super game. I went through the whole thing.  This is a collector's edition. The hero's share is distinguished by all sorts of things and clothes.</v>
      </c>
    </row>
    <row r="9844" spans="1:9" x14ac:dyDescent="0.3">
      <c r="A9844" s="1" t="s">
        <v>211</v>
      </c>
      <c r="B9844" s="1" t="s">
        <v>212</v>
      </c>
      <c r="C9844" s="1" t="s">
        <v>69</v>
      </c>
      <c r="D9844" s="1" t="s">
        <v>14443</v>
      </c>
      <c r="E9844" s="1" t="s">
        <v>14444</v>
      </c>
      <c r="F9844" s="1" t="s">
        <v>14445</v>
      </c>
      <c r="G9844" s="1" t="s">
        <v>49</v>
      </c>
      <c r="H9844" s="1" t="s">
        <v>16</v>
      </c>
      <c r="I9844" s="1" t="str">
        <f ca="1">IFERROR(__xludf.DUMMYFUNCTION("GOOGLETRANSLATE(F9844, ""auto"", ""en"")
"),"1) Strong vibration in the handle itself when you hold it 2) Very weak air flow 3) The air flow is barely warm, the hair does not curl at all. Cannot be exchanged or returned, hygiene product. It's a pity for wasted money")</f>
        <v>1) Strong vibration in the handle itself when you hold it 2) Very weak air flow 3) The air flow is barely warm, the hair does not curl at all. Cannot be exchanged or returned, hygiene product. It's a pity for wasted money</v>
      </c>
    </row>
    <row r="9845" spans="1:9" x14ac:dyDescent="0.3">
      <c r="A9845" s="1" t="s">
        <v>757</v>
      </c>
      <c r="B9845" s="1" t="s">
        <v>758</v>
      </c>
      <c r="C9845" s="1" t="s">
        <v>160</v>
      </c>
      <c r="D9845" s="1" t="s">
        <v>7841</v>
      </c>
      <c r="E9845" s="1" t="s">
        <v>3347</v>
      </c>
      <c r="F9845" s="1" t="s">
        <v>14446</v>
      </c>
      <c r="G9845" s="1" t="s">
        <v>36</v>
      </c>
      <c r="H9845" s="1" t="s">
        <v>29</v>
      </c>
      <c r="I9845" s="1" t="str">
        <f ca="1">IFERROR(__xludf.DUMMYFUNCTION("GOOGLETRANSLATE(F9845, ""auto"", ""en"")
"),"Excellent system for both music and movies. The main thing is compact, well made :) only there are not enough rotating wall mounts and for some reason you can’t buy them in the store")</f>
        <v>Excellent system for both music and movies. The main thing is compact, well made :) only there are not enough rotating wall mounts and for some reason you can’t buy them in the store</v>
      </c>
    </row>
    <row r="9846" spans="1:9" x14ac:dyDescent="0.3">
      <c r="A9846" s="1" t="s">
        <v>17</v>
      </c>
      <c r="B9846" s="1" t="s">
        <v>18</v>
      </c>
      <c r="C9846" s="1" t="s">
        <v>243</v>
      </c>
      <c r="D9846" s="1" t="s">
        <v>81</v>
      </c>
      <c r="E9846" s="1" t="s">
        <v>5423</v>
      </c>
      <c r="F9846" s="1" t="s">
        <v>14447</v>
      </c>
      <c r="G9846" s="1" t="s">
        <v>1580</v>
      </c>
      <c r="H9846" s="1" t="s">
        <v>29</v>
      </c>
      <c r="I9846" s="1" t="str">
        <f ca="1">IFERROR(__xludf.DUMMYFUNCTION("GOOGLETRANSLATE(F9846, ""auto"", ""en"")
"),"Not a bad workhorse ")</f>
        <v xml:space="preserve">Not a bad workhorse </v>
      </c>
    </row>
    <row r="9847" spans="1:9" x14ac:dyDescent="0.3">
      <c r="A9847" s="1" t="s">
        <v>43</v>
      </c>
      <c r="B9847" s="1" t="s">
        <v>502</v>
      </c>
      <c r="C9847" s="1" t="s">
        <v>151</v>
      </c>
      <c r="D9847" s="1" t="s">
        <v>14448</v>
      </c>
      <c r="E9847" s="1" t="s">
        <v>14449</v>
      </c>
      <c r="F9847" s="1" t="s">
        <v>14450</v>
      </c>
      <c r="G9847" s="1" t="s">
        <v>28</v>
      </c>
      <c r="H9847" s="1" t="s">
        <v>29</v>
      </c>
      <c r="I9847" s="1" t="str">
        <f ca="1">IFERROR(__xludf.DUMMYFUNCTION("GOOGLETRANSLATE(F9847, ""auto"", ""en"")
"),"Conder is normal. In this price range it is very quiet compared to other models. Cools well. The only negative is the inconvenient control panel: there is no display backlight. Because of this, you can’t see anything at night without turning on the lights"&amp;".")</f>
        <v>Conder is normal. In this price range it is very quiet compared to other models. Cools well. The only negative is the inconvenient control panel: there is no display backlight. Because of this, you can’t see anything at night without turning on the lights.</v>
      </c>
    </row>
    <row r="9848" spans="1:9" x14ac:dyDescent="0.3">
      <c r="A9848" s="1" t="s">
        <v>149</v>
      </c>
      <c r="B9848" s="1" t="s">
        <v>155</v>
      </c>
      <c r="C9848" s="1" t="s">
        <v>63</v>
      </c>
      <c r="D9848" s="1" t="s">
        <v>2296</v>
      </c>
      <c r="E9848" s="1" t="s">
        <v>3983</v>
      </c>
      <c r="F9848" s="1" t="s">
        <v>2549</v>
      </c>
      <c r="G9848" s="1" t="s">
        <v>49</v>
      </c>
      <c r="H9848" s="1" t="s">
        <v>16</v>
      </c>
      <c r="I9848" s="1" t="str">
        <f ca="1">IFERROR(__xludf.DUMMYFUNCTION("GOOGLETRANSLATE(F9848, ""auto"", ""en"")
"),"Beautiful")</f>
        <v>Beautiful</v>
      </c>
    </row>
    <row r="9849" spans="1:9" x14ac:dyDescent="0.3">
      <c r="A9849" s="1" t="s">
        <v>169</v>
      </c>
      <c r="B9849" s="1" t="s">
        <v>170</v>
      </c>
      <c r="C9849" s="1" t="s">
        <v>122</v>
      </c>
      <c r="D9849" s="1" t="s">
        <v>280</v>
      </c>
      <c r="E9849" s="1" t="s">
        <v>3424</v>
      </c>
      <c r="F9849" s="1" t="s">
        <v>14451</v>
      </c>
      <c r="G9849" s="1" t="s">
        <v>36</v>
      </c>
      <c r="H9849" s="1" t="s">
        <v>29</v>
      </c>
      <c r="I9849" s="1" t="str">
        <f ca="1">IFERROR(__xludf.DUMMYFUNCTION("GOOGLETRANSLATE(F9849, ""auto"", ""en"")
"),"I was unexpectedly pleased with the sound quality for the money. Usually the headphones lasted for 3-4 months, I’ve been listening to these for 8 months and haven’t let me down yet. Cheap and cheerful.")</f>
        <v>I was unexpectedly pleased with the sound quality for the money. Usually the headphones lasted for 3-4 months, I’ve been listening to these for 8 months and haven’t let me down yet. Cheap and cheerful.</v>
      </c>
    </row>
    <row r="9850" spans="1:9" x14ac:dyDescent="0.3">
      <c r="A9850" s="1" t="s">
        <v>211</v>
      </c>
      <c r="B9850" s="1" t="s">
        <v>212</v>
      </c>
      <c r="C9850" s="1" t="s">
        <v>453</v>
      </c>
      <c r="D9850" s="1" t="s">
        <v>474</v>
      </c>
      <c r="E9850" s="1" t="s">
        <v>14452</v>
      </c>
      <c r="F9850" s="1" t="s">
        <v>14453</v>
      </c>
      <c r="G9850" s="1" t="s">
        <v>36</v>
      </c>
      <c r="H9850" s="1" t="s">
        <v>29</v>
      </c>
      <c r="I9850" s="1" t="str">
        <f ca="1">IFERROR(__xludf.DUMMYFUNCTION("GOOGLETRANSLATE(F9850, ""auto"", ""en"")
"),"I've been straightening my hair for about three years now, because... short hair and they don’t lie otherwise. Fears about the price being too low were unfounded. I really like that it’s thin, I have a small cowlick right in the middle of my bangs and it’"&amp;"s hard to style, it always sticks out in front, but with this straightener it fits well. My hair doesn’t burn, I use a heat-protective spray. Heats up quickly and well. A solid five.")</f>
        <v>I've been straightening my hair for about three years now, because... short hair and they don’t lie otherwise. Fears about the price being too low were unfounded. I really like that it’s thin, I have a small cowlick right in the middle of my bangs and it’s hard to style, it always sticks out in front, but with this straightener it fits well. My hair doesn’t burn, I use a heat-protective spray. Heats up quickly and well. A solid five.</v>
      </c>
    </row>
    <row r="9851" spans="1:9" x14ac:dyDescent="0.3">
      <c r="A9851" s="1" t="s">
        <v>965</v>
      </c>
      <c r="B9851" s="1" t="s">
        <v>966</v>
      </c>
      <c r="C9851" s="1" t="s">
        <v>2149</v>
      </c>
      <c r="D9851" s="1" t="s">
        <v>14454</v>
      </c>
      <c r="E9851" s="1" t="s">
        <v>128</v>
      </c>
      <c r="F9851" s="1" t="s">
        <v>14455</v>
      </c>
      <c r="G9851" s="1" t="s">
        <v>36</v>
      </c>
      <c r="H9851" s="1" t="s">
        <v>29</v>
      </c>
      <c r="I9851" s="1" t="str">
        <f ca="1">IFERROR(__xludf.DUMMYFUNCTION("GOOGLETRANSLATE(F9851, ""auto"", ""en"")
"),"Acoustics - super, Bass - 10+++ Treble - 10+++")</f>
        <v>Acoustics - super, Bass - 10+++ Treble - 10+++</v>
      </c>
    </row>
    <row r="9852" spans="1:9" x14ac:dyDescent="0.3">
      <c r="A9852" s="1" t="s">
        <v>211</v>
      </c>
      <c r="B9852" s="1" t="s">
        <v>212</v>
      </c>
      <c r="C9852" s="1" t="s">
        <v>294</v>
      </c>
      <c r="D9852" s="1" t="s">
        <v>75</v>
      </c>
      <c r="E9852" s="1" t="s">
        <v>4409</v>
      </c>
      <c r="F9852" s="1" t="s">
        <v>14456</v>
      </c>
      <c r="G9852" s="1" t="s">
        <v>36</v>
      </c>
      <c r="H9852" s="1" t="s">
        <v>29</v>
      </c>
      <c r="I9852" s="1" t="str">
        <f ca="1">IFERROR(__xludf.DUMMYFUNCTION("GOOGLETRANSLATE(F9852, ""auto"", ""en"")
"),"I thought for a long time about which one to buy, I read reviews here. In the end I took the plunge and bought this one! Very happy! Heated up very quickly. There is a disk. And in general, I agree with Zhenechka, everything she wrote is true) I recommend"&amp;" it!")</f>
        <v>I thought for a long time about which one to buy, I read reviews here. In the end I took the plunge and bought this one! Very happy! Heated up very quickly. There is a disk. And in general, I agree with Zhenechka, everything she wrote is true) I recommend it!</v>
      </c>
    </row>
    <row r="9853" spans="1:9" x14ac:dyDescent="0.3">
      <c r="A9853" s="1" t="s">
        <v>211</v>
      </c>
      <c r="B9853" s="1" t="s">
        <v>212</v>
      </c>
      <c r="C9853" s="1" t="s">
        <v>294</v>
      </c>
      <c r="D9853" s="1" t="s">
        <v>247</v>
      </c>
      <c r="E9853" s="1" t="s">
        <v>2341</v>
      </c>
      <c r="F9853" s="1" t="s">
        <v>14457</v>
      </c>
      <c r="G9853" s="1" t="s">
        <v>36</v>
      </c>
      <c r="H9853" s="1" t="s">
        <v>29</v>
      </c>
      <c r="I9853" s="1" t="str">
        <f ca="1">IFERROR(__xludf.DUMMYFUNCTION("GOOGLETRANSLATE(F9853, ""auto"", ""en"")
"),"Perfectly straightens hair. I have hair below my shoulders and I can do it in less than 5 minutes! Heats up quickly. I really like it!")</f>
        <v>Perfectly straightens hair. I have hair below my shoulders and I can do it in less than 5 minutes! Heats up quickly. I really like it!</v>
      </c>
    </row>
    <row r="9854" spans="1:9" x14ac:dyDescent="0.3">
      <c r="A9854" s="1" t="s">
        <v>206</v>
      </c>
      <c r="B9854" s="1" t="s">
        <v>207</v>
      </c>
      <c r="C9854" s="1" t="s">
        <v>351</v>
      </c>
      <c r="D9854" s="1" t="s">
        <v>8250</v>
      </c>
      <c r="E9854" s="1" t="s">
        <v>1628</v>
      </c>
      <c r="F9854" s="1" t="s">
        <v>14458</v>
      </c>
      <c r="G9854" s="1" t="s">
        <v>36</v>
      </c>
      <c r="H9854" s="1" t="s">
        <v>29</v>
      </c>
      <c r="I9854" s="1" t="str">
        <f ca="1">IFERROR(__xludf.DUMMYFUNCTION("GOOGLETRANSLATE(F9854, ""auto"", ""en"")
"),"The sub and amplification are well-worked, after tuning it’s a blast to listen to!!! I advise everyone to purchase if the budget does not allow for more!!!")</f>
        <v>The sub and amplification are well-worked, after tuning it’s a blast to listen to!!! I advise everyone to purchase if the budget does not allow for more!!!</v>
      </c>
    </row>
    <row r="9855" spans="1:9" x14ac:dyDescent="0.3">
      <c r="A9855" s="1" t="s">
        <v>37</v>
      </c>
      <c r="B9855" s="1" t="s">
        <v>38</v>
      </c>
      <c r="C9855" s="1" t="s">
        <v>163</v>
      </c>
      <c r="D9855" s="1" t="s">
        <v>1659</v>
      </c>
      <c r="E9855" s="1" t="s">
        <v>792</v>
      </c>
      <c r="F9855" s="1" t="s">
        <v>14459</v>
      </c>
      <c r="G9855" s="1" t="s">
        <v>36</v>
      </c>
      <c r="H9855" s="1" t="s">
        <v>29</v>
      </c>
      <c r="I9855" s="1" t="str">
        <f ca="1">IFERROR(__xludf.DUMMYFUNCTION("GOOGLETRANSLATE(F9855, ""auto"", ""en"")
"),"I’ve had my phone for two years now, and I’m not complaining, how many times I’ve dropped it, nothing serious, only 4 scratches, fell from the 4th floor, only a dent appeared on the metal strip and that’s it. In general, the phone is very good, and if its"&amp;" software is updated in accordance with the release of a new software version, the phone will become even better and faster. The phone lives up to expectations")</f>
        <v>I’ve had my phone for two years now, and I’m not complaining, how many times I’ve dropped it, nothing serious, only 4 scratches, fell from the 4th floor, only a dent appeared on the metal strip and that’s it. In general, the phone is very good, and if its software is updated in accordance with the release of a new software version, the phone will become even better and faster. The phone lives up to expectations</v>
      </c>
    </row>
    <row r="9856" spans="1:9" x14ac:dyDescent="0.3">
      <c r="A9856" s="1" t="s">
        <v>78</v>
      </c>
      <c r="B9856" s="1" t="s">
        <v>1163</v>
      </c>
      <c r="C9856" s="1" t="s">
        <v>80</v>
      </c>
      <c r="D9856" s="1" t="s">
        <v>14460</v>
      </c>
      <c r="E9856" s="1" t="s">
        <v>6232</v>
      </c>
      <c r="F9856" s="1" t="s">
        <v>14461</v>
      </c>
      <c r="G9856" s="1" t="s">
        <v>36</v>
      </c>
      <c r="H9856" s="1" t="s">
        <v>29</v>
      </c>
      <c r="I9856" s="1" t="str">
        <f ca="1">IFERROR(__xludf.DUMMYFUNCTION("GOOGLETRANSLATE(F9856, ""auto"", ""en"")
"),"We've had the oven for over a year now... it's a great help if you're in a hurry, and there's less worry for the child. puts food in the microwave and it still warns you when it’s ready... Take it, you won’t regret it =)")</f>
        <v>We've had the oven for over a year now... it's a great help if you're in a hurry, and there's less worry for the child. puts food in the microwave and it still warns you when it’s ready... Take it, you won’t regret it =)</v>
      </c>
    </row>
    <row r="9857" spans="1:9" x14ac:dyDescent="0.3">
      <c r="A9857" s="1" t="s">
        <v>169</v>
      </c>
      <c r="B9857" s="1" t="s">
        <v>170</v>
      </c>
      <c r="C9857" s="1" t="s">
        <v>69</v>
      </c>
      <c r="D9857" s="1" t="s">
        <v>152</v>
      </c>
      <c r="E9857" s="1" t="s">
        <v>2998</v>
      </c>
      <c r="F9857" s="1" t="s">
        <v>14462</v>
      </c>
      <c r="G9857" s="1" t="s">
        <v>36</v>
      </c>
      <c r="H9857" s="1" t="s">
        <v>29</v>
      </c>
      <c r="I9857" s="1" t="str">
        <f ca="1">IFERROR(__xludf.DUMMYFUNCTION("GOOGLETRANSLATE(F9857, ""auto"", ""en"")
"),"After the purchase, I listened to almost all the CDs that I had. At the bottom, the floor-standing speakers along with the sub were defeated, the middle and top were very similar. It’s an amazing thing - you put on headphones, and the music, in comparison"&amp;" with floor-standing speakers, does not lose richness. It became interesting and I conducted a sound test in SpectraLab - it turned out that at a volume below average you can feel infrasound! in these ears the hertz starts from about 11-12. Then I bought "&amp;"the shp8500, I thought it would be even cooler, but I didn’t like the slightly larger roll at the bottom, the middle and top were about the same. Comfort, given a rather large head, is awesome - once I sat in the headphones for 10 hours and did not experi"&amp;"ence any discomfort. The headphones have an audibly noticeable unevenness of the sliding test tone in the range from 1.5 to 10 KHz, apparently associated with the design of the human ears themselves. Resonant peaks occur at approximately 3, 5, 6.5, 7.5 an"&amp;"d 8.5 kHz, and can only be dealt with using a parametric equalizer. The idea to straighten out the sound was hatched for more than a year and in the end was brilliantly implemented using a 63-channel parametric equalizer. Now, when I listen to music and t"&amp;"ake off the headphones to compare with floor-standing speakers, the sound is practically no different from them, except for the lows, since the CDP has a very large influence on the sound of the speakers in the low-frequency spectrum. The headphones are a"&amp;"lready more than 2 years old - perfect condition, despite several falls from table height.")</f>
        <v>After the purchase, I listened to almost all the CDs that I had. At the bottom, the floor-standing speakers along with the sub were defeated, the middle and top were very similar. It’s an amazing thing - you put on headphones, and the music, in comparison with floor-standing speakers, does not lose richness. It became interesting and I conducted a sound test in SpectraLab - it turned out that at a volume below average you can feel infrasound! in these ears the hertz starts from about 11-12. Then I bought the shp8500, I thought it would be even cooler, but I didn’t like the slightly larger roll at the bottom, the middle and top were about the same. Comfort, given a rather large head, is awesome - once I sat in the headphones for 10 hours and did not experience any discomfort. The headphones have an audibly noticeable unevenness of the sliding test tone in the range from 1.5 to 10 KHz, apparently associated with the design of the human ears themselves. Resonant peaks occur at approximately 3, 5, 6.5, 7.5 and 8.5 kHz, and can only be dealt with using a parametric equalizer. The idea to straighten out the sound was hatched for more than a year and in the end was brilliantly implemented using a 63-channel parametric equalizer. Now, when I listen to music and take off the headphones to compare with floor-standing speakers, the sound is practically no different from them, except for the lows, since the CDP has a very large influence on the sound of the speakers in the low-frequency spectrum. The headphones are already more than 2 years old - perfect condition, despite several falls from table height.</v>
      </c>
    </row>
    <row r="9858" spans="1:9" x14ac:dyDescent="0.3">
      <c r="A9858" s="1" t="s">
        <v>43</v>
      </c>
      <c r="B9858" s="1" t="s">
        <v>334</v>
      </c>
      <c r="C9858" s="1" t="s">
        <v>185</v>
      </c>
      <c r="D9858" s="1" t="s">
        <v>335</v>
      </c>
      <c r="E9858" s="1" t="s">
        <v>1811</v>
      </c>
      <c r="F9858" s="1" t="s">
        <v>14463</v>
      </c>
      <c r="G9858" s="1" t="s">
        <v>36</v>
      </c>
      <c r="H9858" s="1" t="s">
        <v>29</v>
      </c>
      <c r="I9858" s="1" t="str">
        <f ca="1">IFERROR(__xludf.DUMMYFUNCTION("GOOGLETRANSLATE(F9858, ""auto"", ""en"")
"),"I am very pleased with the fan, because... very quiet (you can sleep peacefully), quite powerful (you can feel the diameter of 40) and easily portable. Another plus is that the legs do not stain the table and are quite stable.")</f>
        <v>I am very pleased with the fan, because... very quiet (you can sleep peacefully), quite powerful (you can feel the diameter of 40) and easily portable. Another plus is that the legs do not stain the table and are quite stable.</v>
      </c>
    </row>
    <row r="9859" spans="1:9" x14ac:dyDescent="0.3">
      <c r="A9859" s="1" t="s">
        <v>120</v>
      </c>
      <c r="B9859" s="1" t="s">
        <v>256</v>
      </c>
      <c r="C9859" s="1" t="s">
        <v>32</v>
      </c>
      <c r="D9859" s="1" t="s">
        <v>2764</v>
      </c>
      <c r="E9859" s="1" t="s">
        <v>622</v>
      </c>
      <c r="F9859" s="1" t="s">
        <v>14464</v>
      </c>
      <c r="G9859" s="1" t="s">
        <v>36</v>
      </c>
      <c r="H9859" s="1" t="s">
        <v>29</v>
      </c>
      <c r="I9859" s="1" t="str">
        <f ca="1">IFERROR(__xludf.DUMMYFUNCTION("GOOGLETRANSLATE(F9859, ""auto"", ""en"")
"),"We bought it more than six months ago and we really like it. The only response time is a little longer than we would like, but these are minor things.")</f>
        <v>We bought it more than six months ago and we really like it. The only response time is a little longer than we would like, but these are minor things.</v>
      </c>
    </row>
    <row r="9860" spans="1:9" x14ac:dyDescent="0.3">
      <c r="A9860" s="1" t="s">
        <v>17</v>
      </c>
      <c r="B9860" s="1" t="s">
        <v>18</v>
      </c>
      <c r="C9860" s="1" t="s">
        <v>138</v>
      </c>
      <c r="D9860" s="1" t="s">
        <v>471</v>
      </c>
      <c r="E9860" s="1" t="s">
        <v>2030</v>
      </c>
      <c r="F9860" s="1" t="s">
        <v>14465</v>
      </c>
      <c r="G9860" s="1" t="s">
        <v>36</v>
      </c>
      <c r="H9860" s="1" t="s">
        <v>29</v>
      </c>
      <c r="I9860" s="1" t="str">
        <f ca="1">IFERROR(__xludf.DUMMYFUNCTION("GOOGLETRANSLATE(F9860, ""auto"", ""en"")
"),"We have been using this machine for the second week now. There are no complaints, it works quietly, there is a convenient time indicator, I hope that it will continue to work this well..")</f>
        <v>We have been using this machine for the second week now. There are no complaints, it works quietly, there is a convenient time indicator, I hope that it will continue to work this well..</v>
      </c>
    </row>
    <row r="9861" spans="1:9" x14ac:dyDescent="0.3">
      <c r="A9861" s="1" t="s">
        <v>61</v>
      </c>
      <c r="B9861" s="1" t="s">
        <v>145</v>
      </c>
      <c r="C9861" s="1" t="s">
        <v>74</v>
      </c>
      <c r="D9861" s="1" t="s">
        <v>20</v>
      </c>
      <c r="E9861" s="1" t="s">
        <v>696</v>
      </c>
      <c r="F9861" s="1" t="s">
        <v>14466</v>
      </c>
      <c r="G9861" s="1" t="s">
        <v>36</v>
      </c>
      <c r="H9861" s="1" t="s">
        <v>29</v>
      </c>
      <c r="I9861" s="1" t="str">
        <f ca="1">IFERROR(__xludf.DUMMYFUNCTION("GOOGLETRANSLATE(F9861, ""auto"", ""en"")
"),"The thing is useful, convenient, works well!    For those who write descriptions, correct the description, the jar actually has a volume of 150 ml. and not 100ml, as indicated in your description...")</f>
        <v>The thing is useful, convenient, works well!    For those who write descriptions, correct the description, the jar actually has a volume of 150 ml. and not 100ml, as indicated in your description...</v>
      </c>
    </row>
    <row r="9862" spans="1:9" x14ac:dyDescent="0.3">
      <c r="A9862" s="1" t="s">
        <v>120</v>
      </c>
      <c r="B9862" s="1" t="s">
        <v>126</v>
      </c>
      <c r="C9862" s="1" t="s">
        <v>151</v>
      </c>
      <c r="D9862" s="1" t="s">
        <v>14467</v>
      </c>
      <c r="E9862" s="1" t="s">
        <v>3089</v>
      </c>
      <c r="F9862" s="1" t="s">
        <v>14468</v>
      </c>
      <c r="G9862" s="1" t="s">
        <v>36</v>
      </c>
      <c r="H9862" s="1" t="s">
        <v>29</v>
      </c>
      <c r="I9862" s="1" t="str">
        <f ca="1">IFERROR(__xludf.DUMMYFUNCTION("GOOGLETRANSLATE(F9862, ""auto"", ""en"")
"),"Super TV!!! I've had it for almost 2 years! By the way, the stand rotates!))))))))")</f>
        <v>Super TV!!! I've had it for almost 2 years! By the way, the stand rotates!))))))))</v>
      </c>
    </row>
    <row r="9863" spans="1:9" x14ac:dyDescent="0.3">
      <c r="A9863" s="1" t="s">
        <v>37</v>
      </c>
      <c r="B9863" s="1" t="s">
        <v>38</v>
      </c>
      <c r="C9863" s="1" t="s">
        <v>163</v>
      </c>
      <c r="D9863" s="1" t="s">
        <v>39</v>
      </c>
      <c r="E9863" s="1" t="s">
        <v>750</v>
      </c>
      <c r="F9863" s="1" t="s">
        <v>14469</v>
      </c>
      <c r="G9863" s="1" t="s">
        <v>49</v>
      </c>
      <c r="H9863" s="1" t="s">
        <v>16</v>
      </c>
      <c r="I9863" s="1" t="str">
        <f ca="1">IFERROR(__xludf.DUMMYFUNCTION("GOOGLETRANSLATE(F9863, ""auto"", ""en"")
"),"The Nokia 3110c phone has a main and constant drawback - a glitch and bug associated with the audio player. The database is full and the player is glitching. Nokia programmers did not provide for a complete database update. And you need a program to get i"&amp;"nto your brain - and manually remove it. I cleaned it twice in 6 months.")</f>
        <v>The Nokia 3110c phone has a main and constant drawback - a glitch and bug associated with the audio player. The database is full and the player is glitching. Nokia programmers did not provide for a complete database update. And you need a program to get into your brain - and manually remove it. I cleaned it twice in 6 months.</v>
      </c>
    </row>
    <row r="9864" spans="1:9" x14ac:dyDescent="0.3">
      <c r="A9864" s="1" t="s">
        <v>9</v>
      </c>
      <c r="B9864" s="1" t="s">
        <v>23</v>
      </c>
      <c r="C9864" s="1" t="s">
        <v>134</v>
      </c>
      <c r="D9864" s="1" t="s">
        <v>75</v>
      </c>
      <c r="E9864" s="1" t="s">
        <v>699</v>
      </c>
      <c r="F9864" s="1" t="s">
        <v>14470</v>
      </c>
      <c r="G9864" s="1" t="s">
        <v>36</v>
      </c>
      <c r="H9864" s="1" t="s">
        <v>29</v>
      </c>
      <c r="I9864" s="1" t="str">
        <f ca="1">IFERROR(__xludf.DUMMYFUNCTION("GOOGLETRANSLATE(F9864, ""auto"", ""en"")
"),"It washes well, cleanly, and does not break dishes if you place them in accordance with the instructions.")</f>
        <v>It washes well, cleanly, and does not break dishes if you place them in accordance with the instructions.</v>
      </c>
    </row>
    <row r="9865" spans="1:9" x14ac:dyDescent="0.3">
      <c r="A9865" s="1" t="s">
        <v>30</v>
      </c>
      <c r="B9865" s="1" t="s">
        <v>50</v>
      </c>
      <c r="C9865" s="1" t="s">
        <v>32</v>
      </c>
      <c r="D9865" s="1" t="s">
        <v>127</v>
      </c>
      <c r="E9865" s="1" t="s">
        <v>2146</v>
      </c>
      <c r="F9865" s="1" t="s">
        <v>14471</v>
      </c>
      <c r="G9865" s="1" t="s">
        <v>36</v>
      </c>
      <c r="H9865" s="1" t="s">
        <v>29</v>
      </c>
      <c r="I9865" s="1" t="str">
        <f ca="1">IFERROR(__xludf.DUMMYFUNCTION("GOOGLETRANSLATE(F9865, ""auto"", ""en"")
"),"I bought it half a year ago from M-Video for 28,000, the laptop is quite worthy of attention and understanding. The only downside is the current price.")</f>
        <v>I bought it half a year ago from M-Video for 28,000, the laptop is quite worthy of attention and understanding. The only downside is the current price.</v>
      </c>
    </row>
    <row r="9866" spans="1:9" x14ac:dyDescent="0.3">
      <c r="A9866" s="1" t="s">
        <v>149</v>
      </c>
      <c r="B9866" s="1" t="s">
        <v>423</v>
      </c>
      <c r="C9866" s="1" t="s">
        <v>69</v>
      </c>
      <c r="D9866" s="1" t="s">
        <v>456</v>
      </c>
      <c r="E9866" s="1" t="s">
        <v>3219</v>
      </c>
      <c r="F9866" s="1" t="s">
        <v>14472</v>
      </c>
      <c r="G9866" s="1" t="s">
        <v>36</v>
      </c>
      <c r="H9866" s="1" t="s">
        <v>29</v>
      </c>
      <c r="I9866" s="1" t="str">
        <f ca="1">IFERROR(__xludf.DUMMYFUNCTION("GOOGLETRANSLATE(F9866, ""auto"", ""en"")
"),"All Philips equipment has proven itself very well, especially in household appliances. Therefore, do not regret if you purchased it. I myself use equipment from this company and am very pleased. Yes, all models of Philips vacuum cleaners justify themselve"&amp;"s, they have the highest suction power and the most comfortable brushes, thanks to which not a single corner will be left unnoticed.")</f>
        <v>All Philips equipment has proven itself very well, especially in household appliances. Therefore, do not regret if you purchased it. I myself use equipment from this company and am very pleased. Yes, all models of Philips vacuum cleaners justify themselves, they have the highest suction power and the most comfortable brushes, thanks to which not a single corner will be left unnoticed.</v>
      </c>
    </row>
    <row r="9867" spans="1:9" x14ac:dyDescent="0.3">
      <c r="A9867" s="1" t="s">
        <v>211</v>
      </c>
      <c r="B9867" s="1" t="s">
        <v>212</v>
      </c>
      <c r="C9867" s="1" t="s">
        <v>1591</v>
      </c>
      <c r="D9867" s="1" t="s">
        <v>592</v>
      </c>
      <c r="E9867" s="1" t="s">
        <v>14473</v>
      </c>
      <c r="F9867" s="1" t="s">
        <v>14474</v>
      </c>
      <c r="G9867" s="1" t="s">
        <v>36</v>
      </c>
      <c r="H9867" s="1" t="s">
        <v>29</v>
      </c>
      <c r="I9867" s="1" t="str">
        <f ca="1">IFERROR(__xludf.DUMMYFUNCTION("GOOGLETRANSLATE(F9867, ""auto"", ""en"")
"),"Very convenient thing for medium hair")</f>
        <v>Very convenient thing for medium hair</v>
      </c>
    </row>
    <row r="9868" spans="1:9" x14ac:dyDescent="0.3">
      <c r="A9868" s="1" t="s">
        <v>55</v>
      </c>
      <c r="B9868" s="1" t="s">
        <v>56</v>
      </c>
      <c r="C9868" s="1" t="s">
        <v>3651</v>
      </c>
      <c r="D9868" s="1" t="s">
        <v>295</v>
      </c>
      <c r="E9868" s="1" t="s">
        <v>8520</v>
      </c>
      <c r="F9868" s="1" t="s">
        <v>14475</v>
      </c>
      <c r="G9868" s="1" t="s">
        <v>36</v>
      </c>
      <c r="H9868" s="1" t="s">
        <v>29</v>
      </c>
      <c r="I9868" s="1" t="str">
        <f ca="1">IFERROR(__xludf.DUMMYFUNCTION("GOOGLETRANSLATE(F9868, ""auto"", ""en"")
"),"There were a lot of humidifiers.  It scans the humidity in the room, you can set the programs yourself. But in my opinion, the distinctive feature of this device was the warm steam function, with the help of which water, before hitting the ultrasonic memb"&amp;"rane, is subjected to prolonged heating to 80 C (pasteurization). As a result, the generated steam is purified, and the humidifier’s productivity increases to 550 g/hour. You can feel this when you are in the apartment. Plus the night mode, it scans and w"&amp;"orks itself - silently!!! I'm happy with the purchase.")</f>
        <v>There were a lot of humidifiers.  It scans the humidity in the room, you can set the programs yourself. But in my opinion, the distinctive feature of this device was the warm steam function, with the help of which water, before hitting the ultrasonic membrane, is subjected to prolonged heating to 80 C (pasteurization). As a result, the generated steam is purified, and the humidifier’s productivity increases to 550 g/hour. You can feel this when you are in the apartment. Plus the night mode, it scans and works itself - silently!!! I'm happy with the purchase.</v>
      </c>
    </row>
    <row r="9869" spans="1:9" x14ac:dyDescent="0.3">
      <c r="A9869" s="1" t="s">
        <v>30</v>
      </c>
      <c r="B9869" s="1" t="s">
        <v>50</v>
      </c>
      <c r="C9869" s="1" t="s">
        <v>1003</v>
      </c>
      <c r="D9869" s="1" t="s">
        <v>537</v>
      </c>
      <c r="E9869" s="1" t="s">
        <v>1384</v>
      </c>
      <c r="F9869" s="1" t="s">
        <v>14476</v>
      </c>
      <c r="G9869" s="1" t="s">
        <v>49</v>
      </c>
      <c r="H9869" s="1" t="s">
        <v>16</v>
      </c>
      <c r="I9869" s="1" t="str">
        <f ca="1">IFERROR(__xludf.DUMMYFUNCTION("GOOGLETRANSLATE(F9869, ""auto"", ""en"")
"),"It died a week later, it's been under repair for a month and a half, but it's so beautiful.")</f>
        <v>It died a week later, it's been under repair for a month and a half, but it's so beautiful.</v>
      </c>
    </row>
    <row r="9870" spans="1:9" x14ac:dyDescent="0.3">
      <c r="A9870" s="1" t="s">
        <v>55</v>
      </c>
      <c r="B9870" s="1" t="s">
        <v>56</v>
      </c>
      <c r="C9870" s="1" t="s">
        <v>85</v>
      </c>
      <c r="D9870" s="1" t="s">
        <v>14477</v>
      </c>
      <c r="E9870" s="1" t="s">
        <v>1984</v>
      </c>
      <c r="F9870" s="1" t="s">
        <v>14478</v>
      </c>
      <c r="G9870" s="1" t="s">
        <v>36</v>
      </c>
      <c r="H9870" s="1" t="s">
        <v>29</v>
      </c>
      <c r="I9870" s="1" t="str">
        <f ca="1">IFERROR(__xludf.DUMMYFUNCTION("GOOGLETRANSLATE(F9870, ""auto"", ""en"")
"),"We have been using this model for several months. To be honest, we bought it because of the design, but we never regretted the purchase! It works completely silently, the humidity rises normally, I set it to minimum, set it to 40, and it keeps me at 40. I"&amp;" set it to 60, over time I got 60. As for cartridges and antibacterial filters, they are available in Bork branded stores! I'm happy with the purchase!")</f>
        <v>We have been using this model for several months. To be honest, we bought it because of the design, but we never regretted the purchase! It works completely silently, the humidity rises normally, I set it to minimum, set it to 40, and it keeps me at 40. I set it to 60, over time I got 60. As for cartridges and antibacterial filters, they are available in Bork branded stores! I'm happy with the purchase!</v>
      </c>
    </row>
    <row r="9871" spans="1:9" x14ac:dyDescent="0.3">
      <c r="A9871" s="1" t="s">
        <v>61</v>
      </c>
      <c r="B9871" s="1" t="s">
        <v>726</v>
      </c>
      <c r="C9871" s="1" t="s">
        <v>85</v>
      </c>
      <c r="D9871" s="1" t="s">
        <v>2145</v>
      </c>
      <c r="E9871" s="1" t="s">
        <v>475</v>
      </c>
      <c r="F9871" s="1" t="s">
        <v>14479</v>
      </c>
      <c r="G9871" s="1" t="s">
        <v>36</v>
      </c>
      <c r="H9871" s="1" t="s">
        <v>29</v>
      </c>
      <c r="I9871" s="1" t="str">
        <f ca="1">IFERROR(__xludf.DUMMYFUNCTION("GOOGLETRANSLATE(F9871, ""auto"", ""en"")
"),"The oven is excellent, several times during baking the light went out for a few minutes, then it continued the program and the bread turned out excellent")</f>
        <v>The oven is excellent, several times during baking the light went out for a few minutes, then it continued the program and the bread turned out excellent</v>
      </c>
    </row>
    <row r="9872" spans="1:9" x14ac:dyDescent="0.3">
      <c r="A9872" s="1" t="s">
        <v>149</v>
      </c>
      <c r="B9872" s="1" t="s">
        <v>576</v>
      </c>
      <c r="C9872" s="1" t="s">
        <v>69</v>
      </c>
      <c r="D9872" s="1" t="s">
        <v>943</v>
      </c>
      <c r="E9872" s="1" t="s">
        <v>1533</v>
      </c>
      <c r="F9872" s="1" t="s">
        <v>14480</v>
      </c>
      <c r="G9872" s="1" t="s">
        <v>36</v>
      </c>
      <c r="H9872" s="1" t="s">
        <v>29</v>
      </c>
      <c r="I9872" s="1" t="str">
        <f ca="1">IFERROR(__xludf.DUMMYFUNCTION("GOOGLETRANSLATE(F9872, ""auto"", ""en"")
"),"Very powerful, long cord, comfortable brush, not noisy, has an air scent")</f>
        <v>Very powerful, long cord, comfortable brush, not noisy, has an air scent</v>
      </c>
    </row>
    <row r="9873" spans="1:9" x14ac:dyDescent="0.3">
      <c r="A9873" s="1" t="s">
        <v>78</v>
      </c>
      <c r="B9873" s="1" t="s">
        <v>493</v>
      </c>
      <c r="C9873" s="1" t="s">
        <v>80</v>
      </c>
      <c r="D9873" s="1" t="s">
        <v>2573</v>
      </c>
      <c r="E9873" s="1" t="s">
        <v>5202</v>
      </c>
      <c r="F9873" s="1" t="s">
        <v>14481</v>
      </c>
      <c r="G9873" s="1" t="s">
        <v>49</v>
      </c>
      <c r="H9873" s="1" t="s">
        <v>16</v>
      </c>
      <c r="I9873" s="1" t="str">
        <f ca="1">IFERROR(__xludf.DUMMYFUNCTION("GOOGLETRANSLATE(F9873, ""auto"", ""en"")
"),"We bought a convenient large one 6 months ago. Only the convection power is only 240, we have to increase the cooking time. The problem with the grill is the same, the chicken inside is raw, like all products cooked in auto mode. Moreover, it began to mak"&amp;"e more and more noise during operation every month. Well, to top it off, the rotation mechanism broke (the plate rotated jerkily). In short, if you need a huge clock in the middle of the kitchen to heat a cup of tea, this is it")</f>
        <v>We bought a convenient large one 6 months ago. Only the convection power is only 240, we have to increase the cooking time. The problem with the grill is the same, the chicken inside is raw, like all products cooked in auto mode. Moreover, it began to make more and more noise during operation every month. Well, to top it off, the rotation mechanism broke (the plate rotated jerkily). In short, if you need a huge clock in the middle of the kitchen to heat a cup of tea, this is it</v>
      </c>
    </row>
    <row r="9874" spans="1:9" x14ac:dyDescent="0.3">
      <c r="A9874" s="1" t="s">
        <v>211</v>
      </c>
      <c r="B9874" s="1" t="s">
        <v>384</v>
      </c>
      <c r="C9874" s="1" t="s">
        <v>246</v>
      </c>
      <c r="D9874" s="1" t="s">
        <v>1055</v>
      </c>
      <c r="E9874" s="1" t="s">
        <v>4860</v>
      </c>
      <c r="F9874" s="1" t="s">
        <v>14482</v>
      </c>
      <c r="G9874" s="1" t="s">
        <v>49</v>
      </c>
      <c r="H9874" s="1" t="s">
        <v>16</v>
      </c>
      <c r="I9874" s="1" t="str">
        <f ca="1">IFERROR(__xludf.DUMMYFUNCTION("GOOGLETRANSLATE(F9874, ""auto"", ""en"")
"),"These scales only work well for the first six months maximum. Then they started having a terrible glitch. To weigh yourself, you need to spend at least 15 minutes. Because they always give an error and show either 114 kg :))))) or 000 and everything is a "&amp;"mess. Well..for this price exactly six months of good work and throw it away. I don't recommend it.")</f>
        <v>These scales only work well for the first six months maximum. Then they started having a terrible glitch. To weigh yourself, you need to spend at least 15 minutes. Because they always give an error and show either 114 kg :))))) or 000 and everything is a mess. Well..for this price exactly six months of good work and throw it away. I don't recommend it.</v>
      </c>
    </row>
    <row r="9875" spans="1:9" x14ac:dyDescent="0.3">
      <c r="A9875" s="1" t="s">
        <v>37</v>
      </c>
      <c r="B9875" s="1" t="s">
        <v>536</v>
      </c>
      <c r="C9875" s="1" t="s">
        <v>537</v>
      </c>
      <c r="D9875" s="1" t="s">
        <v>152</v>
      </c>
      <c r="E9875" s="1" t="s">
        <v>2120</v>
      </c>
      <c r="F9875" s="1" t="s">
        <v>14483</v>
      </c>
      <c r="G9875" s="1" t="s">
        <v>36</v>
      </c>
      <c r="H9875" s="1" t="s">
        <v>29</v>
      </c>
      <c r="I9875" s="1" t="str">
        <f ca="1">IFERROR(__xludf.DUMMYFUNCTION("GOOGLETRANSLATE(F9875, ""auto"", ""en"")
"),"Addition to the review dated 08/02/2010 Yesterday the firmware was automatically updated to version 2.1 In general, everything became great! I have never seen such a smart phone! I recommend it to everyone! There was no iPhone nearby, and there was no nee"&amp;"d to overpay. Android is at least 2.5 times cheaper.")</f>
        <v>Addition to the review dated 08/02/2010 Yesterday the firmware was automatically updated to version 2.1 In general, everything became great! I have never seen such a smart phone! I recommend it to everyone! There was no iPhone nearby, and there was no need to overpay. Android is at least 2.5 times cheaper.</v>
      </c>
    </row>
    <row r="9876" spans="1:9" x14ac:dyDescent="0.3">
      <c r="A9876" s="1" t="s">
        <v>373</v>
      </c>
      <c r="B9876" s="1" t="s">
        <v>374</v>
      </c>
      <c r="C9876" s="1" t="s">
        <v>24</v>
      </c>
      <c r="D9876" s="1" t="s">
        <v>200</v>
      </c>
      <c r="E9876" s="1" t="s">
        <v>1852</v>
      </c>
      <c r="F9876" s="1" t="s">
        <v>14484</v>
      </c>
      <c r="G9876" s="1" t="s">
        <v>36</v>
      </c>
      <c r="H9876" s="1" t="s">
        <v>29</v>
      </c>
      <c r="I9876" s="1" t="str">
        <f ca="1">IFERROR(__xludf.DUMMYFUNCTION("GOOGLETRANSLATE(F9876, ""auto"", ""en"")
"),"I’ve been using it for 2 years, it washes well, the main thing is to arrange the dishes CORRECTLY! The screw should not touch anything and be sure to add all consumables on time. I have never regretted buying it.")</f>
        <v>I’ve been using it for 2 years, it washes well, the main thing is to arrange the dishes CORRECTLY! The screw should not touch anything and be sure to add all consumables on time. I have never regretted buying it.</v>
      </c>
    </row>
    <row r="9877" spans="1:9" x14ac:dyDescent="0.3">
      <c r="A9877" s="1" t="s">
        <v>17</v>
      </c>
      <c r="B9877" s="1" t="s">
        <v>18</v>
      </c>
      <c r="C9877" s="1" t="s">
        <v>243</v>
      </c>
      <c r="D9877" s="1" t="s">
        <v>247</v>
      </c>
      <c r="E9877" s="1" t="s">
        <v>2955</v>
      </c>
      <c r="F9877" s="1" t="s">
        <v>14485</v>
      </c>
      <c r="G9877" s="1" t="s">
        <v>28</v>
      </c>
      <c r="H9877" s="1" t="s">
        <v>29</v>
      </c>
      <c r="I9877" s="1" t="str">
        <f ca="1">IFERROR(__xludf.DUMMYFUNCTION("GOOGLETRANSLATE(F9877, ""auto"", ""en"")
"),"We purchased the machine in the fall of 2006. It’s easy to use; by the way, I even connected it myself. Works without failures or breakdowns. The only thing is that after two years I stopped “taking away” the fabric conditioner for rinsing clothes.")</f>
        <v>We purchased the machine in the fall of 2006. It’s easy to use; by the way, I even connected it myself. Works without failures or breakdowns. The only thing is that after two years I stopped “taking away” the fabric conditioner for rinsing clothes.</v>
      </c>
    </row>
    <row r="9878" spans="1:9" x14ac:dyDescent="0.3">
      <c r="A9878" s="1" t="s">
        <v>17</v>
      </c>
      <c r="B9878" s="1" t="s">
        <v>18</v>
      </c>
      <c r="C9878" s="1" t="s">
        <v>243</v>
      </c>
      <c r="D9878" s="1" t="s">
        <v>86</v>
      </c>
      <c r="E9878" s="1" t="s">
        <v>1929</v>
      </c>
      <c r="F9878" s="1" t="s">
        <v>14486</v>
      </c>
      <c r="G9878" s="1" t="s">
        <v>49</v>
      </c>
      <c r="H9878" s="1" t="s">
        <v>16</v>
      </c>
      <c r="I9878" s="1" t="str">
        <f ca="1">IFERROR(__xludf.DUMMYFUNCTION("GOOGLETRANSLATE(F9878, ""auto"", ""en"")
"),"I bought this machine in 2007, and it’s very simple to operate and, in principle, nice, but for some reason after a month the electronics were damaged, the master came and said that it was a common story for this manufacturer, and for some reason these pa"&amp;"rts were not in stock (although this is a common story!!) I had to wash it for two months at my parents’ place, another 4 months and 8 days passed, the electronics were damaged again, the same master came again and it all happened all over again, two mont"&amp;"hs of carrying laundry to to my parents, now I’m sitting and waiting for this electronics to shut down again")</f>
        <v>I bought this machine in 2007, and it’s very simple to operate and, in principle, nice, but for some reason after a month the electronics were damaged, the master came and said that it was a common story for this manufacturer, and for some reason these parts were not in stock (although this is a common story!!) I had to wash it for two months at my parents’ place, another 4 months and 8 days passed, the electronics were damaged again, the same master came again and it all happened all over again, two months of carrying laundry to to my parents, now I’m sitting and waiting for this electronics to shut down again</v>
      </c>
    </row>
    <row r="9879" spans="1:9" x14ac:dyDescent="0.3">
      <c r="A9879" s="1" t="s">
        <v>43</v>
      </c>
      <c r="B9879" s="1" t="s">
        <v>1616</v>
      </c>
      <c r="C9879" s="1" t="s">
        <v>85</v>
      </c>
      <c r="D9879" s="1" t="s">
        <v>2250</v>
      </c>
      <c r="E9879" s="1" t="s">
        <v>594</v>
      </c>
      <c r="F9879" s="1" t="s">
        <v>14487</v>
      </c>
      <c r="G9879" s="1" t="s">
        <v>28</v>
      </c>
      <c r="H9879" s="1" t="s">
        <v>29</v>
      </c>
      <c r="I9879" s="1" t="str">
        <f ca="1">IFERROR(__xludf.DUMMYFUNCTION("GOOGLETRANSLATE(F9879, ""auto"", ""en"")
"),"We bought Bork at the end of June and it cools normally, we installed the hose into the balcony door, we got used to the noise and now we don’t even notice it. But we sleep well, I don’t know what we would do without it in such heat. The disadvantages are"&amp;" that we have to fill in water every 3-4 hours and a coating similar to nickel forms in the pipe, once a week we have to remove and wash the pipe and filters. A split system is of course better, but to install it they drill more than one hole, so it’s bet"&amp;"ter to install a split before repairs and you have to wait a very long time, you’ll die from the heat. In general, while you’re mobile Then it will go anywhere, it will be possible to put it on heating and it will also work in the cold winter.")</f>
        <v>We bought Bork at the end of June and it cools normally, we installed the hose into the balcony door, we got used to the noise and now we don’t even notice it. But we sleep well, I don’t know what we would do without it in such heat. The disadvantages are that we have to fill in water every 3-4 hours and a coating similar to nickel forms in the pipe, once a week we have to remove and wash the pipe and filters. A split system is of course better, but to install it they drill more than one hole, so it’s better to install a split before repairs and you have to wait a very long time, you’ll die from the heat. In general, while you’re mobile Then it will go anywhere, it will be possible to put it on heating and it will also work in the cold winter.</v>
      </c>
    </row>
    <row r="9880" spans="1:9" x14ac:dyDescent="0.3">
      <c r="A9880" s="1" t="s">
        <v>624</v>
      </c>
      <c r="B9880" s="1" t="s">
        <v>625</v>
      </c>
      <c r="C9880" s="1" t="s">
        <v>479</v>
      </c>
      <c r="D9880" s="1" t="s">
        <v>127</v>
      </c>
      <c r="E9880" s="1" t="s">
        <v>1497</v>
      </c>
      <c r="F9880" s="1" t="s">
        <v>14488</v>
      </c>
      <c r="G9880" s="1" t="s">
        <v>36</v>
      </c>
      <c r="H9880" s="1" t="s">
        <v>29</v>
      </c>
      <c r="I9880" s="1" t="str">
        <f ca="1">IFERROR(__xludf.DUMMYFUNCTION("GOOGLETRANSLATE(F9880, ""auto"", ""en"")
"),"A brilliant game, but it’s not easy to find it on sale.")</f>
        <v>A brilliant game, but it’s not easy to find it on sale.</v>
      </c>
    </row>
    <row r="9881" spans="1:9" x14ac:dyDescent="0.3">
      <c r="A9881" s="1" t="s">
        <v>206</v>
      </c>
      <c r="B9881" s="1" t="s">
        <v>1349</v>
      </c>
      <c r="C9881" s="1" t="s">
        <v>262</v>
      </c>
      <c r="D9881" s="1" t="s">
        <v>12027</v>
      </c>
      <c r="E9881" s="1" t="s">
        <v>1051</v>
      </c>
      <c r="F9881" s="1" t="s">
        <v>14489</v>
      </c>
      <c r="G9881" s="1" t="s">
        <v>36</v>
      </c>
      <c r="H9881" s="1" t="s">
        <v>29</v>
      </c>
      <c r="I9881" s="1" t="str">
        <f ca="1">IFERROR(__xludf.DUMMYFUNCTION("GOOGLETRANSLATE(F9881, ""auto"", ""en"")
"),"The mafon is good, it’s been working fine for a year, nothing has broken, the video takes a long time to load, especially after 1 gig, and after two it takes forever, I had to remove the heater blower switch (VAZ2114), it prevents the screen from opening,"&amp;" in winter, when the interior is not warmed up, the cooler buzzes.")</f>
        <v>The mafon is good, it’s been working fine for a year, nothing has broken, the video takes a long time to load, especially after 1 gig, and after two it takes forever, I had to remove the heater blower switch (VAZ2114), it prevents the screen from opening, in winter, when the interior is not warmed up, the cooler buzzes.</v>
      </c>
    </row>
    <row r="9882" spans="1:9" x14ac:dyDescent="0.3">
      <c r="A9882" s="1" t="s">
        <v>211</v>
      </c>
      <c r="B9882" s="1" t="s">
        <v>856</v>
      </c>
      <c r="C9882" s="1" t="s">
        <v>57</v>
      </c>
      <c r="D9882" s="1" t="s">
        <v>305</v>
      </c>
      <c r="E9882" s="1" t="s">
        <v>3125</v>
      </c>
      <c r="F9882" s="1" t="s">
        <v>14490</v>
      </c>
      <c r="G9882" s="1" t="s">
        <v>36</v>
      </c>
      <c r="H9882" s="1" t="s">
        <v>29</v>
      </c>
      <c r="I9882" s="1" t="str">
        <f ca="1">IFERROR(__xludf.DUMMYFUNCTION("GOOGLETRANSLATE(F9882, ""auto"", ""en"")
"),"I gave this bath to my wife. My wife is very pleased, I tried it myself and really liked it. The price is reasonable, the quality is good, the modes are optimal. Pleasant massage with bubbles. Let the water cool down faster due to the bubbles than just in"&amp;" the massage mode, but this is not the main thing. I recommend it.")</f>
        <v>I gave this bath to my wife. My wife is very pleased, I tried it myself and really liked it. The price is reasonable, the quality is good, the modes are optimal. Pleasant massage with bubbles. Let the water cool down faster due to the bubbles than just in the massage mode, but this is not the main thing. I recommend it.</v>
      </c>
    </row>
    <row r="9883" spans="1:9" x14ac:dyDescent="0.3">
      <c r="A9883" s="1" t="s">
        <v>61</v>
      </c>
      <c r="B9883" s="1" t="s">
        <v>318</v>
      </c>
      <c r="C9883" s="1" t="s">
        <v>2840</v>
      </c>
      <c r="D9883" s="1" t="s">
        <v>14491</v>
      </c>
      <c r="E9883" s="1" t="s">
        <v>14492</v>
      </c>
      <c r="F9883" s="1" t="s">
        <v>14493</v>
      </c>
      <c r="G9883" s="1" t="s">
        <v>49</v>
      </c>
      <c r="H9883" s="1" t="s">
        <v>16</v>
      </c>
      <c r="I9883" s="1" t="str">
        <f ca="1">IFERROR(__xludf.DUMMYFUNCTION("GOOGLETRANSLATE(F9883, ""auto"", ""en"")
"),"I wanted a transparent kettle and, on the advice of a sales consultant, I bought this one (I know I shouldn’t listen to them, my husband tried to dissuade me, but I still couldn’t resist) the kettle has a very inconvenient power button, it’s been in use f"&amp;"or almost a year, I still haven’t gotten used to it. The handle is not comfortable, it is not convenient to take the kettle when it is full. What makes my life very difficult is that if the kettle has boiled, you have used up all the water, it is not poss"&amp;"ible to turn on the kettle for some time, you have to wait for it to cool down. and to top it all off, less than a year later the lid broke.  For the price this is a terrible kettle. Once again I was convinced that you can’t listen to sales consultants!")</f>
        <v>I wanted a transparent kettle and, on the advice of a sales consultant, I bought this one (I know I shouldn’t listen to them, my husband tried to dissuade me, but I still couldn’t resist) the kettle has a very inconvenient power button, it’s been in use for almost a year, I still haven’t gotten used to it. The handle is not comfortable, it is not convenient to take the kettle when it is full. What makes my life very difficult is that if the kettle has boiled, you have used up all the water, it is not possible to turn on the kettle for some time, you have to wait for it to cool down. and to top it all off, less than a year later the lid broke.  For the price this is a terrible kettle. Once again I was convinced that you can’t listen to sales consultants!</v>
      </c>
    </row>
    <row r="9884" spans="1:9" x14ac:dyDescent="0.3">
      <c r="A9884" s="1" t="s">
        <v>61</v>
      </c>
      <c r="B9884" s="1" t="s">
        <v>318</v>
      </c>
      <c r="C9884" s="1" t="s">
        <v>101</v>
      </c>
      <c r="D9884" s="1" t="s">
        <v>14494</v>
      </c>
      <c r="E9884" s="1" t="s">
        <v>2338</v>
      </c>
      <c r="F9884" s="1" t="s">
        <v>14495</v>
      </c>
      <c r="G9884" s="1" t="s">
        <v>49</v>
      </c>
      <c r="H9884" s="1" t="s">
        <v>16</v>
      </c>
      <c r="I9884" s="1" t="str">
        <f ca="1">IFERROR(__xludf.DUMMYFUNCTION("GOOGLETRANSLATE(F9884, ""auto"", ""en"")
"),"The spiral burned out after 2 months, the lid does not close well.")</f>
        <v>The spiral burned out after 2 months, the lid does not close well.</v>
      </c>
    </row>
    <row r="9885" spans="1:9" x14ac:dyDescent="0.3">
      <c r="A9885" s="1" t="s">
        <v>95</v>
      </c>
      <c r="B9885" s="1" t="s">
        <v>227</v>
      </c>
      <c r="C9885" s="1" t="s">
        <v>97</v>
      </c>
      <c r="D9885" s="1" t="s">
        <v>208</v>
      </c>
      <c r="E9885" s="1" t="s">
        <v>932</v>
      </c>
      <c r="F9885" s="1" t="s">
        <v>14496</v>
      </c>
      <c r="G9885" s="1" t="s">
        <v>36</v>
      </c>
      <c r="H9885" s="1" t="s">
        <v>29</v>
      </c>
      <c r="I9885" s="1" t="str">
        <f ca="1">IFERROR(__xludf.DUMMYFUNCTION("GOOGLETRANSLATE(F9885, ""auto"", ""en"")
"),"We bought it for a child on the occasion of his birthday. For three days the child cannot be taken away from the console, with a movie on skis, tennis, and archery))). The child is delighted, and so are we. We connected the set-top box to the laptop via W"&amp;"iFi network, now we watch movies and cartoons.")</f>
        <v>We bought it for a child on the occasion of his birthday. For three days the child cannot be taken away from the console, with a movie on skis, tennis, and archery))). The child is delighted, and so are we. We connected the set-top box to the laptop via WiFi network, now we watch movies and cartoons.</v>
      </c>
    </row>
    <row r="9886" spans="1:9" x14ac:dyDescent="0.3">
      <c r="A9886" s="1" t="s">
        <v>78</v>
      </c>
      <c r="B9886" s="1" t="s">
        <v>79</v>
      </c>
      <c r="C9886" s="1" t="s">
        <v>151</v>
      </c>
      <c r="D9886" s="1" t="s">
        <v>14497</v>
      </c>
      <c r="E9886" s="1" t="s">
        <v>2688</v>
      </c>
      <c r="F9886" s="1" t="s">
        <v>14498</v>
      </c>
      <c r="G9886" s="1" t="s">
        <v>36</v>
      </c>
      <c r="H9886" s="1" t="s">
        <v>29</v>
      </c>
      <c r="I9886" s="1" t="str">
        <f ca="1">IFERROR(__xludf.DUMMYFUNCTION("GOOGLETRANSLATE(F9886, ""auto"", ""en"")
"),"We bought the same microwave back in 2002. Until 2010, I worked from home, without any complaints or complaints. Then she moved to the dacha, where she spent the winter in a cold house. But the new one from another company that was purchased to replace it"&amp;" broke down within a year. And our ancient friend returned home from the dacha. It works without problems! So - an old friend is better than two new ones..")</f>
        <v>We bought the same microwave back in 2002. Until 2010, I worked from home, without any complaints or complaints. Then she moved to the dacha, where she spent the winter in a cold house. But the new one from another company that was purchased to replace it broke down within a year. And our ancient friend returned home from the dacha. It works without problems! So - an old friend is better than two new ones..</v>
      </c>
    </row>
    <row r="9887" spans="1:9" x14ac:dyDescent="0.3">
      <c r="A9887" s="1" t="s">
        <v>9</v>
      </c>
      <c r="B9887" s="1" t="s">
        <v>133</v>
      </c>
      <c r="C9887" s="1" t="s">
        <v>290</v>
      </c>
      <c r="D9887" s="1" t="s">
        <v>326</v>
      </c>
      <c r="E9887" s="1" t="s">
        <v>6342</v>
      </c>
      <c r="F9887" s="1" t="s">
        <v>14499</v>
      </c>
      <c r="G9887" s="1" t="s">
        <v>36</v>
      </c>
      <c r="H9887" s="1" t="s">
        <v>29</v>
      </c>
      <c r="I9887" s="1" t="str">
        <f ca="1">IFERROR(__xludf.DUMMYFUNCTION("GOOGLETRANSLATE(F9887, ""auto"", ""en"")
"),"I spent a very long time choosing an oven. I stopped there. Justified himself. Great oven. Steam cleaning is a good thing, but the only negative is that the lower heating element is not cleaned, since it heats up during cleaning. But this is a fixable mat"&amp;"ter. The design is good. In general, there is nothing negative, in my opinion. The grilled wings are excellent. The pastries are wonderful. I recommend it.")</f>
        <v>I spent a very long time choosing an oven. I stopped there. Justified himself. Great oven. Steam cleaning is a good thing, but the only negative is that the lower heating element is not cleaned, since it heats up during cleaning. But this is a fixable matter. The design is good. In general, there is nothing negative, in my opinion. The grilled wings are excellent. The pastries are wonderful. I recommend it.</v>
      </c>
    </row>
    <row r="9888" spans="1:9" x14ac:dyDescent="0.3">
      <c r="A9888" s="1" t="s">
        <v>9</v>
      </c>
      <c r="B9888" s="1" t="s">
        <v>10</v>
      </c>
      <c r="C9888" s="1" t="s">
        <v>466</v>
      </c>
      <c r="D9888" s="1" t="s">
        <v>152</v>
      </c>
      <c r="E9888" s="1" t="s">
        <v>14492</v>
      </c>
      <c r="F9888" s="1" t="s">
        <v>14500</v>
      </c>
      <c r="G9888" s="1" t="s">
        <v>36</v>
      </c>
      <c r="H9888" s="1" t="s">
        <v>29</v>
      </c>
      <c r="I9888" s="1" t="str">
        <f ca="1">IFERROR(__xludf.DUMMYFUNCTION("GOOGLETRANSLATE(F9888, ""auto"", ""en"")
"),"Bought. So far I can only say that it works not noisily and pulls well. If it is turned on at any speed, then when you pull out the filter it turns on automatically, and if you push it in, it turns off.  I haven't found any cons yet.  I ordered through my"&amp;" personal account, received an SMS that the product was in the store, arrived at the store - received it and that’s it. Fast and convenient.")</f>
        <v>Bought. So far I can only say that it works not noisily and pulls well. If it is turned on at any speed, then when you pull out the filter it turns on automatically, and if you push it in, it turns off.  I haven't found any cons yet.  I ordered through my personal account, received an SMS that the product was in the store, arrived at the store - received it and that’s it. Fast and convenient.</v>
      </c>
    </row>
    <row r="9889" spans="1:9" x14ac:dyDescent="0.3">
      <c r="A9889" s="1" t="s">
        <v>43</v>
      </c>
      <c r="B9889" s="1" t="s">
        <v>502</v>
      </c>
      <c r="C9889" s="1" t="s">
        <v>459</v>
      </c>
      <c r="D9889" s="1" t="s">
        <v>14501</v>
      </c>
      <c r="E9889" s="1" t="s">
        <v>872</v>
      </c>
      <c r="F9889" s="1" t="s">
        <v>14502</v>
      </c>
      <c r="G9889" s="1" t="s">
        <v>36</v>
      </c>
      <c r="H9889" s="1" t="s">
        <v>29</v>
      </c>
      <c r="I9889" s="1" t="str">
        <f ca="1">IFERROR(__xludf.DUMMYFUNCTION("GOOGLETRANSLATE(F9889, ""auto"", ""en"")
"),"Works great! No complaints! There are two disadvantages: 1) a little noisy 2) it is not recommended to re-hang with the hoses disconnected, it starts to leak")</f>
        <v>Works great! No complaints! There are two disadvantages: 1) a little noisy 2) it is not recommended to re-hang with the hoses disconnected, it starts to leak</v>
      </c>
    </row>
    <row r="9890" spans="1:9" x14ac:dyDescent="0.3">
      <c r="A9890" s="1" t="s">
        <v>43</v>
      </c>
      <c r="B9890" s="1" t="s">
        <v>502</v>
      </c>
      <c r="C9890" s="1" t="s">
        <v>151</v>
      </c>
      <c r="D9890" s="1" t="s">
        <v>327</v>
      </c>
      <c r="E9890" s="1" t="s">
        <v>4455</v>
      </c>
      <c r="F9890" s="1" t="s">
        <v>14503</v>
      </c>
      <c r="G9890" s="1" t="s">
        <v>28</v>
      </c>
      <c r="H9890" s="1" t="s">
        <v>29</v>
      </c>
      <c r="I9890" s="1" t="str">
        <f ca="1">IFERROR(__xludf.DUMMYFUNCTION("GOOGLETRANSLATE(F9890, ""auto"", ""en"")
"),"Normal air conditioner in its price category. I also got into trouble with vibration (they installed it yesterday), but today I have already fixed everything. The compressor moves during transportation and the valve touches the cover, which vibrates. You "&amp;"just need to open the cover of the outdoor unit and check it before installation.&amp;nbsp;")</f>
        <v>Normal air conditioner in its price category. I also got into trouble with vibration (they installed it yesterday), but today I have already fixed everything. The compressor moves during transportation and the valve touches the cover, which vibrates. You just need to open the cover of the outdoor unit and check it before installation.&amp;nbsp;</v>
      </c>
    </row>
    <row r="9891" spans="1:9" x14ac:dyDescent="0.3">
      <c r="A9891" s="1" t="s">
        <v>105</v>
      </c>
      <c r="B9891" s="1" t="s">
        <v>106</v>
      </c>
      <c r="C9891" s="1" t="s">
        <v>1921</v>
      </c>
      <c r="D9891" s="1" t="s">
        <v>14504</v>
      </c>
      <c r="E9891" s="1" t="s">
        <v>2360</v>
      </c>
      <c r="F9891" s="1" t="s">
        <v>14505</v>
      </c>
      <c r="G9891" s="1" t="s">
        <v>49</v>
      </c>
      <c r="H9891" s="1" t="s">
        <v>16</v>
      </c>
      <c r="I9891" s="1" t="str">
        <f ca="1">IFERROR(__xludf.DUMMYFUNCTION("GOOGLETRANSLATE(F9891, ""auto"", ""en"")
"),"I bought it two days ago, at first the buttons didn’t work, then it stopped turning on completely... such garbage")</f>
        <v>I bought it two days ago, at first the buttons didn’t work, then it stopped turning on completely... such garbage</v>
      </c>
    </row>
    <row r="9892" spans="1:9" x14ac:dyDescent="0.3">
      <c r="A9892" s="1" t="s">
        <v>61</v>
      </c>
      <c r="B9892" s="1" t="s">
        <v>726</v>
      </c>
      <c r="C9892" s="1" t="s">
        <v>122</v>
      </c>
      <c r="D9892" s="1" t="s">
        <v>14506</v>
      </c>
      <c r="E9892" s="1" t="s">
        <v>2150</v>
      </c>
      <c r="F9892" s="1" t="s">
        <v>14507</v>
      </c>
      <c r="G9892" s="1" t="s">
        <v>36</v>
      </c>
      <c r="H9892" s="1" t="s">
        <v>29</v>
      </c>
      <c r="I9892" s="1" t="str">
        <f ca="1">IFERROR(__xludf.DUMMYFUNCTION("GOOGLETRANSLATE(F9892, ""auto"", ""en"")
"),"The bread maker is great! We've been using it for two years now. We recommend it to everyone! There is always fresh bread on the table. I especially like it with the addition of corn flour and oatmeal. I would like to bake rye bread, but I’m afraid of spo"&amp;"iling it. Tell me, is it possible to bake rye bread in this model, tell me the recipe.  Yes, I would also like to add that in order to get good baked goods, you need good electronic scales.")</f>
        <v>The bread maker is great! We've been using it for two years now. We recommend it to everyone! There is always fresh bread on the table. I especially like it with the addition of corn flour and oatmeal. I would like to bake rye bread, but I’m afraid of spoiling it. Tell me, is it possible to bake rye bread in this model, tell me the recipe.  Yes, I would also like to add that in order to get good baked goods, you need good electronic scales.</v>
      </c>
    </row>
    <row r="9893" spans="1:9" x14ac:dyDescent="0.3">
      <c r="A9893" s="1" t="s">
        <v>43</v>
      </c>
      <c r="B9893" s="1" t="s">
        <v>1382</v>
      </c>
      <c r="C9893" s="1" t="s">
        <v>57</v>
      </c>
      <c r="D9893" s="1" t="s">
        <v>280</v>
      </c>
      <c r="E9893" s="1" t="s">
        <v>204</v>
      </c>
      <c r="F9893" s="1" t="s">
        <v>14508</v>
      </c>
      <c r="G9893" s="1" t="s">
        <v>36</v>
      </c>
      <c r="H9893" s="1" t="s">
        <v>29</v>
      </c>
      <c r="I9893" s="1" t="str">
        <f ca="1">IFERROR(__xludf.DUMMYFUNCTION("GOOGLETRANSLATE(F9893, ""auto"", ""en"")
"),"Pros: Really a lifesaver on a hot, stuffy day, powerful, normal assembly, shows temperature, good appearance, didn’t hear any creaking!   Cons: Too noisy, disturbs sleep!")</f>
        <v>Pros: Really a lifesaver on a hot, stuffy day, powerful, normal assembly, shows temperature, good appearance, didn’t hear any creaking!   Cons: Too noisy, disturbs sleep!</v>
      </c>
    </row>
    <row r="9894" spans="1:9" x14ac:dyDescent="0.3">
      <c r="A9894" s="1" t="s">
        <v>120</v>
      </c>
      <c r="B9894" s="1" t="s">
        <v>121</v>
      </c>
      <c r="C9894" s="1" t="s">
        <v>97</v>
      </c>
      <c r="D9894" s="1" t="s">
        <v>280</v>
      </c>
      <c r="E9894" s="1" t="s">
        <v>631</v>
      </c>
      <c r="F9894" s="1" t="s">
        <v>14509</v>
      </c>
      <c r="G9894" s="1" t="s">
        <v>36</v>
      </c>
      <c r="H9894" s="1" t="s">
        <v>29</v>
      </c>
      <c r="I9894" s="1" t="str">
        <f ca="1">IFERROR(__xludf.DUMMYFUNCTION("GOOGLETRANSLATE(F9894, ""auto"", ""en"")
"),"The TV is great! I don’t know what kind of trains Elena saw there, but everything is ok for me, football is going great) The large viewing angles are also great.  Digital TV... well, in general it’s something! I never expected that I would watch TV with s"&amp;"uch quality; from 2-2.5 meters it seems like it’s a DVD! On an analog signal, the same channels don’t look much worse (at 4+), but I still strongly recommend connecting digital! By the way, I was pleasantly surprised that my cable provider supports the sa"&amp;"me standard as the digital tuner in this model, so I didn’t have to buy a separate tuner with a remote control! (Although the store was scared that this standard doesn’t work in Russia!) The only drawback I noticed was the inability to play video from a f"&amp;"lash drive. But these are minor things... In general, I’m very satisfied (it’s been 3 months already)")</f>
        <v>The TV is great! I don’t know what kind of trains Elena saw there, but everything is ok for me, football is going great) The large viewing angles are also great.  Digital TV... well, in general it’s something! I never expected that I would watch TV with such quality; from 2-2.5 meters it seems like it’s a DVD! On an analog signal, the same channels don’t look much worse (at 4+), but I still strongly recommend connecting digital! By the way, I was pleasantly surprised that my cable provider supports the same standard as the digital tuner in this model, so I didn’t have to buy a separate tuner with a remote control! (Although the store was scared that this standard doesn’t work in Russia!) The only drawback I noticed was the inability to play video from a flash drive. But these are minor things... In general, I’m very satisfied (it’s been 3 months already)</v>
      </c>
    </row>
    <row r="9895" spans="1:9" x14ac:dyDescent="0.3">
      <c r="A9895" s="1" t="s">
        <v>37</v>
      </c>
      <c r="B9895" s="1" t="s">
        <v>536</v>
      </c>
      <c r="C9895" s="1" t="s">
        <v>163</v>
      </c>
      <c r="D9895" s="1" t="s">
        <v>474</v>
      </c>
      <c r="E9895" s="1" t="s">
        <v>3084</v>
      </c>
      <c r="F9895" s="1" t="s">
        <v>14510</v>
      </c>
      <c r="G9895" s="1" t="s">
        <v>36</v>
      </c>
      <c r="H9895" s="1" t="s">
        <v>29</v>
      </c>
      <c r="I9895" s="1" t="str">
        <f ca="1">IFERROR(__xludf.DUMMYFUNCTION("GOOGLETRANSLATE(F9895, ""auto"", ""en"")
"),"My parents gave it to me less than a week ago, so far I am HAPPY with EVERYTHING, but the battery has not yet developed, but it will pass!!! Buy it, you won't regret it!!!!!! And it doesn’t reboot at all!!!!")</f>
        <v>My parents gave it to me less than a week ago, so far I am HAPPY with EVERYTHING, but the battery has not yet developed, but it will pass!!! Buy it, you won't regret it!!!!!! And it doesn’t reboot at all!!!!</v>
      </c>
    </row>
    <row r="9896" spans="1:9" x14ac:dyDescent="0.3">
      <c r="A9896" s="1" t="s">
        <v>61</v>
      </c>
      <c r="B9896" s="1" t="s">
        <v>73</v>
      </c>
      <c r="C9896" s="1" t="s">
        <v>146</v>
      </c>
      <c r="D9896" s="1" t="s">
        <v>232</v>
      </c>
      <c r="E9896" s="1" t="s">
        <v>6180</v>
      </c>
      <c r="F9896" s="1" t="s">
        <v>14511</v>
      </c>
      <c r="G9896" s="1" t="s">
        <v>36</v>
      </c>
      <c r="H9896" s="1" t="s">
        <v>29</v>
      </c>
      <c r="I9896" s="1" t="str">
        <f ca="1">IFERROR(__xludf.DUMMYFUNCTION("GOOGLETRANSLATE(F9896, ""auto"", ""en"")
"),"I've been using the meat grinder for a week. Everything suits me. Very high quality made. Coupling with metal insert. It's true that it's a little noisy, but considering that I don't use it every day, it's quite tolerable. An excellent meat grinder for th"&amp;"e money.")</f>
        <v>I've been using the meat grinder for a week. Everything suits me. Very high quality made. Coupling with metal insert. It's true that it's a little noisy, but considering that I don't use it every day, it's quite tolerable. An excellent meat grinder for the money.</v>
      </c>
    </row>
    <row r="9897" spans="1:9" x14ac:dyDescent="0.3">
      <c r="A9897" s="1" t="s">
        <v>105</v>
      </c>
      <c r="B9897" s="1" t="s">
        <v>106</v>
      </c>
      <c r="C9897" s="1" t="s">
        <v>1209</v>
      </c>
      <c r="D9897" s="1" t="s">
        <v>14512</v>
      </c>
      <c r="E9897" s="1" t="s">
        <v>1207</v>
      </c>
      <c r="F9897" s="1" t="s">
        <v>14513</v>
      </c>
      <c r="G9897" s="1" t="s">
        <v>28</v>
      </c>
      <c r="H9897" s="1" t="s">
        <v>29</v>
      </c>
      <c r="I9897" s="1" t="str">
        <f ca="1">IFERROR(__xludf.DUMMYFUNCTION("GOOGLETRANSLATE(F9897, ""auto"", ""en"")
"),"excellent player! except that the headphone jack began to act up after half a year, but this is also due to careless use!")</f>
        <v>excellent player! except that the headphone jack began to act up after half a year, but this is also due to careless use!</v>
      </c>
    </row>
    <row r="9898" spans="1:9" x14ac:dyDescent="0.3">
      <c r="A9898" s="1" t="s">
        <v>30</v>
      </c>
      <c r="B9898" s="1" t="s">
        <v>50</v>
      </c>
      <c r="C9898" s="1" t="s">
        <v>32</v>
      </c>
      <c r="D9898" s="1" t="s">
        <v>1877</v>
      </c>
      <c r="E9898" s="1" t="s">
        <v>814</v>
      </c>
      <c r="F9898" s="1" t="s">
        <v>14514</v>
      </c>
      <c r="G9898" s="1" t="s">
        <v>28</v>
      </c>
      <c r="H9898" s="1" t="s">
        <v>29</v>
      </c>
      <c r="I9898" s="1" t="str">
        <f ca="1">IFERROR(__xludf.DUMMYFUNCTION("GOOGLETRANSLATE(F9898, ""auto"", ""en"")
"),"Overheats and turns off. For a long time I could not understand what was the matter. All programs work, movies play in high definition. Even the Acer service center did not immediately understand what was wrong. Only when we carried out a processor stress"&amp;" test, it turned out that the processor within 5 minutes. reaches a critical temperature of 100C and turns off. Moreover, the problem turned out to be serious; parts needed to be replaced.  I haven’t done a matrix test yet, I didn’t have time. I have a la"&amp;"ptop in my hands. It was there for a few days, but it has already been in service centers for 2 (two) months.   Of course, the price, processor, memory, and graphics card are attractive in this model. There was a feeling that the manufacturer saved on som"&amp;"ething, but was tempted.  So I advise you to check for overheating of the CPU when purchasing and those who have already purchased it.")</f>
        <v>Overheats and turns off. For a long time I could not understand what was the matter. All programs work, movies play in high definition. Even the Acer service center did not immediately understand what was wrong. Only when we carried out a processor stress test, it turned out that the processor within 5 minutes. reaches a critical temperature of 100C and turns off. Moreover, the problem turned out to be serious; parts needed to be replaced.  I haven’t done a matrix test yet, I didn’t have time. I have a laptop in my hands. It was there for a few days, but it has already been in service centers for 2 (two) months.   Of course, the price, processor, memory, and graphics card are attractive in this model. There was a feeling that the manufacturer saved on something, but was tempted.  So I advise you to check for overheating of the CPU when purchasing and those who have already purchased it.</v>
      </c>
    </row>
    <row r="9899" spans="1:9" x14ac:dyDescent="0.3">
      <c r="A9899" s="1" t="s">
        <v>30</v>
      </c>
      <c r="B9899" s="1" t="s">
        <v>50</v>
      </c>
      <c r="C9899" s="1" t="s">
        <v>32</v>
      </c>
      <c r="D9899" s="1" t="s">
        <v>345</v>
      </c>
      <c r="E9899" s="1" t="s">
        <v>994</v>
      </c>
      <c r="F9899" s="1" t="s">
        <v>14515</v>
      </c>
      <c r="G9899" s="1" t="s">
        <v>36</v>
      </c>
      <c r="H9899" s="1" t="s">
        <v>29</v>
      </c>
      <c r="I9899" s="1" t="str">
        <f ca="1">IFERROR(__xludf.DUMMYFUNCTION("GOOGLETRANSLATE(F9899, ""auto"", ""en"")
"),"Dmitry (Stavropol) As far as I know, this is GDDR5")</f>
        <v>Dmitry (Stavropol) As far as I know, this is GDDR5</v>
      </c>
    </row>
    <row r="9900" spans="1:9" x14ac:dyDescent="0.3">
      <c r="A9900" s="1" t="s">
        <v>43</v>
      </c>
      <c r="B9900" s="1" t="s">
        <v>303</v>
      </c>
      <c r="C9900" s="1" t="s">
        <v>1721</v>
      </c>
      <c r="D9900" s="1" t="s">
        <v>411</v>
      </c>
      <c r="E9900" s="1" t="s">
        <v>2964</v>
      </c>
      <c r="F9900" s="1" t="s">
        <v>14516</v>
      </c>
      <c r="G9900" s="1" t="s">
        <v>36</v>
      </c>
      <c r="H9900" s="1" t="s">
        <v>29</v>
      </c>
      <c r="I9900" s="1" t="str">
        <f ca="1">IFERROR(__xludf.DUMMYFUNCTION("GOOGLETRANSLATE(F9900, ""auto"", ""en"")
"),"It flowed the same way. But unfortunately the warranty expired.")</f>
        <v>It flowed the same way. But unfortunately the warranty expired.</v>
      </c>
    </row>
    <row r="9901" spans="1:9" x14ac:dyDescent="0.3">
      <c r="A9901" s="1" t="s">
        <v>238</v>
      </c>
      <c r="B9901" s="1" t="s">
        <v>276</v>
      </c>
      <c r="C9901" s="1" t="s">
        <v>5118</v>
      </c>
      <c r="D9901" s="1" t="s">
        <v>247</v>
      </c>
      <c r="E9901" s="1" t="s">
        <v>859</v>
      </c>
      <c r="F9901" s="1" t="s">
        <v>14517</v>
      </c>
      <c r="G9901" s="1" t="s">
        <v>36</v>
      </c>
      <c r="H9901" s="1" t="s">
        <v>29</v>
      </c>
      <c r="I9901" s="1" t="str">
        <f ca="1">IFERROR(__xludf.DUMMYFUNCTION("GOOGLETRANSLATE(F9901, ""auto"", ""en"")
"),"We purchased this model a month ago - we are very pleased!  Spacious, looks great, performs great, and is virtually silent.  This is not the first time we have used the services of the M-video online store and the service is always excellent! Thank you!")</f>
        <v>We purchased this model a month ago - we are very pleased!  Spacious, looks great, performs great, and is virtually silent.  This is not the first time we have used the services of the M-video online store and the service is always excellent! Thank you!</v>
      </c>
    </row>
    <row r="9902" spans="1:9" x14ac:dyDescent="0.3">
      <c r="A9902" s="1" t="s">
        <v>211</v>
      </c>
      <c r="B9902" s="1" t="s">
        <v>265</v>
      </c>
      <c r="C9902" s="1" t="s">
        <v>122</v>
      </c>
      <c r="D9902" s="1" t="s">
        <v>14518</v>
      </c>
      <c r="E9902" s="1" t="s">
        <v>285</v>
      </c>
      <c r="F9902" s="1" t="s">
        <v>14519</v>
      </c>
      <c r="G9902" s="1" t="s">
        <v>36</v>
      </c>
      <c r="H9902" s="1" t="s">
        <v>29</v>
      </c>
      <c r="I9902" s="1" t="str">
        <f ca="1">IFERROR(__xludf.DUMMYFUNCTION("GOOGLETRANSLATE(F9902, ""auto"", ""en"")
"),"Bought on September 8, 2010. I still use it with great joy to this day. It shaves nose hair very smoothly and doesn’t snag it like some analogues.")</f>
        <v>Bought on September 8, 2010. I still use it with great joy to this day. It shaves nose hair very smoothly and doesn’t snag it like some analogues.</v>
      </c>
    </row>
    <row r="9903" spans="1:9" x14ac:dyDescent="0.3">
      <c r="A9903" s="1" t="s">
        <v>55</v>
      </c>
      <c r="B9903" s="1" t="s">
        <v>3549</v>
      </c>
      <c r="C9903" s="1" t="s">
        <v>57</v>
      </c>
      <c r="D9903" s="1" t="s">
        <v>14520</v>
      </c>
      <c r="E9903" s="1" t="s">
        <v>1723</v>
      </c>
      <c r="F9903" s="1" t="s">
        <v>14521</v>
      </c>
      <c r="G9903" s="1" t="s">
        <v>36</v>
      </c>
      <c r="H9903" s="1" t="s">
        <v>29</v>
      </c>
      <c r="I9903" s="1" t="str">
        <f ca="1">IFERROR(__xludf.DUMMYFUNCTION("GOOGLETRANSLATE(F9903, ""auto"", ""en"")
"),"The product is unique in terms of price-quality ratio; analogues with photocatalytic purification from other famous companies start from 15 thousand.  There are no problems with replacement filters in Novosibirsk, I’m going to buy a couple in reserve... T"&amp;"he air quality in apartment conditions is changing dramatically for the better, I just don’t want to leave the room, it works around the clock in manual mode and at low speed, it barely rustles by ear. At night I turn off the ionization, it seems excessiv"&amp;"e, the ultraviolet lamps, which means photo-catalysis, are threshed around the clock and burn out all the unpleasant odors.  The first week of operation is successful, only positive reviews, the Vitek VT-2342 weighs on the wall and quietly does its job. U"&amp;"nobtrusive and, in my opinion, very effective.")</f>
        <v>The product is unique in terms of price-quality ratio; analogues with photocatalytic purification from other famous companies start from 15 thousand.  There are no problems with replacement filters in Novosibirsk, I’m going to buy a couple in reserve... The air quality in apartment conditions is changing dramatically for the better, I just don’t want to leave the room, it works around the clock in manual mode and at low speed, it barely rustles by ear. At night I turn off the ionization, it seems excessive, the ultraviolet lamps, which means photo-catalysis, are threshed around the clock and burn out all the unpleasant odors.  The first week of operation is successful, only positive reviews, the Vitek VT-2342 weighs on the wall and quietly does its job. Unobtrusive and, in my opinion, very effective.</v>
      </c>
    </row>
    <row r="9904" spans="1:9" x14ac:dyDescent="0.3">
      <c r="A9904" s="1" t="s">
        <v>9</v>
      </c>
      <c r="B9904" s="1" t="s">
        <v>137</v>
      </c>
      <c r="C9904" s="1" t="s">
        <v>134</v>
      </c>
      <c r="D9904" s="1" t="s">
        <v>1008</v>
      </c>
      <c r="E9904" s="1" t="s">
        <v>3979</v>
      </c>
      <c r="F9904" s="1" t="s">
        <v>14522</v>
      </c>
      <c r="G9904" s="1" t="s">
        <v>36</v>
      </c>
      <c r="H9904" s="1" t="s">
        <v>29</v>
      </c>
      <c r="I9904" s="1" t="str">
        <f ca="1">IFERROR(__xludf.DUMMYFUNCTION("GOOGLETRANSLATE(F9904, ""auto"", ""en"")
"),"I first bought another model, it started to slow down on the 2nd day, I went and returned it, took this one, it works great, it’s a powerful, smart German gun, it hasn’t let me down even once, it’s absolutely not capricious in terms of the sensor like a n"&amp;"umber of analogues, my neighbors have the same one, no complaints at all. Don't worry about anyone who needs a hob, just get this one. I installed an oven underneath it, also from Siemens (Siemens HB23GB540), I’m really pleased with this combination.")</f>
        <v>I first bought another model, it started to slow down on the 2nd day, I went and returned it, took this one, it works great, it’s a powerful, smart German gun, it hasn’t let me down even once, it’s absolutely not capricious in terms of the sensor like a number of analogues, my neighbors have the same one, no complaints at all. Don't worry about anyone who needs a hob, just get this one. I installed an oven underneath it, also from Siemens (Siemens HB23GB540), I’m really pleased with this combination.</v>
      </c>
    </row>
    <row r="9905" spans="1:9" x14ac:dyDescent="0.3">
      <c r="A9905" s="1" t="s">
        <v>1031</v>
      </c>
      <c r="B9905" s="1" t="s">
        <v>1032</v>
      </c>
      <c r="C9905" s="1" t="s">
        <v>1033</v>
      </c>
      <c r="D9905" s="1" t="s">
        <v>10308</v>
      </c>
      <c r="E9905" s="1" t="s">
        <v>2459</v>
      </c>
      <c r="F9905" s="1" t="s">
        <v>14523</v>
      </c>
      <c r="G9905" s="1" t="s">
        <v>36</v>
      </c>
      <c r="H9905" s="1" t="s">
        <v>29</v>
      </c>
      <c r="I9905" s="1" t="str">
        <f ca="1">IFERROR(__xludf.DUMMYFUNCTION("GOOGLETRANSLATE(F9905, ""auto"", ""en"")
"),"The product is made in Germany, I think the quality is obviously cool.  As expected, it works extremely effectively to remove grease from the metal surface of the stove.")</f>
        <v>The product is made in Germany, I think the quality is obviously cool.  As expected, it works extremely effectively to remove grease from the metal surface of the stove.</v>
      </c>
    </row>
    <row r="9906" spans="1:9" x14ac:dyDescent="0.3">
      <c r="A9906" s="1" t="s">
        <v>30</v>
      </c>
      <c r="B9906" s="1" t="s">
        <v>50</v>
      </c>
      <c r="C9906" s="1" t="s">
        <v>2550</v>
      </c>
      <c r="D9906" s="1" t="s">
        <v>14524</v>
      </c>
      <c r="E9906" s="1" t="s">
        <v>1657</v>
      </c>
      <c r="F9906" s="1" t="s">
        <v>14525</v>
      </c>
      <c r="G9906" s="1" t="s">
        <v>36</v>
      </c>
      <c r="H9906" s="1" t="s">
        <v>29</v>
      </c>
      <c r="I9906" s="1" t="str">
        <f ca="1">IFERROR(__xludf.DUMMYFUNCTION("GOOGLETRANSLATE(F9906, ""auto"", ""en"")
"),"1. Design - looks awesome 2. Weight - like a folder for documents 3. Comfortable keyboard, sensitive touchpad with good response 4. Normal screen for a netbook, easy to work with, not small 5. Built-in Bluetooth, Wi-Fi, SD card slot 6. Fast in operation, "&amp;"if you don’t load it with standard Windows updates Cons 1. Two USB ports, in a good way, are not enough, one is really missing 2. The lack of a drive, although this is a plus or minus for some - the weight is still its main plus. but with a drive it would"&amp;"n’t weigh so much 3. The colors of the screen are pale, although this is also subjective")</f>
        <v>1. Design - looks awesome 2. Weight - like a folder for documents 3. Comfortable keyboard, sensitive touchpad with good response 4. Normal screen for a netbook, easy to work with, not small 5. Built-in Bluetooth, Wi-Fi, SD card slot 6. Fast in operation, if you don’t load it with standard Windows updates Cons 1. Two USB ports, in a good way, are not enough, one is really missing 2. The lack of a drive, although this is a plus or minus for some - the weight is still its main plus. but with a drive it wouldn’t weigh so much 3. The colors of the screen are pale, although this is also subjective</v>
      </c>
    </row>
    <row r="9907" spans="1:9" x14ac:dyDescent="0.3">
      <c r="A9907" s="1" t="s">
        <v>17</v>
      </c>
      <c r="B9907" s="1" t="s">
        <v>18</v>
      </c>
      <c r="C9907" s="1" t="s">
        <v>151</v>
      </c>
      <c r="D9907" s="1" t="s">
        <v>521</v>
      </c>
      <c r="E9907" s="1" t="s">
        <v>5585</v>
      </c>
      <c r="F9907" s="1" t="s">
        <v>14526</v>
      </c>
      <c r="G9907" s="1" t="s">
        <v>28</v>
      </c>
      <c r="H9907" s="1" t="s">
        <v>29</v>
      </c>
      <c r="I9907" s="1" t="str">
        <f ca="1">IFERROR(__xludf.DUMMYFUNCTION("GOOGLETRANSLATE(F9907, ""auto"", ""en"")
"),"A year has passed, but there are comments. 1. It’s better to wash at 800 rpm, otherwise it will rattle. 2. It’s better not to put things in small quantities, it washes normally, but when it gets to the spin cycle, it twists and turns and tries to catch th"&amp;"e balance so that the spin cycle can begin. It may take a long time to catch him. 3. Sometimes it picks up and drains several times, it’s not clear why. Well, it seems to wash nothing and spins well, that’s it for now. I hope it will work without any brea"&amp;"kdowns during its three year warranty.")</f>
        <v>A year has passed, but there are comments. 1. It’s better to wash at 800 rpm, otherwise it will rattle. 2. It’s better not to put things in small quantities, it washes normally, but when it gets to the spin cycle, it twists and turns and tries to catch the balance so that the spin cycle can begin. It may take a long time to catch him. 3. Sometimes it picks up and drains several times, it’s not clear why. Well, it seems to wash nothing and spins well, that’s it for now. I hope it will work without any breakdowns during its three year warranty.</v>
      </c>
    </row>
    <row r="9908" spans="1:9" x14ac:dyDescent="0.3">
      <c r="A9908" s="1" t="s">
        <v>811</v>
      </c>
      <c r="B9908" s="1" t="s">
        <v>1712</v>
      </c>
      <c r="C9908" s="1" t="s">
        <v>1645</v>
      </c>
      <c r="D9908" s="1" t="s">
        <v>64</v>
      </c>
      <c r="E9908" s="1" t="s">
        <v>2341</v>
      </c>
      <c r="F9908" s="1" t="s">
        <v>14527</v>
      </c>
      <c r="G9908" s="1" t="s">
        <v>28</v>
      </c>
      <c r="H9908" s="1" t="s">
        <v>29</v>
      </c>
      <c r="I9908" s="1" t="str">
        <f ca="1">IFERROR(__xludf.DUMMYFUNCTION("GOOGLETRANSLATE(F9908, ""auto"", ""en"")
"),"Very nice thing! I bought it as a gift for a friend. I was pleased with the price/quality ratio. I haven't found anything cheaper yet. Of course, the image quality is not very good, but, in principle, it is very acceptable!   The only thing that bothered "&amp;"me when purchasing was that the sales assistant didn’t even know that this frame had a USB connector. And when I asked him to turn on the frame and look at the quality of the image, he said that he couldn’t show me anything because there were no SD cards "&amp;"with photos in the store. And this frame does not have built-in memory. That is, it turns out that I bought a little “pig in a poke”.")</f>
        <v>Very nice thing! I bought it as a gift for a friend. I was pleased with the price/quality ratio. I haven't found anything cheaper yet. Of course, the image quality is not very good, but, in principle, it is very acceptable!   The only thing that bothered me when purchasing was that the sales assistant didn’t even know that this frame had a USB connector. And when I asked him to turn on the frame and look at the quality of the image, he said that he couldn’t show me anything because there were no SD cards with photos in the store. And this frame does not have built-in memory. That is, it turns out that I bought a little “pig in a poke”.</v>
      </c>
    </row>
    <row r="9909" spans="1:9" x14ac:dyDescent="0.3">
      <c r="A9909" s="1" t="s">
        <v>30</v>
      </c>
      <c r="B9909" s="1" t="s">
        <v>50</v>
      </c>
      <c r="C9909" s="1" t="s">
        <v>32</v>
      </c>
      <c r="D9909" s="1" t="s">
        <v>14528</v>
      </c>
      <c r="E9909" s="1" t="s">
        <v>1454</v>
      </c>
      <c r="F9909" s="1" t="s">
        <v>14529</v>
      </c>
      <c r="G9909" s="1" t="s">
        <v>28</v>
      </c>
      <c r="H9909" s="1" t="s">
        <v>29</v>
      </c>
      <c r="I9909" s="1" t="str">
        <f ca="1">IFERROR(__xludf.DUMMYFUNCTION("GOOGLETRANSLATE(F9909, ""auto"", ""en"")
"),"I've been using this book for a month now. The performance is phenomenal. It practically does not heat up - the heat dissipation is very well done. The disk system is a little slow, but after replacing the system screw with a Corsair SSD, this problem cea"&amp;"sed to exist. The vertical viewing angles of the matrix were disappointing. Acceptable sound quality (I haven’t heard better on beeches). It gets dirty and dusty very easily and requires careful handling, which is why it is not very suitable as a workhors"&amp;"e. I gave it a 4 rating only because of the slow disks and the dirty, impractical case.")</f>
        <v>I've been using this book for a month now. The performance is phenomenal. It practically does not heat up - the heat dissipation is very well done. The disk system is a little slow, but after replacing the system screw with a Corsair SSD, this problem ceased to exist. The vertical viewing angles of the matrix were disappointing. Acceptable sound quality (I haven’t heard better on beeches). It gets dirty and dusty very easily and requires careful handling, which is why it is not very suitable as a workhorse. I gave it a 4 rating only because of the slow disks and the dirty, impractical case.</v>
      </c>
    </row>
    <row r="9910" spans="1:9" x14ac:dyDescent="0.3">
      <c r="A9910" s="1" t="s">
        <v>61</v>
      </c>
      <c r="B9910" s="1" t="s">
        <v>318</v>
      </c>
      <c r="C9910" s="1" t="s">
        <v>85</v>
      </c>
      <c r="D9910" s="1" t="s">
        <v>39</v>
      </c>
      <c r="E9910" s="1" t="s">
        <v>11986</v>
      </c>
      <c r="F9910" s="1" t="s">
        <v>14530</v>
      </c>
      <c r="G9910" s="1" t="s">
        <v>15</v>
      </c>
      <c r="H9910" s="1" t="s">
        <v>16</v>
      </c>
      <c r="I9910" s="1" t="str">
        <f ca="1">IFERROR(__xludf.DUMMYFUNCTION("GOOGLETRANSLATE(F9910, ""auto"", ""en"")
"),"Overall a good kettle, good design")</f>
        <v>Overall a good kettle, good design</v>
      </c>
    </row>
    <row r="9911" spans="1:9" x14ac:dyDescent="0.3">
      <c r="A9911" s="1" t="s">
        <v>9</v>
      </c>
      <c r="B9911" s="1" t="s">
        <v>133</v>
      </c>
      <c r="C9911" s="1" t="s">
        <v>159</v>
      </c>
      <c r="D9911" s="1" t="s">
        <v>589</v>
      </c>
      <c r="E9911" s="1" t="s">
        <v>1553</v>
      </c>
      <c r="F9911" s="1" t="s">
        <v>14531</v>
      </c>
      <c r="G9911" s="1" t="s">
        <v>36</v>
      </c>
      <c r="H9911" s="1" t="s">
        <v>29</v>
      </c>
      <c r="I9911" s="1" t="str">
        <f ca="1">IFERROR(__xludf.DUMMYFUNCTION("GOOGLETRANSLATE(F9911, ""auto"", ""en"")
"),"I bought it in June 2010. Then there was a promotion of 12,500 rubles. I took the last one from the display case. Excellent design, functionality 5 points!!! We often bake and bake. The pies are ready in 10 minutes. Bakes evenly. I was pleased with the nu"&amp;"mber of pans (3 pieces!!!). There is a meat probe, but I haven’t gotten around to it yet. I highly recommend!!!")</f>
        <v>I bought it in June 2010. Then there was a promotion of 12,500 rubles. I took the last one from the display case. Excellent design, functionality 5 points!!! We often bake and bake. The pies are ready in 10 minutes. Bakes evenly. I was pleased with the number of pans (3 pieces!!!). There is a meat probe, but I haven’t gotten around to it yet. I highly recommend!!!</v>
      </c>
    </row>
    <row r="9912" spans="1:9" x14ac:dyDescent="0.3">
      <c r="A9912" s="1" t="s">
        <v>95</v>
      </c>
      <c r="B9912" s="1" t="s">
        <v>227</v>
      </c>
      <c r="C9912" s="1" t="s">
        <v>97</v>
      </c>
      <c r="D9912" s="1" t="s">
        <v>25</v>
      </c>
      <c r="E9912" s="1" t="s">
        <v>701</v>
      </c>
      <c r="F9912" s="1" t="s">
        <v>14532</v>
      </c>
      <c r="G9912" s="1" t="s">
        <v>36</v>
      </c>
      <c r="H9912" s="1" t="s">
        <v>29</v>
      </c>
      <c r="I9912" s="1" t="str">
        <f ca="1">IFERROR(__xludf.DUMMYFUNCTION("GOOGLETRANSLATE(F9912, ""auto"", ""en"")
"),"I agree, it’s a very good thing, I’m going to buy it today")</f>
        <v>I agree, it’s a very good thing, I’m going to buy it today</v>
      </c>
    </row>
    <row r="9913" spans="1:9" x14ac:dyDescent="0.3">
      <c r="A9913" s="1" t="s">
        <v>624</v>
      </c>
      <c r="B9913" s="1" t="s">
        <v>2107</v>
      </c>
      <c r="C9913" s="1" t="s">
        <v>487</v>
      </c>
      <c r="D9913" s="1" t="s">
        <v>186</v>
      </c>
      <c r="E9913" s="1" t="s">
        <v>3448</v>
      </c>
      <c r="F9913" s="1" t="s">
        <v>14533</v>
      </c>
      <c r="G9913" s="1" t="s">
        <v>36</v>
      </c>
      <c r="H9913" s="1" t="s">
        <v>29</v>
      </c>
      <c r="I9913" s="1" t="str">
        <f ca="1">IFERROR(__xludf.DUMMYFUNCTION("GOOGLETRANSLATE(F9913, ""auto"", ""en"")
"),"Passed. It got better and better every minute!  The first screensaver is awesome! The next ones are great too. I want to watch each one several times.  First, an ordinary mission, then they give you a car... after a couple of hours of play, you’re already"&amp;" playing around in space... It’s just some kind of madness!  The game changes when you have a Jetpack. The game becomes completely different!  New weapons! By the way, was shooting from 2 hands removed or did I just not understand how to take 2 pieces?  M"&amp;"any interesting small details =) One of them: - On the upper part of the armor of the left leg ""KAT"" there is an interesting inscription like - Warning xD.  Sometimes there is a feeling of déjà vu. (I personally remembered Crysis and Star Wars: Battlefr"&amp;"ont 2, Half-Life 2).  Overall the game is good. Be sure to play!")</f>
        <v>Passed. It got better and better every minute!  The first screensaver is awesome! The next ones are great too. I want to watch each one several times.  First, an ordinary mission, then they give you a car... after a couple of hours of play, you’re already playing around in space... It’s just some kind of madness!  The game changes when you have a Jetpack. The game becomes completely different!  New weapons! By the way, was shooting from 2 hands removed or did I just not understand how to take 2 pieces?  Many interesting small details =) One of them: - On the upper part of the armor of the left leg "KAT" there is an interesting inscription like - Warning xD.  Sometimes there is a feeling of déjà vu. (I personally remembered Crysis and Star Wars: Battlefront 2, Half-Life 2).  Overall the game is good. Be sure to play!</v>
      </c>
    </row>
    <row r="9914" spans="1:9" x14ac:dyDescent="0.3">
      <c r="A9914" s="1" t="s">
        <v>111</v>
      </c>
      <c r="B9914" s="1" t="s">
        <v>636</v>
      </c>
      <c r="C9914" s="1" t="s">
        <v>637</v>
      </c>
      <c r="D9914" s="1" t="s">
        <v>39</v>
      </c>
      <c r="E9914" s="1" t="s">
        <v>960</v>
      </c>
      <c r="F9914" s="1" t="s">
        <v>14534</v>
      </c>
      <c r="G9914" s="1" t="s">
        <v>36</v>
      </c>
      <c r="H9914" s="1" t="s">
        <v>29</v>
      </c>
      <c r="I9914" s="1" t="str">
        <f ca="1">IFERROR(__xludf.DUMMYFUNCTION("GOOGLETRANSLATE(F9914, ""auto"", ""en"")
"),"I bought this weather station and couldn’t be happier.  The external sensor works stably and the signal is clear. I even have the ability to adjust the clock via radio signal.  The barometer hasn't failed yet either.  I recommend it, you won't regret it.")</f>
        <v>I bought this weather station and couldn’t be happier.  The external sensor works stably and the signal is clear. I even have the ability to adjust the clock via radio signal.  The barometer hasn't failed yet either.  I recommend it, you won't regret it.</v>
      </c>
    </row>
    <row r="9915" spans="1:9" x14ac:dyDescent="0.3">
      <c r="A9915" s="1" t="s">
        <v>37</v>
      </c>
      <c r="B9915" s="1" t="s">
        <v>38</v>
      </c>
      <c r="C9915" s="1" t="s">
        <v>151</v>
      </c>
      <c r="D9915" s="1" t="s">
        <v>114</v>
      </c>
      <c r="E9915" s="1" t="s">
        <v>617</v>
      </c>
      <c r="F9915" s="1" t="s">
        <v>14535</v>
      </c>
      <c r="G9915" s="1" t="s">
        <v>36</v>
      </c>
      <c r="H9915" s="1" t="s">
        <v>29</v>
      </c>
      <c r="I9915" s="1" t="str">
        <f ca="1">IFERROR(__xludf.DUMMYFUNCTION("GOOGLETRANSLATE(F9915, ""auto"", ""en"")
"),"I bought it for my mother, I couldn’t find anything better for that kind of money.  It is well assembled, there are no gaps or creaks, the player is convenient, it sings with the lid closed, the interface seemed more intuitive compared to older models (SG"&amp;"H).  Mom is happy, she figured it out herself!    Cons: no flash drive included (+300r), as always, disgusting headphones.")</f>
        <v>I bought it for my mother, I couldn’t find anything better for that kind of money.  It is well assembled, there are no gaps or creaks, the player is convenient, it sings with the lid closed, the interface seemed more intuitive compared to older models (SGH).  Mom is happy, she figured it out herself!    Cons: no flash drive included (+300r), as always, disgusting headphones.</v>
      </c>
    </row>
    <row r="9916" spans="1:9" x14ac:dyDescent="0.3">
      <c r="A9916" s="1" t="s">
        <v>61</v>
      </c>
      <c r="B9916" s="1" t="s">
        <v>977</v>
      </c>
      <c r="C9916" s="1" t="s">
        <v>101</v>
      </c>
      <c r="D9916" s="1" t="s">
        <v>589</v>
      </c>
      <c r="E9916" s="1" t="s">
        <v>1730</v>
      </c>
      <c r="F9916" s="1" t="s">
        <v>14536</v>
      </c>
      <c r="G9916" s="1" t="s">
        <v>36</v>
      </c>
      <c r="H9916" s="1" t="s">
        <v>29</v>
      </c>
      <c r="I9916" s="1" t="str">
        <f ca="1">IFERROR(__xludf.DUMMYFUNCTION("GOOGLETRANSLATE(F9916, ""auto"", ""en"")
"),"With the arrival of a small child at home, we thought about a blender, like all normal people - we wanted to buy an inexpensive, high-quality one with good functionality and so that it would be useful not only for the baby... and we found one. I won’t say"&amp;" that I use it every day, but it comes to my aid 2-3 times a week. Most often I use graters: you can grate onions, carrots, and beets - it’s still easier than by hand, and without harm to delicate women’s hands and manicure. I use it for kneading dough an"&amp;"d beating whenever possible. I haven’t prepared puree for the baby yet, but I’ll soon start introducing complementary foods - we’ll see. In general, this unit makes cooking easier for me in the kitchen, I’m happy with the purchase. The store offered us to"&amp;" buy an additional warranty, they said that there were a lot of plastic parts and it was not reliable, we refused. Now, unfortunately, all blenders have a lot of plastic - if not outside, then inside. Of course, there was one unpleasant incident, my husba"&amp;"nd was preparing cream soup... and he passed out. But then it cooled down and started working again. Since then, my husband has been reading the instructions for all equipment =) I also advise others to read the instructions carefully before use, especial"&amp;"ly the section on the recommended time for using different attachments with different products and the necessary breaks in work.")</f>
        <v>With the arrival of a small child at home, we thought about a blender, like all normal people - we wanted to buy an inexpensive, high-quality one with good functionality and so that it would be useful not only for the baby... and we found one. I won’t say that I use it every day, but it comes to my aid 2-3 times a week. Most often I use graters: you can grate onions, carrots, and beets - it’s still easier than by hand, and without harm to delicate women’s hands and manicure. I use it for kneading dough and beating whenever possible. I haven’t prepared puree for the baby yet, but I’ll soon start introducing complementary foods - we’ll see. In general, this unit makes cooking easier for me in the kitchen, I’m happy with the purchase. The store offered us to buy an additional warranty, they said that there were a lot of plastic parts and it was not reliable, we refused. Now, unfortunately, all blenders have a lot of plastic - if not outside, then inside. Of course, there was one unpleasant incident, my husband was preparing cream soup... and he passed out. But then it cooled down and started working again. Since then, my husband has been reading the instructions for all equipment =) I also advise others to read the instructions carefully before use, especially the section on the recommended time for using different attachments with different products and the necessary breaks in work.</v>
      </c>
    </row>
    <row r="9917" spans="1:9" x14ac:dyDescent="0.3">
      <c r="A9917" s="1" t="s">
        <v>211</v>
      </c>
      <c r="B9917" s="1" t="s">
        <v>212</v>
      </c>
      <c r="C9917" s="1" t="s">
        <v>57</v>
      </c>
      <c r="D9917" s="1" t="s">
        <v>565</v>
      </c>
      <c r="E9917" s="1" t="s">
        <v>1287</v>
      </c>
      <c r="F9917" s="1" t="s">
        <v>14537</v>
      </c>
      <c r="G9917" s="1" t="s">
        <v>28</v>
      </c>
      <c r="H9917" s="1" t="s">
        <v>29</v>
      </c>
      <c r="I9917" s="1" t="str">
        <f ca="1">IFERROR(__xludf.DUMMYFUNCTION("GOOGLETRANSLATE(F9917, ""auto"", ""en"")
"),"The tongs are good, although they really heat up very slowly, but you won’t burn your hair with these tongs, because... heating temperature does not exceed 150 degrees. I think the price and quality match. I'm very pleased with them!!! Moreover, the heati"&amp;"ng element itself is ceramic.")</f>
        <v>The tongs are good, although they really heat up very slowly, but you won’t burn your hair with these tongs, because... heating temperature does not exceed 150 degrees. I think the price and quality match. I'm very pleased with them!!! Moreover, the heating element itself is ceramic.</v>
      </c>
    </row>
    <row r="9918" spans="1:9" x14ac:dyDescent="0.3">
      <c r="A9918" s="1" t="s">
        <v>61</v>
      </c>
      <c r="B9918" s="1" t="s">
        <v>318</v>
      </c>
      <c r="C9918" s="1" t="s">
        <v>57</v>
      </c>
      <c r="D9918" s="1" t="s">
        <v>896</v>
      </c>
      <c r="E9918" s="1" t="s">
        <v>746</v>
      </c>
      <c r="F9918" s="1" t="s">
        <v>14538</v>
      </c>
      <c r="G9918" s="1" t="s">
        <v>15</v>
      </c>
      <c r="H9918" s="1" t="s">
        <v>16</v>
      </c>
      <c r="I9918" s="1" t="str">
        <f ca="1">IFERROR(__xludf.DUMMYFUNCTION("GOOGLETRANSLATE(F9918, ""auto"", ""en"")
"),"Very noisy. It takes a long time to boil water.")</f>
        <v>Very noisy. It takes a long time to boil water.</v>
      </c>
    </row>
    <row r="9919" spans="1:9" x14ac:dyDescent="0.3">
      <c r="A9919" s="1" t="s">
        <v>105</v>
      </c>
      <c r="B9919" s="1" t="s">
        <v>106</v>
      </c>
      <c r="C9919" s="1" t="s">
        <v>107</v>
      </c>
      <c r="D9919" s="1" t="s">
        <v>1431</v>
      </c>
      <c r="E9919" s="1" t="s">
        <v>9392</v>
      </c>
      <c r="F9919" s="1" t="s">
        <v>14539</v>
      </c>
      <c r="G9919" s="1" t="s">
        <v>28</v>
      </c>
      <c r="H9919" s="1" t="s">
        <v>29</v>
      </c>
      <c r="I9919" s="1" t="str">
        <f ca="1">IFERROR(__xludf.DUMMYFUNCTION("GOOGLETRANSLATE(F9919, ""auto"", ""en"")
"),"I really liked the player! The text in the book is clearly visible. The photo is quite good for such a camera. The only negative is that it does not communicate with the hard drive")</f>
        <v>I really liked the player! The text in the book is clearly visible. The photo is quite good for such a camera. The only negative is that it does not communicate with the hard drive</v>
      </c>
    </row>
    <row r="9920" spans="1:9" x14ac:dyDescent="0.3">
      <c r="A9920" s="1" t="s">
        <v>369</v>
      </c>
      <c r="B9920" s="1" t="s">
        <v>587</v>
      </c>
      <c r="C9920" s="1" t="s">
        <v>243</v>
      </c>
      <c r="D9920" s="1" t="s">
        <v>280</v>
      </c>
      <c r="E9920" s="1" t="s">
        <v>2236</v>
      </c>
      <c r="F9920" s="1" t="s">
        <v>14540</v>
      </c>
      <c r="G9920" s="1" t="s">
        <v>36</v>
      </c>
      <c r="H9920" s="1" t="s">
        <v>29</v>
      </c>
      <c r="I9920" s="1" t="str">
        <f ca="1">IFERROR(__xludf.DUMMYFUNCTION("GOOGLETRANSLATE(F9920, ""auto"", ""en"")
"),"I bought the stove a year ago. Great stove! I spent a long time choosing and decided on this model.  Electric ignition is very convenient, I already forgot where the matches are in the house :) Grill and spit - work great, grilled birds turn out very tast"&amp;"y!  The oven does not cause any complaints either - you want to bake, you want to bake - everything works out!")</f>
        <v>I bought the stove a year ago. Great stove! I spent a long time choosing and decided on this model.  Electric ignition is very convenient, I already forgot where the matches are in the house :) Grill and spit - work great, grilled birds turn out very tasty!  The oven does not cause any complaints either - you want to bake, you want to bake - everything works out!</v>
      </c>
    </row>
    <row r="9921" spans="1:9" x14ac:dyDescent="0.3">
      <c r="A9921" s="1" t="s">
        <v>811</v>
      </c>
      <c r="B9921" s="1" t="s">
        <v>812</v>
      </c>
      <c r="C9921" s="1" t="s">
        <v>97</v>
      </c>
      <c r="D9921" s="1" t="s">
        <v>14541</v>
      </c>
      <c r="E9921" s="1" t="s">
        <v>2333</v>
      </c>
      <c r="F9921" s="1" t="s">
        <v>14542</v>
      </c>
      <c r="G9921" s="1" t="s">
        <v>36</v>
      </c>
      <c r="H9921" s="1" t="s">
        <v>29</v>
      </c>
      <c r="I9921" s="1" t="str">
        <f ca="1">IFERROR(__xludf.DUMMYFUNCTION("GOOGLETRANSLATE(F9921, ""auto"", ""en"")
"),"very good set! I couldn't find the right bag for my H20 camera. Sometimes too small, sometimes too big...... I approached an M-Video consultant, and he recommended this set to me. At first I was skeptical - why would I need such an extra extra, and at mor"&amp;"e than a grand? But then I decided to buy it anyway. and I have never regretted it: the bag is great, a cloth for the screen - no words, a tripod is also a very useful thing, especially such a compact one. Ideal for family photos. In general: a stingy per"&amp;"son pays twice, but a non-stingy person will immediately buy such a set for himself. Believe me, he is what you need!)))))))")</f>
        <v>very good set! I couldn't find the right bag for my H20 camera. Sometimes too small, sometimes too big...... I approached an M-Video consultant, and he recommended this set to me. At first I was skeptical - why would I need such an extra extra, and at more than a grand? But then I decided to buy it anyway. and I have never regretted it: the bag is great, a cloth for the screen - no words, a tripod is also a very useful thing, especially such a compact one. Ideal for family photos. In general: a stingy person pays twice, but a non-stingy person will immediately buy such a set for himself. Believe me, he is what you need!)))))))</v>
      </c>
    </row>
    <row r="9922" spans="1:9" x14ac:dyDescent="0.3">
      <c r="A9922" s="1" t="s">
        <v>206</v>
      </c>
      <c r="B9922" s="1" t="s">
        <v>261</v>
      </c>
      <c r="C9922" s="1" t="s">
        <v>351</v>
      </c>
      <c r="D9922" s="1" t="s">
        <v>1036</v>
      </c>
      <c r="E9922" s="1" t="s">
        <v>5601</v>
      </c>
      <c r="F9922" s="1" t="s">
        <v>14543</v>
      </c>
      <c r="G9922" s="1" t="s">
        <v>49</v>
      </c>
      <c r="H9922" s="1" t="s">
        <v>16</v>
      </c>
      <c r="I9922" s="1" t="str">
        <f ca="1">IFERROR(__xludf.DUMMYFUNCTION("GOOGLETRANSLATE(F9922, ""auto"", ""en"")
"),"This is complete nonsense. The interconnects are generally of poor quality! When opening the package, two tulips immediately fell off. The other two are in the process of being installed! I advise you to buy all components separately!")</f>
        <v>This is complete nonsense. The interconnects are generally of poor quality! When opening the package, two tulips immediately fell off. The other two are in the process of being installed! I advise you to buy all components separately!</v>
      </c>
    </row>
    <row r="9923" spans="1:9" x14ac:dyDescent="0.3">
      <c r="A9923" s="1" t="s">
        <v>67</v>
      </c>
      <c r="B9923" s="1" t="s">
        <v>340</v>
      </c>
      <c r="C9923" s="1" t="s">
        <v>341</v>
      </c>
      <c r="D9923" s="1" t="s">
        <v>3596</v>
      </c>
      <c r="E9923" s="1" t="s">
        <v>781</v>
      </c>
      <c r="F9923" s="1" t="s">
        <v>14544</v>
      </c>
      <c r="G9923" s="1" t="s">
        <v>36</v>
      </c>
      <c r="H9923" s="1" t="s">
        <v>29</v>
      </c>
      <c r="I9923" s="1" t="str">
        <f ca="1">IFERROR(__xludf.DUMMYFUNCTION("GOOGLETRANSLATE(F9923, ""auto"", ""en"")
"),"The machine is excellent, for me as a beginner it’s a godsend. The lines are laid evenly, I was pleased with the number of feet and the number of lines is impressive.")</f>
        <v>The machine is excellent, for me as a beginner it’s a godsend. The lines are laid evenly, I was pleased with the number of feet and the number of lines is impressive.</v>
      </c>
    </row>
    <row r="9924" spans="1:9" x14ac:dyDescent="0.3">
      <c r="A9924" s="1" t="s">
        <v>211</v>
      </c>
      <c r="B9924" s="1" t="s">
        <v>384</v>
      </c>
      <c r="C9924" s="1" t="s">
        <v>351</v>
      </c>
      <c r="D9924" s="1" t="s">
        <v>682</v>
      </c>
      <c r="E9924" s="1" t="s">
        <v>12908</v>
      </c>
      <c r="F9924" s="1" t="s">
        <v>14545</v>
      </c>
      <c r="G9924" s="1" t="s">
        <v>36</v>
      </c>
      <c r="H9924" s="1" t="s">
        <v>29</v>
      </c>
      <c r="I9924" s="1" t="str">
        <f ca="1">IFERROR(__xludf.DUMMYFUNCTION("GOOGLETRANSLATE(F9924, ""auto"", ""en"")
"),"The scales are good, the assembly and accuracy are excellent. They may be a little rough when compared with modern thin electronic ones, but I’ve had these for a long time, they suit me, they’re always accurate, it’s a shame to complain. I placed them in "&amp;"the room at zero in one place and they always clearly show the weight. Mechanics will always last longer. And the batteries do not need to be changed constantly) They are lightweight, do not take up much space, and have a nice design. One cannot help but "&amp;"appreciate their price; it was very reasonable at the time of purchase! I highly recommend it if an error of 1 kg does not play a special role for you and you are not trying to know your weight down to the gram.")</f>
        <v>The scales are good, the assembly and accuracy are excellent. They may be a little rough when compared with modern thin electronic ones, but I’ve had these for a long time, they suit me, they’re always accurate, it’s a shame to complain. I placed them in the room at zero in one place and they always clearly show the weight. Mechanics will always last longer. And the batteries do not need to be changed constantly) They are lightweight, do not take up much space, and have a nice design. One cannot help but appreciate their price; it was very reasonable at the time of purchase! I highly recommend it if an error of 1 kg does not play a special role for you and you are not trying to know your weight down to the gram.</v>
      </c>
    </row>
    <row r="9925" spans="1:9" x14ac:dyDescent="0.3">
      <c r="A9925" s="1" t="s">
        <v>37</v>
      </c>
      <c r="B9925" s="1" t="s">
        <v>38</v>
      </c>
      <c r="C9925" s="1" t="s">
        <v>69</v>
      </c>
      <c r="D9925" s="1" t="s">
        <v>14546</v>
      </c>
      <c r="E9925" s="1" t="s">
        <v>2829</v>
      </c>
      <c r="F9925" s="1" t="s">
        <v>14547</v>
      </c>
      <c r="G9925" s="1" t="s">
        <v>28</v>
      </c>
      <c r="H9925" s="1" t="s">
        <v>29</v>
      </c>
      <c r="I9925" s="1" t="str">
        <f ca="1">IFERROR(__xludf.DUMMYFUNCTION("GOOGLETRANSLATE(F9925, ""auto"", ""en"")
"),"in fact, the week starts on Monday not only in Philosophy, this is the American system, it’s just that apparently for us it was just Russified and that’s it, in my last Sims the week also started on Sunday")</f>
        <v>in fact, the week starts on Monday not only in Philosophy, this is the American system, it’s just that apparently for us it was just Russified and that’s it, in my last Sims the week also started on Sunday</v>
      </c>
    </row>
    <row r="9926" spans="1:9" x14ac:dyDescent="0.3">
      <c r="A9926" s="1" t="s">
        <v>624</v>
      </c>
      <c r="B9926" s="1" t="s">
        <v>6461</v>
      </c>
      <c r="C9926" s="1" t="s">
        <v>479</v>
      </c>
      <c r="D9926" s="1" t="s">
        <v>1121</v>
      </c>
      <c r="E9926" s="1" t="s">
        <v>950</v>
      </c>
      <c r="F9926" s="1" t="s">
        <v>14548</v>
      </c>
      <c r="G9926" s="1" t="s">
        <v>36</v>
      </c>
      <c r="H9926" s="1" t="s">
        <v>29</v>
      </c>
      <c r="I9926" s="1" t="str">
        <f ca="1">IFERROR(__xludf.DUMMYFUNCTION("GOOGLETRANSLATE(F9926, ""auto"", ""en"")
"),"I bought the game in October 2010, played through it all, liked it, the disc still works, no scratches.")</f>
        <v>I bought the game in October 2010, played through it all, liked it, the disc still works, no scratches.</v>
      </c>
    </row>
    <row r="9927" spans="1:9" x14ac:dyDescent="0.3">
      <c r="A9927" s="1" t="s">
        <v>2087</v>
      </c>
      <c r="B9927" s="1" t="s">
        <v>2088</v>
      </c>
      <c r="C9927" s="1" t="s">
        <v>69</v>
      </c>
      <c r="D9927" s="1" t="s">
        <v>280</v>
      </c>
      <c r="E9927" s="1" t="s">
        <v>1084</v>
      </c>
      <c r="F9927" s="1" t="s">
        <v>14549</v>
      </c>
      <c r="G9927" s="1" t="s">
        <v>36</v>
      </c>
      <c r="H9927" s="1" t="s">
        <v>29</v>
      </c>
      <c r="I9927" s="1" t="str">
        <f ca="1">IFERROR(__xludf.DUMMYFUNCTION("GOOGLETRANSLATE(F9927, ""auto"", ""en"")
"),"Excellent machine, HDD 2Tb NTFS with a bang, MKV without problems.")</f>
        <v>Excellent machine, HDD 2Tb NTFS with a bang, MKV without problems.</v>
      </c>
    </row>
    <row r="9928" spans="1:9" x14ac:dyDescent="0.3">
      <c r="A9928" s="1" t="s">
        <v>211</v>
      </c>
      <c r="B9928" s="1" t="s">
        <v>384</v>
      </c>
      <c r="C9928" s="1" t="s">
        <v>351</v>
      </c>
      <c r="D9928" s="1" t="s">
        <v>247</v>
      </c>
      <c r="E9928" s="1" t="s">
        <v>3516</v>
      </c>
      <c r="F9928" s="1" t="s">
        <v>14550</v>
      </c>
      <c r="G9928" s="1" t="s">
        <v>36</v>
      </c>
      <c r="H9928" s="1" t="s">
        <v>29</v>
      </c>
      <c r="I9928" s="1" t="str">
        <f ca="1">IFERROR(__xludf.DUMMYFUNCTION("GOOGLETRANSLATE(F9928, ""auto"", ""en"")
"),"Shows accurate weight, especially if standing on a hard surface. The plastic body makes them very easy to clean, and they are also light in weight. Beautiful original design, red color with a nice print. The maximum weight is 130 kilograms, it’s good that"&amp;" I’m still very far from reaching the maximum. They are inexpensive, I am quite happy with the purchase.")</f>
        <v>Shows accurate weight, especially if standing on a hard surface. The plastic body makes them very easy to clean, and they are also light in weight. Beautiful original design, red color with a nice print. The maximum weight is 130 kilograms, it’s good that I’m still very far from reaching the maximum. They are inexpensive, I am quite happy with the purchase.</v>
      </c>
    </row>
    <row r="9929" spans="1:9" x14ac:dyDescent="0.3">
      <c r="A9929" s="1" t="s">
        <v>361</v>
      </c>
      <c r="B9929" s="1" t="s">
        <v>2555</v>
      </c>
      <c r="C9929" s="1" t="s">
        <v>4871</v>
      </c>
      <c r="D9929" s="1" t="s">
        <v>319</v>
      </c>
      <c r="E9929" s="1" t="s">
        <v>1688</v>
      </c>
      <c r="F9929" s="1" t="s">
        <v>14551</v>
      </c>
      <c r="G9929" s="1" t="s">
        <v>36</v>
      </c>
      <c r="H9929" s="1" t="s">
        <v>29</v>
      </c>
      <c r="I9929" s="1" t="str">
        <f ca="1">IFERROR(__xludf.DUMMYFUNCTION("GOOGLETRANSLATE(F9929, ""auto"", ""en"")
"),"Bought before going on vacation. The consultant recommended this model as being excellent at maintaining temperature. In practice, this turned out to be the case - it retains heat very well, even after a day. Very convenient, compact. The thermos is not c"&amp;"heap, but it fully justified its cost. We are very pleased with the purchase.")</f>
        <v>Bought before going on vacation. The consultant recommended this model as being excellent at maintaining temperature. In practice, this turned out to be the case - it retains heat very well, even after a day. Very convenient, compact. The thermos is not cheap, but it fully justified its cost. We are very pleased with the purchase.</v>
      </c>
    </row>
    <row r="9930" spans="1:9" x14ac:dyDescent="0.3">
      <c r="A9930" s="1" t="s">
        <v>17</v>
      </c>
      <c r="B9930" s="1" t="s">
        <v>18</v>
      </c>
      <c r="C9930" s="1" t="s">
        <v>19</v>
      </c>
      <c r="D9930" s="1" t="s">
        <v>589</v>
      </c>
      <c r="E9930" s="1" t="s">
        <v>1139</v>
      </c>
      <c r="F9930" s="1" t="s">
        <v>14552</v>
      </c>
      <c r="G9930" s="1" t="s">
        <v>36</v>
      </c>
      <c r="H9930" s="1" t="s">
        <v>29</v>
      </c>
      <c r="I9930" s="1" t="str">
        <f ca="1">IFERROR(__xludf.DUMMYFUNCTION("GOOGLETRANSLATE(F9930, ""auto"", ""en"")
"),"Very happy with the machine! We chose the most silent one, because We were preparing for the arrival of the baby, and we were not mistaken. It washes and spins very quietly, there is a “Night Wash” mode. It is also very convenient to have express cycles w"&amp;"hen the laundry is not very dirty and there is no point in washing it for a long time. Some modes have a convenient function: if you do not have time to remove the laundry from the machine after finishing washing, it will periodically rotate the drum unti"&amp;"l you turn it off.  We've had the car for about six months now. I do laundry very often - almost every day. And so far there have been no problems with its operation.")</f>
        <v>Very happy with the machine! We chose the most silent one, because We were preparing for the arrival of the baby, and we were not mistaken. It washes and spins very quietly, there is a “Night Wash” mode. It is also very convenient to have express cycles when the laundry is not very dirty and there is no point in washing it for a long time. Some modes have a convenient function: if you do not have time to remove the laundry from the machine after finishing washing, it will periodically rotate the drum until you turn it off.  We've had the car for about six months now. I do laundry very often - almost every day. And so far there have been no problems with its operation.</v>
      </c>
    </row>
    <row r="9931" spans="1:9" x14ac:dyDescent="0.3">
      <c r="A9931" s="1" t="s">
        <v>30</v>
      </c>
      <c r="B9931" s="1" t="s">
        <v>31</v>
      </c>
      <c r="C9931" s="1" t="s">
        <v>32</v>
      </c>
      <c r="D9931" s="1" t="s">
        <v>39</v>
      </c>
      <c r="E9931" s="1" t="s">
        <v>2215</v>
      </c>
      <c r="F9931" s="1" t="s">
        <v>14553</v>
      </c>
      <c r="G9931" s="1" t="s">
        <v>36</v>
      </c>
      <c r="H9931" s="1" t="s">
        <v>29</v>
      </c>
      <c r="I9931" s="1" t="str">
        <f ca="1">IFERROR(__xludf.DUMMYFUNCTION("GOOGLETRANSLATE(F9931, ""auto"", ""en"")
"),"Wonderful computer. It works quietly, without brakes, and it works around the clock and doesn’t get particularly hot. I just installed Windows7 instead of the dull Vista and formatted the screw (it’s a pity to give 16 gigs for an unnecessary hidden partit"&amp;"ion). And if you consider that I managed to buy a computer on sale for 6990 rubles. - that’s actually the ultimate dream. I chopped up a 22"" monitor via DVI, and for movies I ran a 37"" HDMI to the TV and optical fiber to the acoustics. Now it's absolute"&amp;"ly great!!!")</f>
        <v>Wonderful computer. It works quietly, without brakes, and it works around the clock and doesn’t get particularly hot. I just installed Windows7 instead of the dull Vista and formatted the screw (it’s a pity to give 16 gigs for an unnecessary hidden partition). And if you consider that I managed to buy a computer on sale for 6990 rubles. - that’s actually the ultimate dream. I chopped up a 22" monitor via DVI, and for movies I ran a 37" HDMI to the TV and optical fiber to the acoustics. Now it's absolutely great!!!</v>
      </c>
    </row>
    <row r="9932" spans="1:9" x14ac:dyDescent="0.3">
      <c r="A9932" s="1" t="s">
        <v>624</v>
      </c>
      <c r="B9932" s="1" t="s">
        <v>6461</v>
      </c>
      <c r="C9932" s="1" t="s">
        <v>479</v>
      </c>
      <c r="D9932" s="1" t="s">
        <v>1456</v>
      </c>
      <c r="E9932" s="1" t="s">
        <v>5211</v>
      </c>
      <c r="F9932" s="1" t="s">
        <v>14554</v>
      </c>
      <c r="G9932" s="1" t="s">
        <v>36</v>
      </c>
      <c r="H9932" s="1" t="s">
        <v>29</v>
      </c>
      <c r="I9932" s="1" t="str">
        <f ca="1">IFERROR(__xludf.DUMMYFUNCTION("GOOGLETRANSLATE(F9932, ""auto"", ""en"")
"),"A very interesting game, there is a mode for two players. I played it myself with my brother.")</f>
        <v>A very interesting game, there is a mode for two players. I played it myself with my brother.</v>
      </c>
    </row>
    <row r="9933" spans="1:9" x14ac:dyDescent="0.3">
      <c r="A9933" s="1" t="s">
        <v>30</v>
      </c>
      <c r="B9933" s="1" t="s">
        <v>31</v>
      </c>
      <c r="C9933" s="1" t="s">
        <v>32</v>
      </c>
      <c r="D9933" s="1" t="s">
        <v>33</v>
      </c>
      <c r="E9933" s="1" t="s">
        <v>864</v>
      </c>
      <c r="F9933" s="1" t="s">
        <v>14555</v>
      </c>
      <c r="G9933" s="1" t="s">
        <v>15</v>
      </c>
      <c r="H9933" s="1" t="s">
        <v>16</v>
      </c>
      <c r="I9933" s="1" t="str">
        <f ca="1">IFERROR(__xludf.DUMMYFUNCTION("GOOGLETRANSLATE(F9933, ""auto"", ""en"")
"),"And besides the freezes, I have them every day at the first start after 10-15 minutes, so now we boot up and immediately reboot, yes, of course it’s complete nonsense, but the second start I had no freezes, after the computer exits sleep mode, the cooler "&amp;"begins to spin up faster and faster, and again only a reboot helps!!!")</f>
        <v>And besides the freezes, I have them every day at the first start after 10-15 minutes, so now we boot up and immediately reboot, yes, of course it’s complete nonsense, but the second start I had no freezes, after the computer exits sleep mode, the cooler begins to spin up faster and faster, and again only a reboot helps!!!</v>
      </c>
    </row>
    <row r="9934" spans="1:9" x14ac:dyDescent="0.3">
      <c r="A9934" s="1" t="s">
        <v>9</v>
      </c>
      <c r="B9934" s="1" t="s">
        <v>137</v>
      </c>
      <c r="C9934" s="1" t="s">
        <v>63</v>
      </c>
      <c r="D9934" s="1" t="s">
        <v>280</v>
      </c>
      <c r="E9934" s="1" t="s">
        <v>2663</v>
      </c>
      <c r="F9934" s="1" t="s">
        <v>14556</v>
      </c>
      <c r="G9934" s="1" t="s">
        <v>36</v>
      </c>
      <c r="H9934" s="1" t="s">
        <v>29</v>
      </c>
      <c r="I9934" s="1" t="str">
        <f ca="1">IFERROR(__xludf.DUMMYFUNCTION("GOOGLETRANSLATE(F9934, ""auto"", ""en"")
"),"The stove is excellent, easy to clean. A huge plus for the cast iron grate and its rubber feet. I specifically chose one with a side-mounted switch handle, because... The refrigerator is located to the right of the panel (to avoid heating).")</f>
        <v>The stove is excellent, easy to clean. A huge plus for the cast iron grate and its rubber feet. I specifically chose one with a side-mounted switch handle, because... The refrigerator is located to the right of the panel (to avoid heating).</v>
      </c>
    </row>
    <row r="9935" spans="1:9" x14ac:dyDescent="0.3">
      <c r="A9935" s="1" t="s">
        <v>30</v>
      </c>
      <c r="B9935" s="1" t="s">
        <v>31</v>
      </c>
      <c r="C9935" s="1" t="s">
        <v>365</v>
      </c>
      <c r="D9935" s="1" t="s">
        <v>232</v>
      </c>
      <c r="E9935" s="1" t="s">
        <v>1738</v>
      </c>
      <c r="F9935" s="1" t="s">
        <v>14557</v>
      </c>
      <c r="G9935" s="1" t="s">
        <v>28</v>
      </c>
      <c r="H9935" s="1" t="s">
        <v>29</v>
      </c>
      <c r="I9935" s="1" t="str">
        <f ca="1">IFERROR(__xludf.DUMMYFUNCTION("GOOGLETRANSLATE(F9935, ""auto"", ""en"")
"),"Judging by the characteristics, an excellent unit! It’s just that those who collected it didn’t dare put up a video card... It would have been absolutely gorgeous with it! But still, a PCI-E video card is not expensive these days! You can install it after"&amp;"wards, at your own discretion!..")</f>
        <v>Judging by the characteristics, an excellent unit! It’s just that those who collected it didn’t dare put up a video card... It would have been absolutely gorgeous with it! But still, a PCI-E video card is not expensive these days! You can install it afterwards, at your own discretion!..</v>
      </c>
    </row>
    <row r="9936" spans="1:9" x14ac:dyDescent="0.3">
      <c r="A9936" s="1" t="s">
        <v>43</v>
      </c>
      <c r="B9936" s="1" t="s">
        <v>303</v>
      </c>
      <c r="C9936" s="1" t="s">
        <v>665</v>
      </c>
      <c r="D9936" s="1" t="s">
        <v>14558</v>
      </c>
      <c r="E9936" s="1" t="s">
        <v>4575</v>
      </c>
      <c r="F9936" s="1" t="s">
        <v>14559</v>
      </c>
      <c r="G9936" s="1" t="s">
        <v>36</v>
      </c>
      <c r="H9936" s="1" t="s">
        <v>29</v>
      </c>
      <c r="I9936" s="1" t="str">
        <f ca="1">IFERROR(__xludf.DUMMYFUNCTION("GOOGLETRANSLATE(F9936, ""auto"", ""en"")
"),"An excellent water heater, but if you have a small bathroom (like mine), then note that it is huge - 80 liters is no joke :) But the water lasts for a long time, you won’t be tired of washing yourself.")</f>
        <v>An excellent water heater, but if you have a small bathroom (like mine), then note that it is huge - 80 liters is no joke :) But the water lasts for a long time, you won’t be tired of washing yourself.</v>
      </c>
    </row>
    <row r="9937" spans="1:9" x14ac:dyDescent="0.3">
      <c r="A9937" s="1" t="s">
        <v>67</v>
      </c>
      <c r="B9937" s="1" t="s">
        <v>68</v>
      </c>
      <c r="C9937" s="1" t="s">
        <v>69</v>
      </c>
      <c r="D9937" s="1" t="s">
        <v>247</v>
      </c>
      <c r="E9937" s="1" t="s">
        <v>1387</v>
      </c>
      <c r="F9937" s="1" t="s">
        <v>14560</v>
      </c>
      <c r="G9937" s="1" t="s">
        <v>15</v>
      </c>
      <c r="H9937" s="1" t="s">
        <v>16</v>
      </c>
      <c r="I9937" s="1" t="str">
        <f ca="1">IFERROR(__xludf.DUMMYFUNCTION("GOOGLETRANSLATE(F9937, ""auto"", ""en"")
"),"The warranty expired (2 years) and the iron broke, before that the Tefal was still working.")</f>
        <v>The warranty expired (2 years) and the iron broke, before that the Tefal was still working.</v>
      </c>
    </row>
    <row r="9938" spans="1:9" x14ac:dyDescent="0.3">
      <c r="A9938" s="1" t="s">
        <v>624</v>
      </c>
      <c r="B9938" s="1" t="s">
        <v>625</v>
      </c>
      <c r="C9938" s="1" t="s">
        <v>479</v>
      </c>
      <c r="D9938" s="1" t="s">
        <v>729</v>
      </c>
      <c r="E9938" s="1" t="s">
        <v>1553</v>
      </c>
      <c r="F9938" s="1" t="s">
        <v>14561</v>
      </c>
      <c r="G9938" s="1" t="s">
        <v>36</v>
      </c>
      <c r="H9938" s="1" t="s">
        <v>29</v>
      </c>
      <c r="I9938" s="1" t="str">
        <f ca="1">IFERROR(__xludf.DUMMYFUNCTION("GOOGLETRANSLATE(F9938, ""auto"", ""en"")
"),"I really liked the game and the multiplayer, you can buy the regular game or this one, I bought this one and don’t regret it, there is an extra one. 4 cards for zombies and a cool medal =)")</f>
        <v>I really liked the game and the multiplayer, you can buy the regular game or this one, I bought this one and don’t regret it, there is an extra one. 4 cards for zombies and a cool medal =)</v>
      </c>
    </row>
    <row r="9939" spans="1:9" x14ac:dyDescent="0.3">
      <c r="A9939" s="1" t="s">
        <v>17</v>
      </c>
      <c r="B9939" s="1" t="s">
        <v>18</v>
      </c>
      <c r="C9939" s="1" t="s">
        <v>243</v>
      </c>
      <c r="D9939" s="1" t="s">
        <v>589</v>
      </c>
      <c r="E9939" s="1" t="s">
        <v>3499</v>
      </c>
      <c r="F9939" s="1" t="s">
        <v>14562</v>
      </c>
      <c r="G9939" s="1" t="s">
        <v>28</v>
      </c>
      <c r="H9939" s="1" t="s">
        <v>29</v>
      </c>
      <c r="I9939" s="1" t="str">
        <f ca="1">IFERROR(__xludf.DUMMYFUNCTION("GOOGLETRANSLATE(F9939, ""auto"", ""en"")
"),"I purchased this machine 3 years ago, although at a more attractive price of 7,500 rubles. Before this, there was a similar model, only without an information window (I left it in a rented apartment and sold it to the landlord). I agree with the last revi"&amp;"ew that the machine is noisy, but for me this is not critical at all. I only hear it when doing push-ups. Because of its light weight, it jumps around the bathroom; the renovation there is not very good and the floor is not level. But again, a slight push"&amp;" of the hip puts it in place. The pump pumping out water broke down once, due to my fault. The sock got sucked in, so now I wash small things in laundry bags, from now on it will be science. There is nothing superfluous. I like the additional washing mode"&amp;"s: jeans, sports, wool, 15 minute wash. It’s just lovely for tights (I don’t like hand washing). Replacing the pump cost 3,000 including labor, and the cost of the pump was a smaller part of the amount (if you have the hands, you can fix it yourself; this"&amp;" turns out to be a fairly common breakdown with washing machines). After the breakdown, I wanted to buy a new one, but after the crisis, prices rose greatly, so repairs turned out to be more expedient.  Of course, if possible, it is better to take heavier"&amp;" machines, but in my case this turned out to be impossible and this model fits well in a bathroom measuring 1.5 by 1.5 along with a bathtub and sink.")</f>
        <v>I purchased this machine 3 years ago, although at a more attractive price of 7,500 rubles. Before this, there was a similar model, only without an information window (I left it in a rented apartment and sold it to the landlord). I agree with the last review that the machine is noisy, but for me this is not critical at all. I only hear it when doing push-ups. Because of its light weight, it jumps around the bathroom; the renovation there is not very good and the floor is not level. But again, a slight push of the hip puts it in place. The pump pumping out water broke down once, due to my fault. The sock got sucked in, so now I wash small things in laundry bags, from now on it will be science. There is nothing superfluous. I like the additional washing modes: jeans, sports, wool, 15 minute wash. It’s just lovely for tights (I don’t like hand washing). Replacing the pump cost 3,000 including labor, and the cost of the pump was a smaller part of the amount (if you have the hands, you can fix it yourself; this turns out to be a fairly common breakdown with washing machines). After the breakdown, I wanted to buy a new one, but after the crisis, prices rose greatly, so repairs turned out to be more expedient.  Of course, if possible, it is better to take heavier machines, but in my case this turned out to be impossible and this model fits well in a bathroom measuring 1.5 by 1.5 along with a bathtub and sink.</v>
      </c>
    </row>
    <row r="9940" spans="1:9" x14ac:dyDescent="0.3">
      <c r="A9940" s="1" t="s">
        <v>105</v>
      </c>
      <c r="B9940" s="1" t="s">
        <v>106</v>
      </c>
      <c r="C9940" s="1" t="s">
        <v>107</v>
      </c>
      <c r="D9940" s="1" t="s">
        <v>1143</v>
      </c>
      <c r="E9940" s="1" t="s">
        <v>3890</v>
      </c>
      <c r="F9940" s="1" t="s">
        <v>14563</v>
      </c>
      <c r="G9940" s="1" t="s">
        <v>36</v>
      </c>
      <c r="H9940" s="1" t="s">
        <v>29</v>
      </c>
      <c r="I9940" s="1" t="str">
        <f ca="1">IFERROR(__xludf.DUMMYFUNCTION("GOOGLETRANSLATE(F9940, ""auto"", ""en"")
"),"Excellent player, it’s a pity that books are only in TXT, and FB2 does not support.")</f>
        <v>Excellent player, it’s a pity that books are only in TXT, and FB2 does not support.</v>
      </c>
    </row>
    <row r="9941" spans="1:9" x14ac:dyDescent="0.3">
      <c r="A9941" s="1" t="s">
        <v>61</v>
      </c>
      <c r="B9941" s="1" t="s">
        <v>318</v>
      </c>
      <c r="C9941" s="1" t="s">
        <v>69</v>
      </c>
      <c r="D9941" s="1" t="s">
        <v>521</v>
      </c>
      <c r="E9941" s="1" t="s">
        <v>1131</v>
      </c>
      <c r="F9941" s="1" t="s">
        <v>14564</v>
      </c>
      <c r="G9941" s="1" t="s">
        <v>36</v>
      </c>
      <c r="H9941" s="1" t="s">
        <v>29</v>
      </c>
      <c r="I9941" s="1" t="str">
        <f ca="1">IFERROR(__xludf.DUMMYFUNCTION("GOOGLETRANSLATE(F9941, ""auto"", ""en"")
"),"We've had this kettle for 7 years now, it's a great product. Now I’m going to buy exactly the same one, because after 7 years a crack appeared in the transparent insert, it began to leak, but I have no complaints at all, an excellent kettle, easy to use.")</f>
        <v>We've had this kettle for 7 years now, it's a great product. Now I’m going to buy exactly the same one, because after 7 years a crack appeared in the transparent insert, it began to leak, but I have no complaints at all, an excellent kettle, easy to use.</v>
      </c>
    </row>
    <row r="9942" spans="1:9" x14ac:dyDescent="0.3">
      <c r="A9942" s="1" t="s">
        <v>61</v>
      </c>
      <c r="B9942" s="1" t="s">
        <v>318</v>
      </c>
      <c r="C9942" s="1" t="s">
        <v>57</v>
      </c>
      <c r="D9942" s="1" t="s">
        <v>568</v>
      </c>
      <c r="E9942" s="1" t="s">
        <v>6875</v>
      </c>
      <c r="F9942" s="1" t="s">
        <v>14565</v>
      </c>
      <c r="G9942" s="1" t="s">
        <v>49</v>
      </c>
      <c r="H9942" s="1" t="s">
        <v>16</v>
      </c>
      <c r="I9942" s="1" t="str">
        <f ca="1">IFERROR(__xludf.DUMMYFUNCTION("GOOGLETRANSLATE(F9942, ""auto"", ""en"")
"),"The kettle worked for exactly a year and died. Not only did it make noise like a jet engine. Water leaked onto the switch tail. A misunderstanding, not a teapot. I will buy a kettle from another company. I don’t advise anyone to buy such a kettle.")</f>
        <v>The kettle worked for exactly a year and died. Not only did it make noise like a jet engine. Water leaked onto the switch tail. A misunderstanding, not a teapot. I will buy a kettle from another company. I don’t advise anyone to buy such a kettle.</v>
      </c>
    </row>
    <row r="9943" spans="1:9" x14ac:dyDescent="0.3">
      <c r="A9943" s="1" t="s">
        <v>61</v>
      </c>
      <c r="B9943" s="1" t="s">
        <v>318</v>
      </c>
      <c r="C9943" s="1" t="s">
        <v>101</v>
      </c>
      <c r="D9943" s="1" t="s">
        <v>592</v>
      </c>
      <c r="E9943" s="1" t="s">
        <v>4089</v>
      </c>
      <c r="F9943" s="1" t="s">
        <v>14566</v>
      </c>
      <c r="G9943" s="1" t="s">
        <v>36</v>
      </c>
      <c r="H9943" s="1" t="s">
        <v>29</v>
      </c>
      <c r="I9943" s="1" t="str">
        <f ca="1">IFERROR(__xludf.DUMMYFUNCTION("GOOGLETRANSLATE(F9943, ""auto"", ""en"")
"),"I gave this teapot to my retired father 3 years ago. She warned that you can’t clean it with anti-scaling agent - only with citric acid.  after 1.5 years he forgot about it and cleaned it ((the kettle began to act up, but my father asked me to buy him ano"&amp;"ther kettle. I first bought the iron red one - beautiful, beautiful in my opinion. It didn’t suit him: I was already used to the fact that in a glass kettle the water level can be seen from all sides. And it weighs less. In general, I had to buy another o"&amp;"ne just like it. PySy: the water has no bad taste, no smell either. The lid is normal. The kettle is good.")</f>
        <v>I gave this teapot to my retired father 3 years ago. She warned that you can’t clean it with anti-scaling agent - only with citric acid.  after 1.5 years he forgot about it and cleaned it ((the kettle began to act up, but my father asked me to buy him another kettle. I first bought the iron red one - beautiful, beautiful in my opinion. It didn’t suit him: I was already used to the fact that in a glass kettle the water level can be seen from all sides. And it weighs less. In general, I had to buy another one just like it. PySy: the water has no bad taste, no smell either. The lid is normal. The kettle is good.</v>
      </c>
    </row>
    <row r="9944" spans="1:9" x14ac:dyDescent="0.3">
      <c r="A9944" s="1" t="s">
        <v>477</v>
      </c>
      <c r="B9944" s="1" t="s">
        <v>478</v>
      </c>
      <c r="C9944" s="1" t="s">
        <v>479</v>
      </c>
      <c r="D9944" s="1" t="s">
        <v>172</v>
      </c>
      <c r="E9944" s="1" t="s">
        <v>1201</v>
      </c>
      <c r="F9944" s="1" t="s">
        <v>14567</v>
      </c>
      <c r="G9944" s="1" t="s">
        <v>36</v>
      </c>
      <c r="H9944" s="1" t="s">
        <v>29</v>
      </c>
      <c r="I9944" s="1" t="str">
        <f ca="1">IFERROR(__xludf.DUMMYFUNCTION("GOOGLETRANSLATE(F9944, ""auto"", ""en"")
"),"In general, the game is very interesting, with good graphics and an exciting storyline.  I recommend it to all fans of games of this type and collectors!")</f>
        <v>In general, the game is very interesting, with good graphics and an exciting storyline.  I recommend it to all fans of games of this type and collectors!</v>
      </c>
    </row>
    <row r="9945" spans="1:9" x14ac:dyDescent="0.3">
      <c r="A9945" s="1" t="s">
        <v>37</v>
      </c>
      <c r="B9945" s="1" t="s">
        <v>38</v>
      </c>
      <c r="C9945" s="1" t="s">
        <v>151</v>
      </c>
      <c r="D9945" s="1" t="s">
        <v>919</v>
      </c>
      <c r="E9945" s="1" t="s">
        <v>3472</v>
      </c>
      <c r="F9945" s="1" t="s">
        <v>14568</v>
      </c>
      <c r="G9945" s="1" t="s">
        <v>36</v>
      </c>
      <c r="H9945" s="1" t="s">
        <v>29</v>
      </c>
      <c r="I9945" s="1" t="str">
        <f ca="1">IFERROR(__xludf.DUMMYFUNCTION("GOOGLETRANSLATE(F9945, ""auto"", ""en"")
"),"This phone number became mine literally 3 hours ago. The phone is simply excellent, a very high-quality body, no backlash, a clear camera, a cool touchscreen, although of course it loses to the iPhone, it clearly outperforms Nokia and LG models of the sam"&amp;"e class, because it is capacitive and not resistive. The speed of operation is quite good, at least IMHO better than on the same Nokia 5530. Since I also chose the phone based on its musical capabilities, here the 5560 has everything in order - quite a lo"&amp;"t of equalizers, but unfortunately, you won’t be able to configure it yourself - there’s just no way. However, I personally found one that suits me :) The sound is quite rich even with the supplied earplugs, so if you are going to buy good headphones (sen"&amp;"nheiser cx200, cx300) you will definitely be satisfied!  I also really liked the design of the phone - it is calm, without unnecessary show-offs, in general - class!  As a result, I can say that the phone (at least according to first impressions) is simpl"&amp;"y an ideal price/quality ratio, which cannot be said about many other, more expensive devices. So if you are looking for just such an option, I think you will undoubtedly like this phone!")</f>
        <v>This phone number became mine literally 3 hours ago. The phone is simply excellent, a very high-quality body, no backlash, a clear camera, a cool touchscreen, although of course it loses to the iPhone, it clearly outperforms Nokia and LG models of the same class, because it is capacitive and not resistive. The speed of operation is quite good, at least IMHO better than on the same Nokia 5530. Since I also chose the phone based on its musical capabilities, here the 5560 has everything in order - quite a lot of equalizers, but unfortunately, you won’t be able to configure it yourself - there’s just no way. However, I personally found one that suits me :) The sound is quite rich even with the supplied earplugs, so if you are going to buy good headphones (sennheiser cx200, cx300) you will definitely be satisfied!  I also really liked the design of the phone - it is calm, without unnecessary show-offs, in general - class!  As a result, I can say that the phone (at least according to first impressions) is simply an ideal price/quality ratio, which cannot be said about many other, more expensive devices. So if you are looking for just such an option, I think you will undoubtedly like this phone!</v>
      </c>
    </row>
    <row r="9946" spans="1:9" x14ac:dyDescent="0.3">
      <c r="A9946" s="1" t="s">
        <v>61</v>
      </c>
      <c r="B9946" s="1" t="s">
        <v>73</v>
      </c>
      <c r="C9946" s="1" t="s">
        <v>146</v>
      </c>
      <c r="D9946" s="1" t="s">
        <v>633</v>
      </c>
      <c r="E9946" s="1" t="s">
        <v>14569</v>
      </c>
      <c r="F9946" s="1" t="s">
        <v>14570</v>
      </c>
      <c r="G9946" s="1" t="s">
        <v>36</v>
      </c>
      <c r="H9946" s="1" t="s">
        <v>29</v>
      </c>
      <c r="I9946" s="1" t="str">
        <f ca="1">IFERROR(__xludf.DUMMYFUNCTION("GOOGLETRANSLATE(F9946, ""auto"", ""en"")
"),"I want to share my review, because before this I had a meat grinder, well, it couldn’t cope with meat and always overheated, I bought this model and I really like it, it handles meat easily, there is a reverse button, which is very convenient. And of cour"&amp;"se, a cool design. Kenwood is excellent as always.")</f>
        <v>I want to share my review, because before this I had a meat grinder, well, it couldn’t cope with meat and always overheated, I bought this model and I really like it, it handles meat easily, there is a reverse button, which is very convenient. And of course, a cool design. Kenwood is excellent as always.</v>
      </c>
    </row>
    <row r="9947" spans="1:9" x14ac:dyDescent="0.3">
      <c r="A9947" s="1" t="s">
        <v>206</v>
      </c>
      <c r="B9947" s="1" t="s">
        <v>1253</v>
      </c>
      <c r="C9947" s="1" t="s">
        <v>4464</v>
      </c>
      <c r="D9947" s="1" t="s">
        <v>280</v>
      </c>
      <c r="E9947" s="1" t="s">
        <v>1012</v>
      </c>
      <c r="F9947" s="1" t="s">
        <v>14571</v>
      </c>
      <c r="G9947" s="1" t="s">
        <v>28</v>
      </c>
      <c r="H9947" s="1" t="s">
        <v>29</v>
      </c>
      <c r="I9947" s="1" t="str">
        <f ca="1">IFERROR(__xludf.DUMMYFUNCTION("GOOGLETRANSLATE(F9947, ""auto"", ""en"")
"),"I like it, I’ve been using it for 2 years, mainly for hunting, it has a good radio nanny function, it has a very sensitive sensor to sound. The normal communication distance outside the city is 2-3 km. I have enough.  I bought more powerful batteries.")</f>
        <v>I like it, I’ve been using it for 2 years, mainly for hunting, it has a good radio nanny function, it has a very sensitive sensor to sound. The normal communication distance outside the city is 2-3 km. I have enough.  I bought more powerful batteries.</v>
      </c>
    </row>
    <row r="9948" spans="1:9" x14ac:dyDescent="0.3">
      <c r="A9948" s="1" t="s">
        <v>43</v>
      </c>
      <c r="B9948" s="1" t="s">
        <v>1370</v>
      </c>
      <c r="C9948" s="1" t="s">
        <v>2137</v>
      </c>
      <c r="D9948" s="1" t="s">
        <v>171</v>
      </c>
      <c r="E9948" s="1" t="s">
        <v>4143</v>
      </c>
      <c r="F9948" s="1" t="s">
        <v>14572</v>
      </c>
      <c r="G9948" s="1" t="s">
        <v>49</v>
      </c>
      <c r="H9948" s="1" t="s">
        <v>16</v>
      </c>
      <c r="I9948" s="1" t="str">
        <f ca="1">IFERROR(__xludf.DUMMYFUNCTION("GOOGLETRANSLATE(F9948, ""auto"", ""en"")
"),"cheap")</f>
        <v>cheap</v>
      </c>
    </row>
    <row r="9949" spans="1:9" x14ac:dyDescent="0.3">
      <c r="A9949" s="1" t="s">
        <v>211</v>
      </c>
      <c r="B9949" s="1" t="s">
        <v>212</v>
      </c>
      <c r="C9949" s="1" t="s">
        <v>745</v>
      </c>
      <c r="D9949" s="1" t="s">
        <v>64</v>
      </c>
      <c r="E9949" s="1" t="s">
        <v>3981</v>
      </c>
      <c r="F9949" s="1" t="s">
        <v>14573</v>
      </c>
      <c r="G9949" s="1" t="s">
        <v>36</v>
      </c>
      <c r="H9949" s="1" t="s">
        <v>29</v>
      </c>
      <c r="I9949" s="1" t="str">
        <f ca="1">IFERROR(__xludf.DUMMYFUNCTION("GOOGLETRANSLATE(F9949, ""auto"", ""en"")
"),"Great hairdryer! You can style both short and long hair. The hair does not split due to the non-metallic comb. The price is reasonable.")</f>
        <v>Great hairdryer! You can style both short and long hair. The hair does not split due to the non-metallic comb. The price is reasonable.</v>
      </c>
    </row>
    <row r="9950" spans="1:9" x14ac:dyDescent="0.3">
      <c r="A9950" s="1" t="s">
        <v>361</v>
      </c>
      <c r="B9950" s="1" t="s">
        <v>2555</v>
      </c>
      <c r="C9950" s="1" t="s">
        <v>4871</v>
      </c>
      <c r="D9950" s="1" t="s">
        <v>39</v>
      </c>
      <c r="E9950" s="1" t="s">
        <v>124</v>
      </c>
      <c r="F9950" s="1" t="s">
        <v>14574</v>
      </c>
      <c r="G9950" s="1" t="s">
        <v>36</v>
      </c>
      <c r="H9950" s="1" t="s">
        <v>29</v>
      </c>
      <c r="I9950" s="1" t="str">
        <f ca="1">IFERROR(__xludf.DUMMYFUNCTION("GOOGLETRANSLATE(F9950, ""auto"", ""en"")
"),"Quality item. In winter - tea, in summer - ice, on the second day it didn’t even melt.  I recommend it to everyone.")</f>
        <v>Quality item. In winter - tea, in summer - ice, on the second day it didn’t even melt.  I recommend it to everyone.</v>
      </c>
    </row>
    <row r="9951" spans="1:9" x14ac:dyDescent="0.3">
      <c r="A9951" s="1" t="s">
        <v>9</v>
      </c>
      <c r="B9951" s="1" t="s">
        <v>10</v>
      </c>
      <c r="C9951" s="1" t="s">
        <v>466</v>
      </c>
      <c r="D9951" s="1" t="s">
        <v>1659</v>
      </c>
      <c r="E9951" s="1" t="s">
        <v>1452</v>
      </c>
      <c r="F9951" s="1" t="s">
        <v>14575</v>
      </c>
      <c r="G9951" s="1" t="s">
        <v>28</v>
      </c>
      <c r="H9951" s="1" t="s">
        <v>29</v>
      </c>
      <c r="I9951" s="1" t="str">
        <f ca="1">IFERROR(__xludf.DUMMYFUNCTION("GOOGLETRANSLATE(F9951, ""auto"", ""en"")
"),"The disadvantage of the hood is that the light is always on when even you don’t need it when the hood is working.")</f>
        <v>The disadvantage of the hood is that the light is always on when even you don’t need it when the hood is working.</v>
      </c>
    </row>
    <row r="9952" spans="1:9" x14ac:dyDescent="0.3">
      <c r="A9952" s="1" t="s">
        <v>61</v>
      </c>
      <c r="B9952" s="1" t="s">
        <v>977</v>
      </c>
      <c r="C9952" s="1" t="s">
        <v>101</v>
      </c>
      <c r="D9952" s="1" t="s">
        <v>2595</v>
      </c>
      <c r="E9952" s="1" t="s">
        <v>6521</v>
      </c>
      <c r="F9952" s="1" t="s">
        <v>14576</v>
      </c>
      <c r="G9952" s="1" t="s">
        <v>49</v>
      </c>
      <c r="H9952" s="1" t="s">
        <v>16</v>
      </c>
      <c r="I9952" s="1" t="str">
        <f ca="1">IFERROR(__xludf.DUMMYFUNCTION("GOOGLETRANSLATE(F9952, ""auto"", ""en"")
"),"I bought it to make purees for my child, but it broke on the second day... It’s a shame!!!(((")</f>
        <v>I bought it to make purees for my child, but it broke on the second day... It’s a shame!!!(((</v>
      </c>
    </row>
    <row r="9953" spans="1:9" x14ac:dyDescent="0.3">
      <c r="A9953" s="1" t="s">
        <v>30</v>
      </c>
      <c r="B9953" s="1" t="s">
        <v>50</v>
      </c>
      <c r="C9953" s="1" t="s">
        <v>189</v>
      </c>
      <c r="D9953" s="1" t="s">
        <v>39</v>
      </c>
      <c r="E9953" s="1" t="s">
        <v>65</v>
      </c>
      <c r="F9953" s="1" t="s">
        <v>14577</v>
      </c>
      <c r="G9953" s="1" t="s">
        <v>36</v>
      </c>
      <c r="H9953" s="1" t="s">
        <v>29</v>
      </c>
      <c r="I9953" s="1" t="str">
        <f ca="1">IFERROR(__xludf.DUMMYFUNCTION("GOOGLETRANSLATE(F9953, ""auto"", ""en"")
"),"I agree with all the positive reviews below. I’ll be succinct - a wonderful laptop!    P.S.  A small correction for those who are dissatisfied: the cache size of the ASUS K70IC with the Core2Duo P7450 processor, which, in fact, is the subject of the revie"&amp;"ws on this page, is 3 MB; 1 MB cache is a parameter in ASUS K70IC models with processor code T6600 or T4400, and certainly not P7450. So one of the reviews here is not quite right. Sincerely...")</f>
        <v>I agree with all the positive reviews below. I’ll be succinct - a wonderful laptop!    P.S.  A small correction for those who are dissatisfied: the cache size of the ASUS K70IC with the Core2Duo P7450 processor, which, in fact, is the subject of the reviews on this page, is 3 MB; 1 MB cache is a parameter in ASUS K70IC models with processor code T6600 or T4400, and certainly not P7450. So one of the reviews here is not quite right. Sincerely...</v>
      </c>
    </row>
    <row r="9954" spans="1:9" x14ac:dyDescent="0.3">
      <c r="A9954" s="1" t="s">
        <v>61</v>
      </c>
      <c r="B9954" s="1" t="s">
        <v>73</v>
      </c>
      <c r="C9954" s="1" t="s">
        <v>146</v>
      </c>
      <c r="D9954" s="1" t="s">
        <v>52</v>
      </c>
      <c r="E9954" s="1" t="s">
        <v>1267</v>
      </c>
      <c r="F9954" s="1" t="s">
        <v>14578</v>
      </c>
      <c r="G9954" s="1" t="s">
        <v>36</v>
      </c>
      <c r="H9954" s="1" t="s">
        <v>29</v>
      </c>
      <c r="I9954" s="1" t="str">
        <f ca="1">IFERROR(__xludf.DUMMYFUNCTION("GOOGLETRANSLATE(F9954, ""auto"", ""en"")
"),"I bought one of these a month ago and couldn’t be more pleased. I work in a butcher shop - I twist horns, hooves, tails, tusks with a bang!!!))))) all the buyers of our minced meat are happy!!!!! not noisy and not demanding of maintenance.")</f>
        <v>I bought one of these a month ago and couldn’t be more pleased. I work in a butcher shop - I twist horns, hooves, tails, tusks with a bang!!!))))) all the buyers of our minced meat are happy!!!!! not noisy and not demanding of maintenance.</v>
      </c>
    </row>
    <row r="9955" spans="1:9" x14ac:dyDescent="0.3">
      <c r="A9955" s="1" t="s">
        <v>89</v>
      </c>
      <c r="B9955" s="1" t="s">
        <v>90</v>
      </c>
      <c r="C9955" s="1" t="s">
        <v>185</v>
      </c>
      <c r="D9955" s="1" t="s">
        <v>420</v>
      </c>
      <c r="E9955" s="1" t="s">
        <v>1169</v>
      </c>
      <c r="F9955" s="1" t="s">
        <v>14579</v>
      </c>
      <c r="G9955" s="1" t="s">
        <v>36</v>
      </c>
      <c r="H9955" s="1" t="s">
        <v>29</v>
      </c>
      <c r="I9955" s="1" t="str">
        <f ca="1">IFERROR(__xludf.DUMMYFUNCTION("GOOGLETRANSLATE(F9955, ""auto"", ""en"")
"),"I bought it today. The grinding is excellent and uniform. The main thing is a convenient removable bowl, it’s easy to pour coffee and wash it after grinding without using the entire body. Build quality, excellent design. Works without overheating or plast"&amp;"ic smell. Inexpensive and high quality. I recommend it.")</f>
        <v>I bought it today. The grinding is excellent and uniform. The main thing is a convenient removable bowl, it’s easy to pour coffee and wash it after grinding without using the entire body. Build quality, excellent design. Works without overheating or plastic smell. Inexpensive and high quality. I recommend it.</v>
      </c>
    </row>
    <row r="9956" spans="1:9" x14ac:dyDescent="0.3">
      <c r="A9956" s="1" t="s">
        <v>149</v>
      </c>
      <c r="B9956" s="1" t="s">
        <v>155</v>
      </c>
      <c r="C9956" s="1" t="s">
        <v>63</v>
      </c>
      <c r="D9956" s="1" t="s">
        <v>3273</v>
      </c>
      <c r="E9956" s="1" t="s">
        <v>1788</v>
      </c>
      <c r="F9956" s="1" t="s">
        <v>14580</v>
      </c>
      <c r="G9956" s="1" t="s">
        <v>36</v>
      </c>
      <c r="H9956" s="1" t="s">
        <v>29</v>
      </c>
      <c r="I9956" s="1" t="str">
        <f ca="1">IFERROR(__xludf.DUMMYFUNCTION("GOOGLETRANSLATE(F9956, ""auto"", ""en"")
"),"The vacuum cleaner is simply excellent!!! We have never had such a powerful vacuum cleaner. It's also stylish and comfortable!")</f>
        <v>The vacuum cleaner is simply excellent!!! We have never had such a powerful vacuum cleaner. It's also stylish and comfortable!</v>
      </c>
    </row>
    <row r="9957" spans="1:9" x14ac:dyDescent="0.3">
      <c r="A9957" s="1" t="s">
        <v>43</v>
      </c>
      <c r="B9957" s="1" t="s">
        <v>4743</v>
      </c>
      <c r="C9957" s="1" t="s">
        <v>80</v>
      </c>
      <c r="D9957" s="1" t="s">
        <v>14581</v>
      </c>
      <c r="E9957" s="1" t="s">
        <v>886</v>
      </c>
      <c r="F9957" s="1" t="s">
        <v>14582</v>
      </c>
      <c r="G9957" s="1" t="s">
        <v>36</v>
      </c>
      <c r="H9957" s="1" t="s">
        <v>29</v>
      </c>
      <c r="I9957" s="1" t="str">
        <f ca="1">IFERROR(__xludf.DUMMYFUNCTION("GOOGLETRANSLATE(F9957, ""auto"", ""en"")
"),"Cools amazing. There were many more functions than indicated on the website. In general, I recommend it. For the price this is an excellent air conditioner.")</f>
        <v>Cools amazing. There were many more functions than indicated on the website. In general, I recommend it. For the price this is an excellent air conditioner.</v>
      </c>
    </row>
    <row r="9958" spans="1:9" x14ac:dyDescent="0.3">
      <c r="A9958" s="1" t="s">
        <v>149</v>
      </c>
      <c r="B9958" s="1" t="s">
        <v>576</v>
      </c>
      <c r="C9958" s="1" t="s">
        <v>151</v>
      </c>
      <c r="D9958" s="1" t="s">
        <v>166</v>
      </c>
      <c r="E9958" s="1" t="s">
        <v>229</v>
      </c>
      <c r="F9958" s="1" t="s">
        <v>14583</v>
      </c>
      <c r="G9958" s="1" t="s">
        <v>28</v>
      </c>
      <c r="H9958" s="1" t="s">
        <v>29</v>
      </c>
      <c r="I9958" s="1" t="str">
        <f ca="1">IFERROR(__xludf.DUMMYFUNCTION("GOOGLETRANSLATE(F9958, ""auto"", ""en"")
"),"We bought this vacuum cleaner so that we could quickly collect sand at the doorstep and run over the carpets in the apartment with this vacuum cleaner, there is a Thomas with an aqua filter, but by the time you collect it, and then wash it after everythin"&amp;"g and dry it, you will go crazy just to clean one carpet in the hallway. The vacuum cleaner surprised me, it’s very powerful!!! True, I lowered the rating for noise; I’m already unaccustomed to such buzzing equipment.")</f>
        <v>We bought this vacuum cleaner so that we could quickly collect sand at the doorstep and run over the carpets in the apartment with this vacuum cleaner, there is a Thomas with an aqua filter, but by the time you collect it, and then wash it after everything and dry it, you will go crazy just to clean one carpet in the hallway. The vacuum cleaner surprised me, it’s very powerful!!! True, I lowered the rating for noise; I’m already unaccustomed to such buzzing equipment.</v>
      </c>
    </row>
    <row r="9959" spans="1:9" x14ac:dyDescent="0.3">
      <c r="A9959" s="1" t="s">
        <v>55</v>
      </c>
      <c r="B9959" s="1" t="s">
        <v>56</v>
      </c>
      <c r="C9959" s="1" t="s">
        <v>3651</v>
      </c>
      <c r="D9959" s="1" t="s">
        <v>75</v>
      </c>
      <c r="E9959" s="1" t="s">
        <v>248</v>
      </c>
      <c r="F9959" s="1" t="s">
        <v>14584</v>
      </c>
      <c r="G9959" s="1" t="s">
        <v>36</v>
      </c>
      <c r="H9959" s="1" t="s">
        <v>29</v>
      </c>
      <c r="I9959" s="1" t="str">
        <f ca="1">IFERROR(__xludf.DUMMYFUNCTION("GOOGLETRANSLATE(F9959, ""auto"", ""en"")
"),"Excellent humidifier!!! It works very quietly, there are many modes, it is clearly easier to breathe in the room, in the morning there is no stuffiness or crusts in the nose. Guests immediately noticed that the air in the room became more pleasant! + nice"&amp;" design! We recommend it to everyone")</f>
        <v>Excellent humidifier!!! It works very quietly, there are many modes, it is clearly easier to breathe in the room, in the morning there is no stuffiness or crusts in the nose. Guests immediately noticed that the air in the room became more pleasant! + nice design! We recommend it to everyone</v>
      </c>
    </row>
    <row r="9960" spans="1:9" x14ac:dyDescent="0.3">
      <c r="A9960" s="1" t="s">
        <v>30</v>
      </c>
      <c r="B9960" s="1" t="s">
        <v>50</v>
      </c>
      <c r="C9960" s="1" t="s">
        <v>1003</v>
      </c>
      <c r="D9960" s="1" t="s">
        <v>152</v>
      </c>
      <c r="E9960" s="1" t="s">
        <v>794</v>
      </c>
      <c r="F9960" s="1" t="s">
        <v>14585</v>
      </c>
      <c r="G9960" s="1" t="s">
        <v>36</v>
      </c>
      <c r="H9960" s="1" t="s">
        <v>29</v>
      </c>
      <c r="I9960" s="1" t="str">
        <f ca="1">IFERROR(__xludf.DUMMYFUNCTION("GOOGLETRANSLATE(F9960, ""auto"", ""en"")
"),"A little lower I already wrote my short report (the laptop is simply class in its price category), and secondly, my friend is returning his third laptop to the store and the price of his purchases is at least 40,000 rubles. What I mean is that any manufac"&amp;"turer has defects. So if anyone has not yet bought this model, I highly recommend it, and if your hands grow from that place, then the beech will work fine.  P.S. I sympathize with those who received a defective product, but this does not mean that HP, wh"&amp;"ich has been producing bullshit on the market since 1935, and someone else here wrote that there are cracks, etc. on the beech, but where did you look, dear, when you bought from me, let’s say there are no cracks.")</f>
        <v>A little lower I already wrote my short report (the laptop is simply class in its price category), and secondly, my friend is returning his third laptop to the store and the price of his purchases is at least 40,000 rubles. What I mean is that any manufacturer has defects. So if anyone has not yet bought this model, I highly recommend it, and if your hands grow from that place, then the beech will work fine.  P.S. I sympathize with those who received a defective product, but this does not mean that HP, which has been producing bullshit on the market since 1935, and someone else here wrote that there are cracks, etc. on the beech, but where did you look, dear, when you bought from me, let’s say there are no cracks.</v>
      </c>
    </row>
    <row r="9961" spans="1:9" x14ac:dyDescent="0.3">
      <c r="A9961" s="1" t="s">
        <v>61</v>
      </c>
      <c r="B9961" s="1" t="s">
        <v>318</v>
      </c>
      <c r="C9961" s="1" t="s">
        <v>146</v>
      </c>
      <c r="D9961" s="1" t="s">
        <v>14586</v>
      </c>
      <c r="E9961" s="1" t="s">
        <v>1290</v>
      </c>
      <c r="F9961" s="1" t="s">
        <v>14587</v>
      </c>
      <c r="G9961" s="1" t="s">
        <v>36</v>
      </c>
      <c r="H9961" s="1" t="s">
        <v>29</v>
      </c>
      <c r="I9961" s="1" t="str">
        <f ca="1">IFERROR(__xludf.DUMMYFUNCTION("GOOGLETRANSLATE(F9961, ""auto"", ""en"")
"),"I have owned this kettle for 6 years now, not a single complaint.  He helped out wherever possible.  Light weight and size - for one cup.")</f>
        <v>I have owned this kettle for 6 years now, not a single complaint.  He helped out wherever possible.  Light weight and size - for one cup.</v>
      </c>
    </row>
    <row r="9962" spans="1:9" x14ac:dyDescent="0.3">
      <c r="A9962" s="1" t="s">
        <v>149</v>
      </c>
      <c r="B9962" s="1" t="s">
        <v>576</v>
      </c>
      <c r="C9962" s="1" t="s">
        <v>85</v>
      </c>
      <c r="D9962" s="1" t="s">
        <v>203</v>
      </c>
      <c r="E9962" s="1" t="s">
        <v>846</v>
      </c>
      <c r="F9962" s="1" t="s">
        <v>14588</v>
      </c>
      <c r="G9962" s="1" t="s">
        <v>28</v>
      </c>
      <c r="H9962" s="1" t="s">
        <v>29</v>
      </c>
      <c r="I9962" s="1" t="str">
        <f ca="1">IFERROR(__xludf.DUMMYFUNCTION("GOOGLETRANSLATE(F9962, ""auto"", ""en"")
"),"Menalux 5100 dust collectors are suitable for the vacuum cleaner - the long side of the holder exactly matches the seat of the vacuum cleaner, although the bag is larger in size, when used for the first time it occupies the entire volume of the compartmen"&amp;"t, and no problems arise. Plus, the power of a vacuum cleaner with a fabric dust collector is higher than with a container.")</f>
        <v>Menalux 5100 dust collectors are suitable for the vacuum cleaner - the long side of the holder exactly matches the seat of the vacuum cleaner, although the bag is larger in size, when used for the first time it occupies the entire volume of the compartment, and no problems arise. Plus, the power of a vacuum cleaner with a fabric dust collector is higher than with a container.</v>
      </c>
    </row>
    <row r="9963" spans="1:9" x14ac:dyDescent="0.3">
      <c r="A9963" s="1" t="s">
        <v>211</v>
      </c>
      <c r="B9963" s="1" t="s">
        <v>899</v>
      </c>
      <c r="C9963" s="1" t="s">
        <v>213</v>
      </c>
      <c r="D9963" s="1" t="s">
        <v>327</v>
      </c>
      <c r="E9963" s="1" t="s">
        <v>6113</v>
      </c>
      <c r="F9963" s="1" t="s">
        <v>14589</v>
      </c>
      <c r="G9963" s="1" t="s">
        <v>36</v>
      </c>
      <c r="H9963" s="1" t="s">
        <v>29</v>
      </c>
      <c r="I9963" s="1" t="str">
        <f ca="1">IFERROR(__xludf.DUMMYFUNCTION("GOOGLETRANSLATE(F9963, ""auto"", ""en"")
"),"The whole family (4 people) used it for almost 3 years.")</f>
        <v>The whole family (4 people) used it for almost 3 years.</v>
      </c>
    </row>
    <row r="9964" spans="1:9" x14ac:dyDescent="0.3">
      <c r="A9964" s="1" t="s">
        <v>238</v>
      </c>
      <c r="B9964" s="1" t="s">
        <v>276</v>
      </c>
      <c r="C9964" s="1" t="s">
        <v>1677</v>
      </c>
      <c r="D9964" s="1" t="s">
        <v>14590</v>
      </c>
      <c r="E9964" s="1" t="s">
        <v>14591</v>
      </c>
      <c r="F9964" s="1" t="s">
        <v>14592</v>
      </c>
      <c r="G9964" s="1" t="s">
        <v>28</v>
      </c>
      <c r="H9964" s="1" t="s">
        <v>29</v>
      </c>
      <c r="I9964" s="1" t="str">
        <f ca="1">IFERROR(__xludf.DUMMYFUNCTION("GOOGLETRANSLATE(F9964, ""auto"", ""en"")
"),"-I've been using it for a month!  -I liked it and bought it, it doesn’t fit into ordinary doorways (entrance and apartment) because... the thinnest side is 72 cm, I had to remove the doors and digital display after removing 64-65 cm (easy to take off and "&amp;"put on).   -The noise level is like a system unit (computer), a little quieter.   -Type of lighting - pleasing at night.   -It seems to be good for everyone... the most important thing is to take into account its overall dimensions so as not to get into a"&amp;"n uncomfortable situation.")</f>
        <v>-I've been using it for a month!  -I liked it and bought it, it doesn’t fit into ordinary doorways (entrance and apartment) because... the thinnest side is 72 cm, I had to remove the doors and digital display after removing 64-65 cm (easy to take off and put on).   -The noise level is like a system unit (computer), a little quieter.   -Type of lighting - pleasing at night.   -It seems to be good for everyone... the most important thing is to take into account its overall dimensions so as not to get into an uncomfortable situation.</v>
      </c>
    </row>
    <row r="9965" spans="1:9" x14ac:dyDescent="0.3">
      <c r="A9965" s="1" t="s">
        <v>89</v>
      </c>
      <c r="B9965" s="1" t="s">
        <v>231</v>
      </c>
      <c r="C9965" s="1" t="s">
        <v>185</v>
      </c>
      <c r="D9965" s="1" t="s">
        <v>366</v>
      </c>
      <c r="E9965" s="1" t="s">
        <v>569</v>
      </c>
      <c r="F9965" s="1" t="s">
        <v>14593</v>
      </c>
      <c r="G9965" s="1" t="s">
        <v>36</v>
      </c>
      <c r="H9965" s="1" t="s">
        <v>29</v>
      </c>
      <c r="I9965" s="1" t="str">
        <f ca="1">IFERROR(__xludf.DUMMYFUNCTION("GOOGLETRANSLATE(F9965, ""auto"", ""en"")
"),"The machine, in general, is very good: both the speed of operation and the control principle are all great. One significant (or not very significant, if you don’t bother anyone with it) minus is the noise... It rumbles painfully when it lets water through"&amp;". Overall, very good for the money.")</f>
        <v>The machine, in general, is very good: both the speed of operation and the control principle are all great. One significant (or not very significant, if you don’t bother anyone with it) minus is the noise... It rumbles painfully when it lets water through. Overall, very good for the money.</v>
      </c>
    </row>
    <row r="9966" spans="1:9" x14ac:dyDescent="0.3">
      <c r="A9966" s="1" t="s">
        <v>37</v>
      </c>
      <c r="B9966" s="1" t="s">
        <v>1829</v>
      </c>
      <c r="C9966" s="1" t="s">
        <v>151</v>
      </c>
      <c r="D9966" s="1" t="s">
        <v>232</v>
      </c>
      <c r="E9966" s="1" t="s">
        <v>1759</v>
      </c>
      <c r="F9966" s="1" t="s">
        <v>14594</v>
      </c>
      <c r="G9966" s="1" t="s">
        <v>15</v>
      </c>
      <c r="H9966" s="1" t="s">
        <v>16</v>
      </c>
      <c r="I9966" s="1" t="str">
        <f ca="1">IFERROR(__xludf.DUMMYFUNCTION("GOOGLETRANSLATE(F9966, ""auto"", ""en"")
"),"I have been using the device since September. The advantages are a remote control (very convenient), a large screen, a microSD slot, microUSB charging (easy to find, and the battery runs out very quickly). Of the minuses, it gets very hot when starting si"&amp;"mple games, and sometimes it’s stupid because you’re surfing the Internet, it burns out microSD cards (I’ve already thrown out 2), VKontakte doesn’t send messages, can only be treated by turning off/on the Internet (and even then not always), slippery, th"&amp;"e quality of the case is low, in the first month there are already 3 chips, the Samsung inscription on the back cover fell off in 2 months, when you talk on the phone the sound of the speaker reverberates into your finger, the camera doesn’t It takes terr"&amp;"ible pictures in a dimly lit room, in my opinion it doesn’t justify its cost.")</f>
        <v>I have been using the device since September. The advantages are a remote control (very convenient), a large screen, a microSD slot, microUSB charging (easy to find, and the battery runs out very quickly). Of the minuses, it gets very hot when starting simple games, and sometimes it’s stupid because you’re surfing the Internet, it burns out microSD cards (I’ve already thrown out 2), VKontakte doesn’t send messages, can only be treated by turning off/on the Internet (and even then not always), slippery, the quality of the case is low, in the first month there are already 3 chips, the Samsung inscription on the back cover fell off in 2 months, when you talk on the phone the sound of the speaker reverberates into your finger, the camera doesn’t It takes terrible pictures in a dimly lit room, in my opinion it doesn’t justify its cost.</v>
      </c>
    </row>
    <row r="9967" spans="1:9" x14ac:dyDescent="0.3">
      <c r="A9967" s="1" t="s">
        <v>89</v>
      </c>
      <c r="B9967" s="1" t="s">
        <v>231</v>
      </c>
      <c r="C9967" s="1" t="s">
        <v>185</v>
      </c>
      <c r="D9967" s="1" t="s">
        <v>117</v>
      </c>
      <c r="E9967" s="1" t="s">
        <v>13798</v>
      </c>
      <c r="F9967" s="1" t="s">
        <v>14595</v>
      </c>
      <c r="G9967" s="1" t="s">
        <v>49</v>
      </c>
      <c r="H9967" s="1" t="s">
        <v>16</v>
      </c>
      <c r="I9967" s="1" t="str">
        <f ca="1">IFERROR(__xludf.DUMMYFUNCTION("GOOGLETRANSLATE(F9967, ""auto"", ""en"")
"),"The other day I was given this coffee maker as a gift, I can’t call it a coffee machine! The espresso is prepared as in a drip coffee maker, the coffee grinder grinds poorly, the grind turns out coarse, no matter how you change the settings. I don't recom"&amp;"mend it")</f>
        <v>The other day I was given this coffee maker as a gift, I can’t call it a coffee machine! The espresso is prepared as in a drip coffee maker, the coffee grinder grinds poorly, the grind turns out coarse, no matter how you change the settings. I don't recommend it</v>
      </c>
    </row>
    <row r="9968" spans="1:9" x14ac:dyDescent="0.3">
      <c r="A9968" s="1" t="s">
        <v>43</v>
      </c>
      <c r="B9968" s="1" t="s">
        <v>44</v>
      </c>
      <c r="C9968" s="1" t="s">
        <v>101</v>
      </c>
      <c r="D9968" s="1" t="s">
        <v>75</v>
      </c>
      <c r="E9968" s="1" t="s">
        <v>2981</v>
      </c>
      <c r="F9968" s="1" t="s">
        <v>14596</v>
      </c>
      <c r="G9968" s="1" t="s">
        <v>36</v>
      </c>
      <c r="H9968" s="1" t="s">
        <v>29</v>
      </c>
      <c r="I9968" s="1" t="str">
        <f ca="1">IFERROR(__xludf.DUMMYFUNCTION("GOOGLETRANSLATE(F9968, ""auto"", ""en"")
"),"Powerful")</f>
        <v>Powerful</v>
      </c>
    </row>
    <row r="9969" spans="1:9" x14ac:dyDescent="0.3">
      <c r="A9969" s="1" t="s">
        <v>373</v>
      </c>
      <c r="B9969" s="1" t="s">
        <v>374</v>
      </c>
      <c r="C9969" s="1" t="s">
        <v>19</v>
      </c>
      <c r="D9969" s="1" t="s">
        <v>565</v>
      </c>
      <c r="E9969" s="1" t="s">
        <v>14597</v>
      </c>
      <c r="F9969" s="1" t="s">
        <v>14598</v>
      </c>
      <c r="G9969" s="1" t="s">
        <v>36</v>
      </c>
      <c r="H9969" s="1" t="s">
        <v>29</v>
      </c>
      <c r="I9969" s="1" t="str">
        <f ca="1">IFERROR(__xludf.DUMMYFUNCTION("GOOGLETRANSLATE(F9969, ""auto"", ""en"")
"),"We've been using it for a month, it washes quite well and is almost silent. The machine is easy to use. At first, using whole tablets, we noticed that foam remained at the bottom of the machine even after a long cycle. Now we divide one tablet into 2 time"&amp;"s and the problem has disappeared. Most often we use cycle No. 2 (normal washing - also suitable for pots and pans) and No. 5 (eco-washing). One small drawback is that the utensil holders in the lower basket do not fold, making it difficult to organize th"&amp;"e utensils. We recommend.")</f>
        <v>We've been using it for a month, it washes quite well and is almost silent. The machine is easy to use. At first, using whole tablets, we noticed that foam remained at the bottom of the machine even after a long cycle. Now we divide one tablet into 2 times and the problem has disappeared. Most often we use cycle No. 2 (normal washing - also suitable for pots and pans) and No. 5 (eco-washing). One small drawback is that the utensil holders in the lower basket do not fold, making it difficult to organize the utensils. We recommend.</v>
      </c>
    </row>
    <row r="9970" spans="1:9" x14ac:dyDescent="0.3">
      <c r="A9970" s="1" t="s">
        <v>369</v>
      </c>
      <c r="B9970" s="1" t="s">
        <v>587</v>
      </c>
      <c r="C9970" s="1" t="s">
        <v>290</v>
      </c>
      <c r="D9970" s="1" t="s">
        <v>280</v>
      </c>
      <c r="E9970" s="1" t="s">
        <v>14599</v>
      </c>
      <c r="F9970" s="1" t="s">
        <v>14600</v>
      </c>
      <c r="G9970" s="1" t="s">
        <v>28</v>
      </c>
      <c r="H9970" s="1" t="s">
        <v>29</v>
      </c>
      <c r="I9970" s="1" t="str">
        <f ca="1">IFERROR(__xludf.DUMMYFUNCTION("GOOGLETRANSLATE(F9970, ""auto"", ""en"")
"),"It’s a good stove, everything works well - clock, timers, auto-ignition, burners, backlight. There are even spare nozzles included. Looks good, stainless steel (protected with stickers), well assembled, smooth. However, there are minor design flaws - the "&amp;"power button and gas regulators are slightly playful, the trays and the accessory box come out with a creaking and squealing sound. When compared to cars, this is a Chevrolet compared to a Mercedes. The price tag is already adult, and the shortcomings are"&amp;" present and not in single quantities. Overall a good thing, but there is something to complain about.")</f>
        <v>It’s a good stove, everything works well - clock, timers, auto-ignition, burners, backlight. There are even spare nozzles included. Looks good, stainless steel (protected with stickers), well assembled, smooth. However, there are minor design flaws - the power button and gas regulators are slightly playful, the trays and the accessory box come out with a creaking and squealing sound. When compared to cars, this is a Chevrolet compared to a Mercedes. The price tag is already adult, and the shortcomings are present and not in single quantities. Overall a good thing, but there is something to complain about.</v>
      </c>
    </row>
    <row r="9971" spans="1:9" x14ac:dyDescent="0.3">
      <c r="A9971" s="1" t="s">
        <v>61</v>
      </c>
      <c r="B9971" s="1" t="s">
        <v>977</v>
      </c>
      <c r="C9971" s="1" t="s">
        <v>85</v>
      </c>
      <c r="D9971" s="1" t="s">
        <v>13968</v>
      </c>
      <c r="E9971" s="1" t="s">
        <v>14601</v>
      </c>
      <c r="F9971" s="1" t="s">
        <v>14602</v>
      </c>
      <c r="G9971" s="1" t="s">
        <v>36</v>
      </c>
      <c r="H9971" s="1" t="s">
        <v>29</v>
      </c>
      <c r="I9971" s="1" t="str">
        <f ca="1">IFERROR(__xludf.DUMMYFUNCTION("GOOGLETRANSLATE(F9971, ""auto"", ""en"")
"),"Only Bork B800 blender, and only that! I recommend it to everyone! An indispensable assistant for any housewife - crush ice, chop meat, prepare amazing cocktails and purees - she will do everything in the best possible way! A spacious 2-liter jug, very li"&amp;"ght, high-quality knives - easily chops even frozen foods. The speed modes are illuminated, the design is magnificent - your friends will be jealous!")</f>
        <v>Only Bork B800 blender, and only that! I recommend it to everyone! An indispensable assistant for any housewife - crush ice, chop meat, prepare amazing cocktails and purees - she will do everything in the best possible way! A spacious 2-liter jug, very light, high-quality knives - easily chops even frozen foods. The speed modes are illuminated, the design is magnificent - your friends will be jealous!</v>
      </c>
    </row>
    <row r="9972" spans="1:9" x14ac:dyDescent="0.3">
      <c r="A9972" s="1" t="s">
        <v>477</v>
      </c>
      <c r="B9972" s="1" t="s">
        <v>478</v>
      </c>
      <c r="C9972" s="1" t="s">
        <v>479</v>
      </c>
      <c r="D9972" s="1" t="s">
        <v>39</v>
      </c>
      <c r="E9972" s="1" t="s">
        <v>1639</v>
      </c>
      <c r="F9972" s="1" t="s">
        <v>14603</v>
      </c>
      <c r="G9972" s="1" t="s">
        <v>36</v>
      </c>
      <c r="H9972" s="1" t="s">
        <v>29</v>
      </c>
      <c r="I9972" s="1" t="str">
        <f ca="1">IFERROR(__xludf.DUMMYFUNCTION("GOOGLETRANSLATE(F9972, ""auto"", ""en"")
"),"The game is excellent, much better than PES 11 I RECOMMEND IT TO EVERYONE AND PES 11 IS COMPLETE BULLSHIT")</f>
        <v>The game is excellent, much better than PES 11 I RECOMMEND IT TO EVERYONE AND PES 11 IS COMPLETE BULLSHIT</v>
      </c>
    </row>
    <row r="9973" spans="1:9" x14ac:dyDescent="0.3">
      <c r="A9973" s="1" t="s">
        <v>61</v>
      </c>
      <c r="B9973" s="1" t="s">
        <v>180</v>
      </c>
      <c r="C9973" s="1" t="s">
        <v>63</v>
      </c>
      <c r="D9973" s="1" t="s">
        <v>5104</v>
      </c>
      <c r="E9973" s="1" t="s">
        <v>3323</v>
      </c>
      <c r="F9973" s="1" t="s">
        <v>14604</v>
      </c>
      <c r="G9973" s="1" t="s">
        <v>28</v>
      </c>
      <c r="H9973" s="1" t="s">
        <v>29</v>
      </c>
      <c r="I9973" s="1" t="str">
        <f ca="1">IFERROR(__xludf.DUMMYFUNCTION("GOOGLETRANSLATE(F9973, ""auto"", ""en"")
"),"I read all the reviews and realized - it all depends on the bread! I really like the toaster! And in reality, some things don’t fry even at 6, but some burn at 3. You just have to adapt to different breads. And he heats up croissants beautifully!")</f>
        <v>I read all the reviews and realized - it all depends on the bread! I really like the toaster! And in reality, some things don’t fry even at 6, but some burn at 3. You just have to adapt to different breads. And he heats up croissants beautifully!</v>
      </c>
    </row>
    <row r="9974" spans="1:9" x14ac:dyDescent="0.3">
      <c r="A9974" s="1" t="s">
        <v>373</v>
      </c>
      <c r="B9974" s="1" t="s">
        <v>374</v>
      </c>
      <c r="C9974" s="1" t="s">
        <v>243</v>
      </c>
      <c r="D9974" s="1" t="s">
        <v>14605</v>
      </c>
      <c r="E9974" s="1" t="s">
        <v>631</v>
      </c>
      <c r="F9974" s="1" t="s">
        <v>14606</v>
      </c>
      <c r="G9974" s="1" t="s">
        <v>28</v>
      </c>
      <c r="H9974" s="1" t="s">
        <v>29</v>
      </c>
      <c r="I9974" s="1" t="str">
        <f ca="1">IFERROR(__xludf.DUMMYFUNCTION("GOOGLETRANSLATE(F9974, ""auto"", ""en"")
"),"I bought this model solely because of the good reviews, despite the fact that the sellers themselves did not recommend it, but sold that it was an order of magnitude more expensive: elektrolux and bosch, you would think for the price, how much they cost, "&amp;"they have a gold drum.  The main thing that is required from a dishwasher is that it cleans well. This model washes well both in the quick wash and in the other two. And no more programs are required. The first time it washes off almost all the fat from t"&amp;"he outer parts of pots. It cleans pans and baking trays well. After washing, the dishes are clean, dry and streak-free. What else do you need?  If you don’t want to overpay for a brand and unnecessary bells and whistles, buy Indesit.    Disadvantages: I w"&amp;"ould, of course, like it to work more quietly, but I just close the door to the kitchen at this time.")</f>
        <v>I bought this model solely because of the good reviews, despite the fact that the sellers themselves did not recommend it, but sold that it was an order of magnitude more expensive: elektrolux and bosch, you would think for the price, how much they cost, they have a gold drum.  The main thing that is required from a dishwasher is that it cleans well. This model washes well both in the quick wash and in the other two. And no more programs are required. The first time it washes off almost all the fat from the outer parts of pots. It cleans pans and baking trays well. After washing, the dishes are clean, dry and streak-free. What else do you need?  If you don’t want to overpay for a brand and unnecessary bells and whistles, buy Indesit.    Disadvantages: I would, of course, like it to work more quietly, but I just close the door to the kitchen at this time.</v>
      </c>
    </row>
    <row r="9975" spans="1:9" x14ac:dyDescent="0.3">
      <c r="A9975" s="1" t="s">
        <v>9</v>
      </c>
      <c r="B9975" s="1" t="s">
        <v>133</v>
      </c>
      <c r="C9975" s="1" t="s">
        <v>466</v>
      </c>
      <c r="D9975" s="1" t="s">
        <v>545</v>
      </c>
      <c r="E9975" s="1" t="s">
        <v>14607</v>
      </c>
      <c r="F9975" s="1" t="s">
        <v>14608</v>
      </c>
      <c r="G9975" s="1" t="s">
        <v>36</v>
      </c>
      <c r="H9975" s="1" t="s">
        <v>29</v>
      </c>
      <c r="I9975" s="1" t="str">
        <f ca="1">IFERROR(__xludf.DUMMYFUNCTION("GOOGLETRANSLATE(F9975, ""auto"", ""en"")
"),"I really like this oven. Everything is baked well, and really from all sides. It is very convenient to light with electric ignition.")</f>
        <v>I really like this oven. Everything is baked well, and really from all sides. It is very convenient to light with electric ignition.</v>
      </c>
    </row>
    <row r="9976" spans="1:9" x14ac:dyDescent="0.3">
      <c r="A9976" s="1" t="s">
        <v>17</v>
      </c>
      <c r="B9976" s="1" t="s">
        <v>325</v>
      </c>
      <c r="C9976" s="1" t="s">
        <v>326</v>
      </c>
      <c r="D9976" s="1" t="s">
        <v>81</v>
      </c>
      <c r="E9976" s="1" t="s">
        <v>6442</v>
      </c>
      <c r="F9976" s="1" t="s">
        <v>14609</v>
      </c>
      <c r="G9976" s="1" t="s">
        <v>49</v>
      </c>
      <c r="H9976" s="1" t="s">
        <v>16</v>
      </c>
      <c r="I9976" s="1" t="str">
        <f ca="1">IFERROR(__xludf.DUMMYFUNCTION("GOOGLETRANSLATE(F9976, ""auto"", ""en"")
"),"The engine died after two months; it was not washed for more than 1 hour.")</f>
        <v>The engine died after two months; it was not washed for more than 1 hour.</v>
      </c>
    </row>
    <row r="9977" spans="1:9" x14ac:dyDescent="0.3">
      <c r="A9977" s="1" t="s">
        <v>61</v>
      </c>
      <c r="B9977" s="1" t="s">
        <v>318</v>
      </c>
      <c r="C9977" s="1" t="s">
        <v>57</v>
      </c>
      <c r="D9977" s="1" t="s">
        <v>152</v>
      </c>
      <c r="E9977" s="1" t="s">
        <v>998</v>
      </c>
      <c r="F9977" s="1" t="s">
        <v>14610</v>
      </c>
      <c r="G9977" s="1" t="s">
        <v>49</v>
      </c>
      <c r="H9977" s="1" t="s">
        <v>16</v>
      </c>
      <c r="I9977" s="1" t="str">
        <f ca="1">IFERROR(__xludf.DUMMYFUNCTION("GOOGLETRANSLATE(F9977, ""auto"", ""en"")
"),"A year of operation has begun!")</f>
        <v>A year of operation has begun!</v>
      </c>
    </row>
    <row r="9978" spans="1:9" x14ac:dyDescent="0.3">
      <c r="A9978" s="1" t="s">
        <v>149</v>
      </c>
      <c r="B9978" s="1" t="s">
        <v>423</v>
      </c>
      <c r="C9978" s="1" t="s">
        <v>424</v>
      </c>
      <c r="D9978" s="1" t="s">
        <v>1613</v>
      </c>
      <c r="E9978" s="1" t="s">
        <v>3044</v>
      </c>
      <c r="F9978" s="1" t="s">
        <v>14611</v>
      </c>
      <c r="G9978" s="1" t="s">
        <v>49</v>
      </c>
      <c r="H9978" s="1" t="s">
        <v>16</v>
      </c>
      <c r="I9978" s="1" t="str">
        <f ca="1">IFERROR(__xludf.DUMMYFUNCTION("GOOGLETRANSLATE(F9978, ""auto"", ""en"")
"),"This vacuum cleaner is a complete mess, what I don’t like most about it: 1. the fact that the water tubes are attached to a telescopic tube, this is very inconvenient;  2. the power cord does not retract; it must be wrapped around the vacuum cleaner;  3. "&amp;"very noisy;  4. It’s very inconvenient to wash it; by the time you wash the vacuum cleaner itself, the bathtub needs cleaning again.  I do not advise anyone to buy this vacuum cleaner, it is a very inconvenient thing!")</f>
        <v>This vacuum cleaner is a complete mess, what I don’t like most about it: 1. the fact that the water tubes are attached to a telescopic tube, this is very inconvenient;  2. the power cord does not retract; it must be wrapped around the vacuum cleaner;  3. very noisy;  4. It’s very inconvenient to wash it; by the time you wash the vacuum cleaner itself, the bathtub needs cleaning again.  I do not advise anyone to buy this vacuum cleaner, it is a very inconvenient thing!</v>
      </c>
    </row>
    <row r="9979" spans="1:9" x14ac:dyDescent="0.3">
      <c r="A9979" s="1" t="s">
        <v>17</v>
      </c>
      <c r="B9979" s="1" t="s">
        <v>18</v>
      </c>
      <c r="C9979" s="1" t="s">
        <v>243</v>
      </c>
      <c r="D9979" s="1" t="s">
        <v>589</v>
      </c>
      <c r="E9979" s="1" t="s">
        <v>2118</v>
      </c>
      <c r="F9979" s="1" t="s">
        <v>14612</v>
      </c>
      <c r="G9979" s="1" t="s">
        <v>15</v>
      </c>
      <c r="H9979" s="1" t="s">
        <v>16</v>
      </c>
      <c r="I9979" s="1" t="str">
        <f ca="1">IFERROR(__xludf.DUMMYFUNCTION("GOOGLETRANSLATE(F9979, ""auto"", ""en"")
"),"We bought this machine exactly three years ago. Everything has been washed, it slows down completely, all the buttons blink and stands still, with water and laundry!")</f>
        <v>We bought this machine exactly three years ago. Everything has been washed, it slows down completely, all the buttons blink and stands still, with water and laundry!</v>
      </c>
    </row>
    <row r="9980" spans="1:9" x14ac:dyDescent="0.3">
      <c r="A9980" s="1" t="s">
        <v>61</v>
      </c>
      <c r="B9980" s="1" t="s">
        <v>145</v>
      </c>
      <c r="C9980" s="1" t="s">
        <v>57</v>
      </c>
      <c r="D9980" s="1" t="s">
        <v>2412</v>
      </c>
      <c r="E9980" s="1" t="s">
        <v>14613</v>
      </c>
      <c r="F9980" s="1" t="s">
        <v>14614</v>
      </c>
      <c r="G9980" s="1" t="s">
        <v>36</v>
      </c>
      <c r="H9980" s="1" t="s">
        <v>29</v>
      </c>
      <c r="I9980" s="1" t="str">
        <f ca="1">IFERROR(__xludf.DUMMYFUNCTION("GOOGLETRANSLATE(F9980, ""auto"", ""en"")
"),"Pros: We’ve made fries and fondue many times already, everything turns out delicious and fast. You don't need a lot of oil when making fries. Cons: 1) the bowl is not very convenient for washing; 2) a fairly short power cord (0.9 m). Since fondue must be "&amp;"constantly heated during the preparation and consumption process, an outlet is needed right next to the table, however, an electric extension cord solves this problem. Bottom line: a good thing for the price")</f>
        <v>Pros: We’ve made fries and fondue many times already, everything turns out delicious and fast. You don't need a lot of oil when making fries. Cons: 1) the bowl is not very convenient for washing; 2) a fairly short power cord (0.9 m). Since fondue must be constantly heated during the preparation and consumption process, an outlet is needed right next to the table, however, an electric extension cord solves this problem. Bottom line: a good thing for the price</v>
      </c>
    </row>
    <row r="9981" spans="1:9" x14ac:dyDescent="0.3">
      <c r="A9981" s="1" t="s">
        <v>61</v>
      </c>
      <c r="B9981" s="1" t="s">
        <v>224</v>
      </c>
      <c r="C9981" s="1" t="s">
        <v>101</v>
      </c>
      <c r="D9981" s="1" t="s">
        <v>471</v>
      </c>
      <c r="E9981" s="1" t="s">
        <v>5303</v>
      </c>
      <c r="F9981" s="1" t="s">
        <v>14615</v>
      </c>
      <c r="G9981" s="1" t="s">
        <v>36</v>
      </c>
      <c r="H9981" s="1" t="s">
        <v>29</v>
      </c>
      <c r="I9981" s="1" t="str">
        <f ca="1">IFERROR(__xludf.DUMMYFUNCTION("GOOGLETRANSLATE(F9981, ""auto"", ""en"")
"),"This juicer is not just high-quality, but ideal, considering its cost. I squeezed ten or more kilograms of apples in it during the autumn season for canning and it not only withstood everything, but also remained as good as new.")</f>
        <v>This juicer is not just high-quality, but ideal, considering its cost. I squeezed ten or more kilograms of apples in it during the autumn season for canning and it not only withstood everything, but also remained as good as new.</v>
      </c>
    </row>
    <row r="9982" spans="1:9" x14ac:dyDescent="0.3">
      <c r="A9982" s="1" t="s">
        <v>55</v>
      </c>
      <c r="B9982" s="1" t="s">
        <v>56</v>
      </c>
      <c r="C9982" s="1" t="s">
        <v>159</v>
      </c>
      <c r="D9982" s="1" t="s">
        <v>39</v>
      </c>
      <c r="E9982" s="1" t="s">
        <v>777</v>
      </c>
      <c r="F9982" s="1" t="s">
        <v>14616</v>
      </c>
      <c r="G9982" s="1" t="s">
        <v>36</v>
      </c>
      <c r="H9982" s="1" t="s">
        <v>29</v>
      </c>
      <c r="I9982" s="1" t="str">
        <f ca="1">IFERROR(__xludf.DUMMYFUNCTION("GOOGLETRANSLATE(F9982, ""auto"", ""en"")
"),"I bought it recently, however, I was already able to experience all the delights of this model.  ELECTROLUX is a brand with a capital letter, I have been convinced for a long time. Of the minuses - it’s a pity that there is no thermometer.   Very nice des"&amp;"ign.")</f>
        <v>I bought it recently, however, I was already able to experience all the delights of this model.  ELECTROLUX is a brand with a capital letter, I have been convinced for a long time. Of the minuses - it’s a pity that there is no thermometer.   Very nice design.</v>
      </c>
    </row>
    <row r="9983" spans="1:9" x14ac:dyDescent="0.3">
      <c r="A9983" s="1" t="s">
        <v>149</v>
      </c>
      <c r="B9983" s="1" t="s">
        <v>155</v>
      </c>
      <c r="C9983" s="1" t="s">
        <v>63</v>
      </c>
      <c r="D9983" s="1" t="s">
        <v>171</v>
      </c>
      <c r="E9983" s="1" t="s">
        <v>532</v>
      </c>
      <c r="F9983" s="1" t="s">
        <v>14617</v>
      </c>
      <c r="G9983" s="1" t="s">
        <v>28</v>
      </c>
      <c r="H9983" s="1" t="s">
        <v>29</v>
      </c>
      <c r="I9983" s="1" t="str">
        <f ca="1">IFERROR(__xludf.DUMMYFUNCTION("GOOGLETRANSLATE(F9983, ""auto"", ""en"")
"),"The model, in general, is not bad. When we bought it, we wanted a vacuum cleaner with a container for collecting dust, and not with bags. In practice, everything turned out the other way around: for normal cleaning with a container, you have to set the po"&amp;"wer regulator to maximum, but when using bags, half the power is enough. We use bags to collect dust.  It is very difficult to find a HEPA filter H12 (replaceable) in M. Video stores. For six months now, everyone has been saying that “they existed, but th"&amp;"ey ended.” I will contact the Bosch service center.")</f>
        <v>The model, in general, is not bad. When we bought it, we wanted a vacuum cleaner with a container for collecting dust, and not with bags. In practice, everything turned out the other way around: for normal cleaning with a container, you have to set the power regulator to maximum, but when using bags, half the power is enough. We use bags to collect dust.  It is very difficult to find a HEPA filter H12 (replaceable) in M. Video stores. For six months now, everyone has been saying that “they existed, but they ended.” I will contact the Bosch service center.</v>
      </c>
    </row>
    <row r="9984" spans="1:9" x14ac:dyDescent="0.3">
      <c r="A9984" s="1" t="s">
        <v>61</v>
      </c>
      <c r="B9984" s="1" t="s">
        <v>180</v>
      </c>
      <c r="C9984" s="1" t="s">
        <v>85</v>
      </c>
      <c r="D9984" s="1" t="s">
        <v>75</v>
      </c>
      <c r="E9984" s="1" t="s">
        <v>1203</v>
      </c>
      <c r="F9984" s="1" t="s">
        <v>14618</v>
      </c>
      <c r="G9984" s="1" t="s">
        <v>36</v>
      </c>
      <c r="H9984" s="1" t="s">
        <v>29</v>
      </c>
      <c r="I9984" s="1" t="str">
        <f ca="1">IFERROR(__xludf.DUMMYFUNCTION("GOOGLETRANSLATE(F9984, ""auto"", ""en"")
"),"I’ve been using it for about five years now, it’s never broken, it toasts perfectly, and most importantly, evenly. There is a defrosting function (when I bake a lot of bread in the bread machine, I store some in the refrigerator). Only the plastic circle "&amp;"around the buttons crumbled due to constant heating, but it did not affect performance in any way. Stainless steel, of course, screws up, but you can’t use plastic for a toaster!!! Very happy with the purchase!!!")</f>
        <v>I’ve been using it for about five years now, it’s never broken, it toasts perfectly, and most importantly, evenly. There is a defrosting function (when I bake a lot of bread in the bread machine, I store some in the refrigerator). Only the plastic circle around the buttons crumbled due to constant heating, but it did not affect performance in any way. Stainless steel, of course, screws up, but you can’t use plastic for a toaster!!! Very happy with the purchase!!!</v>
      </c>
    </row>
    <row r="9985" spans="1:9" x14ac:dyDescent="0.3">
      <c r="A9985" s="1" t="s">
        <v>43</v>
      </c>
      <c r="B9985" s="1" t="s">
        <v>303</v>
      </c>
      <c r="C9985" s="1" t="s">
        <v>304</v>
      </c>
      <c r="D9985" s="1" t="s">
        <v>943</v>
      </c>
      <c r="E9985" s="1" t="s">
        <v>6608</v>
      </c>
      <c r="F9985" s="1" t="s">
        <v>14619</v>
      </c>
      <c r="G9985" s="1" t="s">
        <v>36</v>
      </c>
      <c r="H9985" s="1" t="s">
        <v>29</v>
      </c>
      <c r="I9985" s="1" t="str">
        <f ca="1">IFERROR(__xludf.DUMMYFUNCTION("GOOGLETRANSLATE(F9985, ""auto"", ""en"")
"),"The most important advantage is the price, boiler + 3-year warranty (very useful for such equipment). For those who are especially gifted, there are markings on the box on how to hang it, where to drill, where to screw (anchor bolts are not included in th"&amp;"e kit), which is also very prudent on the part of the manufacturer, just attach it to the wall where you decide to place it - and wow, you don’t even need a centimeter. In heating mode 2, the water is hot and does not require dilution, it is comfortable t"&amp;"o wash dishes, wash your face, and take a shower; at 3 - enough for a bath and shower; We practically do not include 4 and 5. It's enough for a family of 3 people. We've only been using it for a month, but we're very pleased - it heats up quickly, stays w"&amp;"arm for a long time, and nothing leaks anywhere. The only negative is that the toggle switch for turning off the boiler is located under the lid - quite inconvenient if there is a need to periodically turn it off from the network.")</f>
        <v>The most important advantage is the price, boiler + 3-year warranty (very useful for such equipment). For those who are especially gifted, there are markings on the box on how to hang it, where to drill, where to screw (anchor bolts are not included in the kit), which is also very prudent on the part of the manufacturer, just attach it to the wall where you decide to place it - and wow, you don’t even need a centimeter. In heating mode 2, the water is hot and does not require dilution, it is comfortable to wash dishes, wash your face, and take a shower; at 3 - enough for a bath and shower; We practically do not include 4 and 5. It's enough for a family of 3 people. We've only been using it for a month, but we're very pleased - it heats up quickly, stays warm for a long time, and nothing leaks anywhere. The only negative is that the toggle switch for turning off the boiler is located under the lid - quite inconvenient if there is a need to periodically turn it off from the network.</v>
      </c>
    </row>
    <row r="9986" spans="1:9" x14ac:dyDescent="0.3">
      <c r="A9986" s="1" t="s">
        <v>105</v>
      </c>
      <c r="B9986" s="1" t="s">
        <v>106</v>
      </c>
      <c r="C9986" s="1" t="s">
        <v>1921</v>
      </c>
      <c r="D9986" s="1" t="s">
        <v>280</v>
      </c>
      <c r="E9986" s="1" t="s">
        <v>2525</v>
      </c>
      <c r="F9986" s="1" t="s">
        <v>14620</v>
      </c>
      <c r="G9986" s="1" t="s">
        <v>28</v>
      </c>
      <c r="H9986" s="1" t="s">
        <v>29</v>
      </c>
      <c r="I9986" s="1" t="str">
        <f ca="1">IFERROR(__xludf.DUMMYFUNCTION("GOOGLETRANSLATE(F9986, ""auto"", ""en"")
"),"I’ve been wanting a player with text support for a long time) I begged my friends to give me a Texet player.")</f>
        <v>I’ve been wanting a player with text support for a long time) I begged my friends to give me a Texet player.</v>
      </c>
    </row>
    <row r="9987" spans="1:9" x14ac:dyDescent="0.3">
      <c r="A9987" s="1" t="s">
        <v>169</v>
      </c>
      <c r="B9987" s="1" t="s">
        <v>170</v>
      </c>
      <c r="C9987" s="1" t="s">
        <v>193</v>
      </c>
      <c r="D9987" s="1" t="s">
        <v>14621</v>
      </c>
      <c r="E9987" s="1" t="s">
        <v>628</v>
      </c>
      <c r="F9987" s="1" t="s">
        <v>14622</v>
      </c>
      <c r="G9987" s="1" t="s">
        <v>28</v>
      </c>
      <c r="H9987" s="1" t="s">
        <v>29</v>
      </c>
      <c r="I9987" s="1" t="str">
        <f ca="1">IFERROR(__xludf.DUMMYFUNCTION("GOOGLETRANSLATE(F9987, ""auto"", ""en"")
"),"I am more than completely satisfied with the sound; they perform 100% on mid-range equipment. very accurate, sometimes slightly “thick” bass, excellent transmission of the high-frequency range. Great for dynamic music, not so good with classical music.")</f>
        <v>I am more than completely satisfied with the sound; they perform 100% on mid-range equipment. very accurate, sometimes slightly “thick” bass, excellent transmission of the high-frequency range. Great for dynamic music, not so good with classical music.</v>
      </c>
    </row>
    <row r="9988" spans="1:9" x14ac:dyDescent="0.3">
      <c r="A9988" s="1" t="s">
        <v>61</v>
      </c>
      <c r="B9988" s="1" t="s">
        <v>318</v>
      </c>
      <c r="C9988" s="1" t="s">
        <v>101</v>
      </c>
      <c r="D9988" s="1" t="s">
        <v>186</v>
      </c>
      <c r="E9988" s="1" t="s">
        <v>9665</v>
      </c>
      <c r="F9988" s="1" t="s">
        <v>14623</v>
      </c>
      <c r="G9988" s="1" t="s">
        <v>15</v>
      </c>
      <c r="H9988" s="1" t="s">
        <v>16</v>
      </c>
      <c r="I9988" s="1" t="str">
        <f ca="1">IFERROR(__xludf.DUMMYFUNCTION("GOOGLETRANSLATE(F9988, ""auto"", ""en"")
"),"I really liked the kettle - it worked quickly, quietly, there was no plastic smell, but after 4 months it stopped turning on. I exchanged it for another one just like it because I liked it. But the new one stopped turning on after six months.")</f>
        <v>I really liked the kettle - it worked quickly, quietly, there was no plastic smell, but after 4 months it stopped turning on. I exchanged it for another one just like it because I liked it. But the new one stopped turning on after six months.</v>
      </c>
    </row>
    <row r="9989" spans="1:9" x14ac:dyDescent="0.3">
      <c r="A9989" s="1" t="s">
        <v>67</v>
      </c>
      <c r="B9989" s="1" t="s">
        <v>68</v>
      </c>
      <c r="C9989" s="1" t="s">
        <v>185</v>
      </c>
      <c r="D9989" s="1" t="s">
        <v>934</v>
      </c>
      <c r="E9989" s="1" t="s">
        <v>2663</v>
      </c>
      <c r="F9989" s="1" t="s">
        <v>14624</v>
      </c>
      <c r="G9989" s="1" t="s">
        <v>36</v>
      </c>
      <c r="H9989" s="1" t="s">
        <v>29</v>
      </c>
      <c r="I9989" s="1" t="str">
        <f ca="1">IFERROR(__xludf.DUMMYFUNCTION("GOOGLETRANSLATE(F9989, ""auto"", ""en"")
"),"An excellent assistant, irons all things, from any fabric, and the first time. You can iron for a long time without adding water. I am very pleased with this purchase.")</f>
        <v>An excellent assistant, irons all things, from any fabric, and the first time. You can iron for a long time without adding water. I am very pleased with this purchase.</v>
      </c>
    </row>
    <row r="9990" spans="1:9" x14ac:dyDescent="0.3">
      <c r="A9990" s="1" t="s">
        <v>211</v>
      </c>
      <c r="B9990" s="1" t="s">
        <v>515</v>
      </c>
      <c r="C9990" s="1" t="s">
        <v>381</v>
      </c>
      <c r="D9990" s="1" t="s">
        <v>589</v>
      </c>
      <c r="E9990" s="1" t="s">
        <v>868</v>
      </c>
      <c r="F9990" s="1" t="s">
        <v>14625</v>
      </c>
      <c r="G9990" s="1" t="s">
        <v>36</v>
      </c>
      <c r="H9990" s="1" t="s">
        <v>29</v>
      </c>
      <c r="I9990" s="1" t="str">
        <f ca="1">IFERROR(__xludf.DUMMYFUNCTION("GOOGLETRANSLATE(F9990, ""auto"", ""en"")
"),"There was a braun 7921 that worked well, everything suited me. But it fell and stopped working. At the seller's suggestion, I took Rowenta and was surprised. The pain during epilation on the legs has become much less, we can say that there is no pain at a"&amp;"ll. The bikini area is treated perfectly, and most importantly, the cold air from the built-in fan in the bikini area is simply a godsend. I'm delighted!")</f>
        <v>There was a braun 7921 that worked well, everything suited me. But it fell and stopped working. At the seller's suggestion, I took Rowenta and was surprised. The pain during epilation on the legs has become much less, we can say that there is no pain at all. The bikini area is treated perfectly, and most importantly, the cold air from the built-in fan in the bikini area is simply a godsend. I'm delighted!</v>
      </c>
    </row>
    <row r="9991" spans="1:9" x14ac:dyDescent="0.3">
      <c r="A9991" s="1" t="s">
        <v>211</v>
      </c>
      <c r="B9991" s="1" t="s">
        <v>212</v>
      </c>
      <c r="C9991" s="1" t="s">
        <v>69</v>
      </c>
      <c r="D9991" s="1" t="s">
        <v>2679</v>
      </c>
      <c r="E9991" s="1" t="s">
        <v>4474</v>
      </c>
      <c r="F9991" s="1" t="s">
        <v>14626</v>
      </c>
      <c r="G9991" s="1" t="s">
        <v>36</v>
      </c>
      <c r="H9991" s="1" t="s">
        <v>29</v>
      </c>
      <c r="I9991" s="1" t="str">
        <f ca="1">IFERROR(__xludf.DUMMYFUNCTION("GOOGLETRANSLATE(F9991, ""auto"", ""en"")
"),"I liked it!  And the power is enough even for thick hair - the most important thing is that it does not dry out and allows you to easily style.")</f>
        <v>I liked it!  And the power is enough even for thick hair - the most important thing is that it does not dry out and allows you to easily style.</v>
      </c>
    </row>
    <row r="9992" spans="1:9" x14ac:dyDescent="0.3">
      <c r="A9992" s="1" t="s">
        <v>61</v>
      </c>
      <c r="B9992" s="1" t="s">
        <v>145</v>
      </c>
      <c r="C9992" s="1" t="s">
        <v>85</v>
      </c>
      <c r="D9992" s="1" t="s">
        <v>335</v>
      </c>
      <c r="E9992" s="1" t="s">
        <v>7973</v>
      </c>
      <c r="F9992" s="1" t="s">
        <v>14627</v>
      </c>
      <c r="G9992" s="1" t="s">
        <v>49</v>
      </c>
      <c r="H9992" s="1" t="s">
        <v>16</v>
      </c>
      <c r="I9992" s="1" t="str">
        <f ca="1">IFERROR(__xludf.DUMMYFUNCTION("GOOGLETRANSLATE(F9992, ""auto"", ""en"")
"),"The lids on the containers of the steamer actually crack with small rays. The farther you go, the more there are. And the most unpleasant thing is that you can’t order them. At least a set of 3 pieces at once. One service does not have them in stock, and "&amp;"they are not in the Moscow warehouse. The other has only a large lid. So BORK is having a hard time with the availability of components/parts. I advise you to purchase another model")</f>
        <v>The lids on the containers of the steamer actually crack with small rays. The farther you go, the more there are. And the most unpleasant thing is that you can’t order them. At least a set of 3 pieces at once. One service does not have them in stock, and they are not in the Moscow warehouse. The other has only a large lid. So BORK is having a hard time with the availability of components/parts. I advise you to purchase another model</v>
      </c>
    </row>
    <row r="9993" spans="1:9" x14ac:dyDescent="0.3">
      <c r="A9993" s="1" t="s">
        <v>89</v>
      </c>
      <c r="B9993" s="1" t="s">
        <v>90</v>
      </c>
      <c r="C9993" s="1" t="s">
        <v>63</v>
      </c>
      <c r="D9993" s="1" t="s">
        <v>474</v>
      </c>
      <c r="E9993" s="1" t="s">
        <v>5951</v>
      </c>
      <c r="F9993" s="1" t="s">
        <v>14628</v>
      </c>
      <c r="G9993" s="1" t="s">
        <v>36</v>
      </c>
      <c r="H9993" s="1" t="s">
        <v>29</v>
      </c>
      <c r="I9993" s="1" t="str">
        <f ca="1">IFERROR(__xludf.DUMMYFUNCTION("GOOGLETRANSLATE(F9993, ""auto"", ""en"")
"),"Easy to use, sharp blades, quiet operation")</f>
        <v>Easy to use, sharp blades, quiet operation</v>
      </c>
    </row>
    <row r="9994" spans="1:9" x14ac:dyDescent="0.3">
      <c r="A9994" s="1" t="s">
        <v>9</v>
      </c>
      <c r="B9994" s="1" t="s">
        <v>137</v>
      </c>
      <c r="C9994" s="1" t="s">
        <v>151</v>
      </c>
      <c r="D9994" s="1" t="s">
        <v>1055</v>
      </c>
      <c r="E9994" s="1" t="s">
        <v>4881</v>
      </c>
      <c r="F9994" s="1" t="s">
        <v>14629</v>
      </c>
      <c r="G9994" s="1" t="s">
        <v>49</v>
      </c>
      <c r="H9994" s="1" t="s">
        <v>16</v>
      </c>
      <c r="I9994" s="1" t="str">
        <f ca="1">IFERROR(__xludf.DUMMYFUNCTION("GOOGLETRANSLATE(F9994, ""auto"", ""en"")
"),"I purchased this panel in the spring of 2010 at the M.Vidio store. We managed to install it a month after purchase. Completely disappointed. Firstly, the coating turned out to be not enamel, but powder paint, on which stains remain, and after cleaning wit"&amp;"h a special product they appear back. Secondly, after a few months, the auto-ignition valve failed; I called the repairman more than once using the warranty certificate.")</f>
        <v>I purchased this panel in the spring of 2010 at the M.Vidio store. We managed to install it a month after purchase. Completely disappointed. Firstly, the coating turned out to be not enamel, but powder paint, on which stains remain, and after cleaning with a special product they appear back. Secondly, after a few months, the auto-ignition valve failed; I called the repairman more than once using the warranty certificate.</v>
      </c>
    </row>
    <row r="9995" spans="1:9" x14ac:dyDescent="0.3">
      <c r="A9995" s="1" t="s">
        <v>206</v>
      </c>
      <c r="B9995" s="1" t="s">
        <v>1253</v>
      </c>
      <c r="C9995" s="1" t="s">
        <v>1254</v>
      </c>
      <c r="D9995" s="1" t="s">
        <v>152</v>
      </c>
      <c r="E9995" s="1" t="s">
        <v>14630</v>
      </c>
      <c r="F9995" s="1" t="s">
        <v>14631</v>
      </c>
      <c r="G9995" s="1" t="s">
        <v>36</v>
      </c>
      <c r="H9995" s="1" t="s">
        <v>29</v>
      </c>
      <c r="I9995" s="1" t="str">
        <f ca="1">IFERROR(__xludf.DUMMYFUNCTION("GOOGLETRANSLATE(F9995, ""auto"", ""en"")
"),"I took it no more than a month ago. For fishing, my son and I like to ping, sometimes we need help, we had to shout to the whole neighborhood. No problem. I took it to the Volga. By water up to 3 km, I haven’t tried further. Everything was included in the"&amp;" kit. I didn’t check it in the store, but it’s clear that the packaging was normal. It is not entirely clear how to determine that the batteries are charged. It just turns red and that's it. There's not a word in the instructions. Still, I try to charge i"&amp;"t with a different charger, everything is visible from the indicators. I'm going to buy batteries with a larger capacity. Still, 600 is not enough. Yes, and stocking up on trips won’t hurt. In general, in terms of price-quality ratio, I’ll give it an A. I"&amp;" got absolutely the expected result. And the dimensions are minimal.")</f>
        <v>I took it no more than a month ago. For fishing, my son and I like to ping, sometimes we need help, we had to shout to the whole neighborhood. No problem. I took it to the Volga. By water up to 3 km, I haven’t tried further. Everything was included in the kit. I didn’t check it in the store, but it’s clear that the packaging was normal. It is not entirely clear how to determine that the batteries are charged. It just turns red and that's it. There's not a word in the instructions. Still, I try to charge it with a different charger, everything is visible from the indicators. I'm going to buy batteries with a larger capacity. Still, 600 is not enough. Yes, and stocking up on trips won’t hurt. In general, in terms of price-quality ratio, I’ll give it an A. I got absolutely the expected result. And the dimensions are minimal.</v>
      </c>
    </row>
    <row r="9996" spans="1:9" x14ac:dyDescent="0.3">
      <c r="A9996" s="1" t="s">
        <v>361</v>
      </c>
      <c r="B9996" s="1" t="s">
        <v>1077</v>
      </c>
      <c r="C9996" s="1" t="s">
        <v>2143</v>
      </c>
      <c r="D9996" s="1" t="s">
        <v>592</v>
      </c>
      <c r="E9996" s="1" t="s">
        <v>559</v>
      </c>
      <c r="F9996" s="1" t="s">
        <v>14632</v>
      </c>
      <c r="G9996" s="1" t="s">
        <v>49</v>
      </c>
      <c r="H9996" s="1" t="s">
        <v>16</v>
      </c>
      <c r="I9996" s="1" t="str">
        <f ca="1">IFERROR(__xludf.DUMMYFUNCTION("GOOGLETRANSLATE(F9996, ""auto"", ""en"")
"),"A very beautiful kettle, but after six months of use, the metal mesh of the piston became frayed, the piston stopped rotating and it became impossible to wash it, and there was grass debris. These are very big problems with piston kettles, I think. I chos"&amp;"e for a long time and realized that there is only one suitable for me, Vinzer-69364 with a stainless steel cup. I've been using it for over a year and I'm very pleased!")</f>
        <v>A very beautiful kettle, but after six months of use, the metal mesh of the piston became frayed, the piston stopped rotating and it became impossible to wash it, and there was grass debris. These are very big problems with piston kettles, I think. I chose for a long time and realized that there is only one suitable for me, Vinzer-69364 with a stainless steel cup. I've been using it for over a year and I'm very pleased!</v>
      </c>
    </row>
    <row r="9997" spans="1:9" x14ac:dyDescent="0.3">
      <c r="A9997" s="1" t="s">
        <v>238</v>
      </c>
      <c r="B9997" s="1" t="s">
        <v>276</v>
      </c>
      <c r="C9997" s="1" t="s">
        <v>1677</v>
      </c>
      <c r="D9997" s="1" t="s">
        <v>14633</v>
      </c>
      <c r="E9997" s="1" t="s">
        <v>2310</v>
      </c>
      <c r="F9997" s="1" t="s">
        <v>14634</v>
      </c>
      <c r="G9997" s="1" t="s">
        <v>28</v>
      </c>
      <c r="H9997" s="1" t="s">
        <v>29</v>
      </c>
      <c r="I9997" s="1" t="str">
        <f ca="1">IFERROR(__xludf.DUMMYFUNCTION("GOOGLETRANSLATE(F9997, ""auto"", ""en"")
"),"For a refrigerator at this price, the pathological discrepancy between the fixing hooks on the back wall and the shelves in the refrigerator compartment is a complete disgrace. The spirit of Thailand is immediately felt. The rest seems fine.")</f>
        <v>For a refrigerator at this price, the pathological discrepancy between the fixing hooks on the back wall and the shelves in the refrigerator compartment is a complete disgrace. The spirit of Thailand is immediately felt. The rest seems fine.</v>
      </c>
    </row>
    <row r="9998" spans="1:9" x14ac:dyDescent="0.3">
      <c r="A9998" s="1" t="s">
        <v>120</v>
      </c>
      <c r="B9998" s="1" t="s">
        <v>256</v>
      </c>
      <c r="C9998" s="1" t="s">
        <v>32</v>
      </c>
      <c r="D9998" s="1" t="s">
        <v>295</v>
      </c>
      <c r="E9998" s="1" t="s">
        <v>859</v>
      </c>
      <c r="F9998" s="1" t="s">
        <v>14635</v>
      </c>
      <c r="G9998" s="1" t="s">
        <v>36</v>
      </c>
      <c r="H9998" s="1" t="s">
        <v>29</v>
      </c>
      <c r="I9998" s="1" t="str">
        <f ca="1">IFERROR(__xludf.DUMMYFUNCTION("GOOGLETRANSLATE(F9998, ""auto"", ""en"")
"),"The TV is excellent, the sound is good, the colors are bright, it switches from channel to channel in about 2 seconds, well, it’s tolerable. I'm very pleased!  Solid 5+")</f>
        <v>The TV is excellent, the sound is good, the colors are bright, it switches from channel to channel in about 2 seconds, well, it’s tolerable. I'm very pleased!  Solid 5+</v>
      </c>
    </row>
    <row r="9999" spans="1:9" x14ac:dyDescent="0.3">
      <c r="A9999" s="1" t="s">
        <v>30</v>
      </c>
      <c r="B9999" s="1" t="s">
        <v>50</v>
      </c>
      <c r="C9999" s="1" t="s">
        <v>32</v>
      </c>
      <c r="D9999" s="1" t="s">
        <v>14636</v>
      </c>
      <c r="E9999" s="1" t="s">
        <v>6363</v>
      </c>
      <c r="F9999" s="1" t="s">
        <v>14637</v>
      </c>
      <c r="G9999" s="1" t="s">
        <v>36</v>
      </c>
      <c r="H9999" s="1" t="s">
        <v>29</v>
      </c>
      <c r="I9999" s="1" t="str">
        <f ca="1">IFERROR(__xludf.DUMMYFUNCTION("GOOGLETRANSLATE(F9999, ""auto"", ""en"")
"),"We recently bought a super laptop!!! For such a price, it’s difficult to find a laptop with 3 gigs of RAM, a powerful video card, a 250GB screw and good performance in one skin, it seems to me that the purchase is ideal!")</f>
        <v>We recently bought a super laptop!!! For such a price, it’s difficult to find a laptop with 3 gigs of RAM, a powerful video card, a 250GB screw and good performance in one skin, it seems to me that the purchase is ideal!</v>
      </c>
    </row>
    <row r="10000" spans="1:9" x14ac:dyDescent="0.3">
      <c r="A10000" s="1" t="s">
        <v>169</v>
      </c>
      <c r="B10000" s="1" t="s">
        <v>170</v>
      </c>
      <c r="C10000" s="1" t="s">
        <v>193</v>
      </c>
      <c r="D10000" s="1" t="s">
        <v>14638</v>
      </c>
      <c r="E10000" s="1" t="s">
        <v>2693</v>
      </c>
      <c r="F10000" s="1" t="s">
        <v>14639</v>
      </c>
      <c r="G10000" s="1" t="s">
        <v>36</v>
      </c>
      <c r="H10000" s="1" t="s">
        <v>29</v>
      </c>
      <c r="I10000" s="1" t="str">
        <f ca="1">IFERROR(__xludf.DUMMYFUNCTION("GOOGLETRANSLATE(F10000, ""auto"", ""en"")
"),"I’ve been using them for 1.5 years now, they’re the most durable headphones I’ve ever owned (and I’ve had a huge number of them), the sound is excellent. How many times have I pulled them, stretched them, sat on them and they still work. Perhaps the best "&amp;"in-ear headphones.")</f>
        <v>I’ve been using them for 1.5 years now, they’re the most durable headphones I’ve ever owned (and I’ve had a huge number of them), the sound is excellent. How many times have I pulled them, stretched them, sat on them and they still work. Perhaps the best in-ear headphones.</v>
      </c>
    </row>
    <row r="10001" spans="1:9" x14ac:dyDescent="0.3">
      <c r="A10001" s="1" t="s">
        <v>37</v>
      </c>
      <c r="B10001" s="1" t="s">
        <v>38</v>
      </c>
      <c r="C10001" s="1" t="s">
        <v>39</v>
      </c>
      <c r="D10001" s="1" t="s">
        <v>152</v>
      </c>
      <c r="E10001" s="1" t="s">
        <v>7995</v>
      </c>
      <c r="F10001" s="1" t="s">
        <v>14640</v>
      </c>
      <c r="G10001" s="1" t="s">
        <v>28</v>
      </c>
      <c r="H10001" s="1" t="s">
        <v>29</v>
      </c>
      <c r="I10001" s="1" t="str">
        <f ca="1">IFERROR(__xludf.DUMMYFUNCTION("GOOGLETRANSLATE(F10001, ""auto"", ""en"")
"),"I bought this phone a week ago, I’m very pleased with the purchase, of course the price is a little confusing, 13,500 rubles, I liked the package, it has everything...cable, adapter for a flash drive (8GB), excellent music sound, large bright display, bri"&amp;"ght flash. Well, there are some small drawbacks, there is no original leather case for it, and the back cover almost creaks, there is a slight play.")</f>
        <v>I bought this phone a week ago, I’m very pleased with the purchase, of course the price is a little confusing, 13,500 rubles, I liked the package, it has everything...cable, adapter for a flash drive (8GB), excellent music sound, large bright display, bright flash. Well, there are some small drawbacks, there is no original leather case for it, and the back cover almost creaks, there is a slight play.</v>
      </c>
    </row>
    <row r="10002" spans="1:9" x14ac:dyDescent="0.3">
      <c r="A10002" s="1" t="s">
        <v>95</v>
      </c>
      <c r="B10002" s="1" t="s">
        <v>96</v>
      </c>
      <c r="C10002" s="1" t="s">
        <v>14641</v>
      </c>
      <c r="D10002" s="1" t="s">
        <v>52</v>
      </c>
      <c r="E10002" s="1" t="s">
        <v>1044</v>
      </c>
      <c r="F10002" s="1" t="s">
        <v>14642</v>
      </c>
      <c r="G10002" s="1" t="s">
        <v>36</v>
      </c>
      <c r="H10002" s="1" t="s">
        <v>29</v>
      </c>
      <c r="I10002" s="1" t="str">
        <f ca="1">IFERROR(__xludf.DUMMYFUNCTION("GOOGLETRANSLATE(F10002, ""auto"", ""en"")
"),"Pros: Works well overall, well built, holds a charge for a long time. Good equipment, the ability to play together.    Disadvantages: Not all games work, including Contra Hard Corps - it's a shame. But some games are forcibly repaired.")</f>
        <v>Pros: Works well overall, well built, holds a charge for a long time. Good equipment, the ability to play together.    Disadvantages: Not all games work, including Contra Hard Corps - it's a shame. But some games are forcibly repaired.</v>
      </c>
    </row>
    <row r="10003" spans="1:9" x14ac:dyDescent="0.3">
      <c r="A10003" s="1" t="s">
        <v>61</v>
      </c>
      <c r="B10003" s="1" t="s">
        <v>145</v>
      </c>
      <c r="C10003" s="1" t="s">
        <v>63</v>
      </c>
      <c r="D10003" s="1" t="s">
        <v>474</v>
      </c>
      <c r="E10003" s="1" t="s">
        <v>14643</v>
      </c>
      <c r="F10003" s="1" t="s">
        <v>14644</v>
      </c>
      <c r="G10003" s="1" t="s">
        <v>36</v>
      </c>
      <c r="H10003" s="1" t="s">
        <v>29</v>
      </c>
      <c r="I10003" s="1" t="str">
        <f ca="1">IFERROR(__xludf.DUMMYFUNCTION("GOOGLETRANSLATE(F10003, ""auto"", ""en"")
"),"An indispensable assistant in the kitchen!! I used it very often for 7 years. A few days ago it burned out, tomorrow I will buy the same one;-)")</f>
        <v>An indispensable assistant in the kitchen!! I used it very often for 7 years. A few days ago it burned out, tomorrow I will buy the same one;-)</v>
      </c>
    </row>
    <row r="10004" spans="1:9" x14ac:dyDescent="0.3">
      <c r="A10004" s="1" t="s">
        <v>37</v>
      </c>
      <c r="B10004" s="1" t="s">
        <v>536</v>
      </c>
      <c r="C10004" s="1" t="s">
        <v>537</v>
      </c>
      <c r="D10004" s="1" t="s">
        <v>690</v>
      </c>
      <c r="E10004" s="1" t="s">
        <v>2310</v>
      </c>
      <c r="F10004" s="1" t="s">
        <v>14645</v>
      </c>
      <c r="G10004" s="1" t="s">
        <v>28</v>
      </c>
      <c r="H10004" s="1" t="s">
        <v>29</v>
      </c>
      <c r="I10004" s="1" t="str">
        <f ca="1">IFERROR(__xludf.DUMMYFUNCTION("GOOGLETRANSLATE(F10004, ""auto"", ""en"")
"),"I’ve been using it for 10 months now, besides the usual Windows Mobile glitches there are only a couple of drawbacks - weak hard buttons (the central round one is already dead, the rest are uninformative - I don’t feel a click when pressed, the scroll whe"&amp;"el generally lives its own life).  The camera sucks, the sensitivity of the matrix is ​​low, so you can only take more or less decent shots in bright sunshine (no flash, backlight, autofocus).  The advantages are a car kit (I use it regularly as a car nav"&amp;"igator), a good screen, a spare stylus included, a non-staining matte back cover, good assembly - there are no backlashes at all, 3G internet, Wi-Fi, a decent battery.")</f>
        <v>I’ve been using it for 10 months now, besides the usual Windows Mobile glitches there are only a couple of drawbacks - weak hard buttons (the central round one is already dead, the rest are uninformative - I don’t feel a click when pressed, the scroll wheel generally lives its own life).  The camera sucks, the sensitivity of the matrix is ​​low, so you can only take more or less decent shots in bright sunshine (no flash, backlight, autofocus).  The advantages are a car kit (I use it regularly as a car navigator), a good screen, a spare stylus included, a non-staining matte back cover, good assembly - there are no backlashes at all, 3G internet, Wi-Fi, a decent battery.</v>
      </c>
    </row>
    <row r="10005" spans="1:9" x14ac:dyDescent="0.3">
      <c r="A10005" s="1" t="s">
        <v>17</v>
      </c>
      <c r="B10005" s="1" t="s">
        <v>18</v>
      </c>
      <c r="C10005" s="1" t="s">
        <v>159</v>
      </c>
      <c r="D10005" s="1" t="s">
        <v>308</v>
      </c>
      <c r="E10005" s="1" t="s">
        <v>3811</v>
      </c>
      <c r="F10005" s="1" t="s">
        <v>14646</v>
      </c>
      <c r="G10005" s="1" t="s">
        <v>28</v>
      </c>
      <c r="H10005" s="1" t="s">
        <v>29</v>
      </c>
      <c r="I10005" s="1" t="str">
        <f ca="1">IFERROR(__xludf.DUMMYFUNCTION("GOOGLETRANSLATE(F10005, ""auto"", ""en"")
"),"We bought the machine recently, and the only downside is that you don’t know at what stage it washes, but I really like it. We put it in the kitchen, it doesn’t smell like powder at all, the noise is average, it washes perfectly. In general, for this pric"&amp;"e we bought a very good machine. And by the way, if you read the instructions more carefully, it says the approximate washing time.")</f>
        <v>We bought the machine recently, and the only downside is that you don’t know at what stage it washes, but I really like it. We put it in the kitchen, it doesn’t smell like powder at all, the noise is average, it washes perfectly. In general, for this price we bought a very good machine. And by the way, if you read the instructions more carefully, it says the approximate washing time.</v>
      </c>
    </row>
    <row r="10006" spans="1:9" x14ac:dyDescent="0.3">
      <c r="A10006" s="1" t="s">
        <v>369</v>
      </c>
      <c r="B10006" s="1" t="s">
        <v>2480</v>
      </c>
      <c r="C10006" s="1" t="s">
        <v>453</v>
      </c>
      <c r="D10006" s="1" t="s">
        <v>565</v>
      </c>
      <c r="E10006" s="1" t="s">
        <v>6074</v>
      </c>
      <c r="F10006" s="1" t="s">
        <v>14647</v>
      </c>
      <c r="G10006" s="1" t="s">
        <v>36</v>
      </c>
      <c r="H10006" s="1" t="s">
        <v>29</v>
      </c>
      <c r="I10006" s="1" t="str">
        <f ca="1">IFERROR(__xludf.DUMMYFUNCTION("GOOGLETRANSLATE(F10006, ""auto"", ""en"")
"),"The tile is wonderful. I've had it for 5 years now, and it heats up quickly and is small in size. ")</f>
        <v xml:space="preserve">The tile is wonderful. I've had it for 5 years now, and it heats up quickly and is small in size. </v>
      </c>
    </row>
    <row r="10007" spans="1:9" x14ac:dyDescent="0.3">
      <c r="A10007" s="1" t="s">
        <v>61</v>
      </c>
      <c r="B10007" s="1" t="s">
        <v>977</v>
      </c>
      <c r="C10007" s="1" t="s">
        <v>213</v>
      </c>
      <c r="D10007" s="1" t="s">
        <v>75</v>
      </c>
      <c r="E10007" s="1" t="s">
        <v>491</v>
      </c>
      <c r="F10007" s="1" t="s">
        <v>14648</v>
      </c>
      <c r="G10007" s="1" t="s">
        <v>36</v>
      </c>
      <c r="H10007" s="1" t="s">
        <v>29</v>
      </c>
      <c r="I10007" s="1" t="str">
        <f ca="1">IFERROR(__xludf.DUMMYFUNCTION("GOOGLETRANSLATE(F10007, ""auto"", ""en"")
"),"I've been using it for six months - I'm absolutely delighted!! Makes pureed soups and smoothies so quickly, especially great for chopping onions and carrots for soups! No hassle or graters, I gave the same one to my mother! Take it, you won't regret it!!!")</f>
        <v>I've been using it for six months - I'm absolutely delighted!! Makes pureed soups and smoothies so quickly, especially great for chopping onions and carrots for soups! No hassle or graters, I gave the same one to my mother! Take it, you won't regret it!!!</v>
      </c>
    </row>
    <row r="10008" spans="1:9" x14ac:dyDescent="0.3">
      <c r="A10008" s="1" t="s">
        <v>206</v>
      </c>
      <c r="B10008" s="1" t="s">
        <v>1349</v>
      </c>
      <c r="C10008" s="1" t="s">
        <v>2425</v>
      </c>
      <c r="D10008" s="1" t="s">
        <v>1894</v>
      </c>
      <c r="E10008" s="1" t="s">
        <v>1948</v>
      </c>
      <c r="F10008" s="1" t="s">
        <v>14649</v>
      </c>
      <c r="G10008" s="1" t="s">
        <v>15</v>
      </c>
      <c r="H10008" s="1" t="s">
        <v>16</v>
      </c>
      <c r="I10008" s="1" t="str">
        <f ca="1">IFERROR(__xludf.DUMMYFUNCTION("GOOGLETRANSLATE(F10008, ""auto"", ""en"")
"),"Totally crap. Bluetooth does not work, after some time of working with the disk it refuses to read and writes an error, as a result you have to completely reboot, which leads to a complete reset of all parameters. The menu is in Russian only in the DVD an"&amp;"d there are only a few parameters. All other settings are in English. When playing music from a disc, you can only read the names of the songs if you have a magnifying glass with you. Very inconvenient navigation. To understand the remote control, you nee"&amp;"d to have detailed instructions nearby. The only thing that does not cause any complaints is the radio operation.")</f>
        <v>Totally crap. Bluetooth does not work, after some time of working with the disk it refuses to read and writes an error, as a result you have to completely reboot, which leads to a complete reset of all parameters. The menu is in Russian only in the DVD and there are only a few parameters. All other settings are in English. When playing music from a disc, you can only read the names of the songs if you have a magnifying glass with you. Very inconvenient navigation. To understand the remote control, you need to have detailed instructions nearby. The only thing that does not cause any complaints is the radio operation.</v>
      </c>
    </row>
    <row r="10009" spans="1:9" x14ac:dyDescent="0.3">
      <c r="A10009" s="1" t="s">
        <v>169</v>
      </c>
      <c r="B10009" s="1" t="s">
        <v>170</v>
      </c>
      <c r="C10009" s="1" t="s">
        <v>97</v>
      </c>
      <c r="D10009" s="1" t="s">
        <v>14650</v>
      </c>
      <c r="E10009" s="1" t="s">
        <v>3454</v>
      </c>
      <c r="F10009" s="1" t="s">
        <v>14651</v>
      </c>
      <c r="G10009" s="1" t="s">
        <v>36</v>
      </c>
      <c r="H10009" s="1" t="s">
        <v>29</v>
      </c>
      <c r="I10009" s="1" t="str">
        <f ca="1">IFERROR(__xludf.DUMMYFUNCTION("GOOGLETRANSLATE(F10009, ""auto"", ""en"")
"),"Very good headphones, quite powerful for their small size.  I've been using them for a year now and no problems. I'm very pleased)))")</f>
        <v>Very good headphones, quite powerful for their small size.  I've been using them for a year now and no problems. I'm very pleased)))</v>
      </c>
    </row>
    <row r="10010" spans="1:9" x14ac:dyDescent="0.3">
      <c r="A10010" s="1" t="s">
        <v>17</v>
      </c>
      <c r="B10010" s="1" t="s">
        <v>18</v>
      </c>
      <c r="C10010" s="1" t="s">
        <v>63</v>
      </c>
      <c r="D10010" s="1" t="s">
        <v>1055</v>
      </c>
      <c r="E10010" s="1" t="s">
        <v>4054</v>
      </c>
      <c r="F10010" s="1" t="s">
        <v>14652</v>
      </c>
      <c r="G10010" s="1" t="s">
        <v>28</v>
      </c>
      <c r="H10010" s="1" t="s">
        <v>29</v>
      </c>
      <c r="I10010" s="1" t="str">
        <f ca="1">IFERROR(__xludf.DUMMYFUNCTION("GOOGLETRANSLATE(F10010, ""auto"", ""en"")
"),"I'm happy with the machine. It washes quietly and you can adjust the operating modes. There are also some disadvantages. There is no additional rinsing. It doesn't wash jackets well.")</f>
        <v>I'm happy with the machine. It washes quietly and you can adjust the operating modes. There are also some disadvantages. There is no additional rinsing. It doesn't wash jackets well.</v>
      </c>
    </row>
    <row r="10011" spans="1:9" x14ac:dyDescent="0.3">
      <c r="A10011" s="1" t="s">
        <v>369</v>
      </c>
      <c r="B10011" s="1" t="s">
        <v>587</v>
      </c>
      <c r="C10011" s="1" t="s">
        <v>588</v>
      </c>
      <c r="D10011" s="1" t="s">
        <v>4281</v>
      </c>
      <c r="E10011" s="1" t="s">
        <v>5081</v>
      </c>
      <c r="F10011" s="1" t="s">
        <v>14653</v>
      </c>
      <c r="G10011" s="1" t="s">
        <v>36</v>
      </c>
      <c r="H10011" s="1" t="s">
        <v>29</v>
      </c>
      <c r="I10011" s="1" t="str">
        <f ca="1">IFERROR(__xludf.DUMMYFUNCTION("GOOGLETRANSLATE(F10011, ""auto"", ""en"")
"),"An excellent stove, as mentioned above, the gas is a little noisy, but you can get used to it. The oven bakes great! And besides, it looks very nice. Our Family is very satisfied, we recommend!!!")</f>
        <v>An excellent stove, as mentioned above, the gas is a little noisy, but you can get used to it. The oven bakes great! And besides, it looks very nice. Our Family is very satisfied, we recommend!!!</v>
      </c>
    </row>
    <row r="10012" spans="1:9" x14ac:dyDescent="0.3">
      <c r="A10012" s="1" t="s">
        <v>30</v>
      </c>
      <c r="B10012" s="1" t="s">
        <v>50</v>
      </c>
      <c r="C10012" s="1" t="s">
        <v>32</v>
      </c>
      <c r="D10012" s="1" t="s">
        <v>114</v>
      </c>
      <c r="E10012" s="1" t="s">
        <v>6937</v>
      </c>
      <c r="F10012" s="1" t="s">
        <v>14654</v>
      </c>
      <c r="G10012" s="1" t="s">
        <v>36</v>
      </c>
      <c r="H10012" s="1" t="s">
        <v>29</v>
      </c>
      <c r="I10012" s="1" t="str">
        <f ca="1">IFERROR(__xludf.DUMMYFUNCTION("GOOGLETRANSLATE(F10012, ""auto"", ""en"")
"),"I won’t describe the pros, everyone can see them right away, but it’s worth thinking about the cons. I’ve been using the laptop for the 2nd day and this is what I noticed: If you press Fn and the right/left button, that is, increase/decrease the brightnes"&amp;"s, the display begins to buzz suspiciously, buzz, or I don’t know what to call it.... if you set the brightness to medium and lower the display by 25 degrees relative to the keyboard, then this very buzzing becomes even louder... Of course, you can’t hear"&amp;" it during the day, but in the evening, when there is complete silence around, it starts to get a little infuriate. Someone try the same thing, maybe I just have a glitch.")</f>
        <v>I won’t describe the pros, everyone can see them right away, but it’s worth thinking about the cons. I’ve been using the laptop for the 2nd day and this is what I noticed: If you press Fn and the right/left button, that is, increase/decrease the brightness, the display begins to buzz suspiciously, buzz, or I don’t know what to call it.... if you set the brightness to medium and lower the display by 25 degrees relative to the keyboard, then this very buzzing becomes even louder... Of course, you can’t hear it during the day, but in the evening, when there is complete silence around, it starts to get a little infuriate. Someone try the same thing, maybe I just have a glitch.</v>
      </c>
    </row>
    <row r="10013" spans="1:9" x14ac:dyDescent="0.3">
      <c r="A10013" s="1" t="s">
        <v>61</v>
      </c>
      <c r="B10013" s="1" t="s">
        <v>180</v>
      </c>
      <c r="C10013" s="1" t="s">
        <v>101</v>
      </c>
      <c r="D10013" s="1" t="s">
        <v>295</v>
      </c>
      <c r="E10013" s="1" t="s">
        <v>14655</v>
      </c>
      <c r="F10013" s="1" t="s">
        <v>14656</v>
      </c>
      <c r="G10013" s="1" t="s">
        <v>36</v>
      </c>
      <c r="H10013" s="1" t="s">
        <v>29</v>
      </c>
      <c r="I10013" s="1" t="str">
        <f ca="1">IFERROR(__xludf.DUMMYFUNCTION("GOOGLETRANSLATE(F10013, ""auto"", ""en"")
"),"We recently bought this sandwich toaster.  Works well, everything is baked and fried. Doesn't burn. So far there have been no problems at all, the whole family is happy.")</f>
        <v>We recently bought this sandwich toaster.  Works well, everything is baked and fried. Doesn't burn. So far there have been no problems at all, the whole family is happy.</v>
      </c>
    </row>
    <row r="10014" spans="1:9" x14ac:dyDescent="0.3">
      <c r="A10014" s="1" t="s">
        <v>9</v>
      </c>
      <c r="B10014" s="1" t="s">
        <v>133</v>
      </c>
      <c r="C10014" s="1" t="s">
        <v>134</v>
      </c>
      <c r="D10014" s="1" t="s">
        <v>64</v>
      </c>
      <c r="E10014" s="1" t="s">
        <v>643</v>
      </c>
      <c r="F10014" s="1" t="s">
        <v>14657</v>
      </c>
      <c r="G10014" s="1" t="s">
        <v>28</v>
      </c>
      <c r="H10014" s="1" t="s">
        <v>29</v>
      </c>
      <c r="I10014" s="1" t="str">
        <f ca="1">IFERROR(__xludf.DUMMYFUNCTION("GOOGLETRANSLATE(F10014, ""auto"", ""en"")
"),"Hi all.   I've been using it recently. I'm still getting used to it. I haven't used the cleaning system yet. I like that there are three glasses, that is, it is impossible to get burned. The door gets hot, but it’s tolerable and convenient for those with "&amp;"children.  I bought it during a promotion, with a big discount, I was in a hurry, I kept wondering why people didn’t snap it up with three glasses, with a self-cleaning system and for next to nothing!!!")</f>
        <v>Hi all.   I've been using it recently. I'm still getting used to it. I haven't used the cleaning system yet. I like that there are three glasses, that is, it is impossible to get burned. The door gets hot, but it’s tolerable and convenient for those with children.  I bought it during a promotion, with a big discount, I was in a hurry, I kept wondering why people didn’t snap it up with three glasses, with a self-cleaning system and for next to nothing!!!</v>
      </c>
    </row>
    <row r="10015" spans="1:9" x14ac:dyDescent="0.3">
      <c r="A10015" s="1" t="s">
        <v>9</v>
      </c>
      <c r="B10015" s="1" t="s">
        <v>10</v>
      </c>
      <c r="C10015" s="1" t="s">
        <v>407</v>
      </c>
      <c r="D10015" s="1" t="s">
        <v>1581</v>
      </c>
      <c r="E10015" s="1" t="s">
        <v>713</v>
      </c>
      <c r="F10015" s="1" t="s">
        <v>14658</v>
      </c>
      <c r="G10015" s="1" t="s">
        <v>28</v>
      </c>
      <c r="H10015" s="1" t="s">
        <v>29</v>
      </c>
      <c r="I10015" s="1" t="str">
        <f ca="1">IFERROR(__xludf.DUMMYFUNCTION("GOOGLETRANSLATE(F10015, ""auto"", ""en"")
"),"good performance, build quality")</f>
        <v>good performance, build quality</v>
      </c>
    </row>
    <row r="10016" spans="1:9" x14ac:dyDescent="0.3">
      <c r="A10016" s="1" t="s">
        <v>61</v>
      </c>
      <c r="B10016" s="1" t="s">
        <v>318</v>
      </c>
      <c r="C10016" s="1" t="s">
        <v>57</v>
      </c>
      <c r="D10016" s="1" t="s">
        <v>545</v>
      </c>
      <c r="E10016" s="1" t="s">
        <v>3854</v>
      </c>
      <c r="F10016" s="1" t="s">
        <v>14659</v>
      </c>
      <c r="G10016" s="1" t="s">
        <v>36</v>
      </c>
      <c r="H10016" s="1" t="s">
        <v>29</v>
      </c>
      <c r="I10016" s="1" t="str">
        <f ca="1">IFERROR(__xludf.DUMMYFUNCTION("GOOGLETRANSLATE(F10016, ""auto"", ""en"")
"),"I read quite mixed reviews about this model - they say that with good heating and maintaining heat for a long time, the plastic is of poor quality (it quickly fails). But the price, appearance and a bunch of other advantages outweighed it. But when I boug"&amp;"ht it, I meticulously looked at how it worked and how the plastic looked. In general, I want to say that everything is very worthy and I did not find any reasons for concern. In general, this was confirmed during operation. The thermopot quickly heats the"&amp;" water, maintains the temperature well, and no foreign odors appear even if the water sits for a long time. The case does not heat up. A big plus is the cute design and convenient pouring of water. The pump works, the valve too, nothing leaked or broke..."&amp;" t-t-t...")</f>
        <v>I read quite mixed reviews about this model - they say that with good heating and maintaining heat for a long time, the plastic is of poor quality (it quickly fails). But the price, appearance and a bunch of other advantages outweighed it. But when I bought it, I meticulously looked at how it worked and how the plastic looked. In general, I want to say that everything is very worthy and I did not find any reasons for concern. In general, this was confirmed during operation. The thermopot quickly heats the water, maintains the temperature well, and no foreign odors appear even if the water sits for a long time. The case does not heat up. A big plus is the cute design and convenient pouring of water. The pump works, the valve too, nothing leaked or broke... t-t-t...</v>
      </c>
    </row>
    <row r="10017" spans="1:9" x14ac:dyDescent="0.3">
      <c r="A10017" s="1" t="s">
        <v>9</v>
      </c>
      <c r="B10017" s="1" t="s">
        <v>137</v>
      </c>
      <c r="C10017" s="1" t="s">
        <v>63</v>
      </c>
      <c r="D10017" s="1" t="s">
        <v>8257</v>
      </c>
      <c r="E10017" s="1" t="s">
        <v>6763</v>
      </c>
      <c r="F10017" s="1" t="s">
        <v>14660</v>
      </c>
      <c r="G10017" s="1" t="s">
        <v>28</v>
      </c>
      <c r="H10017" s="1" t="s">
        <v>29</v>
      </c>
      <c r="I10017" s="1" t="str">
        <f ca="1">IFERROR(__xludf.DUMMYFUNCTION("GOOGLETRANSLATE(F10017, ""auto"", ""en"")
"),"The panel is normal, but after washing I still have stains")</f>
        <v>The panel is normal, but after washing I still have stains</v>
      </c>
    </row>
    <row r="10018" spans="1:9" x14ac:dyDescent="0.3">
      <c r="A10018" s="1" t="s">
        <v>149</v>
      </c>
      <c r="B10018" s="1" t="s">
        <v>576</v>
      </c>
      <c r="C10018" s="1" t="s">
        <v>63</v>
      </c>
      <c r="D10018" s="1" t="s">
        <v>33</v>
      </c>
      <c r="E10018" s="1" t="s">
        <v>1886</v>
      </c>
      <c r="F10018" s="1" t="s">
        <v>14661</v>
      </c>
      <c r="G10018" s="1" t="s">
        <v>36</v>
      </c>
      <c r="H10018" s="1" t="s">
        <v>29</v>
      </c>
      <c r="I10018" s="1" t="str">
        <f ca="1">IFERROR(__xludf.DUMMYFUNCTION("GOOGLETRANSLATE(F10018, ""auto"", ""en"")
"),"Good and reliable model! I just cleaned out the dust collector yesterday! works great! I advise everyone to buy! I recommend")</f>
        <v>Good and reliable model! I just cleaned out the dust collector yesterday! works great! I advise everyone to buy! I recommend</v>
      </c>
    </row>
    <row r="10019" spans="1:9" x14ac:dyDescent="0.3">
      <c r="A10019" s="1" t="s">
        <v>557</v>
      </c>
      <c r="B10019" s="1" t="s">
        <v>1977</v>
      </c>
      <c r="C10019" s="1" t="s">
        <v>122</v>
      </c>
      <c r="D10019" s="1" t="s">
        <v>474</v>
      </c>
      <c r="E10019" s="1" t="s">
        <v>14662</v>
      </c>
      <c r="F10019" s="1" t="s">
        <v>14663</v>
      </c>
      <c r="G10019" s="1" t="s">
        <v>36</v>
      </c>
      <c r="H10019" s="1" t="s">
        <v>29</v>
      </c>
      <c r="I10019" s="1" t="str">
        <f ca="1">IFERROR(__xludf.DUMMYFUNCTION("GOOGLETRANSLATE(F10019, ""auto"", ""en"")
"),"The phone is made with high quality, simple and at the same time functional, soft rubber buttons, a melodious ringtone, it will fit perfectly into any interior. I've been using this phone model for over a year now and I'm very pleased. I recommend purchas"&amp;"ing this product.")</f>
        <v>The phone is made with high quality, simple and at the same time functional, soft rubber buttons, a melodious ringtone, it will fit perfectly into any interior. I've been using this phone model for over a year now and I'm very pleased. I recommend purchasing this product.</v>
      </c>
    </row>
    <row r="10020" spans="1:9" x14ac:dyDescent="0.3">
      <c r="A10020" s="1" t="s">
        <v>169</v>
      </c>
      <c r="B10020" s="1" t="s">
        <v>170</v>
      </c>
      <c r="C10020" s="1" t="s">
        <v>97</v>
      </c>
      <c r="D10020" s="1" t="s">
        <v>102</v>
      </c>
      <c r="E10020" s="1" t="s">
        <v>1102</v>
      </c>
      <c r="F10020" s="1" t="s">
        <v>14664</v>
      </c>
      <c r="G10020" s="1" t="s">
        <v>28</v>
      </c>
      <c r="H10020" s="1" t="s">
        <v>29</v>
      </c>
      <c r="I10020" s="1" t="str">
        <f ca="1">IFERROR(__xludf.DUMMYFUNCTION("GOOGLETRANSLATE(F10020, ""auto"", ""en"")
"),"The headphones are good. I've been using it for 1.5 years, no problems, pah-pah-pah. The sound is good, but could be better. The wire is, however, too long. For this price it's an ideal option.")</f>
        <v>The headphones are good. I've been using it for 1.5 years, no problems, pah-pah-pah. The sound is good, but could be better. The wire is, however, too long. For this price it's an ideal option.</v>
      </c>
    </row>
    <row r="10021" spans="1:9" x14ac:dyDescent="0.3">
      <c r="A10021" s="1" t="s">
        <v>9</v>
      </c>
      <c r="B10021" s="1" t="s">
        <v>133</v>
      </c>
      <c r="C10021" s="1" t="s">
        <v>19</v>
      </c>
      <c r="D10021" s="1" t="s">
        <v>247</v>
      </c>
      <c r="E10021" s="1" t="s">
        <v>8624</v>
      </c>
      <c r="F10021" s="1" t="s">
        <v>14665</v>
      </c>
      <c r="G10021" s="1" t="s">
        <v>36</v>
      </c>
      <c r="H10021" s="1" t="s">
        <v>29</v>
      </c>
      <c r="I10021" s="1" t="str">
        <f ca="1">IFERROR(__xludf.DUMMYFUNCTION("GOOGLETRANSLATE(F10021, ""auto"", ""en"")
"),"I’ve been using it for about a year, everything bakes well in it, it’s easy to clean (I wipe it with a damp cloth while it’s still not completely cooled down). Although there are not many modes, there are quite enough of them. Convenient timer, nice desig"&amp;"n. One of the disadvantages is that the mode icons are not very clear; at first you constantly had to go through the instructions to decipher them.")</f>
        <v>I’ve been using it for about a year, everything bakes well in it, it’s easy to clean (I wipe it with a damp cloth while it’s still not completely cooled down). Although there are not many modes, there are quite enough of them. Convenient timer, nice design. One of the disadvantages is that the mode icons are not very clear; at first you constantly had to go through the instructions to decipher them.</v>
      </c>
    </row>
    <row r="10022" spans="1:9" x14ac:dyDescent="0.3">
      <c r="A10022" s="1" t="s">
        <v>61</v>
      </c>
      <c r="B10022" s="1" t="s">
        <v>318</v>
      </c>
      <c r="C10022" s="1" t="s">
        <v>745</v>
      </c>
      <c r="D10022" s="1" t="s">
        <v>152</v>
      </c>
      <c r="E10022" s="1" t="s">
        <v>6484</v>
      </c>
      <c r="F10022" s="1" t="s">
        <v>14666</v>
      </c>
      <c r="G10022" s="1" t="s">
        <v>36</v>
      </c>
      <c r="H10022" s="1" t="s">
        <v>29</v>
      </c>
      <c r="I10022" s="1" t="str">
        <f ca="1">IFERROR(__xludf.DUMMYFUNCTION("GOOGLETRANSLATE(F10022, ""auto"", ""en"")
"),"Quality, design, ")</f>
        <v xml:space="preserve">Quality, design, </v>
      </c>
    </row>
    <row r="10023" spans="1:9" x14ac:dyDescent="0.3">
      <c r="A10023" s="1" t="s">
        <v>120</v>
      </c>
      <c r="B10023" s="1" t="s">
        <v>121</v>
      </c>
      <c r="C10023" s="1" t="s">
        <v>80</v>
      </c>
      <c r="D10023" s="1" t="s">
        <v>488</v>
      </c>
      <c r="E10023" s="1" t="s">
        <v>1481</v>
      </c>
      <c r="F10023" s="1" t="s">
        <v>14667</v>
      </c>
      <c r="G10023" s="1" t="s">
        <v>36</v>
      </c>
      <c r="H10023" s="1" t="s">
        <v>29</v>
      </c>
      <c r="I10023" s="1" t="str">
        <f ca="1">IFERROR(__xludf.DUMMYFUNCTION("GOOGLETRANSLATE(F10023, ""auto"", ""en"")
"),"Excellent TV, reads almost all video files (I read it without any problems MKV 35gb), very pleased...")</f>
        <v>Excellent TV, reads almost all video files (I read it without any problems MKV 35gb), very pleased...</v>
      </c>
    </row>
    <row r="10024" spans="1:9" x14ac:dyDescent="0.3">
      <c r="A10024" s="1" t="s">
        <v>17</v>
      </c>
      <c r="B10024" s="1" t="s">
        <v>18</v>
      </c>
      <c r="C10024" s="1" t="s">
        <v>151</v>
      </c>
      <c r="D10024" s="1" t="s">
        <v>1431</v>
      </c>
      <c r="E10024" s="1" t="s">
        <v>634</v>
      </c>
      <c r="F10024" s="1" t="s">
        <v>14668</v>
      </c>
      <c r="G10024" s="1" t="s">
        <v>36</v>
      </c>
      <c r="H10024" s="1" t="s">
        <v>29</v>
      </c>
      <c r="I10024" s="1" t="str">
        <f ca="1">IFERROR(__xludf.DUMMYFUNCTION("GOOGLETRANSLATE(F10024, ""auto"", ""en"")
"),"I bought the car a month ago. The interface is logical, easy to understand for a person who is completely unfamiliar with technology. It washes everything perfectly, the noise level is low. During the spin cycle it stands still, without vibrating or movin"&amp;"g. The large hatch, convenient for loading, closes easily, without additional pressing forces and despite this there are no leaks. It's nice to have a timer. In a word, ergonomics are excellent. It is difficult for me to judge the effectiveness of the hon"&amp;"eycomb drum. For 6 kg I was very pleased with the small overall dimensions. Visually, I really liked the design and build quality. The only thing that confuses me is the Chinese assembly.")</f>
        <v>I bought the car a month ago. The interface is logical, easy to understand for a person who is completely unfamiliar with technology. It washes everything perfectly, the noise level is low. During the spin cycle it stands still, without vibrating or moving. The large hatch, convenient for loading, closes easily, without additional pressing forces and despite this there are no leaks. It's nice to have a timer. In a word, ergonomics are excellent. It is difficult for me to judge the effectiveness of the honeycomb drum. For 6 kg I was very pleased with the small overall dimensions. Visually, I really liked the design and build quality. The only thing that confuses me is the Chinese assembly.</v>
      </c>
    </row>
    <row r="10025" spans="1:9" x14ac:dyDescent="0.3">
      <c r="A10025" s="1" t="s">
        <v>238</v>
      </c>
      <c r="B10025" s="1" t="s">
        <v>3043</v>
      </c>
      <c r="C10025" s="1" t="s">
        <v>122</v>
      </c>
      <c r="D10025" s="1" t="s">
        <v>247</v>
      </c>
      <c r="E10025" s="1" t="s">
        <v>5222</v>
      </c>
      <c r="F10025" s="1" t="s">
        <v>14669</v>
      </c>
      <c r="G10025" s="1" t="s">
        <v>36</v>
      </c>
      <c r="H10025" s="1" t="s">
        <v>29</v>
      </c>
      <c r="I10025" s="1" t="str">
        <f ca="1">IFERROR(__xludf.DUMMYFUNCTION("GOOGLETRANSLATE(F10025, ""auto"", ""en"")
"),"We bought it a few days ago, it fit through an ordinary doorway without any problems, it’s very nice that it rolls on the floor easily in all directions (of course, if it has screwed-in legs), even a woman can easily handle the installation =) noticeable "&amp;"heating of the side walls was observed for about an hour after switching on, then everything leveled off. The instructions say that this is normal. The noise when turned on was no more than usual. In the morning it seemed that the noise was louder, so aga"&amp;"in, according to the instructions, we tightened the legs a little - the noise went away completely. Handsome, big, roomy guy! =) So far I like everything, we’ll keep watching =)")</f>
        <v>We bought it a few days ago, it fit through an ordinary doorway without any problems, it’s very nice that it rolls on the floor easily in all directions (of course, if it has screwed-in legs), even a woman can easily handle the installation =) noticeable heating of the side walls was observed for about an hour after switching on, then everything leveled off. The instructions say that this is normal. The noise when turned on was no more than usual. In the morning it seemed that the noise was louder, so again, according to the instructions, we tightened the legs a little - the noise went away completely. Handsome, big, roomy guy! =) So far I like everything, we’ll keep watching =)</v>
      </c>
    </row>
    <row r="10026" spans="1:9" x14ac:dyDescent="0.3">
      <c r="A10026" s="1" t="s">
        <v>211</v>
      </c>
      <c r="B10026" s="1" t="s">
        <v>410</v>
      </c>
      <c r="C10026" s="1" t="s">
        <v>213</v>
      </c>
      <c r="D10026" s="1" t="s">
        <v>327</v>
      </c>
      <c r="E10026" s="1" t="s">
        <v>4133</v>
      </c>
      <c r="F10026" s="1" t="s">
        <v>14670</v>
      </c>
      <c r="G10026" s="1" t="s">
        <v>36</v>
      </c>
      <c r="H10026" s="1" t="s">
        <v>29</v>
      </c>
      <c r="I10026" s="1" t="str">
        <f ca="1">IFERROR(__xludf.DUMMYFUNCTION("GOOGLETRANSLATE(F10026, ""auto"", ""en"")
"),"I've used electric shavers (rotary) before, and there was always irritation. My wife read somewhere that for sensitive skin and daily shaving you need to use a foil and gave me a gift. I'm delighted, it shaves clean (with foam it turned out even better) T"&amp;"here is no irritation. Rating 5+++")</f>
        <v>I've used electric shavers (rotary) before, and there was always irritation. My wife read somewhere that for sensitive skin and daily shaving you need to use a foil and gave me a gift. I'm delighted, it shaves clean (with foam it turned out even better) There is no irritation. Rating 5+++</v>
      </c>
    </row>
    <row r="10027" spans="1:9" x14ac:dyDescent="0.3">
      <c r="A10027" s="1" t="s">
        <v>17</v>
      </c>
      <c r="B10027" s="1" t="s">
        <v>18</v>
      </c>
      <c r="C10027" s="1" t="s">
        <v>243</v>
      </c>
      <c r="D10027" s="1" t="s">
        <v>5789</v>
      </c>
      <c r="E10027" s="1" t="s">
        <v>802</v>
      </c>
      <c r="F10027" s="1" t="s">
        <v>14671</v>
      </c>
      <c r="G10027" s="1" t="s">
        <v>49</v>
      </c>
      <c r="H10027" s="1" t="s">
        <v>16</v>
      </c>
      <c r="I10027" s="1" t="str">
        <f ca="1">IFERROR(__xludf.DUMMYFUNCTION("GOOGLETRANSLATE(F10027, ""auto"", ""en"")
"),"The machine served for several years, and the other day I washed it for 8 hours in a row... I don’t advise anyone to buy it!!")</f>
        <v>The machine served for several years, and the other day I washed it for 8 hours in a row... I don’t advise anyone to buy it!!</v>
      </c>
    </row>
    <row r="10028" spans="1:9" x14ac:dyDescent="0.3">
      <c r="A10028" s="1" t="s">
        <v>30</v>
      </c>
      <c r="B10028" s="1" t="s">
        <v>50</v>
      </c>
      <c r="C10028" s="1" t="s">
        <v>32</v>
      </c>
      <c r="D10028" s="1" t="s">
        <v>14672</v>
      </c>
      <c r="E10028" s="1" t="s">
        <v>1540</v>
      </c>
      <c r="F10028" s="1" t="s">
        <v>14673</v>
      </c>
      <c r="G10028" s="1" t="s">
        <v>28</v>
      </c>
      <c r="H10028" s="1" t="s">
        <v>29</v>
      </c>
      <c r="I10028" s="1" t="str">
        <f ca="1">IFERROR(__xludf.DUMMYFUNCTION("GOOGLETRANSLATE(F10028, ""auto"", ""en"")
"),"Artyom from Kazan, don’t mislead people. Crysis on this video will certainly not trample on the maximum normally, in comparison, the mobile 5870 with ddr5 pulls out only 15 frames at maximum, I’m already silent about the 5850 with ddr3. Although I don’t k"&amp;"now what you mean by such settings))) at high (but not at ultra!), perhaps “reluctantly” it will work...")</f>
        <v>Artyom from Kazan, don’t mislead people. Crysis on this video will certainly not trample on the maximum normally, in comparison, the mobile 5870 with ddr5 pulls out only 15 frames at maximum, I’m already silent about the 5850 with ddr3. Although I don’t know what you mean by such settings))) at high (but not at ultra!), perhaps “reluctantly” it will work...</v>
      </c>
    </row>
    <row r="10029" spans="1:9" x14ac:dyDescent="0.3">
      <c r="A10029" s="1" t="s">
        <v>369</v>
      </c>
      <c r="B10029" s="1" t="s">
        <v>370</v>
      </c>
      <c r="C10029" s="1" t="s">
        <v>138</v>
      </c>
      <c r="D10029" s="1" t="s">
        <v>4835</v>
      </c>
      <c r="E10029" s="1" t="s">
        <v>7054</v>
      </c>
      <c r="F10029" s="1" t="s">
        <v>14674</v>
      </c>
      <c r="G10029" s="1" t="s">
        <v>36</v>
      </c>
      <c r="H10029" s="1" t="s">
        <v>29</v>
      </c>
      <c r="I10029" s="1" t="str">
        <f ca="1">IFERROR(__xludf.DUMMYFUNCTION("GOOGLETRANSLATE(F10029, ""auto"", ""en"")
"),"A good four-burner stove with a large electric oven. 4 oven modes, including grill. There are many rails for baking sheets and wire racks, although the package only includes 1 baking sheet and 1 wire rack. 1 of the burners is fast-heating, the timer with "&amp;"auto-shut-off is mechanical, the oven door is removable. It's a decent stove for its price.")</f>
        <v>A good four-burner stove with a large electric oven. 4 oven modes, including grill. There are many rails for baking sheets and wire racks, although the package only includes 1 baking sheet and 1 wire rack. 1 of the burners is fast-heating, the timer with auto-shut-off is mechanical, the oven door is removable. It's a decent stove for its price.</v>
      </c>
    </row>
    <row r="10030" spans="1:9" x14ac:dyDescent="0.3">
      <c r="A10030" s="1" t="s">
        <v>149</v>
      </c>
      <c r="B10030" s="1" t="s">
        <v>155</v>
      </c>
      <c r="C10030" s="1" t="s">
        <v>151</v>
      </c>
      <c r="D10030" s="1" t="s">
        <v>172</v>
      </c>
      <c r="E10030" s="1" t="s">
        <v>1700</v>
      </c>
      <c r="F10030" s="1" t="s">
        <v>14675</v>
      </c>
      <c r="G10030" s="1" t="s">
        <v>15</v>
      </c>
      <c r="H10030" s="1" t="s">
        <v>16</v>
      </c>
      <c r="I10030" s="1" t="str">
        <f ca="1">IFERROR(__xludf.DUMMYFUNCTION("GOOGLETRANSLATE(F10030, ""auto"", ""en"")
"),"I was glad, only the first few cleanings.  After two cleanings, you have to thoroughly wash and dry the filter.")</f>
        <v>I was glad, only the first few cleanings.  After two cleanings, you have to thoroughly wash and dry the filter.</v>
      </c>
    </row>
    <row r="10031" spans="1:9" x14ac:dyDescent="0.3">
      <c r="A10031" s="1" t="s">
        <v>211</v>
      </c>
      <c r="B10031" s="1" t="s">
        <v>265</v>
      </c>
      <c r="C10031" s="1" t="s">
        <v>294</v>
      </c>
      <c r="D10031" s="1" t="s">
        <v>305</v>
      </c>
      <c r="E10031" s="1" t="s">
        <v>1408</v>
      </c>
      <c r="F10031" s="1" t="s">
        <v>14676</v>
      </c>
      <c r="G10031" s="1" t="s">
        <v>36</v>
      </c>
      <c r="H10031" s="1" t="s">
        <v>29</v>
      </c>
      <c r="I10031" s="1" t="str">
        <f ca="1">IFERROR(__xludf.DUMMYFUNCTION("GOOGLETRANSLATE(F10031, ""auto"", ""en"")
"),"Surprisingly, it turned out to be a good machine.  The attachments hold tightly, don’t pull hair, cut straight, but I didn’t have a comb in the kit. but it doesn’t matter, the main thing is that you bought a good thing, you can say for pennies (on sale).")</f>
        <v>Surprisingly, it turned out to be a good machine.  The attachments hold tightly, don’t pull hair, cut straight, but I didn’t have a comb in the kit. but it doesn’t matter, the main thing is that you bought a good thing, you can say for pennies (on sale).</v>
      </c>
    </row>
    <row r="10032" spans="1:9" x14ac:dyDescent="0.3">
      <c r="A10032" s="1" t="s">
        <v>149</v>
      </c>
      <c r="B10032" s="1" t="s">
        <v>155</v>
      </c>
      <c r="C10032" s="1" t="s">
        <v>63</v>
      </c>
      <c r="D10032" s="1" t="s">
        <v>14677</v>
      </c>
      <c r="E10032" s="1" t="s">
        <v>14678</v>
      </c>
      <c r="F10032" s="1" t="s">
        <v>14679</v>
      </c>
      <c r="G10032" s="1" t="s">
        <v>36</v>
      </c>
      <c r="H10032" s="1" t="s">
        <v>29</v>
      </c>
      <c r="I10032" s="1" t="str">
        <f ca="1">IFERROR(__xludf.DUMMYFUNCTION("GOOGLETRANSLATE(F10032, ""auto"", ""en"")
"),"A good vacuum cleaner at a reasonable price. Excellent suction power. I liked that there is no dust bag, but there is an excellent spacious bowl. Very high quality build. It works quite quietly, even at maximum power. Collects dust perfectly, leaving clea"&amp;"n and fresh air after cleaning.")</f>
        <v>A good vacuum cleaner at a reasonable price. Excellent suction power. I liked that there is no dust bag, but there is an excellent spacious bowl. Very high quality build. It works quite quietly, even at maximum power. Collects dust perfectly, leaving clean and fresh air after cleaning.</v>
      </c>
    </row>
    <row r="10033" spans="1:9" x14ac:dyDescent="0.3">
      <c r="A10033" s="1" t="s">
        <v>61</v>
      </c>
      <c r="B10033" s="1" t="s">
        <v>180</v>
      </c>
      <c r="C10033" s="1" t="s">
        <v>85</v>
      </c>
      <c r="D10033" s="1" t="s">
        <v>232</v>
      </c>
      <c r="E10033" s="1" t="s">
        <v>1838</v>
      </c>
      <c r="F10033" s="1" t="s">
        <v>14680</v>
      </c>
      <c r="G10033" s="1" t="s">
        <v>36</v>
      </c>
      <c r="H10033" s="1" t="s">
        <v>29</v>
      </c>
      <c r="I10033" s="1" t="str">
        <f ca="1">IFERROR(__xludf.DUMMYFUNCTION("GOOGLETRANSLATE(F10033, ""auto"", ""en"")
"),"After the previous toaster broke down, my wife and I purchased this device. We chose it carefully because we are used to using it quite often. We immediately had our eye on this toaster, attracted by the design and unusual button controls; in addition, th"&amp;"e consultant told us about the smooth rise of the toast. This is now the children's favorite kitchen appliance). Very happy with the purchase, I recommend it to everyone!")</f>
        <v>After the previous toaster broke down, my wife and I purchased this device. We chose it carefully because we are used to using it quite often. We immediately had our eye on this toaster, attracted by the design and unusual button controls; in addition, the consultant told us about the smooth rise of the toast. This is now the children's favorite kitchen appliance). Very happy with the purchase, I recommend it to everyone!</v>
      </c>
    </row>
    <row r="10034" spans="1:9" x14ac:dyDescent="0.3">
      <c r="A10034" s="1" t="s">
        <v>211</v>
      </c>
      <c r="B10034" s="1" t="s">
        <v>384</v>
      </c>
      <c r="C10034" s="1" t="s">
        <v>57</v>
      </c>
      <c r="D10034" s="1" t="s">
        <v>545</v>
      </c>
      <c r="E10034" s="1" t="s">
        <v>1784</v>
      </c>
      <c r="F10034" s="1" t="s">
        <v>14681</v>
      </c>
      <c r="G10034" s="1" t="s">
        <v>49</v>
      </c>
      <c r="H10034" s="1" t="s">
        <v>16</v>
      </c>
      <c r="I10034" s="1" t="str">
        <f ca="1">IFERROR(__xludf.DUMMYFUNCTION("GOOGLETRANSLATE(F10034, ""auto"", ""en"")
"),"Very disappointed with the purchase. I thought they were electronic and accurate, but it turned out that the difference was up to 6-7 kg. The platform is not comfortable, it is inclined, you only need to stand in a certain position. No matter how many tim"&amp;"es I tried to step on the scales, each time the readings were different, and the difference was not 100-200 grams, but about 2-4 kg. The price does not correspond to the quality, although the brand is quite well known. I’ve been using a hairdryer and a VI"&amp;"TEK kettle for several years, I was satisfied, but now I’m hugely disappointed. I had to return it back to the store. I do not recommend buying!")</f>
        <v>Very disappointed with the purchase. I thought they were electronic and accurate, but it turned out that the difference was up to 6-7 kg. The platform is not comfortable, it is inclined, you only need to stand in a certain position. No matter how many times I tried to step on the scales, each time the readings were different, and the difference was not 100-200 grams, but about 2-4 kg. The price does not correspond to the quality, although the brand is quite well known. I’ve been using a hairdryer and a VITEK kettle for several years, I was satisfied, but now I’m hugely disappointed. I had to return it back to the store. I do not recommend buying!</v>
      </c>
    </row>
    <row r="10035" spans="1:9" x14ac:dyDescent="0.3">
      <c r="A10035" s="1" t="s">
        <v>369</v>
      </c>
      <c r="B10035" s="1" t="s">
        <v>587</v>
      </c>
      <c r="C10035" s="1" t="s">
        <v>290</v>
      </c>
      <c r="D10035" s="1" t="s">
        <v>305</v>
      </c>
      <c r="E10035" s="1" t="s">
        <v>686</v>
      </c>
      <c r="F10035" s="1" t="s">
        <v>14682</v>
      </c>
      <c r="G10035" s="1" t="s">
        <v>36</v>
      </c>
      <c r="H10035" s="1" t="s">
        <v>29</v>
      </c>
      <c r="I10035" s="1" t="str">
        <f ca="1">IFERROR(__xludf.DUMMYFUNCTION("GOOGLETRANSLATE(F10035, ""auto"", ""en"")
"),"We bought a stove for the family. We have been using it for 2 months. It took a very long time to choose, about 5 months. The company was looked at exclusively by gorenje. When we chose it, we thought it wouldn’t fit into our kitchen, but it was in vain. "&amp;"Pros: powerful burners, convenient (easy) controls, convenient timer, good color. There are no shortcomings in this stove. The product is just 5+, buy it and don’t be afraid of making a mistake in your choice. I recommend it to all housewives!")</f>
        <v>We bought a stove for the family. We have been using it for 2 months. It took a very long time to choose, about 5 months. The company was looked at exclusively by gorenje. When we chose it, we thought it wouldn’t fit into our kitchen, but it was in vain. Pros: powerful burners, convenient (easy) controls, convenient timer, good color. There are no shortcomings in this stove. The product is just 5+, buy it and don’t be afraid of making a mistake in your choice. I recommend it to all housewives!</v>
      </c>
    </row>
    <row r="10036" spans="1:9" x14ac:dyDescent="0.3">
      <c r="A10036" s="1" t="s">
        <v>17</v>
      </c>
      <c r="B10036" s="1" t="s">
        <v>18</v>
      </c>
      <c r="C10036" s="1" t="s">
        <v>80</v>
      </c>
      <c r="D10036" s="1" t="s">
        <v>1188</v>
      </c>
      <c r="E10036" s="1" t="s">
        <v>375</v>
      </c>
      <c r="F10036" s="1" t="s">
        <v>14683</v>
      </c>
      <c r="G10036" s="1" t="s">
        <v>28</v>
      </c>
      <c r="H10036" s="1" t="s">
        <v>29</v>
      </c>
      <c r="I10036" s="1" t="str">
        <f ca="1">IFERROR(__xludf.DUMMYFUNCTION("GOOGLETRANSLATE(F10036, ""auto"", ""en"")
"),"The main criterion for choosing a washing machine was noiselessness, because... It was planned to install it in the kitchen. The choice fell on the direct drive LG 1056 ND1. Naturally we set it level, and naturally we unscrewed the notorious transport bol"&amp;"ts.  Of the minuses: the expected \""silence\"" did not work out. At the moment of spinning, the noise is tolerable, and the engine whistles, hums and howls strainedly, but not fatally. The moment of washing is also not particularly annoying - you can hea"&amp;"r the laundry bouncing as it hits the walls, but when the door is closed there is no problem. But the nervous, jerky draining/filling of water, rinsing and acceleration/braking are just horrifying! The machine makes sounds comparable to a jet plane, while"&amp;" it vibrates, sways and twitches with its entire body, although, to its credit, it doesn’t move from place to place (we didn’t buy pads for the legs, the floor is linoleum). I read a previous review about a glass of water and was amazed; in my case, alrea"&amp;"dy at the beginning of the wash, it merrily jumped along the top panel onto the floor. Another disadvantage is that a sufficient amount of questionably clean water accumulates in the rubber rim between the hatch and the drum. However, it can be removed wi"&amp;"th a dry cloth before unloading the laundry.  Pros: It washes and wrings really WELL - and this is perhaps the most important thing. Many modes for all occasions, the additional mode is good. rinsing when you take out warm underwear. Convenient and intuit"&amp;"ive controls, elegant appearance - all these buttons, multi-colored lights - beautiful.  Summary: Provided that the machine works in the same quality for 5 years, I am ready to put up with its large tremors and strange noises. And in terms of price-qualit"&amp;"y ratio, it's really worth it.")</f>
        <v>The main criterion for choosing a washing machine was noiselessness, because... It was planned to install it in the kitchen. The choice fell on the direct drive LG 1056 ND1. Naturally we set it level, and naturally we unscrewed the notorious transport bolts.  Of the minuses: the expected \"silence\" did not work out. At the moment of spinning, the noise is tolerable, and the engine whistles, hums and howls strainedly, but not fatally. The moment of washing is also not particularly annoying - you can hear the laundry bouncing as it hits the walls, but when the door is closed there is no problem. But the nervous, jerky draining/filling of water, rinsing and acceleration/braking are just horrifying! The machine makes sounds comparable to a jet plane, while it vibrates, sways and twitches with its entire body, although, to its credit, it doesn’t move from place to place (we didn’t buy pads for the legs, the floor is linoleum). I read a previous review about a glass of water and was amazed; in my case, already at the beginning of the wash, it merrily jumped along the top panel onto the floor. Another disadvantage is that a sufficient amount of questionably clean water accumulates in the rubber rim between the hatch and the drum. However, it can be removed with a dry cloth before unloading the laundry.  Pros: It washes and wrings really WELL - and this is perhaps the most important thing. Many modes for all occasions, the additional mode is good. rinsing when you take out warm underwear. Convenient and intuitive controls, elegant appearance - all these buttons, multi-colored lights - beautiful.  Summary: Provided that the machine works in the same quality for 5 years, I am ready to put up with its large tremors and strange noises. And in terms of price-quality ratio, it's really worth it.</v>
      </c>
    </row>
    <row r="10037" spans="1:9" x14ac:dyDescent="0.3">
      <c r="A10037" s="1" t="s">
        <v>30</v>
      </c>
      <c r="B10037" s="1" t="s">
        <v>50</v>
      </c>
      <c r="C10037" s="1" t="s">
        <v>51</v>
      </c>
      <c r="D10037" s="1" t="s">
        <v>327</v>
      </c>
      <c r="E10037" s="1" t="s">
        <v>436</v>
      </c>
      <c r="F10037" s="1" t="s">
        <v>14684</v>
      </c>
      <c r="G10037" s="1" t="s">
        <v>28</v>
      </c>
      <c r="H10037" s="1" t="s">
        <v>29</v>
      </c>
      <c r="I10037" s="1" t="str">
        <f ca="1">IFERROR(__xludf.DUMMYFUNCTION("GOOGLETRANSLATE(F10037, ""auto"", ""en"")
"),"I bought it about a month ago - early September 2009. Pros: - Runs Windows Vista without any brakes;  - When opening multiple applications, MS Office, CorelDraw, PhotoshopElements, etc. - no brakes were noticed either;  - A good set of programs from the s"&amp;"upplier + shell for children;  - Fairly good screen Cons: - Battery drains quickly, approximately 1.5-2 hours of battery life;  - I would like Vista Home Premium to be preinstalled by default (Basic - does not allow you to install virtualization tools);  "&amp;"- The case is very dirty.")</f>
        <v>I bought it about a month ago - early September 2009. Pros: - Runs Windows Vista without any brakes;  - When opening multiple applications, MS Office, CorelDraw, PhotoshopElements, etc. - no brakes were noticed either;  - A good set of programs from the supplier + shell for children;  - Fairly good screen Cons: - Battery drains quickly, approximately 1.5-2 hours of battery life;  - I would like Vista Home Premium to be preinstalled by default (Basic - does not allow you to install virtualization tools);  - The case is very dirty.</v>
      </c>
    </row>
    <row r="10038" spans="1:9" x14ac:dyDescent="0.3">
      <c r="A10038" s="1" t="s">
        <v>30</v>
      </c>
      <c r="B10038" s="1" t="s">
        <v>50</v>
      </c>
      <c r="C10038" s="1" t="s">
        <v>1003</v>
      </c>
      <c r="D10038" s="1" t="s">
        <v>152</v>
      </c>
      <c r="E10038" s="1" t="s">
        <v>2348</v>
      </c>
      <c r="F10038" s="1" t="s">
        <v>14685</v>
      </c>
      <c r="G10038" s="1" t="s">
        <v>36</v>
      </c>
      <c r="H10038" s="1" t="s">
        <v>29</v>
      </c>
      <c r="I10038" s="1" t="str">
        <f ca="1">IFERROR(__xludf.DUMMYFUNCTION("GOOGLETRANSLATE(F10038, ""auto"", ""en"")
"),"I bought it, it's just amazing. The only negative is that there is no bluetooth. And one more problem, I don’t understand how to use the IrDa (infrared) Port. If anyone figured it out please tell me...")</f>
        <v>I bought it, it's just amazing. The only negative is that there is no bluetooth. And one more problem, I don’t understand how to use the IrDa (infrared) Port. If anyone figured it out please tell me...</v>
      </c>
    </row>
    <row r="10039" spans="1:9" x14ac:dyDescent="0.3">
      <c r="A10039" s="1" t="s">
        <v>105</v>
      </c>
      <c r="B10039" s="1" t="s">
        <v>106</v>
      </c>
      <c r="C10039" s="1" t="s">
        <v>151</v>
      </c>
      <c r="D10039" s="1" t="s">
        <v>1894</v>
      </c>
      <c r="E10039" s="1" t="s">
        <v>460</v>
      </c>
      <c r="F10039" s="1" t="s">
        <v>14686</v>
      </c>
      <c r="G10039" s="1" t="s">
        <v>28</v>
      </c>
      <c r="H10039" s="1" t="s">
        <v>29</v>
      </c>
      <c r="I10039" s="1" t="str">
        <f ca="1">IFERROR(__xludf.DUMMYFUNCTION("GOOGLETRANSLATE(F10039, ""auto"", ""en"")
"),"Decent player.   It’s a pity I already have an Iconbit 4 inch with a touch screen for 4,500 rubles, which can already read mkv, play movies on a TV via hdmi 1.3 and is a usb hub.")</f>
        <v>Decent player.   It’s a pity I already have an Iconbit 4 inch with a touch screen for 4,500 rubles, which can already read mkv, play movies on a TV via hdmi 1.3 and is a usb hub.</v>
      </c>
    </row>
    <row r="10040" spans="1:9" x14ac:dyDescent="0.3">
      <c r="A10040" s="1" t="s">
        <v>211</v>
      </c>
      <c r="B10040" s="1" t="s">
        <v>515</v>
      </c>
      <c r="C10040" s="1" t="s">
        <v>213</v>
      </c>
      <c r="D10040" s="1" t="s">
        <v>545</v>
      </c>
      <c r="E10040" s="1" t="s">
        <v>386</v>
      </c>
      <c r="F10040" s="1" t="s">
        <v>14687</v>
      </c>
      <c r="G10040" s="1" t="s">
        <v>36</v>
      </c>
      <c r="H10040" s="1" t="s">
        <v>29</v>
      </c>
      <c r="I10040" s="1" t="str">
        <f ca="1">IFERROR(__xludf.DUMMYFUNCTION("GOOGLETRANSLATE(F10040, ""auto"", ""en"")
"),"I really liked using it. It's really not too noisy. Yes, the skin on the legs turns very red, but it’s the same with waxing, but it goes away very quickly!")</f>
        <v>I really liked using it. It's really not too noisy. Yes, the skin on the legs turns very red, but it’s the same with waxing, but it goes away very quickly!</v>
      </c>
    </row>
    <row r="10041" spans="1:9" x14ac:dyDescent="0.3">
      <c r="A10041" s="1" t="s">
        <v>9</v>
      </c>
      <c r="B10041" s="1" t="s">
        <v>133</v>
      </c>
      <c r="C10041" s="1" t="s">
        <v>466</v>
      </c>
      <c r="D10041" s="1" t="s">
        <v>14688</v>
      </c>
      <c r="E10041" s="1" t="s">
        <v>2231</v>
      </c>
      <c r="F10041" s="1" t="s">
        <v>14689</v>
      </c>
      <c r="G10041" s="1" t="s">
        <v>36</v>
      </c>
      <c r="H10041" s="1" t="s">
        <v>29</v>
      </c>
      <c r="I10041" s="1" t="str">
        <f ca="1">IFERROR(__xludf.DUMMYFUNCTION("GOOGLETRANSLATE(F10041, ""auto"", ""en"")
"),"We bought this oven and are very happy!!! For such a price there are so many functions, and even with convection! Analogues of popular brands cost from 13 thousand. We chose it on the Internet, but they were no longer available except for an exhibition co"&amp;"py. It was not for nothing that we “rushed” to Eburg and took it from “Carnival”. Now we constantly grill and bake all sorts of delicious things. I recommend this super oven to everyone!")</f>
        <v>We bought this oven and are very happy!!! For such a price there are so many functions, and even with convection! Analogues of popular brands cost from 13 thousand. We chose it on the Internet, but they were no longer available except for an exhibition copy. It was not for nothing that we “rushed” to Eburg and took it from “Carnival”. Now we constantly grill and bake all sorts of delicious things. I recommend this super oven to everyone!</v>
      </c>
    </row>
    <row r="10042" spans="1:9" x14ac:dyDescent="0.3">
      <c r="A10042" s="1" t="s">
        <v>149</v>
      </c>
      <c r="B10042" s="1" t="s">
        <v>155</v>
      </c>
      <c r="C10042" s="1" t="s">
        <v>80</v>
      </c>
      <c r="D10042" s="1" t="s">
        <v>166</v>
      </c>
      <c r="E10042" s="1" t="s">
        <v>3435</v>
      </c>
      <c r="F10042" s="1" t="s">
        <v>14690</v>
      </c>
      <c r="G10042" s="1" t="s">
        <v>36</v>
      </c>
      <c r="H10042" s="1" t="s">
        <v>29</v>
      </c>
      <c r="I10042" s="1" t="str">
        <f ca="1">IFERROR(__xludf.DUMMYFUNCTION("GOOGLETRANSLATE(F10042, ""auto"", ""en"")
"),"Messages about the cost of filters are complete nonsense! In M-Video the cost of filters is 500 rubles. Always on sale!")</f>
        <v>Messages about the cost of filters are complete nonsense! In M-Video the cost of filters is 500 rubles. Always on sale!</v>
      </c>
    </row>
    <row r="10043" spans="1:9" x14ac:dyDescent="0.3">
      <c r="A10043" s="1" t="s">
        <v>37</v>
      </c>
      <c r="B10043" s="1" t="s">
        <v>1829</v>
      </c>
      <c r="C10043" s="1" t="s">
        <v>151</v>
      </c>
      <c r="D10043" s="1" t="s">
        <v>1431</v>
      </c>
      <c r="E10043" s="1" t="s">
        <v>9021</v>
      </c>
      <c r="F10043" s="1" t="s">
        <v>14691</v>
      </c>
      <c r="G10043" s="1" t="s">
        <v>36</v>
      </c>
      <c r="H10043" s="1" t="s">
        <v>29</v>
      </c>
      <c r="I10043" s="1" t="str">
        <f ca="1">IFERROR(__xludf.DUMMYFUNCTION("GOOGLETRANSLATE(F10043, ""auto"", ""en"")
"),"I've been using the device for two months now. There are no problems at all. I went on vacation with him and used him as a navigator. 6000 km on the windshield, the heat is terrible (nothing cracked). Defects are a natural occurrence for all manufacturers"&amp;". Samsa sold this device in 2 months for 20,000,000. So when reading reviews, think with your own head.")</f>
        <v>I've been using the device for two months now. There are no problems at all. I went on vacation with him and used him as a navigator. 6000 km on the windshield, the heat is terrible (nothing cracked). Defects are a natural occurrence for all manufacturers. Samsa sold this device in 2 months for 20,000,000. So when reading reviews, think with your own head.</v>
      </c>
    </row>
    <row r="10044" spans="1:9" x14ac:dyDescent="0.3">
      <c r="A10044" s="1" t="s">
        <v>30</v>
      </c>
      <c r="B10044" s="1" t="s">
        <v>50</v>
      </c>
      <c r="C10044" s="1" t="s">
        <v>658</v>
      </c>
      <c r="D10044" s="1" t="s">
        <v>232</v>
      </c>
      <c r="E10044" s="1" t="s">
        <v>379</v>
      </c>
      <c r="F10044" s="1" t="s">
        <v>14692</v>
      </c>
      <c r="G10044" s="1" t="s">
        <v>36</v>
      </c>
      <c r="H10044" s="1" t="s">
        <v>29</v>
      </c>
      <c r="I10044" s="1" t="str">
        <f ca="1">IFERROR(__xludf.DUMMYFUNCTION("GOOGLETRANSLATE(F10044, ""auto"", ""en"")
"),"A good laptop for the money. The case is not easily soiled. Decent performance by modern standards. I removed the standard Win HB and installed win 7 64 bit Maximum, it works with a bang. Not all drivers are available on the manufacturer's website. Some h"&amp;"ad to be installed using Vista.")</f>
        <v>A good laptop for the money. The case is not easily soiled. Decent performance by modern standards. I removed the standard Win HB and installed win 7 64 bit Maximum, it works with a bang. Not all drivers are available on the manufacturer's website. Some had to be installed using Vista.</v>
      </c>
    </row>
    <row r="10045" spans="1:9" x14ac:dyDescent="0.3">
      <c r="A10045" s="1" t="s">
        <v>17</v>
      </c>
      <c r="B10045" s="1" t="s">
        <v>18</v>
      </c>
      <c r="C10045" s="1" t="s">
        <v>243</v>
      </c>
      <c r="D10045" s="1" t="s">
        <v>385</v>
      </c>
      <c r="E10045" s="1" t="s">
        <v>7671</v>
      </c>
      <c r="F10045" s="1" t="s">
        <v>14693</v>
      </c>
      <c r="G10045" s="1" t="s">
        <v>36</v>
      </c>
      <c r="H10045" s="1" t="s">
        <v>29</v>
      </c>
      <c r="I10045" s="1" t="str">
        <f ca="1">IFERROR(__xludf.DUMMYFUNCTION("GOOGLETRANSLATE(F10045, ""auto"", ""en"")
"),"We bought it a year ago on sale, but didn’t buy the expensive one because... We just bought an apartment and were tight with money. Cleans well, only makes noise when spinning. There was one problem when you use quick wash modes (time wash), the time stop"&amp;"ped at 1 minute, and the machine could not turn off for an hour or more. We didn’t return it under warranty; we found a way out - we use standard modes.  Excellent price-quality ratio. It's worth the money! By the way, we bought it before the dollar jump "&amp;"for 7990)))")</f>
        <v>We bought it a year ago on sale, but didn’t buy the expensive one because... We just bought an apartment and were tight with money. Cleans well, only makes noise when spinning. There was one problem when you use quick wash modes (time wash), the time stopped at 1 minute, and the machine could not turn off for an hour or more. We didn’t return it under warranty; we found a way out - we use standard modes.  Excellent price-quality ratio. It's worth the money! By the way, we bought it before the dollar jump for 7990)))</v>
      </c>
    </row>
    <row r="10046" spans="1:9" x14ac:dyDescent="0.3">
      <c r="A10046" s="1" t="s">
        <v>120</v>
      </c>
      <c r="B10046" s="1" t="s">
        <v>126</v>
      </c>
      <c r="C10046" s="1" t="s">
        <v>151</v>
      </c>
      <c r="D10046" s="1" t="s">
        <v>33</v>
      </c>
      <c r="E10046" s="1" t="s">
        <v>498</v>
      </c>
      <c r="F10046" s="1" t="s">
        <v>14694</v>
      </c>
      <c r="G10046" s="1" t="s">
        <v>36</v>
      </c>
      <c r="H10046" s="1" t="s">
        <v>29</v>
      </c>
      <c r="I10046" s="1" t="str">
        <f ca="1">IFERROR(__xludf.DUMMYFUNCTION("GOOGLETRANSLATE(F10046, ""auto"", ""en"")
"),"I can't get enough of watching TV. I've been dreaming about this for a long time!!! After the small screen it doesn't seem really big. It's great to watch football!!!")</f>
        <v>I can't get enough of watching TV. I've been dreaming about this for a long time!!! After the small screen it doesn't seem really big. It's great to watch football!!!</v>
      </c>
    </row>
    <row r="10047" spans="1:9" x14ac:dyDescent="0.3">
      <c r="A10047" s="1" t="s">
        <v>61</v>
      </c>
      <c r="B10047" s="1" t="s">
        <v>977</v>
      </c>
      <c r="C10047" s="1" t="s">
        <v>85</v>
      </c>
      <c r="D10047" s="1" t="s">
        <v>58</v>
      </c>
      <c r="E10047" s="1" t="s">
        <v>1034</v>
      </c>
      <c r="F10047" s="1" t="s">
        <v>14695</v>
      </c>
      <c r="G10047" s="1" t="s">
        <v>36</v>
      </c>
      <c r="H10047" s="1" t="s">
        <v>29</v>
      </c>
      <c r="I10047" s="1" t="str">
        <f ca="1">IFERROR(__xludf.DUMMYFUNCTION("GOOGLETRANSLATE(F10047, ""auto"", ""en"")
"),"Awesome!!!   Gave it to my mom for New Years about two years ago.  Mom is very happy with the Bork E800 mixer! Accordingly, we are very happy!  All made of stainless steel! Very easy to operate!  Thanks Bork! Thanks M.video!!!")</f>
        <v>Awesome!!!   Gave it to my mom for New Years about two years ago.  Mom is very happy with the Bork E800 mixer! Accordingly, we are very happy!  All made of stainless steel! Very easy to operate!  Thanks Bork! Thanks M.video!!!</v>
      </c>
    </row>
    <row r="10048" spans="1:9" x14ac:dyDescent="0.3">
      <c r="A10048" s="1" t="s">
        <v>37</v>
      </c>
      <c r="B10048" s="1" t="s">
        <v>38</v>
      </c>
      <c r="C10048" s="1" t="s">
        <v>163</v>
      </c>
      <c r="D10048" s="1" t="s">
        <v>8321</v>
      </c>
      <c r="E10048" s="1" t="s">
        <v>956</v>
      </c>
      <c r="F10048" s="1" t="s">
        <v>14696</v>
      </c>
      <c r="G10048" s="1" t="s">
        <v>36</v>
      </c>
      <c r="H10048" s="1" t="s">
        <v>29</v>
      </c>
      <c r="I10048" s="1" t="str">
        <f ca="1">IFERROR(__xludf.DUMMYFUNCTION("GOOGLETRANSLATE(F10048, ""auto"", ""en"")
"),"I bought one of these in August 2009, it made me very happy, but in January it was stolen = (one of these days I’ll buy the same one for myself again")</f>
        <v>I bought one of these in August 2009, it made me very happy, but in January it was stolen = (one of these days I’ll buy the same one for myself again</v>
      </c>
    </row>
    <row r="10049" spans="1:9" x14ac:dyDescent="0.3">
      <c r="A10049" s="1" t="s">
        <v>369</v>
      </c>
      <c r="B10049" s="1" t="s">
        <v>2480</v>
      </c>
      <c r="C10049" s="1" t="s">
        <v>453</v>
      </c>
      <c r="D10049" s="1" t="s">
        <v>139</v>
      </c>
      <c r="E10049" s="1" t="s">
        <v>4888</v>
      </c>
      <c r="F10049" s="1" t="s">
        <v>14697</v>
      </c>
      <c r="G10049" s="1" t="s">
        <v>49</v>
      </c>
      <c r="H10049" s="1" t="s">
        <v>16</v>
      </c>
      <c r="I10049" s="1" t="str">
        <f ca="1">IFERROR(__xludf.DUMMYFUNCTION("GOOGLETRANSLATE(F10049, ""auto"", ""en"")
"),"I bought it a long time ago, I wouldn’t even remember it, but I came across it and decided to warn others. Angle tile I worked for 3 weeks and burned out.")</f>
        <v>I bought it a long time ago, I wouldn’t even remember it, but I came across it and decided to warn others. Angle tile I worked for 3 weeks and burned out.</v>
      </c>
    </row>
    <row r="10050" spans="1:9" x14ac:dyDescent="0.3">
      <c r="A10050" s="1" t="s">
        <v>9</v>
      </c>
      <c r="B10050" s="1" t="s">
        <v>10</v>
      </c>
      <c r="C10050" s="1" t="s">
        <v>466</v>
      </c>
      <c r="D10050" s="1" t="s">
        <v>940</v>
      </c>
      <c r="E10050" s="1" t="s">
        <v>610</v>
      </c>
      <c r="F10050" s="1" t="s">
        <v>14698</v>
      </c>
      <c r="G10050" s="1" t="s">
        <v>49</v>
      </c>
      <c r="H10050" s="1" t="s">
        <v>16</v>
      </c>
      <c r="I10050" s="1" t="str">
        <f ca="1">IFERROR(__xludf.DUMMYFUNCTION("GOOGLETRANSLATE(F10050, ""auto"", ""en"")
"),"Complete nonsense. In less than three years, two engine replacements. At their own expense, since the warranty is one year, they work. Engine price - 4000 rub. Noisy, difficult to clean.&amp;nbsp;")</f>
        <v>Complete nonsense. In less than three years, two engine replacements. At their own expense, since the warranty is one year, they work. Engine price - 4000 rub. Noisy, difficult to clean.&amp;nbsp;</v>
      </c>
    </row>
    <row r="10051" spans="1:9" x14ac:dyDescent="0.3">
      <c r="A10051" s="1" t="s">
        <v>149</v>
      </c>
      <c r="B10051" s="1" t="s">
        <v>423</v>
      </c>
      <c r="C10051" s="1" t="s">
        <v>69</v>
      </c>
      <c r="D10051" s="1" t="s">
        <v>114</v>
      </c>
      <c r="E10051" s="1" t="s">
        <v>1122</v>
      </c>
      <c r="F10051" s="1" t="s">
        <v>14699</v>
      </c>
      <c r="G10051" s="1" t="s">
        <v>28</v>
      </c>
      <c r="H10051" s="1" t="s">
        <v>29</v>
      </c>
      <c r="I10051" s="1" t="str">
        <f ca="1">IFERROR(__xludf.DUMMYFUNCTION("GOOGLETRANSLATE(F10051, ""auto"", ""en"")
"),"I've been using it for six months. The power button is broken. ""Stuck"" in the ON position. It was repaired by the service in two weeks.  Hoses are not easy to wash.")</f>
        <v>I've been using it for six months. The power button is broken. "Stuck" in the ON position. It was repaired by the service in two weeks.  Hoses are not easy to wash.</v>
      </c>
    </row>
    <row r="10052" spans="1:9" x14ac:dyDescent="0.3">
      <c r="A10052" s="1" t="s">
        <v>30</v>
      </c>
      <c r="B10052" s="1" t="s">
        <v>50</v>
      </c>
      <c r="C10052" s="1" t="s">
        <v>189</v>
      </c>
      <c r="D10052" s="1" t="s">
        <v>10918</v>
      </c>
      <c r="E10052" s="1" t="s">
        <v>594</v>
      </c>
      <c r="F10052" s="1" t="s">
        <v>14700</v>
      </c>
      <c r="G10052" s="1" t="s">
        <v>36</v>
      </c>
      <c r="H10052" s="1" t="s">
        <v>29</v>
      </c>
      <c r="I10052" s="1" t="str">
        <f ca="1">IFERROR(__xludf.DUMMYFUNCTION("GOOGLETRANSLATE(F10052, ""auto"", ""en"")
"),"A good machine in its price segment; you won’t find an Asus with such a processor cheaper. The picture is superb. Games can be played once or twice, the integrated video card is enough. The cooling system is excellent, the laptop is almost silent. I've be"&amp;"en using it for a month, so far I'm happy with this model.")</f>
        <v>A good machine in its price segment; you won’t find an Asus with such a processor cheaper. The picture is superb. Games can be played once or twice, the integrated video card is enough. The cooling system is excellent, the laptop is almost silent. I've been using it for a month, so far I'm happy with this model.</v>
      </c>
    </row>
    <row r="10053" spans="1:9" x14ac:dyDescent="0.3">
      <c r="A10053" s="1" t="s">
        <v>43</v>
      </c>
      <c r="B10053" s="1" t="s">
        <v>1370</v>
      </c>
      <c r="C10053" s="1" t="s">
        <v>2137</v>
      </c>
      <c r="D10053" s="1" t="s">
        <v>232</v>
      </c>
      <c r="E10053" s="1" t="s">
        <v>12068</v>
      </c>
      <c r="F10053" s="1" t="s">
        <v>14701</v>
      </c>
      <c r="G10053" s="1" t="s">
        <v>49</v>
      </c>
      <c r="H10053" s="1" t="s">
        <v>16</v>
      </c>
      <c r="I10053" s="1" t="str">
        <f ca="1">IFERROR(__xludf.DUMMYFUNCTION("GOOGLETRANSLATE(F10053, ""auto"", ""en"")
"),"It worked for about six months, at first it started turning off after a couple of minutes of work, we didn’t even have time to take a shower, then it stopped turning on completely")</f>
        <v>It worked for about six months, at first it started turning off after a couple of minutes of work, we didn’t even have time to take a shower, then it stopped turning on completely</v>
      </c>
    </row>
    <row r="10054" spans="1:9" x14ac:dyDescent="0.3">
      <c r="A10054" s="1" t="s">
        <v>149</v>
      </c>
      <c r="B10054" s="1" t="s">
        <v>423</v>
      </c>
      <c r="C10054" s="1" t="s">
        <v>314</v>
      </c>
      <c r="D10054" s="1" t="s">
        <v>2412</v>
      </c>
      <c r="E10054" s="1" t="s">
        <v>7367</v>
      </c>
      <c r="F10054" s="1" t="s">
        <v>6982</v>
      </c>
      <c r="G10054" s="1" t="s">
        <v>36</v>
      </c>
      <c r="H10054" s="1" t="s">
        <v>29</v>
      </c>
      <c r="I10054" s="1" t="str">
        <f ca="1">IFERROR(__xludf.DUMMYFUNCTION("GOOGLETRANSLATE(F10054, ""auto"", ""en"")
"),"only advantages")</f>
        <v>only advantages</v>
      </c>
    </row>
    <row r="10055" spans="1:9" x14ac:dyDescent="0.3">
      <c r="A10055" s="1" t="s">
        <v>17</v>
      </c>
      <c r="B10055" s="1" t="s">
        <v>18</v>
      </c>
      <c r="C10055" s="1" t="s">
        <v>243</v>
      </c>
      <c r="D10055" s="1" t="s">
        <v>114</v>
      </c>
      <c r="E10055" s="1" t="s">
        <v>8591</v>
      </c>
      <c r="F10055" s="1" t="s">
        <v>14702</v>
      </c>
      <c r="G10055" s="1" t="s">
        <v>36</v>
      </c>
      <c r="H10055" s="1" t="s">
        <v>29</v>
      </c>
      <c r="I10055" s="1" t="str">
        <f ca="1">IFERROR(__xludf.DUMMYFUNCTION("GOOGLETRANSLATE(F10055, ""auto"", ""en"")
"),"It's been working for a year now and no problems - set it level and everything works fine")</f>
        <v>It's been working for a year now and no problems - set it level and everything works fine</v>
      </c>
    </row>
    <row r="10056" spans="1:9" x14ac:dyDescent="0.3">
      <c r="A10056" s="1" t="s">
        <v>369</v>
      </c>
      <c r="B10056" s="1" t="s">
        <v>370</v>
      </c>
      <c r="C10056" s="1" t="s">
        <v>290</v>
      </c>
      <c r="D10056" s="1" t="s">
        <v>326</v>
      </c>
      <c r="E10056" s="1" t="s">
        <v>1441</v>
      </c>
      <c r="F10056" s="1" t="s">
        <v>14703</v>
      </c>
      <c r="G10056" s="1" t="s">
        <v>49</v>
      </c>
      <c r="H10056" s="1" t="s">
        <v>16</v>
      </c>
      <c r="I10056" s="1" t="str">
        <f ca="1">IFERROR(__xludf.DUMMYFUNCTION("GOOGLETRANSLATE(F10056, ""auto"", ""en"")
"),"Good afternoon I purchased this stove almost 2 years ago. After 1.5 years, I discovered a crack as thick as a hair on the burner. At first I decided that I had hit her with something or scratched her with a dish. I stopped using this burner, but today I f"&amp;"ound another one just like it on another one. It is not clear what caused the cracks. Most likely marriage. Hair-thin cracks are clearly not a mechanical shock, and I have special dishes. Now I'm afraid to even use this stove. You'll have to buy a new one"&amp;". Completely disappointed in the coverage. There is nothing better than cast iron mugs. It's a shame they stopped making it.")</f>
        <v>Good afternoon I purchased this stove almost 2 years ago. After 1.5 years, I discovered a crack as thick as a hair on the burner. At first I decided that I had hit her with something or scratched her with a dish. I stopped using this burner, but today I found another one just like it on another one. It is not clear what caused the cracks. Most likely marriage. Hair-thin cracks are clearly not a mechanical shock, and I have special dishes. Now I'm afraid to even use this stove. You'll have to buy a new one. Completely disappointed in the coverage. There is nothing better than cast iron mugs. It's a shame they stopped making it.</v>
      </c>
    </row>
    <row r="10057" spans="1:9" x14ac:dyDescent="0.3">
      <c r="A10057" s="1" t="s">
        <v>120</v>
      </c>
      <c r="B10057" s="1" t="s">
        <v>121</v>
      </c>
      <c r="C10057" s="1" t="s">
        <v>69</v>
      </c>
      <c r="D10057" s="1" t="s">
        <v>420</v>
      </c>
      <c r="E10057" s="1" t="s">
        <v>2432</v>
      </c>
      <c r="F10057" s="1" t="s">
        <v>14704</v>
      </c>
      <c r="G10057" s="1" t="s">
        <v>28</v>
      </c>
      <c r="H10057" s="1" t="s">
        <v>29</v>
      </c>
      <c r="I10057" s="1" t="str">
        <f ca="1">IFERROR(__xludf.DUMMYFUNCTION("GOOGLETRANSLATE(F10057, ""auto"", ""en"")
"),"The TV is normal, when connected to a computer via a component connector it produces a resolution of 1920 x 1080, 1080i, and the sound can be sent through the computer to different speakers and the result will be 5.1.  Overall happy with the purchase.")</f>
        <v>The TV is normal, when connected to a computer via a component connector it produces a resolution of 1920 x 1080, 1080i, and the sound can be sent through the computer to different speakers and the result will be 5.1.  Overall happy with the purchase.</v>
      </c>
    </row>
    <row r="10058" spans="1:9" x14ac:dyDescent="0.3">
      <c r="A10058" s="1" t="s">
        <v>169</v>
      </c>
      <c r="B10058" s="1" t="s">
        <v>170</v>
      </c>
      <c r="C10058" s="1" t="s">
        <v>171</v>
      </c>
      <c r="D10058" s="1" t="s">
        <v>3183</v>
      </c>
      <c r="E10058" s="1" t="s">
        <v>994</v>
      </c>
      <c r="F10058" s="1" t="s">
        <v>14705</v>
      </c>
      <c r="G10058" s="1" t="s">
        <v>49</v>
      </c>
      <c r="H10058" s="1" t="s">
        <v>16</v>
      </c>
      <c r="I10058" s="1" t="str">
        <f ca="1">IFERROR(__xludf.DUMMYFUNCTION("GOOGLETRANSLATE(F10058, ""auto"", ""en"")
"),"Yes, I'm withdrawing my previous good review. those headphones that I had (768vc) and these are just like heaven and earth. You can’t hear anything at all in these headphones, as the previous unfortunate owner said - it feels like there are simply no freq"&amp;"uencies, some creak, others are noisy... the equalizer didn’t get anything out... I was relying on a cheap company and in vain.   I just bought creative ep 630 clones for 720 - great!")</f>
        <v>Yes, I'm withdrawing my previous good review. those headphones that I had (768vc) and these are just like heaven and earth. You can’t hear anything at all in these headphones, as the previous unfortunate owner said - it feels like there are simply no frequencies, some creak, others are noisy... the equalizer didn’t get anything out... I was relying on a cheap company and in vain.   I just bought creative ep 630 clones for 720 - great!</v>
      </c>
    </row>
    <row r="10059" spans="1:9" x14ac:dyDescent="0.3">
      <c r="A10059" s="1" t="s">
        <v>369</v>
      </c>
      <c r="B10059" s="1" t="s">
        <v>587</v>
      </c>
      <c r="C10059" s="1" t="s">
        <v>290</v>
      </c>
      <c r="D10059" s="1" t="s">
        <v>1593</v>
      </c>
      <c r="E10059" s="1" t="s">
        <v>6098</v>
      </c>
      <c r="F10059" s="1" t="s">
        <v>14706</v>
      </c>
      <c r="G10059" s="1" t="s">
        <v>28</v>
      </c>
      <c r="H10059" s="1" t="s">
        <v>29</v>
      </c>
      <c r="I10059" s="1" t="str">
        <f ca="1">IFERROR(__xludf.DUMMYFUNCTION("GOOGLETRANSLATE(F10059, ""auto"", ""en"")
"),"I purchased the stove 2 months ago. There are no problems. The oven works great. The service manager installed it, adjusted the gas supply to the oven, explained that when igniting it, you need to press the ignition button for 10 seconds without removing "&amp;"your hand, and warm it up for 10 minutes before adjusting the temperature. No problem. The only thing I wanted was a convection oven, they said there were managers, but it turned out there weren’t.")</f>
        <v>I purchased the stove 2 months ago. There are no problems. The oven works great. The service manager installed it, adjusted the gas supply to the oven, explained that when igniting it, you need to press the ignition button for 10 seconds without removing your hand, and warm it up for 10 minutes before adjusting the temperature. No problem. The only thing I wanted was a convection oven, they said there were managers, but it turned out there weren’t.</v>
      </c>
    </row>
    <row r="10060" spans="1:9" x14ac:dyDescent="0.3">
      <c r="A10060" s="1" t="s">
        <v>120</v>
      </c>
      <c r="B10060" s="1" t="s">
        <v>126</v>
      </c>
      <c r="C10060" s="1" t="s">
        <v>122</v>
      </c>
      <c r="D10060" s="1" t="s">
        <v>39</v>
      </c>
      <c r="E10060" s="1" t="s">
        <v>1000</v>
      </c>
      <c r="F10060" s="1" t="s">
        <v>14707</v>
      </c>
      <c r="G10060" s="1" t="s">
        <v>28</v>
      </c>
      <c r="H10060" s="1" t="s">
        <v>29</v>
      </c>
      <c r="I10060" s="1" t="str">
        <f ca="1">IFERROR(__xludf.DUMMYFUNCTION("GOOGLETRANSLATE(F10060, ""auto"", ""en"")
"),"To be honest, when I came to the store, I didn’t expect to see price tags with such a small price on huge 50-inch screens =) That is, it’s not very small, but compared to Sony, for example, it’s nothing) Despite the low cost, the plasma is not bad, I’m al"&amp;"ready using the TV. I tried everything on it - TV, Blu-ray, DVD, satellite, connected to the computer. All this works very well, except for the TV broadcast - it’s not ideal. But the DVD shows clearly and richly, like in a cinema, the picture is very good"&amp;", the Blu-ray has no comments, this is understandable, which is cool. When working with a computer it does not slow down, in games there is good dynamics and no residual effects.")</f>
        <v>To be honest, when I came to the store, I didn’t expect to see price tags with such a small price on huge 50-inch screens =) That is, it’s not very small, but compared to Sony, for example, it’s nothing) Despite the low cost, the plasma is not bad, I’m already using the TV. I tried everything on it - TV, Blu-ray, DVD, satellite, connected to the computer. All this works very well, except for the TV broadcast - it’s not ideal. But the DVD shows clearly and richly, like in a cinema, the picture is very good, the Blu-ray has no comments, this is understandable, which is cool. When working with a computer it does not slow down, in games there is good dynamics and no residual effects.</v>
      </c>
    </row>
    <row r="10061" spans="1:9" x14ac:dyDescent="0.3">
      <c r="A10061" s="1" t="s">
        <v>149</v>
      </c>
      <c r="B10061" s="1" t="s">
        <v>155</v>
      </c>
      <c r="C10061" s="1" t="s">
        <v>63</v>
      </c>
      <c r="D10061" s="1" t="s">
        <v>14708</v>
      </c>
      <c r="E10061" s="1" t="s">
        <v>608</v>
      </c>
      <c r="F10061" s="1" t="s">
        <v>14709</v>
      </c>
      <c r="G10061" s="1" t="s">
        <v>36</v>
      </c>
      <c r="H10061" s="1" t="s">
        <v>29</v>
      </c>
      <c r="I10061" s="1" t="str">
        <f ca="1">IFERROR(__xludf.DUMMYFUNCTION("GOOGLETRANSLATE(F10061, ""auto"", ""en"")
"),"Powerful, does its job well. While there is a discount, you need to take the Permissible noise level, this is a vacuum cleaner... there are no silent ones.")</f>
        <v>Powerful, does its job well. While there is a discount, you need to take the Permissible noise level, this is a vacuum cleaner... there are no silent ones.</v>
      </c>
    </row>
    <row r="10062" spans="1:9" x14ac:dyDescent="0.3">
      <c r="A10062" s="1" t="s">
        <v>95</v>
      </c>
      <c r="B10062" s="1" t="s">
        <v>648</v>
      </c>
      <c r="C10062" s="1" t="s">
        <v>97</v>
      </c>
      <c r="D10062" s="1" t="s">
        <v>4244</v>
      </c>
      <c r="E10062" s="1" t="s">
        <v>504</v>
      </c>
      <c r="F10062" s="1" t="s">
        <v>14710</v>
      </c>
      <c r="G10062" s="1" t="s">
        <v>36</v>
      </c>
      <c r="H10062" s="1" t="s">
        <v>29</v>
      </c>
      <c r="I10062" s="1" t="str">
        <f ca="1">IFERROR(__xludf.DUMMYFUNCTION("GOOGLETRANSLATE(F10062, ""auto"", ""en"")
"),"I bought a cool toy a long time ago. I play it every day. It never malfunctioned (sorry, I don’t know about the firmware. I got it for free when I bought it). In general, buy it, you won’t regret it.")</f>
        <v>I bought a cool toy a long time ago. I play it every day. It never malfunctioned (sorry, I don’t know about the firmware. I got it for free when I bought it). In general, buy it, you won’t regret it.</v>
      </c>
    </row>
    <row r="10063" spans="1:9" x14ac:dyDescent="0.3">
      <c r="A10063" s="1" t="s">
        <v>67</v>
      </c>
      <c r="B10063" s="1" t="s">
        <v>68</v>
      </c>
      <c r="C10063" s="1" t="s">
        <v>69</v>
      </c>
      <c r="D10063" s="1" t="s">
        <v>896</v>
      </c>
      <c r="E10063" s="1" t="s">
        <v>1682</v>
      </c>
      <c r="F10063" s="1" t="s">
        <v>14711</v>
      </c>
      <c r="G10063" s="1" t="s">
        <v>36</v>
      </c>
      <c r="H10063" s="1" t="s">
        <v>29</v>
      </c>
      <c r="I10063" s="1" t="str">
        <f ca="1">IFERROR(__xludf.DUMMYFUNCTION("GOOGLETRANSLATE(F10063, ""auto"", ""en"")
"),"The iron is good, it irons perfectly, I’m happy with what I purchased, but there is one minus - it hisses when raised from a horizontal to a vertical position.")</f>
        <v>The iron is good, it irons perfectly, I’m happy with what I purchased, but there is one minus - it hisses when raised from a horizontal to a vertical position.</v>
      </c>
    </row>
    <row r="10064" spans="1:9" x14ac:dyDescent="0.3">
      <c r="A10064" s="1" t="s">
        <v>30</v>
      </c>
      <c r="B10064" s="1" t="s">
        <v>50</v>
      </c>
      <c r="C10064" s="1" t="s">
        <v>51</v>
      </c>
      <c r="D10064" s="1" t="s">
        <v>81</v>
      </c>
      <c r="E10064" s="1" t="s">
        <v>606</v>
      </c>
      <c r="F10064" s="1" t="s">
        <v>14712</v>
      </c>
      <c r="G10064" s="1" t="s">
        <v>36</v>
      </c>
      <c r="H10064" s="1" t="s">
        <v>29</v>
      </c>
      <c r="I10064" s="1" t="str">
        <f ca="1">IFERROR(__xludf.DUMMYFUNCTION("GOOGLETRANSLATE(F10064, ""auto"", ""en"")
"),"Tell me who installed the second screw, which one? and how is this done?")</f>
        <v>Tell me who installed the second screw, which one? and how is this done?</v>
      </c>
    </row>
    <row r="10065" spans="1:9" x14ac:dyDescent="0.3">
      <c r="A10065" s="1" t="s">
        <v>1119</v>
      </c>
      <c r="B10065" s="1" t="s">
        <v>1120</v>
      </c>
      <c r="C10065" s="1" t="s">
        <v>97</v>
      </c>
      <c r="D10065" s="1" t="s">
        <v>14713</v>
      </c>
      <c r="E10065" s="1" t="s">
        <v>1571</v>
      </c>
      <c r="F10065" s="1" t="s">
        <v>14714</v>
      </c>
      <c r="G10065" s="1" t="s">
        <v>36</v>
      </c>
      <c r="H10065" s="1" t="s">
        <v>29</v>
      </c>
      <c r="I10065" s="1" t="str">
        <f ca="1">IFERROR(__xludf.DUMMYFUNCTION("GOOGLETRANSLATE(F10065, ""auto"", ""en"")
"),"Very good camera, great features.")</f>
        <v>Very good camera, great features.</v>
      </c>
    </row>
    <row r="10066" spans="1:9" x14ac:dyDescent="0.3">
      <c r="A10066" s="1" t="s">
        <v>169</v>
      </c>
      <c r="B10066" s="1" t="s">
        <v>170</v>
      </c>
      <c r="C10066" s="1" t="s">
        <v>122</v>
      </c>
      <c r="D10066" s="1" t="s">
        <v>4065</v>
      </c>
      <c r="E10066" s="1" t="s">
        <v>2325</v>
      </c>
      <c r="F10066" s="1" t="s">
        <v>14715</v>
      </c>
      <c r="G10066" s="1" t="s">
        <v>28</v>
      </c>
      <c r="H10066" s="1" t="s">
        <v>29</v>
      </c>
      <c r="I10066" s="1" t="str">
        <f ca="1">IFERROR(__xludf.DUMMYFUNCTION("GOOGLETRANSLATE(F10066, ""auto"", ""en"")
"),"I bought these headphones, they look good, the sound quality is good and clear.   But the bass is transmitted somehow weakly, and they “sit” on the head (of an adult) somehow “not evenly”.  However, not a bad product.")</f>
        <v>I bought these headphones, they look good, the sound quality is good and clear.   But the bass is transmitted somehow weakly, and they “sit” on the head (of an adult) somehow “not evenly”.  However, not a bad product.</v>
      </c>
    </row>
    <row r="10067" spans="1:9" x14ac:dyDescent="0.3">
      <c r="A10067" s="1" t="s">
        <v>9</v>
      </c>
      <c r="B10067" s="1" t="s">
        <v>10</v>
      </c>
      <c r="C10067" s="1" t="s">
        <v>3438</v>
      </c>
      <c r="D10067" s="1" t="s">
        <v>2233</v>
      </c>
      <c r="E10067" s="1" t="s">
        <v>14716</v>
      </c>
      <c r="F10067" s="1" t="s">
        <v>14717</v>
      </c>
      <c r="G10067" s="1" t="s">
        <v>36</v>
      </c>
      <c r="H10067" s="1" t="s">
        <v>29</v>
      </c>
      <c r="I10067" s="1" t="str">
        <f ca="1">IFERROR(__xludf.DUMMYFUNCTION("GOOGLETRANSLATE(F10067, ""auto"", ""en"")
"),"I bought a hood Flat hood 50 cm Jetair FS301/50 1M Inox al: I have one grate on the hood, and on the website the hood shows another with two grates.")</f>
        <v>I bought a hood Flat hood 50 cm Jetair FS301/50 1M Inox al: I have one grate on the hood, and on the website the hood shows another with two grates.</v>
      </c>
    </row>
    <row r="10068" spans="1:9" x14ac:dyDescent="0.3">
      <c r="A10068" s="1" t="s">
        <v>43</v>
      </c>
      <c r="B10068" s="1" t="s">
        <v>1616</v>
      </c>
      <c r="C10068" s="1" t="s">
        <v>1138</v>
      </c>
      <c r="D10068" s="1" t="s">
        <v>280</v>
      </c>
      <c r="E10068" s="1" t="s">
        <v>1636</v>
      </c>
      <c r="F10068" s="1" t="s">
        <v>14718</v>
      </c>
      <c r="G10068" s="1" t="s">
        <v>36</v>
      </c>
      <c r="H10068" s="1" t="s">
        <v>29</v>
      </c>
      <c r="I10068" s="1" t="str">
        <f ca="1">IFERROR(__xludf.DUMMYFUNCTION("GOOGLETRANSLATE(F10068, ""auto"", ""en"")
"),"cools perfectly. temperature is adjustable.  of the minuses: noisy. If you have a choice between a mobile air conditioner and a stationary one, choose a stationary one.")</f>
        <v>cools perfectly. temperature is adjustable.  of the minuses: noisy. If you have a choice between a mobile air conditioner and a stationary one, choose a stationary one.</v>
      </c>
    </row>
    <row r="10069" spans="1:9" x14ac:dyDescent="0.3">
      <c r="A10069" s="1" t="s">
        <v>61</v>
      </c>
      <c r="B10069" s="1" t="s">
        <v>977</v>
      </c>
      <c r="C10069" s="1" t="s">
        <v>63</v>
      </c>
      <c r="D10069" s="1" t="s">
        <v>1744</v>
      </c>
      <c r="E10069" s="1" t="s">
        <v>14719</v>
      </c>
      <c r="F10069" s="1" t="s">
        <v>14720</v>
      </c>
      <c r="G10069" s="1" t="s">
        <v>36</v>
      </c>
      <c r="H10069" s="1" t="s">
        <v>29</v>
      </c>
      <c r="I10069" s="1" t="str">
        <f ca="1">IFERROR(__xludf.DUMMYFUNCTION("GOOGLETRANSLATE(F10069, ""auto"", ""en"")
"),"They bought me a mixer for March 8!!! I'm sooooo happy with the purchase! It whips up both creams for cakes and biscuits perfectly for my beloved family! Works quietly. I even make pancake batter there now! I bought the same one for my mother! She's happy"&amp;" too")</f>
        <v>They bought me a mixer for March 8!!! I'm sooooo happy with the purchase! It whips up both creams for cakes and biscuits perfectly for my beloved family! Works quietly. I even make pancake batter there now! I bought the same one for my mother! She's happy too</v>
      </c>
    </row>
    <row r="10070" spans="1:9" x14ac:dyDescent="0.3">
      <c r="A10070" s="1" t="s">
        <v>624</v>
      </c>
      <c r="B10070" s="1" t="s">
        <v>2107</v>
      </c>
      <c r="C10070" s="1" t="s">
        <v>479</v>
      </c>
      <c r="D10070" s="1" t="s">
        <v>2108</v>
      </c>
      <c r="E10070" s="1" t="s">
        <v>2028</v>
      </c>
      <c r="F10070" s="1" t="s">
        <v>14721</v>
      </c>
      <c r="G10070" s="1" t="s">
        <v>36</v>
      </c>
      <c r="H10070" s="1" t="s">
        <v>29</v>
      </c>
      <c r="I10070" s="1" t="str">
        <f ca="1">IFERROR(__xludf.DUMMYFUNCTION("GOOGLETRANSLATE(F10070, ""auto"", ""en"")
"),"The game is normal. The graphics are top notch...just a delight! I recommend it to everyone...")</f>
        <v>The game is normal. The graphics are top notch...just a delight! I recommend it to everyone...</v>
      </c>
    </row>
    <row r="10071" spans="1:9" x14ac:dyDescent="0.3">
      <c r="A10071" s="1" t="s">
        <v>211</v>
      </c>
      <c r="B10071" s="1" t="s">
        <v>384</v>
      </c>
      <c r="C10071" s="1" t="s">
        <v>246</v>
      </c>
      <c r="D10071" s="1" t="s">
        <v>589</v>
      </c>
      <c r="E10071" s="1" t="s">
        <v>594</v>
      </c>
      <c r="F10071" s="1" t="s">
        <v>14722</v>
      </c>
      <c r="G10071" s="1" t="s">
        <v>36</v>
      </c>
      <c r="H10071" s="1" t="s">
        <v>29</v>
      </c>
      <c r="I10071" s="1" t="str">
        <f ca="1">IFERROR(__xludf.DUMMYFUNCTION("GOOGLETRANSLATE(F10071, ""auto"", ""en"")
"),"I’ve had the scale for six months now, I weigh myself about once every 2 weeks... the weight is shown))) although I didn’t compare the data with other scales)) when I bought it (at the delivery of the goods) they couldn’t turn it on for a long time... I t"&amp;"hought it was defective... but then everything was ok... extra. functions (weight saving, etc.) have been used a couple of times... they are also not for everyone))")</f>
        <v>I’ve had the scale for six months now, I weigh myself about once every 2 weeks... the weight is shown))) although I didn’t compare the data with other scales)) when I bought it (at the delivery of the goods) they couldn’t turn it on for a long time... I thought it was defective... but then everything was ok... extra. functions (weight saving, etc.) have been used a couple of times... they are also not for everyone))</v>
      </c>
    </row>
    <row r="10072" spans="1:9" x14ac:dyDescent="0.3">
      <c r="A10072" s="1" t="s">
        <v>624</v>
      </c>
      <c r="B10072" s="1" t="s">
        <v>881</v>
      </c>
      <c r="C10072" s="1" t="s">
        <v>479</v>
      </c>
      <c r="D10072" s="1" t="s">
        <v>232</v>
      </c>
      <c r="E10072" s="1" t="s">
        <v>7470</v>
      </c>
      <c r="F10072" s="1" t="s">
        <v>14723</v>
      </c>
      <c r="G10072" s="1" t="s">
        <v>36</v>
      </c>
      <c r="H10072" s="1" t="s">
        <v>29</v>
      </c>
      <c r="I10072" s="1" t="str">
        <f ca="1">IFERROR(__xludf.DUMMYFUNCTION("GOOGLETRANSLATE(F10072, ""auto"", ""en"")
"),"Another funny children's toy, this time with lemmings. My son loves them, so he enjoys playing the game, and I’m with him for company. Interesting passages, nothing abstruse. Puzzles are also quite accessible not only to geniuses. A bunch of episodes, dif"&amp;"ferent natural areas - in short, it’s not boring 100%!")</f>
        <v>Another funny children's toy, this time with lemmings. My son loves them, so he enjoys playing the game, and I’m with him for company. Interesting passages, nothing abstruse. Puzzles are also quite accessible not only to geniuses. A bunch of episodes, different natural areas - in short, it’s not boring 100%!</v>
      </c>
    </row>
    <row r="10073" spans="1:9" x14ac:dyDescent="0.3">
      <c r="A10073" s="1" t="s">
        <v>61</v>
      </c>
      <c r="B10073" s="1" t="s">
        <v>224</v>
      </c>
      <c r="C10073" s="1" t="s">
        <v>74</v>
      </c>
      <c r="D10073" s="1" t="s">
        <v>114</v>
      </c>
      <c r="E10073" s="1" t="s">
        <v>6851</v>
      </c>
      <c r="F10073" s="1" t="s">
        <v>14724</v>
      </c>
      <c r="G10073" s="1" t="s">
        <v>36</v>
      </c>
      <c r="H10073" s="1" t="s">
        <v>29</v>
      </c>
      <c r="I10073" s="1" t="str">
        <f ca="1">IFERROR(__xludf.DUMMYFUNCTION("GOOGLETRANSLATE(F10073, ""auto"", ""en"")
"),"I bought it today, tested it on apples and oranges, swallowed 5 apples in a matter of seconds, and one orange. In total, 600 ml of pure juice came out, I would like it to be a smooth start, but the whole seed is happy!")</f>
        <v>I bought it today, tested it on apples and oranges, swallowed 5 apples in a matter of seconds, and one orange. In total, 600 ml of pure juice came out, I would like it to be a smooth start, but the whole seed is happy!</v>
      </c>
    </row>
    <row r="10074" spans="1:9" x14ac:dyDescent="0.3">
      <c r="A10074" s="1" t="s">
        <v>61</v>
      </c>
      <c r="B10074" s="1" t="s">
        <v>145</v>
      </c>
      <c r="C10074" s="1" t="s">
        <v>45</v>
      </c>
      <c r="D10074" s="1" t="s">
        <v>653</v>
      </c>
      <c r="E10074" s="1" t="s">
        <v>7945</v>
      </c>
      <c r="F10074" s="1" t="s">
        <v>14725</v>
      </c>
      <c r="G10074" s="1" t="s">
        <v>36</v>
      </c>
      <c r="H10074" s="1" t="s">
        <v>29</v>
      </c>
      <c r="I10074" s="1" t="str">
        <f ca="1">IFERROR(__xludf.DUMMYFUNCTION("GOOGLETRANSLATE(F10074, ""auto"", ""en"")
"),"I bought it a week ago. I really like it so far. I cooked fish, meat, pizza. Everything is baked evenly. A very necessary item in the kitchen!")</f>
        <v>I bought it a week ago. I really like it so far. I cooked fish, meat, pizza. Everything is baked evenly. A very necessary item in the kitchen!</v>
      </c>
    </row>
    <row r="10075" spans="1:9" x14ac:dyDescent="0.3">
      <c r="A10075" s="1" t="s">
        <v>149</v>
      </c>
      <c r="B10075" s="1" t="s">
        <v>576</v>
      </c>
      <c r="C10075" s="1" t="s">
        <v>80</v>
      </c>
      <c r="D10075" s="1" t="s">
        <v>152</v>
      </c>
      <c r="E10075" s="1" t="s">
        <v>6001</v>
      </c>
      <c r="F10075" s="1" t="s">
        <v>14726</v>
      </c>
      <c r="G10075" s="1" t="s">
        <v>36</v>
      </c>
      <c r="H10075" s="1" t="s">
        <v>29</v>
      </c>
      <c r="I10075" s="1" t="str">
        <f ca="1">IFERROR(__xludf.DUMMYFUNCTION("GOOGLETRANSLATE(F10075, ""auto"", ""en"")
"),"Not a bad vacuum cleaner. Not very noisy, light, compact. It copes well with both ordinary, everyday dust and construction waste. I can’t judge how durable it will be, we’ve only been using it for 3 months. So far nothing spoils the impression.")</f>
        <v>Not a bad vacuum cleaner. Not very noisy, light, compact. It copes well with both ordinary, everyday dust and construction waste. I can’t judge how durable it will be, we’ve only been using it for 3 months. So far nothing spoils the impression.</v>
      </c>
    </row>
    <row r="10076" spans="1:9" x14ac:dyDescent="0.3">
      <c r="A10076" s="1" t="s">
        <v>17</v>
      </c>
      <c r="B10076" s="1" t="s">
        <v>18</v>
      </c>
      <c r="C10076" s="1" t="s">
        <v>885</v>
      </c>
      <c r="D10076" s="1" t="s">
        <v>85</v>
      </c>
      <c r="E10076" s="1" t="s">
        <v>1728</v>
      </c>
      <c r="F10076" s="1" t="s">
        <v>14727</v>
      </c>
      <c r="G10076" s="1" t="s">
        <v>36</v>
      </c>
      <c r="H10076" s="1" t="s">
        <v>29</v>
      </c>
      <c r="I10076" s="1" t="str">
        <f ca="1">IFERROR(__xludf.DUMMYFUNCTION("GOOGLETRANSLATE(F10076, ""auto"", ""en"")
"),"Impeccable technique! It washes great! It behaves quite steadily in spin mode, even at maximum speed. All available functions are present, nothing superfluous. Just a thing! I've been using it for 2 years now. The machine does not malfunction. Beautiful i"&amp;"n every way! I recommend it to everyone!")</f>
        <v>Impeccable technique! It washes great! It behaves quite steadily in spin mode, even at maximum speed. All available functions are present, nothing superfluous. Just a thing! I've been using it for 2 years now. The machine does not malfunction. Beautiful in every way! I recommend it to everyone!</v>
      </c>
    </row>
    <row r="10077" spans="1:9" x14ac:dyDescent="0.3">
      <c r="A10077" s="1" t="s">
        <v>811</v>
      </c>
      <c r="B10077" s="1" t="s">
        <v>812</v>
      </c>
      <c r="C10077" s="1" t="s">
        <v>949</v>
      </c>
      <c r="D10077" s="1" t="s">
        <v>3293</v>
      </c>
      <c r="E10077" s="1" t="s">
        <v>14728</v>
      </c>
      <c r="F10077" s="1" t="s">
        <v>14729</v>
      </c>
      <c r="G10077" s="1" t="s">
        <v>36</v>
      </c>
      <c r="H10077" s="1" t="s">
        <v>29</v>
      </c>
      <c r="I10077" s="1" t="str">
        <f ca="1">IFERROR(__xludf.DUMMYFUNCTION("GOOGLETRANSLATE(F10077, ""auto"", ""en"")
"),"Pros: 1. Lightweight, lighter than this Velbon Ultra Lux i L, there is only Velbon Ultra Max i L.  2. The legs are quickly assembled and disassembled (cunning fixation) 3. There are levels on three axes 4. Smooth movement, you can also shoot a video.  5. "&amp;"Metal head, easily adjustable 6. The central rod can be turned over and the macro can be removed at the bottom 7. Removable platform 8. Case included Minus: 1. To put it in the case, you will have to unscrew one of the 2 handles. Half a minute of business"&amp;", but still time.    To avoid damaging the levels, I additionally wrap them in bubble wrap.    Overall I'm happy with the purchase. I recommend it.")</f>
        <v>Pros: 1. Lightweight, lighter than this Velbon Ultra Lux i L, there is only Velbon Ultra Max i L.  2. The legs are quickly assembled and disassembled (cunning fixation) 3. There are levels on three axes 4. Smooth movement, you can also shoot a video.  5. Metal head, easily adjustable 6. The central rod can be turned over and the macro can be removed at the bottom 7. Removable platform 8. Case included Minus: 1. To put it in the case, you will have to unscrew one of the 2 handles. Half a minute of business, but still time.    To avoid damaging the levels, I additionally wrap them in bubble wrap.    Overall I'm happy with the purchase. I recommend it.</v>
      </c>
    </row>
    <row r="10078" spans="1:9" x14ac:dyDescent="0.3">
      <c r="A10078" s="1" t="s">
        <v>17</v>
      </c>
      <c r="B10078" s="1" t="s">
        <v>18</v>
      </c>
      <c r="C10078" s="1" t="s">
        <v>870</v>
      </c>
      <c r="D10078" s="1" t="s">
        <v>102</v>
      </c>
      <c r="E10078" s="1" t="s">
        <v>661</v>
      </c>
      <c r="F10078" s="1" t="s">
        <v>14730</v>
      </c>
      <c r="G10078" s="1" t="s">
        <v>28</v>
      </c>
      <c r="H10078" s="1" t="s">
        <v>29</v>
      </c>
      <c r="I10078" s="1" t="str">
        <f ca="1">IFERROR(__xludf.DUMMYFUNCTION("GOOGLETRANSLATE(F10078, ""auto"", ""en"")
"),"The machine is simply wonderful, but there is a loud piercing whistle at the very end when spinning. Although they say that this is a proprietary disease of these machines, so we don’t pay attention to the whistling.")</f>
        <v>The machine is simply wonderful, but there is a loud piercing whistle at the very end when spinning. Although they say that this is a proprietary disease of these machines, so we don’t pay attention to the whistling.</v>
      </c>
    </row>
    <row r="10079" spans="1:9" x14ac:dyDescent="0.3">
      <c r="A10079" s="1" t="s">
        <v>95</v>
      </c>
      <c r="B10079" s="1" t="s">
        <v>648</v>
      </c>
      <c r="C10079" s="1" t="s">
        <v>97</v>
      </c>
      <c r="D10079" s="1" t="s">
        <v>232</v>
      </c>
      <c r="E10079" s="1" t="s">
        <v>6994</v>
      </c>
      <c r="F10079" s="1" t="s">
        <v>14731</v>
      </c>
      <c r="G10079" s="1" t="s">
        <v>36</v>
      </c>
      <c r="H10079" s="1" t="s">
        <v>29</v>
      </c>
      <c r="I10079" s="1" t="str">
        <f ca="1">IFERROR(__xludf.DUMMYFUNCTION("GOOGLETRANSLATE(F10079, ""auto"", ""en"")
"),"I was skeptical about such gadgets. After purchasing it for the child, both the child and I are simply delighted with this console. Good game graphics, a wide variety of games, the ability to listen to downloaded music and watch movies and cartoons (inclu"&amp;"ding on the road) - all this only adds to the advantages! It's just a children's entertainment center. The child now tolerates traffic jams just fine! The attachment is easy to use and useful!")</f>
        <v>I was skeptical about such gadgets. After purchasing it for the child, both the child and I are simply delighted with this console. Good game graphics, a wide variety of games, the ability to listen to downloaded music and watch movies and cartoons (including on the road) - all this only adds to the advantages! It's just a children's entertainment center. The child now tolerates traffic jams just fine! The attachment is easy to use and useful!</v>
      </c>
    </row>
    <row r="10080" spans="1:9" x14ac:dyDescent="0.3">
      <c r="A10080" s="1" t="s">
        <v>369</v>
      </c>
      <c r="B10080" s="1" t="s">
        <v>587</v>
      </c>
      <c r="C10080" s="1" t="s">
        <v>588</v>
      </c>
      <c r="D10080" s="1" t="s">
        <v>589</v>
      </c>
      <c r="E10080" s="1" t="s">
        <v>2634</v>
      </c>
      <c r="F10080" s="1" t="s">
        <v>14732</v>
      </c>
      <c r="G10080" s="1" t="s">
        <v>36</v>
      </c>
      <c r="H10080" s="1" t="s">
        <v>29</v>
      </c>
      <c r="I10080" s="1" t="str">
        <f ca="1">IFERROR(__xludf.DUMMYFUNCTION("GOOGLETRANSLATE(F10080, ""auto"", ""en"")
"),"Great stove for the price. The electric ignition turns on immediately. The heating element is super, the kebabs in them turn out juicy, with a crust! There is a mini-fire and gas control function. There are no complaints about the oven either, everything "&amp;"bakes evenly and well. The main thing that is cool is the cast iron grates and the stainless steel stove itself. Gorgeous! I think we will have it for a long time.")</f>
        <v>Great stove for the price. The electric ignition turns on immediately. The heating element is super, the kebabs in them turn out juicy, with a crust! There is a mini-fire and gas control function. There are no complaints about the oven either, everything bakes evenly and well. The main thing that is cool is the cast iron grates and the stainless steel stove itself. Gorgeous! I think we will have it for a long time.</v>
      </c>
    </row>
    <row r="10081" spans="1:9" x14ac:dyDescent="0.3">
      <c r="A10081" s="1" t="s">
        <v>89</v>
      </c>
      <c r="B10081" s="1" t="s">
        <v>90</v>
      </c>
      <c r="C10081" s="1" t="s">
        <v>63</v>
      </c>
      <c r="D10081" s="1" t="s">
        <v>247</v>
      </c>
      <c r="E10081" s="1" t="s">
        <v>475</v>
      </c>
      <c r="F10081" s="1" t="s">
        <v>14733</v>
      </c>
      <c r="G10081" s="1" t="s">
        <v>36</v>
      </c>
      <c r="H10081" s="1" t="s">
        <v>29</v>
      </c>
      <c r="I10081" s="1" t="str">
        <f ca="1">IFERROR(__xludf.DUMMYFUNCTION("GOOGLETRANSLATE(F10081, ""auto"", ""en"")
"),"Price and quality")</f>
        <v>Price and quality</v>
      </c>
    </row>
    <row r="10082" spans="1:9" x14ac:dyDescent="0.3">
      <c r="A10082" s="1" t="s">
        <v>17</v>
      </c>
      <c r="B10082" s="1" t="s">
        <v>18</v>
      </c>
      <c r="C10082" s="1" t="s">
        <v>159</v>
      </c>
      <c r="D10082" s="1" t="s">
        <v>52</v>
      </c>
      <c r="E10082" s="1" t="s">
        <v>5417</v>
      </c>
      <c r="F10082" s="1" t="s">
        <v>14734</v>
      </c>
      <c r="G10082" s="1" t="s">
        <v>49</v>
      </c>
      <c r="H10082" s="1" t="s">
        <v>16</v>
      </c>
      <c r="I10082" s="1" t="str">
        <f ca="1">IFERROR(__xludf.DUMMYFUNCTION("GOOGLETRANSLATE(F10082, ""auto"", ""en"")
"),"I bought an Electrolux, brought it, installed it, but it’s glitchy, washes for three hours and doesn’t drain, doesn’t wring out")</f>
        <v>I bought an Electrolux, brought it, installed it, but it’s glitchy, washes for three hours and doesn’t drain, doesn’t wring out</v>
      </c>
    </row>
    <row r="10083" spans="1:9" x14ac:dyDescent="0.3">
      <c r="A10083" s="1" t="s">
        <v>43</v>
      </c>
      <c r="B10083" s="1" t="s">
        <v>502</v>
      </c>
      <c r="C10083" s="1" t="s">
        <v>122</v>
      </c>
      <c r="D10083" s="1" t="s">
        <v>33</v>
      </c>
      <c r="E10083" s="1" t="s">
        <v>14630</v>
      </c>
      <c r="F10083" s="1" t="s">
        <v>14735</v>
      </c>
      <c r="G10083" s="1" t="s">
        <v>36</v>
      </c>
      <c r="H10083" s="1" t="s">
        <v>29</v>
      </c>
      <c r="I10083" s="1" t="str">
        <f ca="1">IFERROR(__xludf.DUMMYFUNCTION("GOOGLETRANSLATE(F10083, ""auto"", ""en"")
"),"For 30 sq.m. It’s quite enough, I forgot to turn it off at night and it froze. I took it at the beginning of the season with the installation, for some it’s a minus, but the installers expelled air from the system naturally - with system freon. It works, "&amp;"the service indicator did not light up yet, as many write, this is a problem, I think they fixed it.")</f>
        <v>For 30 sq.m. It’s quite enough, I forgot to turn it off at night and it froze. I took it at the beginning of the season with the installation, for some it’s a minus, but the installers expelled air from the system naturally - with system freon. It works, the service indicator did not light up yet, as many write, this is a problem, I think they fixed it.</v>
      </c>
    </row>
    <row r="10084" spans="1:9" x14ac:dyDescent="0.3">
      <c r="A10084" s="1" t="s">
        <v>211</v>
      </c>
      <c r="B10084" s="1" t="s">
        <v>212</v>
      </c>
      <c r="C10084" s="1" t="s">
        <v>294</v>
      </c>
      <c r="D10084" s="1" t="s">
        <v>2112</v>
      </c>
      <c r="E10084" s="1" t="s">
        <v>2702</v>
      </c>
      <c r="F10084" s="1" t="s">
        <v>14736</v>
      </c>
      <c r="G10084" s="1" t="s">
        <v>36</v>
      </c>
      <c r="H10084" s="1" t="s">
        <v>29</v>
      </c>
      <c r="I10084" s="1" t="str">
        <f ca="1">IFERROR(__xludf.DUMMYFUNCTION("GOOGLETRANSLATE(F10084, ""auto"", ""en"")
"),"I recently bought it and I really like it. It straightens well, heats up quickly, and doesn’t electrify my hair. The tongs themselves are light and comfortable.")</f>
        <v>I recently bought it and I really like it. It straightens well, heats up quickly, and doesn’t electrify my hair. The tongs themselves are light and comfortable.</v>
      </c>
    </row>
    <row r="10085" spans="1:9" x14ac:dyDescent="0.3">
      <c r="A10085" s="1" t="s">
        <v>61</v>
      </c>
      <c r="B10085" s="1" t="s">
        <v>318</v>
      </c>
      <c r="C10085" s="1" t="s">
        <v>69</v>
      </c>
      <c r="D10085" s="1" t="s">
        <v>592</v>
      </c>
      <c r="E10085" s="1" t="s">
        <v>2236</v>
      </c>
      <c r="F10085" s="1" t="s">
        <v>14737</v>
      </c>
      <c r="G10085" s="1" t="s">
        <v>36</v>
      </c>
      <c r="H10085" s="1" t="s">
        <v>29</v>
      </c>
      <c r="I10085" s="1" t="str">
        <f ca="1">IFERROR(__xludf.DUMMYFUNCTION("GOOGLETRANSLATE(F10085, ""auto"", ""en"")
"),"The kettle has been working for 5 years, I’ll go buy it for my mom tomorrow as a gift. I love everything Philips!!!")</f>
        <v>The kettle has been working for 5 years, I’ll go buy it for my mom tomorrow as a gift. I love everything Philips!!!</v>
      </c>
    </row>
    <row r="10086" spans="1:9" x14ac:dyDescent="0.3">
      <c r="A10086" s="1" t="s">
        <v>111</v>
      </c>
      <c r="B10086" s="1" t="s">
        <v>112</v>
      </c>
      <c r="C10086" s="1" t="s">
        <v>113</v>
      </c>
      <c r="D10086" s="1" t="s">
        <v>152</v>
      </c>
      <c r="E10086" s="1" t="s">
        <v>1285</v>
      </c>
      <c r="F10086" s="1" t="s">
        <v>14738</v>
      </c>
      <c r="G10086" s="1" t="s">
        <v>49</v>
      </c>
      <c r="H10086" s="1" t="s">
        <v>16</v>
      </c>
      <c r="I10086" s="1" t="str">
        <f ca="1">IFERROR(__xludf.DUMMYFUNCTION("GOOGLETRANSLATE(F10086, ""auto"", ""en"")
"),"6 inputs, fuse")</f>
        <v>6 inputs, fuse</v>
      </c>
    </row>
    <row r="10087" spans="1:9" x14ac:dyDescent="0.3">
      <c r="A10087" s="1" t="s">
        <v>238</v>
      </c>
      <c r="B10087" s="1" t="s">
        <v>276</v>
      </c>
      <c r="C10087" s="1" t="s">
        <v>19</v>
      </c>
      <c r="D10087" s="1" t="s">
        <v>385</v>
      </c>
      <c r="E10087" s="1" t="s">
        <v>3954</v>
      </c>
      <c r="F10087" s="1" t="s">
        <v>14739</v>
      </c>
      <c r="G10087" s="1" t="s">
        <v>49</v>
      </c>
      <c r="H10087" s="1" t="s">
        <v>16</v>
      </c>
      <c r="I10087" s="1" t="str">
        <f ca="1">IFERROR(__xludf.DUMMYFUNCTION("GOOGLETRANSLATE(F10087, ""auto"", ""en"")
"),"I served it for 1.5 years and am throwing it in the trash.  Six months later, refrigerant was pumped in under warranty.  Now that the warranty has expired, the refrigerator is broken and needs major repairs costing 15,000 thousand.")</f>
        <v>I served it for 1.5 years and am throwing it in the trash.  Six months later, refrigerant was pumped in under warranty.  Now that the warranty has expired, the refrigerator is broken and needs major repairs costing 15,000 thousand.</v>
      </c>
    </row>
    <row r="10088" spans="1:9" x14ac:dyDescent="0.3">
      <c r="A10088" s="1" t="s">
        <v>17</v>
      </c>
      <c r="B10088" s="1" t="s">
        <v>18</v>
      </c>
      <c r="C10088" s="1" t="s">
        <v>151</v>
      </c>
      <c r="D10088" s="1" t="s">
        <v>247</v>
      </c>
      <c r="E10088" s="1" t="s">
        <v>3367</v>
      </c>
      <c r="F10088" s="1" t="s">
        <v>14740</v>
      </c>
      <c r="G10088" s="1" t="s">
        <v>28</v>
      </c>
      <c r="H10088" s="1" t="s">
        <v>29</v>
      </c>
      <c r="I10088" s="1" t="str">
        <f ca="1">IFERROR(__xludf.DUMMYFUNCTION("GOOGLETRANSLATE(F10088, ""auto"", ""en"")
"),"Excellent car, well, it hums a little, but where would we be without it!!! And so as not to jump in the corners during the spin cycle, set it according to the level!!!!! And there will be a lot of happiness from such a miracle!!!!  The price-quality ratio"&amp;" is at the highest level!!!")</f>
        <v>Excellent car, well, it hums a little, but where would we be without it!!! And so as not to jump in the corners during the spin cycle, set it according to the level!!!!! And there will be a lot of happiness from such a miracle!!!!  The price-quality ratio is at the highest level!!!</v>
      </c>
    </row>
    <row r="10089" spans="1:9" x14ac:dyDescent="0.3">
      <c r="A10089" s="1" t="s">
        <v>211</v>
      </c>
      <c r="B10089" s="1" t="s">
        <v>212</v>
      </c>
      <c r="C10089" s="1" t="s">
        <v>69</v>
      </c>
      <c r="D10089" s="1" t="s">
        <v>3923</v>
      </c>
      <c r="E10089" s="1" t="s">
        <v>14741</v>
      </c>
      <c r="F10089" s="1" t="s">
        <v>14742</v>
      </c>
      <c r="G10089" s="1" t="s">
        <v>36</v>
      </c>
      <c r="H10089" s="1" t="s">
        <v>29</v>
      </c>
      <c r="I10089" s="1" t="str">
        <f ca="1">IFERROR(__xludf.DUMMYFUNCTION("GOOGLETRANSLATE(F10089, ""auto"", ""en"")
"),"I spent a long time choosing curling irons. Very beautiful model. Awesome thing. Doesn’t dry out my hair, the cord rotates. I didn’t find any shortcomings.")</f>
        <v>I spent a long time choosing curling irons. Very beautiful model. Awesome thing. Doesn’t dry out my hair, the cord rotates. I didn’t find any shortcomings.</v>
      </c>
    </row>
    <row r="10090" spans="1:9" x14ac:dyDescent="0.3">
      <c r="A10090" s="1" t="s">
        <v>211</v>
      </c>
      <c r="B10090" s="1" t="s">
        <v>265</v>
      </c>
      <c r="C10090" s="1" t="s">
        <v>69</v>
      </c>
      <c r="D10090" s="1" t="s">
        <v>14743</v>
      </c>
      <c r="E10090" s="1" t="s">
        <v>1660</v>
      </c>
      <c r="F10090" s="1" t="s">
        <v>14744</v>
      </c>
      <c r="G10090" s="1" t="s">
        <v>36</v>
      </c>
      <c r="H10090" s="1" t="s">
        <v>29</v>
      </c>
      <c r="I10090" s="1" t="str">
        <f ca="1">IFERROR(__xludf.DUMMYFUNCTION("GOOGLETRANSLATE(F10090, ""auto"", ""en"")
"),"My nozzle also broke, but who knows where to get a new one?")</f>
        <v>My nozzle also broke, but who knows where to get a new one?</v>
      </c>
    </row>
    <row r="10091" spans="1:9" x14ac:dyDescent="0.3">
      <c r="A10091" s="1" t="s">
        <v>61</v>
      </c>
      <c r="B10091" s="1" t="s">
        <v>73</v>
      </c>
      <c r="C10091" s="1" t="s">
        <v>63</v>
      </c>
      <c r="D10091" s="1" t="s">
        <v>6640</v>
      </c>
      <c r="E10091" s="1" t="s">
        <v>285</v>
      </c>
      <c r="F10091" s="1" t="s">
        <v>14745</v>
      </c>
      <c r="G10091" s="1" t="s">
        <v>49</v>
      </c>
      <c r="H10091" s="1" t="s">
        <v>16</v>
      </c>
      <c r="I10091" s="1" t="str">
        <f ca="1">IFERROR(__xludf.DUMMYFUNCTION("GOOGLETRANSLATE(F10091, ""auto"", ""en"")
"),"A very inconvenient (and, in my opinion, unreliable) mechanism for connecting the working part to the engine.  Strong beating of the auger during operation (this is not a defect, I looked at 3 meat grinders - the same thing everywhere). In the end I chose"&amp;" Braun 1300.")</f>
        <v>A very inconvenient (and, in my opinion, unreliable) mechanism for connecting the working part to the engine.  Strong beating of the auger during operation (this is not a defect, I looked at 3 meat grinders - the same thing everywhere). In the end I chose Braun 1300.</v>
      </c>
    </row>
    <row r="10092" spans="1:9" x14ac:dyDescent="0.3">
      <c r="A10092" s="1" t="s">
        <v>105</v>
      </c>
      <c r="B10092" s="1" t="s">
        <v>106</v>
      </c>
      <c r="C10092" s="1" t="s">
        <v>1526</v>
      </c>
      <c r="D10092" s="1" t="s">
        <v>127</v>
      </c>
      <c r="E10092" s="1" t="s">
        <v>1321</v>
      </c>
      <c r="F10092" s="1" t="s">
        <v>14746</v>
      </c>
      <c r="G10092" s="1" t="s">
        <v>28</v>
      </c>
      <c r="H10092" s="1" t="s">
        <v>29</v>
      </c>
      <c r="I10092" s="1" t="str">
        <f ca="1">IFERROR(__xludf.DUMMYFUNCTION("GOOGLETRANSLATE(F10092, ""auto"", ""en"")
"),"I've had this player for 2 months now, and you know, it's not bad at all.  I’ll immediately mention the disadvantages: the display is not readable in sunlight, it goes blind. Well, that’s all :) Otherwise, it’s a cool thing, light, thin, it’s better, of c"&amp;"ourse, to change the original ears, but even with them the sound is very acceptable. Don’t forget that this is an MP3 player, it didn’t upload any videos or pictures, and it’s not necessary.. The battery may not hold its stated 52 hours for just a minute."&amp;" a minute, but WITHOUT EXAGGERATION I will say that since the moment of purchase I have charged it only once!!!! The first one is full, and then somehow there is no need, as long as I drop the music, well, 10 minutes maximum, it is recharged, I listen to "&amp;"it every day for 2-3 hours. It holds up with a bang.  You quickly get used to the menu, it works well with the computer, everything flies quickly. In short, I recommend it. I regret that I didn’t take the same one for 4 gigs :)")</f>
        <v>I've had this player for 2 months now, and you know, it's not bad at all.  I’ll immediately mention the disadvantages: the display is not readable in sunlight, it goes blind. Well, that’s all :) Otherwise, it’s a cool thing, light, thin, it’s better, of course, to change the original ears, but even with them the sound is very acceptable. Don’t forget that this is an MP3 player, it didn’t upload any videos or pictures, and it’s not necessary.. The battery may not hold its stated 52 hours for just a minute. a minute, but WITHOUT EXAGGERATION I will say that since the moment of purchase I have charged it only once!!!! The first one is full, and then somehow there is no need, as long as I drop the music, well, 10 minutes maximum, it is recharged, I listen to it every day for 2-3 hours. It holds up with a bang.  You quickly get used to the menu, it works well with the computer, everything flies quickly. In short, I recommend it. I regret that I didn’t take the same one for 4 gigs :)</v>
      </c>
    </row>
    <row r="10093" spans="1:9" x14ac:dyDescent="0.3">
      <c r="A10093" s="1" t="s">
        <v>30</v>
      </c>
      <c r="B10093" s="1" t="s">
        <v>50</v>
      </c>
      <c r="C10093" s="1" t="s">
        <v>1003</v>
      </c>
      <c r="D10093" s="1" t="s">
        <v>14747</v>
      </c>
      <c r="E10093" s="1" t="s">
        <v>1732</v>
      </c>
      <c r="F10093" s="1" t="s">
        <v>14748</v>
      </c>
      <c r="G10093" s="1" t="s">
        <v>36</v>
      </c>
      <c r="H10093" s="1" t="s">
        <v>29</v>
      </c>
      <c r="I10093" s="1" t="str">
        <f ca="1">IFERROR(__xludf.DUMMYFUNCTION("GOOGLETRANSLATE(F10093, ""auto"", ""en"")
"),"I liked it right away, both the design and the filling.   I think one of these days I’ll go buy it.    About overheating.    For those who like to play, this is a good choice, but as everyone knows, the problem with AMD processors is high temperatures.   "&amp;" So, you will have to play either with timing or with additional cooling.     At home I have a small fan, so I don’t think there will be any problems, but at the university I won’t have much time to play, I think it won’t explode in 2-3 hours, especially "&amp;"if the ventilation ducts are freed.")</f>
        <v>I liked it right away, both the design and the filling.   I think one of these days I’ll go buy it.    About overheating.    For those who like to play, this is a good choice, but as everyone knows, the problem with AMD processors is high temperatures.    So, you will have to play either with timing or with additional cooling.     At home I have a small fan, so I don’t think there will be any problems, but at the university I won’t have much time to play, I think it won’t explode in 2-3 hours, especially if the ventilation ducts are freed.</v>
      </c>
    </row>
    <row r="10094" spans="1:9" x14ac:dyDescent="0.3">
      <c r="A10094" s="1" t="s">
        <v>61</v>
      </c>
      <c r="B10094" s="1" t="s">
        <v>318</v>
      </c>
      <c r="C10094" s="1" t="s">
        <v>246</v>
      </c>
      <c r="D10094" s="1" t="s">
        <v>247</v>
      </c>
      <c r="E10094" s="1" t="s">
        <v>14749</v>
      </c>
      <c r="F10094" s="1" t="s">
        <v>14750</v>
      </c>
      <c r="G10094" s="1" t="s">
        <v>36</v>
      </c>
      <c r="H10094" s="1" t="s">
        <v>29</v>
      </c>
      <c r="I10094" s="1" t="str">
        <f ca="1">IFERROR(__xludf.DUMMYFUNCTION("GOOGLETRANSLATE(F10094, ""auto"", ""en"")
"),"I bought this kettle two years ago exclusively for travel! Never let you down! It boils quickly, there was no foreign smell! Accessories (two glasses and two spoons) are very useful! Great! Tefal, as always, is on top! I highly recommend it!")</f>
        <v>I bought this kettle two years ago exclusively for travel! Never let you down! It boils quickly, there was no foreign smell! Accessories (two glasses and two spoons) are very useful! Great! Tefal, as always, is on top! I highly recommend it!</v>
      </c>
    </row>
    <row r="10095" spans="1:9" x14ac:dyDescent="0.3">
      <c r="A10095" s="1" t="s">
        <v>78</v>
      </c>
      <c r="B10095" s="1" t="s">
        <v>79</v>
      </c>
      <c r="C10095" s="1" t="s">
        <v>80</v>
      </c>
      <c r="D10095" s="1" t="s">
        <v>113</v>
      </c>
      <c r="E10095" s="1" t="s">
        <v>7124</v>
      </c>
      <c r="F10095" s="1" t="s">
        <v>14751</v>
      </c>
      <c r="G10095" s="1" t="s">
        <v>36</v>
      </c>
      <c r="H10095" s="1" t="s">
        <v>29</v>
      </c>
      <c r="I10095" s="1" t="str">
        <f ca="1">IFERROR(__xludf.DUMMYFUNCTION("GOOGLETRANSLATE(F10095, ""auto"", ""en"")
"),"The oven is simply super! All recipes can be used by changing not the weight, but the cooking time. Excellent recipes in the cookbook. All functions are simple and clear, operation is not difficult. I am very pleased with the “new toy”!")</f>
        <v>The oven is simply super! All recipes can be used by changing not the weight, but the cooking time. Excellent recipes in the cookbook. All functions are simple and clear, operation is not difficult. I am very pleased with the “new toy”!</v>
      </c>
    </row>
    <row r="10096" spans="1:9" x14ac:dyDescent="0.3">
      <c r="A10096" s="1" t="s">
        <v>37</v>
      </c>
      <c r="B10096" s="1" t="s">
        <v>536</v>
      </c>
      <c r="C10096" s="1" t="s">
        <v>163</v>
      </c>
      <c r="D10096" s="1" t="s">
        <v>152</v>
      </c>
      <c r="E10096" s="1" t="s">
        <v>415</v>
      </c>
      <c r="F10096" s="1" t="s">
        <v>14752</v>
      </c>
      <c r="G10096" s="1" t="s">
        <v>36</v>
      </c>
      <c r="H10096" s="1" t="s">
        <v>29</v>
      </c>
      <c r="I10096" s="1" t="str">
        <f ca="1">IFERROR(__xludf.DUMMYFUNCTION("GOOGLETRANSLATE(F10096, ""auto"", ""en"")
"),"I am completely satisfied with the phone, everything is there and does not glitch, the only negative is that the music plays quietly and there is only one speaker.")</f>
        <v>I am completely satisfied with the phone, everything is there and does not glitch, the only negative is that the music plays quietly and there is only one speaker.</v>
      </c>
    </row>
    <row r="10097" spans="1:9" x14ac:dyDescent="0.3">
      <c r="A10097" s="1" t="s">
        <v>211</v>
      </c>
      <c r="B10097" s="1" t="s">
        <v>265</v>
      </c>
      <c r="C10097" s="1" t="s">
        <v>294</v>
      </c>
      <c r="D10097" s="1" t="s">
        <v>14753</v>
      </c>
      <c r="E10097" s="1" t="s">
        <v>4608</v>
      </c>
      <c r="F10097" s="1" t="s">
        <v>14754</v>
      </c>
      <c r="G10097" s="1" t="s">
        <v>15</v>
      </c>
      <c r="H10097" s="1" t="s">
        <v>16</v>
      </c>
      <c r="I10097" s="1" t="str">
        <f ca="1">IFERROR(__xludf.DUMMYFUNCTION("GOOGLETRANSLATE(F10097, ""auto"", ""en"")
"),"It cuts decently, but has a bunch of “cons”: 1. The 3-21 mm nozzle has very fragile teeth, no matter how carefully you use it, they will break because made of plexiglass.  In the Russian Federation, the attachments are not sold separately; abroad they are"&amp;" expensive - half the cost of the machine.  2. Hair constantly gets clogged in the nozzle and the gap above the knives.  3. Weak battery - it takes a long time to charge, the charge does not hold for a long time.  4. The charge indicator is simply constan"&amp;"tly on, showing only the charger connection.  5. The attachments are inconvenient to adjust; you need to get into both guides and use the lock to catch the desired height, otherwise a jump may occur and result in a bald spot).")</f>
        <v>It cuts decently, but has a bunch of “cons”: 1. The 3-21 mm nozzle has very fragile teeth, no matter how carefully you use it, they will break because made of plexiglass.  In the Russian Federation, the attachments are not sold separately; abroad they are expensive - half the cost of the machine.  2. Hair constantly gets clogged in the nozzle and the gap above the knives.  3. Weak battery - it takes a long time to charge, the charge does not hold for a long time.  4. The charge indicator is simply constantly on, showing only the charger connection.  5. The attachments are inconvenient to adjust; you need to get into both guides and use the lock to catch the desired height, otherwise a jump may occur and result in a bald spot).</v>
      </c>
    </row>
    <row r="10098" spans="1:9" x14ac:dyDescent="0.3">
      <c r="A10098" s="1" t="s">
        <v>149</v>
      </c>
      <c r="B10098" s="1" t="s">
        <v>150</v>
      </c>
      <c r="C10098" s="1" t="s">
        <v>2016</v>
      </c>
      <c r="D10098" s="1" t="s">
        <v>52</v>
      </c>
      <c r="E10098" s="1" t="s">
        <v>2596</v>
      </c>
      <c r="F10098" s="1" t="s">
        <v>14755</v>
      </c>
      <c r="G10098" s="1" t="s">
        <v>36</v>
      </c>
      <c r="H10098" s="1" t="s">
        <v>29</v>
      </c>
      <c r="I10098" s="1" t="str">
        <f ca="1">IFERROR(__xludf.DUMMYFUNCTION("GOOGLETRANSLATE(F10098, ""auto"", ""en"")
"),"I didn’t even expect that cleaning a car would be fun! Excellent vacuum cleaner: very convenient, lightweight, compact. There are enough attachments to clean all corners of the interior, and the cord is long enough for the entire car.  Among the shortcomi"&amp;"ngs (you have to find fault with something), I note that the cord does not rewind automatically and it is not very convenient to empty a glass of garbage.   I recommend this model to all car owners!")</f>
        <v>I didn’t even expect that cleaning a car would be fun! Excellent vacuum cleaner: very convenient, lightweight, compact. There are enough attachments to clean all corners of the interior, and the cord is long enough for the entire car.  Among the shortcomings (you have to find fault with something), I note that the cord does not rewind automatically and it is not very convenient to empty a glass of garbage.   I recommend this model to all car owners!</v>
      </c>
    </row>
    <row r="10099" spans="1:9" x14ac:dyDescent="0.3">
      <c r="A10099" s="1" t="s">
        <v>37</v>
      </c>
      <c r="B10099" s="1" t="s">
        <v>536</v>
      </c>
      <c r="C10099" s="1" t="s">
        <v>151</v>
      </c>
      <c r="D10099" s="1" t="s">
        <v>200</v>
      </c>
      <c r="E10099" s="1" t="s">
        <v>8059</v>
      </c>
      <c r="F10099" s="1" t="s">
        <v>14756</v>
      </c>
      <c r="G10099" s="1" t="s">
        <v>36</v>
      </c>
      <c r="H10099" s="1" t="s">
        <v>29</v>
      </c>
      <c r="I10099" s="1" t="str">
        <f ca="1">IFERROR(__xludf.DUMMYFUNCTION("GOOGLETRANSLATE(F10099, ""auto"", ""en"")
"),"I’ve owned the phone for about 2 weeks, I wanted a Nokia N97, but Samsung turned out to be head and shoulders above me in all respects! I don’t regret my choice, it’s a mega device, the best smartphone available at the moment. All the advantages are descr"&amp;"ibed in the specifications, I’ll say for myself that watching movies, especially through headphones, is very cool! For those who have doubts, there is a forum by phone, you can read all the information there.")</f>
        <v>I’ve owned the phone for about 2 weeks, I wanted a Nokia N97, but Samsung turned out to be head and shoulders above me in all respects! I don’t regret my choice, it’s a mega device, the best smartphone available at the moment. All the advantages are described in the specifications, I’ll say for myself that watching movies, especially through headphones, is very cool! For those who have doubts, there is a forum by phone, you can read all the information there.</v>
      </c>
    </row>
    <row r="10100" spans="1:9" x14ac:dyDescent="0.3">
      <c r="A10100" s="1" t="s">
        <v>211</v>
      </c>
      <c r="B10100" s="1" t="s">
        <v>212</v>
      </c>
      <c r="C10100" s="1" t="s">
        <v>294</v>
      </c>
      <c r="D10100" s="1" t="s">
        <v>4329</v>
      </c>
      <c r="E10100" s="1" t="s">
        <v>3337</v>
      </c>
      <c r="F10100" s="1" t="s">
        <v>14757</v>
      </c>
      <c r="G10100" s="1" t="s">
        <v>28</v>
      </c>
      <c r="H10100" s="1" t="s">
        <v>29</v>
      </c>
      <c r="I10100" s="1" t="str">
        <f ca="1">IFERROR(__xludf.DUMMYFUNCTION("GOOGLETRANSLATE(F10100, ""auto"", ""en"")
"),"Judging by the reviews, I expected better. I bought it mainly to create curls. And I wanted additional coverage, in addition to ceramics. Straightens well at 5+ (I tried it on my mother, she has very coarse hair, like an afro). The curls turned out great "&amp;"too. There are some disadvantages. 1) The case gets very hot. 2) My hair becomes frizzy and electrified (I will look for an additional product). 3) It pulls the hair a little (due to thermal protection), but it’s not scary; everything was fine on my mothe"&amp;"r. The price is high because of the tassels. The eyelash curler doesn't work. I don’t regret the purchase, because... This is the best thing that was in my city, I hope Teflon will cover all the disadvantages.")</f>
        <v>Judging by the reviews, I expected better. I bought it mainly to create curls. And I wanted additional coverage, in addition to ceramics. Straightens well at 5+ (I tried it on my mother, she has very coarse hair, like an afro). The curls turned out great too. There are some disadvantages. 1) The case gets very hot. 2) My hair becomes frizzy and electrified (I will look for an additional product). 3) It pulls the hair a little (due to thermal protection), but it’s not scary; everything was fine on my mother. The price is high because of the tassels. The eyelash curler doesn't work. I don’t regret the purchase, because... This is the best thing that was in my city, I hope Teflon will cover all the disadvantages.</v>
      </c>
    </row>
    <row r="10101" spans="1:9" x14ac:dyDescent="0.3">
      <c r="A10101" s="1" t="s">
        <v>61</v>
      </c>
      <c r="B10101" s="1" t="s">
        <v>73</v>
      </c>
      <c r="C10101" s="1" t="s">
        <v>122</v>
      </c>
      <c r="D10101" s="1" t="s">
        <v>152</v>
      </c>
      <c r="E10101" s="1" t="s">
        <v>8718</v>
      </c>
      <c r="F10101" s="1" t="s">
        <v>14758</v>
      </c>
      <c r="G10101" s="1" t="s">
        <v>36</v>
      </c>
      <c r="H10101" s="1" t="s">
        <v>29</v>
      </c>
      <c r="I10101" s="1" t="str">
        <f ca="1">IFERROR(__xludf.DUMMYFUNCTION("GOOGLETRANSLATE(F10101, ""auto"", ""en"")
"),"A good meat grinder, I bought it for preparing adjika, it twists horseradish with a bang, although it copes better with meat. We’ve been using it for six months now, we don’t need reverse for meat, for hard vegetables - carrots, feijoa - we needed it a co"&amp;"uple of times, the problem is solved in a minute by disassembling the meat grinder.")</f>
        <v>A good meat grinder, I bought it for preparing adjika, it twists horseradish with a bang, although it copes better with meat. We’ve been using it for six months now, we don’t need reverse for meat, for hard vegetables - carrots, feijoa - we needed it a couple of times, the problem is solved in a minute by disassembling the meat grinder.</v>
      </c>
    </row>
    <row r="10102" spans="1:9" x14ac:dyDescent="0.3">
      <c r="A10102" s="1" t="s">
        <v>37</v>
      </c>
      <c r="B10102" s="1" t="s">
        <v>38</v>
      </c>
      <c r="C10102" s="1" t="s">
        <v>69</v>
      </c>
      <c r="D10102" s="1" t="s">
        <v>14759</v>
      </c>
      <c r="E10102" s="1" t="s">
        <v>2887</v>
      </c>
      <c r="F10102" s="1" t="s">
        <v>14760</v>
      </c>
      <c r="G10102" s="1" t="s">
        <v>36</v>
      </c>
      <c r="H10102" s="1" t="s">
        <v>29</v>
      </c>
      <c r="I10102" s="1" t="str">
        <f ca="1">IFERROR(__xludf.DUMMYFUNCTION("GOOGLETRANSLATE(F10102, ""auto"", ""en"")
"),"Yes, but how to synchronize contacts?  Where can I buy a spare battery and how much?  Is it resistant to falls and shocks?")</f>
        <v>Yes, but how to synchronize contacts?  Where can I buy a spare battery and how much?  Is it resistant to falls and shocks?</v>
      </c>
    </row>
    <row r="10103" spans="1:9" x14ac:dyDescent="0.3">
      <c r="A10103" s="1" t="s">
        <v>211</v>
      </c>
      <c r="B10103" s="1" t="s">
        <v>410</v>
      </c>
      <c r="C10103" s="1" t="s">
        <v>213</v>
      </c>
      <c r="D10103" s="1" t="s">
        <v>152</v>
      </c>
      <c r="E10103" s="1" t="s">
        <v>7819</v>
      </c>
      <c r="F10103" s="1" t="s">
        <v>14761</v>
      </c>
      <c r="G10103" s="1" t="s">
        <v>36</v>
      </c>
      <c r="H10103" s="1" t="s">
        <v>29</v>
      </c>
      <c r="I10103" s="1" t="str">
        <f ca="1">IFERROR(__xludf.DUMMYFUNCTION("GOOGLETRANSLATE(F10103, ""auto"", ""en"")
"),"Made in Germany, wet and dry shaving, self-cleaning function")</f>
        <v>Made in Germany, wet and dry shaving, self-cleaning function</v>
      </c>
    </row>
    <row r="10104" spans="1:9" x14ac:dyDescent="0.3">
      <c r="A10104" s="1" t="s">
        <v>61</v>
      </c>
      <c r="B10104" s="1" t="s">
        <v>5714</v>
      </c>
      <c r="C10104" s="1" t="s">
        <v>146</v>
      </c>
      <c r="D10104" s="1" t="s">
        <v>14762</v>
      </c>
      <c r="E10104" s="1" t="s">
        <v>2841</v>
      </c>
      <c r="F10104" s="1" t="s">
        <v>14763</v>
      </c>
      <c r="G10104" s="1" t="s">
        <v>36</v>
      </c>
      <c r="H10104" s="1" t="s">
        <v>29</v>
      </c>
      <c r="I10104" s="1" t="str">
        <f ca="1">IFERROR(__xludf.DUMMYFUNCTION("GOOGLETRANSLATE(F10104, ""auto"", ""en"")
"),"In order not to buy individual components, we decided to simply buy a good attachment for our food processor with a meat grinder function. It is very reliable and functional. It copes well with meat, veins, along with any vegetables - the result is simply"&amp;" garbage. It's much healthier than buying ready-made ones in the store. Plus special attachments for cabbage and sausages - a great plus that no other meat grinder we have had... We are very happy with the purchase.")</f>
        <v>In order not to buy individual components, we decided to simply buy a good attachment for our food processor with a meat grinder function. It is very reliable and functional. It copes well with meat, veins, along with any vegetables - the result is simply garbage. It's much healthier than buying ready-made ones in the store. Plus special attachments for cabbage and sausages - a great plus that no other meat grinder we have had... We are very happy with the purchase.</v>
      </c>
    </row>
    <row r="10105" spans="1:9" x14ac:dyDescent="0.3">
      <c r="A10105" s="1" t="s">
        <v>120</v>
      </c>
      <c r="B10105" s="1" t="s">
        <v>196</v>
      </c>
      <c r="C10105" s="1" t="s">
        <v>151</v>
      </c>
      <c r="D10105" s="1" t="s">
        <v>1036</v>
      </c>
      <c r="E10105" s="1" t="s">
        <v>1321</v>
      </c>
      <c r="F10105" s="1" t="s">
        <v>14764</v>
      </c>
      <c r="G10105" s="1" t="s">
        <v>28</v>
      </c>
      <c r="H10105" s="1" t="s">
        <v>29</v>
      </c>
      <c r="I10105" s="1" t="str">
        <f ca="1">IFERROR(__xludf.DUMMYFUNCTION("GOOGLETRANSLATE(F10105, ""auto"", ""en"")
"),"Excellent device. The switching and communication characteristics are simply excellent. You can connect a 2.5' HDD in a regular box powered by USB, or any other external HDD with a USB connection. It understands both FAT and NTFS without any problems, and"&amp;" if the HDD is divided into several logical drives, it will show them without problems.   The native firmware has very limited options for scaling the screen when watching videos, but this is corrected in the upgraded firmware.  It's a particular pleasure"&amp;" to use the remote control in the dark - it has a soft backlight, which makes finding the right button much easier.")</f>
        <v>Excellent device. The switching and communication characteristics are simply excellent. You can connect a 2.5' HDD in a regular box powered by USB, or any other external HDD with a USB connection. It understands both FAT and NTFS without any problems, and if the HDD is divided into several logical drives, it will show them without problems.   The native firmware has very limited options for scaling the screen when watching videos, but this is corrected in the upgraded firmware.  It's a particular pleasure to use the remote control in the dark - it has a soft backlight, which makes finding the right button much easier.</v>
      </c>
    </row>
    <row r="10106" spans="1:9" x14ac:dyDescent="0.3">
      <c r="A10106" s="1" t="s">
        <v>30</v>
      </c>
      <c r="B10106" s="1" t="s">
        <v>50</v>
      </c>
      <c r="C10106" s="1" t="s">
        <v>377</v>
      </c>
      <c r="D10106" s="1" t="s">
        <v>39</v>
      </c>
      <c r="E10106" s="1" t="s">
        <v>2057</v>
      </c>
      <c r="F10106" s="1" t="s">
        <v>14765</v>
      </c>
      <c r="G10106" s="1" t="s">
        <v>28</v>
      </c>
      <c r="H10106" s="1" t="s">
        <v>29</v>
      </c>
      <c r="I10106" s="1" t="str">
        <f ca="1">IFERROR(__xludf.DUMMYFUNCTION("GOOGLETRANSLATE(F10106, ""auto"", ""en"")
"),"Half a year after purchase, the beech begins to warm up. Strongly. The temperature of the processor and video card under load is up to 95 degrees Celsius.")</f>
        <v>Half a year after purchase, the beech begins to warm up. Strongly. The temperature of the processor and video card under load is up to 95 degrees Celsius.</v>
      </c>
    </row>
    <row r="10107" spans="1:9" x14ac:dyDescent="0.3">
      <c r="A10107" s="1" t="s">
        <v>30</v>
      </c>
      <c r="B10107" s="1" t="s">
        <v>50</v>
      </c>
      <c r="C10107" s="1" t="s">
        <v>694</v>
      </c>
      <c r="D10107" s="1" t="s">
        <v>152</v>
      </c>
      <c r="E10107" s="1" t="s">
        <v>3652</v>
      </c>
      <c r="F10107" s="1" t="s">
        <v>14766</v>
      </c>
      <c r="G10107" s="1" t="s">
        <v>28</v>
      </c>
      <c r="H10107" s="1" t="s">
        <v>29</v>
      </c>
      <c r="I10107" s="1" t="str">
        <f ca="1">IFERROR(__xludf.DUMMYFUNCTION("GOOGLETRANSLATE(F10107, ""auto"", ""en"")
"),"I bought this laptop 3 weeks ago, everything is fine, I like everything, but a fully charged battery is not enough even for an hour when watching a movie, while the screen brightness is below half")</f>
        <v>I bought this laptop 3 weeks ago, everything is fine, I like everything, but a fully charged battery is not enough even for an hour when watching a movie, while the screen brightness is below half</v>
      </c>
    </row>
    <row r="10108" spans="1:9" x14ac:dyDescent="0.3">
      <c r="A10108" s="1" t="s">
        <v>1443</v>
      </c>
      <c r="B10108" s="1" t="s">
        <v>4684</v>
      </c>
      <c r="C10108" s="1" t="s">
        <v>4685</v>
      </c>
      <c r="D10108" s="1" t="s">
        <v>1894</v>
      </c>
      <c r="E10108" s="1" t="s">
        <v>9278</v>
      </c>
      <c r="F10108" s="1" t="s">
        <v>14767</v>
      </c>
      <c r="G10108" s="1" t="s">
        <v>36</v>
      </c>
      <c r="H10108" s="1" t="s">
        <v>29</v>
      </c>
      <c r="I10108" s="1" t="str">
        <f ca="1">IFERROR(__xludf.DUMMYFUNCTION("GOOGLETRANSLATE(F10108, ""auto"", ""en"")
"),"I have already recorded almost fifty pieces. (two packages of 25 each) - not a single defect. I don’t know why, either the disks are really super or the drive is like that, and the program for recording also cannot be excluded from the calculation. Then e"&amp;"verything is OK!")</f>
        <v>I have already recorded almost fifty pieces. (two packages of 25 each) - not a single defect. I don’t know why, either the disks are really super or the drive is like that, and the program for recording also cannot be excluded from the calculation. Then everything is OK!</v>
      </c>
    </row>
    <row r="10109" spans="1:9" x14ac:dyDescent="0.3">
      <c r="A10109" s="1" t="s">
        <v>37</v>
      </c>
      <c r="B10109" s="1" t="s">
        <v>1829</v>
      </c>
      <c r="C10109" s="1" t="s">
        <v>151</v>
      </c>
      <c r="D10109" s="1" t="s">
        <v>9550</v>
      </c>
      <c r="E10109" s="1" t="s">
        <v>14768</v>
      </c>
      <c r="F10109" s="1" t="s">
        <v>14769</v>
      </c>
      <c r="G10109" s="1" t="s">
        <v>36</v>
      </c>
      <c r="H10109" s="1" t="s">
        <v>29</v>
      </c>
      <c r="I10109" s="1" t="str">
        <f ca="1">IFERROR(__xludf.DUMMYFUNCTION("GOOGLETRANSLATE(F10109, ""auto"", ""en"")
"),"I bought this wonderful phone 3 days ago, I was satisfied, everything here suits me: the screen, the camera and all sorts of little things. Thank you)))")</f>
        <v>I bought this wonderful phone 3 days ago, I was satisfied, everything here suits me: the screen, the camera and all sorts of little things. Thank you)))</v>
      </c>
    </row>
    <row r="10110" spans="1:9" x14ac:dyDescent="0.3">
      <c r="A10110" s="1" t="s">
        <v>9</v>
      </c>
      <c r="B10110" s="1" t="s">
        <v>137</v>
      </c>
      <c r="C10110" s="1" t="s">
        <v>63</v>
      </c>
      <c r="D10110" s="1" t="s">
        <v>896</v>
      </c>
      <c r="E10110" s="1" t="s">
        <v>4919</v>
      </c>
      <c r="F10110" s="1" t="s">
        <v>14770</v>
      </c>
      <c r="G10110" s="1" t="s">
        <v>36</v>
      </c>
      <c r="H10110" s="1" t="s">
        <v>29</v>
      </c>
      <c r="I10110" s="1" t="str">
        <f ca="1">IFERROR(__xludf.DUMMYFUNCTION("GOOGLETRANSLATE(F10110, ""auto"", ""en"")
"),"I'm very happy with my choice! I was looking for one with handles on the side - it’s more convenient and children in the future may be less likely to cause trouble due to the distance (+ gas control). It washes without problems, I personally don’t have an"&amp;"y stains. In love with her through and through! I recommend it to everyone!")</f>
        <v>I'm very happy with my choice! I was looking for one with handles on the side - it’s more convenient and children in the future may be less likely to cause trouble due to the distance (+ gas control). It washes without problems, I personally don’t have any stains. In love with her through and through! I recommend it to everyone!</v>
      </c>
    </row>
    <row r="10111" spans="1:9" x14ac:dyDescent="0.3">
      <c r="A10111" s="1" t="s">
        <v>149</v>
      </c>
      <c r="B10111" s="1" t="s">
        <v>150</v>
      </c>
      <c r="C10111" s="1" t="s">
        <v>2016</v>
      </c>
      <c r="D10111" s="1" t="s">
        <v>39</v>
      </c>
      <c r="E10111" s="1" t="s">
        <v>9148</v>
      </c>
      <c r="F10111" s="1" t="s">
        <v>14771</v>
      </c>
      <c r="G10111" s="1" t="s">
        <v>36</v>
      </c>
      <c r="H10111" s="1" t="s">
        <v>29</v>
      </c>
      <c r="I10111" s="1" t="str">
        <f ca="1">IFERROR(__xludf.DUMMYFUNCTION("GOOGLETRANSLATE(F10111, ""auto"", ""en"")
"),"I was attracted by the appearance of the vacuum cleaner. Unusual shape. I read the reviews. In principle, everything is fine. Suction power is good. Convenient nozzles. Excellent for keeping the interior clean.")</f>
        <v>I was attracted by the appearance of the vacuum cleaner. Unusual shape. I read the reviews. In principle, everything is fine. Suction power is good. Convenient nozzles. Excellent for keeping the interior clean.</v>
      </c>
    </row>
    <row r="10112" spans="1:9" x14ac:dyDescent="0.3">
      <c r="A10112" s="1" t="s">
        <v>37</v>
      </c>
      <c r="B10112" s="1" t="s">
        <v>38</v>
      </c>
      <c r="C10112" s="1" t="s">
        <v>151</v>
      </c>
      <c r="D10112" s="1" t="s">
        <v>39</v>
      </c>
      <c r="E10112" s="1" t="s">
        <v>1387</v>
      </c>
      <c r="F10112" s="1" t="s">
        <v>14772</v>
      </c>
      <c r="G10112" s="1" t="s">
        <v>36</v>
      </c>
      <c r="H10112" s="1" t="s">
        <v>29</v>
      </c>
      <c r="I10112" s="1" t="str">
        <f ca="1">IFERROR(__xludf.DUMMYFUNCTION("GOOGLETRANSLATE(F10112, ""auto"", ""en"")
"),"I've been using it for 4 months, no problems. The phone is worth the money!")</f>
        <v>I've been using it for 4 months, no problems. The phone is worth the money!</v>
      </c>
    </row>
    <row r="10113" spans="1:9" x14ac:dyDescent="0.3">
      <c r="A10113" s="1" t="s">
        <v>30</v>
      </c>
      <c r="B10113" s="1" t="s">
        <v>50</v>
      </c>
      <c r="C10113" s="1" t="s">
        <v>32</v>
      </c>
      <c r="D10113" s="1" t="s">
        <v>152</v>
      </c>
      <c r="E10113" s="1" t="s">
        <v>917</v>
      </c>
      <c r="F10113" s="1" t="s">
        <v>14773</v>
      </c>
      <c r="G10113" s="1" t="s">
        <v>36</v>
      </c>
      <c r="H10113" s="1" t="s">
        <v>29</v>
      </c>
      <c r="I10113" s="1" t="str">
        <f ca="1">IFERROR(__xludf.DUMMYFUNCTION("GOOGLETRANSLATE(F10113, ""auto"", ""en"")
"),"Great model! Everything is there! The analog modem is finally gone! HDMI! Cool design, battery lasts a long time!  Very convenient disc eject button. Easy! LED lighting! I recommend it to everyone! Build quality! nothing creaks or wobbles, the keys are ve"&amp;"ry large and comfortable! The video is impressive - you can play games!")</f>
        <v>Great model! Everything is there! The analog modem is finally gone! HDMI! Cool design, battery lasts a long time!  Very convenient disc eject button. Easy! LED lighting! I recommend it to everyone! Build quality! nothing creaks or wobbles, the keys are very large and comfortable! The video is impressive - you can play games!</v>
      </c>
    </row>
    <row r="10114" spans="1:9" x14ac:dyDescent="0.3">
      <c r="A10114" s="1" t="s">
        <v>105</v>
      </c>
      <c r="B10114" s="1" t="s">
        <v>106</v>
      </c>
      <c r="C10114" s="1" t="s">
        <v>97</v>
      </c>
      <c r="D10114" s="1" t="s">
        <v>2096</v>
      </c>
      <c r="E10114" s="1" t="s">
        <v>2410</v>
      </c>
      <c r="F10114" s="1" t="s">
        <v>14774</v>
      </c>
      <c r="G10114" s="1" t="s">
        <v>15</v>
      </c>
      <c r="H10114" s="1" t="s">
        <v>16</v>
      </c>
      <c r="I10114" s="1" t="str">
        <f ca="1">IFERROR(__xludf.DUMMYFUNCTION("GOOGLETRANSLATE(F10114, ""auto"", ""en"")
"),"I don’t know how it happened, but my second Sony player of this model broke in a row. The board in the first player failed immediately after the warranty period expired. Service technicians say there is no point in repairing. The second player, model Sony"&amp;" NWZ-E444 8Gb, did not last even a year - at first it would simply freeze and not respond to anything. And six months later, I lost the sound button. I carried the player in a bag and did not subject it to strong mechanical stress. And also headphones - t"&amp;"he wire in them came off in just a couple of months. Now I’m wondering whether I kept coming across defective players, or whether all Sony players are equally bad. It's not clear what to buy to replace it.")</f>
        <v>I don’t know how it happened, but my second Sony player of this model broke in a row. The board in the first player failed immediately after the warranty period expired. Service technicians say there is no point in repairing. The second player, model Sony NWZ-E444 8Gb, did not last even a year - at first it would simply freeze and not respond to anything. And six months later, I lost the sound button. I carried the player in a bag and did not subject it to strong mechanical stress. And also headphones - the wire in them came off in just a couple of months. Now I’m wondering whether I kept coming across defective players, or whether all Sony players are equally bad. It's not clear what to buy to replace it.</v>
      </c>
    </row>
    <row r="10115" spans="1:9" x14ac:dyDescent="0.3">
      <c r="A10115" s="1" t="s">
        <v>17</v>
      </c>
      <c r="B10115" s="1" t="s">
        <v>18</v>
      </c>
      <c r="C10115" s="1" t="s">
        <v>5293</v>
      </c>
      <c r="D10115" s="1" t="s">
        <v>14775</v>
      </c>
      <c r="E10115" s="1" t="s">
        <v>597</v>
      </c>
      <c r="F10115" s="1" t="s">
        <v>14776</v>
      </c>
      <c r="G10115" s="1" t="s">
        <v>28</v>
      </c>
      <c r="H10115" s="1" t="s">
        <v>29</v>
      </c>
      <c r="I10115" s="1" t="str">
        <f ca="1">IFERROR(__xludf.DUMMYFUNCTION("GOOGLETRANSLATE(F10115, ""auto"", ""en"")
"),"Yes, what is not there is not there! Special programs include only wool and synthetics.  But it washes perfectly, like all machines from this famous company.  The lock on the hatch, if used carefully, is quite reliable. And all other problems, such as imb"&amp;"alance, vibrations, jumping, insufficient spin due to a faulty controller. If there is a warranty, you need to change it.  And it is better to entrust the connection of hoses to an experienced specialist!")</f>
        <v>Yes, what is not there is not there! Special programs include only wool and synthetics.  But it washes perfectly, like all machines from this famous company.  The lock on the hatch, if used carefully, is quite reliable. And all other problems, such as imbalance, vibrations, jumping, insufficient spin due to a faulty controller. If there is a warranty, you need to change it.  And it is better to entrust the connection of hoses to an experienced specialist!</v>
      </c>
    </row>
    <row r="10116" spans="1:9" x14ac:dyDescent="0.3">
      <c r="A10116" s="1" t="s">
        <v>67</v>
      </c>
      <c r="B10116" s="1" t="s">
        <v>340</v>
      </c>
      <c r="C10116" s="1" t="s">
        <v>341</v>
      </c>
      <c r="D10116" s="1" t="s">
        <v>12</v>
      </c>
      <c r="E10116" s="1" t="s">
        <v>7141</v>
      </c>
      <c r="F10116" s="1" t="s">
        <v>14777</v>
      </c>
      <c r="G10116" s="1" t="s">
        <v>28</v>
      </c>
      <c r="H10116" s="1" t="s">
        <v>29</v>
      </c>
      <c r="I10116" s="1" t="str">
        <f ca="1">IFERROR(__xludf.DUMMYFUNCTION("GOOGLETRANSLATE(F10116, ""auto"", ""en"")
"),"The set contains a lot of paws (everything you need is included). The shuttle is the most understandable and simple - horizontal.  Nice color.")</f>
        <v>The set contains a lot of paws (everything you need is included). The shuttle is the most understandable and simple - horizontal.  Nice color.</v>
      </c>
    </row>
    <row r="10117" spans="1:9" x14ac:dyDescent="0.3">
      <c r="A10117" s="1" t="s">
        <v>9</v>
      </c>
      <c r="B10117" s="1" t="s">
        <v>10</v>
      </c>
      <c r="C10117" s="1" t="s">
        <v>3091</v>
      </c>
      <c r="D10117" s="1" t="s">
        <v>14778</v>
      </c>
      <c r="E10117" s="1" t="s">
        <v>3104</v>
      </c>
      <c r="F10117" s="1" t="s">
        <v>14779</v>
      </c>
      <c r="G10117" s="1" t="s">
        <v>36</v>
      </c>
      <c r="H10117" s="1" t="s">
        <v>29</v>
      </c>
      <c r="I10117" s="1" t="str">
        <f ca="1">IFERROR(__xludf.DUMMYFUNCTION("GOOGLETRANSLATE(F10117, ""auto"", ""en"")
"),"I recently bought this hood. It looks very good and functions well. There are three speeds, two halogen bright bulbs, there is not much buzzing even at the highest speed. It creates very bad traction. I called a master electrician for installation, becaus"&amp;"e I want to be sure that it is connected correctly and not be afraid that it will cause some kind of short circuit.")</f>
        <v>I recently bought this hood. It looks very good and functions well. There are three speeds, two halogen bright bulbs, there is not much buzzing even at the highest speed. It creates very bad traction. I called a master electrician for installation, because I want to be sure that it is connected correctly and not be afraid that it will cause some kind of short circuit.</v>
      </c>
    </row>
    <row r="10118" spans="1:9" x14ac:dyDescent="0.3">
      <c r="A10118" s="1" t="s">
        <v>78</v>
      </c>
      <c r="B10118" s="1" t="s">
        <v>493</v>
      </c>
      <c r="C10118" s="1" t="s">
        <v>80</v>
      </c>
      <c r="D10118" s="1" t="s">
        <v>14780</v>
      </c>
      <c r="E10118" s="1" t="s">
        <v>534</v>
      </c>
      <c r="F10118" s="1" t="s">
        <v>14781</v>
      </c>
      <c r="G10118" s="1" t="s">
        <v>36</v>
      </c>
      <c r="H10118" s="1" t="s">
        <v>29</v>
      </c>
      <c r="I10118" s="1" t="str">
        <f ca="1">IFERROR(__xludf.DUMMYFUNCTION("GOOGLETRANSLATE(F10118, ""auto"", ""en"")
"),"The microwave oven is small in size, very good, simple menu, easy to operate. Works great.")</f>
        <v>The microwave oven is small in size, very good, simple menu, easy to operate. Works great.</v>
      </c>
    </row>
    <row r="10119" spans="1:9" x14ac:dyDescent="0.3">
      <c r="A10119" s="1" t="s">
        <v>67</v>
      </c>
      <c r="B10119" s="1" t="s">
        <v>68</v>
      </c>
      <c r="C10119" s="1" t="s">
        <v>1461</v>
      </c>
      <c r="D10119" s="1" t="s">
        <v>64</v>
      </c>
      <c r="E10119" s="1" t="s">
        <v>386</v>
      </c>
      <c r="F10119" s="1" t="s">
        <v>14782</v>
      </c>
      <c r="G10119" s="1" t="s">
        <v>49</v>
      </c>
      <c r="H10119" s="1" t="s">
        <v>16</v>
      </c>
      <c r="I10119" s="1" t="str">
        <f ca="1">IFERROR(__xludf.DUMMYFUNCTION("GOOGLETRANSLATE(F10119, ""auto"", ""en"")
"),"We bought this iron. When heated, there was a very strong smell of some kind of burning, as if plastic was melting. I even immediately started to get a headache and had to ventilate the room. Gave it for exchange.")</f>
        <v>We bought this iron. When heated, there was a very strong smell of some kind of burning, as if plastic was melting. I even immediately started to get a headache and had to ventilate the room. Gave it for exchange.</v>
      </c>
    </row>
    <row r="10120" spans="1:9" x14ac:dyDescent="0.3">
      <c r="A10120" s="1" t="s">
        <v>169</v>
      </c>
      <c r="B10120" s="1" t="s">
        <v>170</v>
      </c>
      <c r="C10120" s="1" t="s">
        <v>193</v>
      </c>
      <c r="D10120" s="1" t="s">
        <v>208</v>
      </c>
      <c r="E10120" s="1" t="s">
        <v>1319</v>
      </c>
      <c r="F10120" s="1" t="s">
        <v>14783</v>
      </c>
      <c r="G10120" s="1" t="s">
        <v>36</v>
      </c>
      <c r="H10120" s="1" t="s">
        <v>29</v>
      </c>
      <c r="I10120" s="1" t="str">
        <f ca="1">IFERROR(__xludf.DUMMYFUNCTION("GOOGLETRANSLATE(F10120, ""auto"", ""en"")
"),"Actually the subject))) Who bought it, tell me this: 1) How much is it jammed? (Is the living world very audible outside the headphones or not?)) 2) How loudly do they scream and the quality of screaming at maximum volume?  3) How comfortable do they sit "&amp;"on your head and ears?  4) What is the quality of the plastic?)) It’s a stupid question, of course, I just bought Svenov and Philips ones for 650 rubles on average and the plastic just broke right next to their ears.")</f>
        <v>Actually the subject))) Who bought it, tell me this: 1) How much is it jammed? (Is the living world very audible outside the headphones or not?)) 2) How loudly do they scream and the quality of screaming at maximum volume?  3) How comfortable do they sit on your head and ears?  4) What is the quality of the plastic?)) It’s a stupid question, of course, I just bought Svenov and Philips ones for 650 rubles on average and the plastic just broke right next to their ears.</v>
      </c>
    </row>
    <row r="10121" spans="1:9" x14ac:dyDescent="0.3">
      <c r="A10121" s="1" t="s">
        <v>120</v>
      </c>
      <c r="B10121" s="1" t="s">
        <v>196</v>
      </c>
      <c r="C10121" s="1" t="s">
        <v>69</v>
      </c>
      <c r="D10121" s="1" t="s">
        <v>4244</v>
      </c>
      <c r="E10121" s="1" t="s">
        <v>2518</v>
      </c>
      <c r="F10121" s="1" t="s">
        <v>14784</v>
      </c>
      <c r="G10121" s="1" t="s">
        <v>28</v>
      </c>
      <c r="H10121" s="1" t="s">
        <v>29</v>
      </c>
      <c r="I10121" s="1" t="str">
        <f ca="1">IFERROR(__xludf.DUMMYFUNCTION("GOOGLETRANSLATE(F10121, ""auto"", ""en"")
"),"Our TV is 3 years old, it works great, only 2 minuses are missing USB and the sound is muffled.")</f>
        <v>Our TV is 3 years old, it works great, only 2 minuses are missing USB and the sound is muffled.</v>
      </c>
    </row>
    <row r="10122" spans="1:9" x14ac:dyDescent="0.3">
      <c r="A10122" s="1" t="s">
        <v>149</v>
      </c>
      <c r="B10122" s="1" t="s">
        <v>155</v>
      </c>
      <c r="C10122" s="1" t="s">
        <v>63</v>
      </c>
      <c r="D10122" s="1" t="s">
        <v>305</v>
      </c>
      <c r="E10122" s="1" t="s">
        <v>2414</v>
      </c>
      <c r="F10122" s="1" t="s">
        <v>14785</v>
      </c>
      <c r="G10122" s="1" t="s">
        <v>28</v>
      </c>
      <c r="H10122" s="1" t="s">
        <v>29</v>
      </c>
      <c r="I10122" s="1" t="str">
        <f ca="1">IFERROR(__xludf.DUMMYFUNCTION("GOOGLETRANSLATE(F10122, ""auto"", ""en"")
"),"The device is good, I’ve been using it for a year or more, I agree with the author below that there are a lot of filters, I clean the filter that hides the back cover once a month, but where the rest, as they said, 7 pieces, I don’t know, or rather where "&amp;"4 more filters are hidden")</f>
        <v>The device is good, I’ve been using it for a year or more, I agree with the author below that there are a lot of filters, I clean the filter that hides the back cover once a month, but where the rest, as they said, 7 pieces, I don’t know, or rather where 4 more filters are hidden</v>
      </c>
    </row>
    <row r="10123" spans="1:9" x14ac:dyDescent="0.3">
      <c r="A10123" s="1" t="s">
        <v>169</v>
      </c>
      <c r="B10123" s="1" t="s">
        <v>170</v>
      </c>
      <c r="C10123" s="1" t="s">
        <v>171</v>
      </c>
      <c r="D10123" s="1" t="s">
        <v>12</v>
      </c>
      <c r="E10123" s="1" t="s">
        <v>814</v>
      </c>
      <c r="F10123" s="1" t="s">
        <v>14786</v>
      </c>
      <c r="G10123" s="1" t="s">
        <v>36</v>
      </c>
      <c r="H10123" s="1" t="s">
        <v>29</v>
      </c>
      <c r="I10123" s="1" t="str">
        <f ca="1">IFERROR(__xludf.DUMMYFUNCTION("GOOGLETRANSLATE(F10123, ""auto"", ""en"")
"),"The sound is good, they look nice. I'm glad I didn't buy more expensive headphones - these are excellent :)")</f>
        <v>The sound is good, they look nice. I'm glad I didn't buy more expensive headphones - these are excellent :)</v>
      </c>
    </row>
    <row r="10124" spans="1:9" x14ac:dyDescent="0.3">
      <c r="A10124" s="1" t="s">
        <v>120</v>
      </c>
      <c r="B10124" s="1" t="s">
        <v>126</v>
      </c>
      <c r="C10124" s="1" t="s">
        <v>122</v>
      </c>
      <c r="D10124" s="1" t="s">
        <v>12743</v>
      </c>
      <c r="E10124" s="1" t="s">
        <v>540</v>
      </c>
      <c r="F10124" s="1" t="s">
        <v>14787</v>
      </c>
      <c r="G10124" s="1" t="s">
        <v>36</v>
      </c>
      <c r="H10124" s="1" t="s">
        <v>29</v>
      </c>
      <c r="I10124" s="1" t="str">
        <f ca="1">IFERROR(__xludf.DUMMYFUNCTION("GOOGLETRANSLATE(F10124, ""auto"", ""en"")
"),"TVs of this brand have a small feature - turning on the device from the remote control. They have a system against accidental pressing, so you need to hold the power button for about 2 seconds. A blinking indicator (only for plasma panels) means that it s"&amp;"ees the remote control signal and will now turn on. After turning off the device, about a minute should pass before it can be turned on again, until then it simply will not turn on. This applies to all TVs of this brand.   And before using the device, do "&amp;"not be lazy to read the instructions, because there are features like this one. This is much easier than running to a service center and finding out in the end that the device is working.")</f>
        <v>TVs of this brand have a small feature - turning on the device from the remote control. They have a system against accidental pressing, so you need to hold the power button for about 2 seconds. A blinking indicator (only for plasma panels) means that it sees the remote control signal and will now turn on. After turning off the device, about a minute should pass before it can be turned on again, until then it simply will not turn on. This applies to all TVs of this brand.   And before using the device, do not be lazy to read the instructions, because there are features like this one. This is much easier than running to a service center and finding out in the end that the device is working.</v>
      </c>
    </row>
    <row r="10125" spans="1:9" x14ac:dyDescent="0.3">
      <c r="A10125" s="1" t="s">
        <v>477</v>
      </c>
      <c r="B10125" s="1" t="s">
        <v>478</v>
      </c>
      <c r="C10125" s="1" t="s">
        <v>479</v>
      </c>
      <c r="D10125" s="1" t="s">
        <v>5509</v>
      </c>
      <c r="E10125" s="1" t="s">
        <v>3664</v>
      </c>
      <c r="F10125" s="1" t="s">
        <v>14788</v>
      </c>
      <c r="G10125" s="1" t="s">
        <v>36</v>
      </c>
      <c r="H10125" s="1" t="s">
        <v>29</v>
      </c>
      <c r="I10125" s="1" t="str">
        <f ca="1">IFERROR(__xludf.DUMMYFUNCTION("GOOGLETRANSLATE(F10125, ""auto"", ""en"")
"),"If you liked the first part, I highly recommend it. For the rest, it's an amateur game. The main distinguishing feature is indirect control (it’s better to read what this is in special publications). Good graphics, funny characters, a little humor. If the"&amp;"re were a 10-point scale, I would give it a 9. Well, a well-deserved 5.")</f>
        <v>If you liked the first part, I highly recommend it. For the rest, it's an amateur game. The main distinguishing feature is indirect control (it’s better to read what this is in special publications). Good graphics, funny characters, a little humor. If there were a 10-point scale, I would give it a 9. Well, a well-deserved 5.</v>
      </c>
    </row>
    <row r="10126" spans="1:9" x14ac:dyDescent="0.3">
      <c r="A10126" s="1" t="s">
        <v>67</v>
      </c>
      <c r="B10126" s="1" t="s">
        <v>68</v>
      </c>
      <c r="C10126" s="1" t="s">
        <v>246</v>
      </c>
      <c r="D10126" s="1" t="s">
        <v>545</v>
      </c>
      <c r="E10126" s="1" t="s">
        <v>1195</v>
      </c>
      <c r="F10126" s="1" t="s">
        <v>14789</v>
      </c>
      <c r="G10126" s="1" t="s">
        <v>36</v>
      </c>
      <c r="H10126" s="1" t="s">
        <v>29</v>
      </c>
      <c r="I10126" s="1" t="str">
        <f ca="1">IFERROR(__xludf.DUMMYFUNCTION("GOOGLETRANSLATE(F10126, ""auto"", ""en"")
"),"I've been dreaming about steam generators for a long time! I can't find the right words to describe my now steam generator. I'll say it briefly - super! I'm happy with my purchase!")</f>
        <v>I've been dreaming about steam generators for a long time! I can't find the right words to describe my now steam generator. I'll say it briefly - super! I'm happy with my purchase!</v>
      </c>
    </row>
    <row r="10127" spans="1:9" x14ac:dyDescent="0.3">
      <c r="A10127" s="1" t="s">
        <v>37</v>
      </c>
      <c r="B10127" s="1" t="s">
        <v>38</v>
      </c>
      <c r="C10127" s="1" t="s">
        <v>163</v>
      </c>
      <c r="D10127" s="1" t="s">
        <v>14790</v>
      </c>
      <c r="E10127" s="1" t="s">
        <v>708</v>
      </c>
      <c r="F10127" s="1" t="s">
        <v>14791</v>
      </c>
      <c r="G10127" s="1" t="s">
        <v>49</v>
      </c>
      <c r="H10127" s="1" t="s">
        <v>16</v>
      </c>
      <c r="I10127" s="1" t="str">
        <f ca="1">IFERROR(__xludf.DUMMYFUNCTION("GOOGLETRANSLATE(F10127, ""auto"", ""en"")
"),"The phone is quiet, the buttons wear out (I'm not happy with it)!")</f>
        <v>The phone is quiet, the buttons wear out (I'm not happy with it)!</v>
      </c>
    </row>
    <row r="10128" spans="1:9" x14ac:dyDescent="0.3">
      <c r="A10128" s="1" t="s">
        <v>105</v>
      </c>
      <c r="B10128" s="1" t="s">
        <v>106</v>
      </c>
      <c r="C10128" s="1" t="s">
        <v>1209</v>
      </c>
      <c r="D10128" s="1" t="s">
        <v>896</v>
      </c>
      <c r="E10128" s="1" t="s">
        <v>1273</v>
      </c>
      <c r="F10128" s="1" t="s">
        <v>14792</v>
      </c>
      <c r="G10128" s="1" t="s">
        <v>36</v>
      </c>
      <c r="H10128" s="1" t="s">
        <v>29</v>
      </c>
      <c r="I10128" s="1" t="str">
        <f ca="1">IFERROR(__xludf.DUMMYFUNCTION("GOOGLETRANSLATE(F10128, ""auto"", ""en"")
"),"good, light and small player)))")</f>
        <v>good, light and small player)))</v>
      </c>
    </row>
    <row r="10129" spans="1:9" x14ac:dyDescent="0.3">
      <c r="A10129" s="1" t="s">
        <v>211</v>
      </c>
      <c r="B10129" s="1" t="s">
        <v>212</v>
      </c>
      <c r="C10129" s="1" t="s">
        <v>63</v>
      </c>
      <c r="D10129" s="1" t="s">
        <v>2934</v>
      </c>
      <c r="E10129" s="1" t="s">
        <v>14793</v>
      </c>
      <c r="F10129" s="1" t="s">
        <v>14794</v>
      </c>
      <c r="G10129" s="1" t="s">
        <v>49</v>
      </c>
      <c r="H10129" s="1" t="s">
        <v>16</v>
      </c>
      <c r="I10129" s="1" t="str">
        <f ca="1">IFERROR(__xludf.DUMMYFUNCTION("GOOGLETRANSLATE(F10129, ""auto"", ""en"")
"),"A very worthy representative in its price category. But! You will use a maximum of two or three attachments and then you will only use a brush, which (by the way, it’s plastic) will break in three or four months due to exposure to high temperatures. And a"&amp;"ll that remains is to use it as a hair dryer, which is no longer quite cheap.")</f>
        <v>A very worthy representative in its price category. But! You will use a maximum of two or three attachments and then you will only use a brush, which (by the way, it’s plastic) will break in three or four months due to exposure to high temperatures. And all that remains is to use it as a hair dryer, which is no longer quite cheap.</v>
      </c>
    </row>
    <row r="10130" spans="1:9" x14ac:dyDescent="0.3">
      <c r="A10130" s="1" t="s">
        <v>17</v>
      </c>
      <c r="B10130" s="1" t="s">
        <v>18</v>
      </c>
      <c r="C10130" s="1" t="s">
        <v>80</v>
      </c>
      <c r="D10130" s="1" t="s">
        <v>86</v>
      </c>
      <c r="E10130" s="1" t="s">
        <v>2059</v>
      </c>
      <c r="F10130" s="1" t="s">
        <v>14795</v>
      </c>
      <c r="G10130" s="1" t="s">
        <v>36</v>
      </c>
      <c r="H10130" s="1" t="s">
        <v>29</v>
      </c>
      <c r="I10130" s="1" t="str">
        <f ca="1">IFERROR(__xludf.DUMMYFUNCTION("GOOGLETRANSLATE(F10130, ""auto"", ""en"")
"),"We bought a car, my wife was very happy, I liked it too.")</f>
        <v>We bought a car, my wife was very happy, I liked it too.</v>
      </c>
    </row>
    <row r="10131" spans="1:9" x14ac:dyDescent="0.3">
      <c r="A10131" s="1" t="s">
        <v>105</v>
      </c>
      <c r="B10131" s="1" t="s">
        <v>106</v>
      </c>
      <c r="C10131" s="1" t="s">
        <v>107</v>
      </c>
      <c r="D10131" s="1" t="s">
        <v>64</v>
      </c>
      <c r="E10131" s="1" t="s">
        <v>2146</v>
      </c>
      <c r="F10131" s="1" t="s">
        <v>14796</v>
      </c>
      <c r="G10131" s="1" t="s">
        <v>49</v>
      </c>
      <c r="H10131" s="1" t="s">
        <v>16</v>
      </c>
      <c r="I10131" s="1" t="str">
        <f ca="1">IFERROR(__xludf.DUMMYFUNCTION("GOOGLETRANSLATE(F10131, ""auto"", ""en"")
"),"I bought one of these six months ago, less than six months later the sound began to disappear, everything else can be tolerated and adjusted to, in particular floating scrolling, non-playback of some declared video formats, and extremely short operating t"&amp;"ime.  Yesterday I was in the service department, they said that the headphone jack was worn out, but they would exchange it for me with any other product. It just needs to be complete, I have everything except some kind of factory warranty. Did you have i"&amp;"t?  P.S.: I won’t buy Rhythmix anymore. I’m thinking about Samsung or Philips")</f>
        <v>I bought one of these six months ago, less than six months later the sound began to disappear, everything else can be tolerated and adjusted to, in particular floating scrolling, non-playback of some declared video formats, and extremely short operating time.  Yesterday I was in the service department, they said that the headphone jack was worn out, but they would exchange it for me with any other product. It just needs to be complete, I have everything except some kind of factory warranty. Did you have it?  P.S.: I won’t buy Rhythmix anymore. I’m thinking about Samsung or Philips</v>
      </c>
    </row>
    <row r="10132" spans="1:9" x14ac:dyDescent="0.3">
      <c r="A10132" s="1" t="s">
        <v>61</v>
      </c>
      <c r="B10132" s="1" t="s">
        <v>318</v>
      </c>
      <c r="C10132" s="1" t="s">
        <v>57</v>
      </c>
      <c r="D10132" s="1" t="s">
        <v>4535</v>
      </c>
      <c r="E10132" s="1" t="s">
        <v>4101</v>
      </c>
      <c r="F10132" s="1" t="s">
        <v>14797</v>
      </c>
      <c r="G10132" s="1" t="s">
        <v>36</v>
      </c>
      <c r="H10132" s="1" t="s">
        <v>29</v>
      </c>
      <c r="I10132" s="1" t="str">
        <f ca="1">IFERROR(__xludf.DUMMYFUNCTION("GOOGLETRANSLATE(F10132, ""auto"", ""en"")
"),"I liked the appearance, since it is made of metal. The price is normal, the kettle itself is light, the lid fits tightly and pouring water is easy and convenient.")</f>
        <v>I liked the appearance, since it is made of metal. The price is normal, the kettle itself is light, the lid fits tightly and pouring water is easy and convenient.</v>
      </c>
    </row>
    <row r="10133" spans="1:9" x14ac:dyDescent="0.3">
      <c r="A10133" s="1" t="s">
        <v>557</v>
      </c>
      <c r="B10133" s="1" t="s">
        <v>558</v>
      </c>
      <c r="C10133" s="1" t="s">
        <v>122</v>
      </c>
      <c r="D10133" s="1" t="s">
        <v>33</v>
      </c>
      <c r="E10133" s="1" t="s">
        <v>2910</v>
      </c>
      <c r="F10133" s="1" t="s">
        <v>4044</v>
      </c>
      <c r="G10133" s="1" t="s">
        <v>36</v>
      </c>
      <c r="H10133" s="1" t="s">
        <v>29</v>
      </c>
      <c r="I10133" s="1" t="str">
        <f ca="1">IFERROR(__xludf.DUMMYFUNCTION("GOOGLETRANSLATE(F10133, ""auto"", ""en"")
"),"Price-quality")</f>
        <v>Price-quality</v>
      </c>
    </row>
    <row r="10134" spans="1:9" x14ac:dyDescent="0.3">
      <c r="A10134" s="1" t="s">
        <v>9</v>
      </c>
      <c r="B10134" s="1" t="s">
        <v>23</v>
      </c>
      <c r="C10134" s="1" t="s">
        <v>138</v>
      </c>
      <c r="D10134" s="1" t="s">
        <v>1188</v>
      </c>
      <c r="E10134" s="1" t="s">
        <v>1868</v>
      </c>
      <c r="F10134" s="1" t="s">
        <v>14798</v>
      </c>
      <c r="G10134" s="1" t="s">
        <v>28</v>
      </c>
      <c r="H10134" s="1" t="s">
        <v>29</v>
      </c>
      <c r="I10134" s="1" t="str">
        <f ca="1">IFERROR(__xludf.DUMMYFUNCTION("GOOGLETRANSLATE(F10134, ""auto"", ""en"")
"),"It is imperative to use the same brand!!! And then it washes perfectly!!! and if it doesn’t wash well, it means it’s really faulty.")</f>
        <v>It is imperative to use the same brand!!! And then it washes perfectly!!! and if it doesn’t wash well, it means it’s really faulty.</v>
      </c>
    </row>
    <row r="10135" spans="1:9" x14ac:dyDescent="0.3">
      <c r="A10135" s="1" t="s">
        <v>61</v>
      </c>
      <c r="B10135" s="1" t="s">
        <v>318</v>
      </c>
      <c r="C10135" s="1" t="s">
        <v>246</v>
      </c>
      <c r="D10135" s="1" t="s">
        <v>295</v>
      </c>
      <c r="E10135" s="1" t="s">
        <v>2190</v>
      </c>
      <c r="F10135" s="1" t="s">
        <v>14799</v>
      </c>
      <c r="G10135" s="1" t="s">
        <v>36</v>
      </c>
      <c r="H10135" s="1" t="s">
        <v>29</v>
      </c>
      <c r="I10135" s="1" t="str">
        <f ca="1">IFERROR(__xludf.DUMMYFUNCTION("GOOGLETRANSLATE(F10135, ""auto"", ""en"")
"),"It's noisy enough! Comfortable spout. Boils water very quickly. You have to be careful with the outer surface of the kettle - it is hot after turning it off. I'm happy with everything!")</f>
        <v>It's noisy enough! Comfortable spout. Boils water very quickly. You have to be careful with the outer surface of the kettle - it is hot after turning it off. I'm happy with everything!</v>
      </c>
    </row>
    <row r="10136" spans="1:9" x14ac:dyDescent="0.3">
      <c r="A10136" s="1" t="s">
        <v>211</v>
      </c>
      <c r="B10136" s="1" t="s">
        <v>410</v>
      </c>
      <c r="C10136" s="1" t="s">
        <v>122</v>
      </c>
      <c r="D10136" s="1" t="s">
        <v>14800</v>
      </c>
      <c r="E10136" s="1" t="s">
        <v>675</v>
      </c>
      <c r="F10136" s="1" t="s">
        <v>14801</v>
      </c>
      <c r="G10136" s="1" t="s">
        <v>36</v>
      </c>
      <c r="H10136" s="1" t="s">
        <v>29</v>
      </c>
      <c r="I10136" s="1" t="str">
        <f ca="1">IFERROR(__xludf.DUMMYFUNCTION("GOOGLETRANSLATE(F10136, ""auto"", ""en"")
"),"Excellent razor, my wife gave it to me for my birthday. I used Vitek VT-1372, but this one doesn’t compare. The charge lasts for almost a month, I shave once every two days. It charges very quickly, about 50-55 minutes. It shaves well and feels very nice "&amp;"in the hand. The low battery indicator is very convenient. Optimal ratio of price to product quality. Overall a 5 rating!")</f>
        <v>Excellent razor, my wife gave it to me for my birthday. I used Vitek VT-1372, but this one doesn’t compare. The charge lasts for almost a month, I shave once every two days. It charges very quickly, about 50-55 minutes. It shaves well and feels very nice in the hand. The low battery indicator is very convenient. Optimal ratio of price to product quality. Overall a 5 rating!</v>
      </c>
    </row>
    <row r="10137" spans="1:9" x14ac:dyDescent="0.3">
      <c r="A10137" s="1" t="s">
        <v>206</v>
      </c>
      <c r="B10137" s="1" t="s">
        <v>207</v>
      </c>
      <c r="C10137" s="1" t="s">
        <v>351</v>
      </c>
      <c r="D10137" s="1" t="s">
        <v>14802</v>
      </c>
      <c r="E10137" s="1" t="s">
        <v>969</v>
      </c>
      <c r="F10137" s="1" t="s">
        <v>14803</v>
      </c>
      <c r="G10137" s="1" t="s">
        <v>36</v>
      </c>
      <c r="H10137" s="1" t="s">
        <v>29</v>
      </c>
      <c r="I10137" s="1" t="str">
        <f ca="1">IFERROR(__xludf.DUMMYFUNCTION("GOOGLETRANSLATE(F10137, ""auto"", ""en"")
"),"I bought it here at Mvideo, installed it myself, bought only a capacitor, it pumps perfectly, you couldn’t find anything better for the money!")</f>
        <v>I bought it here at Mvideo, installed it myself, bought only a capacitor, it pumps perfectly, you couldn’t find anything better for the money!</v>
      </c>
    </row>
    <row r="10138" spans="1:9" x14ac:dyDescent="0.3">
      <c r="A10138" s="1" t="s">
        <v>61</v>
      </c>
      <c r="B10138" s="1" t="s">
        <v>318</v>
      </c>
      <c r="C10138" s="1" t="s">
        <v>213</v>
      </c>
      <c r="D10138" s="1" t="s">
        <v>1188</v>
      </c>
      <c r="E10138" s="1" t="s">
        <v>580</v>
      </c>
      <c r="F10138" s="1" t="s">
        <v>14804</v>
      </c>
      <c r="G10138" s="1" t="s">
        <v>36</v>
      </c>
      <c r="H10138" s="1" t="s">
        <v>29</v>
      </c>
      <c r="I10138" s="1" t="str">
        <f ca="1">IFERROR(__xludf.DUMMYFUNCTION("GOOGLETRANSLATE(F10138, ""auto"", ""en"")
"),"We've had this kettle for over 7 years now. We use it several times every day, we have a large family. And you know, during all this time there have been no hints of failure, in general it works flawlessly. It’s amazing to me that equipment can work for s"&amp;"o long! I recommend it to everyone!")</f>
        <v>We've had this kettle for over 7 years now. We use it several times every day, we have a large family. And you know, during all this time there have been no hints of failure, in general it works flawlessly. It’s amazing to me that equipment can work for so long! I recommend it to everyone!</v>
      </c>
    </row>
    <row r="10139" spans="1:9" x14ac:dyDescent="0.3">
      <c r="A10139" s="1" t="s">
        <v>55</v>
      </c>
      <c r="B10139" s="1" t="s">
        <v>84</v>
      </c>
      <c r="C10139" s="1" t="s">
        <v>85</v>
      </c>
      <c r="D10139" s="1" t="s">
        <v>327</v>
      </c>
      <c r="E10139" s="1" t="s">
        <v>3140</v>
      </c>
      <c r="F10139" s="1" t="s">
        <v>14805</v>
      </c>
      <c r="G10139" s="1" t="s">
        <v>15</v>
      </c>
      <c r="H10139" s="1" t="s">
        <v>16</v>
      </c>
      <c r="I10139" s="1" t="str">
        <f ca="1">IFERROR(__xludf.DUMMYFUNCTION("GOOGLETRANSLATE(F10139, ""auto"", ""en"")
"),"It justified itself only as a humidifier. I have been using it for more than a month, and there is almost no dust removal effect.")</f>
        <v>It justified itself only as a humidifier. I have been using it for more than a month, and there is almost no dust removal effect.</v>
      </c>
    </row>
    <row r="10140" spans="1:9" x14ac:dyDescent="0.3">
      <c r="A10140" s="1" t="s">
        <v>149</v>
      </c>
      <c r="B10140" s="1" t="s">
        <v>155</v>
      </c>
      <c r="C10140" s="1" t="s">
        <v>1187</v>
      </c>
      <c r="D10140" s="1" t="s">
        <v>568</v>
      </c>
      <c r="E10140" s="1" t="s">
        <v>41</v>
      </c>
      <c r="F10140" s="1" t="s">
        <v>14806</v>
      </c>
      <c r="G10140" s="1" t="s">
        <v>36</v>
      </c>
      <c r="H10140" s="1" t="s">
        <v>29</v>
      </c>
      <c r="I10140" s="1" t="str">
        <f ca="1">IFERROR(__xludf.DUMMYFUNCTION("GOOGLETRANSLATE(F10140, ""auto"", ""en"")
"),"Great vacuum cleaner! Worth the money! Filtration is superb!   Take it - you won't regret it!")</f>
        <v>Great vacuum cleaner! Worth the money! Filtration is superb!   Take it - you won't regret it!</v>
      </c>
    </row>
    <row r="10141" spans="1:9" x14ac:dyDescent="0.3">
      <c r="A10141" s="1" t="s">
        <v>373</v>
      </c>
      <c r="B10141" s="1" t="s">
        <v>374</v>
      </c>
      <c r="C10141" s="1" t="s">
        <v>138</v>
      </c>
      <c r="D10141" s="1" t="s">
        <v>52</v>
      </c>
      <c r="E10141" s="1" t="s">
        <v>594</v>
      </c>
      <c r="F10141" s="1" t="s">
        <v>14807</v>
      </c>
      <c r="G10141" s="1" t="s">
        <v>36</v>
      </c>
      <c r="H10141" s="1" t="s">
        <v>29</v>
      </c>
      <c r="I10141" s="1" t="str">
        <f ca="1">IFERROR(__xludf.DUMMYFUNCTION("GOOGLETRANSLATE(F10141, ""auto"", ""en"")
"),"A wonderful car, I can’t imagine how I ever lived without it.")</f>
        <v>A wonderful car, I can’t imagine how I ever lived without it.</v>
      </c>
    </row>
    <row r="10142" spans="1:9" x14ac:dyDescent="0.3">
      <c r="A10142" s="1" t="s">
        <v>211</v>
      </c>
      <c r="B10142" s="1" t="s">
        <v>212</v>
      </c>
      <c r="C10142" s="1" t="s">
        <v>69</v>
      </c>
      <c r="D10142" s="1" t="s">
        <v>335</v>
      </c>
      <c r="E10142" s="1" t="s">
        <v>2160</v>
      </c>
      <c r="F10142" s="1" t="s">
        <v>14808</v>
      </c>
      <c r="G10142" s="1" t="s">
        <v>36</v>
      </c>
      <c r="H10142" s="1" t="s">
        <v>29</v>
      </c>
      <c r="I10142" s="1" t="str">
        <f ca="1">IFERROR(__xludf.DUMMYFUNCTION("GOOGLETRANSLATE(F10142, ""auto"", ""en"")
"),"The hairdryer is already 5 years old - 3 family members use it every day - the load, you see, is not small. Lightweight, compact, has all the necessary modes, fell on the floor several times - anything can happen :). The malfunctions started just now - it"&amp;" won’t turn on when it overheats. I will buy the same one - the main thing is that the assembly does not fail!))")</f>
        <v>The hairdryer is already 5 years old - 3 family members use it every day - the load, you see, is not small. Lightweight, compact, has all the necessary modes, fell on the floor several times - anything can happen :). The malfunctions started just now - it won’t turn on when it overheats. I will buy the same one - the main thing is that the assembly does not fail!))</v>
      </c>
    </row>
    <row r="10143" spans="1:9" x14ac:dyDescent="0.3">
      <c r="A10143" s="1" t="s">
        <v>61</v>
      </c>
      <c r="B10143" s="1" t="s">
        <v>318</v>
      </c>
      <c r="C10143" s="1" t="s">
        <v>63</v>
      </c>
      <c r="D10143" s="1" t="s">
        <v>385</v>
      </c>
      <c r="E10143" s="1" t="s">
        <v>14809</v>
      </c>
      <c r="F10143" s="1" t="s">
        <v>14810</v>
      </c>
      <c r="G10143" s="1" t="s">
        <v>36</v>
      </c>
      <c r="H10143" s="1" t="s">
        <v>29</v>
      </c>
      <c r="I10143" s="1" t="str">
        <f ca="1">IFERROR(__xludf.DUMMYFUNCTION("GOOGLETRANSLATE(F10143, ""auto"", ""en"")
"),"we bought the first kettle from this company in 2008, in 2014 we accidentally dropped it, and naturally the kettle stopped working, we decided to buy the same one, but we bought it in another store that did not particularly specialize in household applian"&amp;"ces, and so its inscription was erased, it began to leak, and now it has stopped turning off altogether (so I’ll try my luck again, but now in a normal store) I hope it will last the same as the first-born and even longer)")</f>
        <v>we bought the first kettle from this company in 2008, in 2014 we accidentally dropped it, and naturally the kettle stopped working, we decided to buy the same one, but we bought it in another store that did not particularly specialize in household appliances, and so its inscription was erased, it began to leak, and now it has stopped turning off altogether (so I’ll try my luck again, but now in a normal store) I hope it will last the same as the first-born and even longer)</v>
      </c>
    </row>
    <row r="10144" spans="1:9" x14ac:dyDescent="0.3">
      <c r="A10144" s="1" t="s">
        <v>37</v>
      </c>
      <c r="B10144" s="1" t="s">
        <v>355</v>
      </c>
      <c r="C10144" s="1" t="s">
        <v>356</v>
      </c>
      <c r="D10144" s="1" t="s">
        <v>152</v>
      </c>
      <c r="E10144" s="1" t="s">
        <v>3259</v>
      </c>
      <c r="F10144" s="1" t="s">
        <v>14811</v>
      </c>
      <c r="G10144" s="1" t="s">
        <v>36</v>
      </c>
      <c r="H10144" s="1" t="s">
        <v>29</v>
      </c>
      <c r="I10144" s="1" t="str">
        <f ca="1">IFERROR(__xludf.DUMMYFUNCTION("GOOGLETRANSLATE(F10144, ""auto"", ""en"")
"),"An excellent device that is convenient and reliable.  I’ve been communicating with iPhones for about two years now, and I can definitely say that there is no one equal to it yet; many, due to ignorance of the iTunes program, do not discover all its capabi"&amp;"lities. For example, firmware version 3.0 has now been released, which opened up video recording, MMS, and much more for users, the price of the device has decreased due to the appearance in Russia on August 9 of the new iPhone 3Gs. The device will be equ"&amp;"ipped with a three-megapixel camera (instead of two which now they are) and a few more bells and whistles, this device will also be a little more powerful than a simple 3G. Externally they are no different, they will differ in price.  My advice is to buy "&amp;"now this iPhone, which, according to the law of marketing, has dropped so much in price, in order to understand for yourself what kind of thing it is and what it is used with. Now the iPhone is already more than a phone, it is already a pocket computer, a"&amp;"n Internet tablet, and a game console.  The device holds the battery for a long time, although if you play games it will run out in three hours (since the resources of the graphics chip and microprocessor are heavily used). So my advice to you is that if "&amp;"you don’t know what an iPhone is, it’s easier to buy it now at this price, the device is durable and reliable, its front panel is very hard to scratch, the screen is quite durable, it is hermetically assembled, so if you “drown” it, then after drying it s"&amp;"hould work as it did.  If anyone has any questions regarding the iPhone, please email: shelldonies@gmail.com")</f>
        <v>An excellent device that is convenient and reliable.  I’ve been communicating with iPhones for about two years now, and I can definitely say that there is no one equal to it yet; many, due to ignorance of the iTunes program, do not discover all its capabilities. For example, firmware version 3.0 has now been released, which opened up video recording, MMS, and much more for users, the price of the device has decreased due to the appearance in Russia on August 9 of the new iPhone 3Gs. The device will be equipped with a three-megapixel camera (instead of two which now they are) and a few more bells and whistles, this device will also be a little more powerful than a simple 3G. Externally they are no different, they will differ in price.  My advice is to buy now this iPhone, which, according to the law of marketing, has dropped so much in price, in order to understand for yourself what kind of thing it is and what it is used with. Now the iPhone is already more than a phone, it is already a pocket computer, an Internet tablet, and a game console.  The device holds the battery for a long time, although if you play games it will run out in three hours (since the resources of the graphics chip and microprocessor are heavily used). So my advice to you is that if you don’t know what an iPhone is, it’s easier to buy it now at this price, the device is durable and reliable, its front panel is very hard to scratch, the screen is quite durable, it is hermetically assembled, so if you “drown” it, then after drying it should work as it did.  If anyone has any questions regarding the iPhone, please email: shelldonies@gmail.com</v>
      </c>
    </row>
    <row r="10145" spans="1:9" x14ac:dyDescent="0.3">
      <c r="A10145" s="1" t="s">
        <v>37</v>
      </c>
      <c r="B10145" s="1" t="s">
        <v>536</v>
      </c>
      <c r="C10145" s="1" t="s">
        <v>151</v>
      </c>
      <c r="D10145" s="1" t="s">
        <v>280</v>
      </c>
      <c r="E10145" s="1" t="s">
        <v>1975</v>
      </c>
      <c r="F10145" s="1" t="s">
        <v>14812</v>
      </c>
      <c r="G10145" s="1" t="s">
        <v>36</v>
      </c>
      <c r="H10145" s="1" t="s">
        <v>29</v>
      </c>
      <c r="I10145" s="1" t="str">
        <f ca="1">IFERROR(__xludf.DUMMYFUNCTION("GOOGLETRANSLATE(F10145, ""auto"", ""en"")
"),"I bought it a month ago. The device is simply cool. Before that I used Rover PC S7, and Rover PC X7.  On the plus side, the screen size is 16:9, excellent brightness and contrast, the sound from the speaker is high-quality and loud, the camera takes excel"&amp;"lent pictures, video at normal speed is only 240x320, but 640x480 is already slow. The Internet is fast. GPS is also fast and stable. The device fits perfectly in the hand.  I advise you to immediately buy a car charger since the GPS battery is consumed i"&amp;"n 20 minutes. The battery lasts for a couple of days if you only use it as a phone.  There are also small disadvantages, well, very tiny - the resolution is not enough for such a large screen, the stylus is separate from the device in the form of a keycha"&amp;"in, one jack for headphones and charging, and besides, it’s original and not miniUSB.  Overall score 5 points.")</f>
        <v>I bought it a month ago. The device is simply cool. Before that I used Rover PC S7, and Rover PC X7.  On the plus side, the screen size is 16:9, excellent brightness and contrast, the sound from the speaker is high-quality and loud, the camera takes excellent pictures, video at normal speed is only 240x320, but 640x480 is already slow. The Internet is fast. GPS is also fast and stable. The device fits perfectly in the hand.  I advise you to immediately buy a car charger since the GPS battery is consumed in 20 minutes. The battery lasts for a couple of days if you only use it as a phone.  There are also small disadvantages, well, very tiny - the resolution is not enough for such a large screen, the stylus is separate from the device in the form of a keychain, one jack for headphones and charging, and besides, it’s original and not miniUSB.  Overall score 5 points.</v>
      </c>
    </row>
    <row r="10146" spans="1:9" x14ac:dyDescent="0.3">
      <c r="A10146" s="1" t="s">
        <v>120</v>
      </c>
      <c r="B10146" s="1" t="s">
        <v>121</v>
      </c>
      <c r="C10146" s="1" t="s">
        <v>80</v>
      </c>
      <c r="D10146" s="1" t="s">
        <v>171</v>
      </c>
      <c r="E10146" s="1" t="s">
        <v>886</v>
      </c>
      <c r="F10146" s="1" t="s">
        <v>14813</v>
      </c>
      <c r="G10146" s="1" t="s">
        <v>36</v>
      </c>
      <c r="H10146" s="1" t="s">
        <v>29</v>
      </c>
      <c r="I10146" s="1" t="str">
        <f ca="1">IFERROR(__xludf.DUMMYFUNCTION("GOOGLETRANSLATE(F10146, ""auto"", ""en"")
"),"I want to say the following. I was extremely surprised when the built-in media player played files with the avi extension. Although this is not indicated in the technical parameters. In general, the service at M-Video surprised me. Before this, I bought a"&amp;"nother TV, but when I brought it home, it refused to look for channels. I had to give it up. A diagnosis was carried out in front of me in the store. After which they replaced it with LG and all without problems! Thanks for your honesty.")</f>
        <v>I want to say the following. I was extremely surprised when the built-in media player played files with the avi extension. Although this is not indicated in the technical parameters. In general, the service at M-Video surprised me. Before this, I bought another TV, but when I brought it home, it refused to look for channels. I had to give it up. A diagnosis was carried out in front of me in the store. After which they replaced it with LG and all without problems! Thanks for your honesty.</v>
      </c>
    </row>
    <row r="10147" spans="1:9" x14ac:dyDescent="0.3">
      <c r="A10147" s="1" t="s">
        <v>169</v>
      </c>
      <c r="B10147" s="1" t="s">
        <v>170</v>
      </c>
      <c r="C10147" s="1" t="s">
        <v>69</v>
      </c>
      <c r="D10147" s="1" t="s">
        <v>52</v>
      </c>
      <c r="E10147" s="1" t="s">
        <v>6703</v>
      </c>
      <c r="F10147" s="1" t="s">
        <v>14814</v>
      </c>
      <c r="G10147" s="1" t="s">
        <v>36</v>
      </c>
      <c r="H10147" s="1" t="s">
        <v>29</v>
      </c>
      <c r="I10147" s="1" t="str">
        <f ca="1">IFERROR(__xludf.DUMMYFUNCTION("GOOGLETRANSLATE(F10147, ""auto"", ""en"")
"),"The headphones are great! I agree with the others that the bass is simply crazy.   There is one BUT! The acoustic design is unfortunately open. So there is an error in the product description. I planned to use headphones at work (you know, I really like t"&amp;"o listen to heavy music in the middle of the workday to relax), but as it turned out, all my colleagues would have to listen to this heavy music.    If this BUT doesn’t scare you, then take it - you won’t regret it!")</f>
        <v>The headphones are great! I agree with the others that the bass is simply crazy.   There is one BUT! The acoustic design is unfortunately open. So there is an error in the product description. I planned to use headphones at work (you know, I really like to listen to heavy music in the middle of the workday to relax), but as it turned out, all my colleagues would have to listen to this heavy music.    If this BUT doesn’t scare you, then take it - you won’t regret it!</v>
      </c>
    </row>
    <row r="10148" spans="1:9" x14ac:dyDescent="0.3">
      <c r="A10148" s="1" t="s">
        <v>149</v>
      </c>
      <c r="B10148" s="1" t="s">
        <v>576</v>
      </c>
      <c r="C10148" s="1" t="s">
        <v>69</v>
      </c>
      <c r="D10148" s="1" t="s">
        <v>474</v>
      </c>
      <c r="E10148" s="1" t="s">
        <v>10272</v>
      </c>
      <c r="F10148" s="1" t="s">
        <v>11036</v>
      </c>
      <c r="G10148" s="1" t="s">
        <v>3927</v>
      </c>
      <c r="H10148" s="1" t="s">
        <v>16</v>
      </c>
      <c r="I10148" s="1" t="str">
        <f ca="1">IFERROR(__xludf.DUMMYFUNCTION("GOOGLETRANSLATE(F10148, ""auto"", ""en"")
"),"Long cord")</f>
        <v>Long cord</v>
      </c>
    </row>
    <row r="10149" spans="1:9" x14ac:dyDescent="0.3">
      <c r="A10149" s="1" t="s">
        <v>37</v>
      </c>
      <c r="B10149" s="1" t="s">
        <v>1829</v>
      </c>
      <c r="C10149" s="1" t="s">
        <v>151</v>
      </c>
      <c r="D10149" s="1" t="s">
        <v>152</v>
      </c>
      <c r="E10149" s="1" t="s">
        <v>3648</v>
      </c>
      <c r="F10149" s="1" t="s">
        <v>14815</v>
      </c>
      <c r="G10149" s="1" t="s">
        <v>15</v>
      </c>
      <c r="H10149" s="1" t="s">
        <v>16</v>
      </c>
      <c r="I10149" s="1" t="str">
        <f ca="1">IFERROR(__xludf.DUMMYFUNCTION("GOOGLETRANSLATE(F10149, ""auto"", ""en"")
"),"The phone is beautiful and powerful, but there are a number of problems. I’ll start with, perhaps, the most acute, disgusting reception of the cellular network signal, very often when dialing a number the signal suddenly disappears to zero, it’s also not "&amp;"easy to get through from outside, at least several people a day complain that my phone is out of range. I would also like to note the poor battery life: in energy saving mode, with whistles and vibration turned off, the phone has great difficulty survivin"&amp;"g until the evening, and if you turn on the mobile Internet and background mail checking services, then by lunchtime you need a power outlet. I would also like to note a glitch with the illumination of the lower function buttons; in the dark while reading"&amp;", every few minutes they spontaneously light up. Lack of normal manufacturer support, on I9500 phones without LTE, the firmware has long been updated to 4.4.4, and an update to 5.0 is planned soon, but not on this model, Samsung has no plans for updates. "&amp;"This is not my first Android Samsung, I have something to compare with, before this miracle I used Note 2, and so it is 3-4 times superior to this phone in all autonomy parameters. There's a lot to think about.")</f>
        <v>The phone is beautiful and powerful, but there are a number of problems. I’ll start with, perhaps, the most acute, disgusting reception of the cellular network signal, very often when dialing a number the signal suddenly disappears to zero, it’s also not easy to get through from outside, at least several people a day complain that my phone is out of range. I would also like to note the poor battery life: in energy saving mode, with whistles and vibration turned off, the phone has great difficulty surviving until the evening, and if you turn on the mobile Internet and background mail checking services, then by lunchtime you need a power outlet. I would also like to note a glitch with the illumination of the lower function buttons; in the dark while reading, every few minutes they spontaneously light up. Lack of normal manufacturer support, on I9500 phones without LTE, the firmware has long been updated to 4.4.4, and an update to 5.0 is planned soon, but not on this model, Samsung has no plans for updates. This is not my first Android Samsung, I have something to compare with, before this miracle I used Note 2, and so it is 3-4 times superior to this phone in all autonomy parameters. There's a lot to think about.</v>
      </c>
    </row>
    <row r="10150" spans="1:9" x14ac:dyDescent="0.3">
      <c r="A10150" s="1" t="s">
        <v>811</v>
      </c>
      <c r="B10150" s="1" t="s">
        <v>812</v>
      </c>
      <c r="C10150" s="1" t="s">
        <v>813</v>
      </c>
      <c r="D10150" s="1" t="s">
        <v>171</v>
      </c>
      <c r="E10150" s="1" t="s">
        <v>14816</v>
      </c>
      <c r="F10150" s="1" t="s">
        <v>14817</v>
      </c>
      <c r="G10150" s="1" t="s">
        <v>28</v>
      </c>
      <c r="H10150" s="1" t="s">
        <v>29</v>
      </c>
      <c r="I10150" s="1" t="str">
        <f ca="1">IFERROR(__xludf.DUMMYFUNCTION("GOOGLETRANSLATE(F10150, ""auto"", ""en"")
"),"The tripod is good and strong. The build quality is decent. Everything rotates without distortion. Convenient to use. The plastic is dense, not consumer goods.")</f>
        <v>The tripod is good and strong. The build quality is decent. Everything rotates without distortion. Convenient to use. The plastic is dense, not consumer goods.</v>
      </c>
    </row>
    <row r="10151" spans="1:9" x14ac:dyDescent="0.3">
      <c r="A10151" s="1" t="s">
        <v>30</v>
      </c>
      <c r="B10151" s="1" t="s">
        <v>50</v>
      </c>
      <c r="C10151" s="1" t="s">
        <v>694</v>
      </c>
      <c r="D10151" s="1" t="s">
        <v>1659</v>
      </c>
      <c r="E10151" s="1" t="s">
        <v>7219</v>
      </c>
      <c r="F10151" s="1" t="s">
        <v>14818</v>
      </c>
      <c r="G10151" s="1" t="s">
        <v>28</v>
      </c>
      <c r="H10151" s="1" t="s">
        <v>29</v>
      </c>
      <c r="I10151" s="1" t="str">
        <f ca="1">IFERROR(__xludf.DUMMYFUNCTION("GOOGLETRANSLATE(F10151, ""auto"", ""en"")
"),"I bought this beech and everything was fine until I installed win7 64. After the reinstallation, the Fn+f5 combination stopped working, but bluetooth and wi-fi were turned on simultaneously with a switch near the infrared port. 5 days after reinstallation"&amp;", bluetooth i wi-fi refused to turn on. Neither a switch, nor a key combination, nor the installation of energy mendagement (by the way, I still don’t understand the function of this program and its use) changes anything. Help if anyone has had something "&amp;"similar.")</f>
        <v>I bought this beech and everything was fine until I installed win7 64. After the reinstallation, the Fn+f5 combination stopped working, but bluetooth and wi-fi were turned on simultaneously with a switch near the infrared port. 5 days after reinstallation, bluetooth i wi-fi refused to turn on. Neither a switch, nor a key combination, nor the installation of energy mendagement (by the way, I still don’t understand the function of this program and its use) changes anything. Help if anyone has had something similar.</v>
      </c>
    </row>
    <row r="10152" spans="1:9" x14ac:dyDescent="0.3">
      <c r="A10152" s="1" t="s">
        <v>67</v>
      </c>
      <c r="B10152" s="1" t="s">
        <v>340</v>
      </c>
      <c r="C10152" s="1" t="s">
        <v>1634</v>
      </c>
      <c r="D10152" s="1" t="s">
        <v>308</v>
      </c>
      <c r="E10152" s="1" t="s">
        <v>5648</v>
      </c>
      <c r="F10152" s="1" t="s">
        <v>14819</v>
      </c>
      <c r="G10152" s="1" t="s">
        <v>36</v>
      </c>
      <c r="H10152" s="1" t="s">
        <v>29</v>
      </c>
      <c r="I10152" s="1" t="str">
        <f ca="1">IFERROR(__xludf.DUMMYFUNCTION("GOOGLETRANSLATE(F10152, ""auto"", ""en"")
"),"I've been wanting an assistant like this for a long time. Very easy to use, the instructions are more than clear. Take it, you won't regret it.")</f>
        <v>I've been wanting an assistant like this for a long time. Very easy to use, the instructions are more than clear. Take it, you won't regret it.</v>
      </c>
    </row>
    <row r="10153" spans="1:9" x14ac:dyDescent="0.3">
      <c r="A10153" s="1" t="s">
        <v>369</v>
      </c>
      <c r="B10153" s="1" t="s">
        <v>2480</v>
      </c>
      <c r="C10153" s="1" t="s">
        <v>453</v>
      </c>
      <c r="D10153" s="1" t="s">
        <v>152</v>
      </c>
      <c r="E10153" s="1" t="s">
        <v>8546</v>
      </c>
      <c r="F10153" s="1" t="s">
        <v>14820</v>
      </c>
      <c r="G10153" s="1" t="s">
        <v>36</v>
      </c>
      <c r="H10153" s="1" t="s">
        <v>29</v>
      </c>
      <c r="I10153" s="1" t="str">
        <f ca="1">IFERROR(__xludf.DUMMYFUNCTION("GOOGLETRANSLATE(F10153, ""auto"", ""en"")
"),"This electric stove is designed for small batch cooking and quick simultaneous heating of two dishes for 1-2 people. Therefore, weak legs. For small saucepans. Pros - compact, good heat-resistant wire inside, fast heating, design. When disconnected from t"&amp;"he network, you can heat water for auxiliary needs.")</f>
        <v>This electric stove is designed for small batch cooking and quick simultaneous heating of two dishes for 1-2 people. Therefore, weak legs. For small saucepans. Pros - compact, good heat-resistant wire inside, fast heating, design. When disconnected from the network, you can heat water for auxiliary needs.</v>
      </c>
    </row>
    <row r="10154" spans="1:9" x14ac:dyDescent="0.3">
      <c r="A10154" s="1" t="s">
        <v>61</v>
      </c>
      <c r="B10154" s="1" t="s">
        <v>1126</v>
      </c>
      <c r="C10154" s="1" t="s">
        <v>57</v>
      </c>
      <c r="D10154" s="1" t="s">
        <v>385</v>
      </c>
      <c r="E10154" s="1" t="s">
        <v>1553</v>
      </c>
      <c r="F10154" s="1" t="s">
        <v>14821</v>
      </c>
      <c r="G10154" s="1" t="s">
        <v>36</v>
      </c>
      <c r="H10154" s="1" t="s">
        <v>29</v>
      </c>
      <c r="I10154" s="1" t="str">
        <f ca="1">IFERROR(__xludf.DUMMYFUNCTION("GOOGLETRANSLATE(F10154, ""auto"", ""en"")
"),"very good scales! Easy to use, the bowl is large, there is no doubt about the accuracy. Take it, you won’t regret it, especially if you have a bread machine.")</f>
        <v>very good scales! Easy to use, the bowl is large, there is no doubt about the accuracy. Take it, you won’t regret it, especially if you have a bread machine.</v>
      </c>
    </row>
    <row r="10155" spans="1:9" x14ac:dyDescent="0.3">
      <c r="A10155" s="1" t="s">
        <v>206</v>
      </c>
      <c r="B10155" s="1" t="s">
        <v>261</v>
      </c>
      <c r="C10155" s="1" t="s">
        <v>262</v>
      </c>
      <c r="D10155" s="1" t="s">
        <v>548</v>
      </c>
      <c r="E10155" s="1" t="s">
        <v>14768</v>
      </c>
      <c r="F10155" s="1" t="s">
        <v>14822</v>
      </c>
      <c r="G10155" s="1" t="s">
        <v>36</v>
      </c>
      <c r="H10155" s="1" t="s">
        <v>29</v>
      </c>
      <c r="I10155" s="1" t="str">
        <f ca="1">IFERROR(__xludf.DUMMYFUNCTION("GOOGLETRANSLATE(F10155, ""auto"", ""en"")
"),"I bought it and installed it quickly, the only thing that gets in the way is the deflector, I had to move it a little to the side, which creates a little discomfort when boarding through this door. Signal reception is reliable, I often travel around Russi"&amp;"a, I have never seen anything better.")</f>
        <v>I bought it and installed it quickly, the only thing that gets in the way is the deflector, I had to move it a little to the side, which creates a little discomfort when boarding through this door. Signal reception is reliable, I often travel around Russia, I have never seen anything better.</v>
      </c>
    </row>
    <row r="10156" spans="1:9" x14ac:dyDescent="0.3">
      <c r="A10156" s="1" t="s">
        <v>37</v>
      </c>
      <c r="B10156" s="1" t="s">
        <v>38</v>
      </c>
      <c r="C10156" s="1" t="s">
        <v>151</v>
      </c>
      <c r="D10156" s="1" t="s">
        <v>280</v>
      </c>
      <c r="E10156" s="1" t="s">
        <v>2298</v>
      </c>
      <c r="F10156" s="1" t="s">
        <v>14823</v>
      </c>
      <c r="G10156" s="1" t="s">
        <v>28</v>
      </c>
      <c r="H10156" s="1" t="s">
        <v>29</v>
      </c>
      <c r="I10156" s="1" t="str">
        <f ca="1">IFERROR(__xludf.DUMMYFUNCTION("GOOGLETRANSLATE(F10156, ""auto"", ""en"")
"),"I've had my phone for two years now. everything about him suits him. I even figured out the camera and its capabilities are enough for me. Its disadvantages are the following: the battery is weak (almost like all Samsungs), it slips out of your hands, whi"&amp;"ch is why I had to buy a cord for it, and what is very annoying is that the paint on the metal parts quickly wears off. The color of my phone when I bought it was black, but now it is a mixture of polished metal with individual black accents.")</f>
        <v>I've had my phone for two years now. everything about him suits him. I even figured out the camera and its capabilities are enough for me. Its disadvantages are the following: the battery is weak (almost like all Samsungs), it slips out of your hands, which is why I had to buy a cord for it, and what is very annoying is that the paint on the metal parts quickly wears off. The color of my phone when I bought it was black, but now it is a mixture of polished metal with individual black accents.</v>
      </c>
    </row>
    <row r="10157" spans="1:9" x14ac:dyDescent="0.3">
      <c r="A10157" s="1" t="s">
        <v>369</v>
      </c>
      <c r="B10157" s="1" t="s">
        <v>587</v>
      </c>
      <c r="C10157" s="1" t="s">
        <v>588</v>
      </c>
      <c r="D10157" s="1" t="s">
        <v>75</v>
      </c>
      <c r="E10157" s="1" t="s">
        <v>2236</v>
      </c>
      <c r="F10157" s="1" t="s">
        <v>14824</v>
      </c>
      <c r="G10157" s="1" t="s">
        <v>28</v>
      </c>
      <c r="H10157" s="1" t="s">
        <v>29</v>
      </c>
      <c r="I10157" s="1" t="str">
        <f ca="1">IFERROR(__xludf.DUMMYFUNCTION("GOOGLETRANSLATE(F10157, ""auto"", ""en"")
"),"pros - beautiful design, cast iron grates, convenient drawer, oven light, low price cons - poor ergonomics - the small and large burners are in the front row, and you use them much less often than the middle ones. no electric ignition of the stove. It bak"&amp;"es unevenly - just like old Soviet stoves. although, no...my old Soviet stove baked better")</f>
        <v>pros - beautiful design, cast iron grates, convenient drawer, oven light, low price cons - poor ergonomics - the small and large burners are in the front row, and you use them much less often than the middle ones. no electric ignition of the stove. It bakes unevenly - just like old Soviet stoves. although, no...my old Soviet stove baked better</v>
      </c>
    </row>
    <row r="10158" spans="1:9" x14ac:dyDescent="0.3">
      <c r="A10158" s="1" t="s">
        <v>9</v>
      </c>
      <c r="B10158" s="1" t="s">
        <v>10</v>
      </c>
      <c r="C10158" s="1" t="s">
        <v>407</v>
      </c>
      <c r="D10158" s="1" t="s">
        <v>305</v>
      </c>
      <c r="E10158" s="1" t="s">
        <v>8836</v>
      </c>
      <c r="F10158" s="1" t="s">
        <v>14825</v>
      </c>
      <c r="G10158" s="1" t="s">
        <v>49</v>
      </c>
      <c r="H10158" s="1" t="s">
        <v>16</v>
      </c>
      <c r="I10158" s="1" t="str">
        <f ca="1">IFERROR(__xludf.DUMMYFUNCTION("GOOGLETRANSLATE(F10158, ""auto"", ""en"")
"),"When installing the hood, it turned out that the kit did not include a grease filter. It can be ordered through the service center - the price is 1400 rubles, but this is also an additional expense!")</f>
        <v>When installing the hood, it turned out that the kit did not include a grease filter. It can be ordered through the service center - the price is 1400 rubles, but this is also an additional expense!</v>
      </c>
    </row>
    <row r="10159" spans="1:9" x14ac:dyDescent="0.3">
      <c r="A10159" s="1" t="s">
        <v>557</v>
      </c>
      <c r="B10159" s="1" t="s">
        <v>1977</v>
      </c>
      <c r="C10159" s="1" t="s">
        <v>369</v>
      </c>
      <c r="D10159" s="1" t="s">
        <v>232</v>
      </c>
      <c r="E10159" s="1" t="s">
        <v>14826</v>
      </c>
      <c r="F10159" s="1" t="s">
        <v>14827</v>
      </c>
      <c r="G10159" s="1" t="s">
        <v>36</v>
      </c>
      <c r="H10159" s="1" t="s">
        <v>29</v>
      </c>
      <c r="I10159" s="1" t="str">
        <f ca="1">IFERROR(__xludf.DUMMYFUNCTION("GOOGLETRANSLATE(F10159, ""auto"", ""en"")
"),"Excellent device!!! The choice fell on Goodwin Baikal TSV-2 with Caller ID. The choice is justified!!! Price and quality!!! Everything is quite satisfactory, everything works from batteries and a telephone line and does not emit noise!!! I recommend it to"&amp;" everyone!!!")</f>
        <v>Excellent device!!! The choice fell on Goodwin Baikal TSV-2 with Caller ID. The choice is justified!!! Price and quality!!! Everything is quite satisfactory, everything works from batteries and a telephone line and does not emit noise!!! I recommend it to everyone!!!</v>
      </c>
    </row>
    <row r="10160" spans="1:9" x14ac:dyDescent="0.3">
      <c r="A10160" s="1" t="s">
        <v>30</v>
      </c>
      <c r="B10160" s="1" t="s">
        <v>50</v>
      </c>
      <c r="C10160" s="1" t="s">
        <v>32</v>
      </c>
      <c r="D10160" s="1" t="s">
        <v>967</v>
      </c>
      <c r="E10160" s="1" t="s">
        <v>3512</v>
      </c>
      <c r="F10160" s="1" t="s">
        <v>14828</v>
      </c>
      <c r="G10160" s="1" t="s">
        <v>28</v>
      </c>
      <c r="H10160" s="1" t="s">
        <v>29</v>
      </c>
      <c r="I10160" s="1" t="str">
        <f ca="1">IFERROR(__xludf.DUMMYFUNCTION("GOOGLETRANSLATE(F10160, ""auto"", ""en"")
"),"I bought it a little over a week ago. I chose between ASUS, Lenovo, Acer. ASUS is expensive, Lenovo doubted price + performance + for a long time, but the quality? ACER turned out to be the golden mean. In general, I’m happy, the only thing I bought was f"&amp;"or 25,999 rubles, and a week later it was 24,690 rubles (usual).  Advantages: high performance, good battery life of 2 hours, comfortable keyboard and touchpad, beautiful, quiet.  Disadvantages: easily soiled screen, cover, unclear viewing angle of the sc"&amp;"reen, Russian and Latin letters in the same white color.  IN GENERAL a very, very good laptop for the money. solid 4++.")</f>
        <v>I bought it a little over a week ago. I chose between ASUS, Lenovo, Acer. ASUS is expensive, Lenovo doubted price + performance + for a long time, but the quality? ACER turned out to be the golden mean. In general, I’m happy, the only thing I bought was for 25,999 rubles, and a week later it was 24,690 rubles (usual).  Advantages: high performance, good battery life of 2 hours, comfortable keyboard and touchpad, beautiful, quiet.  Disadvantages: easily soiled screen, cover, unclear viewing angle of the screen, Russian and Latin letters in the same white color.  IN GENERAL a very, very good laptop for the money. solid 4++.</v>
      </c>
    </row>
    <row r="10161" spans="1:9" x14ac:dyDescent="0.3">
      <c r="A10161" s="1" t="s">
        <v>37</v>
      </c>
      <c r="B10161" s="1" t="s">
        <v>38</v>
      </c>
      <c r="C10161" s="1" t="s">
        <v>163</v>
      </c>
      <c r="D10161" s="1" t="s">
        <v>381</v>
      </c>
      <c r="E10161" s="1" t="s">
        <v>3320</v>
      </c>
      <c r="F10161" s="1" t="s">
        <v>14829</v>
      </c>
      <c r="G10161" s="1" t="s">
        <v>36</v>
      </c>
      <c r="H10161" s="1" t="s">
        <v>29</v>
      </c>
      <c r="I10161" s="1" t="str">
        <f ca="1">IFERROR(__xludf.DUMMYFUNCTION("GOOGLETRANSLATE(F10161, ""auto"", ""en"")
"),"The device is actually two in one: Firstly, it is an excellent mp3 player, implemented on a separate DSP, as in the entire express music series - which allows you to listen to music and radio in the background. Supports micro-sdhc cards (8GB - tested), ha"&amp;"s a 3.5mm headphone jack and a fairly high-quality (for its class) separate built-in speaker for loud playback. Radio - classical, no commentary.  Secondly, this is a modern mobile on the fifth generation S40 platform, supports J2ME MIDP 2.0 and has a dec"&amp;"ent 240x320 screen. From communications: EDGE support, Bluetooch 2.0, multifunctional USB port. On top of that, the device has a 2MP camera, which provides decent pictures (for a device of this class).  In addition to the above, the phone is very compact,"&amp;" and what is also important - it has a very attractive price, in fact, the best price/functionality ratio of all the phones on sale.")</f>
        <v>The device is actually two in one: Firstly, it is an excellent mp3 player, implemented on a separate DSP, as in the entire express music series - which allows you to listen to music and radio in the background. Supports micro-sdhc cards (8GB - tested), has a 3.5mm headphone jack and a fairly high-quality (for its class) separate built-in speaker for loud playback. Radio - classical, no commentary.  Secondly, this is a modern mobile on the fifth generation S40 platform, supports J2ME MIDP 2.0 and has a decent 240x320 screen. From communications: EDGE support, Bluetooch 2.0, multifunctional USB port. On top of that, the device has a 2MP camera, which provides decent pictures (for a device of this class).  In addition to the above, the phone is very compact, and what is also important - it has a very attractive price, in fact, the best price/functionality ratio of all the phones on sale.</v>
      </c>
    </row>
    <row r="10162" spans="1:9" x14ac:dyDescent="0.3">
      <c r="A10162" s="1" t="s">
        <v>37</v>
      </c>
      <c r="B10162" s="1" t="s">
        <v>38</v>
      </c>
      <c r="C10162" s="1" t="s">
        <v>163</v>
      </c>
      <c r="D10162" s="1" t="s">
        <v>305</v>
      </c>
      <c r="E10162" s="1" t="s">
        <v>3089</v>
      </c>
      <c r="F10162" s="1" t="s">
        <v>14830</v>
      </c>
      <c r="G10162" s="1" t="s">
        <v>36</v>
      </c>
      <c r="H10162" s="1" t="s">
        <v>29</v>
      </c>
      <c r="I10162" s="1" t="str">
        <f ca="1">IFERROR(__xludf.DUMMYFUNCTION("GOOGLETRANSLATE(F10162, ""auto"", ""en"")
"),"Great sound, nice design, works great! I've been using it for six months now.")</f>
        <v>Great sound, nice design, works great! I've been using it for six months now.</v>
      </c>
    </row>
    <row r="10163" spans="1:9" x14ac:dyDescent="0.3">
      <c r="A10163" s="1" t="s">
        <v>811</v>
      </c>
      <c r="B10163" s="1" t="s">
        <v>4226</v>
      </c>
      <c r="C10163" s="1" t="s">
        <v>97</v>
      </c>
      <c r="D10163" s="1" t="s">
        <v>152</v>
      </c>
      <c r="E10163" s="1" t="s">
        <v>3411</v>
      </c>
      <c r="F10163" s="1" t="s">
        <v>14831</v>
      </c>
      <c r="G10163" s="1" t="s">
        <v>36</v>
      </c>
      <c r="H10163" s="1" t="s">
        <v>29</v>
      </c>
      <c r="I10163" s="1" t="str">
        <f ca="1">IFERROR(__xludf.DUMMYFUNCTION("GOOGLETRANSLATE(F10163, ""auto"", ""en"")
"),"I bought this battery as an additional battery to my main one. Now I shoot a lot and for a long time. It holds freely for 3 hours in 1080p mode. Completely satisfied with the purchase. The only negative is the price is high because it was made in Japan, C"&amp;"hina was not close. I recommend to buy.")</f>
        <v>I bought this battery as an additional battery to my main one. Now I shoot a lot and for a long time. It holds freely for 3 hours in 1080p mode. Completely satisfied with the purchase. The only negative is the price is high because it was made in Japan, China was not close. I recommend to buy.</v>
      </c>
    </row>
    <row r="10164" spans="1:9" x14ac:dyDescent="0.3">
      <c r="A10164" s="1" t="s">
        <v>120</v>
      </c>
      <c r="B10164" s="1" t="s">
        <v>121</v>
      </c>
      <c r="C10164" s="1" t="s">
        <v>69</v>
      </c>
      <c r="D10164" s="1" t="s">
        <v>14832</v>
      </c>
      <c r="E10164" s="1" t="s">
        <v>2011</v>
      </c>
      <c r="F10164" s="1" t="s">
        <v>14833</v>
      </c>
      <c r="G10164" s="1" t="s">
        <v>36</v>
      </c>
      <c r="H10164" s="1" t="s">
        <v>29</v>
      </c>
      <c r="I10164" s="1" t="str">
        <f ca="1">IFERROR(__xludf.DUMMYFUNCTION("GOOGLETRANSLATE(F10164, ""auto"", ""en"")
"),"I bought a TV today - everyone is happy with it, only somewhere in the menu there was a “Radio” item flashing, I’ve already searched ten times and I can’t find it... can anyone tell me?")</f>
        <v>I bought a TV today - everyone is happy with it, only somewhere in the menu there was a “Radio” item flashing, I’ve already searched ten times and I can’t find it... can anyone tell me?</v>
      </c>
    </row>
    <row r="10165" spans="1:9" x14ac:dyDescent="0.3">
      <c r="A10165" s="1" t="s">
        <v>211</v>
      </c>
      <c r="B10165" s="1" t="s">
        <v>515</v>
      </c>
      <c r="C10165" s="1" t="s">
        <v>213</v>
      </c>
      <c r="D10165" s="1" t="s">
        <v>64</v>
      </c>
      <c r="E10165" s="1" t="s">
        <v>6851</v>
      </c>
      <c r="F10165" s="1" t="s">
        <v>14834</v>
      </c>
      <c r="G10165" s="1" t="s">
        <v>36</v>
      </c>
      <c r="H10165" s="1" t="s">
        <v>29</v>
      </c>
      <c r="I10165" s="1" t="str">
        <f ca="1">IFERROR(__xludf.DUMMYFUNCTION("GOOGLETRANSLATE(F10165, ""auto"", ""en"")
"),"I’ve been using it for several years, before that I had a similar one called Brown, but its main nozzle failed - I had to buy a new one. I'm happy with the Browns, that's why I bought a new one from the same company.  I chose a simple epilator without any"&amp;" expensive and essentially useless elements such as a cooling attachment - the first one came with a “cold” mitt, I used it once and didn’t use it again - the thing is useless.  There are no unnecessary bells and whistles here. Epilation head and shaving "&amp;"head.  Both are convenient. I advise you to use the epilating device with a massage or regular attachment on top - otherwise it may “bite” the skin. I like the lighting - everything is visible at once. Two speeds are also convenient.  The shaver is conven"&amp;"ient to use, and there is no need to buy an additional trimmer: you can trim your hair down to 0.5-1 cm, or even to zero.  Among the disadvantages: like any other epilator, at high speed it can tear off hairs rather than pull them out.  I recommend it.")</f>
        <v>I’ve been using it for several years, before that I had a similar one called Brown, but its main nozzle failed - I had to buy a new one. I'm happy with the Browns, that's why I bought a new one from the same company.  I chose a simple epilator without any expensive and essentially useless elements such as a cooling attachment - the first one came with a “cold” mitt, I used it once and didn’t use it again - the thing is useless.  There are no unnecessary bells and whistles here. Epilation head and shaving head.  Both are convenient. I advise you to use the epilating device with a massage or regular attachment on top - otherwise it may “bite” the skin. I like the lighting - everything is visible at once. Two speeds are also convenient.  The shaver is convenient to use, and there is no need to buy an additional trimmer: you can trim your hair down to 0.5-1 cm, or even to zero.  Among the disadvantages: like any other epilator, at high speed it can tear off hairs rather than pull them out.  I recommend it.</v>
      </c>
    </row>
    <row r="10166" spans="1:9" x14ac:dyDescent="0.3">
      <c r="A10166" s="1" t="s">
        <v>519</v>
      </c>
      <c r="B10166" s="1" t="s">
        <v>3212</v>
      </c>
      <c r="C10166" s="1" t="s">
        <v>2143</v>
      </c>
      <c r="D10166" s="1" t="s">
        <v>39</v>
      </c>
      <c r="E10166" s="1" t="s">
        <v>9945</v>
      </c>
      <c r="F10166" s="1" t="s">
        <v>14835</v>
      </c>
      <c r="G10166" s="1" t="s">
        <v>36</v>
      </c>
      <c r="H10166" s="1" t="s">
        <v>29</v>
      </c>
      <c r="I10166" s="1" t="str">
        <f ca="1">IFERROR(__xludf.DUMMYFUNCTION("GOOGLETRANSLATE(F10166, ""auto"", ""en"")
"),"Gorgeous dishes, I really like them. Easy to use and clean. But: the glass cover broke and I can’t find it separately anywhere yet. M Video said that they won’t even deliver it to order.")</f>
        <v>Gorgeous dishes, I really like them. Easy to use and clean. But: the glass cover broke and I can’t find it separately anywhere yet. M Video said that they won’t even deliver it to order.</v>
      </c>
    </row>
    <row r="10167" spans="1:9" x14ac:dyDescent="0.3">
      <c r="A10167" s="1" t="s">
        <v>61</v>
      </c>
      <c r="B10167" s="1" t="s">
        <v>726</v>
      </c>
      <c r="C10167" s="1" t="s">
        <v>85</v>
      </c>
      <c r="D10167" s="1" t="s">
        <v>521</v>
      </c>
      <c r="E10167" s="1" t="s">
        <v>3397</v>
      </c>
      <c r="F10167" s="1" t="s">
        <v>14836</v>
      </c>
      <c r="G10167" s="1" t="s">
        <v>36</v>
      </c>
      <c r="H10167" s="1" t="s">
        <v>29</v>
      </c>
      <c r="I10167" s="1" t="str">
        <f ca="1">IFERROR(__xludf.DUMMYFUNCTION("GOOGLETRANSLATE(F10167, ""auto"", ""en"")
"),"Yesterday I bought this particular model of bread machine, tested it that evening and was very pleased. Very easy to use (Russian menu) I baked ordinary bread - in the morning at breakfast I even said “Goodbye store-bought bread!))”. My family also approv"&amp;"ed and everyone really liked it.")</f>
        <v>Yesterday I bought this particular model of bread machine, tested it that evening and was very pleased. Very easy to use (Russian menu) I baked ordinary bread - in the morning at breakfast I even said “Goodbye store-bought bread!))”. My family also approved and everyone really liked it.</v>
      </c>
    </row>
    <row r="10168" spans="1:9" x14ac:dyDescent="0.3">
      <c r="A10168" s="1" t="s">
        <v>43</v>
      </c>
      <c r="B10168" s="1" t="s">
        <v>1382</v>
      </c>
      <c r="C10168" s="1" t="s">
        <v>45</v>
      </c>
      <c r="D10168" s="1" t="s">
        <v>653</v>
      </c>
      <c r="E10168" s="1" t="s">
        <v>14473</v>
      </c>
      <c r="F10168" s="1" t="s">
        <v>14837</v>
      </c>
      <c r="G10168" s="1" t="s">
        <v>28</v>
      </c>
      <c r="H10168" s="1" t="s">
        <v>29</v>
      </c>
      <c r="I10168" s="1" t="str">
        <f ca="1">IFERROR(__xludf.DUMMYFUNCTION("GOOGLETRANSLATE(F10168, ""auto"", ""en"")
"),"Yesterday I bought this fan for my parents. Cheap Chinese plastic, of course, but it looks quite modern if you don’t look closely. Works well, very convenient horizontal rotation function. Not too noisy even at 3rd speed, because... many fans just roar. T"&amp;"he only inconvenience is that it is a bit low. If you sit in a room on a sofa, for example, then the blowing zone is quite enough, but if you move it to the kitchen, where you cook while standing, you already want a taller model, so that it blows not only"&amp;" to the waist, but higher.")</f>
        <v>Yesterday I bought this fan for my parents. Cheap Chinese plastic, of course, but it looks quite modern if you don’t look closely. Works well, very convenient horizontal rotation function. Not too noisy even at 3rd speed, because... many fans just roar. The only inconvenience is that it is a bit low. If you sit in a room on a sofa, for example, then the blowing zone is quite enough, but if you move it to the kitchen, where you cook while standing, you already want a taller model, so that it blows not only to the waist, but higher.</v>
      </c>
    </row>
    <row r="10169" spans="1:9" x14ac:dyDescent="0.3">
      <c r="A10169" s="1" t="s">
        <v>61</v>
      </c>
      <c r="B10169" s="1" t="s">
        <v>318</v>
      </c>
      <c r="C10169" s="1" t="s">
        <v>101</v>
      </c>
      <c r="D10169" s="1" t="s">
        <v>64</v>
      </c>
      <c r="E10169" s="1" t="s">
        <v>1070</v>
      </c>
      <c r="F10169" s="1" t="s">
        <v>14838</v>
      </c>
      <c r="G10169" s="1" t="s">
        <v>36</v>
      </c>
      <c r="H10169" s="1" t="s">
        <v>29</v>
      </c>
      <c r="I10169" s="1" t="str">
        <f ca="1">IFERROR(__xludf.DUMMYFUNCTION("GOOGLETRANSLATE(F10169, ""auto"", ""en"")
"),"Excellent kettle, comfortable lid, can be opened completely. Beautiful blue lighting, no foreign odors from the kettle, you can always see how much water there is.")</f>
        <v>Excellent kettle, comfortable lid, can be opened completely. Beautiful blue lighting, no foreign odors from the kettle, you can always see how much water there is.</v>
      </c>
    </row>
    <row r="10170" spans="1:9" x14ac:dyDescent="0.3">
      <c r="A10170" s="1" t="s">
        <v>37</v>
      </c>
      <c r="B10170" s="1" t="s">
        <v>536</v>
      </c>
      <c r="C10170" s="1" t="s">
        <v>151</v>
      </c>
      <c r="D10170" s="1" t="s">
        <v>12</v>
      </c>
      <c r="E10170" s="1" t="s">
        <v>3542</v>
      </c>
      <c r="F10170" s="1" t="s">
        <v>14839</v>
      </c>
      <c r="G10170" s="1" t="s">
        <v>36</v>
      </c>
      <c r="H10170" s="1" t="s">
        <v>29</v>
      </c>
      <c r="I10170" s="1" t="str">
        <f ca="1">IFERROR(__xludf.DUMMYFUNCTION("GOOGLETRANSLATE(F10170, ""auto"", ""en"")
"),"This is the second week I’ve had this phone. I also wanted to buy a Nokia N97, but after the review I concluded that Nokia is resting. I personally don’t agree about charging. I personally don’t have it for more than two days with full use. Maybe it would"&amp;"n’t hurt for many to charge it normally for the first time.... And also regarding the memory card, none of the descriptions write about its presence.")</f>
        <v>This is the second week I’ve had this phone. I also wanted to buy a Nokia N97, but after the review I concluded that Nokia is resting. I personally don’t agree about charging. I personally don’t have it for more than two days with full use. Maybe it wouldn’t hurt for many to charge it normally for the first time.... And also regarding the memory card, none of the descriptions write about its presence.</v>
      </c>
    </row>
    <row r="10171" spans="1:9" x14ac:dyDescent="0.3">
      <c r="A10171" s="1" t="s">
        <v>55</v>
      </c>
      <c r="B10171" s="1" t="s">
        <v>56</v>
      </c>
      <c r="C10171" s="1" t="s">
        <v>1373</v>
      </c>
      <c r="D10171" s="1" t="s">
        <v>1506</v>
      </c>
      <c r="E10171" s="1" t="s">
        <v>563</v>
      </c>
      <c r="F10171" s="1" t="s">
        <v>14840</v>
      </c>
      <c r="G10171" s="1" t="s">
        <v>36</v>
      </c>
      <c r="H10171" s="1" t="s">
        <v>29</v>
      </c>
      <c r="I10171" s="1" t="str">
        <f ca="1">IFERROR(__xludf.DUMMYFUNCTION("GOOGLETRANSLATE(F10171, ""auto"", ""en"")
"),"We purchased a humidifier after the birth of the child, it performs its functions perfectly. Humidity increases depending on the specified parameters. We usually set it to 60, but in the end it’s 50-55 in a room of 30 sq.m. I'm happy with the purchase.")</f>
        <v>We purchased a humidifier after the birth of the child, it performs its functions perfectly. Humidity increases depending on the specified parameters. We usually set it to 60, but in the end it’s 50-55 in a room of 30 sq.m. I'm happy with the purchase.</v>
      </c>
    </row>
    <row r="10172" spans="1:9" x14ac:dyDescent="0.3">
      <c r="A10172" s="1" t="s">
        <v>43</v>
      </c>
      <c r="B10172" s="1" t="s">
        <v>303</v>
      </c>
      <c r="C10172" s="1" t="s">
        <v>220</v>
      </c>
      <c r="D10172" s="1" t="s">
        <v>127</v>
      </c>
      <c r="E10172" s="1" t="s">
        <v>8151</v>
      </c>
      <c r="F10172" s="1" t="s">
        <v>14841</v>
      </c>
      <c r="G10172" s="1" t="s">
        <v>36</v>
      </c>
      <c r="H10172" s="1" t="s">
        <v>29</v>
      </c>
      <c r="I10172" s="1" t="str">
        <f ca="1">IFERROR(__xludf.DUMMYFUNCTION("GOOGLETRANSLATE(F10172, ""auto"", ""en"")
"),"It has been working for 4 years without any complaints.")</f>
        <v>It has been working for 4 years without any complaints.</v>
      </c>
    </row>
    <row r="10173" spans="1:9" x14ac:dyDescent="0.3">
      <c r="A10173" s="1" t="s">
        <v>361</v>
      </c>
      <c r="B10173" s="1" t="s">
        <v>2555</v>
      </c>
      <c r="C10173" s="1" t="s">
        <v>4871</v>
      </c>
      <c r="D10173" s="1" t="s">
        <v>327</v>
      </c>
      <c r="E10173" s="1" t="s">
        <v>320</v>
      </c>
      <c r="F10173" s="1" t="s">
        <v>14842</v>
      </c>
      <c r="G10173" s="1" t="s">
        <v>36</v>
      </c>
      <c r="H10173" s="1" t="s">
        <v>29</v>
      </c>
      <c r="I10173" s="1" t="str">
        <f ca="1">IFERROR(__xludf.DUMMYFUNCTION("GOOGLETRANSLATE(F10173, ""auto"", ""en"")
"),"This is just a super thermos! Excellent quality! I've had this for over 2 years now and no problems. It holds the heat perfectly and is very convenient to open and pour. I use it exclusively for fishing (i.e. very often). During this time, my fishing coll"&amp;"eagues have already exchanged two thermoses from other manufacturers.")</f>
        <v>This is just a super thermos! Excellent quality! I've had this for over 2 years now and no problems. It holds the heat perfectly and is very convenient to open and pour. I use it exclusively for fishing (i.e. very often). During this time, my fishing colleagues have already exchanged two thermoses from other manufacturers.</v>
      </c>
    </row>
    <row r="10174" spans="1:9" x14ac:dyDescent="0.3">
      <c r="A10174" s="1" t="s">
        <v>30</v>
      </c>
      <c r="B10174" s="1" t="s">
        <v>50</v>
      </c>
      <c r="C10174" s="1" t="s">
        <v>189</v>
      </c>
      <c r="D10174" s="1" t="s">
        <v>113</v>
      </c>
      <c r="E10174" s="1" t="s">
        <v>1248</v>
      </c>
      <c r="F10174" s="1" t="s">
        <v>14843</v>
      </c>
      <c r="G10174" s="1" t="s">
        <v>15</v>
      </c>
      <c r="H10174" s="1" t="s">
        <v>16</v>
      </c>
      <c r="I10174" s="1" t="str">
        <f ca="1">IFERROR(__xludf.DUMMYFUNCTION("GOOGLETRANSLATE(F10174, ""auto"", ""en"")
"),"The device works fine")</f>
        <v>The device works fine</v>
      </c>
    </row>
    <row r="10175" spans="1:9" x14ac:dyDescent="0.3">
      <c r="A10175" s="1" t="s">
        <v>211</v>
      </c>
      <c r="B10175" s="1" t="s">
        <v>212</v>
      </c>
      <c r="C10175" s="1" t="s">
        <v>69</v>
      </c>
      <c r="D10175" s="1" t="s">
        <v>46</v>
      </c>
      <c r="E10175" s="1" t="s">
        <v>10860</v>
      </c>
      <c r="F10175" s="1" t="s">
        <v>14844</v>
      </c>
      <c r="G10175" s="1" t="s">
        <v>36</v>
      </c>
      <c r="H10175" s="1" t="s">
        <v>29</v>
      </c>
      <c r="I10175" s="1" t="str">
        <f ca="1">IFERROR(__xludf.DUMMYFUNCTION("GOOGLETRANSLATE(F10175, ""auto"", ""en"")
"),"They gave it to me for my birthday when I was 16.  4 years ago. I really liked it, it’s very powerful, it looks good, I recommend it to everyone. But I seriously injured it 5 times; it cracked along the seam of the body, but still worked perfectly. The no"&amp;"zzle and the rear protective mesh fell off and dried my hair yesterday. And one hair got inside and the hair dryer burned out. It's shorted out. Right now I'm thinking about getting the same one. I hope the quality will be 5)) and it worked great for 4 ye"&amp;"ars. And today the old one went to the trash.)")</f>
        <v>They gave it to me for my birthday when I was 16.  4 years ago. I really liked it, it’s very powerful, it looks good, I recommend it to everyone. But I seriously injured it 5 times; it cracked along the seam of the body, but still worked perfectly. The nozzle and the rear protective mesh fell off and dried my hair yesterday. And one hair got inside and the hair dryer burned out. It's shorted out. Right now I'm thinking about getting the same one. I hope the quality will be 5)) and it worked great for 4 years. And today the old one went to the trash.)</v>
      </c>
    </row>
    <row r="10176" spans="1:9" x14ac:dyDescent="0.3">
      <c r="A10176" s="1" t="s">
        <v>169</v>
      </c>
      <c r="B10176" s="1" t="s">
        <v>170</v>
      </c>
      <c r="C10176" s="1" t="s">
        <v>193</v>
      </c>
      <c r="D10176" s="1" t="s">
        <v>474</v>
      </c>
      <c r="E10176" s="1" t="s">
        <v>4259</v>
      </c>
      <c r="F10176" s="1" t="s">
        <v>14845</v>
      </c>
      <c r="G10176" s="1" t="s">
        <v>36</v>
      </c>
      <c r="H10176" s="1" t="s">
        <v>29</v>
      </c>
      <c r="I10176" s="1" t="str">
        <f ca="1">IFERROR(__xludf.DUMMYFUNCTION("GOOGLETRANSLATE(F10176, ""auto"", ""en"")
"),"My love. Pure pleasure from listening to music and no discomfort to the ears. I use it on trips and at home. It’s almost impossible to find good headphones with this shape (I can’t stand vacuum ones). Not a professional, the sound is clear, multifaceted, "&amp;"no noise, drowns out the surrounding world.")</f>
        <v>My love. Pure pleasure from listening to music and no discomfort to the ears. I use it on trips and at home. It’s almost impossible to find good headphones with this shape (I can’t stand vacuum ones). Not a professional, the sound is clear, multifaceted, no noise, drowns out the surrounding world.</v>
      </c>
    </row>
    <row r="10177" spans="1:9" x14ac:dyDescent="0.3">
      <c r="A10177" s="1" t="s">
        <v>149</v>
      </c>
      <c r="B10177" s="1" t="s">
        <v>150</v>
      </c>
      <c r="C10177" s="1" t="s">
        <v>2016</v>
      </c>
      <c r="D10177" s="1" t="s">
        <v>75</v>
      </c>
      <c r="E10177" s="1" t="s">
        <v>2935</v>
      </c>
      <c r="F10177" s="1" t="s">
        <v>14846</v>
      </c>
      <c r="G10177" s="1" t="s">
        <v>36</v>
      </c>
      <c r="H10177" s="1" t="s">
        <v>29</v>
      </c>
      <c r="I10177" s="1" t="str">
        <f ca="1">IFERROR(__xludf.DUMMYFUNCTION("GOOGLETRANSLATE(F10177, ""auto"", ""en"")
"),"I’ve been using this vacuum cleaner for six months, I’m absolutely satisfied with the power, it sucks up dirt, sand, dust with a bang! The filter is conveniently designed, the cord is long, the attachments are well thought out - in general, a cool car vac"&amp;"uum cleaner!")</f>
        <v>I’ve been using this vacuum cleaner for six months, I’m absolutely satisfied with the power, it sucks up dirt, sand, dust with a bang! The filter is conveniently designed, the cord is long, the attachments are well thought out - in general, a cool car vacuum cleaner!</v>
      </c>
    </row>
    <row r="10178" spans="1:9" x14ac:dyDescent="0.3">
      <c r="A10178" s="1" t="s">
        <v>61</v>
      </c>
      <c r="B10178" s="1" t="s">
        <v>224</v>
      </c>
      <c r="C10178" s="1" t="s">
        <v>213</v>
      </c>
      <c r="D10178" s="1" t="s">
        <v>232</v>
      </c>
      <c r="E10178" s="1" t="s">
        <v>2634</v>
      </c>
      <c r="F10178" s="1" t="s">
        <v>14847</v>
      </c>
      <c r="G10178" s="1" t="s">
        <v>36</v>
      </c>
      <c r="H10178" s="1" t="s">
        <v>29</v>
      </c>
      <c r="I10178" s="1" t="str">
        <f ca="1">IFERROR(__xludf.DUMMYFUNCTION("GOOGLETRANSLATE(F10178, ""auto"", ""en"")
"),"I bought it a month ago, I’m completely satisfied with it, I don’t use the pulp content adjustment because I like thick juices.  Convenient to wash, squeezes out well.")</f>
        <v>I bought it a month ago, I’m completely satisfied with it, I don’t use the pulp content adjustment because I like thick juices.  Convenient to wash, squeezes out well.</v>
      </c>
    </row>
    <row r="10179" spans="1:9" x14ac:dyDescent="0.3">
      <c r="A10179" s="1" t="s">
        <v>17</v>
      </c>
      <c r="B10179" s="1" t="s">
        <v>18</v>
      </c>
      <c r="C10179" s="1" t="s">
        <v>243</v>
      </c>
      <c r="D10179" s="1" t="s">
        <v>335</v>
      </c>
      <c r="E10179" s="1" t="s">
        <v>14848</v>
      </c>
      <c r="F10179" s="1" t="s">
        <v>14849</v>
      </c>
      <c r="G10179" s="1" t="s">
        <v>36</v>
      </c>
      <c r="H10179" s="1" t="s">
        <v>29</v>
      </c>
      <c r="I10179" s="1" t="str">
        <f ca="1">IFERROR(__xludf.DUMMYFUNCTION("GOOGLETRANSLATE(F10179, ""auto"", ""en"")
"),"I bought myself a washing machine and am very pleased. The car is really roomy and easy to drive. Narrow takes up little space. For its price, the machine is simply superb, it washes, rinses and spins well, and there are no vibrations. Many programs, smal"&amp;"l drain hose. The neighbors upstairs are louder than mine, that is, when we wash together, you can hear them louder than mine. The maximum load of laundry is 5 kg, for me this is a significant norm. In general, I am very pleased with this “unit”. I'll see"&amp;" what happens after some time of use. I advise you too.")</f>
        <v>I bought myself a washing machine and am very pleased. The car is really roomy and easy to drive. Narrow takes up little space. For its price, the machine is simply superb, it washes, rinses and spins well, and there are no vibrations. Many programs, small drain hose. The neighbors upstairs are louder than mine, that is, when we wash together, you can hear them louder than mine. The maximum load of laundry is 5 kg, for me this is a significant norm. In general, I am very pleased with this “unit”. I'll see what happens after some time of use. I advise you too.</v>
      </c>
    </row>
    <row r="10180" spans="1:9" x14ac:dyDescent="0.3">
      <c r="A10180" s="1" t="s">
        <v>43</v>
      </c>
      <c r="B10180" s="1" t="s">
        <v>44</v>
      </c>
      <c r="C10180" s="1" t="s">
        <v>101</v>
      </c>
      <c r="D10180" s="1" t="s">
        <v>64</v>
      </c>
      <c r="E10180" s="1" t="s">
        <v>1263</v>
      </c>
      <c r="F10180" s="1" t="s">
        <v>14850</v>
      </c>
      <c r="G10180" s="1" t="s">
        <v>36</v>
      </c>
      <c r="H10180" s="1" t="s">
        <v>29</v>
      </c>
      <c r="I10180" s="1" t="str">
        <f ca="1">IFERROR(__xludf.DUMMYFUNCTION("GOOGLETRANSLATE(F10180, ""auto"", ""en"")
"),"The fan is very good. No noise. Simply wonderful.")</f>
        <v>The fan is very good. No noise. Simply wonderful.</v>
      </c>
    </row>
    <row r="10181" spans="1:9" x14ac:dyDescent="0.3">
      <c r="A10181" s="1" t="s">
        <v>67</v>
      </c>
      <c r="B10181" s="1" t="s">
        <v>68</v>
      </c>
      <c r="C10181" s="1" t="s">
        <v>185</v>
      </c>
      <c r="D10181" s="1" t="s">
        <v>934</v>
      </c>
      <c r="E10181" s="1" t="s">
        <v>8529</v>
      </c>
      <c r="F10181" s="1" t="s">
        <v>14851</v>
      </c>
      <c r="G10181" s="1" t="s">
        <v>49</v>
      </c>
      <c r="H10181" s="1" t="s">
        <v>16</v>
      </c>
      <c r="I10181" s="1" t="str">
        <f ca="1">IFERROR(__xludf.DUMMYFUNCTION("GOOGLETRANSLATE(F10181, ""auto"", ""en"")
"),"But for me it cracked right after the warranty expired, it’s a shame. Repair costs almost the same as buying a new one. Reason - unknown(")</f>
        <v>But for me it cracked right after the warranty expired, it’s a shame. Repair costs almost the same as buying a new one. Reason - unknown(</v>
      </c>
    </row>
    <row r="10182" spans="1:9" x14ac:dyDescent="0.3">
      <c r="A10182" s="1" t="s">
        <v>61</v>
      </c>
      <c r="B10182" s="1" t="s">
        <v>318</v>
      </c>
      <c r="C10182" s="1" t="s">
        <v>57</v>
      </c>
      <c r="D10182" s="1" t="s">
        <v>295</v>
      </c>
      <c r="E10182" s="1" t="s">
        <v>6084</v>
      </c>
      <c r="F10182" s="1" t="s">
        <v>14852</v>
      </c>
      <c r="G10182" s="1" t="s">
        <v>36</v>
      </c>
      <c r="H10182" s="1" t="s">
        <v>29</v>
      </c>
      <c r="I10182" s="1" t="str">
        <f ca="1">IFERROR(__xludf.DUMMYFUNCTION("GOOGLETRANSLATE(F10182, ""auto"", ""en"")
"),"A very good kettle for this amount)) we bought it a couple of days ago, so far there are no complaints, there is no smell, usually when the kettle is turned on it heats up very loudly, but this model is not audible at all, a reasonable purchase for such a"&amp;"n amount)")</f>
        <v>A very good kettle for this amount)) we bought it a couple of days ago, so far there are no complaints, there is no smell, usually when the kettle is turned on it heats up very loudly, but this model is not audible at all, a reasonable purchase for such an amount)</v>
      </c>
    </row>
    <row r="10183" spans="1:9" x14ac:dyDescent="0.3">
      <c r="A10183" s="1" t="s">
        <v>67</v>
      </c>
      <c r="B10183" s="1" t="s">
        <v>68</v>
      </c>
      <c r="C10183" s="1" t="s">
        <v>381</v>
      </c>
      <c r="D10183" s="1" t="s">
        <v>142</v>
      </c>
      <c r="E10183" s="1" t="s">
        <v>14601</v>
      </c>
      <c r="F10183" s="1" t="s">
        <v>14853</v>
      </c>
      <c r="G10183" s="1" t="s">
        <v>36</v>
      </c>
      <c r="H10183" s="1" t="s">
        <v>29</v>
      </c>
      <c r="I10183" s="1" t="str">
        <f ca="1">IFERROR(__xludf.DUMMYFUNCTION("GOOGLETRANSLATE(F10183, ""auto"", ""en"")
"),"I bought an iron before my summer vacation, and now it has somehow migrated to its permanent habitat in the apartment - I only use it! It is small and light, comfortable handle, non-stick sole. There is also a vertical steam function, which makes it conve"&amp;"nient to iron blouses and shirts while hanging. In general, I am pleased that we chose this particular iron.")</f>
        <v>I bought an iron before my summer vacation, and now it has somehow migrated to its permanent habitat in the apartment - I only use it! It is small and light, comfortable handle, non-stick sole. There is also a vertical steam function, which makes it convenient to iron blouses and shirts while hanging. In general, I am pleased that we chose this particular iron.</v>
      </c>
    </row>
    <row r="10184" spans="1:9" x14ac:dyDescent="0.3">
      <c r="A10184" s="1" t="s">
        <v>17</v>
      </c>
      <c r="B10184" s="1" t="s">
        <v>18</v>
      </c>
      <c r="C10184" s="1" t="s">
        <v>138</v>
      </c>
      <c r="D10184" s="1" t="s">
        <v>58</v>
      </c>
      <c r="E10184" s="1" t="s">
        <v>6661</v>
      </c>
      <c r="F10184" s="1" t="s">
        <v>14854</v>
      </c>
      <c r="G10184" s="1" t="s">
        <v>36</v>
      </c>
      <c r="H10184" s="1" t="s">
        <v>29</v>
      </c>
      <c r="I10184" s="1" t="str">
        <f ca="1">IFERROR(__xludf.DUMMYFUNCTION("GOOGLETRANSLATE(F10184, ""auto"", ""en"")
"),"Bought on sale. It washes perfectly, it works quietly, it’s compact, the bad thing is that you can’t see the end time of the wash.  QUALITY - EXCELLENT")</f>
        <v>Bought on sale. It washes perfectly, it works quietly, it’s compact, the bad thing is that you can’t see the end time of the wash.  QUALITY - EXCELLENT</v>
      </c>
    </row>
    <row r="10185" spans="1:9" x14ac:dyDescent="0.3">
      <c r="A10185" s="1" t="s">
        <v>211</v>
      </c>
      <c r="B10185" s="1" t="s">
        <v>212</v>
      </c>
      <c r="C10185" s="1" t="s">
        <v>1591</v>
      </c>
      <c r="D10185" s="1" t="s">
        <v>545</v>
      </c>
      <c r="E10185" s="1" t="s">
        <v>4600</v>
      </c>
      <c r="F10185" s="1" t="s">
        <v>14855</v>
      </c>
      <c r="G10185" s="1" t="s">
        <v>36</v>
      </c>
      <c r="H10185" s="1" t="s">
        <v>29</v>
      </c>
      <c r="I10185" s="1" t="str">
        <f ca="1">IFERROR(__xludf.DUMMYFUNCTION("GOOGLETRANSLATE(F10185, ""auto"", ""en"")
"),"Although I have not been using this hair dryer for long, I have already felt the difference in use between a regular hair dryer and a round comb. It works great, your hands don’t get so tired, the nozzle rotates on its own in any direction. I am pleased w"&amp;"ith the supply of cold air and the power of the hairdryer, which allows you to do styling much faster. I also noticed that the ionization that exists here had a very good effect on the hair, it stopped electrifying even after the hood and now shimmers in "&amp;"the light) I’m very pleased with the effect)")</f>
        <v>Although I have not been using this hair dryer for long, I have already felt the difference in use between a regular hair dryer and a round comb. It works great, your hands don’t get so tired, the nozzle rotates on its own in any direction. I am pleased with the supply of cold air and the power of the hairdryer, which allows you to do styling much faster. I also noticed that the ionization that exists here had a very good effect on the hair, it stopped electrifying even after the hood and now shimmers in the light) I’m very pleased with the effect)</v>
      </c>
    </row>
    <row r="10186" spans="1:9" x14ac:dyDescent="0.3">
      <c r="A10186" s="1" t="s">
        <v>211</v>
      </c>
      <c r="B10186" s="1" t="s">
        <v>212</v>
      </c>
      <c r="C10186" s="1" t="s">
        <v>381</v>
      </c>
      <c r="D10186" s="1" t="s">
        <v>378</v>
      </c>
      <c r="E10186" s="1" t="s">
        <v>3813</v>
      </c>
      <c r="F10186" s="1" t="s">
        <v>14856</v>
      </c>
      <c r="G10186" s="1" t="s">
        <v>36</v>
      </c>
      <c r="H10186" s="1" t="s">
        <v>29</v>
      </c>
      <c r="I10186" s="1" t="str">
        <f ca="1">IFERROR(__xludf.DUMMYFUNCTION("GOOGLETRANSLATE(F10186, ""auto"", ""en"")
"),"I bought this styler a long time ago, but I still haven’t had time to share my impressions. Girls, the styler is just super! A huge number of attachments and they all work flawlessly! The styling done with this unit, without the help of varnishes and mous"&amp;"ses, lasts throughout the day. The only small drawback: it is inconvenient to change the plates of the gaff and the rectifier, but this, as they say, is “the little things in life”! I let a relative use mine for a while, she was delighted - now I know wha"&amp;"t gift we’ll give her for her birthday! I highly recommend it to everyone, you won't be disappointed!")</f>
        <v>I bought this styler a long time ago, but I still haven’t had time to share my impressions. Girls, the styler is just super! A huge number of attachments and they all work flawlessly! The styling done with this unit, without the help of varnishes and mousses, lasts throughout the day. The only small drawback: it is inconvenient to change the plates of the gaff and the rectifier, but this, as they say, is “the little things in life”! I let a relative use mine for a while, she was delighted - now I know what gift we’ll give her for her birthday! I highly recommend it to everyone, you won't be disappointed!</v>
      </c>
    </row>
    <row r="10187" spans="1:9" x14ac:dyDescent="0.3">
      <c r="A10187" s="1" t="s">
        <v>61</v>
      </c>
      <c r="B10187" s="1" t="s">
        <v>318</v>
      </c>
      <c r="C10187" s="1" t="s">
        <v>45</v>
      </c>
      <c r="D10187" s="1" t="s">
        <v>13261</v>
      </c>
      <c r="E10187" s="1" t="s">
        <v>2043</v>
      </c>
      <c r="F10187" s="1" t="s">
        <v>14857</v>
      </c>
      <c r="G10187" s="1" t="s">
        <v>36</v>
      </c>
      <c r="H10187" s="1" t="s">
        <v>29</v>
      </c>
      <c r="I10187" s="1" t="str">
        <f ca="1">IFERROR(__xludf.DUMMYFUNCTION("GOOGLETRANSLATE(F10187, ""auto"", ""en"")
"),"I spent a long time choosing, read reviews and chose Mystery. An excellent kettle, no plastic smell, stylish, not noisy and the lighting is pleasant - take it, you won’t regret it!")</f>
        <v>I spent a long time choosing, read reviews and chose Mystery. An excellent kettle, no plastic smell, stylish, not noisy and the lighting is pleasant - take it, you won’t regret it!</v>
      </c>
    </row>
    <row r="10188" spans="1:9" x14ac:dyDescent="0.3">
      <c r="A10188" s="1" t="s">
        <v>206</v>
      </c>
      <c r="B10188" s="1" t="s">
        <v>261</v>
      </c>
      <c r="C10188" s="1" t="s">
        <v>351</v>
      </c>
      <c r="D10188" s="1" t="s">
        <v>568</v>
      </c>
      <c r="E10188" s="1" t="s">
        <v>10093</v>
      </c>
      <c r="F10188" s="1" t="s">
        <v>14858</v>
      </c>
      <c r="G10188" s="1" t="s">
        <v>49</v>
      </c>
      <c r="H10188" s="1" t="s">
        <v>16</v>
      </c>
      <c r="I10188" s="1" t="str">
        <f ca="1">IFERROR(__xludf.DUMMYFUNCTION("GOOGLETRANSLATE(F10188, ""auto"", ""en"")
"),"I don't recommend buying it, the quality is disgusting. To install it, I had to resolder all the hair-thin wires on the microcircuit, as they broke in the first minute of installation. After three days of use, I took it off and threw it away. Reception is"&amp;" weak and not stable.")</f>
        <v>I don't recommend buying it, the quality is disgusting. To install it, I had to resolder all the hair-thin wires on the microcircuit, as they broke in the first minute of installation. After three days of use, I took it off and threw it away. Reception is weak and not stable.</v>
      </c>
    </row>
    <row r="10189" spans="1:9" x14ac:dyDescent="0.3">
      <c r="A10189" s="1" t="s">
        <v>120</v>
      </c>
      <c r="B10189" s="1" t="s">
        <v>126</v>
      </c>
      <c r="C10189" s="1" t="s">
        <v>80</v>
      </c>
      <c r="D10189" s="1" t="s">
        <v>14859</v>
      </c>
      <c r="E10189" s="1" t="s">
        <v>397</v>
      </c>
      <c r="F10189" s="1" t="s">
        <v>14860</v>
      </c>
      <c r="G10189" s="1" t="s">
        <v>36</v>
      </c>
      <c r="H10189" s="1" t="s">
        <v>29</v>
      </c>
      <c r="I10189" s="1" t="str">
        <f ca="1">IFERROR(__xludf.DUMMYFUNCTION("GOOGLETRANSLATE(F10189, ""auto"", ""en"")
"),"Plasma is super - the price-quality ratio is perfect! Freebie for such money! If a large diagonal is important, take it, you won’t regret it!")</f>
        <v>Plasma is super - the price-quality ratio is perfect! Freebie for such money! If a large diagonal is important, take it, you won’t regret it!</v>
      </c>
    </row>
    <row r="10190" spans="1:9" x14ac:dyDescent="0.3">
      <c r="A10190" s="1" t="s">
        <v>169</v>
      </c>
      <c r="B10190" s="1" t="s">
        <v>170</v>
      </c>
      <c r="C10190" s="1" t="s">
        <v>171</v>
      </c>
      <c r="D10190" s="1" t="s">
        <v>568</v>
      </c>
      <c r="E10190" s="1" t="s">
        <v>8584</v>
      </c>
      <c r="F10190" s="1" t="s">
        <v>14861</v>
      </c>
      <c r="G10190" s="1" t="s">
        <v>36</v>
      </c>
      <c r="H10190" s="1" t="s">
        <v>29</v>
      </c>
      <c r="I10190" s="1" t="str">
        <f ca="1">IFERROR(__xludf.DUMMYFUNCTION("GOOGLETRANSLATE(F10190, ""auto"", ""en"")
"),"I bought it today from M-VIDEO. The sound is great. I doubted it at first. And now, I'm happy. Quality + price, super headphones.")</f>
        <v>I bought it today from M-VIDEO. The sound is great. I doubted it at first. And now, I'm happy. Quality + price, super headphones.</v>
      </c>
    </row>
    <row r="10191" spans="1:9" x14ac:dyDescent="0.3">
      <c r="A10191" s="1" t="s">
        <v>9</v>
      </c>
      <c r="B10191" s="1" t="s">
        <v>10</v>
      </c>
      <c r="C10191" s="1" t="s">
        <v>466</v>
      </c>
      <c r="D10191" s="1" t="s">
        <v>114</v>
      </c>
      <c r="E10191" s="1" t="s">
        <v>14597</v>
      </c>
      <c r="F10191" s="1" t="s">
        <v>14862</v>
      </c>
      <c r="G10191" s="1" t="s">
        <v>36</v>
      </c>
      <c r="H10191" s="1" t="s">
        <v>29</v>
      </c>
      <c r="I10191" s="1" t="str">
        <f ca="1">IFERROR(__xludf.DUMMYFUNCTION("GOOGLETRANSLATE(F10191, ""auto"", ""en"")
"),"Good hood, works perfectly. Color is not white (not easily soiled), display, functions are the same as expensive analogues. We have been using it constantly for about a year, without any comments. I recommend it.")</f>
        <v>Good hood, works perfectly. Color is not white (not easily soiled), display, functions are the same as expensive analogues. We have been using it constantly for about a year, without any comments. I recommend it.</v>
      </c>
    </row>
    <row r="10192" spans="1:9" x14ac:dyDescent="0.3">
      <c r="A10192" s="1" t="s">
        <v>30</v>
      </c>
      <c r="B10192" s="1" t="s">
        <v>50</v>
      </c>
      <c r="C10192" s="1" t="s">
        <v>694</v>
      </c>
      <c r="D10192" s="1" t="s">
        <v>420</v>
      </c>
      <c r="E10192" s="1" t="s">
        <v>1756</v>
      </c>
      <c r="F10192" s="1" t="s">
        <v>14863</v>
      </c>
      <c r="G10192" s="1" t="s">
        <v>28</v>
      </c>
      <c r="H10192" s="1" t="s">
        <v>29</v>
      </c>
      <c r="I10192" s="1" t="str">
        <f ca="1">IFERROR(__xludf.DUMMYFUNCTION("GOOGLETRANSLATE(F10192, ""auto"", ""en"")
"),"Hello!  Definitely a cool laptop... after all, it’s very suitable for portability.. It’s not a problem to take a Sonya, but it will obviously be more expensive.. And here there is almost everything.. A USB modem replaced the missing card reader (present i"&amp;"n the modem model).  I’m not a component guru and I definitely can’t find out the model, I have a G550. As far as I understand, there is a whole series of them.. They write here that the percentages on the Celeron 1.8 Dual-Core are 2 cores or what?  I ent"&amp;"ered the serial number on the official support website, and this is what came up: Liteon PA-1650-52LC NB adapter(EPS2.0) [1] LINETEK LS15+H03VV-F+LP-34 card [1] CPL G550 15BB W/Q-GL T [1]C Cbt BCM4312 M 802.12G MOW NB WLAN [1] TSST TS-L633B Tray in Rambo "&amp;"[1] Hy HMT112S6BFR6C-G7 N0 DDR3 1066 1GB [2] Hy HMT112S6BFR6C-G7 N0 DDR3 1066 1GB [2] Intel ICPM 900 2.20G 1M R-0 PGA CPU [1] Seagate ST9160314AS 160G 9NB HDD Are the processors different or what?  Fortunately, 2 sticks of 1 GB of DDR3 type completely jus"&amp;"tify myself... which means dual chanel works.  In general, I'm pleased..")</f>
        <v>Hello!  Definitely a cool laptop... after all, it’s very suitable for portability.. It’s not a problem to take a Sonya, but it will obviously be more expensive.. And here there is almost everything.. A USB modem replaced the missing card reader (present in the modem model).  I’m not a component guru and I definitely can’t find out the model, I have a G550. As far as I understand, there is a whole series of them.. They write here that the percentages on the Celeron 1.8 Dual-Core are 2 cores or what?  I entered the serial number on the official support website, and this is what came up: Liteon PA-1650-52LC NB adapter(EPS2.0) [1] LINETEK LS15+H03VV-F+LP-34 card [1] CPL G550 15BB W/Q-GL T [1]C Cbt BCM4312 M 802.12G MOW NB WLAN [1] TSST TS-L633B Tray in Rambo [1] Hy HMT112S6BFR6C-G7 N0 DDR3 1066 1GB [2] Hy HMT112S6BFR6C-G7 N0 DDR3 1066 1GB [2] Intel ICPM 900 2.20G 1M R-0 PGA CPU [1] Seagate ST9160314AS 160G 9NB HDD Are the processors different or what?  Fortunately, 2 sticks of 1 GB of DDR3 type completely justify myself... which means dual chanel works.  In general, I'm pleased..</v>
      </c>
    </row>
    <row r="10193" spans="1:9" x14ac:dyDescent="0.3">
      <c r="A10193" s="1" t="s">
        <v>95</v>
      </c>
      <c r="B10193" s="1" t="s">
        <v>402</v>
      </c>
      <c r="C10193" s="1" t="s">
        <v>403</v>
      </c>
      <c r="D10193" s="1" t="s">
        <v>152</v>
      </c>
      <c r="E10193" s="1" t="s">
        <v>9813</v>
      </c>
      <c r="F10193" s="1" t="s">
        <v>14864</v>
      </c>
      <c r="G10193" s="1" t="s">
        <v>49</v>
      </c>
      <c r="H10193" s="1" t="s">
        <v>16</v>
      </c>
      <c r="I10193" s="1" t="str">
        <f ca="1">IFERROR(__xludf.DUMMYFUNCTION("GOOGLETRANSLATE(F10193, ""auto"", ""en"")
"),"I don’t like why the display is so small, and there are thick borders around it; it would be better if the display was full size.")</f>
        <v>I don’t like why the display is so small, and there are thick borders around it; it would be better if the display was full size.</v>
      </c>
    </row>
    <row r="10194" spans="1:9" x14ac:dyDescent="0.3">
      <c r="A10194" s="1" t="s">
        <v>17</v>
      </c>
      <c r="B10194" s="1" t="s">
        <v>18</v>
      </c>
      <c r="C10194" s="1" t="s">
        <v>19</v>
      </c>
      <c r="D10194" s="1" t="s">
        <v>114</v>
      </c>
      <c r="E10194" s="1" t="s">
        <v>225</v>
      </c>
      <c r="F10194" s="1" t="s">
        <v>14865</v>
      </c>
      <c r="G10194" s="1" t="s">
        <v>15</v>
      </c>
      <c r="H10194" s="1" t="s">
        <v>16</v>
      </c>
      <c r="I10194" s="1" t="str">
        <f ca="1">IFERROR(__xludf.DUMMYFUNCTION("GOOGLETRANSLATE(F10194, ""auto"", ""en"")
"),"We bought the car 2.5 years ago. Of course, I was impressed by the design, the big drum. For the most part, we use three programs. The first breakdown occurred 1.5 years later - the main control board burned out. The second - after 1.7 years, again a fee."&amp;" The third and I hope the last one, after 2.5 years, the loading door lock shorted (it’s unclear why there is a stabilizer and the room is not humid). So there you go. Decide for yourself, but now I’ll buy it for 10 thousand rubles and won’t worry when it"&amp;" breaks. ;))!!!!")</f>
        <v>We bought the car 2.5 years ago. Of course, I was impressed by the design, the big drum. For the most part, we use three programs. The first breakdown occurred 1.5 years later - the main control board burned out. The second - after 1.7 years, again a fee. The third and I hope the last one, after 2.5 years, the loading door lock shorted (it’s unclear why there is a stabilizer and the room is not humid). So there you go. Decide for yourself, but now I’ll buy it for 10 thousand rubles and won’t worry when it breaks. ;))!!!!</v>
      </c>
    </row>
    <row r="10195" spans="1:9" x14ac:dyDescent="0.3">
      <c r="A10195" s="1" t="s">
        <v>238</v>
      </c>
      <c r="B10195" s="1" t="s">
        <v>276</v>
      </c>
      <c r="C10195" s="1" t="s">
        <v>277</v>
      </c>
      <c r="D10195" s="1" t="s">
        <v>335</v>
      </c>
      <c r="E10195" s="1" t="s">
        <v>9313</v>
      </c>
      <c r="F10195" s="1" t="s">
        <v>14866</v>
      </c>
      <c r="G10195" s="1" t="s">
        <v>36</v>
      </c>
      <c r="H10195" s="1" t="s">
        <v>29</v>
      </c>
      <c r="I10195" s="1" t="str">
        <f ca="1">IFERROR(__xludf.DUMMYFUNCTION("GOOGLETRANSLATE(F10195, ""auto"", ""en"")
"),"We bought this refrigerator in April 2013, and one day meat leaked in it, and all the glass went down into the above hole. There was a terrible smell coming from the refrigerator! And to a greater extent from the back wall. When I poured a little water in"&amp;" there, the smell went away. But in general, for such a price, the refrigerator is simply excellent, no complaints!")</f>
        <v>We bought this refrigerator in April 2013, and one day meat leaked in it, and all the glass went down into the above hole. There was a terrible smell coming from the refrigerator! And to a greater extent from the back wall. When I poured a little water in there, the smell went away. But in general, for such a price, the refrigerator is simply excellent, no complaints!</v>
      </c>
    </row>
    <row r="10196" spans="1:9" x14ac:dyDescent="0.3">
      <c r="A10196" s="1" t="s">
        <v>43</v>
      </c>
      <c r="B10196" s="1" t="s">
        <v>1382</v>
      </c>
      <c r="C10196" s="1" t="s">
        <v>257</v>
      </c>
      <c r="D10196" s="1" t="s">
        <v>305</v>
      </c>
      <c r="E10196" s="1" t="s">
        <v>2131</v>
      </c>
      <c r="F10196" s="1" t="s">
        <v>14867</v>
      </c>
      <c r="G10196" s="1" t="s">
        <v>36</v>
      </c>
      <c r="H10196" s="1" t="s">
        <v>29</v>
      </c>
      <c r="I10196" s="1" t="str">
        <f ca="1">IFERROR(__xludf.DUMMYFUNCTION("GOOGLETRANSLATE(F10196, ""auto"", ""en"")
"),"I've been using it for several hours, I bought it today, I assembled it in 5 minutes, I'm very happy with it! For such little money, so many functions and acceptable quality. It takes up little space and does its job perfectly. In general, a good unusual "&amp;"fan (not the usual floor fan).  Now I will recommend this model to my friends. Thanks to Maxim Kulikov (manager?) - I turned to the person closest to me - he suggested it. By the way, such a large selection of fans in Omsk is only in M-Video (I traveled a"&amp;"round the whole city, spent half a day - and the store was 5 minutes from me).")</f>
        <v>I've been using it for several hours, I bought it today, I assembled it in 5 minutes, I'm very happy with it! For such little money, so many functions and acceptable quality. It takes up little space and does its job perfectly. In general, a good unusual fan (not the usual floor fan).  Now I will recommend this model to my friends. Thanks to Maxim Kulikov (manager?) - I turned to the person closest to me - he suggested it. By the way, such a large selection of fans in Omsk is only in M-Video (I traveled around the whole city, spent half a day - and the store was 5 minutes from me).</v>
      </c>
    </row>
    <row r="10197" spans="1:9" x14ac:dyDescent="0.3">
      <c r="A10197" s="1" t="s">
        <v>120</v>
      </c>
      <c r="B10197" s="1" t="s">
        <v>196</v>
      </c>
      <c r="C10197" s="1" t="s">
        <v>80</v>
      </c>
      <c r="D10197" s="1" t="s">
        <v>52</v>
      </c>
      <c r="E10197" s="1" t="s">
        <v>1553</v>
      </c>
      <c r="F10197" s="1" t="s">
        <v>14868</v>
      </c>
      <c r="G10197" s="1" t="s">
        <v>36</v>
      </c>
      <c r="H10197" s="1" t="s">
        <v>29</v>
      </c>
      <c r="I10197" s="1" t="str">
        <f ca="1">IFERROR(__xludf.DUMMYFUNCTION("GOOGLETRANSLATE(F10197, ""auto"", ""en"")
"),"I've been using it for almost a month. The TV is at the highest level for its money - color rendition, functionality. Personally, I really like the auto-sound adjustment function - now there are no problems with “screaming” advertising... For those who do"&amp;"n’t understand, I’ll explain - this TV has real 100 Hz. When you press the ""OK"" button, the TV displays the parameters of the input (!!!) signal, and 100 Hz is obtained at the output (i.e. on the screen) after processing it. Again, 100 Hz does not work "&amp;"when using the TV as a monitor, and all enhancers are turned off. Regarding the display of an analog signal, you need a good source (for example, Tricolor) and then everything will be worthy (after all, the standard signal is 720x576, and the TV has a res"&amp;"olution of 1920x1080). I watched ""Avatar"" weighing 25 GB with pleasure... P.S. Read the instructions carefully!")</f>
        <v>I've been using it for almost a month. The TV is at the highest level for its money - color rendition, functionality. Personally, I really like the auto-sound adjustment function - now there are no problems with “screaming” advertising... For those who don’t understand, I’ll explain - this TV has real 100 Hz. When you press the "OK" button, the TV displays the parameters of the input (!!!) signal, and 100 Hz is obtained at the output (i.e. on the screen) after processing it. Again, 100 Hz does not work when using the TV as a monitor, and all enhancers are turned off. Regarding the display of an analog signal, you need a good source (for example, Tricolor) and then everything will be worthy (after all, the standard signal is 720x576, and the TV has a resolution of 1920x1080). I watched "Avatar" weighing 25 GB with pleasure... P.S. Read the instructions carefully!</v>
      </c>
    </row>
    <row r="10198" spans="1:9" x14ac:dyDescent="0.3">
      <c r="A10198" s="1" t="s">
        <v>120</v>
      </c>
      <c r="B10198" s="1" t="s">
        <v>196</v>
      </c>
      <c r="C10198" s="1" t="s">
        <v>80</v>
      </c>
      <c r="D10198" s="1" t="s">
        <v>690</v>
      </c>
      <c r="E10198" s="1" t="s">
        <v>3512</v>
      </c>
      <c r="F10198" s="1" t="s">
        <v>14869</v>
      </c>
      <c r="G10198" s="1" t="s">
        <v>36</v>
      </c>
      <c r="H10198" s="1" t="s">
        <v>29</v>
      </c>
      <c r="I10198" s="1" t="str">
        <f ca="1">IFERROR(__xludf.DUMMYFUNCTION("GOOGLETRANSLATE(F10198, ""auto"", ""en"")
"),"Model 42LH2000 USB has been upgraded with a bang! We watched Avatar BDrip - just great. Cartoon Masha and the Bear FullHD quality - I have never seen a better picture.  There are only advantages - the tuner catches a maximum of channels. I haven’t tried D"&amp;"VB-T because... it is not in Nefteyugansk yet.  I recommend it to everyone.")</f>
        <v>Model 42LH2000 USB has been upgraded with a bang! We watched Avatar BDrip - just great. Cartoon Masha and the Bear FullHD quality - I have never seen a better picture.  There are only advantages - the tuner catches a maximum of channels. I haven’t tried DVB-T because... it is not in Nefteyugansk yet.  I recommend it to everyone.</v>
      </c>
    </row>
    <row r="10199" spans="1:9" x14ac:dyDescent="0.3">
      <c r="A10199" s="1" t="s">
        <v>30</v>
      </c>
      <c r="B10199" s="1" t="s">
        <v>50</v>
      </c>
      <c r="C10199" s="1" t="s">
        <v>1003</v>
      </c>
      <c r="D10199" s="1" t="s">
        <v>474</v>
      </c>
      <c r="E10199" s="1" t="s">
        <v>1065</v>
      </c>
      <c r="F10199" s="1" t="s">
        <v>14870</v>
      </c>
      <c r="G10199" s="1" t="s">
        <v>36</v>
      </c>
      <c r="H10199" s="1" t="s">
        <v>29</v>
      </c>
      <c r="I10199" s="1" t="str">
        <f ca="1">IFERROR(__xludf.DUMMYFUNCTION("GOOGLETRANSLATE(F10199, ""auto"", ""en"")
"),"Amazing laptop! I’ve been using it for 8 months now, no problems... I do system restores myself if necessary! comfortable keyboard, excellent material, very beautiful design, everything works as it should! The touchpad is absolutely great! I have a remote"&amp;" control, but it doesn’t work for me because of the battery!  I like everything about it! really heavy!")</f>
        <v>Amazing laptop! I’ve been using it for 8 months now, no problems... I do system restores myself if necessary! comfortable keyboard, excellent material, very beautiful design, everything works as it should! The touchpad is absolutely great! I have a remote control, but it doesn’t work for me because of the battery!  I like everything about it! really heavy!</v>
      </c>
    </row>
    <row r="10200" spans="1:9" x14ac:dyDescent="0.3">
      <c r="A10200" s="1" t="s">
        <v>169</v>
      </c>
      <c r="B10200" s="1" t="s">
        <v>170</v>
      </c>
      <c r="C10200" s="1" t="s">
        <v>69</v>
      </c>
      <c r="D10200" s="1" t="s">
        <v>14871</v>
      </c>
      <c r="E10200" s="1" t="s">
        <v>5982</v>
      </c>
      <c r="F10200" s="1" t="s">
        <v>14872</v>
      </c>
      <c r="G10200" s="1" t="s">
        <v>28</v>
      </c>
      <c r="H10200" s="1" t="s">
        <v>29</v>
      </c>
      <c r="I10200" s="1" t="str">
        <f ca="1">IFERROR(__xludf.DUMMYFUNCTION("GOOGLETRANSLATE(F10200, ""auto"", ""en"")
"),"When running they fit like a glove! A good cord in a rag sheath, does not get tangled!")</f>
        <v>When running they fit like a glove! A good cord in a rag sheath, does not get tangled!</v>
      </c>
    </row>
    <row r="10201" spans="1:9" x14ac:dyDescent="0.3">
      <c r="A10201" s="1" t="s">
        <v>61</v>
      </c>
      <c r="B10201" s="1" t="s">
        <v>145</v>
      </c>
      <c r="C10201" s="1" t="s">
        <v>314</v>
      </c>
      <c r="D10201" s="1" t="s">
        <v>589</v>
      </c>
      <c r="E10201" s="1" t="s">
        <v>3800</v>
      </c>
      <c r="F10201" s="1" t="s">
        <v>14873</v>
      </c>
      <c r="G10201" s="1" t="s">
        <v>36</v>
      </c>
      <c r="H10201" s="1" t="s">
        <v>29</v>
      </c>
      <c r="I10201" s="1" t="str">
        <f ca="1">IFERROR(__xludf.DUMMYFUNCTION("GOOGLETRANSLATE(F10201, ""auto"", ""en"")
"),"I've been using it for almost a year and I'm very pleased. I don’t use it very often, but at all kinds of holidays and friends’ receptions it is an indispensable assistant. Cuts everything! It was always a disaster for me to cut red fish, now my head does"&amp;"n’t hurt....in a minute the pieces are thin, even, one to one - beauty. He cuts everything, including meat and sausages, home-made boiled pork turns out thin and doesn’t fall apart, fresh bread, onions for kebab. There is plenty of power. The knife is ver"&amp;"y sharp, halibut with a ridge - in an instant, trout for steaks with a ridge - too. Easy to disassemble and wash. The only sad thing is that the metal vertical base is slightly rusty. My husband says there is no point in cutting lemons - the metal has oxi"&amp;"dized! I highly recommend it to everyone! Excellent price-quality ratio!!!")</f>
        <v>I've been using it for almost a year and I'm very pleased. I don’t use it very often, but at all kinds of holidays and friends’ receptions it is an indispensable assistant. Cuts everything! It was always a disaster for me to cut red fish, now my head doesn’t hurt....in a minute the pieces are thin, even, one to one - beauty. He cuts everything, including meat and sausages, home-made boiled pork turns out thin and doesn’t fall apart, fresh bread, onions for kebab. There is plenty of power. The knife is very sharp, halibut with a ridge - in an instant, trout for steaks with a ridge - too. Easy to disassemble and wash. The only sad thing is that the metal vertical base is slightly rusty. My husband says there is no point in cutting lemons - the metal has oxidized! I highly recommend it to everyone! Excellent price-quality ratio!!!</v>
      </c>
    </row>
    <row r="10202" spans="1:9" x14ac:dyDescent="0.3">
      <c r="A10202" s="1" t="s">
        <v>369</v>
      </c>
      <c r="B10202" s="1" t="s">
        <v>587</v>
      </c>
      <c r="C10202" s="1" t="s">
        <v>588</v>
      </c>
      <c r="D10202" s="1" t="s">
        <v>14874</v>
      </c>
      <c r="E10202" s="1" t="s">
        <v>6170</v>
      </c>
      <c r="F10202" s="1" t="s">
        <v>14875</v>
      </c>
      <c r="G10202" s="1" t="s">
        <v>36</v>
      </c>
      <c r="H10202" s="1" t="s">
        <v>29</v>
      </c>
      <c r="I10202" s="1" t="str">
        <f ca="1">IFERROR(__xludf.DUMMYFUNCTION("GOOGLETRANSLATE(F10202, ""auto"", ""en"")
"),"Good afternoon, I want to write a review urging you to trust the reviews on the site very rarely!!! Having believed one of them, in the morning I already wanted to run to the store and change the stove. Yesterday we bought a stove in the store, we really "&amp;"liked the design (but most of all we were pleased with the optimal price), my mother was inspired by the Polish assembly, came home and went online, read a review that the stove was disgusting, that some ladies burned her hands, that the stove was simply "&amp;"impossible to use. Today the delivery service delivered our stove, and the first thing we did was install it. What do I want to tell you? The oven is excellent, it was lit the first time, before that we carefully studied the instructions - which I encoura"&amp;"ge you to do, nothing was burned or damaged!!! The only minus, not even really a minus, is that the burners are noisy, but I think there’s nothing wrong with that. Electric ignition works great, there is lighting in the oven. We connected it ourselves, wi"&amp;"thout additional effort.")</f>
        <v>Good afternoon, I want to write a review urging you to trust the reviews on the site very rarely!!! Having believed one of them, in the morning I already wanted to run to the store and change the stove. Yesterday we bought a stove in the store, we really liked the design (but most of all we were pleased with the optimal price), my mother was inspired by the Polish assembly, came home and went online, read a review that the stove was disgusting, that some ladies burned her hands, that the stove was simply impossible to use. Today the delivery service delivered our stove, and the first thing we did was install it. What do I want to tell you? The oven is excellent, it was lit the first time, before that we carefully studied the instructions - which I encourage you to do, nothing was burned or damaged!!! The only minus, not even really a minus, is that the burners are noisy, but I think there’s nothing wrong with that. Electric ignition works great, there is lighting in the oven. We connected it ourselves, without additional effort.</v>
      </c>
    </row>
    <row r="10203" spans="1:9" x14ac:dyDescent="0.3">
      <c r="A10203" s="1" t="s">
        <v>78</v>
      </c>
      <c r="B10203" s="1" t="s">
        <v>1163</v>
      </c>
      <c r="C10203" s="1" t="s">
        <v>80</v>
      </c>
      <c r="D10203" s="1" t="s">
        <v>305</v>
      </c>
      <c r="E10203" s="1" t="s">
        <v>26</v>
      </c>
      <c r="F10203" s="1" t="s">
        <v>14876</v>
      </c>
      <c r="G10203" s="1" t="s">
        <v>36</v>
      </c>
      <c r="H10203" s="1" t="s">
        <v>29</v>
      </c>
      <c r="I10203" s="1" t="str">
        <f ca="1">IFERROR(__xludf.DUMMYFUNCTION("GOOGLETRANSLATE(F10203, ""auto"", ""en"")
"),"Take a super oven!")</f>
        <v>Take a super oven!</v>
      </c>
    </row>
    <row r="10204" spans="1:9" x14ac:dyDescent="0.3">
      <c r="A10204" s="1" t="s">
        <v>43</v>
      </c>
      <c r="B10204" s="1" t="s">
        <v>303</v>
      </c>
      <c r="C10204" s="1" t="s">
        <v>1721</v>
      </c>
      <c r="D10204" s="1" t="s">
        <v>171</v>
      </c>
      <c r="E10204" s="1" t="s">
        <v>5951</v>
      </c>
      <c r="F10204" s="1" t="s">
        <v>14877</v>
      </c>
      <c r="G10204" s="1" t="s">
        <v>36</v>
      </c>
      <c r="H10204" s="1" t="s">
        <v>29</v>
      </c>
      <c r="I10204" s="1" t="str">
        <f ca="1">IFERROR(__xludf.DUMMYFUNCTION("GOOGLETRANSLATE(F10204, ""auto"", ""en"")
"),"Compact, ideal for installation in the toilet.")</f>
        <v>Compact, ideal for installation in the toilet.</v>
      </c>
    </row>
    <row r="10205" spans="1:9" x14ac:dyDescent="0.3">
      <c r="A10205" s="1" t="s">
        <v>30</v>
      </c>
      <c r="B10205" s="1" t="s">
        <v>31</v>
      </c>
      <c r="C10205" s="1" t="s">
        <v>32</v>
      </c>
      <c r="D10205" s="1" t="s">
        <v>729</v>
      </c>
      <c r="E10205" s="1" t="s">
        <v>2271</v>
      </c>
      <c r="F10205" s="1" t="s">
        <v>14878</v>
      </c>
      <c r="G10205" s="1" t="s">
        <v>28</v>
      </c>
      <c r="H10205" s="1" t="s">
        <v>29</v>
      </c>
      <c r="I10205" s="1" t="str">
        <f ca="1">IFERROR(__xludf.DUMMYFUNCTION("GOOGLETRANSLATE(F10205, ""auto"", ""en"")
"),"to Sergey Zapadny (Moscow) installed CoreAVC, HD movies in WMPlayer go without brakes, with sound, however, the problems are small, but in CMPlayer the brakes are huge. What's the matter, who knows?")</f>
        <v>to Sergey Zapadny (Moscow) installed CoreAVC, HD movies in WMPlayer go without brakes, with sound, however, the problems are small, but in CMPlayer the brakes are huge. What's the matter, who knows?</v>
      </c>
    </row>
    <row r="10206" spans="1:9" x14ac:dyDescent="0.3">
      <c r="A10206" s="1" t="s">
        <v>732</v>
      </c>
      <c r="B10206" s="1" t="s">
        <v>733</v>
      </c>
      <c r="C10206" s="1" t="s">
        <v>32</v>
      </c>
      <c r="D10206" s="1" t="s">
        <v>52</v>
      </c>
      <c r="E10206" s="1" t="s">
        <v>1875</v>
      </c>
      <c r="F10206" s="1" t="s">
        <v>14879</v>
      </c>
      <c r="G10206" s="1" t="s">
        <v>36</v>
      </c>
      <c r="H10206" s="1" t="s">
        <v>29</v>
      </c>
      <c r="I10206" s="1" t="str">
        <f ca="1">IFERROR(__xludf.DUMMYFUNCTION("GOOGLETRANSLATE(F10206, ""auto"", ""en"")
"),"An excellent monitor - excellent contrast and rich “deep” color reproduction, great for gaming and watching movies and photos, good for working even with small text fonts. Thanks to the glossy coating of the screen, color rendition is an order of magnitud"&amp;"e higher than that of “matte” screens (for example, in comparison with the Samsung P2050), but because of this it “glares” - for some this is a “minus”. If we compare these two monitors (I have both), then in my opinion the Acer is better.")</f>
        <v>An excellent monitor - excellent contrast and rich “deep” color reproduction, great for gaming and watching movies and photos, good for working even with small text fonts. Thanks to the glossy coating of the screen, color rendition is an order of magnitude higher than that of “matte” screens (for example, in comparison with the Samsung P2050), but because of this it “glares” - for some this is a “minus”. If we compare these two monitors (I have both), then in my opinion the Acer is better.</v>
      </c>
    </row>
    <row r="10207" spans="1:9" x14ac:dyDescent="0.3">
      <c r="A10207" s="1" t="s">
        <v>2087</v>
      </c>
      <c r="B10207" s="1" t="s">
        <v>2088</v>
      </c>
      <c r="C10207" s="1" t="s">
        <v>69</v>
      </c>
      <c r="D10207" s="1" t="s">
        <v>39</v>
      </c>
      <c r="E10207" s="1" t="s">
        <v>6994</v>
      </c>
      <c r="F10207" s="1" t="s">
        <v>14880</v>
      </c>
      <c r="G10207" s="1" t="s">
        <v>36</v>
      </c>
      <c r="H10207" s="1" t="s">
        <v>29</v>
      </c>
      <c r="I10207" s="1" t="str">
        <f ca="1">IFERROR(__xludf.DUMMYFUNCTION("GOOGLETRANSLATE(F10207, ""auto"", ""en"")
"),"Magnificent device. Plus I also have an HDMI cable included. Almost an omnivorous player, looks very solid. DVD upscaling works at five plus. Video over home network, mkv reads. I don't know what more I could wish for. Great!")</f>
        <v>Magnificent device. Plus I also have an HDMI cable included. Almost an omnivorous player, looks very solid. DVD upscaling works at five plus. Video over home network, mkv reads. I don't know what more I could wish for. Great!</v>
      </c>
    </row>
    <row r="10208" spans="1:9" x14ac:dyDescent="0.3">
      <c r="A10208" s="1" t="s">
        <v>67</v>
      </c>
      <c r="B10208" s="1" t="s">
        <v>68</v>
      </c>
      <c r="C10208" s="1" t="s">
        <v>69</v>
      </c>
      <c r="D10208" s="1" t="s">
        <v>308</v>
      </c>
      <c r="E10208" s="1" t="s">
        <v>26</v>
      </c>
      <c r="F10208" s="1" t="s">
        <v>14881</v>
      </c>
      <c r="G10208" s="1" t="s">
        <v>36</v>
      </c>
      <c r="H10208" s="1" t="s">
        <v>29</v>
      </c>
      <c r="I10208" s="1" t="str">
        <f ca="1">IFERROR(__xludf.DUMMYFUNCTION("GOOGLETRANSLATE(F10208, ""auto"", ""en"")
"),"very good iron! The steam effect is simply excellent! 2 adjustments! just great!")</f>
        <v>very good iron! The steam effect is simply excellent! 2 adjustments! just great!</v>
      </c>
    </row>
    <row r="10209" spans="1:9" x14ac:dyDescent="0.3">
      <c r="A10209" s="1" t="s">
        <v>206</v>
      </c>
      <c r="B10209" s="1" t="s">
        <v>1349</v>
      </c>
      <c r="C10209" s="1" t="s">
        <v>351</v>
      </c>
      <c r="D10209" s="1" t="s">
        <v>2610</v>
      </c>
      <c r="E10209" s="1" t="s">
        <v>5803</v>
      </c>
      <c r="F10209" s="1" t="s">
        <v>14882</v>
      </c>
      <c r="G10209" s="1" t="s">
        <v>28</v>
      </c>
      <c r="H10209" s="1" t="s">
        <v>29</v>
      </c>
      <c r="I10209" s="1" t="str">
        <f ca="1">IFERROR(__xludf.DUMMYFUNCTION("GOOGLETRANSLATE(F10209, ""auto"", ""en"")
"),"I bought it a week ago and am happy with it so far. The radio receives well, although there is not enough rds. It’s a good option that you can install 2 rear view cameras. (I’m going to install it one of these days) The downside is that it’s not convenien"&amp;"t to insert the socket, and even more so the CD flash - you’ll have to remove the radio panel every time.")</f>
        <v>I bought it a week ago and am happy with it so far. The radio receives well, although there is not enough rds. It’s a good option that you can install 2 rear view cameras. (I’m going to install it one of these days) The downside is that it’s not convenient to insert the socket, and even more so the CD flash - you’ll have to remove the radio panel every time.</v>
      </c>
    </row>
    <row r="10210" spans="1:9" x14ac:dyDescent="0.3">
      <c r="A10210" s="1" t="s">
        <v>17</v>
      </c>
      <c r="B10210" s="1" t="s">
        <v>18</v>
      </c>
      <c r="C10210" s="1" t="s">
        <v>159</v>
      </c>
      <c r="D10210" s="1" t="s">
        <v>319</v>
      </c>
      <c r="E10210" s="1" t="s">
        <v>998</v>
      </c>
      <c r="F10210" s="1" t="s">
        <v>14883</v>
      </c>
      <c r="G10210" s="1" t="s">
        <v>36</v>
      </c>
      <c r="H10210" s="1" t="s">
        <v>29</v>
      </c>
      <c r="I10210" s="1" t="str">
        <f ca="1">IFERROR(__xludf.DUMMYFUNCTION("GOOGLETRANSLATE(F10210, ""auto"", ""en"")
"),"Compact, stylish, beautiful, everything is thought out to the smallest detail. Selecting a washing mode is simple and straightforward. Everything is written in Russian and is duplicated by a light indication; you can start washing without reading the inst"&amp;"ruction manual with the additional ability to adjust the washing time. My dream came true!!!")</f>
        <v>Compact, stylish, beautiful, everything is thought out to the smallest detail. Selecting a washing mode is simple and straightforward. Everything is written in Russian and is duplicated by a light indication; you can start washing without reading the instruction manual with the additional ability to adjust the washing time. My dream came true!!!</v>
      </c>
    </row>
    <row r="10211" spans="1:9" x14ac:dyDescent="0.3">
      <c r="A10211" s="1" t="s">
        <v>149</v>
      </c>
      <c r="B10211" s="1" t="s">
        <v>150</v>
      </c>
      <c r="C10211" s="1" t="s">
        <v>982</v>
      </c>
      <c r="D10211" s="1" t="s">
        <v>14884</v>
      </c>
      <c r="E10211" s="1" t="s">
        <v>708</v>
      </c>
      <c r="F10211" s="1" t="s">
        <v>14885</v>
      </c>
      <c r="G10211" s="1" t="s">
        <v>49</v>
      </c>
      <c r="H10211" s="1" t="s">
        <v>16</v>
      </c>
      <c r="I10211" s="1" t="str">
        <f ca="1">IFERROR(__xludf.DUMMYFUNCTION("GOOGLETRANSLATE(F10211, ""auto"", ""en"")
"),"Completely useless, I bought it in February (I don’t know why, I just wanted to), I used it for the first time in March according to the same scheme, only I placed the barrel a meter high so that the pressure was stronger. To wash off the dirt, you first "&amp;"need at least 70 liters, and then 10-15 liters of shampoo, it needs to sit for the shampoo to begin to eat away the dirt, but instead it just dries up (in the sun in about three minutes) and it takes another 70 liters to wash it off. I just got tired of c"&amp;"arrying water to the garage. and the fact that despite all this, it doesn’t really wash it off, but leaves mud stains, I won’t say anything at all. It’s better to buy a sponge and a bucket or go to a car wash.   Definitely and undeniably.")</f>
        <v>Completely useless, I bought it in February (I don’t know why, I just wanted to), I used it for the first time in March according to the same scheme, only I placed the barrel a meter high so that the pressure was stronger. To wash off the dirt, you first need at least 70 liters, and then 10-15 liters of shampoo, it needs to sit for the shampoo to begin to eat away the dirt, but instead it just dries up (in the sun in about three minutes) and it takes another 70 liters to wash it off. I just got tired of carrying water to the garage. and the fact that despite all this, it doesn’t really wash it off, but leaves mud stains, I won’t say anything at all. It’s better to buy a sponge and a bucket or go to a car wash.   Definitely and undeniably.</v>
      </c>
    </row>
    <row r="10212" spans="1:9" x14ac:dyDescent="0.3">
      <c r="A10212" s="1" t="s">
        <v>149</v>
      </c>
      <c r="B10212" s="1" t="s">
        <v>423</v>
      </c>
      <c r="C10212" s="1" t="s">
        <v>531</v>
      </c>
      <c r="D10212" s="1" t="s">
        <v>14886</v>
      </c>
      <c r="E10212" s="1" t="s">
        <v>2262</v>
      </c>
      <c r="F10212" s="1" t="s">
        <v>14887</v>
      </c>
      <c r="G10212" s="1" t="s">
        <v>36</v>
      </c>
      <c r="H10212" s="1" t="s">
        <v>29</v>
      </c>
      <c r="I10212" s="1" t="str">
        <f ca="1">IFERROR(__xludf.DUMMYFUNCTION("GOOGLETRANSLATE(F10212, ""auto"", ""en"")
"),"I've had Thomas for almost a year now. It takes a lot of time to clean the vacuum cleaner itself after use, but it's worth it. The cleaning results are simply amazing!!! Very happy with the purchase!!!!")</f>
        <v>I've had Thomas for almost a year now. It takes a lot of time to clean the vacuum cleaner itself after use, but it's worth it. The cleaning results are simply amazing!!! Very happy with the purchase!!!!</v>
      </c>
    </row>
    <row r="10213" spans="1:9" x14ac:dyDescent="0.3">
      <c r="A10213" s="1" t="s">
        <v>1443</v>
      </c>
      <c r="B10213" s="1" t="s">
        <v>1444</v>
      </c>
      <c r="C10213" s="1" t="s">
        <v>1489</v>
      </c>
      <c r="D10213" s="1" t="s">
        <v>14888</v>
      </c>
      <c r="E10213" s="1" t="s">
        <v>4502</v>
      </c>
      <c r="F10213" s="1" t="s">
        <v>14889</v>
      </c>
      <c r="G10213" s="1" t="s">
        <v>36</v>
      </c>
      <c r="H10213" s="1" t="s">
        <v>29</v>
      </c>
      <c r="I10213" s="1" t="str">
        <f ca="1">IFERROR(__xludf.DUMMYFUNCTION("GOOGLETRANSLATE(F10213, ""auto"", ""en"")
"),"every working day with me, it has been working perfectly for 5 years, the speed is excellent, I recommend it to everyone!!!!")</f>
        <v>every working day with me, it has been working perfectly for 5 years, the speed is excellent, I recommend it to everyone!!!!</v>
      </c>
    </row>
    <row r="10214" spans="1:9" x14ac:dyDescent="0.3">
      <c r="A10214" s="1" t="s">
        <v>211</v>
      </c>
      <c r="B10214" s="1" t="s">
        <v>515</v>
      </c>
      <c r="C10214" s="1" t="s">
        <v>69</v>
      </c>
      <c r="D10214" s="1" t="s">
        <v>474</v>
      </c>
      <c r="E10214" s="1" t="s">
        <v>10228</v>
      </c>
      <c r="F10214" s="1" t="s">
        <v>14890</v>
      </c>
      <c r="G10214" s="1" t="s">
        <v>36</v>
      </c>
      <c r="H10214" s="1" t="s">
        <v>29</v>
      </c>
      <c r="I10214" s="1" t="str">
        <f ca="1">IFERROR(__xludf.DUMMYFUNCTION("GOOGLETRANSLATE(F10214, ""auto"", ""en"")
"),"I bought this model because of the precision epilator. There was a dream about a Brazilian bikini. Met my expectations. Convenient, fast, not painful (although everyone’s sensitivity threshold is different). Removes hairs at the root, there was no irritat"&amp;"ion. Although, again, everyone's skin is different. I liked it. I recommend it.")</f>
        <v>I bought this model because of the precision epilator. There was a dream about a Brazilian bikini. Met my expectations. Convenient, fast, not painful (although everyone’s sensitivity threshold is different). Removes hairs at the root, there was no irritation. Although, again, everyone's skin is different. I liked it. I recommend it.</v>
      </c>
    </row>
    <row r="10215" spans="1:9" x14ac:dyDescent="0.3">
      <c r="A10215" s="1" t="s">
        <v>61</v>
      </c>
      <c r="B10215" s="1" t="s">
        <v>62</v>
      </c>
      <c r="C10215" s="1" t="s">
        <v>63</v>
      </c>
      <c r="D10215" s="1" t="s">
        <v>1055</v>
      </c>
      <c r="E10215" s="1" t="s">
        <v>5222</v>
      </c>
      <c r="F10215" s="1" t="s">
        <v>14891</v>
      </c>
      <c r="G10215" s="1" t="s">
        <v>28</v>
      </c>
      <c r="H10215" s="1" t="s">
        <v>29</v>
      </c>
      <c r="I10215" s="1" t="str">
        <f ca="1">IFERROR(__xludf.DUMMYFUNCTION("GOOGLETRANSLATE(F10215, ""auto"", ""en"")
"),"I bought a combine harvester two weeks ago. Everything seems to be fine, the cocktails turn out wonderful, but I don’t like slicing into cubes because a lot of it gets stuck and isn’t cut completely. It’s very inconvenient to clean a grater that’s clogged"&amp;" with cubes, especially after carrots. Otherwise everything is fine! I give it a rating of 4+.")</f>
        <v>I bought a combine harvester two weeks ago. Everything seems to be fine, the cocktails turn out wonderful, but I don’t like slicing into cubes because a lot of it gets stuck and isn’t cut completely. It’s very inconvenient to clean a grater that’s clogged with cubes, especially after carrots. Otherwise everything is fine! I give it a rating of 4+.</v>
      </c>
    </row>
    <row r="10216" spans="1:9" x14ac:dyDescent="0.3">
      <c r="A10216" s="1" t="s">
        <v>9</v>
      </c>
      <c r="B10216" s="1" t="s">
        <v>137</v>
      </c>
      <c r="C10216" s="1" t="s">
        <v>466</v>
      </c>
      <c r="D10216" s="1" t="s">
        <v>64</v>
      </c>
      <c r="E10216" s="1" t="s">
        <v>2328</v>
      </c>
      <c r="F10216" s="1" t="s">
        <v>14892</v>
      </c>
      <c r="G10216" s="1" t="s">
        <v>36</v>
      </c>
      <c r="H10216" s="1" t="s">
        <v>29</v>
      </c>
      <c r="I10216" s="1" t="str">
        <f ca="1">IFERROR(__xludf.DUMMYFUNCTION("GOOGLETRANSLATE(F10216, ""auto"", ""en"")
"),"I read all the comments about the panel and I’m not a little shocked... I bought the panel in May, spent the whole summer in Moscow and it serves me faithfully.  Firstly, it has a beautiful design; individual grilles do not move across the panel, due to t"&amp;"he sides.  Good electric ignition (safe for children).  You can easily and quickly wipe the glass surface after cooking, and by separating the grates, you can wash them in the sink. Someone wrote that it rusts, gets scratched, etc., nonsense, it all depen"&amp;"ds on people, if after cooking you clean the surface, don’t throw anything on it or move it, there won’t be any scratches.  Very pleased with the panel and the affordable price!")</f>
        <v>I read all the comments about the panel and I’m not a little shocked... I bought the panel in May, spent the whole summer in Moscow and it serves me faithfully.  Firstly, it has a beautiful design; individual grilles do not move across the panel, due to the sides.  Good electric ignition (safe for children).  You can easily and quickly wipe the glass surface after cooking, and by separating the grates, you can wash them in the sink. Someone wrote that it rusts, gets scratched, etc., nonsense, it all depends on people, if after cooking you clean the surface, don’t throw anything on it or move it, there won’t be any scratches.  Very pleased with the panel and the affordable price!</v>
      </c>
    </row>
    <row r="10217" spans="1:9" x14ac:dyDescent="0.3">
      <c r="A10217" s="1" t="s">
        <v>30</v>
      </c>
      <c r="B10217" s="1" t="s">
        <v>50</v>
      </c>
      <c r="C10217" s="1" t="s">
        <v>32</v>
      </c>
      <c r="D10217" s="1" t="s">
        <v>521</v>
      </c>
      <c r="E10217" s="1" t="s">
        <v>3454</v>
      </c>
      <c r="F10217" s="1" t="s">
        <v>14893</v>
      </c>
      <c r="G10217" s="1" t="s">
        <v>36</v>
      </c>
      <c r="H10217" s="1" t="s">
        <v>29</v>
      </c>
      <c r="I10217" s="1" t="str">
        <f ca="1">IFERROR(__xludf.DUMMYFUNCTION("GOOGLETRANSLATE(F10217, ""auto"", ""en"")
"),"I've been using this netbook for half a year now. I like everything! Loads quickly and is very convenient when surfing the Internet. It is ideal for the average user and looks very nice in appearance.")</f>
        <v>I've been using this netbook for half a year now. I like everything! Loads quickly and is very convenient when surfing the Internet. It is ideal for the average user and looks very nice in appearance.</v>
      </c>
    </row>
    <row r="10218" spans="1:9" x14ac:dyDescent="0.3">
      <c r="A10218" s="1" t="s">
        <v>61</v>
      </c>
      <c r="B10218" s="1" t="s">
        <v>145</v>
      </c>
      <c r="C10218" s="1" t="s">
        <v>69</v>
      </c>
      <c r="D10218" s="1" t="s">
        <v>1520</v>
      </c>
      <c r="E10218" s="1" t="s">
        <v>2089</v>
      </c>
      <c r="F10218" s="1" t="s">
        <v>14894</v>
      </c>
      <c r="G10218" s="1" t="s">
        <v>36</v>
      </c>
      <c r="H10218" s="1" t="s">
        <v>29</v>
      </c>
      <c r="I10218" s="1" t="str">
        <f ca="1">IFERROR(__xludf.DUMMYFUNCTION("GOOGLETRANSLATE(F10218, ""auto"", ""en"")
"),"We spent a long time choosing and decided to settle on it. They took it and did not go hungry, the manti turned out very tasty!!! I advise and recommend to everyone!!! P.S. Cleans very easily and simply!!!")</f>
        <v>We spent a long time choosing and decided to settle on it. They took it and did not go hungry, the manti turned out very tasty!!! I advise and recommend to everyone!!! P.S. Cleans very easily and simply!!!</v>
      </c>
    </row>
    <row r="10219" spans="1:9" x14ac:dyDescent="0.3">
      <c r="A10219" s="1" t="s">
        <v>37</v>
      </c>
      <c r="B10219" s="1" t="s">
        <v>536</v>
      </c>
      <c r="C10219" s="1" t="s">
        <v>1419</v>
      </c>
      <c r="D10219" s="1" t="s">
        <v>117</v>
      </c>
      <c r="E10219" s="1" t="s">
        <v>4860</v>
      </c>
      <c r="F10219" s="1" t="s">
        <v>14895</v>
      </c>
      <c r="G10219" s="1" t="s">
        <v>36</v>
      </c>
      <c r="H10219" s="1" t="s">
        <v>29</v>
      </c>
      <c r="I10219" s="1" t="str">
        <f ca="1">IFERROR(__xludf.DUMMYFUNCTION("GOOGLETRANSLATE(F10219, ""auto"", ""en"")
"),"Very good communicator! The main positive quality of this device is the price! Almost all software problems can be solved by installing third-party software! The only negative that I have not yet dealt with is the quiet speaker! As a result, a powerful an"&amp;"d high-quality communicator, for those whose hands are growing out of nowhere!")</f>
        <v>Very good communicator! The main positive quality of this device is the price! Almost all software problems can be solved by installing third-party software! The only negative that I have not yet dealt with is the quiet speaker! As a result, a powerful and high-quality communicator, for those whose hands are growing out of nowhere!</v>
      </c>
    </row>
    <row r="10220" spans="1:9" x14ac:dyDescent="0.3">
      <c r="A10220" s="1" t="s">
        <v>211</v>
      </c>
      <c r="B10220" s="1" t="s">
        <v>899</v>
      </c>
      <c r="C10220" s="1" t="s">
        <v>213</v>
      </c>
      <c r="D10220" s="1" t="s">
        <v>2728</v>
      </c>
      <c r="E10220" s="1" t="s">
        <v>10093</v>
      </c>
      <c r="F10220" s="1" t="s">
        <v>14896</v>
      </c>
      <c r="G10220" s="1" t="s">
        <v>28</v>
      </c>
      <c r="H10220" s="1" t="s">
        <v>29</v>
      </c>
      <c r="I10220" s="1" t="str">
        <f ca="1">IFERROR(__xludf.DUMMYFUNCTION("GOOGLETRANSLATE(F10220, ""auto"", ""en"")
"),"The brush is worth the money. I would never pay for it again. The only negative is the long charging time.")</f>
        <v>The brush is worth the money. I would never pay for it again. The only negative is the long charging time.</v>
      </c>
    </row>
    <row r="10221" spans="1:9" x14ac:dyDescent="0.3">
      <c r="A10221" s="1" t="s">
        <v>61</v>
      </c>
      <c r="B10221" s="1" t="s">
        <v>145</v>
      </c>
      <c r="C10221" s="1" t="s">
        <v>246</v>
      </c>
      <c r="D10221" s="1" t="s">
        <v>295</v>
      </c>
      <c r="E10221" s="1" t="s">
        <v>3454</v>
      </c>
      <c r="F10221" s="1" t="s">
        <v>14897</v>
      </c>
      <c r="G10221" s="1" t="s">
        <v>28</v>
      </c>
      <c r="H10221" s="1" t="s">
        <v>29</v>
      </c>
      <c r="I10221" s="1" t="str">
        <f ca="1">IFERROR(__xludf.DUMMYFUNCTION("GOOGLETRANSLATE(F10221, ""auto"", ""en"")
"),"We recently bought a TEFAL 8875 yogurt maker, I spent a lot of time with it, transferred a lot of products, and through trial and error - the long-awaited delicious homemade yogurt came out! How I do it: milk 3.5-6%, sterilized, warm it up quite a bit, ad"&amp;"d Activia yoghurt, stir well, put napkins under the jars (so as not to overheat), put the jars in the yogurt maker, turn it on for 35-40 minutes. (no more!), after the specified time - unplug, EVERYTHING! I always set it at night, for 8 hours. The yogurt "&amp;"always turns out great!")</f>
        <v>We recently bought a TEFAL 8875 yogurt maker, I spent a lot of time with it, transferred a lot of products, and through trial and error - the long-awaited delicious homemade yogurt came out! How I do it: milk 3.5-6%, sterilized, warm it up quite a bit, add Activia yoghurt, stir well, put napkins under the jars (so as not to overheat), put the jars in the yogurt maker, turn it on for 35-40 minutes. (no more!), after the specified time - unplug, EVERYTHING! I always set it at night, for 8 hours. The yogurt always turns out great!</v>
      </c>
    </row>
    <row r="10222" spans="1:9" x14ac:dyDescent="0.3">
      <c r="A10222" s="1" t="s">
        <v>120</v>
      </c>
      <c r="B10222" s="1" t="s">
        <v>256</v>
      </c>
      <c r="C10222" s="1" t="s">
        <v>69</v>
      </c>
      <c r="D10222" s="1" t="s">
        <v>14898</v>
      </c>
      <c r="E10222" s="1" t="s">
        <v>1657</v>
      </c>
      <c r="F10222" s="1" t="s">
        <v>14899</v>
      </c>
      <c r="G10222" s="1" t="s">
        <v>28</v>
      </c>
      <c r="H10222" s="1" t="s">
        <v>29</v>
      </c>
      <c r="I10222" s="1" t="str">
        <f ca="1">IFERROR(__xludf.DUMMYFUNCTION("GOOGLETRANSLATE(F10222, ""auto"", ""en"")
"),"I bought it 6 months ago. Even in the store on the shelf I noticed that the image on the TV signal was less clear and “foggy” compared to its neighbors. perhaps due to DVB-T support or assembly in Russia. The video inputs are fine, the sound is fine.")</f>
        <v>I bought it 6 months ago. Even in the store on the shelf I noticed that the image on the TV signal was less clear and “foggy” compared to its neighbors. perhaps due to DVB-T support or assembly in Russia. The video inputs are fine, the sound is fine.</v>
      </c>
    </row>
    <row r="10223" spans="1:9" x14ac:dyDescent="0.3">
      <c r="A10223" s="1" t="s">
        <v>61</v>
      </c>
      <c r="B10223" s="1" t="s">
        <v>224</v>
      </c>
      <c r="C10223" s="1" t="s">
        <v>74</v>
      </c>
      <c r="D10223" s="1" t="s">
        <v>5094</v>
      </c>
      <c r="E10223" s="1" t="s">
        <v>3673</v>
      </c>
      <c r="F10223" s="1" t="s">
        <v>14900</v>
      </c>
      <c r="G10223" s="1" t="s">
        <v>36</v>
      </c>
      <c r="H10223" s="1" t="s">
        <v>29</v>
      </c>
      <c r="I10223" s="1" t="str">
        <f ca="1">IFERROR(__xludf.DUMMYFUNCTION("GOOGLETRANSLATE(F10223, ""auto"", ""en"")
"),"I recommend this juicer. It is powerful and extracting juice takes seconds. the cake is almost dry. easy to assemble and disassemble.")</f>
        <v>I recommend this juicer. It is powerful and extracting juice takes seconds. the cake is almost dry. easy to assemble and disassemble.</v>
      </c>
    </row>
    <row r="10224" spans="1:9" x14ac:dyDescent="0.3">
      <c r="A10224" s="1" t="s">
        <v>61</v>
      </c>
      <c r="B10224" s="1" t="s">
        <v>224</v>
      </c>
      <c r="C10224" s="1" t="s">
        <v>74</v>
      </c>
      <c r="D10224" s="1" t="s">
        <v>247</v>
      </c>
      <c r="E10224" s="1" t="s">
        <v>787</v>
      </c>
      <c r="F10224" s="1" t="s">
        <v>14901</v>
      </c>
      <c r="G10224" s="1" t="s">
        <v>36</v>
      </c>
      <c r="H10224" s="1" t="s">
        <v>29</v>
      </c>
      <c r="I10224" s="1" t="str">
        <f ca="1">IFERROR(__xludf.DUMMYFUNCTION("GOOGLETRANSLATE(F10224, ""auto"", ""en"")
"),"Bought this summer, excellent combination of price and quality... Squeezes out everything you put in it. I recommend it to everyone!")</f>
        <v>Bought this summer, excellent combination of price and quality... Squeezes out everything you put in it. I recommend it to everyone!</v>
      </c>
    </row>
    <row r="10225" spans="1:9" x14ac:dyDescent="0.3">
      <c r="A10225" s="1" t="s">
        <v>37</v>
      </c>
      <c r="B10225" s="1" t="s">
        <v>38</v>
      </c>
      <c r="C10225" s="1" t="s">
        <v>163</v>
      </c>
      <c r="D10225" s="1" t="s">
        <v>152</v>
      </c>
      <c r="E10225" s="1" t="s">
        <v>2793</v>
      </c>
      <c r="F10225" s="1" t="s">
        <v>14902</v>
      </c>
      <c r="G10225" s="1" t="s">
        <v>36</v>
      </c>
      <c r="H10225" s="1" t="s">
        <v>29</v>
      </c>
      <c r="I10225" s="1" t="str">
        <f ca="1">IFERROR(__xludf.DUMMYFUNCTION("GOOGLETRANSLATE(F10225, ""auto"", ""en"")
"),"Is it worth buying this phone or wait until Nokia releases some cheap phone with a good set of functions?")</f>
        <v>Is it worth buying this phone or wait until Nokia releases some cheap phone with a good set of functions?</v>
      </c>
    </row>
    <row r="10226" spans="1:9" x14ac:dyDescent="0.3">
      <c r="A10226" s="1" t="s">
        <v>149</v>
      </c>
      <c r="B10226" s="1" t="s">
        <v>155</v>
      </c>
      <c r="C10226" s="1" t="s">
        <v>63</v>
      </c>
      <c r="D10226" s="1" t="s">
        <v>12</v>
      </c>
      <c r="E10226" s="1" t="s">
        <v>10921</v>
      </c>
      <c r="F10226" s="1" t="s">
        <v>14903</v>
      </c>
      <c r="G10226" s="1" t="s">
        <v>36</v>
      </c>
      <c r="H10226" s="1" t="s">
        <v>29</v>
      </c>
      <c r="I10226" s="1" t="str">
        <f ca="1">IFERROR(__xludf.DUMMYFUNCTION("GOOGLETRANSLATE(F10226, ""auto"", ""en"")
"),"An excellent vacuum cleaner, very powerful, after one cleaning the container was full, as if it had never been vacuumed. The bowl is very easy to clean, inexpensive to operate, once a year you need to change the filter, which costs 400 rubles. Take it, yo"&amp;"u won't regret it")</f>
        <v>An excellent vacuum cleaner, very powerful, after one cleaning the container was full, as if it had never been vacuumed. The bowl is very easy to clean, inexpensive to operate, once a year you need to change the filter, which costs 400 rubles. Take it, you won't regret it</v>
      </c>
    </row>
    <row r="10227" spans="1:9" x14ac:dyDescent="0.3">
      <c r="A10227" s="1" t="s">
        <v>149</v>
      </c>
      <c r="B10227" s="1" t="s">
        <v>155</v>
      </c>
      <c r="C10227" s="1" t="s">
        <v>151</v>
      </c>
      <c r="D10227" s="1" t="s">
        <v>1483</v>
      </c>
      <c r="E10227" s="1" t="s">
        <v>886</v>
      </c>
      <c r="F10227" s="1" t="s">
        <v>14904</v>
      </c>
      <c r="G10227" s="1" t="s">
        <v>36</v>
      </c>
      <c r="H10227" s="1" t="s">
        <v>29</v>
      </c>
      <c r="I10227" s="1" t="str">
        <f ca="1">IFERROR(__xludf.DUMMYFUNCTION("GOOGLETRANSLATE(F10227, ""auto"", ""en"")
"),"An excellent vacuum cleaner, you don’t need to change or look for bags, you can always see if you’ve vacuumed up anything unnecessary. If you are not too lazy to wash the container, I recommend it. Well, if you’re too lazy, you can wait until it’s full, j"&amp;"ust like with a regular vacuum cleaner, shake it out and don’t wash it.")</f>
        <v>An excellent vacuum cleaner, you don’t need to change or look for bags, you can always see if you’ve vacuumed up anything unnecessary. If you are not too lazy to wash the container, I recommend it. Well, if you’re too lazy, you can wait until it’s full, just like with a regular vacuum cleaner, shake it out and don’t wash it.</v>
      </c>
    </row>
    <row r="10228" spans="1:9" x14ac:dyDescent="0.3">
      <c r="A10228" s="1" t="s">
        <v>61</v>
      </c>
      <c r="B10228" s="1" t="s">
        <v>224</v>
      </c>
      <c r="C10228" s="1" t="s">
        <v>85</v>
      </c>
      <c r="D10228" s="1" t="s">
        <v>208</v>
      </c>
      <c r="E10228" s="1" t="s">
        <v>7541</v>
      </c>
      <c r="F10228" s="1" t="s">
        <v>14905</v>
      </c>
      <c r="G10228" s="1" t="s">
        <v>36</v>
      </c>
      <c r="H10228" s="1" t="s">
        <v>29</v>
      </c>
      <c r="I10228" s="1" t="str">
        <f ca="1">IFERROR(__xludf.DUMMYFUNCTION("GOOGLETRANSLATE(F10228, ""auto"", ""en"")
"),"We bought it a year ago, the apple harvest at the dacha worked out like a charm. We exploited it mercilessly, but it held up. This year we will repeat the feat. We chose a reliable, high-quality product for a large volume of products. Thanks to the M-Vide"&amp;"o sellers for the quality consultation. I am very pleased with the choice, I recommend it to everyone.")</f>
        <v>We bought it a year ago, the apple harvest at the dacha worked out like a charm. We exploited it mercilessly, but it held up. This year we will repeat the feat. We chose a reliable, high-quality product for a large volume of products. Thanks to the M-Video sellers for the quality consultation. I am very pleased with the choice, I recommend it to everyone.</v>
      </c>
    </row>
    <row r="10229" spans="1:9" x14ac:dyDescent="0.3">
      <c r="A10229" s="1" t="s">
        <v>624</v>
      </c>
      <c r="B10229" s="1" t="s">
        <v>625</v>
      </c>
      <c r="C10229" s="1" t="s">
        <v>479</v>
      </c>
      <c r="D10229" s="1" t="s">
        <v>14906</v>
      </c>
      <c r="E10229" s="1" t="s">
        <v>781</v>
      </c>
      <c r="F10229" s="1" t="s">
        <v>14907</v>
      </c>
      <c r="G10229" s="1" t="s">
        <v>28</v>
      </c>
      <c r="H10229" s="1" t="s">
        <v>29</v>
      </c>
      <c r="I10229" s="1" t="str">
        <f ca="1">IFERROR(__xludf.DUMMYFUNCTION("GOOGLETRANSLATE(F10229, ""auto"", ""en"")
"),"The second part of Naruto Shippuden Ultimate Ninja Storm 2 covers the events of the Naruto Shippunden anime from the first arc about the rescue of the Kazekage to the battle between Naruto and Pain. Again, like most similar games, it is aimed mainly at fa"&amp;"ns or those who have at least heard about this universe. True, the plot is not poorly told in the storyline, so those who have never heard of Naruto may like the game. The battles here are truly mesmerizing, everything looks beautiful and epic, especially"&amp;" in boss battles. There are quite a lot of characters and arenas, so there is someone and where to roam. In general, the game is worth the money, if you are a fan, of course, but if you are not, then it is, of course, worth considering, although, as I wro"&amp;"te, the game is beautiful and dynamic. One of the best representatives of fighting games in its niche.")</f>
        <v>The second part of Naruto Shippuden Ultimate Ninja Storm 2 covers the events of the Naruto Shippunden anime from the first arc about the rescue of the Kazekage to the battle between Naruto and Pain. Again, like most similar games, it is aimed mainly at fans or those who have at least heard about this universe. True, the plot is not poorly told in the storyline, so those who have never heard of Naruto may like the game. The battles here are truly mesmerizing, everything looks beautiful and epic, especially in boss battles. There are quite a lot of characters and arenas, so there is someone and where to roam. In general, the game is worth the money, if you are a fan, of course, but if you are not, then it is, of course, worth considering, although, as I wrote, the game is beautiful and dynamic. One of the best representatives of fighting games in its niche.</v>
      </c>
    </row>
    <row r="10230" spans="1:9" x14ac:dyDescent="0.3">
      <c r="A10230" s="1" t="s">
        <v>95</v>
      </c>
      <c r="B10230" s="1" t="s">
        <v>402</v>
      </c>
      <c r="C10230" s="1" t="s">
        <v>403</v>
      </c>
      <c r="D10230" s="1" t="s">
        <v>1659</v>
      </c>
      <c r="E10230" s="1" t="s">
        <v>395</v>
      </c>
      <c r="F10230" s="1" t="s">
        <v>14908</v>
      </c>
      <c r="G10230" s="1" t="s">
        <v>36</v>
      </c>
      <c r="H10230" s="1" t="s">
        <v>29</v>
      </c>
      <c r="I10230" s="1" t="str">
        <f ca="1">IFERROR(__xludf.DUMMYFUNCTION("GOOGLETRANSLATE(F10230, ""auto"", ""en"")
"),"Judging by the E3 conference, Nintendo had the most successful performance. New Mario, new Pokemon, new Zelda - what else do you need for life?  Well, of course, I was a little upset that the PS Vita would cost $249, then the 3DS could have been made chea"&amp;"per.")</f>
        <v>Judging by the E3 conference, Nintendo had the most successful performance. New Mario, new Pokemon, new Zelda - what else do you need for life?  Well, of course, I was a little upset that the PS Vita would cost $249, then the 3DS could have been made cheaper.</v>
      </c>
    </row>
    <row r="10231" spans="1:9" x14ac:dyDescent="0.3">
      <c r="A10231" s="1" t="s">
        <v>105</v>
      </c>
      <c r="B10231" s="1" t="s">
        <v>106</v>
      </c>
      <c r="C10231" s="1" t="s">
        <v>1209</v>
      </c>
      <c r="D10231" s="1" t="s">
        <v>483</v>
      </c>
      <c r="E10231" s="1" t="s">
        <v>594</v>
      </c>
      <c r="F10231" s="1" t="s">
        <v>14909</v>
      </c>
      <c r="G10231" s="1" t="s">
        <v>36</v>
      </c>
      <c r="H10231" s="1" t="s">
        <v>29</v>
      </c>
      <c r="I10231" s="1" t="str">
        <f ca="1">IFERROR(__xludf.DUMMYFUNCTION("GOOGLETRANSLATE(F10231, ""auto"", ""en"")
"),"I bought it two weeks ago. It works great. The TV shows well, not only under a TV tower or in a field. But in an apartment a little worse. The radio also works fine. It reads music, videos, photos well. You can install a flash drive up to 8 GB, your own m"&amp;"emory is 4 GB. I advise you to take it. Rating 5!")</f>
        <v>I bought it two weeks ago. It works great. The TV shows well, not only under a TV tower or in a field. But in an apartment a little worse. The radio also works fine. It reads music, videos, photos well. You can install a flash drive up to 8 GB, your own memory is 4 GB. I advise you to take it. Rating 5!</v>
      </c>
    </row>
    <row r="10232" spans="1:9" x14ac:dyDescent="0.3">
      <c r="A10232" s="1" t="s">
        <v>211</v>
      </c>
      <c r="B10232" s="1" t="s">
        <v>212</v>
      </c>
      <c r="C10232" s="1" t="s">
        <v>381</v>
      </c>
      <c r="D10232" s="1" t="s">
        <v>545</v>
      </c>
      <c r="E10232" s="1" t="s">
        <v>2256</v>
      </c>
      <c r="F10232" s="1" t="s">
        <v>14910</v>
      </c>
      <c r="G10232" s="1" t="s">
        <v>36</v>
      </c>
      <c r="H10232" s="1" t="s">
        <v>29</v>
      </c>
      <c r="I10232" s="1" t="str">
        <f ca="1">IFERROR(__xludf.DUMMYFUNCTION("GOOGLETRANSLATE(F10232, ""auto"", ""en"")
"),"I’ve been using this hair dryer for more than 10 years, I’m shocked by this. Today the contact in the cord came loose. I’m planning to buy another hair dryer, so I’m thinking about getting this one again, although there is more power.... In general, I was"&amp;" lucky with a great hair dryer. It lasted great!!")</f>
        <v>I’ve been using this hair dryer for more than 10 years, I’m shocked by this. Today the contact in the cord came loose. I’m planning to buy another hair dryer, so I’m thinking about getting this one again, although there is more power.... In general, I was lucky with a great hair dryer. It lasted great!!</v>
      </c>
    </row>
    <row r="10233" spans="1:9" x14ac:dyDescent="0.3">
      <c r="A10233" s="1" t="s">
        <v>149</v>
      </c>
      <c r="B10233" s="1" t="s">
        <v>155</v>
      </c>
      <c r="C10233" s="1" t="s">
        <v>63</v>
      </c>
      <c r="D10233" s="1" t="s">
        <v>39</v>
      </c>
      <c r="E10233" s="1" t="s">
        <v>6903</v>
      </c>
      <c r="F10233" s="1" t="s">
        <v>14911</v>
      </c>
      <c r="G10233" s="1" t="s">
        <v>36</v>
      </c>
      <c r="H10233" s="1" t="s">
        <v>29</v>
      </c>
      <c r="I10233" s="1" t="str">
        <f ca="1">IFERROR(__xludf.DUMMYFUNCTION("GOOGLETRANSLATE(F10233, ""auto"", ""en"")
"),"This vacuum cleaner model is very quiet and powerful, which reduces cleaning time. You can also adjust the power depending on the surface being cleaned. There is no problem with the dust bag, but there is an excellent large-volume bowl that is easy to rem"&amp;"ove and clean with plain water. Overall, I'm pleased with the purchase.")</f>
        <v>This vacuum cleaner model is very quiet and powerful, which reduces cleaning time. You can also adjust the power depending on the surface being cleaned. There is no problem with the dust bag, but there is an excellent large-volume bowl that is easy to remove and clean with plain water. Overall, I'm pleased with the purchase.</v>
      </c>
    </row>
    <row r="10234" spans="1:9" x14ac:dyDescent="0.3">
      <c r="A10234" s="1" t="s">
        <v>37</v>
      </c>
      <c r="B10234" s="1" t="s">
        <v>536</v>
      </c>
      <c r="C10234" s="1" t="s">
        <v>39</v>
      </c>
      <c r="D10234" s="1" t="s">
        <v>3559</v>
      </c>
      <c r="E10234" s="1" t="s">
        <v>2265</v>
      </c>
      <c r="F10234" s="1" t="s">
        <v>14912</v>
      </c>
      <c r="G10234" s="1" t="s">
        <v>36</v>
      </c>
      <c r="H10234" s="1" t="s">
        <v>29</v>
      </c>
      <c r="I10234" s="1" t="str">
        <f ca="1">IFERROR(__xludf.DUMMYFUNCTION("GOOGLETRANSLATE(F10234, ""auto"", ""en"")
"),"They gave me this “charm” and I couldn’t be happier with it for 2 months now, I’m happy with everything, both the design and the functions, and the camera is generally super,... everything you need is in it.")</f>
        <v>They gave me this “charm” and I couldn’t be happier with it for 2 months now, I’m happy with everything, both the design and the functions, and the camera is generally super,... everything you need is in it.</v>
      </c>
    </row>
    <row r="10235" spans="1:9" x14ac:dyDescent="0.3">
      <c r="A10235" s="1" t="s">
        <v>757</v>
      </c>
      <c r="B10235" s="1" t="s">
        <v>758</v>
      </c>
      <c r="C10235" s="1" t="s">
        <v>160</v>
      </c>
      <c r="D10235" s="1" t="s">
        <v>14913</v>
      </c>
      <c r="E10235" s="1" t="s">
        <v>3933</v>
      </c>
      <c r="F10235" s="1" t="s">
        <v>14914</v>
      </c>
      <c r="G10235" s="1" t="s">
        <v>36</v>
      </c>
      <c r="H10235" s="1" t="s">
        <v>29</v>
      </c>
      <c r="I10235" s="1" t="str">
        <f ca="1">IFERROR(__xludf.DUMMYFUNCTION("GOOGLETRANSLATE(F10235, ""auto"", ""en"")
"),"My room is small and there was no point in buying full-size acoustics, so I chose a smaller one. But this one completely met my expectations and I heard exactly the sound I wanted. They sound very rich and fill the entire room with sound. I quickly figure"&amp;"d out the arrangement and connection; they didn’t take up much space, but now they bring a lot of pleasure. And the music sounds superb, and it’s a pleasure to watch movies. Although the subwoofer is not very powerful, the bass sounds good and not intrusi"&amp;"ve.")</f>
        <v>My room is small and there was no point in buying full-size acoustics, so I chose a smaller one. But this one completely met my expectations and I heard exactly the sound I wanted. They sound very rich and fill the entire room with sound. I quickly figured out the arrangement and connection; they didn’t take up much space, but now they bring a lot of pleasure. And the music sounds superb, and it’s a pleasure to watch movies. Although the subwoofer is not very powerful, the bass sounds good and not intrusive.</v>
      </c>
    </row>
    <row r="10236" spans="1:9" x14ac:dyDescent="0.3">
      <c r="A10236" s="1" t="s">
        <v>37</v>
      </c>
      <c r="B10236" s="1" t="s">
        <v>38</v>
      </c>
      <c r="C10236" s="1" t="s">
        <v>151</v>
      </c>
      <c r="D10236" s="1" t="s">
        <v>456</v>
      </c>
      <c r="E10236" s="1" t="s">
        <v>3527</v>
      </c>
      <c r="F10236" s="1" t="s">
        <v>14915</v>
      </c>
      <c r="G10236" s="1" t="s">
        <v>36</v>
      </c>
      <c r="H10236" s="1" t="s">
        <v>29</v>
      </c>
      <c r="I10236" s="1" t="str">
        <f ca="1">IFERROR(__xludf.DUMMYFUNCTION("GOOGLETRANSLATE(F10236, ""auto"", ""en"")
"),"The phone is great! Everything works great! Calls are received simultaneously on 2 SIM cards - this is very convenient. The sound is excellent, very loud! The only pity is that the speaker is located at the back - this slightly reduces the sound level. I "&amp;"accidentally fell on the table - nothing broke off, which was very pleasing. Then it works normally, without consequences. Convenient menu, excellent internet! Super screen. In general - an excellent phone, I couldn’t be happier, I recommend it to everyon"&amp;"e!!!")</f>
        <v>The phone is great! Everything works great! Calls are received simultaneously on 2 SIM cards - this is very convenient. The sound is excellent, very loud! The only pity is that the speaker is located at the back - this slightly reduces the sound level. I accidentally fell on the table - nothing broke off, which was very pleasing. Then it works normally, without consequences. Convenient menu, excellent internet! Super screen. In general - an excellent phone, I couldn’t be happier, I recommend it to everyone!!!</v>
      </c>
    </row>
    <row r="10237" spans="1:9" x14ac:dyDescent="0.3">
      <c r="A10237" s="1" t="s">
        <v>30</v>
      </c>
      <c r="B10237" s="1" t="s">
        <v>50</v>
      </c>
      <c r="C10237" s="1" t="s">
        <v>32</v>
      </c>
      <c r="D10237" s="1" t="s">
        <v>12</v>
      </c>
      <c r="E10237" s="1" t="s">
        <v>1228</v>
      </c>
      <c r="F10237" s="1" t="s">
        <v>14916</v>
      </c>
      <c r="G10237" s="1" t="s">
        <v>36</v>
      </c>
      <c r="H10237" s="1" t="s">
        <v>29</v>
      </c>
      <c r="I10237" s="1" t="str">
        <f ca="1">IFERROR(__xludf.DUMMYFUNCTION("GOOGLETRANSLATE(F10237, ""auto"", ""en"")
"),"I bought it a couple of months ago. Super simple. Small, light, natural-size keyboard. Web camera, microphone. And most importantly, the charge lasts more than 6 hours!!!")</f>
        <v>I bought it a couple of months ago. Super simple. Small, light, natural-size keyboard. Web camera, microphone. And most importantly, the charge lasts more than 6 hours!!!</v>
      </c>
    </row>
    <row r="10238" spans="1:9" x14ac:dyDescent="0.3">
      <c r="A10238" s="1" t="s">
        <v>37</v>
      </c>
      <c r="B10238" s="1" t="s">
        <v>38</v>
      </c>
      <c r="C10238" s="1" t="s">
        <v>163</v>
      </c>
      <c r="D10238" s="1" t="s">
        <v>14917</v>
      </c>
      <c r="E10238" s="1" t="s">
        <v>2231</v>
      </c>
      <c r="F10238" s="1" t="s">
        <v>14918</v>
      </c>
      <c r="G10238" s="1" t="s">
        <v>36</v>
      </c>
      <c r="H10238" s="1" t="s">
        <v>29</v>
      </c>
      <c r="I10238" s="1" t="str">
        <f ca="1">IFERROR(__xludf.DUMMYFUNCTION("GOOGLETRANSLATE(F10238, ""auto"", ""en"")
"),"I bought a phone for my wife, she is very pleased.")</f>
        <v>I bought a phone for my wife, she is very pleased.</v>
      </c>
    </row>
    <row r="10239" spans="1:9" x14ac:dyDescent="0.3">
      <c r="A10239" s="1" t="s">
        <v>37</v>
      </c>
      <c r="B10239" s="1" t="s">
        <v>355</v>
      </c>
      <c r="C10239" s="1" t="s">
        <v>356</v>
      </c>
      <c r="D10239" s="1" t="s">
        <v>117</v>
      </c>
      <c r="E10239" s="1" t="s">
        <v>814</v>
      </c>
      <c r="F10239" s="1" t="s">
        <v>14919</v>
      </c>
      <c r="G10239" s="1" t="s">
        <v>36</v>
      </c>
      <c r="H10239" s="1" t="s">
        <v>29</v>
      </c>
      <c r="I10239" s="1" t="str">
        <f ca="1">IFERROR(__xludf.DUMMYFUNCTION("GOOGLETRANSLATE(F10239, ""auto"", ""en"")
"),"a normal phone, I have an Iphone 3gs and my dad’s 3g is almost no different, but still the phone is super, as for the candy bar, it works perfectly, without jambs!!! I want an IPAD but haven’t read any reviews about it yet and do I even need it??")</f>
        <v>a normal phone, I have an Iphone 3gs and my dad’s 3g is almost no different, but still the phone is super, as for the candy bar, it works perfectly, without jambs!!! I want an IPAD but haven’t read any reviews about it yet and do I even need it??</v>
      </c>
    </row>
    <row r="10240" spans="1:9" x14ac:dyDescent="0.3">
      <c r="A10240" s="1" t="s">
        <v>149</v>
      </c>
      <c r="B10240" s="1" t="s">
        <v>155</v>
      </c>
      <c r="C10240" s="1" t="s">
        <v>1187</v>
      </c>
      <c r="D10240" s="1" t="s">
        <v>589</v>
      </c>
      <c r="E10240" s="1" t="s">
        <v>750</v>
      </c>
      <c r="F10240" s="1" t="s">
        <v>14920</v>
      </c>
      <c r="G10240" s="1" t="s">
        <v>36</v>
      </c>
      <c r="H10240" s="1" t="s">
        <v>29</v>
      </c>
      <c r="I10240" s="1" t="str">
        <f ca="1">IFERROR(__xludf.DUMMYFUNCTION("GOOGLETRANSLATE(F10240, ""auto"", ""en"")
"),"I recommend this vacuum cleaner! We are very pleased.")</f>
        <v>I recommend this vacuum cleaner! We are very pleased.</v>
      </c>
    </row>
    <row r="10241" spans="1:9" x14ac:dyDescent="0.3">
      <c r="A10241" s="1" t="s">
        <v>89</v>
      </c>
      <c r="B10241" s="1" t="s">
        <v>1106</v>
      </c>
      <c r="C10241" s="1" t="s">
        <v>74</v>
      </c>
      <c r="D10241" s="1" t="s">
        <v>39</v>
      </c>
      <c r="E10241" s="1" t="s">
        <v>1529</v>
      </c>
      <c r="F10241" s="1" t="s">
        <v>14921</v>
      </c>
      <c r="G10241" s="1" t="s">
        <v>15</v>
      </c>
      <c r="H10241" s="1" t="s">
        <v>16</v>
      </c>
      <c r="I10241" s="1" t="str">
        <f ca="1">IFERROR(__xludf.DUMMYFUNCTION("GOOGLETRANSLATE(F10241, ""auto"", ""en"")
"),"I bought this coffee maker. It’s not bad in itself, but over time the water supply pump began to weaken. A little less than a year after purchase, it stopped working altogether, and the warranty was for a year. Replaced it under warranty with a new one. w"&amp;"orked for a little over a year. The warranty service said that Moulinex coffee makers fly more often than others. So keep that in mind.")</f>
        <v>I bought this coffee maker. It’s not bad in itself, but over time the water supply pump began to weaken. A little less than a year after purchase, it stopped working altogether, and the warranty was for a year. Replaced it under warranty with a new one. worked for a little over a year. The warranty service said that Moulinex coffee makers fly more often than others. So keep that in mind.</v>
      </c>
    </row>
    <row r="10242" spans="1:9" x14ac:dyDescent="0.3">
      <c r="A10242" s="1" t="s">
        <v>61</v>
      </c>
      <c r="B10242" s="1" t="s">
        <v>318</v>
      </c>
      <c r="C10242" s="1" t="s">
        <v>2840</v>
      </c>
      <c r="D10242" s="1" t="s">
        <v>172</v>
      </c>
      <c r="E10242" s="1" t="s">
        <v>10646</v>
      </c>
      <c r="F10242" s="1" t="s">
        <v>14922</v>
      </c>
      <c r="G10242" s="1" t="s">
        <v>49</v>
      </c>
      <c r="H10242" s="1" t="s">
        <v>16</v>
      </c>
      <c r="I10242" s="1" t="str">
        <f ca="1">IFERROR(__xludf.DUMMYFUNCTION("GOOGLETRANSLATE(F10242, ""auto"", ""en"")
"),"Your kettle will die in about a year. 100%.  It has a serious engineering flaw - the fastening INSIDE the lid, which holds the lid closing mechanism. After about a year of heating, the plastic becomes “obsolete” and the fastening simply “cuts off”.   I ha"&amp;"d 2 such kettles (the first was under the StadlerForm brand, the second was Kambrook), both died after about the same time and with the same diagnosis.  I left to choose a different model, which is what I wish for you.")</f>
        <v>Your kettle will die in about a year. 100%.  It has a serious engineering flaw - the fastening INSIDE the lid, which holds the lid closing mechanism. After about a year of heating, the plastic becomes “obsolete” and the fastening simply “cuts off”.   I had 2 such kettles (the first was under the StadlerForm brand, the second was Kambrook), both died after about the same time and with the same diagnosis.  I left to choose a different model, which is what I wish for you.</v>
      </c>
    </row>
    <row r="10243" spans="1:9" x14ac:dyDescent="0.3">
      <c r="A10243" s="1" t="s">
        <v>206</v>
      </c>
      <c r="B10243" s="1" t="s">
        <v>207</v>
      </c>
      <c r="C10243" s="1" t="s">
        <v>1143</v>
      </c>
      <c r="D10243" s="1" t="s">
        <v>2873</v>
      </c>
      <c r="E10243" s="1" t="s">
        <v>8420</v>
      </c>
      <c r="F10243" s="1" t="s">
        <v>14923</v>
      </c>
      <c r="G10243" s="1" t="s">
        <v>36</v>
      </c>
      <c r="H10243" s="1" t="s">
        <v>29</v>
      </c>
      <c r="I10243" s="1" t="str">
        <f ca="1">IFERROR(__xludf.DUMMYFUNCTION("GOOGLETRANSLATE(F10243, ""auto"", ""en"")
"),"I’m completely satisfied with the sub, it shakes so much that the hair on my head moves, so I advise you to use a 350 rated amp for it")</f>
        <v>I’m completely satisfied with the sub, it shakes so much that the hair on my head moves, so I advise you to use a 350 rated amp for it</v>
      </c>
    </row>
    <row r="10244" spans="1:9" x14ac:dyDescent="0.3">
      <c r="A10244" s="1" t="s">
        <v>206</v>
      </c>
      <c r="B10244" s="1" t="s">
        <v>207</v>
      </c>
      <c r="C10244" s="1" t="s">
        <v>152</v>
      </c>
      <c r="D10244" s="1" t="s">
        <v>14924</v>
      </c>
      <c r="E10244" s="1" t="s">
        <v>1646</v>
      </c>
      <c r="F10244" s="1" t="s">
        <v>14925</v>
      </c>
      <c r="G10244" s="1" t="s">
        <v>28</v>
      </c>
      <c r="H10244" s="1" t="s">
        <v>29</v>
      </c>
      <c r="I10244" s="1" t="str">
        <f ca="1">IFERROR(__xludf.DUMMYFUNCTION("GOOGLETRANSLATE(F10244, ""auto"", ""en"")
"),"For an inexpensive speaker, the quality is good. There is no buzzing. I use it with Prologi 2300. My heart rate is not affected. If you use any vibration material in the car, then I am sure that the low end will improve. Haven't tried it yet. Switched on "&amp;"by bridge. Sedan car. I recommend it.")</f>
        <v>For an inexpensive speaker, the quality is good. There is no buzzing. I use it with Prologi 2300. My heart rate is not affected. If you use any vibration material in the car, then I am sure that the low end will improve. Haven't tried it yet. Switched on by bridge. Sedan car. I recommend it.</v>
      </c>
    </row>
    <row r="10245" spans="1:9" x14ac:dyDescent="0.3">
      <c r="A10245" s="1" t="s">
        <v>43</v>
      </c>
      <c r="B10245" s="1" t="s">
        <v>502</v>
      </c>
      <c r="C10245" s="1" t="s">
        <v>1627</v>
      </c>
      <c r="D10245" s="1" t="s">
        <v>52</v>
      </c>
      <c r="E10245" s="1" t="s">
        <v>1507</v>
      </c>
      <c r="F10245" s="1" t="s">
        <v>14926</v>
      </c>
      <c r="G10245" s="1" t="s">
        <v>36</v>
      </c>
      <c r="H10245" s="1" t="s">
        <v>29</v>
      </c>
      <c r="I10245" s="1" t="str">
        <f ca="1">IFERROR(__xludf.DUMMYFUNCTION("GOOGLETRANSLATE(F10245, ""auto"", ""en"")
"),"I bought it in May at M-Video for a promotion. The authorized company installed it in 4 days quickly (1.5 hours) and efficiently. It cools perfectly, there is no noise from the external unit (even with the windows open, you can’t hear it). Moreover, they "&amp;"installed it in such a way (between the windows of the apartment) that cables and hoses are not visible and boxes are not needed. Thanks to the installers and Daikin - decent quality.")</f>
        <v>I bought it in May at M-Video for a promotion. The authorized company installed it in 4 days quickly (1.5 hours) and efficiently. It cools perfectly, there is no noise from the external unit (even with the windows open, you can’t hear it). Moreover, they installed it in such a way (between the windows of the apartment) that cables and hoses are not visible and boxes are not needed. Thanks to the installers and Daikin - decent quality.</v>
      </c>
    </row>
    <row r="10246" spans="1:9" x14ac:dyDescent="0.3">
      <c r="A10246" s="1" t="s">
        <v>238</v>
      </c>
      <c r="B10246" s="1" t="s">
        <v>276</v>
      </c>
      <c r="C10246" s="1" t="s">
        <v>5118</v>
      </c>
      <c r="D10246" s="1" t="s">
        <v>14927</v>
      </c>
      <c r="E10246" s="1" t="s">
        <v>580</v>
      </c>
      <c r="F10246" s="1" t="s">
        <v>14928</v>
      </c>
      <c r="G10246" s="1" t="s">
        <v>36</v>
      </c>
      <c r="H10246" s="1" t="s">
        <v>29</v>
      </c>
      <c r="I10246" s="1" t="str">
        <f ca="1">IFERROR(__xludf.DUMMYFUNCTION("GOOGLETRANSLATE(F10246, ""auto"", ""en"")
"),"Bought in September 2011. Flight is normal. It works quietly and freezes as it should. Everyone is happy. It’s just that the doors open hard, but this is better than those that are loose and have cracks.")</f>
        <v>Bought in September 2011. Flight is normal. It works quietly and freezes as it should. Everyone is happy. It’s just that the doors open hard, but this is better than those that are loose and have cracks.</v>
      </c>
    </row>
    <row r="10247" spans="1:9" x14ac:dyDescent="0.3">
      <c r="A10247" s="1" t="s">
        <v>169</v>
      </c>
      <c r="B10247" s="1" t="s">
        <v>170</v>
      </c>
      <c r="C10247" s="1" t="s">
        <v>122</v>
      </c>
      <c r="D10247" s="1" t="s">
        <v>2934</v>
      </c>
      <c r="E10247" s="1" t="s">
        <v>5855</v>
      </c>
      <c r="F10247" s="1" t="s">
        <v>14929</v>
      </c>
      <c r="G10247" s="1" t="s">
        <v>28</v>
      </c>
      <c r="H10247" s="1" t="s">
        <v>29</v>
      </c>
      <c r="I10247" s="1" t="str">
        <f ca="1">IFERROR(__xludf.DUMMYFUNCTION("GOOGLETRANSLATE(F10247, ""auto"", ""en"")
"),"They fit comfortably on the ears - do not press! The sound is good, a solid 4. And light!")</f>
        <v>They fit comfortably on the ears - do not press! The sound is good, a solid 4. And light!</v>
      </c>
    </row>
    <row r="10248" spans="1:9" x14ac:dyDescent="0.3">
      <c r="A10248" s="1" t="s">
        <v>43</v>
      </c>
      <c r="B10248" s="1" t="s">
        <v>303</v>
      </c>
      <c r="C10248" s="1" t="s">
        <v>220</v>
      </c>
      <c r="D10248" s="1" t="s">
        <v>319</v>
      </c>
      <c r="E10248" s="1" t="s">
        <v>222</v>
      </c>
      <c r="F10248" s="1" t="s">
        <v>14930</v>
      </c>
      <c r="G10248" s="1" t="s">
        <v>36</v>
      </c>
      <c r="H10248" s="1" t="s">
        <v>29</v>
      </c>
      <c r="I10248" s="1" t="str">
        <f ca="1">IFERROR(__xludf.DUMMYFUNCTION("GOOGLETRANSLATE(F10248, ""auto"", ""en"")
")," Convenient remote control. Heats water quickly and maintains temperature for a long time. Fashionable design.")</f>
        <v xml:space="preserve"> Convenient remote control. Heats water quickly and maintains temperature for a long time. Fashionable design.</v>
      </c>
    </row>
    <row r="10249" spans="1:9" x14ac:dyDescent="0.3">
      <c r="A10249" s="1" t="s">
        <v>55</v>
      </c>
      <c r="B10249" s="1" t="s">
        <v>752</v>
      </c>
      <c r="C10249" s="1" t="s">
        <v>185</v>
      </c>
      <c r="D10249" s="1" t="s">
        <v>14931</v>
      </c>
      <c r="E10249" s="1" t="s">
        <v>2141</v>
      </c>
      <c r="F10249" s="1" t="s">
        <v>14932</v>
      </c>
      <c r="G10249" s="1" t="s">
        <v>36</v>
      </c>
      <c r="H10249" s="1" t="s">
        <v>29</v>
      </c>
      <c r="I10249" s="1" t="str">
        <f ca="1">IFERROR(__xludf.DUMMYFUNCTION("GOOGLETRANSLATE(F10249, ""auto"", ""en"")
"),"No comments. Exactly the qualities you expect. It even heats up without clicking, like many others. I just wish the cord was longer.")</f>
        <v>No comments. Exactly the qualities you expect. It even heats up without clicking, like many others. I just wish the cord was longer.</v>
      </c>
    </row>
    <row r="10250" spans="1:9" x14ac:dyDescent="0.3">
      <c r="A10250" s="1" t="s">
        <v>37</v>
      </c>
      <c r="B10250" s="1" t="s">
        <v>536</v>
      </c>
      <c r="C10250" s="1" t="s">
        <v>32</v>
      </c>
      <c r="D10250" s="1" t="s">
        <v>352</v>
      </c>
      <c r="E10250" s="1" t="s">
        <v>905</v>
      </c>
      <c r="F10250" s="1" t="s">
        <v>14933</v>
      </c>
      <c r="G10250" s="1" t="s">
        <v>28</v>
      </c>
      <c r="H10250" s="1" t="s">
        <v>29</v>
      </c>
      <c r="I10250" s="1" t="str">
        <f ca="1">IFERROR(__xludf.DUMMYFUNCTION("GOOGLETRANSLATE(F10250, ""auto"", ""en"")
"),"The communicator is not bad, I’ve had it for two weeks now. Pros: stylish design, large screen, good set of features for a budget model and new OS 6.5. The downsides, of course, are the lack of Wi-fi and a not very high-quality camera. In general, the com"&amp;"municator is not bad. It is better to buy the white version - it leaves less fingerprints.")</f>
        <v>The communicator is not bad, I’ve had it for two weeks now. Pros: stylish design, large screen, good set of features for a budget model and new OS 6.5. The downsides, of course, are the lack of Wi-fi and a not very high-quality camera. In general, the communicator is not bad. It is better to buy the white version - it leaves less fingerprints.</v>
      </c>
    </row>
    <row r="10251" spans="1:9" x14ac:dyDescent="0.3">
      <c r="A10251" s="1" t="s">
        <v>30</v>
      </c>
      <c r="B10251" s="1" t="s">
        <v>50</v>
      </c>
      <c r="C10251" s="1" t="s">
        <v>51</v>
      </c>
      <c r="D10251" s="1" t="s">
        <v>305</v>
      </c>
      <c r="E10251" s="1" t="s">
        <v>1948</v>
      </c>
      <c r="F10251" s="1" t="s">
        <v>14934</v>
      </c>
      <c r="G10251" s="1" t="s">
        <v>28</v>
      </c>
      <c r="H10251" s="1" t="s">
        <v>29</v>
      </c>
      <c r="I10251" s="1" t="str">
        <f ca="1">IFERROR(__xludf.DUMMYFUNCTION("GOOGLETRANSLATE(F10251, ""auto"", ""en"")
"),"The best multimedia laptop! Incl. and for games! But... there are a number of disadvantages. I want to share my experience and describe everything in order.    I studied the models for a very long time and carefully to choose a full-fledged multimedia lap"&amp;"top, namely for watching HDTV, a good matrix, HDTV output to an external panel, the presence of optics (S/PDIF), the ability to play classic and even modern games (Far Cry, Far Cry 2, HL2, F.E.A.R.) and taking into account the forced dominance of Vista - "&amp;"A LOT of memory. In general, I found all this in this particular model - LJ65-DT-002RU! But after a week of use, several shortcomings emerged.    1) The matrix really has good color rendering (for laptops), with sufficient brightness and uniformity of ill"&amp;"umination, but at the slightest deviation from the perpendicular arrangement, a “visual change in gamma” occurs, color distortion and even goes negative (with a deviation downward by 25-30 degrees from the perpendicular)! Especially noticeable when moving"&amp;" vertically, lowering or raising the lid. This drawback will come into play in games when you want to quickly see details in the dark :) 2) The pre-installed OS was equipped with relatively old and defective drivers for the GeForce GT 130M video card (it "&amp;"should be noted that NVIDIA has been constantly having some problems with drivers for the last 3 years). The situation was aggravated by the fact that on the manufacturer’s website there are no drivers at all for this model or for the entire line.  Moreov"&amp;"er, official drivers from NVIDIA are NOT SUITABLE!  The official support service confirmed this information and promised that it would be posted on the website in the future.  3) The PC is delivered full of all sorts of rubbish and out of 250GB only ~150G"&amp;"B are free! So if this is not enough, then you will have to do formatting taking into account the previous point.  4) Lack of e-sata.  5) Vista ;) Additional advantages discovered during operation: + long battery life, + no overheating even when running 3"&amp;"DMark 05, + fast and absolutely silent HDD (even by my standards), + very convenient touch buttons above the F-keys (Volume, Mute, energy saving mode and most importantly on/off Wi-Fi!) If you are ready in advance to measure up to those described above sh"&amp;"ortcomings, you will not regret the purchase.")</f>
        <v>The best multimedia laptop! Incl. and for games! But... there are a number of disadvantages. I want to share my experience and describe everything in order.    I studied the models for a very long time and carefully to choose a full-fledged multimedia laptop, namely for watching HDTV, a good matrix, HDTV output to an external panel, the presence of optics (S/PDIF), the ability to play classic and even modern games (Far Cry, Far Cry 2, HL2, F.E.A.R.) and taking into account the forced dominance of Vista - A LOT of memory. In general, I found all this in this particular model - LJ65-DT-002RU! But after a week of use, several shortcomings emerged.    1) The matrix really has good color rendering (for laptops), with sufficient brightness and uniformity of illumination, but at the slightest deviation from the perpendicular arrangement, a “visual change in gamma” occurs, color distortion and even goes negative (with a deviation downward by 25-30 degrees from the perpendicular)! Especially noticeable when moving vertically, lowering or raising the lid. This drawback will come into play in games when you want to quickly see details in the dark :) 2) The pre-installed OS was equipped with relatively old and defective drivers for the GeForce GT 130M video card (it should be noted that NVIDIA has been constantly having some problems with drivers for the last 3 years). The situation was aggravated by the fact that on the manufacturer’s website there are no drivers at all for this model or for the entire line.  Moreover, official drivers from NVIDIA are NOT SUITABLE!  The official support service confirmed this information and promised that it would be posted on the website in the future.  3) The PC is delivered full of all sorts of rubbish and out of 250GB only ~150GB are free! So if this is not enough, then you will have to do formatting taking into account the previous point.  4) Lack of e-sata.  5) Vista ;) Additional advantages discovered during operation: + long battery life, + no overheating even when running 3DMark 05, + fast and absolutely silent HDD (even by my standards), + very convenient touch buttons above the F-keys (Volume, Mute, energy saving mode and most importantly on/off Wi-Fi!) If you are ready in advance to measure up to those described above shortcomings, you will not regret the purchase.</v>
      </c>
    </row>
    <row r="10252" spans="1:9" x14ac:dyDescent="0.3">
      <c r="A10252" s="1" t="s">
        <v>61</v>
      </c>
      <c r="B10252" s="1" t="s">
        <v>318</v>
      </c>
      <c r="C10252" s="1" t="s">
        <v>69</v>
      </c>
      <c r="D10252" s="1" t="s">
        <v>114</v>
      </c>
      <c r="E10252" s="1" t="s">
        <v>1962</v>
      </c>
      <c r="F10252" s="1" t="s">
        <v>14935</v>
      </c>
      <c r="G10252" s="1" t="s">
        <v>49</v>
      </c>
      <c r="H10252" s="1" t="s">
        <v>16</v>
      </c>
      <c r="I10252" s="1" t="str">
        <f ca="1">IFERROR(__xludf.DUMMYFUNCTION("GOOGLETRANSLATE(F10252, ""auto"", ""en"")
"),"It leaked after 2 weeks of “gentle” use. The joint between the upper and lower parts is of poor quality. If you look from the inside at kettles of other brands of a similar design, you can immediately see the sealing gasket, but here it’s unclear what.")</f>
        <v>It leaked after 2 weeks of “gentle” use. The joint between the upper and lower parts is of poor quality. If you look from the inside at kettles of other brands of a similar design, you can immediately see the sealing gasket, but here it’s unclear what.</v>
      </c>
    </row>
    <row r="10253" spans="1:9" x14ac:dyDescent="0.3">
      <c r="A10253" s="1" t="s">
        <v>61</v>
      </c>
      <c r="B10253" s="1" t="s">
        <v>318</v>
      </c>
      <c r="C10253" s="1" t="s">
        <v>1461</v>
      </c>
      <c r="D10253" s="1" t="s">
        <v>152</v>
      </c>
      <c r="E10253" s="1" t="s">
        <v>3494</v>
      </c>
      <c r="F10253" s="1" t="s">
        <v>14936</v>
      </c>
      <c r="G10253" s="1" t="s">
        <v>28</v>
      </c>
      <c r="H10253" s="1" t="s">
        <v>29</v>
      </c>
      <c r="I10253" s="1" t="str">
        <f ca="1">IFERROR(__xludf.DUMMYFUNCTION("GOOGLETRANSLATE(F10253, ""auto"", ""en"")
"),"The kettle worked perfectly for a whole year. But after 2 weeks the warranty expired it broke.")</f>
        <v>The kettle worked perfectly for a whole year. But after 2 weeks the warranty expired it broke.</v>
      </c>
    </row>
    <row r="10254" spans="1:9" x14ac:dyDescent="0.3">
      <c r="A10254" s="1" t="s">
        <v>169</v>
      </c>
      <c r="B10254" s="1" t="s">
        <v>170</v>
      </c>
      <c r="C10254" s="1" t="s">
        <v>122</v>
      </c>
      <c r="D10254" s="1" t="s">
        <v>86</v>
      </c>
      <c r="E10254" s="1" t="s">
        <v>12241</v>
      </c>
      <c r="F10254" s="1" t="s">
        <v>14937</v>
      </c>
      <c r="G10254" s="1" t="s">
        <v>36</v>
      </c>
      <c r="H10254" s="1" t="s">
        <v>29</v>
      </c>
      <c r="I10254" s="1" t="str">
        <f ca="1">IFERROR(__xludf.DUMMYFUNCTION("GOOGLETRANSLATE(F10254, ""auto"", ""en"")
"),"Headphones are well suited for household chores when you want to listen to the radio or music. The sound is quite good, and the noise isolation is well done: you can even vacuum cleaner with headphones on without listening to the hum of the vacuum cleaner"&amp;". I’m very pleased with such good sound for such a price, to be honest I expected the headphones to be much worse!")</f>
        <v>Headphones are well suited for household chores when you want to listen to the radio or music. The sound is quite good, and the noise isolation is well done: you can even vacuum cleaner with headphones on without listening to the hum of the vacuum cleaner. I’m very pleased with such good sound for such a price, to be honest I expected the headphones to be much worse!</v>
      </c>
    </row>
    <row r="10255" spans="1:9" x14ac:dyDescent="0.3">
      <c r="A10255" s="1" t="s">
        <v>211</v>
      </c>
      <c r="B10255" s="1" t="s">
        <v>410</v>
      </c>
      <c r="C10255" s="1" t="s">
        <v>213</v>
      </c>
      <c r="D10255" s="1" t="s">
        <v>152</v>
      </c>
      <c r="E10255" s="1" t="s">
        <v>9430</v>
      </c>
      <c r="F10255" s="1" t="s">
        <v>8498</v>
      </c>
      <c r="G10255" s="1" t="s">
        <v>36</v>
      </c>
      <c r="H10255" s="1" t="s">
        <v>29</v>
      </c>
      <c r="I10255" s="1" t="str">
        <f ca="1">IFERROR(__xludf.DUMMYFUNCTION("GOOGLETRANSLATE(F10255, ""auto"", ""en"")
"),"Excellent quality electric razor. The main advantage is a clean and painless shave without “pulling out” stubble on all areas of the skin. Moreover, the size of the bristles is not important. The design is very well thought out by the developers. The razo"&amp;"r is not heavy - the hand does not get tired. It fits well and does not slip out. The case is sealed - does not allow water to pass through. On the body there is a trimmer for shaving temples and neck. The movable shaving unit is equipped with three float"&amp;"ing heads - this allows the razor to follow the curves of the face and neck. The shaving process from this is beyond praise. The razor can be cleaned either under running water or with the included brush. There is also a case. I recommend it to everyone.")</f>
        <v>Excellent quality electric razor. The main advantage is a clean and painless shave without “pulling out” stubble on all areas of the skin. Moreover, the size of the bristles is not important. The design is very well thought out by the developers. The razor is not heavy - the hand does not get tired. It fits well and does not slip out. The case is sealed - does not allow water to pass through. On the body there is a trimmer for shaving temples and neck. The movable shaving unit is equipped with three floating heads - this allows the razor to follow the curves of the face and neck. The shaving process from this is beyond praise. The razor can be cleaned either under running water or with the included brush. There is also a case. I recommend it to everyone.</v>
      </c>
    </row>
    <row r="10256" spans="1:9" x14ac:dyDescent="0.3">
      <c r="A10256" s="1" t="s">
        <v>624</v>
      </c>
      <c r="B10256" s="1" t="s">
        <v>2107</v>
      </c>
      <c r="C10256" s="1" t="s">
        <v>479</v>
      </c>
      <c r="D10256" s="1" t="s">
        <v>114</v>
      </c>
      <c r="E10256" s="1" t="s">
        <v>2401</v>
      </c>
      <c r="F10256" s="1" t="s">
        <v>14938</v>
      </c>
      <c r="G10256" s="1" t="s">
        <v>36</v>
      </c>
      <c r="H10256" s="1" t="s">
        <v>29</v>
      </c>
      <c r="I10256" s="1" t="str">
        <f ca="1">IFERROR(__xludf.DUMMYFUNCTION("GOOGLETRANSLATE(F10256, ""auto"", ""en"")
"),"Halo Reach is the best thing to happen to the video game industry this year.  A well-developed game world, single and co-op campaigns, and the best competitive multiplayer that will be played for many years to come.    5 out of 5")</f>
        <v>Halo Reach is the best thing to happen to the video game industry this year.  A well-developed game world, single and co-op campaigns, and the best competitive multiplayer that will be played for many years to come.    5 out of 5</v>
      </c>
    </row>
    <row r="10257" spans="1:9" x14ac:dyDescent="0.3">
      <c r="A10257" s="1" t="s">
        <v>373</v>
      </c>
      <c r="B10257" s="1" t="s">
        <v>374</v>
      </c>
      <c r="C10257" s="1" t="s">
        <v>138</v>
      </c>
      <c r="D10257" s="1" t="s">
        <v>14939</v>
      </c>
      <c r="E10257" s="1" t="s">
        <v>7124</v>
      </c>
      <c r="F10257" s="1" t="s">
        <v>14940</v>
      </c>
      <c r="G10257" s="1" t="s">
        <v>36</v>
      </c>
      <c r="H10257" s="1" t="s">
        <v>29</v>
      </c>
      <c r="I10257" s="1" t="str">
        <f ca="1">IFERROR(__xludf.DUMMYFUNCTION("GOOGLETRANSLATE(F10257, ""auto"", ""en"")
"),"We bought this dishwasher about 2 years ago. There are no complaints about the quality of washing. You just need to clean it regularly. Once, however, water from the inlet hose got into the wrong place (you can see it was leaking from the plastic nut). Th"&amp;"e leakage protection worked. It buzzed and didn’t work. They called a technician (luckily there was additional service), he did everything and didn’t take any money. In general, I’m happy with both the service and the machine. I’m planning to buy kitchen "&amp;"appliances right there.")</f>
        <v>We bought this dishwasher about 2 years ago. There are no complaints about the quality of washing. You just need to clean it regularly. Once, however, water from the inlet hose got into the wrong place (you can see it was leaking from the plastic nut). The leakage protection worked. It buzzed and didn’t work. They called a technician (luckily there was additional service), he did everything and didn’t take any money. In general, I’m happy with both the service and the machine. I’m planning to buy kitchen appliances right there.</v>
      </c>
    </row>
    <row r="10258" spans="1:9" x14ac:dyDescent="0.3">
      <c r="A10258" s="1" t="s">
        <v>61</v>
      </c>
      <c r="B10258" s="1" t="s">
        <v>73</v>
      </c>
      <c r="C10258" s="1" t="s">
        <v>146</v>
      </c>
      <c r="D10258" s="1" t="s">
        <v>308</v>
      </c>
      <c r="E10258" s="1" t="s">
        <v>859</v>
      </c>
      <c r="F10258" s="1" t="s">
        <v>14941</v>
      </c>
      <c r="G10258" s="1" t="s">
        <v>15</v>
      </c>
      <c r="H10258" s="1" t="s">
        <v>16</v>
      </c>
      <c r="I10258" s="1" t="str">
        <f ca="1">IFERROR(__xludf.DUMMYFUNCTION("GOOGLETRANSLATE(F10258, ""auto"", ""en"")
"),"The diameter of the grate is much smaller than it should be. Because of this, the auger “walks” in all directions and rubs against the walls. Immediately the metal was peeled off of them, and the minced meat contained metal filings. In addition, the mince"&amp;"d meat does not twist, but presses! At the same time, it roars like a jet plane and sprays in all directions.")</f>
        <v>The diameter of the grate is much smaller than it should be. Because of this, the auger “walks” in all directions and rubs against the walls. Immediately the metal was peeled off of them, and the minced meat contained metal filings. In addition, the minced meat does not twist, but presses! At the same time, it roars like a jet plane and sprays in all directions.</v>
      </c>
    </row>
    <row r="10259" spans="1:9" x14ac:dyDescent="0.3">
      <c r="A10259" s="1" t="s">
        <v>811</v>
      </c>
      <c r="B10259" s="1" t="s">
        <v>1599</v>
      </c>
      <c r="C10259" s="1" t="s">
        <v>3051</v>
      </c>
      <c r="D10259" s="1" t="s">
        <v>39</v>
      </c>
      <c r="E10259" s="1" t="s">
        <v>4907</v>
      </c>
      <c r="F10259" s="1" t="s">
        <v>14942</v>
      </c>
      <c r="G10259" s="1" t="s">
        <v>49</v>
      </c>
      <c r="H10259" s="1" t="s">
        <v>16</v>
      </c>
      <c r="I10259" s="1" t="str">
        <f ca="1">IFERROR(__xludf.DUMMYFUNCTION("GOOGLETRANSLATE(F10259, ""auto"", ""en"")
"),"After being caught in the rain, the seams began to come apart and the threads began to crawl. The zippers did not close well from the first day, and later became completely unusable. Grief, not a backpack.")</f>
        <v>After being caught in the rain, the seams began to come apart and the threads began to crawl. The zippers did not close well from the first day, and later became completely unusable. Grief, not a backpack.</v>
      </c>
    </row>
    <row r="10260" spans="1:9" x14ac:dyDescent="0.3">
      <c r="A10260" s="1" t="s">
        <v>30</v>
      </c>
      <c r="B10260" s="1" t="s">
        <v>50</v>
      </c>
      <c r="C10260" s="1" t="s">
        <v>377</v>
      </c>
      <c r="D10260" s="1" t="s">
        <v>152</v>
      </c>
      <c r="E10260" s="1" t="s">
        <v>3509</v>
      </c>
      <c r="F10260" s="1" t="s">
        <v>14943</v>
      </c>
      <c r="G10260" s="1" t="s">
        <v>36</v>
      </c>
      <c r="H10260" s="1" t="s">
        <v>29</v>
      </c>
      <c r="I10260" s="1" t="str">
        <f ca="1">IFERROR(__xludf.DUMMYFUNCTION("GOOGLETRANSLATE(F10260, ""auto"", ""en"")
"),"I have this laptop for 2 more weeks. So far I haven’t found any particular disadvantages, except that Vista takes a long time to load, and it heats up quite sensitively, although this does not cause discomfort. I was pleased that it reproduces full HD vid"&amp;"eo without any problems, and you can play some pretty decent games (from 2006-7 though :)). So far I'm happy with the purchase.")</f>
        <v>I have this laptop for 2 more weeks. So far I haven’t found any particular disadvantages, except that Vista takes a long time to load, and it heats up quite sensitively, although this does not cause discomfort. I was pleased that it reproduces full HD video without any problems, and you can play some pretty decent games (from 2006-7 though :)). So far I'm happy with the purchase.</v>
      </c>
    </row>
    <row r="10261" spans="1:9" x14ac:dyDescent="0.3">
      <c r="A10261" s="1" t="s">
        <v>149</v>
      </c>
      <c r="B10261" s="1" t="s">
        <v>155</v>
      </c>
      <c r="C10261" s="1" t="s">
        <v>69</v>
      </c>
      <c r="D10261" s="1" t="s">
        <v>172</v>
      </c>
      <c r="E10261" s="1" t="s">
        <v>1788</v>
      </c>
      <c r="F10261" s="1" t="s">
        <v>14944</v>
      </c>
      <c r="G10261" s="1" t="s">
        <v>28</v>
      </c>
      <c r="H10261" s="1" t="s">
        <v>29</v>
      </c>
      <c r="I10261" s="1" t="str">
        <f ca="1">IFERROR(__xludf.DUMMYFUNCTION("GOOGLETRANSLATE(F10261, ""auto"", ""en"")
"),"I bought it more than a year ago, the impression is generally good. It collects all the hair from the dog from the carpet))) The advantages are the design, the suction power is high, and the nozzle is very convenient. Of the minuses - it’s inconvenient to"&amp;" turn it on with your foot, the build quality - in the place where the container seal is, dust flies out a little)) and when you open it to shake it out, when opening it remains on the seal, and then falls - not very pleasant)) A good vacuum cleaner, I do"&amp;"n’t regret the purchase.")</f>
        <v>I bought it more than a year ago, the impression is generally good. It collects all the hair from the dog from the carpet))) The advantages are the design, the suction power is high, and the nozzle is very convenient. Of the minuses - it’s inconvenient to turn it on with your foot, the build quality - in the place where the container seal is, dust flies out a little)) and when you open it to shake it out, when opening it remains on the seal, and then falls - not very pleasant)) A good vacuum cleaner, I don’t regret the purchase.</v>
      </c>
    </row>
    <row r="10262" spans="1:9" x14ac:dyDescent="0.3">
      <c r="A10262" s="1" t="s">
        <v>211</v>
      </c>
      <c r="B10262" s="1" t="s">
        <v>212</v>
      </c>
      <c r="C10262" s="1" t="s">
        <v>294</v>
      </c>
      <c r="D10262" s="1" t="s">
        <v>5447</v>
      </c>
      <c r="E10262" s="1" t="s">
        <v>2887</v>
      </c>
      <c r="F10262" s="1" t="s">
        <v>14945</v>
      </c>
      <c r="G10262" s="1" t="s">
        <v>49</v>
      </c>
      <c r="H10262" s="1" t="s">
        <v>16</v>
      </c>
      <c r="I10262" s="1" t="str">
        <f ca="1">IFERROR(__xludf.DUMMYFUNCTION("GOOGLETRANSLATE(F10262, ""auto"", ""en"")
"),"Very disappointed with the purchase!  Initially, there was no particular effect from the steam, and then the steam stopped coming out altogether.  And in general, having tried a bunch of irons, I can say that this is the worst.  And it dries your hair VER"&amp;"Y dry, despite all its advertising slogans about gentle straightening and, as OLGA put it, “restoring the water balance of the hair.”  Even with the use of all kinds of protective sprays, restorative masks and oils, the hair was very damaged.  In addition"&amp;", after a while the temperature stops being displayed on the display.")</f>
        <v>Very disappointed with the purchase!  Initially, there was no particular effect from the steam, and then the steam stopped coming out altogether.  And in general, having tried a bunch of irons, I can say that this is the worst.  And it dries your hair VERY dry, despite all its advertising slogans about gentle straightening and, as OLGA put it, “restoring the water balance of the hair.”  Even with the use of all kinds of protective sprays, restorative masks and oils, the hair was very damaged.  In addition, after a while the temperature stops being displayed on the display.</v>
      </c>
    </row>
    <row r="10263" spans="1:9" x14ac:dyDescent="0.3">
      <c r="A10263" s="1" t="s">
        <v>30</v>
      </c>
      <c r="B10263" s="1" t="s">
        <v>50</v>
      </c>
      <c r="C10263" s="1" t="s">
        <v>377</v>
      </c>
      <c r="D10263" s="1" t="s">
        <v>39</v>
      </c>
      <c r="E10263" s="1" t="s">
        <v>3664</v>
      </c>
      <c r="F10263" s="1" t="s">
        <v>14946</v>
      </c>
      <c r="G10263" s="1" t="s">
        <v>28</v>
      </c>
      <c r="H10263" s="1" t="s">
        <v>29</v>
      </c>
      <c r="I10263" s="1" t="str">
        <f ca="1">IFERROR(__xludf.DUMMYFUNCTION("GOOGLETRANSLATE(F10263, ""auto"", ""en"")
"),"Everything is fine, the screen is super. It works quickly. The only negative is one speaker, it sounds a little quiet. Well, the quality of the body materials.. And it’s an excellent laptop for this price.")</f>
        <v>Everything is fine, the screen is super. It works quickly. The only negative is one speaker, it sounds a little quiet. Well, the quality of the body materials.. And it’s an excellent laptop for this price.</v>
      </c>
    </row>
    <row r="10264" spans="1:9" x14ac:dyDescent="0.3">
      <c r="A10264" s="1" t="s">
        <v>17</v>
      </c>
      <c r="B10264" s="1" t="s">
        <v>18</v>
      </c>
      <c r="C10264" s="1" t="s">
        <v>19</v>
      </c>
      <c r="D10264" s="1" t="s">
        <v>417</v>
      </c>
      <c r="E10264" s="1" t="s">
        <v>817</v>
      </c>
      <c r="F10264" s="1" t="s">
        <v>14947</v>
      </c>
      <c r="G10264" s="1" t="s">
        <v>36</v>
      </c>
      <c r="H10264" s="1" t="s">
        <v>29</v>
      </c>
      <c r="I10264" s="1" t="str">
        <f ca="1">IFERROR(__xludf.DUMMYFUNCTION("GOOGLETRANSLATE(F10264, ""auto"", ""en"")
"),"We bought the machine a year ago and have not had any complaints so far. Large drum, loading hatch is also large, you can load a blanket without any problems, very nice appearance, all the necessary programs for washing (I was especially pleased with the "&amp;"30-minute program). Convenient to operate, easy to use, you didn’t even open the instructions, in the night wash mode you can hardly hear it!!!")</f>
        <v>We bought the machine a year ago and have not had any complaints so far. Large drum, loading hatch is also large, you can load a blanket without any problems, very nice appearance, all the necessary programs for washing (I was especially pleased with the 30-minute program). Convenient to operate, easy to use, you didn’t even open the instructions, in the night wash mode you can hardly hear it!!!</v>
      </c>
    </row>
    <row r="10265" spans="1:9" x14ac:dyDescent="0.3">
      <c r="A10265" s="1" t="s">
        <v>30</v>
      </c>
      <c r="B10265" s="1" t="s">
        <v>31</v>
      </c>
      <c r="C10265" s="1" t="s">
        <v>377</v>
      </c>
      <c r="D10265" s="1" t="s">
        <v>420</v>
      </c>
      <c r="E10265" s="1" t="s">
        <v>41</v>
      </c>
      <c r="F10265" s="1" t="s">
        <v>14948</v>
      </c>
      <c r="G10265" s="1" t="s">
        <v>36</v>
      </c>
      <c r="H10265" s="1" t="s">
        <v>29</v>
      </c>
      <c r="I10265" s="1" t="str">
        <f ca="1">IFERROR(__xludf.DUMMYFUNCTION("GOOGLETRANSLATE(F10265, ""auto"", ""en"")
"),"Normal system unit")</f>
        <v>Normal system unit</v>
      </c>
    </row>
    <row r="10266" spans="1:9" x14ac:dyDescent="0.3">
      <c r="A10266" s="1" t="s">
        <v>149</v>
      </c>
      <c r="B10266" s="1" t="s">
        <v>150</v>
      </c>
      <c r="C10266" s="1" t="s">
        <v>57</v>
      </c>
      <c r="D10266" s="1" t="s">
        <v>14949</v>
      </c>
      <c r="E10266" s="1" t="s">
        <v>594</v>
      </c>
      <c r="F10266" s="1" t="s">
        <v>14950</v>
      </c>
      <c r="G10266" s="1" t="s">
        <v>28</v>
      </c>
      <c r="H10266" s="1" t="s">
        <v>29</v>
      </c>
      <c r="I10266" s="1" t="str">
        <f ca="1">IFERROR(__xludf.DUMMYFUNCTION("GOOGLETRANSLATE(F10266, ""auto"", ""en"")
"),"I bought a vacuum cleaner 4 months ago. The vacuum cleaner has proven itself to be excellent, at power 3 you can’t tear it away from the carpet - it sucks so much. The only thing that doesn’t suit me is the noise level, everything else is a solid 4. If no"&amp;"w there was a choice in buying a vacuum cleaner, I would take a more compact one with less noise, and the presence of an aqua filter, I think, is just a publicity stunt, there is no difference.")</f>
        <v>I bought a vacuum cleaner 4 months ago. The vacuum cleaner has proven itself to be excellent, at power 3 you can’t tear it away from the carpet - it sucks so much. The only thing that doesn’t suit me is the noise level, everything else is a solid 4. If now there was a choice in buying a vacuum cleaner, I would take a more compact one with less noise, and the presence of an aqua filter, I think, is just a publicity stunt, there is no difference.</v>
      </c>
    </row>
    <row r="10267" spans="1:9" x14ac:dyDescent="0.3">
      <c r="A10267" s="1" t="s">
        <v>61</v>
      </c>
      <c r="B10267" s="1" t="s">
        <v>318</v>
      </c>
      <c r="C10267" s="1" t="s">
        <v>246</v>
      </c>
      <c r="D10267" s="1" t="s">
        <v>695</v>
      </c>
      <c r="E10267" s="1" t="s">
        <v>386</v>
      </c>
      <c r="F10267" s="1" t="s">
        <v>14951</v>
      </c>
      <c r="G10267" s="1" t="s">
        <v>28</v>
      </c>
      <c r="H10267" s="1" t="s">
        <v>29</v>
      </c>
      <c r="I10267" s="1" t="str">
        <f ca="1">IFERROR(__xludf.DUMMYFUNCTION("GOOGLETRANSLATE(F10267, ""auto"", ""en"")
"),"Vlad from Lipetsk (7.01.2011) 10 years ago you most likely bought a teapot that was actually made in France, which is why such a worthy result. And what they sell today is all CHINA, which does not last long, because it is unprofitable. There are a billio"&amp;"n of them, they want to eat too..")</f>
        <v>Vlad from Lipetsk (7.01.2011) 10 years ago you most likely bought a teapot that was actually made in France, which is why such a worthy result. And what they sell today is all CHINA, which does not last long, because it is unprofitable. There are a billion of them, they want to eat too..</v>
      </c>
    </row>
    <row r="10268" spans="1:9" x14ac:dyDescent="0.3">
      <c r="A10268" s="1" t="s">
        <v>169</v>
      </c>
      <c r="B10268" s="1" t="s">
        <v>170</v>
      </c>
      <c r="C10268" s="1" t="s">
        <v>193</v>
      </c>
      <c r="D10268" s="1" t="s">
        <v>280</v>
      </c>
      <c r="E10268" s="1" t="s">
        <v>259</v>
      </c>
      <c r="F10268" s="1" t="s">
        <v>14952</v>
      </c>
      <c r="G10268" s="1" t="s">
        <v>49</v>
      </c>
      <c r="H10268" s="1" t="s">
        <v>16</v>
      </c>
      <c r="I10268" s="1" t="str">
        <f ca="1">IFERROR(__xludf.DUMMYFUNCTION("GOOGLETRANSLATE(F10268, ""auto"", ""en"")
"),"Very, very bad headphones")</f>
        <v>Very, very bad headphones</v>
      </c>
    </row>
    <row r="10269" spans="1:9" x14ac:dyDescent="0.3">
      <c r="A10269" s="1" t="s">
        <v>105</v>
      </c>
      <c r="B10269" s="1" t="s">
        <v>106</v>
      </c>
      <c r="C10269" s="1" t="s">
        <v>151</v>
      </c>
      <c r="D10269" s="1" t="s">
        <v>14953</v>
      </c>
      <c r="E10269" s="1" t="s">
        <v>1765</v>
      </c>
      <c r="F10269" s="1" t="s">
        <v>14954</v>
      </c>
      <c r="G10269" s="1" t="s">
        <v>49</v>
      </c>
      <c r="H10269" s="1" t="s">
        <v>16</v>
      </c>
      <c r="I10269" s="1" t="str">
        <f ca="1">IFERROR(__xludf.DUMMYFUNCTION("GOOGLETRANSLATE(F10269, ""auto"", ""en"")
"),"The sound in the player is simply terrible!!! Disgusting highs and indistinct barely noticeable bass. There is no point in adjusting the main equalizer, it practically does not change anything, and with the proprietary “enhancer” turned on, it becomes imp"&amp;"ossible to listen. I used my original ears, a Fisher Audio Silver Bullet, a Senheiser Monitor, and several other different models - the sound was disgusting everywhere. After the SONY and Cowon players, this is... I DO NOT RECOMMEND THIS TO ANYONE!!!")</f>
        <v>The sound in the player is simply terrible!!! Disgusting highs and indistinct barely noticeable bass. There is no point in adjusting the main equalizer, it practically does not change anything, and with the proprietary “enhancer” turned on, it becomes impossible to listen. I used my original ears, a Fisher Audio Silver Bullet, a Senheiser Monitor, and several other different models - the sound was disgusting everywhere. After the SONY and Cowon players, this is... I DO NOT RECOMMEND THIS TO ANYONE!!!</v>
      </c>
    </row>
    <row r="10270" spans="1:9" x14ac:dyDescent="0.3">
      <c r="A10270" s="1" t="s">
        <v>67</v>
      </c>
      <c r="B10270" s="1" t="s">
        <v>340</v>
      </c>
      <c r="C10270" s="1" t="s">
        <v>341</v>
      </c>
      <c r="D10270" s="1" t="s">
        <v>565</v>
      </c>
      <c r="E10270" s="1" t="s">
        <v>772</v>
      </c>
      <c r="F10270" s="1" t="s">
        <v>14955</v>
      </c>
      <c r="G10270" s="1" t="s">
        <v>49</v>
      </c>
      <c r="H10270" s="1" t="s">
        <v>16</v>
      </c>
      <c r="I10270" s="1" t="str">
        <f ca="1">IFERROR(__xludf.DUMMYFUNCTION("GOOGLETRANSLATE(F10270, ""auto"", ""en"")
"),"In 1 day we changed 3 machines at M.Video, all the machines turned out to be defective. The first one stopped sewing on the 2nd day and was taken to the store, the second sewed only with the presser foot raised, the third, after 5 minutes of normal sewing"&amp;", began to tangle the threads, did not sew with the top thread at all, and the bottom thread looped.")</f>
        <v>In 1 day we changed 3 machines at M.Video, all the machines turned out to be defective. The first one stopped sewing on the 2nd day and was taken to the store, the second sewed only with the presser foot raised, the third, after 5 minutes of normal sewing, began to tangle the threads, did not sew with the top thread at all, and the bottom thread looped.</v>
      </c>
    </row>
    <row r="10271" spans="1:9" x14ac:dyDescent="0.3">
      <c r="A10271" s="1" t="s">
        <v>17</v>
      </c>
      <c r="B10271" s="1" t="s">
        <v>325</v>
      </c>
      <c r="C10271" s="1" t="s">
        <v>326</v>
      </c>
      <c r="D10271" s="1" t="s">
        <v>14088</v>
      </c>
      <c r="E10271" s="1" t="s">
        <v>1845</v>
      </c>
      <c r="F10271" s="1" t="s">
        <v>14956</v>
      </c>
      <c r="G10271" s="1" t="s">
        <v>36</v>
      </c>
      <c r="H10271" s="1" t="s">
        <v>29</v>
      </c>
      <c r="I10271" s="1" t="str">
        <f ca="1">IFERROR(__xludf.DUMMYFUNCTION("GOOGLETRANSLATE(F10271, ""auto"", ""en"")
"),"I recommend it to everyone. Lightweight, comfortable, and works silently. It washes great! There are 2 washing modes - normal and delicate. Due to the rotation of the activator, things do not get tangled in one lump. Cons: It's still a short hose. We boug"&amp;"ht them for our parents in the village so that they don’t have to wash towels and small things by hand, there are 2 washing machines with a centrifuge that spins things out for her. Mom really likes that you can pour a little water and wash it.")</f>
        <v>I recommend it to everyone. Lightweight, comfortable, and works silently. It washes great! There are 2 washing modes - normal and delicate. Due to the rotation of the activator, things do not get tangled in one lump. Cons: It's still a short hose. We bought them for our parents in the village so that they don’t have to wash towels and small things by hand, there are 2 washing machines with a centrifuge that spins things out for her. Mom really likes that you can pour a little water and wash it.</v>
      </c>
    </row>
    <row r="10272" spans="1:9" x14ac:dyDescent="0.3">
      <c r="A10272" s="1" t="s">
        <v>169</v>
      </c>
      <c r="B10272" s="1" t="s">
        <v>170</v>
      </c>
      <c r="C10272" s="1" t="s">
        <v>122</v>
      </c>
      <c r="D10272" s="1" t="s">
        <v>345</v>
      </c>
      <c r="E10272" s="1" t="s">
        <v>1414</v>
      </c>
      <c r="F10272" s="1" t="s">
        <v>14957</v>
      </c>
      <c r="G10272" s="1" t="s">
        <v>36</v>
      </c>
      <c r="H10272" s="1" t="s">
        <v>29</v>
      </c>
      <c r="I10272" s="1" t="str">
        <f ca="1">IFERROR(__xludf.DUMMYFUNCTION("GOOGLETRANSLATE(F10272, ""auto"", ""en"")
"),"Excellent headphones, fit like a glove. Clear bass and sound. The design of the headphones is VERY comfortable, you don’t feel them in your ears at all. I am very pleased with the purchase!")</f>
        <v>Excellent headphones, fit like a glove. Clear bass and sound. The design of the headphones is VERY comfortable, you don’t feel them in your ears at all. I am very pleased with the purchase!</v>
      </c>
    </row>
    <row r="10273" spans="1:9" x14ac:dyDescent="0.3">
      <c r="A10273" s="1" t="s">
        <v>17</v>
      </c>
      <c r="B10273" s="1" t="s">
        <v>18</v>
      </c>
      <c r="C10273" s="1" t="s">
        <v>159</v>
      </c>
      <c r="D10273" s="1" t="s">
        <v>52</v>
      </c>
      <c r="E10273" s="1" t="s">
        <v>11399</v>
      </c>
      <c r="F10273" s="1" t="s">
        <v>14958</v>
      </c>
      <c r="G10273" s="1" t="s">
        <v>15</v>
      </c>
      <c r="H10273" s="1" t="s">
        <v>16</v>
      </c>
      <c r="I10273" s="1" t="str">
        <f ca="1">IFERROR(__xludf.DUMMYFUNCTION("GOOGLETRANSLATE(F10273, ""auto"", ""en"")
"),"I was immediately disappointed by the lack of a digital display, which is described in the specifications - this is a regular LED indicator. Evaporation finds a gap near the axis of rotation of the top cover, so you cannot place the machine in the kitchen"&amp;", otherwise you will breathe in the smell of washing powders. The time cycles of washing are absolutely incomprehensible: you don’t know what stage the wash is at. The quick wash mode lasts an hour and a half. The machine was made for the CIS countries an"&amp;"d that’s all.")</f>
        <v>I was immediately disappointed by the lack of a digital display, which is described in the specifications - this is a regular LED indicator. Evaporation finds a gap near the axis of rotation of the top cover, so you cannot place the machine in the kitchen, otherwise you will breathe in the smell of washing powders. The time cycles of washing are absolutely incomprehensible: you don’t know what stage the wash is at. The quick wash mode lasts an hour and a half. The machine was made for the CIS countries and that’s all.</v>
      </c>
    </row>
    <row r="10274" spans="1:9" x14ac:dyDescent="0.3">
      <c r="A10274" s="1" t="s">
        <v>30</v>
      </c>
      <c r="B10274" s="1" t="s">
        <v>50</v>
      </c>
      <c r="C10274" s="1" t="s">
        <v>1003</v>
      </c>
      <c r="D10274" s="1" t="s">
        <v>695</v>
      </c>
      <c r="E10274" s="1" t="s">
        <v>269</v>
      </c>
      <c r="F10274" s="1" t="s">
        <v>14959</v>
      </c>
      <c r="G10274" s="1" t="s">
        <v>36</v>
      </c>
      <c r="H10274" s="1" t="s">
        <v>29</v>
      </c>
      <c r="I10274" s="1" t="str">
        <f ca="1">IFERROR(__xludf.DUMMYFUNCTION("GOOGLETRANSLATE(F10274, ""auto"", ""en"")
"),"There was a problem where pixel-thick horizontal lines slipped through. This became especially noticeable after exiting hibernation mode. The problem was solved by replacing the laptop. To the credit of the mvideo staff, there were no delays or procrastin"&amp;"ation with this.")</f>
        <v>There was a problem where pixel-thick horizontal lines slipped through. This became especially noticeable after exiting hibernation mode. The problem was solved by replacing the laptop. To the credit of the mvideo staff, there were no delays or procrastination with this.</v>
      </c>
    </row>
    <row r="10275" spans="1:9" x14ac:dyDescent="0.3">
      <c r="A10275" s="1" t="s">
        <v>9</v>
      </c>
      <c r="B10275" s="1" t="s">
        <v>137</v>
      </c>
      <c r="C10275" s="1" t="s">
        <v>151</v>
      </c>
      <c r="D10275" s="1" t="s">
        <v>2826</v>
      </c>
      <c r="E10275" s="1" t="s">
        <v>6631</v>
      </c>
      <c r="F10275" s="1" t="s">
        <v>14960</v>
      </c>
      <c r="G10275" s="1" t="s">
        <v>49</v>
      </c>
      <c r="H10275" s="1" t="s">
        <v>16</v>
      </c>
      <c r="I10275" s="1" t="str">
        <f ca="1">IFERROR(__xludf.DUMMYFUNCTION("GOOGLETRANSLATE(F10275, ""auto"", ""en"")
"),"Terrible product. I decided to cook the soup in a 5 liter saucepan, after an hour of operation of this hob, I put it on a nearby stove to cook, 2 medium onions and 1 carrot, fried until golden brown at a maximum of 40 minutes. I started testing how many m"&amp;"inutes it would take to boil 1 liter of water. The first time (when the stove was cooled) it boiled in 7 minutes, then in 13 minutes, then 23 minutes, the fourth time the first bubble surfaced after 36 minutes. I think this hob is of very, very questionab"&amp;"le quality.")</f>
        <v>Terrible product. I decided to cook the soup in a 5 liter saucepan, after an hour of operation of this hob, I put it on a nearby stove to cook, 2 medium onions and 1 carrot, fried until golden brown at a maximum of 40 minutes. I started testing how many minutes it would take to boil 1 liter of water. The first time (when the stove was cooled) it boiled in 7 minutes, then in 13 minutes, then 23 minutes, the fourth time the first bubble surfaced after 36 minutes. I think this hob is of very, very questionable quality.</v>
      </c>
    </row>
    <row r="10276" spans="1:9" x14ac:dyDescent="0.3">
      <c r="A10276" s="1" t="s">
        <v>211</v>
      </c>
      <c r="B10276" s="1" t="s">
        <v>212</v>
      </c>
      <c r="C10276" s="1" t="s">
        <v>57</v>
      </c>
      <c r="D10276" s="1" t="s">
        <v>474</v>
      </c>
      <c r="E10276" s="1" t="s">
        <v>2271</v>
      </c>
      <c r="F10276" s="1" t="s">
        <v>14961</v>
      </c>
      <c r="G10276" s="1" t="s">
        <v>36</v>
      </c>
      <c r="H10276" s="1" t="s">
        <v>29</v>
      </c>
      <c r="I10276" s="1" t="str">
        <f ca="1">IFERROR(__xludf.DUMMYFUNCTION("GOOGLETRANSLATE(F10276, ""auto"", ""en"")
"),"The curling iron is just super!!! It heats up quickly, and I don’t spend much time curling! Worthy for such a price!")</f>
        <v>The curling iron is just super!!! It heats up quickly, and I don’t spend much time curling! Worthy for such a price!</v>
      </c>
    </row>
    <row r="10277" spans="1:9" x14ac:dyDescent="0.3">
      <c r="A10277" s="1" t="s">
        <v>61</v>
      </c>
      <c r="B10277" s="1" t="s">
        <v>145</v>
      </c>
      <c r="C10277" s="1" t="s">
        <v>69</v>
      </c>
      <c r="D10277" s="1" t="s">
        <v>10096</v>
      </c>
      <c r="E10277" s="1" t="s">
        <v>626</v>
      </c>
      <c r="F10277" s="1" t="s">
        <v>14962</v>
      </c>
      <c r="G10277" s="1" t="s">
        <v>49</v>
      </c>
      <c r="H10277" s="1" t="s">
        <v>16</v>
      </c>
      <c r="I10277" s="1" t="str">
        <f ca="1">IFERROR(__xludf.DUMMYFUNCTION("GOOGLETRANSLATE(F10277, ""auto"", ""en"")
"),"I didn't like the steamer.")</f>
        <v>I didn't like the steamer.</v>
      </c>
    </row>
    <row r="10278" spans="1:9" x14ac:dyDescent="0.3">
      <c r="A10278" s="1" t="s">
        <v>43</v>
      </c>
      <c r="B10278" s="1" t="s">
        <v>44</v>
      </c>
      <c r="C10278" s="1" t="s">
        <v>101</v>
      </c>
      <c r="D10278" s="1" t="s">
        <v>327</v>
      </c>
      <c r="E10278" s="1" t="s">
        <v>4702</v>
      </c>
      <c r="F10278" s="1" t="s">
        <v>14963</v>
      </c>
      <c r="G10278" s="1" t="s">
        <v>36</v>
      </c>
      <c r="H10278" s="1" t="s">
        <v>29</v>
      </c>
      <c r="I10278" s="1" t="str">
        <f ca="1">IFERROR(__xludf.DUMMYFUNCTION("GOOGLETRANSLATE(F10278, ""auto"", ""en"")
"),"I liked the product both in the store and at home. It works perfectly, 3 speed positions, very convenient by the way. Backlight. Corkscrew rotation. Appreciated. Cons: dim lighting! Good product. Everyone is happy.")</f>
        <v>I liked the product both in the store and at home. It works perfectly, 3 speed positions, very convenient by the way. Backlight. Corkscrew rotation. Appreciated. Cons: dim lighting! Good product. Everyone is happy.</v>
      </c>
    </row>
    <row r="10279" spans="1:9" x14ac:dyDescent="0.3">
      <c r="A10279" s="1" t="s">
        <v>30</v>
      </c>
      <c r="B10279" s="1" t="s">
        <v>50</v>
      </c>
      <c r="C10279" s="1" t="s">
        <v>32</v>
      </c>
      <c r="D10279" s="1" t="s">
        <v>171</v>
      </c>
      <c r="E10279" s="1" t="s">
        <v>2702</v>
      </c>
      <c r="F10279" s="1" t="s">
        <v>14964</v>
      </c>
      <c r="G10279" s="1" t="s">
        <v>36</v>
      </c>
      <c r="H10279" s="1" t="s">
        <v>29</v>
      </c>
      <c r="I10279" s="1" t="str">
        <f ca="1">IFERROR(__xludf.DUMMYFUNCTION("GOOGLETRANSLATE(F10279, ""auto"", ""en"")
"),"I’ve had this laptop for about 5 months now! It works super! There were no problems with it pah pah))! I spent a very long time choosing it and I’m just happy that I chose it, I don’t agree with the fact that it makes a lot of noise!)) maybe it’s a defect"&amp;" in some people! Personally, when it gets hot, then the cooler turns on, as for the built-in antivirus (that there’s no way to remove it) I also don’t agree)))) I removed it through installing and uninstalling programs))) Now it’s worth it nod32 and 3G mo"&amp;"dem from a megaphone.... In general, I am very pleased with this laptop!!! I recommend it to everyone!!!!")</f>
        <v>I’ve had this laptop for about 5 months now! It works super! There were no problems with it pah pah))! I spent a very long time choosing it and I’m just happy that I chose it, I don’t agree with the fact that it makes a lot of noise!)) maybe it’s a defect in some people! Personally, when it gets hot, then the cooler turns on, as for the built-in antivirus (that there’s no way to remove it) I also don’t agree)))) I removed it through installing and uninstalling programs))) Now it’s worth it nod32 and 3G modem from a megaphone.... In general, I am very pleased with this laptop!!! I recommend it to everyone!!!!</v>
      </c>
    </row>
    <row r="10280" spans="1:9" x14ac:dyDescent="0.3">
      <c r="A10280" s="1" t="s">
        <v>624</v>
      </c>
      <c r="B10280" s="1" t="s">
        <v>625</v>
      </c>
      <c r="C10280" s="1" t="s">
        <v>479</v>
      </c>
      <c r="D10280" s="1" t="s">
        <v>152</v>
      </c>
      <c r="E10280" s="1" t="s">
        <v>1384</v>
      </c>
      <c r="F10280" s="1" t="s">
        <v>14965</v>
      </c>
      <c r="G10280" s="1" t="s">
        <v>36</v>
      </c>
      <c r="H10280" s="1" t="s">
        <v>29</v>
      </c>
      <c r="I10280" s="1" t="str">
        <f ca="1">IFERROR(__xludf.DUMMYFUNCTION("GOOGLETRANSLATE(F10280, ""auto"", ""en"")
"),"Great offer. Alien toy included and game. Just what you need for your collection)))")</f>
        <v>Great offer. Alien toy included and game. Just what you need for your collection)))</v>
      </c>
    </row>
    <row r="10281" spans="1:9" x14ac:dyDescent="0.3">
      <c r="A10281" s="1" t="s">
        <v>55</v>
      </c>
      <c r="B10281" s="1" t="s">
        <v>56</v>
      </c>
      <c r="C10281" s="1" t="s">
        <v>1502</v>
      </c>
      <c r="D10281" s="1" t="s">
        <v>114</v>
      </c>
      <c r="E10281" s="1" t="s">
        <v>4080</v>
      </c>
      <c r="F10281" s="1" t="s">
        <v>14966</v>
      </c>
      <c r="G10281" s="1" t="s">
        <v>49</v>
      </c>
      <c r="H10281" s="1" t="s">
        <v>16</v>
      </c>
      <c r="I10281" s="1" t="str">
        <f ca="1">IFERROR(__xludf.DUMMYFUNCTION("GOOGLETRANSLATE(F10281, ""auto"", ""en"")
"),"We bought it before the New Year, at first it worked without problems, the refill lasted for 6 hours, we cleaned it periodically, with each month there was enough water for longer, although it worked in the same mode... There are no filters for sale, and "&amp;"with our water it gets clogged very quickly, in the end it just stopped working. Upon visual inspection, the ultrasonic element itself simply burst, either the automatic shutdown did not work, or on its own, and when refilling, water began to flow...")</f>
        <v>We bought it before the New Year, at first it worked without problems, the refill lasted for 6 hours, we cleaned it periodically, with each month there was enough water for longer, although it worked in the same mode... There are no filters for sale, and with our water it gets clogged very quickly, in the end it just stopped working. Upon visual inspection, the ultrasonic element itself simply burst, either the automatic shutdown did not work, or on its own, and when refilling, water began to flow...</v>
      </c>
    </row>
    <row r="10282" spans="1:9" x14ac:dyDescent="0.3">
      <c r="A10282" s="1" t="s">
        <v>105</v>
      </c>
      <c r="B10282" s="1" t="s">
        <v>106</v>
      </c>
      <c r="C10282" s="1" t="s">
        <v>107</v>
      </c>
      <c r="D10282" s="1" t="s">
        <v>14967</v>
      </c>
      <c r="E10282" s="1" t="s">
        <v>194</v>
      </c>
      <c r="F10282" s="1" t="s">
        <v>14968</v>
      </c>
      <c r="G10282" s="1" t="s">
        <v>36</v>
      </c>
      <c r="H10282" s="1" t="s">
        <v>29</v>
      </c>
      <c r="I10282" s="1" t="str">
        <f ca="1">IFERROR(__xludf.DUMMYFUNCTION("GOOGLETRANSLATE(F10282, ""auto"", ""en"")
"),"I’ve been using the player for a year now and everything works great. I’m happy))))")</f>
        <v>I’ve been using the player for a year now and everything works great. I’m happy))))</v>
      </c>
    </row>
    <row r="10283" spans="1:9" x14ac:dyDescent="0.3">
      <c r="A10283" s="1" t="s">
        <v>30</v>
      </c>
      <c r="B10283" s="1" t="s">
        <v>50</v>
      </c>
      <c r="C10283" s="1" t="s">
        <v>1003</v>
      </c>
      <c r="D10283" s="1" t="s">
        <v>592</v>
      </c>
      <c r="E10283" s="1" t="s">
        <v>1527</v>
      </c>
      <c r="F10283" s="1" t="s">
        <v>14969</v>
      </c>
      <c r="G10283" s="1" t="s">
        <v>28</v>
      </c>
      <c r="H10283" s="1" t="s">
        <v>29</v>
      </c>
      <c r="I10283" s="1" t="str">
        <f ca="1">IFERROR(__xludf.DUMMYFUNCTION("GOOGLETRANSLATE(F10283, ""auto"", ""en"")
"),"I bought an HP ProBook 4515s Laptop a couple of days ago and was upset, they say that when you reinstall Windows you won’t find the drivers. Advice: before buying, you need to consult a specialist, because the seller will not tell the truth.")</f>
        <v>I bought an HP ProBook 4515s Laptop a couple of days ago and was upset, they say that when you reinstall Windows you won’t find the drivers. Advice: before buying, you need to consult a specialist, because the seller will not tell the truth.</v>
      </c>
    </row>
    <row r="10284" spans="1:9" x14ac:dyDescent="0.3">
      <c r="A10284" s="1" t="s">
        <v>120</v>
      </c>
      <c r="B10284" s="1" t="s">
        <v>256</v>
      </c>
      <c r="C10284" s="1" t="s">
        <v>69</v>
      </c>
      <c r="D10284" s="1" t="s">
        <v>280</v>
      </c>
      <c r="E10284" s="1" t="s">
        <v>1290</v>
      </c>
      <c r="F10284" s="1" t="s">
        <v>14970</v>
      </c>
      <c r="G10284" s="1" t="s">
        <v>36</v>
      </c>
      <c r="H10284" s="1" t="s">
        <v>29</v>
      </c>
      <c r="I10284" s="1" t="str">
        <f ca="1">IFERROR(__xludf.DUMMYFUNCTION("GOOGLETRANSLATE(F10284, ""auto"", ""en"")
"),"I've been watching for 4 months, since April.  I read it, compared it, came to the store and liked it.  The video from the DVD is excellent.  I connected the resolution 1980*1080 to the computer via HDMI, I watch the video in the same resolution - great, "&amp;"I didn’t even expect it.  The clock cannot be set manually, only from the air if there are channels with teletext.  The sound is superb for a TV.")</f>
        <v>I've been watching for 4 months, since April.  I read it, compared it, came to the store and liked it.  The video from the DVD is excellent.  I connected the resolution 1980*1080 to the computer via HDMI, I watch the video in the same resolution - great, I didn’t even expect it.  The clock cannot be set manually, only from the air if there are channels with teletext.  The sound is superb for a TV.</v>
      </c>
    </row>
    <row r="10285" spans="1:9" x14ac:dyDescent="0.3">
      <c r="A10285" s="1" t="s">
        <v>67</v>
      </c>
      <c r="B10285" s="1" t="s">
        <v>68</v>
      </c>
      <c r="C10285" s="1" t="s">
        <v>185</v>
      </c>
      <c r="D10285" s="1" t="s">
        <v>565</v>
      </c>
      <c r="E10285" s="1" t="s">
        <v>8584</v>
      </c>
      <c r="F10285" s="1" t="s">
        <v>14971</v>
      </c>
      <c r="G10285" s="1" t="s">
        <v>36</v>
      </c>
      <c r="H10285" s="1" t="s">
        <v>29</v>
      </c>
      <c r="I10285" s="1" t="str">
        <f ca="1">IFERROR(__xludf.DUMMYFUNCTION("GOOGLETRANSLATE(F10285, ""auto"", ""en"")
"),"Today my daughter and I went to buy an iron. They had no idea what a steam generator was. The consultant explained to us all the advantages, all that remained was to choose which one, they asked us to show everything in action and of course the steam powe"&amp;"r of the delonghi made a great impression. A powerful stream of steam straightened the fabric the first time, unlike others. In general, we bought it, and now we can’t be happier, half of the clothes were definitely ironed, and easily and quickly.")</f>
        <v>Today my daughter and I went to buy an iron. They had no idea what a steam generator was. The consultant explained to us all the advantages, all that remained was to choose which one, they asked us to show everything in action and of course the steam power of the delonghi made a great impression. A powerful stream of steam straightened the fabric the first time, unlike others. In general, we bought it, and now we can’t be happier, half of the clothes were definitely ironed, and easily and quickly.</v>
      </c>
    </row>
    <row r="10286" spans="1:9" x14ac:dyDescent="0.3">
      <c r="A10286" s="1" t="s">
        <v>211</v>
      </c>
      <c r="B10286" s="1" t="s">
        <v>410</v>
      </c>
      <c r="C10286" s="1" t="s">
        <v>213</v>
      </c>
      <c r="D10286" s="1" t="s">
        <v>14972</v>
      </c>
      <c r="E10286" s="1" t="s">
        <v>787</v>
      </c>
      <c r="F10286" s="1" t="s">
        <v>14973</v>
      </c>
      <c r="G10286" s="1" t="s">
        <v>15</v>
      </c>
      <c r="H10286" s="1" t="s">
        <v>16</v>
      </c>
      <c r="I10286" s="1" t="str">
        <f ca="1">IFERROR(__xludf.DUMMYFUNCTION("GOOGLETRANSLATE(F10286, ""auto"", ""en"")
"),"bought it, tried to shave the four-day stubble first, shaved for about fifteen minutes, especially on the neck, it took a lot of time, it seemed clean, but no matter how hard I tried to shave it off, it didn’t work, I had to trim it with a machine, then I"&amp;" shaved the two-day stubble, everything will be better, everything will be clean and faster, it will turn out shorter, it will shave cleaner than a machine, but it will irritate the neck for much longer, although it’s less than with a rotary razor, but it"&amp;" also shave everything off faster, in general, I still can’t figure out which is better Shave, decide for yourself, how the first razor will work")</f>
        <v>bought it, tried to shave the four-day stubble first, shaved for about fifteen minutes, especially on the neck, it took a lot of time, it seemed clean, but no matter how hard I tried to shave it off, it didn’t work, I had to trim it with a machine, then I shaved the two-day stubble, everything will be better, everything will be clean and faster, it will turn out shorter, it will shave cleaner than a machine, but it will irritate the neck for much longer, although it’s less than with a rotary razor, but it also shave everything off faster, in general, I still can’t figure out which is better Shave, decide for yourself, how the first razor will work</v>
      </c>
    </row>
    <row r="10287" spans="1:9" x14ac:dyDescent="0.3">
      <c r="A10287" s="1" t="s">
        <v>211</v>
      </c>
      <c r="B10287" s="1" t="s">
        <v>212</v>
      </c>
      <c r="C10287" s="1" t="s">
        <v>69</v>
      </c>
      <c r="D10287" s="1" t="s">
        <v>1890</v>
      </c>
      <c r="E10287" s="1" t="s">
        <v>1463</v>
      </c>
      <c r="F10287" s="1" t="s">
        <v>14974</v>
      </c>
      <c r="G10287" s="1" t="s">
        <v>36</v>
      </c>
      <c r="H10287" s="1" t="s">
        <v>29</v>
      </c>
      <c r="I10287" s="1" t="str">
        <f ca="1">IFERROR(__xludf.DUMMYFUNCTION("GOOGLETRANSLATE(F10287, ""auto"", ""en"")
"),"An excellent hairdryer, the styling looks good, lasts all day, and is also an excellent alternative to straightening. The only downside is that it dries your hair for quite a long time, but it doesn’t spoil it.")</f>
        <v>An excellent hairdryer, the styling looks good, lasts all day, and is also an excellent alternative to straightening. The only downside is that it dries your hair for quite a long time, but it doesn’t spoil it.</v>
      </c>
    </row>
    <row r="10288" spans="1:9" x14ac:dyDescent="0.3">
      <c r="A10288" s="1" t="s">
        <v>67</v>
      </c>
      <c r="B10288" s="1" t="s">
        <v>68</v>
      </c>
      <c r="C10288" s="1" t="s">
        <v>69</v>
      </c>
      <c r="D10288" s="1" t="s">
        <v>471</v>
      </c>
      <c r="E10288" s="1" t="s">
        <v>13907</v>
      </c>
      <c r="F10288" s="1" t="s">
        <v>14975</v>
      </c>
      <c r="G10288" s="1" t="s">
        <v>36</v>
      </c>
      <c r="H10288" s="1" t="s">
        <v>29</v>
      </c>
      <c r="I10288" s="1" t="str">
        <f ca="1">IFERROR(__xludf.DUMMYFUNCTION("GOOGLETRANSLATE(F10288, ""auto"", ""en"")
"),"An excellent iron, my mother has been using it for four years now, I decided to buy the same one, and I am very pleased. The sole does not stick and irons perfectly. The most important thing is that the anti-drip system works, otherwise I suffered with Te"&amp;"fal.  In general, I'm very pleased.")</f>
        <v>An excellent iron, my mother has been using it for four years now, I decided to buy the same one, and I am very pleased. The sole does not stick and irons perfectly. The most important thing is that the anti-drip system works, otherwise I suffered with Tefal.  In general, I'm very pleased.</v>
      </c>
    </row>
    <row r="10289" spans="1:9" x14ac:dyDescent="0.3">
      <c r="A10289" s="1" t="s">
        <v>43</v>
      </c>
      <c r="B10289" s="1" t="s">
        <v>334</v>
      </c>
      <c r="C10289" s="1" t="s">
        <v>1138</v>
      </c>
      <c r="D10289" s="1" t="s">
        <v>742</v>
      </c>
      <c r="E10289" s="1" t="s">
        <v>2333</v>
      </c>
      <c r="F10289" s="1" t="s">
        <v>14976</v>
      </c>
      <c r="G10289" s="1" t="s">
        <v>36</v>
      </c>
      <c r="H10289" s="1" t="s">
        <v>29</v>
      </c>
      <c r="I10289" s="1" t="str">
        <f ca="1">IFERROR(__xludf.DUMMYFUNCTION("GOOGLETRANSLATE(F10289, ""auto"", ""en"")
"),"We wanted to buy a floor fan. But we accidentally noticed this view. Now we don’t regret our purchase at all.")</f>
        <v>We wanted to buy a floor fan. But we accidentally noticed this view. Now we don’t regret our purchase at all.</v>
      </c>
    </row>
    <row r="10290" spans="1:9" x14ac:dyDescent="0.3">
      <c r="A10290" s="1" t="s">
        <v>9</v>
      </c>
      <c r="B10290" s="1" t="s">
        <v>137</v>
      </c>
      <c r="C10290" s="1" t="s">
        <v>151</v>
      </c>
      <c r="D10290" s="1" t="s">
        <v>653</v>
      </c>
      <c r="E10290" s="1" t="s">
        <v>9665</v>
      </c>
      <c r="F10290" s="1" t="s">
        <v>14977</v>
      </c>
      <c r="G10290" s="1" t="s">
        <v>36</v>
      </c>
      <c r="H10290" s="1" t="s">
        <v>29</v>
      </c>
      <c r="I10290" s="1" t="str">
        <f ca="1">IFERROR(__xludf.DUMMYFUNCTION("GOOGLETRANSLATE(F10290, ""auto"", ""en"")
"),"I can clean everything perfectly, wash it, set it on fire! Of course, you can’t just wash off stains with water, but with special means everything is washed off and does not come back, and the design is super! I'm happy!")</f>
        <v>I can clean everything perfectly, wash it, set it on fire! Of course, you can’t just wash off stains with water, but with special means everything is washed off and does not come back, and the design is super! I'm happy!</v>
      </c>
    </row>
    <row r="10291" spans="1:9" x14ac:dyDescent="0.3">
      <c r="A10291" s="1" t="s">
        <v>17</v>
      </c>
      <c r="B10291" s="1" t="s">
        <v>18</v>
      </c>
      <c r="C10291" s="1" t="s">
        <v>290</v>
      </c>
      <c r="D10291" s="1" t="s">
        <v>139</v>
      </c>
      <c r="E10291" s="1" t="s">
        <v>1086</v>
      </c>
      <c r="F10291" s="1" t="s">
        <v>14978</v>
      </c>
      <c r="G10291" s="1" t="s">
        <v>28</v>
      </c>
      <c r="H10291" s="1" t="s">
        <v>29</v>
      </c>
      <c r="I10291" s="1" t="str">
        <f ca="1">IFERROR(__xludf.DUMMYFUNCTION("GOOGLETRANSLATE(F10291, ""auto"", ""en"")
"),"We bought it a week ago on sale for 10,990. The machine seems to be quite good, of course I can’t help but agree that the sound of the pump when pumping out water is really very tiring, it feels like something is wrong with the machine, but after reading "&amp;"the reviews it became clear that this was just such a flaw.   I was also very surprised and outraged by the fact that the machine’s pre-wash mode is only available at a washing temperature of 60 degrees. Maybe, of course, I don’t understand something, but"&amp;" in my opinion this shouldn’t happen.   What if I need to wash dirty laundry at 95 degrees? (The machine will continue to boil it in the dirty water that was originally poured in!!!). In my opinion, this is a serious flaw for this model.")</f>
        <v>We bought it a week ago on sale for 10,990. The machine seems to be quite good, of course I can’t help but agree that the sound of the pump when pumping out water is really very tiring, it feels like something is wrong with the machine, but after reading the reviews it became clear that this was just such a flaw.   I was also very surprised and outraged by the fact that the machine’s pre-wash mode is only available at a washing temperature of 60 degrees. Maybe, of course, I don’t understand something, but in my opinion this shouldn’t happen.   What if I need to wash dirty laundry at 95 degrees? (The machine will continue to boil it in the dirty water that was originally poured in!!!). In my opinion, this is a serious flaw for this model.</v>
      </c>
    </row>
    <row r="10292" spans="1:9" x14ac:dyDescent="0.3">
      <c r="A10292" s="1" t="s">
        <v>477</v>
      </c>
      <c r="B10292" s="1" t="s">
        <v>478</v>
      </c>
      <c r="C10292" s="1" t="s">
        <v>479</v>
      </c>
      <c r="D10292" s="1" t="s">
        <v>5509</v>
      </c>
      <c r="E10292" s="1" t="s">
        <v>3664</v>
      </c>
      <c r="F10292" s="1" t="s">
        <v>14979</v>
      </c>
      <c r="G10292" s="1" t="s">
        <v>28</v>
      </c>
      <c r="H10292" s="1" t="s">
        <v>29</v>
      </c>
      <c r="I10292" s="1" t="str">
        <f ca="1">IFERROR(__xludf.DUMMYFUNCTION("GOOGLETRANSLATE(F10292, ""auto"", ""en"")
"),"A very entertaining game. With very average graphics, the plot can be very captivating, and after sitting down at the computer for a couple of hours at 8 pm, you will be surprised to find that having captured the next lock on the clock it is already 5 am."&amp;" Having chosen one of the states and swearing allegiance to it, you need to go from a simple ragamuffin knight to an army marshal (it’s funny in the role of a marshal to come to the King and tell him “follow me”). However, there are also a lot of disadvan"&amp;"tages. There is also a lack of interesting quests, there is no logical conclusion to the war (you cannot destroy the enemy state, even after capturing all the castles), you cannot become a king or found your own state. But due to the fact that an add-on w"&amp;"ill soon appear on the shelves, where both firearms and more advanced features will appear, it’s worth buying this game (or at least downloading the demo version).")</f>
        <v>A very entertaining game. With very average graphics, the plot can be very captivating, and after sitting down at the computer for a couple of hours at 8 pm, you will be surprised to find that having captured the next lock on the clock it is already 5 am. Having chosen one of the states and swearing allegiance to it, you need to go from a simple ragamuffin knight to an army marshal (it’s funny in the role of a marshal to come to the King and tell him “follow me”). However, there are also a lot of disadvantages. There is also a lack of interesting quests, there is no logical conclusion to the war (you cannot destroy the enemy state, even after capturing all the castles), you cannot become a king or found your own state. But due to the fact that an add-on will soon appear on the shelves, where both firearms and more advanced features will appear, it’s worth buying this game (or at least downloading the demo version).</v>
      </c>
    </row>
    <row r="10293" spans="1:9" x14ac:dyDescent="0.3">
      <c r="A10293" s="1" t="s">
        <v>169</v>
      </c>
      <c r="B10293" s="1" t="s">
        <v>170</v>
      </c>
      <c r="C10293" s="1" t="s">
        <v>122</v>
      </c>
      <c r="D10293" s="1" t="s">
        <v>14980</v>
      </c>
      <c r="E10293" s="1" t="s">
        <v>254</v>
      </c>
      <c r="F10293" s="1" t="s">
        <v>14981</v>
      </c>
      <c r="G10293" s="1" t="s">
        <v>36</v>
      </c>
      <c r="H10293" s="1" t="s">
        <v>29</v>
      </c>
      <c r="I10293" s="1" t="str">
        <f ca="1">IFERROR(__xludf.DUMMYFUNCTION("GOOGLETRANSLATE(F10293, ""auto"", ""en"")
"),"Great headphones. I bought it about 4 years ago in a blue case. Good sound quality. I listened to them mainly to rock, club and drum. Bass is good. Recently, an earphone became loose, I took some tape, wrapped it around the retainer from the inside, and n"&amp;"ow they will serve me just as long)")</f>
        <v>Great headphones. I bought it about 4 years ago in a blue case. Good sound quality. I listened to them mainly to rock, club and drum. Bass is good. Recently, an earphone became loose, I took some tape, wrapped it around the retainer from the inside, and now they will serve me just as long)</v>
      </c>
    </row>
    <row r="10294" spans="1:9" x14ac:dyDescent="0.3">
      <c r="A10294" s="1" t="s">
        <v>55</v>
      </c>
      <c r="B10294" s="1" t="s">
        <v>184</v>
      </c>
      <c r="C10294" s="1" t="s">
        <v>45</v>
      </c>
      <c r="D10294" s="1" t="s">
        <v>308</v>
      </c>
      <c r="E10294" s="1" t="s">
        <v>1374</v>
      </c>
      <c r="F10294" s="1" t="s">
        <v>14982</v>
      </c>
      <c r="G10294" s="1" t="s">
        <v>49</v>
      </c>
      <c r="H10294" s="1" t="s">
        <v>16</v>
      </c>
      <c r="I10294" s="1" t="str">
        <f ca="1">IFERROR(__xludf.DUMMYFUNCTION("GOOGLETRANSLATE(F10294, ""auto"", ""en"")
"),"I can’t stand the smell of plastic, I’ll go return it tomorrow")</f>
        <v>I can’t stand the smell of plastic, I’ll go return it tomorrow</v>
      </c>
    </row>
    <row r="10295" spans="1:9" x14ac:dyDescent="0.3">
      <c r="A10295" s="1" t="s">
        <v>211</v>
      </c>
      <c r="B10295" s="1" t="s">
        <v>384</v>
      </c>
      <c r="C10295" s="1" t="s">
        <v>246</v>
      </c>
      <c r="D10295" s="1" t="s">
        <v>1171</v>
      </c>
      <c r="E10295" s="1" t="s">
        <v>3284</v>
      </c>
      <c r="F10295" s="1" t="s">
        <v>14983</v>
      </c>
      <c r="G10295" s="1" t="s">
        <v>36</v>
      </c>
      <c r="H10295" s="1" t="s">
        <v>29</v>
      </c>
      <c r="I10295" s="1" t="str">
        <f ca="1">IFERROR(__xludf.DUMMYFUNCTION("GOOGLETRANSLATE(F10295, ""auto"", ""en"")
"),"I bought the scales 1.5 years ago when I became pregnant. The error is +-100 g. In order to avoid large errors (like Marina), they must be used at room temperature and on a hard surface. I am very pleased with the scales.")</f>
        <v>I bought the scales 1.5 years ago when I became pregnant. The error is +-100 g. In order to avoid large errors (like Marina), they must be used at room temperature and on a hard surface. I am very pleased with the scales.</v>
      </c>
    </row>
    <row r="10296" spans="1:9" x14ac:dyDescent="0.3">
      <c r="A10296" s="1" t="s">
        <v>95</v>
      </c>
      <c r="B10296" s="1" t="s">
        <v>486</v>
      </c>
      <c r="C10296" s="1" t="s">
        <v>487</v>
      </c>
      <c r="D10296" s="1" t="s">
        <v>52</v>
      </c>
      <c r="E10296" s="1" t="s">
        <v>5949</v>
      </c>
      <c r="F10296" s="1" t="s">
        <v>14984</v>
      </c>
      <c r="G10296" s="1" t="s">
        <v>36</v>
      </c>
      <c r="H10296" s="1" t="s">
        <v>29</v>
      </c>
      <c r="I10296" s="1" t="str">
        <f ca="1">IFERROR(__xludf.DUMMYFUNCTION("GOOGLETRANSLATE(F10296, ""auto"", ""en"")
"),"I bought it, I’m happy)) I connected it to both the TV and the monitor (with an additional cable). Set-top box for 5+")</f>
        <v>I bought it, I’m happy)) I connected it to both the TV and the monitor (with an additional cable). Set-top box for 5+</v>
      </c>
    </row>
    <row r="10297" spans="1:9" x14ac:dyDescent="0.3">
      <c r="A10297" s="1" t="s">
        <v>61</v>
      </c>
      <c r="B10297" s="1" t="s">
        <v>318</v>
      </c>
      <c r="C10297" s="1" t="s">
        <v>57</v>
      </c>
      <c r="D10297" s="1" t="s">
        <v>14985</v>
      </c>
      <c r="E10297" s="1" t="s">
        <v>4342</v>
      </c>
      <c r="F10297" s="1" t="s">
        <v>14986</v>
      </c>
      <c r="G10297" s="1" t="s">
        <v>36</v>
      </c>
      <c r="H10297" s="1" t="s">
        <v>29</v>
      </c>
      <c r="I10297" s="1" t="str">
        <f ca="1">IFERROR(__xludf.DUMMYFUNCTION("GOOGLETRANSLATE(F10297, ""auto"", ""en"")
"),"Price, well assembled, press the button and a whole mug is poured, no need to press several times :), water boils in 16-18 minutes, quite decent for a thermopot, not noisy, no dripping from the faucet :)")</f>
        <v>Price, well assembled, press the button and a whole mug is poured, no need to press several times :), water boils in 16-18 minutes, quite decent for a thermopot, not noisy, no dripping from the faucet :)</v>
      </c>
    </row>
    <row r="10298" spans="1:9" x14ac:dyDescent="0.3">
      <c r="A10298" s="1" t="s">
        <v>61</v>
      </c>
      <c r="B10298" s="1" t="s">
        <v>73</v>
      </c>
      <c r="C10298" s="1" t="s">
        <v>146</v>
      </c>
      <c r="D10298" s="1" t="s">
        <v>14987</v>
      </c>
      <c r="E10298" s="1" t="s">
        <v>1467</v>
      </c>
      <c r="F10298" s="1" t="s">
        <v>14988</v>
      </c>
      <c r="G10298" s="1" t="s">
        <v>36</v>
      </c>
      <c r="H10298" s="1" t="s">
        <v>29</v>
      </c>
      <c r="I10298" s="1" t="str">
        <f ca="1">IFERROR(__xludf.DUMMYFUNCTION("GOOGLETRANSLATE(F10298, ""auto"", ""en"")
"),"The unit works like an A. The appearance and quality of the parts inspire confidence. It has been working for more than 2 years and quite often (I love cutlets, dumplings, mantiki, etc.)) During this time, nothing happened that could be called an “emergen"&amp;"cy” situation. A recipe book + a convenient container for collecting minced meat that falls out of the meat grinder make this device the most advantageous compared to others. And the appearance, in my opinion Looks pretty good...")</f>
        <v>The unit works like an A. The appearance and quality of the parts inspire confidence. It has been working for more than 2 years and quite often (I love cutlets, dumplings, mantiki, etc.)) During this time, nothing happened that could be called an “emergency” situation. A recipe book + a convenient container for collecting minced meat that falls out of the meat grinder make this device the most advantageous compared to others. And the appearance, in my opinion Looks pretty good...</v>
      </c>
    </row>
    <row r="10299" spans="1:9" x14ac:dyDescent="0.3">
      <c r="A10299" s="1" t="s">
        <v>78</v>
      </c>
      <c r="B10299" s="1" t="s">
        <v>493</v>
      </c>
      <c r="C10299" s="1" t="s">
        <v>80</v>
      </c>
      <c r="D10299" s="1" t="s">
        <v>1506</v>
      </c>
      <c r="E10299" s="1" t="s">
        <v>6939</v>
      </c>
      <c r="F10299" s="1" t="s">
        <v>14989</v>
      </c>
      <c r="G10299" s="1" t="s">
        <v>49</v>
      </c>
      <c r="H10299" s="1" t="s">
        <v>16</v>
      </c>
      <c r="I10299" s="1" t="str">
        <f ca="1">IFERROR(__xludf.DUMMYFUNCTION("GOOGLETRANSLATE(F10299, ""auto"", ""en"")
"),"After installation, I discovered that the door was skewed - it did not close tightly. A more detailed examination showed that on the left, where the hinges are, there is a huge gap and it feels like there is a gasket missing.  When they turned it on, it t"&amp;"urned out that even with the door closed, the light inside was on and (!!!) the plate was moving (even though they didn’t plug anything in except the cable into the socket). I looked at 2 more of the same stoves, the front panel of one was falling off, I "&amp;"didn’t look at it in more detail. The second one looked normal, but I took one with similar functions from another manufacturer.  If you still decide to purchase this model, inspect it immediately in the store, or even better, plug it into the network the"&amp;"re))). To the M-Video store for a hassle-free and instant exchange - thank you")</f>
        <v>After installation, I discovered that the door was skewed - it did not close tightly. A more detailed examination showed that on the left, where the hinges are, there is a huge gap and it feels like there is a gasket missing.  When they turned it on, it turned out that even with the door closed, the light inside was on and (!!!) the plate was moving (even though they didn’t plug anything in except the cable into the socket). I looked at 2 more of the same stoves, the front panel of one was falling off, I didn’t look at it in more detail. The second one looked normal, but I took one with similar functions from another manufacturer.  If you still decide to purchase this model, inspect it immediately in the store, or even better, plug it into the network there))). To the M-Video store for a hassle-free and instant exchange - thank you</v>
      </c>
    </row>
    <row r="10300" spans="1:9" x14ac:dyDescent="0.3">
      <c r="A10300" s="1" t="s">
        <v>211</v>
      </c>
      <c r="B10300" s="1" t="s">
        <v>212</v>
      </c>
      <c r="C10300" s="1" t="s">
        <v>381</v>
      </c>
      <c r="D10300" s="1" t="s">
        <v>295</v>
      </c>
      <c r="E10300" s="1" t="s">
        <v>2926</v>
      </c>
      <c r="F10300" s="1" t="s">
        <v>14990</v>
      </c>
      <c r="G10300" s="1" t="s">
        <v>36</v>
      </c>
      <c r="H10300" s="1" t="s">
        <v>29</v>
      </c>
      <c r="I10300" s="1" t="str">
        <f ca="1">IFERROR(__xludf.DUMMYFUNCTION("GOOGLETRANSLATE(F10300, ""auto"", ""en"")
"),"The hairdryer is excellent, good power, two attachments in one, very convenient. I use it with pleasure.")</f>
        <v>The hairdryer is excellent, good power, two attachments in one, very convenient. I use it with pleasure.</v>
      </c>
    </row>
    <row r="10301" spans="1:9" x14ac:dyDescent="0.3">
      <c r="A10301" s="1" t="s">
        <v>17</v>
      </c>
      <c r="B10301" s="1" t="s">
        <v>18</v>
      </c>
      <c r="C10301" s="1" t="s">
        <v>885</v>
      </c>
      <c r="D10301" s="1" t="s">
        <v>152</v>
      </c>
      <c r="E10301" s="1" t="s">
        <v>3333</v>
      </c>
      <c r="F10301" s="1" t="s">
        <v>14991</v>
      </c>
      <c r="G10301" s="1" t="s">
        <v>28</v>
      </c>
      <c r="H10301" s="1" t="s">
        <v>29</v>
      </c>
      <c r="I10301" s="1" t="str">
        <f ca="1">IFERROR(__xludf.DUMMYFUNCTION("GOOGLETRANSLATE(F10301, ""auto"", ""en"")
"),"The car is from Lipetsk, not bad for the price they are asking for it, a solid four. After two years of operation, it was noticed that there is vibration and to reduce it you need an absolutely flat floor, preferably tiled or parquet. There was one glitch"&amp;" in the program, but after restarting everything returned to normal. So it's a pretty good car.")</f>
        <v>The car is from Lipetsk, not bad for the price they are asking for it, a solid four. After two years of operation, it was noticed that there is vibration and to reduce it you need an absolutely flat floor, preferably tiled or parquet. There was one glitch in the program, but after restarting everything returned to normal. So it's a pretty good car.</v>
      </c>
    </row>
    <row r="10302" spans="1:9" x14ac:dyDescent="0.3">
      <c r="A10302" s="1" t="s">
        <v>9</v>
      </c>
      <c r="B10302" s="1" t="s">
        <v>137</v>
      </c>
      <c r="C10302" s="1" t="s">
        <v>63</v>
      </c>
      <c r="D10302" s="1" t="s">
        <v>308</v>
      </c>
      <c r="E10302" s="1" t="s">
        <v>1212</v>
      </c>
      <c r="F10302" s="1" t="s">
        <v>14992</v>
      </c>
      <c r="G10302" s="1" t="s">
        <v>36</v>
      </c>
      <c r="H10302" s="1" t="s">
        <v>29</v>
      </c>
      <c r="I10302" s="1" t="str">
        <f ca="1">IFERROR(__xludf.DUMMYFUNCTION("GOOGLETRANSLATE(F10302, ""auto"", ""en"")
"),"I've been using it for 5 months. - I really like it! Heats up quickly, the residual heat mode is a convenient thing! Cocoa and porridge burned, everything was cleaned, the panel was not damaged :) the design is simple and laconic.")</f>
        <v>I've been using it for 5 months. - I really like it! Heats up quickly, the residual heat mode is a convenient thing! Cocoa and porridge burned, everything was cleaned, the panel was not damaged :) the design is simple and laconic.</v>
      </c>
    </row>
    <row r="10303" spans="1:9" x14ac:dyDescent="0.3">
      <c r="A10303" s="1" t="s">
        <v>9</v>
      </c>
      <c r="B10303" s="1" t="s">
        <v>10</v>
      </c>
      <c r="C10303" s="1" t="s">
        <v>407</v>
      </c>
      <c r="D10303" s="1" t="s">
        <v>186</v>
      </c>
      <c r="E10303" s="1" t="s">
        <v>2197</v>
      </c>
      <c r="F10303" s="1" t="s">
        <v>14993</v>
      </c>
      <c r="G10303" s="1" t="s">
        <v>36</v>
      </c>
      <c r="H10303" s="1" t="s">
        <v>29</v>
      </c>
      <c r="I10303" s="1" t="str">
        <f ca="1">IFERROR(__xludf.DUMMYFUNCTION("GOOGLETRANSLATE(F10303, ""auto"", ""en"")
"),"Very pleased with the purchase. The hood does its job perfectly and even a little more. It works very quietly even at maximum speed. Eliminates all unpleasant odors and, as a bonus, very bright lamps - can be used as an extra. lighting.")</f>
        <v>Very pleased with the purchase. The hood does its job perfectly and even a little more. It works very quietly even at maximum speed. Eliminates all unpleasant odors and, as a bonus, very bright lamps - can be used as an extra. lighting.</v>
      </c>
    </row>
    <row r="10304" spans="1:9" x14ac:dyDescent="0.3">
      <c r="A10304" s="1" t="s">
        <v>624</v>
      </c>
      <c r="B10304" s="1" t="s">
        <v>625</v>
      </c>
      <c r="C10304" s="1" t="s">
        <v>479</v>
      </c>
      <c r="D10304" s="1" t="s">
        <v>152</v>
      </c>
      <c r="E10304" s="1" t="s">
        <v>1589</v>
      </c>
      <c r="F10304" s="1" t="s">
        <v>14994</v>
      </c>
      <c r="G10304" s="1" t="s">
        <v>36</v>
      </c>
      <c r="H10304" s="1" t="s">
        <v>29</v>
      </c>
      <c r="I10304" s="1" t="str">
        <f ca="1">IFERROR(__xludf.DUMMYFUNCTION("GOOGLETRANSLATE(F10304, ""auto"", ""en"")
"),"The toy is simply unreal, I played the first and second parts several times on the PlayStation 2. As soon as I picked up the PlayStation 3, I immediately bought the God of War trilogy. This game is a must have for everyone who has a PS 3.")</f>
        <v>The toy is simply unreal, I played the first and second parts several times on the PlayStation 2. As soon as I picked up the PlayStation 3, I immediately bought the God of War trilogy. This game is a must have for everyone who has a PS 3.</v>
      </c>
    </row>
    <row r="10305" spans="1:9" x14ac:dyDescent="0.3">
      <c r="A10305" s="1" t="s">
        <v>61</v>
      </c>
      <c r="B10305" s="1" t="s">
        <v>318</v>
      </c>
      <c r="C10305" s="1" t="s">
        <v>101</v>
      </c>
      <c r="D10305" s="1" t="s">
        <v>589</v>
      </c>
      <c r="E10305" s="1" t="s">
        <v>14995</v>
      </c>
      <c r="F10305" s="1" t="s">
        <v>14996</v>
      </c>
      <c r="G10305" s="1" t="s">
        <v>28</v>
      </c>
      <c r="H10305" s="1" t="s">
        <v>29</v>
      </c>
      <c r="I10305" s="1" t="str">
        <f ca="1">IFERROR(__xludf.DUMMYFUNCTION("GOOGLETRANSLATE(F10305, ""auto"", ""en"")
"),"A beautiful, stylish, comfortable kettle, boils quickly, does not make much noise, and the water has no odors. The minus gets very hot, but if you are careful this is not a problem, I am happy with the purchase.")</f>
        <v>A beautiful, stylish, comfortable kettle, boils quickly, does not make much noise, and the water has no odors. The minus gets very hot, but if you are careful this is not a problem, I am happy with the purchase.</v>
      </c>
    </row>
    <row r="10306" spans="1:9" x14ac:dyDescent="0.3">
      <c r="A10306" s="1" t="s">
        <v>61</v>
      </c>
      <c r="B10306" s="1" t="s">
        <v>73</v>
      </c>
      <c r="C10306" s="1" t="s">
        <v>101</v>
      </c>
      <c r="D10306" s="1" t="s">
        <v>5680</v>
      </c>
      <c r="E10306" s="1" t="s">
        <v>715</v>
      </c>
      <c r="F10306" s="1" t="s">
        <v>14997</v>
      </c>
      <c r="G10306" s="1" t="s">
        <v>36</v>
      </c>
      <c r="H10306" s="1" t="s">
        <v>29</v>
      </c>
      <c r="I10306" s="1" t="str">
        <f ca="1">IFERROR(__xludf.DUMMYFUNCTION("GOOGLETRANSLATE(F10306, ""auto"", ""en"")
"),"We bought it today, ground the meat very quickly and normally, not plasticine, quite normal minced meat.")</f>
        <v>We bought it today, ground the meat very quickly and normally, not plasticine, quite normal minced meat.</v>
      </c>
    </row>
    <row r="10307" spans="1:9" x14ac:dyDescent="0.3">
      <c r="A10307" s="1" t="s">
        <v>30</v>
      </c>
      <c r="B10307" s="1" t="s">
        <v>50</v>
      </c>
      <c r="C10307" s="1" t="s">
        <v>32</v>
      </c>
      <c r="D10307" s="1" t="s">
        <v>14998</v>
      </c>
      <c r="E10307" s="1" t="s">
        <v>3509</v>
      </c>
      <c r="F10307" s="1" t="s">
        <v>14999</v>
      </c>
      <c r="G10307" s="1" t="s">
        <v>36</v>
      </c>
      <c r="H10307" s="1" t="s">
        <v>29</v>
      </c>
      <c r="I10307" s="1" t="str">
        <f ca="1">IFERROR(__xludf.DUMMYFUNCTION("GOOGLETRANSLATE(F10307, ""auto"", ""en"")
"),"the laptop is just super!!! took it for 28,000r. I don’t even need bluetooth, I didn’t even notice its absence... for those who haven’t figured out why there is a bluetooth start button, but there’s no point. This is because the laptop is assembled in dif"&amp;"ferent configurations, and the case is identical for all... I agree with the processor with all satisfied users... the version costs higher than indicated in the specifications... the processor architecture, as far as I understand, is also higher than ind"&amp;"icated, it is not a 32-bit system installed, but a 64-bit one, and this pleasantly surprised me... and the laptop never ceases to please me... I recommend it to everyone... and good use, friends!!!)))")</f>
        <v>the laptop is just super!!! took it for 28,000r. I don’t even need bluetooth, I didn’t even notice its absence... for those who haven’t figured out why there is a bluetooth start button, but there’s no point. This is because the laptop is assembled in different configurations, and the case is identical for all... I agree with the processor with all satisfied users... the version costs higher than indicated in the specifications... the processor architecture, as far as I understand, is also higher than indicated, it is not a 32-bit system installed, but a 64-bit one, and this pleasantly surprised me... and the laptop never ceases to please me... I recommend it to everyone... and good use, friends!!!)))</v>
      </c>
    </row>
    <row r="10308" spans="1:9" x14ac:dyDescent="0.3">
      <c r="A10308" s="1" t="s">
        <v>211</v>
      </c>
      <c r="B10308" s="1" t="s">
        <v>410</v>
      </c>
      <c r="C10308" s="1" t="s">
        <v>122</v>
      </c>
      <c r="D10308" s="1" t="s">
        <v>152</v>
      </c>
      <c r="E10308" s="1" t="s">
        <v>285</v>
      </c>
      <c r="F10308" s="1" t="s">
        <v>15000</v>
      </c>
      <c r="G10308" s="1" t="s">
        <v>28</v>
      </c>
      <c r="H10308" s="1" t="s">
        <v>29</v>
      </c>
      <c r="I10308" s="1" t="str">
        <f ca="1">IFERROR(__xludf.DUMMYFUNCTION("GOOGLETRANSLATE(F10308, ""auto"", ""en"")
"),"The razor is quite good, very simple and easy to use and clean. You can clean under running water and don't have to worry about anything. I really like it!")</f>
        <v>The razor is quite good, very simple and easy to use and clean. You can clean under running water and don't have to worry about anything. I really like it!</v>
      </c>
    </row>
    <row r="10309" spans="1:9" x14ac:dyDescent="0.3">
      <c r="A10309" s="1" t="s">
        <v>37</v>
      </c>
      <c r="B10309" s="1" t="s">
        <v>38</v>
      </c>
      <c r="C10309" s="1" t="s">
        <v>151</v>
      </c>
      <c r="D10309" s="1" t="s">
        <v>891</v>
      </c>
      <c r="E10309" s="1" t="s">
        <v>2341</v>
      </c>
      <c r="F10309" s="1" t="s">
        <v>15001</v>
      </c>
      <c r="G10309" s="1" t="s">
        <v>36</v>
      </c>
      <c r="H10309" s="1" t="s">
        <v>29</v>
      </c>
      <c r="I10309" s="1" t="str">
        <f ca="1">IFERROR(__xludf.DUMMYFUNCTION("GOOGLETRANSLATE(F10309, ""auto"", ""en"")
"),"Hi all!  I bought this phone for myself, overall I am very pleased.  The phone is good, I would even say excellent!  There is everything a person needs!  It has everything, bluetooth, internet, games, camera, flash, and it itself is made of metal!  I am v"&amp;"ery pleased!!!!!!!!!!!!!!!!")</f>
        <v>Hi all!  I bought this phone for myself, overall I am very pleased.  The phone is good, I would even say excellent!  There is everything a person needs!  It has everything, bluetooth, internet, games, camera, flash, and it itself is made of metal!  I am very pleased!!!!!!!!!!!!!!!!</v>
      </c>
    </row>
    <row r="10310" spans="1:9" x14ac:dyDescent="0.3">
      <c r="A10310" s="1" t="s">
        <v>206</v>
      </c>
      <c r="B10310" s="1" t="s">
        <v>207</v>
      </c>
      <c r="C10310" s="1" t="s">
        <v>97</v>
      </c>
      <c r="D10310" s="1" t="s">
        <v>15002</v>
      </c>
      <c r="E10310" s="1" t="s">
        <v>3475</v>
      </c>
      <c r="F10310" s="1" t="s">
        <v>15003</v>
      </c>
      <c r="G10310" s="1" t="s">
        <v>36</v>
      </c>
      <c r="H10310" s="1" t="s">
        <v>29</v>
      </c>
      <c r="I10310" s="1" t="str">
        <f ca="1">IFERROR(__xludf.DUMMYFUNCTION("GOOGLETRANSLATE(F10310, ""auto"", ""en"")
"),"Installed with a SONY Xplod XM-N502 amplifier in an Opel Astra J car, a standard radio, the linear signal is taken from the rear speakers, without losing the power of the speakers themselves, the amplifier is installed at half, i.e., according to the manu"&amp;"facturer's testimony, half of the bridge maximum 500W = 250W, it hammers so much that it rings in the ears, eyebrows and eyelashes shake. I am completely satisfied with the purchase, I recommend it!! Competitors do not produce even half of what Sonya can "&amp;"do!!!")</f>
        <v>Installed with a SONY Xplod XM-N502 amplifier in an Opel Astra J car, a standard radio, the linear signal is taken from the rear speakers, without losing the power of the speakers themselves, the amplifier is installed at half, i.e., according to the manufacturer's testimony, half of the bridge maximum 500W = 250W, it hammers so much that it rings in the ears, eyebrows and eyelashes shake. I am completely satisfied with the purchase, I recommend it!! Competitors do not produce even half of what Sonya can do!!!</v>
      </c>
    </row>
    <row r="10311" spans="1:9" x14ac:dyDescent="0.3">
      <c r="A10311" s="1" t="s">
        <v>105</v>
      </c>
      <c r="B10311" s="1" t="s">
        <v>106</v>
      </c>
      <c r="C10311" s="1" t="s">
        <v>97</v>
      </c>
      <c r="D10311" s="1" t="s">
        <v>15004</v>
      </c>
      <c r="E10311" s="1" t="s">
        <v>4898</v>
      </c>
      <c r="F10311" s="1" t="s">
        <v>15005</v>
      </c>
      <c r="G10311" s="1" t="s">
        <v>36</v>
      </c>
      <c r="H10311" s="1" t="s">
        <v>29</v>
      </c>
      <c r="I10311" s="1" t="str">
        <f ca="1">IFERROR(__xludf.DUMMYFUNCTION("GOOGLETRANSLATE(F10311, ""auto"", ""en"")
"),"Undoubted advantages - a very capacious battery, with a charge level one stroke plays at full volume for another hour and a half to two; convenient intuitive menu.  The downside is the only video format for playback (*.mp4, and not all of them).")</f>
        <v>Undoubted advantages - a very capacious battery, with a charge level one stroke plays at full volume for another hour and a half to two; convenient intuitive menu.  The downside is the only video format for playback (*.mp4, and not all of them).</v>
      </c>
    </row>
    <row r="10312" spans="1:9" x14ac:dyDescent="0.3">
      <c r="A10312" s="1" t="s">
        <v>169</v>
      </c>
      <c r="B10312" s="1" t="s">
        <v>170</v>
      </c>
      <c r="C10312" s="1" t="s">
        <v>122</v>
      </c>
      <c r="D10312" s="1" t="s">
        <v>280</v>
      </c>
      <c r="E10312" s="1" t="s">
        <v>15006</v>
      </c>
      <c r="F10312" s="1" t="s">
        <v>15007</v>
      </c>
      <c r="G10312" s="1" t="s">
        <v>36</v>
      </c>
      <c r="H10312" s="1" t="s">
        <v>29</v>
      </c>
      <c r="I10312" s="1" t="str">
        <f ca="1">IFERROR(__xludf.DUMMYFUNCTION("GOOGLETRANSLATE(F10312, ""auto"", ""en"")
"),"The best headphones for the price!!")</f>
        <v>The best headphones for the price!!</v>
      </c>
    </row>
    <row r="10313" spans="1:9" x14ac:dyDescent="0.3">
      <c r="A10313" s="1" t="s">
        <v>477</v>
      </c>
      <c r="B10313" s="1" t="s">
        <v>478</v>
      </c>
      <c r="C10313" s="1" t="s">
        <v>479</v>
      </c>
      <c r="D10313" s="1" t="s">
        <v>1008</v>
      </c>
      <c r="E10313" s="1" t="s">
        <v>2176</v>
      </c>
      <c r="F10313" s="1" t="s">
        <v>15008</v>
      </c>
      <c r="G10313" s="1" t="s">
        <v>28</v>
      </c>
      <c r="H10313" s="1" t="s">
        <v>29</v>
      </c>
      <c r="I10313" s="1" t="str">
        <f ca="1">IFERROR(__xludf.DUMMYFUNCTION("GOOGLETRANSLATE(F10313, ""auto"", ""en"")
"),"The game is good, there are tons of reviews about it. But about the product - Registering on the Internet will not be easy. Game for Windows LIVE is not supported in Russia. I spent several days until I found out that I had to register as if I was from an"&amp;"other country. I lied that I was in the USA, and I made money! This is not what I expected from a licensed game! :(")</f>
        <v>The game is good, there are tons of reviews about it. But about the product - Registering on the Internet will not be easy. Game for Windows LIVE is not supported in Russia. I spent several days until I found out that I had to register as if I was from another country. I lied that I was in the USA, and I made money! This is not what I expected from a licensed game! :(</v>
      </c>
    </row>
    <row r="10314" spans="1:9" x14ac:dyDescent="0.3">
      <c r="A10314" s="1" t="s">
        <v>61</v>
      </c>
      <c r="B10314" s="1" t="s">
        <v>977</v>
      </c>
      <c r="C10314" s="1" t="s">
        <v>85</v>
      </c>
      <c r="D10314" s="1" t="s">
        <v>5431</v>
      </c>
      <c r="E10314" s="1" t="s">
        <v>15009</v>
      </c>
      <c r="F10314" s="1" t="s">
        <v>15010</v>
      </c>
      <c r="G10314" s="1" t="s">
        <v>36</v>
      </c>
      <c r="H10314" s="1" t="s">
        <v>29</v>
      </c>
      <c r="I10314" s="1" t="str">
        <f ca="1">IFERROR(__xludf.DUMMYFUNCTION("GOOGLETRANSLATE(F10314, ""auto"", ""en"")
"),"Grinds and mixes everything very quickly")</f>
        <v>Grinds and mixes everything very quickly</v>
      </c>
    </row>
    <row r="10315" spans="1:9" x14ac:dyDescent="0.3">
      <c r="A10315" s="1" t="s">
        <v>61</v>
      </c>
      <c r="B10315" s="1" t="s">
        <v>318</v>
      </c>
      <c r="C10315" s="1" t="s">
        <v>246</v>
      </c>
      <c r="D10315" s="1" t="s">
        <v>171</v>
      </c>
      <c r="E10315" s="1" t="s">
        <v>1929</v>
      </c>
      <c r="F10315" s="1" t="s">
        <v>15011</v>
      </c>
      <c r="G10315" s="1" t="s">
        <v>36</v>
      </c>
      <c r="H10315" s="1" t="s">
        <v>29</v>
      </c>
      <c r="I10315" s="1" t="str">
        <f ca="1">IFERROR(__xludf.DUMMYFUNCTION("GOOGLETRANSLATE(F10315, ""auto"", ""en"")
"),"one worked for almost 5 years, fell unsuccessfully on the floor, the power button broke, but overall it warms the water, now we are taking the same second one, other options are not even considered, I recommend it to everyone")</f>
        <v>one worked for almost 5 years, fell unsuccessfully on the floor, the power button broke, but overall it warms the water, now we are taking the same second one, other options are not even considered, I recommend it to everyone</v>
      </c>
    </row>
    <row r="10316" spans="1:9" x14ac:dyDescent="0.3">
      <c r="A10316" s="1" t="s">
        <v>61</v>
      </c>
      <c r="B10316" s="1" t="s">
        <v>145</v>
      </c>
      <c r="C10316" s="1" t="s">
        <v>85</v>
      </c>
      <c r="D10316" s="1" t="s">
        <v>545</v>
      </c>
      <c r="E10316" s="1" t="s">
        <v>4472</v>
      </c>
      <c r="F10316" s="1" t="s">
        <v>15012</v>
      </c>
      <c r="G10316" s="1" t="s">
        <v>49</v>
      </c>
      <c r="H10316" s="1" t="s">
        <v>16</v>
      </c>
      <c r="I10316" s="1" t="str">
        <f ca="1">IFERROR(__xludf.DUMMYFUNCTION("GOOGLETRANSLATE(F10316, ""auto"", ""en"")
"),"I’ve been using this steamer for a week, and I’m tired of pouring liquid out of the pan, although the cooking time is only 25 minutes. And to pour out of the pan, you need to turn off the steamer, take a hot pan, filled to the top. Water boils away quickl"&amp;"y. And another disadvantage of this steamer is that water leaks onto the table. Nothing but trouble.")</f>
        <v>I’ve been using this steamer for a week, and I’m tired of pouring liquid out of the pan, although the cooking time is only 25 minutes. And to pour out of the pan, you need to turn off the steamer, take a hot pan, filled to the top. Water boils away quickly. And another disadvantage of this steamer is that water leaks onto the table. Nothing but trouble.</v>
      </c>
    </row>
    <row r="10317" spans="1:9" x14ac:dyDescent="0.3">
      <c r="A10317" s="1" t="s">
        <v>67</v>
      </c>
      <c r="B10317" s="1" t="s">
        <v>68</v>
      </c>
      <c r="C10317" s="1" t="s">
        <v>381</v>
      </c>
      <c r="D10317" s="1" t="s">
        <v>308</v>
      </c>
      <c r="E10317" s="1" t="s">
        <v>14473</v>
      </c>
      <c r="F10317" s="1" t="s">
        <v>15013</v>
      </c>
      <c r="G10317" s="1" t="s">
        <v>36</v>
      </c>
      <c r="H10317" s="1" t="s">
        <v>29</v>
      </c>
      <c r="I10317" s="1" t="str">
        <f ca="1">IFERROR(__xludf.DUMMYFUNCTION("GOOGLETRANSLATE(F10317, ""auto"", ""en"")
"),"We bought this Rowenta iron from Chapurin a few months ago. The iron is heavy, so it irons any fabric in one stroke, even jeans! Dresses and shirts are easily ironed while hanging, because the iron produces powerful steam. This iron also has a built-in st"&amp;"eam generator, so there is constant steam. Less time is spent on ironing. And the stainless steel sole with laser processing glides perfectly and does not scratch; neither zippers nor buttons are scary. It is very easy to set the optimal temperature. And "&amp;"if you forget to turn it off, the iron will turn itself off. I'm very pleased with the iron. I recommend it to everyone!")</f>
        <v>We bought this Rowenta iron from Chapurin a few months ago. The iron is heavy, so it irons any fabric in one stroke, even jeans! Dresses and shirts are easily ironed while hanging, because the iron produces powerful steam. This iron also has a built-in steam generator, so there is constant steam. Less time is spent on ironing. And the stainless steel sole with laser processing glides perfectly and does not scratch; neither zippers nor buttons are scary. It is very easy to set the optimal temperature. And if you forget to turn it off, the iron will turn itself off. I'm very pleased with the iron. I recommend it to everyone!</v>
      </c>
    </row>
    <row r="10318" spans="1:9" x14ac:dyDescent="0.3">
      <c r="A10318" s="1" t="s">
        <v>211</v>
      </c>
      <c r="B10318" s="1" t="s">
        <v>410</v>
      </c>
      <c r="C10318" s="1" t="s">
        <v>57</v>
      </c>
      <c r="D10318" s="1" t="s">
        <v>52</v>
      </c>
      <c r="E10318" s="1" t="s">
        <v>5646</v>
      </c>
      <c r="F10318" s="1" t="s">
        <v>15014</v>
      </c>
      <c r="G10318" s="1" t="s">
        <v>15</v>
      </c>
      <c r="H10318" s="1" t="s">
        <v>16</v>
      </c>
      <c r="I10318" s="1" t="str">
        <f ca="1">IFERROR(__xludf.DUMMYFUNCTION("GOOGLETRANSLATE(F10318, ""auto"", ""en"")
"),"The razor has a very poor fit on the opening blades. When washing it, it fell off and floated away. Now it is impossible to close the top cover with the blades.")</f>
        <v>The razor has a very poor fit on the opening blades. When washing it, it fell off and floated away. Now it is impossible to close the top cover with the blades.</v>
      </c>
    </row>
    <row r="10319" spans="1:9" x14ac:dyDescent="0.3">
      <c r="A10319" s="1" t="s">
        <v>43</v>
      </c>
      <c r="B10319" s="1" t="s">
        <v>219</v>
      </c>
      <c r="C10319" s="1" t="s">
        <v>665</v>
      </c>
      <c r="D10319" s="1" t="s">
        <v>39</v>
      </c>
      <c r="E10319" s="1" t="s">
        <v>386</v>
      </c>
      <c r="F10319" s="1" t="s">
        <v>15015</v>
      </c>
      <c r="G10319" s="1" t="s">
        <v>36</v>
      </c>
      <c r="H10319" s="1" t="s">
        <v>29</v>
      </c>
      <c r="I10319" s="1" t="str">
        <f ca="1">IFERROR(__xludf.DUMMYFUNCTION("GOOGLETRANSLATE(F10319, ""auto"", ""en"")
"),"Very high quality product.  The kit contains everything you need for installation, you only need to buy the supply hoses.  The volume of 8 liters may seem small, but in the absence of hot water during the period of prevention, it is an excellent alternati"&amp;"ve to a ladle :-) Heats up very quickly, almost boiling water in 15 minutes.")</f>
        <v>Very high quality product.  The kit contains everything you need for installation, you only need to buy the supply hoses.  The volume of 8 liters may seem small, but in the absence of hot water during the period of prevention, it is an excellent alternative to a ladle :-) Heats up very quickly, almost boiling water in 15 minutes.</v>
      </c>
    </row>
    <row r="10320" spans="1:9" x14ac:dyDescent="0.3">
      <c r="A10320" s="1" t="s">
        <v>477</v>
      </c>
      <c r="B10320" s="1" t="s">
        <v>478</v>
      </c>
      <c r="C10320" s="1" t="s">
        <v>479</v>
      </c>
      <c r="D10320" s="1" t="s">
        <v>420</v>
      </c>
      <c r="E10320" s="1" t="s">
        <v>2684</v>
      </c>
      <c r="F10320" s="1" t="s">
        <v>15016</v>
      </c>
      <c r="G10320" s="1" t="s">
        <v>28</v>
      </c>
      <c r="H10320" s="1" t="s">
        <v>29</v>
      </c>
      <c r="I10320" s="1" t="str">
        <f ca="1">IFERROR(__xludf.DUMMYFUNCTION("GOOGLETRANSLATE(F10320, ""auto"", ""en"")
"),"Cool game!")</f>
        <v>Cool game!</v>
      </c>
    </row>
    <row r="10321" spans="1:9" x14ac:dyDescent="0.3">
      <c r="A10321" s="1" t="s">
        <v>149</v>
      </c>
      <c r="B10321" s="1" t="s">
        <v>155</v>
      </c>
      <c r="C10321" s="1" t="s">
        <v>63</v>
      </c>
      <c r="D10321" s="1" t="s">
        <v>1004</v>
      </c>
      <c r="E10321" s="1" t="s">
        <v>5470</v>
      </c>
      <c r="F10321" s="1" t="s">
        <v>15017</v>
      </c>
      <c r="G10321" s="1" t="s">
        <v>36</v>
      </c>
      <c r="H10321" s="1" t="s">
        <v>29</v>
      </c>
      <c r="I10321" s="1" t="str">
        <f ca="1">IFERROR(__xludf.DUMMYFUNCTION("GOOGLETRANSLATE(F10321, ""auto"", ""en"")
"),"The vacuum cleaner is very convenient, powerful, quiet, I bought it recently, I like it so far, I haven’t found any flaws")</f>
        <v>The vacuum cleaner is very convenient, powerful, quiet, I bought it recently, I like it so far, I haven’t found any flaws</v>
      </c>
    </row>
    <row r="10322" spans="1:9" x14ac:dyDescent="0.3">
      <c r="A10322" s="1" t="s">
        <v>78</v>
      </c>
      <c r="B10322" s="1" t="s">
        <v>79</v>
      </c>
      <c r="C10322" s="1" t="s">
        <v>80</v>
      </c>
      <c r="D10322" s="1" t="s">
        <v>280</v>
      </c>
      <c r="E10322" s="1" t="s">
        <v>386</v>
      </c>
      <c r="F10322" s="1" t="s">
        <v>15018</v>
      </c>
      <c r="G10322" s="1" t="s">
        <v>28</v>
      </c>
      <c r="H10322" s="1" t="s">
        <v>29</v>
      </c>
      <c r="I10322" s="1" t="str">
        <f ca="1">IFERROR(__xludf.DUMMYFUNCTION("GOOGLETRANSLATE(F10322, ""auto"", ""en"")
"),"Normal oven. Satisfied. I discovered the grill a little later, because it was unnecessary. But overall I’m quite happy with it. Wait for discounts and take it.")</f>
        <v>Normal oven. Satisfied. I discovered the grill a little later, because it was unnecessary. But overall I’m quite happy with it. Wait for discounts and take it.</v>
      </c>
    </row>
    <row r="10323" spans="1:9" x14ac:dyDescent="0.3">
      <c r="A10323" s="1" t="s">
        <v>211</v>
      </c>
      <c r="B10323" s="1" t="s">
        <v>212</v>
      </c>
      <c r="C10323" s="1" t="s">
        <v>294</v>
      </c>
      <c r="D10323" s="1" t="s">
        <v>943</v>
      </c>
      <c r="E10323" s="1" t="s">
        <v>4245</v>
      </c>
      <c r="F10323" s="1" t="s">
        <v>15019</v>
      </c>
      <c r="G10323" s="1" t="s">
        <v>36</v>
      </c>
      <c r="H10323" s="1" t="s">
        <v>29</v>
      </c>
      <c r="I10323" s="1" t="str">
        <f ca="1">IFERROR(__xludf.DUMMYFUNCTION("GOOGLETRANSLATE(F10323, ""auto"", ""en"")
"),"The thing is just super!!! I didn’t even expect such a result. I spent only 15 minutes on styling, my hair was wonderful, the result pleased me for three days, although before by the end of the day the whole hairstyle was a waste. I recommend it to everyo"&amp;"ne, you won’t regret it.")</f>
        <v>The thing is just super!!! I didn’t even expect such a result. I spent only 15 minutes on styling, my hair was wonderful, the result pleased me for three days, although before by the end of the day the whole hairstyle was a waste. I recommend it to everyone, you won’t regret it.</v>
      </c>
    </row>
    <row r="10324" spans="1:9" x14ac:dyDescent="0.3">
      <c r="A10324" s="1" t="s">
        <v>496</v>
      </c>
      <c r="B10324" s="1" t="s">
        <v>497</v>
      </c>
      <c r="C10324" s="1" t="s">
        <v>487</v>
      </c>
      <c r="D10324" s="1" t="s">
        <v>305</v>
      </c>
      <c r="E10324" s="1" t="s">
        <v>540</v>
      </c>
      <c r="F10324" s="1" t="s">
        <v>15020</v>
      </c>
      <c r="G10324" s="1" t="s">
        <v>36</v>
      </c>
      <c r="H10324" s="1" t="s">
        <v>29</v>
      </c>
      <c r="I10324" s="1" t="str">
        <f ca="1">IFERROR(__xludf.DUMMYFUNCTION("GOOGLETRANSLATE(F10324, ""auto"", ""en"")
"),"I am a Microsoft Software Assurance Volume License customer, I received the Microsoft Windows 7 Enterprise Enterprise version right after it came out back in September of this year.   I can say that the OS is very beautiful, stable, fast and reliable. By "&amp;"the way, the Corporate and Maximum versions are the same thing, only the first is for Special Clients, and the second is available to everyone. But in any case, I can say that I do not agree with the majority, in my opinion, both Vista and Seven - each of"&amp;" them is good in its own way.   I now have 2 systems: Windows Vista Ultimate and Windows 7 Enterprise, and the first one has not disappointed me in 3 and a half years. Vista is also stable and reliable, runs very quickly on modern hardware, and Windows 7 "&amp;"is its logical continuation of the second-generation system, naturally, with some improvements, as was the case with Windows 2000 and then XP.")</f>
        <v>I am a Microsoft Software Assurance Volume License customer, I received the Microsoft Windows 7 Enterprise Enterprise version right after it came out back in September of this year.   I can say that the OS is very beautiful, stable, fast and reliable. By the way, the Corporate and Maximum versions are the same thing, only the first is for Special Clients, and the second is available to everyone. But in any case, I can say that I do not agree with the majority, in my opinion, both Vista and Seven - each of them is good in its own way.   I now have 2 systems: Windows Vista Ultimate and Windows 7 Enterprise, and the first one has not disappointed me in 3 and a half years. Vista is also stable and reliable, runs very quickly on modern hardware, and Windows 7 is its logical continuation of the second-generation system, naturally, with some improvements, as was the case with Windows 2000 and then XP.</v>
      </c>
    </row>
    <row r="10325" spans="1:9" x14ac:dyDescent="0.3">
      <c r="A10325" s="1" t="s">
        <v>61</v>
      </c>
      <c r="B10325" s="1" t="s">
        <v>318</v>
      </c>
      <c r="C10325" s="1" t="s">
        <v>45</v>
      </c>
      <c r="D10325" s="1" t="s">
        <v>247</v>
      </c>
      <c r="E10325" s="1" t="s">
        <v>1122</v>
      </c>
      <c r="F10325" s="1" t="s">
        <v>15021</v>
      </c>
      <c r="G10325" s="1" t="s">
        <v>36</v>
      </c>
      <c r="H10325" s="1" t="s">
        <v>29</v>
      </c>
      <c r="I10325" s="1" t="str">
        <f ca="1">IFERROR(__xludf.DUMMYFUNCTION("GOOGLETRANSLATE(F10325, ""auto"", ""en"")
"),"We recently purchased this kettle and are very happy about it. Based on the seller's recommendation, we chose this particular model. I liked the blue illumination of the water and the switch. The seller also pointed out a contact group that turns off the "&amp;"kettle when removed from the stand. Beautiful design, and there are no noticeable stains on the metal, which is important. Happy with the purchase.")</f>
        <v>We recently purchased this kettle and are very happy about it. Based on the seller's recommendation, we chose this particular model. I liked the blue illumination of the water and the switch. The seller also pointed out a contact group that turns off the kettle when removed from the stand. Beautiful design, and there are no noticeable stains on the metal, which is important. Happy with the purchase.</v>
      </c>
    </row>
    <row r="10326" spans="1:9" x14ac:dyDescent="0.3">
      <c r="A10326" s="1" t="s">
        <v>211</v>
      </c>
      <c r="B10326" s="1" t="s">
        <v>384</v>
      </c>
      <c r="C10326" s="1" t="s">
        <v>246</v>
      </c>
      <c r="D10326" s="1" t="s">
        <v>3923</v>
      </c>
      <c r="E10326" s="1" t="s">
        <v>2874</v>
      </c>
      <c r="F10326" s="1" t="s">
        <v>15022</v>
      </c>
      <c r="G10326" s="1" t="s">
        <v>28</v>
      </c>
      <c r="H10326" s="1" t="s">
        <v>29</v>
      </c>
      <c r="I10326" s="1" t="str">
        <f ca="1">IFERROR(__xludf.DUMMYFUNCTION("GOOGLETRANSLATE(F10326, ""auto"", ""en"")
"),"We gave these scales as a gift on March 8th...after half a year, the leg broke off, which at the bottom of the scales shows different indicators all the time; you get up 1 time, this weight, then after a few minutes another one may show 200-400 grams more"&amp;" or less. for me this is critical. now I choose others")</f>
        <v>We gave these scales as a gift on March 8th...after half a year, the leg broke off, which at the bottom of the scales shows different indicators all the time; you get up 1 time, this weight, then after a few minutes another one may show 200-400 grams more or less. for me this is critical. now I choose others</v>
      </c>
    </row>
    <row r="10327" spans="1:9" x14ac:dyDescent="0.3">
      <c r="A10327" s="1" t="s">
        <v>61</v>
      </c>
      <c r="B10327" s="1" t="s">
        <v>318</v>
      </c>
      <c r="C10327" s="1" t="s">
        <v>146</v>
      </c>
      <c r="D10327" s="1" t="s">
        <v>545</v>
      </c>
      <c r="E10327" s="1" t="s">
        <v>5798</v>
      </c>
      <c r="F10327" s="1" t="s">
        <v>15023</v>
      </c>
      <c r="G10327" s="1" t="s">
        <v>15</v>
      </c>
      <c r="H10327" s="1" t="s">
        <v>16</v>
      </c>
      <c r="I10327" s="1" t="str">
        <f ca="1">IFERROR(__xludf.DUMMYFUNCTION("GOOGLETRANSLATE(F10327, ""auto"", ""en"")
"),"Electric kettle Kenwood JK 520 purchased today, 04/21/2010.  At the first boil it does not turn off, although it should according to the description.")</f>
        <v>Electric kettle Kenwood JK 520 purchased today, 04/21/2010.  At the first boil it does not turn off, although it should according to the description.</v>
      </c>
    </row>
    <row r="10328" spans="1:9" x14ac:dyDescent="0.3">
      <c r="A10328" s="1" t="s">
        <v>120</v>
      </c>
      <c r="B10328" s="1" t="s">
        <v>196</v>
      </c>
      <c r="C10328" s="1" t="s">
        <v>658</v>
      </c>
      <c r="D10328" s="1" t="s">
        <v>39</v>
      </c>
      <c r="E10328" s="1" t="s">
        <v>1992</v>
      </c>
      <c r="F10328" s="1" t="s">
        <v>15024</v>
      </c>
      <c r="G10328" s="1" t="s">
        <v>36</v>
      </c>
      <c r="H10328" s="1" t="s">
        <v>29</v>
      </c>
      <c r="I10328" s="1" t="str">
        <f ca="1">IFERROR(__xludf.DUMMYFUNCTION("GOOGLETRANSLATE(F10328, ""auto"", ""en"")
"),"We want to buy this model, the quality-price suits us, only the dynamic resolution of 15000:1 as in other models 30000:1 stops us and we are wondering how the LCD-TFT matrix differs from the type of fluorescent display backlight?")</f>
        <v>We want to buy this model, the quality-price suits us, only the dynamic resolution of 15000:1 as in other models 30000:1 stops us and we are wondering how the LCD-TFT matrix differs from the type of fluorescent display backlight?</v>
      </c>
    </row>
    <row r="10329" spans="1:9" x14ac:dyDescent="0.3">
      <c r="A10329" s="1" t="s">
        <v>211</v>
      </c>
      <c r="B10329" s="1" t="s">
        <v>410</v>
      </c>
      <c r="C10329" s="1" t="s">
        <v>213</v>
      </c>
      <c r="D10329" s="1" t="s">
        <v>139</v>
      </c>
      <c r="E10329" s="1" t="s">
        <v>1219</v>
      </c>
      <c r="F10329" s="1" t="s">
        <v>15025</v>
      </c>
      <c r="G10329" s="1" t="s">
        <v>36</v>
      </c>
      <c r="H10329" s="1" t="s">
        <v>29</v>
      </c>
      <c r="I10329" s="1" t="str">
        <f ca="1">IFERROR(__xludf.DUMMYFUNCTION("GOOGLETRANSLATE(F10329, ""auto"", ""en"")
"),"Very high quality razor!!! Clean shave - at an affordable price!!! Braun keeps the brand))) There are no complaints about operation either))))")</f>
        <v>Very high quality razor!!! Clean shave - at an affordable price!!! Braun keeps the brand))) There are no complaints about operation either))))</v>
      </c>
    </row>
    <row r="10330" spans="1:9" x14ac:dyDescent="0.3">
      <c r="A10330" s="1" t="s">
        <v>43</v>
      </c>
      <c r="B10330" s="1" t="s">
        <v>44</v>
      </c>
      <c r="C10330" s="1" t="s">
        <v>85</v>
      </c>
      <c r="D10330" s="1" t="s">
        <v>1591</v>
      </c>
      <c r="E10330" s="1" t="s">
        <v>1545</v>
      </c>
      <c r="F10330" s="1" t="s">
        <v>15026</v>
      </c>
      <c r="G10330" s="1" t="s">
        <v>28</v>
      </c>
      <c r="H10330" s="1" t="s">
        <v>29</v>
      </c>
      <c r="I10330" s="1" t="str">
        <f ca="1">IFERROR(__xludf.DUMMYFUNCTION("GOOGLETRANSLATE(F10330, ""auto"", ""en"")
"),"Stylish, stable, silent at 1st and 2nd speed.  And the engine really gets very hot...I took out a 2-year warranty")</f>
        <v>Stylish, stable, silent at 1st and 2nd speed.  And the engine really gets very hot...I took out a 2-year warranty</v>
      </c>
    </row>
    <row r="10331" spans="1:9" x14ac:dyDescent="0.3">
      <c r="A10331" s="1" t="s">
        <v>369</v>
      </c>
      <c r="B10331" s="1" t="s">
        <v>370</v>
      </c>
      <c r="C10331" s="1" t="s">
        <v>588</v>
      </c>
      <c r="D10331" s="1" t="s">
        <v>2217</v>
      </c>
      <c r="E10331" s="1" t="s">
        <v>15027</v>
      </c>
      <c r="F10331" s="1" t="s">
        <v>15028</v>
      </c>
      <c r="G10331" s="1" t="s">
        <v>36</v>
      </c>
      <c r="H10331" s="1" t="s">
        <v>29</v>
      </c>
      <c r="I10331" s="1" t="str">
        <f ca="1">IFERROR(__xludf.DUMMYFUNCTION("GOOGLETRANSLATE(F10331, ""auto"", ""en"")
"),"We have been using the stove for two years now and we are personally pleased with the choice. Glass ceramics are a great thing: heating is instant and easy to maintain. If something is burnt, just after it has cooled down, wipe it with a cloth and that’s "&amp;"it, the main thing is don’t scrape it with knives, it can be ruined)")</f>
        <v>We have been using the stove for two years now and we are personally pleased with the choice. Glass ceramics are a great thing: heating is instant and easy to maintain. If something is burnt, just after it has cooled down, wipe it with a cloth and that’s it, the main thing is don’t scrape it with knives, it can be ruined)</v>
      </c>
    </row>
    <row r="10332" spans="1:9" x14ac:dyDescent="0.3">
      <c r="A10332" s="1" t="s">
        <v>105</v>
      </c>
      <c r="B10332" s="1" t="s">
        <v>106</v>
      </c>
      <c r="C10332" s="1" t="s">
        <v>151</v>
      </c>
      <c r="D10332" s="1" t="s">
        <v>15029</v>
      </c>
      <c r="E10332" s="1" t="s">
        <v>4187</v>
      </c>
      <c r="F10332" s="1" t="s">
        <v>15030</v>
      </c>
      <c r="G10332" s="1" t="s">
        <v>36</v>
      </c>
      <c r="H10332" s="1" t="s">
        <v>29</v>
      </c>
      <c r="I10332" s="1" t="str">
        <f ca="1">IFERROR(__xludf.DUMMYFUNCTION("GOOGLETRANSLATE(F10332, ""auto"", ""en"")
"),"The player is great! in the car it plays through AUX, the quality is excellent, the 3D and BASS settings do their job! 5+")</f>
        <v>The player is great! in the car it plays through AUX, the quality is excellent, the 3D and BASS settings do their job! 5+</v>
      </c>
    </row>
    <row r="10333" spans="1:9" x14ac:dyDescent="0.3">
      <c r="A10333" s="1" t="s">
        <v>89</v>
      </c>
      <c r="B10333" s="1" t="s">
        <v>1106</v>
      </c>
      <c r="C10333" s="1" t="s">
        <v>63</v>
      </c>
      <c r="D10333" s="1" t="s">
        <v>568</v>
      </c>
      <c r="E10333" s="1" t="s">
        <v>1905</v>
      </c>
      <c r="F10333" s="1" t="s">
        <v>15031</v>
      </c>
      <c r="G10333" s="1" t="s">
        <v>36</v>
      </c>
      <c r="H10333" s="1" t="s">
        <v>29</v>
      </c>
      <c r="I10333" s="1" t="str">
        <f ca="1">IFERROR(__xludf.DUMMYFUNCTION("GOOGLETRANSLATE(F10333, ""auto"", ""en"")
"),"Great stuff! I’ve been using it for a long time and have never let me down =) If only it had automatic heating of the flask, it wouldn’t have a price. 5 points)")</f>
        <v>Great stuff! I’ve been using it for a long time and have never let me down =) If only it had automatic heating of the flask, it wouldn’t have a price. 5 points)</v>
      </c>
    </row>
    <row r="10334" spans="1:9" x14ac:dyDescent="0.3">
      <c r="A10334" s="1" t="s">
        <v>149</v>
      </c>
      <c r="B10334" s="1" t="s">
        <v>155</v>
      </c>
      <c r="C10334" s="1" t="s">
        <v>24</v>
      </c>
      <c r="D10334" s="1" t="s">
        <v>3273</v>
      </c>
      <c r="E10334" s="1" t="s">
        <v>4176</v>
      </c>
      <c r="F10334" s="1" t="s">
        <v>15032</v>
      </c>
      <c r="G10334" s="1" t="s">
        <v>36</v>
      </c>
      <c r="H10334" s="1" t="s">
        <v>29</v>
      </c>
      <c r="I10334" s="1" t="str">
        <f ca="1">IFERROR(__xludf.DUMMYFUNCTION("GOOGLETRANSLATE(F10334, ""auto"", ""en"")
"),"In my opinion, it’s a pretty good vacuum cleaner for the money, I compare it with the previous bagged one - it doesn’t stink of dust when working, it makes less noise at 1500, this one had 1600, and cleaning it is just a fairy tale - the contents of the c"&amp;"ontainer are poured into the toilet, the filter is washed. If you vacuum a 3-room apartment and a couple more sofas, the container is just right)), in my opinion this is good, because you clean it right away without leaving dust in the vacuum cleaner. I h"&amp;"aven’t changed the filter yet, although I bought a spare one right away, they are not that expensive, about 500 rubles")</f>
        <v>In my opinion, it’s a pretty good vacuum cleaner for the money, I compare it with the previous bagged one - it doesn’t stink of dust when working, it makes less noise at 1500, this one had 1600, and cleaning it is just a fairy tale - the contents of the container are poured into the toilet, the filter is washed. If you vacuum a 3-room apartment and a couple more sofas, the container is just right)), in my opinion this is good, because you clean it right away without leaving dust in the vacuum cleaner. I haven’t changed the filter yet, although I bought a spare one right away, they are not that expensive, about 500 rubles</v>
      </c>
    </row>
    <row r="10335" spans="1:9" x14ac:dyDescent="0.3">
      <c r="A10335" s="1" t="s">
        <v>37</v>
      </c>
      <c r="B10335" s="1" t="s">
        <v>536</v>
      </c>
      <c r="C10335" s="1" t="s">
        <v>163</v>
      </c>
      <c r="D10335" s="1" t="s">
        <v>15033</v>
      </c>
      <c r="E10335" s="1" t="s">
        <v>1695</v>
      </c>
      <c r="F10335" s="1" t="s">
        <v>15034</v>
      </c>
      <c r="G10335" s="1" t="s">
        <v>49</v>
      </c>
      <c r="H10335" s="1" t="s">
        <v>16</v>
      </c>
      <c r="I10335" s="1" t="str">
        <f ca="1">IFERROR(__xludf.DUMMYFUNCTION("GOOGLETRANSLATE(F10335, ""auto"", ""en"")
"),"Bad phone, I don't recommend it to anyone.  Poor quality of reception and connection, constant interruptions, when everyone speaks freely, you are trying to find the network. Because of this, the Internet works just as poorly. Occasionally it reboots itse"&amp;"lf, once for me when I connected the headphones, the second time when I turned on the GPS.   The pros pale in comparison to these cons, because the phone must also ring. The build quality is disgusting, there are cracks everywhere, as if they were assembl"&amp;"ed by specialists from AUTO VAZ.")</f>
        <v>Bad phone, I don't recommend it to anyone.  Poor quality of reception and connection, constant interruptions, when everyone speaks freely, you are trying to find the network. Because of this, the Internet works just as poorly. Occasionally it reboots itself, once for me when I connected the headphones, the second time when I turned on the GPS.   The pros pale in comparison to these cons, because the phone must also ring. The build quality is disgusting, there are cracks everywhere, as if they were assembled by specialists from AUTO VAZ.</v>
      </c>
    </row>
    <row r="10336" spans="1:9" x14ac:dyDescent="0.3">
      <c r="A10336" s="1" t="s">
        <v>30</v>
      </c>
      <c r="B10336" s="1" t="s">
        <v>50</v>
      </c>
      <c r="C10336" s="1" t="s">
        <v>32</v>
      </c>
      <c r="D10336" s="1" t="s">
        <v>9</v>
      </c>
      <c r="E10336" s="1" t="s">
        <v>1273</v>
      </c>
      <c r="F10336" s="1" t="s">
        <v>15035</v>
      </c>
      <c r="G10336" s="1" t="s">
        <v>36</v>
      </c>
      <c r="H10336" s="1" t="s">
        <v>29</v>
      </c>
      <c r="I10336" s="1" t="str">
        <f ca="1">IFERROR(__xludf.DUMMYFUNCTION("GOOGLETRANSLATE(F10336, ""auto"", ""en"")
"),"I've been using it for three days. For this money there is little that can be looked after, laptops with a Pentium processor are quickly dismantled, and in Volgograd there are none at all. With this video card, games fly. In m-video, the seller wanted to "&amp;"sell me another computer with a Pentium processor and an old video card, but I was not inclined, and I don’t regret it. I wish the same for you.")</f>
        <v>I've been using it for three days. For this money there is little that can be looked after, laptops with a Pentium processor are quickly dismantled, and in Volgograd there are none at all. With this video card, games fly. In m-video, the seller wanted to sell me another computer with a Pentium processor and an old video card, but I was not inclined, and I don’t regret it. I wish the same for you.</v>
      </c>
    </row>
    <row r="10337" spans="1:9" x14ac:dyDescent="0.3">
      <c r="A10337" s="1" t="s">
        <v>211</v>
      </c>
      <c r="B10337" s="1" t="s">
        <v>899</v>
      </c>
      <c r="C10337" s="1" t="s">
        <v>69</v>
      </c>
      <c r="D10337" s="1" t="s">
        <v>247</v>
      </c>
      <c r="E10337" s="1" t="s">
        <v>71</v>
      </c>
      <c r="F10337" s="1" t="s">
        <v>15036</v>
      </c>
      <c r="G10337" s="1" t="s">
        <v>36</v>
      </c>
      <c r="H10337" s="1" t="s">
        <v>29</v>
      </c>
      <c r="I10337" s="1" t="str">
        <f ca="1">IFERROR(__xludf.DUMMYFUNCTION("GOOGLETRANSLATE(F10337, ""auto"", ""en"")
"),"I bought it 2 weeks ago from M.Video, it’s just super. Charging lasts for a long time. Massaging your gums, brushing your teeth and saving on toothpaste makes you incredibly happy. It makes the same noise as a standard electric toothbrush. I didn’t regret"&amp;" the purchase")</f>
        <v>I bought it 2 weeks ago from M.Video, it’s just super. Charging lasts for a long time. Massaging your gums, brushing your teeth and saving on toothpaste makes you incredibly happy. It makes the same noise as a standard electric toothbrush. I didn’t regret the purchase</v>
      </c>
    </row>
    <row r="10338" spans="1:9" x14ac:dyDescent="0.3">
      <c r="A10338" s="1" t="s">
        <v>120</v>
      </c>
      <c r="B10338" s="1" t="s">
        <v>121</v>
      </c>
      <c r="C10338" s="1" t="s">
        <v>1677</v>
      </c>
      <c r="D10338" s="1" t="s">
        <v>139</v>
      </c>
      <c r="E10338" s="1" t="s">
        <v>3829</v>
      </c>
      <c r="F10338" s="1" t="s">
        <v>15037</v>
      </c>
      <c r="G10338" s="1" t="s">
        <v>36</v>
      </c>
      <c r="H10338" s="1" t="s">
        <v>29</v>
      </c>
      <c r="I10338" s="1" t="str">
        <f ca="1">IFERROR(__xludf.DUMMYFUNCTION("GOOGLETRANSLATE(F10338, ""auto"", ""en"")
"),"An excellent TV, if you have 20,000 rubles and want to buy a 32"" TV, then don’t even think about choosing a company - Sharp is quality, reliability and style. Take it, you won’t regret it.")</f>
        <v>An excellent TV, if you have 20,000 rubles and want to buy a 32" TV, then don’t even think about choosing a company - Sharp is quality, reliability and style. Take it, you won’t regret it.</v>
      </c>
    </row>
    <row r="10339" spans="1:9" x14ac:dyDescent="0.3">
      <c r="A10339" s="1" t="s">
        <v>30</v>
      </c>
      <c r="B10339" s="1" t="s">
        <v>31</v>
      </c>
      <c r="C10339" s="1" t="s">
        <v>365</v>
      </c>
      <c r="D10339" s="1" t="s">
        <v>568</v>
      </c>
      <c r="E10339" s="1" t="s">
        <v>2502</v>
      </c>
      <c r="F10339" s="1" t="s">
        <v>15038</v>
      </c>
      <c r="G10339" s="1" t="s">
        <v>28</v>
      </c>
      <c r="H10339" s="1" t="s">
        <v>29</v>
      </c>
      <c r="I10339" s="1" t="str">
        <f ca="1">IFERROR(__xludf.DUMMYFUNCTION("GOOGLETRANSLATE(F10339, ""auto"", ""en"")
"),"Personally, nothing like this happened to me with this computer; it froze only once in a month, although sometimes it works for two or three days without turning off, so overall I am very pleased with the stability of this computer’s system. So I would no"&amp;"t scold the domestic manufacturer, and WINDOWS7 freezes can occur for various reasons (due to all sorts of software, viruses, in the end, instability of the power supply, etc.) and not just because of the computer itself.")</f>
        <v>Personally, nothing like this happened to me with this computer; it froze only once in a month, although sometimes it works for two or three days without turning off, so overall I am very pleased with the stability of this computer’s system. So I would not scold the domestic manufacturer, and WINDOWS7 freezes can occur for various reasons (due to all sorts of software, viruses, in the end, instability of the power supply, etc.) and not just because of the computer itself.</v>
      </c>
    </row>
    <row r="10340" spans="1:9" x14ac:dyDescent="0.3">
      <c r="A10340" s="1" t="s">
        <v>61</v>
      </c>
      <c r="B10340" s="1" t="s">
        <v>726</v>
      </c>
      <c r="C10340" s="1" t="s">
        <v>74</v>
      </c>
      <c r="D10340" s="1" t="s">
        <v>2233</v>
      </c>
      <c r="E10340" s="1" t="s">
        <v>3676</v>
      </c>
      <c r="F10340" s="1" t="s">
        <v>15039</v>
      </c>
      <c r="G10340" s="1" t="s">
        <v>49</v>
      </c>
      <c r="H10340" s="1" t="s">
        <v>16</v>
      </c>
      <c r="I10340" s="1" t="str">
        <f ca="1">IFERROR(__xludf.DUMMYFUNCTION("GOOGLETRANSLATE(F10340, ""auto"", ""en"")
"),"After reading the reviews we bought it. according to the first recipe it turned out g.. of course it bakes and wastes electricity. the bread does not rise, the inside is unbaked, the appearance is terrible (the crust is white, the flour is stuck). althoug"&amp;"h the food was fresh. In general, we tried 4 recipes, all the same. Maybe some people find it delicious or maybe we have problems with the stove. In general, I barely managed to return it to the store for exchange.   think, maybe it’s easier to buy bread "&amp;"and not wait 3 hours for who knows what.")</f>
        <v>After reading the reviews we bought it. according to the first recipe it turned out g.. of course it bakes and wastes electricity. the bread does not rise, the inside is unbaked, the appearance is terrible (the crust is white, the flour is stuck). although the food was fresh. In general, we tried 4 recipes, all the same. Maybe some people find it delicious or maybe we have problems with the stove. In general, I barely managed to return it to the store for exchange.   think, maybe it’s easier to buy bread and not wait 3 hours for who knows what.</v>
      </c>
    </row>
    <row r="10341" spans="1:9" x14ac:dyDescent="0.3">
      <c r="A10341" s="1" t="s">
        <v>120</v>
      </c>
      <c r="B10341" s="1" t="s">
        <v>121</v>
      </c>
      <c r="C10341" s="1" t="s">
        <v>80</v>
      </c>
      <c r="D10341" s="1" t="s">
        <v>695</v>
      </c>
      <c r="E10341" s="1" t="s">
        <v>214</v>
      </c>
      <c r="F10341" s="1" t="s">
        <v>15040</v>
      </c>
      <c r="G10341" s="1" t="s">
        <v>28</v>
      </c>
      <c r="H10341" s="1" t="s">
        <v>29</v>
      </c>
      <c r="I10341" s="1" t="str">
        <f ca="1">IFERROR(__xludf.DUMMYFUNCTION("GOOGLETRANSLATE(F10341, ""auto"", ""en"")
"),"I entered the menu using diodes, but the Tool Option 3 item does not open, and when I press OK it redirects to Tool Option 4, what should I do? TV LG 32LD320")</f>
        <v>I entered the menu using diodes, but the Tool Option 3 item does not open, and when I press OK it redirects to Tool Option 4, what should I do? TV LG 32LD320</v>
      </c>
    </row>
    <row r="10342" spans="1:9" x14ac:dyDescent="0.3">
      <c r="A10342" s="1" t="s">
        <v>211</v>
      </c>
      <c r="B10342" s="1" t="s">
        <v>212</v>
      </c>
      <c r="C10342" s="1" t="s">
        <v>381</v>
      </c>
      <c r="D10342" s="1" t="s">
        <v>1506</v>
      </c>
      <c r="E10342" s="1" t="s">
        <v>6028</v>
      </c>
      <c r="F10342" s="1" t="s">
        <v>15041</v>
      </c>
      <c r="G10342" s="1" t="s">
        <v>49</v>
      </c>
      <c r="H10342" s="1" t="s">
        <v>16</v>
      </c>
      <c r="I10342" s="1" t="str">
        <f ca="1">IFERROR(__xludf.DUMMYFUNCTION("GOOGLETRANSLATE(F10342, ""auto"", ""en"")
"),"The curling iron is weak, heats up very poorly, barely curls, if you go with curls you won’t get it, it makes a weak wave. Very weak curling iron.")</f>
        <v>The curling iron is weak, heats up very poorly, barely curls, if you go with curls you won’t get it, it makes a weak wave. Very weak curling iron.</v>
      </c>
    </row>
    <row r="10343" spans="1:9" x14ac:dyDescent="0.3">
      <c r="A10343" s="1" t="s">
        <v>238</v>
      </c>
      <c r="B10343" s="1" t="s">
        <v>276</v>
      </c>
      <c r="C10343" s="1" t="s">
        <v>138</v>
      </c>
      <c r="D10343" s="1" t="s">
        <v>114</v>
      </c>
      <c r="E10343" s="1" t="s">
        <v>1937</v>
      </c>
      <c r="F10343" s="1" t="s">
        <v>15042</v>
      </c>
      <c r="G10343" s="1" t="s">
        <v>28</v>
      </c>
      <c r="H10343" s="1" t="s">
        <v>29</v>
      </c>
      <c r="I10343" s="1" t="str">
        <f ca="1">IFERROR(__xludf.DUMMYFUNCTION("GOOGLETRANSLATE(F10343, ""auto"", ""en"")
"),"It freezes and cools, and what else do you need?")</f>
        <v>It freezes and cools, and what else do you need?</v>
      </c>
    </row>
    <row r="10344" spans="1:9" x14ac:dyDescent="0.3">
      <c r="A10344" s="1" t="s">
        <v>55</v>
      </c>
      <c r="B10344" s="1" t="s">
        <v>56</v>
      </c>
      <c r="C10344" s="1" t="s">
        <v>85</v>
      </c>
      <c r="D10344" s="1" t="s">
        <v>75</v>
      </c>
      <c r="E10344" s="1" t="s">
        <v>2882</v>
      </c>
      <c r="F10344" s="1" t="s">
        <v>15043</v>
      </c>
      <c r="G10344" s="1" t="s">
        <v>28</v>
      </c>
      <c r="H10344" s="1" t="s">
        <v>29</v>
      </c>
      <c r="I10344" s="1" t="str">
        <f ca="1">IFERROR(__xludf.DUMMYFUNCTION("GOOGLETRANSLATE(F10344, ""auto"", ""en"")
"),"We use a humidifier almost all winter. In winter, the air in the apartment is very dry, despite the fact that we regulate the heating (turn it down) and it’s not hot in the apartment. However, in my opinion, the Bork humidifier cannot cope. Its power is d"&amp;"esigned for an apartment of 60 sq.m., ours is 67 sq.m. I’m not talking about the whole apartment. The room is 18 sq.m. it works for 3 hours and shows a humidity of 30%. The required level of humidity of 60% is not reached. Now with the onset of spring, wi"&amp;"th the windows open, the humidifier moisturizes noticeably “easier”. There is a coating on the body, but it did not appear immediately, we fill it with spring water. Yes, this is not significant, in my opinion. I am much more bothered by the red display t"&amp;"hat lights up at night. The child will definitely be scared. I am flattering myself with the thought that this The humidifier is better than if there was nothing.")</f>
        <v>We use a humidifier almost all winter. In winter, the air in the apartment is very dry, despite the fact that we regulate the heating (turn it down) and it’s not hot in the apartment. However, in my opinion, the Bork humidifier cannot cope. Its power is designed for an apartment of 60 sq.m., ours is 67 sq.m. I’m not talking about the whole apartment. The room is 18 sq.m. it works for 3 hours and shows a humidity of 30%. The required level of humidity of 60% is not reached. Now with the onset of spring, with the windows open, the humidifier moisturizes noticeably “easier”. There is a coating on the body, but it did not appear immediately, we fill it with spring water. Yes, this is not significant, in my opinion. I am much more bothered by the red display that lights up at night. The child will definitely be scared. I am flattering myself with the thought that this The humidifier is better than if there was nothing.</v>
      </c>
    </row>
    <row r="10345" spans="1:9" x14ac:dyDescent="0.3">
      <c r="A10345" s="1" t="s">
        <v>206</v>
      </c>
      <c r="B10345" s="1" t="s">
        <v>1349</v>
      </c>
      <c r="C10345" s="1" t="s">
        <v>1771</v>
      </c>
      <c r="D10345" s="1" t="s">
        <v>305</v>
      </c>
      <c r="E10345" s="1" t="s">
        <v>3448</v>
      </c>
      <c r="F10345" s="1" t="s">
        <v>15044</v>
      </c>
      <c r="G10345" s="1" t="s">
        <v>28</v>
      </c>
      <c r="H10345" s="1" t="s">
        <v>29</v>
      </c>
      <c r="I10345" s="1" t="str">
        <f ca="1">IFERROR(__xludf.DUMMYFUNCTION("GOOGLETRANSLATE(F10345, ""auto"", ""en"")
"),"1 regarding bluetooth, they are not telling the truth, if it is censored, I bought it with the expectation of it in the website store, the remote unit is additional. option, and the price rises to 25 tons. And here you can already look at 4200 with built-"&amp;"in VT and a 7-inch matrix.  2 buttons, I thought they were convenient, the deceptive impression of pressing the screen, yes, at the height, I never missed a beat, the buttons for off, source, disc eject, mute (by the way, down to zero and not adjustable i"&amp;"n level) are also convenient and easy to press, but the volume and track selection require more effort, I really don’t like it.  3 there is no protection against removal, it would be possible to at least provide a code... 4. connection requires turning on"&amp;" the ignition key, or a switch that cuts off the ACC (those who installed it themselves know what they are talking about), even a switched off receiver with a switched off monitor during a week of inactivity of the car drained the battery to 0.   5 the so"&amp;"und is super, there are a lot of settings and they pleased me.   The 6th monitor is bright, the contrast is high, in sunny weather the film can be watched easily (the front is not tinted), at night the dimmer is of course better at maximum - it is blindin"&amp;"g.  The result is 4 points, I love this company, and therefore I’m ready to put up with points 1-4 for now.")</f>
        <v>1 regarding bluetooth, they are not telling the truth, if it is censored, I bought it with the expectation of it in the website store, the remote unit is additional. option, and the price rises to 25 tons. And here you can already look at 4200 with built-in VT and a 7-inch matrix.  2 buttons, I thought they were convenient, the deceptive impression of pressing the screen, yes, at the height, I never missed a beat, the buttons for off, source, disc eject, mute (by the way, down to zero and not adjustable in level) are also convenient and easy to press, but the volume and track selection require more effort, I really don’t like it.  3 there is no protection against removal, it would be possible to at least provide a code... 4. connection requires turning on the ignition key, or a switch that cuts off the ACC (those who installed it themselves know what they are talking about), even a switched off receiver with a switched off monitor during a week of inactivity of the car drained the battery to 0.   5 the sound is super, there are a lot of settings and they pleased me.   The 6th monitor is bright, the contrast is high, in sunny weather the film can be watched easily (the front is not tinted), at night the dimmer is of course better at maximum - it is blinding.  The result is 4 points, I love this company, and therefore I’m ready to put up with points 1-4 for now.</v>
      </c>
    </row>
    <row r="10346" spans="1:9" x14ac:dyDescent="0.3">
      <c r="A10346" s="1" t="s">
        <v>477</v>
      </c>
      <c r="B10346" s="1" t="s">
        <v>478</v>
      </c>
      <c r="C10346" s="1" t="s">
        <v>479</v>
      </c>
      <c r="D10346" s="1" t="s">
        <v>420</v>
      </c>
      <c r="E10346" s="1" t="s">
        <v>727</v>
      </c>
      <c r="F10346" s="1" t="s">
        <v>15045</v>
      </c>
      <c r="G10346" s="1" t="s">
        <v>36</v>
      </c>
      <c r="H10346" s="1" t="s">
        <v>29</v>
      </c>
      <c r="I10346" s="1" t="str">
        <f ca="1">IFERROR(__xludf.DUMMYFUNCTION("GOOGLETRANSLATE(F10346, ""auto"", ""en"")
"),"Good graphics coupled with a sane plot.")</f>
        <v>Good graphics coupled with a sane plot.</v>
      </c>
    </row>
    <row r="10347" spans="1:9" x14ac:dyDescent="0.3">
      <c r="A10347" s="1" t="s">
        <v>211</v>
      </c>
      <c r="B10347" s="1" t="s">
        <v>212</v>
      </c>
      <c r="C10347" s="1" t="s">
        <v>381</v>
      </c>
      <c r="D10347" s="1" t="s">
        <v>545</v>
      </c>
      <c r="E10347" s="1" t="s">
        <v>7342</v>
      </c>
      <c r="F10347" s="1" t="s">
        <v>15046</v>
      </c>
      <c r="G10347" s="1" t="s">
        <v>36</v>
      </c>
      <c r="H10347" s="1" t="s">
        <v>29</v>
      </c>
      <c r="I10347" s="1" t="str">
        <f ca="1">IFERROR(__xludf.DUMMYFUNCTION("GOOGLETRANSLATE(F10347, ""auto"", ""en"")
"),"An excellent hair dryer, I’ve been using it for more than two years, tomorrow I’ll go buy it for my mother-in-law. The buttons do not get in the way, the surface is anti-slip - it is very convenient to place it on a washing machine during drying, for exam"&amp;"ple. It works powerfully, but not very loud. I recommend to buy. The manufacturer provides a guarantee, please use it.")</f>
        <v>An excellent hair dryer, I’ve been using it for more than two years, tomorrow I’ll go buy it for my mother-in-law. The buttons do not get in the way, the surface is anti-slip - it is very convenient to place it on a washing machine during drying, for example. It works powerfully, but not very loud. I recommend to buy. The manufacturer provides a guarantee, please use it.</v>
      </c>
    </row>
    <row r="10348" spans="1:9" x14ac:dyDescent="0.3">
      <c r="A10348" s="1" t="s">
        <v>78</v>
      </c>
      <c r="B10348" s="1" t="s">
        <v>79</v>
      </c>
      <c r="C10348" s="1" t="s">
        <v>80</v>
      </c>
      <c r="D10348" s="1" t="s">
        <v>75</v>
      </c>
      <c r="E10348" s="1" t="s">
        <v>1403</v>
      </c>
      <c r="F10348" s="1" t="s">
        <v>15047</v>
      </c>
      <c r="G10348" s="1" t="s">
        <v>36</v>
      </c>
      <c r="H10348" s="1" t="s">
        <v>29</v>
      </c>
      <c r="I10348" s="1" t="str">
        <f ca="1">IFERROR(__xludf.DUMMYFUNCTION("GOOGLETRANSLATE(F10348, ""auto"", ""en"")
"),"There were no complaints about the work during this period, it works properly, about a month ago we moved to a new apartment, because we didn’t install a hob with an oven, I have to cook in the microwave, and this is not easy to heat up ready-made food, I"&amp;" bake chicken in 40 minutes, cabbage rolls in 20 minutes, soups take a maximum of 30 minutes to cook, etc., so I opened my micro oven to 100, at least I got the unit GREAT!!!")</f>
        <v>There were no complaints about the work during this period, it works properly, about a month ago we moved to a new apartment, because we didn’t install a hob with an oven, I have to cook in the microwave, and this is not easy to heat up ready-made food, I bake chicken in 40 minutes, cabbage rolls in 20 minutes, soups take a maximum of 30 minutes to cook, etc., so I opened my micro oven to 100, at least I got the unit GREAT!!!</v>
      </c>
    </row>
    <row r="10349" spans="1:9" x14ac:dyDescent="0.3">
      <c r="A10349" s="1" t="s">
        <v>17</v>
      </c>
      <c r="B10349" s="1" t="s">
        <v>18</v>
      </c>
      <c r="C10349" s="1" t="s">
        <v>870</v>
      </c>
      <c r="D10349" s="1" t="s">
        <v>545</v>
      </c>
      <c r="E10349" s="1" t="s">
        <v>1524</v>
      </c>
      <c r="F10349" s="1" t="s">
        <v>15048</v>
      </c>
      <c r="G10349" s="1" t="s">
        <v>36</v>
      </c>
      <c r="H10349" s="1" t="s">
        <v>29</v>
      </c>
      <c r="I10349" s="1" t="str">
        <f ca="1">IFERROR(__xludf.DUMMYFUNCTION("GOOGLETRANSLATE(F10349, ""auto"", ""en"")
"),"It took me a long time to choose... I wanted the best price-quality ratio. I am very pleased, there are all the necessary functions (especially valuable are express wash and daily wash). Thank you.")</f>
        <v>It took me a long time to choose... I wanted the best price-quality ratio. I am very pleased, there are all the necessary functions (especially valuable are express wash and daily wash). Thank you.</v>
      </c>
    </row>
    <row r="10350" spans="1:9" x14ac:dyDescent="0.3">
      <c r="A10350" s="1" t="s">
        <v>43</v>
      </c>
      <c r="B10350" s="1" t="s">
        <v>1370</v>
      </c>
      <c r="C10350" s="1" t="s">
        <v>304</v>
      </c>
      <c r="D10350" s="1" t="s">
        <v>152</v>
      </c>
      <c r="E10350" s="1" t="s">
        <v>128</v>
      </c>
      <c r="F10350" s="1" t="s">
        <v>15049</v>
      </c>
      <c r="G10350" s="1" t="s">
        <v>49</v>
      </c>
      <c r="H10350" s="1" t="s">
        <v>16</v>
      </c>
      <c r="I10350" s="1" t="str">
        <f ca="1">IFERROR(__xludf.DUMMYFUNCTION("GOOGLETRANSLATE(F10350, ""auto"", ""en"")
"),"DO NOT TAKE!!! Instantaneous water heater Etalon Jet 350 shower + faucet, the water flows a little about a liter per minute at a temperature of +35, you can’t wash the dishes and forget about the shower, and the 5 kW cable heats up boiling water (I instal"&amp;"led the same one as on the evil stove and it heats up!!).  I strongly advise NOT TO TAKE!!! -100")</f>
        <v>DO NOT TAKE!!! Instantaneous water heater Etalon Jet 350 shower + faucet, the water flows a little about a liter per minute at a temperature of +35, you can’t wash the dishes and forget about the shower, and the 5 kW cable heats up boiling water (I installed the same one as on the evil stove and it heats up!!).  I strongly advise NOT TO TAKE!!! -100</v>
      </c>
    </row>
    <row r="10351" spans="1:9" x14ac:dyDescent="0.3">
      <c r="A10351" s="1" t="s">
        <v>9</v>
      </c>
      <c r="B10351" s="1" t="s">
        <v>10</v>
      </c>
      <c r="C10351" s="1" t="s">
        <v>466</v>
      </c>
      <c r="D10351" s="1" t="s">
        <v>2764</v>
      </c>
      <c r="E10351" s="1" t="s">
        <v>1767</v>
      </c>
      <c r="F10351" s="1" t="s">
        <v>15050</v>
      </c>
      <c r="G10351" s="1" t="s">
        <v>36</v>
      </c>
      <c r="H10351" s="1" t="s">
        <v>29</v>
      </c>
      <c r="I10351" s="1" t="str">
        <f ca="1">IFERROR(__xludf.DUMMYFUNCTION("GOOGLETRANSLATE(F10351, ""auto"", ""en"")
"),"We have been using the hood for three years, everything works perfectly. It doesn't make much noise, it's very easy to operate, and it looks stylish in the kitchen. It fits perfectly in our space kitchen)) It can be wiped with a cloth, even without any pr"&amp;"oducts and without any stains or dirt.")</f>
        <v>We have been using the hood for three years, everything works perfectly. It doesn't make much noise, it's very easy to operate, and it looks stylish in the kitchen. It fits perfectly in our space kitchen)) It can be wiped with a cloth, even without any products and without any stains or dirt.</v>
      </c>
    </row>
    <row r="10352" spans="1:9" x14ac:dyDescent="0.3">
      <c r="A10352" s="1" t="s">
        <v>95</v>
      </c>
      <c r="B10352" s="1" t="s">
        <v>486</v>
      </c>
      <c r="C10352" s="1" t="s">
        <v>487</v>
      </c>
      <c r="D10352" s="1" t="s">
        <v>102</v>
      </c>
      <c r="E10352" s="1" t="s">
        <v>3494</v>
      </c>
      <c r="F10352" s="1" t="s">
        <v>15051</v>
      </c>
      <c r="G10352" s="1" t="s">
        <v>36</v>
      </c>
      <c r="H10352" s="1" t="s">
        <v>29</v>
      </c>
      <c r="I10352" s="1" t="str">
        <f ca="1">IFERROR(__xludf.DUMMYFUNCTION("GOOGLETRANSLATE(F10352, ""auto"", ""en"")
"),"Is it worth taking a psp of this configuration?  I read reviews on third-party sites, they say it is a very fragile thing - it quickly overheats and fails.  Will she live at least a year in the middle zone? Well, what about summer?")</f>
        <v>Is it worth taking a psp of this configuration?  I read reviews on third-party sites, they say it is a very fragile thing - it quickly overheats and fails.  Will she live at least a year in the middle zone? Well, what about summer?</v>
      </c>
    </row>
    <row r="10353" spans="1:9" x14ac:dyDescent="0.3">
      <c r="A10353" s="1" t="s">
        <v>120</v>
      </c>
      <c r="B10353" s="1" t="s">
        <v>256</v>
      </c>
      <c r="C10353" s="1" t="s">
        <v>4545</v>
      </c>
      <c r="D10353" s="1" t="s">
        <v>545</v>
      </c>
      <c r="E10353" s="1" t="s">
        <v>1012</v>
      </c>
      <c r="F10353" s="1" t="s">
        <v>15052</v>
      </c>
      <c r="G10353" s="1" t="s">
        <v>36</v>
      </c>
      <c r="H10353" s="1" t="s">
        <v>29</v>
      </c>
      <c r="I10353" s="1" t="str">
        <f ca="1">IFERROR(__xludf.DUMMYFUNCTION("GOOGLETRANSLATE(F10353, ""auto"", ""en"")
"),"An excellent choice for those who move frequently. The TV takes up little space and is very pleasant to the touch. It has been working for us for 1.5 years - no complaints, it has survived two moves. Thanks to the cat, the TV fell off the stand twice and "&amp;"nothing happened - it was alive!")</f>
        <v>An excellent choice for those who move frequently. The TV takes up little space and is very pleasant to the touch. It has been working for us for 1.5 years - no complaints, it has survived two moves. Thanks to the cat, the TV fell off the stand twice and nothing happened - it was alive!</v>
      </c>
    </row>
    <row r="10354" spans="1:9" x14ac:dyDescent="0.3">
      <c r="A10354" s="1" t="s">
        <v>111</v>
      </c>
      <c r="B10354" s="1" t="s">
        <v>636</v>
      </c>
      <c r="C10354" s="1" t="s">
        <v>637</v>
      </c>
      <c r="D10354" s="1" t="s">
        <v>15053</v>
      </c>
      <c r="E10354" s="1" t="s">
        <v>950</v>
      </c>
      <c r="F10354" s="1" t="s">
        <v>15054</v>
      </c>
      <c r="G10354" s="1" t="s">
        <v>36</v>
      </c>
      <c r="H10354" s="1" t="s">
        <v>29</v>
      </c>
      <c r="I10354" s="1" t="str">
        <f ca="1">IFERROR(__xludf.DUMMYFUNCTION("GOOGLETRANSLATE(F10354, ""auto"", ""en"")
"),"I bought it as a birthday present for myself almost a year ago, it took me a long time to choose something that would be inexpensive and functional. There are no complaints about the main functions, but instead of predicting the weather 12 hours in advanc"&amp;"e, I would prefer to see the values ​​and dynamics of atmospheric pressure. Still, this is more informative than several symbols. But the main thing is that the temperature is shown accurately; the remote sensor is not afraid of precipitation.")</f>
        <v>I bought it as a birthday present for myself almost a year ago, it took me a long time to choose something that would be inexpensive and functional. There are no complaints about the main functions, but instead of predicting the weather 12 hours in advance, I would prefer to see the values ​​and dynamics of atmospheric pressure. Still, this is more informative than several symbols. But the main thing is that the temperature is shown accurately; the remote sensor is not afraid of precipitation.</v>
      </c>
    </row>
    <row r="10355" spans="1:9" x14ac:dyDescent="0.3">
      <c r="A10355" s="1" t="s">
        <v>120</v>
      </c>
      <c r="B10355" s="1" t="s">
        <v>121</v>
      </c>
      <c r="C10355" s="1" t="s">
        <v>122</v>
      </c>
      <c r="D10355" s="1" t="s">
        <v>15055</v>
      </c>
      <c r="E10355" s="1" t="s">
        <v>2352</v>
      </c>
      <c r="F10355" s="1" t="s">
        <v>15056</v>
      </c>
      <c r="G10355" s="1" t="s">
        <v>36</v>
      </c>
      <c r="H10355" s="1" t="s">
        <v>29</v>
      </c>
      <c r="I10355" s="1" t="str">
        <f ca="1">IFERROR(__xludf.DUMMYFUNCTION("GOOGLETRANSLATE(F10355, ""auto"", ""en"")
"),"Great TV.")</f>
        <v>Great TV.</v>
      </c>
    </row>
    <row r="10356" spans="1:9" x14ac:dyDescent="0.3">
      <c r="A10356" s="1" t="s">
        <v>61</v>
      </c>
      <c r="B10356" s="1" t="s">
        <v>224</v>
      </c>
      <c r="C10356" s="1" t="s">
        <v>74</v>
      </c>
      <c r="D10356" s="1" t="s">
        <v>308</v>
      </c>
      <c r="E10356" s="1" t="s">
        <v>6554</v>
      </c>
      <c r="F10356" s="1" t="s">
        <v>15057</v>
      </c>
      <c r="G10356" s="1" t="s">
        <v>28</v>
      </c>
      <c r="H10356" s="1" t="s">
        <v>29</v>
      </c>
      <c r="I10356" s="1" t="str">
        <f ca="1">IFERROR(__xludf.DUMMYFUNCTION("GOOGLETRANSLATE(F10356, ""auto"", ""en"")
"),"We liked it.  They made it from oranges (be sure to peel them well), apples, red grapes (better without seeds, otherwise the aftertaste will appear). I wash them right away, I just rinse them with water, no problems.  Others have not tried it, but there i"&amp;"s a lot of juice, and quickly, and there are no problems with cleaning - I recommend it.")</f>
        <v>We liked it.  They made it from oranges (be sure to peel them well), apples, red grapes (better without seeds, otherwise the aftertaste will appear). I wash them right away, I just rinse them with water, no problems.  Others have not tried it, but there is a lot of juice, and quickly, and there are no problems with cleaning - I recommend it.</v>
      </c>
    </row>
    <row r="10357" spans="1:9" x14ac:dyDescent="0.3">
      <c r="A10357" s="1" t="s">
        <v>61</v>
      </c>
      <c r="B10357" s="1" t="s">
        <v>977</v>
      </c>
      <c r="C10357" s="1" t="s">
        <v>101</v>
      </c>
      <c r="D10357" s="1" t="s">
        <v>12</v>
      </c>
      <c r="E10357" s="1" t="s">
        <v>5914</v>
      </c>
      <c r="F10357" s="1" t="s">
        <v>15058</v>
      </c>
      <c r="G10357" s="1" t="s">
        <v>36</v>
      </c>
      <c r="H10357" s="1" t="s">
        <v>29</v>
      </c>
      <c r="I10357" s="1" t="str">
        <f ca="1">IFERROR(__xludf.DUMMYFUNCTION("GOOGLETRANSLATE(F10357, ""auto"", ""en"")
"),"Very good blender! You can chop fruits and vegetables, beat eggs, and even knead the dough, if it is not too thick. And I especially like to make all sorts of smoothies with it :) The only drawback is the pulsed work, i.e. When your hand gets tired of hol"&amp;"ding the button for 15 minutes (for example, when whipping cream), it stops working. If you could turn it on and not have to hold your finger on the button, that would be great!")</f>
        <v>Very good blender! You can chop fruits and vegetables, beat eggs, and even knead the dough, if it is not too thick. And I especially like to make all sorts of smoothies with it :) The only drawback is the pulsed work, i.e. When your hand gets tired of holding the button for 15 minutes (for example, when whipping cream), it stops working. If you could turn it on and not have to hold your finger on the button, that would be great!</v>
      </c>
    </row>
    <row r="10358" spans="1:9" x14ac:dyDescent="0.3">
      <c r="A10358" s="1" t="s">
        <v>61</v>
      </c>
      <c r="B10358" s="1" t="s">
        <v>318</v>
      </c>
      <c r="C10358" s="1" t="s">
        <v>85</v>
      </c>
      <c r="D10358" s="1" t="s">
        <v>658</v>
      </c>
      <c r="E10358" s="1" t="s">
        <v>4608</v>
      </c>
      <c r="F10358" s="1" t="s">
        <v>15059</v>
      </c>
      <c r="G10358" s="1" t="s">
        <v>15</v>
      </c>
      <c r="H10358" s="1" t="s">
        <v>16</v>
      </c>
      <c r="I10358" s="1" t="str">
        <f ca="1">IFERROR(__xludf.DUMMYFUNCTION("GOOGLETRANSLATE(F10358, ""auto"", ""en"")
"),"There is nothing good about this kettle except the price and design! Immediately after the first use, scale appeared. The tea brewing function is redundant! Two uses and they forgot about it. There is no special brewing of tea!!! But the design and qualit"&amp;"y of the Bork brand are excellent! Therefore, it is better to buy a simple regular kettle of this brand and not spend extra money.")</f>
        <v>There is nothing good about this kettle except the price and design! Immediately after the first use, scale appeared. The tea brewing function is redundant! Two uses and they forgot about it. There is no special brewing of tea!!! But the design and quality of the Bork brand are excellent! Therefore, it is better to buy a simple regular kettle of this brand and not spend extra money.</v>
      </c>
    </row>
    <row r="10359" spans="1:9" x14ac:dyDescent="0.3">
      <c r="A10359" s="1" t="s">
        <v>149</v>
      </c>
      <c r="B10359" s="1" t="s">
        <v>155</v>
      </c>
      <c r="C10359" s="1" t="s">
        <v>159</v>
      </c>
      <c r="D10359" s="1" t="s">
        <v>114</v>
      </c>
      <c r="E10359" s="1" t="s">
        <v>590</v>
      </c>
      <c r="F10359" s="1" t="s">
        <v>15060</v>
      </c>
      <c r="G10359" s="1" t="s">
        <v>49</v>
      </c>
      <c r="H10359" s="1" t="s">
        <v>16</v>
      </c>
      <c r="I10359" s="1" t="str">
        <f ca="1">IFERROR(__xludf.DUMMYFUNCTION("GOOGLETRANSLATE(F10359, ""auto"", ""en"")
"),"The vacuum cleaner sucks, all the diseases manifested themselves in order: 1. the container is difficult to remove 2. the wire tensioner is broken 3. the back cover, where the filter is, constantly flies out 4. it gets hot, smells of dust 5. the attachmen"&amp;"ts do not fix, they constantly fall off 6. the hassle of washing the filters")</f>
        <v>The vacuum cleaner sucks, all the diseases manifested themselves in order: 1. the container is difficult to remove 2. the wire tensioner is broken 3. the back cover, where the filter is, constantly flies out 4. it gets hot, smells of dust 5. the attachments do not fix, they constantly fall off 6. the hassle of washing the filters</v>
      </c>
    </row>
    <row r="10360" spans="1:9" x14ac:dyDescent="0.3">
      <c r="A10360" s="1" t="s">
        <v>67</v>
      </c>
      <c r="B10360" s="1" t="s">
        <v>68</v>
      </c>
      <c r="C10360" s="1" t="s">
        <v>69</v>
      </c>
      <c r="D10360" s="1" t="s">
        <v>521</v>
      </c>
      <c r="E10360" s="1" t="s">
        <v>2900</v>
      </c>
      <c r="F10360" s="1" t="s">
        <v>15061</v>
      </c>
      <c r="G10360" s="1" t="s">
        <v>15</v>
      </c>
      <c r="H10360" s="1" t="s">
        <v>16</v>
      </c>
      <c r="I10360" s="1" t="str">
        <f ca="1">IFERROR(__xludf.DUMMYFUNCTION("GOOGLETRANSLATE(F10360, ""auto"", ""en"")
"),"The appearance and assembly are good, but it is completely impossible to iron it; it often spits some kind of yellow-brown water. We cleaned it with special water and didn’t leave it with water after ironing. Now I’ll go buy another one, simple, without f"&amp;"rills, the most ordinary and of course not Philips :)")</f>
        <v>The appearance and assembly are good, but it is completely impossible to iron it; it often spits some kind of yellow-brown water. We cleaned it with special water and didn’t leave it with water after ironing. Now I’ll go buy another one, simple, without frills, the most ordinary and of course not Philips :)</v>
      </c>
    </row>
    <row r="10361" spans="1:9" x14ac:dyDescent="0.3">
      <c r="A10361" s="1" t="s">
        <v>811</v>
      </c>
      <c r="B10361" s="1" t="s">
        <v>812</v>
      </c>
      <c r="C10361" s="1" t="s">
        <v>813</v>
      </c>
      <c r="D10361" s="1" t="s">
        <v>8257</v>
      </c>
      <c r="E10361" s="1" t="s">
        <v>5879</v>
      </c>
      <c r="F10361" s="1" t="s">
        <v>15062</v>
      </c>
      <c r="G10361" s="1" t="s">
        <v>36</v>
      </c>
      <c r="H10361" s="1" t="s">
        <v>29</v>
      </c>
      <c r="I10361" s="1" t="str">
        <f ca="1">IFERROR(__xludf.DUMMYFUNCTION("GOOGLETRANSLATE(F10361, ""auto"", ""en"")
"),"I bought this wonderful tripod, the quality is very good, I really liked the tripod, thank you")</f>
        <v>I bought this wonderful tripod, the quality is very good, I really liked the tripod, thank you</v>
      </c>
    </row>
    <row r="10362" spans="1:9" x14ac:dyDescent="0.3">
      <c r="A10362" s="1" t="s">
        <v>30</v>
      </c>
      <c r="B10362" s="1" t="s">
        <v>50</v>
      </c>
      <c r="C10362" s="1" t="s">
        <v>2550</v>
      </c>
      <c r="D10362" s="1" t="s">
        <v>33</v>
      </c>
      <c r="E10362" s="1" t="s">
        <v>1063</v>
      </c>
      <c r="F10362" s="1" t="s">
        <v>15063</v>
      </c>
      <c r="G10362" s="1" t="s">
        <v>36</v>
      </c>
      <c r="H10362" s="1" t="s">
        <v>29</v>
      </c>
      <c r="I10362" s="1" t="str">
        <f ca="1">IFERROR(__xludf.DUMMYFUNCTION("GOOGLETRANSLATE(F10362, ""auto"", ""en"")
"),"I have owned this netbook since August 2009, the model is pearl white and looks great. model U100-055RU.  The original battery costs 2200 mAh, it lasts about 2 hours and 20 minutes for me.  I ordered a reinforced 7200 mAh battery. Now it takes about 7 hou"&amp;"rs. An excellent choice for the money, a workhorse for constantly downloading content from the unlimited Internet, for example. At night you can hardly hear the cooler operating.  You can easily install Windows 7 on this netbook; drivers are available on "&amp;"the Internet without any problems.  The downside is that the Fn and Ctrl keys are located in reverse, not as we are used to on a PC keyboard. you get confused all the time. The matrix of this model seems to be cheap, because in the dark on some dark pictu"&amp;"re you can see highlights (gray colors) along all the edges, as a result, if you turn on the black background, it resembles the letter X. In principle, it’s okay, in room light nothing is noticeable. It is very convenient to use an external monitor, for e"&amp;"xample a 22"". Everything flies.")</f>
        <v>I have owned this netbook since August 2009, the model is pearl white and looks great. model U100-055RU.  The original battery costs 2200 mAh, it lasts about 2 hours and 20 minutes for me.  I ordered a reinforced 7200 mAh battery. Now it takes about 7 hours. An excellent choice for the money, a workhorse for constantly downloading content from the unlimited Internet, for example. At night you can hardly hear the cooler operating.  You can easily install Windows 7 on this netbook; drivers are available on the Internet without any problems.  The downside is that the Fn and Ctrl keys are located in reverse, not as we are used to on a PC keyboard. you get confused all the time. The matrix of this model seems to be cheap, because in the dark on some dark picture you can see highlights (gray colors) along all the edges, as a result, if you turn on the black background, it resembles the letter X. In principle, it’s okay, in room light nothing is noticeable. It is very convenient to use an external monitor, for example a 22". Everything flies.</v>
      </c>
    </row>
    <row r="10363" spans="1:9" x14ac:dyDescent="0.3">
      <c r="A10363" s="1" t="s">
        <v>67</v>
      </c>
      <c r="B10363" s="1" t="s">
        <v>68</v>
      </c>
      <c r="C10363" s="1" t="s">
        <v>381</v>
      </c>
      <c r="D10363" s="1" t="s">
        <v>172</v>
      </c>
      <c r="E10363" s="1" t="s">
        <v>2900</v>
      </c>
      <c r="F10363" s="1" t="s">
        <v>15064</v>
      </c>
      <c r="G10363" s="1" t="s">
        <v>36</v>
      </c>
      <c r="H10363" s="1" t="s">
        <v>29</v>
      </c>
      <c r="I10363" s="1" t="str">
        <f ca="1">IFERROR(__xludf.DUMMYFUNCTION("GOOGLETRANSLATE(F10363, ""auto"", ""en"")
"),"Just a super iron! Although small, it irons just great!!! For the money this is the best travel iron! And it will come in handy later at home! stroke, stroke and stroke again)))")</f>
        <v>Just a super iron! Although small, it irons just great!!! For the money this is the best travel iron! And it will come in handy later at home! stroke, stroke and stroke again)))</v>
      </c>
    </row>
    <row r="10364" spans="1:9" x14ac:dyDescent="0.3">
      <c r="A10364" s="1" t="s">
        <v>149</v>
      </c>
      <c r="B10364" s="1" t="s">
        <v>155</v>
      </c>
      <c r="C10364" s="1" t="s">
        <v>151</v>
      </c>
      <c r="D10364" s="1" t="s">
        <v>327</v>
      </c>
      <c r="E10364" s="1" t="s">
        <v>750</v>
      </c>
      <c r="F10364" s="1" t="s">
        <v>15065</v>
      </c>
      <c r="G10364" s="1" t="s">
        <v>36</v>
      </c>
      <c r="H10364" s="1" t="s">
        <v>29</v>
      </c>
      <c r="I10364" s="1" t="str">
        <f ca="1">IFERROR(__xludf.DUMMYFUNCTION("GOOGLETRANSLATE(F10364, ""auto"", ""en"")
"),"I chose a vacuum cleaner for my wife’s parents, who live far away in the village. The choice settled on the SC4520: - inexpensive - no need to run around looking for output filters, which also cost 400-500 rubles.  - easy to disassemble: I just pressed 1 "&amp;"button and the container was in my hands. After purchasing, we decided to try it on a small area of ​​our apartment: we vacuumed the laminate and rug and were shocked. There was SO much dust in the container that it became scary what we were breathing!!! "&amp;"At the same time, the pre-motor filter practically did not clog, not to mention the output filter. I threw the collected garbage into the trash can, washed the container and... ... went for the second vacuum cleaner. For myself, of course.  “+” ease of op"&amp;"eration, good suction power, low price, no problems with consumables “-” only 2 brushes included, no power adjustment (although to be honest I never used it on the previous vacuum cleaner :)).  After using it for a long time I will definitely write more.")</f>
        <v>I chose a vacuum cleaner for my wife’s parents, who live far away in the village. The choice settled on the SC4520: - inexpensive - no need to run around looking for output filters, which also cost 400-500 rubles.  - easy to disassemble: I just pressed 1 button and the container was in my hands. After purchasing, we decided to try it on a small area of ​​our apartment: we vacuumed the laminate and rug and were shocked. There was SO much dust in the container that it became scary what we were breathing!!! At the same time, the pre-motor filter practically did not clog, not to mention the output filter. I threw the collected garbage into the trash can, washed the container and... ... went for the second vacuum cleaner. For myself, of course.  “+” ease of operation, good suction power, low price, no problems with consumables “-” only 2 brushes included, no power adjustment (although to be honest I never used it on the previous vacuum cleaner :)).  After using it for a long time I will definitely write more.</v>
      </c>
    </row>
    <row r="10365" spans="1:9" x14ac:dyDescent="0.3">
      <c r="A10365" s="1" t="s">
        <v>33</v>
      </c>
      <c r="B10365" s="1" t="s">
        <v>12865</v>
      </c>
      <c r="C10365" s="1" t="s">
        <v>11191</v>
      </c>
      <c r="D10365" s="1" t="s">
        <v>39</v>
      </c>
      <c r="E10365" s="1" t="s">
        <v>8691</v>
      </c>
      <c r="F10365" s="1" t="s">
        <v>15066</v>
      </c>
      <c r="G10365" s="1" t="s">
        <v>49</v>
      </c>
      <c r="H10365" s="1" t="s">
        <v>16</v>
      </c>
      <c r="I10365" s="1" t="str">
        <f ca="1">IFERROR(__xludf.DUMMYFUNCTION("GOOGLETRANSLATE(F10365, ""auto"", ""en"")
"),"A dubious device - a motor with a battery and a motion sensor, probably made of two wires that close and open when moving! The price of this craft is 200-300 rubles! And the program is included! There are plenty of such programs and free of charge on the "&amp;"store and in the market, which will count the number of calories and wake you up at the right phase of sleep! You already have everything on your iPhone and Android! As a beautiful accessory, I can recommend a gold bracelet, not a spring covered with plas"&amp;"tic, for the money!")</f>
        <v>A dubious device - a motor with a battery and a motion sensor, probably made of two wires that close and open when moving! The price of this craft is 200-300 rubles! And the program is included! There are plenty of such programs and free of charge on the store and in the market, which will count the number of calories and wake you up at the right phase of sleep! You already have everything on your iPhone and Android! As a beautiful accessory, I can recommend a gold bracelet, not a spring covered with plastic, for the money!</v>
      </c>
    </row>
    <row r="10366" spans="1:9" x14ac:dyDescent="0.3">
      <c r="A10366" s="1" t="s">
        <v>30</v>
      </c>
      <c r="B10366" s="1" t="s">
        <v>50</v>
      </c>
      <c r="C10366" s="1" t="s">
        <v>1003</v>
      </c>
      <c r="D10366" s="1" t="s">
        <v>102</v>
      </c>
      <c r="E10366" s="1" t="s">
        <v>2686</v>
      </c>
      <c r="F10366" s="1" t="s">
        <v>15067</v>
      </c>
      <c r="G10366" s="1" t="s">
        <v>36</v>
      </c>
      <c r="H10366" s="1" t="s">
        <v>29</v>
      </c>
      <c r="I10366" s="1" t="str">
        <f ca="1">IFERROR(__xludf.DUMMYFUNCTION("GOOGLETRANSLATE(F10366, ""auto"", ""en"")
"),"I’m also completely satisfied with the laptop, there’s just one problem... I just can’t understand WHAT TO DO with the sound.. I plug in headphones, but the sound still plays from the speakers... In the settings... the default sound is not set to headphon"&amp;"es... But when I call from a telephone modem.. the sound goes to the headphones.")</f>
        <v>I’m also completely satisfied with the laptop, there’s just one problem... I just can’t understand WHAT TO DO with the sound.. I plug in headphones, but the sound still plays from the speakers... In the settings... the default sound is not set to headphones... But when I call from a telephone modem.. the sound goes to the headphones.</v>
      </c>
    </row>
    <row r="10367" spans="1:9" x14ac:dyDescent="0.3">
      <c r="A10367" s="1" t="s">
        <v>211</v>
      </c>
      <c r="B10367" s="1" t="s">
        <v>410</v>
      </c>
      <c r="C10367" s="1" t="s">
        <v>213</v>
      </c>
      <c r="D10367" s="1" t="s">
        <v>280</v>
      </c>
      <c r="E10367" s="1" t="s">
        <v>15068</v>
      </c>
      <c r="F10367" s="1" t="s">
        <v>15069</v>
      </c>
      <c r="G10367" s="1" t="s">
        <v>36</v>
      </c>
      <c r="H10367" s="1" t="s">
        <v>29</v>
      </c>
      <c r="I10367" s="1" t="str">
        <f ca="1">IFERROR(__xludf.DUMMYFUNCTION("GOOGLETRANSLATE(F10367, ""auto"", ""en"")
"),"I purchased this razor and after a month of use, I want to say that it is simply a miracle.  This new razor is just super! Shaves very clean and fast! A bunch of moving parts that move in all planes, an endless battery and other bonuses. No irritation. I'"&amp;"m more than pleased. An excellent razor and a decent package.   P.S. The stubble is not rough, I shave every 3 days without foam (after a month the battery shows 80%).  I recommend!")</f>
        <v>I purchased this razor and after a month of use, I want to say that it is simply a miracle.  This new razor is just super! Shaves very clean and fast! A bunch of moving parts that move in all planes, an endless battery and other bonuses. No irritation. I'm more than pleased. An excellent razor and a decent package.   P.S. The stubble is not rough, I shave every 3 days without foam (after a month the battery shows 80%).  I recommend!</v>
      </c>
    </row>
    <row r="10368" spans="1:9" x14ac:dyDescent="0.3">
      <c r="A10368" s="1" t="s">
        <v>149</v>
      </c>
      <c r="B10368" s="1" t="s">
        <v>150</v>
      </c>
      <c r="C10368" s="1" t="s">
        <v>57</v>
      </c>
      <c r="D10368" s="1" t="s">
        <v>232</v>
      </c>
      <c r="E10368" s="1" t="s">
        <v>3509</v>
      </c>
      <c r="F10368" s="1" t="s">
        <v>15070</v>
      </c>
      <c r="G10368" s="1" t="s">
        <v>36</v>
      </c>
      <c r="H10368" s="1" t="s">
        <v>29</v>
      </c>
      <c r="I10368" s="1" t="str">
        <f ca="1">IFERROR(__xludf.DUMMYFUNCTION("GOOGLETRANSLATE(F10368, ""auto"", ""en"")
"),"I agree with Denis, when using a vacuum cleaner with an aqua filter, there is much less dust, since there is simply no dust at the exit!!!     I have been using an excellent vacuum cleaner for more than 1.5 years. I recommend it to everyone")</f>
        <v>I agree with Denis, when using a vacuum cleaner with an aqua filter, there is much less dust, since there is simply no dust at the exit!!!     I have been using an excellent vacuum cleaner for more than 1.5 years. I recommend it to everyone</v>
      </c>
    </row>
    <row r="10369" spans="1:9" x14ac:dyDescent="0.3">
      <c r="A10369" s="1" t="s">
        <v>89</v>
      </c>
      <c r="B10369" s="1" t="s">
        <v>90</v>
      </c>
      <c r="C10369" s="1" t="s">
        <v>63</v>
      </c>
      <c r="D10369" s="1" t="s">
        <v>232</v>
      </c>
      <c r="E10369" s="1" t="s">
        <v>1296</v>
      </c>
      <c r="F10369" s="1" t="s">
        <v>15071</v>
      </c>
      <c r="G10369" s="1" t="s">
        <v>36</v>
      </c>
      <c r="H10369" s="1" t="s">
        <v>29</v>
      </c>
      <c r="I10369" s="1" t="str">
        <f ca="1">IFERROR(__xludf.DUMMYFUNCTION("GOOGLETRANSLATE(F10369, ""auto"", ""en"")
"),"I've been using it for over 10 years! Great grind! Quality knives. You just need to use it according to the instructions. Great gift! It grinds everything that grinds without any complaints, you just need to get used to it.")</f>
        <v>I've been using it for over 10 years! Great grind! Quality knives. You just need to use it according to the instructions. Great gift! It grinds everything that grinds without any complaints, you just need to get used to it.</v>
      </c>
    </row>
    <row r="10370" spans="1:9" x14ac:dyDescent="0.3">
      <c r="A10370" s="1" t="s">
        <v>149</v>
      </c>
      <c r="B10370" s="1" t="s">
        <v>155</v>
      </c>
      <c r="C10370" s="1" t="s">
        <v>151</v>
      </c>
      <c r="D10370" s="1" t="s">
        <v>11148</v>
      </c>
      <c r="E10370" s="1" t="s">
        <v>1467</v>
      </c>
      <c r="F10370" s="1" t="s">
        <v>15072</v>
      </c>
      <c r="G10370" s="1" t="s">
        <v>36</v>
      </c>
      <c r="H10370" s="1" t="s">
        <v>29</v>
      </c>
      <c r="I10370" s="1" t="str">
        <f ca="1">IFERROR(__xludf.DUMMYFUNCTION("GOOGLETRANSLATE(F10370, ""auto"", ""en"")
"),"This vacuum cleaner was recommended to me by a consultant I know. I didn’t regret my choice, it’s an excellent vacuum cleaner. I bought the same one for my mother. Good suction power, convenient power control knob. Those who write that the power is poor, "&amp;"wash the filter more often. (it’s better to wash the filter than to shake the dust out of the dust bag!!!) I wouldn’t say that it is very noisy. For those who write that it is very noisy, put on headphones and vacuum))) And for those who don’t like this v"&amp;"acuum cleaner, you can pay a lot of money for a Dyson. A good vacuum cleaner, worth the money, I recommend it.")</f>
        <v>This vacuum cleaner was recommended to me by a consultant I know. I didn’t regret my choice, it’s an excellent vacuum cleaner. I bought the same one for my mother. Good suction power, convenient power control knob. Those who write that the power is poor, wash the filter more often. (it’s better to wash the filter than to shake the dust out of the dust bag!!!) I wouldn’t say that it is very noisy. For those who write that it is very noisy, put on headphones and vacuum))) And for those who don’t like this vacuum cleaner, you can pay a lot of money for a Dyson. A good vacuum cleaner, worth the money, I recommend it.</v>
      </c>
    </row>
    <row r="10371" spans="1:9" x14ac:dyDescent="0.3">
      <c r="A10371" s="1" t="s">
        <v>61</v>
      </c>
      <c r="B10371" s="1" t="s">
        <v>318</v>
      </c>
      <c r="C10371" s="1" t="s">
        <v>101</v>
      </c>
      <c r="D10371" s="1" t="s">
        <v>52</v>
      </c>
      <c r="E10371" s="1" t="s">
        <v>1971</v>
      </c>
      <c r="F10371" s="1" t="s">
        <v>15073</v>
      </c>
      <c r="G10371" s="1" t="s">
        <v>36</v>
      </c>
      <c r="H10371" s="1" t="s">
        <v>29</v>
      </c>
      <c r="I10371" s="1" t="str">
        <f ca="1">IFERROR(__xludf.DUMMYFUNCTION("GOOGLETRANSLATE(F10371, ""auto"", ""en"")
"),"Nice kettle, cool blue light. I took it for use at the dacha, everything is fine. 5 stars")</f>
        <v>Nice kettle, cool blue light. I took it for use at the dacha, everything is fine. 5 stars</v>
      </c>
    </row>
    <row r="10372" spans="1:9" x14ac:dyDescent="0.3">
      <c r="A10372" s="1" t="s">
        <v>37</v>
      </c>
      <c r="B10372" s="1" t="s">
        <v>38</v>
      </c>
      <c r="C10372" s="1" t="s">
        <v>39</v>
      </c>
      <c r="D10372" s="1" t="s">
        <v>15074</v>
      </c>
      <c r="E10372" s="1" t="s">
        <v>10249</v>
      </c>
      <c r="F10372" s="1" t="s">
        <v>15075</v>
      </c>
      <c r="G10372" s="1" t="s">
        <v>36</v>
      </c>
      <c r="H10372" s="1" t="s">
        <v>29</v>
      </c>
      <c r="I10372" s="1" t="str">
        <f ca="1">IFERROR(__xludf.DUMMYFUNCTION("GOOGLETRANSLATE(F10372, ""auto"", ""en"")
"),"The stereo sound is simply amazing!!! HALF A MONTH of use - the device has no complaints, the only jamb is that the positioning of the joystick from left to right is not very convenient for my thumbs, but there is a way out - use the dial keys to navigate"&amp;" through the menu options and it’s even more convenient, and change your original ears, they are not comfortable, to senheusers and then it’s heaven!!! I read a lot of reviews on the forums before buying them and understood one thing: those who wrote them"&amp;" faced various problems, but the most interesting thing is that they didn’t write where they bought the mobile phone, and that they didn’t read the instructions for use, is that for sure, if they even had one?! And lastly, don’t chase free discounts in ot"&amp;"her “stores” and especially in the markets, so as not to be disappointed with the purchase and not to join those who have lousy reviews writes!!!!!!!!!")</f>
        <v>The stereo sound is simply amazing!!! HALF A MONTH of use - the device has no complaints, the only jamb is that the positioning of the joystick from left to right is not very convenient for my thumbs, but there is a way out - use the dial keys to navigate through the menu options and it’s even more convenient, and change your original ears, they are not comfortable, to senheusers and then it’s heaven!!! I read a lot of reviews on the forums before buying them and understood one thing: those who wrote them faced various problems, but the most interesting thing is that they didn’t write where they bought the mobile phone, and that they didn’t read the instructions for use, is that for sure, if they even had one?! And lastly, don’t chase free discounts in other “stores” and especially in the markets, so as not to be disappointed with the purchase and not to join those who have lousy reviews writes!!!!!!!!!</v>
      </c>
    </row>
    <row r="10373" spans="1:9" x14ac:dyDescent="0.3">
      <c r="A10373" s="1" t="s">
        <v>43</v>
      </c>
      <c r="B10373" s="1" t="s">
        <v>502</v>
      </c>
      <c r="C10373" s="1" t="s">
        <v>85</v>
      </c>
      <c r="D10373" s="1" t="s">
        <v>5580</v>
      </c>
      <c r="E10373" s="1" t="s">
        <v>1290</v>
      </c>
      <c r="F10373" s="1" t="s">
        <v>15076</v>
      </c>
      <c r="G10373" s="1" t="s">
        <v>36</v>
      </c>
      <c r="H10373" s="1" t="s">
        <v>29</v>
      </c>
      <c r="I10373" s="1" t="str">
        <f ca="1">IFERROR(__xludf.DUMMYFUNCTION("GOOGLETRANSLATE(F10373, ""auto"", ""en"")
"),"Only positive emotions, I bought it a year and a half ago, although it was still made in Germany. The only caveat is the removal of the decorative panel; if you forget, it’s easy to break the fasteners.")</f>
        <v>Only positive emotions, I bought it a year and a half ago, although it was still made in Germany. The only caveat is the removal of the decorative panel; if you forget, it’s easy to break the fasteners.</v>
      </c>
    </row>
    <row r="10374" spans="1:9" x14ac:dyDescent="0.3">
      <c r="A10374" s="1" t="s">
        <v>61</v>
      </c>
      <c r="B10374" s="1" t="s">
        <v>977</v>
      </c>
      <c r="C10374" s="1" t="s">
        <v>69</v>
      </c>
      <c r="D10374" s="1" t="s">
        <v>39</v>
      </c>
      <c r="E10374" s="1" t="s">
        <v>2085</v>
      </c>
      <c r="F10374" s="1" t="s">
        <v>15077</v>
      </c>
      <c r="G10374" s="1" t="s">
        <v>49</v>
      </c>
      <c r="H10374" s="1" t="s">
        <v>16</v>
      </c>
      <c r="I10374" s="1" t="str">
        <f ca="1">IFERROR(__xludf.DUMMYFUNCTION("GOOGLETRANSLATE(F10374, ""auto"", ""en"")
"),"Both purchased devices have plastic parts inside the gearboxes. They hit it - it’s impossible to use it anymore. They bought it for their parents and for themselves, at different times and in different cities, so a batch defect is excluded.")</f>
        <v>Both purchased devices have plastic parts inside the gearboxes. They hit it - it’s impossible to use it anymore. They bought it for their parents and for themselves, at different times and in different cities, so a batch defect is excluded.</v>
      </c>
    </row>
    <row r="10375" spans="1:9" x14ac:dyDescent="0.3">
      <c r="A10375" s="1" t="s">
        <v>37</v>
      </c>
      <c r="B10375" s="1" t="s">
        <v>38</v>
      </c>
      <c r="C10375" s="1" t="s">
        <v>39</v>
      </c>
      <c r="D10375" s="1" t="s">
        <v>172</v>
      </c>
      <c r="E10375" s="1" t="s">
        <v>118</v>
      </c>
      <c r="F10375" s="1" t="s">
        <v>15078</v>
      </c>
      <c r="G10375" s="1" t="s">
        <v>49</v>
      </c>
      <c r="H10375" s="1" t="s">
        <v>16</v>
      </c>
      <c r="I10375" s="1" t="str">
        <f ca="1">IFERROR(__xludf.DUMMYFUNCTION("GOOGLETRANSLATE(F10375, ""auto"", ""en"")
"),"After 2 weeks of use, the back cover fell off, there are cracks everywhere, there is more dust in the phone than brains. terrible model. don't buy it - disappointment is inevitable.")</f>
        <v>After 2 weeks of use, the back cover fell off, there are cracks everywhere, there is more dust in the phone than brains. terrible model. don't buy it - disappointment is inevitable.</v>
      </c>
    </row>
    <row r="10376" spans="1:9" x14ac:dyDescent="0.3">
      <c r="A10376" s="1" t="s">
        <v>61</v>
      </c>
      <c r="B10376" s="1" t="s">
        <v>145</v>
      </c>
      <c r="C10376" s="1" t="s">
        <v>1981</v>
      </c>
      <c r="D10376" s="1" t="s">
        <v>52</v>
      </c>
      <c r="E10376" s="1" t="s">
        <v>9349</v>
      </c>
      <c r="F10376" s="1" t="s">
        <v>15079</v>
      </c>
      <c r="G10376" s="1" t="s">
        <v>36</v>
      </c>
      <c r="H10376" s="1" t="s">
        <v>29</v>
      </c>
      <c r="I10376" s="1" t="str">
        <f ca="1">IFERROR(__xludf.DUMMYFUNCTION("GOOGLETRANSLATE(F10376, ""auto"", ""en"")
"),"Why, why didn't I buy it earlier? How many gratings occur in families due to improperly boiled eggs? And here is a perfect pouch without any hassle. The only thing we can complain about is that when it’s ready, it starts screaming like a shot chicken, and"&amp;" doesn’t turn off. But these are minor things.")</f>
        <v>Why, why didn't I buy it earlier? How many gratings occur in families due to improperly boiled eggs? And here is a perfect pouch without any hassle. The only thing we can complain about is that when it’s ready, it starts screaming like a shot chicken, and doesn’t turn off. But these are minor things.</v>
      </c>
    </row>
    <row r="10377" spans="1:9" x14ac:dyDescent="0.3">
      <c r="A10377" s="1" t="s">
        <v>30</v>
      </c>
      <c r="B10377" s="1" t="s">
        <v>50</v>
      </c>
      <c r="C10377" s="1" t="s">
        <v>1386</v>
      </c>
      <c r="D10377" s="1" t="s">
        <v>15080</v>
      </c>
      <c r="E10377" s="1" t="s">
        <v>1649</v>
      </c>
      <c r="F10377" s="1" t="s">
        <v>15081</v>
      </c>
      <c r="G10377" s="1" t="s">
        <v>36</v>
      </c>
      <c r="H10377" s="1" t="s">
        <v>29</v>
      </c>
      <c r="I10377" s="1" t="str">
        <f ca="1">IFERROR(__xludf.DUMMYFUNCTION("GOOGLETRANSLATE(F10377, ""auto"", ""en"")
"),"Nice laptop! We bought it, turned it on, and inside there was a Pentium Dualcore T4400 processor, although according to all the stickers and characteristics, including here, it’s a Celeron :)")</f>
        <v>Nice laptop! We bought it, turned it on, and inside there was a Pentium Dualcore T4400 processor, although according to all the stickers and characteristics, including here, it’s a Celeron :)</v>
      </c>
    </row>
    <row r="10378" spans="1:9" x14ac:dyDescent="0.3">
      <c r="A10378" s="1" t="s">
        <v>95</v>
      </c>
      <c r="B10378" s="1" t="s">
        <v>4131</v>
      </c>
      <c r="C10378" s="1" t="s">
        <v>97</v>
      </c>
      <c r="D10378" s="1" t="s">
        <v>232</v>
      </c>
      <c r="E10378" s="1" t="s">
        <v>15082</v>
      </c>
      <c r="F10378" s="1" t="s">
        <v>15083</v>
      </c>
      <c r="G10378" s="1" t="s">
        <v>36</v>
      </c>
      <c r="H10378" s="1" t="s">
        <v>29</v>
      </c>
      <c r="I10378" s="1" t="str">
        <f ca="1">IFERROR(__xludf.DUMMYFUNCTION("GOOGLETRANSLATE(F10378, ""auto"", ""en"")
"),"Great game. The graphics are great. I recommend to buy")</f>
        <v>Great game. The graphics are great. I recommend to buy</v>
      </c>
    </row>
    <row r="10379" spans="1:9" x14ac:dyDescent="0.3">
      <c r="A10379" s="1" t="s">
        <v>9</v>
      </c>
      <c r="B10379" s="1" t="s">
        <v>10</v>
      </c>
      <c r="C10379" s="1" t="s">
        <v>407</v>
      </c>
      <c r="D10379" s="1" t="s">
        <v>86</v>
      </c>
      <c r="E10379" s="1" t="s">
        <v>5307</v>
      </c>
      <c r="F10379" s="1" t="s">
        <v>15084</v>
      </c>
      <c r="G10379" s="1" t="s">
        <v>36</v>
      </c>
      <c r="H10379" s="1" t="s">
        <v>29</v>
      </c>
      <c r="I10379" s="1" t="str">
        <f ca="1">IFERROR(__xludf.DUMMYFUNCTION("GOOGLETRANSLATE(F10379, ""auto"", ""en"")
"),"An ideal combination of price and quality. It works almost silently.")</f>
        <v>An ideal combination of price and quality. It works almost silently.</v>
      </c>
    </row>
    <row r="10380" spans="1:9" x14ac:dyDescent="0.3">
      <c r="A10380" s="1" t="s">
        <v>149</v>
      </c>
      <c r="B10380" s="1" t="s">
        <v>576</v>
      </c>
      <c r="C10380" s="1" t="s">
        <v>80</v>
      </c>
      <c r="D10380" s="1" t="s">
        <v>749</v>
      </c>
      <c r="E10380" s="1" t="s">
        <v>4875</v>
      </c>
      <c r="F10380" s="1" t="s">
        <v>15085</v>
      </c>
      <c r="G10380" s="1" t="s">
        <v>36</v>
      </c>
      <c r="H10380" s="1" t="s">
        <v>29</v>
      </c>
      <c r="I10380" s="1" t="str">
        <f ca="1">IFERROR(__xludf.DUMMYFUNCTION("GOOGLETRANSLATE(F10380, ""auto"", ""en"")
"),"Excellent vacuum cleaner! I reduce the power by almost half because... lifts the rug off the floor and makes less noise. I recommend it to everyone.")</f>
        <v>Excellent vacuum cleaner! I reduce the power by almost half because... lifts the rug off the floor and makes less noise. I recommend it to everyone.</v>
      </c>
    </row>
    <row r="10381" spans="1:9" x14ac:dyDescent="0.3">
      <c r="A10381" s="1" t="s">
        <v>61</v>
      </c>
      <c r="B10381" s="1" t="s">
        <v>62</v>
      </c>
      <c r="C10381" s="1" t="s">
        <v>69</v>
      </c>
      <c r="D10381" s="1" t="s">
        <v>295</v>
      </c>
      <c r="E10381" s="1" t="s">
        <v>2371</v>
      </c>
      <c r="F10381" s="1" t="s">
        <v>15086</v>
      </c>
      <c r="G10381" s="1" t="s">
        <v>36</v>
      </c>
      <c r="H10381" s="1" t="s">
        <v>29</v>
      </c>
      <c r="I10381" s="1" t="str">
        <f ca="1">IFERROR(__xludf.DUMMYFUNCTION("GOOGLETRANSLATE(F10381, ""auto"", ""en"")
"),"I bought it a year ago. There are a lot of advantages: it takes up little space in the kitchen, I store all the attachments directly in the processor container. It’s not for nothing that this combine belongs to the “mini” class. He mixes, beats, and chops"&amp;". I often prepare salads from raw vegetables. I used to suffer: I had to cut cabbage carefully, beets so as not to get dirty, and carrots. Now ""zip"" and you're done! I mix in the bowl of a food processor, a couple of minutes and the salad is ready. I us"&amp;"e almost all the attachments. There is even an attachment for kneading dough, but I haven’t installed it yet, I’m used to making dough by hand. You can wash the combine quickly, because... The details are all small and there are not many of them. This hel"&amp;"per now lives in our kitchen!")</f>
        <v>I bought it a year ago. There are a lot of advantages: it takes up little space in the kitchen, I store all the attachments directly in the processor container. It’s not for nothing that this combine belongs to the “mini” class. He mixes, beats, and chops. I often prepare salads from raw vegetables. I used to suffer: I had to cut cabbage carefully, beets so as not to get dirty, and carrots. Now "zip" and you're done! I mix in the bowl of a food processor, a couple of minutes and the salad is ready. I use almost all the attachments. There is even an attachment for kneading dough, but I haven’t installed it yet, I’m used to making dough by hand. You can wash the combine quickly, because... The details are all small and there are not many of them. This helper now lives in our kitchen!</v>
      </c>
    </row>
    <row r="10382" spans="1:9" x14ac:dyDescent="0.3">
      <c r="A10382" s="1" t="s">
        <v>9</v>
      </c>
      <c r="B10382" s="1" t="s">
        <v>137</v>
      </c>
      <c r="C10382" s="1" t="s">
        <v>63</v>
      </c>
      <c r="D10382" s="1" t="s">
        <v>308</v>
      </c>
      <c r="E10382" s="1" t="s">
        <v>11510</v>
      </c>
      <c r="F10382" s="1" t="s">
        <v>15087</v>
      </c>
      <c r="G10382" s="1" t="s">
        <v>36</v>
      </c>
      <c r="H10382" s="1" t="s">
        <v>29</v>
      </c>
      <c r="I10382" s="1" t="str">
        <f ca="1">IFERROR(__xludf.DUMMYFUNCTION("GOOGLETRANSLATE(F10382, ""auto"", ""en"")
"),"I recommend it to everyone, very good installation! It's really easy to clean compared to others. Electric ignition works well. The panel is simply smart!")</f>
        <v>I recommend it to everyone, very good installation! It's really easy to clean compared to others. Electric ignition works well. The panel is simply smart!</v>
      </c>
    </row>
    <row r="10383" spans="1:9" x14ac:dyDescent="0.3">
      <c r="A10383" s="1" t="s">
        <v>61</v>
      </c>
      <c r="B10383" s="1" t="s">
        <v>73</v>
      </c>
      <c r="C10383" s="1" t="s">
        <v>122</v>
      </c>
      <c r="D10383" s="1" t="s">
        <v>378</v>
      </c>
      <c r="E10383" s="1" t="s">
        <v>1950</v>
      </c>
      <c r="F10383" s="1" t="s">
        <v>15088</v>
      </c>
      <c r="G10383" s="1" t="s">
        <v>36</v>
      </c>
      <c r="H10383" s="1" t="s">
        <v>29</v>
      </c>
      <c r="I10383" s="1" t="str">
        <f ca="1">IFERROR(__xludf.DUMMYFUNCTION("GOOGLETRANSLATE(F10383, ""auto"", ""en"")
"),"Excellent meat grinder, passed through 40 kg at a time, repeatedly. It has been working flawlessly for 5 years. The price is high, it justified itself. I recommend it to everyone.")</f>
        <v>Excellent meat grinder, passed through 40 kg at a time, repeatedly. It has been working flawlessly for 5 years. The price is high, it justified itself. I recommend it to everyone.</v>
      </c>
    </row>
    <row r="10384" spans="1:9" x14ac:dyDescent="0.3">
      <c r="A10384" s="1" t="s">
        <v>30</v>
      </c>
      <c r="B10384" s="1" t="s">
        <v>50</v>
      </c>
      <c r="C10384" s="1" t="s">
        <v>1386</v>
      </c>
      <c r="D10384" s="1" t="s">
        <v>152</v>
      </c>
      <c r="E10384" s="1" t="s">
        <v>201</v>
      </c>
      <c r="F10384" s="1" t="s">
        <v>15089</v>
      </c>
      <c r="G10384" s="1" t="s">
        <v>28</v>
      </c>
      <c r="H10384" s="1" t="s">
        <v>29</v>
      </c>
      <c r="I10384" s="1" t="str">
        <f ca="1">IFERROR(__xludf.DUMMYFUNCTION("GOOGLETRANSLATE(F10384, ""auto"", ""en"")
"),"I have been using this model for several months, as stated above, in terms of price and quality, this model is good, first of all, the model is intended for the Internet, working with office applications, and multimedia outside the home, however, as for m"&amp;"ultimedia, the speakers of this model are a little weak, I would like to be a little louder, otherwise the model meets its requirements.")</f>
        <v>I have been using this model for several months, as stated above, in terms of price and quality, this model is good, first of all, the model is intended for the Internet, working with office applications, and multimedia outside the home, however, as for multimedia, the speakers of this model are a little weak, I would like to be a little louder, otherwise the model meets its requirements.</v>
      </c>
    </row>
    <row r="10385" spans="1:9" x14ac:dyDescent="0.3">
      <c r="A10385" s="1" t="s">
        <v>30</v>
      </c>
      <c r="B10385" s="1" t="s">
        <v>50</v>
      </c>
      <c r="C10385" s="1" t="s">
        <v>32</v>
      </c>
      <c r="D10385" s="1" t="s">
        <v>102</v>
      </c>
      <c r="E10385" s="1" t="s">
        <v>594</v>
      </c>
      <c r="F10385" s="1" t="s">
        <v>15090</v>
      </c>
      <c r="G10385" s="1" t="s">
        <v>36</v>
      </c>
      <c r="H10385" s="1" t="s">
        <v>29</v>
      </c>
      <c r="I10385" s="1" t="str">
        <f ca="1">IFERROR(__xludf.DUMMYFUNCTION("GOOGLETRANSLATE(F10385, ""auto"", ""en"")
"),"I bought it in July as a replacement for a burned out desktop computer. I'm still happy. Yes, it gets very hot, but you can live with it. The games just fly. For 20,000 I recommend it to everyone.")</f>
        <v>I bought it in July as a replacement for a burned out desktop computer. I'm still happy. Yes, it gets very hot, but you can live with it. The games just fly. For 20,000 I recommend it to everyone.</v>
      </c>
    </row>
    <row r="10386" spans="1:9" x14ac:dyDescent="0.3">
      <c r="A10386" s="1" t="s">
        <v>211</v>
      </c>
      <c r="B10386" s="1" t="s">
        <v>789</v>
      </c>
      <c r="C10386" s="1" t="s">
        <v>69</v>
      </c>
      <c r="D10386" s="1" t="s">
        <v>919</v>
      </c>
      <c r="E10386" s="1" t="s">
        <v>7541</v>
      </c>
      <c r="F10386" s="1" t="s">
        <v>15091</v>
      </c>
      <c r="G10386" s="1" t="s">
        <v>49</v>
      </c>
      <c r="H10386" s="1" t="s">
        <v>16</v>
      </c>
      <c r="I10386" s="1" t="str">
        <f ca="1">IFERROR(__xludf.DUMMYFUNCTION("GOOGLETRANSLATE(F10386, ""auto"", ""en"")
"),"It heats disgustingly - it requires constant adjustment and precise dosage of water for heating, which must be drained every time.  It is inconvenient to set up, it requires two hands to set the mode - with a child in your arms this requires special skill"&amp;".  The electronics malfunctioned a month after purchase, at first the heater turned on every once in a while and blinked all the lights, then it refused to turn on at all.    We save ourselves with a hotpotter - a couple of minutes in boiling water can ea"&amp;"sily and simply replace this unfortunate device.")</f>
        <v>It heats disgustingly - it requires constant adjustment and precise dosage of water for heating, which must be drained every time.  It is inconvenient to set up, it requires two hands to set the mode - with a child in your arms this requires special skill.  The electronics malfunctioned a month after purchase, at first the heater turned on every once in a while and blinked all the lights, then it refused to turn on at all.    We save ourselves with a hotpotter - a couple of minutes in boiling water can easily and simply replace this unfortunate device.</v>
      </c>
    </row>
    <row r="10387" spans="1:9" x14ac:dyDescent="0.3">
      <c r="A10387" s="1" t="s">
        <v>9</v>
      </c>
      <c r="B10387" s="1" t="s">
        <v>137</v>
      </c>
      <c r="C10387" s="1" t="s">
        <v>134</v>
      </c>
      <c r="D10387" s="1" t="s">
        <v>592</v>
      </c>
      <c r="E10387" s="1" t="s">
        <v>10504</v>
      </c>
      <c r="F10387" s="1" t="s">
        <v>15092</v>
      </c>
      <c r="G10387" s="1" t="s">
        <v>36</v>
      </c>
      <c r="H10387" s="1" t="s">
        <v>29</v>
      </c>
      <c r="I10387" s="1" t="str">
        <f ca="1">IFERROR(__xludf.DUMMYFUNCTION("GOOGLETRANSLATE(F10387, ""auto"", ""en"")
"),"Cool gas panel.  In general, to be honest, I’ve simply never seen such panels before, namely, we are talking about five burners.   There are as many as 4 regular burners, and in the center of the wok is a triple-flame burner. At first, of course, I was su"&amp;"rprised to see this, but then when I found out that it was Siemens, I still decided to buy it. I've always liked Siemens.  What can we say, in fact, five burners turned out to be quite a convenient solution, although the stove turned out to be a little wi"&amp;"der than its analogues.  The central wok burner (I only found out what it was called after the purchase) is actually a cool thing. Everything cooks much better on a triple flame, I use it often.  All other burners work great too. The flame on them is easi"&amp;"ly adjustable, there are no sudden changes.  Electric ignition always works well.  The panel in the kitchen looks very cool and stylish. I also really liked that the stove came with instructions in Russian.   I’ll say again that it’s a very cool oven, I’m"&amp;" happy with it, I recommend it to everyone")</f>
        <v>Cool gas panel.  In general, to be honest, I’ve simply never seen such panels before, namely, we are talking about five burners.   There are as many as 4 regular burners, and in the center of the wok is a triple-flame burner. At first, of course, I was surprised to see this, but then when I found out that it was Siemens, I still decided to buy it. I've always liked Siemens.  What can we say, in fact, five burners turned out to be quite a convenient solution, although the stove turned out to be a little wider than its analogues.  The central wok burner (I only found out what it was called after the purchase) is actually a cool thing. Everything cooks much better on a triple flame, I use it often.  All other burners work great too. The flame on them is easily adjustable, there are no sudden changes.  Electric ignition always works well.  The panel in the kitchen looks very cool and stylish. I also really liked that the stove came with instructions in Russian.   I’ll say again that it’s a very cool oven, I’m happy with it, I recommend it to everyone</v>
      </c>
    </row>
    <row r="10388" spans="1:9" x14ac:dyDescent="0.3">
      <c r="A10388" s="1" t="s">
        <v>61</v>
      </c>
      <c r="B10388" s="1" t="s">
        <v>977</v>
      </c>
      <c r="C10388" s="1" t="s">
        <v>63</v>
      </c>
      <c r="D10388" s="1" t="s">
        <v>15093</v>
      </c>
      <c r="E10388" s="1" t="s">
        <v>15094</v>
      </c>
      <c r="F10388" s="1" t="s">
        <v>15095</v>
      </c>
      <c r="G10388" s="1" t="s">
        <v>36</v>
      </c>
      <c r="H10388" s="1" t="s">
        <v>29</v>
      </c>
      <c r="I10388" s="1" t="str">
        <f ca="1">IFERROR(__xludf.DUMMYFUNCTION("GOOGLETRANSLATE(F10388, ""auto"", ""en"")
"),"The most convenient and quite compact mixer to store. A comfortable rubberized handle for holding the mixer, five speeds and a turbo mode for whipping different masses. Also included is a spacious rotating bowl and stand, in addition to two whisks for whi"&amp;"pping, plus hooks for kneading dough, which can be removed at the touch of a button. Washing it after use is simple and quick; during the operation of this mixer there were no problems or breakdowns, I can only say good things about it and recommend it.")</f>
        <v>The most convenient and quite compact mixer to store. A comfortable rubberized handle for holding the mixer, five speeds and a turbo mode for whipping different masses. Also included is a spacious rotating bowl and stand, in addition to two whisks for whipping, plus hooks for kneading dough, which can be removed at the touch of a button. Washing it after use is simple and quick; during the operation of this mixer there were no problems or breakdowns, I can only say good things about it and recommend it.</v>
      </c>
    </row>
    <row r="10389" spans="1:9" x14ac:dyDescent="0.3">
      <c r="A10389" s="1" t="s">
        <v>37</v>
      </c>
      <c r="B10389" s="1" t="s">
        <v>38</v>
      </c>
      <c r="C10389" s="1" t="s">
        <v>163</v>
      </c>
      <c r="D10389" s="1" t="s">
        <v>81</v>
      </c>
      <c r="E10389" s="1" t="s">
        <v>259</v>
      </c>
      <c r="F10389" s="1" t="s">
        <v>15096</v>
      </c>
      <c r="G10389" s="1" t="s">
        <v>36</v>
      </c>
      <c r="H10389" s="1" t="s">
        <v>29</v>
      </c>
      <c r="I10389" s="1" t="str">
        <f ca="1">IFERROR(__xludf.DUMMYFUNCTION("GOOGLETRANSLATE(F10389, ""auto"", ""en"")
"),"Great phone!")</f>
        <v>Great phone!</v>
      </c>
    </row>
    <row r="10390" spans="1:9" x14ac:dyDescent="0.3">
      <c r="A10390" s="1" t="s">
        <v>211</v>
      </c>
      <c r="B10390" s="1" t="s">
        <v>212</v>
      </c>
      <c r="C10390" s="1" t="s">
        <v>294</v>
      </c>
      <c r="D10390" s="1" t="s">
        <v>10607</v>
      </c>
      <c r="E10390" s="1" t="s">
        <v>5588</v>
      </c>
      <c r="F10390" s="1" t="s">
        <v>15097</v>
      </c>
      <c r="G10390" s="1" t="s">
        <v>36</v>
      </c>
      <c r="H10390" s="1" t="s">
        <v>29</v>
      </c>
      <c r="I10390" s="1" t="str">
        <f ca="1">IFERROR(__xludf.DUMMYFUNCTION("GOOGLETRANSLATE(F10390, ""auto"", ""en"")
"),"The tongs were given by my beloved! I have already tried all the possible styling suggested on the disc. I'm delighted with this thing!! It heats up very quickly and cools down quite quickly, and it also comes with a heat-resistant case. The hair is not e"&amp;"lectrified, and the styling lasts until the hair is wet. I'm glad you can select the optimal temperature and lock all the keys - it's very convenient! I would also like to note the good thick cord with a joint, which allows the cord not to curl after the "&amp;"tongs.  Girls, I recommend this model to everyone! Guys, give us such wonderful gifts more often!")</f>
        <v>The tongs were given by my beloved! I have already tried all the possible styling suggested on the disc. I'm delighted with this thing!! It heats up very quickly and cools down quite quickly, and it also comes with a heat-resistant case. The hair is not electrified, and the styling lasts until the hair is wet. I'm glad you can select the optimal temperature and lock all the keys - it's very convenient! I would also like to note the good thick cord with a joint, which allows the cord not to curl after the tongs.  Girls, I recommend this model to everyone! Guys, give us such wonderful gifts more often!</v>
      </c>
    </row>
    <row r="10391" spans="1:9" x14ac:dyDescent="0.3">
      <c r="A10391" s="1" t="s">
        <v>149</v>
      </c>
      <c r="B10391" s="1" t="s">
        <v>576</v>
      </c>
      <c r="C10391" s="1" t="s">
        <v>63</v>
      </c>
      <c r="D10391" s="1" t="s">
        <v>15098</v>
      </c>
      <c r="E10391" s="1" t="s">
        <v>214</v>
      </c>
      <c r="F10391" s="1" t="s">
        <v>15099</v>
      </c>
      <c r="G10391" s="1" t="s">
        <v>36</v>
      </c>
      <c r="H10391" s="1" t="s">
        <v>29</v>
      </c>
      <c r="I10391" s="1" t="str">
        <f ca="1">IFERROR(__xludf.DUMMYFUNCTION("GOOGLETRANSLATE(F10391, ""auto"", ""en"")
"),"I didn’t have many vacuum cleaners, as there were 2 Hoovers, purely English ones. We lived to this day, I just wanted to change it. I am 150% satisfied with the vacuum cleaner! Powerful, light, cute... Of course, for this money there could be a turbo brus"&amp;"h. But it just happened to be with neighbors whose Bosch had just died after living for 11 years. It's nice that the diameter of the tubes is the same. The brush came up and worked like a charm! Moreover, I got it for free))))) The shortcomings described "&amp;"by previous speakers were not identified. Maybe they were just unlucky with specific specimens. My Bosya is cool and cheerful! I recommend it to everyone! Happy shopping!")</f>
        <v>I didn’t have many vacuum cleaners, as there were 2 Hoovers, purely English ones. We lived to this day, I just wanted to change it. I am 150% satisfied with the vacuum cleaner! Powerful, light, cute... Of course, for this money there could be a turbo brush. But it just happened to be with neighbors whose Bosch had just died after living for 11 years. It's nice that the diameter of the tubes is the same. The brush came up and worked like a charm! Moreover, I got it for free))))) The shortcomings described by previous speakers were not identified. Maybe they were just unlucky with specific specimens. My Bosya is cool and cheerful! I recommend it to everyone! Happy shopping!</v>
      </c>
    </row>
    <row r="10392" spans="1:9" x14ac:dyDescent="0.3">
      <c r="A10392" s="1" t="s">
        <v>211</v>
      </c>
      <c r="B10392" s="1" t="s">
        <v>212</v>
      </c>
      <c r="C10392" s="1" t="s">
        <v>381</v>
      </c>
      <c r="D10392" s="1" t="s">
        <v>64</v>
      </c>
      <c r="E10392" s="1" t="s">
        <v>672</v>
      </c>
      <c r="F10392" s="1" t="s">
        <v>15100</v>
      </c>
      <c r="G10392" s="1" t="s">
        <v>28</v>
      </c>
      <c r="H10392" s="1" t="s">
        <v>29</v>
      </c>
      <c r="I10392" s="1" t="str">
        <f ca="1">IFERROR(__xludf.DUMMYFUNCTION("GOOGLETRANSLATE(F10392, ""auto"", ""en"")
"),"A friend gave me this straightener for my birthday. Great stuff! I used it with pleasure every day. Although I have thin hair, the straightener did not damage it. Heats up very quickly and straightens efficiently. But it BROKE after a year of use. I tried"&amp;" to find out the cause of the breakdown, but it was useless: the repairmen and electricians just shrugged their shoulders.")</f>
        <v>A friend gave me this straightener for my birthday. Great stuff! I used it with pleasure every day. Although I have thin hair, the straightener did not damage it. Heats up very quickly and straightens efficiently. But it BROKE after a year of use. I tried to find out the cause of the breakdown, but it was useless: the repairmen and electricians just shrugged their shoulders.</v>
      </c>
    </row>
    <row r="10393" spans="1:9" x14ac:dyDescent="0.3">
      <c r="A10393" s="1" t="s">
        <v>120</v>
      </c>
      <c r="B10393" s="1" t="s">
        <v>126</v>
      </c>
      <c r="C10393" s="1" t="s">
        <v>122</v>
      </c>
      <c r="D10393" s="1" t="s">
        <v>327</v>
      </c>
      <c r="E10393" s="1" t="s">
        <v>886</v>
      </c>
      <c r="F10393" s="1" t="s">
        <v>15101</v>
      </c>
      <c r="G10393" s="1" t="s">
        <v>28</v>
      </c>
      <c r="H10393" s="1" t="s">
        <v>29</v>
      </c>
      <c r="I10393" s="1" t="str">
        <f ca="1">IFERROR(__xludf.DUMMYFUNCTION("GOOGLETRANSLATE(F10393, ""auto"", ""en"")
"),"Good TV! Everything suits me. With the satellite dish it showed great! Excellent quality!  But there is one small problem: 1) the TV gets very hot after 2 hours of use.  I'm very happy with my TV!")</f>
        <v>Good TV! Everything suits me. With the satellite dish it showed great! Excellent quality!  But there is one small problem: 1) the TV gets very hot after 2 hours of use.  I'm very happy with my TV!</v>
      </c>
    </row>
    <row r="10394" spans="1:9" x14ac:dyDescent="0.3">
      <c r="A10394" s="1" t="s">
        <v>9</v>
      </c>
      <c r="B10394" s="1" t="s">
        <v>137</v>
      </c>
      <c r="C10394" s="1" t="s">
        <v>134</v>
      </c>
      <c r="D10394" s="1" t="s">
        <v>64</v>
      </c>
      <c r="E10394" s="1" t="s">
        <v>481</v>
      </c>
      <c r="F10394" s="1" t="s">
        <v>15102</v>
      </c>
      <c r="G10394" s="1" t="s">
        <v>28</v>
      </c>
      <c r="H10394" s="1" t="s">
        <v>29</v>
      </c>
      <c r="I10394" s="1" t="str">
        <f ca="1">IFERROR(__xludf.DUMMYFUNCTION("GOOGLETRANSLATE(F10394, ""auto"", ""en"")
"),"Hello everyone. It took me a long time to choose the surface. I read the reviews. I made conclusions. When I came to buy what I wanted, it wasn’t in the stores. It was urgent because the installation of a kitchen had already been scheduled. In short, they"&amp;" took it - Siemens..... Installed it. Tried it. Well, since I only wanted another one, but didn’t try it at work. I can’t compare, but I’ll say about this surface. It doesn’t get dirty. No stains are visible. It’s very easy to clean. It just wipes off wit"&amp;"h a damp cloth. with a cloth and that’s it. The largest burner with a double flame is a good thing when you’re in a hurry, but it’s very noisy. In principle, the two middle ones suit me quite well; everything can be cooked on them quite quickly. Lately I’"&amp;"ve started to notice that the smallest burner doesn’t turn on when any other burner is on. It’s annoying. Because you have to turn off the one that’s working, turn on the small one, and then turn it back on again. I’ll keep an eye on it and probably go to"&amp;" the store. The cast-iron grate doesn’t have anything on it. it slides. Large and small pans fit well. Don’t rub against each other. So, in principle, I’m happy with the exception of the above-described drawback. But I think any technique can have a malfu"&amp;"nction.")</f>
        <v>Hello everyone. It took me a long time to choose the surface. I read the reviews. I made conclusions. When I came to buy what I wanted, it wasn’t in the stores. It was urgent because the installation of a kitchen had already been scheduled. In short, they took it - Siemens..... Installed it. Tried it. Well, since I only wanted another one, but didn’t try it at work. I can’t compare, but I’ll say about this surface. It doesn’t get dirty. No stains are visible. It’s very easy to clean. It just wipes off with a damp cloth. with a cloth and that’s it. The largest burner with a double flame is a good thing when you’re in a hurry, but it’s very noisy. In principle, the two middle ones suit me quite well; everything can be cooked on them quite quickly. Lately I’ve started to notice that the smallest burner doesn’t turn on when any other burner is on. It’s annoying. Because you have to turn off the one that’s working, turn on the small one, and then turn it back on again. I’ll keep an eye on it and probably go to the store. The cast-iron grate doesn’t have anything on it. it slides. Large and small pans fit well. Don’t rub against each other. So, in principle, I’m happy with the exception of the above-described drawback. But I think any technique can have a malfunction.</v>
      </c>
    </row>
    <row r="10395" spans="1:9" x14ac:dyDescent="0.3">
      <c r="A10395" s="1" t="s">
        <v>55</v>
      </c>
      <c r="B10395" s="1" t="s">
        <v>56</v>
      </c>
      <c r="C10395" s="1" t="s">
        <v>57</v>
      </c>
      <c r="D10395" s="1" t="s">
        <v>15103</v>
      </c>
      <c r="E10395" s="1" t="s">
        <v>140</v>
      </c>
      <c r="F10395" s="1" t="s">
        <v>15104</v>
      </c>
      <c r="G10395" s="1" t="s">
        <v>28</v>
      </c>
      <c r="H10395" s="1" t="s">
        <v>29</v>
      </c>
      <c r="I10395" s="1" t="str">
        <f ca="1">IFERROR(__xludf.DUMMYFUNCTION("GOOGLETRANSLATE(F10395, ""auto"", ""en"")
"),"Apparently there really is a bug in the program of this humidifier.  If, say, you need a humidity of 50%, then you need to set it to 65% on the display. That is, you should always add 15% to the desired humidity value. Otherwise, an excellent unit.  We bo"&amp;"ught it on sale and are very pleased.")</f>
        <v>Apparently there really is a bug in the program of this humidifier.  If, say, you need a humidity of 50%, then you need to set it to 65% on the display. That is, you should always add 15% to the desired humidity value. Otherwise, an excellent unit.  We bought it on sale and are very pleased.</v>
      </c>
    </row>
    <row r="10396" spans="1:9" x14ac:dyDescent="0.3">
      <c r="A10396" s="1" t="s">
        <v>369</v>
      </c>
      <c r="B10396" s="1" t="s">
        <v>587</v>
      </c>
      <c r="C10396" s="1" t="s">
        <v>290</v>
      </c>
      <c r="D10396" s="1" t="s">
        <v>471</v>
      </c>
      <c r="E10396" s="1" t="s">
        <v>7497</v>
      </c>
      <c r="F10396" s="1" t="s">
        <v>15105</v>
      </c>
      <c r="G10396" s="1" t="s">
        <v>36</v>
      </c>
      <c r="H10396" s="1" t="s">
        <v>29</v>
      </c>
      <c r="I10396" s="1" t="str">
        <f ca="1">IFERROR(__xludf.DUMMYFUNCTION("GOOGLETRANSLATE(F10396, ""auto"", ""en"")
"),"All")</f>
        <v>All</v>
      </c>
    </row>
    <row r="10397" spans="1:9" x14ac:dyDescent="0.3">
      <c r="A10397" s="1" t="s">
        <v>37</v>
      </c>
      <c r="B10397" s="1" t="s">
        <v>536</v>
      </c>
      <c r="C10397" s="1" t="s">
        <v>1419</v>
      </c>
      <c r="D10397" s="1" t="s">
        <v>15106</v>
      </c>
      <c r="E10397" s="1" t="s">
        <v>824</v>
      </c>
      <c r="F10397" s="1" t="s">
        <v>15107</v>
      </c>
      <c r="G10397" s="1" t="s">
        <v>15</v>
      </c>
      <c r="H10397" s="1" t="s">
        <v>16</v>
      </c>
      <c r="I10397" s="1" t="str">
        <f ca="1">IFERROR(__xludf.DUMMYFUNCTION("GOOGLETRANSLATE(F10397, ""auto"", ""en"")
"),"For teenagers! :) Preamble: Who said that it’s 10 thousand rubles cheaper. Is it possible to buy a unit that does not cause problems?  To the point.  Advantages: 1) high firmware resistance. Programmers have a lot of freedom.  2) Comfortable keyboard Disa"&amp;"dvantages: 1) Any additional. The program does not guarantee that the device will not freeze. Especially in hibernation mode.  2) When installing multimedia programs, it will hang more often.  3) No extras. Drivers will not speed up the processor!  4) Bui"&amp;"lt-in GPU is not supported.  5) GPS only works outdoors, and it is better to install an additional antenna.  6) For people with poor vision, the resolution of 800*420 is too high, reading small letters will be a pain 7) To enable the Internet, you need to"&amp;" edit the Windows registry.  8) The paint is peeling off the body.  9) Very weak battery Summary: Chinese unit, with glitches and virgin bugs. But the price matches.")</f>
        <v>For teenagers! :) Preamble: Who said that it’s 10 thousand rubles cheaper. Is it possible to buy a unit that does not cause problems?  To the point.  Advantages: 1) high firmware resistance. Programmers have a lot of freedom.  2) Comfortable keyboard Disadvantages: 1) Any additional. The program does not guarantee that the device will not freeze. Especially in hibernation mode.  2) When installing multimedia programs, it will hang more often.  3) No extras. Drivers will not speed up the processor!  4) Built-in GPU is not supported.  5) GPS only works outdoors, and it is better to install an additional antenna.  6) For people with poor vision, the resolution of 800*420 is too high, reading small letters will be a pain 7) To enable the Internet, you need to edit the Windows registry.  8) The paint is peeling off the body.  9) Very weak battery Summary: Chinese unit, with glitches and virgin bugs. But the price matches.</v>
      </c>
    </row>
    <row r="10398" spans="1:9" x14ac:dyDescent="0.3">
      <c r="A10398" s="1" t="s">
        <v>95</v>
      </c>
      <c r="B10398" s="1" t="s">
        <v>486</v>
      </c>
      <c r="C10398" s="1" t="s">
        <v>487</v>
      </c>
      <c r="D10398" s="1" t="s">
        <v>15108</v>
      </c>
      <c r="E10398" s="1" t="s">
        <v>176</v>
      </c>
      <c r="F10398" s="1" t="s">
        <v>15109</v>
      </c>
      <c r="G10398" s="1" t="s">
        <v>28</v>
      </c>
      <c r="H10398" s="1" t="s">
        <v>29</v>
      </c>
      <c r="I10398" s="1" t="str">
        <f ca="1">IFERROR(__xludf.DUMMYFUNCTION("GOOGLETRANSLATE(F10398, ""auto"", ""en"")
"),"The thing is absolutely awesome! A worthy competitor to the PC3.")</f>
        <v>The thing is absolutely awesome! A worthy competitor to the PC3.</v>
      </c>
    </row>
    <row r="10399" spans="1:9" x14ac:dyDescent="0.3">
      <c r="A10399" s="1" t="s">
        <v>211</v>
      </c>
      <c r="B10399" s="1" t="s">
        <v>515</v>
      </c>
      <c r="C10399" s="1" t="s">
        <v>381</v>
      </c>
      <c r="D10399" s="1" t="s">
        <v>295</v>
      </c>
      <c r="E10399" s="1" t="s">
        <v>7054</v>
      </c>
      <c r="F10399" s="1" t="s">
        <v>15110</v>
      </c>
      <c r="G10399" s="1" t="s">
        <v>15</v>
      </c>
      <c r="H10399" s="1" t="s">
        <v>16</v>
      </c>
      <c r="I10399" s="1" t="str">
        <f ca="1">IFERROR(__xludf.DUMMYFUNCTION("GOOGLETRANSLATE(F10399, ""auto"", ""en"")
"),"I bought this epilator and was upset...(suitable for epilating only the legs, for the bikini area there is a nozzle that shave off hairs(((what kind of epilator is this then? You can shave like that with any razor! I bought it specifically to remove hairs"&amp;" from the roots on the bikini area, but it’s almost impossible to do this with this epilator!!! Why spend that kind of money just for epilating the legs? You can buy it cheaper this way... I was extremely dissatisfied(((")</f>
        <v>I bought this epilator and was upset...(suitable for epilating only the legs, for the bikini area there is a nozzle that shave off hairs(((what kind of epilator is this then? You can shave like that with any razor! I bought it specifically to remove hairs from the roots on the bikini area, but it’s almost impossible to do this with this epilator!!! Why spend that kind of money just for epilating the legs? You can buy it cheaper this way... I was extremely dissatisfied(((</v>
      </c>
    </row>
    <row r="10400" spans="1:9" x14ac:dyDescent="0.3">
      <c r="A10400" s="1" t="s">
        <v>37</v>
      </c>
      <c r="B10400" s="1" t="s">
        <v>38</v>
      </c>
      <c r="C10400" s="1" t="s">
        <v>39</v>
      </c>
      <c r="D10400" s="1" t="s">
        <v>114</v>
      </c>
      <c r="E10400" s="1" t="s">
        <v>3219</v>
      </c>
      <c r="F10400" s="1" t="s">
        <v>15111</v>
      </c>
      <c r="G10400" s="1" t="s">
        <v>36</v>
      </c>
      <c r="H10400" s="1" t="s">
        <v>29</v>
      </c>
      <c r="I10400" s="1" t="str">
        <f ca="1">IFERROR(__xludf.DUMMYFUNCTION("GOOGLETRANSLATE(F10400, ""auto"", ""en"")
"),"I bought it a month ago. I really like it. Yes Sony Ericssons are the BEST phones.")</f>
        <v>I bought it a month ago. I really like it. Yes Sony Ericssons are the BEST phones.</v>
      </c>
    </row>
    <row r="10401" spans="1:9" x14ac:dyDescent="0.3">
      <c r="A10401" s="1" t="s">
        <v>206</v>
      </c>
      <c r="B10401" s="1" t="s">
        <v>207</v>
      </c>
      <c r="C10401" s="1" t="s">
        <v>262</v>
      </c>
      <c r="D10401" s="1" t="s">
        <v>102</v>
      </c>
      <c r="E10401" s="1" t="s">
        <v>3131</v>
      </c>
      <c r="F10401" s="1" t="s">
        <v>15112</v>
      </c>
      <c r="G10401" s="1" t="s">
        <v>36</v>
      </c>
      <c r="H10401" s="1" t="s">
        <v>29</v>
      </c>
      <c r="I10401" s="1" t="str">
        <f ca="1">IFERROR(__xludf.DUMMYFUNCTION("GOOGLETRANSLATE(F10401, ""auto"", ""en"")
"),"I bought it for myself not long ago, I thought it wouldn’t be heard from the trunk, but it turned out that it’s loud enough to be heard at home, with high quality. I advise you to buy a 1F Conder for the kit, the sound wakes you up better and the headligh"&amp;"ts won’t blink, I recommend this kit")</f>
        <v>I bought it for myself not long ago, I thought it wouldn’t be heard from the trunk, but it turned out that it’s loud enough to be heard at home, with high quality. I advise you to buy a 1F Conder for the kit, the sound wakes you up better and the headlights won’t blink, I recommend this kit</v>
      </c>
    </row>
    <row r="10402" spans="1:9" x14ac:dyDescent="0.3">
      <c r="A10402" s="1" t="s">
        <v>17</v>
      </c>
      <c r="B10402" s="1" t="s">
        <v>18</v>
      </c>
      <c r="C10402" s="1" t="s">
        <v>151</v>
      </c>
      <c r="D10402" s="1" t="s">
        <v>52</v>
      </c>
      <c r="E10402" s="1" t="s">
        <v>11988</v>
      </c>
      <c r="F10402" s="1" t="s">
        <v>15113</v>
      </c>
      <c r="G10402" s="1" t="s">
        <v>49</v>
      </c>
      <c r="H10402" s="1" t="s">
        <v>16</v>
      </c>
      <c r="I10402" s="1" t="str">
        <f ca="1">IFERROR(__xludf.DUMMYFUNCTION("GOOGLETRANSLATE(F10402, ""auto"", ""en"")
"),"I bought this model of washing machine in 2012, it worked for 1 year after which it was given away (there were no complaints about its performance). I bought exactly the same model, after working for 1 year and 2 months, I began to notice the appearance o"&amp;"f stains that could not be washed off even by hand using special detergents - as it turned out, grease began to leak from the drum drive bearing. The warranty period (which is 1 year) had expired, so all that was left was free service - the car was repair"&amp;"ed. Exactly a year later the situation with the spots repeated itself. We are currently waiting for repairs.")</f>
        <v>I bought this model of washing machine in 2012, it worked for 1 year after which it was given away (there were no complaints about its performance). I bought exactly the same model, after working for 1 year and 2 months, I began to notice the appearance of stains that could not be washed off even by hand using special detergents - as it turned out, grease began to leak from the drum drive bearing. The warranty period (which is 1 year) had expired, so all that was left was free service - the car was repaired. Exactly a year later the situation with the spots repeated itself. We are currently waiting for repairs.</v>
      </c>
    </row>
    <row r="10403" spans="1:9" x14ac:dyDescent="0.3">
      <c r="A10403" s="1" t="s">
        <v>37</v>
      </c>
      <c r="B10403" s="1" t="s">
        <v>1829</v>
      </c>
      <c r="C10403" s="1" t="s">
        <v>151</v>
      </c>
      <c r="D10403" s="1" t="s">
        <v>39</v>
      </c>
      <c r="E10403" s="1" t="s">
        <v>5147</v>
      </c>
      <c r="F10403" s="1" t="s">
        <v>15114</v>
      </c>
      <c r="G10403" s="1" t="s">
        <v>28</v>
      </c>
      <c r="H10403" s="1" t="s">
        <v>29</v>
      </c>
      <c r="I10403" s="1" t="str">
        <f ca="1">IFERROR(__xludf.DUMMYFUNCTION("GOOGLETRANSLATE(F10403, ""auto"", ""en"")
"),"I bought this model four days ago. Before this there was the Samsung Galaxy Ace Plus GT-S7500 Dark. The new one is more nimble. During the day it does not go into reboot and does not turn off (there were problems with the previous model). Very stuffed wit"&amp;"h all sorts of settings :). I've been understanding them since the moment I bought them :)). When working in Yandex traffic jams, the scale is very small (increased to full). The names of streets and houses are not visible at arm's length. The device is g"&amp;"ood. The instructions for it are not very good.")</f>
        <v>I bought this model four days ago. Before this there was the Samsung Galaxy Ace Plus GT-S7500 Dark. The new one is more nimble. During the day it does not go into reboot and does not turn off (there were problems with the previous model). Very stuffed with all sorts of settings :). I've been understanding them since the moment I bought them :)). When working in Yandex traffic jams, the scale is very small (increased to full). The names of streets and houses are not visible at arm's length. The device is good. The instructions for it are not very good.</v>
      </c>
    </row>
    <row r="10404" spans="1:9" x14ac:dyDescent="0.3">
      <c r="A10404" s="1" t="s">
        <v>55</v>
      </c>
      <c r="B10404" s="1" t="s">
        <v>56</v>
      </c>
      <c r="C10404" s="1" t="s">
        <v>1373</v>
      </c>
      <c r="D10404" s="1" t="s">
        <v>81</v>
      </c>
      <c r="E10404" s="1" t="s">
        <v>7120</v>
      </c>
      <c r="F10404" s="1" t="s">
        <v>15115</v>
      </c>
      <c r="G10404" s="1" t="s">
        <v>36</v>
      </c>
      <c r="H10404" s="1" t="s">
        <v>29</v>
      </c>
      <c r="I10404" s="1" t="str">
        <f ca="1">IFERROR(__xludf.DUMMYFUNCTION("GOOGLETRANSLATE(F10404, ""auto"", ""en"")
"),"This device is much quieter (different water supply system), high quality plastic (after all, we breathe this) and a large coverage area. I like that there is no quartz water purification; I don’t trust this technology. The price of Boneko has not increas"&amp;"ed that much. The humidifier is quiet, you can’t hear it at night, the buttons don’t squeak (switching at night is no problem), it aesthetically matches almost any room.")</f>
        <v>This device is much quieter (different water supply system), high quality plastic (after all, we breathe this) and a large coverage area. I like that there is no quartz water purification; I don’t trust this technology. The price of Boneko has not increased that much. The humidifier is quiet, you can’t hear it at night, the buttons don’t squeak (switching at night is no problem), it aesthetically matches almost any room.</v>
      </c>
    </row>
    <row r="10405" spans="1:9" x14ac:dyDescent="0.3">
      <c r="A10405" s="1" t="s">
        <v>373</v>
      </c>
      <c r="B10405" s="1" t="s">
        <v>374</v>
      </c>
      <c r="C10405" s="1" t="s">
        <v>159</v>
      </c>
      <c r="D10405" s="1" t="s">
        <v>295</v>
      </c>
      <c r="E10405" s="1" t="s">
        <v>4953</v>
      </c>
      <c r="F10405" s="1" t="s">
        <v>15116</v>
      </c>
      <c r="G10405" s="1" t="s">
        <v>15</v>
      </c>
      <c r="H10405" s="1" t="s">
        <v>16</v>
      </c>
      <c r="I10405" s="1" t="str">
        <f ca="1">IFERROR(__xludf.DUMMYFUNCTION("GOOGLETRANSLATE(F10405, ""auto"", ""en"")
"),"Brought, unpacked, turned on. I filled up the water, stopped and flashed the brake light.(((It doesn’t work, we are waiting for us to run around to service centers, no one comes out when we call.((With a baby in my arms, this is still entertainment for me"&amp;", I shouldn’t have bought it.")</f>
        <v>Brought, unpacked, turned on. I filled up the water, stopped and flashed the brake light.(((It doesn’t work, we are waiting for us to run around to service centers, no one comes out when we call.((With a baby in my arms, this is still entertainment for me, I shouldn’t have bought it.</v>
      </c>
    </row>
    <row r="10406" spans="1:9" x14ac:dyDescent="0.3">
      <c r="A10406" s="1" t="s">
        <v>61</v>
      </c>
      <c r="B10406" s="1" t="s">
        <v>318</v>
      </c>
      <c r="C10406" s="1" t="s">
        <v>745</v>
      </c>
      <c r="D10406" s="1" t="s">
        <v>232</v>
      </c>
      <c r="E10406" s="1" t="s">
        <v>1623</v>
      </c>
      <c r="F10406" s="1" t="s">
        <v>15117</v>
      </c>
      <c r="G10406" s="1" t="s">
        <v>36</v>
      </c>
      <c r="H10406" s="1" t="s">
        <v>29</v>
      </c>
      <c r="I10406" s="1" t="str">
        <f ca="1">IFERROR(__xludf.DUMMYFUNCTION("GOOGLETRANSLATE(F10406, ""auto"", ""en"")
"),"I've been using it for a year now and there is no plastic smell, the kettle is very comfortable and beautiful...")</f>
        <v>I've been using it for a year now and there is no plastic smell, the kettle is very comfortable and beautiful...</v>
      </c>
    </row>
    <row r="10407" spans="1:9" x14ac:dyDescent="0.3">
      <c r="A10407" s="1" t="s">
        <v>37</v>
      </c>
      <c r="B10407" s="1" t="s">
        <v>536</v>
      </c>
      <c r="C10407" s="1" t="s">
        <v>537</v>
      </c>
      <c r="D10407" s="1" t="s">
        <v>20</v>
      </c>
      <c r="E10407" s="1" t="s">
        <v>3327</v>
      </c>
      <c r="F10407" s="1" t="s">
        <v>15118</v>
      </c>
      <c r="G10407" s="1" t="s">
        <v>36</v>
      </c>
      <c r="H10407" s="1" t="s">
        <v>29</v>
      </c>
      <c r="I10407" s="1" t="str">
        <f ca="1">IFERROR(__xludf.DUMMYFUNCTION("GOOGLETRANSLATE(F10407, ""auto"", ""en"")
"),"This device's operating system has long been 6.5, not 6.1, ""HTC-Care"" will be rearranged.  The device itself is 5+. The battery lasts a very long time, the interface is very user-friendly. Absolutely not “buggy”.")</f>
        <v>This device's operating system has long been 6.5, not 6.1, "HTC-Care" will be rearranged.  The device itself is 5+. The battery lasts a very long time, the interface is very user-friendly. Absolutely not “buggy”.</v>
      </c>
    </row>
    <row r="10408" spans="1:9" x14ac:dyDescent="0.3">
      <c r="A10408" s="1" t="s">
        <v>361</v>
      </c>
      <c r="B10408" s="1" t="s">
        <v>2555</v>
      </c>
      <c r="C10408" s="1" t="s">
        <v>4871</v>
      </c>
      <c r="D10408" s="1" t="s">
        <v>565</v>
      </c>
      <c r="E10408" s="1" t="s">
        <v>1380</v>
      </c>
      <c r="F10408" s="1" t="s">
        <v>15119</v>
      </c>
      <c r="G10408" s="1" t="s">
        <v>36</v>
      </c>
      <c r="H10408" s="1" t="s">
        <v>29</v>
      </c>
      <c r="I10408" s="1" t="str">
        <f ca="1">IFERROR(__xludf.DUMMYFUNCTION("GOOGLETRANSLATE(F10408, ""auto"", ""en"")
"),"The thermos is excellent, it holds hot water for up to 20 hours, we have been using it for a year now, we pour it in the morning and drink hot tea all day long.")</f>
        <v>The thermos is excellent, it holds hot water for up to 20 hours, we have been using it for a year now, we pour it in the morning and drink hot tea all day long.</v>
      </c>
    </row>
    <row r="10409" spans="1:9" x14ac:dyDescent="0.3">
      <c r="A10409" s="1" t="s">
        <v>61</v>
      </c>
      <c r="B10409" s="1" t="s">
        <v>224</v>
      </c>
      <c r="C10409" s="1" t="s">
        <v>74</v>
      </c>
      <c r="D10409" s="1" t="s">
        <v>3253</v>
      </c>
      <c r="E10409" s="1" t="s">
        <v>808</v>
      </c>
      <c r="F10409" s="1" t="s">
        <v>15120</v>
      </c>
      <c r="G10409" s="1" t="s">
        <v>36</v>
      </c>
      <c r="H10409" s="1" t="s">
        <v>29</v>
      </c>
      <c r="I10409" s="1" t="str">
        <f ca="1">IFERROR(__xludf.DUMMYFUNCTION("GOOGLETRANSLATE(F10409, ""auto"", ""en"")
"),"Recently purchased. Great stuff! especially if there is a child in the house, sweet deal. Powerful, not noisy and the design is super, you don’t need more! I recommend it.")</f>
        <v>Recently purchased. Great stuff! especially if there is a child in the house, sweet deal. Powerful, not noisy and the design is super, you don’t need more! I recommend it.</v>
      </c>
    </row>
    <row r="10410" spans="1:9" x14ac:dyDescent="0.3">
      <c r="A10410" s="1" t="s">
        <v>55</v>
      </c>
      <c r="B10410" s="1" t="s">
        <v>56</v>
      </c>
      <c r="C10410" s="1" t="s">
        <v>1373</v>
      </c>
      <c r="D10410" s="1" t="s">
        <v>295</v>
      </c>
      <c r="E10410" s="1" t="s">
        <v>2935</v>
      </c>
      <c r="F10410" s="1" t="s">
        <v>15121</v>
      </c>
      <c r="G10410" s="1" t="s">
        <v>28</v>
      </c>
      <c r="H10410" s="1" t="s">
        <v>29</v>
      </c>
      <c r="I10410" s="1" t="str">
        <f ca="1">IFERROR(__xludf.DUMMYFUNCTION("GOOGLETRANSLATE(F10410, ""auto"", ""en"")
"),"I purchased a humidifier a week ago for a room of 18 sq.m. with two batteries, overall I'm happy with the purchase. But there are a number of nuances. Pros: +power; + silence of work; +large water tank; +convenient and intuitive use, easy to draw water, w"&amp;"ash, clean the device; +works great even with very hard water, no pre-use filters required +nice design. Cons: - declared 60 sq.m. it cannot humidify even after several hours of continuous operation; on average, in 3-4 hours the humidity rises from 27% to"&amp;" 35-40%, but only in the area directly next to the humidifier; - you cannot use aromatic substances and essential oils in it; -steam heating is ineffective as protection against a drop in room temperature. For me this point is not important, because... In"&amp;" winter, even with the radiators turned off, the temperature in the room is increased, but it’s a fact - whether you heat up the steam or don’t heat it up, the temperature in the room will drop a little. I recommend this product, but don’t expect a miracl"&amp;"e, you will feel an oasis of comfortable, damp bliss only in the immediate vicinity of the device; at the opposite end of the room, if it is large, there will still be the Sahara Desert.")</f>
        <v>I purchased a humidifier a week ago for a room of 18 sq.m. with two batteries, overall I'm happy with the purchase. But there are a number of nuances. Pros: +power; + silence of work; +large water tank; +convenient and intuitive use, easy to draw water, wash, clean the device; +works great even with very hard water, no pre-use filters required +nice design. Cons: - declared 60 sq.m. it cannot humidify even after several hours of continuous operation; on average, in 3-4 hours the humidity rises from 27% to 35-40%, but only in the area directly next to the humidifier; - you cannot use aromatic substances and essential oils in it; -steam heating is ineffective as protection against a drop in room temperature. For me this point is not important, because... In winter, even with the radiators turned off, the temperature in the room is increased, but it’s a fact - whether you heat up the steam or don’t heat it up, the temperature in the room will drop a little. I recommend this product, but don’t expect a miracle, you will feel an oasis of comfortable, damp bliss only in the immediate vicinity of the device; at the opposite end of the room, if it is large, there will still be the Sahara Desert.</v>
      </c>
    </row>
    <row r="10411" spans="1:9" x14ac:dyDescent="0.3">
      <c r="A10411" s="1" t="s">
        <v>369</v>
      </c>
      <c r="B10411" s="1" t="s">
        <v>2480</v>
      </c>
      <c r="C10411" s="1" t="s">
        <v>453</v>
      </c>
      <c r="D10411" s="1" t="s">
        <v>166</v>
      </c>
      <c r="E10411" s="1" t="s">
        <v>3757</v>
      </c>
      <c r="F10411" s="1" t="s">
        <v>15122</v>
      </c>
      <c r="G10411" s="1" t="s">
        <v>15</v>
      </c>
      <c r="H10411" s="1" t="s">
        <v>16</v>
      </c>
      <c r="I10411" s="1" t="str">
        <f ca="1">IFERROR(__xludf.DUMMYFUNCTION("GOOGLETRANSLATE(F10411, ""auto"", ""en"")
"),"We bought this tile during a kitchen renovation, and less than 2 weeks later it stopped working, the only plus is that we exchanged this product without any problems.")</f>
        <v>We bought this tile during a kitchen renovation, and less than 2 weeks later it stopped working, the only plus is that we exchanged this product without any problems.</v>
      </c>
    </row>
    <row r="10412" spans="1:9" x14ac:dyDescent="0.3">
      <c r="A10412" s="1" t="s">
        <v>37</v>
      </c>
      <c r="B10412" s="1" t="s">
        <v>355</v>
      </c>
      <c r="C10412" s="1" t="s">
        <v>356</v>
      </c>
      <c r="D10412" s="1" t="s">
        <v>729</v>
      </c>
      <c r="E10412" s="1" t="s">
        <v>3782</v>
      </c>
      <c r="F10412" s="1" t="s">
        <v>15123</v>
      </c>
      <c r="G10412" s="1" t="s">
        <v>36</v>
      </c>
      <c r="H10412" s="1" t="s">
        <v>29</v>
      </c>
      <c r="I10412" s="1" t="str">
        <f ca="1">IFERROR(__xludf.DUMMYFUNCTION("GOOGLETRANSLATE(F10412, ""auto"", ""en"")
"),"Gvisav (Yoshkar-Ola) the cloth should not have been included and the paperclip is attached to the lid (where the passport is located) I’ve been using the phone for 2 days, so far it’s the best there is")</f>
        <v>Gvisav (Yoshkar-Ola) the cloth should not have been included and the paperclip is attached to the lid (where the passport is located) I’ve been using the phone for 2 days, so far it’s the best there is</v>
      </c>
    </row>
    <row r="10413" spans="1:9" x14ac:dyDescent="0.3">
      <c r="A10413" s="1" t="s">
        <v>61</v>
      </c>
      <c r="B10413" s="1" t="s">
        <v>977</v>
      </c>
      <c r="C10413" s="1" t="s">
        <v>63</v>
      </c>
      <c r="D10413" s="1" t="s">
        <v>474</v>
      </c>
      <c r="E10413" s="1" t="s">
        <v>7725</v>
      </c>
      <c r="F10413" s="1" t="s">
        <v>15124</v>
      </c>
      <c r="G10413" s="1" t="s">
        <v>36</v>
      </c>
      <c r="H10413" s="1" t="s">
        <v>29</v>
      </c>
      <c r="I10413" s="1" t="str">
        <f ca="1">IFERROR(__xludf.DUMMYFUNCTION("GOOGLETRANSLATE(F10413, ""auto"", ""en"")
"),"I really liked the mixer, it does its job perfectly and is made of durable plastic. He's just super! It’s simply ideal for whipping liquid, light, airy ingredients. If you need a mixer without pathos and hassles, I recommend it.")</f>
        <v>I really liked the mixer, it does its job perfectly and is made of durable plastic. He's just super! It’s simply ideal for whipping liquid, light, airy ingredients. If you need a mixer without pathos and hassles, I recommend it.</v>
      </c>
    </row>
    <row r="10414" spans="1:9" x14ac:dyDescent="0.3">
      <c r="A10414" s="1" t="s">
        <v>30</v>
      </c>
      <c r="B10414" s="1" t="s">
        <v>50</v>
      </c>
      <c r="C10414" s="1" t="s">
        <v>32</v>
      </c>
      <c r="D10414" s="1" t="s">
        <v>280</v>
      </c>
      <c r="E10414" s="1" t="s">
        <v>1319</v>
      </c>
      <c r="F10414" s="1" t="s">
        <v>15125</v>
      </c>
      <c r="G10414" s="1" t="s">
        <v>28</v>
      </c>
      <c r="H10414" s="1" t="s">
        <v>29</v>
      </c>
      <c r="I10414" s="1" t="str">
        <f ca="1">IFERROR(__xludf.DUMMYFUNCTION("GOOGLETRANSLATE(F10414, ""auto"", ""en"")
"),"The notebook is super, but to get to the cooling system you need to completely disassemble it, it didn’t turn out well...")</f>
        <v>The notebook is super, but to get to the cooling system you need to completely disassemble it, it didn’t turn out well...</v>
      </c>
    </row>
    <row r="10415" spans="1:9" x14ac:dyDescent="0.3">
      <c r="A10415" s="1" t="s">
        <v>169</v>
      </c>
      <c r="B10415" s="1" t="s">
        <v>170</v>
      </c>
      <c r="C10415" s="1" t="s">
        <v>171</v>
      </c>
      <c r="D10415" s="1" t="s">
        <v>15126</v>
      </c>
      <c r="E10415" s="1" t="s">
        <v>1723</v>
      </c>
      <c r="F10415" s="1" t="s">
        <v>15127</v>
      </c>
      <c r="G10415" s="1" t="s">
        <v>36</v>
      </c>
      <c r="H10415" s="1" t="s">
        <v>29</v>
      </c>
      <c r="I10415" s="1" t="str">
        <f ca="1">IFERROR(__xludf.DUMMYFUNCTION("GOOGLETRANSLATE(F10415, ""auto"", ""en"")
"),"these headphones are undoubtedly the best that you can buy in this price range, and they can easily compete with more expensive headphones.))) At first I intended to buy slightly cheaper ears, but from the same company, fortunately a friend convinced me t"&amp;"o take these ears and I did not regret the purchase at all))) I bought them back in 2008, after 1 year and some months, one earphone stopped working (the inside wire broke near the earphone itself, right where it begins headphones) in theory, any headphon"&amp;"es will break sooner or later, no matter how much they cost. By the way, there is a rope running inside along with the wire to further protect the wire from breaks) now I’m going to buy more of the same ones.      I have only positive emotions from ALEPH."&amp;" The build quality is 10 out of 10, the cable is durable, does not harden in the cold, the sound is excellent, the sound insulation is simply super, you can’t hear anything on the bus except music) Well, in general, I advise you, you won’t be disappointed"&amp;" if you buy it))) And I’ll say thank you again to Zoma))) for helping me decide then on the choice.")</f>
        <v>these headphones are undoubtedly the best that you can buy in this price range, and they can easily compete with more expensive headphones.))) At first I intended to buy slightly cheaper ears, but from the same company, fortunately a friend convinced me to take these ears and I did not regret the purchase at all))) I bought them back in 2008, after 1 year and some months, one earphone stopped working (the inside wire broke near the earphone itself, right where it begins headphones) in theory, any headphones will break sooner or later, no matter how much they cost. By the way, there is a rope running inside along with the wire to further protect the wire from breaks) now I’m going to buy more of the same ones.      I have only positive emotions from ALEPH. The build quality is 10 out of 10, the cable is durable, does not harden in the cold, the sound is excellent, the sound insulation is simply super, you can’t hear anything on the bus except music) Well, in general, I advise you, you won’t be disappointed if you buy it))) And I’ll say thank you again to Zoma))) for helping me decide then on the choice.</v>
      </c>
    </row>
    <row r="10416" spans="1:9" x14ac:dyDescent="0.3">
      <c r="A10416" s="1" t="s">
        <v>17</v>
      </c>
      <c r="B10416" s="1" t="s">
        <v>18</v>
      </c>
      <c r="C10416" s="1" t="s">
        <v>885</v>
      </c>
      <c r="D10416" s="1" t="s">
        <v>52</v>
      </c>
      <c r="E10416" s="1" t="s">
        <v>543</v>
      </c>
      <c r="F10416" s="1" t="s">
        <v>15128</v>
      </c>
      <c r="G10416" s="1" t="s">
        <v>36</v>
      </c>
      <c r="H10416" s="1" t="s">
        <v>29</v>
      </c>
      <c r="I10416" s="1" t="str">
        <f ca="1">IFERROR(__xludf.DUMMYFUNCTION("GOOGLETRANSLATE(F10416, ""auto"", ""en"")
"),"The Candy Aqua 100F machine began to leak after the second wash. It flows from under the hatch (at the bottom of the hatch), it flows in droplets... they flow down... it flows during the spin cycle, when it twitches madly and even moves along the floor. T"&amp;"hen I have to return to the place where it was installed... Tomorrow I will try to write an application for an exchange and return this... I am very upset by this fact... although I liked the machine 1. It must twitch so much that it moved almost to the m"&amp;"iddle of the bathroom (the bathroom is small) 2. Leaking from under the hatch during the spin cycle")</f>
        <v>The Candy Aqua 100F machine began to leak after the second wash. It flows from under the hatch (at the bottom of the hatch), it flows in droplets... they flow down... it flows during the spin cycle, when it twitches madly and even moves along the floor. Then I have to return to the place where it was installed... Tomorrow I will try to write an application for an exchange and return this... I am very upset by this fact... although I liked the machine 1. It must twitch so much that it moved almost to the middle of the bathroom (the bathroom is small) 2. Leaking from under the hatch during the spin cycle</v>
      </c>
    </row>
    <row r="10417" spans="1:9" x14ac:dyDescent="0.3">
      <c r="A10417" s="1" t="s">
        <v>43</v>
      </c>
      <c r="B10417" s="1" t="s">
        <v>44</v>
      </c>
      <c r="C10417" s="1" t="s">
        <v>101</v>
      </c>
      <c r="D10417" s="1" t="s">
        <v>521</v>
      </c>
      <c r="E10417" s="1" t="s">
        <v>4434</v>
      </c>
      <c r="F10417" s="1" t="s">
        <v>15129</v>
      </c>
      <c r="G10417" s="1" t="s">
        <v>28</v>
      </c>
      <c r="H10417" s="1" t="s">
        <v>29</v>
      </c>
      <c r="I10417" s="1" t="str">
        <f ca="1">IFERROR(__xludf.DUMMYFUNCTION("GOOGLETRANSLATE(F10417, ""auto"", ""en"")
"),"Price=quality")</f>
        <v>Price=quality</v>
      </c>
    </row>
    <row r="10418" spans="1:9" x14ac:dyDescent="0.3">
      <c r="A10418" s="1" t="s">
        <v>95</v>
      </c>
      <c r="B10418" s="1" t="s">
        <v>227</v>
      </c>
      <c r="C10418" s="1" t="s">
        <v>97</v>
      </c>
      <c r="D10418" s="1" t="s">
        <v>152</v>
      </c>
      <c r="E10418" s="1" t="s">
        <v>1432</v>
      </c>
      <c r="F10418" s="1" t="s">
        <v>15130</v>
      </c>
      <c r="G10418" s="1" t="s">
        <v>36</v>
      </c>
      <c r="H10418" s="1" t="s">
        <v>29</v>
      </c>
      <c r="I10418" s="1" t="str">
        <f ca="1">IFERROR(__xludf.DUMMYFUNCTION("GOOGLETRANSLATE(F10418, ""auto"", ""en"")
"),"Overall a good console, it boasts a rich arsenal of games, which contains many hits that are only available on this platform.")</f>
        <v>Overall a good console, it boasts a rich arsenal of games, which contains many hits that are only available on this platform.</v>
      </c>
    </row>
    <row r="10419" spans="1:9" x14ac:dyDescent="0.3">
      <c r="A10419" s="1" t="s">
        <v>105</v>
      </c>
      <c r="B10419" s="1" t="s">
        <v>106</v>
      </c>
      <c r="C10419" s="1" t="s">
        <v>107</v>
      </c>
      <c r="D10419" s="1" t="s">
        <v>52</v>
      </c>
      <c r="E10419" s="1" t="s">
        <v>3509</v>
      </c>
      <c r="F10419" s="1" t="s">
        <v>15131</v>
      </c>
      <c r="G10419" s="1" t="s">
        <v>36</v>
      </c>
      <c r="H10419" s="1" t="s">
        <v>29</v>
      </c>
      <c r="I10419" s="1" t="str">
        <f ca="1">IFERROR(__xludf.DUMMYFUNCTION("GOOGLETRANSLATE(F10419, ""auto"", ""en"")
"),"Yesterday I bought this MP3 Flash 8 GB Ritmix RF-8800 player, I was immediately pleased with the 2.8 display and the 8 GB expandable memory. I can speak with confidence about the ratio of price and functionality. Plays all major video files and even rips,"&amp;" which is especially important for me. Excellent music sound, bright video picture, in general, a great find for a student.")</f>
        <v>Yesterday I bought this MP3 Flash 8 GB Ritmix RF-8800 player, I was immediately pleased with the 2.8 display and the 8 GB expandable memory. I can speak with confidence about the ratio of price and functionality. Plays all major video files and even rips, which is especially important for me. Excellent music sound, bright video picture, in general, a great find for a student.</v>
      </c>
    </row>
    <row r="10420" spans="1:9" x14ac:dyDescent="0.3">
      <c r="A10420" s="1" t="s">
        <v>43</v>
      </c>
      <c r="B10420" s="1" t="s">
        <v>219</v>
      </c>
      <c r="C10420" s="1" t="s">
        <v>665</v>
      </c>
      <c r="D10420" s="1" t="s">
        <v>378</v>
      </c>
      <c r="E10420" s="1" t="s">
        <v>12068</v>
      </c>
      <c r="F10420" s="1" t="s">
        <v>15132</v>
      </c>
      <c r="G10420" s="1" t="s">
        <v>36</v>
      </c>
      <c r="H10420" s="1" t="s">
        <v>29</v>
      </c>
      <c r="I10420" s="1" t="str">
        <f ca="1">IFERROR(__xludf.DUMMYFUNCTION("GOOGLETRANSLATE(F10420, ""auto"", ""en"")
"),"We bought a water heater for our summer house. One was put in the shower, the other was used for washing dishes. It heats up the water in about 15 minutes and this volume is enough to wash (you must turn off the water when soaping, otherwise there won’t b"&amp;"e enough hot water to rinse) or wash a small mountain of dishes (you also need to turn off the water when soaping). The water pressure is good, like from a city tap.")</f>
        <v>We bought a water heater for our summer house. One was put in the shower, the other was used for washing dishes. It heats up the water in about 15 minutes and this volume is enough to wash (you must turn off the water when soaping, otherwise there won’t be enough hot water to rinse) or wash a small mountain of dishes (you also need to turn off the water when soaping). The water pressure is good, like from a city tap.</v>
      </c>
    </row>
    <row r="10421" spans="1:9" x14ac:dyDescent="0.3">
      <c r="A10421" s="1" t="s">
        <v>120</v>
      </c>
      <c r="B10421" s="1" t="s">
        <v>256</v>
      </c>
      <c r="C10421" s="1" t="s">
        <v>658</v>
      </c>
      <c r="D10421" s="1" t="s">
        <v>64</v>
      </c>
      <c r="E10421" s="1" t="s">
        <v>680</v>
      </c>
      <c r="F10421" s="1" t="s">
        <v>15133</v>
      </c>
      <c r="G10421" s="1" t="s">
        <v>36</v>
      </c>
      <c r="H10421" s="1" t="s">
        <v>29</v>
      </c>
      <c r="I10421" s="1" t="str">
        <f ca="1">IFERROR(__xludf.DUMMYFUNCTION("GOOGLETRANSLATE(F10421, ""auto"", ""en"")
"),"Everything is fine, but here in Tyumen we don’t have a corner power cable anywhere, and I need to hang it on the wall in the kitchen)")</f>
        <v>Everything is fine, but here in Tyumen we don’t have a corner power cable anywhere, and I need to hang it on the wall in the kitchen)</v>
      </c>
    </row>
    <row r="10422" spans="1:9" x14ac:dyDescent="0.3">
      <c r="A10422" s="1" t="s">
        <v>169</v>
      </c>
      <c r="B10422" s="1" t="s">
        <v>170</v>
      </c>
      <c r="C10422" s="1" t="s">
        <v>69</v>
      </c>
      <c r="D10422" s="1" t="s">
        <v>1581</v>
      </c>
      <c r="E10422" s="1" t="s">
        <v>1371</v>
      </c>
      <c r="F10422" s="1" t="s">
        <v>15134</v>
      </c>
      <c r="G10422" s="1" t="s">
        <v>28</v>
      </c>
      <c r="H10422" s="1" t="s">
        <v>29</v>
      </c>
      <c r="I10422" s="1" t="str">
        <f ca="1">IFERROR(__xludf.DUMMYFUNCTION("GOOGLETRANSLATE(F10422, ""auto"", ""en"")
"),"I've been using it for six months. In principle, they justify their price, although they also have their drawbacks. One of them is a head volume regulator, the headphones constantly slide down, and therefore it’s uncomfortable to walk anywhere in them.  A"&amp;"nd so, the wire is long, the sound satisfies my needs.  This is it for lovers!")</f>
        <v>I've been using it for six months. In principle, they justify their price, although they also have their drawbacks. One of them is a head volume regulator, the headphones constantly slide down, and therefore it’s uncomfortable to walk anywhere in them.  And so, the wire is long, the sound satisfies my needs.  This is it for lovers!</v>
      </c>
    </row>
    <row r="10423" spans="1:9" x14ac:dyDescent="0.3">
      <c r="A10423" s="1" t="s">
        <v>89</v>
      </c>
      <c r="B10423" s="1" t="s">
        <v>1106</v>
      </c>
      <c r="C10423" s="1" t="s">
        <v>69</v>
      </c>
      <c r="D10423" s="1" t="s">
        <v>295</v>
      </c>
      <c r="E10423" s="1" t="s">
        <v>15135</v>
      </c>
      <c r="F10423" s="1" t="s">
        <v>15136</v>
      </c>
      <c r="G10423" s="1" t="s">
        <v>36</v>
      </c>
      <c r="H10423" s="1" t="s">
        <v>29</v>
      </c>
      <c r="I10423" s="1" t="str">
        <f ca="1">IFERROR(__xludf.DUMMYFUNCTION("GOOGLETRANSLATE(F10423, ""auto"", ""en"")
"),"I bought this coffee maker in February 2015. We use it every day and are satisfied with everything. Once I brewed loose leaf tea in a coffee maker using a filter bag, and it turned out to be a wonderful, strong tea.")</f>
        <v>I bought this coffee maker in February 2015. We use it every day and are satisfied with everything. Once I brewed loose leaf tea in a coffee maker using a filter bag, and it turned out to be a wonderful, strong tea.</v>
      </c>
    </row>
    <row r="10424" spans="1:9" x14ac:dyDescent="0.3">
      <c r="A10424" s="1" t="s">
        <v>17</v>
      </c>
      <c r="B10424" s="1" t="s">
        <v>18</v>
      </c>
      <c r="C10424" s="1" t="s">
        <v>243</v>
      </c>
      <c r="D10424" s="1" t="s">
        <v>52</v>
      </c>
      <c r="E10424" s="1" t="s">
        <v>15137</v>
      </c>
      <c r="F10424" s="1" t="s">
        <v>15138</v>
      </c>
      <c r="G10424" s="1" t="s">
        <v>36</v>
      </c>
      <c r="H10424" s="1" t="s">
        <v>29</v>
      </c>
      <c r="I10424" s="1" t="str">
        <f ca="1">IFERROR(__xludf.DUMMYFUNCTION("GOOGLETRANSLATE(F10424, ""auto"", ""en"")
"),"I bought an INDESIT washing machine in 2006. Very pleased, because it still works. But 3 years ago there was a slight breakdown of the automation, the repair was cheap and was done at home.")</f>
        <v>I bought an INDESIT washing machine in 2006. Very pleased, because it still works. But 3 years ago there was a slight breakdown of the automation, the repair was cheap and was done at home.</v>
      </c>
    </row>
    <row r="10425" spans="1:9" x14ac:dyDescent="0.3">
      <c r="A10425" s="1" t="s">
        <v>1443</v>
      </c>
      <c r="B10425" s="1" t="s">
        <v>4684</v>
      </c>
      <c r="C10425" s="1" t="s">
        <v>4685</v>
      </c>
      <c r="D10425" s="1" t="s">
        <v>327</v>
      </c>
      <c r="E10425" s="1" t="s">
        <v>1257</v>
      </c>
      <c r="F10425" s="1" t="s">
        <v>15139</v>
      </c>
      <c r="G10425" s="1" t="s">
        <v>36</v>
      </c>
      <c r="H10425" s="1" t="s">
        <v>29</v>
      </c>
      <c r="I10425" s="1" t="str">
        <f ca="1">IFERROR(__xludf.DUMMYFUNCTION("GOOGLETRANSLATE(F10425, ""auto"", ""en"")
"),"They always give ""excellent"" marks!")</f>
        <v>They always give "excellent" marks!</v>
      </c>
    </row>
    <row r="10426" spans="1:9" x14ac:dyDescent="0.3">
      <c r="A10426" s="1" t="s">
        <v>61</v>
      </c>
      <c r="B10426" s="1" t="s">
        <v>318</v>
      </c>
      <c r="C10426" s="1" t="s">
        <v>745</v>
      </c>
      <c r="D10426" s="1" t="s">
        <v>19</v>
      </c>
      <c r="E10426" s="1" t="s">
        <v>10025</v>
      </c>
      <c r="F10426" s="1" t="s">
        <v>15140</v>
      </c>
      <c r="G10426" s="1" t="s">
        <v>28</v>
      </c>
      <c r="H10426" s="1" t="s">
        <v>29</v>
      </c>
      <c r="I10426" s="1" t="str">
        <f ca="1">IFERROR(__xludf.DUMMYFUNCTION("GOOGLETRANSLATE(F10426, ""auto"", ""en"")
"),"Simple kettle for the office")</f>
        <v>Simple kettle for the office</v>
      </c>
    </row>
    <row r="10427" spans="1:9" x14ac:dyDescent="0.3">
      <c r="A10427" s="1" t="s">
        <v>61</v>
      </c>
      <c r="B10427" s="1" t="s">
        <v>224</v>
      </c>
      <c r="C10427" s="1" t="s">
        <v>213</v>
      </c>
      <c r="D10427" s="1" t="s">
        <v>240</v>
      </c>
      <c r="E10427" s="1" t="s">
        <v>504</v>
      </c>
      <c r="F10427" s="1" t="s">
        <v>15141</v>
      </c>
      <c r="G10427" s="1" t="s">
        <v>36</v>
      </c>
      <c r="H10427" s="1" t="s">
        <v>29</v>
      </c>
      <c r="I10427" s="1" t="str">
        <f ca="1">IFERROR(__xludf.DUMMYFUNCTION("GOOGLETRANSLATE(F10427, ""auto"", ""en"")
"),"Good juicer. Reliable. Bought 2 years ago. There are no complaints. Very convenient and quick to clean (dishwasher safe). I recommend it.")</f>
        <v>Good juicer. Reliable. Bought 2 years ago. There are no complaints. Very convenient and quick to clean (dishwasher safe). I recommend it.</v>
      </c>
    </row>
    <row r="10428" spans="1:9" x14ac:dyDescent="0.3">
      <c r="A10428" s="1" t="s">
        <v>9</v>
      </c>
      <c r="B10428" s="1" t="s">
        <v>23</v>
      </c>
      <c r="C10428" s="1" t="s">
        <v>870</v>
      </c>
      <c r="D10428" s="1" t="s">
        <v>52</v>
      </c>
      <c r="E10428" s="1" t="s">
        <v>8922</v>
      </c>
      <c r="F10428" s="1" t="s">
        <v>15142</v>
      </c>
      <c r="G10428" s="1" t="s">
        <v>49</v>
      </c>
      <c r="H10428" s="1" t="s">
        <v>16</v>
      </c>
      <c r="I10428" s="1" t="str">
        <f ca="1">IFERROR(__xludf.DUMMYFUNCTION("GOOGLETRANSLATE(F10428, ""auto"", ""en"")
"),"I have been using a Whirlpool ADG 175 dishwasher for 3 years. After 1.5 years, washing dishes became much worse. It was clear that there were problems with the upper sprinkler, because... he began to rotate worse (difficulty). After about 3 years, it stop"&amp;"ped rotating altogether, because... its connections began to collapse (fall apart). The markings on the sprinkler itself indicate that it is made of polypropylene filled with 20% talc. The nature of the destruction shows that the cleaning solution reacts "&amp;"with talc particles in the polymer and gradually dissolves them. As a result, the polymer becomes porous and crumbles under light loads. Thus, the polymer used to make the top sprinkler is not intended for long-term (more than 1-2 years) use at home toget"&amp;"her with detergents from the existing retail network of household goods. The service center in Khanty-Mansiysk cannot find, order and deliver a new sprinkler for this dishwasher. As a result, due to one low-quality plastic part, the entire device becomes "&amp;"unusable, no matter that it is spacious, functional, affordable and easy to use.")</f>
        <v>I have been using a Whirlpool ADG 175 dishwasher for 3 years. After 1.5 years, washing dishes became much worse. It was clear that there were problems with the upper sprinkler, because... he began to rotate worse (difficulty). After about 3 years, it stopped rotating altogether, because... its connections began to collapse (fall apart). The markings on the sprinkler itself indicate that it is made of polypropylene filled with 20% talc. The nature of the destruction shows that the cleaning solution reacts with talc particles in the polymer and gradually dissolves them. As a result, the polymer becomes porous and crumbles under light loads. Thus, the polymer used to make the top sprinkler is not intended for long-term (more than 1-2 years) use at home together with detergents from the existing retail network of household goods. The service center in Khanty-Mansiysk cannot find, order and deliver a new sprinkler for this dishwasher. As a result, due to one low-quality plastic part, the entire device becomes unusable, no matter that it is spacious, functional, affordable and easy to use.</v>
      </c>
    </row>
    <row r="10429" spans="1:9" x14ac:dyDescent="0.3">
      <c r="A10429" s="1" t="s">
        <v>105</v>
      </c>
      <c r="B10429" s="1" t="s">
        <v>106</v>
      </c>
      <c r="C10429" s="1" t="s">
        <v>1921</v>
      </c>
      <c r="D10429" s="1" t="s">
        <v>15143</v>
      </c>
      <c r="E10429" s="1" t="s">
        <v>201</v>
      </c>
      <c r="F10429" s="1" t="s">
        <v>15144</v>
      </c>
      <c r="G10429" s="1" t="s">
        <v>36</v>
      </c>
      <c r="H10429" s="1" t="s">
        <v>29</v>
      </c>
      <c r="I10429" s="1" t="str">
        <f ca="1">IFERROR(__xludf.DUMMYFUNCTION("GOOGLETRANSLATE(F10429, ""auto"", ""en"")
"),"the player is good, the battery lasts for 9-10 hours of music, 3 hours of film, the sound is great, but there is a drawback: inconvenient buttons")</f>
        <v>the player is good, the battery lasts for 9-10 hours of music, 3 hours of film, the sound is great, but there is a drawback: inconvenient buttons</v>
      </c>
    </row>
    <row r="10430" spans="1:9" x14ac:dyDescent="0.3">
      <c r="A10430" s="1" t="s">
        <v>149</v>
      </c>
      <c r="B10430" s="1" t="s">
        <v>155</v>
      </c>
      <c r="C10430" s="1" t="s">
        <v>151</v>
      </c>
      <c r="D10430" s="1" t="s">
        <v>33</v>
      </c>
      <c r="E10430" s="1" t="s">
        <v>779</v>
      </c>
      <c r="F10430" s="1" t="s">
        <v>15145</v>
      </c>
      <c r="G10430" s="1" t="s">
        <v>36</v>
      </c>
      <c r="H10430" s="1" t="s">
        <v>29</v>
      </c>
      <c r="I10430" s="1" t="str">
        <f ca="1">IFERROR(__xludf.DUMMYFUNCTION("GOOGLETRANSLATE(F10430, ""auto"", ""en"")
"),"I've been using this vacuum cleaner for about three months now. We work great, clean too. We liked it so much that we gave our sisters the same one for our wedding. She was also pleased. So I recommend this model of vacuum cleaner to everyone.")</f>
        <v>I've been using this vacuum cleaner for about three months now. We work great, clean too. We liked it so much that we gave our sisters the same one for our wedding. She was also pleased. So I recommend this model of vacuum cleaner to everyone.</v>
      </c>
    </row>
    <row r="10431" spans="1:9" x14ac:dyDescent="0.3">
      <c r="A10431" s="1" t="s">
        <v>43</v>
      </c>
      <c r="B10431" s="1" t="s">
        <v>303</v>
      </c>
      <c r="C10431" s="1" t="s">
        <v>665</v>
      </c>
      <c r="D10431" s="1" t="s">
        <v>474</v>
      </c>
      <c r="E10431" s="1" t="s">
        <v>2759</v>
      </c>
      <c r="F10431" s="1" t="s">
        <v>2268</v>
      </c>
      <c r="G10431" s="1" t="s">
        <v>36</v>
      </c>
      <c r="H10431" s="1" t="s">
        <v>29</v>
      </c>
      <c r="I10431" s="1" t="str">
        <f ca="1">IFERROR(__xludf.DUMMYFUNCTION("GOOGLETRANSLATE(F10431, ""auto"", ""en"")
"),"No")</f>
        <v>No</v>
      </c>
    </row>
    <row r="10432" spans="1:9" x14ac:dyDescent="0.3">
      <c r="A10432" s="1" t="s">
        <v>9</v>
      </c>
      <c r="B10432" s="1" t="s">
        <v>137</v>
      </c>
      <c r="C10432" s="1" t="s">
        <v>151</v>
      </c>
      <c r="D10432" s="1" t="s">
        <v>565</v>
      </c>
      <c r="E10432" s="1" t="s">
        <v>3018</v>
      </c>
      <c r="F10432" s="1" t="s">
        <v>15146</v>
      </c>
      <c r="G10432" s="1" t="s">
        <v>36</v>
      </c>
      <c r="H10432" s="1" t="s">
        <v>29</v>
      </c>
      <c r="I10432" s="1" t="str">
        <f ca="1">IFERROR(__xludf.DUMMYFUNCTION("GOOGLETRANSLATE(F10432, ""auto"", ""en"")
"),"I rate it excellent, it boils quickly (if you choose the appropriate dishes, the bottom should be even, even perfect), easy to clean, after a year of use it’s like new!!!")</f>
        <v>I rate it excellent, it boils quickly (if you choose the appropriate dishes, the bottom should be even, even perfect), easy to clean, after a year of use it’s like new!!!</v>
      </c>
    </row>
    <row r="10433" spans="1:9" x14ac:dyDescent="0.3">
      <c r="A10433" s="1" t="s">
        <v>811</v>
      </c>
      <c r="B10433" s="1" t="s">
        <v>1599</v>
      </c>
      <c r="C10433" s="1" t="s">
        <v>1851</v>
      </c>
      <c r="D10433" s="1" t="s">
        <v>695</v>
      </c>
      <c r="E10433" s="1" t="s">
        <v>7541</v>
      </c>
      <c r="F10433" s="1" t="s">
        <v>15147</v>
      </c>
      <c r="G10433" s="1" t="s">
        <v>36</v>
      </c>
      <c r="H10433" s="1" t="s">
        <v>29</v>
      </c>
      <c r="I10433" s="1" t="str">
        <f ca="1">IFERROR(__xludf.DUMMYFUNCTION("GOOGLETRANSLATE(F10433, ""auto"", ""en"")
"),"Great camera bag. I bought it today for my 620-UZ. Thanks to the internal removable jumper, you can customize the storage chamber to your size. I'm happy with the purchase.")</f>
        <v>Great camera bag. I bought it today for my 620-UZ. Thanks to the internal removable jumper, you can customize the storage chamber to your size. I'm happy with the purchase.</v>
      </c>
    </row>
    <row r="10434" spans="1:9" x14ac:dyDescent="0.3">
      <c r="A10434" s="1" t="s">
        <v>61</v>
      </c>
      <c r="B10434" s="1" t="s">
        <v>977</v>
      </c>
      <c r="C10434" s="1" t="s">
        <v>101</v>
      </c>
      <c r="D10434" s="1" t="s">
        <v>295</v>
      </c>
      <c r="E10434" s="1" t="s">
        <v>540</v>
      </c>
      <c r="F10434" s="1" t="s">
        <v>15148</v>
      </c>
      <c r="G10434" s="1" t="s">
        <v>49</v>
      </c>
      <c r="H10434" s="1" t="s">
        <v>16</v>
      </c>
      <c r="I10434" s="1" t="str">
        <f ca="1">IFERROR(__xludf.DUMMYFUNCTION("GOOGLETRANSLATE(F10434, ""auto"", ""en"")
"),"It just won’t turn on, we took it back to the store, everything works fine for them and turns on. We tried all 5 of our sockets + surge protectors. Maybe someone had the same problem?")</f>
        <v>It just won’t turn on, we took it back to the store, everything works fine for them and turns on. We tried all 5 of our sockets + surge protectors. Maybe someone had the same problem?</v>
      </c>
    </row>
    <row r="10435" spans="1:9" x14ac:dyDescent="0.3">
      <c r="A10435" s="1" t="s">
        <v>206</v>
      </c>
      <c r="B10435" s="1" t="s">
        <v>207</v>
      </c>
      <c r="C10435" s="1" t="s">
        <v>97</v>
      </c>
      <c r="D10435" s="1" t="s">
        <v>152</v>
      </c>
      <c r="E10435" s="1" t="s">
        <v>2563</v>
      </c>
      <c r="F10435" s="1" t="s">
        <v>15149</v>
      </c>
      <c r="G10435" s="1" t="s">
        <v>36</v>
      </c>
      <c r="H10435" s="1" t="s">
        <v>29</v>
      </c>
      <c r="I10435" s="1" t="str">
        <f ca="1">IFERROR(__xludf.DUMMYFUNCTION("GOOGLETRANSLATE(F10435, ""auto"", ""en"")
"),"For such a price, the speakers are super, I installed them in a VAZ 2105, there is bass, but not very powerful.")</f>
        <v>For such a price, the speakers are super, I installed them in a VAZ 2105, there is bass, but not very powerful.</v>
      </c>
    </row>
    <row r="10436" spans="1:9" x14ac:dyDescent="0.3">
      <c r="A10436" s="1" t="s">
        <v>55</v>
      </c>
      <c r="B10436" s="1" t="s">
        <v>56</v>
      </c>
      <c r="C10436" s="1" t="s">
        <v>57</v>
      </c>
      <c r="D10436" s="1" t="s">
        <v>152</v>
      </c>
      <c r="E10436" s="1" t="s">
        <v>2695</v>
      </c>
      <c r="F10436" s="1" t="s">
        <v>15150</v>
      </c>
      <c r="G10436" s="1" t="s">
        <v>49</v>
      </c>
      <c r="H10436" s="1" t="s">
        <v>16</v>
      </c>
      <c r="I10436" s="1" t="str">
        <f ca="1">IFERROR(__xludf.DUMMYFUNCTION("GOOGLETRANSLATE(F10436, ""auto"", ""en"")
"),"Died six months later, first the backlight, then stopped hovering")</f>
        <v>Died six months later, first the backlight, then stopped hovering</v>
      </c>
    </row>
    <row r="10437" spans="1:9" x14ac:dyDescent="0.3">
      <c r="A10437" s="1" t="s">
        <v>67</v>
      </c>
      <c r="B10437" s="1" t="s">
        <v>340</v>
      </c>
      <c r="C10437" s="1" t="s">
        <v>341</v>
      </c>
      <c r="D10437" s="1" t="s">
        <v>64</v>
      </c>
      <c r="E10437" s="1" t="s">
        <v>590</v>
      </c>
      <c r="F10437" s="1" t="s">
        <v>15151</v>
      </c>
      <c r="G10437" s="1" t="s">
        <v>28</v>
      </c>
      <c r="H10437" s="1" t="s">
        <v>29</v>
      </c>
      <c r="I10437" s="1" t="str">
        <f ca="1">IFERROR(__xludf.DUMMYFUNCTION("GOOGLETRANSLATE(F10437, ""auto"", ""en"")
"),"The machine is good, the only thing that upset me is the lack of overlock stitching, which is stated in the description.")</f>
        <v>The machine is good, the only thing that upset me is the lack of overlock stitching, which is stated in the description.</v>
      </c>
    </row>
    <row r="10438" spans="1:9" x14ac:dyDescent="0.3">
      <c r="A10438" s="1" t="s">
        <v>369</v>
      </c>
      <c r="B10438" s="1" t="s">
        <v>587</v>
      </c>
      <c r="C10438" s="1" t="s">
        <v>63</v>
      </c>
      <c r="D10438" s="1" t="s">
        <v>521</v>
      </c>
      <c r="E10438" s="1" t="s">
        <v>5583</v>
      </c>
      <c r="F10438" s="1" t="s">
        <v>15152</v>
      </c>
      <c r="G10438" s="1" t="s">
        <v>36</v>
      </c>
      <c r="H10438" s="1" t="s">
        <v>29</v>
      </c>
      <c r="I10438" s="1" t="str">
        <f ca="1">IFERROR(__xludf.DUMMYFUNCTION("GOOGLETRANSLATE(F10438, ""auto"", ""en"")
"),"Excellent gas stove, I recommend it to everyone!")</f>
        <v>Excellent gas stove, I recommend it to everyone!</v>
      </c>
    </row>
    <row r="10439" spans="1:9" x14ac:dyDescent="0.3">
      <c r="A10439" s="1" t="s">
        <v>78</v>
      </c>
      <c r="B10439" s="1" t="s">
        <v>493</v>
      </c>
      <c r="C10439" s="1" t="s">
        <v>80</v>
      </c>
      <c r="D10439" s="1" t="s">
        <v>295</v>
      </c>
      <c r="E10439" s="1" t="s">
        <v>87</v>
      </c>
      <c r="F10439" s="1" t="s">
        <v>15153</v>
      </c>
      <c r="G10439" s="1" t="s">
        <v>36</v>
      </c>
      <c r="H10439" s="1" t="s">
        <v>29</v>
      </c>
      <c r="I10439" s="1" t="str">
        <f ca="1">IFERROR(__xludf.DUMMYFUNCTION("GOOGLETRANSLATE(F10439, ""auto"", ""en"")
"),"I bought the stove 4 months ago. I am satisfied with the quality of cooking and heating. Defrosting is uniform, baking is a miracle, heats up quickly and evenly. The panel is convenient and clear. Auto modes are very convenient, and most importantly, ever"&amp;"ything turns out delicious! I made meat - very tasty and juicy. Easy to clean - wipe with a damp cloth and that's it. I was pleased with the quality of the stove, but the build quality let me down. I expected more responsibility from LG. During cooking, c"&amp;"ondensation accumulated inside the door (not in the chamber, but right between the glasses), and while you were cooking, you couldn’t see anything through the door. The company said - defective, poor door insulation - change it. I took it to the store and"&amp;" they replaced it (okay, the oven was inspected for two weeks). The second one began to fog up more, rattled when turned on (the bolts were not tightened well), there was nothing to change, so I took it to the service center. The size of the oven is quite"&amp;" bulky, and carrying it back and forth is not pleasant. But! Even waiting 3 weeks for a factory door didn't help. Condensation also accumulates inside the door in the new door, although less. I don’t want to change it or take it to service anymore. I woul"&amp;"d also like to note that I was dissatisfied with the work of m-video sellers. You can’t call them consultants; they can’t really say anything, neither advise nor help with a choice. It seemed that I was simply “interfering with their work.”")</f>
        <v>I bought the stove 4 months ago. I am satisfied with the quality of cooking and heating. Defrosting is uniform, baking is a miracle, heats up quickly and evenly. The panel is convenient and clear. Auto modes are very convenient, and most importantly, everything turns out delicious! I made meat - very tasty and juicy. Easy to clean - wipe with a damp cloth and that's it. I was pleased with the quality of the stove, but the build quality let me down. I expected more responsibility from LG. During cooking, condensation accumulated inside the door (not in the chamber, but right between the glasses), and while you were cooking, you couldn’t see anything through the door. The company said - defective, poor door insulation - change it. I took it to the store and they replaced it (okay, the oven was inspected for two weeks). The second one began to fog up more, rattled when turned on (the bolts were not tightened well), there was nothing to change, so I took it to the service center. The size of the oven is quite bulky, and carrying it back and forth is not pleasant. But! Even waiting 3 weeks for a factory door didn't help. Condensation also accumulates inside the door in the new door, although less. I don’t want to change it or take it to service anymore. I would also like to note that I was dissatisfied with the work of m-video sellers. You can’t call them consultants; they can’t really say anything, neither advise nor help with a choice. It seemed that I was simply “interfering with their work.”</v>
      </c>
    </row>
    <row r="10440" spans="1:9" x14ac:dyDescent="0.3">
      <c r="A10440" s="1" t="s">
        <v>67</v>
      </c>
      <c r="B10440" s="1" t="s">
        <v>340</v>
      </c>
      <c r="C10440" s="1" t="s">
        <v>341</v>
      </c>
      <c r="D10440" s="1" t="s">
        <v>12</v>
      </c>
      <c r="E10440" s="1" t="s">
        <v>1414</v>
      </c>
      <c r="F10440" s="1" t="s">
        <v>15154</v>
      </c>
      <c r="G10440" s="1" t="s">
        <v>36</v>
      </c>
      <c r="H10440" s="1" t="s">
        <v>29</v>
      </c>
      <c r="I10440" s="1" t="str">
        <f ca="1">IFERROR(__xludf.DUMMYFUNCTION("GOOGLETRANSLATE(F10440, ""auto"", ""en"")
"),"I bought the car six months ago. I’m very pleased with it, it sews any fabric perfectly, it has overlock stitches, which is important when you have small children. Easy to use, sufficient speed. In general, the machine is good for amateurs.")</f>
        <v>I bought the car six months ago. I’m very pleased with it, it sews any fabric perfectly, it has overlock stitches, which is important when you have small children. Easy to use, sufficient speed. In general, the machine is good for amateurs.</v>
      </c>
    </row>
    <row r="10441" spans="1:9" x14ac:dyDescent="0.3">
      <c r="A10441" s="1" t="s">
        <v>37</v>
      </c>
      <c r="B10441" s="1" t="s">
        <v>536</v>
      </c>
      <c r="C10441" s="1" t="s">
        <v>163</v>
      </c>
      <c r="D10441" s="1" t="s">
        <v>729</v>
      </c>
      <c r="E10441" s="1" t="s">
        <v>2942</v>
      </c>
      <c r="F10441" s="1" t="s">
        <v>15155</v>
      </c>
      <c r="G10441" s="1" t="s">
        <v>36</v>
      </c>
      <c r="H10441" s="1" t="s">
        <v>29</v>
      </c>
      <c r="I10441" s="1" t="str">
        <f ca="1">IFERROR(__xludf.DUMMYFUNCTION("GOOGLETRANSLATE(F10441, ""auto"", ""en"")
"),"The phone is certainly great!")</f>
        <v>The phone is certainly great!</v>
      </c>
    </row>
    <row r="10442" spans="1:9" x14ac:dyDescent="0.3">
      <c r="A10442" s="1" t="s">
        <v>61</v>
      </c>
      <c r="B10442" s="1" t="s">
        <v>1727</v>
      </c>
      <c r="C10442" s="1" t="s">
        <v>122</v>
      </c>
      <c r="D10442" s="1" t="s">
        <v>12</v>
      </c>
      <c r="E10442" s="1" t="s">
        <v>3059</v>
      </c>
      <c r="F10442" s="1" t="s">
        <v>15156</v>
      </c>
      <c r="G10442" s="1" t="s">
        <v>36</v>
      </c>
      <c r="H10442" s="1" t="s">
        <v>29</v>
      </c>
      <c r="I10442" s="1" t="str">
        <f ca="1">IFERROR(__xludf.DUMMYFUNCTION("GOOGLETRANSLATE(F10442, ""auto"", ""en"")
"),"We bought an excellent multicooker from Mvidio! Prepares all dishes perfectly! Advice - after cooking the fish, the smell remains, but I can easily get rid of it. I put a couple of tea bags and put it on to simmer. In general, we are delighted with the mu"&amp;"lti.")</f>
        <v>We bought an excellent multicooker from Mvidio! Prepares all dishes perfectly! Advice - after cooking the fish, the smell remains, but I can easily get rid of it. I put a couple of tea bags and put it on to simmer. In general, we are delighted with the multi.</v>
      </c>
    </row>
    <row r="10443" spans="1:9" x14ac:dyDescent="0.3">
      <c r="A10443" s="1" t="s">
        <v>37</v>
      </c>
      <c r="B10443" s="1" t="s">
        <v>38</v>
      </c>
      <c r="C10443" s="1" t="s">
        <v>39</v>
      </c>
      <c r="D10443" s="1" t="s">
        <v>295</v>
      </c>
      <c r="E10443" s="1" t="s">
        <v>41</v>
      </c>
      <c r="F10443" s="1" t="s">
        <v>15157</v>
      </c>
      <c r="G10443" s="1" t="s">
        <v>36</v>
      </c>
      <c r="H10443" s="1" t="s">
        <v>29</v>
      </c>
      <c r="I10443" s="1" t="str">
        <f ca="1">IFERROR(__xludf.DUMMYFUNCTION("GOOGLETRANSLATE(F10443, ""auto"", ""en"")
"),"Super! The phone is excellent.")</f>
        <v>Super! The phone is excellent.</v>
      </c>
    </row>
    <row r="10444" spans="1:9" x14ac:dyDescent="0.3">
      <c r="A10444" s="1" t="s">
        <v>61</v>
      </c>
      <c r="B10444" s="1" t="s">
        <v>145</v>
      </c>
      <c r="C10444" s="1" t="s">
        <v>246</v>
      </c>
      <c r="D10444" s="1" t="s">
        <v>474</v>
      </c>
      <c r="E10444" s="1" t="s">
        <v>1589</v>
      </c>
      <c r="F10444" s="1" t="s">
        <v>15158</v>
      </c>
      <c r="G10444" s="1" t="s">
        <v>28</v>
      </c>
      <c r="H10444" s="1" t="s">
        <v>29</v>
      </c>
      <c r="I10444" s="1" t="str">
        <f ca="1">IFERROR(__xludf.DUMMYFUNCTION("GOOGLETRANSLATE(F10444, ""auto"", ""en"")
"),"It has been working for almost 4 years, like clockwork, nothing overflows, everything is working properly and well.  What I don’t like is that the engine works, and I have to look for spare parts all day long. Weak points - the plastic transparent frame -"&amp;" cracks and chips appear very quickly, the top plastic bowl is terrible - everything sticks to it and is difficult to wash off, marks remain, and if you rub it - scratches, metal mesh - is difficult to wash, scratches your hands, and most importantly - it"&amp;" is not suitable for washing in the dishwasher - on the minimum mode - it does not wash, a little more intensively - it cracks. With difficulty I bought a transparent bowl to replace it, but I still couldn’t find the upper compartment.   What is inconveni"&amp;"ent is that not every time there is a full load; multi-tier steamers have a better system - you can use one bowl.  Next time I’ll buy another steamer with a different system, and most likely from a different company.")</f>
        <v>It has been working for almost 4 years, like clockwork, nothing overflows, everything is working properly and well.  What I don’t like is that the engine works, and I have to look for spare parts all day long. Weak points - the plastic transparent frame - cracks and chips appear very quickly, the top plastic bowl is terrible - everything sticks to it and is difficult to wash off, marks remain, and if you rub it - scratches, metal mesh - is difficult to wash, scratches your hands, and most importantly - it is not suitable for washing in the dishwasher - on the minimum mode - it does not wash, a little more intensively - it cracks. With difficulty I bought a transparent bowl to replace it, but I still couldn’t find the upper compartment.   What is inconvenient is that not every time there is a full load; multi-tier steamers have a better system - you can use one bowl.  Next time I’ll buy another steamer with a different system, and most likely from a different company.</v>
      </c>
    </row>
    <row r="10445" spans="1:9" x14ac:dyDescent="0.3">
      <c r="A10445" s="1" t="s">
        <v>67</v>
      </c>
      <c r="B10445" s="1" t="s">
        <v>68</v>
      </c>
      <c r="C10445" s="1" t="s">
        <v>246</v>
      </c>
      <c r="D10445" s="1" t="s">
        <v>139</v>
      </c>
      <c r="E10445" s="1" t="s">
        <v>3142</v>
      </c>
      <c r="F10445" s="1" t="s">
        <v>15159</v>
      </c>
      <c r="G10445" s="1" t="s">
        <v>49</v>
      </c>
      <c r="H10445" s="1" t="s">
        <v>16</v>
      </c>
      <c r="I10445" s="1" t="str">
        <f ca="1">IFERROR(__xludf.DUMMYFUNCTION("GOOGLETRANSLATE(F10445, ""auto"", ""en"")
"),"After the purchase, on the third day, the sole of the iron began to deteriorate and things began to stick.  Failed to clean the soleplate of the iron")</f>
        <v>After the purchase, on the third day, the sole of the iron began to deteriorate and things began to stick.  Failed to clean the soleplate of the iron</v>
      </c>
    </row>
    <row r="10446" spans="1:9" x14ac:dyDescent="0.3">
      <c r="A10446" s="1" t="s">
        <v>477</v>
      </c>
      <c r="B10446" s="1" t="s">
        <v>478</v>
      </c>
      <c r="C10446" s="1" t="s">
        <v>479</v>
      </c>
      <c r="D10446" s="1" t="s">
        <v>15160</v>
      </c>
      <c r="E10446" s="1" t="s">
        <v>3128</v>
      </c>
      <c r="F10446" s="1" t="s">
        <v>15161</v>
      </c>
      <c r="G10446" s="1" t="s">
        <v>28</v>
      </c>
      <c r="H10446" s="1" t="s">
        <v>29</v>
      </c>
      <c r="I10446" s="1" t="str">
        <f ca="1">IFERROR(__xludf.DUMMYFUNCTION("GOOGLETRANSLATE(F10446, ""auto"", ""en"")
"),"A good game, by the way: atmospheric, frightening, interesting.  A bit like Homecoming.")</f>
        <v>A good game, by the way: atmospheric, frightening, interesting.  A bit like Homecoming.</v>
      </c>
    </row>
    <row r="10447" spans="1:9" x14ac:dyDescent="0.3">
      <c r="A10447" s="1" t="s">
        <v>37</v>
      </c>
      <c r="B10447" s="1" t="s">
        <v>38</v>
      </c>
      <c r="C10447" s="1" t="s">
        <v>69</v>
      </c>
      <c r="D10447" s="1" t="s">
        <v>305</v>
      </c>
      <c r="E10447" s="1" t="s">
        <v>225</v>
      </c>
      <c r="F10447" s="1" t="s">
        <v>15162</v>
      </c>
      <c r="G10447" s="1" t="s">
        <v>15</v>
      </c>
      <c r="H10447" s="1" t="s">
        <v>16</v>
      </c>
      <c r="I10447" s="1" t="str">
        <f ca="1">IFERROR(__xludf.DUMMYFUNCTION("GOOGLETRANSLATE(F10447, ""auto"", ""en"")
"),"I bought it half a year ago, now I’m sending it in for repair: the sensor was broken... if not for this circumstance, it would not be a very bad phone. I preferred it because of the camera. Another minus is that Philips is not very popular in Russia, so i"&amp;"f something goes wrong, there will be no delays. I knew that I was going to such difficulties)")</f>
        <v>I bought it half a year ago, now I’m sending it in for repair: the sensor was broken... if not for this circumstance, it would not be a very bad phone. I preferred it because of the camera. Another minus is that Philips is not very popular in Russia, so if something goes wrong, there will be no delays. I knew that I was going to such difficulties)</v>
      </c>
    </row>
    <row r="10448" spans="1:9" x14ac:dyDescent="0.3">
      <c r="A10448" s="1" t="s">
        <v>105</v>
      </c>
      <c r="B10448" s="1" t="s">
        <v>106</v>
      </c>
      <c r="C10448" s="1" t="s">
        <v>97</v>
      </c>
      <c r="D10448" s="1" t="s">
        <v>4132</v>
      </c>
      <c r="E10448" s="1" t="s">
        <v>1167</v>
      </c>
      <c r="F10448" s="1" t="s">
        <v>15163</v>
      </c>
      <c r="G10448" s="1" t="s">
        <v>28</v>
      </c>
      <c r="H10448" s="1" t="s">
        <v>29</v>
      </c>
      <c r="I10448" s="1" t="str">
        <f ca="1">IFERROR(__xludf.DUMMYFUNCTION("GOOGLETRANSLATE(F10448, ""auto"", ""en"")
"),"I really liked the player with its large and bright screen, high-quality speakers, build quality and simply huge battery capacity. It depends on you, but I am quite satisfied with the headphones included in the kit. If you buy, don’t repeat my mistakes: i"&amp;"mmediately buy a case or at least a film for the screen. The screen was scratched in my jeans pocket literally a week after purchase.   Further, the VM-PORT connector is much more capricious than miniUSB. It connects well to the computer, but the transfer"&amp;" speed is far from the highest. I connected it to the box, but I couldn’t open either music or pictures. The fact is that data from the device is first copied to a temporary folder, and only then opened. On my TV there is simply no provision for a tempora"&amp;"ry folder. If you want to use the device as a flash drive, this will cause difficulties.")</f>
        <v>I really liked the player with its large and bright screen, high-quality speakers, build quality and simply huge battery capacity. It depends on you, but I am quite satisfied with the headphones included in the kit. If you buy, don’t repeat my mistakes: immediately buy a case or at least a film for the screen. The screen was scratched in my jeans pocket literally a week after purchase.   Further, the VM-PORT connector is much more capricious than miniUSB. It connects well to the computer, but the transfer speed is far from the highest. I connected it to the box, but I couldn’t open either music or pictures. The fact is that data from the device is first copied to a temporary folder, and only then opened. On my TV there is simply no provision for a temporary folder. If you want to use the device as a flash drive, this will cause difficulties.</v>
      </c>
    </row>
    <row r="10449" spans="1:9" x14ac:dyDescent="0.3">
      <c r="A10449" s="1" t="s">
        <v>37</v>
      </c>
      <c r="B10449" s="1" t="s">
        <v>355</v>
      </c>
      <c r="C10449" s="1" t="s">
        <v>356</v>
      </c>
      <c r="D10449" s="1" t="s">
        <v>15164</v>
      </c>
      <c r="E10449" s="1" t="s">
        <v>1290</v>
      </c>
      <c r="F10449" s="1" t="s">
        <v>15165</v>
      </c>
      <c r="G10449" s="1" t="s">
        <v>36</v>
      </c>
      <c r="H10449" s="1" t="s">
        <v>29</v>
      </c>
      <c r="I10449" s="1" t="str">
        <f ca="1">IFERROR(__xludf.DUMMYFUNCTION("GOOGLETRANSLATE(F10449, ""auto"", ""en"")
"),"I’ve been using Mayfun for three years now, the first one was now 3G. The phone suits me one hundred percent, but the most important thing is the additional features, and there are simply a lot of them. With the use of additional programs, the phone freel"&amp;"y transfers and receives files like all phones, but a little more convenient. The most important thing is to understand that the concept of this phone is not about instant execution of user commands, but about high-quality execution: I’ll explain: when yo"&amp;"u launch an application on a Windows device, it tries to start with glitches and brakes, on the iPhone the program will first think and then open without twitching and start smoothly - that’s great. The phone is reliable, it has fallen many times (but not"&amp;" on the screen), it works without problems, the battery holds up very well, even my son’s first Mayfun works without problems for several days on one charge. Music is something, it’s conveniently loud and nice, but I need another headset, I have a Senhais"&amp;"er MM50, it’s great!!!!!! There are glitches, but mostly on third-party applications, everything native works without problems. I downloaded the SUGIK navigator, I drive around and I’m stunned by the roads it shows that I didn’t know, and it also speaks R"&amp;"ussian in the voice of a girl and the direction of lanes and turns at junctions. In general, the device is excellent, but it requires brains to own it.")</f>
        <v>I’ve been using Mayfun for three years now, the first one was now 3G. The phone suits me one hundred percent, but the most important thing is the additional features, and there are simply a lot of them. With the use of additional programs, the phone freely transfers and receives files like all phones, but a little more convenient. The most important thing is to understand that the concept of this phone is not about instant execution of user commands, but about high-quality execution: I’ll explain: when you launch an application on a Windows device, it tries to start with glitches and brakes, on the iPhone the program will first think and then open without twitching and start smoothly - that’s great. The phone is reliable, it has fallen many times (but not on the screen), it works without problems, the battery holds up very well, even my son’s first Mayfun works without problems for several days on one charge. Music is something, it’s conveniently loud and nice, but I need another headset, I have a Senhaiser MM50, it’s great!!!!!! There are glitches, but mostly on third-party applications, everything native works without problems. I downloaded the SUGIK navigator, I drive around and I’m stunned by the roads it shows that I didn’t know, and it also speaks Russian in the voice of a girl and the direction of lanes and turns at junctions. In general, the device is excellent, but it requires brains to own it.</v>
      </c>
    </row>
    <row r="10450" spans="1:9" x14ac:dyDescent="0.3">
      <c r="A10450" s="1" t="s">
        <v>37</v>
      </c>
      <c r="B10450" s="1" t="s">
        <v>38</v>
      </c>
      <c r="C10450" s="1" t="s">
        <v>69</v>
      </c>
      <c r="D10450" s="1" t="s">
        <v>15166</v>
      </c>
      <c r="E10450" s="1" t="s">
        <v>649</v>
      </c>
      <c r="F10450" s="1" t="s">
        <v>15167</v>
      </c>
      <c r="G10450" s="1" t="s">
        <v>28</v>
      </c>
      <c r="H10450" s="1" t="s">
        <v>29</v>
      </c>
      <c r="I10450" s="1" t="str">
        <f ca="1">IFERROR(__xludf.DUMMYFUNCTION("GOOGLETRANSLATE(F10450, ""auto"", ""en"")
"),"I liked the phone, it’s very light, just right to have one without fear of scratching or dropping... It’s bad that you can’t download melodies via cable")</f>
        <v>I liked the phone, it’s very light, just right to have one without fear of scratching or dropping... It’s bad that you can’t download melodies via cable</v>
      </c>
    </row>
    <row r="10451" spans="1:9" x14ac:dyDescent="0.3">
      <c r="A10451" s="1" t="s">
        <v>89</v>
      </c>
      <c r="B10451" s="1" t="s">
        <v>231</v>
      </c>
      <c r="C10451" s="1" t="s">
        <v>1072</v>
      </c>
      <c r="D10451" s="1" t="s">
        <v>81</v>
      </c>
      <c r="E10451" s="1" t="s">
        <v>3111</v>
      </c>
      <c r="F10451" s="1" t="s">
        <v>15168</v>
      </c>
      <c r="G10451" s="1" t="s">
        <v>36</v>
      </c>
      <c r="H10451" s="1" t="s">
        <v>29</v>
      </c>
      <c r="I10451" s="1" t="str">
        <f ca="1">IFERROR(__xludf.DUMMYFUNCTION("GOOGLETRANSLATE(F10451, ""auto"", ""en"")
"),"An excellent solution for the home, I’ve been using it for several months, no complaints, I would recommend it to a friend for purchase. Very comfortable, there are no problems taking care of it. Buy it, you won't regret it")</f>
        <v>An excellent solution for the home, I’ve been using it for several months, no complaints, I would recommend it to a friend for purchase. Very comfortable, there are no problems taking care of it. Buy it, you won't regret it</v>
      </c>
    </row>
    <row r="10452" spans="1:9" x14ac:dyDescent="0.3">
      <c r="A10452" s="1" t="s">
        <v>5066</v>
      </c>
      <c r="B10452" s="1" t="s">
        <v>5067</v>
      </c>
      <c r="C10452" s="1" t="s">
        <v>911</v>
      </c>
      <c r="D10452" s="1" t="s">
        <v>592</v>
      </c>
      <c r="E10452" s="1" t="s">
        <v>15169</v>
      </c>
      <c r="F10452" s="1" t="s">
        <v>15170</v>
      </c>
      <c r="G10452" s="1" t="s">
        <v>36</v>
      </c>
      <c r="H10452" s="1" t="s">
        <v>29</v>
      </c>
      <c r="I10452" s="1" t="str">
        <f ca="1">IFERROR(__xludf.DUMMYFUNCTION("GOOGLETRANSLATE(F10452, ""auto"", ""en"")
"),"I have it in stock.")</f>
        <v>I have it in stock.</v>
      </c>
    </row>
    <row r="10453" spans="1:9" x14ac:dyDescent="0.3">
      <c r="A10453" s="1" t="s">
        <v>120</v>
      </c>
      <c r="B10453" s="1" t="s">
        <v>256</v>
      </c>
      <c r="C10453" s="1" t="s">
        <v>80</v>
      </c>
      <c r="D10453" s="1" t="s">
        <v>2923</v>
      </c>
      <c r="E10453" s="1" t="s">
        <v>814</v>
      </c>
      <c r="F10453" s="1" t="s">
        <v>15171</v>
      </c>
      <c r="G10453" s="1" t="s">
        <v>36</v>
      </c>
      <c r="H10453" s="1" t="s">
        <v>29</v>
      </c>
      <c r="I10453" s="1" t="str">
        <f ca="1">IFERROR(__xludf.DUMMYFUNCTION("GOOGLETRANSLATE(F10453, ""auto"", ""en"")
"),"And if you search on the Internet, there are a lot of messages on how to enable this “option” yourself. Tested - it works. You can then watch movies from the flash drive.")</f>
        <v>And if you search on the Internet, there are a lot of messages on how to enable this “option” yourself. Tested - it works. You can then watch movies from the flash drive.</v>
      </c>
    </row>
    <row r="10454" spans="1:9" x14ac:dyDescent="0.3">
      <c r="A10454" s="1" t="s">
        <v>8626</v>
      </c>
      <c r="B10454" s="1" t="s">
        <v>8627</v>
      </c>
      <c r="C10454" s="1" t="s">
        <v>1003</v>
      </c>
      <c r="D10454" s="1" t="s">
        <v>282</v>
      </c>
      <c r="E10454" s="1" t="s">
        <v>612</v>
      </c>
      <c r="F10454" s="1" t="s">
        <v>15172</v>
      </c>
      <c r="G10454" s="1" t="s">
        <v>36</v>
      </c>
      <c r="H10454" s="1" t="s">
        <v>29</v>
      </c>
      <c r="I10454" s="1" t="str">
        <f ca="1">IFERROR(__xludf.DUMMYFUNCTION("GOOGLETRANSLATE(F10454, ""auto"", ""en"")
"),"The HP Color LaserJet Pro CP5225 color laser printer has both color and monochrome printing capabilities. The resolution for both types of printing is 600 x 600 dpi at 20 ppm. The device has a digital display for displaying various information and navigat"&amp;"ing the menu. The printer can work with computers running all current operating systems, namely Windows (Server 2003, Vista, 7, 8, 10), Mac OS (X 10.3 and higher) and Linux. Everything you need to get started is included (4 cartridges, software and USB ca"&amp;"ble).")</f>
        <v>The HP Color LaserJet Pro CP5225 color laser printer has both color and monochrome printing capabilities. The resolution for both types of printing is 600 x 600 dpi at 20 ppm. The device has a digital display for displaying various information and navigating the menu. The printer can work with computers running all current operating systems, namely Windows (Server 2003, Vista, 7, 8, 10), Mac OS (X 10.3 and higher) and Linux. Everything you need to get started is included (4 cartridges, software and USB cable).</v>
      </c>
    </row>
    <row r="10455" spans="1:9" x14ac:dyDescent="0.3">
      <c r="A10455" s="1" t="s">
        <v>120</v>
      </c>
      <c r="B10455" s="1" t="s">
        <v>121</v>
      </c>
      <c r="C10455" s="1" t="s">
        <v>80</v>
      </c>
      <c r="D10455" s="1" t="s">
        <v>15173</v>
      </c>
      <c r="E10455" s="1" t="s">
        <v>379</v>
      </c>
      <c r="F10455" s="1" t="s">
        <v>15174</v>
      </c>
      <c r="G10455" s="1" t="s">
        <v>36</v>
      </c>
      <c r="H10455" s="1" t="s">
        <v>29</v>
      </c>
      <c r="I10455" s="1" t="str">
        <f ca="1">IFERROR(__xludf.DUMMYFUNCTION("GOOGLETRANSLATE(F10455, ""auto"", ""en"")
"),"Today I found this, tried it, everything works - Yesterday I activated the USB port without any firmware and LEDs, from my own remote control, in two minutes. Now I watch movies from a flash drive, I don’t need a DVD, unless the sound from it is better. I"&amp;"f anyone needs it, here’s the algorithm: 1) point to the options but don’t go into them, press the number 9 7 times. It shows two undefined firmwares and offers to change to the old one, we agree, the TV reboots.  2) point at the options but don’t go into"&amp;" them, press the FAV button seven times - look, and lo and behold! firmware 3.12! If it’s 3.24 or 3.4, repeat again, you can try pressing seven instead of 9.  3) turn off the TV, turn it on, a sign runs across the black screen asking you to start searchin"&amp;"g for programs, refuse, click OK on the remote control and on the TV at the same time. A password window appears, enter four zeros.  4) the service menu appears, go to the “Ajust menu”, in it select settings 3 and change Jpeg to 1, Media to HD. We're not "&amp;"going anywhere else!  5) you can also activate “THX-cinema” - the THX-cinema image setting will appear with very rich colors and deep blacks, but it’s not very good to watch news on it, it’s a little dark, but movies are amazing! To do this, you need to g"&amp;"o to settings 4, the same Ajust menu. To do this, you need to repeat steps 3 and 4. There we see the THX cinema at the bottom - we put 1 instead of zero and the THX director - we also put 1. 6) reboot the TV, again refuse to configure the channels, go to "&amp;"the menu - voila - two new items - USB player and “cord” connection. We exit the menu and repeat step one, with nines, reboot, look at the firmware (see step 2) - it should be 3.24 or higher.  7) Now we’re setting up the channels.  If someone thought it w"&amp;"as complicated, then I wrote it like that; in fact, everything is simple and takes two minutes.  zyrjanov – Khabarovsk Maybe it will be useful to someone.")</f>
        <v>Today I found this, tried it, everything works - Yesterday I activated the USB port without any firmware and LEDs, from my own remote control, in two minutes. Now I watch movies from a flash drive, I don’t need a DVD, unless the sound from it is better. If anyone needs it, here’s the algorithm: 1) point to the options but don’t go into them, press the number 9 7 times. It shows two undefined firmwares and offers to change to the old one, we agree, the TV reboots.  2) point at the options but don’t go into them, press the FAV button seven times - look, and lo and behold! firmware 3.12! If it’s 3.24 or 3.4, repeat again, you can try pressing seven instead of 9.  3) turn off the TV, turn it on, a sign runs across the black screen asking you to start searching for programs, refuse, click OK on the remote control and on the TV at the same time. A password window appears, enter four zeros.  4) the service menu appears, go to the “Ajust menu”, in it select settings 3 and change Jpeg to 1, Media to HD. We're not going anywhere else!  5) you can also activate “THX-cinema” - the THX-cinema image setting will appear with very rich colors and deep blacks, but it’s not very good to watch news on it, it’s a little dark, but movies are amazing! To do this, you need to go to settings 4, the same Ajust menu. To do this, you need to repeat steps 3 and 4. There we see the THX cinema at the bottom - we put 1 instead of zero and the THX director - we also put 1. 6) reboot the TV, again refuse to configure the channels, go to the menu - voila - two new items - USB player and “cord” connection. We exit the menu and repeat step one, with nines, reboot, look at the firmware (see step 2) - it should be 3.24 or higher.  7) Now we’re setting up the channels.  If someone thought it was complicated, then I wrote it like that; in fact, everything is simple and takes two minutes.  zyrjanov – Khabarovsk Maybe it will be useful to someone.</v>
      </c>
    </row>
    <row r="10456" spans="1:9" x14ac:dyDescent="0.3">
      <c r="A10456" s="1" t="s">
        <v>519</v>
      </c>
      <c r="B10456" s="1" t="s">
        <v>520</v>
      </c>
      <c r="C10456" s="1" t="s">
        <v>2143</v>
      </c>
      <c r="D10456" s="1" t="s">
        <v>682</v>
      </c>
      <c r="E10456" s="1" t="s">
        <v>772</v>
      </c>
      <c r="F10456" s="1" t="s">
        <v>15175</v>
      </c>
      <c r="G10456" s="1" t="s">
        <v>36</v>
      </c>
      <c r="H10456" s="1" t="s">
        <v>29</v>
      </c>
      <c r="I10456" s="1" t="str">
        <f ca="1">IFERROR(__xludf.DUMMYFUNCTION("GOOGLETRANSLATE(F10456, ""auto"", ""en"")
"),"I really liked the dishes, they were cute and convenient, there were a lot of pots, I was especially pleased with the drain sieve. I’ve been using it for a year and so far there are no comments, I hope there won’t be any.")</f>
        <v>I really liked the dishes, they were cute and convenient, there were a lot of pots, I was especially pleased with the drain sieve. I’ve been using it for a year and so far there are no comments, I hope there won’t be any.</v>
      </c>
    </row>
    <row r="10457" spans="1:9" x14ac:dyDescent="0.3">
      <c r="A10457" s="1" t="s">
        <v>557</v>
      </c>
      <c r="B10457" s="1" t="s">
        <v>558</v>
      </c>
      <c r="C10457" s="1" t="s">
        <v>122</v>
      </c>
      <c r="D10457" s="1" t="s">
        <v>658</v>
      </c>
      <c r="E10457" s="1" t="s">
        <v>1669</v>
      </c>
      <c r="F10457" s="1" t="s">
        <v>15176</v>
      </c>
      <c r="G10457" s="1" t="s">
        <v>28</v>
      </c>
      <c r="H10457" s="1" t="s">
        <v>29</v>
      </c>
      <c r="I10457" s="1" t="str">
        <f ca="1">IFERROR(__xludf.DUMMYFUNCTION("GOOGLETRANSLATE(F10457, ""auto"", ""en"")
"),"I really liked it, but if there was a button lock it would be great.")</f>
        <v>I really liked it, but if there was a button lock it would be great.</v>
      </c>
    </row>
    <row r="10458" spans="1:9" x14ac:dyDescent="0.3">
      <c r="A10458" s="1" t="s">
        <v>89</v>
      </c>
      <c r="B10458" s="1" t="s">
        <v>90</v>
      </c>
      <c r="C10458" s="1" t="s">
        <v>63</v>
      </c>
      <c r="D10458" s="1" t="s">
        <v>1055</v>
      </c>
      <c r="E10458" s="1" t="s">
        <v>6167</v>
      </c>
      <c r="F10458" s="1" t="s">
        <v>15177</v>
      </c>
      <c r="G10458" s="1" t="s">
        <v>36</v>
      </c>
      <c r="H10458" s="1" t="s">
        <v>29</v>
      </c>
      <c r="I10458" s="1" t="str">
        <f ca="1">IFERROR(__xludf.DUMMYFUNCTION("GOOGLETRANSLATE(F10458, ""auto"", ""en"")
"),"The advantage is that it is compact and does not take up much space in the closet. It grinds coffee beans perfectly. I didn’t find any cons, I just purchased it, but I’ve already tested it in use, it does its job perfectly. I hope it won’t let you down in"&amp;" the future.")</f>
        <v>The advantage is that it is compact and does not take up much space in the closet. It grinds coffee beans perfectly. I didn’t find any cons, I just purchased it, but I’ve already tested it in use, it does its job perfectly. I hope it won’t let you down in the future.</v>
      </c>
    </row>
    <row r="10459" spans="1:9" x14ac:dyDescent="0.3">
      <c r="A10459" s="1" t="s">
        <v>43</v>
      </c>
      <c r="B10459" s="1" t="s">
        <v>334</v>
      </c>
      <c r="C10459" s="1" t="s">
        <v>101</v>
      </c>
      <c r="D10459" s="1" t="s">
        <v>305</v>
      </c>
      <c r="E10459" s="1" t="s">
        <v>440</v>
      </c>
      <c r="F10459" s="1" t="s">
        <v>15178</v>
      </c>
      <c r="G10459" s="1" t="s">
        <v>15</v>
      </c>
      <c r="H10459" s="1" t="s">
        <v>16</v>
      </c>
      <c r="I10459" s="1" t="str">
        <f ca="1">IFERROR(__xludf.DUMMYFUNCTION("GOOGLETRANSLATE(F10459, ""auto"", ""en"")
"),"noisy . air flow is weak. It’s better to take a regular floor one.")</f>
        <v>noisy . air flow is weak. It’s better to take a regular floor one.</v>
      </c>
    </row>
    <row r="10460" spans="1:9" x14ac:dyDescent="0.3">
      <c r="A10460" s="1" t="s">
        <v>95</v>
      </c>
      <c r="B10460" s="1" t="s">
        <v>11455</v>
      </c>
      <c r="C10460" s="1" t="s">
        <v>97</v>
      </c>
      <c r="D10460" s="1" t="s">
        <v>86</v>
      </c>
      <c r="E10460" s="1" t="s">
        <v>229</v>
      </c>
      <c r="F10460" s="1" t="s">
        <v>15179</v>
      </c>
      <c r="G10460" s="1" t="s">
        <v>36</v>
      </c>
      <c r="H10460" s="1" t="s">
        <v>29</v>
      </c>
      <c r="I10460" s="1" t="str">
        <f ca="1">IFERROR(__xludf.DUMMYFUNCTION("GOOGLETRANSLATE(F10460, ""auto"", ""en"")
"),"Alexander, for a two-player game you need one camera and two/four controllers; for one game you also need one camera and one/two controllers")</f>
        <v>Alexander, for a two-player game you need one camera and two/four controllers; for one game you also need one camera and one/two controllers</v>
      </c>
    </row>
    <row r="10461" spans="1:9" x14ac:dyDescent="0.3">
      <c r="A10461" s="1" t="s">
        <v>17</v>
      </c>
      <c r="B10461" s="1" t="s">
        <v>18</v>
      </c>
      <c r="C10461" s="1" t="s">
        <v>243</v>
      </c>
      <c r="D10461" s="1" t="s">
        <v>1681</v>
      </c>
      <c r="E10461" s="1" t="s">
        <v>412</v>
      </c>
      <c r="F10461" s="1" t="s">
        <v>15180</v>
      </c>
      <c r="G10461" s="1" t="s">
        <v>1580</v>
      </c>
      <c r="H10461" s="1" t="s">
        <v>29</v>
      </c>
      <c r="I10461" s="1" t="str">
        <f ca="1">IFERROR(__xludf.DUMMYFUNCTION("GOOGLETRANSLATE(F10461, ""auto"", ""en"")
"),"scent")</f>
        <v>scent</v>
      </c>
    </row>
    <row r="10462" spans="1:9" x14ac:dyDescent="0.3">
      <c r="A10462" s="1" t="s">
        <v>37</v>
      </c>
      <c r="B10462" s="1" t="s">
        <v>38</v>
      </c>
      <c r="C10462" s="1" t="s">
        <v>39</v>
      </c>
      <c r="D10462" s="1" t="s">
        <v>152</v>
      </c>
      <c r="E10462" s="1" t="s">
        <v>3594</v>
      </c>
      <c r="F10462" s="1" t="s">
        <v>15181</v>
      </c>
      <c r="G10462" s="1" t="s">
        <v>28</v>
      </c>
      <c r="H10462" s="1" t="s">
        <v>29</v>
      </c>
      <c r="I10462" s="1" t="str">
        <f ca="1">IFERROR(__xludf.DUMMYFUNCTION("GOOGLETRANSLATE(F10462, ""auto"", ""en"")
"),"In general, the phone is very cool, but the small screen resolution and the fact that it does not support many formats made me give it a 4")</f>
        <v>In general, the phone is very cool, but the small screen resolution and the fact that it does not support many formats made me give it a 4</v>
      </c>
    </row>
    <row r="10463" spans="1:9" x14ac:dyDescent="0.3">
      <c r="A10463" s="1" t="s">
        <v>9</v>
      </c>
      <c r="B10463" s="1" t="s">
        <v>10</v>
      </c>
      <c r="C10463" s="1" t="s">
        <v>466</v>
      </c>
      <c r="D10463" s="1" t="s">
        <v>4419</v>
      </c>
      <c r="E10463" s="1" t="s">
        <v>15182</v>
      </c>
      <c r="F10463" s="1" t="s">
        <v>15183</v>
      </c>
      <c r="G10463" s="1" t="s">
        <v>36</v>
      </c>
      <c r="H10463" s="1" t="s">
        <v>29</v>
      </c>
      <c r="I10463" s="1" t="str">
        <f ca="1">IFERROR(__xludf.DUMMYFUNCTION("GOOGLETRANSLATE(F10463, ""auto"", ""en"")
"),"Fits perfectly into the design of a white kitchen, the noise level corresponds to what is stated in the description. It copes with boiling one pan even on the first speed, a good choice, we have been using it since December 2014.")</f>
        <v>Fits perfectly into the design of a white kitchen, the noise level corresponds to what is stated in the description. It copes with boiling one pan even on the first speed, a good choice, we have been using it since December 2014.</v>
      </c>
    </row>
    <row r="10464" spans="1:9" x14ac:dyDescent="0.3">
      <c r="A10464" s="1" t="s">
        <v>61</v>
      </c>
      <c r="B10464" s="1" t="s">
        <v>977</v>
      </c>
      <c r="C10464" s="1" t="s">
        <v>63</v>
      </c>
      <c r="D10464" s="1" t="s">
        <v>64</v>
      </c>
      <c r="E10464" s="1" t="s">
        <v>446</v>
      </c>
      <c r="F10464" s="1" t="s">
        <v>15184</v>
      </c>
      <c r="G10464" s="1" t="s">
        <v>36</v>
      </c>
      <c r="H10464" s="1" t="s">
        <v>29</v>
      </c>
      <c r="I10464" s="1" t="str">
        <f ca="1">IFERROR(__xludf.DUMMYFUNCTION("GOOGLETRANSLATE(F10464, ""auto"", ""en"")
"),"It works, no it doesn’t work, but I’ve had this mixer for 2 years now, I’m very happy with it, it works for days on end because I bake cakes to order))) Super mixer")</f>
        <v>It works, no it doesn’t work, but I’ve had this mixer for 2 years now, I’m very happy with it, it works for days on end because I bake cakes to order))) Super mixer</v>
      </c>
    </row>
    <row r="10465" spans="1:9" x14ac:dyDescent="0.3">
      <c r="A10465" s="1" t="s">
        <v>89</v>
      </c>
      <c r="B10465" s="1" t="s">
        <v>90</v>
      </c>
      <c r="C10465" s="1" t="s">
        <v>185</v>
      </c>
      <c r="D10465" s="1" t="s">
        <v>12</v>
      </c>
      <c r="E10465" s="1" t="s">
        <v>2344</v>
      </c>
      <c r="F10465" s="1" t="s">
        <v>15185</v>
      </c>
      <c r="G10465" s="1" t="s">
        <v>36</v>
      </c>
      <c r="H10465" s="1" t="s">
        <v>29</v>
      </c>
      <c r="I10465" s="1" t="str">
        <f ca="1">IFERROR(__xludf.DUMMYFUNCTION("GOOGLETRANSLATE(F10465, ""auto"", ""en"")
"),"easy to use, price matches quality, good grinding result")</f>
        <v>easy to use, price matches quality, good grinding result</v>
      </c>
    </row>
    <row r="10466" spans="1:9" x14ac:dyDescent="0.3">
      <c r="A10466" s="1" t="s">
        <v>105</v>
      </c>
      <c r="B10466" s="1" t="s">
        <v>106</v>
      </c>
      <c r="C10466" s="1" t="s">
        <v>1921</v>
      </c>
      <c r="D10466" s="1" t="s">
        <v>228</v>
      </c>
      <c r="E10466" s="1" t="s">
        <v>2529</v>
      </c>
      <c r="F10466" s="1" t="s">
        <v>15186</v>
      </c>
      <c r="G10466" s="1" t="s">
        <v>15</v>
      </c>
      <c r="H10466" s="1" t="s">
        <v>16</v>
      </c>
      <c r="I10466" s="1" t="str">
        <f ca="1">IFERROR(__xludf.DUMMYFUNCTION("GOOGLETRANSLATE(F10466, ""auto"", ""en"")
"),"Broke after 2 days. Maybe I was unlucky, but it stopped turning on on the 2nd day. I'll try to buy it again. I exchanged my previous one at the store for money. There was no replacement.")</f>
        <v>Broke after 2 days. Maybe I was unlucky, but it stopped turning on on the 2nd day. I'll try to buy it again. I exchanged my previous one at the store for money. There was no replacement.</v>
      </c>
    </row>
    <row r="10467" spans="1:9" x14ac:dyDescent="0.3">
      <c r="A10467" s="1" t="s">
        <v>149</v>
      </c>
      <c r="B10467" s="1" t="s">
        <v>423</v>
      </c>
      <c r="C10467" s="1" t="s">
        <v>424</v>
      </c>
      <c r="D10467" s="1" t="s">
        <v>757</v>
      </c>
      <c r="E10467" s="1" t="s">
        <v>11483</v>
      </c>
      <c r="F10467" s="1" t="s">
        <v>15187</v>
      </c>
      <c r="G10467" s="1" t="s">
        <v>15</v>
      </c>
      <c r="H10467" s="1" t="s">
        <v>16</v>
      </c>
      <c r="I10467" s="1" t="str">
        <f ca="1">IFERROR(__xludf.DUMMYFUNCTION("GOOGLETRANSLATE(F10467, ""auto"", ""en"")
"),"We bought this vacuum cleaner 5 years ago in connection with the renovation of our apartment. After painting and whitewashing, he cleaned the apartment perfectly, of course. But I didn’t like him as a daily assistant. Complex, cumbersome. I washed the flo"&amp;"or with a mop and swept with a broom. It makes quite a lot of noise, it is impossible to put the child to sleep and clean at the same time. Well, in the end it burned out after a year. I wasn't lucky enough to take it to the service center... I took it to"&amp;" the trash heap and left it there with all the attachments...")</f>
        <v>We bought this vacuum cleaner 5 years ago in connection with the renovation of our apartment. After painting and whitewashing, he cleaned the apartment perfectly, of course. But I didn’t like him as a daily assistant. Complex, cumbersome. I washed the floor with a mop and swept with a broom. It makes quite a lot of noise, it is impossible to put the child to sleep and clean at the same time. Well, in the end it burned out after a year. I wasn't lucky enough to take it to the service center... I took it to the trash heap and left it there with all the attachments...</v>
      </c>
    </row>
    <row r="10468" spans="1:9" x14ac:dyDescent="0.3">
      <c r="A10468" s="1" t="s">
        <v>17</v>
      </c>
      <c r="B10468" s="1" t="s">
        <v>18</v>
      </c>
      <c r="C10468" s="1" t="s">
        <v>80</v>
      </c>
      <c r="D10468" s="1" t="s">
        <v>568</v>
      </c>
      <c r="E10468" s="1" t="s">
        <v>1982</v>
      </c>
      <c r="F10468" s="1" t="s">
        <v>15188</v>
      </c>
      <c r="G10468" s="1" t="s">
        <v>28</v>
      </c>
      <c r="H10468" s="1" t="s">
        <v>29</v>
      </c>
      <c r="I10468" s="1" t="str">
        <f ca="1">IFERROR(__xludf.DUMMYFUNCTION("GOOGLETRANSLATE(F10468, ""auto"", ""en"")
"),"We took the offer at a discount, despite the lack of reviews at that time - we took a risk and were not disappointed. On the plus side, it’s completely inaudible how the engine works, there are many modes, incl. quick wash mode 30 min, drum cleaning mode,"&amp;" nice panel. Of the minuses - water remains in the door seals, it makes a lot of noise when drawing water, it is located in a corridor not separated by a door from the rooms, so it is noticeable, there is a slight vibration when the laundry is poorly dist"&amp;"ributed, but at the same time it stands firmly in place and if there is nothing on top of the machine, then there is no noise.&amp;nbsp;")</f>
        <v>We took the offer at a discount, despite the lack of reviews at that time - we took a risk and were not disappointed. On the plus side, it’s completely inaudible how the engine works, there are many modes, incl. quick wash mode 30 min, drum cleaning mode, nice panel. Of the minuses - water remains in the door seals, it makes a lot of noise when drawing water, it is located in a corridor not separated by a door from the rooms, so it is noticeable, there is a slight vibration when the laundry is poorly distributed, but at the same time it stands firmly in place and if there is nothing on top of the machine, then there is no noise.&amp;nbsp;</v>
      </c>
    </row>
    <row r="10469" spans="1:9" x14ac:dyDescent="0.3">
      <c r="A10469" s="1" t="s">
        <v>17</v>
      </c>
      <c r="B10469" s="1" t="s">
        <v>18</v>
      </c>
      <c r="C10469" s="1" t="s">
        <v>290</v>
      </c>
      <c r="D10469" s="1" t="s">
        <v>637</v>
      </c>
      <c r="E10469" s="1" t="s">
        <v>1948</v>
      </c>
      <c r="F10469" s="1" t="s">
        <v>15189</v>
      </c>
      <c r="G10469" s="1" t="s">
        <v>28</v>
      </c>
      <c r="H10469" s="1" t="s">
        <v>29</v>
      </c>
      <c r="I10469" s="1" t="str">
        <f ca="1">IFERROR(__xludf.DUMMYFUNCTION("GOOGLETRANSLATE(F10469, ""auto"", ""en"")
"),"We bought the car about a month ago. Everything was good until the last wash: in the middle of the wash a small puddle and smudges were discovered from the machine door. seal?! the load of clothes was not very large. Today we will try to run it idle - wit"&amp;"hout clothes - and see what happens, I hope there will be no leaks and the problem will be easily resolved!!!")</f>
        <v>We bought the car about a month ago. Everything was good until the last wash: in the middle of the wash a small puddle and smudges were discovered from the machine door. seal?! the load of clothes was not very large. Today we will try to run it idle - without clothes - and see what happens, I hope there will be no leaks and the problem will be easily resolved!!!</v>
      </c>
    </row>
    <row r="10470" spans="1:9" x14ac:dyDescent="0.3">
      <c r="A10470" s="1" t="s">
        <v>211</v>
      </c>
      <c r="B10470" s="1" t="s">
        <v>1818</v>
      </c>
      <c r="C10470" s="1" t="s">
        <v>213</v>
      </c>
      <c r="D10470" s="1" t="s">
        <v>1890</v>
      </c>
      <c r="E10470" s="1" t="s">
        <v>2870</v>
      </c>
      <c r="F10470" s="1" t="s">
        <v>15190</v>
      </c>
      <c r="G10470" s="1" t="s">
        <v>36</v>
      </c>
      <c r="H10470" s="1" t="s">
        <v>29</v>
      </c>
      <c r="I10470" s="1" t="str">
        <f ca="1">IFERROR(__xludf.DUMMYFUNCTION("GOOGLETRANSLATE(F10470, ""auto"", ""en"")
"),"Effect after two weeks")</f>
        <v>Effect after two weeks</v>
      </c>
    </row>
    <row r="10471" spans="1:9" x14ac:dyDescent="0.3">
      <c r="A10471" s="1" t="s">
        <v>120</v>
      </c>
      <c r="B10471" s="1" t="s">
        <v>121</v>
      </c>
      <c r="C10471" s="1" t="s">
        <v>97</v>
      </c>
      <c r="D10471" s="1" t="s">
        <v>4814</v>
      </c>
      <c r="E10471" s="1" t="s">
        <v>3771</v>
      </c>
      <c r="F10471" s="1" t="s">
        <v>15191</v>
      </c>
      <c r="G10471" s="1" t="s">
        <v>28</v>
      </c>
      <c r="H10471" s="1" t="s">
        <v>29</v>
      </c>
      <c r="I10471" s="1" t="str">
        <f ca="1">IFERROR(__xludf.DUMMYFUNCTION("GOOGLETRANSLATE(F10471, ""auto"", ""en"")
"),"The picture-in-picture function only works with external sources (PC), and not so that you can watch 2 TV programs at the same time. And so it’s normal, there are a lot of settings for your image, there is a radio (but it’s not clear why), USB works. Afte"&amp;"r I bought it, it went up by 2 grand. It's a small thing, but it's nice)))")</f>
        <v>The picture-in-picture function only works with external sources (PC), and not so that you can watch 2 TV programs at the same time. And so it’s normal, there are a lot of settings for your image, there is a radio (but it’s not clear why), USB works. After I bought it, it went up by 2 grand. It's a small thing, but it's nice)))</v>
      </c>
    </row>
    <row r="10472" spans="1:9" x14ac:dyDescent="0.3">
      <c r="A10472" s="1" t="s">
        <v>61</v>
      </c>
      <c r="B10472" s="1" t="s">
        <v>1727</v>
      </c>
      <c r="C10472" s="1" t="s">
        <v>122</v>
      </c>
      <c r="D10472" s="1" t="s">
        <v>471</v>
      </c>
      <c r="E10472" s="1" t="s">
        <v>1197</v>
      </c>
      <c r="F10472" s="1" t="s">
        <v>15192</v>
      </c>
      <c r="G10472" s="1" t="s">
        <v>36</v>
      </c>
      <c r="H10472" s="1" t="s">
        <v>29</v>
      </c>
      <c r="I10472" s="1" t="str">
        <f ca="1">IFERROR(__xludf.DUMMYFUNCTION("GOOGLETRANSLATE(F10472, ""auto"", ""en"")
"),"We also recently bought, super, steamed fish fillets, milk porridge, and in general, everything is very tasty!")</f>
        <v>We also recently bought, super, steamed fish fillets, milk porridge, and in general, everything is very tasty!</v>
      </c>
    </row>
    <row r="10473" spans="1:9" x14ac:dyDescent="0.3">
      <c r="A10473" s="1" t="s">
        <v>67</v>
      </c>
      <c r="B10473" s="1" t="s">
        <v>68</v>
      </c>
      <c r="C10473" s="1" t="s">
        <v>246</v>
      </c>
      <c r="D10473" s="1" t="s">
        <v>39</v>
      </c>
      <c r="E10473" s="1" t="s">
        <v>6184</v>
      </c>
      <c r="F10473" s="1" t="s">
        <v>15193</v>
      </c>
      <c r="G10473" s="1" t="s">
        <v>36</v>
      </c>
      <c r="H10473" s="1" t="s">
        <v>29</v>
      </c>
      <c r="I10473" s="1" t="str">
        <f ca="1">IFERROR(__xludf.DUMMYFUNCTION("GOOGLETRANSLATE(F10473, ""auto"", ""en"")
"),"Really makes ironing shirts easier. Best buy for your money!")</f>
        <v>Really makes ironing shirts easier. Best buy for your money!</v>
      </c>
    </row>
    <row r="10474" spans="1:9" x14ac:dyDescent="0.3">
      <c r="A10474" s="1" t="s">
        <v>2087</v>
      </c>
      <c r="B10474" s="1" t="s">
        <v>2088</v>
      </c>
      <c r="C10474" s="1" t="s">
        <v>69</v>
      </c>
      <c r="D10474" s="1" t="s">
        <v>39</v>
      </c>
      <c r="E10474" s="1" t="s">
        <v>3676</v>
      </c>
      <c r="F10474" s="1" t="s">
        <v>15194</v>
      </c>
      <c r="G10474" s="1" t="s">
        <v>36</v>
      </c>
      <c r="H10474" s="1" t="s">
        <v>29</v>
      </c>
      <c r="I10474" s="1" t="str">
        <f ca="1">IFERROR(__xludf.DUMMYFUNCTION("GOOGLETRANSLATE(F10474, ""auto"", ""en"")
"),"HDMI problem solved!  A 3m cable for 350r saved the situation :) (the previous one cost 440 for 2m).  I also hooked up an external HDD. It's a pity that it needs to be FAT32, otherwise everything is fine - the DVD from it seems to be upscaled to 1080p.")</f>
        <v>HDMI problem solved!  A 3m cable for 350r saved the situation :) (the previous one cost 440 for 2m).  I also hooked up an external HDD. It's a pity that it needs to be FAT32, otherwise everything is fine - the DVD from it seems to be upscaled to 1080p.</v>
      </c>
    </row>
    <row r="10475" spans="1:9" x14ac:dyDescent="0.3">
      <c r="A10475" s="1" t="s">
        <v>369</v>
      </c>
      <c r="B10475" s="1" t="s">
        <v>2480</v>
      </c>
      <c r="C10475" s="1" t="s">
        <v>453</v>
      </c>
      <c r="D10475" s="1" t="s">
        <v>240</v>
      </c>
      <c r="E10475" s="1" t="s">
        <v>6469</v>
      </c>
      <c r="F10475" s="1" t="s">
        <v>15195</v>
      </c>
      <c r="G10475" s="1" t="s">
        <v>36</v>
      </c>
      <c r="H10475" s="1" t="s">
        <v>29</v>
      </c>
      <c r="I10475" s="1" t="str">
        <f ca="1">IFERROR(__xludf.DUMMYFUNCTION("GOOGLETRANSLATE(F10475, ""auto"", ""en"")
"),"I bought the stove a year ago for daily cooking. Not a single complaint, everything works great! The large burner heats up very quickly, the small one, of course, much more slowly. But overall I’m very pleased!")</f>
        <v>I bought the stove a year ago for daily cooking. Not a single complaint, everything works great! The large burner heats up very quickly, the small one, of course, much more slowly. But overall I’m very pleased!</v>
      </c>
    </row>
    <row r="10476" spans="1:9" x14ac:dyDescent="0.3">
      <c r="A10476" s="1" t="s">
        <v>89</v>
      </c>
      <c r="B10476" s="1" t="s">
        <v>90</v>
      </c>
      <c r="C10476" s="1" t="s">
        <v>185</v>
      </c>
      <c r="D10476" s="1" t="s">
        <v>203</v>
      </c>
      <c r="E10476" s="1" t="s">
        <v>323</v>
      </c>
      <c r="F10476" s="1" t="s">
        <v>15196</v>
      </c>
      <c r="G10476" s="1" t="s">
        <v>36</v>
      </c>
      <c r="H10476" s="1" t="s">
        <v>29</v>
      </c>
      <c r="I10476" s="1" t="str">
        <f ca="1">IFERROR(__xludf.DUMMYFUNCTION("GOOGLETRANSLATE(F10476, ""auto"", ""en"")
"),"Quiet and powerful + sleek design + 2 years manufacturer's warranty")</f>
        <v>Quiet and powerful + sleek design + 2 years manufacturer's warranty</v>
      </c>
    </row>
    <row r="10477" spans="1:9" x14ac:dyDescent="0.3">
      <c r="A10477" s="1" t="s">
        <v>169</v>
      </c>
      <c r="B10477" s="1" t="s">
        <v>170</v>
      </c>
      <c r="C10477" s="1" t="s">
        <v>69</v>
      </c>
      <c r="D10477" s="1" t="s">
        <v>139</v>
      </c>
      <c r="E10477" s="1" t="s">
        <v>4739</v>
      </c>
      <c r="F10477" s="1" t="s">
        <v>15197</v>
      </c>
      <c r="G10477" s="1" t="s">
        <v>36</v>
      </c>
      <c r="H10477" s="1" t="s">
        <v>29</v>
      </c>
      <c r="I10477" s="1" t="str">
        <f ca="1">IFERROR(__xludf.DUMMYFUNCTION("GOOGLETRANSLATE(F10477, ""auto"", ""en"")
"),"I’m not a big music lover, and if you’re not one either, then don’t worry about the choice, but feel free to buy. Comfortable, high-quality, sound-oh! For this money, it’s better not to buy, and they will give a head start to expensive models.")</f>
        <v>I’m not a big music lover, and if you’re not one either, then don’t worry about the choice, but feel free to buy. Comfortable, high-quality, sound-oh! For this money, it’s better not to buy, and they will give a head start to expensive models.</v>
      </c>
    </row>
    <row r="10478" spans="1:9" x14ac:dyDescent="0.3">
      <c r="A10478" s="1" t="s">
        <v>120</v>
      </c>
      <c r="B10478" s="1" t="s">
        <v>121</v>
      </c>
      <c r="C10478" s="1" t="s">
        <v>151</v>
      </c>
      <c r="D10478" s="1" t="s">
        <v>152</v>
      </c>
      <c r="E10478" s="1" t="s">
        <v>2565</v>
      </c>
      <c r="F10478" s="1" t="s">
        <v>15198</v>
      </c>
      <c r="G10478" s="1" t="s">
        <v>36</v>
      </c>
      <c r="H10478" s="1" t="s">
        <v>29</v>
      </c>
      <c r="I10478" s="1" t="str">
        <f ca="1">IFERROR(__xludf.DUMMYFUNCTION("GOOGLETRANSLATE(F10478, ""auto"", ""en"")
"),"Excellent TV: very good picture, has a USB input, excellent design. Overall a solid A!!!!!!")</f>
        <v>Excellent TV: very good picture, has a USB input, excellent design. Overall a solid A!!!!!!</v>
      </c>
    </row>
    <row r="10479" spans="1:9" x14ac:dyDescent="0.3">
      <c r="A10479" s="1" t="s">
        <v>624</v>
      </c>
      <c r="B10479" s="1" t="s">
        <v>2107</v>
      </c>
      <c r="C10479" s="1" t="s">
        <v>479</v>
      </c>
      <c r="D10479" s="1" t="s">
        <v>15199</v>
      </c>
      <c r="E10479" s="1" t="s">
        <v>1931</v>
      </c>
      <c r="F10479" s="1" t="s">
        <v>15200</v>
      </c>
      <c r="G10479" s="1" t="s">
        <v>36</v>
      </c>
      <c r="H10479" s="1" t="s">
        <v>29</v>
      </c>
      <c r="I10479" s="1" t="str">
        <f ca="1">IFERROR(__xludf.DUMMYFUNCTION("GOOGLETRANSLATE(F10479, ""auto"", ""en"")
"),"Finally found it!!! Rating 100,000 out of 10!!!")</f>
        <v>Finally found it!!! Rating 100,000 out of 10!!!</v>
      </c>
    </row>
    <row r="10480" spans="1:9" x14ac:dyDescent="0.3">
      <c r="A10480" s="1" t="s">
        <v>95</v>
      </c>
      <c r="B10480" s="1" t="s">
        <v>402</v>
      </c>
      <c r="C10480" s="1" t="s">
        <v>403</v>
      </c>
      <c r="D10480" s="1" t="s">
        <v>152</v>
      </c>
      <c r="E10480" s="1" t="s">
        <v>4245</v>
      </c>
      <c r="F10480" s="1" t="s">
        <v>15201</v>
      </c>
      <c r="G10480" s="1" t="s">
        <v>36</v>
      </c>
      <c r="H10480" s="1" t="s">
        <v>29</v>
      </c>
      <c r="I10480" s="1" t="str">
        <f ca="1">IFERROR(__xludf.DUMMYFUNCTION("GOOGLETRANSLATE(F10480, ""auto"", ""en"")
"),"Great console! I bought it for a girl on the weekend to have fun on the subway and I got hooked on it myself :) we’ll be back soon for just one more black one) Great games, there are a great many games, I think more than 10,000 games have been released an"&amp;"d are still being released. Two screens + touch screen - a revolution in the gaming industry. Wi-Fi on board (although not immediately noticeable). Holds a charge for a long time. If you read the Internet, you can easily force yourself to read music, film"&amp;"s, and books. Surfing the Internet is also supported as a building. Nintendo and alternative methods. So far I have found only two disadvantages - the sound volume is rather weak, but the stereo is generally of high quality (if you want it louder, then go"&amp;" ahead with headphones) and when connecting via Wi-Fi, only WEP encryption is supported - I had to reconfigure the router.  Compared to PSP, Nintendo is better for me. PSP Go didn't make me happy at all.  Mvideo thank you for the very attractive price for"&amp;" the console, if only there were more accessories for sale for it.    P.S. Give it a little promotion and sales will also be high, just like in Japan and Europe.")</f>
        <v>Great console! I bought it for a girl on the weekend to have fun on the subway and I got hooked on it myself :) we’ll be back soon for just one more black one) Great games, there are a great many games, I think more than 10,000 games have been released and are still being released. Two screens + touch screen - a revolution in the gaming industry. Wi-Fi on board (although not immediately noticeable). Holds a charge for a long time. If you read the Internet, you can easily force yourself to read music, films, and books. Surfing the Internet is also supported as a building. Nintendo and alternative methods. So far I have found only two disadvantages - the sound volume is rather weak, but the stereo is generally of high quality (if you want it louder, then go ahead with headphones) and when connecting via Wi-Fi, only WEP encryption is supported - I had to reconfigure the router.  Compared to PSP, Nintendo is better for me. PSP Go didn't make me happy at all.  Mvideo thank you for the very attractive price for the console, if only there were more accessories for sale for it.    P.S. Give it a little promotion and sales will also be high, just like in Japan and Europe.</v>
      </c>
    </row>
    <row r="10481" spans="1:9" x14ac:dyDescent="0.3">
      <c r="A10481" s="1" t="s">
        <v>206</v>
      </c>
      <c r="B10481" s="1" t="s">
        <v>207</v>
      </c>
      <c r="C10481" s="1" t="s">
        <v>152</v>
      </c>
      <c r="D10481" s="1" t="s">
        <v>3993</v>
      </c>
      <c r="E10481" s="1" t="s">
        <v>1432</v>
      </c>
      <c r="F10481" s="1" t="s">
        <v>15202</v>
      </c>
      <c r="G10481" s="1" t="s">
        <v>28</v>
      </c>
      <c r="H10481" s="1" t="s">
        <v>29</v>
      </c>
      <c r="I10481" s="1" t="str">
        <f ca="1">IFERROR(__xludf.DUMMYFUNCTION("GOOGLETRANSLATE(F10481, ""auto"", ""en"")
"),"The amplifier is normal for speakers, a good built-in crossover, a lot of settings. But it won’t work for a subwoofer, look for something more powerful!")</f>
        <v>The amplifier is normal for speakers, a good built-in crossover, a lot of settings. But it won’t work for a subwoofer, look for something more powerful!</v>
      </c>
    </row>
    <row r="10482" spans="1:9" x14ac:dyDescent="0.3">
      <c r="A10482" s="1" t="s">
        <v>37</v>
      </c>
      <c r="B10482" s="1" t="s">
        <v>38</v>
      </c>
      <c r="C10482" s="1" t="s">
        <v>163</v>
      </c>
      <c r="D10482" s="1" t="s">
        <v>15203</v>
      </c>
      <c r="E10482" s="1" t="s">
        <v>969</v>
      </c>
      <c r="F10482" s="1" t="s">
        <v>15204</v>
      </c>
      <c r="G10482" s="1" t="s">
        <v>28</v>
      </c>
      <c r="H10482" s="1" t="s">
        <v>29</v>
      </c>
      <c r="I10482" s="1" t="str">
        <f ca="1">IFERROR(__xludf.DUMMYFUNCTION("GOOGLETRANSLATE(F10482, ""auto"", ""en"")
"),"I bought it 2 years ago. As for the fact that the phone is easily soiled, that is what it is. BUT! Personally, I don’t have any glitches, the charge lasts 3-4 days stably, despite the fact that I listen to music every day, use the Internet, etc.  My siste"&amp;"r has the same phone and it works great.  Conclusion: If you need a multifunctional, reliable phone, this is your model.")</f>
        <v>I bought it 2 years ago. As for the fact that the phone is easily soiled, that is what it is. BUT! Personally, I don’t have any glitches, the charge lasts 3-4 days stably, despite the fact that I listen to music every day, use the Internet, etc.  My sister has the same phone and it works great.  Conclusion: If you need a multifunctional, reliable phone, this is your model.</v>
      </c>
    </row>
    <row r="10483" spans="1:9" x14ac:dyDescent="0.3">
      <c r="A10483" s="1" t="s">
        <v>61</v>
      </c>
      <c r="B10483" s="1" t="s">
        <v>977</v>
      </c>
      <c r="C10483" s="1" t="s">
        <v>85</v>
      </c>
      <c r="D10483" s="1" t="s">
        <v>64</v>
      </c>
      <c r="E10483" s="1" t="s">
        <v>1617</v>
      </c>
      <c r="F10483" s="1" t="s">
        <v>15205</v>
      </c>
      <c r="G10483" s="1" t="s">
        <v>36</v>
      </c>
      <c r="H10483" s="1" t="s">
        <v>29</v>
      </c>
      <c r="I10483" s="1" t="str">
        <f ca="1">IFERROR(__xludf.DUMMYFUNCTION("GOOGLETRANSLATE(F10483, ""auto"", ""en"")
"),"powerful engine, five speeds, reliable design")</f>
        <v>powerful engine, five speeds, reliable design</v>
      </c>
    </row>
    <row r="10484" spans="1:9" x14ac:dyDescent="0.3">
      <c r="A10484" s="1" t="s">
        <v>211</v>
      </c>
      <c r="B10484" s="1" t="s">
        <v>265</v>
      </c>
      <c r="C10484" s="1" t="s">
        <v>1591</v>
      </c>
      <c r="D10484" s="1" t="s">
        <v>4354</v>
      </c>
      <c r="E10484" s="1" t="s">
        <v>1231</v>
      </c>
      <c r="F10484" s="1" t="s">
        <v>15206</v>
      </c>
      <c r="G10484" s="1" t="s">
        <v>36</v>
      </c>
      <c r="H10484" s="1" t="s">
        <v>29</v>
      </c>
      <c r="I10484" s="1" t="str">
        <f ca="1">IFERROR(__xludf.DUMMYFUNCTION("GOOGLETRANSLATE(F10484, ""auto"", ""en"")
"),"Last year I was given such a hair clipper. I haven’t gone to the hairdresser since then, I manage just fine on my own. If you show your imagination, you can get interesting haircut options by setting the hair length. The blades sharpen themselves and can "&amp;"be washed under water. I'm happy with the device.")</f>
        <v>Last year I was given such a hair clipper. I haven’t gone to the hairdresser since then, I manage just fine on my own. If you show your imagination, you can get interesting haircut options by setting the hair length. The blades sharpen themselves and can be washed under water. I'm happy with the device.</v>
      </c>
    </row>
    <row r="10485" spans="1:9" x14ac:dyDescent="0.3">
      <c r="A10485" s="1" t="s">
        <v>965</v>
      </c>
      <c r="B10485" s="1" t="s">
        <v>966</v>
      </c>
      <c r="C10485" s="1" t="s">
        <v>967</v>
      </c>
      <c r="D10485" s="1" t="s">
        <v>1431</v>
      </c>
      <c r="E10485" s="1" t="s">
        <v>4760</v>
      </c>
      <c r="F10485" s="1" t="s">
        <v>15207</v>
      </c>
      <c r="G10485" s="1" t="s">
        <v>94</v>
      </c>
      <c r="H10485" s="1" t="s">
        <v>29</v>
      </c>
      <c r="I10485" s="1" t="str">
        <f ca="1">IFERROR(__xludf.DUMMYFUNCTION("GOOGLETRANSLATE(F10485, ""auto"", ""en"")
"),"After 2 years, a crackling sound appeared when adjusting the volume. everything else has been great for 3 years now")</f>
        <v>After 2 years, a crackling sound appeared when adjusting the volume. everything else has been great for 3 years now</v>
      </c>
    </row>
    <row r="10486" spans="1:9" x14ac:dyDescent="0.3">
      <c r="A10486" s="1" t="s">
        <v>61</v>
      </c>
      <c r="B10486" s="1" t="s">
        <v>318</v>
      </c>
      <c r="C10486" s="1" t="s">
        <v>4871</v>
      </c>
      <c r="D10486" s="1" t="s">
        <v>335</v>
      </c>
      <c r="E10486" s="1" t="s">
        <v>1786</v>
      </c>
      <c r="F10486" s="1" t="s">
        <v>15208</v>
      </c>
      <c r="G10486" s="1" t="s">
        <v>36</v>
      </c>
      <c r="H10486" s="1" t="s">
        <v>29</v>
      </c>
      <c r="I10486" s="1" t="str">
        <f ca="1">IFERROR(__xludf.DUMMYFUNCTION("GOOGLETRANSLATE(F10486, ""auto"", ""en"")
"),"I have been using this model for 3 years now. This device is clearly of high quality and well made. It works like a charm and there are no complaints about it. I recommend!")</f>
        <v>I have been using this model for 3 years now. This device is clearly of high quality and well made. It works like a charm and there are no complaints about it. I recommend!</v>
      </c>
    </row>
    <row r="10487" spans="1:9" x14ac:dyDescent="0.3">
      <c r="A10487" s="1" t="s">
        <v>30</v>
      </c>
      <c r="B10487" s="1" t="s">
        <v>50</v>
      </c>
      <c r="C10487" s="1" t="s">
        <v>1003</v>
      </c>
      <c r="D10487" s="1" t="s">
        <v>102</v>
      </c>
      <c r="E10487" s="1" t="s">
        <v>1273</v>
      </c>
      <c r="F10487" s="1" t="s">
        <v>15209</v>
      </c>
      <c r="G10487" s="1" t="s">
        <v>36</v>
      </c>
      <c r="H10487" s="1" t="s">
        <v>29</v>
      </c>
      <c r="I10487" s="1" t="str">
        <f ca="1">IFERROR(__xludf.DUMMYFUNCTION("GOOGLETRANSLATE(F10487, ""auto"", ""en"")
"),"I bought it a few days ago, the flight is excellent, no problems arose. Alexandru (Yoshkar-Ola), I want to say that this laptop has two video cards, one works when the mains power is on (4330) and when running on battery power (3200) and don’t give a damn"&amp;" to the M-video sellers (figure it out for yourself first), by the way, this is also related to the aggressive switching of operating modes, which is actually a very convenient and well-thought-out function. The hard drive here is 7200 rpm, which is proba"&amp;"bly why Ruslan thought it was noisy, although I don’t have any problems with it. It’s not clear why you need to install XP if there is a premium “seven” here, which works quite quickly. Regarding how dirty it is, for the life of me I can’t find a single p"&amp;"rint on it, so I think the model is well suited for use on the road. Excellent battery capacity for this size: online TV mode is 3.5 hours, this is with Wi-Fi turned on, and just a movie is 4.5 hours, reading mode is about 7 hours. An excellent display, a"&amp;"lthough the viewing angles are not the greatest, but two or three people can watch it. The keyboard is very pleasant to the touch, the keys are large. Among the disadvantages, the battery does not sit very tightly in its socket (the gap is about 1mm) and "&amp;"moves when the position of the laptop changes. Although the case itself is very rigid and well assembled.")</f>
        <v>I bought it a few days ago, the flight is excellent, no problems arose. Alexandru (Yoshkar-Ola), I want to say that this laptop has two video cards, one works when the mains power is on (4330) and when running on battery power (3200) and don’t give a damn to the M-video sellers (figure it out for yourself first), by the way, this is also related to the aggressive switching of operating modes, which is actually a very convenient and well-thought-out function. The hard drive here is 7200 rpm, which is probably why Ruslan thought it was noisy, although I don’t have any problems with it. It’s not clear why you need to install XP if there is a premium “seven” here, which works quite quickly. Regarding how dirty it is, for the life of me I can’t find a single print on it, so I think the model is well suited for use on the road. Excellent battery capacity for this size: online TV mode is 3.5 hours, this is with Wi-Fi turned on, and just a movie is 4.5 hours, reading mode is about 7 hours. An excellent display, although the viewing angles are not the greatest, but two or three people can watch it. The keyboard is very pleasant to the touch, the keys are large. Among the disadvantages, the battery does not sit very tightly in its socket (the gap is about 1mm) and moves when the position of the laptop changes. Although the case itself is very rigid and well assembled.</v>
      </c>
    </row>
    <row r="10488" spans="1:9" x14ac:dyDescent="0.3">
      <c r="A10488" s="1" t="s">
        <v>211</v>
      </c>
      <c r="B10488" s="1" t="s">
        <v>212</v>
      </c>
      <c r="C10488" s="1" t="s">
        <v>381</v>
      </c>
      <c r="D10488" s="1" t="s">
        <v>247</v>
      </c>
      <c r="E10488" s="1" t="s">
        <v>6526</v>
      </c>
      <c r="F10488" s="1" t="s">
        <v>15210</v>
      </c>
      <c r="G10488" s="1" t="s">
        <v>36</v>
      </c>
      <c r="H10488" s="1" t="s">
        <v>29</v>
      </c>
      <c r="I10488" s="1" t="str">
        <f ca="1">IFERROR(__xludf.DUMMYFUNCTION("GOOGLETRANSLATE(F10488, ""auto"", ""en"")
"),"I really liked the hairdryer, 2 operating modes + cold air supply. There is enough power even with a minimum air supply, it does not dry out the hair, does not get hot and does not turn off, I advise you to buy)")</f>
        <v>I really liked the hairdryer, 2 operating modes + cold air supply. There is enough power even with a minimum air supply, it does not dry out the hair, does not get hot and does not turn off, I advise you to buy)</v>
      </c>
    </row>
    <row r="10489" spans="1:9" x14ac:dyDescent="0.3">
      <c r="A10489" s="1" t="s">
        <v>61</v>
      </c>
      <c r="B10489" s="1" t="s">
        <v>180</v>
      </c>
      <c r="C10489" s="1" t="s">
        <v>57</v>
      </c>
      <c r="D10489" s="1" t="s">
        <v>13305</v>
      </c>
      <c r="E10489" s="1" t="s">
        <v>4315</v>
      </c>
      <c r="F10489" s="1" t="s">
        <v>15211</v>
      </c>
      <c r="G10489" s="1" t="s">
        <v>28</v>
      </c>
      <c r="H10489" s="1" t="s">
        <v>29</v>
      </c>
      <c r="I10489" s="1" t="str">
        <f ca="1">IFERROR(__xludf.DUMMYFUNCTION("GOOGLETRANSLATE(F10489, ""auto"", ""en"")
"),"The appearance is beautiful, and the size is slightly smaller than its counterparts, but the bread does not fry evenly, you have to do it in two stages - turn the toast, rating 3 for this.")</f>
        <v>The appearance is beautiful, and the size is slightly smaller than its counterparts, but the bread does not fry evenly, you have to do it in two stages - turn the toast, rating 3 for this.</v>
      </c>
    </row>
    <row r="10490" spans="1:9" x14ac:dyDescent="0.3">
      <c r="A10490" s="1" t="s">
        <v>211</v>
      </c>
      <c r="B10490" s="1" t="s">
        <v>515</v>
      </c>
      <c r="C10490" s="1" t="s">
        <v>69</v>
      </c>
      <c r="D10490" s="1" t="s">
        <v>15212</v>
      </c>
      <c r="E10490" s="1" t="s">
        <v>320</v>
      </c>
      <c r="F10490" s="1" t="s">
        <v>15213</v>
      </c>
      <c r="G10490" s="1" t="s">
        <v>36</v>
      </c>
      <c r="H10490" s="1" t="s">
        <v>29</v>
      </c>
      <c r="I10490" s="1" t="str">
        <f ca="1">IFERROR(__xludf.DUMMYFUNCTION("GOOGLETRANSLATE(F10490, ""auto"", ""en"")
"),"Good epilator. I have already used an epilator of this brand, only an earlier model, but this one is much better, it removes hairs quite well. The device is wonderful!")</f>
        <v>Good epilator. I have already used an epilator of this brand, only an earlier model, but this one is much better, it removes hairs quite well. The device is wonderful!</v>
      </c>
    </row>
    <row r="10491" spans="1:9" x14ac:dyDescent="0.3">
      <c r="A10491" s="1" t="s">
        <v>211</v>
      </c>
      <c r="B10491" s="1" t="s">
        <v>856</v>
      </c>
      <c r="C10491" s="1" t="s">
        <v>57</v>
      </c>
      <c r="D10491" s="1" t="s">
        <v>896</v>
      </c>
      <c r="E10491" s="1" t="s">
        <v>1943</v>
      </c>
      <c r="F10491" s="1" t="s">
        <v>15214</v>
      </c>
      <c r="G10491" s="1" t="s">
        <v>28</v>
      </c>
      <c r="H10491" s="1" t="s">
        <v>29</v>
      </c>
      <c r="I10491" s="1" t="str">
        <f ca="1">IFERROR(__xludf.DUMMYFUNCTION("GOOGLETRANSLATE(F10491, ""auto"", ""en"")
"),"normal")</f>
        <v>normal</v>
      </c>
    </row>
    <row r="10492" spans="1:9" x14ac:dyDescent="0.3">
      <c r="A10492" s="1" t="s">
        <v>55</v>
      </c>
      <c r="B10492" s="1" t="s">
        <v>752</v>
      </c>
      <c r="C10492" s="1" t="s">
        <v>185</v>
      </c>
      <c r="D10492" s="1" t="s">
        <v>152</v>
      </c>
      <c r="E10492" s="1" t="s">
        <v>5299</v>
      </c>
      <c r="F10492" s="1" t="s">
        <v>15215</v>
      </c>
      <c r="G10492" s="1" t="s">
        <v>36</v>
      </c>
      <c r="H10492" s="1" t="s">
        <v>29</v>
      </c>
      <c r="I10492" s="1" t="str">
        <f ca="1">IFERROR(__xludf.DUMMYFUNCTION("GOOGLETRANSLATE(F10492, ""auto"", ""en"")
"),"An excellent heater, it heats a room 5*4 from 22 to 30 degrees in 30-45 minutes, it turns on and off quite quietly, the ability to adjust the temperature, three operating modes 1,2,3, in mode 3 it fires a lot, during the night on the meter in the 2nd posi"&amp;"tion and the thermostat position about half, 10.5 kW/h of electricity was consumed. energy, outside the window 10 degrees, at home 28 (there is a small child in the house) When I bought it, I read the reviews here, the manager turned out to be stupid, he "&amp;"suggested buying another less powerful one, he didn’t listen to him and bought this one, the most important advantage is that the air does not dry out, you wake up in the morning and your mouth does not dry out! I recommend it to everyone with small child"&amp;"ren and cold feet!")</f>
        <v>An excellent heater, it heats a room 5*4 from 22 to 30 degrees in 30-45 minutes, it turns on and off quite quietly, the ability to adjust the temperature, three operating modes 1,2,3, in mode 3 it fires a lot, during the night on the meter in the 2nd position and the thermostat position about half, 10.5 kW/h of electricity was consumed. energy, outside the window 10 degrees, at home 28 (there is a small child in the house) When I bought it, I read the reviews here, the manager turned out to be stupid, he suggested buying another less powerful one, he didn’t listen to him and bought this one, the most important advantage is that the air does not dry out, you wake up in the morning and your mouth does not dry out! I recommend it to everyone with small children and cold feet!</v>
      </c>
    </row>
    <row r="10493" spans="1:9" x14ac:dyDescent="0.3">
      <c r="A10493" s="1" t="s">
        <v>37</v>
      </c>
      <c r="B10493" s="1" t="s">
        <v>536</v>
      </c>
      <c r="C10493" s="1" t="s">
        <v>189</v>
      </c>
      <c r="D10493" s="1" t="s">
        <v>127</v>
      </c>
      <c r="E10493" s="1" t="s">
        <v>393</v>
      </c>
      <c r="F10493" s="1" t="s">
        <v>15216</v>
      </c>
      <c r="G10493" s="1" t="s">
        <v>36</v>
      </c>
      <c r="H10493" s="1" t="s">
        <v>29</v>
      </c>
      <c r="I10493" s="1" t="str">
        <f ca="1">IFERROR(__xludf.DUMMYFUNCTION("GOOGLETRANSLATE(F10493, ""auto"", ""en"")
"),"Excellent device. I actively use it both as a navigator and as a phone. And also as a repository of information. The camera is normal, the processor is quite fast. Everything suited me.")</f>
        <v>Excellent device. I actively use it both as a navigator and as a phone. And also as a repository of information. The camera is normal, the processor is quite fast. Everything suited me.</v>
      </c>
    </row>
    <row r="10494" spans="1:9" x14ac:dyDescent="0.3">
      <c r="A10494" s="1" t="s">
        <v>624</v>
      </c>
      <c r="B10494" s="1" t="s">
        <v>625</v>
      </c>
      <c r="C10494" s="1" t="s">
        <v>479</v>
      </c>
      <c r="D10494" s="1" t="s">
        <v>232</v>
      </c>
      <c r="E10494" s="1" t="s">
        <v>2684</v>
      </c>
      <c r="F10494" s="1" t="s">
        <v>15217</v>
      </c>
      <c r="G10494" s="1" t="s">
        <v>36</v>
      </c>
      <c r="H10494" s="1" t="s">
        <v>29</v>
      </c>
      <c r="I10494" s="1" t="str">
        <f ca="1">IFERROR(__xludf.DUMMYFUNCTION("GOOGLETRANSLATE(F10494, ""auto"", ""en"")
"),"This is a must have for every PS3 owner!")</f>
        <v>This is a must have for every PS3 owner!</v>
      </c>
    </row>
    <row r="10495" spans="1:9" x14ac:dyDescent="0.3">
      <c r="A10495" s="1" t="s">
        <v>17</v>
      </c>
      <c r="B10495" s="1" t="s">
        <v>18</v>
      </c>
      <c r="C10495" s="1" t="s">
        <v>159</v>
      </c>
      <c r="D10495" s="1" t="s">
        <v>335</v>
      </c>
      <c r="E10495" s="1" t="s">
        <v>1875</v>
      </c>
      <c r="F10495" s="1" t="s">
        <v>15218</v>
      </c>
      <c r="G10495" s="1" t="s">
        <v>36</v>
      </c>
      <c r="H10495" s="1" t="s">
        <v>29</v>
      </c>
      <c r="I10495" s="1" t="str">
        <f ca="1">IFERROR(__xludf.DUMMYFUNCTION("GOOGLETRANSLATE(F10495, ""auto"", ""en"")
"),"Bought. They did. Turned it on. I couldn't be happier!!! Almost silent. When spinning, it vibrates barely noticeably. Ideal for a small bathroom. We are very glad that we took the Electrolux EWS 10400W!!!")</f>
        <v>Bought. They did. Turned it on. I couldn't be happier!!! Almost silent. When spinning, it vibrates barely noticeably. Ideal for a small bathroom. We are very glad that we took the Electrolux EWS 10400W!!!</v>
      </c>
    </row>
    <row r="10496" spans="1:9" x14ac:dyDescent="0.3">
      <c r="A10496" s="1" t="s">
        <v>89</v>
      </c>
      <c r="B10496" s="1" t="s">
        <v>1106</v>
      </c>
      <c r="C10496" s="1" t="s">
        <v>74</v>
      </c>
      <c r="D10496" s="1" t="s">
        <v>1506</v>
      </c>
      <c r="E10496" s="1" t="s">
        <v>12309</v>
      </c>
      <c r="F10496" s="1" t="s">
        <v>15219</v>
      </c>
      <c r="G10496" s="1" t="s">
        <v>49</v>
      </c>
      <c r="H10496" s="1" t="s">
        <v>16</v>
      </c>
      <c r="I10496" s="1" t="str">
        <f ca="1">IFERROR(__xludf.DUMMYFUNCTION("GOOGLETRANSLATE(F10496, ""auto"", ""en"")
"),"We bought it, tried it out, and are going to take it tomorrow :)))!!! The lid does not close, the water level indicator is leaking! In general, I do not recommend it to anyone!!!")</f>
        <v>We bought it, tried it out, and are going to take it tomorrow :)))!!! The lid does not close, the water level indicator is leaking! In general, I do not recommend it to anyone!!!</v>
      </c>
    </row>
    <row r="10497" spans="1:9" x14ac:dyDescent="0.3">
      <c r="A10497" s="1" t="s">
        <v>37</v>
      </c>
      <c r="B10497" s="1" t="s">
        <v>38</v>
      </c>
      <c r="C10497" s="1" t="s">
        <v>69</v>
      </c>
      <c r="D10497" s="1" t="s">
        <v>15098</v>
      </c>
      <c r="E10497" s="1" t="s">
        <v>971</v>
      </c>
      <c r="F10497" s="1" t="s">
        <v>15220</v>
      </c>
      <c r="G10497" s="1" t="s">
        <v>49</v>
      </c>
      <c r="H10497" s="1" t="s">
        <v>16</v>
      </c>
      <c r="I10497" s="1" t="str">
        <f ca="1">IFERROR(__xludf.DUMMYFUNCTION("GOOGLETRANSLATE(F10497, ""auto"", ""en"")
"),"In all respects the device is not bad, but the main function (communication) is very weak. As time has shown, I bought it in December 2009, none of the Philips were going to fix anything. No new firmware has been released, the services are littered with a"&amp;"ll kinds of ""FILOGLUCKS"". I’m sitting here thinking about who to sell it to. I bought a Samsung Cube Gold a long time ago, but it’s more expensive, but it’s a song! For the second time in my life I step on Philips and for the second time I regret it. By"&amp;" the way, the device has been discontinued from sale in many stores, and it also seems to have been discontinued from production. Goodbye 8000r!")</f>
        <v>In all respects the device is not bad, but the main function (communication) is very weak. As time has shown, I bought it in December 2009, none of the Philips were going to fix anything. No new firmware has been released, the services are littered with all kinds of "FILOGLUCKS". I’m sitting here thinking about who to sell it to. I bought a Samsung Cube Gold a long time ago, but it’s more expensive, but it’s a song! For the second time in my life I step on Philips and for the second time I regret it. By the way, the device has been discontinued from sale in many stores, and it also seems to have been discontinued from production. Goodbye 8000r!</v>
      </c>
    </row>
    <row r="10498" spans="1:9" x14ac:dyDescent="0.3">
      <c r="A10498" s="1" t="s">
        <v>17</v>
      </c>
      <c r="B10498" s="1" t="s">
        <v>18</v>
      </c>
      <c r="C10498" s="1" t="s">
        <v>290</v>
      </c>
      <c r="D10498" s="1" t="s">
        <v>545</v>
      </c>
      <c r="E10498" s="1" t="s">
        <v>8735</v>
      </c>
      <c r="F10498" s="1" t="s">
        <v>15221</v>
      </c>
      <c r="G10498" s="1" t="s">
        <v>28</v>
      </c>
      <c r="H10498" s="1" t="s">
        <v>29</v>
      </c>
      <c r="I10498" s="1" t="str">
        <f ca="1">IFERROR(__xludf.DUMMYFUNCTION("GOOGLETRANSLATE(F10498, ""auto"", ""en"")
"),"Bought 3 months. back, in principle, satisfied. The pump is indeed a little noisy (compared to Bosch), but the price of the machine is much lower. The large loading hatch is very convenient. And my “Economy” program is also well written. :-) The only thin"&amp;"g that makes me uncomfortable is the lack of a flap in the powder compartment. The instructions indicate that for liquid products you need to lower the damper so that it does not leak out before starting the wash, but I did not have it. You have to pour l"&amp;"iquid media directly into the drum. It may not be provided for in model 40109, but I found this “minus”. But overall, relative to the price, it’s a very good option.")</f>
        <v>Bought 3 months. back, in principle, satisfied. The pump is indeed a little noisy (compared to Bosch), but the price of the machine is much lower. The large loading hatch is very convenient. And my “Economy” program is also well written. :-) The only thing that makes me uncomfortable is the lack of a flap in the powder compartment. The instructions indicate that for liquid products you need to lower the damper so that it does not leak out before starting the wash, but I did not have it. You have to pour liquid media directly into the drum. It may not be provided for in model 40109, but I found this “minus”. But overall, relative to the price, it’s a very good option.</v>
      </c>
    </row>
    <row r="10499" spans="1:9" x14ac:dyDescent="0.3">
      <c r="A10499" s="1" t="s">
        <v>120</v>
      </c>
      <c r="B10499" s="1" t="s">
        <v>126</v>
      </c>
      <c r="C10499" s="1" t="s">
        <v>122</v>
      </c>
      <c r="D10499" s="1" t="s">
        <v>1776</v>
      </c>
      <c r="E10499" s="1" t="s">
        <v>41</v>
      </c>
      <c r="F10499" s="1" t="s">
        <v>15222</v>
      </c>
      <c r="G10499" s="1" t="s">
        <v>36</v>
      </c>
      <c r="H10499" s="1" t="s">
        <v>29</v>
      </c>
      <c r="I10499" s="1" t="str">
        <f ca="1">IFERROR(__xludf.DUMMYFUNCTION("GOOGLETRANSLATE(F10499, ""auto"", ""en"")
"),"To Sergei (Samara): this is normal. It takes 2-3 seconds for the software (a type of Linux) of the TV to shut down correctly, then the relay de-energizes the main units. You hear the last click.")</f>
        <v>To Sergei (Samara): this is normal. It takes 2-3 seconds for the software (a type of Linux) of the TV to shut down correctly, then the relay de-energizes the main units. You hear the last click.</v>
      </c>
    </row>
    <row r="10500" spans="1:9" x14ac:dyDescent="0.3">
      <c r="A10500" s="1" t="s">
        <v>61</v>
      </c>
      <c r="B10500" s="1" t="s">
        <v>1126</v>
      </c>
      <c r="C10500" s="1" t="s">
        <v>246</v>
      </c>
      <c r="D10500" s="1" t="s">
        <v>15223</v>
      </c>
      <c r="E10500" s="1" t="s">
        <v>225</v>
      </c>
      <c r="F10500" s="1" t="s">
        <v>15224</v>
      </c>
      <c r="G10500" s="1" t="s">
        <v>15</v>
      </c>
      <c r="H10500" s="1" t="s">
        <v>16</v>
      </c>
      <c r="I10500" s="1" t="str">
        <f ca="1">IFERROR(__xludf.DUMMYFUNCTION("GOOGLETRANSLATE(F10500, ""auto"", ""en"")
"),"Advantages - 1. Beautiful design (3 multi-colored light bulbs) Disadvantages - 1. Slow - if you add something to the existing volume, then a second or two passes between the actual addition and the display of digital values ​​on the screen. The result - i"&amp;"f you make a mistake, you have to pour it back 2. The volume is measured in incomprehensible quantities. By experimental method it was found that 1000 g of water was equal to 100 CL or 10.0 dl. I couldn’t find out what this means, because: 3. There are no"&amp;" instructions in Russian.    Conclusion - the scales are edge but uncomfortable. Rating 2 plus")</f>
        <v>Advantages - 1. Beautiful design (3 multi-colored light bulbs) Disadvantages - 1. Slow - if you add something to the existing volume, then a second or two passes between the actual addition and the display of digital values ​​on the screen. The result - if you make a mistake, you have to pour it back 2. The volume is measured in incomprehensible quantities. By experimental method it was found that 1000 g of water was equal to 100 CL or 10.0 dl. I couldn’t find out what this means, because: 3. There are no instructions in Russian.    Conclusion - the scales are edge but uncomfortable. Rating 2 plus</v>
      </c>
    </row>
    <row r="10501" spans="1:9" x14ac:dyDescent="0.3">
      <c r="A10501" s="1" t="s">
        <v>211</v>
      </c>
      <c r="B10501" s="1" t="s">
        <v>410</v>
      </c>
      <c r="C10501" s="1" t="s">
        <v>69</v>
      </c>
      <c r="D10501" s="1" t="s">
        <v>152</v>
      </c>
      <c r="E10501" s="1" t="s">
        <v>708</v>
      </c>
      <c r="F10501" s="1" t="s">
        <v>15225</v>
      </c>
      <c r="G10501" s="1" t="s">
        <v>28</v>
      </c>
      <c r="H10501" s="1" t="s">
        <v>29</v>
      </c>
      <c r="I10501" s="1" t="str">
        <f ca="1">IFERROR(__xludf.DUMMYFUNCTION("GOOGLETRANSLATE(F10501, ""auto"", ""en"")
"),"My father bought one for himself. It shaves well, but quite often there is severe irritation.")</f>
        <v>My father bought one for himself. It shaves well, but quite often there is severe irritation.</v>
      </c>
    </row>
    <row r="10502" spans="1:9" x14ac:dyDescent="0.3">
      <c r="A10502" s="1" t="s">
        <v>89</v>
      </c>
      <c r="B10502" s="1" t="s">
        <v>90</v>
      </c>
      <c r="C10502" s="1" t="s">
        <v>101</v>
      </c>
      <c r="D10502" s="1" t="s">
        <v>308</v>
      </c>
      <c r="E10502" s="1" t="s">
        <v>15226</v>
      </c>
      <c r="F10502" s="1" t="s">
        <v>15227</v>
      </c>
      <c r="G10502" s="1" t="s">
        <v>36</v>
      </c>
      <c r="H10502" s="1" t="s">
        <v>29</v>
      </c>
      <c r="I10502" s="1" t="str">
        <f ca="1">IFERROR(__xludf.DUMMYFUNCTION("GOOGLETRANSLATE(F10502, ""auto"", ""en"")
"),"I have been using it every day for almost 1 year and am quite satisfied.   The lid is partially transparent, so in principle the degree of grinding is visible, this is important because our family has different preferences regarding the size of the coffee"&amp;" beans: my husband prefers coarser, I prefer finer.    The grinding cup can be easily cleaned with a brush, although it was not included in the kit, but it was easy to find a suitable one at home.   What’s also great is that the electrical cord can be wou"&amp;"nd into the bottom of the coffee grinder, so it won’t take up much space on the kitchen counter.   It grinds coffee beans perfectly, and for some time, for a very long time, I ground buckwheat and rice for my son’s porridge in it - also the result is exce"&amp;"llent.   To be honest, I wasn’t sure that it would withstand such a load, but no, I still have no complaints about the coffee grinder, although I would like to buy something new, but it’s a pity to part with such an absolutely wonderful assistant.")</f>
        <v>I have been using it every day for almost 1 year and am quite satisfied.   The lid is partially transparent, so in principle the degree of grinding is visible, this is important because our family has different preferences regarding the size of the coffee beans: my husband prefers coarser, I prefer finer.    The grinding cup can be easily cleaned with a brush, although it was not included in the kit, but it was easy to find a suitable one at home.   What’s also great is that the electrical cord can be wound into the bottom of the coffee grinder, so it won’t take up much space on the kitchen counter.   It grinds coffee beans perfectly, and for some time, for a very long time, I ground buckwheat and rice for my son’s porridge in it - also the result is excellent.   To be honest, I wasn’t sure that it would withstand such a load, but no, I still have no complaints about the coffee grinder, although I would like to buy something new, but it’s a pity to part with such an absolutely wonderful assistant.</v>
      </c>
    </row>
    <row r="10503" spans="1:9" x14ac:dyDescent="0.3">
      <c r="A10503" s="1" t="s">
        <v>149</v>
      </c>
      <c r="B10503" s="1" t="s">
        <v>155</v>
      </c>
      <c r="C10503" s="1" t="s">
        <v>185</v>
      </c>
      <c r="D10503" s="1" t="s">
        <v>102</v>
      </c>
      <c r="E10503" s="1" t="s">
        <v>3999</v>
      </c>
      <c r="F10503" s="1" t="s">
        <v>15228</v>
      </c>
      <c r="G10503" s="1" t="s">
        <v>36</v>
      </c>
      <c r="H10503" s="1" t="s">
        <v>29</v>
      </c>
      <c r="I10503" s="1" t="str">
        <f ca="1">IFERROR(__xludf.DUMMYFUNCTION("GOOGLETRANSLATE(F10503, ""auto"", ""en"")
"),"We have been using this vacuum cleaner for about 1.5 months.  I am completely satisfied, it collects dust and specks perfectly. By the way, the filter hasn't been changed yet. The handle is ergonomic and really comfortable to hold. Quite a good vacuum cle"&amp;"aner!")</f>
        <v>We have been using this vacuum cleaner for about 1.5 months.  I am completely satisfied, it collects dust and specks perfectly. By the way, the filter hasn't been changed yet. The handle is ergonomic and really comfortable to hold. Quite a good vacuum cleaner!</v>
      </c>
    </row>
    <row r="10504" spans="1:9" x14ac:dyDescent="0.3">
      <c r="A10504" s="1" t="s">
        <v>206</v>
      </c>
      <c r="B10504" s="1" t="s">
        <v>261</v>
      </c>
      <c r="C10504" s="1" t="s">
        <v>45</v>
      </c>
      <c r="D10504" s="1" t="s">
        <v>208</v>
      </c>
      <c r="E10504" s="1" t="s">
        <v>14001</v>
      </c>
      <c r="F10504" s="1" t="s">
        <v>15229</v>
      </c>
      <c r="G10504" s="1" t="s">
        <v>49</v>
      </c>
      <c r="H10504" s="1" t="s">
        <v>16</v>
      </c>
      <c r="I10504" s="1" t="str">
        <f ca="1">IFERROR(__xludf.DUMMYFUNCTION("GOOGLETRANSLATE(F10504, ""auto"", ""en"")
"),"I bought the device. At first I was wildly happy about the song switch for the steering wheel, but that’s where my joy ended. It started playing music in terrible quality with a squeak, after 20 seconds the music ended, only the creaking remained. There i"&amp;"s no function for mixing tracks, I also didn’t figure out the mount for the steering wheel, because... By that time I had already clearly decided to return the device.")</f>
        <v>I bought the device. At first I was wildly happy about the song switch for the steering wheel, but that’s where my joy ended. It started playing music in terrible quality with a squeak, after 20 seconds the music ended, only the creaking remained. There is no function for mixing tracks, I also didn’t figure out the mount for the steering wheel, because... By that time I had already clearly decided to return the device.</v>
      </c>
    </row>
    <row r="10505" spans="1:9" x14ac:dyDescent="0.3">
      <c r="A10505" s="1" t="s">
        <v>1443</v>
      </c>
      <c r="B10505" s="1" t="s">
        <v>1444</v>
      </c>
      <c r="C10505" s="1" t="s">
        <v>1445</v>
      </c>
      <c r="D10505" s="1" t="s">
        <v>52</v>
      </c>
      <c r="E10505" s="1" t="s">
        <v>1978</v>
      </c>
      <c r="F10505" s="1" t="s">
        <v>15230</v>
      </c>
      <c r="G10505" s="1" t="s">
        <v>28</v>
      </c>
      <c r="H10505" s="1" t="s">
        <v>29</v>
      </c>
      <c r="I10505" s="1" t="str">
        <f ca="1">IFERROR(__xludf.DUMMYFUNCTION("GOOGLETRANSLATE(F10505, ""auto"", ""en"")
"),"The flash drive is just great. Very original and different from all plastic comrades. The only negative is, as noted above, the cap stretches a little. People who are not very attentive can easily lose it.")</f>
        <v>The flash drive is just great. Very original and different from all plastic comrades. The only negative is, as noted above, the cap stretches a little. People who are not very attentive can easily lose it.</v>
      </c>
    </row>
    <row r="10506" spans="1:9" x14ac:dyDescent="0.3">
      <c r="A10506" s="1" t="s">
        <v>149</v>
      </c>
      <c r="B10506" s="1" t="s">
        <v>150</v>
      </c>
      <c r="C10506" s="1" t="s">
        <v>57</v>
      </c>
      <c r="D10506" s="1" t="s">
        <v>568</v>
      </c>
      <c r="E10506" s="1" t="s">
        <v>2533</v>
      </c>
      <c r="F10506" s="1" t="s">
        <v>15231</v>
      </c>
      <c r="G10506" s="1" t="s">
        <v>36</v>
      </c>
      <c r="H10506" s="1" t="s">
        <v>29</v>
      </c>
      <c r="I10506" s="1" t="str">
        <f ca="1">IFERROR(__xludf.DUMMYFUNCTION("GOOGLETRANSLATE(F10506, ""auto"", ""en"")
"),"I bought it in November 2009. Cons: - I had to immediately put the large brush back in the box, I use the small one (it pulls amazingly through it);  - Cleaning the aquarium after cleaning will require skill.  In all other respects I am completely satisfi"&amp;"ed.")</f>
        <v>I bought it in November 2009. Cons: - I had to immediately put the large brush back in the box, I use the small one (it pulls amazingly through it);  - Cleaning the aquarium after cleaning will require skill.  In all other respects I am completely satisfied.</v>
      </c>
    </row>
    <row r="10507" spans="1:9" x14ac:dyDescent="0.3">
      <c r="A10507" s="1" t="s">
        <v>211</v>
      </c>
      <c r="B10507" s="1" t="s">
        <v>212</v>
      </c>
      <c r="C10507" s="1" t="s">
        <v>381</v>
      </c>
      <c r="D10507" s="1" t="s">
        <v>1289</v>
      </c>
      <c r="E10507" s="1" t="s">
        <v>15232</v>
      </c>
      <c r="F10507" s="1" t="s">
        <v>15233</v>
      </c>
      <c r="G10507" s="1" t="s">
        <v>28</v>
      </c>
      <c r="H10507" s="1" t="s">
        <v>29</v>
      </c>
      <c r="I10507" s="1" t="str">
        <f ca="1">IFERROR(__xludf.DUMMYFUNCTION("GOOGLETRANSLATE(F10507, ""auto"", ""en"")
"),"It worked for 2.5 years, if you don’t overheat it’s a good hairdryer, 2 years warranty, it’s ok")</f>
        <v>It worked for 2.5 years, if you don’t overheat it’s a good hairdryer, 2 years warranty, it’s ok</v>
      </c>
    </row>
    <row r="10508" spans="1:9" x14ac:dyDescent="0.3">
      <c r="A10508" s="1" t="s">
        <v>61</v>
      </c>
      <c r="B10508" s="1" t="s">
        <v>145</v>
      </c>
      <c r="C10508" s="1" t="s">
        <v>1981</v>
      </c>
      <c r="D10508" s="1" t="s">
        <v>695</v>
      </c>
      <c r="E10508" s="1" t="s">
        <v>4452</v>
      </c>
      <c r="F10508" s="1" t="s">
        <v>15234</v>
      </c>
      <c r="G10508" s="1" t="s">
        <v>36</v>
      </c>
      <c r="H10508" s="1" t="s">
        <v>29</v>
      </c>
      <c r="I10508" s="1" t="str">
        <f ca="1">IFERROR(__xludf.DUMMYFUNCTION("GOOGLETRANSLATE(F10508, ""auto"", ""en"")
"),"I bought it for my mother as a gift. My mother liked it. The waffles are tasty, but quite thick. It takes time to master the device. The first pancake, as they say, is lumpy :)")</f>
        <v>I bought it for my mother as a gift. My mother liked it. The waffles are tasty, but quite thick. It takes time to master the device. The first pancake, as they say, is lumpy :)</v>
      </c>
    </row>
    <row r="10509" spans="1:9" x14ac:dyDescent="0.3">
      <c r="A10509" s="1" t="s">
        <v>61</v>
      </c>
      <c r="B10509" s="1" t="s">
        <v>977</v>
      </c>
      <c r="C10509" s="1" t="s">
        <v>63</v>
      </c>
      <c r="D10509" s="1" t="s">
        <v>166</v>
      </c>
      <c r="E10509" s="1" t="s">
        <v>2271</v>
      </c>
      <c r="F10509" s="1" t="s">
        <v>15235</v>
      </c>
      <c r="G10509" s="1" t="s">
        <v>36</v>
      </c>
      <c r="H10509" s="1" t="s">
        <v>29</v>
      </c>
      <c r="I10509" s="1" t="str">
        <f ca="1">IFERROR(__xludf.DUMMYFUNCTION("GOOGLETRANSLATE(F10509, ""auto"", ""en"")
"),"It just so happened that my Brown blender inexplicably died. They couldn’t replace it with the same one at the place of purchase, so I bought a Bosch from this series. I want to say: FORGET about Brown - this one is better (although suspiciously cheaper)."&amp;"  Brown's advantages: there is a bracket for hanging on the wall, the functionality of small things (such as rubber stands for flasks that magically turn into lids), size.   Advantages of Boschik: weight (lighter to the touch), fits in your hand like a gl"&amp;"ove - every finger is on the button (Brown's gear shift is VERY inconvenient), creamed soup in less than a minute (Brown took much longer), whipped a milkshake more than twice the volume (Brown couldn't do this - it turned out mediocre). Thanks to its sha"&amp;"pe, it really doesn’t splash, doesn’t make big craters, and reaches to the very bottom (Brown has problems with this).  This is what I can say after several uses.  To be honest, I almost cried while driving Bosch home. And now - with joy. I highly, highly"&amp;" recommend it.")</f>
        <v>It just so happened that my Brown blender inexplicably died. They couldn’t replace it with the same one at the place of purchase, so I bought a Bosch from this series. I want to say: FORGET about Brown - this one is better (although suspiciously cheaper).  Brown's advantages: there is a bracket for hanging on the wall, the functionality of small things (such as rubber stands for flasks that magically turn into lids), size.   Advantages of Boschik: weight (lighter to the touch), fits in your hand like a glove - every finger is on the button (Brown's gear shift is VERY inconvenient), creamed soup in less than a minute (Brown took much longer), whipped a milkshake more than twice the volume (Brown couldn't do this - it turned out mediocre). Thanks to its shape, it really doesn’t splash, doesn’t make big craters, and reaches to the very bottom (Brown has problems with this).  This is what I can say after several uses.  To be honest, I almost cried while driving Bosch home. And now - with joy. I highly, highly recommend it.</v>
      </c>
    </row>
    <row r="10510" spans="1:9" x14ac:dyDescent="0.3">
      <c r="A10510" s="1" t="s">
        <v>17</v>
      </c>
      <c r="B10510" s="1" t="s">
        <v>18</v>
      </c>
      <c r="C10510" s="1" t="s">
        <v>138</v>
      </c>
      <c r="D10510" s="1" t="s">
        <v>1416</v>
      </c>
      <c r="E10510" s="1" t="s">
        <v>2380</v>
      </c>
      <c r="F10510" s="1" t="s">
        <v>15236</v>
      </c>
      <c r="G10510" s="1" t="s">
        <v>36</v>
      </c>
      <c r="H10510" s="1" t="s">
        <v>29</v>
      </c>
      <c r="I10510" s="1" t="str">
        <f ca="1">IFERROR(__xludf.DUMMYFUNCTION("GOOGLETRANSLATE(F10510, ""auto"", ""en"")
"),"In fact, the machine is super, we couldn’t be happier. I don’t see any shortcomings.. and the price is good.. you can’t go wrong..")</f>
        <v>In fact, the machine is super, we couldn’t be happier. I don’t see any shortcomings.. and the price is good.. you can’t go wrong..</v>
      </c>
    </row>
    <row r="10511" spans="1:9" x14ac:dyDescent="0.3">
      <c r="A10511" s="1" t="s">
        <v>89</v>
      </c>
      <c r="B10511" s="1" t="s">
        <v>231</v>
      </c>
      <c r="C10511" s="1" t="s">
        <v>63</v>
      </c>
      <c r="D10511" s="1" t="s">
        <v>39</v>
      </c>
      <c r="E10511" s="1" t="s">
        <v>978</v>
      </c>
      <c r="F10511" s="1" t="s">
        <v>15237</v>
      </c>
      <c r="G10511" s="1" t="s">
        <v>36</v>
      </c>
      <c r="H10511" s="1" t="s">
        <v>29</v>
      </c>
      <c r="I10511" s="1" t="str">
        <f ca="1">IFERROR(__xludf.DUMMYFUNCTION("GOOGLETRANSLATE(F10511, ""auto"", ""en"")
"),"Good afternoon I bought this miracle machine half a year ago! Very pleased! The coffee turns out delicious! There are no problems at all! Cleans itself! Washes! And it makes coffee! I recommend it to everyone!")</f>
        <v>Good afternoon I bought this miracle machine half a year ago! Very pleased! The coffee turns out delicious! There are no problems at all! Cleans itself! Washes! And it makes coffee! I recommend it to everyone!</v>
      </c>
    </row>
    <row r="10512" spans="1:9" x14ac:dyDescent="0.3">
      <c r="A10512" s="1" t="s">
        <v>149</v>
      </c>
      <c r="B10512" s="1" t="s">
        <v>155</v>
      </c>
      <c r="C10512" s="1" t="s">
        <v>151</v>
      </c>
      <c r="D10512" s="1" t="s">
        <v>308</v>
      </c>
      <c r="E10512" s="1" t="s">
        <v>10684</v>
      </c>
      <c r="F10512" s="1" t="s">
        <v>15238</v>
      </c>
      <c r="G10512" s="1" t="s">
        <v>36</v>
      </c>
      <c r="H10512" s="1" t="s">
        <v>29</v>
      </c>
      <c r="I10512" s="1" t="str">
        <f ca="1">IFERROR(__xludf.DUMMYFUNCTION("GOOGLETRANSLATE(F10512, ""auto"", ""en"")
"),"I bought it 3 months ago. I am pleased not only with the price, but also with the quality. I ordered the same one for my sister. If you wash the container and filters after the second cleaning, the power does not drop. Cleans very well.")</f>
        <v>I bought it 3 months ago. I am pleased not only with the price, but also with the quality. I ordered the same one for my sister. If you wash the container and filters after the second cleaning, the power does not drop. Cleans very well.</v>
      </c>
    </row>
    <row r="10513" spans="1:9" x14ac:dyDescent="0.3">
      <c r="A10513" s="1" t="s">
        <v>211</v>
      </c>
      <c r="B10513" s="1" t="s">
        <v>265</v>
      </c>
      <c r="C10513" s="1" t="s">
        <v>1591</v>
      </c>
      <c r="D10513" s="1" t="s">
        <v>653</v>
      </c>
      <c r="E10513" s="1" t="s">
        <v>4008</v>
      </c>
      <c r="F10513" s="1" t="s">
        <v>15239</v>
      </c>
      <c r="G10513" s="1" t="s">
        <v>36</v>
      </c>
      <c r="H10513" s="1" t="s">
        <v>29</v>
      </c>
      <c r="I10513" s="1" t="str">
        <f ca="1">IFERROR(__xludf.DUMMYFUNCTION("GOOGLETRANSLATE(F10513, ""auto"", ""en"")
"),"I chose the hair clipper from Bebilis because I like this brand myself, I bought myself a multi-styler and hot rollers. I chose the 796 model of the machine based on the price-quality ratio. This machine was bought as a gift, I think the birthday boy was "&amp;"not disappointed.")</f>
        <v>I chose the hair clipper from Bebilis because I like this brand myself, I bought myself a multi-styler and hot rollers. I chose the 796 model of the machine based on the price-quality ratio. This machine was bought as a gift, I think the birthday boy was not disappointed.</v>
      </c>
    </row>
    <row r="10514" spans="1:9" x14ac:dyDescent="0.3">
      <c r="A10514" s="1" t="s">
        <v>37</v>
      </c>
      <c r="B10514" s="1" t="s">
        <v>536</v>
      </c>
      <c r="C10514" s="1" t="s">
        <v>163</v>
      </c>
      <c r="D10514" s="1" t="s">
        <v>15240</v>
      </c>
      <c r="E10514" s="1" t="s">
        <v>397</v>
      </c>
      <c r="F10514" s="1" t="s">
        <v>15241</v>
      </c>
      <c r="G10514" s="1" t="s">
        <v>36</v>
      </c>
      <c r="H10514" s="1" t="s">
        <v>29</v>
      </c>
      <c r="I10514" s="1" t="str">
        <f ca="1">IFERROR(__xludf.DUMMYFUNCTION("GOOGLETRANSLATE(F10514, ""auto"", ""en"")
"),"The phone is good, of course not an iPhone, but it’s worth the money and it has everything. And of course, as always, there are disadvantages: the battery cover is loose, the battery is also loose, but it can be fixed by placing a piece of paper at the en"&amp;"d. There is one more significant drawback: exactly 2 weeks later the speaker stopped working, you will have to take it to a service center under warranty. This problem occurred in the first batches of Nokia 5800.")</f>
        <v>The phone is good, of course not an iPhone, but it’s worth the money and it has everything. And of course, as always, there are disadvantages: the battery cover is loose, the battery is also loose, but it can be fixed by placing a piece of paper at the end. There is one more significant drawback: exactly 2 weeks later the speaker stopped working, you will have to take it to a service center under warranty. This problem occurred in the first batches of Nokia 5800.</v>
      </c>
    </row>
    <row r="10515" spans="1:9" x14ac:dyDescent="0.3">
      <c r="A10515" s="1" t="s">
        <v>30</v>
      </c>
      <c r="B10515" s="1" t="s">
        <v>50</v>
      </c>
      <c r="C10515" s="1" t="s">
        <v>32</v>
      </c>
      <c r="D10515" s="1" t="s">
        <v>15242</v>
      </c>
      <c r="E10515" s="1" t="s">
        <v>3676</v>
      </c>
      <c r="F10515" s="1" t="s">
        <v>15243</v>
      </c>
      <c r="G10515" s="1" t="s">
        <v>36</v>
      </c>
      <c r="H10515" s="1" t="s">
        <v>29</v>
      </c>
      <c r="I10515" s="1" t="str">
        <f ca="1">IFERROR(__xludf.DUMMYFUNCTION("GOOGLETRANSLATE(F10515, ""auto"", ""en"")
"),"For the money there is nothing better with such a screen, it’s strange that there are so few of them in m-video, perhaps only the MSI GX740 is better, but it has a terrible screen, it’s too dark and it heats up like crazy, so this is an ideal option for r"&amp;"eplacing a desktop PC.    Before you criticize, you need to rebuild everything properly")</f>
        <v>For the money there is nothing better with such a screen, it’s strange that there are so few of them in m-video, perhaps only the MSI GX740 is better, but it has a terrible screen, it’s too dark and it heats up like crazy, so this is an ideal option for replacing a desktop PC.    Before you criticize, you need to rebuild everything properly</v>
      </c>
    </row>
    <row r="10516" spans="1:9" x14ac:dyDescent="0.3">
      <c r="A10516" s="1" t="s">
        <v>206</v>
      </c>
      <c r="B10516" s="1" t="s">
        <v>261</v>
      </c>
      <c r="C10516" s="1" t="s">
        <v>152</v>
      </c>
      <c r="D10516" s="1" t="s">
        <v>742</v>
      </c>
      <c r="E10516" s="1" t="s">
        <v>1845</v>
      </c>
      <c r="F10516" s="1" t="s">
        <v>15244</v>
      </c>
      <c r="G10516" s="1" t="s">
        <v>36</v>
      </c>
      <c r="H10516" s="1" t="s">
        <v>29</v>
      </c>
      <c r="I10516" s="1" t="str">
        <f ca="1">IFERROR(__xludf.DUMMYFUNCTION("GOOGLETRANSLATE(F10516, ""auto"", ""en"")
"),"I bought replacement wires from the kit, before that I had kikx from the installation kit, they have an aluminum wire, to be honest, I didn’t think that replacing the wires would improve the sound so much, and in the entire range, the most important thing"&amp;" was that the voice appeared, more precisely the middle, the balanced wire is attached to the body of the radio, don’t touch the other one, there is no interference, I wanted to buy an expensive wire, because the music costs 100,000, but I think I’m done "&amp;"it suits those who have music up to 50,000, I think it’s not worth bothering with, more expensive wires have a better sound, but for example daxx, with a price of 2 times more, the sound is worse according to tests")</f>
        <v>I bought replacement wires from the kit, before that I had kikx from the installation kit, they have an aluminum wire, to be honest, I didn’t think that replacing the wires would improve the sound so much, and in the entire range, the most important thing was that the voice appeared, more precisely the middle, the balanced wire is attached to the body of the radio, don’t touch the other one, there is no interference, I wanted to buy an expensive wire, because the music costs 100,000, but I think I’m done it suits those who have music up to 50,000, I think it’s not worth bothering with, more expensive wires have a better sound, but for example daxx, with a price of 2 times more, the sound is worse according to tests</v>
      </c>
    </row>
    <row r="10517" spans="1:9" x14ac:dyDescent="0.3">
      <c r="A10517" s="1" t="s">
        <v>43</v>
      </c>
      <c r="B10517" s="1" t="s">
        <v>334</v>
      </c>
      <c r="C10517" s="1" t="s">
        <v>101</v>
      </c>
      <c r="D10517" s="1" t="s">
        <v>5252</v>
      </c>
      <c r="E10517" s="1" t="s">
        <v>1115</v>
      </c>
      <c r="F10517" s="1" t="s">
        <v>15245</v>
      </c>
      <c r="G10517" s="1" t="s">
        <v>36</v>
      </c>
      <c r="H10517" s="1" t="s">
        <v>29</v>
      </c>
      <c r="I10517" s="1" t="str">
        <f ca="1">IFERROR(__xludf.DUMMYFUNCTION("GOOGLETRANSLATE(F10517, ""auto"", ""en"")
"),"Powerful for such a baby. It works for a month without problems. At first it creaked, but apparently it got used to it and now there are no creaks. The fastening is good. Satisfied")</f>
        <v>Powerful for such a baby. It works for a month without problems. At first it creaked, but apparently it got used to it and now there are no creaks. The fastening is good. Satisfied</v>
      </c>
    </row>
    <row r="10518" spans="1:9" x14ac:dyDescent="0.3">
      <c r="A10518" s="1" t="s">
        <v>43</v>
      </c>
      <c r="B10518" s="1" t="s">
        <v>334</v>
      </c>
      <c r="C10518" s="1" t="s">
        <v>101</v>
      </c>
      <c r="D10518" s="1" t="s">
        <v>1681</v>
      </c>
      <c r="E10518" s="1" t="s">
        <v>1048</v>
      </c>
      <c r="F10518" s="1" t="s">
        <v>15246</v>
      </c>
      <c r="G10518" s="1" t="s">
        <v>28</v>
      </c>
      <c r="H10518" s="1" t="s">
        <v>29</v>
      </c>
      <c r="I10518" s="1" t="str">
        <f ca="1">IFERROR(__xludf.DUMMYFUNCTION("GOOGLETRANSLATE(F10518, ""auto"", ""en"")
"),"There is enough power for “desktop” work. From such a model one cannot expect that it will cool the entire room, but it will quite refresh the person sitting at the table. The blades do not crack, documents do not fly off the table. Perfect for a stuffy o"&amp;"ffice summer.")</f>
        <v>There is enough power for “desktop” work. From such a model one cannot expect that it will cool the entire room, but it will quite refresh the person sitting at the table. The blades do not crack, documents do not fly off the table. Perfect for a stuffy office summer.</v>
      </c>
    </row>
    <row r="10519" spans="1:9" x14ac:dyDescent="0.3">
      <c r="A10519" s="1" t="s">
        <v>30</v>
      </c>
      <c r="B10519" s="1" t="s">
        <v>50</v>
      </c>
      <c r="C10519" s="1" t="s">
        <v>32</v>
      </c>
      <c r="D10519" s="1" t="s">
        <v>15247</v>
      </c>
      <c r="E10519" s="1" t="s">
        <v>1695</v>
      </c>
      <c r="F10519" s="1" t="s">
        <v>15248</v>
      </c>
      <c r="G10519" s="1" t="s">
        <v>36</v>
      </c>
      <c r="H10519" s="1" t="s">
        <v>29</v>
      </c>
      <c r="I10519" s="1" t="str">
        <f ca="1">IFERROR(__xludf.DUMMYFUNCTION("GOOGLETRANSLATE(F10519, ""auto"", ""en"")
"),"For me, this laptop is the best you can choose for your money. I'm happy with the purchase. I've been using it for a week. So far there are no negative aspects, and I don’t think there will be any. Leave reviews about this machine!!!")</f>
        <v>For me, this laptop is the best you can choose for your money. I'm happy with the purchase. I've been using it for a week. So far there are no negative aspects, and I don’t think there will be any. Leave reviews about this machine!!!</v>
      </c>
    </row>
    <row r="10520" spans="1:9" x14ac:dyDescent="0.3">
      <c r="A10520" s="1" t="s">
        <v>120</v>
      </c>
      <c r="B10520" s="1" t="s">
        <v>121</v>
      </c>
      <c r="C10520" s="1" t="s">
        <v>151</v>
      </c>
      <c r="D10520" s="1" t="s">
        <v>4694</v>
      </c>
      <c r="E10520" s="1" t="s">
        <v>750</v>
      </c>
      <c r="F10520" s="1" t="s">
        <v>15249</v>
      </c>
      <c r="G10520" s="1" t="s">
        <v>36</v>
      </c>
      <c r="H10520" s="1" t="s">
        <v>29</v>
      </c>
      <c r="I10520" s="1" t="str">
        <f ca="1">IFERROR(__xludf.DUMMYFUNCTION("GOOGLETRANSLATE(F10520, ""auto"", ""en"")
"),"I really liked it, for such a price the quality is excellent, now my grandfather, who is almost 70, uses the TV, so he mastered everything in a week of use))")</f>
        <v>I really liked it, for such a price the quality is excellent, now my grandfather, who is almost 70, uses the TV, so he mastered everything in a week of use))</v>
      </c>
    </row>
    <row r="10521" spans="1:9" x14ac:dyDescent="0.3">
      <c r="A10521" s="1" t="s">
        <v>9</v>
      </c>
      <c r="B10521" s="1" t="s">
        <v>10</v>
      </c>
      <c r="C10521" s="1" t="s">
        <v>4314</v>
      </c>
      <c r="D10521" s="1" t="s">
        <v>15250</v>
      </c>
      <c r="E10521" s="1" t="s">
        <v>3945</v>
      </c>
      <c r="F10521" s="1" t="s">
        <v>15251</v>
      </c>
      <c r="G10521" s="1" t="s">
        <v>28</v>
      </c>
      <c r="H10521" s="1" t="s">
        <v>29</v>
      </c>
      <c r="I10521" s="1" t="str">
        <f ca="1">IFERROR(__xludf.DUMMYFUNCTION("GOOGLETRANSLATE(F10521, ""auto"", ""en"")
"),"We bought this model during the sales season in mid-January 2014. It lay in the apartment for a long time, waiting for the moment when it would be at least +5 Celsius outside and we could punch a 130 cm diameter hole in the 50 cm thick wall of an ordinary"&amp;" five-story brick building to vent exhaust air outside. We purchased a 125 mm air duct, a double-leaf check valve with aluminum blades and a galvanized body, spring-loaded, a 90-degree elbow. and a 125 mm tee, a cap to prevent rain from dripping into the "&amp;"pipe. I insulated both the street and the home pipe with polyurethane foam and foil. I made a hole in the bottom of the street air duct from below to drain condensation in winter. It turned out like this. At home, a pipe runs vertically from the hood, not"&amp;" reaching the ceiling, it goes through the wall to the street; on the street, through a tee, it rises no more than a meter. The hood with this design copes with two gas burners at the first, maximum 2nd speed. The door to the kitchen is open. A thin filte"&amp;"r is installed in front of the aluminum grease trap to prevent grease from getting onto the aluminum grease trap, since it is impossible to wash it off with anything at all. If you buy a filter for your hood from M-video, don’t make the mistake I did and "&amp;"don’t listen to anyone. If you go outside, then there is no need to spend about 500 rubles on those two filters that are sold in a box. The carbon one from that kit is not needed. No, well, if you are fighting for the environment and your kitchen emission"&amp;"s into the street are so toxic, then install a carbon filter as well. The quality of workmanship is at the level of China, not factory, but cooperative. I look for crickets and get rid of some of them by applying a layer of sanitary sealant in places wher"&amp;"e vibrations rattle the place where the decorative box and the body come into contact. Regarding the noise. It makes moderate noise at 1st speed. I experimented for a long time and came to the conclusion that the noise arises due to increased air resistan"&amp;"ce as a result of many factors. Understand that you cannot vent the hood into a ventilation duct for passive exhaust in your kitchen. There will be no effect, and you will poison your neighbors with your smells, especially in old brick houses. Unfortunate"&amp;"ly, the previous hood worked according to this principle.")</f>
        <v>We bought this model during the sales season in mid-January 2014. It lay in the apartment for a long time, waiting for the moment when it would be at least +5 Celsius outside and we could punch a 130 cm diameter hole in the 50 cm thick wall of an ordinary five-story brick building to vent exhaust air outside. We purchased a 125 mm air duct, a double-leaf check valve with aluminum blades and a galvanized body, spring-loaded, a 90-degree elbow. and a 125 mm tee, a cap to prevent rain from dripping into the pipe. I insulated both the street and the home pipe with polyurethane foam and foil. I made a hole in the bottom of the street air duct from below to drain condensation in winter. It turned out like this. At home, a pipe runs vertically from the hood, not reaching the ceiling, it goes through the wall to the street; on the street, through a tee, it rises no more than a meter. The hood with this design copes with two gas burners at the first, maximum 2nd speed. The door to the kitchen is open. A thin filter is installed in front of the aluminum grease trap to prevent grease from getting onto the aluminum grease trap, since it is impossible to wash it off with anything at all. If you buy a filter for your hood from M-video, don’t make the mistake I did and don’t listen to anyone. If you go outside, then there is no need to spend about 500 rubles on those two filters that are sold in a box. The carbon one from that kit is not needed. No, well, if you are fighting for the environment and your kitchen emissions into the street are so toxic, then install a carbon filter as well. The quality of workmanship is at the level of China, not factory, but cooperative. I look for crickets and get rid of some of them by applying a layer of sanitary sealant in places where vibrations rattle the place where the decorative box and the body come into contact. Regarding the noise. It makes moderate noise at 1st speed. I experimented for a long time and came to the conclusion that the noise arises due to increased air resistance as a result of many factors. Understand that you cannot vent the hood into a ventilation duct for passive exhaust in your kitchen. There will be no effect, and you will poison your neighbors with your smells, especially in old brick houses. Unfortunately, the previous hood worked according to this principle.</v>
      </c>
    </row>
    <row r="10522" spans="1:9" x14ac:dyDescent="0.3">
      <c r="A10522" s="1" t="s">
        <v>211</v>
      </c>
      <c r="B10522" s="1" t="s">
        <v>212</v>
      </c>
      <c r="C10522" s="1" t="s">
        <v>381</v>
      </c>
      <c r="D10522" s="1" t="s">
        <v>247</v>
      </c>
      <c r="E10522" s="1" t="s">
        <v>1398</v>
      </c>
      <c r="F10522" s="1" t="s">
        <v>15252</v>
      </c>
      <c r="G10522" s="1" t="s">
        <v>36</v>
      </c>
      <c r="H10522" s="1" t="s">
        <v>29</v>
      </c>
      <c r="I10522" s="1" t="str">
        <f ca="1">IFERROR(__xludf.DUMMYFUNCTION("GOOGLETRANSLATE(F10522, ""auto"", ""en"")
"),"The hairdryer is excellent! Good styling in a few minutes!")</f>
        <v>The hairdryer is excellent! Good styling in a few minutes!</v>
      </c>
    </row>
    <row r="10523" spans="1:9" x14ac:dyDescent="0.3">
      <c r="A10523" s="1" t="s">
        <v>67</v>
      </c>
      <c r="B10523" s="1" t="s">
        <v>340</v>
      </c>
      <c r="C10523" s="1" t="s">
        <v>1634</v>
      </c>
      <c r="D10523" s="1" t="s">
        <v>32</v>
      </c>
      <c r="E10523" s="1" t="s">
        <v>6084</v>
      </c>
      <c r="F10523" s="1" t="s">
        <v>15253</v>
      </c>
      <c r="G10523" s="1" t="s">
        <v>36</v>
      </c>
      <c r="H10523" s="1" t="s">
        <v>29</v>
      </c>
      <c r="I10523" s="1" t="str">
        <f ca="1">IFERROR(__xludf.DUMMYFUNCTION("GOOGLETRANSLATE(F10523, ""auto"", ""en"")
"),"They gave me a car, but... I'm a newbie and didn't figure it out right away. I called M.video and got a consultation. I am very pleased with the machine, it has all the necessary stitches, it sews jeans perfectly and is very quiet. I recommend!!!!")</f>
        <v>They gave me a car, but... I'm a newbie and didn't figure it out right away. I called M.video and got a consultation. I am very pleased with the machine, it has all the necessary stitches, it sews jeans perfectly and is very quiet. I recommend!!!!</v>
      </c>
    </row>
    <row r="10524" spans="1:9" x14ac:dyDescent="0.3">
      <c r="A10524" s="1" t="s">
        <v>149</v>
      </c>
      <c r="B10524" s="1" t="s">
        <v>576</v>
      </c>
      <c r="C10524" s="1" t="s">
        <v>85</v>
      </c>
      <c r="D10524" s="1" t="s">
        <v>1840</v>
      </c>
      <c r="E10524" s="1" t="s">
        <v>3652</v>
      </c>
      <c r="F10524" s="1" t="s">
        <v>15254</v>
      </c>
      <c r="G10524" s="1" t="s">
        <v>36</v>
      </c>
      <c r="H10524" s="1" t="s">
        <v>29</v>
      </c>
      <c r="I10524" s="1" t="str">
        <f ca="1">IFERROR(__xludf.DUMMYFUNCTION("GOOGLETRANSLATE(F10524, ""auto"", ""en"")
"),"Excellent vacuum cleaner.")</f>
        <v>Excellent vacuum cleaner.</v>
      </c>
    </row>
    <row r="10525" spans="1:9" x14ac:dyDescent="0.3">
      <c r="A10525" s="1" t="s">
        <v>61</v>
      </c>
      <c r="B10525" s="1" t="s">
        <v>224</v>
      </c>
      <c r="C10525" s="1" t="s">
        <v>85</v>
      </c>
      <c r="D10525" s="1" t="s">
        <v>305</v>
      </c>
      <c r="E10525" s="1" t="s">
        <v>4051</v>
      </c>
      <c r="F10525" s="1" t="s">
        <v>15255</v>
      </c>
      <c r="G10525" s="1" t="s">
        <v>36</v>
      </c>
      <c r="H10525" s="1" t="s">
        <v>29</v>
      </c>
      <c r="I10525" s="1" t="str">
        <f ca="1">IFERROR(__xludf.DUMMYFUNCTION("GOOGLETRANSLATE(F10525, ""auto"", ""en"")
"),"I use it and I like it because the juice is light and clean. I once made a mistake and squeezed juice from soft apples, of course the juice came out with pulp, now I buy only hard apples and the juice is amazing, the pulp is dry.")</f>
        <v>I use it and I like it because the juice is light and clean. I once made a mistake and squeezed juice from soft apples, of course the juice came out with pulp, now I buy only hard apples and the juice is amazing, the pulp is dry.</v>
      </c>
    </row>
    <row r="10526" spans="1:9" x14ac:dyDescent="0.3">
      <c r="A10526" s="1" t="s">
        <v>477</v>
      </c>
      <c r="B10526" s="1" t="s">
        <v>478</v>
      </c>
      <c r="C10526" s="1" t="s">
        <v>479</v>
      </c>
      <c r="D10526" s="1" t="s">
        <v>9580</v>
      </c>
      <c r="E10526" s="1" t="s">
        <v>5241</v>
      </c>
      <c r="F10526" s="1" t="s">
        <v>15256</v>
      </c>
      <c r="G10526" s="1" t="s">
        <v>36</v>
      </c>
      <c r="H10526" s="1" t="s">
        <v>29</v>
      </c>
      <c r="I10526" s="1" t="str">
        <f ca="1">IFERROR(__xludf.DUMMYFUNCTION("GOOGLETRANSLATE(F10526, ""auto"", ""en"")
"),"Great game! I'm a fan of flying games, but I'm just delighted with this arcade one.")</f>
        <v>Great game! I'm a fan of flying games, but I'm just delighted with this arcade one.</v>
      </c>
    </row>
    <row r="10527" spans="1:9" x14ac:dyDescent="0.3">
      <c r="A10527" s="1" t="s">
        <v>37</v>
      </c>
      <c r="B10527" s="1" t="s">
        <v>38</v>
      </c>
      <c r="C10527" s="1" t="s">
        <v>151</v>
      </c>
      <c r="D10527" s="1" t="s">
        <v>15257</v>
      </c>
      <c r="E10527" s="1" t="s">
        <v>397</v>
      </c>
      <c r="F10527" s="1" t="s">
        <v>15258</v>
      </c>
      <c r="G10527" s="1" t="s">
        <v>28</v>
      </c>
      <c r="H10527" s="1" t="s">
        <v>29</v>
      </c>
      <c r="I10527" s="1" t="str">
        <f ca="1">IFERROR(__xludf.DUMMYFUNCTION("GOOGLETRANSLATE(F10527, ""auto"", ""en"")
"),"Mikhail, just install Russian Asya and Opera) tell me how is the battery on it? how long does it last?")</f>
        <v>Mikhail, just install Russian Asya and Opera) tell me how is the battery on it? how long does it last?</v>
      </c>
    </row>
    <row r="10528" spans="1:9" x14ac:dyDescent="0.3">
      <c r="A10528" s="1" t="s">
        <v>169</v>
      </c>
      <c r="B10528" s="1" t="s">
        <v>170</v>
      </c>
      <c r="C10528" s="1" t="s">
        <v>69</v>
      </c>
      <c r="D10528" s="1" t="s">
        <v>15259</v>
      </c>
      <c r="E10528" s="1" t="s">
        <v>1868</v>
      </c>
      <c r="F10528" s="1" t="s">
        <v>15260</v>
      </c>
      <c r="G10528" s="1" t="s">
        <v>36</v>
      </c>
      <c r="H10528" s="1" t="s">
        <v>29</v>
      </c>
      <c r="I10528" s="1" t="str">
        <f ca="1">IFERROR(__xludf.DUMMYFUNCTION("GOOGLETRANSLATE(F10528, ""auto"", ""en"")
"),"I bought it yesterday, at first there was noise, but then I set up the receiving station, charged it properly and everything is fine. Thanks to the M video consultants, they are very polite, they will explain everything clearly and help with the choice.")</f>
        <v>I bought it yesterday, at first there was noise, but then I set up the receiving station, charged it properly and everything is fine. Thanks to the M video consultants, they are very polite, they will explain everything clearly and help with the choice.</v>
      </c>
    </row>
    <row r="10529" spans="1:9" x14ac:dyDescent="0.3">
      <c r="A10529" s="1" t="s">
        <v>206</v>
      </c>
      <c r="B10529" s="1" t="s">
        <v>2026</v>
      </c>
      <c r="C10529" s="1" t="s">
        <v>351</v>
      </c>
      <c r="D10529" s="1" t="s">
        <v>4329</v>
      </c>
      <c r="E10529" s="1" t="s">
        <v>1115</v>
      </c>
      <c r="F10529" s="1" t="s">
        <v>15261</v>
      </c>
      <c r="G10529" s="1" t="s">
        <v>36</v>
      </c>
      <c r="H10529" s="1" t="s">
        <v>29</v>
      </c>
      <c r="I10529" s="1" t="str">
        <f ca="1">IFERROR(__xludf.DUMMYFUNCTION("GOOGLETRANSLATE(F10529, ""auto"", ""en"")
"),"We've been using it for a year, it's an excellent radio, no problems with the flash drive or disks, I also use a memory card, everything reads perfectly.")</f>
        <v>We've been using it for a year, it's an excellent radio, no problems with the flash drive or disks, I also use a memory card, everything reads perfectly.</v>
      </c>
    </row>
    <row r="10530" spans="1:9" x14ac:dyDescent="0.3">
      <c r="A10530" s="1" t="s">
        <v>206</v>
      </c>
      <c r="B10530" s="1" t="s">
        <v>2026</v>
      </c>
      <c r="C10530" s="1" t="s">
        <v>122</v>
      </c>
      <c r="D10530" s="1" t="s">
        <v>172</v>
      </c>
      <c r="E10530" s="1" t="s">
        <v>379</v>
      </c>
      <c r="F10530" s="1" t="s">
        <v>15262</v>
      </c>
      <c r="G10530" s="1" t="s">
        <v>15</v>
      </c>
      <c r="H10530" s="1" t="s">
        <v>16</v>
      </c>
      <c r="I10530" s="1" t="str">
        <f ca="1">IFERROR(__xludf.DUMMYFUNCTION("GOOGLETRANSLATE(F10530, ""auto"", ""en"")
"),"I listen to it on MP3 DVDs.  About 5 times a day the tape recorder freezes, that is, it stops and writes ER4 (Error) on the display.   Until you take out the disc and reboot, it doesn't play. At what point I tried a sea of ​​disks.   It started new. I bou"&amp;"ght it here.")</f>
        <v>I listen to it on MP3 DVDs.  About 5 times a day the tape recorder freezes, that is, it stops and writes ER4 (Error) on the display.   Until you take out the disc and reboot, it doesn't play. At what point I tried a sea of ​​disks.   It started new. I bought it here.</v>
      </c>
    </row>
    <row r="10531" spans="1:9" x14ac:dyDescent="0.3">
      <c r="A10531" s="1" t="s">
        <v>95</v>
      </c>
      <c r="B10531" s="1" t="s">
        <v>648</v>
      </c>
      <c r="C10531" s="1" t="s">
        <v>97</v>
      </c>
      <c r="D10531" s="1" t="s">
        <v>117</v>
      </c>
      <c r="E10531" s="1" t="s">
        <v>1129</v>
      </c>
      <c r="F10531" s="1" t="s">
        <v>15263</v>
      </c>
      <c r="G10531" s="1" t="s">
        <v>36</v>
      </c>
      <c r="H10531" s="1" t="s">
        <v>29</v>
      </c>
      <c r="I10531" s="1" t="str">
        <f ca="1">IFERROR(__xludf.DUMMYFUNCTION("GOOGLETRANSLATE(F10531, ""auto"", ""en"")
"),"psp go, not very convenient, small screen and it differs from slim only in that it has a smaller screen and has bluetooth!)) and it will be a waste of money! So, I don’t recommend it!!)))")</f>
        <v>psp go, not very convenient, small screen and it differs from slim only in that it has a smaller screen and has bluetooth!)) and it will be a waste of money! So, I don’t recommend it!!)))</v>
      </c>
    </row>
    <row r="10532" spans="1:9" x14ac:dyDescent="0.3">
      <c r="A10532" s="1" t="s">
        <v>61</v>
      </c>
      <c r="B10532" s="1" t="s">
        <v>318</v>
      </c>
      <c r="C10532" s="1" t="s">
        <v>246</v>
      </c>
      <c r="D10532" s="1" t="s">
        <v>15264</v>
      </c>
      <c r="E10532" s="1" t="s">
        <v>386</v>
      </c>
      <c r="F10532" s="1" t="s">
        <v>15265</v>
      </c>
      <c r="G10532" s="1" t="s">
        <v>28</v>
      </c>
      <c r="H10532" s="1" t="s">
        <v>29</v>
      </c>
      <c r="I10532" s="1" t="str">
        <f ca="1">IFERROR(__xludf.DUMMYFUNCTION("GOOGLETRANSLATE(F10532, ""auto"", ""en"")
"),"It’s been working for half a year now, there are no particular complaints, it makes a lot of noise, but it doesn’t bother me, I took the same yellow one, it started leaking after half a year... It gets very hot, if you don’t have children, it doesn’t both"&amp;"er you, but if you do, it’s better not to take this kettle.")</f>
        <v>It’s been working for half a year now, there are no particular complaints, it makes a lot of noise, but it doesn’t bother me, I took the same yellow one, it started leaking after half a year... It gets very hot, if you don’t have children, it doesn’t bother you, but if you do, it’s better not to take this kettle.</v>
      </c>
    </row>
    <row r="10533" spans="1:9" x14ac:dyDescent="0.3">
      <c r="A10533" s="1" t="s">
        <v>477</v>
      </c>
      <c r="B10533" s="1" t="s">
        <v>478</v>
      </c>
      <c r="C10533" s="1" t="s">
        <v>479</v>
      </c>
      <c r="D10533" s="1" t="s">
        <v>171</v>
      </c>
      <c r="E10533" s="1" t="s">
        <v>954</v>
      </c>
      <c r="F10533" s="1" t="s">
        <v>15266</v>
      </c>
      <c r="G10533" s="1" t="s">
        <v>36</v>
      </c>
      <c r="H10533" s="1" t="s">
        <v>29</v>
      </c>
      <c r="I10533" s="1" t="str">
        <f ca="1">IFERROR(__xludf.DUMMYFUNCTION("GOOGLETRANSLATE(F10533, ""auto"", ""en"")
"),"I really liked the game compared to the first part. Yes, it has become a console game, but that doesn’t make it any worse. The graphics in general look a little better than in the first part, but again the game does not have an open world, which, in fact,"&amp;" did not upset me much. There are a lot of possibilities for passing, you can use different tactics, there is a very cool stealth, for the first time, properly implemented invisibility, and not some kind of cheating, but you really need to think tacticall"&amp;"y. The enemy’s AI is very good, it’s even interesting to watch from the side how they are trying to find you, talking to each other, etc. The plot is also interesting, I won’t spoil it. I highly recommend the game.    PS: It’s a pity that the game plays j"&amp;"ust disgustingly on a keyboard+mouse, they did something with the sensor, so it’s inconvenient to aim. I advise you to connect an Xbox 360 gamepad; it plays very nicely on it, especially if you prefer stealth playthroughs. I also liked how the gamepad’s f"&amp;"eedback works in the game. Aiming with a gamepad in the game is very convenient, the developers have done their best.")</f>
        <v>I really liked the game compared to the first part. Yes, it has become a console game, but that doesn’t make it any worse. The graphics in general look a little better than in the first part, but again the game does not have an open world, which, in fact, did not upset me much. There are a lot of possibilities for passing, you can use different tactics, there is a very cool stealth, for the first time, properly implemented invisibility, and not some kind of cheating, but you really need to think tactically. The enemy’s AI is very good, it’s even interesting to watch from the side how they are trying to find you, talking to each other, etc. The plot is also interesting, I won’t spoil it. I highly recommend the game.    PS: It’s a pity that the game plays just disgustingly on a keyboard+mouse, they did something with the sensor, so it’s inconvenient to aim. I advise you to connect an Xbox 360 gamepad; it plays very nicely on it, especially if you prefer stealth playthroughs. I also liked how the gamepad’s feedback works in the game. Aiming with a gamepad in the game is very convenient, the developers have done their best.</v>
      </c>
    </row>
    <row r="10534" spans="1:9" x14ac:dyDescent="0.3">
      <c r="A10534" s="1" t="s">
        <v>89</v>
      </c>
      <c r="B10534" s="1" t="s">
        <v>90</v>
      </c>
      <c r="C10534" s="1" t="s">
        <v>57</v>
      </c>
      <c r="D10534" s="1" t="s">
        <v>411</v>
      </c>
      <c r="E10534" s="1" t="s">
        <v>2455</v>
      </c>
      <c r="F10534" s="1" t="s">
        <v>15267</v>
      </c>
      <c r="G10534" s="1" t="s">
        <v>36</v>
      </c>
      <c r="H10534" s="1" t="s">
        <v>29</v>
      </c>
      <c r="I10534" s="1" t="str">
        <f ca="1">IFERROR(__xludf.DUMMYFUNCTION("GOOGLETRANSLATE(F10534, ""auto"", ""en"")
"),"Quiet, neat, takes up little space in the closet. Melts well. If you periodically stop and shake, no large pieces remain.   The cord is hidden inside the body. This is both a plus and a minus. The “plus” is saving space, the “minus” is wasting time twisti"&amp;"ng the cord inward.   The only serious drawback is the small volume. Even for one Turk (2 cups), one grind is not enough.")</f>
        <v>Quiet, neat, takes up little space in the closet. Melts well. If you periodically stop and shake, no large pieces remain.   The cord is hidden inside the body. This is both a plus and a minus. The “plus” is saving space, the “minus” is wasting time twisting the cord inward.   The only serious drawback is the small volume. Even for one Turk (2 cups), one grind is not enough.</v>
      </c>
    </row>
    <row r="10535" spans="1:9" x14ac:dyDescent="0.3">
      <c r="A10535" s="1" t="s">
        <v>732</v>
      </c>
      <c r="B10535" s="1" t="s">
        <v>733</v>
      </c>
      <c r="C10535" s="1" t="s">
        <v>80</v>
      </c>
      <c r="D10535" s="1" t="s">
        <v>46</v>
      </c>
      <c r="E10535" s="1" t="s">
        <v>1273</v>
      </c>
      <c r="F10535" s="1" t="s">
        <v>15268</v>
      </c>
      <c r="G10535" s="1" t="s">
        <v>36</v>
      </c>
      <c r="H10535" s="1" t="s">
        <v>29</v>
      </c>
      <c r="I10535" s="1" t="str">
        <f ca="1">IFERROR(__xludf.DUMMYFUNCTION("GOOGLETRANSLATE(F10535, ""auto"", ""en"")
"),"The monitor is good, especially at a discount like I bought it, I was very lucky with this purchase :-)")</f>
        <v>The monitor is good, especially at a discount like I bought it, I was very lucky with this purchase :-)</v>
      </c>
    </row>
    <row r="10536" spans="1:9" x14ac:dyDescent="0.3">
      <c r="A10536" s="1" t="s">
        <v>238</v>
      </c>
      <c r="B10536" s="1" t="s">
        <v>276</v>
      </c>
      <c r="C10536" s="1" t="s">
        <v>1677</v>
      </c>
      <c r="D10536" s="1" t="s">
        <v>280</v>
      </c>
      <c r="E10536" s="1" t="s">
        <v>5202</v>
      </c>
      <c r="F10536" s="1" t="s">
        <v>15269</v>
      </c>
      <c r="G10536" s="1" t="s">
        <v>36</v>
      </c>
      <c r="H10536" s="1" t="s">
        <v>29</v>
      </c>
      <c r="I10536" s="1" t="str">
        <f ca="1">IFERROR(__xludf.DUMMYFUNCTION("GOOGLETRANSLATE(F10536, ""auto"", ""en"")
"),"I have been using it since 2009. - excellent performance, solid appearance, large capacity and excellent ionization.")</f>
        <v>I have been using it since 2009. - excellent performance, solid appearance, large capacity and excellent ionization.</v>
      </c>
    </row>
    <row r="10537" spans="1:9" x14ac:dyDescent="0.3">
      <c r="A10537" s="1" t="s">
        <v>211</v>
      </c>
      <c r="B10537" s="1" t="s">
        <v>515</v>
      </c>
      <c r="C10537" s="1" t="s">
        <v>69</v>
      </c>
      <c r="D10537" s="1" t="s">
        <v>46</v>
      </c>
      <c r="E10537" s="1" t="s">
        <v>7725</v>
      </c>
      <c r="F10537" s="1" t="s">
        <v>15270</v>
      </c>
      <c r="G10537" s="1" t="s">
        <v>36</v>
      </c>
      <c r="H10537" s="1" t="s">
        <v>29</v>
      </c>
      <c r="I10537" s="1" t="str">
        <f ca="1">IFERROR(__xludf.DUMMYFUNCTION("GOOGLETRANSLATE(F10537, ""auto"", ""en"")
"),"I bought this epilator about a year ago, it works great, it plucks hair like a charm, and it doesn’t hurt at all. There is noise, but not very strong) Personally, I recommend it to everyone)")</f>
        <v>I bought this epilator about a year ago, it works great, it plucks hair like a charm, and it doesn’t hurt at all. There is noise, but not very strong) Personally, I recommend it to everyone)</v>
      </c>
    </row>
    <row r="10538" spans="1:9" x14ac:dyDescent="0.3">
      <c r="A10538" s="1" t="s">
        <v>17</v>
      </c>
      <c r="B10538" s="1" t="s">
        <v>18</v>
      </c>
      <c r="C10538" s="1" t="s">
        <v>277</v>
      </c>
      <c r="D10538" s="1" t="s">
        <v>3668</v>
      </c>
      <c r="E10538" s="1" t="s">
        <v>1000</v>
      </c>
      <c r="F10538" s="1" t="s">
        <v>15271</v>
      </c>
      <c r="G10538" s="1" t="s">
        <v>36</v>
      </c>
      <c r="H10538" s="1" t="s">
        <v>29</v>
      </c>
      <c r="I10538" s="1" t="str">
        <f ca="1">IFERROR(__xludf.DUMMYFUNCTION("GOOGLETRANSLATE(F10538, ""auto"", ""en"")
"),"Very good wash, I bought it for home. compact, beautiful, already tested in use. The price is simply wonderful, you won’t find such a wash on the market for that kind of money.")</f>
        <v>Very good wash, I bought it for home. compact, beautiful, already tested in use. The price is simply wonderful, you won’t find such a wash on the market for that kind of money.</v>
      </c>
    </row>
    <row r="10539" spans="1:9" x14ac:dyDescent="0.3">
      <c r="A10539" s="1" t="s">
        <v>1443</v>
      </c>
      <c r="B10539" s="1" t="s">
        <v>1444</v>
      </c>
      <c r="C10539" s="1" t="s">
        <v>1489</v>
      </c>
      <c r="D10539" s="1" t="s">
        <v>15272</v>
      </c>
      <c r="E10539" s="1" t="s">
        <v>971</v>
      </c>
      <c r="F10539" s="1" t="s">
        <v>15273</v>
      </c>
      <c r="G10539" s="1" t="s">
        <v>36</v>
      </c>
      <c r="H10539" s="1" t="s">
        <v>29</v>
      </c>
      <c r="I10539" s="1" t="str">
        <f ca="1">IFERROR(__xludf.DUMMYFUNCTION("GOOGLETRANSLATE(F10539, ""auto"", ""en"")
"),"I liked the flash drive right away. Compact, lightweight, cheerful colors. It works quickly, and didn’t glitch, even when dropped into a puddle.")</f>
        <v>I liked the flash drive right away. Compact, lightweight, cheerful colors. It works quickly, and didn’t glitch, even when dropped into a puddle.</v>
      </c>
    </row>
    <row r="10540" spans="1:9" x14ac:dyDescent="0.3">
      <c r="A10540" s="1" t="s">
        <v>43</v>
      </c>
      <c r="B10540" s="1" t="s">
        <v>44</v>
      </c>
      <c r="C10540" s="1" t="s">
        <v>185</v>
      </c>
      <c r="D10540" s="1" t="s">
        <v>305</v>
      </c>
      <c r="E10540" s="1" t="s">
        <v>1545</v>
      </c>
      <c r="F10540" s="1" t="s">
        <v>15274</v>
      </c>
      <c r="G10540" s="1" t="s">
        <v>36</v>
      </c>
      <c r="H10540" s="1" t="s">
        <v>29</v>
      </c>
      <c r="I10540" s="1" t="str">
        <f ca="1">IFERROR(__xludf.DUMMYFUNCTION("GOOGLETRANSLATE(F10540, ""auto"", ""en"")
"),"I bought this fan 2 years ago, I don’t regret the purchase even a day. It works quite quietly, you can’t hear it at all during the day, it drowns out city noise, and at night there is no need to turn it on at full power. For the night, operation at 2nd sp"&amp;"eed is sufficient, tested in the harsh conditions of the current heat. The noise level in this operating mode is more than comfortable, the fan is practically inaudible and does not disturb sleep.  It works 24 hours 7 days a week, no complaints.")</f>
        <v>I bought this fan 2 years ago, I don’t regret the purchase even a day. It works quite quietly, you can’t hear it at all during the day, it drowns out city noise, and at night there is no need to turn it on at full power. For the night, operation at 2nd speed is sufficient, tested in the harsh conditions of the current heat. The noise level in this operating mode is more than comfortable, the fan is practically inaudible and does not disturb sleep.  It works 24 hours 7 days a week, no complaints.</v>
      </c>
    </row>
    <row r="10541" spans="1:9" x14ac:dyDescent="0.3">
      <c r="A10541" s="1" t="s">
        <v>120</v>
      </c>
      <c r="B10541" s="1" t="s">
        <v>126</v>
      </c>
      <c r="C10541" s="1" t="s">
        <v>80</v>
      </c>
      <c r="D10541" s="1" t="s">
        <v>345</v>
      </c>
      <c r="E10541" s="1" t="s">
        <v>386</v>
      </c>
      <c r="F10541" s="1" t="s">
        <v>15275</v>
      </c>
      <c r="G10541" s="1" t="s">
        <v>36</v>
      </c>
      <c r="H10541" s="1" t="s">
        <v>29</v>
      </c>
      <c r="I10541" s="1" t="str">
        <f ca="1">IFERROR(__xludf.DUMMYFUNCTION("GOOGLETRANSLATE(F10541, ""auto"", ""en"")
"),"Not a bad TV model. I bought it for the New Year. I considered this as an option based on the following parameters: - Size - Color rendition - Protection from small children - Elimination of unnecessary functions (Internet, etc.) I'm happy with everything"&amp;", I'm happy with everything.  Of the minuses: - The screen is a little glare (glass, not matte) - Reads from flash cards, only AVI format.")</f>
        <v>Not a bad TV model. I bought it for the New Year. I considered this as an option based on the following parameters: - Size - Color rendition - Protection from small children - Elimination of unnecessary functions (Internet, etc.) I'm happy with everything, I'm happy with everything.  Of the minuses: - The screen is a little glare (glass, not matte) - Reads from flash cards, only AVI format.</v>
      </c>
    </row>
    <row r="10542" spans="1:9" x14ac:dyDescent="0.3">
      <c r="A10542" s="1" t="s">
        <v>211</v>
      </c>
      <c r="B10542" s="1" t="s">
        <v>212</v>
      </c>
      <c r="C10542" s="1" t="s">
        <v>381</v>
      </c>
      <c r="D10542" s="1" t="s">
        <v>3015</v>
      </c>
      <c r="E10542" s="1" t="s">
        <v>7596</v>
      </c>
      <c r="F10542" s="1" t="s">
        <v>15276</v>
      </c>
      <c r="G10542" s="1" t="s">
        <v>36</v>
      </c>
      <c r="H10542" s="1" t="s">
        <v>29</v>
      </c>
      <c r="I10542" s="1" t="str">
        <f ca="1">IFERROR(__xludf.DUMMYFUNCTION("GOOGLETRANSLATE(F10542, ""auto"", ""en"")
"),"I recently bought this iron! This is just lovely! Straightens 5+! I recommend it to everyone! Buy it, you won't regret it!")</f>
        <v>I recently bought this iron! This is just lovely! Straightens 5+! I recommend it to everyone! Buy it, you won't regret it!</v>
      </c>
    </row>
    <row r="10543" spans="1:9" x14ac:dyDescent="0.3">
      <c r="A10543" s="1" t="s">
        <v>61</v>
      </c>
      <c r="B10543" s="1" t="s">
        <v>62</v>
      </c>
      <c r="C10543" s="1" t="s">
        <v>63</v>
      </c>
      <c r="D10543" s="1" t="s">
        <v>172</v>
      </c>
      <c r="E10543" s="1" t="s">
        <v>4449</v>
      </c>
      <c r="F10543" s="1" t="s">
        <v>15277</v>
      </c>
      <c r="G10543" s="1" t="s">
        <v>36</v>
      </c>
      <c r="H10543" s="1" t="s">
        <v>29</v>
      </c>
      <c r="I10543" s="1" t="str">
        <f ca="1">IFERROR(__xludf.DUMMYFUNCTION("GOOGLETRANSLATE(F10543, ""auto"", ""en"")
"),"Versatility (Harvester and Blender!!!). Protection against switching on with the lid open (I was especially surprised by this feature in the blender). We get: cocktails and smoothies, liquid dough (cream disc) and thick dough (impeller knife), shredding ("&amp;"including a grater and cutting into cubes!!!!!), juices. I want to buy a disc for French fries.")</f>
        <v>Versatility (Harvester and Blender!!!). Protection against switching on with the lid open (I was especially surprised by this feature in the blender). We get: cocktails and smoothies, liquid dough (cream disc) and thick dough (impeller knife), shredding (including a grater and cutting into cubes!!!!!), juices. I want to buy a disc for French fries.</v>
      </c>
    </row>
    <row r="10544" spans="1:9" x14ac:dyDescent="0.3">
      <c r="A10544" s="1" t="s">
        <v>519</v>
      </c>
      <c r="B10544" s="1" t="s">
        <v>3340</v>
      </c>
      <c r="C10544" s="1" t="s">
        <v>3571</v>
      </c>
      <c r="D10544" s="1" t="s">
        <v>592</v>
      </c>
      <c r="E10544" s="1" t="s">
        <v>1597</v>
      </c>
      <c r="F10544" s="1" t="s">
        <v>15278</v>
      </c>
      <c r="G10544" s="1" t="s">
        <v>36</v>
      </c>
      <c r="H10544" s="1" t="s">
        <v>29</v>
      </c>
      <c r="I10544" s="1" t="str">
        <f ca="1">IFERROR(__xludf.DUMMYFUNCTION("GOOGLETRANSLATE(F10544, ""auto"", ""en"")
"),"Nothing sticks and cleaning is a pleasure!")</f>
        <v>Nothing sticks and cleaning is a pleasure!</v>
      </c>
    </row>
    <row r="10545" spans="1:9" x14ac:dyDescent="0.3">
      <c r="A10545" s="1" t="s">
        <v>105</v>
      </c>
      <c r="B10545" s="1" t="s">
        <v>106</v>
      </c>
      <c r="C10545" s="1" t="s">
        <v>1921</v>
      </c>
      <c r="D10545" s="1" t="s">
        <v>171</v>
      </c>
      <c r="E10545" s="1" t="s">
        <v>3775</v>
      </c>
      <c r="F10545" s="1" t="s">
        <v>15279</v>
      </c>
      <c r="G10545" s="1" t="s">
        <v>28</v>
      </c>
      <c r="H10545" s="1" t="s">
        <v>29</v>
      </c>
      <c r="I10545" s="1" t="str">
        <f ca="1">IFERROR(__xludf.DUMMYFUNCTION("GOOGLETRANSLATE(F10545, ""auto"", ""en"")
"),"Pros 1. The battery lasts for two movies or 5 hours of music.  2.Good quality of photos.  3.Connects to any computer without problems.    Cons 1. Half-touch buttons often do not work.  2.Texts are not convenient to read (besides, it doesn’t read documents"&amp;" from Office Word. 3.Standard headphones break after a week. 4.There is no adapter for the socket included. Conclusion If you just want to listen to music, take it right away, but if the quality of videos, texts, photos is important to you, look for somet"&amp;"hing else. And another tip is to immediately buy an adapter and headphones!")</f>
        <v>Pros 1. The battery lasts for two movies or 5 hours of music.  2.Good quality of photos.  3.Connects to any computer without problems.    Cons 1. Half-touch buttons often do not work.  2.Texts are not convenient to read (besides, it doesn’t read documents from Office Word. 3.Standard headphones break after a week. 4.There is no adapter for the socket included. Conclusion If you just want to listen to music, take it right away, but if the quality of videos, texts, photos is important to you, look for something else. And another tip is to immediately buy an adapter and headphones!</v>
      </c>
    </row>
    <row r="10546" spans="1:9" x14ac:dyDescent="0.3">
      <c r="A10546" s="1" t="s">
        <v>17</v>
      </c>
      <c r="B10546" s="1" t="s">
        <v>18</v>
      </c>
      <c r="C10546" s="1" t="s">
        <v>19</v>
      </c>
      <c r="D10546" s="1" t="s">
        <v>15280</v>
      </c>
      <c r="E10546" s="1" t="s">
        <v>285</v>
      </c>
      <c r="F10546" s="1" t="s">
        <v>15281</v>
      </c>
      <c r="G10546" s="1" t="s">
        <v>36</v>
      </c>
      <c r="H10546" s="1" t="s">
        <v>29</v>
      </c>
      <c r="I10546" s="1" t="str">
        <f ca="1">IFERROR(__xludf.DUMMYFUNCTION("GOOGLETRANSLATE(F10546, ""auto"", ""en"")
"),"We bought the same one 3 years ago and we still can’t get enough of it! Noisy during the spin cycle like everyone else! No more! It wrings out well, just lovely! For the money we are happy!")</f>
        <v>We bought the same one 3 years ago and we still can’t get enough of it! Noisy during the spin cycle like everyone else! No more! It wrings out well, just lovely! For the money we are happy!</v>
      </c>
    </row>
    <row r="10547" spans="1:9" x14ac:dyDescent="0.3">
      <c r="A10547" s="1" t="s">
        <v>61</v>
      </c>
      <c r="B10547" s="1" t="s">
        <v>73</v>
      </c>
      <c r="C10547" s="1" t="s">
        <v>146</v>
      </c>
      <c r="D10547" s="1" t="s">
        <v>589</v>
      </c>
      <c r="E10547" s="1" t="s">
        <v>15282</v>
      </c>
      <c r="F10547" s="1" t="s">
        <v>15283</v>
      </c>
      <c r="G10547" s="1" t="s">
        <v>49</v>
      </c>
      <c r="H10547" s="1" t="s">
        <v>16</v>
      </c>
      <c r="I10547" s="1" t="str">
        <f ca="1">IFERROR(__xludf.DUMMYFUNCTION("GOOGLETRANSLATE(F10547, ""auto"", ""en"")
"),"I started grinding tomatoes and it exploded, I was just in shock. This weekend I'll go try to change it or give it up. For that kind of money, a disposable meat grinder. Although the seller said that it is ideal for both meat and tomatoes and other vegeta"&amp;"bles.")</f>
        <v>I started grinding tomatoes and it exploded, I was just in shock. This weekend I'll go try to change it or give it up. For that kind of money, a disposable meat grinder. Although the seller said that it is ideal for both meat and tomatoes and other vegetables.</v>
      </c>
    </row>
    <row r="10548" spans="1:9" x14ac:dyDescent="0.3">
      <c r="A10548" s="1" t="s">
        <v>211</v>
      </c>
      <c r="B10548" s="1" t="s">
        <v>212</v>
      </c>
      <c r="C10548" s="1" t="s">
        <v>294</v>
      </c>
      <c r="D10548" s="1" t="s">
        <v>247</v>
      </c>
      <c r="E10548" s="1" t="s">
        <v>3512</v>
      </c>
      <c r="F10548" s="1" t="s">
        <v>15284</v>
      </c>
      <c r="G10548" s="1" t="s">
        <v>36</v>
      </c>
      <c r="H10548" s="1" t="s">
        <v>29</v>
      </c>
      <c r="I10548" s="1" t="str">
        <f ca="1">IFERROR(__xludf.DUMMYFUNCTION("GOOGLETRANSLATE(F10548, ""auto"", ""en"")
"),"I liked it. An ideal choice for dry and brittle hair, the Remington S9000 Straightener helps restore hair's moisture balance for softer, smoother, healthier-looking hair. The steam penetrates the hair structure and is “locked” there during styling, thereb"&amp;"y reducing hair breakage and split ends. The exclusive nano-diamond and Teflon coating provides unrivaled protection while also ensuring plate durability, even heat distribution and no hot spots.")</f>
        <v>I liked it. An ideal choice for dry and brittle hair, the Remington S9000 Straightener helps restore hair's moisture balance for softer, smoother, healthier-looking hair. The steam penetrates the hair structure and is “locked” there during styling, thereby reducing hair breakage and split ends. The exclusive nano-diamond and Teflon coating provides unrivaled protection while also ensuring plate durability, even heat distribution and no hot spots.</v>
      </c>
    </row>
    <row r="10549" spans="1:9" x14ac:dyDescent="0.3">
      <c r="A10549" s="1" t="s">
        <v>211</v>
      </c>
      <c r="B10549" s="1" t="s">
        <v>899</v>
      </c>
      <c r="C10549" s="1" t="s">
        <v>69</v>
      </c>
      <c r="D10549" s="1" t="s">
        <v>15285</v>
      </c>
      <c r="E10549" s="1" t="s">
        <v>3363</v>
      </c>
      <c r="F10549" s="1" t="s">
        <v>15286</v>
      </c>
      <c r="G10549" s="1" t="s">
        <v>36</v>
      </c>
      <c r="H10549" s="1" t="s">
        <v>29</v>
      </c>
      <c r="I10549" s="1" t="str">
        <f ca="1">IFERROR(__xludf.DUMMYFUNCTION("GOOGLETRANSLATE(F10549, ""auto"", ""en"")
"),"Hi all! I recently purchased this brush and really liked it. I used to use a regular one - I decided to update something, I settled on this model, it’s a great option, cleans quickly, and most importantly, efficiently.  The habituation mode is also a very"&amp;" good thing, since after a regular brush the sensations are quite unusual.  In general, I was pleased with the purchase.")</f>
        <v>Hi all! I recently purchased this brush and really liked it. I used to use a regular one - I decided to update something, I settled on this model, it’s a great option, cleans quickly, and most importantly, efficiently.  The habituation mode is also a very good thing, since after a regular brush the sensations are quite unusual.  In general, I was pleased with the purchase.</v>
      </c>
    </row>
    <row r="10550" spans="1:9" x14ac:dyDescent="0.3">
      <c r="A10550" s="1" t="s">
        <v>30</v>
      </c>
      <c r="B10550" s="1" t="s">
        <v>31</v>
      </c>
      <c r="C10550" s="1" t="s">
        <v>32</v>
      </c>
      <c r="D10550" s="1" t="s">
        <v>411</v>
      </c>
      <c r="E10550" s="1" t="s">
        <v>379</v>
      </c>
      <c r="F10550" s="1" t="s">
        <v>15287</v>
      </c>
      <c r="G10550" s="1" t="s">
        <v>28</v>
      </c>
      <c r="H10550" s="1" t="s">
        <v>29</v>
      </c>
      <c r="I10550" s="1" t="str">
        <f ca="1">IFERROR(__xludf.DUMMYFUNCTION("GOOGLETRANSLATE(F10550, ""auto"", ""en"")
"),"I completely agree with the previous answers. For the money this is an excellent computer. I have exactly the same problem with freezing and it’s very annoying. I really don't want to take it to service. Maybe there are experts here who can tell you what "&amp;"the problem is? or people who have already taken it to the service, write down what they said...")</f>
        <v>I completely agree with the previous answers. For the money this is an excellent computer. I have exactly the same problem with freezing and it’s very annoying. I really don't want to take it to service. Maybe there are experts here who can tell you what the problem is? or people who have already taken it to the service, write down what they said...</v>
      </c>
    </row>
    <row r="10551" spans="1:9" x14ac:dyDescent="0.3">
      <c r="A10551" s="1" t="s">
        <v>89</v>
      </c>
      <c r="B10551" s="1" t="s">
        <v>90</v>
      </c>
      <c r="C10551" s="1" t="s">
        <v>63</v>
      </c>
      <c r="D10551" s="1" t="s">
        <v>919</v>
      </c>
      <c r="E10551" s="1" t="s">
        <v>4069</v>
      </c>
      <c r="F10551" s="1" t="s">
        <v>15288</v>
      </c>
      <c r="G10551" s="1" t="s">
        <v>36</v>
      </c>
      <c r="H10551" s="1" t="s">
        <v>29</v>
      </c>
      <c r="I10551" s="1" t="str">
        <f ca="1">IFERROR(__xludf.DUMMYFUNCTION("GOOGLETRANSLATE(F10551, ""auto"", ""en"")
"),"grinds well")</f>
        <v>grinds well</v>
      </c>
    </row>
    <row r="10552" spans="1:9" x14ac:dyDescent="0.3">
      <c r="A10552" s="1" t="s">
        <v>557</v>
      </c>
      <c r="B10552" s="1" t="s">
        <v>558</v>
      </c>
      <c r="C10552" s="1" t="s">
        <v>816</v>
      </c>
      <c r="D10552" s="1" t="s">
        <v>171</v>
      </c>
      <c r="E10552" s="1" t="s">
        <v>3634</v>
      </c>
      <c r="F10552" s="1" t="s">
        <v>15289</v>
      </c>
      <c r="G10552" s="1" t="s">
        <v>49</v>
      </c>
      <c r="H10552" s="1" t="s">
        <v>16</v>
      </c>
      <c r="I10552" s="1" t="str">
        <f ca="1">IFERROR(__xludf.DUMMYFUNCTION("GOOGLETRANSLATE(F10552, ""auto"", ""en"")
"),"I bought this phone 1.5 years ago. Complete disappointment: under warranty it was repaired 3 times - the handset, the base and, finally, a complete replacement of the equipment. Now it's constantly buggy. The only joy is the answering machine.")</f>
        <v>I bought this phone 1.5 years ago. Complete disappointment: under warranty it was repaired 3 times - the handset, the base and, finally, a complete replacement of the equipment. Now it's constantly buggy. The only joy is the answering machine.</v>
      </c>
    </row>
    <row r="10553" spans="1:9" x14ac:dyDescent="0.3">
      <c r="A10553" s="1" t="s">
        <v>61</v>
      </c>
      <c r="B10553" s="1" t="s">
        <v>977</v>
      </c>
      <c r="C10553" s="1" t="s">
        <v>85</v>
      </c>
      <c r="D10553" s="1" t="s">
        <v>471</v>
      </c>
      <c r="E10553" s="1" t="s">
        <v>3752</v>
      </c>
      <c r="F10553" s="1" t="s">
        <v>15290</v>
      </c>
      <c r="G10553" s="1" t="s">
        <v>36</v>
      </c>
      <c r="H10553" s="1" t="s">
        <v>29</v>
      </c>
      <c r="I10553" s="1" t="str">
        <f ca="1">IFERROR(__xludf.DUMMYFUNCTION("GOOGLETRANSLATE(F10553, ""auto"", ""en"")
"),"Everything is whipped, crushed, chopped. Children go crazy about cocktails, I make fruit and vegetable purees for the youngest (after steaming) and even cottage cheese with fresh fruit. It's just a GUN, I'm very pleased.")</f>
        <v>Everything is whipped, crushed, chopped. Children go crazy about cocktails, I make fruit and vegetable purees for the youngest (after steaming) and even cottage cheese with fresh fruit. It's just a GUN, I'm very pleased.</v>
      </c>
    </row>
    <row r="10554" spans="1:9" x14ac:dyDescent="0.3">
      <c r="A10554" s="1" t="s">
        <v>67</v>
      </c>
      <c r="B10554" s="1" t="s">
        <v>68</v>
      </c>
      <c r="C10554" s="1" t="s">
        <v>246</v>
      </c>
      <c r="D10554" s="1" t="s">
        <v>247</v>
      </c>
      <c r="E10554" s="1" t="s">
        <v>11399</v>
      </c>
      <c r="F10554" s="1" t="s">
        <v>15291</v>
      </c>
      <c r="G10554" s="1" t="s">
        <v>28</v>
      </c>
      <c r="H10554" s="1" t="s">
        <v>29</v>
      </c>
      <c r="I10554" s="1" t="str">
        <f ca="1">IFERROR(__xludf.DUMMYFUNCTION("GOOGLETRANSLATE(F10554, ""auto"", ""en"")
"),"The iron is good, I even fell in love with the ironing procedure. One thing I can't do is remove the descaling rod. When purchasing, try it right away, maybe it’s me and not the iron.")</f>
        <v>The iron is good, I even fell in love with the ironing procedure. One thing I can't do is remove the descaling rod. When purchasing, try it right away, maybe it’s me and not the iron.</v>
      </c>
    </row>
    <row r="10555" spans="1:9" x14ac:dyDescent="0.3">
      <c r="A10555" s="1" t="s">
        <v>30</v>
      </c>
      <c r="B10555" s="1" t="s">
        <v>50</v>
      </c>
      <c r="C10555" s="1" t="s">
        <v>32</v>
      </c>
      <c r="D10555" s="1" t="s">
        <v>15292</v>
      </c>
      <c r="E10555" s="1" t="s">
        <v>1263</v>
      </c>
      <c r="F10555" s="1" t="s">
        <v>15293</v>
      </c>
      <c r="G10555" s="1" t="s">
        <v>49</v>
      </c>
      <c r="H10555" s="1" t="s">
        <v>16</v>
      </c>
      <c r="I10555" s="1" t="str">
        <f ca="1">IFERROR(__xludf.DUMMYFUNCTION("GOOGLETRANSLATE(F10555, ""auto"", ""en"")
"),"You shouldn’t take a weak laptop, you can take one that’s not that powerful, you won’t be able to play powerful games on it, the laptop will get very hot because the fans are small")</f>
        <v>You shouldn’t take a weak laptop, you can take one that’s not that powerful, you won’t be able to play powerful games on it, the laptop will get very hot because the fans are small</v>
      </c>
    </row>
    <row r="10556" spans="1:9" x14ac:dyDescent="0.3">
      <c r="A10556" s="1" t="s">
        <v>61</v>
      </c>
      <c r="B10556" s="1" t="s">
        <v>224</v>
      </c>
      <c r="C10556" s="1" t="s">
        <v>85</v>
      </c>
      <c r="D10556" s="1" t="s">
        <v>139</v>
      </c>
      <c r="E10556" s="1" t="s">
        <v>9349</v>
      </c>
      <c r="F10556" s="1" t="s">
        <v>15294</v>
      </c>
      <c r="G10556" s="1" t="s">
        <v>36</v>
      </c>
      <c r="H10556" s="1" t="s">
        <v>29</v>
      </c>
      <c r="I10556" s="1" t="str">
        <f ca="1">IFERROR(__xludf.DUMMYFUNCTION("GOOGLETRANSLATE(F10556, ""auto"", ""en"")
"),"I bought this juice with a discount and am very pleased!!! It squeezes perfectly and the cake is dry!!! Easy to clean!!! I recommend it to everyone!!!  Bork rules!!!")</f>
        <v>I bought this juice with a discount and am very pleased!!! It squeezes perfectly and the cake is dry!!! Easy to clean!!! I recommend it to everyone!!!  Bork rules!!!</v>
      </c>
    </row>
    <row r="10557" spans="1:9" x14ac:dyDescent="0.3">
      <c r="A10557" s="1" t="s">
        <v>61</v>
      </c>
      <c r="B10557" s="1" t="s">
        <v>318</v>
      </c>
      <c r="C10557" s="1" t="s">
        <v>85</v>
      </c>
      <c r="D10557" s="1" t="s">
        <v>2679</v>
      </c>
      <c r="E10557" s="1" t="s">
        <v>8883</v>
      </c>
      <c r="F10557" s="1" t="s">
        <v>15295</v>
      </c>
      <c r="G10557" s="1" t="s">
        <v>36</v>
      </c>
      <c r="H10557" s="1" t="s">
        <v>29</v>
      </c>
      <c r="I10557" s="1" t="str">
        <f ca="1">IFERROR(__xludf.DUMMYFUNCTION("GOOGLETRANSLATE(F10557, ""auto"", ""en"")
"),"Very quiet, does not interfere with watching TV, light, compact")</f>
        <v>Very quiet, does not interfere with watching TV, light, compact</v>
      </c>
    </row>
    <row r="10558" spans="1:9" x14ac:dyDescent="0.3">
      <c r="A10558" s="1" t="s">
        <v>149</v>
      </c>
      <c r="B10558" s="1" t="s">
        <v>150</v>
      </c>
      <c r="C10558" s="1" t="s">
        <v>982</v>
      </c>
      <c r="D10558" s="1" t="s">
        <v>139</v>
      </c>
      <c r="E10558" s="1" t="s">
        <v>10135</v>
      </c>
      <c r="F10558" s="1" t="s">
        <v>15296</v>
      </c>
      <c r="G10558" s="1" t="s">
        <v>15</v>
      </c>
      <c r="H10558" s="1" t="s">
        <v>16</v>
      </c>
      <c r="I10558" s="1" t="str">
        <f ca="1">IFERROR(__xludf.DUMMYFUNCTION("GOOGLETRANSLATE(F10558, ""auto"", ""en"")
"),"I bought it in March 2012. I handled it with care so as not to overheat 5 minutes after 5. There are no jokes about such things!!! After 10 washes the device began to leak, this was after a year and 5 months. They replaced the plastic part (they couldn’t "&amp;"make a metal part at high pressure (the craftsmen say it’s a consumable item)) Then I washed it a couple of times and that’s it, the pump drive fell apart and the motor burned out. I don’t know what I paid money for - it’s quality The models suck! I may h"&amp;"ave come across such a copy, but I won’t pay more for one name.")</f>
        <v>I bought it in March 2012. I handled it with care so as not to overheat 5 minutes after 5. There are no jokes about such things!!! After 10 washes the device began to leak, this was after a year and 5 months. They replaced the plastic part (they couldn’t make a metal part at high pressure (the craftsmen say it’s a consumable item)) Then I washed it a couple of times and that’s it, the pump drive fell apart and the motor burned out. I don’t know what I paid money for - it’s quality The models suck! I may have come across such a copy, but I won’t pay more for one name.</v>
      </c>
    </row>
    <row r="10559" spans="1:9" x14ac:dyDescent="0.3">
      <c r="A10559" s="1" t="s">
        <v>211</v>
      </c>
      <c r="B10559" s="1" t="s">
        <v>212</v>
      </c>
      <c r="C10559" s="1" t="s">
        <v>381</v>
      </c>
      <c r="D10559" s="1" t="s">
        <v>46</v>
      </c>
      <c r="E10559" s="1" t="s">
        <v>225</v>
      </c>
      <c r="F10559" s="1" t="s">
        <v>15297</v>
      </c>
      <c r="G10559" s="1" t="s">
        <v>36</v>
      </c>
      <c r="H10559" s="1" t="s">
        <v>29</v>
      </c>
      <c r="I10559" s="1" t="str">
        <f ca="1">IFERROR(__xludf.DUMMYFUNCTION("GOOGLETRANSLATE(F10559, ""auto"", ""en"")
"),"This hair dryer is THE BEST without any doubt!!! And the price matches the quality.")</f>
        <v>This hair dryer is THE BEST without any doubt!!! And the price matches the quality.</v>
      </c>
    </row>
    <row r="10560" spans="1:9" x14ac:dyDescent="0.3">
      <c r="A10560" s="1" t="s">
        <v>120</v>
      </c>
      <c r="B10560" s="1" t="s">
        <v>196</v>
      </c>
      <c r="C10560" s="1" t="s">
        <v>80</v>
      </c>
      <c r="D10560" s="1" t="s">
        <v>11480</v>
      </c>
      <c r="E10560" s="1" t="s">
        <v>903</v>
      </c>
      <c r="F10560" s="1" t="s">
        <v>15298</v>
      </c>
      <c r="G10560" s="1" t="s">
        <v>36</v>
      </c>
      <c r="H10560" s="1" t="s">
        <v>29</v>
      </c>
      <c r="I10560" s="1" t="str">
        <f ca="1">IFERROR(__xludf.DUMMYFUNCTION("GOOGLETRANSLATE(F10560, ""auto"", ""en"")
"),"I tried connecting via a VGA cable - the resolution was up to 1440x900, which is slightly more than 1366x768. Excellent picture, sound and design for this amount. The USB connector also works. Reads a huge number of video formats. I’m especially pleased w"&amp;"ith watching the BD Remux format in excellent quality on a hard drive (plays without slowdown!), i.e. download and watch. The only shame is that the Blutooth icon is there, but the transmission device itself is not. In general, I am very happy with my cho"&amp;"ice.")</f>
        <v>I tried connecting via a VGA cable - the resolution was up to 1440x900, which is slightly more than 1366x768. Excellent picture, sound and design for this amount. The USB connector also works. Reads a huge number of video formats. I’m especially pleased with watching the BD Remux format in excellent quality on a hard drive (plays without slowdown!), i.e. download and watch. The only shame is that the Blutooth icon is there, but the transmission device itself is not. In general, I am very happy with my choice.</v>
      </c>
    </row>
    <row r="10561" spans="1:9" x14ac:dyDescent="0.3">
      <c r="A10561" s="1" t="s">
        <v>120</v>
      </c>
      <c r="B10561" s="1" t="s">
        <v>126</v>
      </c>
      <c r="C10561" s="1" t="s">
        <v>151</v>
      </c>
      <c r="D10561" s="1" t="s">
        <v>117</v>
      </c>
      <c r="E10561" s="1" t="s">
        <v>269</v>
      </c>
      <c r="F10561" s="1" t="s">
        <v>15299</v>
      </c>
      <c r="G10561" s="1" t="s">
        <v>36</v>
      </c>
      <c r="H10561" s="1" t="s">
        <v>29</v>
      </c>
      <c r="I10561" s="1" t="str">
        <f ca="1">IFERROR(__xludf.DUMMYFUNCTION("GOOGLETRANSLATE(F10561, ""auto"", ""en"")
"),"I've been using it for a month and everything works fine! no problem! I advise you to dig in - you won’t regret it! I don't think you can find a better price-quality ratio! At first there were problems with parsing the settings from the menu, but 10 minut"&amp;"es and a great “scientific poke” and even without instructions you can figure it out easily!")</f>
        <v>I've been using it for a month and everything works fine! no problem! I advise you to dig in - you won’t regret it! I don't think you can find a better price-quality ratio! At first there were problems with parsing the settings from the menu, but 10 minutes and a great “scientific poke” and even without instructions you can figure it out easily!</v>
      </c>
    </row>
    <row r="10562" spans="1:9" x14ac:dyDescent="0.3">
      <c r="A10562" s="1" t="s">
        <v>95</v>
      </c>
      <c r="B10562" s="1" t="s">
        <v>486</v>
      </c>
      <c r="C10562" s="1" t="s">
        <v>487</v>
      </c>
      <c r="D10562" s="1" t="s">
        <v>327</v>
      </c>
      <c r="E10562" s="1" t="s">
        <v>820</v>
      </c>
      <c r="F10562" s="1" t="s">
        <v>15300</v>
      </c>
      <c r="G10562" s="1" t="s">
        <v>36</v>
      </c>
      <c r="H10562" s="1" t="s">
        <v>29</v>
      </c>
      <c r="I10562" s="1" t="str">
        <f ca="1">IFERROR(__xludf.DUMMYFUNCTION("GOOGLETRANSLATE(F10562, ""auto"", ""en"")
"),"The console is just super! I'm happy! Buy without questions, better than PS3")</f>
        <v>The console is just super! I'm happy! Buy without questions, better than PS3</v>
      </c>
    </row>
    <row r="10563" spans="1:9" x14ac:dyDescent="0.3">
      <c r="A10563" s="1" t="s">
        <v>61</v>
      </c>
      <c r="B10563" s="1" t="s">
        <v>145</v>
      </c>
      <c r="C10563" s="1" t="s">
        <v>314</v>
      </c>
      <c r="D10563" s="1" t="s">
        <v>171</v>
      </c>
      <c r="E10563" s="1" t="s">
        <v>666</v>
      </c>
      <c r="F10563" s="1" t="s">
        <v>15301</v>
      </c>
      <c r="G10563" s="1" t="s">
        <v>49</v>
      </c>
      <c r="H10563" s="1" t="s">
        <v>16</v>
      </c>
      <c r="I10563" s="1" t="str">
        <f ca="1">IFERROR(__xludf.DUMMYFUNCTION("GOOGLETRANSLATE(F10563, ""auto"", ""en"")
"),"It takes a very long time to dry if all the trays are filled. It burned out for no reason.   It was necessary to take it to the service station on the other side of Moscow. In general, we threw it away.")</f>
        <v>It takes a very long time to dry if all the trays are filled. It burned out for no reason.   It was necessary to take it to the service station on the other side of Moscow. In general, we threw it away.</v>
      </c>
    </row>
    <row r="10564" spans="1:9" x14ac:dyDescent="0.3">
      <c r="A10564" s="1" t="s">
        <v>120</v>
      </c>
      <c r="B10564" s="1" t="s">
        <v>126</v>
      </c>
      <c r="C10564" s="1" t="s">
        <v>151</v>
      </c>
      <c r="D10564" s="1" t="s">
        <v>568</v>
      </c>
      <c r="E10564" s="1" t="s">
        <v>2059</v>
      </c>
      <c r="F10564" s="1" t="s">
        <v>15302</v>
      </c>
      <c r="G10564" s="1" t="s">
        <v>36</v>
      </c>
      <c r="H10564" s="1" t="s">
        <v>29</v>
      </c>
      <c r="I10564" s="1" t="str">
        <f ca="1">IFERROR(__xludf.DUMMYFUNCTION("GOOGLETRANSLATE(F10564, ""auto"", ""en"")
"),"TV was purchased on November 18, 2010. No complaints. I just came, I saw, I bought. I didn’t try to figure out the functions in the store. As a rule, before purchasing, I study the product very carefully on the Internet. I read reviews. But it was an impu"&amp;"lse purchase. I don't regret it. I am completely satisfied with the purchase. One caveat: it seemed that it was a little noisy, I thought that such TVs work like monitors, without sound.")</f>
        <v>TV was purchased on November 18, 2010. No complaints. I just came, I saw, I bought. I didn’t try to figure out the functions in the store. As a rule, before purchasing, I study the product very carefully on the Internet. I read reviews. But it was an impulse purchase. I don't regret it. I am completely satisfied with the purchase. One caveat: it seemed that it was a little noisy, I thought that such TVs work like monitors, without sound.</v>
      </c>
    </row>
    <row r="10565" spans="1:9" x14ac:dyDescent="0.3">
      <c r="A10565" s="1" t="s">
        <v>149</v>
      </c>
      <c r="B10565" s="1" t="s">
        <v>155</v>
      </c>
      <c r="C10565" s="1" t="s">
        <v>1187</v>
      </c>
      <c r="D10565" s="1" t="s">
        <v>2045</v>
      </c>
      <c r="E10565" s="1" t="s">
        <v>1376</v>
      </c>
      <c r="F10565" s="1" t="s">
        <v>15303</v>
      </c>
      <c r="G10565" s="1" t="s">
        <v>36</v>
      </c>
      <c r="H10565" s="1" t="s">
        <v>29</v>
      </c>
      <c r="I10565" s="1" t="str">
        <f ca="1">IFERROR(__xludf.DUMMYFUNCTION("GOOGLETRANSLATE(F10565, ""auto"", ""en"")
"),"Excellent vacuum cleaner. I have a small child, he just started crawling, so I have to clean up every other day. And every time there is a lot of garbage (where does it come from???). At first my husband grumbled that it was expensive, but after looking a"&amp;"t the result of the cleaning he agreed that it was worth the money. During cleaning, there is no smell of dust, and the air seems cleaner. A neighbor asked me to try vacuuming (she has two dogs) and was shocked by what she was breathing. I shook out the t"&amp;"rash three times. And I was very surprised that there was no wool left on the floor. I ordered it the same day! We are very pleased!")</f>
        <v>Excellent vacuum cleaner. I have a small child, he just started crawling, so I have to clean up every other day. And every time there is a lot of garbage (where does it come from???). At first my husband grumbled that it was expensive, but after looking at the result of the cleaning he agreed that it was worth the money. During cleaning, there is no smell of dust, and the air seems cleaner. A neighbor asked me to try vacuuming (she has two dogs) and was shocked by what she was breathing. I shook out the trash three times. And I was very surprised that there was no wool left on the floor. I ordered it the same day! We are very pleased!</v>
      </c>
    </row>
    <row r="10566" spans="1:9" x14ac:dyDescent="0.3">
      <c r="A10566" s="1" t="s">
        <v>61</v>
      </c>
      <c r="B10566" s="1" t="s">
        <v>224</v>
      </c>
      <c r="C10566" s="1" t="s">
        <v>85</v>
      </c>
      <c r="D10566" s="1" t="s">
        <v>1890</v>
      </c>
      <c r="E10566" s="1" t="s">
        <v>13631</v>
      </c>
      <c r="F10566" s="1" t="s">
        <v>15304</v>
      </c>
      <c r="G10566" s="1" t="s">
        <v>36</v>
      </c>
      <c r="H10566" s="1" t="s">
        <v>29</v>
      </c>
      <c r="I10566" s="1" t="str">
        <f ca="1">IFERROR(__xludf.DUMMYFUNCTION("GOOGLETRANSLATE(F10566, ""auto"", ""en"")
"),"Convenient and easy to use, fully equipped, reasonable price")</f>
        <v>Convenient and easy to use, fully equipped, reasonable price</v>
      </c>
    </row>
    <row r="10567" spans="1:9" x14ac:dyDescent="0.3">
      <c r="A10567" s="1" t="s">
        <v>95</v>
      </c>
      <c r="B10567" s="1" t="s">
        <v>648</v>
      </c>
      <c r="C10567" s="1" t="s">
        <v>97</v>
      </c>
      <c r="D10567" s="1" t="s">
        <v>280</v>
      </c>
      <c r="E10567" s="1" t="s">
        <v>4862</v>
      </c>
      <c r="F10567" s="1" t="s">
        <v>15305</v>
      </c>
      <c r="G10567" s="1" t="s">
        <v>36</v>
      </c>
      <c r="H10567" s="1" t="s">
        <v>29</v>
      </c>
      <c r="I10567" s="1" t="str">
        <f ca="1">IFERROR(__xludf.DUMMYFUNCTION("GOOGLETRANSLATE(F10567, ""auto"", ""en"")
"),"purchased today, official firmware version 6.2")</f>
        <v>purchased today, official firmware version 6.2</v>
      </c>
    </row>
    <row r="10568" spans="1:9" x14ac:dyDescent="0.3">
      <c r="A10568" s="1" t="s">
        <v>149</v>
      </c>
      <c r="B10568" s="1" t="s">
        <v>155</v>
      </c>
      <c r="C10568" s="1" t="s">
        <v>80</v>
      </c>
      <c r="D10568" s="1" t="s">
        <v>11994</v>
      </c>
      <c r="E10568" s="1" t="s">
        <v>178</v>
      </c>
      <c r="F10568" s="1" t="s">
        <v>15306</v>
      </c>
      <c r="G10568" s="1" t="s">
        <v>36</v>
      </c>
      <c r="H10568" s="1" t="s">
        <v>29</v>
      </c>
      <c r="I10568" s="1" t="str">
        <f ca="1">IFERROR(__xludf.DUMMYFUNCTION("GOOGLETRANSLATE(F10568, ""auto"", ""en"")
"),"I also spent a long time choosing a vacuum cleaner - I searched the entire Internet and settled on the same model of the same series - 8810 huv - because... it is the most powerful and the container volume is 2.2 liters. My wife and I are very pleased wit"&amp;"h the purchase we made - the vacuum cleaner is simply super! And about the briquette, this is partly true, because it is not as dense as everyone expected, but we are more than happy with it! Buy it, you won’t regret it!!!")</f>
        <v>I also spent a long time choosing a vacuum cleaner - I searched the entire Internet and settled on the same model of the same series - 8810 huv - because... it is the most powerful and the container volume is 2.2 liters. My wife and I are very pleased with the purchase we made - the vacuum cleaner is simply super! And about the briquette, this is partly true, because it is not as dense as everyone expected, but we are more than happy with it! Buy it, you won’t regret it!!!</v>
      </c>
    </row>
    <row r="10569" spans="1:9" x14ac:dyDescent="0.3">
      <c r="A10569" s="1" t="s">
        <v>30</v>
      </c>
      <c r="B10569" s="1" t="s">
        <v>50</v>
      </c>
      <c r="C10569" s="1" t="s">
        <v>51</v>
      </c>
      <c r="D10569" s="1" t="s">
        <v>15307</v>
      </c>
      <c r="E10569" s="1" t="s">
        <v>2702</v>
      </c>
      <c r="F10569" s="1" t="s">
        <v>15308</v>
      </c>
      <c r="G10569" s="1" t="s">
        <v>36</v>
      </c>
      <c r="H10569" s="1" t="s">
        <v>29</v>
      </c>
      <c r="I10569" s="1" t="str">
        <f ca="1">IFERROR(__xludf.DUMMYFUNCTION("GOOGLETRANSLATE(F10569, ""auto"", ""en"")
"),"Today I bought this machine for myself, I’m very pleased with the multifunctional powerful computer that can handle almost all games, the large display, in general, I advise everyone to take it, you won’t regret it, for the money there can’t be anything b"&amp;"etter!")</f>
        <v>Today I bought this machine for myself, I’m very pleased with the multifunctional powerful computer that can handle almost all games, the large display, in general, I advise everyone to take it, you won’t regret it, for the money there can’t be anything better!</v>
      </c>
    </row>
    <row r="10570" spans="1:9" x14ac:dyDescent="0.3">
      <c r="A10570" s="1" t="s">
        <v>120</v>
      </c>
      <c r="B10570" s="1" t="s">
        <v>126</v>
      </c>
      <c r="C10570" s="1" t="s">
        <v>151</v>
      </c>
      <c r="D10570" s="1" t="s">
        <v>186</v>
      </c>
      <c r="E10570" s="1" t="s">
        <v>386</v>
      </c>
      <c r="F10570" s="1" t="s">
        <v>15309</v>
      </c>
      <c r="G10570" s="1" t="s">
        <v>28</v>
      </c>
      <c r="H10570" s="1" t="s">
        <v>29</v>
      </c>
      <c r="I10570" s="1" t="str">
        <f ca="1">IFERROR(__xludf.DUMMYFUNCTION("GOOGLETRANSLATE(F10570, ""auto"", ""en"")
"),"Got caught with a burnt matrix. At the bottom of the screen there is a stripe with impaired color rendering. I'm replacing it under warranty, but I'll take the same one. Overall the device is excellent. There are freezes when playing from a flash drive, t"&amp;"o which the TV simply reboots. Quite possibly caused by broken video files. supports digital TV. take a standing TV.")</f>
        <v>Got caught with a burnt matrix. At the bottom of the screen there is a stripe with impaired color rendering. I'm replacing it under warranty, but I'll take the same one. Overall the device is excellent. There are freezes when playing from a flash drive, to which the TV simply reboots. Quite possibly caused by broken video files. supports digital TV. take a standing TV.</v>
      </c>
    </row>
    <row r="10571" spans="1:9" x14ac:dyDescent="0.3">
      <c r="A10571" s="1" t="s">
        <v>61</v>
      </c>
      <c r="B10571" s="1" t="s">
        <v>318</v>
      </c>
      <c r="C10571" s="1" t="s">
        <v>745</v>
      </c>
      <c r="D10571" s="1" t="s">
        <v>474</v>
      </c>
      <c r="E10571" s="1" t="s">
        <v>8151</v>
      </c>
      <c r="F10571" s="1" t="s">
        <v>15310</v>
      </c>
      <c r="G10571" s="1" t="s">
        <v>36</v>
      </c>
      <c r="H10571" s="1" t="s">
        <v>29</v>
      </c>
      <c r="I10571" s="1" t="str">
        <f ca="1">IFERROR(__xludf.DUMMYFUNCTION("GOOGLETRANSLATE(F10571, ""auto"", ""en"")
"),"We have been using this kettle for a month now. We bought it in this store. It works stably, without any complaints. Heats up the water quite quickly. But I mostly like it because there is a dial that indicates the current water temperature. A very useful"&amp;" feature.")</f>
        <v>We have been using this kettle for a month now. We bought it in this store. It works stably, without any complaints. Heats up the water quite quickly. But I mostly like it because there is a dial that indicates the current water temperature. A very useful feature.</v>
      </c>
    </row>
    <row r="10572" spans="1:9" x14ac:dyDescent="0.3">
      <c r="A10572" s="1" t="s">
        <v>61</v>
      </c>
      <c r="B10572" s="1" t="s">
        <v>318</v>
      </c>
      <c r="C10572" s="1" t="s">
        <v>101</v>
      </c>
      <c r="D10572" s="1" t="s">
        <v>565</v>
      </c>
      <c r="E10572" s="1" t="s">
        <v>3861</v>
      </c>
      <c r="F10572" s="1" t="s">
        <v>15311</v>
      </c>
      <c r="G10572" s="1" t="s">
        <v>36</v>
      </c>
      <c r="H10572" s="1" t="s">
        <v>29</v>
      </c>
      <c r="I10572" s="1" t="str">
        <f ca="1">IFERROR(__xludf.DUMMYFUNCTION("GOOGLETRANSLATE(F10572, ""auto"", ""en"")
"),"In general, I like ordinary kettles, but I received a thermopot as a gift, which is much more spacious than a kettle. In principle, the smell of plastic doesn’t really bother me much, but he didn’t smell like plastic. It boils longer than a kettle, but ma"&amp;"intains the temperature for a long time. I got it as a gift a year ago and I'm very happy. Although it seems to me that it’s more for an office, we have a family of 5 people, our own mini-office.)")</f>
        <v>In general, I like ordinary kettles, but I received a thermopot as a gift, which is much more spacious than a kettle. In principle, the smell of plastic doesn’t really bother me much, but he didn’t smell like plastic. It boils longer than a kettle, but maintains the temperature for a long time. I got it as a gift a year ago and I'm very happy. Although it seems to me that it’s more for an office, we have a family of 5 people, our own mini-office.)</v>
      </c>
    </row>
    <row r="10573" spans="1:9" x14ac:dyDescent="0.3">
      <c r="A10573" s="1" t="s">
        <v>169</v>
      </c>
      <c r="B10573" s="1" t="s">
        <v>170</v>
      </c>
      <c r="C10573" s="1" t="s">
        <v>69</v>
      </c>
      <c r="D10573" s="1" t="s">
        <v>345</v>
      </c>
      <c r="E10573" s="1" t="s">
        <v>6232</v>
      </c>
      <c r="F10573" s="1" t="s">
        <v>15312</v>
      </c>
      <c r="G10573" s="1" t="s">
        <v>28</v>
      </c>
      <c r="H10573" s="1" t="s">
        <v>29</v>
      </c>
      <c r="I10573" s="1" t="str">
        <f ca="1">IFERROR(__xludf.DUMMYFUNCTION("GOOGLETRANSLATE(F10573, ""auto"", ""en"")
"),"I was looking for headphones to replace the original ones from SE, i.e. for phone. Six months of severe use (I can say I fall asleep in them day and night, at least with them on) and I didn’t find any problems with either the left or the right earphone pa"&amp;"h-pah-pah... The sound is good for this price. The only shortcoming is in the lower part, next to the lanyard fastening, the material with which the wires are covered. It started to get fluffy, which doesn’t look very nice)) Overall, I’m happy with the he"&amp;"adphones.")</f>
        <v>I was looking for headphones to replace the original ones from SE, i.e. for phone. Six months of severe use (I can say I fall asleep in them day and night, at least with them on) and I didn’t find any problems with either the left or the right earphone pah-pah-pah... The sound is good for this price. The only shortcoming is in the lower part, next to the lanyard fastening, the material with which the wires are covered. It started to get fluffy, which doesn’t look very nice)) Overall, I’m happy with the headphones.</v>
      </c>
    </row>
    <row r="10574" spans="1:9" x14ac:dyDescent="0.3">
      <c r="A10574" s="1" t="s">
        <v>61</v>
      </c>
      <c r="B10574" s="1" t="s">
        <v>318</v>
      </c>
      <c r="C10574" s="1" t="s">
        <v>745</v>
      </c>
      <c r="D10574" s="1" t="s">
        <v>1917</v>
      </c>
      <c r="E10574" s="1" t="s">
        <v>2396</v>
      </c>
      <c r="F10574" s="1" t="s">
        <v>15313</v>
      </c>
      <c r="G10574" s="1" t="s">
        <v>49</v>
      </c>
      <c r="H10574" s="1" t="s">
        <v>16</v>
      </c>
      <c r="I10574" s="1" t="str">
        <f ca="1">IFERROR(__xludf.DUMMYFUNCTION("GOOGLETRANSLATE(F10574, ""auto"", ""en"")
"),"Inexpensive, compact")</f>
        <v>Inexpensive, compact</v>
      </c>
    </row>
    <row r="10575" spans="1:9" x14ac:dyDescent="0.3">
      <c r="A10575" s="1" t="s">
        <v>61</v>
      </c>
      <c r="B10575" s="1" t="s">
        <v>1126</v>
      </c>
      <c r="C10575" s="1" t="s">
        <v>57</v>
      </c>
      <c r="D10575" s="1" t="s">
        <v>1520</v>
      </c>
      <c r="E10575" s="1" t="s">
        <v>367</v>
      </c>
      <c r="F10575" s="1" t="s">
        <v>15314</v>
      </c>
      <c r="G10575" s="1" t="s">
        <v>36</v>
      </c>
      <c r="H10575" s="1" t="s">
        <v>29</v>
      </c>
      <c r="I10575" s="1" t="str">
        <f ca="1">IFERROR(__xludf.DUMMYFUNCTION("GOOGLETRANSLATE(F10575, ""auto"", ""en"")
"),"We bought it a month ago, it weighs correctly, even though it’s cheap. Buy it, you won’t regret it.")</f>
        <v>We bought it a month ago, it weighs correctly, even though it’s cheap. Buy it, you won’t regret it.</v>
      </c>
    </row>
    <row r="10576" spans="1:9" x14ac:dyDescent="0.3">
      <c r="A10576" s="1" t="s">
        <v>61</v>
      </c>
      <c r="B10576" s="1" t="s">
        <v>73</v>
      </c>
      <c r="C10576" s="1" t="s">
        <v>101</v>
      </c>
      <c r="D10576" s="1" t="s">
        <v>1747</v>
      </c>
      <c r="E10576" s="1" t="s">
        <v>15315</v>
      </c>
      <c r="F10576" s="1" t="s">
        <v>15316</v>
      </c>
      <c r="G10576" s="1" t="s">
        <v>36</v>
      </c>
      <c r="H10576" s="1" t="s">
        <v>29</v>
      </c>
      <c r="I10576" s="1" t="str">
        <f ca="1">IFERROR(__xludf.DUMMYFUNCTION("GOOGLETRANSLATE(F10576, ""auto"", ""en"")
"),"A wonderful electric meat grinder, for an average price, excellent quality. It turns the minced meat perfectly, without any strain, the noise is average, I’m very happy with the purchase! To prevent the parts from oxidizing, immediately wash and wipe dry!"&amp;" I recommend!")</f>
        <v>A wonderful electric meat grinder, for an average price, excellent quality. It turns the minced meat perfectly, without any strain, the noise is average, I’m very happy with the purchase! To prevent the parts from oxidizing, immediately wash and wipe dry! I recommend!</v>
      </c>
    </row>
    <row r="10577" spans="1:9" x14ac:dyDescent="0.3">
      <c r="A10577" s="1" t="s">
        <v>17</v>
      </c>
      <c r="B10577" s="1" t="s">
        <v>18</v>
      </c>
      <c r="C10577" s="1" t="s">
        <v>159</v>
      </c>
      <c r="D10577" s="1" t="s">
        <v>295</v>
      </c>
      <c r="E10577" s="1" t="s">
        <v>7141</v>
      </c>
      <c r="F10577" s="1" t="s">
        <v>15317</v>
      </c>
      <c r="G10577" s="1" t="s">
        <v>36</v>
      </c>
      <c r="H10577" s="1" t="s">
        <v>29</v>
      </c>
      <c r="I10577" s="1" t="str">
        <f ca="1">IFERROR(__xludf.DUMMYFUNCTION("GOOGLETRANSLATE(F10577, ""auto"", ""en"")
"),"This is the second time I buy this model. The first one served for about 15 years, although the heater burned out once and had to be replaced. It sits under the sink, out of the way. This one is more advanced.   I really like it.")</f>
        <v>This is the second time I buy this model. The first one served for about 15 years, although the heater burned out once and had to be replaced. It sits under the sink, out of the way. This one is more advanced.   I really like it.</v>
      </c>
    </row>
    <row r="10578" spans="1:9" x14ac:dyDescent="0.3">
      <c r="A10578" s="1" t="s">
        <v>113</v>
      </c>
      <c r="B10578" s="1" t="s">
        <v>1251</v>
      </c>
      <c r="C10578" s="1" t="s">
        <v>2115</v>
      </c>
      <c r="D10578" s="1" t="s">
        <v>39</v>
      </c>
      <c r="E10578" s="1" t="s">
        <v>2126</v>
      </c>
      <c r="F10578" s="1" t="s">
        <v>15318</v>
      </c>
      <c r="G10578" s="1" t="s">
        <v>36</v>
      </c>
      <c r="H10578" s="1" t="s">
        <v>29</v>
      </c>
      <c r="I10578" s="1" t="str">
        <f ca="1">IFERROR(__xludf.DUMMYFUNCTION("GOOGLETRANSLATE(F10578, ""auto"", ""en"")
"),"I bought it yesterday. happy as an elephant. I'm tired of clicking on Sotik. compact, convenient, clear settings. Buy if you don't want to deal with all sorts of numerous settings and the quality is good.")</f>
        <v>I bought it yesterday. happy as an elephant. I'm tired of clicking on Sotik. compact, convenient, clear settings. Buy if you don't want to deal with all sorts of numerous settings and the quality is good.</v>
      </c>
    </row>
    <row r="10579" spans="1:9" x14ac:dyDescent="0.3">
      <c r="A10579" s="1" t="s">
        <v>149</v>
      </c>
      <c r="B10579" s="1" t="s">
        <v>155</v>
      </c>
      <c r="C10579" s="1" t="s">
        <v>63</v>
      </c>
      <c r="D10579" s="1" t="s">
        <v>335</v>
      </c>
      <c r="E10579" s="1" t="s">
        <v>8932</v>
      </c>
      <c r="F10579" s="1" t="s">
        <v>15319</v>
      </c>
      <c r="G10579" s="1" t="s">
        <v>49</v>
      </c>
      <c r="H10579" s="1" t="s">
        <v>16</v>
      </c>
      <c r="I10579" s="1" t="str">
        <f ca="1">IFERROR(__xludf.DUMMYFUNCTION("GOOGLETRANSLATE(F10579, ""auto"", ""en"")
"),"We bought this model, we really regret it, it is very noisy, dust flies out, it broke down quickly. I don't recommend buying it.")</f>
        <v>We bought this model, we really regret it, it is very noisy, dust flies out, it broke down quickly. I don't recommend buying it.</v>
      </c>
    </row>
    <row r="10580" spans="1:9" x14ac:dyDescent="0.3">
      <c r="A10580" s="1" t="s">
        <v>206</v>
      </c>
      <c r="B10580" s="1" t="s">
        <v>261</v>
      </c>
      <c r="C10580" s="1" t="s">
        <v>107</v>
      </c>
      <c r="D10580" s="1" t="s">
        <v>127</v>
      </c>
      <c r="E10580" s="1" t="s">
        <v>6435</v>
      </c>
      <c r="F10580" s="1" t="s">
        <v>15320</v>
      </c>
      <c r="G10580" s="1" t="s">
        <v>36</v>
      </c>
      <c r="H10580" s="1" t="s">
        <v>29</v>
      </c>
      <c r="I10580" s="1" t="str">
        <f ca="1">IFERROR(__xludf.DUMMYFUNCTION("GOOGLETRANSLATE(F10580, ""auto"", ""en"")
"),"For a long time I didn’t know whether it was worth buying and which one, but I settled on this device, I’m 100% satisfied, the sound is deep, the bass is excellent, I didn’t detect any interference or hissing at either low or high volumes, + the display b"&amp;"acklight is Red, which perfectly matches the red interior lighting of my boomer!")</f>
        <v>For a long time I didn’t know whether it was worth buying and which one, but I settled on this device, I’m 100% satisfied, the sound is deep, the bass is excellent, I didn’t detect any interference or hissing at either low or high volumes, + the display backlight is Red, which perfectly matches the red interior lighting of my boomer!</v>
      </c>
    </row>
    <row r="10581" spans="1:9" x14ac:dyDescent="0.3">
      <c r="A10581" s="1" t="s">
        <v>211</v>
      </c>
      <c r="B10581" s="1" t="s">
        <v>212</v>
      </c>
      <c r="C10581" s="1" t="s">
        <v>453</v>
      </c>
      <c r="D10581" s="1" t="s">
        <v>32</v>
      </c>
      <c r="E10581" s="1" t="s">
        <v>1971</v>
      </c>
      <c r="F10581" s="1" t="s">
        <v>15321</v>
      </c>
      <c r="G10581" s="1" t="s">
        <v>36</v>
      </c>
      <c r="H10581" s="1" t="s">
        <v>29</v>
      </c>
      <c r="I10581" s="1" t="str">
        <f ca="1">IFERROR(__xludf.DUMMYFUNCTION("GOOGLETRANSLATE(F10581, ""auto"", ""en"")
"),"For my hair, space straightener! The price confused me at first, but I still took the risk of buying it and didn’t regret it one bit!")</f>
        <v>For my hair, space straightener! The price confused me at first, but I still took the risk of buying it and didn’t regret it one bit!</v>
      </c>
    </row>
    <row r="10582" spans="1:9" x14ac:dyDescent="0.3">
      <c r="A10582" s="1" t="s">
        <v>451</v>
      </c>
      <c r="B10582" s="1" t="s">
        <v>452</v>
      </c>
      <c r="C10582" s="1" t="s">
        <v>710</v>
      </c>
      <c r="D10582" s="1" t="s">
        <v>240</v>
      </c>
      <c r="E10582" s="1" t="s">
        <v>1804</v>
      </c>
      <c r="F10582" s="1" t="s">
        <v>15322</v>
      </c>
      <c r="G10582" s="1" t="s">
        <v>28</v>
      </c>
      <c r="H10582" s="1" t="s">
        <v>29</v>
      </c>
      <c r="I10582" s="1" t="str">
        <f ca="1">IFERROR(__xludf.DUMMYFUNCTION("GOOGLETRANSLATE(F10582, ""auto"", ""en"")
"),"I have a question - what is the internal size of the central hole and the length of the knife with blades? ▶▶▶M.VIDEO EXPERT ANSWER◀◀◀Yana, this information is not stated by the manufacturer, due to the fact that there is a clear list of meat grinder mode"&amp;"ls with which this knife will be compatible, and it is as follows: Scarlett SC-149; PANASONIC MK-G1500P, MK-G1800WTR, MK-G1500PWTR, MK-G1300PWT, MK-G38, MK-G20, MK-G30, MK-G8710; ELENBERG MG-2501; Verloni VL-549; Daewoo DI-1920S, Dl-9180, DI-9182. This ac"&amp;"cessory will not be compatible with other models.")</f>
        <v>I have a question - what is the internal size of the central hole and the length of the knife with blades? ▶▶▶M.VIDEO EXPERT ANSWER◀◀◀Yana, this information is not stated by the manufacturer, due to the fact that there is a clear list of meat grinder models with which this knife will be compatible, and it is as follows: Scarlett SC-149; PANASONIC MK-G1500P, MK-G1800WTR, MK-G1500PWTR, MK-G1300PWT, MK-G38, MK-G20, MK-G30, MK-G8710; ELENBERG MG-2501; Verloni VL-549; Daewoo DI-1920S, Dl-9180, DI-9182. This accessory will not be compatible with other models.</v>
      </c>
    </row>
    <row r="10583" spans="1:9" x14ac:dyDescent="0.3">
      <c r="A10583" s="1" t="s">
        <v>61</v>
      </c>
      <c r="B10583" s="1" t="s">
        <v>318</v>
      </c>
      <c r="C10583" s="1" t="s">
        <v>63</v>
      </c>
      <c r="D10583" s="1" t="s">
        <v>15323</v>
      </c>
      <c r="E10583" s="1" t="s">
        <v>8494</v>
      </c>
      <c r="F10583" s="1" t="s">
        <v>15324</v>
      </c>
      <c r="G10583" s="1" t="s">
        <v>28</v>
      </c>
      <c r="H10583" s="1" t="s">
        <v>29</v>
      </c>
      <c r="I10583" s="1" t="str">
        <f ca="1">IFERROR(__xludf.DUMMYFUNCTION("GOOGLETRANSLATE(F10583, ""auto"", ""en"")
"),"The kettle is good, no doubt about it. But, apparently, they did it better before, because... The one bought 4 years ago turned out to be more reliable and more practical than the one bought last year (they wanted to exchange the old one for a new one, bu"&amp;"t it didn’t last a year and began to leak).")</f>
        <v>The kettle is good, no doubt about it. But, apparently, they did it better before, because... The one bought 4 years ago turned out to be more reliable and more practical than the one bought last year (they wanted to exchange the old one for a new one, but it didn’t last a year and began to leak).</v>
      </c>
    </row>
    <row r="10584" spans="1:9" x14ac:dyDescent="0.3">
      <c r="A10584" s="1" t="s">
        <v>369</v>
      </c>
      <c r="B10584" s="1" t="s">
        <v>587</v>
      </c>
      <c r="C10584" s="1" t="s">
        <v>159</v>
      </c>
      <c r="D10584" s="1" t="s">
        <v>2217</v>
      </c>
      <c r="E10584" s="1" t="s">
        <v>631</v>
      </c>
      <c r="F10584" s="1" t="s">
        <v>15325</v>
      </c>
      <c r="G10584" s="1" t="s">
        <v>36</v>
      </c>
      <c r="H10584" s="1" t="s">
        <v>29</v>
      </c>
      <c r="I10584" s="1" t="str">
        <f ca="1">IFERROR(__xludf.DUMMYFUNCTION("GOOGLETRANSLATE(F10584, ""auto"", ""en"")
"),"Overall, the stove leaves a positive impression after 6 months of use.  Convection in the oven is good, for example, pizza is baked at 180 degrees for 12 minutes on its own special baking sheet (bought separately, Teflon coating, bottom with holes). There"&amp;" is a lower drawer for storing frying pans, for example.  The work surface with gas burners is easy to clean, no problems so far. The fact that there is a metal grate on the gas burners and not cast iron is, in our opinion, not important.  Among the minus"&amp;"es: - the application of pictures on the handles will most likely be erased over time (after using the oven, you don’t need to keep it open, it affects the handles - but this is the case for all gas stoves) - the electric cord from the oven is short, in p"&amp;"rinciple, we have an outlet nearby, but there is another one nearby and it is no longer reachable. Sometimes it is necessary for other electrical appliances.  - the light bulb in the oven burned out, I replaced it by buying an analogue one, nothing compli"&amp;"cated. I can’t attribute it specifically to the device, because... Light bulbs throughout the apartment burn out regularly.")</f>
        <v>Overall, the stove leaves a positive impression after 6 months of use.  Convection in the oven is good, for example, pizza is baked at 180 degrees for 12 minutes on its own special baking sheet (bought separately, Teflon coating, bottom with holes). There is a lower drawer for storing frying pans, for example.  The work surface with gas burners is easy to clean, no problems so far. The fact that there is a metal grate on the gas burners and not cast iron is, in our opinion, not important.  Among the minuses: - the application of pictures on the handles will most likely be erased over time (after using the oven, you don’t need to keep it open, it affects the handles - but this is the case for all gas stoves) - the electric cord from the oven is short, in principle, we have an outlet nearby, but there is another one nearby and it is no longer reachable. Sometimes it is necessary for other electrical appliances.  - the light bulb in the oven burned out, I replaced it by buying an analogue one, nothing complicated. I can’t attribute it specifically to the device, because... Light bulbs throughout the apartment burn out regularly.</v>
      </c>
    </row>
    <row r="10585" spans="1:9" x14ac:dyDescent="0.3">
      <c r="A10585" s="1" t="s">
        <v>37</v>
      </c>
      <c r="B10585" s="1" t="s">
        <v>38</v>
      </c>
      <c r="C10585" s="1" t="s">
        <v>39</v>
      </c>
      <c r="D10585" s="1" t="s">
        <v>280</v>
      </c>
      <c r="E10585" s="1" t="s">
        <v>794</v>
      </c>
      <c r="F10585" s="1" t="s">
        <v>15326</v>
      </c>
      <c r="G10585" s="1" t="s">
        <v>36</v>
      </c>
      <c r="H10585" s="1" t="s">
        <v>29</v>
      </c>
      <c r="I10585" s="1" t="str">
        <f ca="1">IFERROR(__xludf.DUMMYFUNCTION("GOOGLETRANSLATE(F10585, ""auto"", ""en"")
"),"The phone is very cool, but there are very few themes and games for it, especially firmware.")</f>
        <v>The phone is very cool, but there are very few themes and games for it, especially firmware.</v>
      </c>
    </row>
    <row r="10586" spans="1:9" x14ac:dyDescent="0.3">
      <c r="A10586" s="1" t="s">
        <v>30</v>
      </c>
      <c r="B10586" s="1" t="s">
        <v>50</v>
      </c>
      <c r="C10586" s="1" t="s">
        <v>32</v>
      </c>
      <c r="D10586" s="1" t="s">
        <v>15327</v>
      </c>
      <c r="E10586" s="1" t="s">
        <v>5596</v>
      </c>
      <c r="F10586" s="1" t="s">
        <v>15328</v>
      </c>
      <c r="G10586" s="1" t="s">
        <v>36</v>
      </c>
      <c r="H10586" s="1" t="s">
        <v>29</v>
      </c>
      <c r="I10586" s="1" t="str">
        <f ca="1">IFERROR(__xludf.DUMMYFUNCTION("GOOGLETRANSLATE(F10586, ""auto"", ""en"")
"),"Very good netbook, I recommend it, good keyboard, battery lasts about 6.5 hours.")</f>
        <v>Very good netbook, I recommend it, good keyboard, battery lasts about 6.5 hours.</v>
      </c>
    </row>
    <row r="10587" spans="1:9" x14ac:dyDescent="0.3">
      <c r="A10587" s="1" t="s">
        <v>169</v>
      </c>
      <c r="B10587" s="1" t="s">
        <v>170</v>
      </c>
      <c r="C10587" s="1" t="s">
        <v>69</v>
      </c>
      <c r="D10587" s="1" t="s">
        <v>208</v>
      </c>
      <c r="E10587" s="1" t="s">
        <v>1742</v>
      </c>
      <c r="F10587" s="1" t="s">
        <v>15329</v>
      </c>
      <c r="G10587" s="1" t="s">
        <v>28</v>
      </c>
      <c r="H10587" s="1" t="s">
        <v>29</v>
      </c>
      <c r="I10587" s="1" t="str">
        <f ca="1">IFERROR(__xludf.DUMMYFUNCTION("GOOGLETRANSLATE(F10587, ""auto"", ""en"")
"),"The headphones have one drawback: they are a little quiet. But in terms of convenience, they are in 1st place - they don’t pinch, don’t rub, and the ears don’t sweat as much as they have fabric, not leather. In general, for the money the best in M.video")</f>
        <v>The headphones have one drawback: they are a little quiet. But in terms of convenience, they are in 1st place - they don’t pinch, don’t rub, and the ears don’t sweat as much as they have fabric, not leather. In general, for the money the best in M.video</v>
      </c>
    </row>
    <row r="10588" spans="1:9" x14ac:dyDescent="0.3">
      <c r="A10588" s="1" t="s">
        <v>30</v>
      </c>
      <c r="B10588" s="1" t="s">
        <v>50</v>
      </c>
      <c r="C10588" s="1" t="s">
        <v>32</v>
      </c>
      <c r="D10588" s="1" t="s">
        <v>1124</v>
      </c>
      <c r="E10588" s="1" t="s">
        <v>854</v>
      </c>
      <c r="F10588" s="1" t="s">
        <v>15330</v>
      </c>
      <c r="G10588" s="1" t="s">
        <v>36</v>
      </c>
      <c r="H10588" s="1" t="s">
        <v>29</v>
      </c>
      <c r="I10588" s="1" t="str">
        <f ca="1">IFERROR(__xludf.DUMMYFUNCTION("GOOGLETRANSLATE(F10588, ""auto"", ""en"")
"),"I bought it, all games work, gta4")</f>
        <v>I bought it, all games work, gta4</v>
      </c>
    </row>
    <row r="10589" spans="1:9" x14ac:dyDescent="0.3">
      <c r="A10589" s="1" t="s">
        <v>30</v>
      </c>
      <c r="B10589" s="1" t="s">
        <v>50</v>
      </c>
      <c r="C10589" s="1" t="s">
        <v>694</v>
      </c>
      <c r="D10589" s="1" t="s">
        <v>15331</v>
      </c>
      <c r="E10589" s="1" t="s">
        <v>4184</v>
      </c>
      <c r="F10589" s="1" t="s">
        <v>15332</v>
      </c>
      <c r="G10589" s="1" t="s">
        <v>36</v>
      </c>
      <c r="H10589" s="1" t="s">
        <v>29</v>
      </c>
      <c r="I10589" s="1" t="str">
        <f ca="1">IFERROR(__xludf.DUMMYFUNCTION("GOOGLETRANSLATE(F10589, ""auto"", ""en"")
"),"An excellent netbook with all the necessary functions. I recently purchased it and really like it. Convenient, lightweight and takes up little space.")</f>
        <v>An excellent netbook with all the necessary functions. I recently purchased it and really like it. Convenient, lightweight and takes up little space.</v>
      </c>
    </row>
    <row r="10590" spans="1:9" x14ac:dyDescent="0.3">
      <c r="A10590" s="1" t="s">
        <v>61</v>
      </c>
      <c r="B10590" s="1" t="s">
        <v>318</v>
      </c>
      <c r="C10590" s="1" t="s">
        <v>246</v>
      </c>
      <c r="D10590" s="1" t="s">
        <v>11480</v>
      </c>
      <c r="E10590" s="1" t="s">
        <v>4080</v>
      </c>
      <c r="F10590" s="1" t="s">
        <v>15333</v>
      </c>
      <c r="G10590" s="1" t="s">
        <v>49</v>
      </c>
      <c r="H10590" s="1" t="s">
        <v>16</v>
      </c>
      <c r="I10590" s="1" t="str">
        <f ca="1">IFERROR(__xludf.DUMMYFUNCTION("GOOGLETRANSLATE(F10590, ""auto"", ""en"")
"),"The kettle is not a month old, BUT 1) There is rust (and the kettle is made of stainless steel) 2) The opening lid is stuck.  3) The plastic water control window begins to crack.  So draw your conclusions, ladies and gentlemen.  Tomorrow I'm going to chan"&amp;"ge it, and most likely I'll return the money.")</f>
        <v>The kettle is not a month old, BUT 1) There is rust (and the kettle is made of stainless steel) 2) The opening lid is stuck.  3) The plastic water control window begins to crack.  So draw your conclusions, ladies and gentlemen.  Tomorrow I'm going to change it, and most likely I'll return the money.</v>
      </c>
    </row>
    <row r="10591" spans="1:9" x14ac:dyDescent="0.3">
      <c r="A10591" s="1" t="s">
        <v>9</v>
      </c>
      <c r="B10591" s="1" t="s">
        <v>10</v>
      </c>
      <c r="C10591" s="1" t="s">
        <v>466</v>
      </c>
      <c r="D10591" s="1" t="s">
        <v>39</v>
      </c>
      <c r="E10591" s="1" t="s">
        <v>15334</v>
      </c>
      <c r="F10591" s="1" t="s">
        <v>15335</v>
      </c>
      <c r="G10591" s="1" t="s">
        <v>28</v>
      </c>
      <c r="H10591" s="1" t="s">
        <v>29</v>
      </c>
      <c r="I10591" s="1" t="str">
        <f ca="1">IFERROR(__xludf.DUMMYFUNCTION("GOOGLETRANSLATE(F10591, ""auto"", ""en"")
"),"It pulls fine.")</f>
        <v>It pulls fine.</v>
      </c>
    </row>
    <row r="10592" spans="1:9" x14ac:dyDescent="0.3">
      <c r="A10592" s="1" t="s">
        <v>61</v>
      </c>
      <c r="B10592" s="1" t="s">
        <v>145</v>
      </c>
      <c r="C10592" s="1" t="s">
        <v>74</v>
      </c>
      <c r="D10592" s="1" t="s">
        <v>15336</v>
      </c>
      <c r="E10592" s="1" t="s">
        <v>15337</v>
      </c>
      <c r="F10592" s="1" t="s">
        <v>15338</v>
      </c>
      <c r="G10592" s="1" t="s">
        <v>15</v>
      </c>
      <c r="H10592" s="1" t="s">
        <v>16</v>
      </c>
      <c r="I10592" s="1" t="str">
        <f ca="1">IFERROR(__xludf.DUMMYFUNCTION("GOOGLETRANSLATE(F10592, ""auto"", ""en"")
"),"The yoghurts turn out very tasty, but there is one drawback: after 6 months the yoghurt maker began to overheat. Well, there is an electrician I know, he did something in it and it, heating up to 40 degrees, began to turn off!!!!")</f>
        <v>The yoghurts turn out very tasty, but there is one drawback: after 6 months the yoghurt maker began to overheat. Well, there is an electrician I know, he did something in it and it, heating up to 40 degrees, began to turn off!!!!</v>
      </c>
    </row>
    <row r="10593" spans="1:9" x14ac:dyDescent="0.3">
      <c r="A10593" s="1" t="s">
        <v>61</v>
      </c>
      <c r="B10593" s="1" t="s">
        <v>145</v>
      </c>
      <c r="C10593" s="1" t="s">
        <v>1981</v>
      </c>
      <c r="D10593" s="1" t="s">
        <v>565</v>
      </c>
      <c r="E10593" s="1" t="s">
        <v>3356</v>
      </c>
      <c r="F10593" s="1" t="s">
        <v>15339</v>
      </c>
      <c r="G10593" s="1" t="s">
        <v>36</v>
      </c>
      <c r="H10593" s="1" t="s">
        <v>29</v>
      </c>
      <c r="I10593" s="1" t="str">
        <f ca="1">IFERROR(__xludf.DUMMYFUNCTION("GOOGLETRANSLATE(F10593, ""auto"", ""en"")
"),"Super thing! How many times has it happened that you set eggs to boil in a saucepan and forget, you come running, and either the water has already boiled away, or the eggs are flying around the kitchen. And now it’s a pleasure to cook eggs, you don’t have"&amp;" to dirty the pots and it will notify you when it’s ready. I highly recommend it.")</f>
        <v>Super thing! How many times has it happened that you set eggs to boil in a saucepan and forget, you come running, and either the water has already boiled away, or the eggs are flying around the kitchen. And now it’s a pleasure to cook eggs, you don’t have to dirty the pots and it will notify you when it’s ready. I highly recommend it.</v>
      </c>
    </row>
    <row r="10594" spans="1:9" x14ac:dyDescent="0.3">
      <c r="A10594" s="1" t="s">
        <v>67</v>
      </c>
      <c r="B10594" s="1" t="s">
        <v>68</v>
      </c>
      <c r="C10594" s="1" t="s">
        <v>381</v>
      </c>
      <c r="D10594" s="1" t="s">
        <v>589</v>
      </c>
      <c r="E10594" s="1" t="s">
        <v>259</v>
      </c>
      <c r="F10594" s="1" t="s">
        <v>15340</v>
      </c>
      <c r="G10594" s="1" t="s">
        <v>15</v>
      </c>
      <c r="H10594" s="1" t="s">
        <v>16</v>
      </c>
      <c r="I10594" s="1" t="str">
        <f ca="1">IFERROR(__xludf.DUMMYFUNCTION("GOOGLETRANSLATE(F10594, ""auto"", ""en"")
"),"I agree with what was said above. Once we bought it, joy knew no bounds. It’s both powerful and the working surface is wide (no need to wave your hand 20 times). But 3 weeks after the purchase the board burned out. Repaired under warranty. A year passed, "&amp;"the same thing happened again: the board burned out. Not only will the repairs take 3 weeks, but they also announced a price of 3,000 rubles. And for this money you can buy a new iron. Conclusion: the iron is terribly unreliable, even though it costs almo"&amp;"st 5,000 rubles. I don't recommend buying.")</f>
        <v>I agree with what was said above. Once we bought it, joy knew no bounds. It’s both powerful and the working surface is wide (no need to wave your hand 20 times). But 3 weeks after the purchase the board burned out. Repaired under warranty. A year passed, the same thing happened again: the board burned out. Not only will the repairs take 3 weeks, but they also announced a price of 3,000 rubles. And for this money you can buy a new iron. Conclusion: the iron is terribly unreliable, even though it costs almost 5,000 rubles. I don't recommend buying.</v>
      </c>
    </row>
    <row r="10595" spans="1:9" x14ac:dyDescent="0.3">
      <c r="A10595" s="1" t="s">
        <v>757</v>
      </c>
      <c r="B10595" s="1" t="s">
        <v>758</v>
      </c>
      <c r="C10595" s="1" t="s">
        <v>160</v>
      </c>
      <c r="D10595" s="1" t="s">
        <v>232</v>
      </c>
      <c r="E10595" s="1" t="s">
        <v>3262</v>
      </c>
      <c r="F10595" s="1" t="s">
        <v>15341</v>
      </c>
      <c r="G10595" s="1" t="s">
        <v>36</v>
      </c>
      <c r="H10595" s="1" t="s">
        <v>29</v>
      </c>
      <c r="I10595" s="1" t="str">
        <f ca="1">IFERROR(__xludf.DUMMYFUNCTION("GOOGLETRANSLATE(F10595, ""auto"", ""en"")
"),"Although the subwoofer is small in appearance, one might even say it is so inconspicuous. But it produces the right sound. Manufacturers managed to fit as much as two hundred watts of power into this small cube, which even ordinary large subwoofers cannot"&amp;" boast of.  The way this monster improves sound quality is, of course, difficult to describe in words. Everything sounds really cool, the sound is loud, but crisp and clear. The bass is so loud that the glass is cracking, the pumping is unreal.  The main "&amp;"thing is to slightly adjust the sound on the subwoofer itself; there are special volume and cutoff frequency controls.  The subwoofer is easy to connect, it has all the necessary connectors.  It is also ideal for placement, very small in size, only twenty"&amp;" centimeters in height and width. I installed it on the floor next to the TV stand, it looks beautiful. The sub is generally made with high quality, from nice MDF. The material that covers the speaker itself is quite durable fabric, I think it will not te"&amp;"ar over time. I give this sub a full five out of five. For quality, power and beautiful design.")</f>
        <v>Although the subwoofer is small in appearance, one might even say it is so inconspicuous. But it produces the right sound. Manufacturers managed to fit as much as two hundred watts of power into this small cube, which even ordinary large subwoofers cannot boast of.  The way this monster improves sound quality is, of course, difficult to describe in words. Everything sounds really cool, the sound is loud, but crisp and clear. The bass is so loud that the glass is cracking, the pumping is unreal.  The main thing is to slightly adjust the sound on the subwoofer itself; there are special volume and cutoff frequency controls.  The subwoofer is easy to connect, it has all the necessary connectors.  It is also ideal for placement, very small in size, only twenty centimeters in height and width. I installed it on the floor next to the TV stand, it looks beautiful. The sub is generally made with high quality, from nice MDF. The material that covers the speaker itself is quite durable fabric, I think it will not tear over time. I give this sub a full five out of five. For quality, power and beautiful design.</v>
      </c>
    </row>
    <row r="10596" spans="1:9" x14ac:dyDescent="0.3">
      <c r="A10596" s="1" t="s">
        <v>61</v>
      </c>
      <c r="B10596" s="1" t="s">
        <v>145</v>
      </c>
      <c r="C10596" s="1" t="s">
        <v>85</v>
      </c>
      <c r="D10596" s="1" t="s">
        <v>2336</v>
      </c>
      <c r="E10596" s="1" t="s">
        <v>1275</v>
      </c>
      <c r="F10596" s="1" t="s">
        <v>15342</v>
      </c>
      <c r="G10596" s="1" t="s">
        <v>36</v>
      </c>
      <c r="H10596" s="1" t="s">
        <v>29</v>
      </c>
      <c r="I10596" s="1" t="str">
        <f ca="1">IFERROR(__xludf.DUMMYFUNCTION("GOOGLETRANSLATE(F10596, ""auto"", ""en"")
"),"I bought a steamer as a gift for my mother. At first I wanted to buy Tefal, but when I saw the plastic bases and mechanical controls, I immediately abandoned this idea. I saw Bork and immediately liked the design, the metal body, and the electric controls"&amp;". Mom and I are happy with the choice, there are no complaints about the work. I recommend it to everyone.")</f>
        <v>I bought a steamer as a gift for my mother. At first I wanted to buy Tefal, but when I saw the plastic bases and mechanical controls, I immediately abandoned this idea. I saw Bork and immediately liked the design, the metal body, and the electric controls. Mom and I are happy with the choice, there are no complaints about the work. I recommend it to everyone.</v>
      </c>
    </row>
    <row r="10597" spans="1:9" x14ac:dyDescent="0.3">
      <c r="A10597" s="1" t="s">
        <v>2087</v>
      </c>
      <c r="B10597" s="1" t="s">
        <v>2088</v>
      </c>
      <c r="C10597" s="1" t="s">
        <v>1771</v>
      </c>
      <c r="D10597" s="1" t="s">
        <v>20</v>
      </c>
      <c r="E10597" s="1" t="s">
        <v>3184</v>
      </c>
      <c r="F10597" s="1" t="s">
        <v>15343</v>
      </c>
      <c r="G10597" s="1" t="s">
        <v>36</v>
      </c>
      <c r="H10597" s="1" t="s">
        <v>29</v>
      </c>
      <c r="I10597" s="1" t="str">
        <f ca="1">IFERROR(__xludf.DUMMYFUNCTION("GOOGLETRANSLATE(F10597, ""auto"", ""en"")
"),"The player is quite decent. Excellent disc search - very fast considering the size of the BD disc. Although there is a minus - relatively high noise (whistle) when spinning up the disk. One of the shortcomings is the lack of a Russified menu (although eve"&amp;"rything is intuitive and in English). When the QuickStart function is activated, it does not turn off completely; the fan remains running, which is not very pleasant to listen to, so you are unlikely to use the function. But in principle, these are minor "&amp;"things. Otherwise, everything is fine - the quality is a solid A, compatibility with TV (even from another brand) is complete. TV control from the player's remote control via an HDMI cable - automatic image format adjustment. My advice is buy it, you won'"&amp;"t regret it. Pioneer - he is Pioneer.")</f>
        <v>The player is quite decent. Excellent disc search - very fast considering the size of the BD disc. Although there is a minus - relatively high noise (whistle) when spinning up the disk. One of the shortcomings is the lack of a Russified menu (although everything is intuitive and in English). When the QuickStart function is activated, it does not turn off completely; the fan remains running, which is not very pleasant to listen to, so you are unlikely to use the function. But in principle, these are minor things. Otherwise, everything is fine - the quality is a solid A, compatibility with TV (even from another brand) is complete. TV control from the player's remote control via an HDMI cable - automatic image format adjustment. My advice is buy it, you won't regret it. Pioneer - he is Pioneer.</v>
      </c>
    </row>
    <row r="10598" spans="1:9" x14ac:dyDescent="0.3">
      <c r="A10598" s="1" t="s">
        <v>149</v>
      </c>
      <c r="B10598" s="1" t="s">
        <v>155</v>
      </c>
      <c r="C10598" s="1" t="s">
        <v>151</v>
      </c>
      <c r="D10598" s="1" t="s">
        <v>280</v>
      </c>
      <c r="E10598" s="1" t="s">
        <v>1978</v>
      </c>
      <c r="F10598" s="1" t="s">
        <v>15344</v>
      </c>
      <c r="G10598" s="1" t="s">
        <v>15</v>
      </c>
      <c r="H10598" s="1" t="s">
        <v>16</v>
      </c>
      <c r="I10598" s="1" t="str">
        <f ca="1">IFERROR(__xludf.DUMMYFUNCTION("GOOGLETRANSLATE(F10598, ""auto"", ""en"")
"),"The vacuum cleaner is the same series, only 6650, but externally and internally it is the same. I couldn’t stand cleaning a 3-room apartment due to overheating, although I always worked at medium power. A year later, when turned on, the back cover began t"&amp;"o fly off, followed by a HEPA filter, which was changed at least once every 3 months. After 14-15 months, the blower melted and the motor had to be replaced, as well as the back cover. But history repeated itself again... The lid and filter began to fly o"&amp;"ff again due to temperature deformations. And I couldn't stand it. I threw it in the trash as is. We took out an old LG Storm (10 years old, however) and are using it. A friend of mine had the same model and behaved identically. It is best used as a heat "&amp;"gun or hair dryer.")</f>
        <v>The vacuum cleaner is the same series, only 6650, but externally and internally it is the same. I couldn’t stand cleaning a 3-room apartment due to overheating, although I always worked at medium power. A year later, when turned on, the back cover began to fly off, followed by a HEPA filter, which was changed at least once every 3 months. After 14-15 months, the blower melted and the motor had to be replaced, as well as the back cover. But history repeated itself again... The lid and filter began to fly off again due to temperature deformations. And I couldn't stand it. I threw it in the trash as is. We took out an old LG Storm (10 years old, however) and are using it. A friend of mine had the same model and behaved identically. It is best used as a heat gun or hair dryer.</v>
      </c>
    </row>
    <row r="10599" spans="1:9" x14ac:dyDescent="0.3">
      <c r="A10599" s="1" t="s">
        <v>30</v>
      </c>
      <c r="B10599" s="1" t="s">
        <v>50</v>
      </c>
      <c r="C10599" s="1" t="s">
        <v>151</v>
      </c>
      <c r="D10599" s="1" t="s">
        <v>280</v>
      </c>
      <c r="E10599" s="1" t="s">
        <v>3652</v>
      </c>
      <c r="F10599" s="1" t="s">
        <v>15345</v>
      </c>
      <c r="G10599" s="1" t="s">
        <v>36</v>
      </c>
      <c r="H10599" s="1" t="s">
        <v>29</v>
      </c>
      <c r="I10599" s="1" t="str">
        <f ca="1">IFERROR(__xludf.DUMMYFUNCTION("GOOGLETRANSLATE(F10599, ""auto"", ""en"")
"),"I advise everyone.... The book is clear, accordingly, for the amount that M video offers. I went to almost all the stores in the city for this amount and couldn’t find anything better. It’s very convenient except for the USB ports because pulling the mous"&amp;"e wire is not fun. flies on the Internet. I haven’t tried to play with toys, but I think it’s easy to handle... so I recommend it)))")</f>
        <v>I advise everyone.... The book is clear, accordingly, for the amount that M video offers. I went to almost all the stores in the city for this amount and couldn’t find anything better. It’s very convenient except for the USB ports because pulling the mouse wire is not fun. flies on the Internet. I haven’t tried to play with toys, but I think it’s easy to handle... so I recommend it)))</v>
      </c>
    </row>
    <row r="10600" spans="1:9" x14ac:dyDescent="0.3">
      <c r="A10600" s="1" t="s">
        <v>61</v>
      </c>
      <c r="B10600" s="1" t="s">
        <v>180</v>
      </c>
      <c r="C10600" s="1" t="s">
        <v>63</v>
      </c>
      <c r="D10600" s="1" t="s">
        <v>247</v>
      </c>
      <c r="E10600" s="1" t="s">
        <v>2984</v>
      </c>
      <c r="F10600" s="1" t="s">
        <v>15346</v>
      </c>
      <c r="G10600" s="1" t="s">
        <v>36</v>
      </c>
      <c r="H10600" s="1" t="s">
        <v>29</v>
      </c>
      <c r="I10600" s="1" t="str">
        <f ca="1">IFERROR(__xludf.DUMMYFUNCTION("GOOGLETRANSLATE(F10600, ""auto"", ""en"")
"),"I bought it yesterday to match the color of my kitchen!! Works great. Fries well. I recommend it.")</f>
        <v>I bought it yesterday to match the color of my kitchen!! Works great. Fries well. I recommend it.</v>
      </c>
    </row>
    <row r="10601" spans="1:9" x14ac:dyDescent="0.3">
      <c r="A10601" s="1" t="s">
        <v>61</v>
      </c>
      <c r="B10601" s="1" t="s">
        <v>318</v>
      </c>
      <c r="C10601" s="1" t="s">
        <v>57</v>
      </c>
      <c r="D10601" s="1" t="s">
        <v>203</v>
      </c>
      <c r="E10601" s="1" t="s">
        <v>1562</v>
      </c>
      <c r="F10601" s="1" t="s">
        <v>15347</v>
      </c>
      <c r="G10601" s="1" t="s">
        <v>15</v>
      </c>
      <c r="H10601" s="1" t="s">
        <v>16</v>
      </c>
      <c r="I10601" s="1" t="str">
        <f ca="1">IFERROR(__xludf.DUMMYFUNCTION("GOOGLETRANSLATE(F10601, ""auto"", ""en"")
"),"After the purchase, 1.5 years passed, it suddenly turned off when boiling, when it was turned on again it did not boil, while the red backlight was on, and when turned off the blue backlight did not light up.")</f>
        <v>After the purchase, 1.5 years passed, it suddenly turned off when boiling, when it was turned on again it did not boil, while the red backlight was on, and when turned off the blue backlight did not light up.</v>
      </c>
    </row>
    <row r="10602" spans="1:9" x14ac:dyDescent="0.3">
      <c r="A10602" s="1" t="s">
        <v>238</v>
      </c>
      <c r="B10602" s="1" t="s">
        <v>276</v>
      </c>
      <c r="C10602" s="1" t="s">
        <v>1677</v>
      </c>
      <c r="D10602" s="1" t="s">
        <v>6788</v>
      </c>
      <c r="E10602" s="1" t="s">
        <v>1450</v>
      </c>
      <c r="F10602" s="1" t="s">
        <v>15348</v>
      </c>
      <c r="G10602" s="1" t="s">
        <v>28</v>
      </c>
      <c r="H10602" s="1" t="s">
        <v>29</v>
      </c>
      <c r="I10602" s="1" t="str">
        <f ca="1">IFERROR(__xludf.DUMMYFUNCTION("GOOGLETRANSLATE(F10602, ""auto"", ""en"")
"),"Looking ahead, I’ll tell you: the refrigerator is good. works quietly. no complaints. I liked the large number of shelves and the “auto-closer” for closing the door - very important for children.    What killed me was that the movers brought the refrigera"&amp;"tor up to the floor, but it turned out to not fit through the doorway. Even without a box.  I had to remove the doors for an additional fee and assemble them in the apartment.    Apart from the problems with delivery - an excellent refrigerator.")</f>
        <v>Looking ahead, I’ll tell you: the refrigerator is good. works quietly. no complaints. I liked the large number of shelves and the “auto-closer” for closing the door - very important for children.    What killed me was that the movers brought the refrigerator up to the floor, but it turned out to not fit through the doorway. Even without a box.  I had to remove the doors for an additional fee and assemble them in the apartment.    Apart from the problems with delivery - an excellent refrigerator.</v>
      </c>
    </row>
    <row r="10603" spans="1:9" x14ac:dyDescent="0.3">
      <c r="A10603" s="1" t="s">
        <v>120</v>
      </c>
      <c r="B10603" s="1" t="s">
        <v>126</v>
      </c>
      <c r="C10603" s="1" t="s">
        <v>151</v>
      </c>
      <c r="D10603" s="1" t="s">
        <v>568</v>
      </c>
      <c r="E10603" s="1" t="s">
        <v>1723</v>
      </c>
      <c r="F10603" s="1" t="s">
        <v>15349</v>
      </c>
      <c r="G10603" s="1" t="s">
        <v>28</v>
      </c>
      <c r="H10603" s="1" t="s">
        <v>29</v>
      </c>
      <c r="I10603" s="1" t="str">
        <f ca="1">IFERROR(__xludf.DUMMYFUNCTION("GOOGLETRANSLATE(F10603, ""auto"", ""en"")
"),"I purchased this TV and connected it to my computer via an HDMI - DVI cable.  A few hours later, the TV in the cable connection area began to spark and smoke. As a result, the cable completely burned out, the video card on the computer burned out, and the"&amp;" TV was completely covered in smoke on the back.  Who can tell me what could have caused such an emergency?  What was the problem - the cable or the TV?")</f>
        <v>I purchased this TV and connected it to my computer via an HDMI - DVI cable.  A few hours later, the TV in the cable connection area began to spark and smoke. As a result, the cable completely burned out, the video card on the computer burned out, and the TV was completely covered in smoke on the back.  Who can tell me what could have caused such an emergency?  What was the problem - the cable or the TV?</v>
      </c>
    </row>
    <row r="10604" spans="1:9" x14ac:dyDescent="0.3">
      <c r="A10604" s="1" t="s">
        <v>120</v>
      </c>
      <c r="B10604" s="1" t="s">
        <v>121</v>
      </c>
      <c r="C10604" s="1" t="s">
        <v>151</v>
      </c>
      <c r="D10604" s="1" t="s">
        <v>305</v>
      </c>
      <c r="E10604" s="1" t="s">
        <v>5798</v>
      </c>
      <c r="F10604" s="1" t="s">
        <v>15350</v>
      </c>
      <c r="G10604" s="1" t="s">
        <v>36</v>
      </c>
      <c r="H10604" s="1" t="s">
        <v>29</v>
      </c>
      <c r="I10604" s="1" t="str">
        <f ca="1">IFERROR(__xludf.DUMMYFUNCTION("GOOGLETRANSLATE(F10604, ""auto"", ""en"")
"),"1. The image is the best in a similar range of TVs for this price.  2. Reads all video formats, rewinding works on all formats (I read in the forums that it doesn’t work on *.mkv - everything works for me), I picked up the 1TB screw and didn’t find a sing"&amp;"le unreadable format.  3. With a very bad, old bent antenna with one of the two mustaches, I found all the channels - it’s a miracle, only 3 worked on a regular TV :) 4. I connected with a computer without problems via Wi-Fi... 2 minutes... in general, so"&amp;" far there are only advantages, this is my third LCD TV, before that there were only Sony, now I’m thinking, why did I pay 140 thousand rubles each, if this one is better in every way... A computer, not TV.")</f>
        <v>1. The image is the best in a similar range of TVs for this price.  2. Reads all video formats, rewinding works on all formats (I read in the forums that it doesn’t work on *.mkv - everything works for me), I picked up the 1TB screw and didn’t find a single unreadable format.  3. With a very bad, old bent antenna with one of the two mustaches, I found all the channels - it’s a miracle, only 3 worked on a regular TV :) 4. I connected with a computer without problems via Wi-Fi... 2 minutes... in general, so far there are only advantages, this is my third LCD TV, before that there were only Sony, now I’m thinking, why did I pay 140 thousand rubles each, if this one is better in every way... A computer, not TV.</v>
      </c>
    </row>
    <row r="10605" spans="1:9" x14ac:dyDescent="0.3">
      <c r="A10605" s="1" t="s">
        <v>211</v>
      </c>
      <c r="B10605" s="1" t="s">
        <v>265</v>
      </c>
      <c r="C10605" s="1" t="s">
        <v>1591</v>
      </c>
      <c r="D10605" s="1" t="s">
        <v>1605</v>
      </c>
      <c r="E10605" s="1" t="s">
        <v>692</v>
      </c>
      <c r="F10605" s="1" t="s">
        <v>15351</v>
      </c>
      <c r="G10605" s="1" t="s">
        <v>36</v>
      </c>
      <c r="H10605" s="1" t="s">
        <v>29</v>
      </c>
      <c r="I10605" s="1" t="str">
        <f ca="1">IFERROR(__xludf.DUMMYFUNCTION("GOOGLETRANSLATE(F10605, ""auto"", ""en"")
"),"This is a normal trimmer. The attachments could have been made smaller, but I hope that they will be useful to me. The power is good; in my opinion, it is in no way inferior to more expensive models. The plastic is of high quality, the knives are sharp an"&amp;"d does not chew hair, it can work independently, charging lasts for half an hour.")</f>
        <v>This is a normal trimmer. The attachments could have been made smaller, but I hope that they will be useful to me. The power is good; in my opinion, it is in no way inferior to more expensive models. The plastic is of high quality, the knives are sharp and does not chew hair, it can work independently, charging lasts for half an hour.</v>
      </c>
    </row>
    <row r="10606" spans="1:9" x14ac:dyDescent="0.3">
      <c r="A10606" s="1" t="s">
        <v>211</v>
      </c>
      <c r="B10606" s="1" t="s">
        <v>212</v>
      </c>
      <c r="C10606" s="1" t="s">
        <v>381</v>
      </c>
      <c r="D10606" s="1" t="s">
        <v>1031</v>
      </c>
      <c r="E10606" s="1" t="s">
        <v>6215</v>
      </c>
      <c r="F10606" s="1" t="s">
        <v>15352</v>
      </c>
      <c r="G10606" s="1" t="s">
        <v>28</v>
      </c>
      <c r="H10606" s="1" t="s">
        <v>29</v>
      </c>
      <c r="I10606" s="1" t="str">
        <f ca="1">IFERROR(__xludf.DUMMYFUNCTION("GOOGLETRANSLATE(F10606, ""auto"", ""en"")
"),"Multistyler is not bad. The gaffre and all sorts of curls come out wonderful, but the straightener doesn’t really straighten it. Therefore 4")</f>
        <v>Multistyler is not bad. The gaffre and all sorts of curls come out wonderful, but the straightener doesn’t really straighten it. Therefore 4</v>
      </c>
    </row>
    <row r="10607" spans="1:9" x14ac:dyDescent="0.3">
      <c r="A10607" s="1" t="s">
        <v>43</v>
      </c>
      <c r="B10607" s="1" t="s">
        <v>44</v>
      </c>
      <c r="C10607" s="1" t="s">
        <v>101</v>
      </c>
      <c r="D10607" s="1" t="s">
        <v>15353</v>
      </c>
      <c r="E10607" s="1" t="s">
        <v>2829</v>
      </c>
      <c r="F10607" s="1" t="s">
        <v>15354</v>
      </c>
      <c r="G10607" s="1" t="s">
        <v>49</v>
      </c>
      <c r="H10607" s="1" t="s">
        <v>16</v>
      </c>
      <c r="I10607" s="1" t="str">
        <f ca="1">IFERROR(__xludf.DUMMYFUNCTION("GOOGLETRANSLATE(F10607, ""auto"", ""en"")
"),"Doesn't work. Some of the details are missing. In the box, the parts are lying around haphazardly. And in general he is covered in dust. I don't recommend it. I was never able to use it.")</f>
        <v>Doesn't work. Some of the details are missing. In the box, the parts are lying around haphazardly. And in general he is covered in dust. I don't recommend it. I was never able to use it.</v>
      </c>
    </row>
    <row r="10608" spans="1:9" x14ac:dyDescent="0.3">
      <c r="A10608" s="1" t="s">
        <v>149</v>
      </c>
      <c r="B10608" s="1" t="s">
        <v>576</v>
      </c>
      <c r="C10608" s="1" t="s">
        <v>151</v>
      </c>
      <c r="D10608" s="1" t="s">
        <v>592</v>
      </c>
      <c r="E10608" s="1" t="s">
        <v>580</v>
      </c>
      <c r="F10608" s="1" t="s">
        <v>15355</v>
      </c>
      <c r="G10608" s="1" t="s">
        <v>36</v>
      </c>
      <c r="H10608" s="1" t="s">
        <v>29</v>
      </c>
      <c r="I10608" s="1" t="str">
        <f ca="1">IFERROR(__xludf.DUMMYFUNCTION("GOOGLETRANSLATE(F10608, ""auto"", ""en"")
"),"We bought a vacuum cleaner today... It’s just superb: light, compact... Well, very good... And the suction is just great.... They were talking about noise... It’s not noisy at all... In general, take it and don’t think twice... I advise you...")</f>
        <v>We bought a vacuum cleaner today... It’s just superb: light, compact... Well, very good... And the suction is just great.... They were talking about noise... It’s not noisy at all... In general, take it and don’t think twice... I advise you...</v>
      </c>
    </row>
    <row r="10609" spans="1:9" x14ac:dyDescent="0.3">
      <c r="A10609" s="1" t="s">
        <v>211</v>
      </c>
      <c r="B10609" s="1" t="s">
        <v>410</v>
      </c>
      <c r="C10609" s="1" t="s">
        <v>69</v>
      </c>
      <c r="D10609" s="1" t="s">
        <v>2217</v>
      </c>
      <c r="E10609" s="1" t="s">
        <v>3347</v>
      </c>
      <c r="F10609" s="1" t="s">
        <v>15356</v>
      </c>
      <c r="G10609" s="1" t="s">
        <v>36</v>
      </c>
      <c r="H10609" s="1" t="s">
        <v>29</v>
      </c>
      <c r="I10609" s="1" t="str">
        <f ca="1">IFERROR(__xludf.DUMMYFUNCTION("GOOGLETRANSLATE(F10609, ""auto"", ""en"")
"),"My first electric razor, it shaves cleanly, the charge lasts for a very long time, it’s even hard to say how long. I’m happy with the choice and recommend it to everyone!")</f>
        <v>My first electric razor, it shaves cleanly, the charge lasts for a very long time, it’s even hard to say how long. I’m happy with the choice and recommend it to everyone!</v>
      </c>
    </row>
    <row r="10610" spans="1:9" x14ac:dyDescent="0.3">
      <c r="A10610" s="1" t="s">
        <v>17</v>
      </c>
      <c r="B10610" s="1" t="s">
        <v>18</v>
      </c>
      <c r="C10610" s="1" t="s">
        <v>290</v>
      </c>
      <c r="D10610" s="1" t="s">
        <v>3965</v>
      </c>
      <c r="E10610" s="1" t="s">
        <v>1639</v>
      </c>
      <c r="F10610" s="1" t="s">
        <v>15357</v>
      </c>
      <c r="G10610" s="1" t="s">
        <v>28</v>
      </c>
      <c r="H10610" s="1" t="s">
        <v>29</v>
      </c>
      <c r="I10610" s="1" t="str">
        <f ca="1">IFERROR(__xludf.DUMMYFUNCTION("GOOGLETRANSLATE(F10610, ""auto"", ""en"")
"),"Bought it a week ago. The machine is good, not noisy, but vibrates well when spinning. It washes perfectly, there are a lot of programs to suit every taste. There is a small minus - not everything in the Calgon compartment is washed away.")</f>
        <v>Bought it a week ago. The machine is good, not noisy, but vibrates well when spinning. It washes perfectly, there are a lot of programs to suit every taste. There is a small minus - not everything in the Calgon compartment is washed away.</v>
      </c>
    </row>
    <row r="10611" spans="1:9" x14ac:dyDescent="0.3">
      <c r="A10611" s="1" t="s">
        <v>282</v>
      </c>
      <c r="B10611" s="1" t="s">
        <v>806</v>
      </c>
      <c r="C10611" s="1" t="s">
        <v>284</v>
      </c>
      <c r="D10611" s="1" t="s">
        <v>81</v>
      </c>
      <c r="E10611" s="1" t="s">
        <v>2916</v>
      </c>
      <c r="F10611" s="1" t="s">
        <v>15358</v>
      </c>
      <c r="G10611" s="1" t="s">
        <v>28</v>
      </c>
      <c r="H10611" s="1" t="s">
        <v>29</v>
      </c>
      <c r="I10611" s="1" t="str">
        <f ca="1">IFERROR(__xludf.DUMMYFUNCTION("GOOGLETRANSLATE(F10611, ""auto"", ""en"")
"),"The children liked the cartoon. It turned out to be difficult to sit for 1.5 hours in paper anaglyph glasses (and not very comfortable ones at that). When watching, the glasses often rise to the forehead (in some places the 3D effect is minimal).")</f>
        <v>The children liked the cartoon. It turned out to be difficult to sit for 1.5 hours in paper anaglyph glasses (and not very comfortable ones at that). When watching, the glasses often rise to the forehead (in some places the 3D effect is minimal).</v>
      </c>
    </row>
    <row r="10612" spans="1:9" x14ac:dyDescent="0.3">
      <c r="A10612" s="1" t="s">
        <v>211</v>
      </c>
      <c r="B10612" s="1" t="s">
        <v>410</v>
      </c>
      <c r="C10612" s="1" t="s">
        <v>213</v>
      </c>
      <c r="D10612" s="1" t="s">
        <v>81</v>
      </c>
      <c r="E10612" s="1" t="s">
        <v>569</v>
      </c>
      <c r="F10612" s="1" t="s">
        <v>15359</v>
      </c>
      <c r="G10612" s="1" t="s">
        <v>28</v>
      </c>
      <c r="H10612" s="1" t="s">
        <v>29</v>
      </c>
      <c r="I10612" s="1" t="str">
        <f ca="1">IFERROR(__xludf.DUMMYFUNCTION("GOOGLETRANSLATE(F10612, ""auto"", ""en"")
"),"I recently bought this razor. Overall, the razor made a positive (but not ecstatic) impression. It shaves quite well, very softly, and does not leave any irritation on the skin. However, to achieve a high-quality shave, you have to go over the skin severa"&amp;"l times. It's noisy enough. You should shave only dry skin. You can achieve smooth skin after shaving, but you still have to trim it with a machine. However, the time spent on shaving has been reduced (previously I used Brown 1st series) and this is very "&amp;"good. Overall, we can give it a solid 4.  Inconvenient grip, you need to adapt to holding it correctly to make shaving comfortable. In general, you can buy it, but don’t expect a miracle. If you expect something special from a razor, I recommend looking f"&amp;"or something more expensive.")</f>
        <v>I recently bought this razor. Overall, the razor made a positive (but not ecstatic) impression. It shaves quite well, very softly, and does not leave any irritation on the skin. However, to achieve a high-quality shave, you have to go over the skin several times. It's noisy enough. You should shave only dry skin. You can achieve smooth skin after shaving, but you still have to trim it with a machine. However, the time spent on shaving has been reduced (previously I used Brown 1st series) and this is very good. Overall, we can give it a solid 4.  Inconvenient grip, you need to adapt to holding it correctly to make shaving comfortable. In general, you can buy it, but don’t expect a miracle. If you expect something special from a razor, I recommend looking for something more expensive.</v>
      </c>
    </row>
    <row r="10613" spans="1:9" x14ac:dyDescent="0.3">
      <c r="A10613" s="1" t="s">
        <v>61</v>
      </c>
      <c r="B10613" s="1" t="s">
        <v>224</v>
      </c>
      <c r="C10613" s="1" t="s">
        <v>74</v>
      </c>
      <c r="D10613" s="1" t="s">
        <v>280</v>
      </c>
      <c r="E10613" s="1" t="s">
        <v>15360</v>
      </c>
      <c r="F10613" s="1" t="s">
        <v>15361</v>
      </c>
      <c r="G10613" s="1" t="s">
        <v>36</v>
      </c>
      <c r="H10613" s="1" t="s">
        <v>29</v>
      </c>
      <c r="I10613" s="1" t="str">
        <f ca="1">IFERROR(__xludf.DUMMYFUNCTION("GOOGLETRANSLATE(F10613, ""auto"", ""en"")
"),"We bought it today and have no regrets. We have been looking for a juicer for a long time that can squeeze juice out of chokeberries without any problems. FOUND! The wife is delighted!    I recommend it.")</f>
        <v>We bought it today and have no regrets. We have been looking for a juicer for a long time that can squeeze juice out of chokeberries without any problems. FOUND! The wife is delighted!    I recommend it.</v>
      </c>
    </row>
    <row r="10614" spans="1:9" x14ac:dyDescent="0.3">
      <c r="A10614" s="1" t="s">
        <v>55</v>
      </c>
      <c r="B10614" s="1" t="s">
        <v>184</v>
      </c>
      <c r="C10614" s="1" t="s">
        <v>101</v>
      </c>
      <c r="D10614" s="1" t="s">
        <v>282</v>
      </c>
      <c r="E10614" s="1" t="s">
        <v>15362</v>
      </c>
      <c r="F10614" s="1" t="s">
        <v>15363</v>
      </c>
      <c r="G10614" s="1" t="s">
        <v>36</v>
      </c>
      <c r="H10614" s="1" t="s">
        <v>29</v>
      </c>
      <c r="I10614" s="1" t="str">
        <f ca="1">IFERROR(__xludf.DUMMYFUNCTION("GOOGLETRANSLATE(F10614, ""auto"", ""en"")
"),"Maria, yes, it should if it's on. The presence of squeaking in this model of fan heater is allowed. This does not affect the quality of work.")</f>
        <v>Maria, yes, it should if it's on. The presence of squeaking in this model of fan heater is allowed. This does not affect the quality of work.</v>
      </c>
    </row>
    <row r="10615" spans="1:9" x14ac:dyDescent="0.3">
      <c r="A10615" s="1" t="s">
        <v>169</v>
      </c>
      <c r="B10615" s="1" t="s">
        <v>170</v>
      </c>
      <c r="C10615" s="1" t="s">
        <v>122</v>
      </c>
      <c r="D10615" s="1" t="s">
        <v>280</v>
      </c>
      <c r="E10615" s="1" t="s">
        <v>4540</v>
      </c>
      <c r="F10615" s="1" t="s">
        <v>15364</v>
      </c>
      <c r="G10615" s="1" t="s">
        <v>28</v>
      </c>
      <c r="H10615" s="1" t="s">
        <v>29</v>
      </c>
      <c r="I10615" s="1" t="str">
        <f ca="1">IFERROR(__xludf.DUMMYFUNCTION("GOOGLETRANSLATE(F10615, ""auto"", ""en"")
"),"The headphones are quite excellent.  there is only one problem... this mount falls off due to ""plastic fatigue"" and the headphones slide out, but do not fall out...")</f>
        <v>The headphones are quite excellent.  there is only one problem... this mount falls off due to "plastic fatigue" and the headphones slide out, but do not fall out...</v>
      </c>
    </row>
    <row r="10616" spans="1:9" x14ac:dyDescent="0.3">
      <c r="A10616" s="1" t="s">
        <v>149</v>
      </c>
      <c r="B10616" s="1" t="s">
        <v>576</v>
      </c>
      <c r="C10616" s="1" t="s">
        <v>69</v>
      </c>
      <c r="D10616" s="1" t="s">
        <v>280</v>
      </c>
      <c r="E10616" s="1" t="s">
        <v>4732</v>
      </c>
      <c r="F10616" s="1" t="s">
        <v>15365</v>
      </c>
      <c r="G10616" s="1" t="s">
        <v>36</v>
      </c>
      <c r="H10616" s="1" t="s">
        <v>29</v>
      </c>
      <c r="I10616" s="1" t="str">
        <f ca="1">IFERROR(__xludf.DUMMYFUNCTION("GOOGLETRANSLATE(F10616, ""auto"", ""en"")
"),"I bought a vacuum cleaner about a month ago.  Vacuums better than the previous cyclone. Not super-duper, of course, but objectively it vacuums better than my previous vacuum cleaners. It assembles and disassembles quickly. After a month, the bag that came"&amp;" with it still hasn't been filled. I bought disposable ones. They say that with disposable bags the vacuum cleaner works even more efficiently.   No complaints so far")</f>
        <v>I bought a vacuum cleaner about a month ago.  Vacuums better than the previous cyclone. Not super-duper, of course, but objectively it vacuums better than my previous vacuum cleaners. It assembles and disassembles quickly. After a month, the bag that came with it still hasn't been filled. I bought disposable ones. They say that with disposable bags the vacuum cleaner works even more efficiently.   No complaints so far</v>
      </c>
    </row>
    <row r="10617" spans="1:9" x14ac:dyDescent="0.3">
      <c r="A10617" s="1" t="s">
        <v>120</v>
      </c>
      <c r="B10617" s="1" t="s">
        <v>126</v>
      </c>
      <c r="C10617" s="1" t="s">
        <v>80</v>
      </c>
      <c r="D10617" s="1" t="s">
        <v>114</v>
      </c>
      <c r="E10617" s="1" t="s">
        <v>386</v>
      </c>
      <c r="F10617" s="1" t="s">
        <v>15366</v>
      </c>
      <c r="G10617" s="1" t="s">
        <v>28</v>
      </c>
      <c r="H10617" s="1" t="s">
        <v>29</v>
      </c>
      <c r="I10617" s="1" t="str">
        <f ca="1">IFERROR(__xludf.DUMMYFUNCTION("GOOGLETRANSLATE(F10617, ""auto"", ""en"")
"),"I bought this model about a month ago, and I’m basically happy with it. I was disappointed by the lack of sound output, there is not even a headphone jack. Mkv does not show, but it shows 1.37GB movies. It’s better not to even watch with a regular analog "&amp;"antenna, but to immediately take a digital receiver.")</f>
        <v>I bought this model about a month ago, and I’m basically happy with it. I was disappointed by the lack of sound output, there is not even a headphone jack. Mkv does not show, but it shows 1.37GB movies. It’s better not to even watch with a regular analog antenna, but to immediately take a digital receiver.</v>
      </c>
    </row>
    <row r="10618" spans="1:9" x14ac:dyDescent="0.3">
      <c r="A10618" s="1" t="s">
        <v>61</v>
      </c>
      <c r="B10618" s="1" t="s">
        <v>318</v>
      </c>
      <c r="C10618" s="1" t="s">
        <v>63</v>
      </c>
      <c r="D10618" s="1" t="s">
        <v>335</v>
      </c>
      <c r="E10618" s="1" t="s">
        <v>10196</v>
      </c>
      <c r="F10618" s="1" t="s">
        <v>15367</v>
      </c>
      <c r="G10618" s="1" t="s">
        <v>36</v>
      </c>
      <c r="H10618" s="1" t="s">
        <v>29</v>
      </c>
      <c r="I10618" s="1" t="str">
        <f ca="1">IFERROR(__xludf.DUMMYFUNCTION("GOOGLETRANSLATE(F10618, ""auto"", ""en"")
"),"The kettle is excellent, makes moderate noise when heating, does not leak, there is no plastic taste from the water as in some models, the volume is good, and has been working for 5 years without problems or interruptions. Only in red for me.")</f>
        <v>The kettle is excellent, makes moderate noise when heating, does not leak, there is no plastic taste from the water as in some models, the volume is good, and has been working for 5 years without problems or interruptions. Only in red for me.</v>
      </c>
    </row>
    <row r="10619" spans="1:9" x14ac:dyDescent="0.3">
      <c r="A10619" s="1" t="s">
        <v>211</v>
      </c>
      <c r="B10619" s="1" t="s">
        <v>410</v>
      </c>
      <c r="C10619" s="1" t="s">
        <v>122</v>
      </c>
      <c r="D10619" s="1" t="s">
        <v>5522</v>
      </c>
      <c r="E10619" s="1" t="s">
        <v>6578</v>
      </c>
      <c r="F10619" s="1" t="s">
        <v>15368</v>
      </c>
      <c r="G10619" s="1" t="s">
        <v>36</v>
      </c>
      <c r="H10619" s="1" t="s">
        <v>29</v>
      </c>
      <c r="I10619" s="1" t="str">
        <f ca="1">IFERROR(__xludf.DUMMYFUNCTION("GOOGLETRANSLATE(F10619, ""auto"", ""en"")
"),"A standard foil razor, but in terms of price/quality ratio the best.  Shaves like all foil razors, i.e. only short hair.  Charging overnight is just right.  Ideal for daily shaving")</f>
        <v>A standard foil razor, but in terms of price/quality ratio the best.  Shaves like all foil razors, i.e. only short hair.  Charging overnight is just right.  Ideal for daily shaving</v>
      </c>
    </row>
    <row r="10620" spans="1:9" x14ac:dyDescent="0.3">
      <c r="A10620" s="1" t="s">
        <v>105</v>
      </c>
      <c r="B10620" s="1" t="s">
        <v>106</v>
      </c>
      <c r="C10620" s="1" t="s">
        <v>1921</v>
      </c>
      <c r="D10620" s="1" t="s">
        <v>2336</v>
      </c>
      <c r="E10620" s="1" t="s">
        <v>233</v>
      </c>
      <c r="F10620" s="1" t="s">
        <v>15369</v>
      </c>
      <c r="G10620" s="1" t="s">
        <v>36</v>
      </c>
      <c r="H10620" s="1" t="s">
        <v>29</v>
      </c>
      <c r="I10620" s="1" t="str">
        <f ca="1">IFERROR(__xludf.DUMMYFUNCTION("GOOGLETRANSLATE(F10620, ""auto"", ""en"")
"),"I don’t know why everyone writes that it’s frozen, can’t turn on, etc. when it froze, it beeped loudly, but then turned off. Then I went to Mvideo and they showed me the reset button (they press it on the back with a needle) and it didn’t freeze anymore. "&amp;"Well, it’s 5 or so!")</f>
        <v>I don’t know why everyone writes that it’s frozen, can’t turn on, etc. when it froze, it beeped loudly, but then turned off. Then I went to Mvideo and they showed me the reset button (they press it on the back with a needle) and it didn’t freeze anymore. Well, it’s 5 or so!</v>
      </c>
    </row>
    <row r="10621" spans="1:9" x14ac:dyDescent="0.3">
      <c r="A10621" s="1" t="s">
        <v>67</v>
      </c>
      <c r="B10621" s="1" t="s">
        <v>340</v>
      </c>
      <c r="C10621" s="1" t="s">
        <v>1634</v>
      </c>
      <c r="D10621" s="1" t="s">
        <v>565</v>
      </c>
      <c r="E10621" s="1" t="s">
        <v>15370</v>
      </c>
      <c r="F10621" s="1" t="s">
        <v>15371</v>
      </c>
      <c r="G10621" s="1" t="s">
        <v>36</v>
      </c>
      <c r="H10621" s="1" t="s">
        <v>29</v>
      </c>
      <c r="I10621" s="1" t="str">
        <f ca="1">IFERROR(__xludf.DUMMYFUNCTION("GOOGLETRANSLATE(F10621, ""auto"", ""en"")
"),"I have owned this machine for about 4 years.  There are no breakdowns or complaints about the work; it copes with its responsibilities with a bang. I recommend it.")</f>
        <v>I have owned this machine for about 4 years.  There are no breakdowns or complaints about the work; it copes with its responsibilities with a bang. I recommend it.</v>
      </c>
    </row>
    <row r="10622" spans="1:9" x14ac:dyDescent="0.3">
      <c r="A10622" s="1" t="s">
        <v>43</v>
      </c>
      <c r="B10622" s="1" t="s">
        <v>1370</v>
      </c>
      <c r="C10622" s="1" t="s">
        <v>2137</v>
      </c>
      <c r="D10622" s="1" t="s">
        <v>117</v>
      </c>
      <c r="E10622" s="1" t="s">
        <v>12119</v>
      </c>
      <c r="F10622" s="1" t="s">
        <v>15372</v>
      </c>
      <c r="G10622" s="1" t="s">
        <v>36</v>
      </c>
      <c r="H10622" s="1" t="s">
        <v>29</v>
      </c>
      <c r="I10622" s="1" t="str">
        <f ca="1">IFERROR(__xludf.DUMMYFUNCTION("GOOGLETRANSLATE(F10622, ""auto"", ""en"")
"),"When I bought it, the reviews were bad, that they broke and overheated. I've been using it for the 3rd season - everything is fine! The main thing is not to forget to turn it off first, then the water! I’m ready to buy a new one every season - just so as "&amp;"not to run around with buckets :) Whoever writes about plugging into the network, grounding and other heresy - I went straight into the outlet with a normal plug, don’t scare people :)")</f>
        <v>When I bought it, the reviews were bad, that they broke and overheated. I've been using it for the 3rd season - everything is fine! The main thing is not to forget to turn it off first, then the water! I’m ready to buy a new one every season - just so as not to run around with buckets :) Whoever writes about plugging into the network, grounding and other heresy - I went straight into the outlet with a normal plug, don’t scare people :)</v>
      </c>
    </row>
    <row r="10623" spans="1:9" x14ac:dyDescent="0.3">
      <c r="A10623" s="1" t="s">
        <v>169</v>
      </c>
      <c r="B10623" s="1" t="s">
        <v>170</v>
      </c>
      <c r="C10623" s="1" t="s">
        <v>69</v>
      </c>
      <c r="D10623" s="1" t="s">
        <v>568</v>
      </c>
      <c r="E10623" s="1" t="s">
        <v>15373</v>
      </c>
      <c r="F10623" s="1" t="s">
        <v>15374</v>
      </c>
      <c r="G10623" s="1" t="s">
        <v>15</v>
      </c>
      <c r="H10623" s="1" t="s">
        <v>16</v>
      </c>
      <c r="I10623" s="1" t="str">
        <f ca="1">IFERROR(__xludf.DUMMYFUNCTION("GOOGLETRANSLATE(F10623, ""auto"", ""en"")
"),"1) advantages: they sit firmly on the head - they will not fall off when riding a bicycle or skiing and skating. the cord does not tangle.  2) cons: no matter how I put them on, I couldn’t hear the low end. The sound volume is not enough. Maybe I got a ba"&amp;"d copy.  3) conclusion: suitable for active recreation.")</f>
        <v>1) advantages: they sit firmly on the head - they will not fall off when riding a bicycle or skiing and skating. the cord does not tangle.  2) cons: no matter how I put them on, I couldn’t hear the low end. The sound volume is not enough. Maybe I got a bad copy.  3) conclusion: suitable for active recreation.</v>
      </c>
    </row>
    <row r="10624" spans="1:9" x14ac:dyDescent="0.3">
      <c r="A10624" s="1" t="s">
        <v>61</v>
      </c>
      <c r="B10624" s="1" t="s">
        <v>224</v>
      </c>
      <c r="C10624" s="1" t="s">
        <v>74</v>
      </c>
      <c r="D10624" s="1" t="s">
        <v>8940</v>
      </c>
      <c r="E10624" s="1" t="s">
        <v>696</v>
      </c>
      <c r="F10624" s="1" t="s">
        <v>15375</v>
      </c>
      <c r="G10624" s="1" t="s">
        <v>28</v>
      </c>
      <c r="H10624" s="1" t="s">
        <v>29</v>
      </c>
      <c r="I10624" s="1" t="str">
        <f ca="1">IFERROR(__xludf.DUMMYFUNCTION("GOOGLETRANSLATE(F10624, ""auto"", ""en"")
"),"I don’t know yet, I just bought it today, there is one thing but... there is no compartment for juice!")</f>
        <v>I don’t know yet, I just bought it today, there is one thing but... there is no compartment for juice!</v>
      </c>
    </row>
    <row r="10625" spans="1:9" x14ac:dyDescent="0.3">
      <c r="A10625" s="1" t="s">
        <v>61</v>
      </c>
      <c r="B10625" s="1" t="s">
        <v>145</v>
      </c>
      <c r="C10625" s="1" t="s">
        <v>69</v>
      </c>
      <c r="D10625" s="1" t="s">
        <v>280</v>
      </c>
      <c r="E10625" s="1" t="s">
        <v>1079</v>
      </c>
      <c r="F10625" s="1" t="s">
        <v>15376</v>
      </c>
      <c r="G10625" s="1" t="s">
        <v>36</v>
      </c>
      <c r="H10625" s="1" t="s">
        <v>29</v>
      </c>
      <c r="I10625" s="1" t="str">
        <f ca="1">IFERROR(__xludf.DUMMYFUNCTION("GOOGLETRANSLATE(F10625, ""auto"", ""en"")
"),"Nice ""thing"". I recently purchased it from M-Video on Universitetsky. The first use was very pleasing: they cooked fish in the lower tier, and vegetables (carrots, potatoes, zucchini, tomatoes, beets) in the upper tier. Everything is very tasty and heal"&amp;"thy! So far there are only advantages :-), but there is one small drawback: washing and wiping the bottom pan into which water is poured is not very convenient.")</f>
        <v>Nice "thing". I recently purchased it from M-Video on Universitetsky. The first use was very pleasing: they cooked fish in the lower tier, and vegetables (carrots, potatoes, zucchini, tomatoes, beets) in the upper tier. Everything is very tasty and healthy! So far there are only advantages :-), but there is one small drawback: washing and wiping the bottom pan into which water is poured is not very convenient.</v>
      </c>
    </row>
    <row r="10626" spans="1:9" x14ac:dyDescent="0.3">
      <c r="A10626" s="1" t="s">
        <v>61</v>
      </c>
      <c r="B10626" s="1" t="s">
        <v>73</v>
      </c>
      <c r="C10626" s="1" t="s">
        <v>146</v>
      </c>
      <c r="D10626" s="1" t="s">
        <v>1681</v>
      </c>
      <c r="E10626" s="1" t="s">
        <v>8584</v>
      </c>
      <c r="F10626" s="1" t="s">
        <v>15377</v>
      </c>
      <c r="G10626" s="1" t="s">
        <v>36</v>
      </c>
      <c r="H10626" s="1" t="s">
        <v>29</v>
      </c>
      <c r="I10626" s="1" t="str">
        <f ca="1">IFERROR(__xludf.DUMMYFUNCTION("GOOGLETRANSLATE(F10626, ""auto"", ""en"")
"),"What attracted me first was the metal design. Secondly, the presence of graters and shredders (also metal). Perfectly chops meat, rubs and chops vegetables. Saves space in the kitchen and replaces several appliances. It’s convenient and quick to make prep"&amp;"arations for the winter. I recommend!")</f>
        <v>What attracted me first was the metal design. Secondly, the presence of graters and shredders (also metal). Perfectly chops meat, rubs and chops vegetables. Saves space in the kitchen and replaces several appliances. It’s convenient and quick to make preparations for the winter. I recommend!</v>
      </c>
    </row>
    <row r="10627" spans="1:9" x14ac:dyDescent="0.3">
      <c r="A10627" s="1" t="s">
        <v>30</v>
      </c>
      <c r="B10627" s="1" t="s">
        <v>50</v>
      </c>
      <c r="C10627" s="1" t="s">
        <v>51</v>
      </c>
      <c r="D10627" s="1" t="s">
        <v>208</v>
      </c>
      <c r="E10627" s="1" t="s">
        <v>3448</v>
      </c>
      <c r="F10627" s="1" t="s">
        <v>15378</v>
      </c>
      <c r="G10627" s="1" t="s">
        <v>36</v>
      </c>
      <c r="H10627" s="1" t="s">
        <v>29</v>
      </c>
      <c r="I10627" s="1" t="str">
        <f ca="1">IFERROR(__xludf.DUMMYFUNCTION("GOOGLETRANSLATE(F10627, ""auto"", ""en"")
"),"Great laptop!   For the 28 thousand rubles for which I took it, there are simply no analogues.   The screw was immediately divided as needed.   I changed Windows to Windows 7 32-bit. The 1Gb of RAM that was invisible as a result of this was mounted into a"&amp;" RAM disk and transferred all the caches and rates to it.  It’s not specified anywhere, so I’m reporting that the card reader also reads SDHC cards.  The screen is pure bullshit, but it’s not important, so I’m happy with the purchase.")</f>
        <v>Great laptop!   For the 28 thousand rubles for which I took it, there are simply no analogues.   The screw was immediately divided as needed.   I changed Windows to Windows 7 32-bit. The 1Gb of RAM that was invisible as a result of this was mounted into a RAM disk and transferred all the caches and rates to it.  It’s not specified anywhere, so I’m reporting that the card reader also reads SDHC cards.  The screen is pure bullshit, but it’s not important, so I’m happy with the purchase.</v>
      </c>
    </row>
    <row r="10628" spans="1:9" x14ac:dyDescent="0.3">
      <c r="A10628" s="1" t="s">
        <v>624</v>
      </c>
      <c r="B10628" s="1" t="s">
        <v>625</v>
      </c>
      <c r="C10628" s="1" t="s">
        <v>479</v>
      </c>
      <c r="D10628" s="1" t="s">
        <v>9920</v>
      </c>
      <c r="E10628" s="1" t="s">
        <v>109</v>
      </c>
      <c r="F10628" s="1" t="s">
        <v>15379</v>
      </c>
      <c r="G10628" s="1" t="s">
        <v>36</v>
      </c>
      <c r="H10628" s="1" t="s">
        <v>29</v>
      </c>
      <c r="I10628" s="1" t="str">
        <f ca="1">IFERROR(__xludf.DUMMYFUNCTION("GOOGLETRANSLATE(F10628, ""auto"", ""en"")
"),"Now there is no point in buying FIFA 09 because FIFA 10 is already on sale! although they are not very different and you can get 09 for 990r")</f>
        <v>Now there is no point in buying FIFA 09 because FIFA 10 is already on sale! although they are not very different and you can get 09 for 990r</v>
      </c>
    </row>
    <row r="10629" spans="1:9" x14ac:dyDescent="0.3">
      <c r="A10629" s="1" t="s">
        <v>206</v>
      </c>
      <c r="B10629" s="1" t="s">
        <v>1349</v>
      </c>
      <c r="C10629" s="1" t="s">
        <v>262</v>
      </c>
      <c r="D10629" s="1" t="s">
        <v>10091</v>
      </c>
      <c r="E10629" s="1" t="s">
        <v>1457</v>
      </c>
      <c r="F10629" s="1" t="s">
        <v>15380</v>
      </c>
      <c r="G10629" s="1" t="s">
        <v>36</v>
      </c>
      <c r="H10629" s="1" t="s">
        <v>29</v>
      </c>
      <c r="I10629" s="1" t="str">
        <f ca="1">IFERROR(__xludf.DUMMYFUNCTION("GOOGLETRANSLATE(F10629, ""auto"", ""en"")
"),"I am very pleased with the purchase. The sound quality was pleasing. Regarding the connection with the phone, I didn’t succeed right away (I didn’t read the instructions), but literally after 1.5 minutes everything worked, but the microphone is really wea"&amp;"k. For some reason, there was not a word in the description that it could perform the function of a JPS navigator; just insert a memory card with the necessary software.")</f>
        <v>I am very pleased with the purchase. The sound quality was pleasing. Regarding the connection with the phone, I didn’t succeed right away (I didn’t read the instructions), but literally after 1.5 minutes everything worked, but the microphone is really weak. For some reason, there was not a word in the description that it could perform the function of a JPS navigator; just insert a memory card with the necessary software.</v>
      </c>
    </row>
    <row r="10630" spans="1:9" x14ac:dyDescent="0.3">
      <c r="A10630" s="1" t="s">
        <v>30</v>
      </c>
      <c r="B10630" s="1" t="s">
        <v>50</v>
      </c>
      <c r="C10630" s="1" t="s">
        <v>1003</v>
      </c>
      <c r="D10630" s="1" t="s">
        <v>52</v>
      </c>
      <c r="E10630" s="1" t="s">
        <v>2057</v>
      </c>
      <c r="F10630" s="1" t="s">
        <v>15381</v>
      </c>
      <c r="G10630" s="1" t="s">
        <v>36</v>
      </c>
      <c r="H10630" s="1" t="s">
        <v>29</v>
      </c>
      <c r="I10630" s="1" t="str">
        <f ca="1">IFERROR(__xludf.DUMMYFUNCTION("GOOGLETRANSLATE(F10630, ""auto"", ""en"")
"),"The laptop is good and functional. It just gets very hot even without load. They say that preventive maintenance of the cooling system (replacing thermal paste) can help, but I don’t want to take a new computer to a service center. Well worth the money.")</f>
        <v>The laptop is good and functional. It just gets very hot even without load. They say that preventive maintenance of the cooling system (replacing thermal paste) can help, but I don’t want to take a new computer to a service center. Well worth the money.</v>
      </c>
    </row>
    <row r="10631" spans="1:9" x14ac:dyDescent="0.3">
      <c r="A10631" s="1" t="s">
        <v>105</v>
      </c>
      <c r="B10631" s="1" t="s">
        <v>106</v>
      </c>
      <c r="C10631" s="1" t="s">
        <v>1209</v>
      </c>
      <c r="D10631" s="1" t="s">
        <v>891</v>
      </c>
      <c r="E10631" s="1" t="s">
        <v>397</v>
      </c>
      <c r="F10631" s="1" t="s">
        <v>15382</v>
      </c>
      <c r="G10631" s="1" t="s">
        <v>36</v>
      </c>
      <c r="H10631" s="1" t="s">
        <v>29</v>
      </c>
      <c r="I10631" s="1" t="str">
        <f ca="1">IFERROR(__xludf.DUMMYFUNCTION("GOOGLETRANSLATE(F10631, ""auto"", ""en"")
"),"I bought a player, a speaker for it, the player is generally super connected to the TV, has a built-in memory of 8 GB, buy it, you won’t regret it, I watch videos, listen to music in excellent quality, in general the player is from the heart, I advise you"&amp;" to buy it!!!!!!")</f>
        <v>I bought a player, a speaker for it, the player is generally super connected to the TV, has a built-in memory of 8 GB, buy it, you won’t regret it, I watch videos, listen to music in excellent quality, in general the player is from the heart, I advise you to buy it!!!!!!</v>
      </c>
    </row>
    <row r="10632" spans="1:9" x14ac:dyDescent="0.3">
      <c r="A10632" s="1" t="s">
        <v>149</v>
      </c>
      <c r="B10632" s="1" t="s">
        <v>576</v>
      </c>
      <c r="C10632" s="1" t="s">
        <v>85</v>
      </c>
      <c r="D10632" s="1" t="s">
        <v>280</v>
      </c>
      <c r="E10632" s="1" t="s">
        <v>1723</v>
      </c>
      <c r="F10632" s="1" t="s">
        <v>15383</v>
      </c>
      <c r="G10632" s="1" t="s">
        <v>36</v>
      </c>
      <c r="H10632" s="1" t="s">
        <v>29</v>
      </c>
      <c r="I10632" s="1" t="str">
        <f ca="1">IFERROR(__xludf.DUMMYFUNCTION("GOOGLETRANSLATE(F10632, ""auto"", ""en"")
"),"Good, high quality vacuum cleaner. Satisfied.")</f>
        <v>Good, high quality vacuum cleaner. Satisfied.</v>
      </c>
    </row>
    <row r="10633" spans="1:9" x14ac:dyDescent="0.3">
      <c r="A10633" s="1" t="s">
        <v>206</v>
      </c>
      <c r="B10633" s="1" t="s">
        <v>207</v>
      </c>
      <c r="C10633" s="1" t="s">
        <v>97</v>
      </c>
      <c r="D10633" s="1" t="s">
        <v>5909</v>
      </c>
      <c r="E10633" s="1" t="s">
        <v>594</v>
      </c>
      <c r="F10633" s="1" t="s">
        <v>15384</v>
      </c>
      <c r="G10633" s="1" t="s">
        <v>36</v>
      </c>
      <c r="H10633" s="1" t="s">
        <v>29</v>
      </c>
      <c r="I10633" s="1" t="str">
        <f ca="1">IFERROR(__xludf.DUMMYFUNCTION("GOOGLETRANSLATE(F10633, ""auto"", ""en"")
"),"I bought it recently, I’m glad) I only took a rather weak amp for 300 watts (I’ll take kicx kap-27) I’ll write it down later)")</f>
        <v>I bought it recently, I’m glad) I only took a rather weak amp for 300 watts (I’ll take kicx kap-27) I’ll write it down later)</v>
      </c>
    </row>
    <row r="10634" spans="1:9" x14ac:dyDescent="0.3">
      <c r="A10634" s="1" t="s">
        <v>30</v>
      </c>
      <c r="B10634" s="1" t="s">
        <v>50</v>
      </c>
      <c r="C10634" s="1" t="s">
        <v>32</v>
      </c>
      <c r="D10634" s="1" t="s">
        <v>102</v>
      </c>
      <c r="E10634" s="1" t="s">
        <v>817</v>
      </c>
      <c r="F10634" s="1" t="s">
        <v>15385</v>
      </c>
      <c r="G10634" s="1" t="s">
        <v>15</v>
      </c>
      <c r="H10634" s="1" t="s">
        <v>16</v>
      </c>
      <c r="I10634" s="1" t="str">
        <f ca="1">IFERROR(__xludf.DUMMYFUNCTION("GOOGLETRANSLATE(F10634, ""auto"", ""en"")
"),"I bought this netbook model on December 21, 2009, a problem was discovered as in the first review, that is, flickering of the image, I sent it to the service, at first they did not recognize the problem, but after a request to the Moscow office of Acer, t"&amp;"hey confirmed that the motherboard was defective and replaced it with a similar one.")</f>
        <v>I bought this netbook model on December 21, 2009, a problem was discovered as in the first review, that is, flickering of the image, I sent it to the service, at first they did not recognize the problem, but after a request to the Moscow office of Acer, they confirmed that the motherboard was defective and replaced it with a similar one.</v>
      </c>
    </row>
    <row r="10635" spans="1:9" x14ac:dyDescent="0.3">
      <c r="A10635" s="1" t="s">
        <v>61</v>
      </c>
      <c r="B10635" s="1" t="s">
        <v>1126</v>
      </c>
      <c r="C10635" s="1" t="s">
        <v>246</v>
      </c>
      <c r="D10635" s="1" t="s">
        <v>266</v>
      </c>
      <c r="E10635" s="1" t="s">
        <v>2669</v>
      </c>
      <c r="F10635" s="1" t="s">
        <v>15386</v>
      </c>
      <c r="G10635" s="1" t="s">
        <v>49</v>
      </c>
      <c r="H10635" s="1" t="s">
        <v>16</v>
      </c>
      <c r="I10635" s="1" t="str">
        <f ca="1">IFERROR(__xludf.DUMMYFUNCTION("GOOGLETRANSLATE(F10635, ""auto"", ""en"")
"),"This is not a scale, an absolutely useless thing. The error is 400 grams per kilogram! And touch control is generally a “coffin with music”. Unpredictable response to touch. I don't recommend it to anyone.")</f>
        <v>This is not a scale, an absolutely useless thing. The error is 400 grams per kilogram! And touch control is generally a “coffin with music”. Unpredictable response to touch. I don't recommend it to anyone.</v>
      </c>
    </row>
    <row r="10636" spans="1:9" x14ac:dyDescent="0.3">
      <c r="A10636" s="1" t="s">
        <v>211</v>
      </c>
      <c r="B10636" s="1" t="s">
        <v>212</v>
      </c>
      <c r="C10636" s="1" t="s">
        <v>381</v>
      </c>
      <c r="D10636" s="1" t="s">
        <v>1147</v>
      </c>
      <c r="E10636" s="1" t="s">
        <v>1759</v>
      </c>
      <c r="F10636" s="1" t="s">
        <v>15387</v>
      </c>
      <c r="G10636" s="1" t="s">
        <v>49</v>
      </c>
      <c r="H10636" s="1" t="s">
        <v>16</v>
      </c>
      <c r="I10636" s="1" t="str">
        <f ca="1">IFERROR(__xludf.DUMMYFUNCTION("GOOGLETRANSLATE(F10636, ""auto"", ""en"")
"),"It looks like this curling iron is suitable for shoulder-length hair at most; it cannot curl long hair, even if you stand it for 10 minutes, it will not curl the curl. I bought it 2-3 years ago, it’s still lying around ((")</f>
        <v>It looks like this curling iron is suitable for shoulder-length hair at most; it cannot curl long hair, even if you stand it for 10 minutes, it will not curl the curl. I bought it 2-3 years ago, it’s still lying around ((</v>
      </c>
    </row>
    <row r="10637" spans="1:9" x14ac:dyDescent="0.3">
      <c r="A10637" s="1" t="s">
        <v>120</v>
      </c>
      <c r="B10637" s="1" t="s">
        <v>121</v>
      </c>
      <c r="C10637" s="1" t="s">
        <v>80</v>
      </c>
      <c r="D10637" s="1" t="s">
        <v>345</v>
      </c>
      <c r="E10637" s="1" t="s">
        <v>3676</v>
      </c>
      <c r="F10637" s="1" t="s">
        <v>15388</v>
      </c>
      <c r="G10637" s="1" t="s">
        <v>36</v>
      </c>
      <c r="H10637" s="1" t="s">
        <v>29</v>
      </c>
      <c r="I10637" s="1" t="str">
        <f ca="1">IFERROR(__xludf.DUMMYFUNCTION("GOOGLETRANSLATE(F10637, ""auto"", ""en"")
"),"I bought this TV a month ago. satisfied. build February 2010 firmware 3.55. activated USB with the help of diodes, icons appeared, but not a single flash drive, hard, and doesn’t see anything at all, as if power was not supplied... “insufficient space...”"&amp;" Has anyone come across this? or maybe marriage?")</f>
        <v>I bought this TV a month ago. satisfied. build February 2010 firmware 3.55. activated USB with the help of diodes, icons appeared, but not a single flash drive, hard, and doesn’t see anything at all, as if power was not supplied... “insufficient space...” Has anyone come across this? or maybe marriage?</v>
      </c>
    </row>
    <row r="10638" spans="1:9" x14ac:dyDescent="0.3">
      <c r="A10638" s="1" t="s">
        <v>238</v>
      </c>
      <c r="B10638" s="1" t="s">
        <v>276</v>
      </c>
      <c r="C10638" s="1" t="s">
        <v>19</v>
      </c>
      <c r="D10638" s="1" t="s">
        <v>1206</v>
      </c>
      <c r="E10638" s="1" t="s">
        <v>4176</v>
      </c>
      <c r="F10638" s="1" t="s">
        <v>15389</v>
      </c>
      <c r="G10638" s="1" t="s">
        <v>49</v>
      </c>
      <c r="H10638" s="1" t="s">
        <v>16</v>
      </c>
      <c r="I10638" s="1" t="str">
        <f ca="1">IFERROR(__xludf.DUMMYFUNCTION("GOOGLETRANSLATE(F10638, ""auto"", ""en"")
"),"It has been in service for 2 years, but now the refrigerator does not cool at all, although I even set the cold control knob to maximum. The freezer still freezes, more or less, but it’s not enough for ice cream.")</f>
        <v>It has been in service for 2 years, but now the refrigerator does not cool at all, although I even set the cold control knob to maximum. The freezer still freezes, more or less, but it’s not enough for ice cream.</v>
      </c>
    </row>
    <row r="10639" spans="1:9" x14ac:dyDescent="0.3">
      <c r="A10639" s="1" t="s">
        <v>149</v>
      </c>
      <c r="B10639" s="1" t="s">
        <v>155</v>
      </c>
      <c r="C10639" s="1" t="s">
        <v>63</v>
      </c>
      <c r="D10639" s="1" t="s">
        <v>521</v>
      </c>
      <c r="E10639" s="1" t="s">
        <v>3120</v>
      </c>
      <c r="F10639" s="1" t="s">
        <v>15390</v>
      </c>
      <c r="G10639" s="1" t="s">
        <v>36</v>
      </c>
      <c r="H10639" s="1" t="s">
        <v>29</v>
      </c>
      <c r="I10639" s="1" t="str">
        <f ca="1">IFERROR(__xludf.DUMMYFUNCTION("GOOGLETRANSLATE(F10639, ""auto"", ""en"")
"),"Excellent vacuum cleaner. Does his job with ease. The carpets are clean, nice. I really like that the brush has a built-in rubber brush that allows you to remove wool and hair from carpets. I recommend it to everyone. An excellent choice for cleaning. In "&amp;"6 years it has never let me down.")</f>
        <v>Excellent vacuum cleaner. Does his job with ease. The carpets are clean, nice. I really like that the brush has a built-in rubber brush that allows you to remove wool and hair from carpets. I recommend it to everyone. An excellent choice for cleaning. In 6 years it has never let me down.</v>
      </c>
    </row>
    <row r="10640" spans="1:9" x14ac:dyDescent="0.3">
      <c r="A10640" s="1" t="s">
        <v>61</v>
      </c>
      <c r="B10640" s="1" t="s">
        <v>726</v>
      </c>
      <c r="C10640" s="1" t="s">
        <v>74</v>
      </c>
      <c r="D10640" s="1" t="s">
        <v>891</v>
      </c>
      <c r="E10640" s="1" t="s">
        <v>3084</v>
      </c>
      <c r="F10640" s="1" t="s">
        <v>15391</v>
      </c>
      <c r="G10640" s="1" t="s">
        <v>36</v>
      </c>
      <c r="H10640" s="1" t="s">
        <v>29</v>
      </c>
      <c r="I10640" s="1" t="str">
        <f ca="1">IFERROR(__xludf.DUMMYFUNCTION("GOOGLETRANSLATE(F10640, ""auto"", ""en"")
"),"in operation for exactly a year. completely satisfied. We use it very often. no complaints")</f>
        <v>in operation for exactly a year. completely satisfied. We use it very often. no complaints</v>
      </c>
    </row>
    <row r="10641" spans="1:9" x14ac:dyDescent="0.3">
      <c r="A10641" s="1" t="s">
        <v>477</v>
      </c>
      <c r="B10641" s="1" t="s">
        <v>478</v>
      </c>
      <c r="C10641" s="1" t="s">
        <v>479</v>
      </c>
      <c r="D10641" s="1" t="s">
        <v>327</v>
      </c>
      <c r="E10641" s="1" t="s">
        <v>1510</v>
      </c>
      <c r="F10641" s="1" t="s">
        <v>15392</v>
      </c>
      <c r="G10641" s="1" t="s">
        <v>36</v>
      </c>
      <c r="H10641" s="1" t="s">
        <v>29</v>
      </c>
      <c r="I10641" s="1" t="str">
        <f ca="1">IFERROR(__xludf.DUMMYFUNCTION("GOOGLETRANSLATE(F10641, ""auto"", ""en"")
"),"Great game! take everything! And indeed the cost of the disc is 100% justified! Assassin's Creed 2 is much better in every way than the first part. The graphics are better than the first one and the music is much better. And the counterattack movements an"&amp;"d possibilities during the battle are so fascinating that you don’t want to look away. I didn’t notice any downsides; only at the slightest disconnect from the Internet the game crashes. The developers really spent a lot of time and effort on this game, b"&amp;"ut it fully justified itself and showed its best side. And I'm sure Assassin's Creed 3 is just around the corner.")</f>
        <v>Great game! take everything! And indeed the cost of the disc is 100% justified! Assassin's Creed 2 is much better in every way than the first part. The graphics are better than the first one and the music is much better. And the counterattack movements and possibilities during the battle are so fascinating that you don’t want to look away. I didn’t notice any downsides; only at the slightest disconnect from the Internet the game crashes. The developers really spent a lot of time and effort on this game, but it fully justified itself and showed its best side. And I'm sure Assassin's Creed 3 is just around the corner.</v>
      </c>
    </row>
    <row r="10642" spans="1:9" x14ac:dyDescent="0.3">
      <c r="A10642" s="1" t="s">
        <v>95</v>
      </c>
      <c r="B10642" s="1" t="s">
        <v>486</v>
      </c>
      <c r="C10642" s="1" t="s">
        <v>487</v>
      </c>
      <c r="D10642" s="1" t="s">
        <v>940</v>
      </c>
      <c r="E10642" s="1" t="s">
        <v>701</v>
      </c>
      <c r="F10642" s="1" t="s">
        <v>15393</v>
      </c>
      <c r="G10642" s="1" t="s">
        <v>36</v>
      </c>
      <c r="H10642" s="1" t="s">
        <v>29</v>
      </c>
      <c r="I10642" s="1" t="str">
        <f ca="1">IFERROR(__xludf.DUMMYFUNCTION("GOOGLETRANSLATE(F10642, ""auto"", ""en"")
"),"simply the best console, even the PS3 is out of commission. Flash it and you will be happy to make the discs yourself or buy pirated ones for 300 rubles.. rather than buy from 500 to 5 tr games in the store")</f>
        <v>simply the best console, even the PS3 is out of commission. Flash it and you will be happy to make the discs yourself or buy pirated ones for 300 rubles.. rather than buy from 500 to 5 tr games in the store</v>
      </c>
    </row>
    <row r="10643" spans="1:9" x14ac:dyDescent="0.3">
      <c r="A10643" s="1" t="s">
        <v>169</v>
      </c>
      <c r="B10643" s="1" t="s">
        <v>170</v>
      </c>
      <c r="C10643" s="1" t="s">
        <v>171</v>
      </c>
      <c r="D10643" s="1" t="s">
        <v>117</v>
      </c>
      <c r="E10643" s="1" t="s">
        <v>5011</v>
      </c>
      <c r="F10643" s="1" t="s">
        <v>15394</v>
      </c>
      <c r="G10643" s="1" t="s">
        <v>36</v>
      </c>
      <c r="H10643" s="1" t="s">
        <v>29</v>
      </c>
      <c r="I10643" s="1" t="str">
        <f ca="1">IFERROR(__xludf.DUMMYFUNCTION("GOOGLETRANSLATE(F10643, ""auto"", ""en"")
"),"After my old Philips headphones for 300 rubles. these are just heaven and earth! Magnificent soft, deep and rich bass, excellent mids! I was very pleased with the noise insulation - you only enjoy your favorite music and that’s it! I'm happy with the purc"&amp;"hase and very much so.")</f>
        <v>After my old Philips headphones for 300 rubles. these are just heaven and earth! Magnificent soft, deep and rich bass, excellent mids! I was very pleased with the noise insulation - you only enjoy your favorite music and that’s it! I'm happy with the purchase and very much so.</v>
      </c>
    </row>
    <row r="10644" spans="1:9" x14ac:dyDescent="0.3">
      <c r="A10644" s="1" t="s">
        <v>120</v>
      </c>
      <c r="B10644" s="1" t="s">
        <v>196</v>
      </c>
      <c r="C10644" s="1" t="s">
        <v>80</v>
      </c>
      <c r="D10644" s="1" t="s">
        <v>1851</v>
      </c>
      <c r="E10644" s="1" t="s">
        <v>1738</v>
      </c>
      <c r="F10644" s="1" t="s">
        <v>15395</v>
      </c>
      <c r="G10644" s="1" t="s">
        <v>36</v>
      </c>
      <c r="H10644" s="1" t="s">
        <v>29</v>
      </c>
      <c r="I10644" s="1" t="str">
        <f ca="1">IFERROR(__xludf.DUMMYFUNCTION("GOOGLETRANSLATE(F10644, ""auto"", ""en"")
"),"I looked at and tested this TV for a long time (with my media player), but did not have time to buy it. I bought LG, but the model 3010. I compared it with Philips and Samsung. The choice remained with LG - a much better picture than Philipps (5604), and "&amp;"a larger diagonal than Samsung (I don’t remember the model, 42 versus 40). AND CHEAPER than both of them. I've been all over the house. I haven't tried changing it yet. I watched it - cable (4 - channels switch slowly), media player (5-, the problem seems"&amp;" to be with the player itself, it only has HDMI 1.2, when you watch FullHD the frames are a little torn, but quite tolerable, and I’m picky), computer (5, video card with HDMI output, the picture is lively and natural in both films and games). Telecom is "&amp;"VERY pleased.")</f>
        <v>I looked at and tested this TV for a long time (with my media player), but did not have time to buy it. I bought LG, but the model 3010. I compared it with Philips and Samsung. The choice remained with LG - a much better picture than Philipps (5604), and a larger diagonal than Samsung (I don’t remember the model, 42 versus 40). AND CHEAPER than both of them. I've been all over the house. I haven't tried changing it yet. I watched it - cable (4 - channels switch slowly), media player (5-, the problem seems to be with the player itself, it only has HDMI 1.2, when you watch FullHD the frames are a little torn, but quite tolerable, and I’m picky), computer (5, video card with HDMI output, the picture is lively and natural in both films and games). Telecom is VERY pleased.</v>
      </c>
    </row>
    <row r="10645" spans="1:9" x14ac:dyDescent="0.3">
      <c r="A10645" s="1" t="s">
        <v>17</v>
      </c>
      <c r="B10645" s="1" t="s">
        <v>18</v>
      </c>
      <c r="C10645" s="1" t="s">
        <v>243</v>
      </c>
      <c r="D10645" s="1" t="s">
        <v>545</v>
      </c>
      <c r="E10645" s="1" t="s">
        <v>209</v>
      </c>
      <c r="F10645" s="1" t="s">
        <v>15396</v>
      </c>
      <c r="G10645" s="1" t="s">
        <v>36</v>
      </c>
      <c r="H10645" s="1" t="s">
        <v>29</v>
      </c>
      <c r="I10645" s="1" t="str">
        <f ca="1">IFERROR(__xludf.DUMMYFUNCTION("GOOGLETRANSLATE(F10645, ""auto"", ""en"")
"),"I recently bought an Indesit WIN 102 machine.... It's just a fairy tale!!! Very easy to use, not noisy. I've heard about expensive cars stuffed with all sorts of electronics, but not very good opinions. This machine is simply SUPERB!!! Both in price and q"&amp;"uality.")</f>
        <v>I recently bought an Indesit WIN 102 machine.... It's just a fairy tale!!! Very easy to use, not noisy. I've heard about expensive cars stuffed with all sorts of electronics, but not very good opinions. This machine is simply SUPERB!!! Both in price and quality.</v>
      </c>
    </row>
    <row r="10646" spans="1:9" x14ac:dyDescent="0.3">
      <c r="A10646" s="1" t="s">
        <v>95</v>
      </c>
      <c r="B10646" s="1" t="s">
        <v>648</v>
      </c>
      <c r="C10646" s="1" t="s">
        <v>97</v>
      </c>
      <c r="D10646" s="1" t="s">
        <v>633</v>
      </c>
      <c r="E10646" s="1" t="s">
        <v>661</v>
      </c>
      <c r="F10646" s="1" t="s">
        <v>15397</v>
      </c>
      <c r="G10646" s="1" t="s">
        <v>36</v>
      </c>
      <c r="H10646" s="1" t="s">
        <v>29</v>
      </c>
      <c r="I10646" s="1" t="str">
        <f ca="1">IFERROR(__xludf.DUMMYFUNCTION("GOOGLETRANSLATE(F10646, ""auto"", ""en"")
"),"awesome game doesn't glitch doesn't slow down everything is top class and also the camera I'm so glad I bought many features in the game you can use the camera to take pictures and shoot videos I'm completely delighted")</f>
        <v>awesome game doesn't glitch doesn't slow down everything is top class and also the camera I'm so glad I bought many features in the game you can use the camera to take pictures and shoot videos I'm completely delighted</v>
      </c>
    </row>
    <row r="10647" spans="1:9" x14ac:dyDescent="0.3">
      <c r="A10647" s="1" t="s">
        <v>30</v>
      </c>
      <c r="B10647" s="1" t="s">
        <v>50</v>
      </c>
      <c r="C10647" s="1" t="s">
        <v>32</v>
      </c>
      <c r="D10647" s="1" t="s">
        <v>968</v>
      </c>
      <c r="E10647" s="1" t="s">
        <v>696</v>
      </c>
      <c r="F10647" s="1" t="s">
        <v>15398</v>
      </c>
      <c r="G10647" s="1" t="s">
        <v>28</v>
      </c>
      <c r="H10647" s="1" t="s">
        <v>29</v>
      </c>
      <c r="I10647" s="1" t="str">
        <f ca="1">IFERROR(__xludf.DUMMYFUNCTION("GOOGLETRANSLATE(F10647, ""auto"", ""en"")
"),"IMHO it's hard to find something better.  Excellent bright monitor, loud speakers - cinema at home. You need to install additional codecs, for example k-lite 5.20.  Today I played Stalker on maximum settings. Tomorrow I'll try GTA4.  The plastic is of ave"&amp;"rage quality, quite pleasant to the touch. And it looks solid and of high quality, unlike Packard Bell, which I almost took.")</f>
        <v>IMHO it's hard to find something better.  Excellent bright monitor, loud speakers - cinema at home. You need to install additional codecs, for example k-lite 5.20.  Today I played Stalker on maximum settings. Tomorrow I'll try GTA4.  The plastic is of average quality, quite pleasant to the touch. And it looks solid and of high quality, unlike Packard Bell, which I almost took.</v>
      </c>
    </row>
    <row r="10648" spans="1:9" x14ac:dyDescent="0.3">
      <c r="A10648" s="1" t="s">
        <v>169</v>
      </c>
      <c r="B10648" s="1" t="s">
        <v>170</v>
      </c>
      <c r="C10648" s="1" t="s">
        <v>122</v>
      </c>
      <c r="D10648" s="1" t="s">
        <v>15399</v>
      </c>
      <c r="E10648" s="1" t="s">
        <v>2529</v>
      </c>
      <c r="F10648" s="1" t="s">
        <v>15400</v>
      </c>
      <c r="G10648" s="1" t="s">
        <v>36</v>
      </c>
      <c r="H10648" s="1" t="s">
        <v>29</v>
      </c>
      <c r="I10648" s="1" t="str">
        <f ca="1">IFERROR(__xludf.DUMMYFUNCTION("GOOGLETRANSLATE(F10648, ""auto"", ""en"")
"),"excellent headphones, the price is justified. They served for more than a year, in principle, they still work, but the wire began to fray and it feels like the wire is about to break =(((before this, my headphones didn’t survive even a month, but these on"&amp;"es are breaking all records =)")</f>
        <v>excellent headphones, the price is justified. They served for more than a year, in principle, they still work, but the wire began to fray and it feels like the wire is about to break =(((before this, my headphones didn’t survive even a month, but these ones are breaking all records =)</v>
      </c>
    </row>
    <row r="10649" spans="1:9" x14ac:dyDescent="0.3">
      <c r="A10649" s="1" t="s">
        <v>37</v>
      </c>
      <c r="B10649" s="1" t="s">
        <v>38</v>
      </c>
      <c r="C10649" s="1" t="s">
        <v>39</v>
      </c>
      <c r="D10649" s="1" t="s">
        <v>305</v>
      </c>
      <c r="E10649" s="1" t="s">
        <v>2305</v>
      </c>
      <c r="F10649" s="1" t="s">
        <v>15401</v>
      </c>
      <c r="G10649" s="1" t="s">
        <v>36</v>
      </c>
      <c r="H10649" s="1" t="s">
        <v>29</v>
      </c>
      <c r="I10649" s="1" t="str">
        <f ca="1">IFERROR(__xludf.DUMMYFUNCTION("GOOGLETRANSLATE(F10649, ""auto"", ""en"")
"),"I bought it a month ago, the first impression is not bad. Stylish and functional phone. I liked the look at first sight!")</f>
        <v>I bought it a month ago, the first impression is not bad. Stylish and functional phone. I liked the look at first sight!</v>
      </c>
    </row>
    <row r="10650" spans="1:9" x14ac:dyDescent="0.3">
      <c r="A10650" s="1" t="s">
        <v>105</v>
      </c>
      <c r="B10650" s="1" t="s">
        <v>106</v>
      </c>
      <c r="C10650" s="1" t="s">
        <v>1921</v>
      </c>
      <c r="D10650" s="1" t="s">
        <v>15402</v>
      </c>
      <c r="E10650" s="1" t="s">
        <v>2531</v>
      </c>
      <c r="F10650" s="1" t="s">
        <v>15403</v>
      </c>
      <c r="G10650" s="1" t="s">
        <v>36</v>
      </c>
      <c r="H10650" s="1" t="s">
        <v>29</v>
      </c>
      <c r="I10650" s="1" t="str">
        <f ca="1">IFERROR(__xludf.DUMMYFUNCTION("GOOGLETRANSLATE(F10650, ""auto"", ""en"")
"),"I agree with Anastasia from Volzhsky. Don't listen to anyone, take it without hesitation. Very good player. Given as a gift 2 years ago. It works perfectly. I don’t know about others, but personally, everything is fine with my sensors so far. And if somet"&amp;"hing is really wrong, hand it in under warranty, they will give you another one.")</f>
        <v>I agree with Anastasia from Volzhsky. Don't listen to anyone, take it without hesitation. Very good player. Given as a gift 2 years ago. It works perfectly. I don’t know about others, but personally, everything is fine with my sensors so far. And if something is really wrong, hand it in under warranty, they will give you another one.</v>
      </c>
    </row>
    <row r="10651" spans="1:9" x14ac:dyDescent="0.3">
      <c r="A10651" s="1" t="s">
        <v>61</v>
      </c>
      <c r="B10651" s="1" t="s">
        <v>318</v>
      </c>
      <c r="C10651" s="1" t="s">
        <v>246</v>
      </c>
      <c r="D10651" s="1" t="s">
        <v>15404</v>
      </c>
      <c r="E10651" s="1" t="s">
        <v>1450</v>
      </c>
      <c r="F10651" s="1" t="s">
        <v>15405</v>
      </c>
      <c r="G10651" s="1" t="s">
        <v>28</v>
      </c>
      <c r="H10651" s="1" t="s">
        <v>29</v>
      </c>
      <c r="I10651" s="1" t="str">
        <f ca="1">IFERROR(__xludf.DUMMYFUNCTION("GOOGLETRANSLATE(F10651, ""auto"", ""en"")
"),"The kettle is super, it works quietly compared to the BRAUN wk210. there is no smell of plastic, the design is original, it boils quickly, it does not turn off right away, this is not very good, the water boils over a little, but the previous kettle had t"&amp;"he same thing, it is not clear why the price is not high compared to similar models from this company and the country of origin is not very good, but everything is cool.")</f>
        <v>The kettle is super, it works quietly compared to the BRAUN wk210. there is no smell of plastic, the design is original, it boils quickly, it does not turn off right away, this is not very good, the water boils over a little, but the previous kettle had the same thing, it is not clear why the price is not high compared to similar models from this company and the country of origin is not very good, but everything is cool.</v>
      </c>
    </row>
    <row r="10652" spans="1:9" x14ac:dyDescent="0.3">
      <c r="A10652" s="1" t="s">
        <v>17</v>
      </c>
      <c r="B10652" s="1" t="s">
        <v>325</v>
      </c>
      <c r="C10652" s="1" t="s">
        <v>326</v>
      </c>
      <c r="D10652" s="1" t="s">
        <v>295</v>
      </c>
      <c r="E10652" s="1" t="s">
        <v>4780</v>
      </c>
      <c r="F10652" s="1" t="s">
        <v>15406</v>
      </c>
      <c r="G10652" s="1" t="s">
        <v>36</v>
      </c>
      <c r="H10652" s="1" t="s">
        <v>29</v>
      </c>
      <c r="I10652" s="1" t="str">
        <f ca="1">IFERROR(__xludf.DUMMYFUNCTION("GOOGLETRANSLATE(F10652, ""auto"", ""en"")
"),"For those who live in a rented apartment without an automatic washing machine, or who have limited space, this is a very useful and convenient thing. I just have a limited budget - I’m happy with the machine. It washes well! I advise and recommend this ma"&amp;"chine.")</f>
        <v>For those who live in a rented apartment without an automatic washing machine, or who have limited space, this is a very useful and convenient thing. I just have a limited budget - I’m happy with the machine. It washes well! I advise and recommend this machine.</v>
      </c>
    </row>
    <row r="10653" spans="1:9" x14ac:dyDescent="0.3">
      <c r="A10653" s="1" t="s">
        <v>211</v>
      </c>
      <c r="B10653" s="1" t="s">
        <v>212</v>
      </c>
      <c r="C10653" s="1" t="s">
        <v>57</v>
      </c>
      <c r="D10653" s="1" t="s">
        <v>521</v>
      </c>
      <c r="E10653" s="1" t="s">
        <v>15407</v>
      </c>
      <c r="F10653" s="1" t="s">
        <v>15408</v>
      </c>
      <c r="G10653" s="1" t="s">
        <v>36</v>
      </c>
      <c r="H10653" s="1" t="s">
        <v>29</v>
      </c>
      <c r="I10653" s="1" t="str">
        <f ca="1">IFERROR(__xludf.DUMMYFUNCTION("GOOGLETRANSLATE(F10653, ""auto"", ""en"")
"),"I like the way these tongs work and I have no plans to change them for others. Literally 10 minutes before work, and the curling iron is warmed up and the curls are done. Stay on with varnish all day.")</f>
        <v>I like the way these tongs work and I have no plans to change them for others. Literally 10 minutes before work, and the curling iron is warmed up and the curls are done. Stay on with varnish all day.</v>
      </c>
    </row>
    <row r="10654" spans="1:9" x14ac:dyDescent="0.3">
      <c r="A10654" s="1" t="s">
        <v>30</v>
      </c>
      <c r="B10654" s="1" t="s">
        <v>50</v>
      </c>
      <c r="C10654" s="1" t="s">
        <v>1003</v>
      </c>
      <c r="D10654" s="1" t="s">
        <v>1036</v>
      </c>
      <c r="E10654" s="1" t="s">
        <v>2815</v>
      </c>
      <c r="F10654" s="1" t="s">
        <v>15409</v>
      </c>
      <c r="G10654" s="1" t="s">
        <v>36</v>
      </c>
      <c r="H10654" s="1" t="s">
        <v>29</v>
      </c>
      <c r="I10654" s="1" t="str">
        <f ca="1">IFERROR(__xludf.DUMMYFUNCTION("GOOGLETRANSLATE(F10654, ""auto"", ""en"")
"),"The laptop is cool! I got it for 25,990 as a promotion. The characteristics at that price are amazing. The only downsides are heating and noise when playing at almost max. gta iv settings. Recommend!")</f>
        <v>The laptop is cool! I got it for 25,990 as a promotion. The characteristics at that price are amazing. The only downsides are heating and noise when playing at almost max. gta iv settings. Recommend!</v>
      </c>
    </row>
    <row r="10655" spans="1:9" x14ac:dyDescent="0.3">
      <c r="A10655" s="1" t="s">
        <v>369</v>
      </c>
      <c r="B10655" s="1" t="s">
        <v>370</v>
      </c>
      <c r="C10655" s="1" t="s">
        <v>63</v>
      </c>
      <c r="D10655" s="1" t="s">
        <v>305</v>
      </c>
      <c r="E10655" s="1" t="s">
        <v>2634</v>
      </c>
      <c r="F10655" s="1" t="s">
        <v>15410</v>
      </c>
      <c r="G10655" s="1" t="s">
        <v>36</v>
      </c>
      <c r="H10655" s="1" t="s">
        <v>29</v>
      </c>
      <c r="I10655" s="1" t="str">
        <f ca="1">IFERROR(__xludf.DUMMYFUNCTION("GOOGLETRANSLATE(F10655, ""auto"", ""en"")
"),"The stove is truly excellent! It contains everything you need and nothing unnecessary, and most importantly, ease of use. The only downside is that there is no cord included, but I think this is not a problem.")</f>
        <v>The stove is truly excellent! It contains everything you need and nothing unnecessary, and most importantly, ease of use. The only downside is that there is no cord included, but I think this is not a problem.</v>
      </c>
    </row>
    <row r="10656" spans="1:9" x14ac:dyDescent="0.3">
      <c r="A10656" s="1" t="s">
        <v>211</v>
      </c>
      <c r="B10656" s="1" t="s">
        <v>899</v>
      </c>
      <c r="C10656" s="1" t="s">
        <v>213</v>
      </c>
      <c r="D10656" s="1" t="s">
        <v>15411</v>
      </c>
      <c r="E10656" s="1" t="s">
        <v>5195</v>
      </c>
      <c r="F10656" s="1" t="s">
        <v>15412</v>
      </c>
      <c r="G10656" s="1" t="s">
        <v>36</v>
      </c>
      <c r="H10656" s="1" t="s">
        <v>29</v>
      </c>
      <c r="I10656" s="1" t="str">
        <f ca="1">IFERROR(__xludf.DUMMYFUNCTION("GOOGLETRANSLATE(F10656, ""auto"", ""en"")
"),"I bought it as a gift for my boyfriend. We've been using both for 8 months now :) Good, no complaints.")</f>
        <v>I bought it as a gift for my boyfriend. We've been using both for 8 months now :) Good, no complaints.</v>
      </c>
    </row>
    <row r="10657" spans="1:9" x14ac:dyDescent="0.3">
      <c r="A10657" s="1" t="s">
        <v>211</v>
      </c>
      <c r="B10657" s="1" t="s">
        <v>789</v>
      </c>
      <c r="C10657" s="1" t="s">
        <v>69</v>
      </c>
      <c r="D10657" s="1" t="s">
        <v>15413</v>
      </c>
      <c r="E10657" s="1" t="s">
        <v>15414</v>
      </c>
      <c r="F10657" s="1" t="s">
        <v>15415</v>
      </c>
      <c r="G10657" s="1" t="s">
        <v>36</v>
      </c>
      <c r="H10657" s="1" t="s">
        <v>29</v>
      </c>
      <c r="I10657" s="1" t="str">
        <f ca="1">IFERROR(__xludf.DUMMYFUNCTION("GOOGLETRANSLATE(F10657, ""auto"", ""en"")
"),"The Chicco heater is fast, convenient and reliable! Chicco warmers can be used to heat breast milk, formula, juice, and baby food in cans and bags. The warmer itself is universal, suitable for any type of bottle.  Appearance: small in size, durable and hi"&amp;"gh-quality plastic, odorless, safe and suitable for any kitchen interior.")</f>
        <v>The Chicco heater is fast, convenient and reliable! Chicco warmers can be used to heat breast milk, formula, juice, and baby food in cans and bags. The warmer itself is universal, suitable for any type of bottle.  Appearance: small in size, durable and high-quality plastic, odorless, safe and suitable for any kitchen interior.</v>
      </c>
    </row>
    <row r="10658" spans="1:9" x14ac:dyDescent="0.3">
      <c r="A10658" s="1" t="s">
        <v>149</v>
      </c>
      <c r="B10658" s="1" t="s">
        <v>423</v>
      </c>
      <c r="C10658" s="1" t="s">
        <v>314</v>
      </c>
      <c r="D10658" s="1" t="s">
        <v>86</v>
      </c>
      <c r="E10658" s="1" t="s">
        <v>11412</v>
      </c>
      <c r="F10658" s="1" t="s">
        <v>15416</v>
      </c>
      <c r="G10658" s="1" t="s">
        <v>94</v>
      </c>
      <c r="H10658" s="1" t="s">
        <v>29</v>
      </c>
      <c r="I10658" s="1" t="str">
        <f ca="1">IFERROR(__xludf.DUMMYFUNCTION("GOOGLETRANSLATE(F10658, ""auto"", ""en"")
"),"Power, number of nozzles, aqua filter")</f>
        <v>Power, number of nozzles, aqua filter</v>
      </c>
    </row>
    <row r="10659" spans="1:9" x14ac:dyDescent="0.3">
      <c r="A10659" s="1" t="s">
        <v>61</v>
      </c>
      <c r="B10659" s="1" t="s">
        <v>318</v>
      </c>
      <c r="C10659" s="1" t="s">
        <v>101</v>
      </c>
      <c r="D10659" s="1" t="s">
        <v>127</v>
      </c>
      <c r="E10659" s="1" t="s">
        <v>4508</v>
      </c>
      <c r="F10659" s="1" t="s">
        <v>15417</v>
      </c>
      <c r="G10659" s="1" t="s">
        <v>36</v>
      </c>
      <c r="H10659" s="1" t="s">
        <v>29</v>
      </c>
      <c r="I10659" s="1" t="str">
        <f ca="1">IFERROR(__xludf.DUMMYFUNCTION("GOOGLETRANSLATE(F10659, ""auto"", ""en"")
"),"reliability")</f>
        <v>reliability</v>
      </c>
    </row>
    <row r="10660" spans="1:9" x14ac:dyDescent="0.3">
      <c r="A10660" s="1" t="s">
        <v>211</v>
      </c>
      <c r="B10660" s="1" t="s">
        <v>212</v>
      </c>
      <c r="C10660" s="1" t="s">
        <v>213</v>
      </c>
      <c r="D10660" s="1" t="s">
        <v>1259</v>
      </c>
      <c r="E10660" s="1" t="s">
        <v>481</v>
      </c>
      <c r="F10660" s="1" t="s">
        <v>15418</v>
      </c>
      <c r="G10660" s="1" t="s">
        <v>36</v>
      </c>
      <c r="H10660" s="1" t="s">
        <v>29</v>
      </c>
      <c r="I10660" s="1" t="str">
        <f ca="1">IFERROR(__xludf.DUMMYFUNCTION("GOOGLETRANSLATE(F10660, ""auto"", ""en"")
"),"I bought this hair dryer 3 months ago. I use it and couldn't be happier. Very convenient! Drying and styling hair with this hair dryer has turned from a long and tedious procedure into a pleasure!!!  Among the shortcomings I can note is the inconvenient a"&amp;"ttachment of the attachments. But I don’t usually change them, so I’m happy with everything.  I’m very glad that I chose the Braun BC 1400 S2 hair dryer!")</f>
        <v>I bought this hair dryer 3 months ago. I use it and couldn't be happier. Very convenient! Drying and styling hair with this hair dryer has turned from a long and tedious procedure into a pleasure!!!  Among the shortcomings I can note is the inconvenient attachment of the attachments. But I don’t usually change them, so I’m happy with everything.  I’m very glad that I chose the Braun BC 1400 S2 hair dryer!</v>
      </c>
    </row>
    <row r="10661" spans="1:9" x14ac:dyDescent="0.3">
      <c r="A10661" s="1" t="s">
        <v>211</v>
      </c>
      <c r="B10661" s="1" t="s">
        <v>212</v>
      </c>
      <c r="C10661" s="1" t="s">
        <v>381</v>
      </c>
      <c r="D10661" s="1" t="s">
        <v>32</v>
      </c>
      <c r="E10661" s="1" t="s">
        <v>6631</v>
      </c>
      <c r="F10661" s="1" t="s">
        <v>15419</v>
      </c>
      <c r="G10661" s="1" t="s">
        <v>36</v>
      </c>
      <c r="H10661" s="1" t="s">
        <v>29</v>
      </c>
      <c r="I10661" s="1" t="str">
        <f ca="1">IFERROR(__xludf.DUMMYFUNCTION("GOOGLETRANSLATE(F10661, ""auto"", ""en"")
"),"The hairdryer is just super, I’ve been using it for 6 years, and it just now started to heat up and turn off. I'm going to exchange it for the same one.")</f>
        <v>The hairdryer is just super, I’ve been using it for 6 years, and it just now started to heat up and turn off. I'm going to exchange it for the same one.</v>
      </c>
    </row>
    <row r="10662" spans="1:9" x14ac:dyDescent="0.3">
      <c r="A10662" s="1" t="s">
        <v>43</v>
      </c>
      <c r="B10662" s="1" t="s">
        <v>303</v>
      </c>
      <c r="C10662" s="1" t="s">
        <v>220</v>
      </c>
      <c r="D10662" s="1" t="s">
        <v>152</v>
      </c>
      <c r="E10662" s="1" t="s">
        <v>10272</v>
      </c>
      <c r="F10662" s="1" t="s">
        <v>15420</v>
      </c>
      <c r="G10662" s="1" t="s">
        <v>36</v>
      </c>
      <c r="H10662" s="1" t="s">
        <v>29</v>
      </c>
      <c r="I10662" s="1" t="str">
        <f ca="1">IFERROR(__xludf.DUMMYFUNCTION("GOOGLETRANSLATE(F10662, ""auto"", ""en"")
"),"Fits well into a small bathroom, nice appearance, volume is perfect for a young family of three or four people. Nice clear display, replaces the night light at night")</f>
        <v>Fits well into a small bathroom, nice appearance, volume is perfect for a young family of three or four people. Nice clear display, replaces the night light at night</v>
      </c>
    </row>
    <row r="10663" spans="1:9" x14ac:dyDescent="0.3">
      <c r="A10663" s="1" t="s">
        <v>111</v>
      </c>
      <c r="B10663" s="1" t="s">
        <v>112</v>
      </c>
      <c r="C10663" s="1" t="s">
        <v>113</v>
      </c>
      <c r="D10663" s="1" t="s">
        <v>152</v>
      </c>
      <c r="E10663" s="1" t="s">
        <v>5119</v>
      </c>
      <c r="F10663" s="1" t="s">
        <v>15421</v>
      </c>
      <c r="G10663" s="1" t="s">
        <v>28</v>
      </c>
      <c r="H10663" s="1" t="s">
        <v>29</v>
      </c>
      <c r="I10663" s="1" t="str">
        <f ca="1">IFERROR(__xludf.DUMMYFUNCTION("GOOGLETRANSLATE(F10663, ""auto"", ""en"")
"),"The review is very positive, it saved a computer with a set of components and equipment from a wild power surge to 360 volts due to the negligence of repairmen of the house operating organization. Blessed memory to him, he can no longer be restored. For e"&amp;"xample, the telephone, acoustics and energy-saving lamps failed because they were connected to the network in other rooms. But in court I will make him pay for it.")</f>
        <v>The review is very positive, it saved a computer with a set of components and equipment from a wild power surge to 360 volts due to the negligence of repairmen of the house operating organization. Blessed memory to him, he can no longer be restored. For example, the telephone, acoustics and energy-saving lamps failed because they were connected to the network in other rooms. But in court I will make him pay for it.</v>
      </c>
    </row>
    <row r="10664" spans="1:9" x14ac:dyDescent="0.3">
      <c r="A10664" s="1" t="s">
        <v>67</v>
      </c>
      <c r="B10664" s="1" t="s">
        <v>68</v>
      </c>
      <c r="C10664" s="1" t="s">
        <v>381</v>
      </c>
      <c r="D10664" s="1" t="s">
        <v>86</v>
      </c>
      <c r="E10664" s="1" t="s">
        <v>3890</v>
      </c>
      <c r="F10664" s="1" t="s">
        <v>15422</v>
      </c>
      <c r="G10664" s="1" t="s">
        <v>36</v>
      </c>
      <c r="H10664" s="1" t="s">
        <v>29</v>
      </c>
      <c r="I10664" s="1" t="str">
        <f ca="1">IFERROR(__xludf.DUMMYFUNCTION("GOOGLETRANSLATE(F10664, ""auto"", ""en"")
"),"I bought it half a year ago using card bonuses. And I was very surprised at the quality of the unit in this price category.  Everything you need is there (steam, vertical steam, wide temperature range, water diffuser, self-cleaning nozzles). In addition, "&amp;"it is quite heavy and does not require much effort when ironing; it heats up quickly and cools down for a long time. The sole is quite scratch-resistant (unless you scratch it on purpose). Comfortable rubber handle. The assembly inspires confidence.  I re"&amp;"commend it to everyone.")</f>
        <v>I bought it half a year ago using card bonuses. And I was very surprised at the quality of the unit in this price category.  Everything you need is there (steam, vertical steam, wide temperature range, water diffuser, self-cleaning nozzles). In addition, it is quite heavy and does not require much effort when ironing; it heats up quickly and cools down for a long time. The sole is quite scratch-resistant (unless you scratch it on purpose). Comfortable rubber handle. The assembly inspires confidence.  I recommend it to everyone.</v>
      </c>
    </row>
    <row r="10665" spans="1:9" x14ac:dyDescent="0.3">
      <c r="A10665" s="1" t="s">
        <v>37</v>
      </c>
      <c r="B10665" s="1" t="s">
        <v>536</v>
      </c>
      <c r="C10665" s="1" t="s">
        <v>537</v>
      </c>
      <c r="D10665" s="1" t="s">
        <v>621</v>
      </c>
      <c r="E10665" s="1" t="s">
        <v>379</v>
      </c>
      <c r="F10665" s="1" t="s">
        <v>15423</v>
      </c>
      <c r="G10665" s="1" t="s">
        <v>36</v>
      </c>
      <c r="H10665" s="1" t="s">
        <v>29</v>
      </c>
      <c r="I10665" s="1" t="str">
        <f ca="1">IFERROR(__xludf.DUMMYFUNCTION("GOOGLETRANSLATE(F10665, ""auto"", ""en"")
"),"I waited for its release for about 5 months, now I don’t regret it at all, there were different models, well, there are a lot of complaints Diamond2 I have had no complaints since May and the charge holds perfectly and the functionality is very decent, I "&amp;"pumped up different programs, I bought an additional 16 GB card, in general, an excellent thing I recommend to everyone, both for the soul and for work")</f>
        <v>I waited for its release for about 5 months, now I don’t regret it at all, there were different models, well, there are a lot of complaints Diamond2 I have had no complaints since May and the charge holds perfectly and the functionality is very decent, I pumped up different programs, I bought an additional 16 GB card, in general, an excellent thing I recommend to everyone, both for the soul and for work</v>
      </c>
    </row>
    <row r="10666" spans="1:9" x14ac:dyDescent="0.3">
      <c r="A10666" s="1" t="s">
        <v>557</v>
      </c>
      <c r="B10666" s="1" t="s">
        <v>558</v>
      </c>
      <c r="C10666" s="1" t="s">
        <v>816</v>
      </c>
      <c r="D10666" s="1" t="s">
        <v>232</v>
      </c>
      <c r="E10666" s="1" t="s">
        <v>3472</v>
      </c>
      <c r="F10666" s="1" t="s">
        <v>15424</v>
      </c>
      <c r="G10666" s="1" t="s">
        <v>36</v>
      </c>
      <c r="H10666" s="1" t="s">
        <v>29</v>
      </c>
      <c r="I10666" s="1" t="str">
        <f ca="1">IFERROR(__xludf.DUMMYFUNCTION("GOOGLETRANSLATE(F10666, ""auto"", ""en"")
"),"* To the previous comment... I bought 2 Duracell batteries, 1000 mAh, the situation has changed dramatically. Several hours of conversation and the indicator does not drop a single division.")</f>
        <v>* To the previous comment... I bought 2 Duracell batteries, 1000 mAh, the situation has changed dramatically. Several hours of conversation and the indicator does not drop a single division.</v>
      </c>
    </row>
    <row r="10667" spans="1:9" x14ac:dyDescent="0.3">
      <c r="A10667" s="1" t="s">
        <v>95</v>
      </c>
      <c r="B10667" s="1" t="s">
        <v>96</v>
      </c>
      <c r="C10667" s="1" t="s">
        <v>97</v>
      </c>
      <c r="D10667" s="1" t="s">
        <v>2369</v>
      </c>
      <c r="E10667" s="1" t="s">
        <v>405</v>
      </c>
      <c r="F10667" s="1" t="s">
        <v>15425</v>
      </c>
      <c r="G10667" s="1" t="s">
        <v>36</v>
      </c>
      <c r="H10667" s="1" t="s">
        <v>29</v>
      </c>
      <c r="I10667" s="1" t="str">
        <f ca="1">IFERROR(__xludf.DUMMYFUNCTION("GOOGLETRANSLATE(F10667, ""auto"", ""en"")
"),"Great product! I played it with a friend and really liked it, but the screen gets scratched quickly, it’s better to buy a protective film. Take it on trips, the charge lasted for about 3 hours. I’ll buy it soon!!!")</f>
        <v>Great product! I played it with a friend and really liked it, but the screen gets scratched quickly, it’s better to buy a protective film. Take it on trips, the charge lasted for about 3 hours. I’ll buy it soon!!!</v>
      </c>
    </row>
    <row r="10668" spans="1:9" x14ac:dyDescent="0.3">
      <c r="A10668" s="1" t="s">
        <v>624</v>
      </c>
      <c r="B10668" s="1" t="s">
        <v>2107</v>
      </c>
      <c r="C10668" s="1" t="s">
        <v>487</v>
      </c>
      <c r="D10668" s="1" t="s">
        <v>305</v>
      </c>
      <c r="E10668" s="1" t="s">
        <v>8029</v>
      </c>
      <c r="F10668" s="1" t="s">
        <v>15426</v>
      </c>
      <c r="G10668" s="1" t="s">
        <v>36</v>
      </c>
      <c r="H10668" s="1" t="s">
        <v>29</v>
      </c>
      <c r="I10668" s="1" t="str">
        <f ca="1">IFERROR(__xludf.DUMMYFUNCTION("GOOGLETRANSLATE(F10668, ""auto"", ""en"")
"),"The game is great) I especially liked the fact that you can play together against each other or for one team) I liked the matches in firefight, rocket modes... The game is solid 5+")</f>
        <v>The game is great) I especially liked the fact that you can play together against each other or for one team) I liked the matches in firefight, rocket modes... The game is solid 5+</v>
      </c>
    </row>
    <row r="10669" spans="1:9" x14ac:dyDescent="0.3">
      <c r="A10669" s="1" t="s">
        <v>61</v>
      </c>
      <c r="B10669" s="1" t="s">
        <v>180</v>
      </c>
      <c r="C10669" s="1" t="s">
        <v>246</v>
      </c>
      <c r="D10669" s="1" t="s">
        <v>75</v>
      </c>
      <c r="E10669" s="1" t="s">
        <v>15427</v>
      </c>
      <c r="F10669" s="1" t="s">
        <v>15428</v>
      </c>
      <c r="G10669" s="1" t="s">
        <v>36</v>
      </c>
      <c r="H10669" s="1" t="s">
        <v>29</v>
      </c>
      <c r="I10669" s="1" t="str">
        <f ca="1">IFERROR(__xludf.DUMMYFUNCTION("GOOGLETRANSLATE(F10669, ""auto"", ""en"")
"),"We've been using it for about 5 years now. No complaints, except, perhaps, that the name on the case has almost been erased. But this comes from frequent use. A convenient tray for crumbs, a wire rack for heating buns, the toaster does not pick up bread i"&amp;"f it is not plugged in, and when turned off, slices of bread do not scatter around the kitchen (I had such a sad experience with another model). I recommend it to everyone")</f>
        <v>We've been using it for about 5 years now. No complaints, except, perhaps, that the name on the case has almost been erased. But this comes from frequent use. A convenient tray for crumbs, a wire rack for heating buns, the toaster does not pick up bread if it is not plugged in, and when turned off, slices of bread do not scatter around the kitchen (I had such a sad experience with another model). I recommend it to everyone</v>
      </c>
    </row>
    <row r="10670" spans="1:9" x14ac:dyDescent="0.3">
      <c r="A10670" s="1" t="s">
        <v>211</v>
      </c>
      <c r="B10670" s="1" t="s">
        <v>212</v>
      </c>
      <c r="C10670" s="1" t="s">
        <v>69</v>
      </c>
      <c r="D10670" s="1" t="s">
        <v>64</v>
      </c>
      <c r="E10670" s="1" t="s">
        <v>7607</v>
      </c>
      <c r="F10670" s="1" t="s">
        <v>15429</v>
      </c>
      <c r="G10670" s="1" t="s">
        <v>36</v>
      </c>
      <c r="H10670" s="1" t="s">
        <v>29</v>
      </c>
      <c r="I10670" s="1" t="str">
        <f ca="1">IFERROR(__xludf.DUMMYFUNCTION("GOOGLETRANSLATE(F10670, ""auto"", ""en"")
"),"Excellent hair dryer, I've been using it for 2 years, no complaints")</f>
        <v>Excellent hair dryer, I've been using it for 2 years, no complaints</v>
      </c>
    </row>
    <row r="10671" spans="1:9" x14ac:dyDescent="0.3">
      <c r="A10671" s="1" t="s">
        <v>61</v>
      </c>
      <c r="B10671" s="1" t="s">
        <v>224</v>
      </c>
      <c r="C10671" s="1" t="s">
        <v>213</v>
      </c>
      <c r="D10671" s="1" t="s">
        <v>295</v>
      </c>
      <c r="E10671" s="1" t="s">
        <v>5982</v>
      </c>
      <c r="F10671" s="1" t="s">
        <v>15417</v>
      </c>
      <c r="G10671" s="1" t="s">
        <v>36</v>
      </c>
      <c r="H10671" s="1" t="s">
        <v>29</v>
      </c>
      <c r="I10671" s="1" t="str">
        <f ca="1">IFERROR(__xludf.DUMMYFUNCTION("GOOGLETRANSLATE(F10671, ""auto"", ""en"")
"),"reliability")</f>
        <v>reliability</v>
      </c>
    </row>
    <row r="10672" spans="1:9" x14ac:dyDescent="0.3">
      <c r="A10672" s="1" t="s">
        <v>211</v>
      </c>
      <c r="B10672" s="1" t="s">
        <v>856</v>
      </c>
      <c r="C10672" s="1" t="s">
        <v>57</v>
      </c>
      <c r="D10672" s="1" t="s">
        <v>64</v>
      </c>
      <c r="E10672" s="1" t="s">
        <v>128</v>
      </c>
      <c r="F10672" s="1" t="s">
        <v>15430</v>
      </c>
      <c r="G10672" s="1" t="s">
        <v>36</v>
      </c>
      <c r="H10672" s="1" t="s">
        <v>29</v>
      </c>
      <c r="I10672" s="1" t="str">
        <f ca="1">IFERROR(__xludf.DUMMYFUNCTION("GOOGLETRANSLATE(F10672, ""auto"", ""en"")
"),"Worthwhile thing! I really like it!!! In my opinion, the optimal set of functions.")</f>
        <v>Worthwhile thing! I really like it!!! In my opinion, the optimal set of functions.</v>
      </c>
    </row>
    <row r="10673" spans="1:9" x14ac:dyDescent="0.3">
      <c r="A10673" s="1" t="s">
        <v>624</v>
      </c>
      <c r="B10673" s="1" t="s">
        <v>625</v>
      </c>
      <c r="C10673" s="1" t="s">
        <v>479</v>
      </c>
      <c r="D10673" s="1" t="s">
        <v>15431</v>
      </c>
      <c r="E10673" s="1" t="s">
        <v>1978</v>
      </c>
      <c r="F10673" s="1" t="s">
        <v>15432</v>
      </c>
      <c r="G10673" s="1" t="s">
        <v>36</v>
      </c>
      <c r="H10673" s="1" t="s">
        <v>29</v>
      </c>
      <c r="I10673" s="1" t="str">
        <f ca="1">IFERROR(__xludf.DUMMYFUNCTION("GOOGLETRANSLATE(F10673, ""auto"", ""en"")
"),"The game is gorgeous, not worth the money, but even cheap. Resident Evil 5 is designed specifically for playing in co-op, with a roommate we played it several times at different difficulty levels in different modes. True, I would like not to see a spoiler"&amp;" in the description of the game...")</f>
        <v>The game is gorgeous, not worth the money, but even cheap. Resident Evil 5 is designed specifically for playing in co-op, with a roommate we played it several times at different difficulty levels in different modes. True, I would like not to see a spoiler in the description of the game...</v>
      </c>
    </row>
    <row r="10674" spans="1:9" x14ac:dyDescent="0.3">
      <c r="A10674" s="1" t="s">
        <v>61</v>
      </c>
      <c r="B10674" s="1" t="s">
        <v>318</v>
      </c>
      <c r="C10674" s="1" t="s">
        <v>1461</v>
      </c>
      <c r="D10674" s="1" t="s">
        <v>139</v>
      </c>
      <c r="E10674" s="1" t="s">
        <v>661</v>
      </c>
      <c r="F10674" s="1" t="s">
        <v>15433</v>
      </c>
      <c r="G10674" s="1" t="s">
        <v>36</v>
      </c>
      <c r="H10674" s="1" t="s">
        <v>29</v>
      </c>
      <c r="I10674" s="1" t="str">
        <f ca="1">IFERROR(__xludf.DUMMYFUNCTION("GOOGLETRANSLATE(F10674, ""auto"", ""en"")
"),"I took a broken kettle as a replacement... I was also pleasantly surprised by the quality of this product for such a price... there are no foreign odors... it worked for 2 months, without complaints... Now I put it on the shelf, in case the everyday one b"&amp;"reaks down)")</f>
        <v>I took a broken kettle as a replacement... I was also pleasantly surprised by the quality of this product for such a price... there are no foreign odors... it worked for 2 months, without complaints... Now I put it on the shelf, in case the everyday one breaks down)</v>
      </c>
    </row>
    <row r="10675" spans="1:9" x14ac:dyDescent="0.3">
      <c r="A10675" s="1" t="s">
        <v>211</v>
      </c>
      <c r="B10675" s="1" t="s">
        <v>856</v>
      </c>
      <c r="C10675" s="1" t="s">
        <v>266</v>
      </c>
      <c r="D10675" s="1" t="s">
        <v>1747</v>
      </c>
      <c r="E10675" s="1" t="s">
        <v>727</v>
      </c>
      <c r="F10675" s="1" t="s">
        <v>15434</v>
      </c>
      <c r="G10675" s="1" t="s">
        <v>36</v>
      </c>
      <c r="H10675" s="1" t="s">
        <v>29</v>
      </c>
      <c r="I10675" s="1" t="str">
        <f ca="1">IFERROR(__xludf.DUMMYFUNCTION("GOOGLETRANSLATE(F10675, ""auto"", ""en"")
"),"I bought a set of Valera. You can safely throw away the scissors and trust Valera! very cool set! I have nothing to compare it to, judging by my fingers.")</f>
        <v>I bought a set of Valera. You can safely throw away the scissors and trust Valera! very cool set! I have nothing to compare it to, judging by my fingers.</v>
      </c>
    </row>
    <row r="10676" spans="1:9" x14ac:dyDescent="0.3">
      <c r="A10676" s="1" t="s">
        <v>43</v>
      </c>
      <c r="B10676" s="1" t="s">
        <v>219</v>
      </c>
      <c r="C10676" s="1" t="s">
        <v>665</v>
      </c>
      <c r="D10676" s="1" t="s">
        <v>335</v>
      </c>
      <c r="E10676" s="1" t="s">
        <v>5982</v>
      </c>
      <c r="F10676" s="1" t="s">
        <v>15435</v>
      </c>
      <c r="G10676" s="1" t="s">
        <v>28</v>
      </c>
      <c r="H10676" s="1" t="s">
        <v>29</v>
      </c>
      <c r="I10676" s="1" t="str">
        <f ca="1">IFERROR(__xludf.DUMMYFUNCTION("GOOGLETRANSLATE(F10676, ""auto"", ""en"")
"),"Two weeks ago we bought it cheaper))) As usual - M.Video issues proven products, but not fully verified ones!!!! Valve with factory defect!!! We bought a new valve, since there is no way to transport it back and forth(")</f>
        <v>Two weeks ago we bought it cheaper))) As usual - M.Video issues proven products, but not fully verified ones!!!! Valve with factory defect!!! We bought a new valve, since there is no way to transport it back and forth(</v>
      </c>
    </row>
    <row r="10677" spans="1:9" x14ac:dyDescent="0.3">
      <c r="A10677" s="1" t="s">
        <v>55</v>
      </c>
      <c r="B10677" s="1" t="s">
        <v>56</v>
      </c>
      <c r="C10677" s="1" t="s">
        <v>57</v>
      </c>
      <c r="D10677" s="1" t="s">
        <v>127</v>
      </c>
      <c r="E10677" s="1" t="s">
        <v>2059</v>
      </c>
      <c r="F10677" s="1" t="s">
        <v>15436</v>
      </c>
      <c r="G10677" s="1" t="s">
        <v>28</v>
      </c>
      <c r="H10677" s="1" t="s">
        <v>29</v>
      </c>
      <c r="I10677" s="1" t="str">
        <f ca="1">IFERROR(__xludf.DUMMYFUNCTION("GOOGLETRANSLATE(F10677, ""auto"", ""en"")
"),"The humidity starts to rise after a few days, because... the room is gaining moisture these days, I mean walls, furniture, etc.   We bought this humidifier a week ago, it works quite quietly, the design is not bad, we put it in the bedroom (~ 30 sq. m.), "&amp;"it does not interfere with sleep at night, the humidity has increased from 35% to 45-50%, and this is taking into account the constantly open window in the room, which is not bad at all, there are several other humidifiers-purifiers, there is something to"&amp;" compare with. It consumes a lot of water, like all ultrasonic ones; a 6-7 liter tank is not enough even for a day in maximum mode. There are no white raids on the equipment. The downside is the very sharp edges of the plastic on the bottom of the water t"&amp;"ank.")</f>
        <v>The humidity starts to rise after a few days, because... the room is gaining moisture these days, I mean walls, furniture, etc.   We bought this humidifier a week ago, it works quite quietly, the design is not bad, we put it in the bedroom (~ 30 sq. m.), it does not interfere with sleep at night, the humidity has increased from 35% to 45-50%, and this is taking into account the constantly open window in the room, which is not bad at all, there are several other humidifiers-purifiers, there is something to compare with. It consumes a lot of water, like all ultrasonic ones; a 6-7 liter tank is not enough even for a day in maximum mode. There are no white raids on the equipment. The downside is the very sharp edges of the plastic on the bottom of the water tank.</v>
      </c>
    </row>
    <row r="10678" spans="1:9" x14ac:dyDescent="0.3">
      <c r="A10678" s="1" t="s">
        <v>78</v>
      </c>
      <c r="B10678" s="1" t="s">
        <v>79</v>
      </c>
      <c r="C10678" s="1" t="s">
        <v>80</v>
      </c>
      <c r="D10678" s="1" t="s">
        <v>5233</v>
      </c>
      <c r="E10678" s="1" t="s">
        <v>734</v>
      </c>
      <c r="F10678" s="1" t="s">
        <v>15437</v>
      </c>
      <c r="G10678" s="1" t="s">
        <v>28</v>
      </c>
      <c r="H10678" s="1" t="s">
        <v>29</v>
      </c>
      <c r="I10678" s="1" t="str">
        <f ca="1">IFERROR(__xludf.DUMMYFUNCTION("GOOGLETRANSLATE(F10678, ""auto"", ""en"")
"),"It’s a working thing... But there’s a lot of unnecessary stuff... that’s not it... I don’t know why the Russian chef has recipes at all% (you can’t adjust the weight, you can cook just a kilogram of grilled wings and that’s it...) Otherwise, it heats and "&amp;"grills perfectly as it should... but there are extra buttons... It would be better if they had a battery so that the clock wouldn’t go astray when the power goes out... in other words, by 1.5 thousand rubles. you can get it cheaper and do the same...")</f>
        <v>It’s a working thing... But there’s a lot of unnecessary stuff... that’s not it... I don’t know why the Russian chef has recipes at all% (you can’t adjust the weight, you can cook just a kilogram of grilled wings and that’s it...) Otherwise, it heats and grills perfectly as it should... but there are extra buttons... It would be better if they had a battery so that the clock wouldn’t go astray when the power goes out... in other words, by 1.5 thousand rubles. you can get it cheaper and do the same...</v>
      </c>
    </row>
    <row r="10679" spans="1:9" x14ac:dyDescent="0.3">
      <c r="A10679" s="1" t="s">
        <v>95</v>
      </c>
      <c r="B10679" s="1" t="s">
        <v>486</v>
      </c>
      <c r="C10679" s="1" t="s">
        <v>487</v>
      </c>
      <c r="D10679" s="1" t="s">
        <v>4988</v>
      </c>
      <c r="E10679" s="1" t="s">
        <v>649</v>
      </c>
      <c r="F10679" s="1" t="s">
        <v>15438</v>
      </c>
      <c r="G10679" s="1" t="s">
        <v>36</v>
      </c>
      <c r="H10679" s="1" t="s">
        <v>29</v>
      </c>
      <c r="I10679" s="1" t="str">
        <f ca="1">IFERROR(__xludf.DUMMYFUNCTION("GOOGLETRANSLATE(F10679, ""auto"", ""en"")
"),"more Gears Of War 1-2 standard exclusive. cooperative for 5 s + . The curling iron is also an awesome console, the slasher films are beautiful, and almost all the games are the same. And the x box 360 shouldn’t be criticized too much, it’s a year older.")</f>
        <v>more Gears Of War 1-2 standard exclusive. cooperative for 5 s + . The curling iron is also an awesome console, the slasher films are beautiful, and almost all the games are the same. And the x box 360 shouldn’t be criticized too much, it’s a year older.</v>
      </c>
    </row>
    <row r="10680" spans="1:9" x14ac:dyDescent="0.3">
      <c r="A10680" s="1" t="s">
        <v>169</v>
      </c>
      <c r="B10680" s="1" t="s">
        <v>170</v>
      </c>
      <c r="C10680" s="1" t="s">
        <v>69</v>
      </c>
      <c r="D10680" s="1" t="s">
        <v>172</v>
      </c>
      <c r="E10680" s="1" t="s">
        <v>3690</v>
      </c>
      <c r="F10680" s="1" t="s">
        <v>15439</v>
      </c>
      <c r="G10680" s="1" t="s">
        <v>28</v>
      </c>
      <c r="H10680" s="1" t="s">
        <v>29</v>
      </c>
      <c r="I10680" s="1" t="str">
        <f ca="1">IFERROR(__xludf.DUMMYFUNCTION("GOOGLETRANSLATE(F10680, ""auto"", ""en"")
"),"In general, good headphones, I really liked them, I’m already taking the second ones. But they have a problem: the interior is plastic and the attachment of the earphone to the earpiece is not very reliable. As a result, I lay down on the first ones and b"&amp;"roke them, and after a year and a half on the second ones, the internal fastenings were worn out. So I'm looking for something different.")</f>
        <v>In general, good headphones, I really liked them, I’m already taking the second ones. But they have a problem: the interior is plastic and the attachment of the earphone to the earpiece is not very reliable. As a result, I lay down on the first ones and broke them, and after a year and a half on the second ones, the internal fastenings were worn out. So I'm looking for something different.</v>
      </c>
    </row>
    <row r="10681" spans="1:9" x14ac:dyDescent="0.3">
      <c r="A10681" s="1" t="s">
        <v>30</v>
      </c>
      <c r="B10681" s="1" t="s">
        <v>50</v>
      </c>
      <c r="C10681" s="1" t="s">
        <v>694</v>
      </c>
      <c r="D10681" s="1" t="s">
        <v>6419</v>
      </c>
      <c r="E10681" s="1" t="s">
        <v>41</v>
      </c>
      <c r="F10681" s="1" t="s">
        <v>15440</v>
      </c>
      <c r="G10681" s="1" t="s">
        <v>28</v>
      </c>
      <c r="H10681" s="1" t="s">
        <v>29</v>
      </c>
      <c r="I10681" s="1" t="str">
        <f ca="1">IFERROR(__xludf.DUMMYFUNCTION("GOOGLETRANSLATE(F10681, ""auto"", ""en"")
"),"I read and thought for a very long time, but still went and bought this device. Although, to be honest, many people dissuaded me, claiming that THIS could not work normally.  First impressions are as follows. The weight is very pleasant. The keyboard is n"&amp;"ormal. The display is surprisingly not annoying with its size, although I am used to working at 19"". It works quietly until you strain it. So far I have found only one of the annoying ones - when installing updates from Windows, the percentage loads comp"&amp;"letely and accordingly the temperature and fan activity increases. Considering that I took it exclusively for working on the network, I am completely satisfied. Although when working on Skype, the received video image works fine, but mine (the one sent) f"&amp;"or some reason slows down...")</f>
        <v>I read and thought for a very long time, but still went and bought this device. Although, to be honest, many people dissuaded me, claiming that THIS could not work normally.  First impressions are as follows. The weight is very pleasant. The keyboard is normal. The display is surprisingly not annoying with its size, although I am used to working at 19". It works quietly until you strain it. So far I have found only one of the annoying ones - when installing updates from Windows, the percentage loads completely and accordingly the temperature and fan activity increases. Considering that I took it exclusively for working on the network, I am completely satisfied. Although when working on Skype, the received video image works fine, but mine (the one sent) for some reason slows down...</v>
      </c>
    </row>
    <row r="10682" spans="1:9" x14ac:dyDescent="0.3">
      <c r="A10682" s="1" t="s">
        <v>43</v>
      </c>
      <c r="B10682" s="1" t="s">
        <v>334</v>
      </c>
      <c r="C10682" s="1" t="s">
        <v>101</v>
      </c>
      <c r="D10682" s="1" t="s">
        <v>152</v>
      </c>
      <c r="E10682" s="1" t="s">
        <v>11681</v>
      </c>
      <c r="F10682" s="1" t="s">
        <v>15441</v>
      </c>
      <c r="G10682" s="1" t="s">
        <v>36</v>
      </c>
      <c r="H10682" s="1" t="s">
        <v>29</v>
      </c>
      <c r="I10682" s="1" t="str">
        <f ca="1">IFERROR(__xludf.DUMMYFUNCTION("GOOGLETRANSLATE(F10682, ""auto"", ""en"")
"),"The fan works for 4 months without stopping, without interruptions, without noise! For the money - perfect.")</f>
        <v>The fan works for 4 months without stopping, without interruptions, without noise! For the money - perfect.</v>
      </c>
    </row>
    <row r="10683" spans="1:9" x14ac:dyDescent="0.3">
      <c r="A10683" s="1" t="s">
        <v>211</v>
      </c>
      <c r="B10683" s="1" t="s">
        <v>212</v>
      </c>
      <c r="C10683" s="1" t="s">
        <v>381</v>
      </c>
      <c r="D10683" s="1" t="s">
        <v>474</v>
      </c>
      <c r="E10683" s="1" t="s">
        <v>15442</v>
      </c>
      <c r="F10683" s="1" t="s">
        <v>15443</v>
      </c>
      <c r="G10683" s="1" t="s">
        <v>36</v>
      </c>
      <c r="H10683" s="1" t="s">
        <v>29</v>
      </c>
      <c r="I10683" s="1" t="str">
        <f ca="1">IFERROR(__xludf.DUMMYFUNCTION("GOOGLETRANSLATE(F10683, ""auto"", ""en"")
"),"I'm satisfied with the product. The old iron had wide plates, this iron is almost twice as narrow, but longer, I thought it would be difficult to straighten, but I didn’t notice the difference, I straightened it the first time in about 15 minutes without "&amp;"any problems, sometimes I had to run the old iron through my hair several times, although I straightened it at the same temperature of 180 degrees, with this iron I just need to run it once - the hair is perfectly straight, smooth and does not frizz (it s"&amp;"tays on). effect until the next wash), but I can’t twist the curls yet)) The only drawback is that the sides get very hot, you can get very burned, but the top doesn’t heat up, so you need to be careful. For me, a big plus is that you can adjust the tempe"&amp;"rature as desired from 130 to 230 degrees.")</f>
        <v>I'm satisfied with the product. The old iron had wide plates, this iron is almost twice as narrow, but longer, I thought it would be difficult to straighten, but I didn’t notice the difference, I straightened it the first time in about 15 minutes without any problems, sometimes I had to run the old iron through my hair several times, although I straightened it at the same temperature of 180 degrees, with this iron I just need to run it once - the hair is perfectly straight, smooth and does not frizz (it stays on). effect until the next wash), but I can’t twist the curls yet)) The only drawback is that the sides get very hot, you can get very burned, but the top doesn’t heat up, so you need to be careful. For me, a big plus is that you can adjust the temperature as desired from 130 to 230 degrees.</v>
      </c>
    </row>
    <row r="10684" spans="1:9" x14ac:dyDescent="0.3">
      <c r="A10684" s="1" t="s">
        <v>61</v>
      </c>
      <c r="B10684" s="1" t="s">
        <v>318</v>
      </c>
      <c r="C10684" s="1" t="s">
        <v>69</v>
      </c>
      <c r="D10684" s="1" t="s">
        <v>280</v>
      </c>
      <c r="E10684" s="1" t="s">
        <v>6569</v>
      </c>
      <c r="F10684" s="1" t="s">
        <v>15444</v>
      </c>
      <c r="G10684" s="1" t="s">
        <v>28</v>
      </c>
      <c r="H10684" s="1" t="s">
        <v>29</v>
      </c>
      <c r="I10684" s="1" t="str">
        <f ca="1">IFERROR(__xludf.DUMMYFUNCTION("GOOGLETRANSLATE(F10684, ""auto"", ""en"")
"),"Stylish, powerful, comfortable")</f>
        <v>Stylish, powerful, comfortable</v>
      </c>
    </row>
    <row r="10685" spans="1:9" x14ac:dyDescent="0.3">
      <c r="A10685" s="1" t="s">
        <v>732</v>
      </c>
      <c r="B10685" s="1" t="s">
        <v>733</v>
      </c>
      <c r="C10685" s="1" t="s">
        <v>151</v>
      </c>
      <c r="D10685" s="1" t="s">
        <v>15445</v>
      </c>
      <c r="E10685" s="1" t="s">
        <v>1290</v>
      </c>
      <c r="F10685" s="1" t="s">
        <v>15446</v>
      </c>
      <c r="G10685" s="1" t="s">
        <v>36</v>
      </c>
      <c r="H10685" s="1" t="s">
        <v>29</v>
      </c>
      <c r="I10685" s="1" t="str">
        <f ca="1">IFERROR(__xludf.DUMMYFUNCTION("GOOGLETRANSLATE(F10685, ""auto"", ""en"")
"),"I bought this monitor, in principle it’s a good monitor, the only thing that’s not right is that the color rendition changes from different angles, before this I had a Samsung T220 and there were no such problems, but in general the monitor is not bad, ou"&amp;"t of 10 points it’s a solid 8.")</f>
        <v>I bought this monitor, in principle it’s a good monitor, the only thing that’s not right is that the color rendition changes from different angles, before this I had a Samsung T220 and there were no such problems, but in general the monitor is not bad, out of 10 points it’s a solid 8.</v>
      </c>
    </row>
    <row r="10686" spans="1:9" x14ac:dyDescent="0.3">
      <c r="A10686" s="1" t="s">
        <v>211</v>
      </c>
      <c r="B10686" s="1" t="s">
        <v>265</v>
      </c>
      <c r="C10686" s="1" t="s">
        <v>1591</v>
      </c>
      <c r="D10686" s="1" t="s">
        <v>456</v>
      </c>
      <c r="E10686" s="1" t="s">
        <v>15447</v>
      </c>
      <c r="F10686" s="1" t="s">
        <v>15448</v>
      </c>
      <c r="G10686" s="1" t="s">
        <v>36</v>
      </c>
      <c r="H10686" s="1" t="s">
        <v>29</v>
      </c>
      <c r="I10686" s="1" t="str">
        <f ca="1">IFERROR(__xludf.DUMMYFUNCTION("GOOGLETRANSLATE(F10686, ""auto"", ""en"")
"),"I bought a hair clipper for my husband as a gift. His hair grows very quickly, he went to the hairdresser almost every month. And the haircut is short, just for clippers. I decided to buy it and cut it myself. So I’ll say this, I had no experience, my hus"&amp;"band showed me how and with what attachment to cut the hair, he himself watched the whole process in the mirror. I got it right the first time. It took me a long time to adjust the height, but it was great, I didn’t know it was so easy. Convenient machine"&amp;", the attachments can be changed, the blades are good, my husband said. Doesn't miss hairs anywhere, cuts everything. We use it, I’m glad that now it will be more economical.")</f>
        <v>I bought a hair clipper for my husband as a gift. His hair grows very quickly, he went to the hairdresser almost every month. And the haircut is short, just for clippers. I decided to buy it and cut it myself. So I’ll say this, I had no experience, my husband showed me how and with what attachment to cut the hair, he himself watched the whole process in the mirror. I got it right the first time. It took me a long time to adjust the height, but it was great, I didn’t know it was so easy. Convenient machine, the attachments can be changed, the blades are good, my husband said. Doesn't miss hairs anywhere, cuts everything. We use it, I’m glad that now it will be more economical.</v>
      </c>
    </row>
    <row r="10687" spans="1:9" x14ac:dyDescent="0.3">
      <c r="A10687" s="1" t="s">
        <v>811</v>
      </c>
      <c r="B10687" s="1" t="s">
        <v>812</v>
      </c>
      <c r="C10687" s="1" t="s">
        <v>97</v>
      </c>
      <c r="D10687" s="1" t="s">
        <v>327</v>
      </c>
      <c r="E10687" s="1" t="s">
        <v>15449</v>
      </c>
      <c r="F10687" s="1" t="s">
        <v>15450</v>
      </c>
      <c r="G10687" s="1" t="s">
        <v>49</v>
      </c>
      <c r="H10687" s="1" t="s">
        <v>16</v>
      </c>
      <c r="I10687" s="1" t="str">
        <f ca="1">IFERROR(__xludf.DUMMYFUNCTION("GOOGLETRANSLATE(F10687, ""auto"", ""en"")
"),"A bad tripod, designed only for shooting video, not suitable for photography at all, for the money it could be better!")</f>
        <v>A bad tripod, designed only for shooting video, not suitable for photography at all, for the money it could be better!</v>
      </c>
    </row>
    <row r="10688" spans="1:9" x14ac:dyDescent="0.3">
      <c r="A10688" s="1" t="s">
        <v>557</v>
      </c>
      <c r="B10688" s="1" t="s">
        <v>558</v>
      </c>
      <c r="C10688" s="1" t="s">
        <v>816</v>
      </c>
      <c r="D10688" s="1" t="s">
        <v>15451</v>
      </c>
      <c r="E10688" s="1" t="s">
        <v>9910</v>
      </c>
      <c r="F10688" s="1" t="s">
        <v>15452</v>
      </c>
      <c r="G10688" s="1" t="s">
        <v>36</v>
      </c>
      <c r="H10688" s="1" t="s">
        <v>29</v>
      </c>
      <c r="I10688" s="1" t="str">
        <f ca="1">IFERROR(__xludf.DUMMYFUNCTION("GOOGLETRANSLATE(F10688, ""auto"", ""en"")
"),"A convenient, easy-to-use set of 2 radio tubes, the satellite is synchronized with the base, you set the time and date on the base - it is automatically transmitted to the satellite, pleasing to the eye. They placed one in the kitchen, one in the bedroom,"&amp;" there is a convenient internal connection. We had doubts about the choice between these motorolas and the Philips (Philips CD4852B/RU DECT phone), but in the end we chose the motorola. We are happy with the choice. Soft buttons, pleasant ringing sound, g"&amp;"ood communication, menu-buttons-voice answering machine - Russified. We bought a set yesterday.")</f>
        <v>A convenient, easy-to-use set of 2 radio tubes, the satellite is synchronized with the base, you set the time and date on the base - it is automatically transmitted to the satellite, pleasing to the eye. They placed one in the kitchen, one in the bedroom, there is a convenient internal connection. We had doubts about the choice between these motorolas and the Philips (Philips CD4852B/RU DECT phone), but in the end we chose the motorola. We are happy with the choice. Soft buttons, pleasant ringing sound, good communication, menu-buttons-voice answering machine - Russified. We bought a set yesterday.</v>
      </c>
    </row>
    <row r="10689" spans="1:9" x14ac:dyDescent="0.3">
      <c r="A10689" s="1" t="s">
        <v>61</v>
      </c>
      <c r="B10689" s="1" t="s">
        <v>73</v>
      </c>
      <c r="C10689" s="1" t="s">
        <v>74</v>
      </c>
      <c r="D10689" s="1" t="s">
        <v>64</v>
      </c>
      <c r="E10689" s="1" t="s">
        <v>2942</v>
      </c>
      <c r="F10689" s="1" t="s">
        <v>15453</v>
      </c>
      <c r="G10689" s="1" t="s">
        <v>36</v>
      </c>
      <c r="H10689" s="1" t="s">
        <v>29</v>
      </c>
      <c r="I10689" s="1" t="str">
        <f ca="1">IFERROR(__xludf.DUMMYFUNCTION("GOOGLETRANSLATE(F10689, ""auto"", ""en"")
"),"The meat grinder works great!!!! I’m very pleased, I read different reviews, but as soon as I purchased it myself, I can say that all the negative reviews are simply ridiculous. In general, I recommend it!")</f>
        <v>The meat grinder works great!!!! I’m very pleased, I read different reviews, but as soon as I purchased it myself, I can say that all the negative reviews are simply ridiculous. In general, I recommend it!</v>
      </c>
    </row>
    <row r="10690" spans="1:9" x14ac:dyDescent="0.3">
      <c r="A10690" s="1" t="s">
        <v>211</v>
      </c>
      <c r="B10690" s="1" t="s">
        <v>410</v>
      </c>
      <c r="C10690" s="1" t="s">
        <v>69</v>
      </c>
      <c r="D10690" s="1" t="s">
        <v>15454</v>
      </c>
      <c r="E10690" s="1" t="s">
        <v>2693</v>
      </c>
      <c r="F10690" s="1" t="s">
        <v>15455</v>
      </c>
      <c r="G10690" s="1" t="s">
        <v>36</v>
      </c>
      <c r="H10690" s="1" t="s">
        <v>29</v>
      </c>
      <c r="I10690" s="1" t="str">
        <f ca="1">IFERROR(__xludf.DUMMYFUNCTION("GOOGLETRANSLATE(F10690, ""auto"", ""en"")
"),"I have tried many razors myself, but this razor is the best that I have used, it shaves off even the smallest hairs.")</f>
        <v>I have tried many razors myself, but this razor is the best that I have used, it shaves off even the smallest hairs.</v>
      </c>
    </row>
    <row r="10691" spans="1:9" x14ac:dyDescent="0.3">
      <c r="A10691" s="1" t="s">
        <v>61</v>
      </c>
      <c r="B10691" s="1" t="s">
        <v>318</v>
      </c>
      <c r="C10691" s="1" t="s">
        <v>85</v>
      </c>
      <c r="D10691" s="1" t="s">
        <v>305</v>
      </c>
      <c r="E10691" s="1" t="s">
        <v>6382</v>
      </c>
      <c r="F10691" s="1" t="s">
        <v>15456</v>
      </c>
      <c r="G10691" s="1" t="s">
        <v>28</v>
      </c>
      <c r="H10691" s="1" t="s">
        <v>29</v>
      </c>
      <c r="I10691" s="1" t="str">
        <f ca="1">IFERROR(__xludf.DUMMYFUNCTION("GOOGLETRANSLATE(F10691, ""auto"", ""en"")
"),"The kettle is good...it was for the first month, and then...: 1. After a week, the noise began to increase. Descaling does not help the situation! 2.After 5 to 10th time it does not turn off! 3.After 6 months, the white panel on the water level scale fell"&amp;" off - now you can’t see how much water is in the kettle! And everything is fine... ;))")</f>
        <v>The kettle is good...it was for the first month, and then...: 1. After a week, the noise began to increase. Descaling does not help the situation! 2.After 5 to 10th time it does not turn off! 3.After 6 months, the white panel on the water level scale fell off - now you can’t see how much water is in the kettle! And everything is fine... ;))</v>
      </c>
    </row>
    <row r="10692" spans="1:9" x14ac:dyDescent="0.3">
      <c r="A10692" s="1" t="s">
        <v>30</v>
      </c>
      <c r="B10692" s="1" t="s">
        <v>50</v>
      </c>
      <c r="C10692" s="1" t="s">
        <v>32</v>
      </c>
      <c r="D10692" s="1" t="s">
        <v>15457</v>
      </c>
      <c r="E10692" s="1" t="s">
        <v>1273</v>
      </c>
      <c r="F10692" s="1" t="s">
        <v>15458</v>
      </c>
      <c r="G10692" s="1" t="s">
        <v>36</v>
      </c>
      <c r="H10692" s="1" t="s">
        <v>29</v>
      </c>
      <c r="I10692" s="1" t="str">
        <f ca="1">IFERROR(__xludf.DUMMYFUNCTION("GOOGLETRANSLATE(F10692, ""auto"", ""en"")
"),"I'm delighted! I've been wanting to buy one to replace my desktop for a long time. Small, stylish, powerful. I recommend! ;-)")</f>
        <v>I'm delighted! I've been wanting to buy one to replace my desktop for a long time. Small, stylish, powerful. I recommend! ;-)</v>
      </c>
    </row>
    <row r="10693" spans="1:9" x14ac:dyDescent="0.3">
      <c r="A10693" s="1" t="s">
        <v>9</v>
      </c>
      <c r="B10693" s="1" t="s">
        <v>10</v>
      </c>
      <c r="C10693" s="1" t="s">
        <v>466</v>
      </c>
      <c r="D10693" s="1" t="s">
        <v>171</v>
      </c>
      <c r="E10693" s="1" t="s">
        <v>859</v>
      </c>
      <c r="F10693" s="1" t="s">
        <v>15459</v>
      </c>
      <c r="G10693" s="1" t="s">
        <v>36</v>
      </c>
      <c r="H10693" s="1" t="s">
        <v>29</v>
      </c>
      <c r="I10693" s="1" t="str">
        <f ca="1">IFERROR(__xludf.DUMMYFUNCTION("GOOGLETRANSLATE(F10693, ""auto"", ""en"")
"),"The letter ""C"" on the display means that it is time to clean the grease filter of the hood. And it is reset like this: press the first speed button and hold it until the “E” icon appears on the display.   Good luck!")</f>
        <v>The letter "C" on the display means that it is time to clean the grease filter of the hood. And it is reset like this: press the first speed button and hold it until the “E” icon appears on the display.   Good luck!</v>
      </c>
    </row>
    <row r="10694" spans="1:9" x14ac:dyDescent="0.3">
      <c r="A10694" s="1" t="s">
        <v>211</v>
      </c>
      <c r="B10694" s="1" t="s">
        <v>212</v>
      </c>
      <c r="C10694" s="1" t="s">
        <v>1591</v>
      </c>
      <c r="D10694" s="1" t="s">
        <v>46</v>
      </c>
      <c r="E10694" s="1" t="s">
        <v>2861</v>
      </c>
      <c r="F10694" s="1" t="s">
        <v>15460</v>
      </c>
      <c r="G10694" s="1" t="s">
        <v>15</v>
      </c>
      <c r="H10694" s="1" t="s">
        <v>16</v>
      </c>
      <c r="I10694" s="1" t="str">
        <f ca="1">IFERROR(__xludf.DUMMYFUNCTION("GOOGLETRANSLATE(F10694, ""auto"", ""en"")
"),"I'm disappointed!!!!! My hair is shoulder-length, it's curly... My hair gets tangled, catches, doesn't curl, and there's no effect of ironing! And it gets so hot that you can’t pick up the brush, especially when the brush periodically falls off because th"&amp;"e teeth of the fasteners are too small!  Only for short hair, thin and soft, nothing more. Think a hundred times!!!")</f>
        <v>I'm disappointed!!!!! My hair is shoulder-length, it's curly... My hair gets tangled, catches, doesn't curl, and there's no effect of ironing! And it gets so hot that you can’t pick up the brush, especially when the brush periodically falls off because the teeth of the fasteners are too small!  Only for short hair, thin and soft, nothing more. Think a hundred times!!!</v>
      </c>
    </row>
    <row r="10695" spans="1:9" x14ac:dyDescent="0.3">
      <c r="A10695" s="1" t="s">
        <v>55</v>
      </c>
      <c r="B10695" s="1" t="s">
        <v>56</v>
      </c>
      <c r="C10695" s="1" t="s">
        <v>57</v>
      </c>
      <c r="D10695" s="1" t="s">
        <v>247</v>
      </c>
      <c r="E10695" s="1" t="s">
        <v>12296</v>
      </c>
      <c r="F10695" s="1" t="s">
        <v>15461</v>
      </c>
      <c r="G10695" s="1" t="s">
        <v>15</v>
      </c>
      <c r="H10695" s="1" t="s">
        <v>16</v>
      </c>
      <c r="I10695" s="1" t="str">
        <f ca="1">IFERROR(__xludf.DUMMYFUNCTION("GOOGLETRANSLATE(F10695, ""auto"", ""en"")
"),"bought 2 years ago for 1700 on sale. pros:1. tank 5 liters, 2. power adjustment cons: noisy (there is something to compare with), the regulator clicks loudly when you turn it off, it has already begun to fail.")</f>
        <v>bought 2 years ago for 1700 on sale. pros:1. tank 5 liters, 2. power adjustment cons: noisy (there is something to compare with), the regulator clicks loudly when you turn it off, it has already begun to fail.</v>
      </c>
    </row>
    <row r="10696" spans="1:9" x14ac:dyDescent="0.3">
      <c r="A10696" s="1" t="s">
        <v>37</v>
      </c>
      <c r="B10696" s="1" t="s">
        <v>38</v>
      </c>
      <c r="C10696" s="1" t="s">
        <v>151</v>
      </c>
      <c r="D10696" s="1" t="s">
        <v>327</v>
      </c>
      <c r="E10696" s="1" t="s">
        <v>225</v>
      </c>
      <c r="F10696" s="1" t="s">
        <v>15462</v>
      </c>
      <c r="G10696" s="1" t="s">
        <v>36</v>
      </c>
      <c r="H10696" s="1" t="s">
        <v>29</v>
      </c>
      <c r="I10696" s="1" t="str">
        <f ca="1">IFERROR(__xludf.DUMMYFUNCTION("GOOGLETRANSLATE(F10696, ""auto"", ""en"")
"),"I've been using this phone for six months now. Before buying, I wanted Sonic, but decided to buy this one. This model struck me immediately. The sensor turned out to be a very convenient thing for this model. Plus there is Wi-Fi, which I tried right away "&amp;"and it's great. What I also checked right away was the possibility of watching movies on it. He coped with this task amazingly (although he had to re-encode the video for his screen in mp4 format). The camera is super, plus a light for shooting video, it’"&amp;"s something like a flashlight, only cooler. The photos are perfect, and the video footage is perfect too. Plays music at 100%. Heard loudly and confidently. The only thing that broke for me after a year was this vibration. She just flew off on her own. Ov"&amp;"erall it's a dream phone! Take it, you won't regret it. It just flies on the Internet. He can do everything!!! So take it, and not some sonic or something else.")</f>
        <v>I've been using this phone for six months now. Before buying, I wanted Sonic, but decided to buy this one. This model struck me immediately. The sensor turned out to be a very convenient thing for this model. Plus there is Wi-Fi, which I tried right away and it's great. What I also checked right away was the possibility of watching movies on it. He coped with this task amazingly (although he had to re-encode the video for his screen in mp4 format). The camera is super, plus a light for shooting video, it’s something like a flashlight, only cooler. The photos are perfect, and the video footage is perfect too. Plays music at 100%. Heard loudly and confidently. The only thing that broke for me after a year was this vibration. She just flew off on her own. Overall it's a dream phone! Take it, you won't regret it. It just flies on the Internet. He can do everything!!! So take it, and not some sonic or something else.</v>
      </c>
    </row>
    <row r="10697" spans="1:9" x14ac:dyDescent="0.3">
      <c r="A10697" s="1" t="s">
        <v>105</v>
      </c>
      <c r="B10697" s="1" t="s">
        <v>106</v>
      </c>
      <c r="C10697" s="1" t="s">
        <v>1209</v>
      </c>
      <c r="D10697" s="1" t="s">
        <v>15463</v>
      </c>
      <c r="E10697" s="1" t="s">
        <v>430</v>
      </c>
      <c r="F10697" s="1" t="s">
        <v>15464</v>
      </c>
      <c r="G10697" s="1" t="s">
        <v>36</v>
      </c>
      <c r="H10697" s="1" t="s">
        <v>29</v>
      </c>
      <c r="I10697" s="1" t="str">
        <f ca="1">IFERROR(__xludf.DUMMYFUNCTION("GOOGLETRANSLATE(F10697, ""auto"", ""en"")
"),"A good player, it has never disappointed me since the purchase... I wonder why they write that there is no equalizer? There is an equalizer... And the TV picks up and shows well, and you don’t have to climb under any TV tower... In my apartment it shows e"&amp;"verything perfectly. And no one will put good headphones in the kit; if you need normal sound, then the headphones are purchased separately. If you don’t need it, be content with what you have... The only downside is the lack of backlighting for the senso"&amp;"rs, but after a while you get used to their location and everything is fine)")</f>
        <v>A good player, it has never disappointed me since the purchase... I wonder why they write that there is no equalizer? There is an equalizer... And the TV picks up and shows well, and you don’t have to climb under any TV tower... In my apartment it shows everything perfectly. And no one will put good headphones in the kit; if you need normal sound, then the headphones are purchased separately. If you don’t need it, be content with what you have... The only downside is the lack of backlighting for the sensors, but after a while you get used to their location and everything is fine)</v>
      </c>
    </row>
    <row r="10698" spans="1:9" x14ac:dyDescent="0.3">
      <c r="A10698" s="1" t="s">
        <v>37</v>
      </c>
      <c r="B10698" s="1" t="s">
        <v>536</v>
      </c>
      <c r="C10698" s="1" t="s">
        <v>163</v>
      </c>
      <c r="D10698" s="1" t="s">
        <v>280</v>
      </c>
      <c r="E10698" s="1" t="s">
        <v>2640</v>
      </c>
      <c r="F10698" s="1" t="s">
        <v>15465</v>
      </c>
      <c r="G10698" s="1" t="s">
        <v>36</v>
      </c>
      <c r="H10698" s="1" t="s">
        <v>29</v>
      </c>
      <c r="I10698" s="1" t="str">
        <f ca="1">IFERROR(__xludf.DUMMYFUNCTION("GOOGLETRANSLATE(F10698, ""auto"", ""en"")
"),"This phone is a great success for NOKIA. It's a simplified version of the 5800, although it has a little less features, but that doesn't diminish the experience. The 5530 has the most ergonomic design and feels great in the hand. We compared the 5800 and "&amp;"5530, it turned out that the 5530 has much better image quality than the 5800. In general, this is a smartphone that can compete in the sales market with many SAMSUNG and LG models. I'm going to buy this phone myself, but I don't know where to get it, pro"&amp;"bably from M.Video.")</f>
        <v>This phone is a great success for NOKIA. It's a simplified version of the 5800, although it has a little less features, but that doesn't diminish the experience. The 5530 has the most ergonomic design and feels great in the hand. We compared the 5800 and 5530, it turned out that the 5530 has much better image quality than the 5800. In general, this is a smartphone that can compete in the sales market with many SAMSUNG and LG models. I'm going to buy this phone myself, but I don't know where to get it, probably from M.Video.</v>
      </c>
    </row>
    <row r="10699" spans="1:9" x14ac:dyDescent="0.3">
      <c r="A10699" s="1" t="s">
        <v>61</v>
      </c>
      <c r="B10699" s="1" t="s">
        <v>318</v>
      </c>
      <c r="C10699" s="1" t="s">
        <v>213</v>
      </c>
      <c r="D10699" s="1" t="s">
        <v>1890</v>
      </c>
      <c r="E10699" s="1" t="s">
        <v>9097</v>
      </c>
      <c r="F10699" s="1" t="s">
        <v>15466</v>
      </c>
      <c r="G10699" s="1" t="s">
        <v>36</v>
      </c>
      <c r="H10699" s="1" t="s">
        <v>29</v>
      </c>
      <c r="I10699" s="1" t="str">
        <f ca="1">IFERROR(__xludf.DUMMYFUNCTION("GOOGLETRANSLATE(F10699, ""auto"", ""en"")
"),"Not found")</f>
        <v>Not found</v>
      </c>
    </row>
    <row r="10700" spans="1:9" x14ac:dyDescent="0.3">
      <c r="A10700" s="1" t="s">
        <v>211</v>
      </c>
      <c r="B10700" s="1" t="s">
        <v>212</v>
      </c>
      <c r="C10700" s="1" t="s">
        <v>294</v>
      </c>
      <c r="D10700" s="1" t="s">
        <v>46</v>
      </c>
      <c r="E10700" s="1" t="s">
        <v>661</v>
      </c>
      <c r="F10700" s="1" t="s">
        <v>15467</v>
      </c>
      <c r="G10700" s="1" t="s">
        <v>36</v>
      </c>
      <c r="H10700" s="1" t="s">
        <v>29</v>
      </c>
      <c r="I10700" s="1" t="str">
        <f ca="1">IFERROR(__xludf.DUMMYFUNCTION("GOOGLETRANSLATE(F10700, ""auto"", ""en"")
"),"I bought a straightener a year ago, I use it almost every day, as I wash my hair very often, I really like it, it’s very convenient and doesn’t damage my hair!")</f>
        <v>I bought a straightener a year ago, I use it almost every day, as I wash my hair very often, I really like it, it’s very convenient and doesn’t damage my hair!</v>
      </c>
    </row>
    <row r="10701" spans="1:9" x14ac:dyDescent="0.3">
      <c r="A10701" s="1" t="s">
        <v>105</v>
      </c>
      <c r="B10701" s="1" t="s">
        <v>106</v>
      </c>
      <c r="C10701" s="1" t="s">
        <v>1209</v>
      </c>
      <c r="D10701" s="1" t="s">
        <v>1188</v>
      </c>
      <c r="E10701" s="1" t="s">
        <v>2866</v>
      </c>
      <c r="F10701" s="1" t="s">
        <v>15468</v>
      </c>
      <c r="G10701" s="1" t="s">
        <v>28</v>
      </c>
      <c r="H10701" s="1" t="s">
        <v>29</v>
      </c>
      <c r="I10701" s="1" t="str">
        <f ca="1">IFERROR(__xludf.DUMMYFUNCTION("GOOGLETRANSLATE(F10701, ""auto"", ""en"")
"),"I bought it today...almost everything is fine)) only the screen is not touch-sensitive as in the specifications, and somehow the top right panel with the buttons doesn’t really inspire confidence (it’s wobbly)....the sound is excellent, the video quality "&amp;"is also pleasing)) in general, at the moment it’s 4)")</f>
        <v>I bought it today...almost everything is fine)) only the screen is not touch-sensitive as in the specifications, and somehow the top right panel with the buttons doesn’t really inspire confidence (it’s wobbly)....the sound is excellent, the video quality is also pleasing)) in general, at the moment it’s 4)</v>
      </c>
    </row>
    <row r="10702" spans="1:9" x14ac:dyDescent="0.3">
      <c r="A10702" s="1" t="s">
        <v>61</v>
      </c>
      <c r="B10702" s="1" t="s">
        <v>726</v>
      </c>
      <c r="C10702" s="1" t="s">
        <v>85</v>
      </c>
      <c r="D10702" s="1" t="s">
        <v>565</v>
      </c>
      <c r="E10702" s="1" t="s">
        <v>4466</v>
      </c>
      <c r="F10702" s="1" t="s">
        <v>15469</v>
      </c>
      <c r="G10702" s="1" t="s">
        <v>49</v>
      </c>
      <c r="H10702" s="1" t="s">
        <v>16</v>
      </c>
      <c r="I10702" s="1" t="str">
        <f ca="1">IFERROR(__xludf.DUMMYFUNCTION("GOOGLETRANSLATE(F10702, ""auto"", ""en"")
"),"The bread is not baked in it and remains raw. I do everything exactly according to scales, there’s no need to talk about muffins and Easter cakes, the bricks are damp, the oven is terrible.")</f>
        <v>The bread is not baked in it and remains raw. I do everything exactly according to scales, there’s no need to talk about muffins and Easter cakes, the bricks are damp, the oven is terrible.</v>
      </c>
    </row>
    <row r="10703" spans="1:9" x14ac:dyDescent="0.3">
      <c r="A10703" s="1" t="s">
        <v>149</v>
      </c>
      <c r="B10703" s="1" t="s">
        <v>576</v>
      </c>
      <c r="C10703" s="1" t="s">
        <v>69</v>
      </c>
      <c r="D10703" s="1" t="s">
        <v>232</v>
      </c>
      <c r="E10703" s="1" t="s">
        <v>971</v>
      </c>
      <c r="F10703" s="1" t="s">
        <v>15470</v>
      </c>
      <c r="G10703" s="1" t="s">
        <v>36</v>
      </c>
      <c r="H10703" s="1" t="s">
        <v>29</v>
      </c>
      <c r="I10703" s="1" t="str">
        <f ca="1">IFERROR(__xludf.DUMMYFUNCTION("GOOGLETRANSLATE(F10703, ""auto"", ""en"")
"),"Excellent vacuum cleaner. My wife and son are delighted. The power of this product is especially impressive. When working with it, it seems that there is dust, etc., etc. he runs to the brush himself. The turbo brush, of course, after a certain time wraps"&amp;" itself around wool and all kinds of hair, but it can be cleaned only by using a Phillips screwdriver to disassemble the bottom cover of the brush and clean it, anyone with a head will understand.  Regarding the HEPA filter and bags, everything is on sale"&amp;" quietly, there is no shortage.")</f>
        <v>Excellent vacuum cleaner. My wife and son are delighted. The power of this product is especially impressive. When working with it, it seems that there is dust, etc., etc. he runs to the brush himself. The turbo brush, of course, after a certain time wraps itself around wool and all kinds of hair, but it can be cleaned only by using a Phillips screwdriver to disassemble the bottom cover of the brush and clean it, anyone with a head will understand.  Regarding the HEPA filter and bags, everything is on sale quietly, there is no shortage.</v>
      </c>
    </row>
    <row r="10704" spans="1:9" x14ac:dyDescent="0.3">
      <c r="A10704" s="1" t="s">
        <v>149</v>
      </c>
      <c r="B10704" s="1" t="s">
        <v>150</v>
      </c>
      <c r="C10704" s="1" t="s">
        <v>151</v>
      </c>
      <c r="D10704" s="1" t="s">
        <v>280</v>
      </c>
      <c r="E10704" s="1" t="s">
        <v>4080</v>
      </c>
      <c r="F10704" s="1" t="s">
        <v>15471</v>
      </c>
      <c r="G10704" s="1" t="s">
        <v>36</v>
      </c>
      <c r="H10704" s="1" t="s">
        <v>29</v>
      </c>
      <c r="I10704" s="1" t="str">
        <f ca="1">IFERROR(__xludf.DUMMYFUNCTION("GOOGLETRANSLATE(F10704, ""auto"", ""en"")
"),"Excellent vacuum cleaner, worth its price one hundred percent!!! The first day when I turned on the vacuum to vacuum the light beige carpet, after the cleaning I was simply shocked how much dirt had collected in the water!!! And the carpet seemed so clean"&amp;"! Everything is very easy and simple to clean! Very convenient control on the handle, even if it is not aimed at the vacuum cleaner itself where the IR receiver is located, everything still works!!! I recommend it to everyone!!!!")</f>
        <v>Excellent vacuum cleaner, worth its price one hundred percent!!! The first day when I turned on the vacuum to vacuum the light beige carpet, after the cleaning I was simply shocked how much dirt had collected in the water!!! And the carpet seemed so clean! Everything is very easy and simple to clean! Very convenient control on the handle, even if it is not aimed at the vacuum cleaner itself where the IR receiver is located, everything still works!!! I recommend it to everyone!!!!</v>
      </c>
    </row>
    <row r="10705" spans="1:9" x14ac:dyDescent="0.3">
      <c r="A10705" s="1" t="s">
        <v>61</v>
      </c>
      <c r="B10705" s="1" t="s">
        <v>145</v>
      </c>
      <c r="C10705" s="1" t="s">
        <v>45</v>
      </c>
      <c r="D10705" s="1" t="s">
        <v>335</v>
      </c>
      <c r="E10705" s="1" t="s">
        <v>2518</v>
      </c>
      <c r="F10705" s="1" t="s">
        <v>15472</v>
      </c>
      <c r="G10705" s="1" t="s">
        <v>36</v>
      </c>
      <c r="H10705" s="1" t="s">
        <v>29</v>
      </c>
      <c r="I10705" s="1" t="str">
        <f ca="1">IFERROR(__xludf.DUMMYFUNCTION("GOOGLETRANSLATE(F10705, ""auto"", ""en"")
"),"We bought this wonderful device last week. Since then we have tried all the recipes for cooking in an air fryer. I am very pleased and the children enjoy the cooking process. The meat turns out crusty and juicy, melts in your mouth.   A good replacement f"&amp;"or a conventional gas oven, which takes longer to cook and you can’t watch the cooking process.  Let's continue to use and enjoy. I recommend it to everyone.")</f>
        <v>We bought this wonderful device last week. Since then we have tried all the recipes for cooking in an air fryer. I am very pleased and the children enjoy the cooking process. The meat turns out crusty and juicy, melts in your mouth.   A good replacement for a conventional gas oven, which takes longer to cook and you can’t watch the cooking process.  Let's continue to use and enjoy. I recommend it to everyone.</v>
      </c>
    </row>
    <row r="10706" spans="1:9" x14ac:dyDescent="0.3">
      <c r="A10706" s="1" t="s">
        <v>30</v>
      </c>
      <c r="B10706" s="1" t="s">
        <v>50</v>
      </c>
      <c r="C10706" s="1" t="s">
        <v>32</v>
      </c>
      <c r="D10706" s="1" t="s">
        <v>15473</v>
      </c>
      <c r="E10706" s="1" t="s">
        <v>2043</v>
      </c>
      <c r="F10706" s="1" t="s">
        <v>15474</v>
      </c>
      <c r="G10706" s="1" t="s">
        <v>36</v>
      </c>
      <c r="H10706" s="1" t="s">
        <v>29</v>
      </c>
      <c r="I10706" s="1" t="str">
        <f ca="1">IFERROR(__xludf.DUMMYFUNCTION("GOOGLETRANSLATE(F10706, ""auto"", ""en"")
"),"The laptop is excellent. All of the above shortcomings have not been confirmed for me. Even my wife is happy, now I don’t touch her laptop. The only thing I did was split the hard drive into 2 disks (for a 70 GB system), loaded a system backup and that’s "&amp;"it. Everything goes, including Metro 2033.")</f>
        <v>The laptop is excellent. All of the above shortcomings have not been confirmed for me. Even my wife is happy, now I don’t touch her laptop. The only thing I did was split the hard drive into 2 disks (for a 70 GB system), loaded a system backup and that’s it. Everything goes, including Metro 2033.</v>
      </c>
    </row>
    <row r="10707" spans="1:9" x14ac:dyDescent="0.3">
      <c r="A10707" s="1" t="s">
        <v>61</v>
      </c>
      <c r="B10707" s="1" t="s">
        <v>62</v>
      </c>
      <c r="C10707" s="1" t="s">
        <v>63</v>
      </c>
      <c r="D10707" s="1" t="s">
        <v>565</v>
      </c>
      <c r="E10707" s="1" t="s">
        <v>883</v>
      </c>
      <c r="F10707" s="1" t="s">
        <v>15475</v>
      </c>
      <c r="G10707" s="1" t="s">
        <v>36</v>
      </c>
      <c r="H10707" s="1" t="s">
        <v>29</v>
      </c>
      <c r="I10707" s="1" t="str">
        <f ca="1">IFERROR(__xludf.DUMMYFUNCTION("GOOGLETRANSLATE(F10707, ""auto"", ""en"")
"),"I have been the owner of an earlier model for 10 years. The combine has never failed. It chops, beats, and grinds meat perfectly in a matter of minutes. Advice: if the egg whites are not whipping, rinse the bowl; fat may have gotten into it.")</f>
        <v>I have been the owner of an earlier model for 10 years. The combine has never failed. It chops, beats, and grinds meat perfectly in a matter of minutes. Advice: if the egg whites are not whipping, rinse the bowl; fat may have gotten into it.</v>
      </c>
    </row>
    <row r="10708" spans="1:9" x14ac:dyDescent="0.3">
      <c r="A10708" s="1" t="s">
        <v>30</v>
      </c>
      <c r="B10708" s="1" t="s">
        <v>50</v>
      </c>
      <c r="C10708" s="1" t="s">
        <v>32</v>
      </c>
      <c r="D10708" s="1" t="s">
        <v>420</v>
      </c>
      <c r="E10708" s="1" t="s">
        <v>115</v>
      </c>
      <c r="F10708" s="1" t="s">
        <v>15476</v>
      </c>
      <c r="G10708" s="1" t="s">
        <v>36</v>
      </c>
      <c r="H10708" s="1" t="s">
        <v>29</v>
      </c>
      <c r="I10708" s="1" t="str">
        <f ca="1">IFERROR(__xludf.DUMMYFUNCTION("GOOGLETRANSLATE(F10708, ""auto"", ""en"")
"),"I bought this laptop a month ago.  Everything about it is good, it’s very convenient: it’s also suitable for games - many games produced in 2008-2009 run smoothly (though on minimum settings).  and for work.  But among the noticed shortcomings (maybe I ju"&amp;"st came across one): Acer PowerSmart Management does not allow you to save backlight level settings and other things related to energy saving.  McAfee antivirus is hard-wired into the OS and cannot be completely removed. Even if it is complete, using thir"&amp;"d-party programs.    P.s. As for bluetooth, this model does not provide it, but the bluetooth button was preserved from another model, with built-in bluetooth. Yes, and it works a little crookedly with USB bluetooth.  P.s. For manufacturers of hard drives"&amp;" and other things, 1 gigabyte is equal to 10 to the 9th power of bytes, that is, 1,000,000,000, while in Windows itself, 1 gigabyte is equal to 2 to the 30th power of bytes, that is, 1,073,741,824. In this case, the total capacity of the hard drive does n"&amp;"ot exceed 300 gigabytes, 10 of which were reserved by the laptop manufacturers for something there.")</f>
        <v>I bought this laptop a month ago.  Everything about it is good, it’s very convenient: it’s also suitable for games - many games produced in 2008-2009 run smoothly (though on minimum settings).  and for work.  But among the noticed shortcomings (maybe I just came across one): Acer PowerSmart Management does not allow you to save backlight level settings and other things related to energy saving.  McAfee antivirus is hard-wired into the OS and cannot be completely removed. Even if it is complete, using third-party programs.    P.s. As for bluetooth, this model does not provide it, but the bluetooth button was preserved from another model, with built-in bluetooth. Yes, and it works a little crookedly with USB bluetooth.  P.s. For manufacturers of hard drives and other things, 1 gigabyte is equal to 10 to the 9th power of bytes, that is, 1,000,000,000, while in Windows itself, 1 gigabyte is equal to 2 to the 30th power of bytes, that is, 1,073,741,824. In this case, the total capacity of the hard drive does not exceed 300 gigabytes, 10 of which were reserved by the laptop manufacturers for something there.</v>
      </c>
    </row>
    <row r="10709" spans="1:9" x14ac:dyDescent="0.3">
      <c r="A10709" s="1" t="s">
        <v>37</v>
      </c>
      <c r="B10709" s="1" t="s">
        <v>355</v>
      </c>
      <c r="C10709" s="1" t="s">
        <v>356</v>
      </c>
      <c r="D10709" s="1" t="s">
        <v>568</v>
      </c>
      <c r="E10709" s="1" t="s">
        <v>3259</v>
      </c>
      <c r="F10709" s="1" t="s">
        <v>15477</v>
      </c>
      <c r="G10709" s="1" t="s">
        <v>49</v>
      </c>
      <c r="H10709" s="1" t="s">
        <v>16</v>
      </c>
      <c r="I10709" s="1" t="str">
        <f ca="1">IFERROR(__xludf.DUMMYFUNCTION("GOOGLETRANSLATE(F10709, ""auto"", ""en"")
"),"Alexander, you are fundamentally mistaken :) iPhone is a rare g.... Firstly, what kind of modern phone is this that needs to be FLASHED in order to be able to send MMS? :))) Secondly, for a long time now there have been communicators that are “more than a"&amp;" telephone.”  Thirdly, he doesn’t even know how to exchange MP3s with normal phones via Bluetooth. Why the hell is he needed? :) Fourthly, what's the point of the ZPS if it doesn't come with normal maps that work (or can be converted to the required forma"&amp;"t) with most PDAs and navigators.    I see only TWO features of the apple phone that are really worth attention: 1. Sensors.  2. Built-in browser.     WM communicators rule :)")</f>
        <v>Alexander, you are fundamentally mistaken :) iPhone is a rare g.... Firstly, what kind of modern phone is this that needs to be FLASHED in order to be able to send MMS? :))) Secondly, for a long time now there have been communicators that are “more than a telephone.”  Thirdly, he doesn’t even know how to exchange MP3s with normal phones via Bluetooth. Why the hell is he needed? :) Fourthly, what's the point of the ZPS if it doesn't come with normal maps that work (or can be converted to the required format) with most PDAs and navigators.    I see only TWO features of the apple phone that are really worth attention: 1. Sensors.  2. Built-in browser.     WM communicators rule :)</v>
      </c>
    </row>
    <row r="10710" spans="1:9" x14ac:dyDescent="0.3">
      <c r="A10710" s="1" t="s">
        <v>624</v>
      </c>
      <c r="B10710" s="1" t="s">
        <v>2107</v>
      </c>
      <c r="C10710" s="1" t="s">
        <v>479</v>
      </c>
      <c r="D10710" s="1" t="s">
        <v>9386</v>
      </c>
      <c r="E10710" s="1" t="s">
        <v>3954</v>
      </c>
      <c r="F10710" s="1" t="s">
        <v>15478</v>
      </c>
      <c r="G10710" s="1" t="s">
        <v>36</v>
      </c>
      <c r="H10710" s="1" t="s">
        <v>29</v>
      </c>
      <c r="I10710" s="1" t="str">
        <f ca="1">IFERROR(__xludf.DUMMYFUNCTION("GOOGLETRANSLATE(F10710, ""auto"", ""en"")
"),"Great game, great animation.  The game is very interestingly produced.  But I don’t recommend it to those who have problems with their nerves.  Thanks to the M Video store, in my city, this is the only store that sells licensed games.")</f>
        <v>Great game, great animation.  The game is very interestingly produced.  But I don’t recommend it to those who have problems with their nerves.  Thanks to the M Video store, in my city, this is the only store that sells licensed games.</v>
      </c>
    </row>
    <row r="10711" spans="1:9" x14ac:dyDescent="0.3">
      <c r="A10711" s="1" t="s">
        <v>67</v>
      </c>
      <c r="B10711" s="1" t="s">
        <v>340</v>
      </c>
      <c r="C10711" s="1" t="s">
        <v>341</v>
      </c>
      <c r="D10711" s="1" t="s">
        <v>12</v>
      </c>
      <c r="E10711" s="1" t="s">
        <v>430</v>
      </c>
      <c r="F10711" s="1" t="s">
        <v>15479</v>
      </c>
      <c r="G10711" s="1" t="s">
        <v>28</v>
      </c>
      <c r="H10711" s="1" t="s">
        <v>29</v>
      </c>
      <c r="I10711" s="1" t="str">
        <f ca="1">IFERROR(__xludf.DUMMYFUNCTION("GOOGLETRANSLATE(F10711, ""auto"", ""en"")
"),"The machine is good, it sews very nicely) In general, the speed is not high, which is very convenient for beginners and beginners in general, it will not accelerate. Personally, it suited me more in terms of price than quality, although I must admit the q"&amp;"uality is not bad, it is very easy to maintain, small in size and not difficult for teaching girls how to sew. The car is good, if it were excellent I would give it a 5, but in its price class I think it’s not even bad at all.")</f>
        <v>The machine is good, it sews very nicely) In general, the speed is not high, which is very convenient for beginners and beginners in general, it will not accelerate. Personally, it suited me more in terms of price than quality, although I must admit the quality is not bad, it is very easy to maintain, small in size and not difficult for teaching girls how to sew. The car is good, if it were excellent I would give it a 5, but in its price class I think it’s not even bad at all.</v>
      </c>
    </row>
    <row r="10712" spans="1:9" x14ac:dyDescent="0.3">
      <c r="A10712" s="1" t="s">
        <v>9</v>
      </c>
      <c r="B10712" s="1" t="s">
        <v>10</v>
      </c>
      <c r="C10712" s="1" t="s">
        <v>466</v>
      </c>
      <c r="D10712" s="1" t="s">
        <v>15480</v>
      </c>
      <c r="E10712" s="1" t="s">
        <v>7743</v>
      </c>
      <c r="F10712" s="1" t="s">
        <v>15481</v>
      </c>
      <c r="G10712" s="1" t="s">
        <v>36</v>
      </c>
      <c r="H10712" s="1" t="s">
        <v>29</v>
      </c>
      <c r="I10712" s="1" t="str">
        <f ca="1">IFERROR(__xludf.DUMMYFUNCTION("GOOGLETRANSLATE(F10712, ""auto"", ""en"")
"),"The design is a very ordinary hood, which does not stick out anywhere and does not interfere with normal cooking. It does its job clearly, after switching on it quickly draws out smoke - there is no need to wait until it wakes up. It is easy to control, t"&amp;"urns on when pulled out (the main thing is to set it to the hood mode, and not just to the backlight), and also turns off with a slight movement, this is very helpful when you get your hands dirty during the cooking process. As for me, this is a popular o"&amp;"ption for small kitchens, and the price is not bad.")</f>
        <v>The design is a very ordinary hood, which does not stick out anywhere and does not interfere with normal cooking. It does its job clearly, after switching on it quickly draws out smoke - there is no need to wait until it wakes up. It is easy to control, turns on when pulled out (the main thing is to set it to the hood mode, and not just to the backlight), and also turns off with a slight movement, this is very helpful when you get your hands dirty during the cooking process. As for me, this is a popular option for small kitchens, and the price is not bad.</v>
      </c>
    </row>
    <row r="10713" spans="1:9" x14ac:dyDescent="0.3">
      <c r="A10713" s="1" t="s">
        <v>9</v>
      </c>
      <c r="B10713" s="1" t="s">
        <v>137</v>
      </c>
      <c r="C10713" s="1" t="s">
        <v>151</v>
      </c>
      <c r="D10713" s="1" t="s">
        <v>695</v>
      </c>
      <c r="E10713" s="1" t="s">
        <v>11078</v>
      </c>
      <c r="F10713" s="1" t="s">
        <v>15482</v>
      </c>
      <c r="G10713" s="1" t="s">
        <v>36</v>
      </c>
      <c r="H10713" s="1" t="s">
        <v>29</v>
      </c>
      <c r="I10713" s="1" t="str">
        <f ca="1">IFERROR(__xludf.DUMMYFUNCTION("GOOGLETRANSLATE(F10713, ""auto"", ""en"")
"),"I’ve been using this one, only with a metal side (which is a big plus for liquid spills!) for 4 or 5 years. Over the entire period of time, it malfunctioned 3 times - it did not turn on, or rather it turned on, but did not warm up. The problem was resolve"&amp;"d by turning off the power at the electrical panel. Heats up quickly and is comfortable. &amp;nbsp;I'm going to take the same one for a new apartment!")</f>
        <v>I’ve been using this one, only with a metal side (which is a big plus for liquid spills!) for 4 or 5 years. Over the entire period of time, it malfunctioned 3 times - it did not turn on, or rather it turned on, but did not warm up. The problem was resolved by turning off the power at the electrical panel. Heats up quickly and is comfortable. &amp;nbsp;I'm going to take the same one for a new apartment!</v>
      </c>
    </row>
    <row r="10714" spans="1:9" x14ac:dyDescent="0.3">
      <c r="A10714" s="1" t="s">
        <v>211</v>
      </c>
      <c r="B10714" s="1" t="s">
        <v>265</v>
      </c>
      <c r="C10714" s="1" t="s">
        <v>1591</v>
      </c>
      <c r="D10714" s="1" t="s">
        <v>52</v>
      </c>
      <c r="E10714" s="1" t="s">
        <v>15483</v>
      </c>
      <c r="F10714" s="1" t="s">
        <v>15484</v>
      </c>
      <c r="G10714" s="1" t="s">
        <v>49</v>
      </c>
      <c r="H10714" s="1" t="s">
        <v>16</v>
      </c>
      <c r="I10714" s="1" t="str">
        <f ca="1">IFERROR(__xludf.DUMMYFUNCTION("GOOGLETRANSLATE(F10714, ""auto"", ""en"")
"),"I used the clipper to trim my beard after 10 months. I stopped cutting, I thought it needed to be lubricated (although the instructions say that it is self-lubricating) - the result is the same.")</f>
        <v>I used the clipper to trim my beard after 10 months. I stopped cutting, I thought it needed to be lubricated (although the instructions say that it is self-lubricating) - the result is the same.</v>
      </c>
    </row>
    <row r="10715" spans="1:9" x14ac:dyDescent="0.3">
      <c r="A10715" s="1" t="s">
        <v>9</v>
      </c>
      <c r="B10715" s="1" t="s">
        <v>133</v>
      </c>
      <c r="C10715" s="1" t="s">
        <v>159</v>
      </c>
      <c r="D10715" s="1" t="s">
        <v>295</v>
      </c>
      <c r="E10715" s="1" t="s">
        <v>7122</v>
      </c>
      <c r="F10715" s="1" t="s">
        <v>15485</v>
      </c>
      <c r="G10715" s="1" t="s">
        <v>36</v>
      </c>
      <c r="H10715" s="1" t="s">
        <v>29</v>
      </c>
      <c r="I10715" s="1" t="str">
        <f ca="1">IFERROR(__xludf.DUMMYFUNCTION("GOOGLETRANSLATE(F10715, ""auto"", ""en"")
"),"Works for 6 years!")</f>
        <v>Works for 6 years!</v>
      </c>
    </row>
    <row r="10716" spans="1:9" x14ac:dyDescent="0.3">
      <c r="A10716" s="1" t="s">
        <v>89</v>
      </c>
      <c r="B10716" s="1" t="s">
        <v>1106</v>
      </c>
      <c r="C10716" s="1" t="s">
        <v>74</v>
      </c>
      <c r="D10716" s="1" t="s">
        <v>75</v>
      </c>
      <c r="E10716" s="1" t="s">
        <v>460</v>
      </c>
      <c r="F10716" s="1" t="s">
        <v>15486</v>
      </c>
      <c r="G10716" s="1" t="s">
        <v>28</v>
      </c>
      <c r="H10716" s="1" t="s">
        <v>29</v>
      </c>
      <c r="I10716" s="1" t="str">
        <f ca="1">IFERROR(__xludf.DUMMYFUNCTION("GOOGLETRANSLATE(F10716, ""auto"", ""en"")
"),"I completely agree with Irina (St. Petersburg). The coffee maker does not turn itself off, but it should.")</f>
        <v>I completely agree with Irina (St. Petersburg). The coffee maker does not turn itself off, but it should.</v>
      </c>
    </row>
    <row r="10717" spans="1:9" x14ac:dyDescent="0.3">
      <c r="A10717" s="1" t="s">
        <v>624</v>
      </c>
      <c r="B10717" s="1" t="s">
        <v>625</v>
      </c>
      <c r="C10717" s="1" t="s">
        <v>479</v>
      </c>
      <c r="D10717" s="1" t="s">
        <v>327</v>
      </c>
      <c r="E10717" s="1" t="s">
        <v>1586</v>
      </c>
      <c r="F10717" s="1" t="s">
        <v>15487</v>
      </c>
      <c r="G10717" s="1" t="s">
        <v>28</v>
      </c>
      <c r="H10717" s="1" t="s">
        <v>29</v>
      </c>
      <c r="I10717" s="1" t="str">
        <f ca="1">IFERROR(__xludf.DUMMYFUNCTION("GOOGLETRANSLATE(F10717, ""auto"", ""en"")
"),"The game is not bad, but short. Yes, and it’s a little complicated to control, but the graphics are top notch.")</f>
        <v>The game is not bad, but short. Yes, and it’s a little complicated to control, but the graphics are top notch.</v>
      </c>
    </row>
    <row r="10718" spans="1:9" x14ac:dyDescent="0.3">
      <c r="A10718" s="1" t="s">
        <v>37</v>
      </c>
      <c r="B10718" s="1" t="s">
        <v>38</v>
      </c>
      <c r="C10718" s="1" t="s">
        <v>39</v>
      </c>
      <c r="D10718" s="1" t="s">
        <v>52</v>
      </c>
      <c r="E10718" s="1" t="s">
        <v>643</v>
      </c>
      <c r="F10718" s="1" t="s">
        <v>15488</v>
      </c>
      <c r="G10718" s="1" t="s">
        <v>28</v>
      </c>
      <c r="H10718" s="1" t="s">
        <v>29</v>
      </c>
      <c r="I10718" s="1" t="str">
        <f ca="1">IFERROR(__xludf.DUMMYFUNCTION("GOOGLETRANSLATE(F10718, ""auto"", ""en"")
"),"I bought a phone a month ago. Something is unclear to me about the battery capacity. Standby time is 600 hours, talk time is 13 hours according to sellers, but in reality it doesn’t work. The battery is discharged after an hour and a half of pure talk tim"&amp;"e according to the phone meter. Standby mode drains the battery at 1% per hour. Can anyone explain - is this normal? And the phone is not bad.")</f>
        <v>I bought a phone a month ago. Something is unclear to me about the battery capacity. Standby time is 600 hours, talk time is 13 hours according to sellers, but in reality it doesn’t work. The battery is discharged after an hour and a half of pure talk time according to the phone meter. Standby mode drains the battery at 1% per hour. Can anyone explain - is this normal? And the phone is not bad.</v>
      </c>
    </row>
    <row r="10719" spans="1:9" x14ac:dyDescent="0.3">
      <c r="A10719" s="1" t="s">
        <v>89</v>
      </c>
      <c r="B10719" s="1" t="s">
        <v>90</v>
      </c>
      <c r="C10719" s="1" t="s">
        <v>63</v>
      </c>
      <c r="D10719" s="1" t="s">
        <v>52</v>
      </c>
      <c r="E10719" s="1" t="s">
        <v>323</v>
      </c>
      <c r="F10719" s="1" t="s">
        <v>15489</v>
      </c>
      <c r="G10719" s="1" t="s">
        <v>28</v>
      </c>
      <c r="H10719" s="1" t="s">
        <v>29</v>
      </c>
      <c r="I10719" s="1" t="str">
        <f ca="1">IFERROR(__xludf.DUMMYFUNCTION("GOOGLETRANSLATE(F10719, ""auto"", ""en"")
"),"Compact")</f>
        <v>Compact</v>
      </c>
    </row>
    <row r="10720" spans="1:9" x14ac:dyDescent="0.3">
      <c r="A10720" s="1" t="s">
        <v>61</v>
      </c>
      <c r="B10720" s="1" t="s">
        <v>977</v>
      </c>
      <c r="C10720" s="1" t="s">
        <v>85</v>
      </c>
      <c r="D10720" s="1" t="s">
        <v>545</v>
      </c>
      <c r="E10720" s="1" t="s">
        <v>6507</v>
      </c>
      <c r="F10720" s="1" t="s">
        <v>15490</v>
      </c>
      <c r="G10720" s="1" t="s">
        <v>49</v>
      </c>
      <c r="H10720" s="1" t="s">
        <v>16</v>
      </c>
      <c r="I10720" s="1" t="str">
        <f ca="1">IFERROR(__xludf.DUMMYFUNCTION("GOOGLETRANSLATE(F10720, ""auto"", ""en"")
"),"Pros: evenly grinds all the contents in the glass, unlike an immersion blender. I think other blenders of this type also cope successfully with this.  Cons: Bork B800 blender does not work after 205 months of use. We purchased such expensive equipment not"&amp;" for pleasure, but out of necessity - one of the family members cannot eat solid food, so the blender was used daily more than 3 times a day. After 2.5 months, the Bork B800 blender broke down and simply stopped working.  Moreover, we were counting on an "&amp;"analogue of the American Vitamix, which, with a power of 1600W, grinds pomegranate along with seeds into a single mass and easily copes with raw meat. With a stated power of 2000W, we could only grind soups and soft cereals with boiled chopped meat in pur"&amp;"ee, and made smoothies a couple of times (normal for a chewing person). The pomegranate turned into a strange semi-liquid mass with seeds.   General impressions: for entertainment, you can choose a cheaper product. Not suitable for frequent serious use.")</f>
        <v>Pros: evenly grinds all the contents in the glass, unlike an immersion blender. I think other blenders of this type also cope successfully with this.  Cons: Bork B800 blender does not work after 205 months of use. We purchased such expensive equipment not for pleasure, but out of necessity - one of the family members cannot eat solid food, so the blender was used daily more than 3 times a day. After 2.5 months, the Bork B800 blender broke down and simply stopped working.  Moreover, we were counting on an analogue of the American Vitamix, which, with a power of 1600W, grinds pomegranate along with seeds into a single mass and easily copes with raw meat. With a stated power of 2000W, we could only grind soups and soft cereals with boiled chopped meat in puree, and made smoothies a couple of times (normal for a chewing person). The pomegranate turned into a strange semi-liquid mass with seeds.   General impressions: for entertainment, you can choose a cheaper product. Not suitable for frequent serious use.</v>
      </c>
    </row>
    <row r="10721" spans="1:9" x14ac:dyDescent="0.3">
      <c r="A10721" s="1" t="s">
        <v>149</v>
      </c>
      <c r="B10721" s="1" t="s">
        <v>155</v>
      </c>
      <c r="C10721" s="1" t="s">
        <v>101</v>
      </c>
      <c r="D10721" s="1" t="s">
        <v>12</v>
      </c>
      <c r="E10721" s="1" t="s">
        <v>386</v>
      </c>
      <c r="F10721" s="1" t="s">
        <v>15491</v>
      </c>
      <c r="G10721" s="1" t="s">
        <v>36</v>
      </c>
      <c r="H10721" s="1" t="s">
        <v>29</v>
      </c>
      <c r="I10721" s="1" t="str">
        <f ca="1">IFERROR(__xludf.DUMMYFUNCTION("GOOGLETRANSLATE(F10721, ""auto"", ""en"")
"),"I bought it yesterday. I liked it, it pulls well, it’s small. Only the telescopic pipe is a little short")</f>
        <v>I bought it yesterday. I liked it, it pulls well, it’s small. Only the telescopic pipe is a little short</v>
      </c>
    </row>
    <row r="10722" spans="1:9" x14ac:dyDescent="0.3">
      <c r="A10722" s="1" t="s">
        <v>30</v>
      </c>
      <c r="B10722" s="1" t="s">
        <v>31</v>
      </c>
      <c r="C10722" s="1" t="s">
        <v>32</v>
      </c>
      <c r="D10722" s="1" t="s">
        <v>232</v>
      </c>
      <c r="E10722" s="1" t="s">
        <v>2341</v>
      </c>
      <c r="F10722" s="1" t="s">
        <v>15492</v>
      </c>
      <c r="G10722" s="1" t="s">
        <v>36</v>
      </c>
      <c r="H10722" s="1" t="s">
        <v>29</v>
      </c>
      <c r="I10722" s="1" t="str">
        <f ca="1">IFERROR(__xludf.DUMMYFUNCTION("GOOGLETRANSLATE(F10722, ""auto"", ""en"")
"),"It's already the 2nd day since I installed the Acer Aspire Revo 3610 Atom330/4Gb/500gb. As a monitor I use a Sony Bravia KDL 32L-4000 TV via the HDMI input, the resolution is adjusted to 1360 x 768 p 60. I can’t hear any noise from it even at night. The C"&amp;"PU temperature is 64 degrees, and the hard drive is 44. In the BIOS I added memory for video, so it now uses more than 1.5 GB. All applications are running great. It costs Windows 7 64-bit. The updates went through without any glitches.   Now I download m"&amp;"ovies from the Internet. Movies in 1080 .mkv format run perfectly through KMPlayer. Other video formats can be watched without any problems on the basic player.   I don’t play with toys, so I can’t say anything about them. I checked the Internet both via "&amp;"WiFi and LAN. Everything works without brakes.   I connected Portable DVD R/RW&amp;RAM Drive Lenovo APH-PA13T via 2 USB ports - reads and writes DVD discs without problems. I created 3 disks of factory settings and 1 disk with drivers.   The general impressio"&amp;"n about the nettop is only positive. In this configuration in Khabarovsk it cost me 18K wooden ones.")</f>
        <v>It's already the 2nd day since I installed the Acer Aspire Revo 3610 Atom330/4Gb/500gb. As a monitor I use a Sony Bravia KDL 32L-4000 TV via the HDMI input, the resolution is adjusted to 1360 x 768 p 60. I can’t hear any noise from it even at night. The CPU temperature is 64 degrees, and the hard drive is 44. In the BIOS I added memory for video, so it now uses more than 1.5 GB. All applications are running great. It costs Windows 7 64-bit. The updates went through without any glitches.   Now I download movies from the Internet. Movies in 1080 .mkv format run perfectly through KMPlayer. Other video formats can be watched without any problems on the basic player.   I don’t play with toys, so I can’t say anything about them. I checked the Internet both via WiFi and LAN. Everything works without brakes.   I connected Portable DVD R/RW&amp;RAM Drive Lenovo APH-PA13T via 2 USB ports - reads and writes DVD discs without problems. I created 3 disks of factory settings and 1 disk with drivers.   The general impression about the nettop is only positive. In this configuration in Khabarovsk it cost me 18K wooden ones.</v>
      </c>
    </row>
    <row r="10723" spans="1:9" x14ac:dyDescent="0.3">
      <c r="A10723" s="1" t="s">
        <v>55</v>
      </c>
      <c r="B10723" s="1" t="s">
        <v>752</v>
      </c>
      <c r="C10723" s="1" t="s">
        <v>185</v>
      </c>
      <c r="D10723" s="1" t="s">
        <v>1206</v>
      </c>
      <c r="E10723" s="1" t="s">
        <v>82</v>
      </c>
      <c r="F10723" s="1" t="s">
        <v>15493</v>
      </c>
      <c r="G10723" s="1" t="s">
        <v>28</v>
      </c>
      <c r="H10723" s="1" t="s">
        <v>29</v>
      </c>
      <c r="I10723" s="1" t="str">
        <f ca="1">IFERROR(__xludf.DUMMYFUNCTION("GOOGLETRANSLATE(F10723, ""auto"", ""en"")
"),"The radiator is good. The air dries. After 8 years of operation it leaked. It's good that there was no fire. It’s a pity that the goal of all traders is to sell, and then whatever happens.")</f>
        <v>The radiator is good. The air dries. After 8 years of operation it leaked. It's good that there was no fire. It’s a pity that the goal of all traders is to sell, and then whatever happens.</v>
      </c>
    </row>
    <row r="10724" spans="1:9" x14ac:dyDescent="0.3">
      <c r="A10724" s="1" t="s">
        <v>9</v>
      </c>
      <c r="B10724" s="1" t="s">
        <v>10</v>
      </c>
      <c r="C10724" s="1" t="s">
        <v>3438</v>
      </c>
      <c r="D10724" s="1" t="s">
        <v>326</v>
      </c>
      <c r="E10724" s="1" t="s">
        <v>868</v>
      </c>
      <c r="F10724" s="1" t="s">
        <v>15494</v>
      </c>
      <c r="G10724" s="1" t="s">
        <v>36</v>
      </c>
      <c r="H10724" s="1" t="s">
        <v>29</v>
      </c>
      <c r="I10724" s="1" t="str">
        <f ca="1">IFERROR(__xludf.DUMMYFUNCTION("GOOGLETRANSLATE(F10724, ""auto"", ""en"")
"),"When choosing a hood, I focused primarily on power. I needed a powerful one to pull out all the extraneous odors from the kitchen. I also liked this model for the price. The functionality is normal, so why pay more? This model has two filters at once, inc"&amp;"luding a grease filter. Pulls everything out with a bang. I cook a lot, there is constant steam in the kitchen, the problems went away with this hood. There are no foreign odors in the apartment, the air is always clean. Yes it is noisy, but for me it is "&amp;"not critical. There is a bright backlight. In general, the hood is excellent and also not expensive.")</f>
        <v>When choosing a hood, I focused primarily on power. I needed a powerful one to pull out all the extraneous odors from the kitchen. I also liked this model for the price. The functionality is normal, so why pay more? This model has two filters at once, including a grease filter. Pulls everything out with a bang. I cook a lot, there is constant steam in the kitchen, the problems went away with this hood. There are no foreign odors in the apartment, the air is always clean. Yes it is noisy, but for me it is not critical. There is a bright backlight. In general, the hood is excellent and also not expensive.</v>
      </c>
    </row>
    <row r="10725" spans="1:9" x14ac:dyDescent="0.3">
      <c r="A10725" s="1" t="s">
        <v>519</v>
      </c>
      <c r="B10725" s="1" t="s">
        <v>3340</v>
      </c>
      <c r="C10725" s="1" t="s">
        <v>3571</v>
      </c>
      <c r="D10725" s="1" t="s">
        <v>152</v>
      </c>
      <c r="E10725" s="1" t="s">
        <v>1024</v>
      </c>
      <c r="F10725" s="1" t="s">
        <v>15495</v>
      </c>
      <c r="G10725" s="1" t="s">
        <v>36</v>
      </c>
      <c r="H10725" s="1" t="s">
        <v>29</v>
      </c>
      <c r="I10725" s="1" t="str">
        <f ca="1">IFERROR(__xludf.DUMMYFUNCTION("GOOGLETRANSLATE(F10725, ""auto"", ""en"")
"),"Great coverage. Doesn't burn. Good price.")</f>
        <v>Great coverage. Doesn't burn. Good price.</v>
      </c>
    </row>
    <row r="10726" spans="1:9" x14ac:dyDescent="0.3">
      <c r="A10726" s="1" t="s">
        <v>211</v>
      </c>
      <c r="B10726" s="1" t="s">
        <v>515</v>
      </c>
      <c r="C10726" s="1" t="s">
        <v>213</v>
      </c>
      <c r="D10726" s="1" t="s">
        <v>5472</v>
      </c>
      <c r="E10726" s="1" t="s">
        <v>713</v>
      </c>
      <c r="F10726" s="1" t="s">
        <v>15496</v>
      </c>
      <c r="G10726" s="1" t="s">
        <v>36</v>
      </c>
      <c r="H10726" s="1" t="s">
        <v>29</v>
      </c>
      <c r="I10726" s="1" t="str">
        <f ca="1">IFERROR(__xludf.DUMMYFUNCTION("GOOGLETRANSLATE(F10726, ""auto"", ""en"")
"),"1) miniature 2) different attachments 3) gently shaves hair without irritation 4) template stickers for intimate hairstyles 5) protective cap")</f>
        <v>1) miniature 2) different attachments 3) gently shaves hair without irritation 4) template stickers for intimate hairstyles 5) protective cap</v>
      </c>
    </row>
    <row r="10727" spans="1:9" x14ac:dyDescent="0.3">
      <c r="A10727" s="1" t="s">
        <v>61</v>
      </c>
      <c r="B10727" s="1" t="s">
        <v>62</v>
      </c>
      <c r="C10727" s="1" t="s">
        <v>146</v>
      </c>
      <c r="D10727" s="1" t="s">
        <v>12</v>
      </c>
      <c r="E10727" s="1" t="s">
        <v>2680</v>
      </c>
      <c r="F10727" s="1" t="s">
        <v>15497</v>
      </c>
      <c r="G10727" s="1" t="s">
        <v>36</v>
      </c>
      <c r="H10727" s="1" t="s">
        <v>29</v>
      </c>
      <c r="I10727" s="1" t="str">
        <f ca="1">IFERROR(__xludf.DUMMYFUNCTION("GOOGLETRANSLATE(F10727, ""auto"", ""en"")
"),"Great combine. I walk around and wonder why I didn’t think of buying it earlier, but was grating kilograms of carrots and beets with my hands. Now I have an assistant. Very satisfied!!!")</f>
        <v>Great combine. I walk around and wonder why I didn’t think of buying it earlier, but was grating kilograms of carrots and beets with my hands. Now I have an assistant. Very satisfied!!!</v>
      </c>
    </row>
    <row r="10728" spans="1:9" x14ac:dyDescent="0.3">
      <c r="A10728" s="1" t="s">
        <v>37</v>
      </c>
      <c r="B10728" s="1" t="s">
        <v>38</v>
      </c>
      <c r="C10728" s="1" t="s">
        <v>151</v>
      </c>
      <c r="D10728" s="1" t="s">
        <v>3273</v>
      </c>
      <c r="E10728" s="1" t="s">
        <v>481</v>
      </c>
      <c r="F10728" s="1" t="s">
        <v>15498</v>
      </c>
      <c r="G10728" s="1" t="s">
        <v>28</v>
      </c>
      <c r="H10728" s="1" t="s">
        <v>29</v>
      </c>
      <c r="I10728" s="1" t="str">
        <f ca="1">IFERROR(__xludf.DUMMYFUNCTION("GOOGLETRANSLATE(F10728, ""auto"", ""en"")
"),"I myself dreamed of a Samsung Star. But I realized that I shouldn’t take it. My classmate was given a Samsung Star. She was happy about it. So six months later it broke: the cover flew off, the sensor sat down. My boyfriend has a Samsung Corby. He’s been "&amp;"using it for three years and nothing. A year ago they gave it to me. Replaceable panels are great. The only negative is the camera")</f>
        <v>I myself dreamed of a Samsung Star. But I realized that I shouldn’t take it. My classmate was given a Samsung Star. She was happy about it. So six months later it broke: the cover flew off, the sensor sat down. My boyfriend has a Samsung Corby. He’s been using it for three years and nothing. A year ago they gave it to me. Replaceable panels are great. The only negative is the camera</v>
      </c>
    </row>
    <row r="10729" spans="1:9" x14ac:dyDescent="0.3">
      <c r="A10729" s="1" t="s">
        <v>67</v>
      </c>
      <c r="B10729" s="1" t="s">
        <v>340</v>
      </c>
      <c r="C10729" s="1" t="s">
        <v>341</v>
      </c>
      <c r="D10729" s="1" t="s">
        <v>521</v>
      </c>
      <c r="E10729" s="1" t="s">
        <v>316</v>
      </c>
      <c r="F10729" s="1" t="s">
        <v>15499</v>
      </c>
      <c r="G10729" s="1" t="s">
        <v>36</v>
      </c>
      <c r="H10729" s="1" t="s">
        <v>29</v>
      </c>
      <c r="I10729" s="1" t="str">
        <f ca="1">IFERROR(__xludf.DUMMYFUNCTION("GOOGLETRANSLATE(F10729, ""auto"", ""en"")
"),"I bought the machine three months ago, tried all the stitches and it sews a lot of different fabrics just super, the operation is soft. I recently bought a set of paws. Now there is no limit to my joy")</f>
        <v>I bought the machine three months ago, tried all the stitches and it sews a lot of different fabrics just super, the operation is soft. I recently bought a set of paws. Now there is no limit to my joy</v>
      </c>
    </row>
    <row r="10730" spans="1:9" x14ac:dyDescent="0.3">
      <c r="A10730" s="1" t="s">
        <v>206</v>
      </c>
      <c r="B10730" s="1" t="s">
        <v>207</v>
      </c>
      <c r="C10730" s="1" t="s">
        <v>152</v>
      </c>
      <c r="D10730" s="1" t="s">
        <v>568</v>
      </c>
      <c r="E10730" s="1" t="s">
        <v>8003</v>
      </c>
      <c r="F10730" s="1" t="s">
        <v>15500</v>
      </c>
      <c r="G10730" s="1" t="s">
        <v>36</v>
      </c>
      <c r="H10730" s="1" t="s">
        <v>29</v>
      </c>
      <c r="I10730" s="1" t="str">
        <f ca="1">IFERROR(__xludf.DUMMYFUNCTION("GOOGLETRANSLATE(F10730, ""auto"", ""en"")
"),"The amp is crazy. He connected to it just a dead sub, which he pumped up to a decent sound. Now I'm driving with a dragster 600watt, the car is jumping, the whole interior has started to rattle. The radar detector on the glass jumps 4-7 cm.")</f>
        <v>The amp is crazy. He connected to it just a dead sub, which he pumped up to a decent sound. Now I'm driving with a dragster 600watt, the car is jumping, the whole interior has started to rattle. The radar detector on the glass jumps 4-7 cm.</v>
      </c>
    </row>
    <row r="10731" spans="1:9" x14ac:dyDescent="0.3">
      <c r="A10731" s="1" t="s">
        <v>120</v>
      </c>
      <c r="B10731" s="1" t="s">
        <v>196</v>
      </c>
      <c r="C10731" s="1" t="s">
        <v>69</v>
      </c>
      <c r="D10731" s="1" t="s">
        <v>9177</v>
      </c>
      <c r="E10731" s="1" t="s">
        <v>41</v>
      </c>
      <c r="F10731" s="1" t="s">
        <v>15501</v>
      </c>
      <c r="G10731" s="1" t="s">
        <v>36</v>
      </c>
      <c r="H10731" s="1" t="s">
        <v>29</v>
      </c>
      <c r="I10731" s="1" t="str">
        <f ca="1">IFERROR(__xludf.DUMMYFUNCTION("GOOGLETRANSLATE(F10731, ""auto"", ""en"")
"),"How to connect digital television to this TV?  I don’t want to install a decoder at all, but I don’t know where to insert the CAM, there is no card slot. Maybe there's a built-in decoder here? Help me solve the problem plz))")</f>
        <v>How to connect digital television to this TV?  I don’t want to install a decoder at all, but I don’t know where to insert the CAM, there is no card slot. Maybe there's a built-in decoder here? Help me solve the problem plz))</v>
      </c>
    </row>
    <row r="10732" spans="1:9" x14ac:dyDescent="0.3">
      <c r="A10732" s="1" t="s">
        <v>78</v>
      </c>
      <c r="B10732" s="1" t="s">
        <v>79</v>
      </c>
      <c r="C10732" s="1" t="s">
        <v>1224</v>
      </c>
      <c r="D10732" s="1" t="s">
        <v>75</v>
      </c>
      <c r="E10732" s="1" t="s">
        <v>1868</v>
      </c>
      <c r="F10732" s="1" t="s">
        <v>15502</v>
      </c>
      <c r="G10732" s="1" t="s">
        <v>36</v>
      </c>
      <c r="H10732" s="1" t="s">
        <v>29</v>
      </c>
      <c r="I10732" s="1" t="str">
        <f ca="1">IFERROR(__xludf.DUMMYFUNCTION("GOOGLETRANSLATE(F10732, ""auto"", ""en"")
"),"The only thing is that the first day there was a smell of something inside, but at night I left the door open and the whole smell went away.")</f>
        <v>The only thing is that the first day there was a smell of something inside, but at night I left the door open and the whole smell went away.</v>
      </c>
    </row>
    <row r="10733" spans="1:9" x14ac:dyDescent="0.3">
      <c r="A10733" s="1" t="s">
        <v>211</v>
      </c>
      <c r="B10733" s="1" t="s">
        <v>384</v>
      </c>
      <c r="C10733" s="1" t="s">
        <v>57</v>
      </c>
      <c r="D10733" s="1" t="s">
        <v>64</v>
      </c>
      <c r="E10733" s="1" t="s">
        <v>2030</v>
      </c>
      <c r="F10733" s="1" t="s">
        <v>15503</v>
      </c>
      <c r="G10733" s="1" t="s">
        <v>49</v>
      </c>
      <c r="H10733" s="1" t="s">
        <v>16</v>
      </c>
      <c r="I10733" s="1" t="str">
        <f ca="1">IFERROR(__xludf.DUMMYFUNCTION("GOOGLETRANSLATE(F10733, ""auto"", ""en"")
"),"I purchased these scales about two weeks ago. and were disappointed: they turn on only with repeated pressure. the result with an interval of 10 minutes (even if they are not moved from place to place) differs from 300 to 900 (!!!) grams. I'll go and take"&amp;" it today.")</f>
        <v>I purchased these scales about two weeks ago. and were disappointed: they turn on only with repeated pressure. the result with an interval of 10 minutes (even if they are not moved from place to place) differs from 300 to 900 (!!!) grams. I'll go and take it today.</v>
      </c>
    </row>
    <row r="10734" spans="1:9" x14ac:dyDescent="0.3">
      <c r="A10734" s="1" t="s">
        <v>9</v>
      </c>
      <c r="B10734" s="1" t="s">
        <v>133</v>
      </c>
      <c r="C10734" s="1" t="s">
        <v>151</v>
      </c>
      <c r="D10734" s="1" t="s">
        <v>521</v>
      </c>
      <c r="E10734" s="1" t="s">
        <v>5013</v>
      </c>
      <c r="F10734" s="1" t="s">
        <v>15504</v>
      </c>
      <c r="G10734" s="1" t="s">
        <v>36</v>
      </c>
      <c r="H10734" s="1" t="s">
        <v>29</v>
      </c>
      <c r="I10734" s="1" t="str">
        <f ca="1">IFERROR(__xludf.DUMMYFUNCTION("GOOGLETRANSLATE(F10734, ""auto"", ""en"")
"),"Awesome oven!!! Looks stylish and easy to clean! And most importantly - it cooks deliciously :)))")</f>
        <v>Awesome oven!!! Looks stylish and easy to clean! And most importantly - it cooks deliciously :)))</v>
      </c>
    </row>
    <row r="10735" spans="1:9" x14ac:dyDescent="0.3">
      <c r="A10735" s="1" t="s">
        <v>120</v>
      </c>
      <c r="B10735" s="1" t="s">
        <v>196</v>
      </c>
      <c r="C10735" s="1" t="s">
        <v>151</v>
      </c>
      <c r="D10735" s="1" t="s">
        <v>15505</v>
      </c>
      <c r="E10735" s="1" t="s">
        <v>717</v>
      </c>
      <c r="F10735" s="1" t="s">
        <v>15506</v>
      </c>
      <c r="G10735" s="1" t="s">
        <v>36</v>
      </c>
      <c r="H10735" s="1" t="s">
        <v>29</v>
      </c>
      <c r="I10735" s="1" t="str">
        <f ca="1">IFERROR(__xludf.DUMMYFUNCTION("GOOGLETRANSLATE(F10735, ""auto"", ""en"")
"),"I bought it on sale for 31,990. The TV is super. Glass design without comment is not dull plastic. Initially, the TV was bought as a second monitor for a computer for watching BR-rips and digital television, the quality is awesome. You can watch DVD rips,"&amp;" but the quality is poor. Cable TV is average, it all depends on the signal. Features such as picture-in-picture and playing media files from digital media do not make sense to me (it plays photos and mp3s just fine). The screen backlight is normal, even "&amp;"on a sunny day. In short, for that kind of money, I rate the TV 5+!!!")</f>
        <v>I bought it on sale for 31,990. The TV is super. Glass design without comment is not dull plastic. Initially, the TV was bought as a second monitor for a computer for watching BR-rips and digital television, the quality is awesome. You can watch DVD rips, but the quality is poor. Cable TV is average, it all depends on the signal. Features such as picture-in-picture and playing media files from digital media do not make sense to me (it plays photos and mp3s just fine). The screen backlight is normal, even on a sunny day. In short, for that kind of money, I rate the TV 5+!!!</v>
      </c>
    </row>
    <row r="10736" spans="1:9" x14ac:dyDescent="0.3">
      <c r="A10736" s="1" t="s">
        <v>61</v>
      </c>
      <c r="B10736" s="1" t="s">
        <v>1727</v>
      </c>
      <c r="C10736" s="1" t="s">
        <v>122</v>
      </c>
      <c r="D10736" s="1" t="s">
        <v>474</v>
      </c>
      <c r="E10736" s="1" t="s">
        <v>15507</v>
      </c>
      <c r="F10736" s="1" t="s">
        <v>15508</v>
      </c>
      <c r="G10736" s="1" t="s">
        <v>36</v>
      </c>
      <c r="H10736" s="1" t="s">
        <v>29</v>
      </c>
      <c r="I10736" s="1" t="str">
        <f ca="1">IFERROR(__xludf.DUMMYFUNCTION("GOOGLETRANSLATE(F10736, ""auto"", ""en"")
"),"I’m disabled, I can’t move, so I can’t get into the kitchen, and there are 2 children in the family and I’m the only one looking after them, so, this was given to me by a friend for my birthday, I can’t describe to you how happy we are, my children eat wh"&amp;"at I cook for them without leaving the bed. Everything works out wonderfully, the smells are all washed off simply, the eldest daughter washes it and that’s it! Rice is cooked perfectly with buckwheat, soups, baked goods, some products I I fry it there, I"&amp;" just don’t close the lid and that’s it. Thank you very much from me and the children!")</f>
        <v>I’m disabled, I can’t move, so I can’t get into the kitchen, and there are 2 children in the family and I’m the only one looking after them, so, this was given to me by a friend for my birthday, I can’t describe to you how happy we are, my children eat what I cook for them without leaving the bed. Everything works out wonderfully, the smells are all washed off simply, the eldest daughter washes it and that’s it! Rice is cooked perfectly with buckwheat, soups, baked goods, some products I I fry it there, I just don’t close the lid and that’s it. Thank you very much from me and the children!</v>
      </c>
    </row>
    <row r="10737" spans="1:9" x14ac:dyDescent="0.3">
      <c r="A10737" s="1" t="s">
        <v>43</v>
      </c>
      <c r="B10737" s="1" t="s">
        <v>502</v>
      </c>
      <c r="C10737" s="1" t="s">
        <v>151</v>
      </c>
      <c r="D10737" s="1" t="s">
        <v>411</v>
      </c>
      <c r="E10737" s="1" t="s">
        <v>994</v>
      </c>
      <c r="F10737" s="1" t="s">
        <v>15509</v>
      </c>
      <c r="G10737" s="1" t="s">
        <v>36</v>
      </c>
      <c r="H10737" s="1" t="s">
        <v>29</v>
      </c>
      <c r="I10737" s="1" t="str">
        <f ca="1">IFERROR(__xludf.DUMMYFUNCTION("GOOGLETRANSLATE(F10737, ""auto"", ""en"")
"),"Decent air conditioner! Cools quickly (room 16 sq/m). Low noise level. Excellent price/quality ratio.")</f>
        <v>Decent air conditioner! Cools quickly (room 16 sq/m). Low noise level. Excellent price/quality ratio.</v>
      </c>
    </row>
    <row r="10738" spans="1:9" x14ac:dyDescent="0.3">
      <c r="A10738" s="1" t="s">
        <v>30</v>
      </c>
      <c r="B10738" s="1" t="s">
        <v>50</v>
      </c>
      <c r="C10738" s="1" t="s">
        <v>1003</v>
      </c>
      <c r="D10738" s="1" t="s">
        <v>2130</v>
      </c>
      <c r="E10738" s="1" t="s">
        <v>1319</v>
      </c>
      <c r="F10738" s="1" t="s">
        <v>15510</v>
      </c>
      <c r="G10738" s="1" t="s">
        <v>36</v>
      </c>
      <c r="H10738" s="1" t="s">
        <v>29</v>
      </c>
      <c r="I10738" s="1" t="str">
        <f ca="1">IFERROR(__xludf.DUMMYFUNCTION("GOOGLETRANSLATE(F10738, ""auto"", ""en"")
"),"bought it a few days ago. No complaints. The only advantages are the most important thing: the games all work and the beech is not cut down. Moreover, it differs from all the others in color, which is also a plus. In short, the laptop is super.")</f>
        <v>bought it a few days ago. No complaints. The only advantages are the most important thing: the games all work and the beech is not cut down. Moreover, it differs from all the others in color, which is also a plus. In short, the laptop is super.</v>
      </c>
    </row>
    <row r="10739" spans="1:9" x14ac:dyDescent="0.3">
      <c r="A10739" s="1" t="s">
        <v>211</v>
      </c>
      <c r="B10739" s="1" t="s">
        <v>265</v>
      </c>
      <c r="C10739" s="1" t="s">
        <v>381</v>
      </c>
      <c r="D10739" s="1" t="s">
        <v>114</v>
      </c>
      <c r="E10739" s="1" t="s">
        <v>3472</v>
      </c>
      <c r="F10739" s="1" t="s">
        <v>15511</v>
      </c>
      <c r="G10739" s="1" t="s">
        <v>36</v>
      </c>
      <c r="H10739" s="1" t="s">
        <v>29</v>
      </c>
      <c r="I10739" s="1" t="str">
        <f ca="1">IFERROR(__xludf.DUMMYFUNCTION("GOOGLETRANSLATE(F10739, ""auto"", ""en"")
"),"I’ve been using the machine for 2 years, with a 6mm nozzle, I don’t see any problems, it doesn’t pull my hair, it cuts right away and not the second time, I haven’t sharpened anything, haven’t lubricated anything, I’ve never had it repaired before, althou"&amp;"gh it happens that it works in high humidity when there’s steam in the bathroom")</f>
        <v>I’ve been using the machine for 2 years, with a 6mm nozzle, I don’t see any problems, it doesn’t pull my hair, it cuts right away and not the second time, I haven’t sharpened anything, haven’t lubricated anything, I’ve never had it repaired before, although it happens that it works in high humidity when there’s steam in the bathroom</v>
      </c>
    </row>
    <row r="10740" spans="1:9" x14ac:dyDescent="0.3">
      <c r="A10740" s="1" t="s">
        <v>30</v>
      </c>
      <c r="B10740" s="1" t="s">
        <v>31</v>
      </c>
      <c r="C10740" s="1" t="s">
        <v>5122</v>
      </c>
      <c r="D10740" s="1" t="s">
        <v>305</v>
      </c>
      <c r="E10740" s="1" t="s">
        <v>824</v>
      </c>
      <c r="F10740" s="1" t="s">
        <v>15512</v>
      </c>
      <c r="G10740" s="1" t="s">
        <v>36</v>
      </c>
      <c r="H10740" s="1" t="s">
        <v>29</v>
      </c>
      <c r="I10740" s="1" t="str">
        <f ca="1">IFERROR(__xludf.DUMMYFUNCTION("GOOGLETRANSLATE(F10740, ""auto"", ""en"")
"),"Pros: new I5 processor, 6 GB RAM, 1 TB hard drive, good video card (game performance 7.0 out of 7.9)!     Windows 7 Home Premium (most give only the basic version) In terms of price/quality ratio, it is very good.    Disadvantage: Quite noisy")</f>
        <v>Pros: new I5 processor, 6 GB RAM, 1 TB hard drive, good video card (game performance 7.0 out of 7.9)!     Windows 7 Home Premium (most give only the basic version) In terms of price/quality ratio, it is very good.    Disadvantage: Quite noisy</v>
      </c>
    </row>
    <row r="10741" spans="1:9" x14ac:dyDescent="0.3">
      <c r="A10741" s="1" t="s">
        <v>369</v>
      </c>
      <c r="B10741" s="1" t="s">
        <v>587</v>
      </c>
      <c r="C10741" s="1" t="s">
        <v>290</v>
      </c>
      <c r="D10741" s="1" t="s">
        <v>232</v>
      </c>
      <c r="E10741" s="1" t="s">
        <v>886</v>
      </c>
      <c r="F10741" s="1" t="s">
        <v>15513</v>
      </c>
      <c r="G10741" s="1" t="s">
        <v>36</v>
      </c>
      <c r="H10741" s="1" t="s">
        <v>29</v>
      </c>
      <c r="I10741" s="1" t="str">
        <f ca="1">IFERROR(__xludf.DUMMYFUNCTION("GOOGLETRANSLATE(F10741, ""auto"", ""en"")
"),"The stove is better than any praise, it has everything that a stove can have! True, due to the complexity and a large number of bells and whistles, after a year the electronic sensor was damaged (this is its only weak point) - but still, under the factory"&amp;" warranty, it was replaced in 2 weeks!")</f>
        <v>The stove is better than any praise, it has everything that a stove can have! True, due to the complexity and a large number of bells and whistles, after a year the electronic sensor was damaged (this is its only weak point) - but still, under the factory warranty, it was replaced in 2 weeks!</v>
      </c>
    </row>
    <row r="10742" spans="1:9" x14ac:dyDescent="0.3">
      <c r="A10742" s="1" t="s">
        <v>30</v>
      </c>
      <c r="B10742" s="1" t="s">
        <v>31</v>
      </c>
      <c r="C10742" s="1" t="s">
        <v>32</v>
      </c>
      <c r="D10742" s="1" t="s">
        <v>152</v>
      </c>
      <c r="E10742" s="1" t="s">
        <v>11349</v>
      </c>
      <c r="F10742" s="1" t="s">
        <v>15514</v>
      </c>
      <c r="G10742" s="1" t="s">
        <v>36</v>
      </c>
      <c r="H10742" s="1" t="s">
        <v>29</v>
      </c>
      <c r="I10742" s="1" t="str">
        <f ca="1">IFERROR(__xludf.DUMMYFUNCTION("GOOGLETRANSLATE(F10742, ""auto"", ""en"")
"),"Not a bad unit at all. Reasonable price.  Tested on 3D Mark 2006, scored 8200 points.")</f>
        <v>Not a bad unit at all. Reasonable price.  Tested on 3D Mark 2006, scored 8200 points.</v>
      </c>
    </row>
    <row r="10743" spans="1:9" x14ac:dyDescent="0.3">
      <c r="A10743" s="1" t="s">
        <v>361</v>
      </c>
      <c r="B10743" s="1" t="s">
        <v>462</v>
      </c>
      <c r="C10743" s="1" t="s">
        <v>463</v>
      </c>
      <c r="D10743" s="1" t="s">
        <v>15515</v>
      </c>
      <c r="E10743" s="1" t="s">
        <v>92</v>
      </c>
      <c r="F10743" s="1" t="s">
        <v>15516</v>
      </c>
      <c r="G10743" s="1" t="s">
        <v>36</v>
      </c>
      <c r="H10743" s="1" t="s">
        <v>29</v>
      </c>
      <c r="I10743" s="1" t="str">
        <f ca="1">IFERROR(__xludf.DUMMYFUNCTION("GOOGLETRANSLATE(F10743, ""auto"", ""en"")
"),"mobility")</f>
        <v>mobility</v>
      </c>
    </row>
    <row r="10744" spans="1:9" x14ac:dyDescent="0.3">
      <c r="A10744" s="1" t="s">
        <v>61</v>
      </c>
      <c r="B10744" s="1" t="s">
        <v>224</v>
      </c>
      <c r="C10744" s="1" t="s">
        <v>85</v>
      </c>
      <c r="D10744" s="1" t="s">
        <v>305</v>
      </c>
      <c r="E10744" s="1" t="s">
        <v>15517</v>
      </c>
      <c r="F10744" s="1" t="s">
        <v>15518</v>
      </c>
      <c r="G10744" s="1" t="s">
        <v>36</v>
      </c>
      <c r="H10744" s="1" t="s">
        <v>29</v>
      </c>
      <c r="I10744" s="1" t="str">
        <f ca="1">IFERROR(__xludf.DUMMYFUNCTION("GOOGLETRANSLATE(F10744, ""auto"", ""en"")
"),"We are happy with the juicer, we have been using it for a year now, it squeezes out both soft and hard products, and is easy to clean. I recommend it.")</f>
        <v>We are happy with the juicer, we have been using it for a year now, it squeezes out both soft and hard products, and is easy to clean. I recommend it.</v>
      </c>
    </row>
    <row r="10745" spans="1:9" x14ac:dyDescent="0.3">
      <c r="A10745" s="1" t="s">
        <v>61</v>
      </c>
      <c r="B10745" s="1" t="s">
        <v>318</v>
      </c>
      <c r="C10745" s="1" t="s">
        <v>101</v>
      </c>
      <c r="D10745" s="1" t="s">
        <v>52</v>
      </c>
      <c r="E10745" s="1" t="s">
        <v>2557</v>
      </c>
      <c r="F10745" s="1" t="s">
        <v>15519</v>
      </c>
      <c r="G10745" s="1" t="s">
        <v>15</v>
      </c>
      <c r="H10745" s="1" t="s">
        <v>16</v>
      </c>
      <c r="I10745" s="1" t="str">
        <f ca="1">IFERROR(__xludf.DUMMYFUNCTION("GOOGLETRANSLATE(F10745, ""auto"", ""en"")
"),"The Scarett thermopot is good for everyone, but... Manufacturer: China. It broke exactly a year later when the warranty expired. No one will take it for repairs. You'll have to buy a new one.")</f>
        <v>The Scarett thermopot is good for everyone, but... Manufacturer: China. It broke exactly a year later when the warranty expired. No one will take it for repairs. You'll have to buy a new one.</v>
      </c>
    </row>
    <row r="10746" spans="1:9" x14ac:dyDescent="0.3">
      <c r="A10746" s="1" t="s">
        <v>17</v>
      </c>
      <c r="B10746" s="1" t="s">
        <v>18</v>
      </c>
      <c r="C10746" s="1" t="s">
        <v>151</v>
      </c>
      <c r="D10746" s="1" t="s">
        <v>247</v>
      </c>
      <c r="E10746" s="1" t="s">
        <v>1452</v>
      </c>
      <c r="F10746" s="1" t="s">
        <v>15520</v>
      </c>
      <c r="G10746" s="1" t="s">
        <v>36</v>
      </c>
      <c r="H10746" s="1" t="s">
        <v>29</v>
      </c>
      <c r="I10746" s="1" t="str">
        <f ca="1">IFERROR(__xludf.DUMMYFUNCTION("GOOGLETRANSLATE(F10746, ""auto"", ""en"")
"),"To begin with, I would like to clarify that I am expressing my opinion not specifically about this model, but about a “close relative” of this one. My machine can be said to be exactly the same, only there is no easy ironing, but it’s a copy!  The machine"&amp;" is wonderful! It’s been working for us for the 3rd year now and we can’t get enough of it!!! It washes wonderfully (100 times better than some machines from equally famous manufacturers)! As Dan said, sometimes things are collected in the duvet cover, bu"&amp;"t this happens rarely and does not in any way affect the quality of the wash! By the way, even things bunched up in the duvet cover do not in the least prevent this machine from spinning things out! Moreover, the quality of the spin cycle is not affected "&amp;"at all by this got worse!!!  I recommend it to everyone! Take it, you won't regret it!!!")</f>
        <v>To begin with, I would like to clarify that I am expressing my opinion not specifically about this model, but about a “close relative” of this one. My machine can be said to be exactly the same, only there is no easy ironing, but it’s a copy!  The machine is wonderful! It’s been working for us for the 3rd year now and we can’t get enough of it!!! It washes wonderfully (100 times better than some machines from equally famous manufacturers)! As Dan said, sometimes things are collected in the duvet cover, but this happens rarely and does not in any way affect the quality of the wash! By the way, even things bunched up in the duvet cover do not in the least prevent this machine from spinning things out! Moreover, the quality of the spin cycle is not affected at all by this got worse!!!  I recommend it to everyone! Take it, you won't regret it!!!</v>
      </c>
    </row>
    <row r="10747" spans="1:9" x14ac:dyDescent="0.3">
      <c r="A10747" s="1" t="s">
        <v>61</v>
      </c>
      <c r="B10747" s="1" t="s">
        <v>318</v>
      </c>
      <c r="C10747" s="1" t="s">
        <v>246</v>
      </c>
      <c r="D10747" s="1" t="s">
        <v>171</v>
      </c>
      <c r="E10747" s="1" t="s">
        <v>1139</v>
      </c>
      <c r="F10747" s="1" t="s">
        <v>15521</v>
      </c>
      <c r="G10747" s="1" t="s">
        <v>36</v>
      </c>
      <c r="H10747" s="1" t="s">
        <v>29</v>
      </c>
      <c r="I10747" s="1" t="str">
        <f ca="1">IFERROR(__xludf.DUMMYFUNCTION("GOOGLETRANSLATE(F10747, ""auto"", ""en"")
"),"We've been using it for 5 years now, no problems)")</f>
        <v>We've been using it for 5 years now, no problems)</v>
      </c>
    </row>
    <row r="10748" spans="1:9" x14ac:dyDescent="0.3">
      <c r="A10748" s="1" t="s">
        <v>624</v>
      </c>
      <c r="B10748" s="1" t="s">
        <v>625</v>
      </c>
      <c r="C10748" s="1" t="s">
        <v>479</v>
      </c>
      <c r="D10748" s="1" t="s">
        <v>2873</v>
      </c>
      <c r="E10748" s="1" t="s">
        <v>1871</v>
      </c>
      <c r="F10748" s="1" t="s">
        <v>15522</v>
      </c>
      <c r="G10748" s="1" t="s">
        <v>36</v>
      </c>
      <c r="H10748" s="1" t="s">
        <v>29</v>
      </c>
      <c r="I10748" s="1" t="str">
        <f ca="1">IFERROR(__xludf.DUMMYFUNCTION("GOOGLETRANSLATE(F10748, ""auto"", ""en"")
"),"Great racing. The graphics are great. If only it were in Russian and there would be no price!!!!")</f>
        <v>Great racing. The graphics are great. If only it were in Russian and there would be no price!!!!</v>
      </c>
    </row>
    <row r="10749" spans="1:9" x14ac:dyDescent="0.3">
      <c r="A10749" s="1" t="s">
        <v>61</v>
      </c>
      <c r="B10749" s="1" t="s">
        <v>318</v>
      </c>
      <c r="C10749" s="1" t="s">
        <v>57</v>
      </c>
      <c r="D10749" s="1" t="s">
        <v>7017</v>
      </c>
      <c r="E10749" s="1" t="s">
        <v>6554</v>
      </c>
      <c r="F10749" s="1" t="s">
        <v>15523</v>
      </c>
      <c r="G10749" s="1" t="s">
        <v>49</v>
      </c>
      <c r="H10749" s="1" t="s">
        <v>16</v>
      </c>
      <c r="I10749" s="1" t="str">
        <f ca="1">IFERROR(__xludf.DUMMYFUNCTION("GOOGLETRANSLATE(F10749, ""auto"", ""en"")
"),"After the New Year, this kettle was purchased, at first everything was fine. After the first week of use, the button lid stopped opening. You have to lift it to the end yourself, and this is not good. Most likely I got caught like this and it didn’t make "&amp;"me happy. We will exchange it for another one.")</f>
        <v>After the New Year, this kettle was purchased, at first everything was fine. After the first week of use, the button lid stopped opening. You have to lift it to the end yourself, and this is not good. Most likely I got caught like this and it didn’t make me happy. We will exchange it for another one.</v>
      </c>
    </row>
    <row r="10750" spans="1:9" x14ac:dyDescent="0.3">
      <c r="A10750" s="1" t="s">
        <v>61</v>
      </c>
      <c r="B10750" s="1" t="s">
        <v>977</v>
      </c>
      <c r="C10750" s="1" t="s">
        <v>213</v>
      </c>
      <c r="D10750" s="1" t="s">
        <v>474</v>
      </c>
      <c r="E10750" s="1" t="s">
        <v>1267</v>
      </c>
      <c r="F10750" s="1" t="s">
        <v>15524</v>
      </c>
      <c r="G10750" s="1" t="s">
        <v>36</v>
      </c>
      <c r="H10750" s="1" t="s">
        <v>29</v>
      </c>
      <c r="I10750" s="1" t="str">
        <f ca="1">IFERROR(__xludf.DUMMYFUNCTION("GOOGLETRANSLATE(F10750, ""auto"", ""en"")
"),"I bought it for my mom as a gift and then I wanted one myself. Works great for small tasks: chopping herbs or chopping onions. The long nozzle makes it easy to make cocktails. Easy to disassemble and clean - I recommend it.")</f>
        <v>I bought it for my mom as a gift and then I wanted one myself. Works great for small tasks: chopping herbs or chopping onions. The long nozzle makes it easy to make cocktails. Easy to disassemble and clean - I recommend it.</v>
      </c>
    </row>
    <row r="10751" spans="1:9" x14ac:dyDescent="0.3">
      <c r="A10751" s="1" t="s">
        <v>67</v>
      </c>
      <c r="B10751" s="1" t="s">
        <v>68</v>
      </c>
      <c r="C10751" s="1" t="s">
        <v>246</v>
      </c>
      <c r="D10751" s="1" t="s">
        <v>12</v>
      </c>
      <c r="E10751" s="1" t="s">
        <v>15525</v>
      </c>
      <c r="F10751" s="1" t="s">
        <v>15526</v>
      </c>
      <c r="G10751" s="1" t="s">
        <v>36</v>
      </c>
      <c r="H10751" s="1" t="s">
        <v>29</v>
      </c>
      <c r="I10751" s="1" t="str">
        <f ca="1">IFERROR(__xludf.DUMMYFUNCTION("GOOGLETRANSLATE(F10751, ""auto"", ""en"")
"),"I bought an iron with a steam generator last year in the spring, I’m delighted, ironing has become a pleasure. We have been purchasing household appliances at the Mvideo store since it opened, super service, attentive, unobtrusive salespeople. I'm going t"&amp;"o buy a refrigerator next week.")</f>
        <v>I bought an iron with a steam generator last year in the spring, I’m delighted, ironing has become a pleasure. We have been purchasing household appliances at the Mvideo store since it opened, super service, attentive, unobtrusive salespeople. I'm going to buy a refrigerator next week.</v>
      </c>
    </row>
    <row r="10752" spans="1:9" x14ac:dyDescent="0.3">
      <c r="A10752" s="1" t="s">
        <v>105</v>
      </c>
      <c r="B10752" s="1" t="s">
        <v>106</v>
      </c>
      <c r="C10752" s="1" t="s">
        <v>69</v>
      </c>
      <c r="D10752" s="1" t="s">
        <v>52</v>
      </c>
      <c r="E10752" s="1" t="s">
        <v>357</v>
      </c>
      <c r="F10752" s="1" t="s">
        <v>15527</v>
      </c>
      <c r="G10752" s="1" t="s">
        <v>28</v>
      </c>
      <c r="H10752" s="1" t="s">
        <v>29</v>
      </c>
      <c r="I10752" s="1" t="str">
        <f ca="1">IFERROR(__xludf.DUMMYFUNCTION("GOOGLETRANSLATE(F10752, ""auto"", ""en"")
"),"In the default settings, the bass is turned up almost to full! It was not possible to understand intuitively how to remove it. Now I have to scour the Internet for advice, but otherwise the player is not bad and is especially convenient for sports people.")</f>
        <v>In the default settings, the bass is turned up almost to full! It was not possible to understand intuitively how to remove it. Now I have to scour the Internet for advice, but otherwise the player is not bad and is especially convenient for sports people.</v>
      </c>
    </row>
    <row r="10753" spans="1:9" x14ac:dyDescent="0.3">
      <c r="A10753" s="1" t="s">
        <v>811</v>
      </c>
      <c r="B10753" s="1" t="s">
        <v>1294</v>
      </c>
      <c r="C10753" s="1" t="s">
        <v>1295</v>
      </c>
      <c r="D10753" s="1" t="s">
        <v>305</v>
      </c>
      <c r="E10753" s="1" t="s">
        <v>817</v>
      </c>
      <c r="F10753" s="1" t="s">
        <v>15528</v>
      </c>
      <c r="G10753" s="1" t="s">
        <v>49</v>
      </c>
      <c r="H10753" s="1" t="s">
        <v>16</v>
      </c>
      <c r="I10753" s="1" t="str">
        <f ca="1">IFERROR(__xludf.DUMMYFUNCTION("GOOGLETRANSLATE(F10753, ""auto"", ""en"")
"),"Lenspen is an amazing thing, I use it like this: I use a Lenspen brush to brush away debris from the lens, then use Zippo Premium Gasoline and cotton swabs to remove fingerprints, etc., then use a Lenspen pad to make it perfect. Only graphite dust remains"&amp;" on the lens, which does not affect shooting.")</f>
        <v>Lenspen is an amazing thing, I use it like this: I use a Lenspen brush to brush away debris from the lens, then use Zippo Premium Gasoline and cotton swabs to remove fingerprints, etc., then use a Lenspen pad to make it perfect. Only graphite dust remains on the lens, which does not affect shooting.</v>
      </c>
    </row>
    <row r="10754" spans="1:9" x14ac:dyDescent="0.3">
      <c r="A10754" s="1" t="s">
        <v>9</v>
      </c>
      <c r="B10754" s="1" t="s">
        <v>133</v>
      </c>
      <c r="C10754" s="1" t="s">
        <v>588</v>
      </c>
      <c r="D10754" s="1" t="s">
        <v>2944</v>
      </c>
      <c r="E10754" s="1" t="s">
        <v>9299</v>
      </c>
      <c r="F10754" s="1" t="s">
        <v>11041</v>
      </c>
      <c r="G10754" s="1" t="s">
        <v>15</v>
      </c>
      <c r="H10754" s="1" t="s">
        <v>16</v>
      </c>
      <c r="I10754" s="1" t="str">
        <f ca="1">IFERROR(__xludf.DUMMYFUNCTION("GOOGLETRANSLATE(F10754, ""auto"", ""en"")
"),"price")</f>
        <v>price</v>
      </c>
    </row>
    <row r="10755" spans="1:9" x14ac:dyDescent="0.3">
      <c r="A10755" s="1" t="s">
        <v>211</v>
      </c>
      <c r="B10755" s="1" t="s">
        <v>1818</v>
      </c>
      <c r="C10755" s="1" t="s">
        <v>213</v>
      </c>
      <c r="D10755" s="1" t="s">
        <v>295</v>
      </c>
      <c r="E10755" s="1" t="s">
        <v>1929</v>
      </c>
      <c r="F10755" s="1" t="s">
        <v>15529</v>
      </c>
      <c r="G10755" s="1" t="s">
        <v>49</v>
      </c>
      <c r="H10755" s="1" t="s">
        <v>16</v>
      </c>
      <c r="I10755" s="1" t="str">
        <f ca="1">IFERROR(__xludf.DUMMYFUNCTION("GOOGLETRANSLATE(F10755, ""auto"", ""en"")
"),"I bought it and didn’t notice any difference from a regular comb. I use it as a simple massage comb.")</f>
        <v>I bought it and didn’t notice any difference from a regular comb. I use it as a simple massage comb.</v>
      </c>
    </row>
    <row r="10756" spans="1:9" x14ac:dyDescent="0.3">
      <c r="A10756" s="1" t="s">
        <v>120</v>
      </c>
      <c r="B10756" s="1" t="s">
        <v>196</v>
      </c>
      <c r="C10756" s="1" t="s">
        <v>97</v>
      </c>
      <c r="D10756" s="1" t="s">
        <v>15530</v>
      </c>
      <c r="E10756" s="1" t="s">
        <v>1762</v>
      </c>
      <c r="F10756" s="1" t="s">
        <v>15531</v>
      </c>
      <c r="G10756" s="1" t="s">
        <v>36</v>
      </c>
      <c r="H10756" s="1" t="s">
        <v>29</v>
      </c>
      <c r="I10756" s="1" t="str">
        <f ca="1">IFERROR(__xludf.DUMMYFUNCTION("GOOGLETRANSLATE(F10756, ""auto"", ""en"")
"),"Red Maksud or someone else competent, please tell me: 1. Does this device play video from a flash drive???  2. How do you connect to the Internet?")</f>
        <v>Red Maksud or someone else competent, please tell me: 1. Does this device play video from a flash drive???  2. How do you connect to the Internet?</v>
      </c>
    </row>
    <row r="10757" spans="1:9" x14ac:dyDescent="0.3">
      <c r="A10757" s="1" t="s">
        <v>105</v>
      </c>
      <c r="B10757" s="1" t="s">
        <v>106</v>
      </c>
      <c r="C10757" s="1" t="s">
        <v>97</v>
      </c>
      <c r="D10757" s="1" t="s">
        <v>4412</v>
      </c>
      <c r="E10757" s="1" t="s">
        <v>631</v>
      </c>
      <c r="F10757" s="1" t="s">
        <v>15532</v>
      </c>
      <c r="G10757" s="1" t="s">
        <v>36</v>
      </c>
      <c r="H10757" s="1" t="s">
        <v>29</v>
      </c>
      <c r="I10757" s="1" t="str">
        <f ca="1">IFERROR(__xludf.DUMMYFUNCTION("GOOGLETRANSLATE(F10757, ""auto"", ""en"")
"),"I bought it just recently, I like the sound quality, and of course the awesome volume.")</f>
        <v>I bought it just recently, I like the sound quality, and of course the awesome volume.</v>
      </c>
    </row>
    <row r="10758" spans="1:9" x14ac:dyDescent="0.3">
      <c r="A10758" s="1" t="s">
        <v>95</v>
      </c>
      <c r="B10758" s="1" t="s">
        <v>227</v>
      </c>
      <c r="C10758" s="1" t="s">
        <v>97</v>
      </c>
      <c r="D10758" s="1" t="s">
        <v>1055</v>
      </c>
      <c r="E10758" s="1" t="s">
        <v>11654</v>
      </c>
      <c r="F10758" s="1" t="s">
        <v>15533</v>
      </c>
      <c r="G10758" s="1" t="s">
        <v>36</v>
      </c>
      <c r="H10758" s="1" t="s">
        <v>29</v>
      </c>
      <c r="I10758" s="1" t="str">
        <f ca="1">IFERROR(__xludf.DUMMYFUNCTION("GOOGLETRANSLATE(F10758, ""auto"", ""en"")
"),"I chose this particular package....I was not mistaken...superrrrr my men are very happy....I think this is the best gift...")</f>
        <v>I chose this particular package....I was not mistaken...superrrrr my men are very happy....I think this is the best gift...</v>
      </c>
    </row>
    <row r="10759" spans="1:9" x14ac:dyDescent="0.3">
      <c r="A10759" s="1" t="s">
        <v>30</v>
      </c>
      <c r="B10759" s="1" t="s">
        <v>31</v>
      </c>
      <c r="C10759" s="1" t="s">
        <v>32</v>
      </c>
      <c r="D10759" s="1" t="s">
        <v>1605</v>
      </c>
      <c r="E10759" s="1" t="s">
        <v>4445</v>
      </c>
      <c r="F10759" s="1" t="s">
        <v>15534</v>
      </c>
      <c r="G10759" s="1" t="s">
        <v>36</v>
      </c>
      <c r="H10759" s="1" t="s">
        <v>29</v>
      </c>
      <c r="I10759" s="1" t="str">
        <f ca="1">IFERROR(__xludf.DUMMYFUNCTION("GOOGLETRANSLATE(F10759, ""auto"", ""en"")
"),"The computer is just super!!!  Works great.  There are 6 usb 2.0 connectors on the back and 5 on the front!  There is also an adapter from a video card to a regular VGA.  Windows 7 64 bit.   Compact.  Powerful I really liked it!!!")</f>
        <v>The computer is just super!!!  Works great.  There are 6 usb 2.0 connectors on the back and 5 on the front!  There is also an adapter from a video card to a regular VGA.  Windows 7 64 bit.   Compact.  Powerful I really liked it!!!</v>
      </c>
    </row>
    <row r="10760" spans="1:9" x14ac:dyDescent="0.3">
      <c r="A10760" s="1" t="s">
        <v>30</v>
      </c>
      <c r="B10760" s="1" t="s">
        <v>50</v>
      </c>
      <c r="C10760" s="1" t="s">
        <v>51</v>
      </c>
      <c r="D10760" s="1" t="s">
        <v>208</v>
      </c>
      <c r="E10760" s="1" t="s">
        <v>2206</v>
      </c>
      <c r="F10760" s="1" t="s">
        <v>15535</v>
      </c>
      <c r="G10760" s="1" t="s">
        <v>28</v>
      </c>
      <c r="H10760" s="1" t="s">
        <v>29</v>
      </c>
      <c r="I10760" s="1" t="str">
        <f ca="1">IFERROR(__xludf.DUMMYFUNCTION("GOOGLETRANSLATE(F10760, ""auto"", ""en"")
"),"Roman, according to the specifications it should easily hold 1TB, but I didn’t take the risk and installed a second WD for 500GB, in total it seems to me that one terabyte is quite enough, unless of course you decide to upload the entire internet to your "&amp;"account! :-))")</f>
        <v>Roman, according to the specifications it should easily hold 1TB, but I didn’t take the risk and installed a second WD for 500GB, in total it seems to me that one terabyte is quite enough, unless of course you decide to upload the entire internet to your account! :-))</v>
      </c>
    </row>
    <row r="10761" spans="1:9" x14ac:dyDescent="0.3">
      <c r="A10761" s="1" t="s">
        <v>30</v>
      </c>
      <c r="B10761" s="1" t="s">
        <v>50</v>
      </c>
      <c r="C10761" s="1" t="s">
        <v>377</v>
      </c>
      <c r="D10761" s="1" t="s">
        <v>15536</v>
      </c>
      <c r="E10761" s="1" t="s">
        <v>1886</v>
      </c>
      <c r="F10761" s="1" t="s">
        <v>15537</v>
      </c>
      <c r="G10761" s="1" t="s">
        <v>49</v>
      </c>
      <c r="H10761" s="1" t="s">
        <v>16</v>
      </c>
      <c r="I10761" s="1" t="str">
        <f ca="1">IFERROR(__xludf.DUMMYFUNCTION("GOOGLETRANSLATE(F10761, ""auto"", ""en"")
"),"A nasty machine (to be honest, it's just a stupid hat).  You can’t install XP - the fan is screaming at full power and the sound of the microphone is barely audible - crooked wood. And nothing is provided for adjusting the fan, even in the BIOS.    This i"&amp;"s the first of about 100 laptops that did NOT work completely correctly for me under XP.    Oh, and I also forgot to say that 4 files for XP are posted on the offsite, including Wi-Fi manager. But why is it needed if there is not a single necessary driver"&amp;" for XP on the page.")</f>
        <v>A nasty machine (to be honest, it's just a stupid hat).  You can’t install XP - the fan is screaming at full power and the sound of the microphone is barely audible - crooked wood. And nothing is provided for adjusting the fan, even in the BIOS.    This is the first of about 100 laptops that did NOT work completely correctly for me under XP.    Oh, and I also forgot to say that 4 files for XP are posted on the offsite, including Wi-Fi manager. But why is it needed if there is not a single necessary driver for XP on the page.</v>
      </c>
    </row>
    <row r="10762" spans="1:9" x14ac:dyDescent="0.3">
      <c r="A10762" s="1" t="s">
        <v>451</v>
      </c>
      <c r="B10762" s="1" t="s">
        <v>452</v>
      </c>
      <c r="C10762" s="1" t="s">
        <v>453</v>
      </c>
      <c r="D10762" s="1" t="s">
        <v>545</v>
      </c>
      <c r="E10762" s="1" t="s">
        <v>1845</v>
      </c>
      <c r="F10762" s="1" t="s">
        <v>15538</v>
      </c>
      <c r="G10762" s="1" t="s">
        <v>36</v>
      </c>
      <c r="H10762" s="1" t="s">
        <v>29</v>
      </c>
      <c r="I10762" s="1" t="str">
        <f ca="1">IFERROR(__xludf.DUMMYFUNCTION("GOOGLETRANSLATE(F10762, ""auto"", ""en"")
"),"Easy to use, small and light. It cuts well and removes all pellets with light pressure.  The collection container is quite capacious, easy to remove and secures well.   I haven't noticed any cons yet.")</f>
        <v>Easy to use, small and light. It cuts well and removes all pellets with light pressure.  The collection container is quite capacious, easy to remove and secures well.   I haven't noticed any cons yet.</v>
      </c>
    </row>
    <row r="10763" spans="1:9" x14ac:dyDescent="0.3">
      <c r="A10763" s="1" t="s">
        <v>719</v>
      </c>
      <c r="B10763" s="1" t="s">
        <v>720</v>
      </c>
      <c r="C10763" s="1" t="s">
        <v>694</v>
      </c>
      <c r="D10763" s="1" t="s">
        <v>10308</v>
      </c>
      <c r="E10763" s="1" t="s">
        <v>3395</v>
      </c>
      <c r="F10763" s="1" t="s">
        <v>15539</v>
      </c>
      <c r="G10763" s="1" t="s">
        <v>15</v>
      </c>
      <c r="H10763" s="1" t="s">
        <v>16</v>
      </c>
      <c r="I10763" s="1" t="str">
        <f ca="1">IFERROR(__xludf.DUMMYFUNCTION("GOOGLETRANSLATE(F10763, ""auto"", ""en"")
"),"I couldn’t hold the tablet in my hands: it was too big for one hand, too small for two. Returned it back. No way.")</f>
        <v>I couldn’t hold the tablet in my hands: it was too big for one hand, too small for two. Returned it back. No way.</v>
      </c>
    </row>
    <row r="10764" spans="1:9" x14ac:dyDescent="0.3">
      <c r="A10764" s="1" t="s">
        <v>43</v>
      </c>
      <c r="B10764" s="1" t="s">
        <v>303</v>
      </c>
      <c r="C10764" s="1" t="s">
        <v>665</v>
      </c>
      <c r="D10764" s="1" t="s">
        <v>127</v>
      </c>
      <c r="E10764" s="1" t="s">
        <v>6854</v>
      </c>
      <c r="F10764" s="1" t="s">
        <v>15540</v>
      </c>
      <c r="G10764" s="1" t="s">
        <v>36</v>
      </c>
      <c r="H10764" s="1" t="s">
        <v>29</v>
      </c>
      <c r="I10764" s="1" t="str">
        <f ca="1">IFERROR(__xludf.DUMMYFUNCTION("GOOGLETRANSLATE(F10764, ""auto"", ""en"")
"),"We bought this unit yesterday. I was choosing between 50 liters and this since I can only hang it above the toilet, the fastening must be super reliable (especially if 110 kg (29.5 heater + 80 liters of water). But this is exactly the problem: the wall is"&amp;" load-bearing, but... 1 cm tiles + 1.5 cm tile adhesive + 2 cm plaster (very loose can be cleaned off with a fingernail) more The concrete block is very strong, but its problem is that it is hollow for thermal insulation, i.e. theoretically, if you don’t "&amp;"hit it in the edge, there will most likely be another 2 cm, then there will be an air cavity. But given that the standard 6.5 cm anchor will have to hang with the pinched end behind 2 cm of the brick, then the entire load will be on the tile. I bought two"&amp;" 15 cm anchors up on a regular plastic hook. dowel. I hung it firmly. I think it will withstand a triple load. Now about the good stuff. I decided not to use any hoses due to their unreliability. I decided to install all the connections with plastic water"&amp;" supply. It took ~1200 rubles for all the pipes/angles and taps. After all the connections, I shut off the hot water inlet from the system, and instead opened the tap from the heater outlet. I opened the cold water inlet tap and heard the pleasant sound o"&amp;"f the tank filling with water. When cold water poured out of the hot tap in the bathroom, I realized that the unit was full and shut it off. The thermometer needle first slowly crawled to the left and stopped almost at the beginning of the blue indicator."&amp;" Then she very slowly began her return journey. At first nothing flowed from the safety valve. I pulled back its lever to check its functionality. Water slowly filled the hose and ran further into the sewer. The time is already late, and the thermometer n"&amp;"eedle is creeping to the right extremely slowly. I periodically opened the hot tap to check the water temperature. It gradually warmed up, but then practically remained at room temperature. 1 hour 10 minutes after the start of heating, the thermometer pas"&amp;"sed the pink zone and came close to the red zone. And the water is still cool. But thinking about it, I left the hot tap open for a few seconds longer and a miracle happened! The water that had cooled in the pipe between the unit and the bathtub drained a"&amp;"nd very pleasant hot water flowed from the tap. My wife immediately ran to swim :) It’s very nice to wash yourself not from a basin 3 weeks before the official launch of hot water. At night, just in case, I turned off the electricity to the unit and turne"&amp;"d off all the water. PS. At the end of my shower, the water became a little colder (to maintain a comfortable temperature, I had to gradually change the balance of hot and cold water. But in fact, we can state that in 1.5 hours from the start of operation"&amp;" of the unit, 2 adults managed to wash themselves and the water still remained warm enough for swimming, although the thermometer dropped below the pink zone and invaded the blue zone by 1/4.")</f>
        <v>We bought this unit yesterday. I was choosing between 50 liters and this since I can only hang it above the toilet, the fastening must be super reliable (especially if 110 kg (29.5 heater + 80 liters of water). But this is exactly the problem: the wall is load-bearing, but... 1 cm tiles + 1.5 cm tile adhesive + 2 cm plaster (very loose can be cleaned off with a fingernail) more The concrete block is very strong, but its problem is that it is hollow for thermal insulation, i.e. theoretically, if you don’t hit it in the edge, there will most likely be another 2 cm, then there will be an air cavity. But given that the standard 6.5 cm anchor will have to hang with the pinched end behind 2 cm of the brick, then the entire load will be on the tile. I bought two 15 cm anchors up on a regular plastic hook. dowel. I hung it firmly. I think it will withstand a triple load. Now about the good stuff. I decided not to use any hoses due to their unreliability. I decided to install all the connections with plastic water supply. It took ~1200 rubles for all the pipes/angles and taps. After all the connections, I shut off the hot water inlet from the system, and instead opened the tap from the heater outlet. I opened the cold water inlet tap and heard the pleasant sound of the tank filling with water. When cold water poured out of the hot tap in the bathroom, I realized that the unit was full and shut it off. The thermometer needle first slowly crawled to the left and stopped almost at the beginning of the blue indicator. Then she very slowly began her return journey. At first nothing flowed from the safety valve. I pulled back its lever to check its functionality. Water slowly filled the hose and ran further into the sewer. The time is already late, and the thermometer needle is creeping to the right extremely slowly. I periodically opened the hot tap to check the water temperature. It gradually warmed up, but then practically remained at room temperature. 1 hour 10 minutes after the start of heating, the thermometer passed the pink zone and came close to the red zone. And the water is still cool. But thinking about it, I left the hot tap open for a few seconds longer and a miracle happened! The water that had cooled in the pipe between the unit and the bathtub drained and very pleasant hot water flowed from the tap. My wife immediately ran to swim :) It’s very nice to wash yourself not from a basin 3 weeks before the official launch of hot water. At night, just in case, I turned off the electricity to the unit and turned off all the water. PS. At the end of my shower, the water became a little colder (to maintain a comfortable temperature, I had to gradually change the balance of hot and cold water. But in fact, we can state that in 1.5 hours from the start of operation of the unit, 2 adults managed to wash themselves and the water still remained warm enough for swimming, although the thermometer dropped below the pink zone and invaded the blue zone by 1/4.</v>
      </c>
    </row>
    <row r="10765" spans="1:9" x14ac:dyDescent="0.3">
      <c r="A10765" s="1" t="s">
        <v>120</v>
      </c>
      <c r="B10765" s="1" t="s">
        <v>256</v>
      </c>
      <c r="C10765" s="1" t="s">
        <v>151</v>
      </c>
      <c r="D10765" s="1" t="s">
        <v>280</v>
      </c>
      <c r="E10765" s="1" t="s">
        <v>2310</v>
      </c>
      <c r="F10765" s="1" t="s">
        <v>15541</v>
      </c>
      <c r="G10765" s="1" t="s">
        <v>28</v>
      </c>
      <c r="H10765" s="1" t="s">
        <v>29</v>
      </c>
      <c r="I10765" s="1" t="str">
        <f ca="1">IFERROR(__xludf.DUMMYFUNCTION("GOOGLETRANSLATE(F10765, ""auto"", ""en"")
"),"In order.  Design (5) Sound (1) (due to the fact that the speakers are directed downwards, the sound comes from it is not clear where, in complete silence you can listen to it at 5 divisions. In my kitchen, if you turn on the faucet, you need to add up to"&amp;" 45 divisions in order to hear anything. An external sound source such as speakers is required, there is a headphone output. picture (4) when you turn on the dynamic mode (standard factory settings), the picture quality is excellent. Most channels show be"&amp;"tter than on a CRT, but this apparently due to signal processing by digital noise reduction. I was not able to achieve the quality of the picture manually. There are many options for changing the picture size, but no matter how you change 4 to 3, Teletext"&amp;" (5) was very pleased with the ability to simultaneously view and read teletext digitally and connect to a computer, but I intend to leave additional data for culinary equipment.")</f>
        <v>In order.  Design (5) Sound (1) (due to the fact that the speakers are directed downwards, the sound comes from it is not clear where, in complete silence you can listen to it at 5 divisions. In my kitchen, if you turn on the faucet, you need to add up to 45 divisions in order to hear anything. An external sound source such as speakers is required, there is a headphone output. picture (4) when you turn on the dynamic mode (standard factory settings), the picture quality is excellent. Most channels show better than on a CRT, but this apparently due to signal processing by digital noise reduction. I was not able to achieve the quality of the picture manually. There are many options for changing the picture size, but no matter how you change 4 to 3, Teletext (5) was very pleased with the ability to simultaneously view and read teletext digitally and connect to a computer, but I intend to leave additional data for culinary equipment.</v>
      </c>
    </row>
    <row r="10766" spans="1:9" x14ac:dyDescent="0.3">
      <c r="A10766" s="1" t="s">
        <v>30</v>
      </c>
      <c r="B10766" s="1" t="s">
        <v>50</v>
      </c>
      <c r="C10766" s="1" t="s">
        <v>32</v>
      </c>
      <c r="D10766" s="1" t="s">
        <v>15542</v>
      </c>
      <c r="E10766" s="1" t="s">
        <v>1063</v>
      </c>
      <c r="F10766" s="1" t="s">
        <v>15543</v>
      </c>
      <c r="G10766" s="1" t="s">
        <v>28</v>
      </c>
      <c r="H10766" s="1" t="s">
        <v>29</v>
      </c>
      <c r="I10766" s="1" t="str">
        <f ca="1">IFERROR(__xludf.DUMMYFUNCTION("GOOGLETRANSLATE(F10766, ""auto"", ""en"")
"),"I bought a beech six months ago. Finally, the awesome beech works for me for weeks at a time without turning it off, doesn’t complain about overheating, the Internet is constantly downloading something, I tested Rysis 1 games, I also played Gears of War. "&amp;"Finally it goes cool. GTA 4 of course slows down a lot, but this is not the main thing, in general the beech is very good in the right hands =)")</f>
        <v>I bought a beech six months ago. Finally, the awesome beech works for me for weeks at a time without turning it off, doesn’t complain about overheating, the Internet is constantly downloading something, I tested Rysis 1 games, I also played Gears of War. Finally it goes cool. GTA 4 of course slows down a lot, but this is not the main thing, in general the beech is very good in the right hands =)</v>
      </c>
    </row>
    <row r="10767" spans="1:9" x14ac:dyDescent="0.3">
      <c r="A10767" s="1" t="s">
        <v>55</v>
      </c>
      <c r="B10767" s="1" t="s">
        <v>752</v>
      </c>
      <c r="C10767" s="1" t="s">
        <v>57</v>
      </c>
      <c r="D10767" s="1" t="s">
        <v>232</v>
      </c>
      <c r="E10767" s="1" t="s">
        <v>814</v>
      </c>
      <c r="F10767" s="1" t="s">
        <v>15544</v>
      </c>
      <c r="G10767" s="1" t="s">
        <v>36</v>
      </c>
      <c r="H10767" s="1" t="s">
        <v>29</v>
      </c>
      <c r="I10767" s="1" t="str">
        <f ca="1">IFERROR(__xludf.DUMMYFUNCTION("GOOGLETRANSLATE(F10767, ""auto"", ""en"")
"),"A quality item, good design, for the period of waiting for the heat to turn on at this price - ideal!")</f>
        <v>A quality item, good design, for the period of waiting for the heat to turn on at this price - ideal!</v>
      </c>
    </row>
    <row r="10768" spans="1:9" x14ac:dyDescent="0.3">
      <c r="A10768" s="1" t="s">
        <v>67</v>
      </c>
      <c r="B10768" s="1" t="s">
        <v>68</v>
      </c>
      <c r="C10768" s="1" t="s">
        <v>246</v>
      </c>
      <c r="D10768" s="1" t="s">
        <v>909</v>
      </c>
      <c r="E10768" s="1" t="s">
        <v>15545</v>
      </c>
      <c r="F10768" s="1" t="s">
        <v>15546</v>
      </c>
      <c r="G10768" s="1" t="s">
        <v>36</v>
      </c>
      <c r="H10768" s="1" t="s">
        <v>29</v>
      </c>
      <c r="I10768" s="1" t="str">
        <f ca="1">IFERROR(__xludf.DUMMYFUNCTION("GOOGLETRANSLATE(F10768, ""auto"", ""en"")
"),"Everything is great, if only the wire was longer.")</f>
        <v>Everything is great, if only the wire was longer.</v>
      </c>
    </row>
    <row r="10769" spans="1:9" x14ac:dyDescent="0.3">
      <c r="A10769" s="1" t="s">
        <v>120</v>
      </c>
      <c r="B10769" s="1" t="s">
        <v>121</v>
      </c>
      <c r="C10769" s="1" t="s">
        <v>658</v>
      </c>
      <c r="D10769" s="1" t="s">
        <v>46</v>
      </c>
      <c r="E10769" s="1" t="s">
        <v>717</v>
      </c>
      <c r="F10769" s="1" t="s">
        <v>15547</v>
      </c>
      <c r="G10769" s="1" t="s">
        <v>36</v>
      </c>
      <c r="H10769" s="1" t="s">
        <v>29</v>
      </c>
      <c r="I10769" s="1" t="str">
        <f ca="1">IFERROR(__xludf.DUMMYFUNCTION("GOOGLETRANSLATE(F10769, ""auto"", ""en"")
"),"The TV, of course, is good, but as a girl, I still can’t figure out the inputs ((")</f>
        <v>The TV, of course, is good, but as a girl, I still can’t figure out the inputs ((</v>
      </c>
    </row>
    <row r="10770" spans="1:9" x14ac:dyDescent="0.3">
      <c r="A10770" s="1" t="s">
        <v>361</v>
      </c>
      <c r="B10770" s="1" t="s">
        <v>462</v>
      </c>
      <c r="C10770" s="1" t="s">
        <v>463</v>
      </c>
      <c r="D10770" s="1" t="s">
        <v>568</v>
      </c>
      <c r="E10770" s="1" t="s">
        <v>6941</v>
      </c>
      <c r="F10770" s="1" t="s">
        <v>1693</v>
      </c>
      <c r="G10770" s="1" t="s">
        <v>49</v>
      </c>
      <c r="H10770" s="1" t="s">
        <v>16</v>
      </c>
      <c r="I10770" s="1" t="str">
        <f ca="1">IFERROR(__xludf.DUMMYFUNCTION("GOOGLETRANSLATE(F10770, ""auto"", ""en"")
"),"Price")</f>
        <v>Price</v>
      </c>
    </row>
    <row r="10771" spans="1:9" x14ac:dyDescent="0.3">
      <c r="A10771" s="1" t="s">
        <v>719</v>
      </c>
      <c r="B10771" s="1" t="s">
        <v>720</v>
      </c>
      <c r="C10771" s="1" t="s">
        <v>694</v>
      </c>
      <c r="D10771" s="1" t="s">
        <v>247</v>
      </c>
      <c r="E10771" s="1" t="s">
        <v>2103</v>
      </c>
      <c r="F10771" s="1" t="s">
        <v>15548</v>
      </c>
      <c r="G10771" s="1" t="s">
        <v>1580</v>
      </c>
      <c r="H10771" s="1" t="s">
        <v>29</v>
      </c>
      <c r="I10771" s="1" t="str">
        <f ca="1">IFERROR(__xludf.DUMMYFUNCTION("GOOGLETRANSLATE(F10771, ""auto"", ""en"")
"),"I was looking for a tablet phone; in terms of size and price-quality ratio, it turned out to be an ideal option for me!   Excellent sound and audibility. Nice screen. The battery lasts a day (I don’t play games, but I’m active on the Internet, listen to m"&amp;"usic and read books).")</f>
        <v>I was looking for a tablet phone; in terms of size and price-quality ratio, it turned out to be an ideal option for me!   Excellent sound and audibility. Nice screen. The battery lasts a day (I don’t play games, but I’m active on the Internet, listen to music and read books).</v>
      </c>
    </row>
    <row r="10772" spans="1:9" x14ac:dyDescent="0.3">
      <c r="A10772" s="1" t="s">
        <v>624</v>
      </c>
      <c r="B10772" s="1" t="s">
        <v>625</v>
      </c>
      <c r="C10772" s="1" t="s">
        <v>479</v>
      </c>
      <c r="D10772" s="1" t="s">
        <v>5431</v>
      </c>
      <c r="E10772" s="1" t="s">
        <v>4424</v>
      </c>
      <c r="F10772" s="1" t="s">
        <v>15549</v>
      </c>
      <c r="G10772" s="1" t="s">
        <v>36</v>
      </c>
      <c r="H10772" s="1" t="s">
        <v>29</v>
      </c>
      <c r="I10772" s="1" t="str">
        <f ca="1">IFERROR(__xludf.DUMMYFUNCTION("GOOGLETRANSLATE(F10772, ""auto"", ""en"")
"),"The game is very cool! Fun to play. Preferably on a large full HD TV. You can have a party of up to 4 people - you will have a lot of fun. I recommend it to all positive people.")</f>
        <v>The game is very cool! Fun to play. Preferably on a large full HD TV. You can have a party of up to 4 people - you will have a lot of fun. I recommend it to all positive people.</v>
      </c>
    </row>
    <row r="10773" spans="1:9" x14ac:dyDescent="0.3">
      <c r="A10773" s="1" t="s">
        <v>149</v>
      </c>
      <c r="B10773" s="1" t="s">
        <v>150</v>
      </c>
      <c r="C10773" s="1" t="s">
        <v>57</v>
      </c>
      <c r="D10773" s="1" t="s">
        <v>39</v>
      </c>
      <c r="E10773" s="1" t="s">
        <v>9945</v>
      </c>
      <c r="F10773" s="1" t="s">
        <v>15550</v>
      </c>
      <c r="G10773" s="1" t="s">
        <v>49</v>
      </c>
      <c r="H10773" s="1" t="s">
        <v>16</v>
      </c>
      <c r="I10773" s="1" t="str">
        <f ca="1">IFERROR(__xludf.DUMMYFUNCTION("GOOGLETRANSLATE(F10773, ""auto"", ""en"")
"),"The vacuum cleaner is not bad, but the service from Vitek is simply disgusting! Six months after purchase, the hose cracked... it seems like a normal warranty case, but then it turns out that hoses are not covered by the manufacturer’s warranty. Moreover,"&amp;" you can’t even get it for money: only on order (I called all authorized service centers). There’s a whole song about Nera filters: no one has seen them on sale for a hundred years. In general, if someone needs equipment that, after a breakdown, is immedi"&amp;"ately thrown into the trash due to a lack of spare parts, feel free to take Vitek!")</f>
        <v>The vacuum cleaner is not bad, but the service from Vitek is simply disgusting! Six months after purchase, the hose cracked... it seems like a normal warranty case, but then it turns out that hoses are not covered by the manufacturer’s warranty. Moreover, you can’t even get it for money: only on order (I called all authorized service centers). There’s a whole song about Nera filters: no one has seen them on sale for a hundred years. In general, if someone needs equipment that, after a breakdown, is immediately thrown into the trash due to a lack of spare parts, feel free to take Vitek!</v>
      </c>
    </row>
    <row r="10774" spans="1:9" x14ac:dyDescent="0.3">
      <c r="A10774" s="1" t="s">
        <v>120</v>
      </c>
      <c r="B10774" s="1" t="s">
        <v>196</v>
      </c>
      <c r="C10774" s="1" t="s">
        <v>97</v>
      </c>
      <c r="D10774" s="1" t="s">
        <v>4902</v>
      </c>
      <c r="E10774" s="1" t="s">
        <v>1875</v>
      </c>
      <c r="F10774" s="1" t="s">
        <v>15551</v>
      </c>
      <c r="G10774" s="1" t="s">
        <v>28</v>
      </c>
      <c r="H10774" s="1" t="s">
        <v>29</v>
      </c>
      <c r="I10774" s="1" t="str">
        <f ca="1">IFERROR(__xludf.DUMMYFUNCTION("GOOGLETRANSLATE(F10774, ""auto"", ""en"")
"),"We spent a long time choosing a TV, when we arrived at the store it immediately stood out because it showed a high-quality screensaver, compared to other manufacturers. When we got home, to be honest, we were a little disappointed in the quality of the im"&amp;"age, we compared it with our old LG “32” cm TV, and it showed it more clearly than the Sony!!! They wanted to change it to another one and then they broke off!!!")</f>
        <v>We spent a long time choosing a TV, when we arrived at the store it immediately stood out because it showed a high-quality screensaver, compared to other manufacturers. When we got home, to be honest, we were a little disappointed in the quality of the image, we compared it with our old LG “32” cm TV, and it showed it more clearly than the Sony!!! They wanted to change it to another one and then they broke off!!!</v>
      </c>
    </row>
    <row r="10775" spans="1:9" x14ac:dyDescent="0.3">
      <c r="A10775" s="1" t="s">
        <v>43</v>
      </c>
      <c r="B10775" s="1" t="s">
        <v>334</v>
      </c>
      <c r="C10775" s="1" t="s">
        <v>101</v>
      </c>
      <c r="D10775" s="1" t="s">
        <v>39</v>
      </c>
      <c r="E10775" s="1" t="s">
        <v>661</v>
      </c>
      <c r="F10775" s="1" t="s">
        <v>15552</v>
      </c>
      <c r="G10775" s="1" t="s">
        <v>15</v>
      </c>
      <c r="H10775" s="1" t="s">
        <v>16</v>
      </c>
      <c r="I10775" s="1" t="str">
        <f ca="1">IFERROR(__xludf.DUMMYFUNCTION("GOOGLETRANSLATE(F10775, ""auto"", ""en"")
"),"Due to large gaps at the junction of the casing, the fan rattles at second speed. The tilt adjustment does not work - the fan returns to its original position. The second copy had a crooked stand; the rubber feet did not help: the fan still swayed. The bl"&amp;"ades were tapping during operation. As a result, I returned it the same day.   Don't waste your money on this junk!!!")</f>
        <v>Due to large gaps at the junction of the casing, the fan rattles at second speed. The tilt adjustment does not work - the fan returns to its original position. The second copy had a crooked stand; the rubber feet did not help: the fan still swayed. The blades were tapping during operation. As a result, I returned it the same day.   Don't waste your money on this junk!!!</v>
      </c>
    </row>
    <row r="10776" spans="1:9" x14ac:dyDescent="0.3">
      <c r="A10776" s="1" t="s">
        <v>61</v>
      </c>
      <c r="B10776" s="1" t="s">
        <v>224</v>
      </c>
      <c r="C10776" s="1" t="s">
        <v>74</v>
      </c>
      <c r="D10776" s="1" t="s">
        <v>52</v>
      </c>
      <c r="E10776" s="1" t="s">
        <v>3469</v>
      </c>
      <c r="F10776" s="1" t="s">
        <v>15553</v>
      </c>
      <c r="G10776" s="1" t="s">
        <v>36</v>
      </c>
      <c r="H10776" s="1" t="s">
        <v>29</v>
      </c>
      <c r="I10776" s="1" t="str">
        <f ca="1">IFERROR(__xludf.DUMMYFUNCTION("GOOGLETRANSLATE(F10776, ""auto"", ""en"")
"),"Excellent juicer, bought it today and tried it out right away. It squeezes out great, there’s a surprising amount of juice out of carrots, even more out of apples, but the pulp is still wet.")</f>
        <v>Excellent juicer, bought it today and tried it out right away. It squeezes out great, there’s a surprising amount of juice out of carrots, even more out of apples, but the pulp is still wet.</v>
      </c>
    </row>
    <row r="10777" spans="1:9" x14ac:dyDescent="0.3">
      <c r="A10777" s="1" t="s">
        <v>61</v>
      </c>
      <c r="B10777" s="1" t="s">
        <v>318</v>
      </c>
      <c r="C10777" s="1" t="s">
        <v>57</v>
      </c>
      <c r="D10777" s="1" t="s">
        <v>5918</v>
      </c>
      <c r="E10777" s="1" t="s">
        <v>1709</v>
      </c>
      <c r="F10777" s="1" t="s">
        <v>15554</v>
      </c>
      <c r="G10777" s="1" t="s">
        <v>36</v>
      </c>
      <c r="H10777" s="1" t="s">
        <v>29</v>
      </c>
      <c r="I10777" s="1" t="str">
        <f ca="1">IFERROR(__xludf.DUMMYFUNCTION("GOOGLETRANSLATE(F10777, ""auto"", ""en"")
"),"We have something similar at work, just for a large company. It heats up quickly, does not make noise and is not expensive.")</f>
        <v>We have something similar at work, just for a large company. It heats up quickly, does not make noise and is not expensive.</v>
      </c>
    </row>
    <row r="10778" spans="1:9" x14ac:dyDescent="0.3">
      <c r="A10778" s="1" t="s">
        <v>17</v>
      </c>
      <c r="B10778" s="1" t="s">
        <v>18</v>
      </c>
      <c r="C10778" s="1" t="s">
        <v>80</v>
      </c>
      <c r="D10778" s="1" t="s">
        <v>15555</v>
      </c>
      <c r="E10778" s="1" t="s">
        <v>7124</v>
      </c>
      <c r="F10778" s="1" t="s">
        <v>15556</v>
      </c>
      <c r="G10778" s="1" t="s">
        <v>36</v>
      </c>
      <c r="H10778" s="1" t="s">
        <v>29</v>
      </c>
      <c r="I10778" s="1" t="str">
        <f ca="1">IFERROR(__xludf.DUMMYFUNCTION("GOOGLETRANSLATE(F10778, ""auto"", ""en"")
"),"The car is great. It works quietly and washes well! In general, I liked it - everything was great!!!")</f>
        <v>The car is great. It works quietly and washes well! In general, I liked it - everything was great!!!</v>
      </c>
    </row>
    <row r="10779" spans="1:9" x14ac:dyDescent="0.3">
      <c r="A10779" s="1" t="s">
        <v>120</v>
      </c>
      <c r="B10779" s="1" t="s">
        <v>126</v>
      </c>
      <c r="C10779" s="1" t="s">
        <v>80</v>
      </c>
      <c r="D10779" s="1" t="s">
        <v>15557</v>
      </c>
      <c r="E10779" s="1" t="s">
        <v>6250</v>
      </c>
      <c r="F10779" s="1" t="s">
        <v>15558</v>
      </c>
      <c r="G10779" s="1" t="s">
        <v>36</v>
      </c>
      <c r="H10779" s="1" t="s">
        <v>29</v>
      </c>
      <c r="I10779" s="1" t="str">
        <f ca="1">IFERROR(__xludf.DUMMYFUNCTION("GOOGLETRANSLATE(F10779, ""auto"", ""en"")
"),"I liked the TV. The broadcast antenna points to 5. The rest is also good.")</f>
        <v>I liked the TV. The broadcast antenna points to 5. The rest is also good.</v>
      </c>
    </row>
    <row r="10780" spans="1:9" x14ac:dyDescent="0.3">
      <c r="A10780" s="1" t="s">
        <v>120</v>
      </c>
      <c r="B10780" s="1" t="s">
        <v>196</v>
      </c>
      <c r="C10780" s="1" t="s">
        <v>97</v>
      </c>
      <c r="D10780" s="1" t="s">
        <v>15559</v>
      </c>
      <c r="E10780" s="1" t="s">
        <v>2030</v>
      </c>
      <c r="F10780" s="1" t="s">
        <v>15560</v>
      </c>
      <c r="G10780" s="1" t="s">
        <v>28</v>
      </c>
      <c r="H10780" s="1" t="s">
        <v>29</v>
      </c>
      <c r="I10780" s="1" t="str">
        <f ca="1">IFERROR(__xludf.DUMMYFUNCTION("GOOGLETRANSLATE(F10780, ""auto"", ""en"")
"),"everything is fine, but 1080i doesn’t work for me, and that’s why I bought it. I will change!")</f>
        <v>everything is fine, but 1080i doesn’t work for me, and that’s why I bought it. I will change!</v>
      </c>
    </row>
    <row r="10781" spans="1:9" x14ac:dyDescent="0.3">
      <c r="A10781" s="1" t="s">
        <v>211</v>
      </c>
      <c r="B10781" s="1" t="s">
        <v>410</v>
      </c>
      <c r="C10781" s="1" t="s">
        <v>122</v>
      </c>
      <c r="D10781" s="1" t="s">
        <v>52</v>
      </c>
      <c r="E10781" s="1" t="s">
        <v>1649</v>
      </c>
      <c r="F10781" s="1" t="s">
        <v>15561</v>
      </c>
      <c r="G10781" s="1" t="s">
        <v>36</v>
      </c>
      <c r="H10781" s="1" t="s">
        <v>29</v>
      </c>
      <c r="I10781" s="1" t="str">
        <f ca="1">IFERROR(__xludf.DUMMYFUNCTION("GOOGLETRANSLATE(F10781, ""auto"", ""en"")
"),"An excellent razor, I recently purchased it myself (switched from machines to it) I don’t regret it :) It doesn’t irritate or damage the skin. It fits very comfortably in the hand. The noise is within reason. I can’t say anything about the trimer, because"&amp;" I don’t use it. You probably won’t find better for the price and quality, a solid 5!")</f>
        <v>An excellent razor, I recently purchased it myself (switched from machines to it) I don’t regret it :) It doesn’t irritate or damage the skin. It fits very comfortably in the hand. The noise is within reason. I can’t say anything about the trimer, because I don’t use it. You probably won’t find better for the price and quality, a solid 5!</v>
      </c>
    </row>
    <row r="10782" spans="1:9" x14ac:dyDescent="0.3">
      <c r="A10782" s="1" t="s">
        <v>477</v>
      </c>
      <c r="B10782" s="1" t="s">
        <v>478</v>
      </c>
      <c r="C10782" s="1" t="s">
        <v>479</v>
      </c>
      <c r="D10782" s="1" t="s">
        <v>232</v>
      </c>
      <c r="E10782" s="1" t="s">
        <v>1524</v>
      </c>
      <c r="F10782" s="1" t="s">
        <v>15562</v>
      </c>
      <c r="G10782" s="1" t="s">
        <v>36</v>
      </c>
      <c r="H10782" s="1" t="s">
        <v>29</v>
      </c>
      <c r="I10782" s="1" t="str">
        <f ca="1">IFERROR(__xludf.DUMMYFUNCTION("GOOGLETRANSLATE(F10782, ""auto"", ""en"")
"),"Well, they finally brought it to our city, the toy is super!")</f>
        <v>Well, they finally brought it to our city, the toy is super!</v>
      </c>
    </row>
    <row r="10783" spans="1:9" x14ac:dyDescent="0.3">
      <c r="A10783" s="1" t="s">
        <v>89</v>
      </c>
      <c r="B10783" s="1" t="s">
        <v>231</v>
      </c>
      <c r="C10783" s="1" t="s">
        <v>185</v>
      </c>
      <c r="D10783" s="1" t="s">
        <v>568</v>
      </c>
      <c r="E10783" s="1" t="s">
        <v>3560</v>
      </c>
      <c r="F10783" s="1" t="s">
        <v>15563</v>
      </c>
      <c r="G10783" s="1" t="s">
        <v>36</v>
      </c>
      <c r="H10783" s="1" t="s">
        <v>29</v>
      </c>
      <c r="I10783" s="1" t="str">
        <f ca="1">IFERROR(__xludf.DUMMYFUNCTION("GOOGLETRANSLATE(F10783, ""auto"", ""en"")
"),"Since I love coffee, I decided to buy myself a coffee machine, I came to the store and my eyes ran wide with the choice, in the end a consultant came up to me, I told me what I wanted from a coffee machine and of course at an affordable price, the guy exp"&amp;"lained all the pros and cons of different models and my choice immediately fell on this model, I bought it. Now I myself am beginning to understand all the charms of this machine, ease of use, a good set of functions, and most importantly a delicious drin"&amp;"k without much effort, in general the value and quality are completely justified, I recommend it to all coffee connoisseurs!!")</f>
        <v>Since I love coffee, I decided to buy myself a coffee machine, I came to the store and my eyes ran wide with the choice, in the end a consultant came up to me, I told me what I wanted from a coffee machine and of course at an affordable price, the guy explained all the pros and cons of different models and my choice immediately fell on this model, I bought it. Now I myself am beginning to understand all the charms of this machine, ease of use, a good set of functions, and most importantly a delicious drink without much effort, in general the value and quality are completely justified, I recommend it to all coffee connoisseurs!!</v>
      </c>
    </row>
    <row r="10784" spans="1:9" x14ac:dyDescent="0.3">
      <c r="A10784" s="1" t="s">
        <v>30</v>
      </c>
      <c r="B10784" s="1" t="s">
        <v>50</v>
      </c>
      <c r="C10784" s="1" t="s">
        <v>189</v>
      </c>
      <c r="D10784" s="1" t="s">
        <v>39</v>
      </c>
      <c r="E10784" s="1" t="s">
        <v>178</v>
      </c>
      <c r="F10784" s="1" t="s">
        <v>15564</v>
      </c>
      <c r="G10784" s="1" t="s">
        <v>36</v>
      </c>
      <c r="H10784" s="1" t="s">
        <v>29</v>
      </c>
      <c r="I10784" s="1" t="str">
        <f ca="1">IFERROR(__xludf.DUMMYFUNCTION("GOOGLETRANSLATE(F10784, ""auto"", ""en"")
"),"I was pleased with the laptop, stylish and fast. There is only 1 question: when the power supply is connected, the green charging indicator does not light up, only yellow. Is this a malfunction? (The instructions say that from 95 to 100% charge the green "&amp;"indicator turns on). Thanks in advance for your answer.")</f>
        <v>I was pleased with the laptop, stylish and fast. There is only 1 question: when the power supply is connected, the green charging indicator does not light up, only yellow. Is this a malfunction? (The instructions say that from 95 to 100% charge the green indicator turns on). Thanks in advance for your answer.</v>
      </c>
    </row>
    <row r="10785" spans="1:9" x14ac:dyDescent="0.3">
      <c r="A10785" s="1" t="s">
        <v>206</v>
      </c>
      <c r="B10785" s="1" t="s">
        <v>1349</v>
      </c>
      <c r="C10785" s="1" t="s">
        <v>262</v>
      </c>
      <c r="D10785" s="1" t="s">
        <v>39</v>
      </c>
      <c r="E10785" s="1" t="s">
        <v>832</v>
      </c>
      <c r="F10785" s="1" t="s">
        <v>15565</v>
      </c>
      <c r="G10785" s="1" t="s">
        <v>28</v>
      </c>
      <c r="H10785" s="1" t="s">
        <v>29</v>
      </c>
      <c r="I10785" s="1" t="str">
        <f ca="1">IFERROR(__xludf.DUMMYFUNCTION("GOOGLETRANSLATE(F10785, ""auto"", ""en"")
"),"I’ve been using it for less than a week and the impression is 50/50. On the one hand, everything is great, but what’s annoying is that when I take the panel home, all the settings are lost, maybe I’m doing something wrong, if anyone doesn’t have this prob"&amp;"lem, write me how to solve it, well, I really don’t like re-tuning the radio every day.  The microphone works well, I can hear myself and they can hear me :)")</f>
        <v>I’ve been using it for less than a week and the impression is 50/50. On the one hand, everything is great, but what’s annoying is that when I take the panel home, all the settings are lost, maybe I’m doing something wrong, if anyone doesn’t have this problem, write me how to solve it, well, I really don’t like re-tuning the radio every day.  The microphone works well, I can hear myself and they can hear me :)</v>
      </c>
    </row>
    <row r="10786" spans="1:9" x14ac:dyDescent="0.3">
      <c r="A10786" s="1" t="s">
        <v>211</v>
      </c>
      <c r="B10786" s="1" t="s">
        <v>265</v>
      </c>
      <c r="C10786" s="1" t="s">
        <v>266</v>
      </c>
      <c r="D10786" s="1" t="s">
        <v>811</v>
      </c>
      <c r="E10786" s="1" t="s">
        <v>7945</v>
      </c>
      <c r="F10786" s="1" t="s">
        <v>15566</v>
      </c>
      <c r="G10786" s="1" t="s">
        <v>15</v>
      </c>
      <c r="H10786" s="1" t="s">
        <v>16</v>
      </c>
      <c r="I10786" s="1" t="str">
        <f ca="1">IFERROR(__xludf.DUMMYFUNCTION("GOOGLETRANSLATE(F10786, ""auto"", ""en"")
"),"Definitely not a convenient thing. He doesn’t shave his beard, he doesn’t have enough power and sharpness of the knives, he mostly tears. 20 minutes to achieve at least some result. The instructions in Ukrainian say: “Trimer for nose and ears,” which is a"&amp;"pparently true.")</f>
        <v>Definitely not a convenient thing. He doesn’t shave his beard, he doesn’t have enough power and sharpness of the knives, he mostly tears. 20 minutes to achieve at least some result. The instructions in Ukrainian say: “Trimer for nose and ears,” which is apparently true.</v>
      </c>
    </row>
    <row r="10787" spans="1:9" x14ac:dyDescent="0.3">
      <c r="A10787" s="1" t="s">
        <v>206</v>
      </c>
      <c r="B10787" s="1" t="s">
        <v>207</v>
      </c>
      <c r="C10787" s="1" t="s">
        <v>152</v>
      </c>
      <c r="D10787" s="1" t="s">
        <v>171</v>
      </c>
      <c r="E10787" s="1" t="s">
        <v>5296</v>
      </c>
      <c r="F10787" s="1" t="s">
        <v>15567</v>
      </c>
      <c r="G10787" s="1" t="s">
        <v>36</v>
      </c>
      <c r="H10787" s="1" t="s">
        <v>29</v>
      </c>
      <c r="I10787" s="1" t="str">
        <f ca="1">IFERROR(__xludf.DUMMYFUNCTION("GOOGLETRANSLATE(F10787, ""auto"", ""en"")
"),"I was pleasantly surprised by the sound quality for such a price. The sound is clear, there is no metallic ringing. They play better than other companies within the amount of 1500 rubles. Easily complements the scene in the sound design of your car.")</f>
        <v>I was pleasantly surprised by the sound quality for such a price. The sound is clear, there is no metallic ringing. They play better than other companies within the amount of 1500 rubles. Easily complements the scene in the sound design of your car.</v>
      </c>
    </row>
    <row r="10788" spans="1:9" x14ac:dyDescent="0.3">
      <c r="A10788" s="1" t="s">
        <v>37</v>
      </c>
      <c r="B10788" s="1" t="s">
        <v>536</v>
      </c>
      <c r="C10788" s="1" t="s">
        <v>32</v>
      </c>
      <c r="D10788" s="1" t="s">
        <v>305</v>
      </c>
      <c r="E10788" s="1" t="s">
        <v>1139</v>
      </c>
      <c r="F10788" s="1" t="s">
        <v>15568</v>
      </c>
      <c r="G10788" s="1" t="s">
        <v>28</v>
      </c>
      <c r="H10788" s="1" t="s">
        <v>29</v>
      </c>
      <c r="I10788" s="1" t="str">
        <f ca="1">IFERROR(__xludf.DUMMYFUNCTION("GOOGLETRANSLATE(F10788, ""auto"", ""en"")
"),"PROS: 1 - excellent processor (doesn't run - everything flies) 2 - screen size and resolution - super (very convenient when using GPS, watching videos) 3 - high-quality assembly 4 - beautiful 5 - price-functionality-quality ratio = 5 points MINUSES: 1 - v"&amp;"ery weak sound from the speaker (in the case on the belt you can't hear it at all) 2 - very easily soiled (fingers remain and are visible very clearly) 3 - the battery charge lasts for a day, with active use for day 4 - there is a problem with a weak Navi"&amp;"tel GPS signal")</f>
        <v>PROS: 1 - excellent processor (doesn't run - everything flies) 2 - screen size and resolution - super (very convenient when using GPS, watching videos) 3 - high-quality assembly 4 - beautiful 5 - price-functionality-quality ratio = 5 points MINUSES: 1 - very weak sound from the speaker (in the case on the belt you can't hear it at all) 2 - very easily soiled (fingers remain and are visible very clearly) 3 - the battery charge lasts for a day, with active use for day 4 - there is a problem with a weak Navitel GPS signal</v>
      </c>
    </row>
    <row r="10789" spans="1:9" x14ac:dyDescent="0.3">
      <c r="A10789" s="1" t="s">
        <v>9</v>
      </c>
      <c r="B10789" s="1" t="s">
        <v>23</v>
      </c>
      <c r="C10789" s="1" t="s">
        <v>151</v>
      </c>
      <c r="D10789" s="1" t="s">
        <v>280</v>
      </c>
      <c r="E10789" s="1" t="s">
        <v>4919</v>
      </c>
      <c r="F10789" s="1" t="s">
        <v>15569</v>
      </c>
      <c r="G10789" s="1" t="s">
        <v>36</v>
      </c>
      <c r="H10789" s="1" t="s">
        <v>29</v>
      </c>
      <c r="I10789" s="1" t="str">
        <f ca="1">IFERROR(__xludf.DUMMYFUNCTION("GOOGLETRANSLATE(F10789, ""auto"", ""en"")
"),"I purchased this dishwasher 7 months ago.  Cleans magically... Dries wonderfully... I really liked everything... And for a reasonable price.")</f>
        <v>I purchased this dishwasher 7 months ago.  Cleans magically... Dries wonderfully... I really liked everything... And for a reasonable price.</v>
      </c>
    </row>
    <row r="10790" spans="1:9" x14ac:dyDescent="0.3">
      <c r="A10790" s="1" t="s">
        <v>9</v>
      </c>
      <c r="B10790" s="1" t="s">
        <v>137</v>
      </c>
      <c r="C10790" s="1" t="s">
        <v>63</v>
      </c>
      <c r="D10790" s="1" t="s">
        <v>335</v>
      </c>
      <c r="E10790" s="1" t="s">
        <v>3787</v>
      </c>
      <c r="F10790" s="1" t="s">
        <v>15570</v>
      </c>
      <c r="G10790" s="1" t="s">
        <v>28</v>
      </c>
      <c r="H10790" s="1" t="s">
        <v>29</v>
      </c>
      <c r="I10790" s="1" t="str">
        <f ca="1">IFERROR(__xludf.DUMMYFUNCTION("GOOGLETRANSLATE(F10790, ""auto"", ""en"")
"),"This is the second year we've had it, it works perfectly according to its direct function (auto-ignition, gas control, child protection), the handles are conveniently located. It is quite easy to clean, although stains remain from absolutely everything, b"&amp;"ut this applies to all steel equipment.   I really didn’t like the rust on the edges of the panel and on the countertop, which appeared after wet cleaning (although everything was wiped with a towel), it seems to be stainless steel and it shouldn’t exist.")</f>
        <v>This is the second year we've had it, it works perfectly according to its direct function (auto-ignition, gas control, child protection), the handles are conveniently located. It is quite easy to clean, although stains remain from absolutely everything, but this applies to all steel equipment.   I really didn’t like the rust on the edges of the panel and on the countertop, which appeared after wet cleaning (although everything was wiped with a towel), it seems to be stainless steel and it shouldn’t exist.</v>
      </c>
    </row>
    <row r="10791" spans="1:9" x14ac:dyDescent="0.3">
      <c r="A10791" s="1" t="s">
        <v>211</v>
      </c>
      <c r="B10791" s="1" t="s">
        <v>410</v>
      </c>
      <c r="C10791" s="1" t="s">
        <v>213</v>
      </c>
      <c r="D10791" s="1" t="s">
        <v>139</v>
      </c>
      <c r="E10791" s="1" t="s">
        <v>529</v>
      </c>
      <c r="F10791" s="1" t="s">
        <v>15571</v>
      </c>
      <c r="G10791" s="1" t="s">
        <v>36</v>
      </c>
      <c r="H10791" s="1" t="s">
        <v>29</v>
      </c>
      <c r="I10791" s="1" t="str">
        <f ca="1">IFERROR(__xludf.DUMMYFUNCTION("GOOGLETRANSLATE(F10791, ""auto"", ""en"")
"),"I bought it today and tried it out immediately. The razor is great, there is no irritation left after shaving. Before this I had a rotary razor, after every shave there was terrible irritation, the shave was bad, it was just some kind of torture. Overall,"&amp;" I’m very pleased with the purchase of the new razor)")</f>
        <v>I bought it today and tried it out immediately. The razor is great, there is no irritation left after shaving. Before this I had a rotary razor, after every shave there was terrible irritation, the shave was bad, it was just some kind of torture. Overall, I’m very pleased with the purchase of the new razor)</v>
      </c>
    </row>
    <row r="10792" spans="1:9" x14ac:dyDescent="0.3">
      <c r="A10792" s="1" t="s">
        <v>149</v>
      </c>
      <c r="B10792" s="1" t="s">
        <v>155</v>
      </c>
      <c r="C10792" s="1" t="s">
        <v>151</v>
      </c>
      <c r="D10792" s="1" t="s">
        <v>3067</v>
      </c>
      <c r="E10792" s="1" t="s">
        <v>808</v>
      </c>
      <c r="F10792" s="1" t="s">
        <v>15572</v>
      </c>
      <c r="G10792" s="1" t="s">
        <v>36</v>
      </c>
      <c r="H10792" s="1" t="s">
        <v>29</v>
      </c>
      <c r="I10792" s="1" t="str">
        <f ca="1">IFERROR(__xludf.DUMMYFUNCTION("GOOGLETRANSLATE(F10792, ""auto"", ""en"")
"),"EXCEEDED ALL EXPECTATIONS, LOVE IT!!!!!!")</f>
        <v>EXCEEDED ALL EXPECTATIONS, LOVE IT!!!!!!</v>
      </c>
    </row>
    <row r="10793" spans="1:9" x14ac:dyDescent="0.3">
      <c r="A10793" s="1" t="s">
        <v>373</v>
      </c>
      <c r="B10793" s="1" t="s">
        <v>374</v>
      </c>
      <c r="C10793" s="1" t="s">
        <v>134</v>
      </c>
      <c r="D10793" s="1" t="s">
        <v>203</v>
      </c>
      <c r="E10793" s="1" t="s">
        <v>1654</v>
      </c>
      <c r="F10793" s="1" t="s">
        <v>15573</v>
      </c>
      <c r="G10793" s="1" t="s">
        <v>36</v>
      </c>
      <c r="H10793" s="1" t="s">
        <v>29</v>
      </c>
      <c r="I10793" s="1" t="str">
        <f ca="1">IFERROR(__xludf.DUMMYFUNCTION("GOOGLETRANSLATE(F10793, ""auto"", ""en"")
"),"We have been using it for 3 months. Assembly - Germany. Warranty - 4 years. A wonderful machine. It works very quietly, you can’t hear it at all (according to the passport, the volume is 49 dB). It is, for example, 2 times quieter than a Bosch washing mac"&amp;"hine, the volume of which is 54 dB and which is also inaudible when the door is closed. Cleans super well. We had one cup with a small rib inside, and so, even soda did not take on the dark coating on this rib (I wonder why, but it’s true), now it’s like "&amp;"it came from a store - it’s all shining. And in general - all the dishes look like they came from a store - you simply cannot recognize them. Many months of carbon deposits are gradually washed off from the bottom of the pans! Every day there is less and "&amp;"less of it. Wash perfectly at 70° - the most powerful program. Cleans everything! (It doesn’t always wash off plaque on cups the first time - but this is the case with all dishwashers - only after the 2-3rd wash does it disappear completely) Duration, how"&amp;"ever, is 2 hours (plus or minus a couple of minutes). The Auto 55-65° program has excellent results, but it is a little longer -120-140 minutes. The 30-minute program at 45° also cleans surprisingly cleanly. And the dishes after it are unexpectedly quite "&amp;"dry. The duration of the program is actually even shorter - 27-28 minutes. There is also a delicate washing program at 50° - but it is a bit long: 140 minutes and is intended mainly for glass. There is also a 20 minute rinse program - never used it. The m"&amp;"achine itself varies the time depending on the degree of soiling of the dishes. It is very convenient that there is a display that shows how much time is left until the end of the wash. I liked the presence of the 'Vario Speed' function - it reduces the t"&amp;"ime of any washing program by 1.5 times without compromising the quality of washing. (I haven’t tried it on a short 30-minute program - much shorter and so 27 minutes - I’m afraid it will glitch). I also liked the presence of a recessed rotary program swi"&amp;"tch. To keep the dishes dry, after finishing washing, open the machine slightly for 10-15 minutes (this, in theory, should slightly damage the furniture, but this is a general recommendation for all dishwashers). In any case, for some reason, sometimes a "&amp;"few drops of water remain on Teflon pans and inside deep mugs on the top tray too (what do you want - condensation drying - I think all dishwashers have this), but this is not a reason to be upset - the machine is SUPER!!! (Pots, even deep ones, are alway"&amp;"s dry, as well as any plates and spoons with forks). Conclusion - take it for everyone!")</f>
        <v>We have been using it for 3 months. Assembly - Germany. Warranty - 4 years. A wonderful machine. It works very quietly, you can’t hear it at all (according to the passport, the volume is 49 dB). It is, for example, 2 times quieter than a Bosch washing machine, the volume of which is 54 dB and which is also inaudible when the door is closed. Cleans super well. We had one cup with a small rib inside, and so, even soda did not take on the dark coating on this rib (I wonder why, but it’s true), now it’s like it came from a store - it’s all shining. And in general - all the dishes look like they came from a store - you simply cannot recognize them. Many months of carbon deposits are gradually washed off from the bottom of the pans! Every day there is less and less of it. Wash perfectly at 70° - the most powerful program. Cleans everything! (It doesn’t always wash off plaque on cups the first time - but this is the case with all dishwashers - only after the 2-3rd wash does it disappear completely) Duration, however, is 2 hours (plus or minus a couple of minutes). The Auto 55-65° program has excellent results, but it is a little longer -120-140 minutes. The 30-minute program at 45° also cleans surprisingly cleanly. And the dishes after it are unexpectedly quite dry. The duration of the program is actually even shorter - 27-28 minutes. There is also a delicate washing program at 50° - but it is a bit long: 140 minutes and is intended mainly for glass. There is also a 20 minute rinse program - never used it. The machine itself varies the time depending on the degree of soiling of the dishes. It is very convenient that there is a display that shows how much time is left until the end of the wash. I liked the presence of the 'Vario Speed' function - it reduces the time of any washing program by 1.5 times without compromising the quality of washing. (I haven’t tried it on a short 30-minute program - much shorter and so 27 minutes - I’m afraid it will glitch). I also liked the presence of a recessed rotary program switch. To keep the dishes dry, after finishing washing, open the machine slightly for 10-15 minutes (this, in theory, should slightly damage the furniture, but this is a general recommendation for all dishwashers). In any case, for some reason, sometimes a few drops of water remain on Teflon pans and inside deep mugs on the top tray too (what do you want - condensation drying - I think all dishwashers have this), but this is not a reason to be upset - the machine is SUPER!!! (Pots, even deep ones, are always dry, as well as any plates and spoons with forks). Conclusion - take it for everyone!</v>
      </c>
    </row>
    <row r="10794" spans="1:9" x14ac:dyDescent="0.3">
      <c r="A10794" s="1" t="s">
        <v>149</v>
      </c>
      <c r="B10794" s="1" t="s">
        <v>155</v>
      </c>
      <c r="C10794" s="1" t="s">
        <v>159</v>
      </c>
      <c r="D10794" s="1" t="s">
        <v>4132</v>
      </c>
      <c r="E10794" s="1" t="s">
        <v>4110</v>
      </c>
      <c r="F10794" s="1" t="s">
        <v>15574</v>
      </c>
      <c r="G10794" s="1" t="s">
        <v>36</v>
      </c>
      <c r="H10794" s="1" t="s">
        <v>29</v>
      </c>
      <c r="I10794" s="1" t="str">
        <f ca="1">IFERROR(__xludf.DUMMYFUNCTION("GOOGLETRANSLATE(F10794, ""auto"", ""en"")
"),"I bought it a couple of weeks ago, on sale for 3960 rubles. It took me a long time to choose, the criteria were: without a bag, not made in China, with a HEPA filter of at least H12 class. I am very pleased with the vacuum cleaner - powerful, made quite w"&amp;"ell, the cord is long, it rolls quickly over the laminate, the container is 4 liters - this is more than most competitors. Well, Electrolux is a trustworthy company. I immediately vacuumed up half the dust container, even though the floors seemed clean. T"&amp;"he kit includes a spare foam filter. Assembled in Hungary. They say it’s better not to wash the HEPA filter - it will dry out. When the time comes to change, I’m thinking of buying H13, they seem to be the right size. I don’t understand what tight latches"&amp;" everyone is writing about - everything opens fine for me. True, to clean the container, you need to make several movements; in many other vacuum cleaners, the “glass” is pulled out more easily, with one hand. But this is all unprincipled. There is no poi"&amp;"nt in writing about noise IMHO - all powerful vacuum cleaners are noisy, and it is not difficult to tolerate the noise for 20 minutes. In general, I am pleased with this unit and recommend it.")</f>
        <v>I bought it a couple of weeks ago, on sale for 3960 rubles. It took me a long time to choose, the criteria were: without a bag, not made in China, with a HEPA filter of at least H12 class. I am very pleased with the vacuum cleaner - powerful, made quite well, the cord is long, it rolls quickly over the laminate, the container is 4 liters - this is more than most competitors. Well, Electrolux is a trustworthy company. I immediately vacuumed up half the dust container, even though the floors seemed clean. The kit includes a spare foam filter. Assembled in Hungary. They say it’s better not to wash the HEPA filter - it will dry out. When the time comes to change, I’m thinking of buying H13, they seem to be the right size. I don’t understand what tight latches everyone is writing about - everything opens fine for me. True, to clean the container, you need to make several movements; in many other vacuum cleaners, the “glass” is pulled out more easily, with one hand. But this is all unprincipled. There is no point in writing about noise IMHO - all powerful vacuum cleaners are noisy, and it is not difficult to tolerate the noise for 20 minutes. In general, I am pleased with this unit and recommend it.</v>
      </c>
    </row>
    <row r="10795" spans="1:9" x14ac:dyDescent="0.3">
      <c r="A10795" s="1" t="s">
        <v>37</v>
      </c>
      <c r="B10795" s="1" t="s">
        <v>38</v>
      </c>
      <c r="C10795" s="1" t="s">
        <v>163</v>
      </c>
      <c r="D10795" s="1" t="s">
        <v>15575</v>
      </c>
      <c r="E10795" s="1" t="s">
        <v>53</v>
      </c>
      <c r="F10795" s="1" t="s">
        <v>15576</v>
      </c>
      <c r="G10795" s="1" t="s">
        <v>49</v>
      </c>
      <c r="H10795" s="1" t="s">
        <v>16</v>
      </c>
      <c r="I10795" s="1" t="str">
        <f ca="1">IFERROR(__xludf.DUMMYFUNCTION("GOOGLETRANSLATE(F10795, ""auto"", ""en"")
"),"the phone is only for children or business people who don’t use modern devices. I’ve been using it for 2 years, and I started to understand that with such a body you can’t raise your authority in the class! buy a phone for children before school or in gra"&amp;"des 1, 2, 3, otherwise the phone is normal)) memory is the only problem...")</f>
        <v>the phone is only for children or business people who don’t use modern devices. I’ve been using it for 2 years, and I started to understand that with such a body you can’t raise your authority in the class! buy a phone for children before school or in grades 1, 2, 3, otherwise the phone is normal)) memory is the only problem...</v>
      </c>
    </row>
    <row r="10796" spans="1:9" x14ac:dyDescent="0.3">
      <c r="A10796" s="1" t="s">
        <v>9</v>
      </c>
      <c r="B10796" s="1" t="s">
        <v>137</v>
      </c>
      <c r="C10796" s="1" t="s">
        <v>63</v>
      </c>
      <c r="D10796" s="1" t="s">
        <v>15577</v>
      </c>
      <c r="E10796" s="1" t="s">
        <v>1155</v>
      </c>
      <c r="F10796" s="1" t="s">
        <v>15578</v>
      </c>
      <c r="G10796" s="1" t="s">
        <v>36</v>
      </c>
      <c r="H10796" s="1" t="s">
        <v>29</v>
      </c>
      <c r="I10796" s="1" t="str">
        <f ca="1">IFERROR(__xludf.DUMMYFUNCTION("GOOGLETRANSLATE(F10796, ""auto"", ""en"")
"),"Purchased 2 years ago. The most useful function of the panel is gas control. Easy to clean from dirt. The heat can be adjusted to very low. Simple, functional panel of good quality. The only small drawback is that the control knobs get very hot if there i"&amp;"s a large pan on nearby stoves - you need to be a little more careful. Overall I recommend it!")</f>
        <v>Purchased 2 years ago. The most useful function of the panel is gas control. Easy to clean from dirt. The heat can be adjusted to very low. Simple, functional panel of good quality. The only small drawback is that the control knobs get very hot if there is a large pan on nearby stoves - you need to be a little more careful. Overall I recommend it!</v>
      </c>
    </row>
    <row r="10797" spans="1:9" x14ac:dyDescent="0.3">
      <c r="A10797" s="1" t="s">
        <v>149</v>
      </c>
      <c r="B10797" s="1" t="s">
        <v>155</v>
      </c>
      <c r="C10797" s="1" t="s">
        <v>151</v>
      </c>
      <c r="D10797" s="1" t="s">
        <v>1662</v>
      </c>
      <c r="E10797" s="1" t="s">
        <v>9813</v>
      </c>
      <c r="F10797" s="1" t="s">
        <v>15579</v>
      </c>
      <c r="G10797" s="1" t="s">
        <v>49</v>
      </c>
      <c r="H10797" s="1" t="s">
        <v>16</v>
      </c>
      <c r="I10797" s="1" t="str">
        <f ca="1">IFERROR(__xludf.DUMMYFUNCTION("GOOGLETRANSLATE(F10797, ""auto"", ""en"")
"),"The vacuum cleaner worked for 1.5 years (steadily waited until the warranty expired). At first it simply turned off during operation, it was unplugged from the outlet, stood there, cooled down... and stopped turning off. You plug it into the outlet and it"&amp;" immediately starts working at full power. We were disappointed... although the rest of the Samsung equipment didn’t seem to let us down")</f>
        <v>The vacuum cleaner worked for 1.5 years (steadily waited until the warranty expired). At first it simply turned off during operation, it was unplugged from the outlet, stood there, cooled down... and stopped turning off. You plug it into the outlet and it immediately starts working at full power. We were disappointed... although the rest of the Samsung equipment didn’t seem to let us down</v>
      </c>
    </row>
    <row r="10798" spans="1:9" x14ac:dyDescent="0.3">
      <c r="A10798" s="1" t="s">
        <v>61</v>
      </c>
      <c r="B10798" s="1" t="s">
        <v>224</v>
      </c>
      <c r="C10798" s="1" t="s">
        <v>85</v>
      </c>
      <c r="D10798" s="1" t="s">
        <v>483</v>
      </c>
      <c r="E10798" s="1" t="s">
        <v>5728</v>
      </c>
      <c r="F10798" s="1" t="s">
        <v>15580</v>
      </c>
      <c r="G10798" s="1" t="s">
        <v>36</v>
      </c>
      <c r="H10798" s="1" t="s">
        <v>29</v>
      </c>
      <c r="I10798" s="1" t="str">
        <f ca="1">IFERROR(__xludf.DUMMYFUNCTION("GOOGLETRANSLATE(F10798, ""auto"", ""en"")
"),"The juicer is just great, I bought it and am not happy with the purchase. Stylish design, metal body. Very easy to clean by hand, although it can also be washed in the dishwasher. We were looking for a juicer for squeezing a glass of orange juice every da"&amp;"y.&amp;nbsp;")</f>
        <v>The juicer is just great, I bought it and am not happy with the purchase. Stylish design, metal body. Very easy to clean by hand, although it can also be washed in the dishwasher. We were looking for a juicer for squeezing a glass of orange juice every day.&amp;nbsp;</v>
      </c>
    </row>
    <row r="10799" spans="1:9" x14ac:dyDescent="0.3">
      <c r="A10799" s="1" t="s">
        <v>61</v>
      </c>
      <c r="B10799" s="1" t="s">
        <v>145</v>
      </c>
      <c r="C10799" s="1" t="s">
        <v>69</v>
      </c>
      <c r="D10799" s="1" t="s">
        <v>39</v>
      </c>
      <c r="E10799" s="1" t="s">
        <v>2611</v>
      </c>
      <c r="F10799" s="1" t="s">
        <v>15581</v>
      </c>
      <c r="G10799" s="1" t="s">
        <v>36</v>
      </c>
      <c r="H10799" s="1" t="s">
        <v>29</v>
      </c>
      <c r="I10799" s="1" t="str">
        <f ca="1">IFERROR(__xludf.DUMMYFUNCTION("GOOGLETRANSLATE(F10799, ""auto"", ""en"")
"),"An excellent option, very convenient to use, a useful mesh for seasonings. We bought a similar (three-story) model for our parents. I recommend it.")</f>
        <v>An excellent option, very convenient to use, a useful mesh for seasonings. We bought a similar (three-story) model for our parents. I recommend it.</v>
      </c>
    </row>
    <row r="10800" spans="1:9" x14ac:dyDescent="0.3">
      <c r="A10800" s="1" t="s">
        <v>95</v>
      </c>
      <c r="B10800" s="1" t="s">
        <v>648</v>
      </c>
      <c r="C10800" s="1" t="s">
        <v>97</v>
      </c>
      <c r="D10800" s="1" t="s">
        <v>10009</v>
      </c>
      <c r="E10800" s="1" t="s">
        <v>3169</v>
      </c>
      <c r="F10800" s="1" t="s">
        <v>15582</v>
      </c>
      <c r="G10800" s="1" t="s">
        <v>36</v>
      </c>
      <c r="H10800" s="1" t="s">
        <v>29</v>
      </c>
      <c r="I10800" s="1" t="str">
        <f ca="1">IFERROR(__xludf.DUMMYFUNCTION("GOOGLETRANSLATE(F10800, ""auto"", ""en"")
"),"Overall this is a great thing! comfortable keyboard, 16 GB of memory, bluetooth, Wi-Fi, that is, it has everything you need!")</f>
        <v>Overall this is a great thing! comfortable keyboard, 16 GB of memory, bluetooth, Wi-Fi, that is, it has everything you need!</v>
      </c>
    </row>
    <row r="10801" spans="1:9" x14ac:dyDescent="0.3">
      <c r="A10801" s="1" t="s">
        <v>105</v>
      </c>
      <c r="B10801" s="1" t="s">
        <v>106</v>
      </c>
      <c r="C10801" s="1" t="s">
        <v>107</v>
      </c>
      <c r="D10801" s="1" t="s">
        <v>2130</v>
      </c>
      <c r="E10801" s="1" t="s">
        <v>3203</v>
      </c>
      <c r="F10801" s="1" t="s">
        <v>15583</v>
      </c>
      <c r="G10801" s="1" t="s">
        <v>36</v>
      </c>
      <c r="H10801" s="1" t="s">
        <v>29</v>
      </c>
      <c r="I10801" s="1" t="str">
        <f ca="1">IFERROR(__xludf.DUMMYFUNCTION("GOOGLETRANSLATE(F10801, ""auto"", ""en"")
"),"Finally cool today I went to buy powerful headphones but there is no speaker, in general, buy")</f>
        <v>Finally cool today I went to buy powerful headphones but there is no speaker, in general, buy</v>
      </c>
    </row>
    <row r="10802" spans="1:9" x14ac:dyDescent="0.3">
      <c r="A10802" s="1" t="s">
        <v>369</v>
      </c>
      <c r="B10802" s="1" t="s">
        <v>587</v>
      </c>
      <c r="C10802" s="1" t="s">
        <v>290</v>
      </c>
      <c r="D10802" s="1" t="s">
        <v>1431</v>
      </c>
      <c r="E10802" s="1" t="s">
        <v>10899</v>
      </c>
      <c r="F10802" s="1" t="s">
        <v>15584</v>
      </c>
      <c r="G10802" s="1" t="s">
        <v>28</v>
      </c>
      <c r="H10802" s="1" t="s">
        <v>29</v>
      </c>
      <c r="I10802" s="1" t="str">
        <f ca="1">IFERROR(__xludf.DUMMYFUNCTION("GOOGLETRANSLATE(F10802, ""auto"", ""en"")
"),"Pros: excellent oven, fast and powerful three-ring burner (wok), simple controls. Cons: do not turn off the light in the oven during operation; no spit; automatic ignition on all four burners simultaneously; The stains on the stainless steel are very visi"&amp;"ble. Overall a good stove, especially the oven.")</f>
        <v>Pros: excellent oven, fast and powerful three-ring burner (wok), simple controls. Cons: do not turn off the light in the oven during operation; no spit; automatic ignition on all four burners simultaneously; The stains on the stainless steel are very visible. Overall a good stove, especially the oven.</v>
      </c>
    </row>
    <row r="10803" spans="1:9" x14ac:dyDescent="0.3">
      <c r="A10803" s="1" t="s">
        <v>43</v>
      </c>
      <c r="B10803" s="1" t="s">
        <v>44</v>
      </c>
      <c r="C10803" s="1" t="s">
        <v>101</v>
      </c>
      <c r="D10803" s="1" t="s">
        <v>113</v>
      </c>
      <c r="E10803" s="1" t="s">
        <v>1012</v>
      </c>
      <c r="F10803" s="1" t="s">
        <v>15585</v>
      </c>
      <c r="G10803" s="1" t="s">
        <v>28</v>
      </c>
      <c r="H10803" s="1" t="s">
        <v>29</v>
      </c>
      <c r="I10803" s="1" t="str">
        <f ca="1">IFERROR(__xludf.DUMMYFUNCTION("GOOGLETRANSLATE(F10803, ""auto"", ""en"")
"),"the fan earns this money. he's not bad. If you don't like it, buy it for 3000.")</f>
        <v>the fan earns this money. he's not bad. If you don't like it, buy it for 3000.</v>
      </c>
    </row>
    <row r="10804" spans="1:9" x14ac:dyDescent="0.3">
      <c r="A10804" s="1" t="s">
        <v>55</v>
      </c>
      <c r="B10804" s="1" t="s">
        <v>56</v>
      </c>
      <c r="C10804" s="1" t="s">
        <v>1373</v>
      </c>
      <c r="D10804" s="1" t="s">
        <v>295</v>
      </c>
      <c r="E10804" s="1" t="s">
        <v>3186</v>
      </c>
      <c r="F10804" s="1" t="s">
        <v>15586</v>
      </c>
      <c r="G10804" s="1" t="s">
        <v>36</v>
      </c>
      <c r="H10804" s="1" t="s">
        <v>29</v>
      </c>
      <c r="I10804" s="1" t="str">
        <f ca="1">IFERROR(__xludf.DUMMYFUNCTION("GOOGLETRANSLATE(F10804, ""auto"", ""en"")
"),"Excellent humidification, warm steam, hygrometer, humidity adjustment")</f>
        <v>Excellent humidification, warm steam, hygrometer, humidity adjustment</v>
      </c>
    </row>
    <row r="10805" spans="1:9" x14ac:dyDescent="0.3">
      <c r="A10805" s="1" t="s">
        <v>55</v>
      </c>
      <c r="B10805" s="1" t="s">
        <v>184</v>
      </c>
      <c r="C10805" s="1" t="s">
        <v>45</v>
      </c>
      <c r="D10805" s="1" t="s">
        <v>203</v>
      </c>
      <c r="E10805" s="1" t="s">
        <v>15587</v>
      </c>
      <c r="F10805" s="1" t="s">
        <v>15588</v>
      </c>
      <c r="G10805" s="1" t="s">
        <v>49</v>
      </c>
      <c r="H10805" s="1" t="s">
        <v>16</v>
      </c>
      <c r="I10805" s="1" t="str">
        <f ca="1">IFERROR(__xludf.DUMMYFUNCTION("GOOGLETRANSLATE(F10805, ""auto"", ""en"")
"),"It heats really well, but it worked 2 times for 10 minutes and won’t turn on again, 2 days have passed since the date of purchase, we will return it!!")</f>
        <v>It heats really well, but it worked 2 times for 10 minutes and won’t turn on again, 2 days have passed since the date of purchase, we will return it!!</v>
      </c>
    </row>
    <row r="10806" spans="1:9" x14ac:dyDescent="0.3">
      <c r="A10806" s="1" t="s">
        <v>61</v>
      </c>
      <c r="B10806" s="1" t="s">
        <v>318</v>
      </c>
      <c r="C10806" s="1" t="s">
        <v>246</v>
      </c>
      <c r="D10806" s="1" t="s">
        <v>114</v>
      </c>
      <c r="E10806" s="1" t="s">
        <v>2300</v>
      </c>
      <c r="F10806" s="1" t="s">
        <v>15589</v>
      </c>
      <c r="G10806" s="1" t="s">
        <v>15</v>
      </c>
      <c r="H10806" s="1" t="s">
        <v>16</v>
      </c>
      <c r="I10806" s="1" t="str">
        <f ca="1">IFERROR(__xludf.DUMMYFUNCTION("GOOGLETRANSLATE(F10806, ""auto"", ""en"")
"),"We bought a kettle and liked it right away, but it only lived with us for one day; immediately when it boiled, the lid began to open, even not with the maximum volume of water, and it made noise just like a steam locomotive.")</f>
        <v>We bought a kettle and liked it right away, but it only lived with us for one day; immediately when it boiled, the lid began to open, even not with the maximum volume of water, and it made noise just like a steam locomotive.</v>
      </c>
    </row>
    <row r="10807" spans="1:9" x14ac:dyDescent="0.3">
      <c r="A10807" s="1" t="s">
        <v>30</v>
      </c>
      <c r="B10807" s="1" t="s">
        <v>50</v>
      </c>
      <c r="C10807" s="1" t="s">
        <v>377</v>
      </c>
      <c r="D10807" s="1" t="s">
        <v>15590</v>
      </c>
      <c r="E10807" s="1" t="s">
        <v>397</v>
      </c>
      <c r="F10807" s="1" t="s">
        <v>15591</v>
      </c>
      <c r="G10807" s="1" t="s">
        <v>28</v>
      </c>
      <c r="H10807" s="1" t="s">
        <v>29</v>
      </c>
      <c r="I10807" s="1" t="str">
        <f ca="1">IFERROR(__xludf.DUMMYFUNCTION("GOOGLETRANSLATE(F10807, ""auto"", ""en"")
"),"11/01/09 I bought this device. a dream come true - a booker with a 512 video card. 3 days have passed, but I can’t test it to its full potential - the games that are available are not compatible with Windows 7. although the official website of melkosoft s"&amp;"ays the opposite!!!  As for the hardware, there seem to be no glitches so far. The device is quiet, well, when compared with the Acer that came before.")</f>
        <v>11/01/09 I bought this device. a dream come true - a booker with a 512 video card. 3 days have passed, but I can’t test it to its full potential - the games that are available are not compatible with Windows 7. although the official website of melkosoft says the opposite!!!  As for the hardware, there seem to be no glitches so far. The device is quiet, well, when compared with the Acer that came before.</v>
      </c>
    </row>
    <row r="10808" spans="1:9" x14ac:dyDescent="0.3">
      <c r="A10808" s="1" t="s">
        <v>61</v>
      </c>
      <c r="B10808" s="1" t="s">
        <v>318</v>
      </c>
      <c r="C10808" s="1" t="s">
        <v>85</v>
      </c>
      <c r="D10808" s="1" t="s">
        <v>280</v>
      </c>
      <c r="E10808" s="1" t="s">
        <v>569</v>
      </c>
      <c r="F10808" s="1" t="s">
        <v>15592</v>
      </c>
      <c r="G10808" s="1" t="s">
        <v>36</v>
      </c>
      <c r="H10808" s="1" t="s">
        <v>29</v>
      </c>
      <c r="I10808" s="1" t="str">
        <f ca="1">IFERROR(__xludf.DUMMYFUNCTION("GOOGLETRANSLATE(F10808, ""auto"", ""en"")
"),"I've been using the kettle for less than a month.  I was choosing a beautiful teapot for my home.  Very convenient to brew tea.    I recommend it to everyone who appreciates tea as a drink.")</f>
        <v>I've been using the kettle for less than a month.  I was choosing a beautiful teapot for my home.  Very convenient to brew tea.    I recommend it to everyone who appreciates tea as a drink.</v>
      </c>
    </row>
    <row r="10809" spans="1:9" x14ac:dyDescent="0.3">
      <c r="A10809" s="1" t="s">
        <v>17</v>
      </c>
      <c r="B10809" s="1" t="s">
        <v>18</v>
      </c>
      <c r="C10809" s="1" t="s">
        <v>138</v>
      </c>
      <c r="D10809" s="1" t="s">
        <v>1890</v>
      </c>
      <c r="E10809" s="1" t="s">
        <v>532</v>
      </c>
      <c r="F10809" s="1" t="s">
        <v>15593</v>
      </c>
      <c r="G10809" s="1" t="s">
        <v>15</v>
      </c>
      <c r="H10809" s="1" t="s">
        <v>16</v>
      </c>
      <c r="I10809" s="1" t="str">
        <f ca="1">IFERROR(__xludf.DUMMYFUNCTION("GOOGLETRANSLATE(F10809, ""auto"", ""en"")
"),"Advantages: Very compact, lightweight, easy to operate and most importantly budget-friendly.     Disadvantages: the biggest drawback is the disgusting balancing (or rather lack thereof) before spinning.   Noisy and creaky drum suspension.   No ""spin swit"&amp;"ch off during washing"".  There is no display, it is not clear how much time is left until the wash is completed.    Comment: We took it for an apartment that we rent out, but now we realized that we were stingy, the ugly spinning reduces all the advantag"&amp;"es to nothing. You can really fight this, but you need to be present to complete the wash. If a strong beating appears during the spin cycle, then pause and then unpause, the spin starts again and so on several times until the beating of the drum disappea"&amp;"rs.     My advice: add 50% of the price of the machine and buy decent equipment, the stingy pays twice!!")</f>
        <v>Advantages: Very compact, lightweight, easy to operate and most importantly budget-friendly.     Disadvantages: the biggest drawback is the disgusting balancing (or rather lack thereof) before spinning.   Noisy and creaky drum suspension.   No "spin switch off during washing".  There is no display, it is not clear how much time is left until the wash is completed.    Comment: We took it for an apartment that we rent out, but now we realized that we were stingy, the ugly spinning reduces all the advantages to nothing. You can really fight this, but you need to be present to complete the wash. If a strong beating appears during the spin cycle, then pause and then unpause, the spin starts again and so on several times until the beating of the drum disappears.     My advice: add 50% of the price of the machine and buy decent equipment, the stingy pays twice!!</v>
      </c>
    </row>
    <row r="10810" spans="1:9" x14ac:dyDescent="0.3">
      <c r="A10810" s="1" t="s">
        <v>61</v>
      </c>
      <c r="B10810" s="1" t="s">
        <v>73</v>
      </c>
      <c r="C10810" s="1" t="s">
        <v>85</v>
      </c>
      <c r="D10810" s="1" t="s">
        <v>33</v>
      </c>
      <c r="E10810" s="1" t="s">
        <v>1871</v>
      </c>
      <c r="F10810" s="1" t="s">
        <v>15594</v>
      </c>
      <c r="G10810" s="1" t="s">
        <v>15</v>
      </c>
      <c r="H10810" s="1" t="s">
        <v>16</v>
      </c>
      <c r="I10810" s="1" t="str">
        <f ca="1">IFERROR(__xludf.DUMMYFUNCTION("GOOGLETRANSLATE(F10810, ""auto"", ""en"")
"),"In principle, the meat grinder is not bad, or rather it was for the first year and a half of use. And then the on/off button began to act up, the meat began to twist shamefully and for a long time, and then that ill-fated button refused (sunk) in the on p"&amp;"osition.")</f>
        <v>In principle, the meat grinder is not bad, or rather it was for the first year and a half of use. And then the on/off button began to act up, the meat began to twist shamefully and for a long time, and then that ill-fated button refused (sunk) in the on position.</v>
      </c>
    </row>
    <row r="10811" spans="1:9" x14ac:dyDescent="0.3">
      <c r="A10811" s="1" t="s">
        <v>89</v>
      </c>
      <c r="B10811" s="1" t="s">
        <v>90</v>
      </c>
      <c r="C10811" s="1" t="s">
        <v>63</v>
      </c>
      <c r="D10811" s="1" t="s">
        <v>5059</v>
      </c>
      <c r="E10811" s="1" t="s">
        <v>4366</v>
      </c>
      <c r="F10811" s="1" t="s">
        <v>15595</v>
      </c>
      <c r="G10811" s="1" t="s">
        <v>15</v>
      </c>
      <c r="H10811" s="1" t="s">
        <v>16</v>
      </c>
      <c r="I10811" s="1" t="str">
        <f ca="1">IFERROR(__xludf.DUMMYFUNCTION("GOOGLETRANSLATE(F10811, ""auto"", ""en"")
"),"Friends gave me a coffee grinder. It works for about a month.  Pros: Grinds coffee quickly, adjustable grind level.  Disadvantages: After 20 seconds of grinding, the coffee smells like burnt plastic. I consider this a significant drawback, since I use an "&amp;"expensive type of coffee. The smell of this coffee beans and after grinding is simply heaven and earth.  Conclusion: Rather than buying such a machine, it is better to grind with a manual coffee grinder (of course, if the volumes are small).")</f>
        <v>Friends gave me a coffee grinder. It works for about a month.  Pros: Grinds coffee quickly, adjustable grind level.  Disadvantages: After 20 seconds of grinding, the coffee smells like burnt plastic. I consider this a significant drawback, since I use an expensive type of coffee. The smell of this coffee beans and after grinding is simply heaven and earth.  Conclusion: Rather than buying such a machine, it is better to grind with a manual coffee grinder (of course, if the volumes are small).</v>
      </c>
    </row>
    <row r="10812" spans="1:9" x14ac:dyDescent="0.3">
      <c r="A10812" s="1" t="s">
        <v>43</v>
      </c>
      <c r="B10812" s="1" t="s">
        <v>1382</v>
      </c>
      <c r="C10812" s="1" t="s">
        <v>45</v>
      </c>
      <c r="D10812" s="1" t="s">
        <v>15596</v>
      </c>
      <c r="E10812" s="1" t="s">
        <v>1586</v>
      </c>
      <c r="F10812" s="1" t="s">
        <v>15597</v>
      </c>
      <c r="G10812" s="1" t="s">
        <v>36</v>
      </c>
      <c r="H10812" s="1" t="s">
        <v>29</v>
      </c>
      <c r="I10812" s="1" t="str">
        <f ca="1">IFERROR(__xludf.DUMMYFUNCTION("GOOGLETRANSLATE(F10812, ""auto"", ""en"")
"),"Cool vent! I was looking for exactly this, found it in a store on Sadovaya-Spasskaya... took the last one from the display case. Freaky model. Stylish, practical. A very fashionable and useful thing. Many thanks to the M-video store on Sadovaya-Spasskaya "&amp;"3. M-VIDEO is the best!!!!!! Quality, guarantee, price.")</f>
        <v>Cool vent! I was looking for exactly this, found it in a store on Sadovaya-Spasskaya... took the last one from the display case. Freaky model. Stylish, practical. A very fashionable and useful thing. Many thanks to the M-video store on Sadovaya-Spasskaya 3. M-VIDEO is the best!!!!!! Quality, guarantee, price.</v>
      </c>
    </row>
    <row r="10813" spans="1:9" x14ac:dyDescent="0.3">
      <c r="A10813" s="1" t="s">
        <v>43</v>
      </c>
      <c r="B10813" s="1" t="s">
        <v>303</v>
      </c>
      <c r="C10813" s="1" t="s">
        <v>220</v>
      </c>
      <c r="D10813" s="1" t="s">
        <v>117</v>
      </c>
      <c r="E10813" s="1" t="s">
        <v>222</v>
      </c>
      <c r="F10813" s="1" t="s">
        <v>15598</v>
      </c>
      <c r="G10813" s="1" t="s">
        <v>36</v>
      </c>
      <c r="H10813" s="1" t="s">
        <v>29</v>
      </c>
      <c r="I10813" s="1" t="str">
        <f ca="1">IFERROR(__xludf.DUMMYFUNCTION("GOOGLETRANSLATE(F10813, ""auto"", ""en"")
"),"Easy to install Visual instructions")</f>
        <v>Easy to install Visual instructions</v>
      </c>
    </row>
    <row r="10814" spans="1:9" x14ac:dyDescent="0.3">
      <c r="A10814" s="1" t="s">
        <v>17</v>
      </c>
      <c r="B10814" s="1" t="s">
        <v>18</v>
      </c>
      <c r="C10814" s="1" t="s">
        <v>19</v>
      </c>
      <c r="D10814" s="1" t="s">
        <v>3273</v>
      </c>
      <c r="E10814" s="1" t="s">
        <v>21</v>
      </c>
      <c r="F10814" s="1" t="s">
        <v>15599</v>
      </c>
      <c r="G10814" s="1" t="s">
        <v>28</v>
      </c>
      <c r="H10814" s="1" t="s">
        <v>29</v>
      </c>
      <c r="I10814" s="1" t="str">
        <f ca="1">IFERROR(__xludf.DUMMYFUNCTION("GOOGLETRANSLATE(F10814, ""auto"", ""en"")
"),"We bought the car 4-5 years ago. Everyone really likes it, even now, but they managed to replace the engine a year ago, because... burned out.  It's not cheap, but of course a new machine is more expensive. The master did not establish our guilt, i.e. jus"&amp;"t bad luck, which happens with any manufacturer (Except Bosh, in my opinion). But overall very good, smart, gentle wash is really gentle, don’t overdo it with the powder.")</f>
        <v>We bought the car 4-5 years ago. Everyone really likes it, even now, but they managed to replace the engine a year ago, because... burned out.  It's not cheap, but of course a new machine is more expensive. The master did not establish our guilt, i.e. just bad luck, which happens with any manufacturer (Except Bosh, in my opinion). But overall very good, smart, gentle wash is really gentle, don’t overdo it with the powder.</v>
      </c>
    </row>
    <row r="10815" spans="1:9" x14ac:dyDescent="0.3">
      <c r="A10815" s="1" t="s">
        <v>61</v>
      </c>
      <c r="B10815" s="1" t="s">
        <v>318</v>
      </c>
      <c r="C10815" s="1" t="s">
        <v>2840</v>
      </c>
      <c r="D10815" s="1" t="s">
        <v>589</v>
      </c>
      <c r="E10815" s="1" t="s">
        <v>3416</v>
      </c>
      <c r="F10815" s="1" t="s">
        <v>15600</v>
      </c>
      <c r="G10815" s="1" t="s">
        <v>15</v>
      </c>
      <c r="H10815" s="1" t="s">
        <v>16</v>
      </c>
      <c r="I10815" s="1" t="str">
        <f ca="1">IFERROR(__xludf.DUMMYFUNCTION("GOOGLETRANSLATE(F10815, ""auto"", ""en"")
"),"I wanted a transparent teapot, and on the advice of the sales consultant, I bought this one.  The service life is six months, it works properly. but the lid is inconvenient for pouring water, the power button is VERY inconvenient, I still haven’t gotten u"&amp;"sed to it in six months. And the worst thing is, if the kettle has boiled, you have used up all the water and want to warm it up more, the kettle will not turn on until it cools down. due to the fact that it pours new water, it doesn’t take long to cool d"&amp;"own, but if the kettle boiled and you didn’t use it right away, then it’s impossible to heat it up, you have to wait for it to cool down")</f>
        <v>I wanted a transparent teapot, and on the advice of the sales consultant, I bought this one.  The service life is six months, it works properly. but the lid is inconvenient for pouring water, the power button is VERY inconvenient, I still haven’t gotten used to it in six months. And the worst thing is, if the kettle has boiled, you have used up all the water and want to warm it up more, the kettle will not turn on until it cools down. due to the fact that it pours new water, it doesn’t take long to cool down, but if the kettle boiled and you didn’t use it right away, then it’s impossible to heat it up, you have to wait for it to cool down</v>
      </c>
    </row>
    <row r="10816" spans="1:9" x14ac:dyDescent="0.3">
      <c r="A10816" s="1" t="s">
        <v>149</v>
      </c>
      <c r="B10816" s="1" t="s">
        <v>155</v>
      </c>
      <c r="C10816" s="1" t="s">
        <v>996</v>
      </c>
      <c r="D10816" s="1" t="s">
        <v>15601</v>
      </c>
      <c r="E10816" s="1" t="s">
        <v>832</v>
      </c>
      <c r="F10816" s="1" t="s">
        <v>15602</v>
      </c>
      <c r="G10816" s="1" t="s">
        <v>36</v>
      </c>
      <c r="H10816" s="1" t="s">
        <v>29</v>
      </c>
      <c r="I10816" s="1" t="str">
        <f ca="1">IFERROR(__xludf.DUMMYFUNCTION("GOOGLETRANSLATE(F10816, ""auto"", ""en"")
"),"Super wonderful vacuum cleaner. Excellent value for money! I really liked the design.")</f>
        <v>Super wonderful vacuum cleaner. Excellent value for money! I really liked the design.</v>
      </c>
    </row>
    <row r="10817" spans="1:9" x14ac:dyDescent="0.3">
      <c r="A10817" s="1" t="s">
        <v>61</v>
      </c>
      <c r="B10817" s="1" t="s">
        <v>224</v>
      </c>
      <c r="C10817" s="1" t="s">
        <v>85</v>
      </c>
      <c r="D10817" s="1" t="s">
        <v>15603</v>
      </c>
      <c r="E10817" s="1" t="s">
        <v>4502</v>
      </c>
      <c r="F10817" s="1" t="s">
        <v>15604</v>
      </c>
      <c r="G10817" s="1" t="s">
        <v>36</v>
      </c>
      <c r="H10817" s="1" t="s">
        <v>29</v>
      </c>
      <c r="I10817" s="1" t="str">
        <f ca="1">IFERROR(__xludf.DUMMYFUNCTION("GOOGLETRANSLATE(F10817, ""auto"", ""en"")
"),"I really liked the juicer, the juice is pure, it squeezes out to the last drop.")</f>
        <v>I really liked the juicer, the juice is pure, it squeezes out to the last drop.</v>
      </c>
    </row>
    <row r="10818" spans="1:9" x14ac:dyDescent="0.3">
      <c r="A10818" s="1" t="s">
        <v>37</v>
      </c>
      <c r="B10818" s="1" t="s">
        <v>38</v>
      </c>
      <c r="C10818" s="1" t="s">
        <v>163</v>
      </c>
      <c r="D10818" s="1" t="s">
        <v>308</v>
      </c>
      <c r="E10818" s="1" t="s">
        <v>1122</v>
      </c>
      <c r="F10818" s="1" t="s">
        <v>15605</v>
      </c>
      <c r="G10818" s="1" t="s">
        <v>36</v>
      </c>
      <c r="H10818" s="1" t="s">
        <v>29</v>
      </c>
      <c r="I10818" s="1" t="str">
        <f ca="1">IFERROR(__xludf.DUMMYFUNCTION("GOOGLETRANSLATE(F10818, ""auto"", ""en"")
"),"I've had my phone for six months now and I'm very happy with it.")</f>
        <v>I've had my phone for six months now and I'm very happy with it.</v>
      </c>
    </row>
    <row r="10819" spans="1:9" x14ac:dyDescent="0.3">
      <c r="A10819" s="1" t="s">
        <v>206</v>
      </c>
      <c r="B10819" s="1" t="s">
        <v>1253</v>
      </c>
      <c r="C10819" s="1" t="s">
        <v>816</v>
      </c>
      <c r="D10819" s="1" t="s">
        <v>327</v>
      </c>
      <c r="E10819" s="1" t="s">
        <v>2097</v>
      </c>
      <c r="F10819" s="1" t="s">
        <v>15606</v>
      </c>
      <c r="G10819" s="1" t="s">
        <v>36</v>
      </c>
      <c r="H10819" s="1" t="s">
        <v>29</v>
      </c>
      <c r="I10819" s="1" t="str">
        <f ca="1">IFERROR(__xludf.DUMMYFUNCTION("GOOGLETRANSLATE(F10819, ""auto"", ""en"")
"),"Very good radios for the money. I bought it for hunting. In the forest, within 2-3 kilometers, they transmit and receive with a bang! Another plus is that each walkie-talkie comes with a headset, which I think is comfortable (I have big ears)))), so there"&amp;" are no complaints. P.S. on the estate for a year already!")</f>
        <v>Very good radios for the money. I bought it for hunting. In the forest, within 2-3 kilometers, they transmit and receive with a bang! Another plus is that each walkie-talkie comes with a headset, which I think is comfortable (I have big ears)))), so there are no complaints. P.S. on the estate for a year already!</v>
      </c>
    </row>
    <row r="10820" spans="1:9" x14ac:dyDescent="0.3">
      <c r="A10820" s="1" t="s">
        <v>519</v>
      </c>
      <c r="B10820" s="1" t="s">
        <v>3212</v>
      </c>
      <c r="C10820" s="1" t="s">
        <v>246</v>
      </c>
      <c r="D10820" s="1" t="s">
        <v>471</v>
      </c>
      <c r="E10820" s="1" t="s">
        <v>1705</v>
      </c>
      <c r="F10820" s="1" t="s">
        <v>15607</v>
      </c>
      <c r="G10820" s="1" t="s">
        <v>36</v>
      </c>
      <c r="H10820" s="1" t="s">
        <v>29</v>
      </c>
      <c r="I10820" s="1" t="str">
        <f ca="1">IFERROR(__xludf.DUMMYFUNCTION("GOOGLETRANSLATE(F10820, ""auto"", ""en"")
"),"Very good baking dish! Nothing burns. Very easy to clean. Easy to remove from the oven thanks to the handles. I recommend it to everyone!")</f>
        <v>Very good baking dish! Nothing burns. Very easy to clean. Easy to remove from the oven thanks to the handles. I recommend it to everyone!</v>
      </c>
    </row>
    <row r="10821" spans="1:9" x14ac:dyDescent="0.3">
      <c r="A10821" s="1" t="s">
        <v>206</v>
      </c>
      <c r="B10821" s="1" t="s">
        <v>207</v>
      </c>
      <c r="C10821" s="1" t="s">
        <v>152</v>
      </c>
      <c r="D10821" s="1" t="s">
        <v>203</v>
      </c>
      <c r="E10821" s="1" t="s">
        <v>2393</v>
      </c>
      <c r="F10821" s="1" t="s">
        <v>15608</v>
      </c>
      <c r="G10821" s="1" t="s">
        <v>36</v>
      </c>
      <c r="H10821" s="1" t="s">
        <v>29</v>
      </c>
      <c r="I10821" s="1" t="str">
        <f ca="1">IFERROR(__xludf.DUMMYFUNCTION("GOOGLETRANSLATE(F10821, ""auto"", ""en"")
"),"Excellent tweeters. Small dimensions allow them to be embedded anywhere")</f>
        <v>Excellent tweeters. Small dimensions allow them to be embedded anywhere</v>
      </c>
    </row>
    <row r="10822" spans="1:9" x14ac:dyDescent="0.3">
      <c r="A10822" s="1" t="s">
        <v>169</v>
      </c>
      <c r="B10822" s="1" t="s">
        <v>170</v>
      </c>
      <c r="C10822" s="1" t="s">
        <v>193</v>
      </c>
      <c r="D10822" s="1" t="s">
        <v>152</v>
      </c>
      <c r="E10822" s="1" t="s">
        <v>2176</v>
      </c>
      <c r="F10822" s="1" t="s">
        <v>15609</v>
      </c>
      <c r="G10822" s="1" t="s">
        <v>36</v>
      </c>
      <c r="H10822" s="1" t="s">
        <v>29</v>
      </c>
      <c r="I10822" s="1" t="str">
        <f ca="1">IFERROR(__xludf.DUMMYFUNCTION("GOOGLETRANSLATE(F10822, ""auto"", ""en"")
"),"Cool ears for such a price (I bought it for 1600). The sound insulation, again for such a price, is quite good. The only negative I noticed is that with some rock songs and at high volumes there is “sand”. Otherwise, everything is cool - take it, you won’"&amp;"t regret it :)")</f>
        <v>Cool ears for such a price (I bought it for 1600). The sound insulation, again for such a price, is quite good. The only negative I noticed is that with some rock songs and at high volumes there is “sand”. Otherwise, everything is cool - take it, you won’t regret it :)</v>
      </c>
    </row>
    <row r="10823" spans="1:9" x14ac:dyDescent="0.3">
      <c r="A10823" s="1" t="s">
        <v>211</v>
      </c>
      <c r="B10823" s="1" t="s">
        <v>212</v>
      </c>
      <c r="C10823" s="1" t="s">
        <v>57</v>
      </c>
      <c r="D10823" s="1" t="s">
        <v>64</v>
      </c>
      <c r="E10823" s="1" t="s">
        <v>15610</v>
      </c>
      <c r="F10823" s="1" t="s">
        <v>15611</v>
      </c>
      <c r="G10823" s="1" t="s">
        <v>36</v>
      </c>
      <c r="H10823" s="1" t="s">
        <v>29</v>
      </c>
      <c r="I10823" s="1" t="str">
        <f ca="1">IFERROR(__xludf.DUMMYFUNCTION("GOOGLETRANSLATE(F10823, ""auto"", ""en"")
"),"For me, a curling iron replaces both curlers and straighteners. I love her very much. I like to experiment with styling, and that’s why I tried a bunch of different options, especially since I had different hair lengths: I grow it out, cut my hair, dye it"&amp;", or repaint it. And of course, my hair is not in the best condition, so the fact that these curling irons have a ceramic coating is a huge plus for me! That's actually why I chose them!   The tongs have 2 heating modes, but I only use the maximum and be "&amp;"sure to apply thermal protection to my hair! They heat up in about 3 minutes, no more. You don’t need to keep it on your hair for long – from 30 to 60 seconds; if you can’t make a curl during this time, take thinner strands. It’s better to take more thin "&amp;"strands and hold the curling iron for up to a minute than to take a thick strand that won’t curl normally no matter how long you hold it, even 5 minutes! The cord is very convenient: it is long, about 2 meters and rotates around its axis - which is simply"&amp;" necessary for a curling iron, because we twist it.   Like all curling irons, there is a folding stand so as not to burn the furniture.  I’ve been using this curling iron for a year now; it’s a very convenient and high-quality thing for creating beautiful"&amp;" curls.")</f>
        <v>For me, a curling iron replaces both curlers and straighteners. I love her very much. I like to experiment with styling, and that’s why I tried a bunch of different options, especially since I had different hair lengths: I grow it out, cut my hair, dye it, or repaint it. And of course, my hair is not in the best condition, so the fact that these curling irons have a ceramic coating is a huge plus for me! That's actually why I chose them!   The tongs have 2 heating modes, but I only use the maximum and be sure to apply thermal protection to my hair! They heat up in about 3 minutes, no more. You don’t need to keep it on your hair for long – from 30 to 60 seconds; if you can’t make a curl during this time, take thinner strands. It’s better to take more thin strands and hold the curling iron for up to a minute than to take a thick strand that won’t curl normally no matter how long you hold it, even 5 minutes! The cord is very convenient: it is long, about 2 meters and rotates around its axis - which is simply necessary for a curling iron, because we twist it.   Like all curling irons, there is a folding stand so as not to burn the furniture.  I’ve been using this curling iron for a year now; it’s a very convenient and high-quality thing for creating beautiful curls.</v>
      </c>
    </row>
    <row r="10824" spans="1:9" x14ac:dyDescent="0.3">
      <c r="A10824" s="1" t="s">
        <v>211</v>
      </c>
      <c r="B10824" s="1" t="s">
        <v>410</v>
      </c>
      <c r="C10824" s="1" t="s">
        <v>57</v>
      </c>
      <c r="D10824" s="1" t="s">
        <v>305</v>
      </c>
      <c r="E10824" s="1" t="s">
        <v>10005</v>
      </c>
      <c r="F10824" s="1" t="s">
        <v>15612</v>
      </c>
      <c r="G10824" s="1" t="s">
        <v>15</v>
      </c>
      <c r="H10824" s="1" t="s">
        <v>16</v>
      </c>
      <c r="I10824" s="1" t="str">
        <f ca="1">IFERROR(__xludf.DUMMYFUNCTION("GOOGLETRANSLATE(F10824, ""auto"", ""en"")
"),"This is my first electric razor, before that I only used regular shaver. My opinion is not very good. The noise is nonsense, it shaves terribly badly, it’s simply impossible to shave my neck. One plus is the price (I took it to check whether there would b"&amp;"e irritation after shaving! No!")</f>
        <v>This is my first electric razor, before that I only used regular shaver. My opinion is not very good. The noise is nonsense, it shaves terribly badly, it’s simply impossible to shave my neck. One plus is the price (I took it to check whether there would be irritation after shaving! No!</v>
      </c>
    </row>
    <row r="10825" spans="1:9" x14ac:dyDescent="0.3">
      <c r="A10825" s="1" t="s">
        <v>211</v>
      </c>
      <c r="B10825" s="1" t="s">
        <v>384</v>
      </c>
      <c r="C10825" s="1" t="s">
        <v>63</v>
      </c>
      <c r="D10825" s="1" t="s">
        <v>4132</v>
      </c>
      <c r="E10825" s="1" t="s">
        <v>5456</v>
      </c>
      <c r="F10825" s="1" t="s">
        <v>15613</v>
      </c>
      <c r="G10825" s="1" t="s">
        <v>49</v>
      </c>
      <c r="H10825" s="1" t="s">
        <v>16</v>
      </c>
      <c r="I10825" s="1" t="str">
        <f ca="1">IFERROR(__xludf.DUMMYFUNCTION("GOOGLETRANSLATE(F10825, ""auto"", ""en"")
"),"I’m disappointed in the Boche, on my other model, bought two years ago, one number is also not printed, I don’t see the point in repairing it, it’s just collecting dust under the bedside table. :(")</f>
        <v>I’m disappointed in the Boche, on my other model, bought two years ago, one number is also not printed, I don’t see the point in repairing it, it’s just collecting dust under the bedside table. :(</v>
      </c>
    </row>
    <row r="10826" spans="1:9" x14ac:dyDescent="0.3">
      <c r="A10826" s="1" t="s">
        <v>111</v>
      </c>
      <c r="B10826" s="1" t="s">
        <v>112</v>
      </c>
      <c r="C10826" s="1" t="s">
        <v>113</v>
      </c>
      <c r="D10826" s="1" t="s">
        <v>280</v>
      </c>
      <c r="E10826" s="1" t="s">
        <v>1833</v>
      </c>
      <c r="F10826" s="1" t="s">
        <v>15614</v>
      </c>
      <c r="G10826" s="1" t="s">
        <v>49</v>
      </c>
      <c r="H10826" s="1" t="s">
        <v>16</v>
      </c>
      <c r="I10826" s="1" t="str">
        <f ca="1">IFERROR(__xludf.DUMMYFUNCTION("GOOGLETRANSLATE(F10826, ""auto"", ""en"")
"),"Advantages: 1. Good declared characteristics.  2. Material (in comparison with expensive surge protectors from other brands) Perhaps that’s all.... Disadvantages: I bought 4 surge protectors: Pilot Pro (2 pcs.) and Pilot X-Pro (2 pcs.).   After six months"&amp;" of operation, the Pilot X-Pro failed (it began to short-circuit and knock out the RCD), then a year later the Pilot Pro failed (it began to short-circuit and knock out the RCD), another Pilot X-Pro worked for a little more than a couple of months of its "&amp;"brothers and also stopped working (it worked until it was turned off from the network, the next time it was turned on, the current stopped flowing to the sockets).")</f>
        <v>Advantages: 1. Good declared characteristics.  2. Material (in comparison with expensive surge protectors from other brands) Perhaps that’s all.... Disadvantages: I bought 4 surge protectors: Pilot Pro (2 pcs.) and Pilot X-Pro (2 pcs.).   After six months of operation, the Pilot X-Pro failed (it began to short-circuit and knock out the RCD), then a year later the Pilot Pro failed (it began to short-circuit and knock out the RCD), another Pilot X-Pro worked for a little more than a couple of months of its brothers and also stopped working (it worked until it was turned off from the network, the next time it was turned on, the current stopped flowing to the sockets).</v>
      </c>
    </row>
    <row r="10827" spans="1:9" x14ac:dyDescent="0.3">
      <c r="A10827" s="1" t="s">
        <v>211</v>
      </c>
      <c r="B10827" s="1" t="s">
        <v>410</v>
      </c>
      <c r="C10827" s="1" t="s">
        <v>122</v>
      </c>
      <c r="D10827" s="1" t="s">
        <v>139</v>
      </c>
      <c r="E10827" s="1" t="s">
        <v>182</v>
      </c>
      <c r="F10827" s="1" t="s">
        <v>15615</v>
      </c>
      <c r="G10827" s="1" t="s">
        <v>49</v>
      </c>
      <c r="H10827" s="1" t="s">
        <v>16</v>
      </c>
      <c r="I10827" s="1" t="str">
        <f ca="1">IFERROR(__xludf.DUMMYFUNCTION("GOOGLETRANSLATE(F10827, ""auto"", ""en"")
"),"Disgusting razor! It leaves behind unshaven stubble. It is much more pleasant to use a regular razor.")</f>
        <v>Disgusting razor! It leaves behind unshaven stubble. It is much more pleasant to use a regular razor.</v>
      </c>
    </row>
    <row r="10828" spans="1:9" x14ac:dyDescent="0.3">
      <c r="A10828" s="1" t="s">
        <v>37</v>
      </c>
      <c r="B10828" s="1" t="s">
        <v>355</v>
      </c>
      <c r="C10828" s="1" t="s">
        <v>356</v>
      </c>
      <c r="D10828" s="1" t="s">
        <v>385</v>
      </c>
      <c r="E10828" s="1" t="s">
        <v>1899</v>
      </c>
      <c r="F10828" s="1" t="s">
        <v>15616</v>
      </c>
      <c r="G10828" s="1" t="s">
        <v>28</v>
      </c>
      <c r="H10828" s="1" t="s">
        <v>29</v>
      </c>
      <c r="I10828" s="1" t="str">
        <f ca="1">IFERROR(__xludf.DUMMYFUNCTION("GOOGLETRANSLATE(F10828, ""auto"", ""en"")
"),"I bought an iPhone only because I was fooled by the price...a friend brought it to me from America for 12 thousand, 3GS 16g. In principle, I’m happy with it, although I haven’t figured it out yet in a month))) but I’m striving for this.... I wouldn’t advi"&amp;"se others to take it... I prefer simplicity, iTunes, app store... everything is so complicated...) In my opinion, HTC is next door, and if you choose simplicity and functionality, then it’s htc//")</f>
        <v>I bought an iPhone only because I was fooled by the price...a friend brought it to me from America for 12 thousand, 3GS 16g. In principle, I’m happy with it, although I haven’t figured it out yet in a month))) but I’m striving for this.... I wouldn’t advise others to take it... I prefer simplicity, iTunes, app store... everything is so complicated...) In my opinion, HTC is next door, and if you choose simplicity and functionality, then it’s htc//</v>
      </c>
    </row>
    <row r="10829" spans="1:9" x14ac:dyDescent="0.3">
      <c r="A10829" s="1" t="s">
        <v>30</v>
      </c>
      <c r="B10829" s="1" t="s">
        <v>50</v>
      </c>
      <c r="C10829" s="1" t="s">
        <v>189</v>
      </c>
      <c r="D10829" s="1" t="s">
        <v>15617</v>
      </c>
      <c r="E10829" s="1" t="s">
        <v>1387</v>
      </c>
      <c r="F10829" s="1" t="s">
        <v>15618</v>
      </c>
      <c r="G10829" s="1" t="s">
        <v>36</v>
      </c>
      <c r="H10829" s="1" t="s">
        <v>29</v>
      </c>
      <c r="I10829" s="1" t="str">
        <f ca="1">IFERROR(__xludf.DUMMYFUNCTION("GOOGLETRANSLATE(F10829, ""auto"", ""en"")
"),"The car is very good. Of course, you won’t be able to play the latest games on an integrated video card (at medium settings, for example, Prince of Persia (the last one, I don’t remember the name)) and Overlord 2 work great), but for work purposes the boo"&amp;"k is very good. Win 7 sets the processor to 6.7. And the design is very usable: an excellent keyboard (full-size - very important for me), with gaps between the keys. I was also pleased with the sound card - it produces excellent sound in headphones. In g"&amp;"eneral, in my opinion, the best car in its price niche, I don’t regret the purchase. I recommend it.")</f>
        <v>The car is very good. Of course, you won’t be able to play the latest games on an integrated video card (at medium settings, for example, Prince of Persia (the last one, I don’t remember the name)) and Overlord 2 work great), but for work purposes the book is very good. Win 7 sets the processor to 6.7. And the design is very usable: an excellent keyboard (full-size - very important for me), with gaps between the keys. I was also pleased with the sound card - it produces excellent sound in headphones. In general, in my opinion, the best car in its price niche, I don’t regret the purchase. I recommend it.</v>
      </c>
    </row>
    <row r="10830" spans="1:9" x14ac:dyDescent="0.3">
      <c r="A10830" s="1" t="s">
        <v>61</v>
      </c>
      <c r="B10830" s="1" t="s">
        <v>318</v>
      </c>
      <c r="C10830" s="1" t="s">
        <v>69</v>
      </c>
      <c r="D10830" s="1" t="s">
        <v>335</v>
      </c>
      <c r="E10830" s="1" t="s">
        <v>508</v>
      </c>
      <c r="F10830" s="1" t="s">
        <v>15619</v>
      </c>
      <c r="G10830" s="1" t="s">
        <v>36</v>
      </c>
      <c r="H10830" s="1" t="s">
        <v>29</v>
      </c>
      <c r="I10830" s="1" t="str">
        <f ca="1">IFERROR(__xludf.DUMMYFUNCTION("GOOGLETRANSLATE(F10830, ""auto"", ""en"")
"),"We bought this kettle today. Honestly, the design is a 3+ for me, but for me the quality of the technology is more important than the appearance.  +The lid fits very tightly, is well made, boils quietly, does not smell -The shutdown indicator is almost in"&amp;"audible (but that doesn’t matter, it would be better if it didn’t exist at all), white color, design, incomprehensible filter inside)")</f>
        <v>We bought this kettle today. Honestly, the design is a 3+ for me, but for me the quality of the technology is more important than the appearance.  +The lid fits very tightly, is well made, boils quietly, does not smell -The shutdown indicator is almost inaudible (but that doesn’t matter, it would be better if it didn’t exist at all), white color, design, incomprehensible filter inside)</v>
      </c>
    </row>
    <row r="10831" spans="1:9" x14ac:dyDescent="0.3">
      <c r="A10831" s="1" t="s">
        <v>149</v>
      </c>
      <c r="B10831" s="1" t="s">
        <v>423</v>
      </c>
      <c r="C10831" s="1" t="s">
        <v>314</v>
      </c>
      <c r="D10831" s="1" t="s">
        <v>411</v>
      </c>
      <c r="E10831" s="1" t="s">
        <v>7367</v>
      </c>
      <c r="F10831" s="1" t="s">
        <v>15620</v>
      </c>
      <c r="G10831" s="1" t="s">
        <v>36</v>
      </c>
      <c r="H10831" s="1" t="s">
        <v>29</v>
      </c>
      <c r="I10831" s="1" t="str">
        <f ca="1">IFERROR(__xludf.DUMMYFUNCTION("GOOGLETRANSLATE(F10831, ""auto"", ""en"")
"),"The whole vacuum cleaner itself is a huge PLUS!")</f>
        <v>The whole vacuum cleaner itself is a huge PLUS!</v>
      </c>
    </row>
    <row r="10832" spans="1:9" x14ac:dyDescent="0.3">
      <c r="A10832" s="1" t="s">
        <v>89</v>
      </c>
      <c r="B10832" s="1" t="s">
        <v>90</v>
      </c>
      <c r="C10832" s="1" t="s">
        <v>101</v>
      </c>
      <c r="D10832" s="1" t="s">
        <v>295</v>
      </c>
      <c r="E10832" s="1" t="s">
        <v>15621</v>
      </c>
      <c r="F10832" s="1" t="s">
        <v>15622</v>
      </c>
      <c r="G10832" s="1" t="s">
        <v>36</v>
      </c>
      <c r="H10832" s="1" t="s">
        <v>29</v>
      </c>
      <c r="I10832" s="1" t="str">
        <f ca="1">IFERROR(__xludf.DUMMYFUNCTION("GOOGLETRANSLATE(F10832, ""auto"", ""en"")
"),"I bought a coffee grinder on April 18, 2015. Wonderful thing! Grinds into flour, I'm happy with the purchase. I recommend!")</f>
        <v>I bought a coffee grinder on April 18, 2015. Wonderful thing! Grinds into flour, I'm happy with the purchase. I recommend!</v>
      </c>
    </row>
    <row r="10833" spans="1:9" x14ac:dyDescent="0.3">
      <c r="A10833" s="1" t="s">
        <v>361</v>
      </c>
      <c r="B10833" s="1" t="s">
        <v>1077</v>
      </c>
      <c r="C10833" s="1" t="s">
        <v>561</v>
      </c>
      <c r="D10833" s="1" t="s">
        <v>521</v>
      </c>
      <c r="E10833" s="1" t="s">
        <v>1507</v>
      </c>
      <c r="F10833" s="1" t="s">
        <v>15623</v>
      </c>
      <c r="G10833" s="1" t="s">
        <v>36</v>
      </c>
      <c r="H10833" s="1" t="s">
        <v>29</v>
      </c>
      <c r="I10833" s="1" t="str">
        <f ca="1">IFERROR(__xludf.DUMMYFUNCTION("GOOGLETRANSLATE(F10833, ""auto"", ""en"")
"),"The teapot is beautiful! We’ve been using it for almost four years, it’s a real gem in the kitchen, it boils instantly (on gas), and it stays hot for a long time without heating! The scale does not stick at all, no special treatment is required from it, i"&amp;"t is washed off with the palm of your hand, very little of it forms at all, once every six months I wash it inside. The coating, of course, requires careful care, with a mild cleaning agent, but dirt doesn’t really stick, the matte surface, no streaks or "&amp;"splashes are visible on it, it always looks neat. The kettle itself does not affect the quality of the water in ANY WAY! I sincerely sympathize with people who do not know high-quality water, filtered by who knows how and what, apparently they can’t even "&amp;"dream of running water, so the kettle has nothing to do with it (. We use exclusively running water, for all purposes and everything is in order with the dishes, thank God! Well, there are no words about the streams in the center and from under the whistl"&amp;"e, a real joke, thank you, we laughed at souls!)))))")</f>
        <v>The teapot is beautiful! We’ve been using it for almost four years, it’s a real gem in the kitchen, it boils instantly (on gas), and it stays hot for a long time without heating! The scale does not stick at all, no special treatment is required from it, it is washed off with the palm of your hand, very little of it forms at all, once every six months I wash it inside. The coating, of course, requires careful care, with a mild cleaning agent, but dirt doesn’t really stick, the matte surface, no streaks or splashes are visible on it, it always looks neat. The kettle itself does not affect the quality of the water in ANY WAY! I sincerely sympathize with people who do not know high-quality water, filtered by who knows how and what, apparently they can’t even dream of running water, so the kettle has nothing to do with it (. We use exclusively running water, for all purposes and everything is in order with the dishes, thank God! Well, there are no words about the streams in the center and from under the whistle, a real joke, thank you, we laughed at souls!)))))</v>
      </c>
    </row>
    <row r="10834" spans="1:9" x14ac:dyDescent="0.3">
      <c r="A10834" s="1" t="s">
        <v>61</v>
      </c>
      <c r="B10834" s="1" t="s">
        <v>726</v>
      </c>
      <c r="C10834" s="1" t="s">
        <v>74</v>
      </c>
      <c r="D10834" s="1" t="s">
        <v>1662</v>
      </c>
      <c r="E10834" s="1" t="s">
        <v>1273</v>
      </c>
      <c r="F10834" s="1" t="s">
        <v>15624</v>
      </c>
      <c r="G10834" s="1" t="s">
        <v>28</v>
      </c>
      <c r="H10834" s="1" t="s">
        <v>29</v>
      </c>
      <c r="I10834" s="1" t="str">
        <f ca="1">IFERROR(__xludf.DUMMYFUNCTION("GOOGLETRANSLATE(F10834, ""auto"", ""en"")
"),"We have been using it for 1 year and 1 month, almost constantly, we chose it by the weight of the bread, because... At first we bought LG with a bread weight of 600 g, but this turned out to be not enough for our family. The bread is very tasty, but in or"&amp;"der to get a beautiful and even loaf, you need to watch it when the dough rises. with a delayed start, the loaf is not always successful in appearance. We tried different flours, and additives too, the result is always good. Even the son (28 years old) ba"&amp;"kes bread, and the eldest son (29 years old) makes a comparison - who has the best form and content (taste). The neighbors all like the bread, but they don’t buy bread machines for themselves, because... the price is high. And today a misfortune happened "&amp;"- the pin on which the dough mixer fits fell out in the bread pan (some kind of gasket must have burned out! Tomorrow we will look for where the repair is and whether it is possible in this case. Buy it - you won’t regret it!")</f>
        <v>We have been using it for 1 year and 1 month, almost constantly, we chose it by the weight of the bread, because... At first we bought LG with a bread weight of 600 g, but this turned out to be not enough for our family. The bread is very tasty, but in order to get a beautiful and even loaf, you need to watch it when the dough rises. with a delayed start, the loaf is not always successful in appearance. We tried different flours, and additives too, the result is always good. Even the son (28 years old) bakes bread, and the eldest son (29 years old) makes a comparison - who has the best form and content (taste). The neighbors all like the bread, but they don’t buy bread machines for themselves, because... the price is high. And today a misfortune happened - the pin on which the dough mixer fits fell out in the bread pan (some kind of gasket must have burned out! Tomorrow we will look for where the repair is and whether it is possible in this case. Buy it - you won’t regret it!</v>
      </c>
    </row>
    <row r="10835" spans="1:9" x14ac:dyDescent="0.3">
      <c r="A10835" s="1" t="s">
        <v>105</v>
      </c>
      <c r="B10835" s="1" t="s">
        <v>106</v>
      </c>
      <c r="C10835" s="1" t="s">
        <v>151</v>
      </c>
      <c r="D10835" s="1" t="s">
        <v>86</v>
      </c>
      <c r="E10835" s="1" t="s">
        <v>3755</v>
      </c>
      <c r="F10835" s="1" t="s">
        <v>15625</v>
      </c>
      <c r="G10835" s="1" t="s">
        <v>36</v>
      </c>
      <c r="H10835" s="1" t="s">
        <v>29</v>
      </c>
      <c r="I10835" s="1" t="str">
        <f ca="1">IFERROR(__xludf.DUMMYFUNCTION("GOOGLETRANSLATE(F10835, ""auto"", ""en"")
"),"The player is super, I bought it 4 days ago and I couldn’t be happier!! The voice recorder does not freeze, it works perfectly and the radio also picks up all the best Energy Dfm radio stations and so on!!! 2 gigs of memory, if anyone thinks that this is "&amp;"not enough, they are deeply mistaken!!!")</f>
        <v>The player is super, I bought it 4 days ago and I couldn’t be happier!! The voice recorder does not freeze, it works perfectly and the radio also picks up all the best Energy Dfm radio stations and so on!!! 2 gigs of memory, if anyone thinks that this is not enough, they are deeply mistaken!!!</v>
      </c>
    </row>
    <row r="10836" spans="1:9" x14ac:dyDescent="0.3">
      <c r="A10836" s="1" t="s">
        <v>451</v>
      </c>
      <c r="B10836" s="1" t="s">
        <v>452</v>
      </c>
      <c r="C10836" s="1" t="s">
        <v>710</v>
      </c>
      <c r="D10836" s="1" t="s">
        <v>565</v>
      </c>
      <c r="E10836" s="1" t="s">
        <v>15626</v>
      </c>
      <c r="F10836" s="1" t="s">
        <v>15627</v>
      </c>
      <c r="G10836" s="1" t="s">
        <v>28</v>
      </c>
      <c r="H10836" s="1" t="s">
        <v>29</v>
      </c>
      <c r="I10836" s="1" t="str">
        <f ca="1">IFERROR(__xludf.DUMMYFUNCTION("GOOGLETRANSLATE(F10836, ""auto"", ""en"")
"),"copes with pellets perfectly, but is very flimsy - I used it for a year, and then dropped it and that’s it, I go to the store for a new one.")</f>
        <v>copes with pellets perfectly, but is very flimsy - I used it for a year, and then dropped it and that’s it, I go to the store for a new one.</v>
      </c>
    </row>
    <row r="10837" spans="1:9" x14ac:dyDescent="0.3">
      <c r="A10837" s="1" t="s">
        <v>120</v>
      </c>
      <c r="B10837" s="1" t="s">
        <v>126</v>
      </c>
      <c r="C10837" s="1" t="s">
        <v>151</v>
      </c>
      <c r="D10837" s="1" t="s">
        <v>345</v>
      </c>
      <c r="E10837" s="1" t="s">
        <v>1339</v>
      </c>
      <c r="F10837" s="1" t="s">
        <v>15628</v>
      </c>
      <c r="G10837" s="1" t="s">
        <v>36</v>
      </c>
      <c r="H10837" s="1" t="s">
        <v>29</v>
      </c>
      <c r="I10837" s="1" t="str">
        <f ca="1">IFERROR(__xludf.DUMMYFUNCTION("GOOGLETRANSLATE(F10837, ""auto"", ""en"")
"),"I bought a Samsung PS42 C431 A2W, I watch it from 3.5 meters and have been relaxing since the first day. I like it, I recommend it!!!")</f>
        <v>I bought a Samsung PS42 C431 A2W, I watch it from 3.5 meters and have been relaxing since the first day. I like it, I recommend it!!!</v>
      </c>
    </row>
    <row r="10838" spans="1:9" x14ac:dyDescent="0.3">
      <c r="A10838" s="1" t="s">
        <v>9</v>
      </c>
      <c r="B10838" s="1" t="s">
        <v>10</v>
      </c>
      <c r="C10838" s="1" t="s">
        <v>11</v>
      </c>
      <c r="D10838" s="1" t="s">
        <v>113</v>
      </c>
      <c r="E10838" s="1" t="s">
        <v>8027</v>
      </c>
      <c r="F10838" s="1" t="s">
        <v>15629</v>
      </c>
      <c r="G10838" s="1" t="s">
        <v>36</v>
      </c>
      <c r="H10838" s="1" t="s">
        <v>29</v>
      </c>
      <c r="I10838" s="1" t="str">
        <f ca="1">IFERROR(__xludf.DUMMYFUNCTION("GOOGLETRANSLATE(F10838, ""auto"", ""en"")
"),"I used the hood for three years every day. Unfortunately, the new owners had to leave it in the old apartment. Now I’m looking at equipment for a new apartment - most likely I’ll opt for the same model.  It works moderately quietly, copes with the task at"&amp;" hand with all 5 points (with all 4 burners turned on, it does not soar in the kitchen). It’s nice that there are two lamps that I like to use not only when cooking, but also when drinking tea in the evening)))")</f>
        <v>I used the hood for three years every day. Unfortunately, the new owners had to leave it in the old apartment. Now I’m looking at equipment for a new apartment - most likely I’ll opt for the same model.  It works moderately quietly, copes with the task at hand with all 5 points (with all 4 burners turned on, it does not soar in the kitchen). It’s nice that there are two lamps that I like to use not only when cooking, but also when drinking tea in the evening)))</v>
      </c>
    </row>
    <row r="10839" spans="1:9" x14ac:dyDescent="0.3">
      <c r="A10839" s="1" t="s">
        <v>30</v>
      </c>
      <c r="B10839" s="1" t="s">
        <v>50</v>
      </c>
      <c r="C10839" s="1" t="s">
        <v>32</v>
      </c>
      <c r="D10839" s="1" t="s">
        <v>326</v>
      </c>
      <c r="E10839" s="1" t="s">
        <v>2502</v>
      </c>
      <c r="F10839" s="1" t="s">
        <v>15630</v>
      </c>
      <c r="G10839" s="1" t="s">
        <v>36</v>
      </c>
      <c r="H10839" s="1" t="s">
        <v>29</v>
      </c>
      <c r="I10839" s="1" t="str">
        <f ca="1">IFERROR(__xludf.DUMMYFUNCTION("GOOGLETRANSLATE(F10839, ""auto"", ""en"")
"),"I bought it a month ago. I always knew that Acer was a good manufacturer. I have a monitor. So I decided to buy an Acer Laptop. When I bought it I had doubts about something. It has everything, not everyone has built-in Bluetooth. Yes, there is a minus - "&amp;"the keyboard has the same color letters, but at night you can see all the letters and you don’t need to turn on the lamp. I’m very glad that it’s not noisy and I don’t disturb anyone’s sleep at night. As soon as I turn on the computer, it starts humming w"&amp;"ith four fans immediately after five minutes you’ll hear an echo. Then My friend and I went online with my laptop and decided to choose everything so that the price was more reasonable, and as a result, she bought the Acer AS5740G-333G25M Laptop. I advise"&amp;" everyone, you won’t regret it.")</f>
        <v>I bought it a month ago. I always knew that Acer was a good manufacturer. I have a monitor. So I decided to buy an Acer Laptop. When I bought it I had doubts about something. It has everything, not everyone has built-in Bluetooth. Yes, there is a minus - the keyboard has the same color letters, but at night you can see all the letters and you don’t need to turn on the lamp. I’m very glad that it’s not noisy and I don’t disturb anyone’s sleep at night. As soon as I turn on the computer, it starts humming with four fans immediately after five minutes you’ll hear an echo. Then My friend and I went online with my laptop and decided to choose everything so that the price was more reasonable, and as a result, she bought the Acer AS5740G-333G25M Laptop. I advise everyone, you won’t regret it.</v>
      </c>
    </row>
    <row r="10840" spans="1:9" x14ac:dyDescent="0.3">
      <c r="A10840" s="1" t="s">
        <v>67</v>
      </c>
      <c r="B10840" s="1" t="s">
        <v>68</v>
      </c>
      <c r="C10840" s="1" t="s">
        <v>69</v>
      </c>
      <c r="D10840" s="1" t="s">
        <v>474</v>
      </c>
      <c r="E10840" s="1" t="s">
        <v>4366</v>
      </c>
      <c r="F10840" s="1" t="s">
        <v>15631</v>
      </c>
      <c r="G10840" s="1" t="s">
        <v>36</v>
      </c>
      <c r="H10840" s="1" t="s">
        <v>29</v>
      </c>
      <c r="I10840" s="1" t="str">
        <f ca="1">IFERROR(__xludf.DUMMYFUNCTION("GOOGLETRANSLATE(F10840, ""auto"", ""en"")
"),"I liked the iron, it’s powerful, it irons well, the long cord is very convenient, it steams wonderfully.")</f>
        <v>I liked the iron, it’s powerful, it irons well, the long cord is very convenient, it steams wonderfully.</v>
      </c>
    </row>
    <row r="10841" spans="1:9" x14ac:dyDescent="0.3">
      <c r="A10841" s="1" t="s">
        <v>120</v>
      </c>
      <c r="B10841" s="1" t="s">
        <v>121</v>
      </c>
      <c r="C10841" s="1" t="s">
        <v>69</v>
      </c>
      <c r="D10841" s="1" t="s">
        <v>690</v>
      </c>
      <c r="E10841" s="1" t="s">
        <v>3280</v>
      </c>
      <c r="F10841" s="1" t="s">
        <v>15632</v>
      </c>
      <c r="G10841" s="1" t="s">
        <v>28</v>
      </c>
      <c r="H10841" s="1" t="s">
        <v>29</v>
      </c>
      <c r="I10841" s="1" t="str">
        <f ca="1">IFERROR(__xludf.DUMMYFUNCTION("GOOGLETRANSLATE(F10841, ""auto"", ""en"")
"),"The picture quality is of course super, the backlight adds a viewing effect, it shows fullHD through VGA, the quality of DVDrip is excellent, the sound is acceptable... Among the shortcomings noticed (for me): the menu is confusing, difficult to understan"&amp;"d (if you go into the settings yourself);  the interface slows down (but programs switch quickly), after pressing the button the response takes 1-2 seconds, at first it was annoying until I got used to it;  There is no rewinding in the media player as suc"&amp;"h;  The Internet browser is bad, although there is a virtual keyboard, but again the interface slows down... for a long time...;  There is no ""sleep timer"" or ""clock"" button on the remote control;  in ""DEMO"" mode 100 hertz the difference in the pict"&amp;"ures is not particularly noticeable... We are looking forward to the updated firmware, maybe they will fix it..")</f>
        <v>The picture quality is of course super, the backlight adds a viewing effect, it shows fullHD through VGA, the quality of DVDrip is excellent, the sound is acceptable... Among the shortcomings noticed (for me): the menu is confusing, difficult to understand (if you go into the settings yourself);  the interface slows down (but programs switch quickly), after pressing the button the response takes 1-2 seconds, at first it was annoying until I got used to it;  There is no rewinding in the media player as such;  The Internet browser is bad, although there is a virtual keyboard, but again the interface slows down... for a long time...;  There is no "sleep timer" or "clock" button on the remote control;  in "DEMO" mode 100 hertz the difference in the pictures is not particularly noticeable... We are looking forward to the updated firmware, maybe they will fix it..</v>
      </c>
    </row>
    <row r="10842" spans="1:9" x14ac:dyDescent="0.3">
      <c r="A10842" s="1" t="s">
        <v>61</v>
      </c>
      <c r="B10842" s="1" t="s">
        <v>145</v>
      </c>
      <c r="C10842" s="1" t="s">
        <v>85</v>
      </c>
      <c r="D10842" s="1" t="s">
        <v>86</v>
      </c>
      <c r="E10842" s="1" t="s">
        <v>4027</v>
      </c>
      <c r="F10842" s="1" t="s">
        <v>15633</v>
      </c>
      <c r="G10842" s="1" t="s">
        <v>36</v>
      </c>
      <c r="H10842" s="1" t="s">
        <v>29</v>
      </c>
      <c r="I10842" s="1" t="str">
        <f ca="1">IFERROR(__xludf.DUMMYFUNCTION("GOOGLETRANSLATE(F10842, ""auto"", ""en"")
"),"I bought a steamer about a month ago. Great design, fits into my kitchen. There is no plastic smell, and it is very comfortable, because... Only this model has a delay start function. Easy to wash. I recommend!!!")</f>
        <v>I bought a steamer about a month ago. Great design, fits into my kitchen. There is no plastic smell, and it is very comfortable, because... Only this model has a delay start function. Easy to wash. I recommend!!!</v>
      </c>
    </row>
    <row r="10843" spans="1:9" x14ac:dyDescent="0.3">
      <c r="A10843" s="1" t="s">
        <v>89</v>
      </c>
      <c r="B10843" s="1" t="s">
        <v>90</v>
      </c>
      <c r="C10843" s="1" t="s">
        <v>63</v>
      </c>
      <c r="D10843" s="1" t="s">
        <v>232</v>
      </c>
      <c r="E10843" s="1" t="s">
        <v>1794</v>
      </c>
      <c r="F10843" s="1" t="s">
        <v>15634</v>
      </c>
      <c r="G10843" s="1" t="s">
        <v>36</v>
      </c>
      <c r="H10843" s="1" t="s">
        <v>29</v>
      </c>
      <c r="I10843" s="1" t="str">
        <f ca="1">IFERROR(__xludf.DUMMYFUNCTION("GOOGLETRANSLATE(F10843, ""auto"", ""en"")
"),"grinding quality and speed")</f>
        <v>grinding quality and speed</v>
      </c>
    </row>
    <row r="10844" spans="1:9" x14ac:dyDescent="0.3">
      <c r="A10844" s="1" t="s">
        <v>149</v>
      </c>
      <c r="B10844" s="1" t="s">
        <v>150</v>
      </c>
      <c r="C10844" s="1" t="s">
        <v>2016</v>
      </c>
      <c r="D10844" s="1" t="s">
        <v>130</v>
      </c>
      <c r="E10844" s="1" t="s">
        <v>617</v>
      </c>
      <c r="F10844" s="1" t="s">
        <v>15635</v>
      </c>
      <c r="G10844" s="1" t="s">
        <v>36</v>
      </c>
      <c r="H10844" s="1" t="s">
        <v>29</v>
      </c>
      <c r="I10844" s="1" t="str">
        <f ca="1">IFERROR(__xludf.DUMMYFUNCTION("GOOGLETRANSLATE(F10844, ""auto"", ""en"")
"),"Went to the store, tested 3 vacuum cleaners, settled on number (1) Best in its class (1) Black And Decker ACV 1205 (2) Samsung VCH136 turned out to be almost the weakest option (3) B&amp;D PAD 1200 Black _ I was surprised it turned out to be weaker than Samsu"&amp;"ng and the price is 3t-r")</f>
        <v>Went to the store, tested 3 vacuum cleaners, settled on number (1) Best in its class (1) Black And Decker ACV 1205 (2) Samsung VCH136 turned out to be almost the weakest option (3) B&amp;D PAD 1200 Black _ I was surprised it turned out to be weaker than Samsung and the price is 3t-r</v>
      </c>
    </row>
    <row r="10845" spans="1:9" x14ac:dyDescent="0.3">
      <c r="A10845" s="1" t="s">
        <v>211</v>
      </c>
      <c r="B10845" s="1" t="s">
        <v>212</v>
      </c>
      <c r="C10845" s="1" t="s">
        <v>294</v>
      </c>
      <c r="D10845" s="1" t="s">
        <v>46</v>
      </c>
      <c r="E10845" s="1" t="s">
        <v>2611</v>
      </c>
      <c r="F10845" s="1" t="s">
        <v>15636</v>
      </c>
      <c r="G10845" s="1" t="s">
        <v>36</v>
      </c>
      <c r="H10845" s="1" t="s">
        <v>29</v>
      </c>
      <c r="I10845" s="1" t="str">
        <f ca="1">IFERROR(__xludf.DUMMYFUNCTION("GOOGLETRANSLATE(F10845, ""auto"", ""en"")
"),"Magnificent!!! Very pleased, glides easily through hair, does not electrify, wonderful styling within 5 minutes.")</f>
        <v>Magnificent!!! Very pleased, glides easily through hair, does not electrify, wonderful styling within 5 minutes.</v>
      </c>
    </row>
    <row r="10846" spans="1:9" x14ac:dyDescent="0.3">
      <c r="A10846" s="1" t="s">
        <v>282</v>
      </c>
      <c r="B10846" s="1" t="s">
        <v>806</v>
      </c>
      <c r="C10846" s="1" t="s">
        <v>284</v>
      </c>
      <c r="D10846" s="1" t="s">
        <v>1373</v>
      </c>
      <c r="E10846" s="1" t="s">
        <v>3726</v>
      </c>
      <c r="F10846" s="1" t="s">
        <v>15637</v>
      </c>
      <c r="G10846" s="1" t="s">
        <v>28</v>
      </c>
      <c r="H10846" s="1" t="s">
        <v>29</v>
      </c>
      <c r="I10846" s="1" t="str">
        <f ca="1">IFERROR(__xludf.DUMMYFUNCTION("GOOGLETRANSLATE(F10846, ""auto"", ""en"")
"),"The packaging is very inconvenient and flimsy, made of thin cardboard, the disc fasteners are very hard and must be removed carefully so as not to damage the disc, the video and sound quality is 5!")</f>
        <v>The packaging is very inconvenient and flimsy, made of thin cardboard, the disc fasteners are very hard and must be removed carefully so as not to damage the disc, the video and sound quality is 5!</v>
      </c>
    </row>
    <row r="10847" spans="1:9" x14ac:dyDescent="0.3">
      <c r="A10847" s="1" t="s">
        <v>30</v>
      </c>
      <c r="B10847" s="1" t="s">
        <v>50</v>
      </c>
      <c r="C10847" s="1" t="s">
        <v>694</v>
      </c>
      <c r="D10847" s="1" t="s">
        <v>15638</v>
      </c>
      <c r="E10847" s="1" t="s">
        <v>1773</v>
      </c>
      <c r="F10847" s="1" t="s">
        <v>15639</v>
      </c>
      <c r="G10847" s="1" t="s">
        <v>49</v>
      </c>
      <c r="H10847" s="1" t="s">
        <v>16</v>
      </c>
      <c r="I10847" s="1" t="str">
        <f ca="1">IFERROR(__xludf.DUMMYFUNCTION("GOOGLETRANSLATE(F10847, ""auto"", ""en"")
"),"Hmmm. From all the discussions on the topic, nothing. Cute laptop??? Well, if you use it as a keychain, then it’s useful information, but you can see about the built-in modem. You pay 900 rub. For a flash drive, here’s a modem for you, if that’s what Mikk"&amp;"imous is saying. IMHO: the main thing is the filling and size, the first one corresponds to the price (keychain).")</f>
        <v>Hmmm. From all the discussions on the topic, nothing. Cute laptop??? Well, if you use it as a keychain, then it’s useful information, but you can see about the built-in modem. You pay 900 rub. For a flash drive, here’s a modem for you, if that’s what Mikkimous is saying. IMHO: the main thing is the filling and size, the first one corresponds to the price (keychain).</v>
      </c>
    </row>
    <row r="10848" spans="1:9" x14ac:dyDescent="0.3">
      <c r="A10848" s="1" t="s">
        <v>17</v>
      </c>
      <c r="B10848" s="1" t="s">
        <v>18</v>
      </c>
      <c r="C10848" s="1" t="s">
        <v>80</v>
      </c>
      <c r="D10848" s="1" t="s">
        <v>152</v>
      </c>
      <c r="E10848" s="1" t="s">
        <v>164</v>
      </c>
      <c r="F10848" s="1" t="s">
        <v>15640</v>
      </c>
      <c r="G10848" s="1" t="s">
        <v>28</v>
      </c>
      <c r="H10848" s="1" t="s">
        <v>29</v>
      </c>
      <c r="I10848" s="1" t="str">
        <f ca="1">IFERROR(__xludf.DUMMYFUNCTION("GOOGLETRANSLATE(F10848, ""auto"", ""en"")
"),"The car is simply SUPERB! There are many useful functions, for example - Refresh. Sometimes things sit in the closet when it’s not in season, smelling musty, wrinkled and all that. So you put your things in the car and turn on this mode. Within 10-15 minu"&amp;"tes, depending on the number of items, the items are treated with steam, which removes the odor and the items are then easily smoothed out. There is a washing mode for children's clothes, which again involves washing using steam, which helps to minimize t"&amp;"he occurrence of allergies in a child to detergents. In general, my wife really likes it and there is still one BUT! The dimensions indicated by the manufacturer do not correspond to reality! If you want to install it in the bathroom and you have a standa"&amp;"rd 60cm door, like mine, this is very problematic. I had to disassemble the floor of the car and remove the door from the jamb in order to squeeze it into the opening. And now I think with horror what I will do if, God forbid, it breaks. In general, decid"&amp;"e for yourself whether you need it or not.")</f>
        <v>The car is simply SUPERB! There are many useful functions, for example - Refresh. Sometimes things sit in the closet when it’s not in season, smelling musty, wrinkled and all that. So you put your things in the car and turn on this mode. Within 10-15 minutes, depending on the number of items, the items are treated with steam, which removes the odor and the items are then easily smoothed out. There is a washing mode for children's clothes, which again involves washing using steam, which helps to minimize the occurrence of allergies in a child to detergents. In general, my wife really likes it and there is still one BUT! The dimensions indicated by the manufacturer do not correspond to reality! If you want to install it in the bathroom and you have a standard 60cm door, like mine, this is very problematic. I had to disassemble the floor of the car and remove the door from the jamb in order to squeeze it into the opening. And now I think with horror what I will do if, God forbid, it breaks. In general, decide for yourself whether you need it or not.</v>
      </c>
    </row>
    <row r="10849" spans="1:9" x14ac:dyDescent="0.3">
      <c r="A10849" s="1" t="s">
        <v>37</v>
      </c>
      <c r="B10849" s="1" t="s">
        <v>38</v>
      </c>
      <c r="C10849" s="1" t="s">
        <v>151</v>
      </c>
      <c r="D10849" s="1" t="s">
        <v>1092</v>
      </c>
      <c r="E10849" s="1" t="s">
        <v>3448</v>
      </c>
      <c r="F10849" s="1" t="s">
        <v>15641</v>
      </c>
      <c r="G10849" s="1" t="s">
        <v>36</v>
      </c>
      <c r="H10849" s="1" t="s">
        <v>29</v>
      </c>
      <c r="I10849" s="1" t="str">
        <f ca="1">IFERROR(__xludf.DUMMYFUNCTION("GOOGLETRANSLATE(F10849, ""auto"", ""en"")
"),"First of all, he was required to work with two SIM cards simultaneously. It copes with this very well. The call and sound quality is excellent. Everything else is secondary. Happy with the device")</f>
        <v>First of all, he was required to work with two SIM cards simultaneously. It copes with this very well. The call and sound quality is excellent. Everything else is secondary. Happy with the device</v>
      </c>
    </row>
    <row r="10850" spans="1:9" x14ac:dyDescent="0.3">
      <c r="A10850" s="1" t="s">
        <v>30</v>
      </c>
      <c r="B10850" s="1" t="s">
        <v>50</v>
      </c>
      <c r="C10850" s="1" t="s">
        <v>32</v>
      </c>
      <c r="D10850" s="1" t="s">
        <v>1431</v>
      </c>
      <c r="E10850" s="1" t="s">
        <v>6851</v>
      </c>
      <c r="F10850" s="1" t="s">
        <v>15642</v>
      </c>
      <c r="G10850" s="1" t="s">
        <v>36</v>
      </c>
      <c r="H10850" s="1" t="s">
        <v>29</v>
      </c>
      <c r="I10850" s="1" t="str">
        <f ca="1">IFERROR(__xludf.DUMMYFUNCTION("GOOGLETRANSLATE(F10850, ""auto"", ""en"")
"),"A good book... but the blue screen is nonsense... the hard one supports two interfaces... ide and ahci... when a blue screen appears, you change the settings in the BIOS... that's all... I didn't like the seven, I installed HP... everything flies simply, "&amp;"without problems...")</f>
        <v>A good book... but the blue screen is nonsense... the hard one supports two interfaces... ide and ahci... when a blue screen appears, you change the settings in the BIOS... that's all... I didn't like the seven, I installed HP... everything flies simply, without problems...</v>
      </c>
    </row>
    <row r="10851" spans="1:9" x14ac:dyDescent="0.3">
      <c r="A10851" s="1" t="s">
        <v>55</v>
      </c>
      <c r="B10851" s="1" t="s">
        <v>56</v>
      </c>
      <c r="C10851" s="1" t="s">
        <v>57</v>
      </c>
      <c r="D10851" s="1" t="s">
        <v>15643</v>
      </c>
      <c r="E10851" s="1" t="s">
        <v>6725</v>
      </c>
      <c r="F10851" s="1" t="s">
        <v>15644</v>
      </c>
      <c r="G10851" s="1" t="s">
        <v>49</v>
      </c>
      <c r="H10851" s="1" t="s">
        <v>16</v>
      </c>
      <c r="I10851" s="1" t="str">
        <f ca="1">IFERROR(__xludf.DUMMYFUNCTION("GOOGLETRANSLATE(F10851, ""auto"", ""en"")
"),"We bought a humidifier 5 months ago. 4 worked, and stopped letting off steam. I can’t say it’s quiet, they turned it off at night, you can hear the gurgling of water. I don't recommend buying it!")</f>
        <v>We bought a humidifier 5 months ago. 4 worked, and stopped letting off steam. I can’t say it’s quiet, they turned it off at night, you can hear the gurgling of water. I don't recommend buying it!</v>
      </c>
    </row>
    <row r="10852" spans="1:9" x14ac:dyDescent="0.3">
      <c r="A10852" s="1" t="s">
        <v>624</v>
      </c>
      <c r="B10852" s="1" t="s">
        <v>2107</v>
      </c>
      <c r="C10852" s="1" t="s">
        <v>479</v>
      </c>
      <c r="D10852" s="1" t="s">
        <v>1341</v>
      </c>
      <c r="E10852" s="1" t="s">
        <v>386</v>
      </c>
      <c r="F10852" s="1" t="s">
        <v>15645</v>
      </c>
      <c r="G10852" s="1" t="s">
        <v>36</v>
      </c>
      <c r="H10852" s="1" t="s">
        <v>29</v>
      </c>
      <c r="I10852" s="1" t="str">
        <f ca="1">IFERROR(__xludf.DUMMYFUNCTION("GOOGLETRANSLATE(F10852, ""auto"", ""en"")
"),"Class football player! Much different from fifa 10. The graphics have been improved, a new game camera has been added, as if from afar, you can choose the net for the goal, the field for wear, etc. Well done, good football)))")</f>
        <v>Class football player! Much different from fifa 10. The graphics have been improved, a new game camera has been added, as if from afar, you can choose the net for the goal, the field for wear, etc. Well done, good football)))</v>
      </c>
    </row>
    <row r="10853" spans="1:9" x14ac:dyDescent="0.3">
      <c r="A10853" s="1" t="s">
        <v>61</v>
      </c>
      <c r="B10853" s="1" t="s">
        <v>73</v>
      </c>
      <c r="C10853" s="1" t="s">
        <v>101</v>
      </c>
      <c r="D10853" s="1" t="s">
        <v>521</v>
      </c>
      <c r="E10853" s="1" t="s">
        <v>1868</v>
      </c>
      <c r="F10853" s="1" t="s">
        <v>15646</v>
      </c>
      <c r="G10853" s="1" t="s">
        <v>28</v>
      </c>
      <c r="H10853" s="1" t="s">
        <v>29</v>
      </c>
      <c r="I10853" s="1" t="str">
        <f ca="1">IFERROR(__xludf.DUMMYFUNCTION("GOOGLETRANSLATE(F10853, ""auto"", ""en"")
"),"Bought it as a gift for my mother. She is very pleased. It makes good minced meat. And most importantly, it’s easy and fast. It washes without problems, I will definitely buy one for myself. There is a small drawback - the attachment oxidizes if you leave"&amp;" the meat in the meat grinder, however, this problem will not arise if you wash it immediately after use.")</f>
        <v>Bought it as a gift for my mother. She is very pleased. It makes good minced meat. And most importantly, it’s easy and fast. It washes without problems, I will definitely buy one for myself. There is a small drawback - the attachment oxidizes if you leave the meat in the meat grinder, however, this problem will not arise if you wash it immediately after use.</v>
      </c>
    </row>
    <row r="10854" spans="1:9" x14ac:dyDescent="0.3">
      <c r="A10854" s="1" t="s">
        <v>61</v>
      </c>
      <c r="B10854" s="1" t="s">
        <v>318</v>
      </c>
      <c r="C10854" s="1" t="s">
        <v>69</v>
      </c>
      <c r="D10854" s="1" t="s">
        <v>545</v>
      </c>
      <c r="E10854" s="1" t="s">
        <v>5081</v>
      </c>
      <c r="F10854" s="1" t="s">
        <v>15647</v>
      </c>
      <c r="G10854" s="1" t="s">
        <v>36</v>
      </c>
      <c r="H10854" s="1" t="s">
        <v>29</v>
      </c>
      <c r="I10854" s="1" t="str">
        <f ca="1">IFERROR(__xludf.DUMMYFUNCTION("GOOGLETRANSLATE(F10854, ""auto"", ""en"")
"),"This kettle has been working for 6 years! Before this, kettles were changed regularly once every 6 months! Frankly, we were very surprised! I wonder if this model is so successful, or if all the kettles from this company last this long?")</f>
        <v>This kettle has been working for 6 years! Before this, kettles were changed regularly once every 6 months! Frankly, we were very surprised! I wonder if this model is so successful, or if all the kettles from this company last this long?</v>
      </c>
    </row>
    <row r="10855" spans="1:9" x14ac:dyDescent="0.3">
      <c r="A10855" s="1" t="s">
        <v>17</v>
      </c>
      <c r="B10855" s="1" t="s">
        <v>18</v>
      </c>
      <c r="C10855" s="1" t="s">
        <v>243</v>
      </c>
      <c r="D10855" s="1" t="s">
        <v>152</v>
      </c>
      <c r="E10855" s="1" t="s">
        <v>1702</v>
      </c>
      <c r="F10855" s="1" t="s">
        <v>15648</v>
      </c>
      <c r="G10855" s="1" t="s">
        <v>94</v>
      </c>
      <c r="H10855" s="1" t="s">
        <v>29</v>
      </c>
      <c r="I10855" s="1" t="str">
        <f ca="1">IFERROR(__xludf.DUMMYFUNCTION("GOOGLETRANSLATE(F10855, ""auto"", ""en"")
"),"Small size, functionality")</f>
        <v>Small size, functionality</v>
      </c>
    </row>
    <row r="10856" spans="1:9" x14ac:dyDescent="0.3">
      <c r="A10856" s="1" t="s">
        <v>89</v>
      </c>
      <c r="B10856" s="1" t="s">
        <v>1106</v>
      </c>
      <c r="C10856" s="1" t="s">
        <v>246</v>
      </c>
      <c r="D10856" s="1" t="s">
        <v>6902</v>
      </c>
      <c r="E10856" s="1" t="s">
        <v>6098</v>
      </c>
      <c r="F10856" s="1" t="s">
        <v>15649</v>
      </c>
      <c r="G10856" s="1" t="s">
        <v>49</v>
      </c>
      <c r="H10856" s="1" t="s">
        <v>16</v>
      </c>
      <c r="I10856" s="1" t="str">
        <f ca="1">IFERROR(__xludf.DUMMYFUNCTION("GOOGLETRANSLATE(F10856, ""auto"", ""en"")
"),"I’ll go straight to the main thing: I can only highlight the disadvantages since they predominate... well, firstly, there are extra costs for paper filters that were not included in the kit, and these are already extra costs not foreseen, secondly, it’s n"&amp;"ot clear how to dose coffee (what should be the ratio, nothing is written about this in the instructions!) there are only marks for mugs or cups, thirdly, the coffee maker itself does not turn off when making coffee, and therefore there is extra energy co"&amp;"nsumption, in general there is one dissatisfaction, he said according to the facts!")</f>
        <v>I’ll go straight to the main thing: I can only highlight the disadvantages since they predominate... well, firstly, there are extra costs for paper filters that were not included in the kit, and these are already extra costs not foreseen, secondly, it’s not clear how to dose coffee (what should be the ratio, nothing is written about this in the instructions!) there are only marks for mugs or cups, thirdly, the coffee maker itself does not turn off when making coffee, and therefore there is extra energy consumption, in general there is one dissatisfaction, he said according to the facts!</v>
      </c>
    </row>
    <row r="10857" spans="1:9" x14ac:dyDescent="0.3">
      <c r="A10857" s="1" t="s">
        <v>61</v>
      </c>
      <c r="B10857" s="1" t="s">
        <v>62</v>
      </c>
      <c r="C10857" s="1" t="s">
        <v>63</v>
      </c>
      <c r="D10857" s="1" t="s">
        <v>280</v>
      </c>
      <c r="E10857" s="1" t="s">
        <v>6442</v>
      </c>
      <c r="F10857" s="1" t="s">
        <v>15650</v>
      </c>
      <c r="G10857" s="1" t="s">
        <v>28</v>
      </c>
      <c r="H10857" s="1" t="s">
        <v>29</v>
      </c>
      <c r="I10857" s="1" t="str">
        <f ca="1">IFERROR(__xludf.DUMMYFUNCTION("GOOGLETRANSLATE(F10857, ""auto"", ""en"")
"),"Definitely very productive. That is, with large volumes the advantages are obvious. Everything stated works. Could use another working grater. I don’t know about the beater, it seems to whip, but I would like it to be better. It’s difficult to compare wit"&amp;"h others since I don’t have much experience.")</f>
        <v>Definitely very productive. That is, with large volumes the advantages are obvious. Everything stated works. Could use another working grater. I don’t know about the beater, it seems to whip, but I would like it to be better. It’s difficult to compare with others since I don’t have much experience.</v>
      </c>
    </row>
    <row r="10858" spans="1:9" x14ac:dyDescent="0.3">
      <c r="A10858" s="1" t="s">
        <v>9</v>
      </c>
      <c r="B10858" s="1" t="s">
        <v>23</v>
      </c>
      <c r="C10858" s="1" t="s">
        <v>134</v>
      </c>
      <c r="D10858" s="1" t="s">
        <v>75</v>
      </c>
      <c r="E10858" s="1" t="s">
        <v>932</v>
      </c>
      <c r="F10858" s="1" t="s">
        <v>15651</v>
      </c>
      <c r="G10858" s="1" t="s">
        <v>36</v>
      </c>
      <c r="H10858" s="1" t="s">
        <v>29</v>
      </c>
      <c r="I10858" s="1" t="str">
        <f ca="1">IFERROR(__xludf.DUMMYFUNCTION("GOOGLETRANSLATE(F10858, ""auto"", ""en"")
"),"I’ve been using PMM for 4 months now. It cleans everything perfectly. And tea stains, greasy pans. All the dishes sparkle. There is no need to rub the glasses; they are dry and shiny after washing. I am very pleased with the purchase! This is my main assi"&amp;"stant in the kitchen! I recommend!")</f>
        <v>I’ve been using PMM for 4 months now. It cleans everything perfectly. And tea stains, greasy pans. All the dishes sparkle. There is no need to rub the glasses; they are dry and shiny after washing. I am very pleased with the purchase! This is my main assistant in the kitchen! I recommend!</v>
      </c>
    </row>
    <row r="10859" spans="1:9" x14ac:dyDescent="0.3">
      <c r="A10859" s="1" t="s">
        <v>30</v>
      </c>
      <c r="B10859" s="1" t="s">
        <v>50</v>
      </c>
      <c r="C10859" s="1" t="s">
        <v>189</v>
      </c>
      <c r="D10859" s="1" t="s">
        <v>3030</v>
      </c>
      <c r="E10859" s="1" t="s">
        <v>1992</v>
      </c>
      <c r="F10859" s="1" t="s">
        <v>15652</v>
      </c>
      <c r="G10859" s="1" t="s">
        <v>36</v>
      </c>
      <c r="H10859" s="1" t="s">
        <v>29</v>
      </c>
      <c r="I10859" s="1" t="str">
        <f ca="1">IFERROR(__xludf.DUMMYFUNCTION("GOOGLETRANSLATE(F10859, ""auto"", ""en"")
"),"I chose for a long time. bought. I've been using it for a month, everything is ok. Quiet. Doesn't heat up. Games run great... I don't regret it.")</f>
        <v>I chose for a long time. bought. I've been using it for a month, everything is ok. Quiet. Doesn't heat up. Games run great... I don't regret it.</v>
      </c>
    </row>
    <row r="10860" spans="1:9" x14ac:dyDescent="0.3">
      <c r="A10860" s="1" t="s">
        <v>78</v>
      </c>
      <c r="B10860" s="1" t="s">
        <v>79</v>
      </c>
      <c r="C10860" s="1" t="s">
        <v>80</v>
      </c>
      <c r="D10860" s="1" t="s">
        <v>86</v>
      </c>
      <c r="E10860" s="1" t="s">
        <v>6289</v>
      </c>
      <c r="F10860" s="1" t="s">
        <v>15653</v>
      </c>
      <c r="G10860" s="1" t="s">
        <v>28</v>
      </c>
      <c r="H10860" s="1" t="s">
        <v>29</v>
      </c>
      <c r="I10860" s="1" t="str">
        <f ca="1">IFERROR(__xludf.DUMMYFUNCTION("GOOGLETRANSLATE(F10860, ""auto"", ""en"")
"),"The display is installed crookedly. I checked in the store, this problem is not only with my stove. Apparently there was a mistake during assembly. Moreover, the same situation is with LG washing machines. Where is this equipment assembled?!")</f>
        <v>The display is installed crookedly. I checked in the store, this problem is not only with my stove. Apparently there was a mistake during assembly. Moreover, the same situation is with LG washing machines. Where is this equipment assembled?!</v>
      </c>
    </row>
    <row r="10861" spans="1:9" x14ac:dyDescent="0.3">
      <c r="A10861" s="1" t="s">
        <v>9</v>
      </c>
      <c r="B10861" s="1" t="s">
        <v>23</v>
      </c>
      <c r="C10861" s="1" t="s">
        <v>466</v>
      </c>
      <c r="D10861" s="1" t="s">
        <v>568</v>
      </c>
      <c r="E10861" s="1" t="s">
        <v>4735</v>
      </c>
      <c r="F10861" s="1" t="s">
        <v>15654</v>
      </c>
      <c r="G10861" s="1" t="s">
        <v>28</v>
      </c>
      <c r="H10861" s="1" t="s">
        <v>29</v>
      </c>
      <c r="I10861" s="1" t="str">
        <f ca="1">IFERROR(__xludf.DUMMYFUNCTION("GOOGLETRANSLATE(F10861, ""auto"", ""en"")
"),"The machine washes for 4. It has been working every day for 5 years. If error E3 occurs, first simply wash the filters. In my case it helped 100%. Simply because the filters were clogged, the required water pressure did not arise in the system and the hea"&amp;"ting was turned off, this is not a breakdown. Just sometimes you need to wash the filter, 5 minutes of work :). I consider it quite acceptable upon acquisition.")</f>
        <v>The machine washes for 4. It has been working every day for 5 years. If error E3 occurs, first simply wash the filters. In my case it helped 100%. Simply because the filters were clogged, the required water pressure did not arise in the system and the heating was turned off, this is not a breakdown. Just sometimes you need to wash the filter, 5 minutes of work :). I consider it quite acceptable upon acquisition.</v>
      </c>
    </row>
    <row r="10862" spans="1:9" x14ac:dyDescent="0.3">
      <c r="A10862" s="1" t="s">
        <v>120</v>
      </c>
      <c r="B10862" s="1" t="s">
        <v>256</v>
      </c>
      <c r="C10862" s="1" t="s">
        <v>277</v>
      </c>
      <c r="D10862" s="1" t="s">
        <v>152</v>
      </c>
      <c r="E10862" s="1" t="s">
        <v>386</v>
      </c>
      <c r="F10862" s="1" t="s">
        <v>15655</v>
      </c>
      <c r="G10862" s="1" t="s">
        <v>36</v>
      </c>
      <c r="H10862" s="1" t="s">
        <v>29</v>
      </c>
      <c r="I10862" s="1" t="str">
        <f ca="1">IFERROR(__xludf.DUMMYFUNCTION("GOOGLETRANSLATE(F10862, ""auto"", ""en"")
"),"I think there is no need to spend money on “brands”, everything is made from the same components, I bought it for the village, I’m very pleased!")</f>
        <v>I think there is no need to spend money on “brands”, everything is made from the same components, I bought it for the village, I’m very pleased!</v>
      </c>
    </row>
    <row r="10863" spans="1:9" x14ac:dyDescent="0.3">
      <c r="A10863" s="1" t="s">
        <v>61</v>
      </c>
      <c r="B10863" s="1" t="s">
        <v>145</v>
      </c>
      <c r="C10863" s="1" t="s">
        <v>57</v>
      </c>
      <c r="D10863" s="1" t="s">
        <v>247</v>
      </c>
      <c r="E10863" s="1" t="s">
        <v>217</v>
      </c>
      <c r="F10863" s="1" t="s">
        <v>15656</v>
      </c>
      <c r="G10863" s="1" t="s">
        <v>36</v>
      </c>
      <c r="H10863" s="1" t="s">
        <v>29</v>
      </c>
      <c r="I10863" s="1" t="str">
        <f ca="1">IFERROR(__xludf.DUMMYFUNCTION("GOOGLETRANSLATE(F10863, ""auto"", ""en"")
"),"I want to say that the deep fryer is simply super, I bought it a month ago for my child, it’s enough for four servings, very convenient, neat, compact, thank you very much for the reviews on your website, after reading them I made a choice in favor of thi"&amp;"s particular deep fryer. I was very pleased.")</f>
        <v>I want to say that the deep fryer is simply super, I bought it a month ago for my child, it’s enough for four servings, very convenient, neat, compact, thank you very much for the reviews on your website, after reading them I made a choice in favor of this particular deep fryer. I was very pleased.</v>
      </c>
    </row>
    <row r="10864" spans="1:9" x14ac:dyDescent="0.3">
      <c r="A10864" s="1" t="s">
        <v>61</v>
      </c>
      <c r="B10864" s="1" t="s">
        <v>726</v>
      </c>
      <c r="C10864" s="1" t="s">
        <v>74</v>
      </c>
      <c r="D10864" s="1" t="s">
        <v>81</v>
      </c>
      <c r="E10864" s="1" t="s">
        <v>2432</v>
      </c>
      <c r="F10864" s="1" t="s">
        <v>15657</v>
      </c>
      <c r="G10864" s="1" t="s">
        <v>36</v>
      </c>
      <c r="H10864" s="1" t="s">
        <v>29</v>
      </c>
      <c r="I10864" s="1" t="str">
        <f ca="1">IFERROR(__xludf.DUMMYFUNCTION("GOOGLETRANSLATE(F10864, ""auto"", ""en"")
"),"Excellent bread machine, always bakes good bread, always baked. I advise everyone, you will not regret the purchase.")</f>
        <v>Excellent bread machine, always bakes good bread, always baked. I advise everyone, you will not regret the purchase.</v>
      </c>
    </row>
    <row r="10865" spans="1:9" x14ac:dyDescent="0.3">
      <c r="A10865" s="1" t="s">
        <v>43</v>
      </c>
      <c r="B10865" s="1" t="s">
        <v>303</v>
      </c>
      <c r="C10865" s="1" t="s">
        <v>665</v>
      </c>
      <c r="D10865" s="1" t="s">
        <v>411</v>
      </c>
      <c r="E10865" s="1" t="s">
        <v>9299</v>
      </c>
      <c r="F10865" s="1" t="s">
        <v>15658</v>
      </c>
      <c r="G10865" s="1" t="s">
        <v>36</v>
      </c>
      <c r="H10865" s="1" t="s">
        <v>29</v>
      </c>
      <c r="I10865" s="1" t="str">
        <f ca="1">IFERROR(__xludf.DUMMYFUNCTION("GOOGLETRANSLATE(F10865, ""auto"", ""en"")
"),"I was looking for a small volume water heater, since I live alone and I simply don’t need more. Haier had a pretty decent selection. This model attracted me with its characteristics. Convenient, albeit mechanical, control, the power is enough to quickly h"&amp;"eat water to maximum temperature. I've been using it for almost a year, I have no complaints, it works stably")</f>
        <v>I was looking for a small volume water heater, since I live alone and I simply don’t need more. Haier had a pretty decent selection. This model attracted me with its characteristics. Convenient, albeit mechanical, control, the power is enough to quickly heat water to maximum temperature. I've been using it for almost a year, I have no complaints, it works stably</v>
      </c>
    </row>
    <row r="10866" spans="1:9" x14ac:dyDescent="0.3">
      <c r="A10866" s="1" t="s">
        <v>120</v>
      </c>
      <c r="B10866" s="1" t="s">
        <v>126</v>
      </c>
      <c r="C10866" s="1" t="s">
        <v>151</v>
      </c>
      <c r="D10866" s="1" t="s">
        <v>139</v>
      </c>
      <c r="E10866" s="1" t="s">
        <v>1219</v>
      </c>
      <c r="F10866" s="1" t="s">
        <v>15659</v>
      </c>
      <c r="G10866" s="1" t="s">
        <v>36</v>
      </c>
      <c r="H10866" s="1" t="s">
        <v>29</v>
      </c>
      <c r="I10866" s="1" t="str">
        <f ca="1">IFERROR(__xludf.DUMMYFUNCTION("GOOGLETRANSLATE(F10866, ""auto"", ""en"")
"),"The TV was bought for a summer house to be viewed from a distance of 6 meters. The picture is very decent; I compared it with the same film on a 46 SONY LCD; I didn’t feel any differences, because The film was not with a maximum resolution of 1920*1080. A"&amp;" very convenient function for reading movies, music, photos from flash drives. The sound is also good.")</f>
        <v>The TV was bought for a summer house to be viewed from a distance of 6 meters. The picture is very decent; I compared it with the same film on a 46 SONY LCD; I didn’t feel any differences, because The film was not with a maximum resolution of 1920*1080. A very convenient function for reading movies, music, photos from flash drives. The sound is also good.</v>
      </c>
    </row>
    <row r="10867" spans="1:9" x14ac:dyDescent="0.3">
      <c r="A10867" s="1" t="s">
        <v>361</v>
      </c>
      <c r="B10867" s="1" t="s">
        <v>462</v>
      </c>
      <c r="C10867" s="1" t="s">
        <v>698</v>
      </c>
      <c r="D10867" s="1" t="s">
        <v>280</v>
      </c>
      <c r="E10867" s="1" t="s">
        <v>862</v>
      </c>
      <c r="F10867" s="1" t="s">
        <v>15660</v>
      </c>
      <c r="G10867" s="1" t="s">
        <v>28</v>
      </c>
      <c r="H10867" s="1" t="s">
        <v>29</v>
      </c>
      <c r="I10867" s="1" t="str">
        <f ca="1">IFERROR(__xludf.DUMMYFUNCTION("GOOGLETRANSLATE(F10867, ""auto"", ""en"")
"),"The water in our area is very soft, so I change the cartridge about every 3 months. Family of 4.  I am satisfied with the quality of the water. A little expensive, but there is no other alternative, since I live in a hostel.")</f>
        <v>The water in our area is very soft, so I change the cartridge about every 3 months. Family of 4.  I am satisfied with the quality of the water. A little expensive, but there is no other alternative, since I live in a hostel.</v>
      </c>
    </row>
    <row r="10868" spans="1:9" x14ac:dyDescent="0.3">
      <c r="A10868" s="1" t="s">
        <v>30</v>
      </c>
      <c r="B10868" s="1" t="s">
        <v>50</v>
      </c>
      <c r="C10868" s="1" t="s">
        <v>189</v>
      </c>
      <c r="D10868" s="1" t="s">
        <v>15661</v>
      </c>
      <c r="E10868" s="1" t="s">
        <v>1646</v>
      </c>
      <c r="F10868" s="1" t="s">
        <v>15662</v>
      </c>
      <c r="G10868" s="1" t="s">
        <v>28</v>
      </c>
      <c r="H10868" s="1" t="s">
        <v>29</v>
      </c>
      <c r="I10868" s="1" t="str">
        <f ca="1">IFERROR(__xludf.DUMMYFUNCTION("GOOGLETRANSLATE(F10868, ""auto"", ""en"")
"),"In general, the laptop is just lovely, but you can’t find worse software... On the second day of work, it started to freeze and glitch... It turned out that the laptop was flashed with Vista... that’s another + a couple of thousand.. this is inevitable, s"&amp;"ince all laptops are based on this.... Good luck with your purchase...")</f>
        <v>In general, the laptop is just lovely, but you can’t find worse software... On the second day of work, it started to freeze and glitch... It turned out that the laptop was flashed with Vista... that’s another + a couple of thousand.. this is inevitable, since all laptops are based on this.... Good luck with your purchase...</v>
      </c>
    </row>
    <row r="10869" spans="1:9" x14ac:dyDescent="0.3">
      <c r="A10869" s="1" t="s">
        <v>2087</v>
      </c>
      <c r="B10869" s="1" t="s">
        <v>2088</v>
      </c>
      <c r="C10869" s="1" t="s">
        <v>1771</v>
      </c>
      <c r="D10869" s="1" t="s">
        <v>15663</v>
      </c>
      <c r="E10869" s="1" t="s">
        <v>2278</v>
      </c>
      <c r="F10869" s="1" t="s">
        <v>15664</v>
      </c>
      <c r="G10869" s="1" t="s">
        <v>36</v>
      </c>
      <c r="H10869" s="1" t="s">
        <v>29</v>
      </c>
      <c r="I10869" s="1" t="str">
        <f ca="1">IFERROR(__xludf.DUMMYFUNCTION("GOOGLETRANSLATE(F10869, ""auto"", ""en"")
"),"I bought the Pioneer BDP-120, tempted by the very reasonable price. And I didn’t regret it. A very good device from the budget class. The only drawback is that it takes a very long time to load. Otherwise, everything is fine. I recommend it to anyone who "&amp;"wants to buy an inexpensive but high-quality Blu-Ray player.")</f>
        <v>I bought the Pioneer BDP-120, tempted by the very reasonable price. And I didn’t regret it. A very good device from the budget class. The only drawback is that it takes a very long time to load. Otherwise, everything is fine. I recommend it to anyone who wants to buy an inexpensive but high-quality Blu-Ray player.</v>
      </c>
    </row>
    <row r="10870" spans="1:9" x14ac:dyDescent="0.3">
      <c r="A10870" s="1" t="s">
        <v>95</v>
      </c>
      <c r="B10870" s="1" t="s">
        <v>486</v>
      </c>
      <c r="C10870" s="1" t="s">
        <v>487</v>
      </c>
      <c r="D10870" s="1" t="s">
        <v>33</v>
      </c>
      <c r="E10870" s="1" t="s">
        <v>6232</v>
      </c>
      <c r="F10870" s="1" t="s">
        <v>15665</v>
      </c>
      <c r="G10870" s="1" t="s">
        <v>36</v>
      </c>
      <c r="H10870" s="1" t="s">
        <v>29</v>
      </c>
      <c r="I10870" s="1" t="str">
        <f ca="1">IFERROR(__xludf.DUMMYFUNCTION("GOOGLETRANSLATE(F10870, ""auto"", ""en"")
"),"I bought an Xbox 360 on August 3 (and now I’ll remember this date for a long time)... we just bought a TV before and they gave us 3,000 rubles. as a gift! so I bought it for 5990! and immediately bought two games... now I’m playing... I like everything, j"&amp;"ust that in order to watch the video from the flash drive, you need to download codecs... but it’s generally impossible to rewind the music, you have to listen to it all!  and I have one question: there are two joysticks in the gamepad... well, my left on"&amp;"e goes up slowly... but the right one goes up easily (that’s what I don’t like)... is everyone like this?")</f>
        <v>I bought an Xbox 360 on August 3 (and now I’ll remember this date for a long time)... we just bought a TV before and they gave us 3,000 rubles. as a gift! so I bought it for 5990! and immediately bought two games... now I’m playing... I like everything, just that in order to watch the video from the flash drive, you need to download codecs... but it’s generally impossible to rewind the music, you have to listen to it all!  and I have one question: there are two joysticks in the gamepad... well, my left one goes up slowly... but the right one goes up easily (that’s what I don’t like)... is everyone like this?</v>
      </c>
    </row>
    <row r="10871" spans="1:9" x14ac:dyDescent="0.3">
      <c r="A10871" s="1" t="s">
        <v>43</v>
      </c>
      <c r="B10871" s="1" t="s">
        <v>1616</v>
      </c>
      <c r="C10871" s="1" t="s">
        <v>185</v>
      </c>
      <c r="D10871" s="1" t="s">
        <v>58</v>
      </c>
      <c r="E10871" s="1" t="s">
        <v>225</v>
      </c>
      <c r="F10871" s="1" t="s">
        <v>15666</v>
      </c>
      <c r="G10871" s="1" t="s">
        <v>36</v>
      </c>
      <c r="H10871" s="1" t="s">
        <v>29</v>
      </c>
      <c r="I10871" s="1" t="str">
        <f ca="1">IFERROR(__xludf.DUMMYFUNCTION("GOOGLETRANSLATE(F10871, ""auto"", ""en"")
"),"After buying a mobile air conditioner Bork AC MCR 25180 WT and being completely disappointed, Delonghi simply surprised me. It cools a 16 m room to 24 degrees. It plows non-stop around the clock. What’s also important is that you don’t need to carry bucke"&amp;"ts of water into this model. It doesn’t produce any glitches. The noise from it is tolerable even at night. We can only be in the living room where it is actually installed, it’s comfortable, even in the morning we freeze. The remote control works from th"&amp;"e other end of the room (for comparison, in Bork it was necessary to bring it close to the display). The wires from it do not melt along with the socket and wires in the meter, the extension cord does not get red hot like from Bork, power outages do not a"&amp;"ffect its operation (Bork switched off from such changes and shook like crazy). We are very happy with the purchase!")</f>
        <v>After buying a mobile air conditioner Bork AC MCR 25180 WT and being completely disappointed, Delonghi simply surprised me. It cools a 16 m room to 24 degrees. It plows non-stop around the clock. What’s also important is that you don’t need to carry buckets of water into this model. It doesn’t produce any glitches. The noise from it is tolerable even at night. We can only be in the living room where it is actually installed, it’s comfortable, even in the morning we freeze. The remote control works from the other end of the room (for comparison, in Bork it was necessary to bring it close to the display). The wires from it do not melt along with the socket and wires in the meter, the extension cord does not get red hot like from Bork, power outages do not affect its operation (Bork switched off from such changes and shook like crazy). We are very happy with the purchase!</v>
      </c>
    </row>
    <row r="10872" spans="1:9" x14ac:dyDescent="0.3">
      <c r="A10872" s="1" t="s">
        <v>61</v>
      </c>
      <c r="B10872" s="1" t="s">
        <v>318</v>
      </c>
      <c r="C10872" s="1" t="s">
        <v>246</v>
      </c>
      <c r="D10872" s="1" t="s">
        <v>319</v>
      </c>
      <c r="E10872" s="1" t="s">
        <v>750</v>
      </c>
      <c r="F10872" s="1" t="s">
        <v>15667</v>
      </c>
      <c r="G10872" s="1" t="s">
        <v>36</v>
      </c>
      <c r="H10872" s="1" t="s">
        <v>29</v>
      </c>
      <c r="I10872" s="1" t="str">
        <f ca="1">IFERROR(__xludf.DUMMYFUNCTION("GOOGLETRANSLATE(F10872, ""auto"", ""en"")
"),"An awesome kettle, I’ve been using this one for more than 4 years, everything is ok, no glitches.")</f>
        <v>An awesome kettle, I’ve been using this one for more than 4 years, everything is ok, no glitches.</v>
      </c>
    </row>
    <row r="10873" spans="1:9" x14ac:dyDescent="0.3">
      <c r="A10873" s="1" t="s">
        <v>37</v>
      </c>
      <c r="B10873" s="1" t="s">
        <v>536</v>
      </c>
      <c r="C10873" s="1" t="s">
        <v>537</v>
      </c>
      <c r="D10873" s="1" t="s">
        <v>15668</v>
      </c>
      <c r="E10873" s="1" t="s">
        <v>1012</v>
      </c>
      <c r="F10873" s="1" t="s">
        <v>15669</v>
      </c>
      <c r="G10873" s="1" t="s">
        <v>36</v>
      </c>
      <c r="H10873" s="1" t="s">
        <v>29</v>
      </c>
      <c r="I10873" s="1" t="str">
        <f ca="1">IFERROR(__xludf.DUMMYFUNCTION("GOOGLETRANSLATE(F10873, ""auto"", ""en"")
"),"Having bought this device, I was shocked!! It has so many brakes, it works when fully loaded, and I loaded it very much, it even seemed to me that the processor was faster than stated!! Of all the devices that I had, I think that Android is a revolution, "&amp;"the iPhone wasn’t even close!! I recommend this company and smartphones on Android to everyone!! And I haven’t updated it to the new version yet!! Its connection quality is higher than that of other manufacturers!! In general, that’s it! I can’t describe "&amp;"the advantages!!! minus one is the battery, well, if you use it only as a phone, it’s enough for 4 days!!")</f>
        <v>Having bought this device, I was shocked!! It has so many brakes, it works when fully loaded, and I loaded it very much, it even seemed to me that the processor was faster than stated!! Of all the devices that I had, I think that Android is a revolution, the iPhone wasn’t even close!! I recommend this company and smartphones on Android to everyone!! And I haven’t updated it to the new version yet!! Its connection quality is higher than that of other manufacturers!! In general, that’s it! I can’t describe the advantages!!! minus one is the battery, well, if you use it only as a phone, it’s enough for 4 days!!</v>
      </c>
    </row>
    <row r="10874" spans="1:9" x14ac:dyDescent="0.3">
      <c r="A10874" s="1" t="s">
        <v>1119</v>
      </c>
      <c r="B10874" s="1" t="s">
        <v>1120</v>
      </c>
      <c r="C10874" s="1" t="s">
        <v>97</v>
      </c>
      <c r="D10874" s="1" t="s">
        <v>922</v>
      </c>
      <c r="E10874" s="1" t="s">
        <v>3664</v>
      </c>
      <c r="F10874" s="1" t="s">
        <v>15670</v>
      </c>
      <c r="G10874" s="1" t="s">
        <v>36</v>
      </c>
      <c r="H10874" s="1" t="s">
        <v>29</v>
      </c>
      <c r="I10874" s="1" t="str">
        <f ca="1">IFERROR(__xludf.DUMMYFUNCTION("GOOGLETRANSLATE(F10874, ""auto"", ""en"")
"),"Today we purchased a Sony DCR-SR48 camera.  We chose between Panasonic SDR-H81EE-K and Sonya. We are very happy with our purchase, the camera is easy to use due to its touch screen, the menu is Russified, the image is clear, it quickly turns on and off an"&amp;"d switches from one mode to another. Super!!!! Excellent rating!!!")</f>
        <v>Today we purchased a Sony DCR-SR48 camera.  We chose between Panasonic SDR-H81EE-K and Sonya. We are very happy with our purchase, the camera is easy to use due to its touch screen, the menu is Russified, the image is clear, it quickly turns on and off and switches from one mode to another. Super!!!! Excellent rating!!!</v>
      </c>
    </row>
    <row r="10875" spans="1:9" x14ac:dyDescent="0.3">
      <c r="A10875" s="1" t="s">
        <v>9</v>
      </c>
      <c r="B10875" s="1" t="s">
        <v>137</v>
      </c>
      <c r="C10875" s="1" t="s">
        <v>151</v>
      </c>
      <c r="D10875" s="1" t="s">
        <v>14581</v>
      </c>
      <c r="E10875" s="1" t="s">
        <v>6754</v>
      </c>
      <c r="F10875" s="1" t="s">
        <v>15671</v>
      </c>
      <c r="G10875" s="1" t="s">
        <v>36</v>
      </c>
      <c r="H10875" s="1" t="s">
        <v>29</v>
      </c>
      <c r="I10875" s="1" t="str">
        <f ca="1">IFERROR(__xludf.DUMMYFUNCTION("GOOGLETRANSLATE(F10875, ""auto"", ""en"")
"),"I've been using it for about 3 months. This thing is really worth the money. Beautiful design, electric ignition, gas control and convenience - this gas panel has it all. I recommend it to everyone.")</f>
        <v>I've been using it for about 3 months. This thing is really worth the money. Beautiful design, electric ignition, gas control and convenience - this gas panel has it all. I recommend it to everyone.</v>
      </c>
    </row>
    <row r="10876" spans="1:9" x14ac:dyDescent="0.3">
      <c r="A10876" s="1" t="s">
        <v>43</v>
      </c>
      <c r="B10876" s="1" t="s">
        <v>502</v>
      </c>
      <c r="C10876" s="1" t="s">
        <v>159</v>
      </c>
      <c r="D10876" s="1" t="s">
        <v>39</v>
      </c>
      <c r="E10876" s="1" t="s">
        <v>7054</v>
      </c>
      <c r="F10876" s="1" t="s">
        <v>15672</v>
      </c>
      <c r="G10876" s="1" t="s">
        <v>36</v>
      </c>
      <c r="H10876" s="1" t="s">
        <v>29</v>
      </c>
      <c r="I10876" s="1" t="str">
        <f ca="1">IFERROR(__xludf.DUMMYFUNCTION("GOOGLETRANSLATE(F10876, ""auto"", ""en"")
"),"I purchased this model at the beginning of June for a promotion + installation! Very happy with my purchase! I’ve been escaping the heat for two months now!) The air conditioner fully complies with the declared characteristics, which can be found in more "&amp;"detail on the official website, where you can download the catalog and instructions! The air conditioner itself is very quiet, especially since it has a night mode. Sometimes it works all night and doesn’t interfere with sleep at all! The same can be said"&amp;" about the outdoor unit - you can’t hear it working at all! The air conditioner literally cools the room (16 m2) to the set temperature in just a couple of minutes. At the same time, there is a timer that allows you to set the time for turning on and off "&amp;"the air conditioner. One of the disadvantages is manual adjustment of the horizontal sashes (see instructions)! I thought it would not be very convenient, but for a small room this function is completely unnecessary - set it up once and that’s it. The mos"&amp;"t important thing is that the vertical sashes are adjustable (remotely) from the horizontal position to the top, i.e. you can be under the air conditioner and it won’t blow directly on you, which is very convenient when the air conditioner is located abov"&amp;"e the bed or desk! It is especially worth noting the small size of the indoor unit - it looks very neat in a small room and does not create the impression of a healthy box! Plus modern design! The remote control is universal for this series, so some of th"&amp;"e buttons do not function (see instructions). At the same time, all declared functions are present in full. To summarize the above, I am very pleased with the purchase, I did not find any significant shortcomings, the equipment corresponds to what was dec"&amp;"lared. Plus full correspondence between price and quality! I would also like to note the high-quality work of the installers: they carefully installed the air conditioner, making all the necessary holes, without significantly damaging the walls or stainin"&amp;"g the wallpaper, they cleaned up everything after themselves; - checked the operation of the air conditioner and explained the main functions. The whole work took 50-60 minutes.")</f>
        <v>I purchased this model at the beginning of June for a promotion + installation! Very happy with my purchase! I’ve been escaping the heat for two months now!) The air conditioner fully complies with the declared characteristics, which can be found in more detail on the official website, where you can download the catalog and instructions! The air conditioner itself is very quiet, especially since it has a night mode. Sometimes it works all night and doesn’t interfere with sleep at all! The same can be said about the outdoor unit - you can’t hear it working at all! The air conditioner literally cools the room (16 m2) to the set temperature in just a couple of minutes. At the same time, there is a timer that allows you to set the time for turning on and off the air conditioner. One of the disadvantages is manual adjustment of the horizontal sashes (see instructions)! I thought it would not be very convenient, but for a small room this function is completely unnecessary - set it up once and that’s it. The most important thing is that the vertical sashes are adjustable (remotely) from the horizontal position to the top, i.e. you can be under the air conditioner and it won’t blow directly on you, which is very convenient when the air conditioner is located above the bed or desk! It is especially worth noting the small size of the indoor unit - it looks very neat in a small room and does not create the impression of a healthy box! Plus modern design! The remote control is universal for this series, so some of the buttons do not function (see instructions). At the same time, all declared functions are present in full. To summarize the above, I am very pleased with the purchase, I did not find any significant shortcomings, the equipment corresponds to what was declared. Plus full correspondence between price and quality! I would also like to note the high-quality work of the installers: they carefully installed the air conditioner, making all the necessary holes, without significantly damaging the walls or staining the wallpaper, they cleaned up everything after themselves; - checked the operation of the air conditioner and explained the main functions. The whole work took 50-60 minutes.</v>
      </c>
    </row>
    <row r="10877" spans="1:9" x14ac:dyDescent="0.3">
      <c r="A10877" s="1" t="s">
        <v>61</v>
      </c>
      <c r="B10877" s="1" t="s">
        <v>224</v>
      </c>
      <c r="C10877" s="1" t="s">
        <v>85</v>
      </c>
      <c r="D10877" s="1" t="s">
        <v>10177</v>
      </c>
      <c r="E10877" s="1" t="s">
        <v>15673</v>
      </c>
      <c r="F10877" s="1" t="s">
        <v>15674</v>
      </c>
      <c r="G10877" s="1" t="s">
        <v>36</v>
      </c>
      <c r="H10877" s="1" t="s">
        <v>29</v>
      </c>
      <c r="I10877" s="1" t="str">
        <f ca="1">IFERROR(__xludf.DUMMYFUNCTION("GOOGLETRANSLATE(F10877, ""auto"", ""en"")
"),"The juicer is simply super, it extracts quickly, the juice is clean and the productivity is high, stylish design, easy to use, I recommend it to everyone. .")</f>
        <v>The juicer is simply super, it extracts quickly, the juice is clean and the productivity is high, stylish design, easy to use, I recommend it to everyone. .</v>
      </c>
    </row>
    <row r="10878" spans="1:9" x14ac:dyDescent="0.3">
      <c r="A10878" s="1" t="s">
        <v>61</v>
      </c>
      <c r="B10878" s="1" t="s">
        <v>73</v>
      </c>
      <c r="C10878" s="1" t="s">
        <v>74</v>
      </c>
      <c r="D10878" s="1" t="s">
        <v>592</v>
      </c>
      <c r="E10878" s="1" t="s">
        <v>5790</v>
      </c>
      <c r="F10878" s="1" t="s">
        <v>15675</v>
      </c>
      <c r="G10878" s="1" t="s">
        <v>36</v>
      </c>
      <c r="H10878" s="1" t="s">
        <v>29</v>
      </c>
      <c r="I10878" s="1" t="str">
        <f ca="1">IFERROR(__xludf.DUMMYFUNCTION("GOOGLETRANSLATE(F10878, ""auto"", ""en"")
"),"Electric meat grinder Moulinex ME60614E SUPER!!!  I recommend")</f>
        <v>Electric meat grinder Moulinex ME60614E SUPER!!!  I recommend</v>
      </c>
    </row>
    <row r="10879" spans="1:9" x14ac:dyDescent="0.3">
      <c r="A10879" s="1" t="s">
        <v>95</v>
      </c>
      <c r="B10879" s="1" t="s">
        <v>648</v>
      </c>
      <c r="C10879" s="1" t="s">
        <v>97</v>
      </c>
      <c r="D10879" s="1" t="s">
        <v>15676</v>
      </c>
      <c r="E10879" s="1" t="s">
        <v>886</v>
      </c>
      <c r="F10879" s="1" t="s">
        <v>15677</v>
      </c>
      <c r="G10879" s="1" t="s">
        <v>36</v>
      </c>
      <c r="H10879" s="1" t="s">
        <v>29</v>
      </c>
      <c r="I10879" s="1" t="str">
        <f ca="1">IFERROR(__xludf.DUMMYFUNCTION("GOOGLETRANSLATE(F10879, ""auto"", ""en"")
"),"I personally really liked the Playstation Portable console, just like my brother. Because of the realistic sound and flexible performance. If my brother and I go away for a long time, this console does not make us bored and therefore it deserves all 5+ _T"&amp;"hank you for watching_")</f>
        <v>I personally really liked the Playstation Portable console, just like my brother. Because of the realistic sound and flexible performance. If my brother and I go away for a long time, this console does not make us bored and therefore it deserves all 5+ _Thank you for watching_</v>
      </c>
    </row>
    <row r="10880" spans="1:9" x14ac:dyDescent="0.3">
      <c r="A10880" s="1" t="s">
        <v>55</v>
      </c>
      <c r="B10880" s="1" t="s">
        <v>56</v>
      </c>
      <c r="C10880" s="1" t="s">
        <v>57</v>
      </c>
      <c r="D10880" s="1" t="s">
        <v>232</v>
      </c>
      <c r="E10880" s="1" t="s">
        <v>15678</v>
      </c>
      <c r="F10880" s="1" t="s">
        <v>15679</v>
      </c>
      <c r="G10880" s="1" t="s">
        <v>49</v>
      </c>
      <c r="H10880" s="1" t="s">
        <v>16</v>
      </c>
      <c r="I10880" s="1" t="str">
        <f ca="1">IFERROR(__xludf.DUMMYFUNCTION("GOOGLETRANSLATE(F10880, ""auto"", ""en"")
"),"Large water tank")</f>
        <v>Large water tank</v>
      </c>
    </row>
    <row r="10881" spans="1:9" x14ac:dyDescent="0.3">
      <c r="A10881" s="1" t="s">
        <v>211</v>
      </c>
      <c r="B10881" s="1" t="s">
        <v>2818</v>
      </c>
      <c r="C10881" s="1" t="s">
        <v>213</v>
      </c>
      <c r="D10881" s="1" t="s">
        <v>1121</v>
      </c>
      <c r="E10881" s="1" t="s">
        <v>5826</v>
      </c>
      <c r="F10881" s="1" t="s">
        <v>15680</v>
      </c>
      <c r="G10881" s="1" t="s">
        <v>36</v>
      </c>
      <c r="H10881" s="1" t="s">
        <v>29</v>
      </c>
      <c r="I10881" s="1" t="str">
        <f ca="1">IFERROR(__xludf.DUMMYFUNCTION("GOOGLETRANSLATE(F10881, ""auto"", ""en"")
"),"Shaves great, but a bit pricey!")</f>
        <v>Shaves great, but a bit pricey!</v>
      </c>
    </row>
    <row r="10882" spans="1:9" x14ac:dyDescent="0.3">
      <c r="A10882" s="1" t="s">
        <v>1823</v>
      </c>
      <c r="B10882" s="1" t="s">
        <v>2101</v>
      </c>
      <c r="C10882" s="1" t="s">
        <v>1825</v>
      </c>
      <c r="D10882" s="1" t="s">
        <v>117</v>
      </c>
      <c r="E10882" s="1" t="s">
        <v>4770</v>
      </c>
      <c r="F10882" s="1" t="s">
        <v>15681</v>
      </c>
      <c r="G10882" s="1" t="s">
        <v>36</v>
      </c>
      <c r="H10882" s="1" t="s">
        <v>29</v>
      </c>
      <c r="I10882" s="1" t="str">
        <f ca="1">IFERROR(__xludf.DUMMYFUNCTION("GOOGLETRANSLATE(F10882, ""auto"", ""en"")
"),"A good cover for an ironing board from the same company, everything fits! The cover was purchased to replace an old one, which had worn through to holes over many years of use.")</f>
        <v>A good cover for an ironing board from the same company, everything fits! The cover was purchased to replace an old one, which had worn through to holes over many years of use.</v>
      </c>
    </row>
    <row r="10883" spans="1:9" x14ac:dyDescent="0.3">
      <c r="A10883" s="1" t="s">
        <v>61</v>
      </c>
      <c r="B10883" s="1" t="s">
        <v>224</v>
      </c>
      <c r="C10883" s="1" t="s">
        <v>85</v>
      </c>
      <c r="D10883" s="1" t="s">
        <v>33</v>
      </c>
      <c r="E10883" s="1" t="s">
        <v>8309</v>
      </c>
      <c r="F10883" s="1" t="s">
        <v>15682</v>
      </c>
      <c r="G10883" s="1" t="s">
        <v>36</v>
      </c>
      <c r="H10883" s="1" t="s">
        <v>29</v>
      </c>
      <c r="I10883" s="1" t="str">
        <f ca="1">IFERROR(__xludf.DUMMYFUNCTION("GOOGLETRANSLATE(F10883, ""auto"", ""en"")
"),"The juicer is great! Powerful, comfortable and beautiful. I squeezed grapefruit and tangerines - amazing! Looking forward to pomegranate season!")</f>
        <v>The juicer is great! Powerful, comfortable and beautiful. I squeezed grapefruit and tangerines - amazing! Looking forward to pomegranate season!</v>
      </c>
    </row>
    <row r="10884" spans="1:9" x14ac:dyDescent="0.3">
      <c r="A10884" s="1" t="s">
        <v>37</v>
      </c>
      <c r="B10884" s="1" t="s">
        <v>38</v>
      </c>
      <c r="C10884" s="1" t="s">
        <v>163</v>
      </c>
      <c r="D10884" s="1" t="s">
        <v>86</v>
      </c>
      <c r="E10884" s="1" t="s">
        <v>3890</v>
      </c>
      <c r="F10884" s="1" t="s">
        <v>15683</v>
      </c>
      <c r="G10884" s="1" t="s">
        <v>36</v>
      </c>
      <c r="H10884" s="1" t="s">
        <v>29</v>
      </c>
      <c r="I10884" s="1" t="str">
        <f ca="1">IFERROR(__xludf.DUMMYFUNCTION("GOOGLETRANSLATE(F10884, ""auto"", ""en"")
"),"Bought 11/15/10!!! This phone is a worthy replacement for Sony Ericson K550i! In general, it's cool! I recommend")</f>
        <v>Bought 11/15/10!!! This phone is a worthy replacement for Sony Ericson K550i! In general, it's cool! I recommend</v>
      </c>
    </row>
    <row r="10885" spans="1:9" x14ac:dyDescent="0.3">
      <c r="A10885" s="1" t="s">
        <v>120</v>
      </c>
      <c r="B10885" s="1" t="s">
        <v>126</v>
      </c>
      <c r="C10885" s="1" t="s">
        <v>80</v>
      </c>
      <c r="D10885" s="1" t="s">
        <v>7017</v>
      </c>
      <c r="E10885" s="1" t="s">
        <v>1742</v>
      </c>
      <c r="F10885" s="1" t="s">
        <v>15684</v>
      </c>
      <c r="G10885" s="1" t="s">
        <v>15</v>
      </c>
      <c r="H10885" s="1" t="s">
        <v>16</v>
      </c>
      <c r="I10885" s="1" t="str">
        <f ca="1">IFERROR(__xludf.DUMMYFUNCTION("GOOGLETRANSLATE(F10885, ""auto"", ""en"")
"),"Alexander (Togliatti) How can the picture in the game NFS Shift be super on this TV, when its maximum resolution is 1024x768 for a diagonal of over one meter! (and this resolution is standard for non-wide-format panels).")</f>
        <v>Alexander (Togliatti) How can the picture in the game NFS Shift be super on this TV, when its maximum resolution is 1024x768 for a diagonal of over one meter! (and this resolution is standard for non-wide-format panels).</v>
      </c>
    </row>
    <row r="10886" spans="1:9" x14ac:dyDescent="0.3">
      <c r="A10886" s="1" t="s">
        <v>61</v>
      </c>
      <c r="B10886" s="1" t="s">
        <v>224</v>
      </c>
      <c r="C10886" s="1" t="s">
        <v>213</v>
      </c>
      <c r="D10886" s="1" t="s">
        <v>378</v>
      </c>
      <c r="E10886" s="1" t="s">
        <v>2608</v>
      </c>
      <c r="F10886" s="1" t="s">
        <v>15685</v>
      </c>
      <c r="G10886" s="1" t="s">
        <v>36</v>
      </c>
      <c r="H10886" s="1" t="s">
        <v>29</v>
      </c>
      <c r="I10886" s="1" t="str">
        <f ca="1">IFERROR(__xludf.DUMMYFUNCTION("GOOGLETRANSLATE(F10886, ""auto"", ""en"")
"),"We bought this juicer at the end of winter, although it took us a long time to choose from the assortment in the store. After the purchase, I never regretted it: they started making orange juice every day, and they put their huge BORK in the closet until "&amp;"better times. It squeezes all the juice out of an orange, works in both directions, cleans very quickly, is compact, and is not particularly loud. In general, I’m extremely happy with her, I recommend her!")</f>
        <v>We bought this juicer at the end of winter, although it took us a long time to choose from the assortment in the store. After the purchase, I never regretted it: they started making orange juice every day, and they put their huge BORK in the closet until better times. It squeezes all the juice out of an orange, works in both directions, cleans very quickly, is compact, and is not particularly loud. In general, I’m extremely happy with her, I recommend her!</v>
      </c>
    </row>
    <row r="10887" spans="1:9" x14ac:dyDescent="0.3">
      <c r="A10887" s="1" t="s">
        <v>211</v>
      </c>
      <c r="B10887" s="1" t="s">
        <v>265</v>
      </c>
      <c r="C10887" s="1" t="s">
        <v>69</v>
      </c>
      <c r="D10887" s="1" t="s">
        <v>729</v>
      </c>
      <c r="E10887" s="1" t="s">
        <v>1212</v>
      </c>
      <c r="F10887" s="1" t="s">
        <v>15686</v>
      </c>
      <c r="G10887" s="1" t="s">
        <v>28</v>
      </c>
      <c r="H10887" s="1" t="s">
        <v>29</v>
      </c>
      <c r="I10887" s="1" t="str">
        <f ca="1">IFERROR(__xludf.DUMMYFUNCTION("GOOGLETRANSLATE(F10887, ""auto"", ""en"")
"),"The clipper is good, I’ve been using it for about 4 years. One minus is that I can’t find a replacement attachment, I have to cut my hair without 2 teeth, they could sell the attachment separately.")</f>
        <v>The clipper is good, I’ve been using it for about 4 years. One minus is that I can’t find a replacement attachment, I have to cut my hair without 2 teeth, they could sell the attachment separately.</v>
      </c>
    </row>
    <row r="10888" spans="1:9" x14ac:dyDescent="0.3">
      <c r="A10888" s="1" t="s">
        <v>211</v>
      </c>
      <c r="B10888" s="1" t="s">
        <v>212</v>
      </c>
      <c r="C10888" s="1" t="s">
        <v>1591</v>
      </c>
      <c r="D10888" s="1" t="s">
        <v>15687</v>
      </c>
      <c r="E10888" s="1" t="s">
        <v>5970</v>
      </c>
      <c r="F10888" s="1" t="s">
        <v>15688</v>
      </c>
      <c r="G10888" s="1" t="s">
        <v>36</v>
      </c>
      <c r="H10888" s="1" t="s">
        <v>29</v>
      </c>
      <c r="I10888" s="1" t="str">
        <f ca="1">IFERROR(__xludf.DUMMYFUNCTION("GOOGLETRANSLATE(F10888, ""auto"", ""en"")
"),"I don't have the patience for long hair styling sessions. With this hairdryer brush I can style my bob in just 10 minutes. It turns out like after visiting a salon. I style my hair when it is still slightly damp. This summer I took this hair dryer brush w"&amp;"ith me to the sea. After salt water and sun, the styling turned out normal, although with a regular hairdryer this result would never be achieved.")</f>
        <v>I don't have the patience for long hair styling sessions. With this hairdryer brush I can style my bob in just 10 minutes. It turns out like after visiting a salon. I style my hair when it is still slightly damp. This summer I took this hair dryer brush with me to the sea. After salt water and sun, the styling turned out normal, although with a regular hairdryer this result would never be achieved.</v>
      </c>
    </row>
    <row r="10889" spans="1:9" x14ac:dyDescent="0.3">
      <c r="A10889" s="1" t="s">
        <v>149</v>
      </c>
      <c r="B10889" s="1" t="s">
        <v>423</v>
      </c>
      <c r="C10889" s="1" t="s">
        <v>548</v>
      </c>
      <c r="D10889" s="1" t="s">
        <v>39</v>
      </c>
      <c r="E10889" s="1" t="s">
        <v>10412</v>
      </c>
      <c r="F10889" s="1" t="s">
        <v>15689</v>
      </c>
      <c r="G10889" s="1" t="s">
        <v>49</v>
      </c>
      <c r="H10889" s="1" t="s">
        <v>16</v>
      </c>
      <c r="I10889" s="1" t="str">
        <f ca="1">IFERROR(__xludf.DUMMYFUNCTION("GOOGLETRANSLATE(F10889, ""auto"", ""en"")
"),"I don't like the vacuum cleaner at all. I bought it a few months ago. Every time I use it, I get tense. Yes, nominally it has everything: a bunch of brushes, wet cleaning and an aqua filter. But everything about it is terribly inconvenient for me: rattlin"&amp;"g, incomprehensible lids that live a separate life, a water tank without any elements by which you can grab it (it’s a disaster with wet hands), clumsy and scary.   Another constant problem is that the angle of the brush does not change. Very inconvenient"&amp;". I regret that I bought it.")</f>
        <v>I don't like the vacuum cleaner at all. I bought it a few months ago. Every time I use it, I get tense. Yes, nominally it has everything: a bunch of brushes, wet cleaning and an aqua filter. But everything about it is terribly inconvenient for me: rattling, incomprehensible lids that live a separate life, a water tank without any elements by which you can grab it (it’s a disaster with wet hands), clumsy and scary.   Another constant problem is that the angle of the brush does not change. Very inconvenient. I regret that I bought it.</v>
      </c>
    </row>
    <row r="10890" spans="1:9" x14ac:dyDescent="0.3">
      <c r="A10890" s="1" t="s">
        <v>9</v>
      </c>
      <c r="B10890" s="1" t="s">
        <v>137</v>
      </c>
      <c r="C10890" s="1" t="s">
        <v>151</v>
      </c>
      <c r="D10890" s="1" t="s">
        <v>438</v>
      </c>
      <c r="E10890" s="1" t="s">
        <v>4690</v>
      </c>
      <c r="F10890" s="1" t="s">
        <v>15690</v>
      </c>
      <c r="G10890" s="1" t="s">
        <v>36</v>
      </c>
      <c r="H10890" s="1" t="s">
        <v>29</v>
      </c>
      <c r="I10890" s="1" t="str">
        <f ca="1">IFERROR(__xludf.DUMMYFUNCTION("GOOGLETRANSLATE(F10890, ""auto"", ""en"")
"),"I bought it in July 2012. The stove is rated 5+! Heats up quickly and cleans well. There are no edgings around the edges of the model, which is also a plus.")</f>
        <v>I bought it in July 2012. The stove is rated 5+! Heats up quickly and cleans well. There are no edgings around the edges of the model, which is also a plus.</v>
      </c>
    </row>
    <row r="10891" spans="1:9" x14ac:dyDescent="0.3">
      <c r="A10891" s="1" t="s">
        <v>30</v>
      </c>
      <c r="B10891" s="1" t="s">
        <v>50</v>
      </c>
      <c r="C10891" s="1" t="s">
        <v>658</v>
      </c>
      <c r="D10891" s="1" t="s">
        <v>940</v>
      </c>
      <c r="E10891" s="1" t="s">
        <v>10249</v>
      </c>
      <c r="F10891" s="1" t="s">
        <v>15691</v>
      </c>
      <c r="G10891" s="1" t="s">
        <v>36</v>
      </c>
      <c r="H10891" s="1" t="s">
        <v>29</v>
      </c>
      <c r="I10891" s="1" t="str">
        <f ca="1">IFERROR(__xludf.DUMMYFUNCTION("GOOGLETRANSLATE(F10891, ""auto"", ""en"")
"),"Nice laptop. quite powerful. The hard drive is almost 100GB larger compared to other models in this price category. The only drawback is the battery, it runs out too quickly")</f>
        <v>Nice laptop. quite powerful. The hard drive is almost 100GB larger compared to other models in this price category. The only drawback is the battery, it runs out too quickly</v>
      </c>
    </row>
    <row r="10892" spans="1:9" x14ac:dyDescent="0.3">
      <c r="A10892" s="1" t="s">
        <v>61</v>
      </c>
      <c r="B10892" s="1" t="s">
        <v>73</v>
      </c>
      <c r="C10892" s="1" t="s">
        <v>146</v>
      </c>
      <c r="D10892" s="1" t="s">
        <v>232</v>
      </c>
      <c r="E10892" s="1" t="s">
        <v>8208</v>
      </c>
      <c r="F10892" s="1" t="s">
        <v>15692</v>
      </c>
      <c r="G10892" s="1" t="s">
        <v>36</v>
      </c>
      <c r="H10892" s="1" t="s">
        <v>29</v>
      </c>
      <c r="I10892" s="1" t="str">
        <f ca="1">IFERROR(__xludf.DUMMYFUNCTION("GOOGLETRANSLATE(F10892, ""auto"", ""en"")
"),"It copes with any meat with a bang, it twists the veins just like that! It’s good that I didn’t spare the money and took this particular model, my wife is delighted!")</f>
        <v>It copes with any meat with a bang, it twists the veins just like that! It’s good that I didn’t spare the money and took this particular model, my wife is delighted!</v>
      </c>
    </row>
    <row r="10893" spans="1:9" x14ac:dyDescent="0.3">
      <c r="A10893" s="1" t="s">
        <v>61</v>
      </c>
      <c r="B10893" s="1" t="s">
        <v>145</v>
      </c>
      <c r="C10893" s="1" t="s">
        <v>45</v>
      </c>
      <c r="D10893" s="1" t="s">
        <v>15693</v>
      </c>
      <c r="E10893" s="1" t="s">
        <v>4445</v>
      </c>
      <c r="F10893" s="1" t="s">
        <v>15694</v>
      </c>
      <c r="G10893" s="1" t="s">
        <v>28</v>
      </c>
      <c r="H10893" s="1" t="s">
        <v>29</v>
      </c>
      <c r="I10893" s="1" t="str">
        <f ca="1">IFERROR(__xludf.DUMMYFUNCTION("GOOGLETRANSLATE(F10893, ""auto"", ""en"")
"),"I’ve been wanting to buy an air fryer for a very long time, but I couldn’t decide. The reviews were mixed, which confused me. But I finally made up my mind and didn’t regret it. The meat turns out perfect, with a crispy crust and no fat (because all the f"&amp;"at drains to the bottom of the pan). The only thing is that the cooking time is the same as in the oven.")</f>
        <v>I’ve been wanting to buy an air fryer for a very long time, but I couldn’t decide. The reviews were mixed, which confused me. But I finally made up my mind and didn’t regret it. The meat turns out perfect, with a crispy crust and no fat (because all the fat drains to the bottom of the pan). The only thing is that the cooking time is the same as in the oven.</v>
      </c>
    </row>
    <row r="10894" spans="1:9" x14ac:dyDescent="0.3">
      <c r="A10894" s="1" t="s">
        <v>211</v>
      </c>
      <c r="B10894" s="1" t="s">
        <v>212</v>
      </c>
      <c r="C10894" s="1" t="s">
        <v>294</v>
      </c>
      <c r="D10894" s="1" t="s">
        <v>75</v>
      </c>
      <c r="E10894" s="1" t="s">
        <v>559</v>
      </c>
      <c r="F10894" s="1" t="s">
        <v>15695</v>
      </c>
      <c r="G10894" s="1" t="s">
        <v>36</v>
      </c>
      <c r="H10894" s="1" t="s">
        <v>29</v>
      </c>
      <c r="I10894" s="1" t="str">
        <f ca="1">IFERROR(__xludf.DUMMYFUNCTION("GOOGLETRANSLATE(F10894, ""auto"", ""en"")
"),"My beloved gave me this model. I've been using it for about two years now. I'm very pleased with everything. Works great on my unruly hair. I recommend it to everyone!!!")</f>
        <v>My beloved gave me this model. I've been using it for about two years now. I'm very pleased with everything. Works great on my unruly hair. I recommend it to everyone!!!</v>
      </c>
    </row>
    <row r="10895" spans="1:9" x14ac:dyDescent="0.3">
      <c r="A10895" s="1" t="s">
        <v>169</v>
      </c>
      <c r="B10895" s="1" t="s">
        <v>170</v>
      </c>
      <c r="C10895" s="1" t="s">
        <v>193</v>
      </c>
      <c r="D10895" s="1" t="s">
        <v>811</v>
      </c>
      <c r="E10895" s="1" t="s">
        <v>178</v>
      </c>
      <c r="F10895" s="1" t="s">
        <v>15696</v>
      </c>
      <c r="G10895" s="1" t="s">
        <v>36</v>
      </c>
      <c r="H10895" s="1" t="s">
        <v>29</v>
      </c>
      <c r="I10895" s="1" t="str">
        <f ca="1">IFERROR(__xludf.DUMMYFUNCTION("GOOGLETRANSLATE(F10895, ""auto"", ""en"")
"),"Headphones are great! someone says that their ears (skull) are being pressed, but this only seems at first because they are not used to it. Or someone has such a structure of the skull)), but I’ll tell you more, the headphones are super, because... I have"&amp;"n’t purchased them yet (I plan to purchase them in May of this year)... but I played them often, and the set was released for quite a long time. so take it, you won’t regret it, they don’t play for 2, or even 3 thousand...")</f>
        <v>Headphones are great! someone says that their ears (skull) are being pressed, but this only seems at first because they are not used to it. Or someone has such a structure of the skull)), but I’ll tell you more, the headphones are super, because... I haven’t purchased them yet (I plan to purchase them in May of this year)... but I played them often, and the set was released for quite a long time. so take it, you won’t regret it, they don’t play for 2, or even 3 thousand...</v>
      </c>
    </row>
    <row r="10896" spans="1:9" x14ac:dyDescent="0.3">
      <c r="A10896" s="1" t="s">
        <v>67</v>
      </c>
      <c r="B10896" s="1" t="s">
        <v>68</v>
      </c>
      <c r="C10896" s="1" t="s">
        <v>69</v>
      </c>
      <c r="D10896" s="1" t="s">
        <v>149</v>
      </c>
      <c r="E10896" s="1" t="s">
        <v>932</v>
      </c>
      <c r="F10896" s="1" t="s">
        <v>15697</v>
      </c>
      <c r="G10896" s="1" t="s">
        <v>36</v>
      </c>
      <c r="H10896" s="1" t="s">
        <v>29</v>
      </c>
      <c r="I10896" s="1" t="str">
        <f ca="1">IFERROR(__xludf.DUMMYFUNCTION("GOOGLETRANSLATE(F10896, ""auto"", ""en"")
"),"It took me a long time to choose, based on price-quality criteria. I bought this iron on a promotion in MVideo (at first I was hesitant to buy it on promotion, I thought it was bad because of this and the discount, but I took a chance and took it). It tur"&amp;"ned out to be very good. It’s easy to iron, the iron seems to hover over the ironing, smoothes quickly, without much effort. The fact that it’s a little heavy is a big +, because Before this, I had an iron of lower power and light weight, so I had to iron"&amp;" it 100 times in one place and put pressure on the iron - I got tired of it, and because of this I bought a new one. Everything that is said in the instructions is true. If you want to steam something heavy, for example a down jacket, it is better to put "&amp;"the thing, because... In this position, the iron releases steam from all holes. Ironing is a pleasure. I advise you to take it!!!")</f>
        <v>It took me a long time to choose, based on price-quality criteria. I bought this iron on a promotion in MVideo (at first I was hesitant to buy it on promotion, I thought it was bad because of this and the discount, but I took a chance and took it). It turned out to be very good. It’s easy to iron, the iron seems to hover over the ironing, smoothes quickly, without much effort. The fact that it’s a little heavy is a big +, because Before this, I had an iron of lower power and light weight, so I had to iron it 100 times in one place and put pressure on the iron - I got tired of it, and because of this I bought a new one. Everything that is said in the instructions is true. If you want to steam something heavy, for example a down jacket, it is better to put the thing, because... In this position, the iron releases steam from all holes. Ironing is a pleasure. I advise you to take it!!!</v>
      </c>
    </row>
    <row r="10897" spans="1:9" x14ac:dyDescent="0.3">
      <c r="A10897" s="1" t="s">
        <v>30</v>
      </c>
      <c r="B10897" s="1" t="s">
        <v>50</v>
      </c>
      <c r="C10897" s="1" t="s">
        <v>2550</v>
      </c>
      <c r="D10897" s="1" t="s">
        <v>33</v>
      </c>
      <c r="E10897" s="1" t="s">
        <v>449</v>
      </c>
      <c r="F10897" s="1" t="s">
        <v>15698</v>
      </c>
      <c r="G10897" s="1" t="s">
        <v>36</v>
      </c>
      <c r="H10897" s="1" t="s">
        <v>29</v>
      </c>
      <c r="I10897" s="1" t="str">
        <f ca="1">IFERROR(__xludf.DUMMYFUNCTION("GOOGLETRANSLATE(F10897, ""auto"", ""en"")
"),"pros. quality-price is satisfactory.  light, nimble, everything you need is there.  Cons: The keyboard is very inconvenient, if you installed the numeric pad, then why did this damn Fn set a mystery for me. Enter and shift on the right side and the keyboa"&amp;"rd itself seem to be made for small children.")</f>
        <v>pros. quality-price is satisfactory.  light, nimble, everything you need is there.  Cons: The keyboard is very inconvenient, if you installed the numeric pad, then why did this damn Fn set a mystery for me. Enter and shift on the right side and the keyboard itself seem to be made for small children.</v>
      </c>
    </row>
    <row r="10898" spans="1:9" x14ac:dyDescent="0.3">
      <c r="A10898" s="1" t="s">
        <v>30</v>
      </c>
      <c r="B10898" s="1" t="s">
        <v>50</v>
      </c>
      <c r="C10898" s="1" t="s">
        <v>1003</v>
      </c>
      <c r="D10898" s="1" t="s">
        <v>280</v>
      </c>
      <c r="E10898" s="1" t="s">
        <v>1723</v>
      </c>
      <c r="F10898" s="1" t="s">
        <v>15699</v>
      </c>
      <c r="G10898" s="1" t="s">
        <v>36</v>
      </c>
      <c r="H10898" s="1" t="s">
        <v>29</v>
      </c>
      <c r="I10898" s="1" t="str">
        <f ca="1">IFERROR(__xludf.DUMMYFUNCTION("GOOGLETRANSLATE(F10898, ""auto"", ""en"")
"),"In general, the laptop is excellent, the hardware is good, all modern games run smoothly, but the system...get ready for numerous Blue Screens Of Dead.")</f>
        <v>In general, the laptop is excellent, the hardware is good, all modern games run smoothly, but the system...get ready for numerous Blue Screens Of Dead.</v>
      </c>
    </row>
    <row r="10899" spans="1:9" x14ac:dyDescent="0.3">
      <c r="A10899" s="1" t="s">
        <v>17</v>
      </c>
      <c r="B10899" s="1" t="s">
        <v>18</v>
      </c>
      <c r="C10899" s="1" t="s">
        <v>19</v>
      </c>
      <c r="D10899" s="1" t="s">
        <v>52</v>
      </c>
      <c r="E10899" s="1" t="s">
        <v>2401</v>
      </c>
      <c r="F10899" s="1" t="s">
        <v>15700</v>
      </c>
      <c r="G10899" s="1" t="s">
        <v>15</v>
      </c>
      <c r="H10899" s="1" t="s">
        <v>16</v>
      </c>
      <c r="I10899" s="1" t="str">
        <f ca="1">IFERROR(__xludf.DUMMYFUNCTION("GOOGLETRANSLATE(F10899, ""auto"", ""en"")
"),"I completely agree with Ivan (Rostov-on-Don). The machine was purchased in 2008 and problems began. From the very beginning of operation, the machine began to become overgrown with a black coating. A familiar mechanic said that it was from the electric mo"&amp;"tor brushes. At the moment, the machine has been under repair for about a month. According to the technician, the control board was covered during warranty repairs. Noise level of an aircraft engine, all the powder from the tray is not washed out, install"&amp;"ed The machine is level, but it didn’t avoid vibration. True, I must pay tribute, it washes excellently.")</f>
        <v>I completely agree with Ivan (Rostov-on-Don). The machine was purchased in 2008 and problems began. From the very beginning of operation, the machine began to become overgrown with a black coating. A familiar mechanic said that it was from the electric motor brushes. At the moment, the machine has been under repair for about a month. According to the technician, the control board was covered during warranty repairs. Noise level of an aircraft engine, all the powder from the tray is not washed out, installed The machine is level, but it didn’t avoid vibration. True, I must pay tribute, it washes excellently.</v>
      </c>
    </row>
    <row r="10900" spans="1:9" x14ac:dyDescent="0.3">
      <c r="A10900" s="1" t="s">
        <v>624</v>
      </c>
      <c r="B10900" s="1" t="s">
        <v>625</v>
      </c>
      <c r="C10900" s="1" t="s">
        <v>479</v>
      </c>
      <c r="D10900" s="1" t="s">
        <v>39</v>
      </c>
      <c r="E10900" s="1" t="s">
        <v>128</v>
      </c>
      <c r="F10900" s="1" t="s">
        <v>15701</v>
      </c>
      <c r="G10900" s="1" t="s">
        <v>36</v>
      </c>
      <c r="H10900" s="1" t="s">
        <v>29</v>
      </c>
      <c r="I10900" s="1" t="str">
        <f ca="1">IFERROR(__xludf.DUMMYFUNCTION("GOOGLETRANSLATE(F10900, ""auto"", ""en"")
"),"I watched a lot in gaming addiction, I bought a PS3, I’m very happy, everyone, buy consoles")</f>
        <v>I watched a lot in gaming addiction, I bought a PS3, I’m very happy, everyone, buy consoles</v>
      </c>
    </row>
    <row r="10901" spans="1:9" x14ac:dyDescent="0.3">
      <c r="A10901" s="1" t="s">
        <v>30</v>
      </c>
      <c r="B10901" s="1" t="s">
        <v>50</v>
      </c>
      <c r="C10901" s="1" t="s">
        <v>377</v>
      </c>
      <c r="D10901" s="1" t="s">
        <v>411</v>
      </c>
      <c r="E10901" s="1" t="s">
        <v>2733</v>
      </c>
      <c r="F10901" s="1" t="s">
        <v>15702</v>
      </c>
      <c r="G10901" s="1" t="s">
        <v>36</v>
      </c>
      <c r="H10901" s="1" t="s">
        <v>29</v>
      </c>
      <c r="I10901" s="1" t="str">
        <f ca="1">IFERROR(__xludf.DUMMYFUNCTION("GOOGLETRANSLATE(F10901, ""auto"", ""en"")
"),"The laptop is just super, I’ve been using it for two weeks, I’m very pleased, the only negative is that the glossy case is easily soiled, dust and fingerprints are very noticeable")</f>
        <v>The laptop is just super, I’ve been using it for two weeks, I’m very pleased, the only negative is that the glossy case is easily soiled, dust and fingerprints are very noticeable</v>
      </c>
    </row>
    <row r="10902" spans="1:9" x14ac:dyDescent="0.3">
      <c r="A10902" s="1" t="s">
        <v>732</v>
      </c>
      <c r="B10902" s="1" t="s">
        <v>733</v>
      </c>
      <c r="C10902" s="1" t="s">
        <v>80</v>
      </c>
      <c r="D10902" s="1" t="s">
        <v>39</v>
      </c>
      <c r="E10902" s="1" t="s">
        <v>2529</v>
      </c>
      <c r="F10902" s="1" t="s">
        <v>15703</v>
      </c>
      <c r="G10902" s="1" t="s">
        <v>36</v>
      </c>
      <c r="H10902" s="1" t="s">
        <v>29</v>
      </c>
      <c r="I10902" s="1" t="str">
        <f ca="1">IFERROR(__xludf.DUMMYFUNCTION("GOOGLETRANSLATE(F10902, ""auto"", ""en"")
"),"In general, the monitor is cool and I really liked the design, I don’t regret it for a second.")</f>
        <v>In general, the monitor is cool and I really liked the design, I don’t regret it for a second.</v>
      </c>
    </row>
    <row r="10903" spans="1:9" x14ac:dyDescent="0.3">
      <c r="A10903" s="1" t="s">
        <v>67</v>
      </c>
      <c r="B10903" s="1" t="s">
        <v>68</v>
      </c>
      <c r="C10903" s="1" t="s">
        <v>85</v>
      </c>
      <c r="D10903" s="1" t="s">
        <v>247</v>
      </c>
      <c r="E10903" s="1" t="s">
        <v>12529</v>
      </c>
      <c r="F10903" s="1" t="s">
        <v>15704</v>
      </c>
      <c r="G10903" s="1" t="s">
        <v>36</v>
      </c>
      <c r="H10903" s="1" t="s">
        <v>29</v>
      </c>
      <c r="I10903" s="1" t="str">
        <f ca="1">IFERROR(__xludf.DUMMYFUNCTION("GOOGLETRANSLATE(F10903, ""auto"", ""en"")
"),"A special glass-coated surface guarantees perfect glide, which is especially important when caring for delicate fabrics.")</f>
        <v>A special glass-coated surface guarantees perfect glide, which is especially important when caring for delicate fabrics.</v>
      </c>
    </row>
    <row r="10904" spans="1:9" x14ac:dyDescent="0.3">
      <c r="A10904" s="1" t="s">
        <v>30</v>
      </c>
      <c r="B10904" s="1" t="s">
        <v>50</v>
      </c>
      <c r="C10904" s="1" t="s">
        <v>1003</v>
      </c>
      <c r="D10904" s="1" t="s">
        <v>15705</v>
      </c>
      <c r="E10904" s="1" t="s">
        <v>1384</v>
      </c>
      <c r="F10904" s="1" t="s">
        <v>15706</v>
      </c>
      <c r="G10904" s="1" t="s">
        <v>36</v>
      </c>
      <c r="H10904" s="1" t="s">
        <v>29</v>
      </c>
      <c r="I10904" s="1" t="str">
        <f ca="1">IFERROR(__xludf.DUMMYFUNCTION("GOOGLETRANSLATE(F10904, ""auto"", ""en"")
"),"The netbook is just cool!!! I liked the design the most!!! I recommend buying it")</f>
        <v>The netbook is just cool!!! I liked the design the most!!! I recommend buying it</v>
      </c>
    </row>
    <row r="10905" spans="1:9" x14ac:dyDescent="0.3">
      <c r="A10905" s="1" t="s">
        <v>211</v>
      </c>
      <c r="B10905" s="1" t="s">
        <v>212</v>
      </c>
      <c r="C10905" s="1" t="s">
        <v>381</v>
      </c>
      <c r="D10905" s="1" t="s">
        <v>134</v>
      </c>
      <c r="E10905" s="1" t="s">
        <v>3431</v>
      </c>
      <c r="F10905" s="1" t="s">
        <v>15707</v>
      </c>
      <c r="G10905" s="1" t="s">
        <v>36</v>
      </c>
      <c r="H10905" s="1" t="s">
        <v>29</v>
      </c>
      <c r="I10905" s="1" t="str">
        <f ca="1">IFERROR(__xludf.DUMMYFUNCTION("GOOGLETRANSLATE(F10905, ""auto"", ""en"")
"),"Price, separate cold air button. No need to constantly press")</f>
        <v>Price, separate cold air button. No need to constantly press</v>
      </c>
    </row>
    <row r="10906" spans="1:9" x14ac:dyDescent="0.3">
      <c r="A10906" s="1" t="s">
        <v>95</v>
      </c>
      <c r="B10906" s="1" t="s">
        <v>227</v>
      </c>
      <c r="C10906" s="1" t="s">
        <v>97</v>
      </c>
      <c r="D10906" s="1" t="s">
        <v>15708</v>
      </c>
      <c r="E10906" s="1" t="s">
        <v>1553</v>
      </c>
      <c r="F10906" s="1" t="s">
        <v>15709</v>
      </c>
      <c r="G10906" s="1" t="s">
        <v>36</v>
      </c>
      <c r="H10906" s="1" t="s">
        <v>29</v>
      </c>
      <c r="I10906" s="1" t="str">
        <f ca="1">IFERROR(__xludf.DUMMYFUNCTION("GOOGLETRANSLATE(F10906, ""auto"", ""en"")
"),"This console costs more than its price, although not by much. An excellent console both for games and for watching videos and listening to discs. Despite the fact that this console is not the most expensive, in my opinion it is the best among all ps3s on "&amp;"the site, although it is inferior to the Playstation 3 (PS3) Sony 320GB (CECH-2508B) + LittleBigPlanet 2 in memory.")</f>
        <v>This console costs more than its price, although not by much. An excellent console both for games and for watching videos and listening to discs. Despite the fact that this console is not the most expensive, in my opinion it is the best among all ps3s on the site, although it is inferior to the Playstation 3 (PS3) Sony 320GB (CECH-2508B) + LittleBigPlanet 2 in memory.</v>
      </c>
    </row>
    <row r="10907" spans="1:9" x14ac:dyDescent="0.3">
      <c r="A10907" s="1" t="s">
        <v>111</v>
      </c>
      <c r="B10907" s="1" t="s">
        <v>112</v>
      </c>
      <c r="C10907" s="1" t="s">
        <v>15710</v>
      </c>
      <c r="D10907" s="1" t="s">
        <v>172</v>
      </c>
      <c r="E10907" s="1" t="s">
        <v>3254</v>
      </c>
      <c r="F10907" s="1" t="s">
        <v>15711</v>
      </c>
      <c r="G10907" s="1" t="s">
        <v>49</v>
      </c>
      <c r="H10907" s="1" t="s">
        <v>16</v>
      </c>
      <c r="I10907" s="1" t="str">
        <f ca="1">IFERROR(__xludf.DUMMYFUNCTION("GOOGLETRANSLATE(F10907, ""auto"", ""en"")
"),"Horrible. In no case suitable for a fan heater. Why does the M.Video website offer to buy it together with a fan heater? It just (at the time of writing this review) melted from the above device.")</f>
        <v>Horrible. In no case suitable for a fan heater. Why does the M.Video website offer to buy it together with a fan heater? It just (at the time of writing this review) melted from the above device.</v>
      </c>
    </row>
    <row r="10908" spans="1:9" x14ac:dyDescent="0.3">
      <c r="A10908" s="1" t="s">
        <v>9</v>
      </c>
      <c r="B10908" s="1" t="s">
        <v>10</v>
      </c>
      <c r="C10908" s="1" t="s">
        <v>466</v>
      </c>
      <c r="D10908" s="1" t="s">
        <v>474</v>
      </c>
      <c r="E10908" s="1" t="s">
        <v>6608</v>
      </c>
      <c r="F10908" s="1" t="s">
        <v>15712</v>
      </c>
      <c r="G10908" s="1" t="s">
        <v>28</v>
      </c>
      <c r="H10908" s="1" t="s">
        <v>29</v>
      </c>
      <c r="I10908" s="1" t="str">
        <f ca="1">IFERROR(__xludf.DUMMYFUNCTION("GOOGLETRANSLATE(F10908, ""auto"", ""en"")
"),"The hood fits stylishly into the kitchen set. There is enough lighting for the entire hob. It makes a lot of noise. It's a 3+. If you do not have a door to the kitchen, then it is better to look at a more powerful model.")</f>
        <v>The hood fits stylishly into the kitchen set. There is enough lighting for the entire hob. It makes a lot of noise. It's a 3+. If you do not have a door to the kitchen, then it is better to look at a more powerful model.</v>
      </c>
    </row>
    <row r="10909" spans="1:9" x14ac:dyDescent="0.3">
      <c r="A10909" s="1" t="s">
        <v>238</v>
      </c>
      <c r="B10909" s="1" t="s">
        <v>276</v>
      </c>
      <c r="C10909" s="1" t="s">
        <v>138</v>
      </c>
      <c r="D10909" s="1" t="s">
        <v>15713</v>
      </c>
      <c r="E10909" s="1" t="s">
        <v>2120</v>
      </c>
      <c r="F10909" s="1" t="s">
        <v>15714</v>
      </c>
      <c r="G10909" s="1" t="s">
        <v>36</v>
      </c>
      <c r="H10909" s="1" t="s">
        <v>29</v>
      </c>
      <c r="I10909" s="1" t="str">
        <f ca="1">IFERROR(__xludf.DUMMYFUNCTION("GOOGLETRANSLATE(F10909, ""auto"", ""en"")
"),"I am infinitely glad and grateful for the Simple Arithmetic event, which takes place in our Novosibirsk from August 3 to August 16, 2010. I wanted to buy a BEKO DSK25000 refrigerator for cash, advertised in your promotion for 7990 rubles, but it’s a shame"&amp;" - they were not available either in the Jupiter shopping center on Gogol, or in the Mega shopping center, although, according to the sellers, there were already 3 of them in reserve on the date of August 8, and I bought myself only one refrigerator for 7"&amp;"990 rubles. I can't. What kind of reserve is this? I want to buy a BEKO DSK25000 refrigerator for 7990 rubles, what do I need for this?.... Yuri Zakharov, Novosibirsk")</f>
        <v>I am infinitely glad and grateful for the Simple Arithmetic event, which takes place in our Novosibirsk from August 3 to August 16, 2010. I wanted to buy a BEKO DSK25000 refrigerator for cash, advertised in your promotion for 7990 rubles, but it’s a shame - they were not available either in the Jupiter shopping center on Gogol, or in the Mega shopping center, although, according to the sellers, there were already 3 of them in reserve on the date of August 8, and I bought myself only one refrigerator for 7990 rubles. I can't. What kind of reserve is this? I want to buy a BEKO DSK25000 refrigerator for 7990 rubles, what do I need for this?.... Yuri Zakharov, Novosibirsk</v>
      </c>
    </row>
    <row r="10910" spans="1:9" x14ac:dyDescent="0.3">
      <c r="A10910" s="1" t="s">
        <v>61</v>
      </c>
      <c r="B10910" s="1" t="s">
        <v>726</v>
      </c>
      <c r="C10910" s="1" t="s">
        <v>74</v>
      </c>
      <c r="D10910" s="1" t="s">
        <v>15715</v>
      </c>
      <c r="E10910" s="1" t="s">
        <v>15716</v>
      </c>
      <c r="F10910" s="1" t="s">
        <v>15717</v>
      </c>
      <c r="G10910" s="1" t="s">
        <v>15</v>
      </c>
      <c r="H10910" s="1" t="s">
        <v>16</v>
      </c>
      <c r="I10910" s="1" t="str">
        <f ca="1">IFERROR(__xludf.DUMMYFUNCTION("GOOGLETRANSLATE(F10910, ""auto"", ""en"")
"),"I tried to bake bread on this stove, French bread 1000 grams, it turned out completely raw, the top crust was pale pale((. I kept everything down to the gram. I baked Milk bread - 1000 grams - a better result, but it also turned out damp. Has anyone had s"&amp;"uch problems that raw:(((, I’ll try to add time, of course, it might help!")</f>
        <v>I tried to bake bread on this stove, French bread 1000 grams, it turned out completely raw, the top crust was pale pale((. I kept everything down to the gram. I baked Milk bread - 1000 grams - a better result, but it also turned out damp. Has anyone had such problems that raw:(((, I’ll try to add time, of course, it might help!</v>
      </c>
    </row>
    <row r="10911" spans="1:9" x14ac:dyDescent="0.3">
      <c r="A10911" s="1" t="s">
        <v>477</v>
      </c>
      <c r="B10911" s="1" t="s">
        <v>478</v>
      </c>
      <c r="C10911" s="1" t="s">
        <v>479</v>
      </c>
      <c r="D10911" s="1" t="s">
        <v>366</v>
      </c>
      <c r="E10911" s="1" t="s">
        <v>2593</v>
      </c>
      <c r="F10911" s="1" t="s">
        <v>15718</v>
      </c>
      <c r="G10911" s="1" t="s">
        <v>28</v>
      </c>
      <c r="H10911" s="1" t="s">
        <v>29</v>
      </c>
      <c r="I10911" s="1" t="str">
        <f ca="1">IFERROR(__xludf.DUMMYFUNCTION("GOOGLETRANSLATE(F10911, ""auto"", ""en"")
"),"The game is good, but for one playthrough! The battle with the last boss is simply frustrating, I don’t recommend fighting him with a magician. The game is good for a one-time playthrough, it’s just not interesting to play the second time. Monotonous loca"&amp;"tions.")</f>
        <v>The game is good, but for one playthrough! The battle with the last boss is simply frustrating, I don’t recommend fighting him with a magician. The game is good for a one-time playthrough, it’s just not interesting to play the second time. Monotonous locations.</v>
      </c>
    </row>
    <row r="10912" spans="1:9" x14ac:dyDescent="0.3">
      <c r="A10912" s="1" t="s">
        <v>30</v>
      </c>
      <c r="B10912" s="1" t="s">
        <v>31</v>
      </c>
      <c r="C10912" s="1" t="s">
        <v>32</v>
      </c>
      <c r="D10912" s="1" t="s">
        <v>232</v>
      </c>
      <c r="E10912" s="1" t="s">
        <v>1321</v>
      </c>
      <c r="F10912" s="1" t="s">
        <v>15719</v>
      </c>
      <c r="G10912" s="1" t="s">
        <v>36</v>
      </c>
      <c r="H10912" s="1" t="s">
        <v>29</v>
      </c>
      <c r="I10912" s="1" t="str">
        <f ca="1">IFERROR(__xludf.DUMMYFUNCTION("GOOGLETRANSLATE(F10912, ""auto"", ""en"")
"),"I bought it to connect to an LCD TV to watch full-HD video and as a torrent downloader. I settled on this option because of its silent operation and low power consumption (it works without turning off). Connected to the TV via HDMI (not included) and vide"&amp;"o and sound. No more wires! I control the entire household with a wireless mouse and on-screen keyboard. Interactive television and radio have come to my home. Hooray. The speed of work after beech with VIST is pleasing. For the Internet I use OPERA or CH"&amp;"ROME.  The fly in the ointment is WI-FI. It overheats and overheats the entire computer, hence the clicking noise. An autopsy showed that there was another module in the R3600, there was no problem. You have to use an external USB WI-FI adapter. Be prepar"&amp;"ed for this. As a result: 1-Silent 2-Economical 3-Nimble 4-Simply handsome. Cons - add 1000 rubles to the price. to external WI-FI.")</f>
        <v>I bought it to connect to an LCD TV to watch full-HD video and as a torrent downloader. I settled on this option because of its silent operation and low power consumption (it works without turning off). Connected to the TV via HDMI (not included) and video and sound. No more wires! I control the entire household with a wireless mouse and on-screen keyboard. Interactive television and radio have come to my home. Hooray. The speed of work after beech with VIST is pleasing. For the Internet I use OPERA or CHROME.  The fly in the ointment is WI-FI. It overheats and overheats the entire computer, hence the clicking noise. An autopsy showed that there was another module in the R3600, there was no problem. You have to use an external USB WI-FI adapter. Be prepared for this. As a result: 1-Silent 2-Economical 3-Nimble 4-Simply handsome. Cons - add 1000 rubles to the price. to external WI-FI.</v>
      </c>
    </row>
    <row r="10913" spans="1:9" x14ac:dyDescent="0.3">
      <c r="A10913" s="1" t="s">
        <v>120</v>
      </c>
      <c r="B10913" s="1" t="s">
        <v>121</v>
      </c>
      <c r="C10913" s="1" t="s">
        <v>151</v>
      </c>
      <c r="D10913" s="1" t="s">
        <v>39</v>
      </c>
      <c r="E10913" s="1" t="s">
        <v>292</v>
      </c>
      <c r="F10913" s="1" t="s">
        <v>15720</v>
      </c>
      <c r="G10913" s="1" t="s">
        <v>36</v>
      </c>
      <c r="H10913" s="1" t="s">
        <v>29</v>
      </c>
      <c r="I10913" s="1" t="str">
        <f ca="1">IFERROR(__xludf.DUMMYFUNCTION("GOOGLETRANSLATE(F10913, ""auto"", ""en"")
"),"I bought it 3 weeks ago, I’m still absolutely delighted. No complaints, everything is super.")</f>
        <v>I bought it 3 weeks ago, I’m still absolutely delighted. No complaints, everything is super.</v>
      </c>
    </row>
    <row r="10914" spans="1:9" x14ac:dyDescent="0.3">
      <c r="A10914" s="1" t="s">
        <v>30</v>
      </c>
      <c r="B10914" s="1" t="s">
        <v>31</v>
      </c>
      <c r="C10914" s="1" t="s">
        <v>32</v>
      </c>
      <c r="D10914" s="1" t="s">
        <v>139</v>
      </c>
      <c r="E10914" s="1" t="s">
        <v>7372</v>
      </c>
      <c r="F10914" s="1" t="s">
        <v>15721</v>
      </c>
      <c r="G10914" s="1" t="s">
        <v>36</v>
      </c>
      <c r="H10914" s="1" t="s">
        <v>29</v>
      </c>
      <c r="I10914" s="1" t="str">
        <f ca="1">IFERROR(__xludf.DUMMYFUNCTION("GOOGLETRANSLATE(F10914, ""auto"", ""en"")
"),"The specified system unit was purchased in December 2008. I chose the method: I came, I saw and I bought. Normal working machine for home. During the entire period of work, no problems arose. The following applications are mainly used: Office, video viewi"&amp;"ng, Autocad.  I recommend this model for home use.")</f>
        <v>The specified system unit was purchased in December 2008. I chose the method: I came, I saw and I bought. Normal working machine for home. During the entire period of work, no problems arose. The following applications are mainly used: Office, video viewing, Autocad.  I recommend this model for home use.</v>
      </c>
    </row>
    <row r="10915" spans="1:9" x14ac:dyDescent="0.3">
      <c r="A10915" s="1" t="s">
        <v>67</v>
      </c>
      <c r="B10915" s="1" t="s">
        <v>68</v>
      </c>
      <c r="C10915" s="1" t="s">
        <v>69</v>
      </c>
      <c r="D10915" s="1" t="s">
        <v>15722</v>
      </c>
      <c r="E10915" s="1" t="s">
        <v>1682</v>
      </c>
      <c r="F10915" s="1" t="s">
        <v>15723</v>
      </c>
      <c r="G10915" s="1" t="s">
        <v>36</v>
      </c>
      <c r="H10915" s="1" t="s">
        <v>29</v>
      </c>
      <c r="I10915" s="1" t="str">
        <f ca="1">IFERROR(__xludf.DUMMYFUNCTION("GOOGLETRANSLATE(F10915, ""auto"", ""en"")
"),"The iron is a bit heavy and bulky, it was immediately uncomfortable, but this is a matter of habit. Irons well. The only drawback is that the wheel that regulates the mode turns very easily and is constantly knocked down by your fingers. Since the handle "&amp;"is very close.")</f>
        <v>The iron is a bit heavy and bulky, it was immediately uncomfortable, but this is a matter of habit. Irons well. The only drawback is that the wheel that regulates the mode turns very easily and is constantly knocked down by your fingers. Since the handle is very close.</v>
      </c>
    </row>
    <row r="10916" spans="1:9" x14ac:dyDescent="0.3">
      <c r="A10916" s="1" t="s">
        <v>111</v>
      </c>
      <c r="B10916" s="1" t="s">
        <v>112</v>
      </c>
      <c r="C10916" s="1" t="s">
        <v>967</v>
      </c>
      <c r="D10916" s="1" t="s">
        <v>186</v>
      </c>
      <c r="E10916" s="1" t="s">
        <v>15724</v>
      </c>
      <c r="F10916" s="1" t="s">
        <v>15725</v>
      </c>
      <c r="G10916" s="1" t="s">
        <v>36</v>
      </c>
      <c r="H10916" s="1" t="s">
        <v>29</v>
      </c>
      <c r="I10916" s="1" t="str">
        <f ca="1">IFERROR(__xludf.DUMMYFUNCTION("GOOGLETRANSLATE(F10916, ""auto"", ""en"")
"),"We use Samsung 46-inch LED TV. Very frequent power outages in a private home. Nothing has broken in a year :). When triggered, the click is noticeably audible, but does not interfere with daytime life or sleep. Doesn't wake up the child. I recommend it to"&amp;" everyone, great model! There are no interference either.")</f>
        <v>We use Samsung 46-inch LED TV. Very frequent power outages in a private home. Nothing has broken in a year :). When triggered, the click is noticeably audible, but does not interfere with daytime life or sleep. Doesn't wake up the child. I recommend it to everyone, great model! There are no interference either.</v>
      </c>
    </row>
    <row r="10917" spans="1:9" x14ac:dyDescent="0.3">
      <c r="A10917" s="1" t="s">
        <v>120</v>
      </c>
      <c r="B10917" s="1" t="s">
        <v>196</v>
      </c>
      <c r="C10917" s="1" t="s">
        <v>80</v>
      </c>
      <c r="D10917" s="1" t="s">
        <v>305</v>
      </c>
      <c r="E10917" s="1" t="s">
        <v>1553</v>
      </c>
      <c r="F10917" s="1" t="s">
        <v>15726</v>
      </c>
      <c r="G10917" s="1" t="s">
        <v>36</v>
      </c>
      <c r="H10917" s="1" t="s">
        <v>29</v>
      </c>
      <c r="I10917" s="1" t="str">
        <f ca="1">IFERROR(__xludf.DUMMYFUNCTION("GOOGLETRANSLATE(F10917, ""auto"", ""en"")
"),"I bought this model today, immediately connected it to the computer. EXPECTATIONS ARE JUST HIGH, the picture is excellent, there were no problems with detection (I have Windows 7 64bit). Then I launched the Game LOCK ON 2.0, People, it feels like being in"&amp;" the cockpit of an airplane.  Thanks to the sales consultant, the handsome guy recommended it to me.  I’m very pleased, I figured out the TV settings right away, everything is very easy. +5. The MVIDEO store has more customers and growth.")</f>
        <v>I bought this model today, immediately connected it to the computer. EXPECTATIONS ARE JUST HIGH, the picture is excellent, there were no problems with detection (I have Windows 7 64bit). Then I launched the Game LOCK ON 2.0, People, it feels like being in the cockpit of an airplane.  Thanks to the sales consultant, the handsome guy recommended it to me.  I’m very pleased, I figured out the TV settings right away, everything is very easy. +5. The MVIDEO store has more customers and growth.</v>
      </c>
    </row>
    <row r="10918" spans="1:9" x14ac:dyDescent="0.3">
      <c r="A10918" s="1" t="s">
        <v>95</v>
      </c>
      <c r="B10918" s="1" t="s">
        <v>227</v>
      </c>
      <c r="C10918" s="1" t="s">
        <v>97</v>
      </c>
      <c r="D10918" s="1" t="s">
        <v>152</v>
      </c>
      <c r="E10918" s="1" t="s">
        <v>251</v>
      </c>
      <c r="F10918" s="1" t="s">
        <v>15727</v>
      </c>
      <c r="G10918" s="1" t="s">
        <v>36</v>
      </c>
      <c r="H10918" s="1" t="s">
        <v>29</v>
      </c>
      <c r="I10918" s="1" t="str">
        <f ca="1">IFERROR(__xludf.DUMMYFUNCTION("GOOGLETRANSLATE(F10918, ""auto"", ""en"")
"),"I've loved Sony game consoles since the PS2. I waited for the PS3 Slim and was very pleased with it. The console is great! Stylish, neat design, high-quality assembly, in the spirit of Sony. The console excels not only in appearance, but also in the inter"&amp;"ior, and I’m talking about games. Many great games were released during the 3 years of the console's existence. MGS4, Infamy, Killzone 2, Uncharted 1,2, Resistance 2 and much, much more! Don’t hesitate, take it and be satisfied, the main thing is to know "&amp;"what you need it for.   All the best!")</f>
        <v>I've loved Sony game consoles since the PS2. I waited for the PS3 Slim and was very pleased with it. The console is great! Stylish, neat design, high-quality assembly, in the spirit of Sony. The console excels not only in appearance, but also in the interior, and I’m talking about games. Many great games were released during the 3 years of the console's existence. MGS4, Infamy, Killzone 2, Uncharted 1,2, Resistance 2 and much, much more! Don’t hesitate, take it and be satisfied, the main thing is to know what you need it for.   All the best!</v>
      </c>
    </row>
    <row r="10919" spans="1:9" x14ac:dyDescent="0.3">
      <c r="A10919" s="1" t="s">
        <v>9</v>
      </c>
      <c r="B10919" s="1" t="s">
        <v>10</v>
      </c>
      <c r="C10919" s="1" t="s">
        <v>407</v>
      </c>
      <c r="D10919" s="1" t="s">
        <v>295</v>
      </c>
      <c r="E10919" s="1" t="s">
        <v>6421</v>
      </c>
      <c r="F10919" s="1" t="s">
        <v>15728</v>
      </c>
      <c r="G10919" s="1" t="s">
        <v>15</v>
      </c>
      <c r="H10919" s="1" t="s">
        <v>16</v>
      </c>
      <c r="I10919" s="1" t="str">
        <f ca="1">IFERROR(__xludf.DUMMYFUNCTION("GOOGLETRANSLATE(F10919, ""auto"", ""en"")
"),"Broke after six months. The carbon filter basically doesn’t fit, I don’t recommend taking it")</f>
        <v>Broke after six months. The carbon filter basically doesn’t fit, I don’t recommend taking it</v>
      </c>
    </row>
    <row r="10920" spans="1:9" x14ac:dyDescent="0.3">
      <c r="A10920" s="1" t="s">
        <v>61</v>
      </c>
      <c r="B10920" s="1" t="s">
        <v>318</v>
      </c>
      <c r="C10920" s="1" t="s">
        <v>63</v>
      </c>
      <c r="D10920" s="1" t="s">
        <v>232</v>
      </c>
      <c r="E10920" s="1" t="s">
        <v>1984</v>
      </c>
      <c r="F10920" s="1" t="s">
        <v>15729</v>
      </c>
      <c r="G10920" s="1" t="s">
        <v>36</v>
      </c>
      <c r="H10920" s="1" t="s">
        <v>29</v>
      </c>
      <c r="I10920" s="1" t="str">
        <f ca="1">IFERROR(__xludf.DUMMYFUNCTION("GOOGLETRANSLATE(F10920, ""auto"", ""en"")
"),"We purchased the first kettle of this model in 2008 and used it until today, it broke, but we must give credit to the long-liver, I liked it, it worked properly and died quietly, it just didn’t turn on. Therefore, I didn’t struggle with the choice and pur"&amp;"chased a similar one, the difference in color and country of production, China versus Slovenia, from the previous one.")</f>
        <v>We purchased the first kettle of this model in 2008 and used it until today, it broke, but we must give credit to the long-liver, I liked it, it worked properly and died quietly, it just didn’t turn on. Therefore, I didn’t struggle with the choice and purchased a similar one, the difference in color and country of production, China versus Slovenia, from the previous one.</v>
      </c>
    </row>
    <row r="10921" spans="1:9" x14ac:dyDescent="0.3">
      <c r="A10921" s="1" t="s">
        <v>211</v>
      </c>
      <c r="B10921" s="1" t="s">
        <v>410</v>
      </c>
      <c r="C10921" s="1" t="s">
        <v>213</v>
      </c>
      <c r="D10921" s="1" t="s">
        <v>39</v>
      </c>
      <c r="E10921" s="1" t="s">
        <v>13631</v>
      </c>
      <c r="F10921" s="1" t="s">
        <v>15730</v>
      </c>
      <c r="G10921" s="1" t="s">
        <v>36</v>
      </c>
      <c r="H10921" s="1" t="s">
        <v>29</v>
      </c>
      <c r="I10921" s="1" t="str">
        <f ca="1">IFERROR(__xludf.DUMMYFUNCTION("GOOGLETRANSLATE(F10921, ""auto"", ""en"")
"),"Shaves clean and smooth in one pass. It is possible to increase and decrease speed. There is a cleaning glass. Waterproof.")</f>
        <v>Shaves clean and smooth in one pass. It is possible to increase and decrease speed. There is a cleaning glass. Waterproof.</v>
      </c>
    </row>
    <row r="10922" spans="1:9" x14ac:dyDescent="0.3">
      <c r="A10922" s="1" t="s">
        <v>30</v>
      </c>
      <c r="B10922" s="1" t="s">
        <v>50</v>
      </c>
      <c r="C10922" s="1" t="s">
        <v>694</v>
      </c>
      <c r="D10922" s="1" t="s">
        <v>589</v>
      </c>
      <c r="E10922" s="1" t="s">
        <v>3782</v>
      </c>
      <c r="F10922" s="1" t="s">
        <v>15731</v>
      </c>
      <c r="G10922" s="1" t="s">
        <v>28</v>
      </c>
      <c r="H10922" s="1" t="s">
        <v>29</v>
      </c>
      <c r="I10922" s="1" t="str">
        <f ca="1">IFERROR(__xludf.DUMMYFUNCTION("GOOGLETRANSLATE(F10922, ""auto"", ""en"")
"),"After reading the reviews I immediately wanted to object to Alexander (Voronezh). Quote: “The recovery program works like this: first we create a backup. And now - attention!! To restore, it certainly wants to first create a recovery disk on a CD or DVD! "&amp;"And then recover from it! Finish...” Yes, there is a request for a disk, but the backup copy is also safely saved on D, where I also store it. And regarding the smaller space, this is because this partition for restoring factory settings is hidden (that i"&amp;"s, it takes up space that you cannot use).    Although I also have some complaints: 1. There is no SIM holder, although the instructions talk about it, but it seems to be the same for the models... The model with the Nano processor does not have it, at le"&amp;"ast for me.  2. I agree with what was said above, if there is an update or an antivirus scan of the system... And sometimes Opera (if there are many tabs) loads it... it starts to slow down and warm up.  3. Sometimes it doesn’t come out of sleep mode - yo"&amp;"u have to reboot!!! And this is not good when there are open unsaved documents left there, because not all programs have auto-saving.  4. Battery life is only 1-2 hours.    Otherwise, very nice Nat! Not small and not big. And it’s not very heavy to take w"&amp;"ith you, especially for a girl (2 kg with charger and mouse) and not very small. + cute design and comfortable, almost silent keyboard, the only space bar stands out from the rest of the silent key presses.  Overall, I'm satisfied.")</f>
        <v>After reading the reviews I immediately wanted to object to Alexander (Voronezh). Quote: “The recovery program works like this: first we create a backup. And now - attention!! To restore, it certainly wants to first create a recovery disk on a CD or DVD! And then recover from it! Finish...” Yes, there is a request for a disk, but the backup copy is also safely saved on D, where I also store it. And regarding the smaller space, this is because this partition for restoring factory settings is hidden (that is, it takes up space that you cannot use).    Although I also have some complaints: 1. There is no SIM holder, although the instructions talk about it, but it seems to be the same for the models... The model with the Nano processor does not have it, at least for me.  2. I agree with what was said above, if there is an update or an antivirus scan of the system... And sometimes Opera (if there are many tabs) loads it... it starts to slow down and warm up.  3. Sometimes it doesn’t come out of sleep mode - you have to reboot!!! And this is not good when there are open unsaved documents left there, because not all programs have auto-saving.  4. Battery life is only 1-2 hours.    Otherwise, very nice Nat! Not small and not big. And it’s not very heavy to take with you, especially for a girl (2 kg with charger and mouse) and not very small. + cute design and comfortable, almost silent keyboard, the only space bar stands out from the rest of the silent key presses.  Overall, I'm satisfied.</v>
      </c>
    </row>
    <row r="10923" spans="1:9" x14ac:dyDescent="0.3">
      <c r="A10923" s="1" t="s">
        <v>149</v>
      </c>
      <c r="B10923" s="1" t="s">
        <v>150</v>
      </c>
      <c r="C10923" s="1" t="s">
        <v>57</v>
      </c>
      <c r="D10923" s="1" t="s">
        <v>474</v>
      </c>
      <c r="E10923" s="1" t="s">
        <v>7839</v>
      </c>
      <c r="F10923" s="1" t="s">
        <v>15732</v>
      </c>
      <c r="G10923" s="1" t="s">
        <v>15</v>
      </c>
      <c r="H10923" s="1" t="s">
        <v>16</v>
      </c>
      <c r="I10923" s="1" t="str">
        <f ca="1">IFERROR(__xludf.DUMMYFUNCTION("GOOGLETRANSLATE(F10923, ""auto"", ""en"")
"),"This Vitek vacuum cleaner with an aqua filter was given to us for a wedding, I was glad that it was on water, that is, there would be less dust. But when I started using it, it didn’t work, the power was zero, and the noise was as if an airplane was takin"&amp;"g off.")</f>
        <v>This Vitek vacuum cleaner with an aqua filter was given to us for a wedding, I was glad that it was on water, that is, there would be less dust. But when I started using it, it didn’t work, the power was zero, and the noise was as if an airplane was taking off.</v>
      </c>
    </row>
    <row r="10924" spans="1:9" x14ac:dyDescent="0.3">
      <c r="A10924" s="1" t="s">
        <v>78</v>
      </c>
      <c r="B10924" s="1" t="s">
        <v>79</v>
      </c>
      <c r="C10924" s="1" t="s">
        <v>80</v>
      </c>
      <c r="D10924" s="1" t="s">
        <v>152</v>
      </c>
      <c r="E10924" s="1" t="s">
        <v>1586</v>
      </c>
      <c r="F10924" s="1" t="s">
        <v>15733</v>
      </c>
      <c r="G10924" s="1" t="s">
        <v>28</v>
      </c>
      <c r="H10924" s="1" t="s">
        <v>29</v>
      </c>
      <c r="I10924" s="1" t="str">
        <f ca="1">IFERROR(__xludf.DUMMYFUNCTION("GOOGLETRANSLATE(F10924, ""auto"", ""en"")
"),"I bought it last fall. It has already broken down once, but fortunately there is a guarantee where all the problems were fixed within a week. As I understand it, it is poorly protected from a strong voltage drop, as happened to me.  What is written in the"&amp;" instructions is not always true; some moments take much longer. And the grill doesn’t really look like a real grill, there’s not enough heat... Of course, there are a lot of functions that you don’t use often, it’s quite convenient and beautiful on the o"&amp;"utside.")</f>
        <v>I bought it last fall. It has already broken down once, but fortunately there is a guarantee where all the problems were fixed within a week. As I understand it, it is poorly protected from a strong voltage drop, as happened to me.  What is written in the instructions is not always true; some moments take much longer. And the grill doesn’t really look like a real grill, there’s not enough heat... Of course, there are a lot of functions that you don’t use often, it’s quite convenient and beautiful on the outside.</v>
      </c>
    </row>
    <row r="10925" spans="1:9" x14ac:dyDescent="0.3">
      <c r="A10925" s="1" t="s">
        <v>149</v>
      </c>
      <c r="B10925" s="1" t="s">
        <v>155</v>
      </c>
      <c r="C10925" s="1" t="s">
        <v>1187</v>
      </c>
      <c r="D10925" s="1" t="s">
        <v>1593</v>
      </c>
      <c r="E10925" s="1" t="s">
        <v>661</v>
      </c>
      <c r="F10925" s="1" t="s">
        <v>15734</v>
      </c>
      <c r="G10925" s="1" t="s">
        <v>28</v>
      </c>
      <c r="H10925" s="1" t="s">
        <v>29</v>
      </c>
      <c r="I10925" s="1" t="str">
        <f ca="1">IFERROR(__xludf.DUMMYFUNCTION("GOOGLETRANSLATE(F10925, ""auto"", ""en"")
"),"I liked the vacuum cleaner: it sucks up dirt and dust perfectly, and is very maneuverable. BUT: after three months of use, the plastic pipe on the hose broke. This was very upsetting.")</f>
        <v>I liked the vacuum cleaner: it sucks up dirt and dust perfectly, and is very maneuverable. BUT: after three months of use, the plastic pipe on the hose broke. This was very upsetting.</v>
      </c>
    </row>
    <row r="10926" spans="1:9" x14ac:dyDescent="0.3">
      <c r="A10926" s="1" t="s">
        <v>149</v>
      </c>
      <c r="B10926" s="1" t="s">
        <v>576</v>
      </c>
      <c r="C10926" s="1" t="s">
        <v>69</v>
      </c>
      <c r="D10926" s="1" t="s">
        <v>280</v>
      </c>
      <c r="E10926" s="1" t="s">
        <v>353</v>
      </c>
      <c r="F10926" s="1" t="s">
        <v>15735</v>
      </c>
      <c r="G10926" s="1" t="s">
        <v>36</v>
      </c>
      <c r="H10926" s="1" t="s">
        <v>29</v>
      </c>
      <c r="I10926" s="1" t="str">
        <f ca="1">IFERROR(__xludf.DUMMYFUNCTION("GOOGLETRANSLATE(F10926, ""auto"", ""en"")
"),"Whoever told me would not believe it! It is absolutely silent. No louder than a regular microwave. There is more noise from under the brush than from the body. The power is wild! At maximum, it is difficult to tear the brush off the floor - it sticks! At "&amp;"minimum the power is also too much. The design is great. I like everything.")</f>
        <v>Whoever told me would not believe it! It is absolutely silent. No louder than a regular microwave. There is more noise from under the brush than from the body. The power is wild! At maximum, it is difficult to tear the brush off the floor - it sticks! At minimum the power is also too much. The design is great. I like everything.</v>
      </c>
    </row>
    <row r="10927" spans="1:9" x14ac:dyDescent="0.3">
      <c r="A10927" s="1" t="s">
        <v>43</v>
      </c>
      <c r="B10927" s="1" t="s">
        <v>303</v>
      </c>
      <c r="C10927" s="1" t="s">
        <v>220</v>
      </c>
      <c r="D10927" s="1" t="s">
        <v>295</v>
      </c>
      <c r="E10927" s="1" t="s">
        <v>2804</v>
      </c>
      <c r="F10927" s="1" t="s">
        <v>15736</v>
      </c>
      <c r="G10927" s="1" t="s">
        <v>36</v>
      </c>
      <c r="H10927" s="1" t="s">
        <v>29</v>
      </c>
      <c r="I10927" s="1" t="str">
        <f ca="1">IFERROR(__xludf.DUMMYFUNCTION("GOOGLETRANSLATE(F10927, ""auto"", ""en"")
"),"This water heater has been hanging in the bathroom for 3 years. We would like to say a big thank you to the seller who recommended this particular brand. It is very convenient to use. We set it up once and still don’t do anything. From the point of view o"&amp;"f saving electricity, you can turn off the boiler at night.")</f>
        <v>This water heater has been hanging in the bathroom for 3 years. We would like to say a big thank you to the seller who recommended this particular brand. It is very convenient to use. We set it up once and still don’t do anything. From the point of view of saving electricity, you can turn off the boiler at night.</v>
      </c>
    </row>
    <row r="10928" spans="1:9" x14ac:dyDescent="0.3">
      <c r="A10928" s="1" t="s">
        <v>120</v>
      </c>
      <c r="B10928" s="1" t="s">
        <v>256</v>
      </c>
      <c r="C10928" s="1" t="s">
        <v>69</v>
      </c>
      <c r="D10928" s="1" t="s">
        <v>4412</v>
      </c>
      <c r="E10928" s="1" t="s">
        <v>65</v>
      </c>
      <c r="F10928" s="1" t="s">
        <v>15737</v>
      </c>
      <c r="G10928" s="1" t="s">
        <v>49</v>
      </c>
      <c r="H10928" s="1" t="s">
        <v>16</v>
      </c>
      <c r="I10928" s="1" t="str">
        <f ca="1">IFERROR(__xludf.DUMMYFUNCTION("GOOGLETRANSLATE(F10928, ""auto"", ""en"")
"),"I used it for 2 weeks and saw a lot of shortcomings. The viewing angle is very small compared to the same LG, the picture is not clear when using an antenna (if you connect a digital one it will probably be better). The exits are not very conveniently loc"&amp;"ated. When connecting the console and computer there were problems with the screen, well, I’m probably the only one, although everything works fine in LG! In a word, I don’t advise you to buy it for that kind of money, you can buy LG or Samsung and still "&amp;"have an additional warranty left. Currently using LG LH2000 and it works great!!!!!")</f>
        <v>I used it for 2 weeks and saw a lot of shortcomings. The viewing angle is very small compared to the same LG, the picture is not clear when using an antenna (if you connect a digital one it will probably be better). The exits are not very conveniently located. When connecting the console and computer there were problems with the screen, well, I’m probably the only one, although everything works fine in LG! In a word, I don’t advise you to buy it for that kind of money, you can buy LG or Samsung and still have an additional warranty left. Currently using LG LH2000 and it works great!!!!!</v>
      </c>
    </row>
    <row r="10929" spans="1:9" x14ac:dyDescent="0.3">
      <c r="A10929" s="1" t="s">
        <v>1174</v>
      </c>
      <c r="B10929" s="1" t="s">
        <v>1175</v>
      </c>
      <c r="C10929" s="1" t="s">
        <v>356</v>
      </c>
      <c r="D10929" s="1" t="s">
        <v>6598</v>
      </c>
      <c r="E10929" s="1" t="s">
        <v>2348</v>
      </c>
      <c r="F10929" s="1" t="s">
        <v>15738</v>
      </c>
      <c r="G10929" s="1" t="s">
        <v>49</v>
      </c>
      <c r="H10929" s="1" t="s">
        <v>16</v>
      </c>
      <c r="I10929" s="1" t="str">
        <f ca="1">IFERROR(__xludf.DUMMYFUNCTION("GOOGLETRANSLATE(F10929, ""auto"", ""en"")
"),"I have an iPhone! two months and the headphones are peeling + the speaker is dead!!! and for that kind of money you can find much better ear models")</f>
        <v>I have an iPhone! two months and the headphones are peeling + the speaker is dead!!! and for that kind of money you can find much better ear models</v>
      </c>
    </row>
    <row r="10930" spans="1:9" x14ac:dyDescent="0.3">
      <c r="A10930" s="1" t="s">
        <v>105</v>
      </c>
      <c r="B10930" s="1" t="s">
        <v>106</v>
      </c>
      <c r="C10930" s="1" t="s">
        <v>1209</v>
      </c>
      <c r="D10930" s="1" t="s">
        <v>695</v>
      </c>
      <c r="E10930" s="1" t="s">
        <v>1122</v>
      </c>
      <c r="F10930" s="1" t="s">
        <v>15739</v>
      </c>
      <c r="G10930" s="1" t="s">
        <v>49</v>
      </c>
      <c r="H10930" s="1" t="s">
        <v>16</v>
      </c>
      <c r="I10930" s="1" t="str">
        <f ca="1">IFERROR(__xludf.DUMMYFUNCTION("GOOGLETRANSLATE(F10930, ""auto"", ""en"")
"),"the player is rare... after a month of use I took it to the server. center, because it hung at every opportunity, they fixed it, after another 1.5 months the Russian fonts in the player menu and tag names glitched. At the same time, at the very least, it "&amp;"was possible to use it, a day later it simply did not turn on, and even stopped being detected as a usb flash :(, in general, if you want to throw away 1000 rubles somewhere. BUY exactly explay, but I decided for myself, only branded things, albeit with a"&amp;"n overpayment!!!")</f>
        <v>the player is rare... after a month of use I took it to the server. center, because it hung at every opportunity, they fixed it, after another 1.5 months the Russian fonts in the player menu and tag names glitched. At the same time, at the very least, it was possible to use it, a day later it simply did not turn on, and even stopped being detected as a usb flash :(, in general, if you want to throw away 1000 rubles somewhere. BUY exactly explay, but I decided for myself, only branded things, albeit with an overpayment!!!</v>
      </c>
    </row>
    <row r="10931" spans="1:9" x14ac:dyDescent="0.3">
      <c r="A10931" s="1" t="s">
        <v>557</v>
      </c>
      <c r="B10931" s="1" t="s">
        <v>1977</v>
      </c>
      <c r="C10931" s="1" t="s">
        <v>369</v>
      </c>
      <c r="D10931" s="1" t="s">
        <v>114</v>
      </c>
      <c r="E10931" s="1" t="s">
        <v>15740</v>
      </c>
      <c r="F10931" s="1" t="s">
        <v>15741</v>
      </c>
      <c r="G10931" s="1" t="s">
        <v>49</v>
      </c>
      <c r="H10931" s="1" t="s">
        <v>16</v>
      </c>
      <c r="I10931" s="1" t="str">
        <f ca="1">IFERROR(__xludf.DUMMYFUNCTION("GOOGLETRANSLATE(F10931, ""auto"", ""en"")
"),"The GOODwin phone, in my opinion, did not live up to expectations. I purchased it for the office, but when I connected it, studied the instructions, and checked it in different modes, I did not receive any beeps from this unit, and the call, accordingly, "&amp;"did not reach anywhere. To you, my friends, I hope it will serve you for a long time and with high quality, and I’m the only one unlucky with it. If not for this incident, I would have given it a ""B minus"", but, alas, it is.")</f>
        <v>The GOODwin phone, in my opinion, did not live up to expectations. I purchased it for the office, but when I connected it, studied the instructions, and checked it in different modes, I did not receive any beeps from this unit, and the call, accordingly, did not reach anywhere. To you, my friends, I hope it will serve you for a long time and with high quality, and I’m the only one unlucky with it. If not for this incident, I would have given it a "B minus", but, alas, it is.</v>
      </c>
    </row>
    <row r="10932" spans="1:9" x14ac:dyDescent="0.3">
      <c r="A10932" s="1" t="s">
        <v>17</v>
      </c>
      <c r="B10932" s="1" t="s">
        <v>18</v>
      </c>
      <c r="C10932" s="1" t="s">
        <v>243</v>
      </c>
      <c r="D10932" s="1" t="s">
        <v>295</v>
      </c>
      <c r="E10932" s="1" t="s">
        <v>954</v>
      </c>
      <c r="F10932" s="1" t="s">
        <v>15742</v>
      </c>
      <c r="G10932" s="1" t="s">
        <v>36</v>
      </c>
      <c r="H10932" s="1" t="s">
        <v>29</v>
      </c>
      <c r="I10932" s="1" t="str">
        <f ca="1">IFERROR(__xludf.DUMMYFUNCTION("GOOGLETRANSLATE(F10932, ""auto"", ""en"")
"),"We've been using it for six months now. We wash it often and a lot, it's very compact, doesn't make noise, and washes well. I don't think you can find a better one for that price.")</f>
        <v>We've been using it for six months now. We wash it often and a lot, it's very compact, doesn't make noise, and washes well. I don't think you can find a better one for that price.</v>
      </c>
    </row>
    <row r="10933" spans="1:9" x14ac:dyDescent="0.3">
      <c r="A10933" s="1" t="s">
        <v>211</v>
      </c>
      <c r="B10933" s="1" t="s">
        <v>384</v>
      </c>
      <c r="C10933" s="1" t="s">
        <v>101</v>
      </c>
      <c r="D10933" s="1" t="s">
        <v>15743</v>
      </c>
      <c r="E10933" s="1" t="s">
        <v>1452</v>
      </c>
      <c r="F10933" s="1" t="s">
        <v>15744</v>
      </c>
      <c r="G10933" s="1" t="s">
        <v>36</v>
      </c>
      <c r="H10933" s="1" t="s">
        <v>29</v>
      </c>
      <c r="I10933" s="1" t="str">
        <f ca="1">IFERROR(__xludf.DUMMYFUNCTION("GOOGLETRANSLATE(F10933, ""auto"", ""en"")
"),"Super scales! Very good and high quality product. And beautiful.")</f>
        <v>Super scales! Very good and high quality product. And beautiful.</v>
      </c>
    </row>
    <row r="10934" spans="1:9" x14ac:dyDescent="0.3">
      <c r="A10934" s="1" t="s">
        <v>30</v>
      </c>
      <c r="B10934" s="1" t="s">
        <v>31</v>
      </c>
      <c r="C10934" s="1" t="s">
        <v>32</v>
      </c>
      <c r="D10934" s="1" t="s">
        <v>64</v>
      </c>
      <c r="E10934" s="1" t="s">
        <v>11157</v>
      </c>
      <c r="F10934" s="1" t="s">
        <v>15745</v>
      </c>
      <c r="G10934" s="1" t="s">
        <v>36</v>
      </c>
      <c r="H10934" s="1" t="s">
        <v>29</v>
      </c>
      <c r="I10934" s="1" t="str">
        <f ca="1">IFERROR(__xludf.DUMMYFUNCTION("GOOGLETRANSLATE(F10934, ""auto"", ""en"")
"),"An excellent system unit, compact, good price-to-Cossack ratio. The only thing that didn’t suit me: the video card overheated, I had to remove the side cover")</f>
        <v>An excellent system unit, compact, good price-to-Cossack ratio. The only thing that didn’t suit me: the video card overheated, I had to remove the side cover</v>
      </c>
    </row>
    <row r="10935" spans="1:9" x14ac:dyDescent="0.3">
      <c r="A10935" s="1" t="s">
        <v>1823</v>
      </c>
      <c r="B10935" s="1" t="s">
        <v>1824</v>
      </c>
      <c r="C10935" s="1" t="s">
        <v>69</v>
      </c>
      <c r="D10935" s="1" t="s">
        <v>545</v>
      </c>
      <c r="E10935" s="1" t="s">
        <v>13907</v>
      </c>
      <c r="F10935" s="1" t="s">
        <v>15746</v>
      </c>
      <c r="G10935" s="1" t="s">
        <v>28</v>
      </c>
      <c r="H10935" s="1" t="s">
        <v>29</v>
      </c>
      <c r="I10935" s="1" t="str">
        <f ca="1">IFERROR(__xludf.DUMMYFUNCTION("GOOGLETRANSLATE(F10935, ""auto"", ""en"")
"),"I’m happy with the purchase (but there are 3 drawbacks for me) - the board is wide, stable, durable (but it creaks terribly on me), I like the folding hangers (ideal for ironing shirts), if you don’t need them you can just fold them, there is a special st"&amp;"and for the steam generator (who doesn’t have one, it’s not very convenient because there is no socket for a regular iron. If you iron on a tile, the board moves away because the legs are plastic not rubber")</f>
        <v>I’m happy with the purchase (but there are 3 drawbacks for me) - the board is wide, stable, durable (but it creaks terribly on me), I like the folding hangers (ideal for ironing shirts), if you don’t need them you can just fold them, there is a special stand for the steam generator (who doesn’t have one, it’s not very convenient because there is no socket for a regular iron. If you iron on a tile, the board moves away because the legs are plastic not rubber</v>
      </c>
    </row>
    <row r="10936" spans="1:9" x14ac:dyDescent="0.3">
      <c r="A10936" s="1" t="s">
        <v>149</v>
      </c>
      <c r="B10936" s="1" t="s">
        <v>576</v>
      </c>
      <c r="C10936" s="1" t="s">
        <v>151</v>
      </c>
      <c r="D10936" s="1" t="s">
        <v>15747</v>
      </c>
      <c r="E10936" s="1" t="s">
        <v>498</v>
      </c>
      <c r="F10936" s="1" t="s">
        <v>15748</v>
      </c>
      <c r="G10936" s="1" t="s">
        <v>36</v>
      </c>
      <c r="H10936" s="1" t="s">
        <v>29</v>
      </c>
      <c r="I10936" s="1" t="str">
        <f ca="1">IFERROR(__xludf.DUMMYFUNCTION("GOOGLETRANSLATE(F10936, ""auto"", ""en"")
"),"I bought a couple of vacuum cleaners today, I’m tired of “Thomas”, I’m switching to simple vacuum cleaners!!! Where they came from is where they came from! Take it, don’t bother with expensive vacuum cleaners, it’s light, simple, and the consumables are c"&amp;"heap!!!")</f>
        <v>I bought a couple of vacuum cleaners today, I’m tired of “Thomas”, I’m switching to simple vacuum cleaners!!! Where they came from is where they came from! Take it, don’t bother with expensive vacuum cleaners, it’s light, simple, and the consumables are cheap!!!</v>
      </c>
    </row>
    <row r="10937" spans="1:9" x14ac:dyDescent="0.3">
      <c r="A10937" s="1" t="s">
        <v>37</v>
      </c>
      <c r="B10937" s="1" t="s">
        <v>536</v>
      </c>
      <c r="C10937" s="1" t="s">
        <v>163</v>
      </c>
      <c r="D10937" s="1" t="s">
        <v>171</v>
      </c>
      <c r="E10937" s="1" t="s">
        <v>7339</v>
      </c>
      <c r="F10937" s="1" t="s">
        <v>15749</v>
      </c>
      <c r="G10937" s="1" t="s">
        <v>36</v>
      </c>
      <c r="H10937" s="1" t="s">
        <v>29</v>
      </c>
      <c r="I10937" s="1" t="str">
        <f ca="1">IFERROR(__xludf.DUMMYFUNCTION("GOOGLETRANSLATE(F10937, ""auto"", ""en"")
"),"Let's start with the fact that I have never used touch phones (touch phones) before. But, holding this phone in my hands, I immediately got used to it! He's been making me happy for three days now. So far only positive reviews! I was also pleased with the"&amp;" equipment!")</f>
        <v>Let's start with the fact that I have never used touch phones (touch phones) before. But, holding this phone in my hands, I immediately got used to it! He's been making me happy for three days now. So far only positive reviews! I was also pleased with the equipment!</v>
      </c>
    </row>
    <row r="10938" spans="1:9" x14ac:dyDescent="0.3">
      <c r="A10938" s="1" t="s">
        <v>61</v>
      </c>
      <c r="B10938" s="1" t="s">
        <v>180</v>
      </c>
      <c r="C10938" s="1" t="s">
        <v>63</v>
      </c>
      <c r="D10938" s="1" t="s">
        <v>474</v>
      </c>
      <c r="E10938" s="1" t="s">
        <v>1084</v>
      </c>
      <c r="F10938" s="1" t="s">
        <v>15750</v>
      </c>
      <c r="G10938" s="1" t="s">
        <v>36</v>
      </c>
      <c r="H10938" s="1" t="s">
        <v>29</v>
      </c>
      <c r="I10938" s="1" t="str">
        <f ca="1">IFERROR(__xludf.DUMMYFUNCTION("GOOGLETRANSLATE(F10938, ""auto"", ""en"")
"),"We bought this toaster yesterday! Very wonderful, the toast turns out excellent! Happy with the purchase!")</f>
        <v>We bought this toaster yesterday! Very wonderful, the toast turns out excellent! Happy with the purchase!</v>
      </c>
    </row>
    <row r="10939" spans="1:9" x14ac:dyDescent="0.3">
      <c r="A10939" s="1" t="s">
        <v>43</v>
      </c>
      <c r="B10939" s="1" t="s">
        <v>1370</v>
      </c>
      <c r="C10939" s="1" t="s">
        <v>2137</v>
      </c>
      <c r="D10939" s="1" t="s">
        <v>15751</v>
      </c>
      <c r="E10939" s="1" t="s">
        <v>15587</v>
      </c>
      <c r="F10939" s="1" t="s">
        <v>15752</v>
      </c>
      <c r="G10939" s="1" t="s">
        <v>36</v>
      </c>
      <c r="H10939" s="1" t="s">
        <v>29</v>
      </c>
      <c r="I10939" s="1" t="str">
        <f ca="1">IFERROR(__xludf.DUMMYFUNCTION("GOOGLETRANSLATE(F10939, ""auto"", ""en"")
"),"If&amp;nbsp; If you buy a device for the annual September shutdown of hot water for 2 weeks, then this water heater is for you. It heats normally with low water pressure, you can even get burned. The watering can is, of course, simple, but it will do for wash"&amp;"ing 1-2 times a day. The electrical wire with a plug at the end is already connected. Installation is simple. The only negative is that the kit does not include a grounding wire; there is only a male contact for it. But this can be easily solved by buying"&amp;" a crocodile with a wire, only 30 rubles.")</f>
        <v>If&amp;nbsp; If you buy a device for the annual September shutdown of hot water for 2 weeks, then this water heater is for you. It heats normally with low water pressure, you can even get burned. The watering can is, of course, simple, but it will do for washing 1-2 times a day. The electrical wire with a plug at the end is already connected. Installation is simple. The only negative is that the kit does not include a grounding wire; there is only a male contact for it. But this can be easily solved by buying a crocodile with a wire, only 30 rubles.</v>
      </c>
    </row>
    <row r="10940" spans="1:9" x14ac:dyDescent="0.3">
      <c r="A10940" s="1" t="s">
        <v>61</v>
      </c>
      <c r="B10940" s="1" t="s">
        <v>977</v>
      </c>
      <c r="C10940" s="1" t="s">
        <v>69</v>
      </c>
      <c r="D10940" s="1" t="s">
        <v>280</v>
      </c>
      <c r="E10940" s="1" t="s">
        <v>2258</v>
      </c>
      <c r="F10940" s="1" t="s">
        <v>15753</v>
      </c>
      <c r="G10940" s="1" t="s">
        <v>15</v>
      </c>
      <c r="H10940" s="1" t="s">
        <v>16</v>
      </c>
      <c r="I10940" s="1" t="str">
        <f ca="1">IFERROR(__xludf.DUMMYFUNCTION("GOOGLETRANSLATE(F10940, ""auto"", ""en"")
"),"A year has passed and the engine burned out!!! The repair is comparable to the cost, but the warranty has expired :(")</f>
        <v>A year has passed and the engine burned out!!! The repair is comparable to the cost, but the warranty has expired :(</v>
      </c>
    </row>
    <row r="10941" spans="1:9" x14ac:dyDescent="0.3">
      <c r="A10941" s="1" t="s">
        <v>37</v>
      </c>
      <c r="B10941" s="1" t="s">
        <v>536</v>
      </c>
      <c r="C10941" s="1" t="s">
        <v>32</v>
      </c>
      <c r="D10941" s="1" t="s">
        <v>39</v>
      </c>
      <c r="E10941" s="1" t="s">
        <v>3805</v>
      </c>
      <c r="F10941" s="1" t="s">
        <v>15754</v>
      </c>
      <c r="G10941" s="1" t="s">
        <v>49</v>
      </c>
      <c r="H10941" s="1" t="s">
        <v>16</v>
      </c>
      <c r="I10941" s="1" t="str">
        <f ca="1">IFERROR(__xludf.DUMMYFUNCTION("GOOGLETRANSLATE(F10941, ""auto"", ""en"")
"),"The device sucked and passed it in 3 days!!! There is no sound at all, the camera: only the Motorola c650 sucks. If the communicator is in your pocket, then when you call it can answer itself!!!  In general, I don’t advise anyone to throw away their money"&amp;".")</f>
        <v>The device sucked and passed it in 3 days!!! There is no sound at all, the camera: only the Motorola c650 sucks. If the communicator is in your pocket, then when you call it can answer itself!!!  In general, I don’t advise anyone to throw away their money.</v>
      </c>
    </row>
    <row r="10942" spans="1:9" x14ac:dyDescent="0.3">
      <c r="A10942" s="1" t="s">
        <v>17</v>
      </c>
      <c r="B10942" s="1" t="s">
        <v>18</v>
      </c>
      <c r="C10942" s="1" t="s">
        <v>243</v>
      </c>
      <c r="D10942" s="1" t="s">
        <v>12</v>
      </c>
      <c r="E10942" s="1" t="s">
        <v>1871</v>
      </c>
      <c r="F10942" s="1" t="s">
        <v>15755</v>
      </c>
      <c r="G10942" s="1" t="s">
        <v>36</v>
      </c>
      <c r="H10942" s="1" t="s">
        <v>29</v>
      </c>
      <c r="I10942" s="1" t="str">
        <f ca="1">IFERROR(__xludf.DUMMYFUNCTION("GOOGLETRANSLATE(F10942, ""auto"", ""en"")
"),"We purchased the machine in January 2010, we bought it at random, only on the advice of a consultant. It washes super, not expensive and great;)")</f>
        <v>We purchased the machine in January 2010, we bought it at random, only on the advice of a consultant. It washes super, not expensive and great;)</v>
      </c>
    </row>
    <row r="10943" spans="1:9" x14ac:dyDescent="0.3">
      <c r="A10943" s="1" t="s">
        <v>105</v>
      </c>
      <c r="B10943" s="1" t="s">
        <v>106</v>
      </c>
      <c r="C10943" s="1" t="s">
        <v>151</v>
      </c>
      <c r="D10943" s="1" t="s">
        <v>172</v>
      </c>
      <c r="E10943" s="1" t="s">
        <v>960</v>
      </c>
      <c r="F10943" s="1" t="s">
        <v>15756</v>
      </c>
      <c r="G10943" s="1" t="s">
        <v>49</v>
      </c>
      <c r="H10943" s="1" t="s">
        <v>16</v>
      </c>
      <c r="I10943" s="1" t="str">
        <f ca="1">IFERROR(__xludf.DUMMYFUNCTION("GOOGLETRANSLATE(F10943, ""auto"", ""en"")
"),"I bought it as a gift, on the first day everything worked fine, the player lay for a little over a week without moving, before giving it away I decided to check it again, and then it started... I go from the menu to the player - it hangs, does not turn of"&amp;"f, only the reset button helps, I turn it on again - it hangs, I turn it on again and go to the browser - it hangs, I connect it to the computer, format it, disconnect it from the computer, it gives me a library update and... it hangs. In general, it didn"&amp;"’t work out for me with this player, I changed it to iRiver E-150 and I don’t know the grief.")</f>
        <v>I bought it as a gift, on the first day everything worked fine, the player lay for a little over a week without moving, before giving it away I decided to check it again, and then it started... I go from the menu to the player - it hangs, does not turn off, only the reset button helps, I turn it on again - it hangs, I turn it on again and go to the browser - it hangs, I connect it to the computer, format it, disconnect it from the computer, it gives me a library update and... it hangs. In general, it didn’t work out for me with this player, I changed it to iRiver E-150 and I don’t know the grief.</v>
      </c>
    </row>
    <row r="10944" spans="1:9" x14ac:dyDescent="0.3">
      <c r="A10944" s="1" t="s">
        <v>1119</v>
      </c>
      <c r="B10944" s="1" t="s">
        <v>1120</v>
      </c>
      <c r="C10944" s="1" t="s">
        <v>4468</v>
      </c>
      <c r="D10944" s="1" t="s">
        <v>39</v>
      </c>
      <c r="E10944" s="1" t="s">
        <v>1682</v>
      </c>
      <c r="F10944" s="1" t="s">
        <v>15757</v>
      </c>
      <c r="G10944" s="1" t="s">
        <v>28</v>
      </c>
      <c r="H10944" s="1" t="s">
        <v>29</v>
      </c>
      <c r="I10944" s="1" t="str">
        <f ca="1">IFERROR(__xludf.DUMMYFUNCTION("GOOGLETRANSLATE(F10944, ""auto"", ""en"")
"),"I bought myself a Canon LEGRIA FS36.     Advantages: light, small, stabilization works unusually - but quite normally, menu in Russian, intuitive interface.    Disadvantages: it shoots very noisily in low light, but this is not only a disadvantage of this"&amp;" model, but of all flash drive cameras in general.")</f>
        <v>I bought myself a Canon LEGRIA FS36.     Advantages: light, small, stabilization works unusually - but quite normally, menu in Russian, intuitive interface.    Disadvantages: it shoots very noisily in low light, but this is not only a disadvantage of this model, but of all flash drive cameras in general.</v>
      </c>
    </row>
    <row r="10945" spans="1:9" x14ac:dyDescent="0.3">
      <c r="A10945" s="1" t="s">
        <v>111</v>
      </c>
      <c r="B10945" s="1" t="s">
        <v>112</v>
      </c>
      <c r="C10945" s="1" t="s">
        <v>1230</v>
      </c>
      <c r="D10945" s="1" t="s">
        <v>327</v>
      </c>
      <c r="E10945" s="1" t="s">
        <v>11320</v>
      </c>
      <c r="F10945" s="1" t="s">
        <v>15758</v>
      </c>
      <c r="G10945" s="1" t="s">
        <v>28</v>
      </c>
      <c r="H10945" s="1" t="s">
        <v>29</v>
      </c>
      <c r="I10945" s="1" t="str">
        <f ca="1">IFERROR(__xludf.DUMMYFUNCTION("GOOGLETRANSLATE(F10945, ""auto"", ""en"")
"),"The filter is, in principle, quite good. But a year and a half later, for no apparent reason, he “died.”   Having examined the insides, I discovered a lack of soldering on one of the contacts. The leg was simply inserted into the hole on the board without"&amp;" any trace of solder. The leg was simply bent with pliers and lightly tapped.   With all precautions, voltage was applied to the device - and, miraculously! — the filter came to life. And it still filters successfully.    The conclusion is simple - the fi"&amp;"lling is “5”, the assembly is “3” (after all, consumer goods).   Total: well-deserved “B” P.S. I am not an employee or shareholder of ARS, M-Video or any other trading organizations ☺")</f>
        <v>The filter is, in principle, quite good. But a year and a half later, for no apparent reason, he “died.”   Having examined the insides, I discovered a lack of soldering on one of the contacts. The leg was simply inserted into the hole on the board without any trace of solder. The leg was simply bent with pliers and lightly tapped.   With all precautions, voltage was applied to the device - and, miraculously! — the filter came to life. And it still filters successfully.    The conclusion is simple - the filling is “5”, the assembly is “3” (after all, consumer goods).   Total: well-deserved “B” P.S. I am not an employee or shareholder of ARS, M-Video or any other trading organizations ☺</v>
      </c>
    </row>
    <row r="10946" spans="1:9" x14ac:dyDescent="0.3">
      <c r="A10946" s="1" t="s">
        <v>17</v>
      </c>
      <c r="B10946" s="1" t="s">
        <v>18</v>
      </c>
      <c r="C10946" s="1" t="s">
        <v>24</v>
      </c>
      <c r="D10946" s="1" t="s">
        <v>295</v>
      </c>
      <c r="E10946" s="1" t="s">
        <v>8177</v>
      </c>
      <c r="F10946" s="1" t="s">
        <v>15759</v>
      </c>
      <c r="G10946" s="1" t="s">
        <v>36</v>
      </c>
      <c r="H10946" s="1" t="s">
        <v>29</v>
      </c>
      <c r="I10946" s="1" t="str">
        <f ca="1">IFERROR(__xludf.DUMMYFUNCTION("GOOGLETRANSLATE(F10946, ""auto"", ""en"")
"),"We have had our Zanussi washing machine for over a year now. Very pleased with the work.")</f>
        <v>We have had our Zanussi washing machine for over a year now. Very pleased with the work.</v>
      </c>
    </row>
    <row r="10947" spans="1:9" x14ac:dyDescent="0.3">
      <c r="A10947" s="1" t="s">
        <v>149</v>
      </c>
      <c r="B10947" s="1" t="s">
        <v>576</v>
      </c>
      <c r="C10947" s="1" t="s">
        <v>151</v>
      </c>
      <c r="D10947" s="1" t="s">
        <v>280</v>
      </c>
      <c r="E10947" s="1" t="s">
        <v>2298</v>
      </c>
      <c r="F10947" s="1" t="s">
        <v>15760</v>
      </c>
      <c r="G10947" s="1" t="s">
        <v>36</v>
      </c>
      <c r="H10947" s="1" t="s">
        <v>29</v>
      </c>
      <c r="I10947" s="1" t="str">
        <f ca="1">IFERROR(__xludf.DUMMYFUNCTION("GOOGLETRANSLATE(F10947, ""auto"", ""en"")
"),"Genius for two reasons: 1. Talent (1%).  Everything about the vacuum cleaner is perfect. The model has been produced for a very long time and it is difficult to make it better. Manufacturers are tormented by how to attract customers; they come up with all"&amp;" sorts of unnecessary gadgets. And this vacuum cleaner is the quintessence of conventional vacuum cleaners with a dust bag.  Powerful. Small. Convenient carrying handle (it is also responsible for automatically rewinding the power cord when pressed from a"&amp;"bove). Just one button (responsible for turning on and at the same time power regulator). There are no uneven surfaces on the body (the egg shape makes it easy to wipe clean).  2. Hard worker (99%).   We took such a parent to the village about five years "&amp;"ago. It still works perfectly.    Well, without a drop of ointment: 1. A bit noisy.   2. It’s better to immediately throw away the paper bags that come with the kit. They are torn. Buy any inexpensive bags and use them if you don't want to empty out a reu"&amp;"sable bag.")</f>
        <v>Genius for two reasons: 1. Talent (1%).  Everything about the vacuum cleaner is perfect. The model has been produced for a very long time and it is difficult to make it better. Manufacturers are tormented by how to attract customers; they come up with all sorts of unnecessary gadgets. And this vacuum cleaner is the quintessence of conventional vacuum cleaners with a dust bag.  Powerful. Small. Convenient carrying handle (it is also responsible for automatically rewinding the power cord when pressed from above). Just one button (responsible for turning on and at the same time power regulator). There are no uneven surfaces on the body (the egg shape makes it easy to wipe clean).  2. Hard worker (99%).   We took such a parent to the village about five years ago. It still works perfectly.    Well, without a drop of ointment: 1. A bit noisy.   2. It’s better to immediately throw away the paper bags that come with the kit. They are torn. Buy any inexpensive bags and use them if you don't want to empty out a reusable bag.</v>
      </c>
    </row>
    <row r="10948" spans="1:9" x14ac:dyDescent="0.3">
      <c r="A10948" s="1" t="s">
        <v>120</v>
      </c>
      <c r="B10948" s="1" t="s">
        <v>196</v>
      </c>
      <c r="C10948" s="1" t="s">
        <v>80</v>
      </c>
      <c r="D10948" s="1" t="s">
        <v>172</v>
      </c>
      <c r="E10948" s="1" t="s">
        <v>971</v>
      </c>
      <c r="F10948" s="1" t="s">
        <v>15761</v>
      </c>
      <c r="G10948" s="1" t="s">
        <v>36</v>
      </c>
      <c r="H10948" s="1" t="s">
        <v>29</v>
      </c>
      <c r="I10948" s="1" t="str">
        <f ca="1">IFERROR(__xludf.DUMMYFUNCTION("GOOGLETRANSLATE(F10948, ""auto"", ""en"")
"),"I did everything as Ilya said, but there were a couple of problems when he reinstalled the firmware, and the first time he rebooted, he asked me if I could configure the programs, I answered no, I pressed OK on the remote control and the TV at the same ti"&amp;"me, and as a result, the sign to configure the programs popped up again, and so on again and again, and in the end the sign where you had to enter “0000” did not appear after the USB, and the firmware back through the “menu-options-7x button” 9"" is not r"&amp;"estored remains 3.15 Tell me what went wrong, but the TV worked well and still works!")</f>
        <v>I did everything as Ilya said, but there were a couple of problems when he reinstalled the firmware, and the first time he rebooted, he asked me if I could configure the programs, I answered no, I pressed OK on the remote control and the TV at the same time, and as a result, the sign to configure the programs popped up again, and so on again and again, and in the end the sign where you had to enter “0000” did not appear after the USB, and the firmware back through the “menu-options-7x button” 9" is not restored remains 3.15 Tell me what went wrong, but the TV worked well and still works!</v>
      </c>
    </row>
    <row r="10949" spans="1:9" x14ac:dyDescent="0.3">
      <c r="A10949" s="1" t="s">
        <v>37</v>
      </c>
      <c r="B10949" s="1" t="s">
        <v>38</v>
      </c>
      <c r="C10949" s="1" t="s">
        <v>151</v>
      </c>
      <c r="D10949" s="1" t="s">
        <v>545</v>
      </c>
      <c r="E10949" s="1" t="s">
        <v>956</v>
      </c>
      <c r="F10949" s="1" t="s">
        <v>15762</v>
      </c>
      <c r="G10949" s="1" t="s">
        <v>36</v>
      </c>
      <c r="H10949" s="1" t="s">
        <v>29</v>
      </c>
      <c r="I10949" s="1" t="str">
        <f ca="1">IFERROR(__xludf.DUMMYFUNCTION("GOOGLETRANSLATE(F10949, ""auto"", ""en"")
"),"I take the purchase of a phone very seriously... I study all the reviews, read a bunch of literature on each of the phones... and I can say unequivocally - the time was not wasted!!))) While going to the store to buy it, I was delighted, but having purcha"&amp;"sed the phone, my joy knew no bounds.. Well, firstly, the phone lies “exactly” in the hand (whoever has at least once been with a phone that is inconvenient for themselves will understand), secondly, a very convenient phone book... the camera is a miracle"&amp;", especially with autofocus and smile detection.. the flash drive supports MIKRO CD 32 Gb, it’s convenient to write SMS - in 2 positions.. unrealistically loud speaker for a Samsung.. when downloading - copying to a memory card.. If we talk about the shor"&amp;"tcomings, then for me there is only one so far - IT’S AN ALARM CLOCK.. Or rather, turning it off.. Until he gets tired of sleep that he needs to turn off like that and really you'll wake up.. Although this is probably even a plus of this phone))) I recomm"&amp;"end the phone.. it's worth the money and it's very pleasant to work and relax with it.. it has a lot of little things that other Samsungs at this price don't have.. I didn't regret it))) good luck to you...")</f>
        <v>I take the purchase of a phone very seriously... I study all the reviews, read a bunch of literature on each of the phones... and I can say unequivocally - the time was not wasted!!))) While going to the store to buy it, I was delighted, but having purchased the phone, my joy knew no bounds.. Well, firstly, the phone lies “exactly” in the hand (whoever has at least once been with a phone that is inconvenient for themselves will understand), secondly, a very convenient phone book... the camera is a miracle, especially with autofocus and smile detection.. the flash drive supports MIKRO CD 32 Gb, it’s convenient to write SMS - in 2 positions.. unrealistically loud speaker for a Samsung.. when downloading - copying to a memory card.. If we talk about the shortcomings, then for me there is only one so far - IT’S AN ALARM CLOCK.. Or rather, turning it off.. Until he gets tired of sleep that he needs to turn off like that and really you'll wake up.. Although this is probably even a plus of this phone))) I recommend the phone.. it's worth the money and it's very pleasant to work and relax with it.. it has a lot of little things that other Samsungs at this price don't have.. I didn't regret it))) good luck to you...</v>
      </c>
    </row>
    <row r="10950" spans="1:9" x14ac:dyDescent="0.3">
      <c r="A10950" s="1" t="s">
        <v>61</v>
      </c>
      <c r="B10950" s="1" t="s">
        <v>318</v>
      </c>
      <c r="C10950" s="1" t="s">
        <v>1461</v>
      </c>
      <c r="D10950" s="1" t="s">
        <v>15763</v>
      </c>
      <c r="E10950" s="1" t="s">
        <v>792</v>
      </c>
      <c r="F10950" s="1" t="s">
        <v>15764</v>
      </c>
      <c r="G10950" s="1" t="s">
        <v>36</v>
      </c>
      <c r="H10950" s="1" t="s">
        <v>29</v>
      </c>
      <c r="I10950" s="1" t="str">
        <f ca="1">IFERROR(__xludf.DUMMYFUNCTION("GOOGLETRANSLATE(F10950, ""auto"", ""en"")
"),"I took it as a temporary one after an expensive kettle broke down. Considering the mixed reviews and the cheap price, there were doubts before purchasing it. But the kettle did not disappoint. I've been using it for a month and a half now and have no comp"&amp;"laints.")</f>
        <v>I took it as a temporary one after an expensive kettle broke down. Considering the mixed reviews and the cheap price, there were doubts before purchasing it. But the kettle did not disappoint. I've been using it for a month and a half now and have no complaints.</v>
      </c>
    </row>
    <row r="10951" spans="1:9" x14ac:dyDescent="0.3">
      <c r="A10951" s="1" t="s">
        <v>61</v>
      </c>
      <c r="B10951" s="1" t="s">
        <v>318</v>
      </c>
      <c r="C10951" s="1" t="s">
        <v>4871</v>
      </c>
      <c r="D10951" s="1" t="s">
        <v>247</v>
      </c>
      <c r="E10951" s="1" t="s">
        <v>3114</v>
      </c>
      <c r="F10951" s="1" t="s">
        <v>15765</v>
      </c>
      <c r="G10951" s="1" t="s">
        <v>36</v>
      </c>
      <c r="H10951" s="1" t="s">
        <v>29</v>
      </c>
      <c r="I10951" s="1" t="str">
        <f ca="1">IFERROR(__xludf.DUMMYFUNCTION("GOOGLETRANSLATE(F10951, ""auto"", ""en"")
"),"I've been using Thermal Pot for several years now. I really like the large capacity - you can give all your guests a drink at once or you yourself don’t have to worry about putting the kettle on for a few days - hot water at the right temperature is at ha"&amp;"nd at any time of the day or night. No complaints about the work - it does its job with 5+. You can turn off the power, move it to another room and turn it on there - re-boiling will not happen (of course, if you do it quickly). The downside is that you w"&amp;"on’t be able to pour tea silently at night - the pump does not operate silently, and it also lacks the 80-degree mode that is available on its 4-liter brother CD-WBQ (ideal for most teas). And this one is ideal for those who have small children and who pr"&amp;"efer red/black teas. The thermopot itself is made with high quality, soft edges, intuitively simple controls.")</f>
        <v>I've been using Thermal Pot for several years now. I really like the large capacity - you can give all your guests a drink at once or you yourself don’t have to worry about putting the kettle on for a few days - hot water at the right temperature is at hand at any time of the day or night. No complaints about the work - it does its job with 5+. You can turn off the power, move it to another room and turn it on there - re-boiling will not happen (of course, if you do it quickly). The downside is that you won’t be able to pour tea silently at night - the pump does not operate silently, and it also lacks the 80-degree mode that is available on its 4-liter brother CD-WBQ (ideal for most teas). And this one is ideal for those who have small children and who prefer red/black teas. The thermopot itself is made with high quality, soft edges, intuitively simple controls.</v>
      </c>
    </row>
    <row r="10952" spans="1:9" x14ac:dyDescent="0.3">
      <c r="A10952" s="1" t="s">
        <v>1174</v>
      </c>
      <c r="B10952" s="1" t="s">
        <v>1175</v>
      </c>
      <c r="C10952" s="1" t="s">
        <v>356</v>
      </c>
      <c r="D10952" s="1" t="s">
        <v>15766</v>
      </c>
      <c r="E10952" s="1" t="s">
        <v>4203</v>
      </c>
      <c r="F10952" s="1" t="s">
        <v>15767</v>
      </c>
      <c r="G10952" s="1" t="s">
        <v>36</v>
      </c>
      <c r="H10952" s="1" t="s">
        <v>29</v>
      </c>
      <c r="I10952" s="1" t="str">
        <f ca="1">IFERROR(__xludf.DUMMYFUNCTION("GOOGLETRANSLATE(F10952, ""auto"", ""en"")
"),"The headphones are great, I've been wearing them for more than six months, only the rubber bands are peeling off... the sound is great")</f>
        <v>The headphones are great, I've been wearing them for more than six months, only the rubber bands are peeling off... the sound is great</v>
      </c>
    </row>
    <row r="10953" spans="1:9" x14ac:dyDescent="0.3">
      <c r="A10953" s="1" t="s">
        <v>30</v>
      </c>
      <c r="B10953" s="1" t="s">
        <v>50</v>
      </c>
      <c r="C10953" s="1" t="s">
        <v>189</v>
      </c>
      <c r="D10953" s="1" t="s">
        <v>52</v>
      </c>
      <c r="E10953" s="1" t="s">
        <v>1646</v>
      </c>
      <c r="F10953" s="1" t="s">
        <v>15768</v>
      </c>
      <c r="G10953" s="1" t="s">
        <v>36</v>
      </c>
      <c r="H10953" s="1" t="s">
        <v>29</v>
      </c>
      <c r="I10953" s="1" t="str">
        <f ca="1">IFERROR(__xludf.DUMMYFUNCTION("GOOGLETRANSLATE(F10953, ""auto"", ""en"")
"),"The laptop is great. I was somewhat disappointed by the obligatory store warranty imposed by the seller on a product sold under a promotion, which is not indicated anywhere. As a result, the laptop came out for 25,180 rubles.")</f>
        <v>The laptop is great. I was somewhat disappointed by the obligatory store warranty imposed by the seller on a product sold under a promotion, which is not indicated anywhere. As a result, the laptop came out for 25,180 rubles.</v>
      </c>
    </row>
    <row r="10954" spans="1:9" x14ac:dyDescent="0.3">
      <c r="A10954" s="1" t="s">
        <v>9</v>
      </c>
      <c r="B10954" s="1" t="s">
        <v>10</v>
      </c>
      <c r="C10954" s="1" t="s">
        <v>11</v>
      </c>
      <c r="D10954" s="1" t="s">
        <v>968</v>
      </c>
      <c r="E10954" s="1" t="s">
        <v>421</v>
      </c>
      <c r="F10954" s="1" t="s">
        <v>15769</v>
      </c>
      <c r="G10954" s="1" t="s">
        <v>28</v>
      </c>
      <c r="H10954" s="1" t="s">
        <v>29</v>
      </c>
      <c r="I10954" s="1" t="str">
        <f ca="1">IFERROR(__xludf.DUMMYFUNCTION("GOOGLETRANSLATE(F10954, ""auto"", ""en"")
"),"It has been working for me for 4 years. In general, I am satisfied with it, however, after 2 years of use, shortcomings have emerged: 1. The backlight button does not hold down, that is, for the backlight to light, you need to hold the button down.  2. Wh"&amp;"en the air temperature in the kitchen is very cold to +10 C (when ventilating in winter), turning on the hood is difficult - the engine does not start until the room temperature warms up to +15 - 17 degrees.")</f>
        <v>It has been working for me for 4 years. In general, I am satisfied with it, however, after 2 years of use, shortcomings have emerged: 1. The backlight button does not hold down, that is, for the backlight to light, you need to hold the button down.  2. When the air temperature in the kitchen is very cold to +10 C (when ventilating in winter), turning on the hood is difficult - the engine does not start until the room temperature warms up to +15 - 17 degrees.</v>
      </c>
    </row>
    <row r="10955" spans="1:9" x14ac:dyDescent="0.3">
      <c r="A10955" s="1" t="s">
        <v>361</v>
      </c>
      <c r="B10955" s="1" t="s">
        <v>1077</v>
      </c>
      <c r="C10955" s="1" t="s">
        <v>2143</v>
      </c>
      <c r="D10955" s="1" t="s">
        <v>152</v>
      </c>
      <c r="E10955" s="1" t="s">
        <v>6618</v>
      </c>
      <c r="F10955" s="1" t="s">
        <v>15770</v>
      </c>
      <c r="G10955" s="1" t="s">
        <v>49</v>
      </c>
      <c r="H10955" s="1" t="s">
        <v>16</v>
      </c>
      <c r="I10955" s="1" t="str">
        <f ca="1">IFERROR(__xludf.DUMMYFUNCTION("GOOGLETRANSLATE(F10955, ""auto"", ""en"")
"),"Literally a few hours after the kettle was washed for the first time, rust appeared on the rim around the lid in places (about half the perimeter of the rim). At first we couldn’t believe our eyes - the kettle was made of stainless steel! We checked it se"&amp;"veral times - rubbed off the rust, moistened it with water - rust appeared again in the same places. It turned out that rust occurs in areas of surface grinding defects, although the defects are practically not felt to the touch and are barely noticeable "&amp;"visually (a little darker/duller in color). Based on common sense, one conclusion suggests itself - low-quality steel (despite the contrary assurances in the description of the kettle), which is quite possible for Chinese production. In addition to the pr"&amp;"oblem with rust, the kettle made a high-frequency sound when heating up and, especially, when cooling down (a squeaking sound - barely perceptible to the ear, but unpleasant). Perhaps there was a micro-perforation somewhere in the double bottom of the tea"&amp;"pot. Conclusion: the upper half of the kettle is made of low-quality (rusting) steel, the kettle is unreliable in terms of safety when perforating one of the layers of the double bottom. I can’t generalize about all Vinzer teapots; perhaps I came across a"&amp;" single defect. I returned the kettle to M-Video, and the money was returned without any problems.")</f>
        <v>Literally a few hours after the kettle was washed for the first time, rust appeared on the rim around the lid in places (about half the perimeter of the rim). At first we couldn’t believe our eyes - the kettle was made of stainless steel! We checked it several times - rubbed off the rust, moistened it with water - rust appeared again in the same places. It turned out that rust occurs in areas of surface grinding defects, although the defects are practically not felt to the touch and are barely noticeable visually (a little darker/duller in color). Based on common sense, one conclusion suggests itself - low-quality steel (despite the contrary assurances in the description of the kettle), which is quite possible for Chinese production. In addition to the problem with rust, the kettle made a high-frequency sound when heating up and, especially, when cooling down (a squeaking sound - barely perceptible to the ear, but unpleasant). Perhaps there was a micro-perforation somewhere in the double bottom of the teapot. Conclusion: the upper half of the kettle is made of low-quality (rusting) steel, the kettle is unreliable in terms of safety when perforating one of the layers of the double bottom. I can’t generalize about all Vinzer teapots; perhaps I came across a single defect. I returned the kettle to M-Video, and the money was returned without any problems.</v>
      </c>
    </row>
    <row r="10956" spans="1:9" x14ac:dyDescent="0.3">
      <c r="A10956" s="1" t="s">
        <v>211</v>
      </c>
      <c r="B10956" s="1" t="s">
        <v>265</v>
      </c>
      <c r="C10956" s="1" t="s">
        <v>122</v>
      </c>
      <c r="D10956" s="1" t="s">
        <v>2764</v>
      </c>
      <c r="E10956" s="1" t="s">
        <v>15771</v>
      </c>
      <c r="F10956" s="1" t="s">
        <v>15772</v>
      </c>
      <c r="G10956" s="1" t="s">
        <v>49</v>
      </c>
      <c r="H10956" s="1" t="s">
        <v>16</v>
      </c>
      <c r="I10956" s="1" t="str">
        <f ca="1">IFERROR(__xludf.DUMMYFUNCTION("GOOGLETRANSLATE(F10956, ""auto"", ""en"")
"),"I think that the cheapest machine will do its job better.      The nozzle gets clogged instantly, and as a result, it has to be removed every second. This is pure mockery on the part of the manufacturer.")</f>
        <v>I think that the cheapest machine will do its job better.      The nozzle gets clogged instantly, and as a result, it has to be removed every second. This is pure mockery on the part of the manufacturer.</v>
      </c>
    </row>
    <row r="10957" spans="1:9" x14ac:dyDescent="0.3">
      <c r="A10957" s="1" t="s">
        <v>9</v>
      </c>
      <c r="B10957" s="1" t="s">
        <v>10</v>
      </c>
      <c r="C10957" s="1" t="s">
        <v>407</v>
      </c>
      <c r="D10957" s="1" t="s">
        <v>247</v>
      </c>
      <c r="E10957" s="1" t="s">
        <v>1330</v>
      </c>
      <c r="F10957" s="1" t="s">
        <v>15773</v>
      </c>
      <c r="G10957" s="1" t="s">
        <v>36</v>
      </c>
      <c r="H10957" s="1" t="s">
        <v>29</v>
      </c>
      <c r="I10957" s="1" t="str">
        <f ca="1">IFERROR(__xludf.DUMMYFUNCTION("GOOGLETRANSLATE(F10957, ""auto"", ""en"")
"),"A good inexpensive hood: it works quietly, it draws quite well, despite the volume of 270. I am very pleased. PS: by the way, more expensive hoods with a larger volume are VERY noisy and more often require changing the filter. From my own experience.")</f>
        <v>A good inexpensive hood: it works quietly, it draws quite well, despite the volume of 270. I am very pleased. PS: by the way, more expensive hoods with a larger volume are VERY noisy and more often require changing the filter. From my own experience.</v>
      </c>
    </row>
    <row r="10958" spans="1:9" x14ac:dyDescent="0.3">
      <c r="A10958" s="1" t="s">
        <v>9</v>
      </c>
      <c r="B10958" s="1" t="s">
        <v>137</v>
      </c>
      <c r="C10958" s="1" t="s">
        <v>63</v>
      </c>
      <c r="D10958" s="1" t="s">
        <v>75</v>
      </c>
      <c r="E10958" s="1" t="s">
        <v>2325</v>
      </c>
      <c r="F10958" s="1" t="s">
        <v>15774</v>
      </c>
      <c r="G10958" s="1" t="s">
        <v>36</v>
      </c>
      <c r="H10958" s="1" t="s">
        <v>29</v>
      </c>
      <c r="I10958" s="1" t="str">
        <f ca="1">IFERROR(__xludf.DUMMYFUNCTION("GOOGLETRANSLATE(F10958, ""auto"", ""en"")
"),"We are very pleased with the panel. It took some time to get used to gas control, but it pays off. Easy to clean.")</f>
        <v>We are very pleased with the panel. It took some time to get used to gas control, but it pays off. Easy to clean.</v>
      </c>
    </row>
    <row r="10959" spans="1:9" x14ac:dyDescent="0.3">
      <c r="A10959" s="1" t="s">
        <v>61</v>
      </c>
      <c r="B10959" s="1" t="s">
        <v>224</v>
      </c>
      <c r="C10959" s="1" t="s">
        <v>74</v>
      </c>
      <c r="D10959" s="1" t="s">
        <v>12</v>
      </c>
      <c r="E10959" s="1" t="s">
        <v>7541</v>
      </c>
      <c r="F10959" s="1" t="s">
        <v>15775</v>
      </c>
      <c r="G10959" s="1" t="s">
        <v>36</v>
      </c>
      <c r="H10959" s="1" t="s">
        <v>29</v>
      </c>
      <c r="I10959" s="1" t="str">
        <f ca="1">IFERROR(__xludf.DUMMYFUNCTION("GOOGLETRANSLATE(F10959, ""auto"", ""en"")
"),"I am pleased with my choice. Stylish design, pleasant and convenient to disassemble, assemble, wash. Does not slip when working on a smooth surface, because there are suction cups. Squeezes perfectly, and fruits (apples, pears) were thrown whole. The disa"&amp;"dvantages are noise and sometimes splashes when loading fruits and vegetables into the neck, but this is probably because the power is still high. We can safely recommend this model for large volumes processing.")</f>
        <v>I am pleased with my choice. Stylish design, pleasant and convenient to disassemble, assemble, wash. Does not slip when working on a smooth surface, because there are suction cups. Squeezes perfectly, and fruits (apples, pears) were thrown whole. The disadvantages are noise and sometimes splashes when loading fruits and vegetables into the neck, but this is probably because the power is still high. We can safely recommend this model for large volumes processing.</v>
      </c>
    </row>
    <row r="10960" spans="1:9" x14ac:dyDescent="0.3">
      <c r="A10960" s="1" t="s">
        <v>9</v>
      </c>
      <c r="B10960" s="1" t="s">
        <v>10</v>
      </c>
      <c r="C10960" s="1" t="s">
        <v>407</v>
      </c>
      <c r="D10960" s="1" t="s">
        <v>81</v>
      </c>
      <c r="E10960" s="1" t="s">
        <v>3323</v>
      </c>
      <c r="F10960" s="1" t="s">
        <v>15776</v>
      </c>
      <c r="G10960" s="1" t="s">
        <v>28</v>
      </c>
      <c r="H10960" s="1" t="s">
        <v>29</v>
      </c>
      <c r="I10960" s="1" t="str">
        <f ca="1">IFERROR(__xludf.DUMMYFUNCTION("GOOGLETRANSLATE(F10960, ""auto"", ""en"")
"),"Bought and installed in December 2013. The hood is good, but noisy at 3-4 speeds. The set includes 2 decorative boxes of 400mm each for the exhaust pipe, but they are not enough to reach the ceiling. Not sold separately anywhere. I found only one store in"&amp;" Moscow time. I took a risk - I placed an order (there was an advance payment), the box arrived in 5 days and fit perfectly.")</f>
        <v>Bought and installed in December 2013. The hood is good, but noisy at 3-4 speeds. The set includes 2 decorative boxes of 400mm each for the exhaust pipe, but they are not enough to reach the ceiling. Not sold separately anywhere. I found only one store in Moscow time. I took a risk - I placed an order (there was an advance payment), the box arrived in 5 days and fit perfectly.</v>
      </c>
    </row>
    <row r="10961" spans="1:9" x14ac:dyDescent="0.3">
      <c r="A10961" s="1" t="s">
        <v>211</v>
      </c>
      <c r="B10961" s="1" t="s">
        <v>212</v>
      </c>
      <c r="C10961" s="1" t="s">
        <v>381</v>
      </c>
      <c r="D10961" s="1" t="s">
        <v>2764</v>
      </c>
      <c r="E10961" s="1" t="s">
        <v>1984</v>
      </c>
      <c r="F10961" s="1" t="s">
        <v>15777</v>
      </c>
      <c r="G10961" s="1" t="s">
        <v>15</v>
      </c>
      <c r="H10961" s="1" t="s">
        <v>16</v>
      </c>
      <c r="I10961" s="1" t="str">
        <f ca="1">IFERROR(__xludf.DUMMYFUNCTION("GOOGLETRANSLATE(F10961, ""auto"", ""en"")
"),"A curling iron may be good for curly, highly pliable hair, but it is not at all suitable for creating waves on absolutely straight hair.")</f>
        <v>A curling iron may be good for curly, highly pliable hair, but it is not at all suitable for creating waves on absolutely straight hair.</v>
      </c>
    </row>
    <row r="10962" spans="1:9" x14ac:dyDescent="0.3">
      <c r="A10962" s="1" t="s">
        <v>211</v>
      </c>
      <c r="B10962" s="1" t="s">
        <v>856</v>
      </c>
      <c r="C10962" s="1" t="s">
        <v>101</v>
      </c>
      <c r="D10962" s="1" t="s">
        <v>12</v>
      </c>
      <c r="E10962" s="1" t="s">
        <v>4608</v>
      </c>
      <c r="F10962" s="1" t="s">
        <v>15778</v>
      </c>
      <c r="G10962" s="1" t="s">
        <v>36</v>
      </c>
      <c r="H10962" s="1" t="s">
        <v>29</v>
      </c>
      <c r="I10962" s="1" t="str">
        <f ca="1">IFERROR(__xludf.DUMMYFUNCTION("GOOGLETRANSLATE(F10962, ""auto"", ""en"")
"),"Small and cute manicure set. Chick-chick-chick and your manicure is ready, no need to wait in line at any salon. Beauty! The only thing I'm a little confused about is the price, I'll see how long it lasts. So far it hasn't upset me.")</f>
        <v>Small and cute manicure set. Chick-chick-chick and your manicure is ready, no need to wait in line at any salon. Beauty! The only thing I'm a little confused about is the price, I'll see how long it lasts. So far it hasn't upset me.</v>
      </c>
    </row>
    <row r="10963" spans="1:9" x14ac:dyDescent="0.3">
      <c r="A10963" s="1" t="s">
        <v>37</v>
      </c>
      <c r="B10963" s="1" t="s">
        <v>355</v>
      </c>
      <c r="C10963" s="1" t="s">
        <v>356</v>
      </c>
      <c r="D10963" s="1" t="s">
        <v>15779</v>
      </c>
      <c r="E10963" s="1" t="s">
        <v>292</v>
      </c>
      <c r="F10963" s="1" t="s">
        <v>15780</v>
      </c>
      <c r="G10963" s="1" t="s">
        <v>36</v>
      </c>
      <c r="H10963" s="1" t="s">
        <v>29</v>
      </c>
      <c r="I10963" s="1" t="str">
        <f ca="1">IFERROR(__xludf.DUMMYFUNCTION("GOOGLETRANSLATE(F10963, ""auto"", ""en"")
"),"I can say briefly, the apple phone is not a pontoclay, but quality :) And all the phones that are now being produced are made in the image and likeness of this creation of Macintoshes :) nothing slows down, everything works smoothly and beautifully, it sw"&amp;"ings from the app with two clicks of the program, I repeat once again I’ve been using QUALITY for almost a year, except for the battery there are no complaints, nothing is perfect, by the way I bought it on your network :)")</f>
        <v>I can say briefly, the apple phone is not a pontoclay, but quality :) And all the phones that are now being produced are made in the image and likeness of this creation of Macintoshes :) nothing slows down, everything works smoothly and beautifully, it swings from the app with two clicks of the program, I repeat once again I’ve been using QUALITY for almost a year, except for the battery there are no complaints, nothing is perfect, by the way I bought it on your network :)</v>
      </c>
    </row>
    <row r="10964" spans="1:9" x14ac:dyDescent="0.3">
      <c r="A10964" s="1" t="s">
        <v>149</v>
      </c>
      <c r="B10964" s="1" t="s">
        <v>423</v>
      </c>
      <c r="C10964" s="1" t="s">
        <v>424</v>
      </c>
      <c r="D10964" s="1" t="s">
        <v>308</v>
      </c>
      <c r="E10964" s="1" t="s">
        <v>1751</v>
      </c>
      <c r="F10964" s="1" t="s">
        <v>15781</v>
      </c>
      <c r="G10964" s="1" t="s">
        <v>36</v>
      </c>
      <c r="H10964" s="1" t="s">
        <v>29</v>
      </c>
      <c r="I10964" s="1" t="str">
        <f ca="1">IFERROR(__xludf.DUMMYFUNCTION("GOOGLETRANSLATE(F10964, ""auto"", ""en"")
"),"We bought a vacuum cleaner 10 years ago, at the same time we bought a Thomas washing machine. So there is no comparison with Thomas. Important - the power is adjustable, there are many attachments, a simple mechanism, the top is for clean water, the botto"&amp;"m is for dirty water, one “filling” with water is enough to wash floors without carpets of 40 sq.m. at medium power. The lower the power, the more water flows. Cleans perfectly. But most importantly, it clears blockages in pipes and saves you from home “f"&amp;"loods.” Once we almost flooded our neighbors, we collected water in time (the water was turned off at night, and we forgot to turn off the tap; in the morning everything was floating in the apartment). Above all praise! I have only seen professional ones "&amp;"with similar functions, but they have a different price!")</f>
        <v>We bought a vacuum cleaner 10 years ago, at the same time we bought a Thomas washing machine. So there is no comparison with Thomas. Important - the power is adjustable, there are many attachments, a simple mechanism, the top is for clean water, the bottom is for dirty water, one “filling” with water is enough to wash floors without carpets of 40 sq.m. at medium power. The lower the power, the more water flows. Cleans perfectly. But most importantly, it clears blockages in pipes and saves you from home “floods.” Once we almost flooded our neighbors, we collected water in time (the water was turned off at night, and we forgot to turn off the tap; in the morning everything was floating in the apartment). Above all praise! I have only seen professional ones with similar functions, but they have a different price!</v>
      </c>
    </row>
    <row r="10965" spans="1:9" x14ac:dyDescent="0.3">
      <c r="A10965" s="1" t="s">
        <v>17</v>
      </c>
      <c r="B10965" s="1" t="s">
        <v>18</v>
      </c>
      <c r="C10965" s="1" t="s">
        <v>19</v>
      </c>
      <c r="D10965" s="1" t="s">
        <v>139</v>
      </c>
      <c r="E10965" s="1" t="s">
        <v>1651</v>
      </c>
      <c r="F10965" s="1" t="s">
        <v>15782</v>
      </c>
      <c r="G10965" s="1" t="s">
        <v>36</v>
      </c>
      <c r="H10965" s="1" t="s">
        <v>29</v>
      </c>
      <c r="I10965" s="1" t="str">
        <f ca="1">IFERROR(__xludf.DUMMYFUNCTION("GOOGLETRANSLATE(F10965, ""auto"", ""en"")
"),"I bought it on the advice of friends, and I was not mistaken! The machine is cool, works silently, washes everything!!! I recommend it to everyone. Previously, for some reason, I didn’t really like Ariston. But now I understand that I was wrong: other bra"&amp;"nds - and I have had a lot of them - did not stand up to any criticism. Everything is cool now! Overall, I'm happy with the purchase. How about a wife!)))")</f>
        <v>I bought it on the advice of friends, and I was not mistaken! The machine is cool, works silently, washes everything!!! I recommend it to everyone. Previously, for some reason, I didn’t really like Ariston. But now I understand that I was wrong: other brands - and I have had a lot of them - did not stand up to any criticism. Everything is cool now! Overall, I'm happy with the purchase. How about a wife!)))</v>
      </c>
    </row>
    <row r="10966" spans="1:9" x14ac:dyDescent="0.3">
      <c r="A10966" s="1" t="s">
        <v>211</v>
      </c>
      <c r="B10966" s="1" t="s">
        <v>212</v>
      </c>
      <c r="C10966" s="1" t="s">
        <v>101</v>
      </c>
      <c r="D10966" s="1" t="s">
        <v>64</v>
      </c>
      <c r="E10966" s="1" t="s">
        <v>2298</v>
      </c>
      <c r="F10966" s="1" t="s">
        <v>15783</v>
      </c>
      <c r="G10966" s="1" t="s">
        <v>28</v>
      </c>
      <c r="H10966" s="1" t="s">
        <v>29</v>
      </c>
      <c r="I10966" s="1" t="str">
        <f ca="1">IFERROR(__xludf.DUMMYFUNCTION("GOOGLETRANSLATE(F10966, ""auto"", ""en"")
"),"The hair dryer is excellent: very small, light, compact (like a toy). With the handle folded and the nozzle removed, it fits into my 11*16 cm travel case (here in the photo gallery you can see almost its real size). Although the power is only 1000 W, than"&amp;"ks to the narrow nozzle (7mm, like in professional hair dryers), the air flow is well directed and quite intense (I style my own short haircut in 4-5 minutes) Rubberized handle, the back and the nozzle are non-slippery and very pleasant to the touch. Amon"&amp;"g the shortcomings, I can note that the nozzle heats up quite strongly during operation (but if you remove it after using the hair dryer, it cools down in 5-7 minutes) + no ionization. So, to summarize: I’ve been using the hair dryer for almost half a yea"&amp;"r, the main criteria for choosing were: lightness, compactness, and also this is the only Of all the mini-hair dryers, it has a professional nozzle (fully compensating for the low power of the hair dryer). For those with long hair, I still recommend a mor"&amp;"e powerful model with ionization, and for all those who do not have long hair and who like to travel, this is the one!")</f>
        <v>The hair dryer is excellent: very small, light, compact (like a toy). With the handle folded and the nozzle removed, it fits into my 11*16 cm travel case (here in the photo gallery you can see almost its real size). Although the power is only 1000 W, thanks to the narrow nozzle (7mm, like in professional hair dryers), the air flow is well directed and quite intense (I style my own short haircut in 4-5 minutes) Rubberized handle, the back and the nozzle are non-slippery and very pleasant to the touch. Among the shortcomings, I can note that the nozzle heats up quite strongly during operation (but if you remove it after using the hair dryer, it cools down in 5-7 minutes) + no ionization. So, to summarize: I’ve been using the hair dryer for almost half a year, the main criteria for choosing were: lightness, compactness, and also this is the only Of all the mini-hair dryers, it has a professional nozzle (fully compensating for the low power of the hair dryer). For those with long hair, I still recommend a more powerful model with ionization, and for all those who do not have long hair and who like to travel, this is the one!</v>
      </c>
    </row>
    <row r="10967" spans="1:9" x14ac:dyDescent="0.3">
      <c r="A10967" s="1" t="s">
        <v>30</v>
      </c>
      <c r="B10967" s="1" t="s">
        <v>50</v>
      </c>
      <c r="C10967" s="1" t="s">
        <v>32</v>
      </c>
      <c r="D10967" s="1" t="s">
        <v>15784</v>
      </c>
      <c r="E10967" s="1" t="s">
        <v>4697</v>
      </c>
      <c r="F10967" s="1" t="s">
        <v>15785</v>
      </c>
      <c r="G10967" s="1" t="s">
        <v>36</v>
      </c>
      <c r="H10967" s="1" t="s">
        <v>29</v>
      </c>
      <c r="I10967" s="1" t="str">
        <f ca="1">IFERROR(__xludf.DUMMYFUNCTION("GOOGLETRANSLATE(F10967, ""auto"", ""en"")
"),"I bought a laptop and don’t regret it... laptop theme!!!")</f>
        <v>I bought a laptop and don’t regret it... laptop theme!!!</v>
      </c>
    </row>
    <row r="10968" spans="1:9" x14ac:dyDescent="0.3">
      <c r="A10968" s="1" t="s">
        <v>30</v>
      </c>
      <c r="B10968" s="1" t="s">
        <v>50</v>
      </c>
      <c r="C10968" s="1" t="s">
        <v>189</v>
      </c>
      <c r="D10968" s="1" t="s">
        <v>15786</v>
      </c>
      <c r="E10968" s="1" t="s">
        <v>3002</v>
      </c>
      <c r="F10968" s="1" t="s">
        <v>15787</v>
      </c>
      <c r="G10968" s="1" t="s">
        <v>36</v>
      </c>
      <c r="H10968" s="1" t="s">
        <v>29</v>
      </c>
      <c r="I10968" s="1" t="str">
        <f ca="1">IFERROR(__xludf.DUMMYFUNCTION("GOOGLETRANSLATE(F10968, ""auto"", ""en"")
"),"I bought this laptop about a month ago and discovered the following problem: when I connect the power cord to it, it simply stops working. It starts to slow down and it’s impossible to work with it. The Internet works in the hospital, but not on the lapto"&amp;"p. I don’t know what the problem is, if anyone has any suggestions or advice, please write!!!! Thanks in advance")</f>
        <v>I bought this laptop about a month ago and discovered the following problem: when I connect the power cord to it, it simply stops working. It starts to slow down and it’s impossible to work with it. The Internet works in the hospital, but not on the laptop. I don’t know what the problem is, if anyone has any suggestions or advice, please write!!!! Thanks in advance</v>
      </c>
    </row>
    <row r="10969" spans="1:9" x14ac:dyDescent="0.3">
      <c r="A10969" s="1" t="s">
        <v>61</v>
      </c>
      <c r="B10969" s="1" t="s">
        <v>318</v>
      </c>
      <c r="C10969" s="1" t="s">
        <v>101</v>
      </c>
      <c r="D10969" s="1" t="s">
        <v>15788</v>
      </c>
      <c r="E10969" s="1" t="s">
        <v>4815</v>
      </c>
      <c r="F10969" s="1" t="s">
        <v>15789</v>
      </c>
      <c r="G10969" s="1" t="s">
        <v>28</v>
      </c>
      <c r="H10969" s="1" t="s">
        <v>29</v>
      </c>
      <c r="I10969" s="1" t="str">
        <f ca="1">IFERROR(__xludf.DUMMYFUNCTION("GOOGLETRANSLATE(F10969, ""auto"", ""en"")
"),"I bought this piece of kitchen appliances in September 2011. For almost three and a half years of operation, it showed only its best side. At first it smelled like plastic (even after several initial boils according to the instructions), but later the sme"&amp;"ll disappeared. Sometimes the temperature sensor did not respond immediately. And today I began to clean the thermopot from scale, then I turned it on - but after boiling it did not turn off the heating at all. Apparently, the end of the sensor has come. "&amp;"And without a sensor, it is no longer a thermopot, but an ordinary container for boiling water, after which it must be manually disconnected from the network. The plastic broke off in several places. I read in reviews that prolonged exposure to hot steam "&amp;"causes the plastic to become brittle, apparently this is my case.")</f>
        <v>I bought this piece of kitchen appliances in September 2011. For almost three and a half years of operation, it showed only its best side. At first it smelled like plastic (even after several initial boils according to the instructions), but later the smell disappeared. Sometimes the temperature sensor did not respond immediately. And today I began to clean the thermopot from scale, then I turned it on - but after boiling it did not turn off the heating at all. Apparently, the end of the sensor has come. And without a sensor, it is no longer a thermopot, but an ordinary container for boiling water, after which it must be manually disconnected from the network. The plastic broke off in several places. I read in reviews that prolonged exposure to hot steam causes the plastic to become brittle, apparently this is my case.</v>
      </c>
    </row>
    <row r="10970" spans="1:9" x14ac:dyDescent="0.3">
      <c r="A10970" s="1" t="s">
        <v>211</v>
      </c>
      <c r="B10970" s="1" t="s">
        <v>899</v>
      </c>
      <c r="C10970" s="1" t="s">
        <v>213</v>
      </c>
      <c r="D10970" s="1" t="s">
        <v>695</v>
      </c>
      <c r="E10970" s="1" t="s">
        <v>13653</v>
      </c>
      <c r="F10970" s="1" t="s">
        <v>15790</v>
      </c>
      <c r="G10970" s="1" t="s">
        <v>36</v>
      </c>
      <c r="H10970" s="1" t="s">
        <v>29</v>
      </c>
      <c r="I10970" s="1" t="str">
        <f ca="1">IFERROR(__xludf.DUMMYFUNCTION("GOOGLETRANSLATE(F10970, ""auto"", ""en"")
"),"An excellent engineering idea for the modern world!")</f>
        <v>An excellent engineering idea for the modern world!</v>
      </c>
    </row>
    <row r="10971" spans="1:9" x14ac:dyDescent="0.3">
      <c r="A10971" s="1" t="s">
        <v>61</v>
      </c>
      <c r="B10971" s="1" t="s">
        <v>180</v>
      </c>
      <c r="C10971" s="1" t="s">
        <v>85</v>
      </c>
      <c r="D10971" s="1" t="s">
        <v>10177</v>
      </c>
      <c r="E10971" s="1" t="s">
        <v>1682</v>
      </c>
      <c r="F10971" s="1" t="s">
        <v>15791</v>
      </c>
      <c r="G10971" s="1" t="s">
        <v>49</v>
      </c>
      <c r="H10971" s="1" t="s">
        <v>16</v>
      </c>
      <c r="I10971" s="1" t="str">
        <f ca="1">IFERROR(__xludf.DUMMYFUNCTION("GOOGLETRANSLATE(F10971, ""auto"", ""en"")
"),"After not even 3 months of working in a gentle mode (6-10 toasters once a week), the “elevator” broke down. Now you have to lose half a day to take it for repairs, then half a day to pick it up.  I am more and more inclined to think that all these brands "&amp;"like Bork, Siemens (the dishwasher broke after 2.5 years of operation)) do not correspond to the quality that was assigned to them in the old days. It's better to buy something cheap, like Vitek or Samsung. And they will work longer and you won’t mind thr"&amp;"owing them away.")</f>
        <v>After not even 3 months of working in a gentle mode (6-10 toasters once a week), the “elevator” broke down. Now you have to lose half a day to take it for repairs, then half a day to pick it up.  I am more and more inclined to think that all these brands like Bork, Siemens (the dishwasher broke after 2.5 years of operation)) do not correspond to the quality that was assigned to them in the old days. It's better to buy something cheap, like Vitek or Samsung. And they will work longer and you won’t mind throwing them away.</v>
      </c>
    </row>
    <row r="10972" spans="1:9" x14ac:dyDescent="0.3">
      <c r="A10972" s="1" t="s">
        <v>43</v>
      </c>
      <c r="B10972" s="1" t="s">
        <v>502</v>
      </c>
      <c r="C10972" s="1" t="s">
        <v>159</v>
      </c>
      <c r="D10972" s="1" t="s">
        <v>1659</v>
      </c>
      <c r="E10972" s="1" t="s">
        <v>924</v>
      </c>
      <c r="F10972" s="1" t="s">
        <v>15792</v>
      </c>
      <c r="G10972" s="1" t="s">
        <v>36</v>
      </c>
      <c r="H10972" s="1" t="s">
        <v>29</v>
      </c>
      <c r="I10972" s="1" t="str">
        <f ca="1">IFERROR(__xludf.DUMMYFUNCTION("GOOGLETRANSLATE(F10972, ""auto"", ""en"")
"),"We purchased EACS-09HQ at the beginning of July and tested a room with an area of ​​27 square meters at an outside temperature of +33. meters cools confidently and quickly. The noise level of the indoor unit is quite acceptable... the outdoor unit is comp"&amp;"letely inaudible. The “night mode” function is successful. Overall we are happy with the purchase.  Price/quality ratio - 5.")</f>
        <v>We purchased EACS-09HQ at the beginning of July and tested a room with an area of ​​27 square meters at an outside temperature of +33. meters cools confidently and quickly. The noise level of the indoor unit is quite acceptable... the outdoor unit is completely inaudible. The “night mode” function is successful. Overall we are happy with the purchase.  Price/quality ratio - 5.</v>
      </c>
    </row>
    <row r="10973" spans="1:9" x14ac:dyDescent="0.3">
      <c r="A10973" s="1" t="s">
        <v>30</v>
      </c>
      <c r="B10973" s="1" t="s">
        <v>31</v>
      </c>
      <c r="C10973" s="1" t="s">
        <v>365</v>
      </c>
      <c r="D10973" s="1" t="s">
        <v>916</v>
      </c>
      <c r="E10973" s="1" t="s">
        <v>2733</v>
      </c>
      <c r="F10973" s="1" t="s">
        <v>15793</v>
      </c>
      <c r="G10973" s="1" t="s">
        <v>36</v>
      </c>
      <c r="H10973" s="1" t="s">
        <v>29</v>
      </c>
      <c r="I10973" s="1" t="str">
        <f ca="1">IFERROR(__xludf.DUMMYFUNCTION("GOOGLETRANSLATE(F10973, ""auto"", ""en"")
"),"The system unit is of very high quality, I bought it last year, and I’m still not overjoyed, but unfortunately in every good thing there is also bad.  Fortunately, this SB has no major shortcomings, or at least I didn’t notice.   1. The video card is powe"&amp;"rful, it’s normal for modern games, but a modern game won’t work at maximum settings.  2. After reinstalling the OS, the disk that comes with the computer does not pass the test, and it is not readable, it says that the computer is not from IRBIS. But all"&amp;" these are trifles, drivers can be downloaded on the Internet, and in a couple of years you can buy a new video card.  This system unit has a lot of advantages, it is fast, powerful, etc.  In general, for this price I advise you to buy this system unit, y"&amp;"ou will not regret it.   I would rate it 4.80, but here you can either 4 or 5, I'll give it 5 because it deserves it.")</f>
        <v>The system unit is of very high quality, I bought it last year, and I’m still not overjoyed, but unfortunately in every good thing there is also bad.  Fortunately, this SB has no major shortcomings, or at least I didn’t notice.   1. The video card is powerful, it’s normal for modern games, but a modern game won’t work at maximum settings.  2. After reinstalling the OS, the disk that comes with the computer does not pass the test, and it is not readable, it says that the computer is not from IRBIS. But all these are trifles, drivers can be downloaded on the Internet, and in a couple of years you can buy a new video card.  This system unit has a lot of advantages, it is fast, powerful, etc.  In general, for this price I advise you to buy this system unit, you will not regret it.   I would rate it 4.80, but here you can either 4 or 5, I'll give it 5 because it deserves it.</v>
      </c>
    </row>
    <row r="10974" spans="1:9" x14ac:dyDescent="0.3">
      <c r="A10974" s="1" t="s">
        <v>149</v>
      </c>
      <c r="B10974" s="1" t="s">
        <v>155</v>
      </c>
      <c r="C10974" s="1" t="s">
        <v>151</v>
      </c>
      <c r="D10974" s="1" t="s">
        <v>15794</v>
      </c>
      <c r="E10974" s="1" t="s">
        <v>12630</v>
      </c>
      <c r="F10974" s="1" t="s">
        <v>15795</v>
      </c>
      <c r="G10974" s="1" t="s">
        <v>94</v>
      </c>
      <c r="H10974" s="1" t="s">
        <v>29</v>
      </c>
      <c r="I10974" s="1" t="str">
        <f ca="1">IFERROR(__xludf.DUMMYFUNCTION("GOOGLETRANSLATE(F10974, ""auto"", ""en"")
"),"quite powerful")</f>
        <v>quite powerful</v>
      </c>
    </row>
    <row r="10975" spans="1:9" x14ac:dyDescent="0.3">
      <c r="A10975" s="1" t="s">
        <v>61</v>
      </c>
      <c r="B10975" s="1" t="s">
        <v>726</v>
      </c>
      <c r="C10975" s="1" t="s">
        <v>74</v>
      </c>
      <c r="D10975" s="1" t="s">
        <v>385</v>
      </c>
      <c r="E10975" s="1" t="s">
        <v>1871</v>
      </c>
      <c r="F10975" s="1" t="s">
        <v>15796</v>
      </c>
      <c r="G10975" s="1" t="s">
        <v>36</v>
      </c>
      <c r="H10975" s="1" t="s">
        <v>29</v>
      </c>
      <c r="I10975" s="1" t="str">
        <f ca="1">IFERROR(__xludf.DUMMYFUNCTION("GOOGLETRANSLATE(F10975, ""auto"", ""en"")
"),"I was given this stove as a gift on Sunday, it’s a wonderful thing!  We bake and bake! We make jam, everything is great!")</f>
        <v>I was given this stove as a gift on Sunday, it’s a wonderful thing!  We bake and bake! We make jam, everything is great!</v>
      </c>
    </row>
    <row r="10976" spans="1:9" x14ac:dyDescent="0.3">
      <c r="A10976" s="1" t="s">
        <v>624</v>
      </c>
      <c r="B10976" s="1" t="s">
        <v>625</v>
      </c>
      <c r="C10976" s="1" t="s">
        <v>479</v>
      </c>
      <c r="D10976" s="1" t="s">
        <v>15797</v>
      </c>
      <c r="E10976" s="1" t="s">
        <v>2533</v>
      </c>
      <c r="F10976" s="1" t="s">
        <v>15798</v>
      </c>
      <c r="G10976" s="1" t="s">
        <v>36</v>
      </c>
      <c r="H10976" s="1" t="s">
        <v>29</v>
      </c>
      <c r="I10976" s="1" t="str">
        <f ca="1">IFERROR(__xludf.DUMMYFUNCTION("GOOGLETRANSLATE(F10976, ""auto"", ""en"")
"),"Very cool game, the combat is great, but it is very difficult!")</f>
        <v>Very cool game, the combat is great, but it is very difficult!</v>
      </c>
    </row>
    <row r="10977" spans="1:9" x14ac:dyDescent="0.3">
      <c r="A10977" s="1" t="s">
        <v>61</v>
      </c>
      <c r="B10977" s="1" t="s">
        <v>73</v>
      </c>
      <c r="C10977" s="1" t="s">
        <v>146</v>
      </c>
      <c r="D10977" s="1" t="s">
        <v>117</v>
      </c>
      <c r="E10977" s="1" t="s">
        <v>5738</v>
      </c>
      <c r="F10977" s="1" t="s">
        <v>15799</v>
      </c>
      <c r="G10977" s="1" t="s">
        <v>36</v>
      </c>
      <c r="H10977" s="1" t="s">
        <v>29</v>
      </c>
      <c r="I10977" s="1" t="str">
        <f ca="1">IFERROR(__xludf.DUMMYFUNCTION("GOOGLETRANSLATE(F10977, ""auto"", ""en"")
"),"Assembly, performance")</f>
        <v>Assembly, performance</v>
      </c>
    </row>
    <row r="10978" spans="1:9" x14ac:dyDescent="0.3">
      <c r="A10978" s="1" t="s">
        <v>211</v>
      </c>
      <c r="B10978" s="1" t="s">
        <v>856</v>
      </c>
      <c r="C10978" s="1" t="s">
        <v>266</v>
      </c>
      <c r="D10978" s="1" t="s">
        <v>3923</v>
      </c>
      <c r="E10978" s="1" t="s">
        <v>5032</v>
      </c>
      <c r="F10978" s="1" t="s">
        <v>15800</v>
      </c>
      <c r="G10978" s="1" t="s">
        <v>28</v>
      </c>
      <c r="H10978" s="1" t="s">
        <v>29</v>
      </c>
      <c r="I10978" s="1" t="str">
        <f ca="1">IFERROR(__xludf.DUMMYFUNCTION("GOOGLETRANSLATE(F10978, ""auto"", ""en"")
"),"I completely agree about the lighting. But another minus is that the mirror is not on a leg and it turns out that you always have to bend over to look. And everything is fine!")</f>
        <v>I completely agree about the lighting. But another minus is that the mirror is not on a leg and it turns out that you always have to bend over to look. And everything is fine!</v>
      </c>
    </row>
    <row r="10979" spans="1:9" x14ac:dyDescent="0.3">
      <c r="A10979" s="1" t="s">
        <v>61</v>
      </c>
      <c r="B10979" s="1" t="s">
        <v>318</v>
      </c>
      <c r="C10979" s="1" t="s">
        <v>85</v>
      </c>
      <c r="D10979" s="1" t="s">
        <v>15801</v>
      </c>
      <c r="E10979" s="1" t="s">
        <v>2236</v>
      </c>
      <c r="F10979" s="1" t="s">
        <v>15802</v>
      </c>
      <c r="G10979" s="1" t="s">
        <v>15</v>
      </c>
      <c r="H10979" s="1" t="s">
        <v>16</v>
      </c>
      <c r="I10979" s="1" t="str">
        <f ca="1">IFERROR(__xludf.DUMMYFUNCTION("GOOGLETRANSLATE(F10979, ""auto"", ""en"")
"),"The kettle is, to put it mildly, of poor quality. It leaks, gurgles, and makes noise.  This nonsense doesn't even have a backlight. Periodically tries to run away from the table.    They take money for the brand!!! I would 100% not recommend it. Even if I"&amp;" worked for this company)")</f>
        <v>The kettle is, to put it mildly, of poor quality. It leaks, gurgles, and makes noise.  This nonsense doesn't even have a backlight. Periodically tries to run away from the table.    They take money for the brand!!! I would 100% not recommend it. Even if I worked for this company)</v>
      </c>
    </row>
    <row r="10980" spans="1:9" x14ac:dyDescent="0.3">
      <c r="A10980" s="1" t="s">
        <v>30</v>
      </c>
      <c r="B10980" s="1" t="s">
        <v>50</v>
      </c>
      <c r="C10980" s="1" t="s">
        <v>189</v>
      </c>
      <c r="D10980" s="1" t="s">
        <v>15803</v>
      </c>
      <c r="E10980" s="1" t="s">
        <v>1330</v>
      </c>
      <c r="F10980" s="1" t="s">
        <v>15804</v>
      </c>
      <c r="G10980" s="1" t="s">
        <v>36</v>
      </c>
      <c r="H10980" s="1" t="s">
        <v>29</v>
      </c>
      <c r="I10980" s="1" t="str">
        <f ca="1">IFERROR(__xludf.DUMMYFUNCTION("GOOGLETRANSLATE(F10980, ""auto"", ""en"")
"),"I’m very pleased with the laptop) it’s simple, convenient, it suits me very well) I read the above opinion, I agree on one point and not on the other... I agree that the sound is certainly not so great and the speakers are poorly positioned (but this, in "&amp;"principle, doesn’t really upset me). I disagree with what they write that without charging it works from 3 to 5 hours depending on the task... I personally have a standard operating time of 2 hours. If you don’t pay attention to all these little things, y"&amp;"ou can say that I made the right choice when I purchased it! I also want to say about the warranty - this model is given for 2 years, and for many others only 1 year (it turns out that the manufacturers are not afraid for their product). Thank you!")</f>
        <v>I’m very pleased with the laptop) it’s simple, convenient, it suits me very well) I read the above opinion, I agree on one point and not on the other... I agree that the sound is certainly not so great and the speakers are poorly positioned (but this, in principle, doesn’t really upset me). I disagree with what they write that without charging it works from 3 to 5 hours depending on the task... I personally have a standard operating time of 2 hours. If you don’t pay attention to all these little things, you can say that I made the right choice when I purchased it! I also want to say about the warranty - this model is given for 2 years, and for many others only 1 year (it turns out that the manufacturers are not afraid for their product). Thank you!</v>
      </c>
    </row>
    <row r="10981" spans="1:9" x14ac:dyDescent="0.3">
      <c r="A10981" s="1" t="s">
        <v>17</v>
      </c>
      <c r="B10981" s="1" t="s">
        <v>18</v>
      </c>
      <c r="C10981" s="1" t="s">
        <v>19</v>
      </c>
      <c r="D10981" s="1" t="s">
        <v>171</v>
      </c>
      <c r="E10981" s="1" t="s">
        <v>1029</v>
      </c>
      <c r="F10981" s="1" t="s">
        <v>15805</v>
      </c>
      <c r="G10981" s="1" t="s">
        <v>36</v>
      </c>
      <c r="H10981" s="1" t="s">
        <v>29</v>
      </c>
      <c r="I10981" s="1" t="str">
        <f ca="1">IFERROR(__xludf.DUMMYFUNCTION("GOOGLETRANSLATE(F10981, ""auto"", ""en"")
"),"There is one, but it’s narrow by 5 kg, I’ve been using it for 1 year, washing it every day, no problems.  I was thinking about what to give my mother, decided not to invent anything and bought this one for 7 kg (after all, you need to wash a blanket and a"&amp;" blanket in it).  Why I bought it: it’s not noisy at all, the information is convenient, there are the necessary modes, the view is not inferior... p.s.: there are also bosh washing machines, not the least in price (front and vertical loading 5 kg each, r"&amp;"pm 1200). He took them to the dacha. They make more noise.")</f>
        <v>There is one, but it’s narrow by 5 kg, I’ve been using it for 1 year, washing it every day, no problems.  I was thinking about what to give my mother, decided not to invent anything and bought this one for 7 kg (after all, you need to wash a blanket and a blanket in it).  Why I bought it: it’s not noisy at all, the information is convenient, there are the necessary modes, the view is not inferior... p.s.: there are also bosh washing machines, not the least in price (front and vertical loading 5 kg each, rpm 1200). He took them to the dacha. They make more noise.</v>
      </c>
    </row>
    <row r="10982" spans="1:9" x14ac:dyDescent="0.3">
      <c r="A10982" s="1" t="s">
        <v>9</v>
      </c>
      <c r="B10982" s="1" t="s">
        <v>10</v>
      </c>
      <c r="C10982" s="1" t="s">
        <v>466</v>
      </c>
      <c r="D10982" s="1" t="s">
        <v>152</v>
      </c>
      <c r="E10982" s="1" t="s">
        <v>2910</v>
      </c>
      <c r="F10982" s="1" t="s">
        <v>15806</v>
      </c>
      <c r="G10982" s="1" t="s">
        <v>36</v>
      </c>
      <c r="H10982" s="1" t="s">
        <v>29</v>
      </c>
      <c r="I10982" s="1" t="str">
        <f ca="1">IFERROR(__xludf.DUMMYFUNCTION("GOOGLETRANSLATE(F10982, ""auto"", ""en"")
"),"There is a carbon filter included, aluminum grease-catching flaps, a white body that does not stain, excellent power, analogues range from 6-7 thousand, not noisy")</f>
        <v>There is a carbon filter included, aluminum grease-catching flaps, a white body that does not stain, excellent power, analogues range from 6-7 thousand, not noisy</v>
      </c>
    </row>
    <row r="10983" spans="1:9" x14ac:dyDescent="0.3">
      <c r="A10983" s="1" t="s">
        <v>120</v>
      </c>
      <c r="B10983" s="1" t="s">
        <v>126</v>
      </c>
      <c r="C10983" s="1" t="s">
        <v>122</v>
      </c>
      <c r="D10983" s="1" t="s">
        <v>327</v>
      </c>
      <c r="E10983" s="1" t="s">
        <v>631</v>
      </c>
      <c r="F10983" s="1" t="s">
        <v>15807</v>
      </c>
      <c r="G10983" s="1" t="s">
        <v>28</v>
      </c>
      <c r="H10983" s="1" t="s">
        <v>29</v>
      </c>
      <c r="I10983" s="1" t="str">
        <f ca="1">IFERROR(__xludf.DUMMYFUNCTION("GOOGLETRANSLATE(F10983, ""auto"", ""en"")
"),"Good quality model. It takes its price and quality, those who are not limited in funds can, of course, buy a much more advanced TV. And for a pleasant viewing experience at home, this plasma is quite enough. I just use it to watch DVDs and broadcast TV; I"&amp;" don’t really need the various additional functions. So it's a good, solid model.")</f>
        <v>Good quality model. It takes its price and quality, those who are not limited in funds can, of course, buy a much more advanced TV. And for a pleasant viewing experience at home, this plasma is quite enough. I just use it to watch DVDs and broadcast TV; I don’t really need the various additional functions. So it's a good, solid model.</v>
      </c>
    </row>
    <row r="10984" spans="1:9" x14ac:dyDescent="0.3">
      <c r="A10984" s="1" t="s">
        <v>238</v>
      </c>
      <c r="B10984" s="1" t="s">
        <v>276</v>
      </c>
      <c r="C10984" s="1" t="s">
        <v>24</v>
      </c>
      <c r="D10984" s="1" t="s">
        <v>39</v>
      </c>
      <c r="E10984" s="1" t="s">
        <v>3494</v>
      </c>
      <c r="F10984" s="1" t="s">
        <v>15808</v>
      </c>
      <c r="G10984" s="1" t="s">
        <v>36</v>
      </c>
      <c r="H10984" s="1" t="s">
        <v>29</v>
      </c>
      <c r="I10984" s="1" t="str">
        <f ca="1">IFERROR(__xludf.DUMMYFUNCTION("GOOGLETRANSLATE(F10984, ""auto"", ""en"")
"),"An excellent refrigerator for the money, and even a well-known brand.  It works quietly, consumes little electricity, the door seals fit tightly (even too tightly), and freezes great. A year ago I took the refrigerator home, it works like clockwork withou"&amp;"t any complaints. Impressed, I bought a second one for the dacha :-). Just right for a family of three.")</f>
        <v>An excellent refrigerator for the money, and even a well-known brand.  It works quietly, consumes little electricity, the door seals fit tightly (even too tightly), and freezes great. A year ago I took the refrigerator home, it works like clockwork without any complaints. Impressed, I bought a second one for the dacha :-). Just right for a family of three.</v>
      </c>
    </row>
    <row r="10985" spans="1:9" x14ac:dyDescent="0.3">
      <c r="A10985" s="1" t="s">
        <v>1443</v>
      </c>
      <c r="B10985" s="1" t="s">
        <v>1444</v>
      </c>
      <c r="C10985" s="1" t="s">
        <v>1489</v>
      </c>
      <c r="D10985" s="1" t="s">
        <v>139</v>
      </c>
      <c r="E10985" s="1" t="s">
        <v>802</v>
      </c>
      <c r="F10985" s="1" t="s">
        <v>15809</v>
      </c>
      <c r="G10985" s="1" t="s">
        <v>28</v>
      </c>
      <c r="H10985" s="1" t="s">
        <v>29</v>
      </c>
      <c r="I10985" s="1" t="str">
        <f ca="1">IFERROR(__xludf.DUMMYFUNCTION("GOOGLETRANSLATE(F10985, ""auto"", ""en"")
"),"For the money, the product lives up to expectations. It's perfect for movies and music in the car.")</f>
        <v>For the money, the product lives up to expectations. It's perfect for movies and music in the car.</v>
      </c>
    </row>
    <row r="10986" spans="1:9" x14ac:dyDescent="0.3">
      <c r="A10986" s="1" t="s">
        <v>624</v>
      </c>
      <c r="B10986" s="1" t="s">
        <v>881</v>
      </c>
      <c r="C10986" s="1" t="s">
        <v>479</v>
      </c>
      <c r="D10986" s="1" t="s">
        <v>15810</v>
      </c>
      <c r="E10986" s="1" t="s">
        <v>4327</v>
      </c>
      <c r="F10986" s="1" t="s">
        <v>15811</v>
      </c>
      <c r="G10986" s="1" t="s">
        <v>36</v>
      </c>
      <c r="H10986" s="1" t="s">
        <v>29</v>
      </c>
      <c r="I10986" s="1" t="str">
        <f ca="1">IFERROR(__xludf.DUMMYFUNCTION("GOOGLETRANSLATE(F10986, ""auto"", ""en"")
"),"good game!!!!!!")</f>
        <v>good game!!!!!!</v>
      </c>
    </row>
    <row r="10987" spans="1:9" x14ac:dyDescent="0.3">
      <c r="A10987" s="1" t="s">
        <v>17</v>
      </c>
      <c r="B10987" s="1" t="s">
        <v>18</v>
      </c>
      <c r="C10987" s="1" t="s">
        <v>19</v>
      </c>
      <c r="D10987" s="1" t="s">
        <v>3253</v>
      </c>
      <c r="E10987" s="1" t="s">
        <v>2066</v>
      </c>
      <c r="F10987" s="1" t="s">
        <v>15812</v>
      </c>
      <c r="G10987" s="1" t="s">
        <v>15</v>
      </c>
      <c r="H10987" s="1" t="s">
        <v>16</v>
      </c>
      <c r="I10987" s="1" t="str">
        <f ca="1">IFERROR(__xludf.DUMMYFUNCTION("GOOGLETRANSLATE(F10987, ""auto"", ""en"")
"),"The car is just terrible!!! Over the 3 years of use, it broke down 5 times. I have no desire to repair it, I will look for a new one.")</f>
        <v>The car is just terrible!!! Over the 3 years of use, it broke down 5 times. I have no desire to repair it, I will look for a new one.</v>
      </c>
    </row>
    <row r="10988" spans="1:9" x14ac:dyDescent="0.3">
      <c r="A10988" s="1" t="s">
        <v>89</v>
      </c>
      <c r="B10988" s="1" t="s">
        <v>90</v>
      </c>
      <c r="C10988" s="1" t="s">
        <v>57</v>
      </c>
      <c r="D10988" s="1" t="s">
        <v>1483</v>
      </c>
      <c r="E10988" s="1" t="s">
        <v>4690</v>
      </c>
      <c r="F10988" s="1" t="s">
        <v>15813</v>
      </c>
      <c r="G10988" s="1" t="s">
        <v>36</v>
      </c>
      <c r="H10988" s="1" t="s">
        <v>29</v>
      </c>
      <c r="I10988" s="1" t="str">
        <f ca="1">IFERROR(__xludf.DUMMYFUNCTION("GOOGLETRANSLATE(F10988, ""auto"", ""en"")
"),"Bought more than 2 years ago. We still use it. Very pleased!")</f>
        <v>Bought more than 2 years ago. We still use it. Very pleased!</v>
      </c>
    </row>
    <row r="10989" spans="1:9" x14ac:dyDescent="0.3">
      <c r="A10989" s="1" t="s">
        <v>61</v>
      </c>
      <c r="B10989" s="1" t="s">
        <v>180</v>
      </c>
      <c r="C10989" s="1" t="s">
        <v>246</v>
      </c>
      <c r="D10989" s="1" t="s">
        <v>46</v>
      </c>
      <c r="E10989" s="1" t="s">
        <v>3131</v>
      </c>
      <c r="F10989" s="1" t="s">
        <v>15814</v>
      </c>
      <c r="G10989" s="1" t="s">
        <v>36</v>
      </c>
      <c r="H10989" s="1" t="s">
        <v>29</v>
      </c>
      <c r="I10989" s="1" t="str">
        <f ca="1">IFERROR(__xludf.DUMMYFUNCTION("GOOGLETRANSLATE(F10989, ""auto"", ""en"")
"),"I’m very happy with it, the downside for me is that the cord is a little short, I have a free socket at the bottom, so I use an adapter. And it’s a very good toaster! I recommend it to everyone.")</f>
        <v>I’m very happy with it, the downside for me is that the cord is a little short, I have a free socket at the bottom, so I use an adapter. And it’s a very good toaster! I recommend it to everyone.</v>
      </c>
    </row>
    <row r="10990" spans="1:9" x14ac:dyDescent="0.3">
      <c r="A10990" s="1" t="s">
        <v>43</v>
      </c>
      <c r="B10990" s="1" t="s">
        <v>1370</v>
      </c>
      <c r="C10990" s="1" t="s">
        <v>159</v>
      </c>
      <c r="D10990" s="1" t="s">
        <v>459</v>
      </c>
      <c r="E10990" s="1" t="s">
        <v>13391</v>
      </c>
      <c r="F10990" s="1" t="s">
        <v>15815</v>
      </c>
      <c r="G10990" s="1" t="s">
        <v>49</v>
      </c>
      <c r="H10990" s="1" t="s">
        <v>16</v>
      </c>
      <c r="I10990" s="1" t="str">
        <f ca="1">IFERROR(__xludf.DUMMYFUNCTION("GOOGLETRANSLATE(F10990, ""auto"", ""en"")
"),"This water heater cannot be installed in an ordinary apartment at all, or you can also spend money on a new machine, wiring (4mm 3-core cable), i.e. You also have to pay for the services of a plumber and electrician.")</f>
        <v>This water heater cannot be installed in an ordinary apartment at all, or you can also spend money on a new machine, wiring (4mm 3-core cable), i.e. You also have to pay for the services of a plumber and electrician.</v>
      </c>
    </row>
    <row r="10991" spans="1:9" x14ac:dyDescent="0.3">
      <c r="A10991" s="1" t="s">
        <v>55</v>
      </c>
      <c r="B10991" s="1" t="s">
        <v>56</v>
      </c>
      <c r="C10991" s="1" t="s">
        <v>85</v>
      </c>
      <c r="D10991" s="1" t="s">
        <v>186</v>
      </c>
      <c r="E10991" s="1" t="s">
        <v>15816</v>
      </c>
      <c r="F10991" s="1" t="s">
        <v>15817</v>
      </c>
      <c r="G10991" s="1" t="s">
        <v>36</v>
      </c>
      <c r="H10991" s="1" t="s">
        <v>29</v>
      </c>
      <c r="I10991" s="1" t="str">
        <f ca="1">IFERROR(__xludf.DUMMYFUNCTION("GOOGLETRANSLATE(F10991, ""auto"", ""en"")
"),"We have been using the humidifier for over a year now and have not been disappointed at all. It works quietly, the room is 20 sq.m. moisturizes normally. Humidity power is adjustable. True, the hygrometer must be taken separately and placed at a distance "&amp;"from the humidifier. When the water runs out it turns itself off (this is absolutely lovely).  Of course there is a white coating, but I think this is not a problem. Pour in purified water and there will be no plaque.")</f>
        <v>We have been using the humidifier for over a year now and have not been disappointed at all. It works quietly, the room is 20 sq.m. moisturizes normally. Humidity power is adjustable. True, the hygrometer must be taken separately and placed at a distance from the humidifier. When the water runs out it turns itself off (this is absolutely lovely).  Of course there is a white coating, but I think this is not a problem. Pour in purified water and there will be no plaque.</v>
      </c>
    </row>
    <row r="10992" spans="1:9" x14ac:dyDescent="0.3">
      <c r="A10992" s="1" t="s">
        <v>61</v>
      </c>
      <c r="B10992" s="1" t="s">
        <v>224</v>
      </c>
      <c r="C10992" s="1" t="s">
        <v>85</v>
      </c>
      <c r="D10992" s="1" t="s">
        <v>1659</v>
      </c>
      <c r="E10992" s="1" t="s">
        <v>10173</v>
      </c>
      <c r="F10992" s="1" t="s">
        <v>15818</v>
      </c>
      <c r="G10992" s="1" t="s">
        <v>36</v>
      </c>
      <c r="H10992" s="1" t="s">
        <v>29</v>
      </c>
      <c r="I10992" s="1" t="str">
        <f ca="1">IFERROR(__xludf.DUMMYFUNCTION("GOOGLETRANSLATE(F10992, ""auto"", ""en"")
"),"Hello, the juicer is good! Easy to use and generally a designer item. Of course, it is not cheap, but I was convinced that it is better to pay once and not change it every year. I give it 5+ and recommend it to everyone.")</f>
        <v>Hello, the juicer is good! Easy to use and generally a designer item. Of course, it is not cheap, but I was convinced that it is better to pay once and not change it every year. I give it 5+ and recommend it to everyone.</v>
      </c>
    </row>
    <row r="10993" spans="1:9" x14ac:dyDescent="0.3">
      <c r="A10993" s="1" t="s">
        <v>149</v>
      </c>
      <c r="B10993" s="1" t="s">
        <v>155</v>
      </c>
      <c r="C10993" s="1" t="s">
        <v>80</v>
      </c>
      <c r="D10993" s="1" t="s">
        <v>20</v>
      </c>
      <c r="E10993" s="1" t="s">
        <v>3999</v>
      </c>
      <c r="F10993" s="1" t="s">
        <v>15819</v>
      </c>
      <c r="G10993" s="1" t="s">
        <v>36</v>
      </c>
      <c r="H10993" s="1" t="s">
        <v>29</v>
      </c>
      <c r="I10993" s="1" t="str">
        <f ca="1">IFERROR(__xludf.DUMMYFUNCTION("GOOGLETRANSLATE(F10993, ""auto"", ""en"")
"),"Bought it yesterday. The first impression is SUPER!!! Ideal for laminate flooring.  I saw other washing vacuum cleaners in operation, they all have the same problem - after cleaning the floor remains damp (with water stains), which is not good for laminat"&amp;"e flooring. The same vacuum cleaner sprays steam, and immediately the remaining moisture is sucked in by a powerful pressure, and all this is sanded with a microfiber nozzle. The only downside is that the liquid reservoir is a bit small (250ml), enough fo"&amp;"r 20-25m2. Well, the design, without comment, will appeal to everyone, especially women.")</f>
        <v>Bought it yesterday. The first impression is SUPER!!! Ideal for laminate flooring.  I saw other washing vacuum cleaners in operation, they all have the same problem - after cleaning the floor remains damp (with water stains), which is not good for laminate flooring. The same vacuum cleaner sprays steam, and immediately the remaining moisture is sucked in by a powerful pressure, and all this is sanded with a microfiber nozzle. The only downside is that the liquid reservoir is a bit small (250ml), enough for 20-25m2. Well, the design, without comment, will appeal to everyone, especially women.</v>
      </c>
    </row>
    <row r="10994" spans="1:9" x14ac:dyDescent="0.3">
      <c r="A10994" s="1" t="s">
        <v>211</v>
      </c>
      <c r="B10994" s="1" t="s">
        <v>856</v>
      </c>
      <c r="C10994" s="1" t="s">
        <v>57</v>
      </c>
      <c r="D10994" s="1" t="s">
        <v>471</v>
      </c>
      <c r="E10994" s="1" t="s">
        <v>3402</v>
      </c>
      <c r="F10994" s="1" t="s">
        <v>15820</v>
      </c>
      <c r="G10994" s="1" t="s">
        <v>36</v>
      </c>
      <c r="H10994" s="1" t="s">
        <v>29</v>
      </c>
      <c r="I10994" s="1" t="str">
        <f ca="1">IFERROR(__xludf.DUMMYFUNCTION("GOOGLETRANSLATE(F10994, ""auto"", ""en"")
"),"The device is super and has enough power, I extend my nails with gel once a month and do the correction myself, the device saves me both neatly and beautifully, I recommend it to everyone!")</f>
        <v>The device is super and has enough power, I extend my nails with gel once a month and do the correction myself, the device saves me both neatly and beautifully, I recommend it to everyone!</v>
      </c>
    </row>
    <row r="10995" spans="1:9" x14ac:dyDescent="0.3">
      <c r="A10995" s="1" t="s">
        <v>89</v>
      </c>
      <c r="B10995" s="1" t="s">
        <v>90</v>
      </c>
      <c r="C10995" s="1" t="s">
        <v>57</v>
      </c>
      <c r="D10995" s="1" t="s">
        <v>15821</v>
      </c>
      <c r="E10995" s="1" t="s">
        <v>288</v>
      </c>
      <c r="F10995" s="1" t="s">
        <v>15822</v>
      </c>
      <c r="G10995" s="1" t="s">
        <v>36</v>
      </c>
      <c r="H10995" s="1" t="s">
        <v>29</v>
      </c>
      <c r="I10995" s="1" t="str">
        <f ca="1">IFERROR(__xludf.DUMMYFUNCTION("GOOGLETRANSLATE(F10995, ""auto"", ""en"")
"),"very convenient for baby food. Good for grinding cereals for porridges.")</f>
        <v>very convenient for baby food. Good for grinding cereals for porridges.</v>
      </c>
    </row>
    <row r="10996" spans="1:9" x14ac:dyDescent="0.3">
      <c r="A10996" s="1" t="s">
        <v>61</v>
      </c>
      <c r="B10996" s="1" t="s">
        <v>224</v>
      </c>
      <c r="C10996" s="1" t="s">
        <v>85</v>
      </c>
      <c r="D10996" s="1" t="s">
        <v>39</v>
      </c>
      <c r="E10996" s="1" t="s">
        <v>978</v>
      </c>
      <c r="F10996" s="1" t="s">
        <v>15823</v>
      </c>
      <c r="G10996" s="1" t="s">
        <v>36</v>
      </c>
      <c r="H10996" s="1" t="s">
        <v>29</v>
      </c>
      <c r="I10996" s="1" t="str">
        <f ca="1">IFERROR(__xludf.DUMMYFUNCTION("GOOGLETRANSLATE(F10996, ""auto"", ""en"")
"),"Quite quiet, powerful, beautiful. It squeezes out everything, you get a lot of juice, it’s easy to clean. The quality of the material it’s made from is excellent. Don’t complain. The juicer is super!")</f>
        <v>Quite quiet, powerful, beautiful. It squeezes out everything, you get a lot of juice, it’s easy to clean. The quality of the material it’s made from is excellent. Don’t complain. The juicer is super!</v>
      </c>
    </row>
    <row r="10997" spans="1:9" x14ac:dyDescent="0.3">
      <c r="A10997" s="1" t="s">
        <v>120</v>
      </c>
      <c r="B10997" s="1" t="s">
        <v>196</v>
      </c>
      <c r="C10997" s="1" t="s">
        <v>80</v>
      </c>
      <c r="D10997" s="1" t="s">
        <v>80</v>
      </c>
      <c r="E10997" s="1" t="s">
        <v>1384</v>
      </c>
      <c r="F10997" s="1" t="s">
        <v>15824</v>
      </c>
      <c r="G10997" s="1" t="s">
        <v>36</v>
      </c>
      <c r="H10997" s="1" t="s">
        <v>29</v>
      </c>
      <c r="I10997" s="1" t="str">
        <f ca="1">IFERROR(__xludf.DUMMYFUNCTION("GOOGLETRANSLATE(F10997, ""auto"", ""en"")
"),"Link from the warranty agreement to the studio!  (When unlocked, the warranty on the TV no longer works!!!) You can’t kill it by flashing it!  You can only use crooked actions in the service menu.  You just have to do everything carefully.  And return the"&amp;" previous firmware not from the flash drive, but by restoring the previous native one through the menu.")</f>
        <v>Link from the warranty agreement to the studio!  (When unlocked, the warranty on the TV no longer works!!!) You can’t kill it by flashing it!  You can only use crooked actions in the service menu.  You just have to do everything carefully.  And return the previous firmware not from the flash drive, but by restoring the previous native one through the menu.</v>
      </c>
    </row>
    <row r="10998" spans="1:9" x14ac:dyDescent="0.3">
      <c r="A10998" s="1" t="s">
        <v>965</v>
      </c>
      <c r="B10998" s="1" t="s">
        <v>966</v>
      </c>
      <c r="C10998" s="1" t="s">
        <v>967</v>
      </c>
      <c r="D10998" s="1" t="s">
        <v>4730</v>
      </c>
      <c r="E10998" s="1" t="s">
        <v>3454</v>
      </c>
      <c r="F10998" s="1" t="s">
        <v>15825</v>
      </c>
      <c r="G10998" s="1" t="s">
        <v>15</v>
      </c>
      <c r="H10998" s="1" t="s">
        <v>16</v>
      </c>
      <c r="I10998" s="1" t="str">
        <f ca="1">IFERROR(__xludf.DUMMYFUNCTION("GOOGLETRANSLATE(F10998, ""auto"", ""en"")
"),"In terms of sound, everything is fine. But the quality sucks. A couple of weeks after the purchase, the left speaker began to stick; I gave it back under warranty - they returned it and said it was done. After the warranty, it worked a little and died. I "&amp;"turned to my friends, explained the principle of operation and advised me to change the speaker. Tell me where can I buy???")</f>
        <v>In terms of sound, everything is fine. But the quality sucks. A couple of weeks after the purchase, the left speaker began to stick; I gave it back under warranty - they returned it and said it was done. After the warranty, it worked a little and died. I turned to my friends, explained the principle of operation and advised me to change the speaker. Tell me where can I buy???</v>
      </c>
    </row>
    <row r="10999" spans="1:9" x14ac:dyDescent="0.3">
      <c r="A10999" s="1" t="s">
        <v>369</v>
      </c>
      <c r="B10999" s="1" t="s">
        <v>2480</v>
      </c>
      <c r="C10999" s="1" t="s">
        <v>453</v>
      </c>
      <c r="D10999" s="1" t="s">
        <v>335</v>
      </c>
      <c r="E10999" s="1" t="s">
        <v>3673</v>
      </c>
      <c r="F10999" s="1" t="s">
        <v>15826</v>
      </c>
      <c r="G10999" s="1" t="s">
        <v>49</v>
      </c>
      <c r="H10999" s="1" t="s">
        <v>16</v>
      </c>
      <c r="I10999" s="1" t="str">
        <f ca="1">IFERROR(__xludf.DUMMYFUNCTION("GOOGLETRANSLATE(F10999, ""auto"", ""en"")
"),"You cannot place a pot and a frying pan at the same time - there is not enough space. Large burner broke after 2 weeks")</f>
        <v>You cannot place a pot and a frying pan at the same time - there is not enough space. Large burner broke after 2 weeks</v>
      </c>
    </row>
    <row r="11000" spans="1:9" x14ac:dyDescent="0.3">
      <c r="A11000" s="1" t="s">
        <v>206</v>
      </c>
      <c r="B11000" s="1" t="s">
        <v>1349</v>
      </c>
      <c r="C11000" s="1" t="s">
        <v>262</v>
      </c>
      <c r="D11000" s="1" t="s">
        <v>940</v>
      </c>
      <c r="E11000" s="1" t="s">
        <v>128</v>
      </c>
      <c r="F11000" s="1" t="s">
        <v>15827</v>
      </c>
      <c r="G11000" s="1" t="s">
        <v>28</v>
      </c>
      <c r="H11000" s="1" t="s">
        <v>29</v>
      </c>
      <c r="I11000" s="1" t="str">
        <f ca="1">IFERROR(__xludf.DUMMYFUNCTION("GOOGLETRANSLATE(F11000, ""auto"", ""en"")
"),"Good day everyone! Please tell me whether the GPS function works on this model or not? In the store we studied it with a consultant from all sides, he explained to me that it doesn’t, since the GPS icon is not highlighted... I would like to buy it")</f>
        <v>Good day everyone! Please tell me whether the GPS function works on this model or not? In the store we studied it with a consultant from all sides, he explained to me that it doesn’t, since the GPS icon is not highlighted... I would like to buy it</v>
      </c>
    </row>
    <row r="11001" spans="1:9" x14ac:dyDescent="0.3">
      <c r="A11001" s="1" t="s">
        <v>17</v>
      </c>
      <c r="B11001" s="1" t="s">
        <v>18</v>
      </c>
      <c r="C11001" s="1" t="s">
        <v>151</v>
      </c>
      <c r="D11001" s="1" t="s">
        <v>172</v>
      </c>
      <c r="E11001" s="1" t="s">
        <v>594</v>
      </c>
      <c r="F11001" s="1" t="s">
        <v>15828</v>
      </c>
      <c r="G11001" s="1" t="s">
        <v>36</v>
      </c>
      <c r="H11001" s="1" t="s">
        <v>29</v>
      </c>
      <c r="I11001" s="1" t="str">
        <f ca="1">IFERROR(__xludf.DUMMYFUNCTION("GOOGLETRANSLATE(F11001, ""auto"", ""en"")
"),"Thank God it’s been working for five years now. and everything is fine. Of course, there are also glitches with the door, but in general everything is fine. set the spin speed to 800 rpm")</f>
        <v>Thank God it’s been working for five years now. and everything is fine. Of course, there are also glitches with the door, but in general everything is fine. set the spin speed to 800 rpm</v>
      </c>
    </row>
    <row r="11002" spans="1:9" x14ac:dyDescent="0.3">
      <c r="A11002" s="1" t="s">
        <v>206</v>
      </c>
      <c r="B11002" s="1" t="s">
        <v>1349</v>
      </c>
      <c r="C11002" s="1" t="s">
        <v>351</v>
      </c>
      <c r="D11002" s="1" t="s">
        <v>305</v>
      </c>
      <c r="E11002" s="1" t="s">
        <v>4203</v>
      </c>
      <c r="F11002" s="1" t="s">
        <v>15829</v>
      </c>
      <c r="G11002" s="1" t="s">
        <v>28</v>
      </c>
      <c r="H11002" s="1" t="s">
        <v>29</v>
      </c>
      <c r="I11002" s="1" t="str">
        <f ca="1">IFERROR(__xludf.DUMMYFUNCTION("GOOGLETRANSLATE(F11002, ""auto"", ""en"")
"),"1 I liked the sound. I expected less. I have simple speakers with no frills.  2 AVI does not play.  3 My knob immediately malfunctioned and can be fixed by opening and closing the panel.  4 does not support multi-folder attachments - folders contain files"&amp;", otherwise everything is thrown into one pile. Imagine a catalog of 500 songs in one list - although you can jump to any song from the remote control.  5 I wanted to buy a JVC 5307 without a monitor for the same money, it’s good that I didn’t take it. It"&amp;"'s a lot more fun with a monitor.  Reads 6 disks, reads a 4 gig flash drive quite quickly.  7 if you take it into a work car and don’t regret it, it’s an excellent option; if you get good acoustics, you can look for another system.")</f>
        <v>1 I liked the sound. I expected less. I have simple speakers with no frills.  2 AVI does not play.  3 My knob immediately malfunctioned and can be fixed by opening and closing the panel.  4 does not support multi-folder attachments - folders contain files, otherwise everything is thrown into one pile. Imagine a catalog of 500 songs in one list - although you can jump to any song from the remote control.  5 I wanted to buy a JVC 5307 without a monitor for the same money, it’s good that I didn’t take it. It's a lot more fun with a monitor.  Reads 6 disks, reads a 4 gig flash drive quite quickly.  7 if you take it into a work car and don’t regret it, it’s an excellent option; if you get good acoustics, you can look for another system.</v>
      </c>
    </row>
    <row r="11003" spans="1:9" x14ac:dyDescent="0.3">
      <c r="A11003" s="1" t="s">
        <v>361</v>
      </c>
      <c r="B11003" s="1" t="s">
        <v>462</v>
      </c>
      <c r="C11003" s="1" t="s">
        <v>463</v>
      </c>
      <c r="D11003" s="1" t="s">
        <v>32</v>
      </c>
      <c r="E11003" s="1" t="s">
        <v>846</v>
      </c>
      <c r="F11003" s="1" t="s">
        <v>15830</v>
      </c>
      <c r="G11003" s="1" t="s">
        <v>36</v>
      </c>
      <c r="H11003" s="1" t="s">
        <v>29</v>
      </c>
      <c r="I11003" s="1" t="str">
        <f ca="1">IFERROR(__xludf.DUMMYFUNCTION("GOOGLETRANSLATE(F11003, ""auto"", ""en"")
"),"Convenient to use. Easily installed in a jug.    +) REALLY CLEANS WATER FROM HARDNESS.   Especially in the volume of the specified resource, and our water is very hard: scale, taste, etc. - everything is there. Using a cassette removes these artifacts com"&amp;"pletely.    -) These cassettes have become very expensive lately(.")</f>
        <v>Convenient to use. Easily installed in a jug.    +) REALLY CLEANS WATER FROM HARDNESS.   Especially in the volume of the specified resource, and our water is very hard: scale, taste, etc. - everything is there. Using a cassette removes these artifacts completely.    -) These cassettes have become very expensive lately(.</v>
      </c>
    </row>
    <row r="11004" spans="1:9" x14ac:dyDescent="0.3">
      <c r="A11004" s="1" t="s">
        <v>120</v>
      </c>
      <c r="B11004" s="1" t="s">
        <v>121</v>
      </c>
      <c r="C11004" s="1" t="s">
        <v>80</v>
      </c>
      <c r="D11004" s="1" t="s">
        <v>557</v>
      </c>
      <c r="E11004" s="1" t="s">
        <v>4184</v>
      </c>
      <c r="F11004" s="1" t="s">
        <v>15831</v>
      </c>
      <c r="G11004" s="1" t="s">
        <v>28</v>
      </c>
      <c r="H11004" s="1" t="s">
        <v>29</v>
      </c>
      <c r="I11004" s="1" t="str">
        <f ca="1">IFERROR(__xludf.DUMMYFUNCTION("GOOGLETRANSLATE(F11004, ""auto"", ""en"")
"),"Decent TV for the money. Especially the HD channels look great.")</f>
        <v>Decent TV for the money. Especially the HD channels look great.</v>
      </c>
    </row>
    <row r="11005" spans="1:9" x14ac:dyDescent="0.3">
      <c r="A11005" s="1" t="s">
        <v>149</v>
      </c>
      <c r="B11005" s="1" t="s">
        <v>155</v>
      </c>
      <c r="C11005" s="1" t="s">
        <v>80</v>
      </c>
      <c r="D11005" s="1" t="s">
        <v>186</v>
      </c>
      <c r="E11005" s="1" t="s">
        <v>2656</v>
      </c>
      <c r="F11005" s="1" t="s">
        <v>15832</v>
      </c>
      <c r="G11005" s="1" t="s">
        <v>28</v>
      </c>
      <c r="H11005" s="1" t="s">
        <v>29</v>
      </c>
      <c r="I11005" s="1" t="str">
        <f ca="1">IFERROR(__xludf.DUMMYFUNCTION("GOOGLETRANSLATE(F11005, ""auto"", ""en"")
"),"Not very long ago we purchased this model of vacuum cleaner, I can say that I really liked it, the suction power is excellent!!! I was especially impressed after the first cleaning. However, I would like to note that the brush is poorly thought out (the b"&amp;"rush bounces when cleaning) and the pre-motor sponge. After the container is filled to 50%, it is necessary to wash and dry the pre-motor sponge, this affects the rapid clogging of the Hera filter, and it costs 1200 rubles. In addition, it is better to ch"&amp;"ange the sponge that is located directly in front of the motor (the black one is porous), it is generally useless, the pores in it are too large, it is best to buy a filter for ordinary vacuum cleaners, cut it out and install it. The suction power is not "&amp;"lost, and the effect on the eyes, such measures, it seems to me, will prolong the life of your Nera filter.")</f>
        <v>Not very long ago we purchased this model of vacuum cleaner, I can say that I really liked it, the suction power is excellent!!! I was especially impressed after the first cleaning. However, I would like to note that the brush is poorly thought out (the brush bounces when cleaning) and the pre-motor sponge. After the container is filled to 50%, it is necessary to wash and dry the pre-motor sponge, this affects the rapid clogging of the Hera filter, and it costs 1200 rubles. In addition, it is better to change the sponge that is located directly in front of the motor (the black one is porous), it is generally useless, the pores in it are too large, it is best to buy a filter for ordinary vacuum cleaners, cut it out and install it. The suction power is not lost, and the effect on the eyes, such measures, it seems to me, will prolong the life of your Nera filter.</v>
      </c>
    </row>
    <row r="11006" spans="1:9" x14ac:dyDescent="0.3">
      <c r="A11006" s="1" t="s">
        <v>17</v>
      </c>
      <c r="B11006" s="1" t="s">
        <v>18</v>
      </c>
      <c r="C11006" s="1" t="s">
        <v>24</v>
      </c>
      <c r="D11006" s="1" t="s">
        <v>565</v>
      </c>
      <c r="E11006" s="1" t="s">
        <v>1219</v>
      </c>
      <c r="F11006" s="1" t="s">
        <v>15833</v>
      </c>
      <c r="G11006" s="1" t="s">
        <v>36</v>
      </c>
      <c r="H11006" s="1" t="s">
        <v>29</v>
      </c>
      <c r="I11006" s="1" t="str">
        <f ca="1">IFERROR(__xludf.DUMMYFUNCTION("GOOGLETRANSLATE(F11006, ""auto"", ""en"")
"),"We bought the machine three months ago. I still can’t get enough of it. It takes up little space, it’s very easy to operate, it has all the programs that our family needs (we chose the machine mainly for this reason). Personally, I’m pleased with the disp"&amp;"lay, I’m used to it (I had an old machine). And how silent it is! And all my relatives and friends noticed this, comparing it with their machines. A glass of water placed on the lid doesn’t even work when doing push-ups. It moves. Although the legs have n"&amp;"ot been adjusted. Even with the door to the bathroom open, there is absolutely no noise. I never get used to it, and I constantly check to see if the machine is working at all. It washes perfectly! All the old stains have been washed out. The powder from "&amp;"the dispenser is washed out thoroughly. The laundry has no smell of powder, it is rinsed well. And with the “easy ironing” function, things do not wrinkle at all. I am very pleased with the choice of this particular washing machine. cars.")</f>
        <v>We bought the machine three months ago. I still can’t get enough of it. It takes up little space, it’s very easy to operate, it has all the programs that our family needs (we chose the machine mainly for this reason). Personally, I’m pleased with the display, I’m used to it (I had an old machine). And how silent it is! And all my relatives and friends noticed this, comparing it with their machines. A glass of water placed on the lid doesn’t even work when doing push-ups. It moves. Although the legs have not been adjusted. Even with the door to the bathroom open, there is absolutely no noise. I never get used to it, and I constantly check to see if the machine is working at all. It washes perfectly! All the old stains have been washed out. The powder from the dispenser is washed out thoroughly. The laundry has no smell of powder, it is rinsed well. And with the “easy ironing” function, things do not wrinkle at all. I am very pleased with the choice of this particular washing machine. cars.</v>
      </c>
    </row>
    <row r="11007" spans="1:9" x14ac:dyDescent="0.3">
      <c r="A11007" s="1" t="s">
        <v>477</v>
      </c>
      <c r="B11007" s="1" t="s">
        <v>478</v>
      </c>
      <c r="C11007" s="1" t="s">
        <v>479</v>
      </c>
      <c r="D11007" s="1" t="s">
        <v>695</v>
      </c>
      <c r="E11007" s="1" t="s">
        <v>296</v>
      </c>
      <c r="F11007" s="1" t="s">
        <v>15834</v>
      </c>
      <c r="G11007" s="1" t="s">
        <v>36</v>
      </c>
      <c r="H11007" s="1" t="s">
        <v>29</v>
      </c>
      <c r="I11007" s="1" t="str">
        <f ca="1">IFERROR(__xludf.DUMMYFUNCTION("GOOGLETRANSLATE(F11007, ""auto"", ""en"")
"),"Great game! I don't really like horror games myself, but I really liked this game. Everything looks very alive and realistic.")</f>
        <v>Great game! I don't really like horror games myself, but I really liked this game. Everything looks very alive and realistic.</v>
      </c>
    </row>
    <row r="11008" spans="1:9" x14ac:dyDescent="0.3">
      <c r="A11008" s="1" t="s">
        <v>61</v>
      </c>
      <c r="B11008" s="1" t="s">
        <v>145</v>
      </c>
      <c r="C11008" s="1" t="s">
        <v>246</v>
      </c>
      <c r="D11008" s="1" t="s">
        <v>15835</v>
      </c>
      <c r="E11008" s="1" t="s">
        <v>386</v>
      </c>
      <c r="F11008" s="1" t="s">
        <v>15836</v>
      </c>
      <c r="G11008" s="1" t="s">
        <v>28</v>
      </c>
      <c r="H11008" s="1" t="s">
        <v>29</v>
      </c>
      <c r="I11008" s="1" t="str">
        <f ca="1">IFERROR(__xludf.DUMMYFUNCTION("GOOGLETRANSLATE(F11008, ""auto"", ""en"")
"),"We have been using it for several months, we bought it because in addition to the famous brand, “made in France” also attracted us. A very convenient thing. Homemade Ylgurt for children with allergies without impurities, preservatives, etc. garbage that m"&amp;"anufacturers put in abundance in finished products.   We were convinced that we still had to MANAGE to spoil the yogurt. We turn on the dishwasher at night and there is a yogurt maker on the next section. Everything works out. Then put it in the refrigera"&amp;"tor... and everything is ok. The simplest recipe is to add finely chopped dried prunes - amazingly tasty.    There is one minus - the non-interactive model. In comparison with YOGURTEO YG230 from another manufacturer, which has a display - with a feedback"&amp;" timer and the on-off process itself is more pronounced. The jars are large (although I, weighing 85, are enough for breakfast :)")</f>
        <v>We have been using it for several months, we bought it because in addition to the famous brand, “made in France” also attracted us. A very convenient thing. Homemade Ylgurt for children with allergies without impurities, preservatives, etc. garbage that manufacturers put in abundance in finished products.   We were convinced that we still had to MANAGE to spoil the yogurt. We turn on the dishwasher at night and there is a yogurt maker on the next section. Everything works out. Then put it in the refrigerator... and everything is ok. The simplest recipe is to add finely chopped dried prunes - amazingly tasty.    There is one minus - the non-interactive model. In comparison with YOGURTEO YG230 from another manufacturer, which has a display - with a feedback timer and the on-off process itself is more pronounced. The jars are large (although I, weighing 85, are enough for breakfast :)</v>
      </c>
    </row>
    <row r="11009" spans="1:9" x14ac:dyDescent="0.3">
      <c r="A11009" s="1" t="s">
        <v>369</v>
      </c>
      <c r="B11009" s="1" t="s">
        <v>587</v>
      </c>
      <c r="C11009" s="1" t="s">
        <v>290</v>
      </c>
      <c r="D11009" s="1" t="s">
        <v>3349</v>
      </c>
      <c r="E11009" s="1" t="s">
        <v>194</v>
      </c>
      <c r="F11009" s="1" t="s">
        <v>15837</v>
      </c>
      <c r="G11009" s="1" t="s">
        <v>49</v>
      </c>
      <c r="H11009" s="1" t="s">
        <v>16</v>
      </c>
      <c r="I11009" s="1" t="str">
        <f ca="1">IFERROR(__xludf.DUMMYFUNCTION("GOOGLETRANSLATE(F11009, ""auto"", ""en"")
"),"Now the clock is broken. I don't recommend buying it.")</f>
        <v>Now the clock is broken. I don't recommend buying it.</v>
      </c>
    </row>
    <row r="11010" spans="1:9" x14ac:dyDescent="0.3">
      <c r="A11010" s="1" t="s">
        <v>9</v>
      </c>
      <c r="B11010" s="1" t="s">
        <v>133</v>
      </c>
      <c r="C11010" s="1" t="s">
        <v>19</v>
      </c>
      <c r="D11010" s="1" t="s">
        <v>15838</v>
      </c>
      <c r="E11010" s="1" t="s">
        <v>3726</v>
      </c>
      <c r="F11010" s="1" t="s">
        <v>15839</v>
      </c>
      <c r="G11010" s="1" t="s">
        <v>15</v>
      </c>
      <c r="H11010" s="1" t="s">
        <v>16</v>
      </c>
      <c r="I11010" s="1" t="str">
        <f ca="1">IFERROR(__xludf.DUMMYFUNCTION("GOOGLETRANSLATE(F11010, ""auto"", ""en"")
"),"I've been using it for a year. To be honest, I’m not very happy, the bottom burns, it dries out, there’s no normal golden brown crust. I now want to buy an electric mini-oven")</f>
        <v>I've been using it for a year. To be honest, I’m not very happy, the bottom burns, it dries out, there’s no normal golden brown crust. I now want to buy an electric mini-oven</v>
      </c>
    </row>
    <row r="11011" spans="1:9" x14ac:dyDescent="0.3">
      <c r="A11011" s="1" t="s">
        <v>149</v>
      </c>
      <c r="B11011" s="1" t="s">
        <v>155</v>
      </c>
      <c r="C11011" s="1" t="s">
        <v>101</v>
      </c>
      <c r="D11011" s="1" t="s">
        <v>3293</v>
      </c>
      <c r="E11011" s="1" t="s">
        <v>2926</v>
      </c>
      <c r="F11011" s="1" t="s">
        <v>15840</v>
      </c>
      <c r="G11011" s="1" t="s">
        <v>28</v>
      </c>
      <c r="H11011" s="1" t="s">
        <v>29</v>
      </c>
      <c r="I11011" s="1" t="str">
        <f ca="1">IFERROR(__xludf.DUMMYFUNCTION("GOOGLETRANSLATE(F11011, ""auto"", ""en"")
"),"A good vacuum cleaner, no worse than its “bag” counterparts, or even superior to them! I recommend")</f>
        <v>A good vacuum cleaner, no worse than its “bag” counterparts, or even superior to them! I recommend</v>
      </c>
    </row>
    <row r="11012" spans="1:9" x14ac:dyDescent="0.3">
      <c r="A11012" s="1" t="s">
        <v>61</v>
      </c>
      <c r="B11012" s="1" t="s">
        <v>180</v>
      </c>
      <c r="C11012" s="1" t="s">
        <v>74</v>
      </c>
      <c r="D11012" s="1" t="s">
        <v>545</v>
      </c>
      <c r="E11012" s="1" t="s">
        <v>244</v>
      </c>
      <c r="F11012" s="1" t="s">
        <v>15841</v>
      </c>
      <c r="G11012" s="1" t="s">
        <v>28</v>
      </c>
      <c r="H11012" s="1" t="s">
        <v>29</v>
      </c>
      <c r="I11012" s="1" t="str">
        <f ca="1">IFERROR(__xludf.DUMMYFUNCTION("GOOGLETRANSLATE(F11012, ""auto"", ""en"")
"),"We've been using it since the summer and are very pleased. It’s not scary that there is no self-shutdown, it’s not needed here. The sandwich maker is simple, no frills. Cleaning is easy! Absolutely no problem - I just wipe it with a dry cloth after it coo"&amp;"ls down - and that’s it! She is absolutely clean. I don't regret it one bit!")</f>
        <v>We've been using it since the summer and are very pleased. It’s not scary that there is no self-shutdown, it’s not needed here. The sandwich maker is simple, no frills. Cleaning is easy! Absolutely no problem - I just wipe it with a dry cloth after it cools down - and that’s it! She is absolutely clean. I don't regret it one bit!</v>
      </c>
    </row>
    <row r="11013" spans="1:9" x14ac:dyDescent="0.3">
      <c r="A11013" s="1" t="s">
        <v>37</v>
      </c>
      <c r="B11013" s="1" t="s">
        <v>38</v>
      </c>
      <c r="C11013" s="1" t="s">
        <v>39</v>
      </c>
      <c r="D11013" s="1" t="s">
        <v>139</v>
      </c>
      <c r="E11013" s="1" t="s">
        <v>225</v>
      </c>
      <c r="F11013" s="1" t="s">
        <v>15842</v>
      </c>
      <c r="G11013" s="1" t="s">
        <v>49</v>
      </c>
      <c r="H11013" s="1" t="s">
        <v>16</v>
      </c>
      <c r="I11013" s="1" t="str">
        <f ca="1">IFERROR(__xludf.DUMMYFUNCTION("GOOGLETRANSLATE(F11013, ""auto"", ""en"")
"),"I've been using it for half a year. I will list all the disadvantages: - often loses the network and cannot be found again until a reboot. Because of this, the phone freezes for about a minute.  -no synchronization with the computer.  -if it freezes, you "&amp;"just have to remove the battery.  -If there are a large number of files or folders, the file manager is slow. Especially if these are video files.  -Themes are only standard 4. There can be no others.  -when connecting a Bluetooth headset, the phone notic"&amp;"eably slows down.  -the camera is absolutely terrible. sometimes it doesn’t take photos at 2mp (you need to reboot again) - photos cannot be rotated.  -memory of messages is limited, although its 15 MB saves about 100 and does not depend on memory.  -deli"&amp;"very report comes as SMS.  - settings are very limited.  I AM VERY SATISFIED WITH THE PHONE!!!!!!")</f>
        <v>I've been using it for half a year. I will list all the disadvantages: - often loses the network and cannot be found again until a reboot. Because of this, the phone freezes for about a minute.  -no synchronization with the computer.  -if it freezes, you just have to remove the battery.  -If there are a large number of files or folders, the file manager is slow. Especially if these are video files.  -Themes are only standard 4. There can be no others.  -when connecting a Bluetooth headset, the phone noticeably slows down.  -the camera is absolutely terrible. sometimes it doesn’t take photos at 2mp (you need to reboot again) - photos cannot be rotated.  -memory of messages is limited, although its 15 MB saves about 100 and does not depend on memory.  -delivery report comes as SMS.  - settings are very limited.  I AM VERY SATISFIED WITH THE PHONE!!!!!!</v>
      </c>
    </row>
    <row r="11014" spans="1:9" x14ac:dyDescent="0.3">
      <c r="A11014" s="1" t="s">
        <v>17</v>
      </c>
      <c r="B11014" s="1" t="s">
        <v>18</v>
      </c>
      <c r="C11014" s="1" t="s">
        <v>243</v>
      </c>
      <c r="D11014" s="1" t="s">
        <v>295</v>
      </c>
      <c r="E11014" s="1" t="s">
        <v>3444</v>
      </c>
      <c r="F11014" s="1" t="s">
        <v>15843</v>
      </c>
      <c r="G11014" s="1" t="s">
        <v>15</v>
      </c>
      <c r="H11014" s="1" t="s">
        <v>16</v>
      </c>
      <c r="I11014" s="1" t="str">
        <f ca="1">IFERROR(__xludf.DUMMYFUNCTION("GOOGLETRANSLATE(F11014, ""auto"", ""en"")
"),"I bought this Italian-made machine... And now exactly a year has passed since its work under warranty ended and a week later the machine broke down. The electronics have fallen off.... Repairs are expensive, and there is currently no processor available i"&amp;"n our city, and ordering it will take a month, or even more. I'm buying a new washing machine. machine, but I won’t even look at Indesit.")</f>
        <v>I bought this Italian-made machine... And now exactly a year has passed since its work under warranty ended and a week later the machine broke down. The electronics have fallen off.... Repairs are expensive, and there is currently no processor available in our city, and ordering it will take a month, or even more. I'm buying a new washing machine. machine, but I won’t even look at Indesit.</v>
      </c>
    </row>
    <row r="11015" spans="1:9" x14ac:dyDescent="0.3">
      <c r="A11015" s="1" t="s">
        <v>61</v>
      </c>
      <c r="B11015" s="1" t="s">
        <v>145</v>
      </c>
      <c r="C11015" s="1" t="s">
        <v>246</v>
      </c>
      <c r="D11015" s="1" t="s">
        <v>247</v>
      </c>
      <c r="E11015" s="1" t="s">
        <v>2256</v>
      </c>
      <c r="F11015" s="1" t="s">
        <v>15844</v>
      </c>
      <c r="G11015" s="1" t="s">
        <v>36</v>
      </c>
      <c r="H11015" s="1" t="s">
        <v>29</v>
      </c>
      <c r="I11015" s="1" t="str">
        <f ca="1">IFERROR(__xludf.DUMMYFUNCTION("GOOGLETRANSLATE(F11015, ""auto"", ""en"")
"),"When I tried it for the first time, I was truly delighted with how quickly and accurately it opened canned food; there were no nicks left on the edges of the can. The principle of operation is very simple - insert the jar, press harder on top and move awa"&amp;"y. The can holds itself and opens, and when it has opened completely, it stops. You lift the lid, pull out the jar, and the lid remains hanging on the magnet. Everything is clean, no injuries or screams. The knife is also good, you can sharpen your knives"&amp;". By the way, it's not that bulky. I'm very pleased with the purchase. Now I only buy canned food in cans. I recommend it to everyone.")</f>
        <v>When I tried it for the first time, I was truly delighted with how quickly and accurately it opened canned food; there were no nicks left on the edges of the can. The principle of operation is very simple - insert the jar, press harder on top and move away. The can holds itself and opens, and when it has opened completely, it stops. You lift the lid, pull out the jar, and the lid remains hanging on the magnet. Everything is clean, no injuries or screams. The knife is also good, you can sharpen your knives. By the way, it's not that bulky. I'm very pleased with the purchase. Now I only buy canned food in cans. I recommend it to everyone.</v>
      </c>
    </row>
    <row r="11016" spans="1:9" x14ac:dyDescent="0.3">
      <c r="A11016" s="1" t="s">
        <v>496</v>
      </c>
      <c r="B11016" s="1" t="s">
        <v>497</v>
      </c>
      <c r="C11016" s="1" t="s">
        <v>487</v>
      </c>
      <c r="D11016" s="1" t="s">
        <v>15845</v>
      </c>
      <c r="E11016" s="1" t="s">
        <v>1931</v>
      </c>
      <c r="F11016" s="1" t="s">
        <v>15846</v>
      </c>
      <c r="G11016" s="1" t="s">
        <v>36</v>
      </c>
      <c r="H11016" s="1" t="s">
        <v>29</v>
      </c>
      <c r="I11016" s="1" t="str">
        <f ca="1">IFERROR(__xludf.DUMMYFUNCTION("GOOGLETRANSLATE(F11016, ""auto"", ""en"")
"),"Windows is just SUPER.  I downloaded it in about 5 minutes. There were no problems with the activator. Quacks with one click.")</f>
        <v>Windows is just SUPER.  I downloaded it in about 5 minutes. There were no problems with the activator. Quacks with one click.</v>
      </c>
    </row>
    <row r="11017" spans="1:9" x14ac:dyDescent="0.3">
      <c r="A11017" s="1" t="s">
        <v>111</v>
      </c>
      <c r="B11017" s="1" t="s">
        <v>636</v>
      </c>
      <c r="C11017" s="1" t="s">
        <v>637</v>
      </c>
      <c r="D11017" s="1" t="s">
        <v>64</v>
      </c>
      <c r="E11017" s="1" t="s">
        <v>7855</v>
      </c>
      <c r="F11017" s="1" t="s">
        <v>15847</v>
      </c>
      <c r="G11017" s="1" t="s">
        <v>36</v>
      </c>
      <c r="H11017" s="1" t="s">
        <v>29</v>
      </c>
      <c r="I11017" s="1" t="str">
        <f ca="1">IFERROR(__xludf.DUMMYFUNCTION("GOOGLETRANSLATE(F11017, ""auto"", ""en"")
"),"Before this, I used another Oregon weather station (I don’t remember which model) - until the outdoor sensor stopped working. So the old brother really always showed 2% humidity.   Pros: The current station pleased me with adequate readings of both temper"&amp;"ature and humidity. There is a backlight - very useful (the previous model didn’t have it - you can’t even see the time at night).  Cons: The sole of the device is rounded, not very stable, a kind of Vanka-stand-up; Naturally, the weather forecast is tink"&amp;"ering. The latter, however, is not critical. The hydrometeorological center doesn’t even guess!")</f>
        <v>Before this, I used another Oregon weather station (I don’t remember which model) - until the outdoor sensor stopped working. So the old brother really always showed 2% humidity.   Pros: The current station pleased me with adequate readings of both temperature and humidity. There is a backlight - very useful (the previous model didn’t have it - you can’t even see the time at night).  Cons: The sole of the device is rounded, not very stable, a kind of Vanka-stand-up; Naturally, the weather forecast is tinkering. The latter, however, is not critical. The hydrometeorological center doesn’t even guess!</v>
      </c>
    </row>
    <row r="11018" spans="1:9" x14ac:dyDescent="0.3">
      <c r="A11018" s="1" t="s">
        <v>149</v>
      </c>
      <c r="B11018" s="1" t="s">
        <v>155</v>
      </c>
      <c r="C11018" s="1" t="s">
        <v>151</v>
      </c>
      <c r="D11018" s="1" t="s">
        <v>2934</v>
      </c>
      <c r="E11018" s="1" t="s">
        <v>15848</v>
      </c>
      <c r="F11018" s="1" t="s">
        <v>15849</v>
      </c>
      <c r="G11018" s="1" t="s">
        <v>36</v>
      </c>
      <c r="H11018" s="1" t="s">
        <v>29</v>
      </c>
      <c r="I11018" s="1" t="str">
        <f ca="1">IFERROR(__xludf.DUMMYFUNCTION("GOOGLETRANSLATE(F11018, ""auto"", ""en"")
"),"We bought a vacuum cleaner in 2011 for construction workers. It still works today. Sucks everything! You just need to wash the filters and clean the bowl frequently. A little noisy, but that's forgivable.")</f>
        <v>We bought a vacuum cleaner in 2011 for construction workers. It still works today. Sucks everything! You just need to wash the filters and clean the bowl frequently. A little noisy, but that's forgivable.</v>
      </c>
    </row>
    <row r="11019" spans="1:9" x14ac:dyDescent="0.3">
      <c r="A11019" s="1" t="s">
        <v>95</v>
      </c>
      <c r="B11019" s="1" t="s">
        <v>486</v>
      </c>
      <c r="C11019" s="1" t="s">
        <v>487</v>
      </c>
      <c r="D11019" s="1" t="s">
        <v>15850</v>
      </c>
      <c r="E11019" s="1" t="s">
        <v>3284</v>
      </c>
      <c r="F11019" s="1" t="s">
        <v>15851</v>
      </c>
      <c r="G11019" s="1" t="s">
        <v>36</v>
      </c>
      <c r="H11019" s="1" t="s">
        <v>29</v>
      </c>
      <c r="I11019" s="1" t="str">
        <f ca="1">IFERROR(__xludf.DUMMYFUNCTION("GOOGLETRANSLATE(F11019, ""auto"", ""en"")
"),"I live in the city of Uralsk, Kazakhstan, how much will delivery cost me?")</f>
        <v>I live in the city of Uralsk, Kazakhstan, how much will delivery cost me?</v>
      </c>
    </row>
    <row r="11020" spans="1:9" x14ac:dyDescent="0.3">
      <c r="A11020" s="1" t="s">
        <v>43</v>
      </c>
      <c r="B11020" s="1" t="s">
        <v>1616</v>
      </c>
      <c r="C11020" s="1" t="s">
        <v>185</v>
      </c>
      <c r="D11020" s="1" t="s">
        <v>474</v>
      </c>
      <c r="E11020" s="1" t="s">
        <v>532</v>
      </c>
      <c r="F11020" s="1" t="s">
        <v>15852</v>
      </c>
      <c r="G11020" s="1" t="s">
        <v>49</v>
      </c>
      <c r="H11020" s="1" t="s">
        <v>16</v>
      </c>
      <c r="I11020" s="1" t="str">
        <f ca="1">IFERROR(__xludf.DUMMYFUNCTION("GOOGLETRANSLATE(F11020, ""auto"", ""en"")
"),"Today we bought this air conditioner from M Video. The air conditioning mode worked for about 10 minutes during the day, the rest of the time in fan mode. We'll rent it out. Rave!!!")</f>
        <v>Today we bought this air conditioner from M Video. The air conditioning mode worked for about 10 minutes during the day, the rest of the time in fan mode. We'll rent it out. Rave!!!</v>
      </c>
    </row>
    <row r="11021" spans="1:9" x14ac:dyDescent="0.3">
      <c r="A11021" s="1" t="s">
        <v>43</v>
      </c>
      <c r="B11021" s="1" t="s">
        <v>44</v>
      </c>
      <c r="C11021" s="1" t="s">
        <v>57</v>
      </c>
      <c r="D11021" s="1" t="s">
        <v>295</v>
      </c>
      <c r="E11021" s="1" t="s">
        <v>7115</v>
      </c>
      <c r="F11021" s="1" t="s">
        <v>15853</v>
      </c>
      <c r="G11021" s="1" t="s">
        <v>36</v>
      </c>
      <c r="H11021" s="1" t="s">
        <v>29</v>
      </c>
      <c r="I11021" s="1" t="str">
        <f ca="1">IFERROR(__xludf.DUMMYFUNCTION("GOOGLETRANSLATE(F11021, ""auto"", ""en"")
"),"Cool fan, blows perfectly, doesn’t make any noise, I think due to the striped protective grille, the cage is terribly noisy (we tested it experimentally and compared, we just installed a checkered grille from someone else). The blades are large and well c"&amp;"urved, not like in the Scarlet (they took complete crap and returned it, changed it without any problems). So far it works for 10 days. almost without interruption i.e. for days. Satisfied with all 10 points. I recommend!!! There is the same one, only whi"&amp;"te, here on the website (the characteristics are the same, but 500 rubles cheaper). But I needed it and the design also fit perfectly into the interior, so we took this one.")</f>
        <v>Cool fan, blows perfectly, doesn’t make any noise, I think due to the striped protective grille, the cage is terribly noisy (we tested it experimentally and compared, we just installed a checkered grille from someone else). The blades are large and well curved, not like in the Scarlet (they took complete crap and returned it, changed it without any problems). So far it works for 10 days. almost without interruption i.e. for days. Satisfied with all 10 points. I recommend!!! There is the same one, only white, here on the website (the characteristics are the same, but 500 rubles cheaper). But I needed it and the design also fit perfectly into the interior, so we took this one.</v>
      </c>
    </row>
    <row r="11022" spans="1:9" x14ac:dyDescent="0.3">
      <c r="A11022" s="1" t="s">
        <v>238</v>
      </c>
      <c r="B11022" s="1" t="s">
        <v>276</v>
      </c>
      <c r="C11022" s="1" t="s">
        <v>1677</v>
      </c>
      <c r="D11022" s="1" t="s">
        <v>15854</v>
      </c>
      <c r="E11022" s="1" t="s">
        <v>14249</v>
      </c>
      <c r="F11022" s="1" t="s">
        <v>15855</v>
      </c>
      <c r="G11022" s="1" t="s">
        <v>36</v>
      </c>
      <c r="H11022" s="1" t="s">
        <v>29</v>
      </c>
      <c r="I11022" s="1" t="str">
        <f ca="1">IFERROR(__xludf.DUMMYFUNCTION("GOOGLETRANSLATE(F11022, ""auto"", ""en"")
"),"I bought this refrigerator, I liked the design and the large volume of chambers. Large, roomy, beautiful, a dream, not a refrigerator! It works very quietly, one might say silently! It doesn’t make any extraneous gurgling or other strange sounds! Of cours"&amp;"e, I had a hard time dragging it through our narrow doors, the size fit snugly, but I still had to remove the door frame to bring the refrigerator into the kitchen. There were handles on the back of the refrigerator, on top, they made it difficult to free"&amp;"ly carry it through the door. But I’m very happy with the purchase of this particular model! This refrigerator is impeccable! You can fit an elephant in the doors! :) It’s convenient to store bottles, milk and juice packages, there are limiters so that no"&amp;"thing falls when opening. Children are delighted with the ice box, one turn of the handle and cubes in the container! Cool lighting for two chambers, convenient shelves, and there is also an ionizer that deactivates mold, it’s just fantastic, what progres"&amp;"s has been made! :) Very convenient control panel, setting the desired temperature was easy, everything is clear and convenient. Well, the appearance is pleasing to the eye, the color is soft, creamy, with a slightly pearlescent sheen, lovely! I give a so"&amp;"lid 5 for the work of the refrigerator!")</f>
        <v>I bought this refrigerator, I liked the design and the large volume of chambers. Large, roomy, beautiful, a dream, not a refrigerator! It works very quietly, one might say silently! It doesn’t make any extraneous gurgling or other strange sounds! Of course, I had a hard time dragging it through our narrow doors, the size fit snugly, but I still had to remove the door frame to bring the refrigerator into the kitchen. There were handles on the back of the refrigerator, on top, they made it difficult to freely carry it through the door. But I’m very happy with the purchase of this particular model! This refrigerator is impeccable! You can fit an elephant in the doors! :) It’s convenient to store bottles, milk and juice packages, there are limiters so that nothing falls when opening. Children are delighted with the ice box, one turn of the handle and cubes in the container! Cool lighting for two chambers, convenient shelves, and there is also an ionizer that deactivates mold, it’s just fantastic, what progress has been made! :) Very convenient control panel, setting the desired temperature was easy, everything is clear and convenient. Well, the appearance is pleasing to the eye, the color is soft, creamy, with a slightly pearlescent sheen, lovely! I give a solid 5 for the work of the refrigerator!</v>
      </c>
    </row>
    <row r="11023" spans="1:9" x14ac:dyDescent="0.3">
      <c r="A11023" s="1" t="s">
        <v>105</v>
      </c>
      <c r="B11023" s="1" t="s">
        <v>106</v>
      </c>
      <c r="C11023" s="1" t="s">
        <v>107</v>
      </c>
      <c r="D11023" s="1" t="s">
        <v>305</v>
      </c>
      <c r="E11023" s="1" t="s">
        <v>3310</v>
      </c>
      <c r="F11023" s="1" t="s">
        <v>15856</v>
      </c>
      <c r="G11023" s="1" t="s">
        <v>36</v>
      </c>
      <c r="H11023" s="1" t="s">
        <v>29</v>
      </c>
      <c r="I11023" s="1" t="str">
        <f ca="1">IFERROR(__xludf.DUMMYFUNCTION("GOOGLETRANSLATE(F11023, ""auto"", ""en"")
"),"GUYS!!!!!tell me!!!I can’t decide which mp3 player to buy ---Ritmix KF 8800 (8 GB) or Ritmix KF 8900 (8 GB)? help me choose and if you can, tell them - and +")</f>
        <v>GUYS!!!!!tell me!!!I can’t decide which mp3 player to buy ---Ritmix KF 8800 (8 GB) or Ritmix KF 8900 (8 GB)? help me choose and if you can, tell them - and +</v>
      </c>
    </row>
    <row r="11024" spans="1:9" x14ac:dyDescent="0.3">
      <c r="A11024" s="1" t="s">
        <v>61</v>
      </c>
      <c r="B11024" s="1" t="s">
        <v>318</v>
      </c>
      <c r="C11024" s="1" t="s">
        <v>246</v>
      </c>
      <c r="D11024" s="1" t="s">
        <v>114</v>
      </c>
      <c r="E11024" s="1" t="s">
        <v>4012</v>
      </c>
      <c r="F11024" s="1" t="s">
        <v>15857</v>
      </c>
      <c r="G11024" s="1" t="s">
        <v>49</v>
      </c>
      <c r="H11024" s="1" t="s">
        <v>16</v>
      </c>
      <c r="I11024" s="1" t="str">
        <f ca="1">IFERROR(__xludf.DUMMYFUNCTION("GOOGLETRANSLATE(F11024, ""auto"", ""en"")
"),"The kettle is disgusting! We just bought it (still at the old price), and after a week it stopped turning off on its own. Can boil indefinitely. Moreover, the worst thing is that when half of the water is turned off, it seems to be turned off, but when it"&amp;"’s a little more, it’s gone. It’s clear that I won’t go to the store to embarrass myself (although I have a receipt) - they will fill it with 2/3 and it will turn off as it should - but today it boiled in the kitchen for about 15 minutes, all the cabinets"&amp;" above it were covered with condensation. I will never buy Tefal again. It is clear that MVideo has nothing to do with gray goods, but the quality even from legal Chinese manufacturers is no longer acceptable.")</f>
        <v>The kettle is disgusting! We just bought it (still at the old price), and after a week it stopped turning off on its own. Can boil indefinitely. Moreover, the worst thing is that when half of the water is turned off, it seems to be turned off, but when it’s a little more, it’s gone. It’s clear that I won’t go to the store to embarrass myself (although I have a receipt) - they will fill it with 2/3 and it will turn off as it should - but today it boiled in the kitchen for about 15 minutes, all the cabinets above it were covered with condensation. I will never buy Tefal again. It is clear that MVideo has nothing to do with gray goods, but the quality even from legal Chinese manufacturers is no longer acceptable.</v>
      </c>
    </row>
    <row r="11025" spans="1:9" x14ac:dyDescent="0.3">
      <c r="A11025" s="1" t="s">
        <v>169</v>
      </c>
      <c r="B11025" s="1" t="s">
        <v>170</v>
      </c>
      <c r="C11025" s="1" t="s">
        <v>122</v>
      </c>
      <c r="D11025" s="1" t="s">
        <v>8096</v>
      </c>
      <c r="E11025" s="1" t="s">
        <v>9839</v>
      </c>
      <c r="F11025" s="1" t="s">
        <v>15858</v>
      </c>
      <c r="G11025" s="1" t="s">
        <v>28</v>
      </c>
      <c r="H11025" s="1" t="s">
        <v>29</v>
      </c>
      <c r="I11025" s="1" t="str">
        <f ca="1">IFERROR(__xludf.DUMMYFUNCTION("GOOGLETRANSLATE(F11025, ""auto"", ""en"")
"),"Of course, I looked at more expensive models, but for a long time I couldn’t decide to buy, in case I didn’t like them or the quality let me down. In the end, I decided to buy these particular ones, for a decent price, and everyone speaks quite positively"&amp;" about this model. So far I'm happy: they perform the main functions of headphones - the speaker cups fit well on the ears and the sound is quite clear. Therefore, for such a price the ears are decent, although I don’t like the design! You can take it")</f>
        <v>Of course, I looked at more expensive models, but for a long time I couldn’t decide to buy, in case I didn’t like them or the quality let me down. In the end, I decided to buy these particular ones, for a decent price, and everyone speaks quite positively about this model. So far I'm happy: they perform the main functions of headphones - the speaker cups fit well on the ears and the sound is quite clear. Therefore, for such a price the ears are decent, although I don’t like the design! You can take it</v>
      </c>
    </row>
    <row r="11026" spans="1:9" x14ac:dyDescent="0.3">
      <c r="A11026" s="1" t="s">
        <v>120</v>
      </c>
      <c r="B11026" s="1" t="s">
        <v>196</v>
      </c>
      <c r="C11026" s="1" t="s">
        <v>151</v>
      </c>
      <c r="D11026" s="1" t="s">
        <v>742</v>
      </c>
      <c r="E11026" s="1" t="s">
        <v>1608</v>
      </c>
      <c r="F11026" s="1" t="s">
        <v>15859</v>
      </c>
      <c r="G11026" s="1" t="s">
        <v>28</v>
      </c>
      <c r="H11026" s="1" t="s">
        <v>29</v>
      </c>
      <c r="I11026" s="1" t="str">
        <f ca="1">IFERROR(__xludf.DUMMYFUNCTION("GOOGLETRANSLATE(F11026, ""auto"", ""en"")
"),"Pay attention to the screen backlight, this may be normal, but in my opinion it is rather weak. But in general I really like the model.")</f>
        <v>Pay attention to the screen backlight, this may be normal, but in my opinion it is rather weak. But in general I really like the model.</v>
      </c>
    </row>
    <row r="11027" spans="1:9" x14ac:dyDescent="0.3">
      <c r="A11027" s="1" t="s">
        <v>37</v>
      </c>
      <c r="B11027" s="1" t="s">
        <v>38</v>
      </c>
      <c r="C11027" s="1" t="s">
        <v>69</v>
      </c>
      <c r="D11027" s="1" t="s">
        <v>33</v>
      </c>
      <c r="E11027" s="1" t="s">
        <v>1481</v>
      </c>
      <c r="F11027" s="1" t="s">
        <v>15860</v>
      </c>
      <c r="G11027" s="1" t="s">
        <v>36</v>
      </c>
      <c r="H11027" s="1" t="s">
        <v>29</v>
      </c>
      <c r="I11027" s="1" t="str">
        <f ca="1">IFERROR(__xludf.DUMMYFUNCTION("GOOGLETRANSLATE(F11027, ""auto"", ""en"")
"),"Super tube! I’ve been using it for almost six months now, I’m very happy! with other handsets you had to constantly carry a charger with you, but with this you go on vacation for 3 weeks, and you don’t even have to worry about it)))")</f>
        <v>Super tube! I’ve been using it for almost six months now, I’m very happy! with other handsets you had to constantly carry a charger with you, but with this you go on vacation for 3 weeks, and you don’t even have to worry about it)))</v>
      </c>
    </row>
    <row r="11028" spans="1:9" x14ac:dyDescent="0.3">
      <c r="A11028" s="1" t="s">
        <v>477</v>
      </c>
      <c r="B11028" s="1" t="s">
        <v>478</v>
      </c>
      <c r="C11028" s="1" t="s">
        <v>479</v>
      </c>
      <c r="D11028" s="1" t="s">
        <v>891</v>
      </c>
      <c r="E11028" s="1" t="s">
        <v>15861</v>
      </c>
      <c r="F11028" s="1" t="s">
        <v>15862</v>
      </c>
      <c r="G11028" s="1" t="s">
        <v>36</v>
      </c>
      <c r="H11028" s="1" t="s">
        <v>29</v>
      </c>
      <c r="I11028" s="1" t="str">
        <f ca="1">IFERROR(__xludf.DUMMYFUNCTION("GOOGLETRANSLATE(F11028, ""auto"", ""en"")
"),"I would rightfully call this game the game of the year. Beautiful graphics, music and plot make you play it again and again. For its price, it is many times superior to such shooters as Battlefield 3 and Call of Duty: Modern Warfare 3. Rating: 100/100.  -"&amp;"--------------------- |Graphics | ********** |  |Music | ********** |  |Plot | ********** |  ----------------------")</f>
        <v>I would rightfully call this game the game of the year. Beautiful graphics, music and plot make you play it again and again. For its price, it is many times superior to such shooters as Battlefield 3 and Call of Duty: Modern Warfare 3. Rating: 100/100.  ---------------------- |Graphics | ********** |  |Music | ********** |  |Plot | ********** |  ----------------------</v>
      </c>
    </row>
    <row r="11029" spans="1:9" x14ac:dyDescent="0.3">
      <c r="A11029" s="1" t="s">
        <v>149</v>
      </c>
      <c r="B11029" s="1" t="s">
        <v>155</v>
      </c>
      <c r="C11029" s="1" t="s">
        <v>151</v>
      </c>
      <c r="D11029" s="1" t="s">
        <v>2233</v>
      </c>
      <c r="E11029" s="1" t="s">
        <v>5296</v>
      </c>
      <c r="F11029" s="1" t="s">
        <v>15863</v>
      </c>
      <c r="G11029" s="1" t="s">
        <v>36</v>
      </c>
      <c r="H11029" s="1" t="s">
        <v>29</v>
      </c>
      <c r="I11029" s="1" t="str">
        <f ca="1">IFERROR(__xludf.DUMMYFUNCTION("GOOGLETRANSLATE(F11029, ""auto"", ""en"")
"),"Been using it for almost two months now. We bought it on sale. Powerful, compact. Does not require much labor.")</f>
        <v>Been using it for almost two months now. We bought it on sale. Powerful, compact. Does not require much labor.</v>
      </c>
    </row>
    <row r="11030" spans="1:9" x14ac:dyDescent="0.3">
      <c r="A11030" s="1" t="s">
        <v>169</v>
      </c>
      <c r="B11030" s="1" t="s">
        <v>170</v>
      </c>
      <c r="C11030" s="1" t="s">
        <v>193</v>
      </c>
      <c r="D11030" s="1" t="s">
        <v>1036</v>
      </c>
      <c r="E11030" s="1" t="s">
        <v>1263</v>
      </c>
      <c r="F11030" s="1" t="s">
        <v>15864</v>
      </c>
      <c r="G11030" s="1" t="s">
        <v>36</v>
      </c>
      <c r="H11030" s="1" t="s">
        <v>29</v>
      </c>
      <c r="I11030" s="1" t="str">
        <f ca="1">IFERROR(__xludf.DUMMYFUNCTION("GOOGLETRANSLATE(F11030, ""auto"", ""en"")
"),"I took these headphones as second ones (I watch movies in them at home and sometimes turn on music) but I rarely go outside in them for one reason - I have the Sennheiser CX-500. They're just great. It’s a pity, by the way, that they are not in mVideo =( "&amp;"I would take another pair for my girlfriend. But okay, this is already offtopic. As for these headphones, they are worth the money, but nothing more. The sound is of average volume, high frequencies are not so high, medium... again, the volume is not enou"&amp;"gh, there are lows, but again they do not stand out. In general, these headphones are suitable for music, but do not give it any special character or new colors, as more expensive ones do CX-500, so for music lovers these headphones will seem boring. But "&amp;"this is if you compare the EH-150 with more expensive models. And for their price, the headphones score 5 points. As for the body and build quality and materials, I have no complaints. They are made with a bang, the pseudo/leather inserts and pads do not "&amp;"peel off or fall off, the paint on the body does not wear off (for now) and In general, they look reliable. The headphones do not put much pressure on the head and ears, although after three hours of continuous use, the ears ache and drown out almost ever"&amp;"ything, which is a pretty good result for a model for the money. On a bus, for example, you will only hear music.   My conclusion: if you are not too picky about sound quality and you have headphones for your MP3 player/phone, then this model is worth tak"&amp;"ing home. It is not very convenient for the street (the cord is 3 meters + there is no such thing that you can wrap it around so as not to get in the way) and not every phone can fully “swing” them. My example is Nokia N86 - the headphones almost give out"&amp;" all their volume; compared to the Samsung YP-R0CS player, the loss is not too noticeable, for example, so draw your own conclusions on what to listen to them on.  For its value the rating is 5 points.")</f>
        <v>I took these headphones as second ones (I watch movies in them at home and sometimes turn on music) but I rarely go outside in them for one reason - I have the Sennheiser CX-500. They're just great. It’s a pity, by the way, that they are not in mVideo =( I would take another pair for my girlfriend. But okay, this is already offtopic. As for these headphones, they are worth the money, but nothing more. The sound is of average volume, high frequencies are not so high, medium... again, the volume is not enough, there are lows, but again they do not stand out. In general, these headphones are suitable for music, but do not give it any special character or new colors, as more expensive ones do CX-500, so for music lovers these headphones will seem boring. But this is if you compare the EH-150 with more expensive models. And for their price, the headphones score 5 points. As for the body and build quality and materials, I have no complaints. They are made with a bang, the pseudo/leather inserts and pads do not peel off or fall off, the paint on the body does not wear off (for now) and In general, they look reliable. The headphones do not put much pressure on the head and ears, although after three hours of continuous use, the ears ache and drown out almost everything, which is a pretty good result for a model for the money. On a bus, for example, you will only hear music.   My conclusion: if you are not too picky about sound quality and you have headphones for your MP3 player/phone, then this model is worth taking home. It is not very convenient for the street (the cord is 3 meters + there is no such thing that you can wrap it around so as not to get in the way) and not every phone can fully “swing” them. My example is Nokia N86 - the headphones almost give out all their volume; compared to the Samsung YP-R0CS player, the loss is not too noticeable, for example, so draw your own conclusions on what to listen to them on.  For its value the rating is 5 points.</v>
      </c>
    </row>
    <row r="11031" spans="1:9" x14ac:dyDescent="0.3">
      <c r="A11031" s="1" t="s">
        <v>61</v>
      </c>
      <c r="B11031" s="1" t="s">
        <v>73</v>
      </c>
      <c r="C11031" s="1" t="s">
        <v>63</v>
      </c>
      <c r="D11031" s="1" t="s">
        <v>4132</v>
      </c>
      <c r="E11031" s="1" t="s">
        <v>1099</v>
      </c>
      <c r="F11031" s="1" t="s">
        <v>15865</v>
      </c>
      <c r="G11031" s="1" t="s">
        <v>36</v>
      </c>
      <c r="H11031" s="1" t="s">
        <v>29</v>
      </c>
      <c r="I11031" s="1" t="str">
        <f ca="1">IFERROR(__xludf.DUMMYFUNCTION("GOOGLETRANSLATE(F11031, ""auto"", ""en"")
"),"I’ve been using this meat grinder for four years now and I’m amazed at the negative reviews. My meat grinder spins everything. My sister brought me meat with veins, which she couldn’t grind in a manual meat grinder; Bosch ended up grinding 2 kg. in less t"&amp;"han a minute. For 4 years there was not a single breakdown. Excellent meat grinder.")</f>
        <v>I’ve been using this meat grinder for four years now and I’m amazed at the negative reviews. My meat grinder spins everything. My sister brought me meat with veins, which she couldn’t grind in a manual meat grinder; Bosch ended up grinding 2 kg. in less than a minute. For 4 years there was not a single breakdown. Excellent meat grinder.</v>
      </c>
    </row>
    <row r="11032" spans="1:9" x14ac:dyDescent="0.3">
      <c r="A11032" s="1" t="s">
        <v>211</v>
      </c>
      <c r="B11032" s="1" t="s">
        <v>384</v>
      </c>
      <c r="C11032" s="1" t="s">
        <v>351</v>
      </c>
      <c r="D11032" s="1" t="s">
        <v>12</v>
      </c>
      <c r="E11032" s="1" t="s">
        <v>15866</v>
      </c>
      <c r="F11032" s="1" t="s">
        <v>15867</v>
      </c>
      <c r="G11032" s="1" t="s">
        <v>36</v>
      </c>
      <c r="H11032" s="1" t="s">
        <v>29</v>
      </c>
      <c r="I11032" s="1" t="str">
        <f ca="1">IFERROR(__xludf.DUMMYFUNCTION("GOOGLETRANSLATE(F11032, ""auto"", ""en"")
"),"The scales are good. We had a lot of trouble with the electronic ones; they showed different data all the time. There are no problems with these. There is a regulator for setting the scales to 0. The plus is that the reading on the scales does not depend "&amp;"on what surface they are on.")</f>
        <v>The scales are good. We had a lot of trouble with the electronic ones; they showed different data all the time. There are no problems with these. There is a regulator for setting the scales to 0. The plus is that the reading on the scales does not depend on what surface they are on.</v>
      </c>
    </row>
    <row r="11033" spans="1:9" x14ac:dyDescent="0.3">
      <c r="A11033" s="1" t="s">
        <v>211</v>
      </c>
      <c r="B11033" s="1" t="s">
        <v>410</v>
      </c>
      <c r="C11033" s="1" t="s">
        <v>213</v>
      </c>
      <c r="D11033" s="1" t="s">
        <v>232</v>
      </c>
      <c r="E11033" s="1" t="s">
        <v>395</v>
      </c>
      <c r="F11033" s="1" t="s">
        <v>15868</v>
      </c>
      <c r="G11033" s="1" t="s">
        <v>36</v>
      </c>
      <c r="H11033" s="1" t="s">
        <v>29</v>
      </c>
      <c r="I11033" s="1" t="str">
        <f ca="1">IFERROR(__xludf.DUMMYFUNCTION("GOOGLETRANSLATE(F11033, ""auto"", ""en"")
"),"Brown razor series 7, shaves as cleanly as possible, almost like a machine, only there is no irritation!! The first time after the purchase I shaved a week’s stubble, I thought the razor wouldn’t take it, but the brown handled it without any problems.. no"&amp;"w I want to try it with foam. Before series 7 I also had a brown cruiser 3, the razor didn’t do anything at all, it shaved poorly. The best option is this 720 or 730 models, without a cleaning unit costs 1500-2000 rubles cheaper than with a cleaning unit,"&amp;" replacement cassettes for a cleaning unit cost 500 rubles, IMHO this is an extra bloat. I recommend this razor to everyone, it’s worth the money.")</f>
        <v>Brown razor series 7, shaves as cleanly as possible, almost like a machine, only there is no irritation!! The first time after the purchase I shaved a week’s stubble, I thought the razor wouldn’t take it, but the brown handled it without any problems.. now I want to try it with foam. Before series 7 I also had a brown cruiser 3, the razor didn’t do anything at all, it shaved poorly. The best option is this 720 or 730 models, without a cleaning unit costs 1500-2000 rubles cheaper than with a cleaning unit, replacement cassettes for a cleaning unit cost 500 rubles, IMHO this is an extra bloat. I recommend this razor to everyone, it’s worth the money.</v>
      </c>
    </row>
    <row r="11034" spans="1:9" x14ac:dyDescent="0.3">
      <c r="A11034" s="1" t="s">
        <v>211</v>
      </c>
      <c r="B11034" s="1" t="s">
        <v>515</v>
      </c>
      <c r="C11034" s="1" t="s">
        <v>69</v>
      </c>
      <c r="D11034" s="1" t="s">
        <v>385</v>
      </c>
      <c r="E11034" s="1" t="s">
        <v>6854</v>
      </c>
      <c r="F11034" s="1" t="s">
        <v>15869</v>
      </c>
      <c r="G11034" s="1" t="s">
        <v>36</v>
      </c>
      <c r="H11034" s="1" t="s">
        <v>29</v>
      </c>
      <c r="I11034" s="1" t="str">
        <f ca="1">IFERROR(__xludf.DUMMYFUNCTION("GOOGLETRANSLATE(F11034, ""auto"", ""en"")
"),"The result exceeded expectations, I was prepared for terrible pain and unpleasant sensations, but I can endure it, it’s more pleasant than waxing. Great set, buy without hesitation!")</f>
        <v>The result exceeded expectations, I was prepared for terrible pain and unpleasant sensations, but I can endure it, it’s more pleasant than waxing. Great set, buy without hesitation!</v>
      </c>
    </row>
    <row r="11035" spans="1:9" x14ac:dyDescent="0.3">
      <c r="A11035" s="1" t="s">
        <v>61</v>
      </c>
      <c r="B11035" s="1" t="s">
        <v>1727</v>
      </c>
      <c r="C11035" s="1" t="s">
        <v>122</v>
      </c>
      <c r="D11035" s="1" t="s">
        <v>32</v>
      </c>
      <c r="E11035" s="1" t="s">
        <v>2557</v>
      </c>
      <c r="F11035" s="1" t="s">
        <v>15870</v>
      </c>
      <c r="G11035" s="1" t="s">
        <v>36</v>
      </c>
      <c r="H11035" s="1" t="s">
        <v>29</v>
      </c>
      <c r="I11035" s="1" t="str">
        <f ca="1">IFERROR(__xludf.DUMMYFUNCTION("GOOGLETRANSLATE(F11035, ""auto"", ""en"")
"),"I am delighted with this multicooker. I've been wanting to buy it for a long time. But I never even dreamed of such a model. I've only been using it for two weeks, but I've already made a lot of delicious dishes. What is not a dish is a masterpiece! I har"&amp;"dly ever use the stove. For me this is the best birthday gift! I have already advertised it to all my relatives and friends. Thanks to those who came up with it!")</f>
        <v>I am delighted with this multicooker. I've been wanting to buy it for a long time. But I never even dreamed of such a model. I've only been using it for two weeks, but I've already made a lot of delicious dishes. What is not a dish is a masterpiece! I hardly ever use the stove. For me this is the best birthday gift! I have already advertised it to all my relatives and friends. Thanks to those who came up with it!</v>
      </c>
    </row>
    <row r="11036" spans="1:9" x14ac:dyDescent="0.3">
      <c r="A11036" s="1" t="s">
        <v>55</v>
      </c>
      <c r="B11036" s="1" t="s">
        <v>56</v>
      </c>
      <c r="C11036" s="1" t="s">
        <v>185</v>
      </c>
      <c r="D11036" s="1" t="s">
        <v>545</v>
      </c>
      <c r="E11036" s="1" t="s">
        <v>1660</v>
      </c>
      <c r="F11036" s="1" t="s">
        <v>15871</v>
      </c>
      <c r="G11036" s="1" t="s">
        <v>36</v>
      </c>
      <c r="H11036" s="1" t="s">
        <v>29</v>
      </c>
      <c r="I11036" s="1" t="str">
        <f ca="1">IFERROR(__xludf.DUMMYFUNCTION("GOOGLETRANSLATE(F11036, ""auto"", ""en"")
"),"I bought this humidifier a year ago and it’s great. happy with the purchase. Moisturizes very much. good, it works silently, there is a reservoir for essential oils. You just need to periodically descale the heating element, since the water coming from th"&amp;"e tap is not sterile. I read it once a month. In general, I recommend it to everyone: it breathes well, the skin does not dry out, orchids bloom. I'm thinking of buying a second one for another room!")</f>
        <v>I bought this humidifier a year ago and it’s great. happy with the purchase. Moisturizes very much. good, it works silently, there is a reservoir for essential oils. You just need to periodically descale the heating element, since the water coming from the tap is not sterile. I read it once a month. In general, I recommend it to everyone: it breathes well, the skin does not dry out, orchids bloom. I'm thinking of buying a second one for another room!</v>
      </c>
    </row>
    <row r="11037" spans="1:9" x14ac:dyDescent="0.3">
      <c r="A11037" s="1" t="s">
        <v>55</v>
      </c>
      <c r="B11037" s="1" t="s">
        <v>752</v>
      </c>
      <c r="C11037" s="1" t="s">
        <v>101</v>
      </c>
      <c r="D11037" s="1" t="s">
        <v>1509</v>
      </c>
      <c r="E11037" s="1" t="s">
        <v>3796</v>
      </c>
      <c r="F11037" s="1" t="s">
        <v>15872</v>
      </c>
      <c r="G11037" s="1" t="s">
        <v>28</v>
      </c>
      <c r="H11037" s="1" t="s">
        <v>29</v>
      </c>
      <c r="I11037" s="1" t="str">
        <f ca="1">IFERROR(__xludf.DUMMYFUNCTION("GOOGLETRANSLATE(F11037, ""auto"", ""en"")
"),"Good heater. very small, so it can be easily stored anywhere. But due to its small size, a large volume will not be able to warm up; I recommend taking it only if you have a small room.")</f>
        <v>Good heater. very small, so it can be easily stored anywhere. But due to its small size, a large volume will not be able to warm up; I recommend taking it only if you have a small room.</v>
      </c>
    </row>
    <row r="11038" spans="1:9" x14ac:dyDescent="0.3">
      <c r="A11038" s="1" t="s">
        <v>9</v>
      </c>
      <c r="B11038" s="1" t="s">
        <v>10</v>
      </c>
      <c r="C11038" s="1" t="s">
        <v>407</v>
      </c>
      <c r="D11038" s="1" t="s">
        <v>456</v>
      </c>
      <c r="E11038" s="1" t="s">
        <v>1446</v>
      </c>
      <c r="F11038" s="1" t="s">
        <v>15873</v>
      </c>
      <c r="G11038" s="1" t="s">
        <v>36</v>
      </c>
      <c r="H11038" s="1" t="s">
        <v>29</v>
      </c>
      <c r="I11038" s="1" t="str">
        <f ca="1">IFERROR(__xludf.DUMMYFUNCTION("GOOGLETRANSLATE(F11038, ""auto"", ""en"")
"),"My husband and I bought a hood by accident; we didn’t have enough to reach a certain loan amount. We chose it by pointing our finger at the sky, but it turned out to be a great thing. Works quietly. It clears the room of excess steam in seconds, and it ha"&amp;"ppens that something burns, so now this is not a problem at all. And the lighting is great. Our kitchen and living room are combined, and when the guests are sleeping, we need to slowly put the kettle on in the dark. Now you point the light directly at th"&amp;"e stove and don’t disturb anyone. Cool thing, and beautiful in itself. So stylish.")</f>
        <v>My husband and I bought a hood by accident; we didn’t have enough to reach a certain loan amount. We chose it by pointing our finger at the sky, but it turned out to be a great thing. Works quietly. It clears the room of excess steam in seconds, and it happens that something burns, so now this is not a problem at all. And the lighting is great. Our kitchen and living room are combined, and when the guests are sleeping, we need to slowly put the kettle on in the dark. Now you point the light directly at the stove and don’t disturb anyone. Cool thing, and beautiful in itself. So stylish.</v>
      </c>
    </row>
    <row r="11039" spans="1:9" x14ac:dyDescent="0.3">
      <c r="A11039" s="1" t="s">
        <v>211</v>
      </c>
      <c r="B11039" s="1" t="s">
        <v>410</v>
      </c>
      <c r="C11039" s="1" t="s">
        <v>122</v>
      </c>
      <c r="D11039" s="1" t="s">
        <v>52</v>
      </c>
      <c r="E11039" s="1" t="s">
        <v>6424</v>
      </c>
      <c r="F11039" s="1" t="s">
        <v>15874</v>
      </c>
      <c r="G11039" s="1" t="s">
        <v>36</v>
      </c>
      <c r="H11039" s="1" t="s">
        <v>29</v>
      </c>
      <c r="I11039" s="1" t="str">
        <f ca="1">IFERROR(__xludf.DUMMYFUNCTION("GOOGLETRANSLATE(F11039, ""auto"", ""en"")
"),"Good razor. It shaves clean, fits well in the hand, and is easy to clean. Very comfortable to use. There are no problems with components in my city.")</f>
        <v>Good razor. It shaves clean, fits well in the hand, and is easy to clean. Very comfortable to use. There are no problems with components in my city.</v>
      </c>
    </row>
    <row r="11040" spans="1:9" x14ac:dyDescent="0.3">
      <c r="A11040" s="1" t="s">
        <v>61</v>
      </c>
      <c r="B11040" s="1" t="s">
        <v>726</v>
      </c>
      <c r="C11040" s="1" t="s">
        <v>85</v>
      </c>
      <c r="D11040" s="1" t="s">
        <v>327</v>
      </c>
      <c r="E11040" s="1" t="s">
        <v>6337</v>
      </c>
      <c r="F11040" s="1" t="s">
        <v>15875</v>
      </c>
      <c r="G11040" s="1" t="s">
        <v>36</v>
      </c>
      <c r="H11040" s="1" t="s">
        <v>29</v>
      </c>
      <c r="I11040" s="1" t="str">
        <f ca="1">IFERROR(__xludf.DUMMYFUNCTION("GOOGLETRANSLATE(F11040, ""auto"", ""en"")
"),"Everything is made of stainless steel, no plastic, excellent quality, wonderful dough (does not leave flour in the corners of the mold, etc.)")</f>
        <v>Everything is made of stainless steel, no plastic, excellent quality, wonderful dough (does not leave flour in the corners of the mold, etc.)</v>
      </c>
    </row>
    <row r="11041" spans="1:9" x14ac:dyDescent="0.3">
      <c r="A11041" s="1" t="s">
        <v>211</v>
      </c>
      <c r="B11041" s="1" t="s">
        <v>212</v>
      </c>
      <c r="C11041" s="1" t="s">
        <v>69</v>
      </c>
      <c r="D11041" s="1" t="s">
        <v>385</v>
      </c>
      <c r="E11041" s="1" t="s">
        <v>1084</v>
      </c>
      <c r="F11041" s="1" t="s">
        <v>15876</v>
      </c>
      <c r="G11041" s="1" t="s">
        <v>36</v>
      </c>
      <c r="H11041" s="1" t="s">
        <v>29</v>
      </c>
      <c r="I11041" s="1" t="str">
        <f ca="1">IFERROR(__xludf.DUMMYFUNCTION("GOOGLETRANSLATE(F11041, ""auto"", ""en"")
"),"A wonderful hair dryer is especially suitable for those who have very frizzy hair and those who suffer from a strong air flow from the hair dryer. I’m happy with the way my hair is styled wonderfully, it doesn’t burn thanks to good temperature control and"&amp;" air flow, my hairdresser looked at this hair dryer and said that it’s an excellent purchase for the home!")</f>
        <v>A wonderful hair dryer is especially suitable for those who have very frizzy hair and those who suffer from a strong air flow from the hair dryer. I’m happy with the way my hair is styled wonderfully, it doesn’t burn thanks to good temperature control and air flow, my hairdresser looked at this hair dryer and said that it’s an excellent purchase for the home!</v>
      </c>
    </row>
    <row r="11042" spans="1:9" x14ac:dyDescent="0.3">
      <c r="A11042" s="1" t="s">
        <v>17</v>
      </c>
      <c r="B11042" s="1" t="s">
        <v>18</v>
      </c>
      <c r="C11042" s="1" t="s">
        <v>19</v>
      </c>
      <c r="D11042" s="1" t="s">
        <v>15877</v>
      </c>
      <c r="E11042" s="1" t="s">
        <v>1324</v>
      </c>
      <c r="F11042" s="1" t="s">
        <v>15878</v>
      </c>
      <c r="G11042" s="1" t="s">
        <v>49</v>
      </c>
      <c r="H11042" s="1" t="s">
        <v>16</v>
      </c>
      <c r="I11042" s="1" t="str">
        <f ca="1">IFERROR(__xludf.DUMMYFUNCTION("GOOGLETRANSLATE(F11042, ""auto"", ""en"")
"),"I purchased this product. Installed. Literally after the first cycle, the program switching handle went out of working order. I reported the problem to the service center, but there has been no response for a week now.")</f>
        <v>I purchased this product. Installed. Literally after the first cycle, the program switching handle went out of working order. I reported the problem to the service center, but there has been no response for a week now.</v>
      </c>
    </row>
    <row r="11043" spans="1:9" x14ac:dyDescent="0.3">
      <c r="A11043" s="1" t="s">
        <v>369</v>
      </c>
      <c r="B11043" s="1" t="s">
        <v>370</v>
      </c>
      <c r="C11043" s="1" t="s">
        <v>290</v>
      </c>
      <c r="D11043" s="1" t="s">
        <v>592</v>
      </c>
      <c r="E11043" s="1" t="s">
        <v>8374</v>
      </c>
      <c r="F11043" s="1" t="s">
        <v>15879</v>
      </c>
      <c r="G11043" s="1" t="s">
        <v>36</v>
      </c>
      <c r="H11043" s="1" t="s">
        <v>29</v>
      </c>
      <c r="I11043" s="1" t="str">
        <f ca="1">IFERROR(__xludf.DUMMYFUNCTION("GOOGLETRANSLATE(F11043, ""auto"", ""en"")
"),"I've been using the stove for two months now. Works great. All functions work, it is convenient to set the oven operating time in case you forget to turn it off on time. I often use the function of reducing the burner for the Turk, for example. The oven i"&amp;"s very airtight and bakes evenly. In general, I'm happy with the purchase.  Among the disadvantages: the only thing you can note is that the timer (timer) turns off during any power outage - you need to set it again.")</f>
        <v>I've been using the stove for two months now. Works great. All functions work, it is convenient to set the oven operating time in case you forget to turn it off on time. I often use the function of reducing the burner for the Turk, for example. The oven is very airtight and bakes evenly. In general, I'm happy with the purchase.  Among the disadvantages: the only thing you can note is that the timer (timer) turns off during any power outage - you need to set it again.</v>
      </c>
    </row>
    <row r="11044" spans="1:9" x14ac:dyDescent="0.3">
      <c r="A11044" s="1" t="s">
        <v>206</v>
      </c>
      <c r="B11044" s="1" t="s">
        <v>1349</v>
      </c>
      <c r="C11044" s="1" t="s">
        <v>351</v>
      </c>
      <c r="D11044" s="1" t="s">
        <v>15880</v>
      </c>
      <c r="E11044" s="1" t="s">
        <v>443</v>
      </c>
      <c r="F11044" s="1" t="s">
        <v>15881</v>
      </c>
      <c r="G11044" s="1" t="s">
        <v>36</v>
      </c>
      <c r="H11044" s="1" t="s">
        <v>29</v>
      </c>
      <c r="I11044" s="1" t="str">
        <f ca="1">IFERROR(__xludf.DUMMYFUNCTION("GOOGLETRANSLATE(F11044, ""auto"", ""en"")
"),"hello everyone, I want to say about the mafon radio tape recorder, it’s just cool, it has everything on DVD, you watch it on the screen or you can display it on the TV, it will show both here and there, there is a USB flash drive connector, it reads up to"&amp;" 4 gigs, and I bought the radio tape recorder and it sucks, so buy SUPRA, you won’t regret it")</f>
        <v>hello everyone, I want to say about the mafon radio tape recorder, it’s just cool, it has everything on DVD, you watch it on the screen or you can display it on the TV, it will show both here and there, there is a USB flash drive connector, it reads up to 4 gigs, and I bought the radio tape recorder and it sucks, so buy SUPRA, you won’t regret it</v>
      </c>
    </row>
    <row r="11045" spans="1:9" x14ac:dyDescent="0.3">
      <c r="A11045" s="1" t="s">
        <v>30</v>
      </c>
      <c r="B11045" s="1" t="s">
        <v>50</v>
      </c>
      <c r="C11045" s="1" t="s">
        <v>32</v>
      </c>
      <c r="D11045" s="1" t="s">
        <v>15882</v>
      </c>
      <c r="E11045" s="1" t="s">
        <v>6122</v>
      </c>
      <c r="F11045" s="1" t="s">
        <v>15883</v>
      </c>
      <c r="G11045" s="1" t="s">
        <v>36</v>
      </c>
      <c r="H11045" s="1" t="s">
        <v>29</v>
      </c>
      <c r="I11045" s="1" t="str">
        <f ca="1">IFERROR(__xludf.DUMMYFUNCTION("GOOGLETRANSLATE(F11045, ""auto"", ""en"")
"),"Judging by the reviews, it's a cool thing. The price is good. And the characteristics too.")</f>
        <v>Judging by the reviews, it's a cool thing. The price is good. And the characteristics too.</v>
      </c>
    </row>
    <row r="11046" spans="1:9" x14ac:dyDescent="0.3">
      <c r="A11046" s="1" t="s">
        <v>43</v>
      </c>
      <c r="B11046" s="1" t="s">
        <v>44</v>
      </c>
      <c r="C11046" s="1" t="s">
        <v>101</v>
      </c>
      <c r="D11046" s="1" t="s">
        <v>633</v>
      </c>
      <c r="E11046" s="1" t="s">
        <v>1767</v>
      </c>
      <c r="F11046" s="1" t="s">
        <v>15884</v>
      </c>
      <c r="G11046" s="1" t="s">
        <v>28</v>
      </c>
      <c r="H11046" s="1" t="s">
        <v>29</v>
      </c>
      <c r="I11046" s="1" t="str">
        <f ca="1">IFERROR(__xludf.DUMMYFUNCTION("GOOGLETRANSLATE(F11046, ""auto"", ""en"")
"),"In the heat, there wasn't much choice - we grabbed this fan, it was inexpensive and looked adequate. You were right)) It blows noticeably even at minimum speed, and even at maximum, papers begin to fly away from the far table)) At the same time, it is so "&amp;"quiet that you can turn it on at night, and the sound will not disturb your sleep.")</f>
        <v>In the heat, there wasn't much choice - we grabbed this fan, it was inexpensive and looked adequate. You were right)) It blows noticeably even at minimum speed, and even at maximum, papers begin to fly away from the far table)) At the same time, it is so quiet that you can turn it on at night, and the sound will not disturb your sleep.</v>
      </c>
    </row>
    <row r="11047" spans="1:9" x14ac:dyDescent="0.3">
      <c r="A11047" s="1" t="s">
        <v>211</v>
      </c>
      <c r="B11047" s="1" t="s">
        <v>856</v>
      </c>
      <c r="C11047" s="1" t="s">
        <v>57</v>
      </c>
      <c r="D11047" s="1" t="s">
        <v>39</v>
      </c>
      <c r="E11047" s="1" t="s">
        <v>3102</v>
      </c>
      <c r="F11047" s="1" t="s">
        <v>15885</v>
      </c>
      <c r="G11047" s="1" t="s">
        <v>28</v>
      </c>
      <c r="H11047" s="1" t="s">
        <v>29</v>
      </c>
      <c r="I11047" s="1" t="str">
        <f ca="1">IFERROR(__xludf.DUMMYFUNCTION("GOOGLETRANSLATE(F11047, ""auto"", ""en"")
"),"I bought it as a gift for my mother. I use it regularly and really like it. But you also need to understand that these are not the hands of a massage therapist; you shouldn’t expect a super effect. Nevertheless, there is relaxation.  You need to take into"&amp;" account the recommendation in the instructions - it does not heat the water, but only maintains the temperature of the poured warm water.")</f>
        <v>I bought it as a gift for my mother. I use it regularly and really like it. But you also need to understand that these are not the hands of a massage therapist; you shouldn’t expect a super effect. Nevertheless, there is relaxation.  You need to take into account the recommendation in the instructions - it does not heat the water, but only maintains the temperature of the poured warm water.</v>
      </c>
    </row>
    <row r="11048" spans="1:9" x14ac:dyDescent="0.3">
      <c r="A11048" s="1" t="s">
        <v>211</v>
      </c>
      <c r="B11048" s="1" t="s">
        <v>856</v>
      </c>
      <c r="C11048" s="1" t="s">
        <v>101</v>
      </c>
      <c r="D11048" s="1" t="s">
        <v>1241</v>
      </c>
      <c r="E11048" s="1" t="s">
        <v>1446</v>
      </c>
      <c r="F11048" s="1" t="s">
        <v>15886</v>
      </c>
      <c r="G11048" s="1" t="s">
        <v>15</v>
      </c>
      <c r="H11048" s="1" t="s">
        <v>16</v>
      </c>
      <c r="I11048" s="1" t="str">
        <f ca="1">IFERROR(__xludf.DUMMYFUNCTION("GOOGLETRANSLATE(F11048, ""auto"", ""en"")
"),"I didn’t notice that the water temperature was maintained regarding the nozzles, maybe of course they shouldn’t rotate, but the specification states: “rotating nozzles: 3 pcs.”")</f>
        <v>I didn’t notice that the water temperature was maintained regarding the nozzles, maybe of course they shouldn’t rotate, but the specification states: “rotating nozzles: 3 pcs.”</v>
      </c>
    </row>
    <row r="11049" spans="1:9" x14ac:dyDescent="0.3">
      <c r="A11049" s="1" t="s">
        <v>37</v>
      </c>
      <c r="B11049" s="1" t="s">
        <v>536</v>
      </c>
      <c r="C11049" s="1" t="s">
        <v>163</v>
      </c>
      <c r="D11049" s="1" t="s">
        <v>11833</v>
      </c>
      <c r="E11049" s="1" t="s">
        <v>1811</v>
      </c>
      <c r="F11049" s="1" t="s">
        <v>15887</v>
      </c>
      <c r="G11049" s="1" t="s">
        <v>36</v>
      </c>
      <c r="H11049" s="1" t="s">
        <v>29</v>
      </c>
      <c r="I11049" s="1" t="str">
        <f ca="1">IFERROR(__xludf.DUMMYFUNCTION("GOOGLETRANSLATE(F11049, ""auto"", ""en"")
"),"cool phone, I bought it recently, but I’m very pleased, I was choosing between x6 and apple iPhone 3gs and chose Nokia, since 30 grand for the phone, the cat costs 9000 in real life, I don’t want it with min functionality, but Nokia is super, it has every"&amp;"thing and even more.")</f>
        <v>cool phone, I bought it recently, but I’m very pleased, I was choosing between x6 and apple iPhone 3gs and chose Nokia, since 30 grand for the phone, the cat costs 9000 in real life, I don’t want it with min functionality, but Nokia is super, it has everything and even more.</v>
      </c>
    </row>
    <row r="11050" spans="1:9" x14ac:dyDescent="0.3">
      <c r="A11050" s="1" t="s">
        <v>9</v>
      </c>
      <c r="B11050" s="1" t="s">
        <v>133</v>
      </c>
      <c r="C11050" s="1" t="s">
        <v>63</v>
      </c>
      <c r="D11050" s="1" t="s">
        <v>565</v>
      </c>
      <c r="E11050" s="1" t="s">
        <v>543</v>
      </c>
      <c r="F11050" s="1" t="s">
        <v>15888</v>
      </c>
      <c r="G11050" s="1" t="s">
        <v>36</v>
      </c>
      <c r="H11050" s="1" t="s">
        <v>29</v>
      </c>
      <c r="I11050" s="1" t="str">
        <f ca="1">IFERROR(__xludf.DUMMYFUNCTION("GOOGLETRANSLATE(F11050, ""auto"", ""en"")
"),"I’m very glad that we settled on this particular model, I’ve been using it for 6 months now, very often. Everything is very well thought out, it comes off easily when washed. I recommend it to everyone.")</f>
        <v>I’m very glad that we settled on this particular model, I’ve been using it for 6 months now, very often. Everything is very well thought out, it comes off easily when washed. I recommend it to everyone.</v>
      </c>
    </row>
    <row r="11051" spans="1:9" x14ac:dyDescent="0.3">
      <c r="A11051" s="1" t="s">
        <v>61</v>
      </c>
      <c r="B11051" s="1" t="s">
        <v>62</v>
      </c>
      <c r="C11051" s="1" t="s">
        <v>146</v>
      </c>
      <c r="D11051" s="1" t="s">
        <v>875</v>
      </c>
      <c r="E11051" s="1" t="s">
        <v>6618</v>
      </c>
      <c r="F11051" s="1" t="s">
        <v>15889</v>
      </c>
      <c r="G11051" s="1" t="s">
        <v>36</v>
      </c>
      <c r="H11051" s="1" t="s">
        <v>29</v>
      </c>
      <c r="I11051" s="1" t="str">
        <f ca="1">IFERROR(__xludf.DUMMYFUNCTION("GOOGLETRANSLATE(F11051, ""auto"", ""en"")
"),"I bought myself such a combine and I don’t regret it. It copes with its functions perfectly: grinding, whipping, etc. and at the same time takes up little space. Nice design.")</f>
        <v>I bought myself such a combine and I don’t regret it. It copes with its functions perfectly: grinding, whipping, etc. and at the same time takes up little space. Nice design.</v>
      </c>
    </row>
    <row r="11052" spans="1:9" x14ac:dyDescent="0.3">
      <c r="A11052" s="1" t="s">
        <v>149</v>
      </c>
      <c r="B11052" s="1" t="s">
        <v>423</v>
      </c>
      <c r="C11052" s="1" t="s">
        <v>531</v>
      </c>
      <c r="D11052" s="1" t="s">
        <v>52</v>
      </c>
      <c r="E11052" s="1" t="s">
        <v>937</v>
      </c>
      <c r="F11052" s="1" t="s">
        <v>15890</v>
      </c>
      <c r="G11052" s="1" t="s">
        <v>28</v>
      </c>
      <c r="H11052" s="1" t="s">
        <v>29</v>
      </c>
      <c r="I11052" s="1" t="str">
        <f ca="1">IFERROR(__xludf.DUMMYFUNCTION("GOOGLETRANSLATE(F11052, ""auto"", ""en"")
"),"Good day. Before purchasing, I spent a lot of time on the Internet. In general, everything that is written about this device is true, except for one thing. For some reason I kept silent about this. The device is good in dry cleaning mode with an aquafilte"&amp;"r, good in wet cleaning mode of carpets, rugs, furniture, but is completely unsuitable for cleaning tiles, laminates, and parquet (the instructions say about laminate and parquet that this is not possible). The spray pressure is very weak, it will collect"&amp;" dust, but will not pick up dried or dried dirt. The 2.4 liter barrel is all spent on a 3*4 palace, if driven at an average speed. Don’t be fooled by miracles; it won’t completely replace a mop! I decided for myself what to do: vacuum cleaner, clean carpe"&amp;"ts, rugs, furniture and that’s it. I also advise you to go to the website http://www.thomas.ru before purchasing and carefully read about the warranty and service.")</f>
        <v>Good day. Before purchasing, I spent a lot of time on the Internet. In general, everything that is written about this device is true, except for one thing. For some reason I kept silent about this. The device is good in dry cleaning mode with an aquafilter, good in wet cleaning mode of carpets, rugs, furniture, but is completely unsuitable for cleaning tiles, laminates, and parquet (the instructions say about laminate and parquet that this is not possible). The spray pressure is very weak, it will collect dust, but will not pick up dried or dried dirt. The 2.4 liter barrel is all spent on a 3*4 palace, if driven at an average speed. Don’t be fooled by miracles; it won’t completely replace a mop! I decided for myself what to do: vacuum cleaner, clean carpets, rugs, furniture and that’s it. I also advise you to go to the website http://www.thomas.ru before purchasing and carefully read about the warranty and service.</v>
      </c>
    </row>
    <row r="11053" spans="1:9" x14ac:dyDescent="0.3">
      <c r="A11053" s="1" t="s">
        <v>9</v>
      </c>
      <c r="B11053" s="1" t="s">
        <v>10</v>
      </c>
      <c r="C11053" s="1" t="s">
        <v>407</v>
      </c>
      <c r="D11053" s="1" t="s">
        <v>81</v>
      </c>
      <c r="E11053" s="1" t="s">
        <v>1300</v>
      </c>
      <c r="F11053" s="1" t="s">
        <v>15891</v>
      </c>
      <c r="G11053" s="1" t="s">
        <v>28</v>
      </c>
      <c r="H11053" s="1" t="s">
        <v>29</v>
      </c>
      <c r="I11053" s="1" t="str">
        <f ca="1">IFERROR(__xludf.DUMMYFUNCTION("GOOGLETRANSLATE(F11053, ""auto"", ""en"")
"),"Very dangerous, literally exploded, the gas did not work, the hood was at first speed, the assemblers installed the headset strictly according to the instructions, it’s good that the child (1 year and 3 months) was not injured, the fragments are small, bu"&amp;"t there are also very large ones. It’s very terrible, God forbid anyone should experience this.")</f>
        <v>Very dangerous, literally exploded, the gas did not work, the hood was at first speed, the assemblers installed the headset strictly according to the instructions, it’s good that the child (1 year and 3 months) was not injured, the fragments are small, but there are also very large ones. It’s very terrible, God forbid anyone should experience this.</v>
      </c>
    </row>
    <row r="11054" spans="1:9" x14ac:dyDescent="0.3">
      <c r="A11054" s="1" t="s">
        <v>477</v>
      </c>
      <c r="B11054" s="1" t="s">
        <v>478</v>
      </c>
      <c r="C11054" s="1" t="s">
        <v>479</v>
      </c>
      <c r="D11054" s="1" t="s">
        <v>33</v>
      </c>
      <c r="E11054" s="1" t="s">
        <v>1723</v>
      </c>
      <c r="F11054" s="1" t="s">
        <v>15892</v>
      </c>
      <c r="G11054" s="1" t="s">
        <v>36</v>
      </c>
      <c r="H11054" s="1" t="s">
        <v>29</v>
      </c>
      <c r="I11054" s="1" t="str">
        <f ca="1">IFERROR(__xludf.DUMMYFUNCTION("GOOGLETRANSLATE(F11054, ""auto"", ""en"")
"),"the game is SUPER!  But to optimize you need to add a couple of handwritten files")</f>
        <v>the game is SUPER!  But to optimize you need to add a couple of handwritten files</v>
      </c>
    </row>
    <row r="11055" spans="1:9" x14ac:dyDescent="0.3">
      <c r="A11055" s="1" t="s">
        <v>557</v>
      </c>
      <c r="B11055" s="1" t="s">
        <v>558</v>
      </c>
      <c r="C11055" s="1" t="s">
        <v>122</v>
      </c>
      <c r="D11055" s="1" t="s">
        <v>545</v>
      </c>
      <c r="E11055" s="1" t="s">
        <v>10313</v>
      </c>
      <c r="F11055" s="1" t="s">
        <v>15893</v>
      </c>
      <c r="G11055" s="1" t="s">
        <v>36</v>
      </c>
      <c r="H11055" s="1" t="s">
        <v>29</v>
      </c>
      <c r="I11055" s="1" t="str">
        <f ca="1">IFERROR(__xludf.DUMMYFUNCTION("GOOGLETRANSLATE(F11055, ""auto"", ""en"")
"),"I like the phone. Not expensive, beautiful, settings are not complicated. The sound quality is very good. I am completely satisfied with the purchase!")</f>
        <v>I like the phone. Not expensive, beautiful, settings are not complicated. The sound quality is very good. I am completely satisfied with the purchase!</v>
      </c>
    </row>
    <row r="11056" spans="1:9" x14ac:dyDescent="0.3">
      <c r="A11056" s="1" t="s">
        <v>17</v>
      </c>
      <c r="B11056" s="1" t="s">
        <v>18</v>
      </c>
      <c r="C11056" s="1" t="s">
        <v>243</v>
      </c>
      <c r="D11056" s="1" t="s">
        <v>114</v>
      </c>
      <c r="E11056" s="1" t="s">
        <v>6824</v>
      </c>
      <c r="F11056" s="1" t="s">
        <v>15894</v>
      </c>
      <c r="G11056" s="1" t="s">
        <v>36</v>
      </c>
      <c r="H11056" s="1" t="s">
        <v>29</v>
      </c>
      <c r="I11056" s="1" t="str">
        <f ca="1">IFERROR(__xludf.DUMMYFUNCTION("GOOGLETRANSLATE(F11056, ""auto"", ""en"")
"),"Excellent, washes, spins, is not very noisy in its price category")</f>
        <v>Excellent, washes, spins, is not very noisy in its price category</v>
      </c>
    </row>
    <row r="11057" spans="1:9" x14ac:dyDescent="0.3">
      <c r="A11057" s="1" t="s">
        <v>6277</v>
      </c>
      <c r="B11057" s="1" t="s">
        <v>6823</v>
      </c>
      <c r="C11057" s="1" t="s">
        <v>85</v>
      </c>
      <c r="D11057" s="1" t="s">
        <v>15895</v>
      </c>
      <c r="E11057" s="1" t="s">
        <v>13080</v>
      </c>
      <c r="F11057" s="1" t="s">
        <v>15896</v>
      </c>
      <c r="G11057" s="1" t="s">
        <v>36</v>
      </c>
      <c r="H11057" s="1" t="s">
        <v>29</v>
      </c>
      <c r="I11057" s="1" t="str">
        <f ca="1">IFERROR(__xludf.DUMMYFUNCTION("GOOGLETRANSLATE(F11057, ""auto"", ""en"")
"),"I found an amazingly good air purifier at Bork, I even went to buy it for my mother! And at the same time, buy these filters for yourself and her! Of course, air purification itself is already very good. The apartment became fresher, it stopped smelling o"&amp;"f all sorts of nasty things that can often be released from the window into the room - the first floor, they are always trying to park almost directly in our window, idiots. But it always seemed to me that the air purifier could be made even better; the f"&amp;"unctionality should somehow be expanded. And then a few months ago I came across this filter! Amazing thing! Kills bacteria! Considering that I have three children in my family (my two and my nephew), the doctor should have prescribed such a filter for me"&amp;")) They constantly carry some kind of sores home from kindergarten and school. The good thing is that now everything can be disinfected easily and simply by turning on the air purifier with this filter! Why do I confidently say this, our first winter almo"&amp;"st passed without the flu (of course, so that in the spring everything would be ok too). We didn’t know such luxury before after having kids! Children always chased this virus in circles, then adults, and so on for half the winter. And now it’s a blast, w"&amp;"e feel healthier!")</f>
        <v>I found an amazingly good air purifier at Bork, I even went to buy it for my mother! And at the same time, buy these filters for yourself and her! Of course, air purification itself is already very good. The apartment became fresher, it stopped smelling of all sorts of nasty things that can often be released from the window into the room - the first floor, they are always trying to park almost directly in our window, idiots. But it always seemed to me that the air purifier could be made even better; the functionality should somehow be expanded. And then a few months ago I came across this filter! Amazing thing! Kills bacteria! Considering that I have three children in my family (my two and my nephew), the doctor should have prescribed such a filter for me)) They constantly carry some kind of sores home from kindergarten and school. The good thing is that now everything can be disinfected easily and simply by turning on the air purifier with this filter! Why do I confidently say this, our first winter almost passed without the flu (of course, so that in the spring everything would be ok too). We didn’t know such luxury before after having kids! Children always chased this virus in circles, then adults, and so on for half the winter. And now it’s a blast, we feel healthier!</v>
      </c>
    </row>
    <row r="11058" spans="1:9" x14ac:dyDescent="0.3">
      <c r="A11058" s="1" t="s">
        <v>30</v>
      </c>
      <c r="B11058" s="1" t="s">
        <v>31</v>
      </c>
      <c r="C11058" s="1" t="s">
        <v>365</v>
      </c>
      <c r="D11058" s="1" t="s">
        <v>742</v>
      </c>
      <c r="E11058" s="1" t="s">
        <v>7219</v>
      </c>
      <c r="F11058" s="1" t="s">
        <v>15897</v>
      </c>
      <c r="G11058" s="1" t="s">
        <v>36</v>
      </c>
      <c r="H11058" s="1" t="s">
        <v>29</v>
      </c>
      <c r="I11058" s="1" t="str">
        <f ca="1">IFERROR(__xludf.DUMMYFUNCTION("GOOGLETRANSLATE(F11058, ""auto"", ""en"")
"),"The computer is good for me. But the video camera is really weak. And this is an almost ideal computer, with the ability to increase the RAM from 2 GB to 4 GB.")</f>
        <v>The computer is good for me. But the video camera is really weak. And this is an almost ideal computer, with the ability to increase the RAM from 2 GB to 4 GB.</v>
      </c>
    </row>
    <row r="11059" spans="1:9" x14ac:dyDescent="0.3">
      <c r="A11059" s="1" t="s">
        <v>30</v>
      </c>
      <c r="B11059" s="1" t="s">
        <v>50</v>
      </c>
      <c r="C11059" s="1" t="s">
        <v>694</v>
      </c>
      <c r="D11059" s="1" t="s">
        <v>6490</v>
      </c>
      <c r="E11059" s="1" t="s">
        <v>191</v>
      </c>
      <c r="F11059" s="1" t="s">
        <v>15898</v>
      </c>
      <c r="G11059" s="1" t="s">
        <v>28</v>
      </c>
      <c r="H11059" s="1" t="s">
        <v>29</v>
      </c>
      <c r="I11059" s="1" t="str">
        <f ca="1">IFERROR(__xludf.DUMMYFUNCTION("GOOGLETRANSLATE(F11059, ""auto"", ""en"")
"),"I read, thought and bought.  So far, only one circumstance has disappointed me - at the time of updating (whether Windows or antivirus), the processor is completely taken over by this operation (load up to 100%) and it is almost impossible to do anything "&amp;"else at this moment. At the moment, this is the most resource-intensive operation (the fan blows at full speed, because the processor is very hot at this moment).  Otherwise, I haven't disappointed yet.")</f>
        <v>I read, thought and bought.  So far, only one circumstance has disappointed me - at the time of updating (whether Windows or antivirus), the processor is completely taken over by this operation (load up to 100%) and it is almost impossible to do anything else at this moment. At the moment, this is the most resource-intensive operation (the fan blows at full speed, because the processor is very hot at this moment).  Otherwise, I haven't disappointed yet.</v>
      </c>
    </row>
    <row r="11060" spans="1:9" x14ac:dyDescent="0.3">
      <c r="A11060" s="1" t="s">
        <v>67</v>
      </c>
      <c r="B11060" s="1" t="s">
        <v>68</v>
      </c>
      <c r="C11060" s="1" t="s">
        <v>185</v>
      </c>
      <c r="D11060" s="1" t="s">
        <v>166</v>
      </c>
      <c r="E11060" s="1" t="s">
        <v>386</v>
      </c>
      <c r="F11060" s="1" t="s">
        <v>15899</v>
      </c>
      <c r="G11060" s="1" t="s">
        <v>36</v>
      </c>
      <c r="H11060" s="1" t="s">
        <v>29</v>
      </c>
      <c r="I11060" s="1" t="str">
        <f ca="1">IFERROR(__xludf.DUMMYFUNCTION("GOOGLETRANSLATE(F11060, ""auto"", ""en"")
"),"The previous model of the De Longhi steam generator, which I bought 6 or 7 years ago in France, is dying. I iron a lot and that’s it, so in principle I didn’t expect it to last longer. Therefore, it was decided to buy this model, because... RUB 3,890 - no"&amp;"t the price for such a good steam generator. It would be worth buying even if it cost more.   In my opinion, it makes absolutely no sense to overpay for models of the same De Longhi, but with a power of 5 Bar (RUB 11,900) versus 3.5 Bar (RUB 3,890). Three"&amp;" and a half is enough for the eyes.     You cannot add water during the ironing process here; you must first completely use up all the water, then turn it off from the network, wait 15 minutes, add it, turn it on and iron again. It’s not very convenient, "&amp;"but one fill of water lasts a long time. 1.5 hours of high-quality ironing is at least. Then you can take a coffee break and continue.     I especially want to note: the exceptional convenience of De Longhi steam generators lies in the through silicone ri"&amp;"ng for releasing steam. It can be twisted both from the inside (with your index finger without releasing the iron) and from the outside of the iron handle (with your thumb)! It's very convenient! And just for the sake of this ring, I no longer look at any"&amp;" other models or companies.   My sister has a steam generator (I don't remember the manufacturer) with buttons located on the top of the iron handle. I have long fingers, but even I have a long way to reach it, and it’s impossible to hold it while ironing"&amp;", so I have to constantly block the button, which leads to wasteful consumption of steam, electricity and noise (you can’t talk on the phone while ironing).     My choice among steam generators is only De Longhi. And this particular model is very good.   "&amp;"  I used to hate ironing, but now I don’t consider ironing to be housework at all. It's pure pleasure! Quick, easy and very high quality ironing!!!")</f>
        <v>The previous model of the De Longhi steam generator, which I bought 6 or 7 years ago in France, is dying. I iron a lot and that’s it, so in principle I didn’t expect it to last longer. Therefore, it was decided to buy this model, because... RUB 3,890 - not the price for such a good steam generator. It would be worth buying even if it cost more.   In my opinion, it makes absolutely no sense to overpay for models of the same De Longhi, but with a power of 5 Bar (RUB 11,900) versus 3.5 Bar (RUB 3,890). Three and a half is enough for the eyes.     You cannot add water during the ironing process here; you must first completely use up all the water, then turn it off from the network, wait 15 minutes, add it, turn it on and iron again. It’s not very convenient, but one fill of water lasts a long time. 1.5 hours of high-quality ironing is at least. Then you can take a coffee break and continue.     I especially want to note: the exceptional convenience of De Longhi steam generators lies in the through silicone ring for releasing steam. It can be twisted both from the inside (with your index finger without releasing the iron) and from the outside of the iron handle (with your thumb)! It's very convenient! And just for the sake of this ring, I no longer look at any other models or companies.   My sister has a steam generator (I don't remember the manufacturer) with buttons located on the top of the iron handle. I have long fingers, but even I have a long way to reach it, and it’s impossible to hold it while ironing, so I have to constantly block the button, which leads to wasteful consumption of steam, electricity and noise (you can’t talk on the phone while ironing).     My choice among steam generators is only De Longhi. And this particular model is very good.     I used to hate ironing, but now I don’t consider ironing to be housework at all. It's pure pleasure! Quick, easy and very high quality ironing!!!</v>
      </c>
    </row>
    <row r="11061" spans="1:9" x14ac:dyDescent="0.3">
      <c r="A11061" s="1" t="s">
        <v>211</v>
      </c>
      <c r="B11061" s="1" t="s">
        <v>899</v>
      </c>
      <c r="C11061" s="1" t="s">
        <v>213</v>
      </c>
      <c r="D11061" s="1" t="s">
        <v>152</v>
      </c>
      <c r="E11061" s="1" t="s">
        <v>4080</v>
      </c>
      <c r="F11061" s="1" t="s">
        <v>15900</v>
      </c>
      <c r="G11061" s="1" t="s">
        <v>36</v>
      </c>
      <c r="H11061" s="1" t="s">
        <v>29</v>
      </c>
      <c r="I11061" s="1" t="str">
        <f ca="1">IFERROR(__xludf.DUMMYFUNCTION("GOOGLETRANSLATE(F11061, ""auto"", ""en"")
"),"The top model in the line of electric brushes from the German company Braun. Everything is at the highest level: a solid large box, four replacement heads included, a case for them, a case for a brush, a display... In general, a complete ammunition kit fo"&amp;"r oral hygiene. The device copes with its main responsibility 100%, your teeth become whiter, and at the same time you enjoy the cleaning process. Particularly pleasing is the external display, which tells you which area needs to be cleaned and tells you "&amp;"when you can call it a day. Well, in my opinion, the alert function when pressing too hard is very useful - for those who are addicted to it, like me. To summarize: the brush is super, I recommend it to everyone!")</f>
        <v>The top model in the line of electric brushes from the German company Braun. Everything is at the highest level: a solid large box, four replacement heads included, a case for them, a case for a brush, a display... In general, a complete ammunition kit for oral hygiene. The device copes with its main responsibility 100%, your teeth become whiter, and at the same time you enjoy the cleaning process. Particularly pleasing is the external display, which tells you which area needs to be cleaned and tells you when you can call it a day. Well, in my opinion, the alert function when pressing too hard is very useful - for those who are addicted to it, like me. To summarize: the brush is super, I recommend it to everyone!</v>
      </c>
    </row>
    <row r="11062" spans="1:9" x14ac:dyDescent="0.3">
      <c r="A11062" s="1" t="s">
        <v>211</v>
      </c>
      <c r="B11062" s="1" t="s">
        <v>515</v>
      </c>
      <c r="C11062" s="1" t="s">
        <v>381</v>
      </c>
      <c r="D11062" s="1" t="s">
        <v>1055</v>
      </c>
      <c r="E11062" s="1" t="s">
        <v>1273</v>
      </c>
      <c r="F11062" s="1" t="s">
        <v>15901</v>
      </c>
      <c r="G11062" s="1" t="s">
        <v>36</v>
      </c>
      <c r="H11062" s="1" t="s">
        <v>29</v>
      </c>
      <c r="I11062" s="1" t="str">
        <f ca="1">IFERROR(__xludf.DUMMYFUNCTION("GOOGLETRANSLATE(F11062, ""auto"", ""en"")
"),"Great option for beginners. The presence of several attachments allows you to quickly get used to epilation in different areas.")</f>
        <v>Great option for beginners. The presence of several attachments allows you to quickly get used to epilation in different areas.</v>
      </c>
    </row>
    <row r="11063" spans="1:9" x14ac:dyDescent="0.3">
      <c r="A11063" s="1" t="s">
        <v>43</v>
      </c>
      <c r="B11063" s="1" t="s">
        <v>1382</v>
      </c>
      <c r="C11063" s="1" t="s">
        <v>57</v>
      </c>
      <c r="D11063" s="1" t="s">
        <v>52</v>
      </c>
      <c r="E11063" s="1" t="s">
        <v>1139</v>
      </c>
      <c r="F11063" s="1" t="s">
        <v>15902</v>
      </c>
      <c r="G11063" s="1" t="s">
        <v>36</v>
      </c>
      <c r="H11063" s="1" t="s">
        <v>29</v>
      </c>
      <c r="I11063" s="1" t="str">
        <f ca="1">IFERROR(__xludf.DUMMYFUNCTION("GOOGLETRANSLATE(F11063, ""auto"", ""en"")
"),"Turned out to be smaller than I thought.  Fits perfectly on the table.  It works very quietly, without clicks or extraneous sounds. Very affordable price. Especially in the summer.  It's weak, but for its size it's quite normal.  There is no 360 degree ro"&amp;"tation, but I wanted it.  Ideal for additional cooling of equipment, for example, a computer or a loved one in close proximity to it.")</f>
        <v>Turned out to be smaller than I thought.  Fits perfectly on the table.  It works very quietly, without clicks or extraneous sounds. Very affordable price. Especially in the summer.  It's weak, but for its size it's quite normal.  There is no 360 degree rotation, but I wanted it.  Ideal for additional cooling of equipment, for example, a computer or a loved one in close proximity to it.</v>
      </c>
    </row>
    <row r="11064" spans="1:9" x14ac:dyDescent="0.3">
      <c r="A11064" s="1" t="s">
        <v>149</v>
      </c>
      <c r="B11064" s="1" t="s">
        <v>155</v>
      </c>
      <c r="C11064" s="1" t="s">
        <v>80</v>
      </c>
      <c r="D11064" s="1" t="s">
        <v>4730</v>
      </c>
      <c r="E11064" s="1" t="s">
        <v>1273</v>
      </c>
      <c r="F11064" s="1" t="s">
        <v>15903</v>
      </c>
      <c r="G11064" s="1" t="s">
        <v>36</v>
      </c>
      <c r="H11064" s="1" t="s">
        <v>29</v>
      </c>
      <c r="I11064" s="1" t="str">
        <f ca="1">IFERROR(__xludf.DUMMYFUNCTION("GOOGLETRANSLATE(F11064, ""auto"", ""en"")
"),"I bought this vacuum cleaner and have been using it for two weeks now. I believe that this product is progress in this direction. High suction power, compact, lightweight, low noise. Made from good materials. But, like all modern technology, it requires p"&amp;"roper handling.")</f>
        <v>I bought this vacuum cleaner and have been using it for two weeks now. I believe that this product is progress in this direction. High suction power, compact, lightweight, low noise. Made from good materials. But, like all modern technology, it requires proper handling.</v>
      </c>
    </row>
    <row r="11065" spans="1:9" x14ac:dyDescent="0.3">
      <c r="A11065" s="1" t="s">
        <v>211</v>
      </c>
      <c r="B11065" s="1" t="s">
        <v>212</v>
      </c>
      <c r="C11065" s="1" t="s">
        <v>381</v>
      </c>
      <c r="D11065" s="1" t="s">
        <v>1610</v>
      </c>
      <c r="E11065" s="1" t="s">
        <v>859</v>
      </c>
      <c r="F11065" s="1" t="s">
        <v>15904</v>
      </c>
      <c r="G11065" s="1" t="s">
        <v>36</v>
      </c>
      <c r="H11065" s="1" t="s">
        <v>29</v>
      </c>
      <c r="I11065" s="1" t="str">
        <f ca="1">IFERROR(__xludf.DUMMYFUNCTION("GOOGLETRANSLATE(F11065, ""auto"", ""en"")
"),"A good standard hair dryer, there are no special bells and whistles, but it does its main function great! I've been using it for 4 years, no breakdowns. I'll buy a new one only when this one breaks.  I recommend!")</f>
        <v>A good standard hair dryer, there are no special bells and whistles, but it does its main function great! I've been using it for 4 years, no breakdowns. I'll buy a new one only when this one breaks.  I recommend!</v>
      </c>
    </row>
    <row r="11066" spans="1:9" x14ac:dyDescent="0.3">
      <c r="A11066" s="1" t="s">
        <v>43</v>
      </c>
      <c r="B11066" s="1" t="s">
        <v>502</v>
      </c>
      <c r="C11066" s="1" t="s">
        <v>1627</v>
      </c>
      <c r="D11066" s="1" t="s">
        <v>114</v>
      </c>
      <c r="E11066" s="1" t="s">
        <v>3712</v>
      </c>
      <c r="F11066" s="1" t="s">
        <v>15905</v>
      </c>
      <c r="G11066" s="1" t="s">
        <v>28</v>
      </c>
      <c r="H11066" s="1" t="s">
        <v>29</v>
      </c>
      <c r="I11066" s="1" t="str">
        <f ca="1">IFERROR(__xludf.DUMMYFUNCTION("GOOGLETRANSLATE(F11066, ""auto"", ""en"")
"),"In general, I was ready to give the air conditioner a 5, but there is a problem.... When renovating the apartment, all the routes were laid in advance.  In 2014, I saw this device - for a Daikin, even the most budget model, it’s not bad. But during instal"&amp;"lation I encountered a problem - there were not enough wires in the route. (We have already written about this here before). The first installers sarcastically remarked that they should have consulted with us first about what you were buying. But another "&amp;"team suggested two options: 1) install splitters at home 2) carefully lay 2 more cables. Despite the fact that the wallpaper was pasted over, the guys really carefully laid 2 more cables.   + cools quickly, does not make noise, high-quality plastic - remo"&amp;"te control without backlight, features when laying a route")</f>
        <v>In general, I was ready to give the air conditioner a 5, but there is a problem.... When renovating the apartment, all the routes were laid in advance.  In 2014, I saw this device - for a Daikin, even the most budget model, it’s not bad. But during installation I encountered a problem - there were not enough wires in the route. (We have already written about this here before). The first installers sarcastically remarked that they should have consulted with us first about what you were buying. But another team suggested two options: 1) install splitters at home 2) carefully lay 2 more cables. Despite the fact that the wallpaper was pasted over, the guys really carefully laid 2 more cables.   + cools quickly, does not make noise, high-quality plastic - remote control without backlight, features when laying a route</v>
      </c>
    </row>
    <row r="11067" spans="1:9" x14ac:dyDescent="0.3">
      <c r="A11067" s="1" t="s">
        <v>89</v>
      </c>
      <c r="B11067" s="1" t="s">
        <v>90</v>
      </c>
      <c r="C11067" s="1" t="s">
        <v>185</v>
      </c>
      <c r="D11067" s="1" t="s">
        <v>12</v>
      </c>
      <c r="E11067" s="1" t="s">
        <v>9939</v>
      </c>
      <c r="F11067" s="1" t="s">
        <v>15906</v>
      </c>
      <c r="G11067" s="1" t="s">
        <v>36</v>
      </c>
      <c r="H11067" s="1" t="s">
        <v>29</v>
      </c>
      <c r="I11067" s="1" t="str">
        <f ca="1">IFERROR(__xludf.DUMMYFUNCTION("GOOGLETRANSLATE(F11067, ""auto"", ""en"")
"),"It is noisy and you have to press the button on top with force, but this is not such a big problem, because the coffee grinds well and the removable cup is convenient, it holds a lot of coffee, in general I am happy with the purchase.")</f>
        <v>It is noisy and you have to press the button on top with force, but this is not such a big problem, because the coffee grinds well and the removable cup is convenient, it holds a lot of coffee, in general I am happy with the purchase.</v>
      </c>
    </row>
    <row r="11068" spans="1:9" x14ac:dyDescent="0.3">
      <c r="A11068" s="1" t="s">
        <v>211</v>
      </c>
      <c r="B11068" s="1" t="s">
        <v>384</v>
      </c>
      <c r="C11068" s="1" t="s">
        <v>57</v>
      </c>
      <c r="D11068" s="1" t="s">
        <v>15907</v>
      </c>
      <c r="E11068" s="1" t="s">
        <v>532</v>
      </c>
      <c r="F11068" s="1" t="s">
        <v>15908</v>
      </c>
      <c r="G11068" s="1" t="s">
        <v>28</v>
      </c>
      <c r="H11068" s="1" t="s">
        <v>29</v>
      </c>
      <c r="I11068" s="1" t="str">
        <f ca="1">IFERROR(__xludf.DUMMYFUNCTION("GOOGLETRANSLATE(F11068, ""auto"", ""en"")
"),"Good scales. I measured my weight every 5 minutes for an hour and found no differences in the readings. As for the inclusion, everything is fine, apparently the girls have weak legs.")</f>
        <v>Good scales. I measured my weight every 5 minutes for an hour and found no differences in the readings. As for the inclusion, everything is fine, apparently the girls have weak legs.</v>
      </c>
    </row>
    <row r="11069" spans="1:9" x14ac:dyDescent="0.3">
      <c r="A11069" s="1" t="s">
        <v>206</v>
      </c>
      <c r="B11069" s="1" t="s">
        <v>207</v>
      </c>
      <c r="C11069" s="1" t="s">
        <v>351</v>
      </c>
      <c r="D11069" s="1" t="s">
        <v>86</v>
      </c>
      <c r="E11069" s="1" t="s">
        <v>15909</v>
      </c>
      <c r="F11069" s="1" t="s">
        <v>15910</v>
      </c>
      <c r="G11069" s="1" t="s">
        <v>28</v>
      </c>
      <c r="H11069" s="1" t="s">
        <v>29</v>
      </c>
      <c r="I11069" s="1" t="str">
        <f ca="1">IFERROR(__xludf.DUMMYFUNCTION("GOOGLETRANSLATE(F11069, ""auto"", ""en"")
"),"Not a bad set for the money, I bought it 5 years ago, it still works without interruptions, the sound also corresponds to the price, it was in the 9th Alpine iPhone (it rocks well), at the moment it is in Taureg (not bad, although it seems to me not enoug"&amp;"h) perhaps just a standard radio and connected through the standard rear speakers, and not through the linear output) in general, a good 4!")</f>
        <v>Not a bad set for the money, I bought it 5 years ago, it still works without interruptions, the sound also corresponds to the price, it was in the 9th Alpine iPhone (it rocks well), at the moment it is in Taureg (not bad, although it seems to me not enough) perhaps just a standard radio and connected through the standard rear speakers, and not through the linear output) in general, a good 4!</v>
      </c>
    </row>
    <row r="11070" spans="1:9" x14ac:dyDescent="0.3">
      <c r="A11070" s="1" t="s">
        <v>373</v>
      </c>
      <c r="B11070" s="1" t="s">
        <v>374</v>
      </c>
      <c r="C11070" s="1" t="s">
        <v>159</v>
      </c>
      <c r="D11070" s="1" t="s">
        <v>171</v>
      </c>
      <c r="E11070" s="1" t="s">
        <v>5914</v>
      </c>
      <c r="F11070" s="1" t="s">
        <v>15911</v>
      </c>
      <c r="G11070" s="1" t="s">
        <v>36</v>
      </c>
      <c r="H11070" s="1" t="s">
        <v>29</v>
      </c>
      <c r="I11070" s="1" t="str">
        <f ca="1">IFERROR(__xludf.DUMMYFUNCTION("GOOGLETRANSLATE(F11070, ""auto"", ""en"")
"),"The machine is just super, fits a lot of dishes, washes perfectly, it’s great that there is a half-wash function))) so I recommend it!!!!")</f>
        <v>The machine is just super, fits a lot of dishes, washes perfectly, it’s great that there is a half-wash function))) so I recommend it!!!!</v>
      </c>
    </row>
    <row r="11071" spans="1:9" x14ac:dyDescent="0.3">
      <c r="A11071" s="1" t="s">
        <v>111</v>
      </c>
      <c r="B11071" s="1" t="s">
        <v>1090</v>
      </c>
      <c r="C11071" s="1" t="s">
        <v>1091</v>
      </c>
      <c r="D11071" s="1" t="s">
        <v>232</v>
      </c>
      <c r="E11071" s="1" t="s">
        <v>15912</v>
      </c>
      <c r="F11071" s="1" t="s">
        <v>15913</v>
      </c>
      <c r="G11071" s="1" t="s">
        <v>36</v>
      </c>
      <c r="H11071" s="1" t="s">
        <v>29</v>
      </c>
      <c r="I11071" s="1" t="str">
        <f ca="1">IFERROR(__xludf.DUMMYFUNCTION("GOOGLETRANSLATE(F11071, ""auto"", ""en"")
"),"Very convenient, you can unfold it any way you want, good design, a lot of light, in 6 years the lamp burned out 2 times))) now the plastic at the base is broken (dried out), I’ll take this lamp again, it’s a pity there’s no white one (it was white)")</f>
        <v>Very convenient, you can unfold it any way you want, good design, a lot of light, in 6 years the lamp burned out 2 times))) now the plastic at the base is broken (dried out), I’ll take this lamp again, it’s a pity there’s no white one (it was white)</v>
      </c>
    </row>
    <row r="11072" spans="1:9" x14ac:dyDescent="0.3">
      <c r="A11072" s="1" t="s">
        <v>211</v>
      </c>
      <c r="B11072" s="1" t="s">
        <v>212</v>
      </c>
      <c r="C11072" s="1" t="s">
        <v>57</v>
      </c>
      <c r="D11072" s="1" t="s">
        <v>2233</v>
      </c>
      <c r="E11072" s="1" t="s">
        <v>357</v>
      </c>
      <c r="F11072" s="1" t="s">
        <v>15914</v>
      </c>
      <c r="G11072" s="1" t="s">
        <v>49</v>
      </c>
      <c r="H11072" s="1" t="s">
        <v>16</v>
      </c>
      <c r="I11072" s="1" t="str">
        <f ca="1">IFERROR(__xludf.DUMMYFUNCTION("GOOGLETRANSLATE(F11072, ""auto"", ""en"")
"),"The tongs heat up very slowly! very bad. on a par with domestic old metal tongs for 100 rubles. I looked in the store and tried to heat it up. I didn’t buy it, of course.")</f>
        <v>The tongs heat up very slowly! very bad. on a par with domestic old metal tongs for 100 rubles. I looked in the store and tried to heat it up. I didn’t buy it, of course.</v>
      </c>
    </row>
    <row r="11073" spans="1:9" x14ac:dyDescent="0.3">
      <c r="A11073" s="1" t="s">
        <v>1443</v>
      </c>
      <c r="B11073" s="1" t="s">
        <v>1444</v>
      </c>
      <c r="C11073" s="1" t="s">
        <v>1445</v>
      </c>
      <c r="D11073" s="1" t="s">
        <v>471</v>
      </c>
      <c r="E11073" s="1" t="s">
        <v>4361</v>
      </c>
      <c r="F11073" s="1" t="s">
        <v>15915</v>
      </c>
      <c r="G11073" s="1" t="s">
        <v>36</v>
      </c>
      <c r="H11073" s="1" t="s">
        <v>29</v>
      </c>
      <c r="I11073" s="1" t="str">
        <f ca="1">IFERROR(__xludf.DUMMYFUNCTION("GOOGLETRANSLATE(F11073, ""auto"", ""en"")
"),"Excellent flash drive, worked for more than a year without any complaints, waterproof case, quickly wrote information, it’s a shame it was stolen...")</f>
        <v>Excellent flash drive, worked for more than a year without any complaints, waterproof case, quickly wrote information, it’s a shame it was stolen...</v>
      </c>
    </row>
    <row r="11074" spans="1:9" x14ac:dyDescent="0.3">
      <c r="A11074" s="1" t="s">
        <v>211</v>
      </c>
      <c r="B11074" s="1" t="s">
        <v>265</v>
      </c>
      <c r="C11074" s="1" t="s">
        <v>1591</v>
      </c>
      <c r="D11074" s="1" t="s">
        <v>568</v>
      </c>
      <c r="E11074" s="1" t="s">
        <v>103</v>
      </c>
      <c r="F11074" s="1" t="s">
        <v>15916</v>
      </c>
      <c r="G11074" s="1" t="s">
        <v>36</v>
      </c>
      <c r="H11074" s="1" t="s">
        <v>29</v>
      </c>
      <c r="I11074" s="1" t="str">
        <f ca="1">IFERROR(__xludf.DUMMYFUNCTION("GOOGLETRANSLATE(F11074, ""auto"", ""en"")
"),"For the money this is a normal trimmer. I tried it, I can say it’s easy to cut even behind the ears and it cuts decently, the beard has a decent shape. I set the step to 2mm, and a beautiful three-day stubble comes out.")</f>
        <v>For the money this is a normal trimmer. I tried it, I can say it’s easy to cut even behind the ears and it cuts decently, the beard has a decent shape. I set the step to 2mm, and a beautiful three-day stubble comes out.</v>
      </c>
    </row>
    <row r="11075" spans="1:9" x14ac:dyDescent="0.3">
      <c r="A11075" s="1" t="s">
        <v>9</v>
      </c>
      <c r="B11075" s="1" t="s">
        <v>137</v>
      </c>
      <c r="C11075" s="1" t="s">
        <v>870</v>
      </c>
      <c r="D11075" s="1" t="s">
        <v>15917</v>
      </c>
      <c r="E11075" s="1" t="s">
        <v>3125</v>
      </c>
      <c r="F11075" s="1" t="s">
        <v>15918</v>
      </c>
      <c r="G11075" s="1" t="s">
        <v>36</v>
      </c>
      <c r="H11075" s="1" t="s">
        <v>29</v>
      </c>
      <c r="I11075" s="1" t="str">
        <f ca="1">IFERROR(__xludf.DUMMYFUNCTION("GOOGLETRANSLATE(F11075, ""auto"", ""en"")
"),"I live alone, it’s not that I don’t know how to cook, I just don’t like it and have no one to cook for. So, spending a large amount on a healthy stove, which will only take up space, and be used at full capacity only on holidays - no, thank you. This pane"&amp;"l is just enough for one person. Even on two burners at the same time I rarely cook anything, more often on one. The panel heats up quickly and takes a long time to cool down, so you don’t have to reheat something an hour after cooking if you want more. I"&amp;"t looks impressive, not a Soviet design, but stylish. Italy after all! The surface does not warp either from heat or from contact with cleaning agents that contain large particles. It is easy to wash as it is completely smooth. Cast iron burners cannot be"&amp;" damaged at all; they will outlive me.")</f>
        <v>I live alone, it’s not that I don’t know how to cook, I just don’t like it and have no one to cook for. So, spending a large amount on a healthy stove, which will only take up space, and be used at full capacity only on holidays - no, thank you. This panel is just enough for one person. Even on two burners at the same time I rarely cook anything, more often on one. The panel heats up quickly and takes a long time to cool down, so you don’t have to reheat something an hour after cooking if you want more. It looks impressive, not a Soviet design, but stylish. Italy after all! The surface does not warp either from heat or from contact with cleaning agents that contain large particles. It is easy to wash as it is completely smooth. Cast iron burners cannot be damaged at all; they will outlive me.</v>
      </c>
    </row>
    <row r="11076" spans="1:9" x14ac:dyDescent="0.3">
      <c r="A11076" s="1" t="s">
        <v>120</v>
      </c>
      <c r="B11076" s="1" t="s">
        <v>196</v>
      </c>
      <c r="C11076" s="1" t="s">
        <v>151</v>
      </c>
      <c r="D11076" s="1" t="s">
        <v>152</v>
      </c>
      <c r="E11076" s="1" t="s">
        <v>4540</v>
      </c>
      <c r="F11076" s="1" t="s">
        <v>15919</v>
      </c>
      <c r="G11076" s="1" t="s">
        <v>36</v>
      </c>
      <c r="H11076" s="1" t="s">
        <v>29</v>
      </c>
      <c r="I11076" s="1" t="str">
        <f ca="1">IFERROR(__xludf.DUMMYFUNCTION("GOOGLETRANSLATE(F11076, ""auto"", ""en"")
"),"I wrote the first review on September 24, 2009, when I bought it, it was buzzing, nothing has changed over time, it’s just as buzzing as the store said back then, which is normal. Here is another relative disadvantage: the plastic cracks like wood on a fi"&amp;"re, if you put it on a stand and twist it left and right - real Russian build quality :-) Moreover, I bought an exhibition sample, it worked for them around the clock for a week, because... the last one was in stock...... The only thing that I would chang"&amp;"e, if I went back, I would buy a larger diagonal and here's why - I bought a Sony PS3 not so long ago... and then I realized why I have this TV.... + I bought a multimedia player for watching Full HD movies...... in general, take it, you won't regret it..")</f>
        <v>I wrote the first review on September 24, 2009, when I bought it, it was buzzing, nothing has changed over time, it’s just as buzzing as the store said back then, which is normal. Here is another relative disadvantage: the plastic cracks like wood on a fire, if you put it on a stand and twist it left and right - real Russian build quality :-) Moreover, I bought an exhibition sample, it worked for them around the clock for a week, because... the last one was in stock...... The only thing that I would change, if I went back, I would buy a larger diagonal and here's why - I bought a Sony PS3 not so long ago... and then I realized why I have this TV.... + I bought a multimedia player for watching Full HD movies...... in general, take it, you won't regret it..</v>
      </c>
    </row>
    <row r="11077" spans="1:9" x14ac:dyDescent="0.3">
      <c r="A11077" s="1" t="s">
        <v>61</v>
      </c>
      <c r="B11077" s="1" t="s">
        <v>73</v>
      </c>
      <c r="C11077" s="1" t="s">
        <v>146</v>
      </c>
      <c r="D11077" s="1" t="s">
        <v>247</v>
      </c>
      <c r="E11077" s="1" t="s">
        <v>11109</v>
      </c>
      <c r="F11077" s="1" t="s">
        <v>15920</v>
      </c>
      <c r="G11077" s="1" t="s">
        <v>36</v>
      </c>
      <c r="H11077" s="1" t="s">
        <v>29</v>
      </c>
      <c r="I11077" s="1" t="str">
        <f ca="1">IFERROR(__xludf.DUMMYFUNCTION("GOOGLETRANSLATE(F11077, ""auto"", ""en"")
"),"Excellent, powerful meat grinder. The iron body of the meat grinder gives you confidence in use, that is, you are not afraid if you press it, it will fall apart (which very often happens when using meat grinders with a plastic body). And with an auger jui"&amp;"cer (which I bought separately from this store), it becomes a real universal soldier in our kitchen! Plus, my husband bought an additional cube cutter and now preparing the salad takes three times less time! I'm happy with the purchase, I recommend it!!!!")</f>
        <v>Excellent, powerful meat grinder. The iron body of the meat grinder gives you confidence in use, that is, you are not afraid if you press it, it will fall apart (which very often happens when using meat grinders with a plastic body). And with an auger juicer (which I bought separately from this store), it becomes a real universal soldier in our kitchen! Plus, my husband bought an additional cube cutter and now preparing the salad takes three times less time! I'm happy with the purchase, I recommend it!!!!</v>
      </c>
    </row>
    <row r="11078" spans="1:9" x14ac:dyDescent="0.3">
      <c r="A11078" s="1" t="s">
        <v>61</v>
      </c>
      <c r="B11078" s="1" t="s">
        <v>145</v>
      </c>
      <c r="C11078" s="1" t="s">
        <v>246</v>
      </c>
      <c r="D11078" s="1" t="s">
        <v>417</v>
      </c>
      <c r="E11078" s="1" t="s">
        <v>1347</v>
      </c>
      <c r="F11078" s="1" t="s">
        <v>15921</v>
      </c>
      <c r="G11078" s="1" t="s">
        <v>28</v>
      </c>
      <c r="H11078" s="1" t="s">
        <v>29</v>
      </c>
      <c r="I11078" s="1" t="str">
        <f ca="1">IFERROR(__xludf.DUMMYFUNCTION("GOOGLETRANSLATE(F11078, ""auto"", ""en"")
"),"The opener is good. The knife is weak. Of course there are no burrs, but don’t put the jar on the table either. Quite a decent device.")</f>
        <v>The opener is good. The knife is weak. Of course there are no burrs, but don’t put the jar on the table either. Quite a decent device.</v>
      </c>
    </row>
    <row r="11079" spans="1:9" x14ac:dyDescent="0.3">
      <c r="A11079" s="1" t="s">
        <v>451</v>
      </c>
      <c r="B11079" s="1" t="s">
        <v>452</v>
      </c>
      <c r="C11079" s="1" t="s">
        <v>453</v>
      </c>
      <c r="D11079" s="1" t="s">
        <v>417</v>
      </c>
      <c r="E11079" s="1" t="s">
        <v>4600</v>
      </c>
      <c r="F11079" s="1" t="s">
        <v>15922</v>
      </c>
      <c r="G11079" s="1" t="s">
        <v>28</v>
      </c>
      <c r="H11079" s="1" t="s">
        <v>29</v>
      </c>
      <c r="I11079" s="1" t="str">
        <f ca="1">IFERROR(__xludf.DUMMYFUNCTION("GOOGLETRANSLATE(F11079, ""auto"", ""en"")
"),"Cool item, very comfortable! The shirt and socks are like new, but the Chinese assembly - after a week does not work - refused to turn on. I decided not to change it, but to see what happened to it. I opened the motor and the brush was burnt out due to po"&amp;"or quality assembly. I bent it normally, assembled it and was surprised at the work. The motor power has increased. Those. the brush barely touched and power was lost due to poor contact. I advise you not to repeat my experience, but just go and replace i"&amp;"t. I'm just very curious.")</f>
        <v>Cool item, very comfortable! The shirt and socks are like new, but the Chinese assembly - after a week does not work - refused to turn on. I decided not to change it, but to see what happened to it. I opened the motor and the brush was burnt out due to poor quality assembly. I bent it normally, assembled it and was surprised at the work. The motor power has increased. Those. the brush barely touched and power was lost due to poor contact. I advise you not to repeat my experience, but just go and replace it. I'm just very curious.</v>
      </c>
    </row>
    <row r="11080" spans="1:9" x14ac:dyDescent="0.3">
      <c r="A11080" s="1" t="s">
        <v>369</v>
      </c>
      <c r="B11080" s="1" t="s">
        <v>2480</v>
      </c>
      <c r="C11080" s="1" t="s">
        <v>453</v>
      </c>
      <c r="D11080" s="1" t="s">
        <v>15923</v>
      </c>
      <c r="E11080" s="1" t="s">
        <v>10474</v>
      </c>
      <c r="F11080" s="1" t="s">
        <v>15924</v>
      </c>
      <c r="G11080" s="1" t="s">
        <v>15</v>
      </c>
      <c r="H11080" s="1" t="s">
        <v>16</v>
      </c>
      <c r="I11080" s="1" t="str">
        <f ca="1">IFERROR(__xludf.DUMMYFUNCTION("GOOGLETRANSLATE(F11080, ""auto"", ""en"")
"),"After a month of use, the markings on the adjustment knob also became erased - it’s inconvenient, but tolerable, the tile heats... After another two months, the big “pancake” stopped heating - the lamp lights up, but the burner does not work.")</f>
        <v>After a month of use, the markings on the adjustment knob also became erased - it’s inconvenient, but tolerable, the tile heats... After another two months, the big “pancake” stopped heating - the lamp lights up, but the burner does not work.</v>
      </c>
    </row>
    <row r="11081" spans="1:9" x14ac:dyDescent="0.3">
      <c r="A11081" s="1" t="s">
        <v>30</v>
      </c>
      <c r="B11081" s="1" t="s">
        <v>31</v>
      </c>
      <c r="C11081" s="1" t="s">
        <v>32</v>
      </c>
      <c r="D11081" s="1" t="s">
        <v>15925</v>
      </c>
      <c r="E11081" s="1" t="s">
        <v>176</v>
      </c>
      <c r="F11081" s="1" t="s">
        <v>15926</v>
      </c>
      <c r="G11081" s="1" t="s">
        <v>28</v>
      </c>
      <c r="H11081" s="1" t="s">
        <v>29</v>
      </c>
      <c r="I11081" s="1" t="str">
        <f ca="1">IFERROR(__xludf.DUMMYFUNCTION("GOOGLETRANSLATE(F11081, ""auto"", ""en"")
"),"I've been using it happily for 3 weeks now. The hardware is excellent, good design and small dimensions are what I was looking for.  Windows 7 has not yet realized its novelty! There is a desire to change to XP, but as Denis writes on 10/30/2009, alas, it"&amp;" won’t work.   Among the shortcomings, I note that the retractable DVD drive carriage is quite flimsy when used vertically. The ON button began to work with 2-3 presses. The cooling requirement seems to me to be very high, there are not enough fans of its"&amp;" own, the video card suffers greatly from overheating, the video signal to the monitor disappears for 2-3 seconds, you have to place the unit closer to an open window. The video card apparently does not have its own fan - it’s a pity.   Otherwise, everyth"&amp;"ing is great, for such a price, with such filling, it’s just a good purchase")</f>
        <v>I've been using it happily for 3 weeks now. The hardware is excellent, good design and small dimensions are what I was looking for.  Windows 7 has not yet realized its novelty! There is a desire to change to XP, but as Denis writes on 10/30/2009, alas, it won’t work.   Among the shortcomings, I note that the retractable DVD drive carriage is quite flimsy when used vertically. The ON button began to work with 2-3 presses. The cooling requirement seems to me to be very high, there are not enough fans of its own, the video card suffers greatly from overheating, the video signal to the monitor disappears for 2-3 seconds, you have to place the unit closer to an open window. The video card apparently does not have its own fan - it’s a pity.   Otherwise, everything is great, for such a price, with such filling, it’s just a good purchase</v>
      </c>
    </row>
    <row r="11082" spans="1:9" x14ac:dyDescent="0.3">
      <c r="A11082" s="1" t="s">
        <v>43</v>
      </c>
      <c r="B11082" s="1" t="s">
        <v>1370</v>
      </c>
      <c r="C11082" s="1" t="s">
        <v>2137</v>
      </c>
      <c r="D11082" s="1" t="s">
        <v>52</v>
      </c>
      <c r="E11082" s="1" t="s">
        <v>8404</v>
      </c>
      <c r="F11082" s="1" t="s">
        <v>15927</v>
      </c>
      <c r="G11082" s="1" t="s">
        <v>36</v>
      </c>
      <c r="H11082" s="1" t="s">
        <v>29</v>
      </c>
      <c r="I11082" s="1" t="str">
        <f ca="1">IFERROR(__xludf.DUMMYFUNCTION("GOOGLETRANSLATE(F11082, ""auto"", ""en"")
"),"An excellent water heater, I bought it at a special offer for the summer when the water was turned off, the included power cord was connected in 5 minutes.")</f>
        <v>An excellent water heater, I bought it at a special offer for the summer when the water was turned off, the included power cord was connected in 5 minutes.</v>
      </c>
    </row>
    <row r="11083" spans="1:9" x14ac:dyDescent="0.3">
      <c r="A11083" s="1" t="s">
        <v>61</v>
      </c>
      <c r="B11083" s="1" t="s">
        <v>224</v>
      </c>
      <c r="C11083" s="1" t="s">
        <v>74</v>
      </c>
      <c r="D11083" s="1" t="s">
        <v>39</v>
      </c>
      <c r="E11083" s="1" t="s">
        <v>1517</v>
      </c>
      <c r="F11083" s="1" t="s">
        <v>15928</v>
      </c>
      <c r="G11083" s="1" t="s">
        <v>36</v>
      </c>
      <c r="H11083" s="1" t="s">
        <v>29</v>
      </c>
      <c r="I11083" s="1" t="str">
        <f ca="1">IFERROR(__xludf.DUMMYFUNCTION("GOOGLETRANSLATE(F11083, ""auto"", ""en"")
"),"We bought it yesterday. We’re very pleased. It squeezes like a charm. It squeezes apples, oranges, and grapefruit just once.")</f>
        <v>We bought it yesterday. We’re very pleased. It squeezes like a charm. It squeezes apples, oranges, and grapefruit just once.</v>
      </c>
    </row>
    <row r="11084" spans="1:9" x14ac:dyDescent="0.3">
      <c r="A11084" s="1" t="s">
        <v>61</v>
      </c>
      <c r="B11084" s="1" t="s">
        <v>73</v>
      </c>
      <c r="C11084" s="1" t="s">
        <v>85</v>
      </c>
      <c r="D11084" s="1" t="s">
        <v>64</v>
      </c>
      <c r="E11084" s="1" t="s">
        <v>4573</v>
      </c>
      <c r="F11084" s="1" t="s">
        <v>15929</v>
      </c>
      <c r="G11084" s="1" t="s">
        <v>36</v>
      </c>
      <c r="H11084" s="1" t="s">
        <v>29</v>
      </c>
      <c r="I11084" s="1" t="str">
        <f ca="1">IFERROR(__xludf.DUMMYFUNCTION("GOOGLETRANSLATE(F11084, ""auto"", ""en"")
"),"A small child appeared in the family and we decided to purchase a meat grinder for preparing minced meat. We spent a long time choosing, read reviews on forums and settled on this one. In addition, the consultant in the store recommended us an electric me"&amp;"at grinder from this particular company, and we were NOT WRONG WITH our CHOICE! Excellent! It is not noisy (and this is very important for us, so as not to wake up the baby during sleep). The minced meat does not get stuck and does not wrap around the spi"&amp;"ral! There are no complaints about cleaning either! In general, the money spent is not at all a pity.")</f>
        <v>A small child appeared in the family and we decided to purchase a meat grinder for preparing minced meat. We spent a long time choosing, read reviews on forums and settled on this one. In addition, the consultant in the store recommended us an electric meat grinder from this particular company, and we were NOT WRONG WITH our CHOICE! Excellent! It is not noisy (and this is very important for us, so as not to wake up the baby during sleep). The minced meat does not get stuck and does not wrap around the spiral! There are no complaints about cleaning either! In general, the money spent is not at all a pity.</v>
      </c>
    </row>
    <row r="11085" spans="1:9" x14ac:dyDescent="0.3">
      <c r="A11085" s="1" t="s">
        <v>361</v>
      </c>
      <c r="B11085" s="1" t="s">
        <v>2555</v>
      </c>
      <c r="C11085" s="1" t="s">
        <v>4871</v>
      </c>
      <c r="D11085" s="1" t="s">
        <v>765</v>
      </c>
      <c r="E11085" s="1" t="s">
        <v>5882</v>
      </c>
      <c r="F11085" s="1" t="s">
        <v>15930</v>
      </c>
      <c r="G11085" s="1" t="s">
        <v>36</v>
      </c>
      <c r="H11085" s="1" t="s">
        <v>29</v>
      </c>
      <c r="I11085" s="1" t="str">
        <f ca="1">IFERROR(__xludf.DUMMYFUNCTION("GOOGLETRANSLATE(F11085, ""auto"", ""en"")
"),"I bought it last year in the summer, it’s just a super thermos - it answers one hundred percent! I want another one, but a bigger one!")</f>
        <v>I bought it last year in the summer, it’s just a super thermos - it answers one hundred percent! I want another one, but a bigger one!</v>
      </c>
    </row>
    <row r="11086" spans="1:9" x14ac:dyDescent="0.3">
      <c r="A11086" s="1" t="s">
        <v>211</v>
      </c>
      <c r="B11086" s="1" t="s">
        <v>212</v>
      </c>
      <c r="C11086" s="1" t="s">
        <v>381</v>
      </c>
      <c r="D11086" s="1" t="s">
        <v>15931</v>
      </c>
      <c r="E11086" s="1" t="s">
        <v>1524</v>
      </c>
      <c r="F11086" s="1" t="s">
        <v>15932</v>
      </c>
      <c r="G11086" s="1" t="s">
        <v>36</v>
      </c>
      <c r="H11086" s="1" t="s">
        <v>29</v>
      </c>
      <c r="I11086" s="1" t="str">
        <f ca="1">IFERROR(__xludf.DUMMYFUNCTION("GOOGLETRANSLATE(F11086, ""auto"", ""en"")
"),"It took me a long time to choose, but I settled on this one and bought it 7 days ago. The iron is comfortable, lightweight with a long cord (which helps a lot), although there is no separate Ionization, but thanks to good coverage, the hair immediately be"&amp;"comes silky. I straighten it at 150 degrees and the hair still becomes straight and shiny, and naturally voluminous.  I can’t say that this is the best, but if you buy it, you won’t regret it!")</f>
        <v>It took me a long time to choose, but I settled on this one and bought it 7 days ago. The iron is comfortable, lightweight with a long cord (which helps a lot), although there is no separate Ionization, but thanks to good coverage, the hair immediately becomes silky. I straighten it at 150 degrees and the hair still becomes straight and shiny, and naturally voluminous.  I can’t say that this is the best, but if you buy it, you won’t regret it!</v>
      </c>
    </row>
    <row r="11087" spans="1:9" x14ac:dyDescent="0.3">
      <c r="A11087" s="1" t="s">
        <v>61</v>
      </c>
      <c r="B11087" s="1" t="s">
        <v>224</v>
      </c>
      <c r="C11087" s="1" t="s">
        <v>74</v>
      </c>
      <c r="D11087" s="1" t="s">
        <v>1483</v>
      </c>
      <c r="E11087" s="1" t="s">
        <v>1816</v>
      </c>
      <c r="F11087" s="1" t="s">
        <v>15933</v>
      </c>
      <c r="G11087" s="1" t="s">
        <v>36</v>
      </c>
      <c r="H11087" s="1" t="s">
        <v>29</v>
      </c>
      <c r="I11087" s="1" t="str">
        <f ca="1">IFERROR(__xludf.DUMMYFUNCTION("GOOGLETRANSLATE(F11087, ""auto"", ""en"")
"),"Wonderful juicer. I am very pleased that the choice fell on her. The juice is excellent, the pulp is dry. Easy to disassemble and clean. Score +5.")</f>
        <v>Wonderful juicer. I am very pleased that the choice fell on her. The juice is excellent, the pulp is dry. Easy to disassemble and clean. Score +5.</v>
      </c>
    </row>
    <row r="11088" spans="1:9" x14ac:dyDescent="0.3">
      <c r="A11088" s="1" t="s">
        <v>37</v>
      </c>
      <c r="B11088" s="1" t="s">
        <v>38</v>
      </c>
      <c r="C11088" s="1" t="s">
        <v>163</v>
      </c>
      <c r="D11088" s="1" t="s">
        <v>15934</v>
      </c>
      <c r="E11088" s="1" t="s">
        <v>1248</v>
      </c>
      <c r="F11088" s="1" t="s">
        <v>15935</v>
      </c>
      <c r="G11088" s="1" t="s">
        <v>36</v>
      </c>
      <c r="H11088" s="1" t="s">
        <v>29</v>
      </c>
      <c r="I11088" s="1" t="str">
        <f ca="1">IFERROR(__xludf.DUMMYFUNCTION("GOOGLETRANSLATE(F11088, ""auto"", ""en"")
"),"I've been using the phone for almost 2 years. I couldn't be happier with the purchase. I liked it best in black. I have no comments or complaints about the work at all. I dropped the phone on the asphalt 4 times, thanks to the metal case it survived and c"&amp;"ontinues to work perfectly. The keyboard is very comfortable, but has one drawback - small letters. At minus 32 in the winter the battery tried to malfunction, but already at minus 20 it went away. A very simple, functional, stylish phone.")</f>
        <v>I've been using the phone for almost 2 years. I couldn't be happier with the purchase. I liked it best in black. I have no comments or complaints about the work at all. I dropped the phone on the asphalt 4 times, thanks to the metal case it survived and continues to work perfectly. The keyboard is very comfortable, but has one drawback - small letters. At minus 32 in the winter the battery tried to malfunction, but already at minus 20 it went away. A very simple, functional, stylish phone.</v>
      </c>
    </row>
    <row r="11089" spans="1:9" x14ac:dyDescent="0.3">
      <c r="A11089" s="1" t="s">
        <v>43</v>
      </c>
      <c r="B11089" s="1" t="s">
        <v>1616</v>
      </c>
      <c r="C11089" s="1" t="s">
        <v>185</v>
      </c>
      <c r="D11089" s="1" t="s">
        <v>52</v>
      </c>
      <c r="E11089" s="1" t="s">
        <v>5758</v>
      </c>
      <c r="F11089" s="1" t="s">
        <v>15936</v>
      </c>
      <c r="G11089" s="1" t="s">
        <v>49</v>
      </c>
      <c r="H11089" s="1" t="s">
        <v>16</v>
      </c>
      <c r="I11089" s="1" t="str">
        <f ca="1">IFERROR(__xludf.DUMMYFUNCTION("GOOGLETRANSLATE(F11089, ""auto"", ""en"")
"),"I purchased this miracle yesterday, installed it fixedly according to the instructions, cooled a 20m2 room all night, the temperature dropped from 29 to 26 degrees. No direction of air flow. They wrote all sorts of unnecessary nonsense in the specificatio"&amp;"n. My advice is NOT TO TAKE!!!")</f>
        <v>I purchased this miracle yesterday, installed it fixedly according to the instructions, cooled a 20m2 room all night, the temperature dropped from 29 to 26 degrees. No direction of air flow. They wrote all sorts of unnecessary nonsense in the specification. My advice is NOT TO TAKE!!!</v>
      </c>
    </row>
    <row r="11090" spans="1:9" x14ac:dyDescent="0.3">
      <c r="A11090" s="1" t="s">
        <v>557</v>
      </c>
      <c r="B11090" s="1" t="s">
        <v>558</v>
      </c>
      <c r="C11090" s="1" t="s">
        <v>1921</v>
      </c>
      <c r="D11090" s="1" t="s">
        <v>308</v>
      </c>
      <c r="E11090" s="1" t="s">
        <v>1858</v>
      </c>
      <c r="F11090" s="1" t="s">
        <v>15937</v>
      </c>
      <c r="G11090" s="1" t="s">
        <v>36</v>
      </c>
      <c r="H11090" s="1" t="s">
        <v>29</v>
      </c>
      <c r="I11090" s="1" t="str">
        <f ca="1">IFERROR(__xludf.DUMMYFUNCTION("GOOGLETRANSLATE(F11090, ""auto"", ""en"")
"),"Cool phone, convenient and compact")</f>
        <v>Cool phone, convenient and compact</v>
      </c>
    </row>
    <row r="11091" spans="1:9" x14ac:dyDescent="0.3">
      <c r="A11091" s="1" t="s">
        <v>43</v>
      </c>
      <c r="B11091" s="1" t="s">
        <v>334</v>
      </c>
      <c r="C11091" s="1" t="s">
        <v>101</v>
      </c>
      <c r="D11091" s="1" t="s">
        <v>81</v>
      </c>
      <c r="E11091" s="1" t="s">
        <v>1037</v>
      </c>
      <c r="F11091" s="1" t="s">
        <v>15938</v>
      </c>
      <c r="G11091" s="1" t="s">
        <v>36</v>
      </c>
      <c r="H11091" s="1" t="s">
        <v>29</v>
      </c>
      <c r="I11091" s="1" t="str">
        <f ca="1">IFERROR(__xludf.DUMMYFUNCTION("GOOGLETRANSLATE(F11091, ""auto"", ""en"")
"),"The fan is very convenient. Due to its gripping fastening, it can be installed anywhere on tables, etc. It sits firmly, but you can just put it on a stand. Rotates horizontally in all directions, vertically slightly up or down. It works quite noisily, esp"&amp;"ecially well audible in front of it and behind it. For a power of 25 watts it blows perfectly")</f>
        <v>The fan is very convenient. Due to its gripping fastening, it can be installed anywhere on tables, etc. It sits firmly, but you can just put it on a stand. Rotates horizontally in all directions, vertically slightly up or down. It works quite noisily, especially well audible in front of it and behind it. For a power of 25 watts it blows perfectly</v>
      </c>
    </row>
    <row r="11092" spans="1:9" x14ac:dyDescent="0.3">
      <c r="A11092" s="1" t="s">
        <v>17</v>
      </c>
      <c r="B11092" s="1" t="s">
        <v>18</v>
      </c>
      <c r="C11092" s="1" t="s">
        <v>159</v>
      </c>
      <c r="D11092" s="1" t="s">
        <v>295</v>
      </c>
      <c r="E11092" s="1" t="s">
        <v>47</v>
      </c>
      <c r="F11092" s="1" t="s">
        <v>15939</v>
      </c>
      <c r="G11092" s="1" t="s">
        <v>28</v>
      </c>
      <c r="H11092" s="1" t="s">
        <v>29</v>
      </c>
      <c r="I11092" s="1" t="str">
        <f ca="1">IFERROR(__xludf.DUMMYFUNCTION("GOOGLETRANSLATE(F11092, ""auto"", ""en"")
"),"We're happy, but it's really bad that we can't see the time until the end of the wash. I used to have an Electrolux 5.5 kg, after 6.5 years the rod on the drum broke off due to merciless use (5 washes a day), everything else is in working order. The sore "&amp;"spot on these machines is the drum bearings, so we won’t overload the new one. Previously, a cat slept on the machine, now we’re afraid to let it in because of the display)")</f>
        <v>We're happy, but it's really bad that we can't see the time until the end of the wash. I used to have an Electrolux 5.5 kg, after 6.5 years the rod on the drum broke off due to merciless use (5 washes a day), everything else is in working order. The sore spot on these machines is the drum bearings, so we won’t overload the new one. Previously, a cat slept on the machine, now we’re afraid to let it in because of the display)</v>
      </c>
    </row>
    <row r="11093" spans="1:9" x14ac:dyDescent="0.3">
      <c r="A11093" s="1" t="s">
        <v>61</v>
      </c>
      <c r="B11093" s="1" t="s">
        <v>180</v>
      </c>
      <c r="C11093" s="1" t="s">
        <v>57</v>
      </c>
      <c r="D11093" s="1" t="s">
        <v>9071</v>
      </c>
      <c r="E11093" s="1" t="s">
        <v>11608</v>
      </c>
      <c r="F11093" s="1" t="s">
        <v>15940</v>
      </c>
      <c r="G11093" s="1" t="s">
        <v>15</v>
      </c>
      <c r="H11093" s="1" t="s">
        <v>16</v>
      </c>
      <c r="I11093" s="1" t="str">
        <f ca="1">IFERROR(__xludf.DUMMYFUNCTION("GOOGLETRANSLATE(F11093, ""auto"", ""en"")
"),"The toaster itself works great, but the wire in it is terribly inconvenient. It’s a pity that they didn’t check it right away in the store, but opened it 2 weeks later. It turns out it’s not worth it on a flat surface. , does not bend, does not go anywher"&amp;"e. I'm already exhausted with him.")</f>
        <v>The toaster itself works great, but the wire in it is terribly inconvenient. It’s a pity that they didn’t check it right away in the store, but opened it 2 weeks later. It turns out it’s not worth it on a flat surface. , does not bend, does not go anywhere. I'm already exhausted with him.</v>
      </c>
    </row>
    <row r="11094" spans="1:9" x14ac:dyDescent="0.3">
      <c r="A11094" s="1" t="s">
        <v>61</v>
      </c>
      <c r="B11094" s="1" t="s">
        <v>318</v>
      </c>
      <c r="C11094" s="1" t="s">
        <v>246</v>
      </c>
      <c r="D11094" s="1" t="s">
        <v>15941</v>
      </c>
      <c r="E11094" s="1" t="s">
        <v>3673</v>
      </c>
      <c r="F11094" s="1" t="s">
        <v>15942</v>
      </c>
      <c r="G11094" s="1" t="s">
        <v>49</v>
      </c>
      <c r="H11094" s="1" t="s">
        <v>16</v>
      </c>
      <c r="I11094" s="1" t="str">
        <f ca="1">IFERROR(__xludf.DUMMYFUNCTION("GOOGLETRANSLATE(F11094, ""auto"", ""en"")
"),"We purchased a tefel 762540 teapot, and oh horror!!! The lid fell off on the 4th day, and soon rust appeared in the corners near the filter! This is despite the fact that the previous model of the tefal kettle served us for 12 years, the kettle was French"&amp;", and this one is Chinese. Friends, I do not recommend buying it")</f>
        <v>We purchased a tefel 762540 teapot, and oh horror!!! The lid fell off on the 4th day, and soon rust appeared in the corners near the filter! This is despite the fact that the previous model of the tefal kettle served us for 12 years, the kettle was French, and this one is Chinese. Friends, I do not recommend buying it</v>
      </c>
    </row>
    <row r="11095" spans="1:9" x14ac:dyDescent="0.3">
      <c r="A11095" s="1" t="s">
        <v>37</v>
      </c>
      <c r="B11095" s="1" t="s">
        <v>536</v>
      </c>
      <c r="C11095" s="1" t="s">
        <v>163</v>
      </c>
      <c r="D11095" s="1" t="s">
        <v>411</v>
      </c>
      <c r="E11095" s="1" t="s">
        <v>8952</v>
      </c>
      <c r="F11095" s="1" t="s">
        <v>15943</v>
      </c>
      <c r="G11095" s="1" t="s">
        <v>36</v>
      </c>
      <c r="H11095" s="1" t="s">
        <v>29</v>
      </c>
      <c r="I11095" s="1" t="str">
        <f ca="1">IFERROR(__xludf.DUMMYFUNCTION("GOOGLETRANSLATE(F11095, ""auto"", ""en"")
"),"I'm happy with everything!!! I thought it would take me a long time to figure out the touch buttons, but I got used to it in the first hour of handling the device!!  Everything is fine...")</f>
        <v>I'm happy with everything!!! I thought it would take me a long time to figure out the touch buttons, but I got used to it in the first hour of handling the device!!  Everything is fine...</v>
      </c>
    </row>
    <row r="11096" spans="1:9" x14ac:dyDescent="0.3">
      <c r="A11096" s="1" t="s">
        <v>30</v>
      </c>
      <c r="B11096" s="1" t="s">
        <v>50</v>
      </c>
      <c r="C11096" s="1" t="s">
        <v>51</v>
      </c>
      <c r="D11096" s="1" t="s">
        <v>39</v>
      </c>
      <c r="E11096" s="1" t="s">
        <v>2011</v>
      </c>
      <c r="F11096" s="1" t="s">
        <v>15944</v>
      </c>
      <c r="G11096" s="1" t="s">
        <v>28</v>
      </c>
      <c r="H11096" s="1" t="s">
        <v>29</v>
      </c>
      <c r="I11096" s="1" t="str">
        <f ca="1">IFERROR(__xludf.DUMMYFUNCTION("GOOGLETRANSLATE(F11096, ""auto"", ""en"")
"),"I recently bought this laptop and am generally pleased with it. But the question arose, I want to install a second HDD, I couldn’t find anything about this in the documentation. I found on the Internet that I need to buy slides for the HDD, but I just can"&amp;"’t find them!")</f>
        <v>I recently bought this laptop and am generally pleased with it. But the question arose, I want to install a second HDD, I couldn’t find anything about this in the documentation. I found on the Internet that I need to buy slides for the HDD, but I just can’t find them!</v>
      </c>
    </row>
    <row r="11097" spans="1:9" x14ac:dyDescent="0.3">
      <c r="A11097" s="1" t="s">
        <v>43</v>
      </c>
      <c r="B11097" s="1" t="s">
        <v>303</v>
      </c>
      <c r="C11097" s="1" t="s">
        <v>220</v>
      </c>
      <c r="D11097" s="1" t="s">
        <v>305</v>
      </c>
      <c r="E11097" s="1" t="s">
        <v>2500</v>
      </c>
      <c r="F11097" s="1" t="s">
        <v>15945</v>
      </c>
      <c r="G11097" s="1" t="s">
        <v>36</v>
      </c>
      <c r="H11097" s="1" t="s">
        <v>29</v>
      </c>
      <c r="I11097" s="1" t="str">
        <f ca="1">IFERROR(__xludf.DUMMYFUNCTION("GOOGLETRANSLATE(F11097, ""auto"", ""en"")
"),"flat, fully equipped, takes a long time to cool down")</f>
        <v>flat, fully equipped, takes a long time to cool down</v>
      </c>
    </row>
    <row r="11098" spans="1:9" x14ac:dyDescent="0.3">
      <c r="A11098" s="1" t="s">
        <v>211</v>
      </c>
      <c r="B11098" s="1" t="s">
        <v>515</v>
      </c>
      <c r="C11098" s="1" t="s">
        <v>69</v>
      </c>
      <c r="D11098" s="1" t="s">
        <v>471</v>
      </c>
      <c r="E11098" s="1" t="s">
        <v>11360</v>
      </c>
      <c r="F11098" s="1" t="s">
        <v>15946</v>
      </c>
      <c r="G11098" s="1" t="s">
        <v>36</v>
      </c>
      <c r="H11098" s="1" t="s">
        <v>29</v>
      </c>
      <c r="I11098" s="1" t="str">
        <f ca="1">IFERROR(__xludf.DUMMYFUNCTION("GOOGLETRANSLATE(F11098, ""auto"", ""en"")
"),"We chose this model because of its interesting configuration, attractive price, and cute design. The consultant also offered us a cold generator - a small bag of blue liquid, which, according to him, alleviates suffering. I tried all three things at home."&amp;" I was expecting hellish pain on my legs. But, oddly enough, only a slight tingling sensation, and after 5 minutes I got used to it, the cold generator also came in handy. Naturally, the device needs help, pulling the skin a little as written in the instr"&amp;"uctions, otherwise it won’t capture the hairs. The bikini area is treated tolerably, but the armpits are painful. Tweezers with a flashlight - I don’t quite understand the difference from the usual one, but it’s convenient to take with you. Great for a fi"&amp;"rst epilator! I recommend!")</f>
        <v>We chose this model because of its interesting configuration, attractive price, and cute design. The consultant also offered us a cold generator - a small bag of blue liquid, which, according to him, alleviates suffering. I tried all three things at home. I was expecting hellish pain on my legs. But, oddly enough, only a slight tingling sensation, and after 5 minutes I got used to it, the cold generator also came in handy. Naturally, the device needs help, pulling the skin a little as written in the instructions, otherwise it won’t capture the hairs. The bikini area is treated tolerably, but the armpits are painful. Tweezers with a flashlight - I don’t quite understand the difference from the usual one, but it’s convenient to take with you. Great for a first epilator! I recommend!</v>
      </c>
    </row>
    <row r="11099" spans="1:9" x14ac:dyDescent="0.3">
      <c r="A11099" s="1" t="s">
        <v>43</v>
      </c>
      <c r="B11099" s="1" t="s">
        <v>502</v>
      </c>
      <c r="C11099" s="1" t="s">
        <v>151</v>
      </c>
      <c r="D11099" s="1" t="s">
        <v>64</v>
      </c>
      <c r="E11099" s="1" t="s">
        <v>3411</v>
      </c>
      <c r="F11099" s="1" t="s">
        <v>15947</v>
      </c>
      <c r="G11099" s="1" t="s">
        <v>36</v>
      </c>
      <c r="H11099" s="1" t="s">
        <v>29</v>
      </c>
      <c r="I11099" s="1" t="str">
        <f ca="1">IFERROR(__xludf.DUMMYFUNCTION("GOOGLETRANSLATE(F11099, ""auto"", ""en"")
"),"Having read reviews about this model and being afraid of them, namely that this model is noisy, buzzing, etc., I still bought this model of a split system, because, among other things, I was also limited in funds. I’ll say right away - all my fears were i"&amp;"n vain. We installed it on an area of ​​20.5 square meters in a very sunny but stuffy room. It’s April now, and we already couldn’t breathe. The problem is now solved. The air conditioner operates in different modes, the indoor unit, of course, is not com"&amp;"pletely silent, there are quieter ones, but for the money, I think it’s normal. The external unit does not bother us or our neighbors. We installed it on the rubber bands that were included. When the room gets cool, I set it to fan mode and our room feels"&amp;" fresh and freshly ventilated, which I think is very good with a baby. In general, I haven’t found any shortcomings in the operation of the air conditioner yet, we’ll see what happens next. P.S. I advise everyone to install an air conditioner before renov"&amp;"ation, so that the routes are built into the wall, otherwise this white box the length of the entire room is still annoying. Now she will live with us.")</f>
        <v>Having read reviews about this model and being afraid of them, namely that this model is noisy, buzzing, etc., I still bought this model of a split system, because, among other things, I was also limited in funds. I’ll say right away - all my fears were in vain. We installed it on an area of ​​20.5 square meters in a very sunny but stuffy room. It’s April now, and we already couldn’t breathe. The problem is now solved. The air conditioner operates in different modes, the indoor unit, of course, is not completely silent, there are quieter ones, but for the money, I think it’s normal. The external unit does not bother us or our neighbors. We installed it on the rubber bands that were included. When the room gets cool, I set it to fan mode and our room feels fresh and freshly ventilated, which I think is very good with a baby. In general, I haven’t found any shortcomings in the operation of the air conditioner yet, we’ll see what happens next. P.S. I advise everyone to install an air conditioner before renovation, so that the routes are built into the wall, otherwise this white box the length of the entire room is still annoying. Now she will live with us.</v>
      </c>
    </row>
    <row r="11100" spans="1:9" x14ac:dyDescent="0.3">
      <c r="A11100" s="1" t="s">
        <v>206</v>
      </c>
      <c r="B11100" s="1" t="s">
        <v>207</v>
      </c>
      <c r="C11100" s="1" t="s">
        <v>152</v>
      </c>
      <c r="D11100" s="1" t="s">
        <v>114</v>
      </c>
      <c r="E11100" s="1" t="s">
        <v>2008</v>
      </c>
      <c r="F11100" s="1" t="s">
        <v>15948</v>
      </c>
      <c r="G11100" s="1" t="s">
        <v>36</v>
      </c>
      <c r="H11100" s="1" t="s">
        <v>29</v>
      </c>
      <c r="I11100" s="1" t="str">
        <f ca="1">IFERROR(__xludf.DUMMYFUNCTION("GOOGLETRANSLATE(F11100, ""auto"", ""en"")
"),"excellent sub...it's in 4, it pumps up the car well...I advise you to take it...")</f>
        <v>excellent sub...it's in 4, it pumps up the car well...I advise you to take it...</v>
      </c>
    </row>
    <row r="11101" spans="1:9" x14ac:dyDescent="0.3">
      <c r="A11101" s="1" t="s">
        <v>120</v>
      </c>
      <c r="B11101" s="1" t="s">
        <v>834</v>
      </c>
      <c r="C11101" s="1" t="s">
        <v>97</v>
      </c>
      <c r="D11101" s="1" t="s">
        <v>64</v>
      </c>
      <c r="E11101" s="1" t="s">
        <v>3367</v>
      </c>
      <c r="F11101" s="1" t="s">
        <v>15949</v>
      </c>
      <c r="G11101" s="1" t="s">
        <v>36</v>
      </c>
      <c r="H11101" s="1" t="s">
        <v>29</v>
      </c>
      <c r="I11101" s="1" t="str">
        <f ca="1">IFERROR(__xludf.DUMMYFUNCTION("GOOGLETRANSLATE(F11101, ""auto"", ""en"")
"),"Sony is Sony. For example, LG is not even close (there is something to compare with. Soft, pleasant image. Compared to Sony 52"", which costs more than 80,000 rubles - the price is pleasing")</f>
        <v>Sony is Sony. For example, LG is not even close (there is something to compare with. Soft, pleasant image. Compared to Sony 52", which costs more than 80,000 rubles - the price is pleasing</v>
      </c>
    </row>
    <row r="11102" spans="1:9" x14ac:dyDescent="0.3">
      <c r="A11102" s="1" t="s">
        <v>37</v>
      </c>
      <c r="B11102" s="1" t="s">
        <v>536</v>
      </c>
      <c r="C11102" s="1" t="s">
        <v>1419</v>
      </c>
      <c r="D11102" s="1" t="s">
        <v>3205</v>
      </c>
      <c r="E11102" s="1" t="s">
        <v>292</v>
      </c>
      <c r="F11102" s="1" t="s">
        <v>15950</v>
      </c>
      <c r="G11102" s="1" t="s">
        <v>36</v>
      </c>
      <c r="H11102" s="1" t="s">
        <v>29</v>
      </c>
      <c r="I11102" s="1" t="str">
        <f ca="1">IFERROR(__xludf.DUMMYFUNCTION("GOOGLETRANSLATE(F11102, ""auto"", ""en"")
"),"The phone is excellent, only when showing a video it freezes a little (as I understand it, it’s easier to immediately replace the standard WM with a Core or the best TCPMP player that I’ve tried) I have an 8 GB flash drive, as I was told, a unit with a TV"&amp;" output, but unfortunately I can’t find the TV cable itself throughout the city, which is a shame.  The sensors are starting to act up a little, but it shows something completely different and I’m so pleased with the machine")</f>
        <v>The phone is excellent, only when showing a video it freezes a little (as I understand it, it’s easier to immediately replace the standard WM with a Core or the best TCPMP player that I’ve tried) I have an 8 GB flash drive, as I was told, a unit with a TV output, but unfortunately I can’t find the TV cable itself throughout the city, which is a shame.  The sensors are starting to act up a little, but it shows something completely different and I’m so pleased with the machine</v>
      </c>
    </row>
    <row r="11103" spans="1:9" x14ac:dyDescent="0.3">
      <c r="A11103" s="1" t="s">
        <v>61</v>
      </c>
      <c r="B11103" s="1" t="s">
        <v>318</v>
      </c>
      <c r="C11103" s="1" t="s">
        <v>246</v>
      </c>
      <c r="D11103" s="1" t="s">
        <v>13899</v>
      </c>
      <c r="E11103" s="1" t="s">
        <v>1336</v>
      </c>
      <c r="F11103" s="1" t="s">
        <v>15951</v>
      </c>
      <c r="G11103" s="1" t="s">
        <v>15</v>
      </c>
      <c r="H11103" s="1" t="s">
        <v>16</v>
      </c>
      <c r="I11103" s="1" t="str">
        <f ca="1">IFERROR(__xludf.DUMMYFUNCTION("GOOGLETRANSLATE(F11103, ""auto"", ""en"")
"),"Is the teapot already 3 years old? The water still tastes like plastic, like Tefal, and the quality is poor. This kettle was disappointing!")</f>
        <v>Is the teapot already 3 years old? The water still tastes like plastic, like Tefal, and the quality is poor. This kettle was disappointing!</v>
      </c>
    </row>
    <row r="11104" spans="1:9" x14ac:dyDescent="0.3">
      <c r="A11104" s="1" t="s">
        <v>211</v>
      </c>
      <c r="B11104" s="1" t="s">
        <v>212</v>
      </c>
      <c r="C11104" s="1" t="s">
        <v>213</v>
      </c>
      <c r="D11104" s="1" t="s">
        <v>658</v>
      </c>
      <c r="E11104" s="1" t="s">
        <v>798</v>
      </c>
      <c r="F11104" s="1" t="s">
        <v>15952</v>
      </c>
      <c r="G11104" s="1" t="s">
        <v>49</v>
      </c>
      <c r="H11104" s="1" t="s">
        <v>16</v>
      </c>
      <c r="I11104" s="1" t="str">
        <f ca="1">IFERROR(__xludf.DUMMYFUNCTION("GOOGLETRANSLATE(F11104, ""auto"", ""en"")
"),"It was given to me for my birthday. Of course, I was delighted - such a cool iron. I was happy early on - it doesn’t straighten my hair at all, and six months later it completely broke. such joy")</f>
        <v>It was given to me for my birthday. Of course, I was delighted - such a cool iron. I was happy early on - it doesn’t straighten my hair at all, and six months later it completely broke. such joy</v>
      </c>
    </row>
    <row r="11105" spans="1:9" x14ac:dyDescent="0.3">
      <c r="A11105" s="1" t="s">
        <v>211</v>
      </c>
      <c r="B11105" s="1" t="s">
        <v>265</v>
      </c>
      <c r="C11105" s="1" t="s">
        <v>1591</v>
      </c>
      <c r="D11105" s="1" t="s">
        <v>81</v>
      </c>
      <c r="E11105" s="1" t="s">
        <v>7190</v>
      </c>
      <c r="F11105" s="1" t="s">
        <v>15953</v>
      </c>
      <c r="G11105" s="1" t="s">
        <v>28</v>
      </c>
      <c r="H11105" s="1" t="s">
        <v>29</v>
      </c>
      <c r="I11105" s="1" t="str">
        <f ca="1">IFERROR(__xludf.DUMMYFUNCTION("GOOGLETRANSLATE(F11105, ""auto"", ""en"")
"),"I use this trimmer. When I was choosing, I asked my hairdresser for advice, she recommended this one to me. The plastic is good, the attachments fit and hold well. There are a lot of additional accessories, but I only use two attachments for the nose and "&amp;"the second for the beard, I hid the rest as they are unnecessary for me. The price for this model and configuration is acceptable.")</f>
        <v>I use this trimmer. When I was choosing, I asked my hairdresser for advice, she recommended this one to me. The plastic is good, the attachments fit and hold well. There are a lot of additional accessories, but I only use two attachments for the nose and the second for the beard, I hid the rest as they are unnecessary for me. The price for this model and configuration is acceptable.</v>
      </c>
    </row>
    <row r="11106" spans="1:9" x14ac:dyDescent="0.3">
      <c r="A11106" s="1" t="s">
        <v>61</v>
      </c>
      <c r="B11106" s="1" t="s">
        <v>180</v>
      </c>
      <c r="C11106" s="1" t="s">
        <v>74</v>
      </c>
      <c r="D11106" s="1" t="s">
        <v>1662</v>
      </c>
      <c r="E11106" s="1" t="s">
        <v>1804</v>
      </c>
      <c r="F11106" s="1" t="s">
        <v>15954</v>
      </c>
      <c r="G11106" s="1" t="s">
        <v>36</v>
      </c>
      <c r="H11106" s="1" t="s">
        <v>29</v>
      </c>
      <c r="I11106" s="1" t="str">
        <f ca="1">IFERROR(__xludf.DUMMYFUNCTION("GOOGLETRANSLATE(F11106, ""auto"", ""en"")
"),"I really like it ")</f>
        <v xml:space="preserve">I really like it </v>
      </c>
    </row>
    <row r="11107" spans="1:9" x14ac:dyDescent="0.3">
      <c r="A11107" s="1" t="s">
        <v>9</v>
      </c>
      <c r="B11107" s="1" t="s">
        <v>10</v>
      </c>
      <c r="C11107" s="1" t="s">
        <v>466</v>
      </c>
      <c r="D11107" s="1" t="s">
        <v>621</v>
      </c>
      <c r="E11107" s="1" t="s">
        <v>5861</v>
      </c>
      <c r="F11107" s="1" t="s">
        <v>15955</v>
      </c>
      <c r="G11107" s="1" t="s">
        <v>36</v>
      </c>
      <c r="H11107" s="1" t="s">
        <v>29</v>
      </c>
      <c r="I11107" s="1" t="str">
        <f ca="1">IFERROR(__xludf.DUMMYFUNCTION("GOOGLETRANSLATE(F11107, ""auto"", ""en"")
"),"the hood is not bad, it works well, it draws, it does make noise, but that’s how it should be))) the only thing that didn’t “please” was that the depth of the hood is less than the IKEA wall cabinets, about 5 centimeters. I had to be a little tricky when "&amp;"installing.")</f>
        <v>the hood is not bad, it works well, it draws, it does make noise, but that’s how it should be))) the only thing that didn’t “please” was that the depth of the hood is less than the IKEA wall cabinets, about 5 centimeters. I had to be a little tricky when installing.</v>
      </c>
    </row>
    <row r="11108" spans="1:9" x14ac:dyDescent="0.3">
      <c r="A11108" s="1" t="s">
        <v>206</v>
      </c>
      <c r="B11108" s="1" t="s">
        <v>207</v>
      </c>
      <c r="C11108" s="1" t="s">
        <v>152</v>
      </c>
      <c r="D11108" s="1" t="s">
        <v>280</v>
      </c>
      <c r="E11108" s="1" t="s">
        <v>13981</v>
      </c>
      <c r="F11108" s="1" t="s">
        <v>15956</v>
      </c>
      <c r="G11108" s="1" t="s">
        <v>49</v>
      </c>
      <c r="H11108" s="1" t="s">
        <v>16</v>
      </c>
      <c r="I11108" s="1" t="str">
        <f ca="1">IFERROR(__xludf.DUMMYFUNCTION("GOOGLETRANSLATE(F11108, ""auto"", ""en"")
"),"the sound is not bad")</f>
        <v>the sound is not bad</v>
      </c>
    </row>
    <row r="11109" spans="1:9" x14ac:dyDescent="0.3">
      <c r="A11109" s="1" t="s">
        <v>61</v>
      </c>
      <c r="B11109" s="1" t="s">
        <v>318</v>
      </c>
      <c r="C11109" s="1" t="s">
        <v>69</v>
      </c>
      <c r="D11109" s="1" t="s">
        <v>280</v>
      </c>
      <c r="E11109" s="1" t="s">
        <v>454</v>
      </c>
      <c r="F11109" s="1" t="s">
        <v>15957</v>
      </c>
      <c r="G11109" s="1" t="s">
        <v>36</v>
      </c>
      <c r="H11109" s="1" t="s">
        <v>29</v>
      </c>
      <c r="I11109" s="1" t="str">
        <f ca="1">IFERROR(__xludf.DUMMYFUNCTION("GOOGLETRANSLATE(F11109, ""auto"", ""en"")
"),"Design, fire safety")</f>
        <v>Design, fire safety</v>
      </c>
    </row>
    <row r="11110" spans="1:9" x14ac:dyDescent="0.3">
      <c r="A11110" s="1" t="s">
        <v>519</v>
      </c>
      <c r="B11110" s="1" t="s">
        <v>3340</v>
      </c>
      <c r="C11110" s="1" t="s">
        <v>3571</v>
      </c>
      <c r="D11110" s="1" t="s">
        <v>75</v>
      </c>
      <c r="E11110" s="1" t="s">
        <v>517</v>
      </c>
      <c r="F11110" s="1" t="s">
        <v>15958</v>
      </c>
      <c r="G11110" s="1" t="s">
        <v>36</v>
      </c>
      <c r="H11110" s="1" t="s">
        <v>29</v>
      </c>
      <c r="I11110" s="1" t="str">
        <f ca="1">IFERROR(__xludf.DUMMYFUNCTION("GOOGLETRANSLATE(F11110, ""auto"", ""en"")
"),"Design, coating.")</f>
        <v>Design, coating.</v>
      </c>
    </row>
    <row r="11111" spans="1:9" x14ac:dyDescent="0.3">
      <c r="A11111" s="1" t="s">
        <v>282</v>
      </c>
      <c r="B11111" s="1" t="s">
        <v>283</v>
      </c>
      <c r="C11111" s="1" t="s">
        <v>284</v>
      </c>
      <c r="D11111" s="1" t="s">
        <v>11090</v>
      </c>
      <c r="E11111" s="1" t="s">
        <v>285</v>
      </c>
      <c r="F11111" s="1" t="s">
        <v>15959</v>
      </c>
      <c r="G11111" s="1" t="s">
        <v>28</v>
      </c>
      <c r="H11111" s="1" t="s">
        <v>29</v>
      </c>
      <c r="I11111" s="1" t="str">
        <f ca="1">IFERROR(__xludf.DUMMYFUNCTION("GOOGLETRANSLATE(F11111, ""auto"", ""en"")
"),"The first film was much funnier and more interesting.")</f>
        <v>The first film was much funnier and more interesting.</v>
      </c>
    </row>
    <row r="11112" spans="1:9" x14ac:dyDescent="0.3">
      <c r="A11112" s="1" t="s">
        <v>89</v>
      </c>
      <c r="B11112" s="1" t="s">
        <v>90</v>
      </c>
      <c r="C11112" s="1" t="s">
        <v>185</v>
      </c>
      <c r="D11112" s="1" t="s">
        <v>1055</v>
      </c>
      <c r="E11112" s="1" t="s">
        <v>15282</v>
      </c>
      <c r="F11112" s="1" t="s">
        <v>15960</v>
      </c>
      <c r="G11112" s="1" t="s">
        <v>36</v>
      </c>
      <c r="H11112" s="1" t="s">
        <v>29</v>
      </c>
      <c r="I11112" s="1" t="str">
        <f ca="1">IFERROR(__xludf.DUMMYFUNCTION("GOOGLETRANSLATE(F11112, ""auto"", ""en"")
"),"I bought it a year ago. I use it with pleasure. Convenient spacious removable bowl. Grinded it, shook it out, you can even wash it. And the brush is comfortable. I grind coffee, sugar, even eggshells for the garden and grass.")</f>
        <v>I bought it a year ago. I use it with pleasure. Convenient spacious removable bowl. Grinded it, shook it out, you can even wash it. And the brush is comfortable. I grind coffee, sugar, even eggshells for the garden and grass.</v>
      </c>
    </row>
    <row r="11113" spans="1:9" x14ac:dyDescent="0.3">
      <c r="A11113" s="1" t="s">
        <v>55</v>
      </c>
      <c r="B11113" s="1" t="s">
        <v>56</v>
      </c>
      <c r="C11113" s="1" t="s">
        <v>57</v>
      </c>
      <c r="D11113" s="1" t="s">
        <v>308</v>
      </c>
      <c r="E11113" s="1" t="s">
        <v>4058</v>
      </c>
      <c r="F11113" s="1" t="s">
        <v>15961</v>
      </c>
      <c r="G11113" s="1" t="s">
        <v>49</v>
      </c>
      <c r="H11113" s="1" t="s">
        <v>16</v>
      </c>
      <c r="I11113" s="1" t="str">
        <f ca="1">IFERROR(__xludf.DUMMYFUNCTION("GOOGLETRANSLATE(F11113, ""auto"", ""en"")
"),"It worked for about a week intermittently, then it started leaking completely. After half an hour or an hour, all the water flows out.")</f>
        <v>It worked for about a week intermittently, then it started leaking completely. After half an hour or an hour, all the water flows out.</v>
      </c>
    </row>
    <row r="11114" spans="1:9" x14ac:dyDescent="0.3">
      <c r="A11114" s="1" t="s">
        <v>95</v>
      </c>
      <c r="B11114" s="1" t="s">
        <v>486</v>
      </c>
      <c r="C11114" s="1" t="s">
        <v>487</v>
      </c>
      <c r="D11114" s="1" t="s">
        <v>4018</v>
      </c>
      <c r="E11114" s="1" t="s">
        <v>400</v>
      </c>
      <c r="F11114" s="1" t="s">
        <v>15962</v>
      </c>
      <c r="G11114" s="1" t="s">
        <v>36</v>
      </c>
      <c r="H11114" s="1" t="s">
        <v>29</v>
      </c>
      <c r="I11114" s="1" t="str">
        <f ca="1">IFERROR(__xludf.DUMMYFUNCTION("GOOGLETRANSLATE(F11114, ""auto"", ""en"")
"),"1.5 times with marriage")</f>
        <v>1.5 times with marriage</v>
      </c>
    </row>
    <row r="11115" spans="1:9" x14ac:dyDescent="0.3">
      <c r="A11115" s="1" t="s">
        <v>67</v>
      </c>
      <c r="B11115" s="1" t="s">
        <v>68</v>
      </c>
      <c r="C11115" s="1" t="s">
        <v>381</v>
      </c>
      <c r="D11115" s="1" t="s">
        <v>247</v>
      </c>
      <c r="E11115" s="1" t="s">
        <v>3402</v>
      </c>
      <c r="F11115" s="1" t="s">
        <v>15963</v>
      </c>
      <c r="G11115" s="1" t="s">
        <v>36</v>
      </c>
      <c r="H11115" s="1" t="s">
        <v>29</v>
      </c>
      <c r="I11115" s="1" t="str">
        <f ca="1">IFERROR(__xludf.DUMMYFUNCTION("GOOGLETRANSLATE(F11115, ""auto"", ""en"")
"),"Great iron! I’ve been using it for 2 years now when traveling and not only (very convenient for children’s clothes), this is a full-fledged iron, only smaller in size.")</f>
        <v>Great iron! I’ve been using it for 2 years now when traveling and not only (very convenient for children’s clothes), this is a full-fledged iron, only smaller in size.</v>
      </c>
    </row>
    <row r="11116" spans="1:9" x14ac:dyDescent="0.3">
      <c r="A11116" s="1" t="s">
        <v>61</v>
      </c>
      <c r="B11116" s="1" t="s">
        <v>977</v>
      </c>
      <c r="C11116" s="1" t="s">
        <v>63</v>
      </c>
      <c r="D11116" s="1" t="s">
        <v>1241</v>
      </c>
      <c r="E11116" s="1" t="s">
        <v>2622</v>
      </c>
      <c r="F11116" s="1" t="s">
        <v>15964</v>
      </c>
      <c r="G11116" s="1" t="s">
        <v>36</v>
      </c>
      <c r="H11116" s="1" t="s">
        <v>29</v>
      </c>
      <c r="I11116" s="1" t="str">
        <f ca="1">IFERROR(__xludf.DUMMYFUNCTION("GOOGLETRANSLATE(F11116, ""auto"", ""en"")
"),"An excellent mixer, it whips up both dough and egg whites amazingly, I’m very pleased.")</f>
        <v>An excellent mixer, it whips up both dough and egg whites amazingly, I’m very pleased.</v>
      </c>
    </row>
    <row r="11117" spans="1:9" x14ac:dyDescent="0.3">
      <c r="A11117" s="1" t="s">
        <v>43</v>
      </c>
      <c r="B11117" s="1" t="s">
        <v>502</v>
      </c>
      <c r="C11117" s="1" t="s">
        <v>138</v>
      </c>
      <c r="D11117" s="1" t="s">
        <v>152</v>
      </c>
      <c r="E11117" s="1" t="s">
        <v>649</v>
      </c>
      <c r="F11117" s="1" t="s">
        <v>15965</v>
      </c>
      <c r="G11117" s="1" t="s">
        <v>36</v>
      </c>
      <c r="H11117" s="1" t="s">
        <v>29</v>
      </c>
      <c r="I11117" s="1" t="str">
        <f ca="1">IFERROR(__xludf.DUMMYFUNCTION("GOOGLETRANSLATE(F11117, ""auto"", ""en"")
"),"I bought a Conder 2 months ago%%% super thing! for 8 t.r., cools an apartment of 65 sq.m., just awesome!!! I recommend it to everyone!!")</f>
        <v>I bought a Conder 2 months ago%%% super thing! for 8 t.r., cools an apartment of 65 sq.m., just awesome!!! I recommend it to everyone!!</v>
      </c>
    </row>
    <row r="11118" spans="1:9" x14ac:dyDescent="0.3">
      <c r="A11118" s="1" t="s">
        <v>105</v>
      </c>
      <c r="B11118" s="1" t="s">
        <v>106</v>
      </c>
      <c r="C11118" s="1" t="s">
        <v>1209</v>
      </c>
      <c r="D11118" s="1" t="s">
        <v>15966</v>
      </c>
      <c r="E11118" s="1" t="s">
        <v>3537</v>
      </c>
      <c r="F11118" s="1" t="s">
        <v>15967</v>
      </c>
      <c r="G11118" s="1" t="s">
        <v>28</v>
      </c>
      <c r="H11118" s="1" t="s">
        <v>29</v>
      </c>
      <c r="I11118" s="1" t="str">
        <f ca="1">IFERROR(__xludf.DUMMYFUNCTION("GOOGLETRANSLATE(F11118, ""auto"", ""en"")
"),"The player sounds great. Design, weight, thickness are all at a good level. My touch buttons work well, there have never been any glitches. BUT: 1) on the disk that comes with the player, the video converter does not work with all video files, so it’s bet"&amp;"ter to immediately look for a similar one on the Internet.   2) the headphone jack broke after 3-4 months.   3) one earphone crackles at maximum volume.  Otherwise, I like everything, everything suits me. My rating for the device is 4.")</f>
        <v>The player sounds great. Design, weight, thickness are all at a good level. My touch buttons work well, there have never been any glitches. BUT: 1) on the disk that comes with the player, the video converter does not work with all video files, so it’s better to immediately look for a similar one on the Internet.   2) the headphone jack broke after 3-4 months.   3) one earphone crackles at maximum volume.  Otherwise, I like everything, everything suits me. My rating for the device is 4.</v>
      </c>
    </row>
    <row r="11119" spans="1:9" x14ac:dyDescent="0.3">
      <c r="A11119" s="1" t="s">
        <v>61</v>
      </c>
      <c r="B11119" s="1" t="s">
        <v>318</v>
      </c>
      <c r="C11119" s="1" t="s">
        <v>246</v>
      </c>
      <c r="D11119" s="1" t="s">
        <v>327</v>
      </c>
      <c r="E11119" s="1" t="s">
        <v>201</v>
      </c>
      <c r="F11119" s="1" t="s">
        <v>15968</v>
      </c>
      <c r="G11119" s="1" t="s">
        <v>28</v>
      </c>
      <c r="H11119" s="1" t="s">
        <v>29</v>
      </c>
      <c r="I11119" s="1" t="str">
        <f ca="1">IFERROR(__xludf.DUMMYFUNCTION("GOOGLETRANSLATE(F11119, ""auto"", ""en"")
"),"The kettle worked for at least 2.5 years.  The design is cool, but my wife is tired of scrubbing stains off stainless steel.  I had a little bit from all the previous reviews: a terrible crackling sound, strong heating of the surface, the handle peeled of"&amp;"f, refusal to turn off. Once I went into the kitchen, and there was horror: the lid opened on its own, the whole set and the wall were covered in drops of water. In short, in the end, all the plastic filling of the lid crumbled, and most importantly, the "&amp;"tongue (latch) itself. No one is going to repair it, so now I’ve called the service center and I’ll try to order a new cover assembly. At least I’ll take it to work - it’s expensive, it’s a waste of money ((")</f>
        <v>The kettle worked for at least 2.5 years.  The design is cool, but my wife is tired of scrubbing stains off stainless steel.  I had a little bit from all the previous reviews: a terrible crackling sound, strong heating of the surface, the handle peeled off, refusal to turn off. Once I went into the kitchen, and there was horror: the lid opened on its own, the whole set and the wall were covered in drops of water. In short, in the end, all the plastic filling of the lid crumbled, and most importantly, the tongue (latch) itself. No one is going to repair it, so now I’ve called the service center and I’ll try to order a new cover assembly. At least I’ll take it to work - it’s expensive, it’s a waste of money ((</v>
      </c>
    </row>
    <row r="11120" spans="1:9" x14ac:dyDescent="0.3">
      <c r="A11120" s="1" t="s">
        <v>149</v>
      </c>
      <c r="B11120" s="1" t="s">
        <v>155</v>
      </c>
      <c r="C11120" s="1" t="s">
        <v>63</v>
      </c>
      <c r="D11120" s="1" t="s">
        <v>749</v>
      </c>
      <c r="E11120" s="1" t="s">
        <v>862</v>
      </c>
      <c r="F11120" s="1" t="s">
        <v>15969</v>
      </c>
      <c r="G11120" s="1" t="s">
        <v>49</v>
      </c>
      <c r="H11120" s="1" t="s">
        <v>16</v>
      </c>
      <c r="I11120" s="1" t="str">
        <f ca="1">IFERROR(__xludf.DUMMYFUNCTION("GOOGLETRANSLATE(F11120, ""auto"", ""en"")
"),"Aha, quiet, powerful, reliable... in fact... a dull ordinary container... cons: it stinks, can’t be cleaned after cleaning... the second container (cat hair is wound up) hepa 14.... it’s questionable how many times it can be washed... it’s paper... I chan"&amp;"ge it in the car every year")</f>
        <v>Aha, quiet, powerful, reliable... in fact... a dull ordinary container... cons: it stinks, can’t be cleaned after cleaning... the second container (cat hair is wound up) hepa 14.... it’s questionable how many times it can be washed... it’s paper... I change it in the car every year</v>
      </c>
    </row>
    <row r="11121" spans="1:9" x14ac:dyDescent="0.3">
      <c r="A11121" s="1" t="s">
        <v>61</v>
      </c>
      <c r="B11121" s="1" t="s">
        <v>318</v>
      </c>
      <c r="C11121" s="1" t="s">
        <v>69</v>
      </c>
      <c r="D11121" s="1" t="s">
        <v>621</v>
      </c>
      <c r="E11121" s="1" t="s">
        <v>8694</v>
      </c>
      <c r="F11121" s="1" t="s">
        <v>15970</v>
      </c>
      <c r="G11121" s="1" t="s">
        <v>28</v>
      </c>
      <c r="H11121" s="1" t="s">
        <v>29</v>
      </c>
      <c r="I11121" s="1" t="str">
        <f ca="1">IFERROR(__xludf.DUMMYFUNCTION("GOOGLETRANSLATE(F11121, ""auto"", ""en"")
"),"A good kettle, without any bells and whistles. It’s good that the kettle lid opens manually and not with a button (which breaks down on many kettles over time). The only drawback is that there is no operation indicator and 1.5 liters may seem too small fo"&amp;"r some.")</f>
        <v>A good kettle, without any bells and whistles. It’s good that the kettle lid opens manually and not with a button (which breaks down on many kettles over time). The only drawback is that there is no operation indicator and 1.5 liters may seem too small for some.</v>
      </c>
    </row>
    <row r="11122" spans="1:9" x14ac:dyDescent="0.3">
      <c r="A11122" s="1" t="s">
        <v>61</v>
      </c>
      <c r="B11122" s="1" t="s">
        <v>180</v>
      </c>
      <c r="C11122" s="1" t="s">
        <v>101</v>
      </c>
      <c r="D11122" s="1" t="s">
        <v>471</v>
      </c>
      <c r="E11122" s="1" t="s">
        <v>388</v>
      </c>
      <c r="F11122" s="1" t="s">
        <v>15971</v>
      </c>
      <c r="G11122" s="1" t="s">
        <v>36</v>
      </c>
      <c r="H11122" s="1" t="s">
        <v>29</v>
      </c>
      <c r="I11122" s="1" t="str">
        <f ca="1">IFERROR(__xludf.DUMMYFUNCTION("GOOGLETRANSLATE(F11122, ""auto"", ""en"")
"),"Easy to clean. Prepares delicious sandwiches")</f>
        <v>Easy to clean. Prepares delicious sandwiches</v>
      </c>
    </row>
    <row r="11123" spans="1:9" x14ac:dyDescent="0.3">
      <c r="A11123" s="1" t="s">
        <v>206</v>
      </c>
      <c r="B11123" s="1" t="s">
        <v>1253</v>
      </c>
      <c r="C11123" s="1" t="s">
        <v>1254</v>
      </c>
      <c r="D11123" s="1" t="s">
        <v>52</v>
      </c>
      <c r="E11123" s="1" t="s">
        <v>4409</v>
      </c>
      <c r="F11123" s="1" t="s">
        <v>15972</v>
      </c>
      <c r="G11123" s="1" t="s">
        <v>36</v>
      </c>
      <c r="H11123" s="1" t="s">
        <v>29</v>
      </c>
      <c r="I11123" s="1" t="str">
        <f ca="1">IFERROR(__xludf.DUMMYFUNCTION("GOOGLETRANSLATE(F11123, ""auto"", ""en"")
"),"Excellent walkie-talkie, high-quality conversation, tested it in the city with dense buildings from house to house for 2 km, but you just need to go to the window.")</f>
        <v>Excellent walkie-talkie, high-quality conversation, tested it in the city with dense buildings from house to house for 2 km, but you just need to go to the window.</v>
      </c>
    </row>
    <row r="11124" spans="1:9" x14ac:dyDescent="0.3">
      <c r="A11124" s="1" t="s">
        <v>30</v>
      </c>
      <c r="B11124" s="1" t="s">
        <v>31</v>
      </c>
      <c r="C11124" s="1" t="s">
        <v>32</v>
      </c>
      <c r="D11124" s="1" t="s">
        <v>172</v>
      </c>
      <c r="E11124" s="1" t="s">
        <v>1207</v>
      </c>
      <c r="F11124" s="1" t="s">
        <v>15973</v>
      </c>
      <c r="G11124" s="1" t="s">
        <v>49</v>
      </c>
      <c r="H11124" s="1" t="s">
        <v>16</v>
      </c>
      <c r="I11124" s="1" t="str">
        <f ca="1">IFERROR(__xludf.DUMMYFUNCTION("GOOGLETRANSLATE(F11124, ""auto"", ""en"")
"),"The computer freezes regularly, both in games and in movies. What kind of quality can we talk about here? solid unit")</f>
        <v>The computer freezes regularly, both in games and in movies. What kind of quality can we talk about here? solid unit</v>
      </c>
    </row>
    <row r="11125" spans="1:9" x14ac:dyDescent="0.3">
      <c r="A11125" s="1" t="s">
        <v>206</v>
      </c>
      <c r="B11125" s="1" t="s">
        <v>207</v>
      </c>
      <c r="C11125" s="1" t="s">
        <v>351</v>
      </c>
      <c r="D11125" s="1" t="s">
        <v>86</v>
      </c>
      <c r="E11125" s="1" t="s">
        <v>2308</v>
      </c>
      <c r="F11125" s="1" t="s">
        <v>15974</v>
      </c>
      <c r="G11125" s="1" t="s">
        <v>36</v>
      </c>
      <c r="H11125" s="1" t="s">
        <v>29</v>
      </c>
      <c r="I11125" s="1" t="str">
        <f ca="1">IFERROR(__xludf.DUMMYFUNCTION("GOOGLETRANSLATE(F11125, ""auto"", ""en"")
"),"I put the station wagon in the Kalina today, honestly I didn’t expect such pumping, the bass is adjustable from hard to soft. At first it was buzzing, but I turned down the bass boost to almost 0. Let's see how long it lasts, I'm 150% satisfied with the s"&amp;"et")</f>
        <v>I put the station wagon in the Kalina today, honestly I didn’t expect such pumping, the bass is adjustable from hard to soft. At first it was buzzing, but I turned down the bass boost to almost 0. Let's see how long it lasts, I'm 150% satisfied with the set</v>
      </c>
    </row>
    <row r="11126" spans="1:9" x14ac:dyDescent="0.3">
      <c r="A11126" s="1" t="s">
        <v>17</v>
      </c>
      <c r="B11126" s="1" t="s">
        <v>18</v>
      </c>
      <c r="C11126" s="1" t="s">
        <v>243</v>
      </c>
      <c r="D11126" s="1" t="s">
        <v>61</v>
      </c>
      <c r="E11126" s="1" t="s">
        <v>1742</v>
      </c>
      <c r="F11126" s="1" t="s">
        <v>15975</v>
      </c>
      <c r="G11126" s="1" t="s">
        <v>36</v>
      </c>
      <c r="H11126" s="1" t="s">
        <v>29</v>
      </c>
      <c r="I11126" s="1" t="str">
        <f ca="1">IFERROR(__xludf.DUMMYFUNCTION("GOOGLETRANSLATE(F11126, ""auto"", ""en"")
"),"I really like the car! True, like most people, I didn’t read the instructions the first time, they connected it.... It rattled terribly... Even at first I was disappointed. But everything turned out to be tritely simple; we did not tighten the shipping bo"&amp;"lts during installation! We did everything, and voila... It works quietly. not a machine, but gold))) Purchased from M.video via the Internet) p.s.: Read the instructions carefully before installation!!!!")</f>
        <v>I really like the car! True, like most people, I didn’t read the instructions the first time, they connected it.... It rattled terribly... Even at first I was disappointed. But everything turned out to be tritely simple; we did not tighten the shipping bolts during installation! We did everything, and voila... It works quietly. not a machine, but gold))) Purchased from M.video via the Internet) p.s.: Read the instructions carefully before installation!!!!</v>
      </c>
    </row>
    <row r="11127" spans="1:9" x14ac:dyDescent="0.3">
      <c r="A11127" s="1" t="s">
        <v>149</v>
      </c>
      <c r="B11127" s="1" t="s">
        <v>576</v>
      </c>
      <c r="C11127" s="1" t="s">
        <v>85</v>
      </c>
      <c r="D11127" s="1" t="s">
        <v>695</v>
      </c>
      <c r="E11127" s="1" t="s">
        <v>1494</v>
      </c>
      <c r="F11127" s="1" t="s">
        <v>15976</v>
      </c>
      <c r="G11127" s="1" t="s">
        <v>49</v>
      </c>
      <c r="H11127" s="1" t="s">
        <v>16</v>
      </c>
      <c r="I11127" s="1" t="str">
        <f ca="1">IFERROR(__xludf.DUMMYFUNCTION("GOOGLETRANSLATE(F11127, ""auto"", ""en"")
"),"This vacuum cleaner is nonsense. Overheating protection is triggered and it does not suck at all. Money down the drain")</f>
        <v>This vacuum cleaner is nonsense. Overheating protection is triggered and it does not suck at all. Money down the drain</v>
      </c>
    </row>
    <row r="11128" spans="1:9" x14ac:dyDescent="0.3">
      <c r="A11128" s="1" t="s">
        <v>67</v>
      </c>
      <c r="B11128" s="1" t="s">
        <v>68</v>
      </c>
      <c r="C11128" s="1" t="s">
        <v>69</v>
      </c>
      <c r="D11128" s="1" t="s">
        <v>1004</v>
      </c>
      <c r="E11128" s="1" t="s">
        <v>12311</v>
      </c>
      <c r="F11128" s="1" t="s">
        <v>15977</v>
      </c>
      <c r="G11128" s="1" t="s">
        <v>36</v>
      </c>
      <c r="H11128" s="1" t="s">
        <v>29</v>
      </c>
      <c r="I11128" s="1" t="str">
        <f ca="1">IFERROR(__xludf.DUMMYFUNCTION("GOOGLETRANSLATE(F11128, ""auto"", ""en"")
"),"An excellent iron, many functions, fits comfortably in the hand, optimal weight, irons perfectly. I recommend it to everyone.")</f>
        <v>An excellent iron, many functions, fits comfortably in the hand, optimal weight, irons perfectly. I recommend it to everyone.</v>
      </c>
    </row>
    <row r="11129" spans="1:9" x14ac:dyDescent="0.3">
      <c r="A11129" s="1" t="s">
        <v>37</v>
      </c>
      <c r="B11129" s="1" t="s">
        <v>38</v>
      </c>
      <c r="C11129" s="1" t="s">
        <v>163</v>
      </c>
      <c r="D11129" s="1" t="s">
        <v>1143</v>
      </c>
      <c r="E11129" s="1" t="s">
        <v>3805</v>
      </c>
      <c r="F11129" s="1" t="s">
        <v>15978</v>
      </c>
      <c r="G11129" s="1" t="s">
        <v>36</v>
      </c>
      <c r="H11129" s="1" t="s">
        <v>29</v>
      </c>
      <c r="I11129" s="1" t="str">
        <f ca="1">IFERROR(__xludf.DUMMYFUNCTION("GOOGLETRANSLATE(F11129, ""auto"", ""en"")
"),"The phone is what you need, although it may slow down, but it doesn’t matter. yells loudly, but if you set the equalizer to full volume you can go deaf, well, the camera is bad, well, you should never consider a camera on a phone a camera, I really liked "&amp;"it, definitely buy it")</f>
        <v>The phone is what you need, although it may slow down, but it doesn’t matter. yells loudly, but if you set the equalizer to full volume you can go deaf, well, the camera is bad, well, you should never consider a camera on a phone a camera, I really liked it, definitely buy it</v>
      </c>
    </row>
    <row r="11130" spans="1:9" x14ac:dyDescent="0.3">
      <c r="A11130" s="1" t="s">
        <v>67</v>
      </c>
      <c r="B11130" s="1" t="s">
        <v>68</v>
      </c>
      <c r="C11130" s="1" t="s">
        <v>85</v>
      </c>
      <c r="D11130" s="1" t="s">
        <v>695</v>
      </c>
      <c r="E11130" s="1" t="s">
        <v>15979</v>
      </c>
      <c r="F11130" s="1" t="s">
        <v>15980</v>
      </c>
      <c r="G11130" s="1" t="s">
        <v>49</v>
      </c>
      <c r="H11130" s="1" t="s">
        <v>16</v>
      </c>
      <c r="I11130" s="1" t="str">
        <f ca="1">IFERROR(__xludf.DUMMYFUNCTION("GOOGLETRANSLATE(F11130, ""auto"", ""en"")
"),"Plus, I can only give a 5 rating to the consultant who sold me this iron (I came for another model from another company, having first looked at the reviews on the Internet). As a result... they ""fooled"" me... the anti-drip system does not work - there a"&amp;"re always water stains on clothes during ironing, and yesterday the iron began to leave yellow spots on white things... I think from the water, although the sales assistant assured me that there was a built-in filter! Irons decently only on maximum mode a"&amp;"nd with a full compartment with water! To summarize: it’s not worth the money, I definitely don’t recommend purchasing it!")</f>
        <v>Plus, I can only give a 5 rating to the consultant who sold me this iron (I came for another model from another company, having first looked at the reviews on the Internet). As a result... they "fooled" me... the anti-drip system does not work - there are always water stains on clothes during ironing, and yesterday the iron began to leave yellow spots on white things... I think from the water, although the sales assistant assured me that there was a built-in filter! Irons decently only on maximum mode and with a full compartment with water! To summarize: it’s not worth the money, I definitely don’t recommend purchasing it!</v>
      </c>
    </row>
    <row r="11131" spans="1:9" x14ac:dyDescent="0.3">
      <c r="A11131" s="1" t="s">
        <v>120</v>
      </c>
      <c r="B11131" s="1" t="s">
        <v>196</v>
      </c>
      <c r="C11131" s="1" t="s">
        <v>69</v>
      </c>
      <c r="D11131" s="1" t="s">
        <v>11833</v>
      </c>
      <c r="E11131" s="1" t="s">
        <v>3626</v>
      </c>
      <c r="F11131" s="1" t="s">
        <v>15981</v>
      </c>
      <c r="G11131" s="1" t="s">
        <v>36</v>
      </c>
      <c r="H11131" s="1" t="s">
        <v>29</v>
      </c>
      <c r="I11131" s="1" t="str">
        <f ca="1">IFERROR(__xludf.DUMMYFUNCTION("GOOGLETRANSLATE(F11131, ""auto"", ""en"")
"),"The TV is excellent! I have no complaints about it. It shows and reads everything))))). My family and I are very happy. Take it, buy it, you won’t regret it LCD TV 42"" Philips 42 PFL 8694H|12 !!! no less than the eighth series!!! thank you!")</f>
        <v>The TV is excellent! I have no complaints about it. It shows and reads everything))))). My family and I are very happy. Take it, buy it, you won’t regret it LCD TV 42" Philips 42 PFL 8694H|12 !!! no less than the eighth series!!! thank you!</v>
      </c>
    </row>
    <row r="11132" spans="1:9" x14ac:dyDescent="0.3">
      <c r="A11132" s="1" t="s">
        <v>211</v>
      </c>
      <c r="B11132" s="1" t="s">
        <v>212</v>
      </c>
      <c r="C11132" s="1" t="s">
        <v>381</v>
      </c>
      <c r="D11132" s="1" t="s">
        <v>922</v>
      </c>
      <c r="E11132" s="1" t="s">
        <v>3320</v>
      </c>
      <c r="F11132" s="1" t="s">
        <v>15982</v>
      </c>
      <c r="G11132" s="1" t="s">
        <v>28</v>
      </c>
      <c r="H11132" s="1" t="s">
        <v>29</v>
      </c>
      <c r="I11132" s="1" t="str">
        <f ca="1">IFERROR(__xludf.DUMMYFUNCTION("GOOGLETRANSLATE(F11132, ""auto"", ""en"")
"),"I liked the hairdryer both in appearance and in its functions, but the disadvantages are that it is heavy, the cord is short, and the handle is not very comfortable due to the location of the front buttons. But I don't regret buying this hair dryer.")</f>
        <v>I liked the hairdryer both in appearance and in its functions, but the disadvantages are that it is heavy, the cord is short, and the handle is not very comfortable due to the location of the front buttons. But I don't regret buying this hair dryer.</v>
      </c>
    </row>
    <row r="11133" spans="1:9" x14ac:dyDescent="0.3">
      <c r="A11133" s="1" t="s">
        <v>55</v>
      </c>
      <c r="B11133" s="1" t="s">
        <v>56</v>
      </c>
      <c r="C11133" s="1" t="s">
        <v>57</v>
      </c>
      <c r="D11133" s="1" t="s">
        <v>33</v>
      </c>
      <c r="E11133" s="1" t="s">
        <v>2569</v>
      </c>
      <c r="F11133" s="1" t="s">
        <v>15983</v>
      </c>
      <c r="G11133" s="1" t="s">
        <v>36</v>
      </c>
      <c r="H11133" s="1" t="s">
        <v>29</v>
      </c>
      <c r="I11133" s="1" t="str">
        <f ca="1">IFERROR(__xludf.DUMMYFUNCTION("GOOGLETRANSLATE(F11133, ""auto"", ""en"")
"),"Moisturizes with a bang!!!")</f>
        <v>Moisturizes with a bang!!!</v>
      </c>
    </row>
    <row r="11134" spans="1:9" x14ac:dyDescent="0.3">
      <c r="A11134" s="1" t="s">
        <v>61</v>
      </c>
      <c r="B11134" s="1" t="s">
        <v>180</v>
      </c>
      <c r="C11134" s="1" t="s">
        <v>74</v>
      </c>
      <c r="D11134" s="1" t="s">
        <v>139</v>
      </c>
      <c r="E11134" s="1" t="s">
        <v>7300</v>
      </c>
      <c r="F11134" s="1" t="s">
        <v>15984</v>
      </c>
      <c r="G11134" s="1" t="s">
        <v>36</v>
      </c>
      <c r="H11134" s="1" t="s">
        <v>29</v>
      </c>
      <c r="I11134" s="1" t="str">
        <f ca="1">IFERROR(__xludf.DUMMYFUNCTION("GOOGLETRANSLATE(F11134, ""auto"", ""en"")
"),"I had a negative attitude towards such devices, why would one unnecessary item in the kitchen “disappear” with a wire sticking out.  Doubts were instantly dispelled when the wife prepared a Sandwich “of course not alone.” A piece of sausage with cheese an"&amp;"d a slice of cucumber baked between two slices of bread gave me a storm of positive emotions. This device is needed; it prepares not only a sandwich, but also Viennese waffles, which are also very tasty. Having looked through the Internet, I found the pre"&amp;"paration of scrambled eggs on this miracle device.  A French idea made in China, the assembly, by the way, is of very high quality. Very easy to use, easy to clean replacement molds. I recommend it.")</f>
        <v>I had a negative attitude towards such devices, why would one unnecessary item in the kitchen “disappear” with a wire sticking out.  Doubts were instantly dispelled when the wife prepared a Sandwich “of course not alone.” A piece of sausage with cheese and a slice of cucumber baked between two slices of bread gave me a storm of positive emotions. This device is needed; it prepares not only a sandwich, but also Viennese waffles, which are also very tasty. Having looked through the Internet, I found the preparation of scrambled eggs on this miracle device.  A French idea made in China, the assembly, by the way, is of very high quality. Very easy to use, easy to clean replacement molds. I recommend it.</v>
      </c>
    </row>
    <row r="11135" spans="1:9" x14ac:dyDescent="0.3">
      <c r="A11135" s="1" t="s">
        <v>965</v>
      </c>
      <c r="B11135" s="1" t="s">
        <v>966</v>
      </c>
      <c r="C11135" s="1" t="s">
        <v>2149</v>
      </c>
      <c r="D11135" s="1" t="s">
        <v>327</v>
      </c>
      <c r="E11135" s="1" t="s">
        <v>209</v>
      </c>
      <c r="F11135" s="1" t="s">
        <v>15985</v>
      </c>
      <c r="G11135" s="1" t="s">
        <v>49</v>
      </c>
      <c r="H11135" s="1" t="s">
        <v>16</v>
      </c>
      <c r="I11135" s="1" t="str">
        <f ca="1">IFERROR(__xludf.DUMMYFUNCTION("GOOGLETRANSLATE(F11135, ""auto"", ""en"")
"),"The front speakers burned out after 1 month. for this money it’s easier to buy car acoustics and throw wires on the speakers for 500 rubles. The sub doesn't pump at all, you can go straight to the landfill")</f>
        <v>The front speakers burned out after 1 month. for this money it’s easier to buy car acoustics and throw wires on the speakers for 500 rubles. The sub doesn't pump at all, you can go straight to the landfill</v>
      </c>
    </row>
    <row r="11136" spans="1:9" x14ac:dyDescent="0.3">
      <c r="A11136" s="1" t="s">
        <v>105</v>
      </c>
      <c r="B11136" s="1" t="s">
        <v>106</v>
      </c>
      <c r="C11136" s="1" t="s">
        <v>107</v>
      </c>
      <c r="D11136" s="1" t="s">
        <v>15986</v>
      </c>
      <c r="E11136" s="1" t="s">
        <v>2360</v>
      </c>
      <c r="F11136" s="1" t="s">
        <v>15987</v>
      </c>
      <c r="G11136" s="1" t="s">
        <v>28</v>
      </c>
      <c r="H11136" s="1" t="s">
        <v>29</v>
      </c>
      <c r="I11136" s="1" t="str">
        <f ca="1">IFERROR(__xludf.DUMMYFUNCTION("GOOGLETRANSLATE(F11136, ""auto"", ""en"")
"),"IS THE VIDEO SLOGGING?  have you tried convention? Only a crazy person would upload movies larger than 700MB, without converting. You compress the video to fit the screen, and there is less memory and no slowdown. You should also stream quality Blu-ray fi"&amp;"lms... I bought a USB charger and I’m glad, if only there was more charge...)")</f>
        <v>IS THE VIDEO SLOGGING?  have you tried convention? Only a crazy person would upload movies larger than 700MB, without converting. You compress the video to fit the screen, and there is less memory and no slowdown. You should also stream quality Blu-ray films... I bought a USB charger and I’m glad, if only there was more charge...)</v>
      </c>
    </row>
    <row r="11137" spans="1:9" x14ac:dyDescent="0.3">
      <c r="A11137" s="1" t="s">
        <v>30</v>
      </c>
      <c r="B11137" s="1" t="s">
        <v>31</v>
      </c>
      <c r="C11137" s="1" t="s">
        <v>32</v>
      </c>
      <c r="D11137" s="1" t="s">
        <v>39</v>
      </c>
      <c r="E11137" s="1" t="s">
        <v>696</v>
      </c>
      <c r="F11137" s="1" t="s">
        <v>15988</v>
      </c>
      <c r="G11137" s="1" t="s">
        <v>36</v>
      </c>
      <c r="H11137" s="1" t="s">
        <v>29</v>
      </c>
      <c r="I11137" s="1" t="str">
        <f ca="1">IFERROR(__xludf.DUMMYFUNCTION("GOOGLETRANSLATE(F11137, ""auto"", ""en"")
"),"This computer is simply a masterpiece, and for such a price, any schoolchild will be happy) the motherboard is just not very good and the 32x system is otherwise great, and the video card is worth it and will only go on sale separately in December")</f>
        <v>This computer is simply a masterpiece, and for such a price, any schoolchild will be happy) the motherboard is just not very good and the 32x system is otherwise great, and the video card is worth it and will only go on sale separately in December</v>
      </c>
    </row>
    <row r="11138" spans="1:9" x14ac:dyDescent="0.3">
      <c r="A11138" s="1" t="s">
        <v>17</v>
      </c>
      <c r="B11138" s="1" t="s">
        <v>18</v>
      </c>
      <c r="C11138" s="1" t="s">
        <v>151</v>
      </c>
      <c r="D11138" s="1" t="s">
        <v>232</v>
      </c>
      <c r="E11138" s="1" t="s">
        <v>1267</v>
      </c>
      <c r="F11138" s="1" t="s">
        <v>15989</v>
      </c>
      <c r="G11138" s="1" t="s">
        <v>15</v>
      </c>
      <c r="H11138" s="1" t="s">
        <v>16</v>
      </c>
      <c r="I11138" s="1" t="str">
        <f ca="1">IFERROR(__xludf.DUMMYFUNCTION("GOOGLETRANSLATE(F11138, ""auto"", ""en"")
"),"When I first turned it on, nothing turned on. I called the store and will change it tomorrow.")</f>
        <v>When I first turned it on, nothing turned on. I called the store and will change it tomorrow.</v>
      </c>
    </row>
    <row r="11139" spans="1:9" x14ac:dyDescent="0.3">
      <c r="A11139" s="1" t="s">
        <v>30</v>
      </c>
      <c r="B11139" s="1" t="s">
        <v>50</v>
      </c>
      <c r="C11139" s="1" t="s">
        <v>32</v>
      </c>
      <c r="D11139" s="1" t="s">
        <v>139</v>
      </c>
      <c r="E11139" s="1" t="s">
        <v>4327</v>
      </c>
      <c r="F11139" s="1" t="s">
        <v>15990</v>
      </c>
      <c r="G11139" s="1" t="s">
        <v>28</v>
      </c>
      <c r="H11139" s="1" t="s">
        <v>29</v>
      </c>
      <c r="I11139" s="1" t="str">
        <f ca="1">IFERROR(__xludf.DUMMYFUNCTION("GOOGLETRANSLATE(F11139, ""auto"", ""en"")
"),"Before buying, I searched through a lot of online resources about Mobile PCs, I can confidently say at the price of a Computer!!  The disadvantages are quiet sound (subjective opinion), lack of bluetooth.")</f>
        <v>Before buying, I searched through a lot of online resources about Mobile PCs, I can confidently say at the price of a Computer!!  The disadvantages are quiet sound (subjective opinion), lack of bluetooth.</v>
      </c>
    </row>
    <row r="11140" spans="1:9" x14ac:dyDescent="0.3">
      <c r="A11140" s="1" t="s">
        <v>120</v>
      </c>
      <c r="B11140" s="1" t="s">
        <v>121</v>
      </c>
      <c r="C11140" s="1" t="s">
        <v>1771</v>
      </c>
      <c r="D11140" s="1" t="s">
        <v>52</v>
      </c>
      <c r="E11140" s="1" t="s">
        <v>3652</v>
      </c>
      <c r="F11140" s="1" t="s">
        <v>15991</v>
      </c>
      <c r="G11140" s="1" t="s">
        <v>36</v>
      </c>
      <c r="H11140" s="1" t="s">
        <v>29</v>
      </c>
      <c r="I11140" s="1" t="str">
        <f ca="1">IFERROR(__xludf.DUMMYFUNCTION("GOOGLETRANSLATE(F11140, ""auto"", ""en"")
"),"I bought it about a week ago, under the STOP SALE promotion, it cost 36,000, which I was very happy about, because... I've been eyeing this model for a long time, but the price of 45,000 scared me off.  impressions of the purchase - super, the broadcast i"&amp;"s excellent, I’m not talking about DVD at all) what they write on many sites about thoughtfulness when switching channels - there is such a thing, 3 seconds... but on my old LG CRT it was 2 seconds, so whoever plans to buy - don’t pay attention to this li"&amp;"ttle thing!")</f>
        <v>I bought it about a week ago, under the STOP SALE promotion, it cost 36,000, which I was very happy about, because... I've been eyeing this model for a long time, but the price of 45,000 scared me off.  impressions of the purchase - super, the broadcast is excellent, I’m not talking about DVD at all) what they write on many sites about thoughtfulness when switching channels - there is such a thing, 3 seconds... but on my old LG CRT it was 2 seconds, so whoever plans to buy - don’t pay attention to this little thing!</v>
      </c>
    </row>
    <row r="11141" spans="1:9" x14ac:dyDescent="0.3">
      <c r="A11141" s="1" t="s">
        <v>95</v>
      </c>
      <c r="B11141" s="1" t="s">
        <v>11455</v>
      </c>
      <c r="C11141" s="1" t="s">
        <v>97</v>
      </c>
      <c r="D11141" s="1" t="s">
        <v>1329</v>
      </c>
      <c r="E11141" s="1" t="s">
        <v>3284</v>
      </c>
      <c r="F11141" s="1" t="s">
        <v>15992</v>
      </c>
      <c r="G11141" s="1" t="s">
        <v>36</v>
      </c>
      <c r="H11141" s="1" t="s">
        <v>29</v>
      </c>
      <c r="I11141" s="1" t="str">
        <f ca="1">IFERROR(__xludf.DUMMYFUNCTION("GOOGLETRANSLATE(F11141, ""auto"", ""en"")
"),"For a two-player game, do you need one camera and two joysticks or two cameras and two joysticks?")</f>
        <v>For a two-player game, do you need one camera and two joysticks or two cameras and two joysticks?</v>
      </c>
    </row>
    <row r="11142" spans="1:9" x14ac:dyDescent="0.3">
      <c r="A11142" s="1" t="s">
        <v>120</v>
      </c>
      <c r="B11142" s="1" t="s">
        <v>121</v>
      </c>
      <c r="C11142" s="1" t="s">
        <v>151</v>
      </c>
      <c r="D11142" s="1" t="s">
        <v>39</v>
      </c>
      <c r="E11142" s="1" t="s">
        <v>4327</v>
      </c>
      <c r="F11142" s="1" t="s">
        <v>15993</v>
      </c>
      <c r="G11142" s="1" t="s">
        <v>36</v>
      </c>
      <c r="H11142" s="1" t="s">
        <v>29</v>
      </c>
      <c r="I11142" s="1" t="str">
        <f ca="1">IFERROR(__xludf.DUMMYFUNCTION("GOOGLETRANSLATE(F11142, ""auto"", ""en"")
"),"Pros: 1. The image when watching DVD and Full HD is simply garbage.  2. It sees a 500GB hard drive without any problems. And it quickly reads both photos and music and movies (I have a WD my book screw). MKV 25 gigs read without brakes.  3.The stand rotat"&amp;"es - very convenient, especially when you need to connect or disconnect devices, you don’t have to move the TV itself, you rotate it and have full access to the back panel.  4. Design - of course 5. When watching television channels or movies on external "&amp;"players, for example, a regular DVD player, the image is converted to the TV format. Even Soviet cartoons in 4:3 format from a DVD player are converted without problems to 16:9, which is the best thing, quite harmoniously. There is no feeling that the pic"&amp;"ture is flattened.  6. When watching a movie through a regular DVD player, without HDMI support (via a SCART cable), there is not much difference compared to watching the same disc via HDMI, so you don’t have to worry about it and leave the old player, si"&amp;"nce you can still watch the main thing through the screw, both regular DVD rips and HD movies.   7. When digital cable HD television appears (they say it will be widespread in 10.11), it will be possible without additional. equipment to connect the TV, as"&amp;" there is a connector for LAN. And HD television will be received locally.    Cons: 1. If you want to watch MKV with a DTS track through a removable screw, using the TV's built-in player, forget about it. It doesn’t convert to stereo, so in the end: there"&amp;"’s a picture, but no sound. If you output sound via optics from the TV to the receiver, the result is the same - fig. Solution options: - buy a WD type media player, connect a screw to it, and connect it from the media player via optics to the receiver.  "&amp;"- buy a media player with a DTS decoder, in my opinion there are already such (Egreat).   - buy a blu-ray player (a lot of money, plus waste on discs), depending on who you want. I like better, but cheaper.  2. Movies with the VC1 video codec cannot be re"&amp;"ad; with VOBs there is another problem - it does not see the structure. That is, there is no menu like on a DVD and you have to switch everything to find the one you need - it’s not convenient.   3. You cannot change the image format when viewing from a s"&amp;"crew. If the source film is 4:3, then, alas, you can only watch it in 4:3, and there will be black vertical stripes along the edges. In this case, it is better to watch such a film on disk, then the TV will stretch everything as it should.  4. The sound o"&amp;"f the TV is rather weak. If the store said that there is, like, a special system that simulates 5.1 surround sound, don’t think that you can do without at least 2.1. systems. Otherwise you won’t feel the special effects.  5. Analogue television shows rath"&amp;"er poorly (it seems better on a regular tube TV), you have to wait for digital, the TV has a built-in digital TV tuner. Well, or HD television, as I wrote above.    You won't find a better choice for the money. Those who attach importance to the brand, be"&amp;"tter forget about these prejudices and, in the end, you will not regret it. I also thought I would buy Philips, but after carefully studying everything, the Korean is definitely better (or the Russian, they assemble it in Russia)")</f>
        <v>Pros: 1. The image when watching DVD and Full HD is simply garbage.  2. It sees a 500GB hard drive without any problems. And it quickly reads both photos and music and movies (I have a WD my book screw). MKV 25 gigs read without brakes.  3.The stand rotates - very convenient, especially when you need to connect or disconnect devices, you don’t have to move the TV itself, you rotate it and have full access to the back panel.  4. Design - of course 5. When watching television channels or movies on external players, for example, a regular DVD player, the image is converted to the TV format. Even Soviet cartoons in 4:3 format from a DVD player are converted without problems to 16:9, which is the best thing, quite harmoniously. There is no feeling that the picture is flattened.  6. When watching a movie through a regular DVD player, without HDMI support (via a SCART cable), there is not much difference compared to watching the same disc via HDMI, so you don’t have to worry about it and leave the old player, since you can still watch the main thing through the screw, both regular DVD rips and HD movies.   7. When digital cable HD television appears (they say it will be widespread in 10.11), it will be possible without additional. equipment to connect the TV, as there is a connector for LAN. And HD television will be received locally.    Cons: 1. If you want to watch MKV with a DTS track through a removable screw, using the TV's built-in player, forget about it. It doesn’t convert to stereo, so in the end: there’s a picture, but no sound. If you output sound via optics from the TV to the receiver, the result is the same - fig. Solution options: - buy a WD type media player, connect a screw to it, and connect it from the media player via optics to the receiver.  - buy a media player with a DTS decoder, in my opinion there are already such (Egreat).   - buy a blu-ray player (a lot of money, plus waste on discs), depending on who you want. I like better, but cheaper.  2. Movies with the VC1 video codec cannot be read; with VOBs there is another problem - it does not see the structure. That is, there is no menu like on a DVD and you have to switch everything to find the one you need - it’s not convenient.   3. You cannot change the image format when viewing from a screw. If the source film is 4:3, then, alas, you can only watch it in 4:3, and there will be black vertical stripes along the edges. In this case, it is better to watch such a film on disk, then the TV will stretch everything as it should.  4. The sound of the TV is rather weak. If the store said that there is, like, a special system that simulates 5.1 surround sound, don’t think that you can do without at least 2.1. systems. Otherwise you won’t feel the special effects.  5. Analogue television shows rather poorly (it seems better on a regular tube TV), you have to wait for digital, the TV has a built-in digital TV tuner. Well, or HD television, as I wrote above.    You won't find a better choice for the money. Those who attach importance to the brand, better forget about these prejudices and, in the end, you will not regret it. I also thought I would buy Philips, but after carefully studying everything, the Korean is definitely better (or the Russian, they assemble it in Russia)</v>
      </c>
    </row>
    <row r="11143" spans="1:9" x14ac:dyDescent="0.3">
      <c r="A11143" s="1" t="s">
        <v>373</v>
      </c>
      <c r="B11143" s="1" t="s">
        <v>374</v>
      </c>
      <c r="C11143" s="1" t="s">
        <v>19</v>
      </c>
      <c r="D11143" s="1" t="s">
        <v>2233</v>
      </c>
      <c r="E11143" s="1" t="s">
        <v>15994</v>
      </c>
      <c r="F11143" s="1" t="s">
        <v>15995</v>
      </c>
      <c r="G11143" s="1" t="s">
        <v>36</v>
      </c>
      <c r="H11143" s="1" t="s">
        <v>29</v>
      </c>
      <c r="I11143" s="1" t="str">
        <f ca="1">IFERROR(__xludf.DUMMYFUNCTION("GOOGLETRANSLATE(F11143, ""auto"", ""en"")
"),"Hi all! I've had the machine for a month, it washes just super. Since I got this miracle, I haven’t washed dishes with my hands even once (and not just because I’m lazy :)), it washes everything perfectly, pots and pans, it’s disgusting after frying meat "&amp;"in the oven. I'm delighted that I have more free time. I usually start it at night, using finish tablets. There was a problem with drying the dishes, droplets remained, I bought an air conditioner, adjusted it according to the instructions and now it drie"&amp;"s everything perfectly. There is also a lack of an indicator with an end time, but this can be regarded as a plus. less automation, less chance of breakdown.))))")</f>
        <v>Hi all! I've had the machine for a month, it washes just super. Since I got this miracle, I haven’t washed dishes with my hands even once (and not just because I’m lazy :)), it washes everything perfectly, pots and pans, it’s disgusting after frying meat in the oven. I'm delighted that I have more free time. I usually start it at night, using finish tablets. There was a problem with drying the dishes, droplets remained, I bought an air conditioner, adjusted it according to the instructions and now it dries everything perfectly. There is also a lack of an indicator with an end time, but this can be regarded as a plus. less automation, less chance of breakdown.))))</v>
      </c>
    </row>
    <row r="11144" spans="1:9" x14ac:dyDescent="0.3">
      <c r="A11144" s="1" t="s">
        <v>519</v>
      </c>
      <c r="B11144" s="1" t="s">
        <v>3088</v>
      </c>
      <c r="C11144" s="1" t="s">
        <v>246</v>
      </c>
      <c r="D11144" s="1" t="s">
        <v>280</v>
      </c>
      <c r="E11144" s="1" t="s">
        <v>3259</v>
      </c>
      <c r="F11144" s="1" t="s">
        <v>15996</v>
      </c>
      <c r="G11144" s="1" t="s">
        <v>15</v>
      </c>
      <c r="H11144" s="1" t="s">
        <v>16</v>
      </c>
      <c r="I11144" s="1" t="str">
        <f ca="1">IFERROR(__xludf.DUMMYFUNCTION("GOOGLETRANSLATE(F11144, ""auto"", ""en"")
"),"After the first use, when washing a lukewarm frying pan, the bottom became deformed.")</f>
        <v>After the first use, when washing a lukewarm frying pan, the bottom became deformed.</v>
      </c>
    </row>
    <row r="11145" spans="1:9" x14ac:dyDescent="0.3">
      <c r="A11145" s="1" t="s">
        <v>373</v>
      </c>
      <c r="B11145" s="1" t="s">
        <v>374</v>
      </c>
      <c r="C11145" s="1" t="s">
        <v>138</v>
      </c>
      <c r="D11145" s="1" t="s">
        <v>97</v>
      </c>
      <c r="E11145" s="1" t="s">
        <v>1452</v>
      </c>
      <c r="F11145" s="1" t="s">
        <v>15997</v>
      </c>
      <c r="G11145" s="1" t="s">
        <v>36</v>
      </c>
      <c r="H11145" s="1" t="s">
        <v>29</v>
      </c>
      <c r="I11145" s="1" t="str">
        <f ca="1">IFERROR(__xludf.DUMMYFUNCTION("GOOGLETRANSLATE(F11145, ""auto"", ""en"")
"),"I bought a BEKO dishwasher now I don’t splash around like a moron I ate, drank and loaded it up God in the kitchen, I’m not a moron, buy yourself a slave to please yourself so that he works, you looked and with joy *** Right now you can eat 30 times And n"&amp;"ot worry that hour What will need to be washed I’ll make the slave plow I’ll put the dishes down, fill the steamer, and lie down on the sofa Let the gas on into the ceiling.")</f>
        <v>I bought a BEKO dishwasher now I don’t splash around like a moron I ate, drank and loaded it up God in the kitchen, I’m not a moron, buy yourself a slave to please yourself so that he works, you looked and with joy *** Right now you can eat 30 times And not worry that hour What will need to be washed I’ll make the slave plow I’ll put the dishes down, fill the steamer, and lie down on the sofa Let the gas on into the ceiling.</v>
      </c>
    </row>
    <row r="11146" spans="1:9" x14ac:dyDescent="0.3">
      <c r="A11146" s="1" t="s">
        <v>61</v>
      </c>
      <c r="B11146" s="1" t="s">
        <v>977</v>
      </c>
      <c r="C11146" s="1" t="s">
        <v>85</v>
      </c>
      <c r="D11146" s="1" t="s">
        <v>152</v>
      </c>
      <c r="E11146" s="1" t="s">
        <v>5575</v>
      </c>
      <c r="F11146" s="1" t="s">
        <v>15998</v>
      </c>
      <c r="G11146" s="1" t="s">
        <v>36</v>
      </c>
      <c r="H11146" s="1" t="s">
        <v>29</v>
      </c>
      <c r="I11146" s="1" t="str">
        <f ca="1">IFERROR(__xludf.DUMMYFUNCTION("GOOGLETRANSLATE(F11146, ""auto"", ""en"")
"),"Happy with the purchase! Excellent for making any cocktails, smoothies, crushing ice, and you can also make chopped minced meat!")</f>
        <v>Happy with the purchase! Excellent for making any cocktails, smoothies, crushing ice, and you can also make chopped minced meat!</v>
      </c>
    </row>
    <row r="11147" spans="1:9" x14ac:dyDescent="0.3">
      <c r="A11147" s="1" t="s">
        <v>61</v>
      </c>
      <c r="B11147" s="1" t="s">
        <v>145</v>
      </c>
      <c r="C11147" s="1" t="s">
        <v>74</v>
      </c>
      <c r="D11147" s="1" t="s">
        <v>471</v>
      </c>
      <c r="E11147" s="1" t="s">
        <v>13753</v>
      </c>
      <c r="F11147" s="1" t="s">
        <v>15999</v>
      </c>
      <c r="G11147" s="1" t="s">
        <v>36</v>
      </c>
      <c r="H11147" s="1" t="s">
        <v>29</v>
      </c>
      <c r="I11147" s="1" t="str">
        <f ca="1">IFERROR(__xludf.DUMMYFUNCTION("GOOGLETRANSLATE(F11147, ""auto"", ""en"")
"),"Optimal price-quality ratio, easy to use, nothing superfluous, I recommend")</f>
        <v>Optimal price-quality ratio, easy to use, nothing superfluous, I recommend</v>
      </c>
    </row>
    <row r="11148" spans="1:9" x14ac:dyDescent="0.3">
      <c r="A11148" s="1" t="s">
        <v>17</v>
      </c>
      <c r="B11148" s="1" t="s">
        <v>18</v>
      </c>
      <c r="C11148" s="1" t="s">
        <v>159</v>
      </c>
      <c r="D11148" s="1" t="s">
        <v>52</v>
      </c>
      <c r="E11148" s="1" t="s">
        <v>5846</v>
      </c>
      <c r="F11148" s="1" t="s">
        <v>16000</v>
      </c>
      <c r="G11148" s="1" t="s">
        <v>36</v>
      </c>
      <c r="H11148" s="1" t="s">
        <v>29</v>
      </c>
      <c r="I11148" s="1" t="str">
        <f ca="1">IFERROR(__xludf.DUMMYFUNCTION("GOOGLETRANSLATE(F11148, ""auto"", ""en"")
"),"The machine is excellent! It washes well, spins excellently! It’s not too noisy, but I think we’ll put a door in the bathroom and the noise won’t be annoying. (We live in a new apartment, we haven’t installed the doors yet)")</f>
        <v>The machine is excellent! It washes well, spins excellently! It’s not too noisy, but I think we’ll put a door in the bathroom and the noise won’t be annoying. (We live in a new apartment, we haven’t installed the doors yet)</v>
      </c>
    </row>
    <row r="11149" spans="1:9" x14ac:dyDescent="0.3">
      <c r="A11149" s="1" t="s">
        <v>206</v>
      </c>
      <c r="B11149" s="1" t="s">
        <v>2026</v>
      </c>
      <c r="C11149" s="1" t="s">
        <v>262</v>
      </c>
      <c r="D11149" s="1" t="s">
        <v>390</v>
      </c>
      <c r="E11149" s="1" t="s">
        <v>214</v>
      </c>
      <c r="F11149" s="1" t="s">
        <v>16001</v>
      </c>
      <c r="G11149" s="1" t="s">
        <v>36</v>
      </c>
      <c r="H11149" s="1" t="s">
        <v>29</v>
      </c>
      <c r="I11149" s="1" t="str">
        <f ca="1">IFERROR(__xludf.DUMMYFUNCTION("GOOGLETRANSLATE(F11149, ""auto"", ""en"")
"),"In principle, this receiver is good for the money! There is everything! The DVD plays well, but it takes a long time to load, about 5-8 seconds, and it also takes a long time to read discs and flash drives. The remote control is stupid (maybe it’s just me"&amp;"?), I connected 4 sub speakers to it, and Monique and the HDS work fine!  Lots of adjustments! and the equalizer is normal! for 5 thousand R that's it!")</f>
        <v>In principle, this receiver is good for the money! There is everything! The DVD plays well, but it takes a long time to load, about 5-8 seconds, and it also takes a long time to read discs and flash drives. The remote control is stupid (maybe it’s just me?), I connected 4 sub speakers to it, and Monique and the HDS work fine!  Lots of adjustments! and the equalizer is normal! for 5 thousand R that's it!</v>
      </c>
    </row>
    <row r="11150" spans="1:9" x14ac:dyDescent="0.3">
      <c r="A11150" s="1" t="s">
        <v>30</v>
      </c>
      <c r="B11150" s="1" t="s">
        <v>50</v>
      </c>
      <c r="C11150" s="1" t="s">
        <v>32</v>
      </c>
      <c r="D11150" s="1" t="s">
        <v>152</v>
      </c>
      <c r="E11150" s="1" t="s">
        <v>552</v>
      </c>
      <c r="F11150" s="1" t="s">
        <v>16002</v>
      </c>
      <c r="G11150" s="1" t="s">
        <v>36</v>
      </c>
      <c r="H11150" s="1" t="s">
        <v>29</v>
      </c>
      <c r="I11150" s="1" t="str">
        <f ca="1">IFERROR(__xludf.DUMMYFUNCTION("GOOGLETRANSLATE(F11150, ""auto"", ""en"")
"),"I don’t understand why no one has written about the main feature of this laptop yet? That feature is why people will mostly buy it! Namely, the presence of 3D images! It was like I stepped into another world when I saw 3D films on it. Simply great! The ch"&amp;"aracteristics are also excellent, almost all games work. But the main thing is watching movies in 3D)))")</f>
        <v>I don’t understand why no one has written about the main feature of this laptop yet? That feature is why people will mostly buy it! Namely, the presence of 3D images! It was like I stepped into another world when I saw 3D films on it. Simply great! The characteristics are also excellent, almost all games work. But the main thing is watching movies in 3D)))</v>
      </c>
    </row>
    <row r="11151" spans="1:9" x14ac:dyDescent="0.3">
      <c r="A11151" s="1" t="s">
        <v>30</v>
      </c>
      <c r="B11151" s="1" t="s">
        <v>50</v>
      </c>
      <c r="C11151" s="1" t="s">
        <v>151</v>
      </c>
      <c r="D11151" s="1" t="s">
        <v>16003</v>
      </c>
      <c r="E11151" s="1" t="s">
        <v>10272</v>
      </c>
      <c r="F11151" s="1" t="s">
        <v>16004</v>
      </c>
      <c r="G11151" s="1" t="s">
        <v>1580</v>
      </c>
      <c r="H11151" s="1" t="s">
        <v>29</v>
      </c>
      <c r="I11151" s="1" t="str">
        <f ca="1">IFERROR(__xludf.DUMMYFUNCTION("GOOGLETRANSLATE(F11151, ""auto"", ""en"")
"),"I bought it in 2011, it still works, it works almost 24 hours a day.")</f>
        <v>I bought it in 2011, it still works, it works almost 24 hours a day.</v>
      </c>
    </row>
    <row r="11152" spans="1:9" x14ac:dyDescent="0.3">
      <c r="A11152" s="1" t="s">
        <v>30</v>
      </c>
      <c r="B11152" s="1" t="s">
        <v>50</v>
      </c>
      <c r="C11152" s="1" t="s">
        <v>51</v>
      </c>
      <c r="D11152" s="1" t="s">
        <v>81</v>
      </c>
      <c r="E11152" s="1" t="s">
        <v>649</v>
      </c>
      <c r="F11152" s="1" t="s">
        <v>16005</v>
      </c>
      <c r="G11152" s="1" t="s">
        <v>28</v>
      </c>
      <c r="H11152" s="1" t="s">
        <v>29</v>
      </c>
      <c r="I11152" s="1" t="str">
        <f ca="1">IFERROR(__xludf.DUMMYFUNCTION("GOOGLETRANSLATE(F11152, ""auto"", ""en"")
"),"What was important to me initially was the compatibility of the hardware with Linux OS. How glad I was when my Ubuntu 10.04 installed without a hitch! That’s why I recommend this laptop to fans of this axis.  The main disadvantage (not significant) is, as"&amp;" mentioned above, the contrast. After my Samsung with a matte matrix and high contrast, on the second day I took this laptop to the store, because I thought that it had a defective matrix...")</f>
        <v>What was important to me initially was the compatibility of the hardware with Linux OS. How glad I was when my Ubuntu 10.04 installed without a hitch! That’s why I recommend this laptop to fans of this axis.  The main disadvantage (not significant) is, as mentioned above, the contrast. After my Samsung with a matte matrix and high contrast, on the second day I took this laptop to the store, because I thought that it had a defective matrix...</v>
      </c>
    </row>
    <row r="11153" spans="1:9" x14ac:dyDescent="0.3">
      <c r="A11153" s="1" t="s">
        <v>30</v>
      </c>
      <c r="B11153" s="1" t="s">
        <v>50</v>
      </c>
      <c r="C11153" s="1" t="s">
        <v>51</v>
      </c>
      <c r="D11153" s="1" t="s">
        <v>1121</v>
      </c>
      <c r="E11153" s="1" t="s">
        <v>2057</v>
      </c>
      <c r="F11153" s="1" t="s">
        <v>16006</v>
      </c>
      <c r="G11153" s="1" t="s">
        <v>36</v>
      </c>
      <c r="H11153" s="1" t="s">
        <v>29</v>
      </c>
      <c r="I11153" s="1" t="str">
        <f ca="1">IFERROR(__xludf.DUMMYFUNCTION("GOOGLETRANSLATE(F11153, ""auto"", ""en"")
"),"It’s good that I bought the one without any squeaks, grunts and other unnecessary noise. only if you don’t count the noise of a running cooler, and then only after an hour of playing Mass Effect 2 at a room temperature of 35+ (with sound you may not even "&amp;"hear it)")</f>
        <v>It’s good that I bought the one without any squeaks, grunts and other unnecessary noise. only if you don’t count the noise of a running cooler, and then only after an hour of playing Mass Effect 2 at a room temperature of 35+ (with sound you may not even hear it)</v>
      </c>
    </row>
    <row r="11154" spans="1:9" x14ac:dyDescent="0.3">
      <c r="A11154" s="1" t="s">
        <v>149</v>
      </c>
      <c r="B11154" s="1" t="s">
        <v>155</v>
      </c>
      <c r="C11154" s="1" t="s">
        <v>101</v>
      </c>
      <c r="D11154" s="1" t="s">
        <v>943</v>
      </c>
      <c r="E11154" s="1" t="s">
        <v>6469</v>
      </c>
      <c r="F11154" s="1" t="s">
        <v>16007</v>
      </c>
      <c r="G11154" s="1" t="s">
        <v>15</v>
      </c>
      <c r="H11154" s="1" t="s">
        <v>16</v>
      </c>
      <c r="I11154" s="1" t="str">
        <f ca="1">IFERROR(__xludf.DUMMYFUNCTION("GOOGLETRANSLATE(F11154, ""auto"", ""en"")
"),"I didn’t choose this vacuum cleaner myself; it was a gift for my thirtieth birthday; as they say, the appearance of this vacuum cleaner is not mine. But that’s not the main thing! Squeals like a knife! The container instantly becomes clogged with garbage,"&amp;" I vacuumed one room and it’s very inconvenient to clean it. I think we need to get rid of it and take the regular one with bags")</f>
        <v>I didn’t choose this vacuum cleaner myself; it was a gift for my thirtieth birthday; as they say, the appearance of this vacuum cleaner is not mine. But that’s not the main thing! Squeals like a knife! The container instantly becomes clogged with garbage, I vacuumed one room and it’s very inconvenient to clean it. I think we need to get rid of it and take the regular one with bags</v>
      </c>
    </row>
    <row r="11155" spans="1:9" x14ac:dyDescent="0.3">
      <c r="A11155" s="1" t="s">
        <v>120</v>
      </c>
      <c r="B11155" s="1" t="s">
        <v>126</v>
      </c>
      <c r="C11155" s="1" t="s">
        <v>80</v>
      </c>
      <c r="D11155" s="1" t="s">
        <v>152</v>
      </c>
      <c r="E11155" s="1" t="s">
        <v>3327</v>
      </c>
      <c r="F11155" s="1" t="s">
        <v>16008</v>
      </c>
      <c r="G11155" s="1" t="s">
        <v>36</v>
      </c>
      <c r="H11155" s="1" t="s">
        <v>29</v>
      </c>
      <c r="I11155" s="1" t="str">
        <f ca="1">IFERROR(__xludf.DUMMYFUNCTION("GOOGLETRANSLATE(F11155, ""auto"", ""en"")
"),"Yesterday I bought this TV LG 42 PQ301 R, I was going to take the LCD for 32, but somehow it didn’t work out with 32 and I took 42, the first impression was excellent, everyone liked it, today I found a lot of information about it on the forum and my mood"&amp;" was lifted! Having learned that it will be possible to unlock it and watch movies from a flash drive, in general there are no complaints about this plasma, the most profitable TV is fully consistent with the price and quality.  I RECOMMEND TO EVERYONE!!!"&amp;" GOOD LUCK!  NEUCH ALEXANDER PGT AKHTYRSKY.")</f>
        <v>Yesterday I bought this TV LG 42 PQ301 R, I was going to take the LCD for 32, but somehow it didn’t work out with 32 and I took 42, the first impression was excellent, everyone liked it, today I found a lot of information about it on the forum and my mood was lifted! Having learned that it will be possible to unlock it and watch movies from a flash drive, in general there are no complaints about this plasma, the most profitable TV is fully consistent with the price and quality.  I RECOMMEND TO EVERYONE!!! GOOD LUCK!  NEUCH ALEXANDER PGT AKHTYRSKY.</v>
      </c>
    </row>
    <row r="11156" spans="1:9" x14ac:dyDescent="0.3">
      <c r="A11156" s="1" t="s">
        <v>369</v>
      </c>
      <c r="B11156" s="1" t="s">
        <v>2480</v>
      </c>
      <c r="C11156" s="1" t="s">
        <v>453</v>
      </c>
      <c r="D11156" s="1" t="s">
        <v>203</v>
      </c>
      <c r="E11156" s="1" t="s">
        <v>1490</v>
      </c>
      <c r="F11156" s="1" t="s">
        <v>16009</v>
      </c>
      <c r="G11156" s="1" t="s">
        <v>49</v>
      </c>
      <c r="H11156" s="1" t="s">
        <v>16</v>
      </c>
      <c r="I11156" s="1" t="str">
        <f ca="1">IFERROR(__xludf.DUMMYFUNCTION("GOOGLETRANSLATE(F11156, ""auto"", ""en"")
"),"beautiful")</f>
        <v>beautiful</v>
      </c>
    </row>
    <row r="11157" spans="1:9" x14ac:dyDescent="0.3">
      <c r="A11157" s="1" t="s">
        <v>9</v>
      </c>
      <c r="B11157" s="1" t="s">
        <v>10</v>
      </c>
      <c r="C11157" s="1" t="s">
        <v>466</v>
      </c>
      <c r="D11157" s="1" t="s">
        <v>33</v>
      </c>
      <c r="E11157" s="1" t="s">
        <v>11448</v>
      </c>
      <c r="F11157" s="1" t="s">
        <v>16010</v>
      </c>
      <c r="G11157" s="1" t="s">
        <v>49</v>
      </c>
      <c r="H11157" s="1" t="s">
        <v>16</v>
      </c>
      <c r="I11157" s="1" t="str">
        <f ca="1">IFERROR(__xludf.DUMMYFUNCTION("GOOGLETRANSLATE(F11157, ""auto"", ""en"")
"),"We bought it in the summer of 2012, for a new apartment, installed it only in the spring of 2013, it didn’t work for six months, it just stopped working... the warranty, of course, is over..)) don’t buy it!!!")</f>
        <v>We bought it in the summer of 2012, for a new apartment, installed it only in the spring of 2013, it didn’t work for six months, it just stopped working... the warranty, of course, is over..)) don’t buy it!!!</v>
      </c>
    </row>
    <row r="11158" spans="1:9" x14ac:dyDescent="0.3">
      <c r="A11158" s="1" t="s">
        <v>61</v>
      </c>
      <c r="B11158" s="1" t="s">
        <v>318</v>
      </c>
      <c r="C11158" s="1" t="s">
        <v>213</v>
      </c>
      <c r="D11158" s="1" t="s">
        <v>247</v>
      </c>
      <c r="E11158" s="1" t="s">
        <v>1280</v>
      </c>
      <c r="F11158" s="1" t="s">
        <v>16011</v>
      </c>
      <c r="G11158" s="1" t="s">
        <v>36</v>
      </c>
      <c r="H11158" s="1" t="s">
        <v>29</v>
      </c>
      <c r="I11158" s="1" t="str">
        <f ca="1">IFERROR(__xludf.DUMMYFUNCTION("GOOGLETRANSLATE(F11158, ""auto"", ""en"")
"),"We have been using this kettle since 2002 and simply don’t recognize others. We give it as a gift and recommend it to everyone. A year and a half ago, this veteran kettle (the button had only been changed once, and the mesh on the strainer was torn) moved"&amp;" into my daughter’s dorm, and without hesitation, we bought exactly this one. True, at home I was even confused, immediately paying attention to the differences not in favor of the new one... the cracks, for example. I even wanted to exchange, I thought i"&amp;"t was a marriage. It turned out that the old one was made in Germany, and the new one was made in the Czech Republic. Fortunately, after a while I stopped noticing it. I recommend!")</f>
        <v>We have been using this kettle since 2002 and simply don’t recognize others. We give it as a gift and recommend it to everyone. A year and a half ago, this veteran kettle (the button had only been changed once, and the mesh on the strainer was torn) moved into my daughter’s dorm, and without hesitation, we bought exactly this one. True, at home I was even confused, immediately paying attention to the differences not in favor of the new one... the cracks, for example. I even wanted to exchange, I thought it was a marriage. It turned out that the old one was made in Germany, and the new one was made in the Czech Republic. Fortunately, after a while I stopped noticing it. I recommend!</v>
      </c>
    </row>
    <row r="11159" spans="1:9" x14ac:dyDescent="0.3">
      <c r="A11159" s="1" t="s">
        <v>211</v>
      </c>
      <c r="B11159" s="1" t="s">
        <v>212</v>
      </c>
      <c r="C11159" s="1" t="s">
        <v>381</v>
      </c>
      <c r="D11159" s="1" t="s">
        <v>1499</v>
      </c>
      <c r="E11159" s="1" t="s">
        <v>2614</v>
      </c>
      <c r="F11159" s="1" t="s">
        <v>16012</v>
      </c>
      <c r="G11159" s="1" t="s">
        <v>36</v>
      </c>
      <c r="H11159" s="1" t="s">
        <v>29</v>
      </c>
      <c r="I11159" s="1" t="str">
        <f ca="1">IFERROR(__xludf.DUMMYFUNCTION("GOOGLETRANSLATE(F11159, ""auto"", ""en"")
"),"Price, heating speed, temperature selection")</f>
        <v>Price, heating speed, temperature selection</v>
      </c>
    </row>
    <row r="11160" spans="1:9" x14ac:dyDescent="0.3">
      <c r="A11160" s="1" t="s">
        <v>89</v>
      </c>
      <c r="B11160" s="1" t="s">
        <v>231</v>
      </c>
      <c r="C11160" s="1" t="s">
        <v>185</v>
      </c>
      <c r="D11160" s="1" t="s">
        <v>305</v>
      </c>
      <c r="E11160" s="1" t="s">
        <v>3983</v>
      </c>
      <c r="F11160" s="1" t="s">
        <v>16013</v>
      </c>
      <c r="G11160" s="1" t="s">
        <v>36</v>
      </c>
      <c r="H11160" s="1" t="s">
        <v>29</v>
      </c>
      <c r="I11160" s="1" t="str">
        <f ca="1">IFERROR(__xludf.DUMMYFUNCTION("GOOGLETRANSLATE(F11160, ""auto"", ""en"")
"),"Compact. Easy to use.")</f>
        <v>Compact. Easy to use.</v>
      </c>
    </row>
    <row r="11161" spans="1:9" x14ac:dyDescent="0.3">
      <c r="A11161" s="1" t="s">
        <v>55</v>
      </c>
      <c r="B11161" s="1" t="s">
        <v>56</v>
      </c>
      <c r="C11161" s="1" t="s">
        <v>1373</v>
      </c>
      <c r="D11161" s="1" t="s">
        <v>565</v>
      </c>
      <c r="E11161" s="1" t="s">
        <v>3787</v>
      </c>
      <c r="F11161" s="1" t="s">
        <v>16014</v>
      </c>
      <c r="G11161" s="1" t="s">
        <v>36</v>
      </c>
      <c r="H11161" s="1" t="s">
        <v>29</v>
      </c>
      <c r="I11161" s="1" t="str">
        <f ca="1">IFERROR(__xludf.DUMMYFUNCTION("GOOGLETRANSLATE(F11161, ""auto"", ""en"")
"),"The humidifier is excellent. But he worked for 3 years. With careful use, timely cleaning and changing the cartridge annually, the cost of which is 800 rubles. The repair is expensive, the service life of the membrane has expired, according to the service"&amp;" center, a common reason.")</f>
        <v>The humidifier is excellent. But he worked for 3 years. With careful use, timely cleaning and changing the cartridge annually, the cost of which is 800 rubles. The repair is expensive, the service life of the membrane has expired, according to the service center, a common reason.</v>
      </c>
    </row>
    <row r="11162" spans="1:9" x14ac:dyDescent="0.3">
      <c r="A11162" s="1" t="s">
        <v>37</v>
      </c>
      <c r="B11162" s="1" t="s">
        <v>536</v>
      </c>
      <c r="C11162" s="1" t="s">
        <v>1419</v>
      </c>
      <c r="D11162" s="1" t="s">
        <v>411</v>
      </c>
      <c r="E11162" s="1" t="s">
        <v>41</v>
      </c>
      <c r="F11162" s="1" t="s">
        <v>16015</v>
      </c>
      <c r="G11162" s="1" t="s">
        <v>49</v>
      </c>
      <c r="H11162" s="1" t="s">
        <v>16</v>
      </c>
      <c r="I11162" s="1" t="str">
        <f ca="1">IFERROR(__xludf.DUMMYFUNCTION("GOOGLETRANSLATE(F11162, ""auto"", ""en"")
"),"The phone is not bad in principle, the only and biggest disadvantage is the weak signal level of the cellular network. In a day with a call volume of approximately 50 calls per 8 hours, I receive about 4 calls.")</f>
        <v>The phone is not bad in principle, the only and biggest disadvantage is the weak signal level of the cellular network. In a day with a call volume of approximately 50 calls per 8 hours, I receive about 4 calls.</v>
      </c>
    </row>
    <row r="11163" spans="1:9" x14ac:dyDescent="0.3">
      <c r="A11163" s="1" t="s">
        <v>111</v>
      </c>
      <c r="B11163" s="1" t="s">
        <v>636</v>
      </c>
      <c r="C11163" s="1" t="s">
        <v>637</v>
      </c>
      <c r="D11163" s="1" t="s">
        <v>295</v>
      </c>
      <c r="E11163" s="1" t="s">
        <v>5728</v>
      </c>
      <c r="F11163" s="1" t="s">
        <v>16016</v>
      </c>
      <c r="G11163" s="1" t="s">
        <v>49</v>
      </c>
      <c r="H11163" s="1" t="s">
        <v>16</v>
      </c>
      <c r="I11163" s="1" t="str">
        <f ca="1">IFERROR(__xludf.DUMMYFUNCTION("GOOGLETRANSLATE(F11163, ""auto"", ""en"")
"),"The thing is very good, but not finished. We have been using this watch for 2 years now and change it every six months due to the projection burning out. Fortunately, Mvideo changes without problems. The fourth ones burned out, we don’t know what to repla"&amp;"ce them with, everything is very convenient in Orngon, but it won’t last.")</f>
        <v>The thing is very good, but not finished. We have been using this watch for 2 years now and change it every six months due to the projection burning out. Fortunately, Mvideo changes without problems. The fourth ones burned out, we don’t know what to replace them with, everything is very convenient in Orngon, but it won’t last.</v>
      </c>
    </row>
    <row r="11164" spans="1:9" x14ac:dyDescent="0.3">
      <c r="A11164" s="1" t="s">
        <v>89</v>
      </c>
      <c r="B11164" s="1" t="s">
        <v>90</v>
      </c>
      <c r="C11164" s="1" t="s">
        <v>85</v>
      </c>
      <c r="D11164" s="1" t="s">
        <v>152</v>
      </c>
      <c r="E11164" s="1" t="s">
        <v>2215</v>
      </c>
      <c r="F11164" s="1" t="s">
        <v>16017</v>
      </c>
      <c r="G11164" s="1" t="s">
        <v>15</v>
      </c>
      <c r="H11164" s="1" t="s">
        <v>16</v>
      </c>
      <c r="I11164" s="1" t="str">
        <f ca="1">IFERROR(__xludf.DUMMYFUNCTION("GOOGLETRANSLATE(F11164, ""auto"", ""en"")
"),"I bought it a year ago. The joy knew no bounds: everything you needed, and even “German” (at the bottom it’s “made in Germani”, but in reality - somewhere in China!!!).  I cherished it, I cherished it... A year passed, and joy gave way to grief - it no lo"&amp;"nger works.  Repair is not cost-effective - from ~300 rubles. up to ~600r. with a starting price of 1990 rubles.  ""China"" is irreparable a priori!  Although someone...")</f>
        <v>I bought it a year ago. The joy knew no bounds: everything you needed, and even “German” (at the bottom it’s “made in Germani”, but in reality - somewhere in China!!!).  I cherished it, I cherished it... A year passed, and joy gave way to grief - it no longer works.  Repair is not cost-effective - from ~300 rubles. up to ~600r. with a starting price of 1990 rubles.  "China" is irreparable a priori!  Although someone...</v>
      </c>
    </row>
    <row r="11165" spans="1:9" x14ac:dyDescent="0.3">
      <c r="A11165" s="1" t="s">
        <v>238</v>
      </c>
      <c r="B11165" s="1" t="s">
        <v>276</v>
      </c>
      <c r="C11165" s="1" t="s">
        <v>243</v>
      </c>
      <c r="D11165" s="1" t="s">
        <v>52</v>
      </c>
      <c r="E11165" s="1" t="s">
        <v>1510</v>
      </c>
      <c r="F11165" s="1" t="s">
        <v>16018</v>
      </c>
      <c r="G11165" s="1" t="s">
        <v>36</v>
      </c>
      <c r="H11165" s="1" t="s">
        <v>29</v>
      </c>
      <c r="I11165" s="1" t="str">
        <f ca="1">IFERROR(__xludf.DUMMYFUNCTION("GOOGLETRANSLATE(F11165, ""auto"", ""en"")
"),"4 years of operation - no complaints!  Never defrosted! Food in the freezer does not freeze or freeze.    One drawback is that the water drainage tank is at the back and to do this you have to move the refrigerator...")</f>
        <v>4 years of operation - no complaints!  Never defrosted! Food in the freezer does not freeze or freeze.    One drawback is that the water drainage tank is at the back and to do this you have to move the refrigerator...</v>
      </c>
    </row>
    <row r="11166" spans="1:9" x14ac:dyDescent="0.3">
      <c r="A11166" s="1" t="s">
        <v>211</v>
      </c>
      <c r="B11166" s="1" t="s">
        <v>856</v>
      </c>
      <c r="C11166" s="1" t="s">
        <v>57</v>
      </c>
      <c r="D11166" s="1" t="s">
        <v>1894</v>
      </c>
      <c r="E11166" s="1" t="s">
        <v>9945</v>
      </c>
      <c r="F11166" s="1" t="s">
        <v>16019</v>
      </c>
      <c r="G11166" s="1" t="s">
        <v>28</v>
      </c>
      <c r="H11166" s="1" t="s">
        <v>29</v>
      </c>
      <c r="I11166" s="1" t="str">
        <f ca="1">IFERROR(__xludf.DUMMYFUNCTION("GOOGLETRANSLATE(F11166, ""auto"", ""en"")
"),"The thing is not bad, especially for short (165cm) people.  Great for relaxing your back and neck. Heating is also not superfluous. We use it when we sit at the computer.  The only main negative is that it is too noisy.")</f>
        <v>The thing is not bad, especially for short (165cm) people.  Great for relaxing your back and neck. Heating is also not superfluous. We use it when we sit at the computer.  The only main negative is that it is too noisy.</v>
      </c>
    </row>
    <row r="11167" spans="1:9" x14ac:dyDescent="0.3">
      <c r="A11167" s="1" t="s">
        <v>37</v>
      </c>
      <c r="B11167" s="1" t="s">
        <v>38</v>
      </c>
      <c r="C11167" s="1" t="s">
        <v>69</v>
      </c>
      <c r="D11167" s="1" t="s">
        <v>4065</v>
      </c>
      <c r="E11167" s="1" t="s">
        <v>2721</v>
      </c>
      <c r="F11167" s="1" t="s">
        <v>16020</v>
      </c>
      <c r="G11167" s="1" t="s">
        <v>36</v>
      </c>
      <c r="H11167" s="1" t="s">
        <v>29</v>
      </c>
      <c r="I11167" s="1" t="str">
        <f ca="1">IFERROR(__xludf.DUMMYFUNCTION("GOOGLETRANSLATE(F11167, ""auto"", ""en"")
"),"These are glamorous teenagers, accustomed to Nokia smartphones, who criticize Philips. But in fact it is a super phone! The more you begin to appreciate it, the more Finnish trinkets you see around.  Main advantages: very long battery, good screen, super "&amp;"design, excellent build quality, camera with autofocus.   The only drawback that bothers me is that the case is very dirty, but in the end you get used to it.  I bought it a couple of days ago and couldn’t be happier!!! A phone for those who take the devi"&amp;"ce seriously and for a long time!!))")</f>
        <v>These are glamorous teenagers, accustomed to Nokia smartphones, who criticize Philips. But in fact it is a super phone! The more you begin to appreciate it, the more Finnish trinkets you see around.  Main advantages: very long battery, good screen, super design, excellent build quality, camera with autofocus.   The only drawback that bothers me is that the case is very dirty, but in the end you get used to it.  I bought it a couple of days ago and couldn’t be happier!!! A phone for those who take the device seriously and for a long time!!))</v>
      </c>
    </row>
    <row r="11168" spans="1:9" x14ac:dyDescent="0.3">
      <c r="A11168" s="1" t="s">
        <v>149</v>
      </c>
      <c r="B11168" s="1" t="s">
        <v>423</v>
      </c>
      <c r="C11168" s="1" t="s">
        <v>548</v>
      </c>
      <c r="D11168" s="1" t="s">
        <v>1004</v>
      </c>
      <c r="E11168" s="1" t="s">
        <v>8208</v>
      </c>
      <c r="F11168" s="1" t="s">
        <v>16021</v>
      </c>
      <c r="G11168" s="1" t="s">
        <v>49</v>
      </c>
      <c r="H11168" s="1" t="s">
        <v>16</v>
      </c>
      <c r="I11168" s="1" t="str">
        <f ca="1">IFERROR(__xludf.DUMMYFUNCTION("GOOGLETRANSLATE(F11168, ""auto"", ""en"")
"),"The plastic is very fragile, the brush for dry cleaning the floor broke on the first day, the rest are terribly inconvenient. There are no wheels, this squalor can’t even move over a wire. In general, I don’t recommend it to anyone")</f>
        <v>The plastic is very fragile, the brush for dry cleaning the floor broke on the first day, the rest are terribly inconvenient. There are no wheels, this squalor can’t even move over a wire. In general, I don’t recommend it to anyone</v>
      </c>
    </row>
    <row r="11169" spans="1:9" x14ac:dyDescent="0.3">
      <c r="A11169" s="1" t="s">
        <v>169</v>
      </c>
      <c r="B11169" s="1" t="s">
        <v>170</v>
      </c>
      <c r="C11169" s="1" t="s">
        <v>69</v>
      </c>
      <c r="D11169" s="1" t="s">
        <v>695</v>
      </c>
      <c r="E11169" s="1" t="s">
        <v>2804</v>
      </c>
      <c r="F11169" s="1" t="s">
        <v>16022</v>
      </c>
      <c r="G11169" s="1" t="s">
        <v>36</v>
      </c>
      <c r="H11169" s="1" t="s">
        <v>29</v>
      </c>
      <c r="I11169" s="1" t="str">
        <f ca="1">IFERROR(__xludf.DUMMYFUNCTION("GOOGLETRANSLATE(F11169, ""auto"", ""en"")
"),"I've had these headphones for 6-7 years now and they still work like new! The sound is clear, the bass is high, I use them at home - music, movies, games - these headphones are suitable for everything) in general, I recommend them to everyone, the price-q"&amp;"uality ratio is almost ideal, I’m going to give them to a friend as a gift.")</f>
        <v>I've had these headphones for 6-7 years now and they still work like new! The sound is clear, the bass is high, I use them at home - music, movies, games - these headphones are suitable for everything) in general, I recommend them to everyone, the price-quality ratio is almost ideal, I’m going to give them to a friend as a gift.</v>
      </c>
    </row>
    <row r="11170" spans="1:9" x14ac:dyDescent="0.3">
      <c r="A11170" s="1" t="s">
        <v>282</v>
      </c>
      <c r="B11170" s="1" t="s">
        <v>283</v>
      </c>
      <c r="C11170" s="1" t="s">
        <v>284</v>
      </c>
      <c r="D11170" s="1" t="s">
        <v>653</v>
      </c>
      <c r="E11170" s="1" t="s">
        <v>6378</v>
      </c>
      <c r="F11170" s="1" t="s">
        <v>16023</v>
      </c>
      <c r="G11170" s="1" t="s">
        <v>36</v>
      </c>
      <c r="H11170" s="1" t="s">
        <v>29</v>
      </c>
      <c r="I11170" s="1" t="str">
        <f ca="1">IFERROR(__xludf.DUMMYFUNCTION("GOOGLETRANSLATE(F11170, ""auto"", ""en"")
"),"A light film for young people. After watching it, I smiled for a long time. Perfect for a bachelorette party or when you need to lift your spirits.")</f>
        <v>A light film for young people. After watching it, I smiled for a long time. Perfect for a bachelorette party or when you need to lift your spirits.</v>
      </c>
    </row>
    <row r="11171" spans="1:9" x14ac:dyDescent="0.3">
      <c r="A11171" s="1" t="s">
        <v>37</v>
      </c>
      <c r="B11171" s="1" t="s">
        <v>355</v>
      </c>
      <c r="C11171" s="1" t="s">
        <v>356</v>
      </c>
      <c r="D11171" s="1" t="s">
        <v>1431</v>
      </c>
      <c r="E11171" s="1" t="s">
        <v>4728</v>
      </c>
      <c r="F11171" s="1" t="s">
        <v>16024</v>
      </c>
      <c r="G11171" s="1" t="s">
        <v>36</v>
      </c>
      <c r="H11171" s="1" t="s">
        <v>29</v>
      </c>
      <c r="I11171" s="1" t="str">
        <f ca="1">IFERROR(__xludf.DUMMYFUNCTION("GOOGLETRANSLATE(F11171, ""auto"", ""en"")
"),"This is a super phone with some +++++++. I don’t have it yet, but my friends have this super phone. I hope I will buy it soon! This is a SUPER phone!")</f>
        <v>This is a super phone with some +++++++. I don’t have it yet, but my friends have this super phone. I hope I will buy it soon! This is a SUPER phone!</v>
      </c>
    </row>
    <row r="11172" spans="1:9" x14ac:dyDescent="0.3">
      <c r="A11172" s="1" t="s">
        <v>211</v>
      </c>
      <c r="B11172" s="1" t="s">
        <v>856</v>
      </c>
      <c r="C11172" s="1" t="s">
        <v>57</v>
      </c>
      <c r="D11172" s="1" t="s">
        <v>565</v>
      </c>
      <c r="E11172" s="1" t="s">
        <v>446</v>
      </c>
      <c r="F11172" s="1" t="s">
        <v>16025</v>
      </c>
      <c r="G11172" s="1" t="s">
        <v>49</v>
      </c>
      <c r="H11172" s="1" t="s">
        <v>16</v>
      </c>
      <c r="I11172" s="1" t="str">
        <f ca="1">IFERROR(__xludf.DUMMYFUNCTION("GOOGLETRANSLATE(F11172, ""auto"", ""en"")
"),"I bought it for myself using accumulated bonuses. I tried to treat my arms and legs, the engine is no good at all, don’t waste your money.")</f>
        <v>I bought it for myself using accumulated bonuses. I tried to treat my arms and legs, the engine is no good at all, don’t waste your money.</v>
      </c>
    </row>
    <row r="11173" spans="1:9" x14ac:dyDescent="0.3">
      <c r="A11173" s="1" t="s">
        <v>149</v>
      </c>
      <c r="B11173" s="1" t="s">
        <v>155</v>
      </c>
      <c r="C11173" s="1" t="s">
        <v>151</v>
      </c>
      <c r="D11173" s="1" t="s">
        <v>139</v>
      </c>
      <c r="E11173" s="1" t="s">
        <v>1515</v>
      </c>
      <c r="F11173" s="1" t="s">
        <v>16026</v>
      </c>
      <c r="G11173" s="1" t="s">
        <v>1580</v>
      </c>
      <c r="H11173" s="1" t="s">
        <v>29</v>
      </c>
      <c r="I11173" s="1" t="str">
        <f ca="1">IFERROR(__xludf.DUMMYFUNCTION("GOOGLETRANSLATE(F11173, ""auto"", ""en"")
"),"Suction power")</f>
        <v>Suction power</v>
      </c>
    </row>
    <row r="11174" spans="1:9" x14ac:dyDescent="0.3">
      <c r="A11174" s="1" t="s">
        <v>211</v>
      </c>
      <c r="B11174" s="1" t="s">
        <v>515</v>
      </c>
      <c r="C11174" s="1" t="s">
        <v>213</v>
      </c>
      <c r="D11174" s="1" t="s">
        <v>247</v>
      </c>
      <c r="E11174" s="1" t="s">
        <v>3747</v>
      </c>
      <c r="F11174" s="1" t="s">
        <v>16027</v>
      </c>
      <c r="G11174" s="1" t="s">
        <v>36</v>
      </c>
      <c r="H11174" s="1" t="s">
        <v>29</v>
      </c>
      <c r="I11174" s="1" t="str">
        <f ca="1">IFERROR(__xludf.DUMMYFUNCTION("GOOGLETRANSLATE(F11174, ""auto"", ""en"")
"),"The epilator was given to me for my birthday, it is very easy to use. Powered by mains power, the kit includes a cleaning brush. For such money a very good thing!!!")</f>
        <v>The epilator was given to me for my birthday, it is very easy to use. Powered by mains power, the kit includes a cleaning brush. For such money a very good thing!!!</v>
      </c>
    </row>
    <row r="11175" spans="1:9" x14ac:dyDescent="0.3">
      <c r="A11175" s="1" t="s">
        <v>105</v>
      </c>
      <c r="B11175" s="1" t="s">
        <v>106</v>
      </c>
      <c r="C11175" s="1" t="s">
        <v>97</v>
      </c>
      <c r="D11175" s="1" t="s">
        <v>4281</v>
      </c>
      <c r="E11175" s="1" t="s">
        <v>3594</v>
      </c>
      <c r="F11175" s="1" t="s">
        <v>16028</v>
      </c>
      <c r="G11175" s="1" t="s">
        <v>36</v>
      </c>
      <c r="H11175" s="1" t="s">
        <v>29</v>
      </c>
      <c r="I11175" s="1" t="str">
        <f ca="1">IFERROR(__xludf.DUMMYFUNCTION("GOOGLETRANSLATE(F11175, ""auto"", ""en"")
"),"I recommend it to everyone... the best player))) sound 5, picture 5+, beautiful design, thin, light, comfortable, good headphones go with it... good bass... of course a little expensive, but it will last a long time =)))) I didn’t expect this and the batt"&amp;"ery is very good =))) there is no recording or radio. Basically, all this is not necessary, because the company is reputable and if you buy a player, it’s a good one!!!! I recommend it to everyone =))))")</f>
        <v>I recommend it to everyone... the best player))) sound 5, picture 5+, beautiful design, thin, light, comfortable, good headphones go with it... good bass... of course a little expensive, but it will last a long time =)))) I didn’t expect this and the battery is very good =))) there is no recording or radio. Basically, all this is not necessary, because the company is reputable and if you buy a player, it’s a good one!!!! I recommend it to everyone =))))</v>
      </c>
    </row>
    <row r="11176" spans="1:9" x14ac:dyDescent="0.3">
      <c r="A11176" s="1" t="s">
        <v>149</v>
      </c>
      <c r="B11176" s="1" t="s">
        <v>423</v>
      </c>
      <c r="C11176" s="1" t="s">
        <v>314</v>
      </c>
      <c r="D11176" s="1" t="s">
        <v>8908</v>
      </c>
      <c r="E11176" s="1" t="s">
        <v>16029</v>
      </c>
      <c r="F11176" s="1" t="s">
        <v>1693</v>
      </c>
      <c r="G11176" s="1" t="s">
        <v>36</v>
      </c>
      <c r="H11176" s="1" t="s">
        <v>29</v>
      </c>
      <c r="I11176" s="1" t="str">
        <f ca="1">IFERROR(__xludf.DUMMYFUNCTION("GOOGLETRANSLATE(F11176, ""auto"", ""en"")
"),"Price")</f>
        <v>Price</v>
      </c>
    </row>
    <row r="11177" spans="1:9" x14ac:dyDescent="0.3">
      <c r="A11177" s="1" t="s">
        <v>61</v>
      </c>
      <c r="B11177" s="1" t="s">
        <v>145</v>
      </c>
      <c r="C11177" s="1" t="s">
        <v>246</v>
      </c>
      <c r="D11177" s="1" t="s">
        <v>2096</v>
      </c>
      <c r="E11177" s="1" t="s">
        <v>859</v>
      </c>
      <c r="F11177" s="1" t="s">
        <v>16030</v>
      </c>
      <c r="G11177" s="1" t="s">
        <v>36</v>
      </c>
      <c r="H11177" s="1" t="s">
        <v>29</v>
      </c>
      <c r="I11177" s="1" t="str">
        <f ca="1">IFERROR(__xludf.DUMMYFUNCTION("GOOGLETRANSLATE(F11177, ""auto"", ""en"")
"),"Excellent steamer. Several dishes can be cooked at once, the rice turns out fluffy. The mode for keeping cooked dishes hot is very convenient, so if you want to switch to healthy food, feel free to buy this model!")</f>
        <v>Excellent steamer. Several dishes can be cooked at once, the rice turns out fluffy. The mode for keeping cooked dishes hot is very convenient, so if you want to switch to healthy food, feel free to buy this model!</v>
      </c>
    </row>
    <row r="11178" spans="1:9" x14ac:dyDescent="0.3">
      <c r="A11178" s="1" t="s">
        <v>120</v>
      </c>
      <c r="B11178" s="1" t="s">
        <v>1205</v>
      </c>
      <c r="C11178" s="1" t="s">
        <v>1206</v>
      </c>
      <c r="D11178" s="1" t="s">
        <v>247</v>
      </c>
      <c r="E11178" s="1" t="s">
        <v>353</v>
      </c>
      <c r="F11178" s="1" t="s">
        <v>16031</v>
      </c>
      <c r="G11178" s="1" t="s">
        <v>28</v>
      </c>
      <c r="H11178" s="1" t="s">
        <v>29</v>
      </c>
      <c r="I11178" s="1" t="str">
        <f ca="1">IFERROR(__xludf.DUMMYFUNCTION("GOOGLETRANSLATE(F11178, ""auto"", ""en"")
"),"The kit includes DRS-5000 - this is an MPEG2 receiver, and now Tricolor has channels included in the MPEG4 ""Super Optimum"" package (this is about 24 channels). Those. You won’t be able to watch them with this receiver. Only 34 channels of the ""Optimum"&amp;""" package will remain. But this receiver has an RF output, and the new models that come after it no longer have an RF output (you will have to buy an additional modulator if you want to watch in the kitchen, for example). So, everyone chooses for themsel"&amp;"ves.")</f>
        <v>The kit includes DRS-5000 - this is an MPEG2 receiver, and now Tricolor has channels included in the MPEG4 "Super Optimum" package (this is about 24 channels). Those. You won’t be able to watch them with this receiver. Only 34 channels of the "Optimum" package will remain. But this receiver has an RF output, and the new models that come after it no longer have an RF output (you will have to buy an additional modulator if you want to watch in the kitchen, for example). So, everyone chooses for themselves.</v>
      </c>
    </row>
    <row r="11179" spans="1:9" x14ac:dyDescent="0.3">
      <c r="A11179" s="1" t="s">
        <v>519</v>
      </c>
      <c r="B11179" s="1" t="s">
        <v>3291</v>
      </c>
      <c r="C11179" s="1" t="s">
        <v>2143</v>
      </c>
      <c r="D11179" s="1" t="s">
        <v>589</v>
      </c>
      <c r="E11179" s="1" t="s">
        <v>1565</v>
      </c>
      <c r="F11179" s="1" t="s">
        <v>16032</v>
      </c>
      <c r="G11179" s="1" t="s">
        <v>36</v>
      </c>
      <c r="H11179" s="1" t="s">
        <v>29</v>
      </c>
      <c r="I11179" s="1" t="str">
        <f ca="1">IFERROR(__xludf.DUMMYFUNCTION("GOOGLETRANSLATE(F11179, ""auto"", ""en"")
"),"I've been using this for 3 years now. Suitable for any purpose: frying, boiling, stewing, and baking.    Nothing burns and cooks quickly. The silicone handles are very convenient and you can remove the lid and take out the pan.  There are no scratches or "&amp;"chips, I use bamboo spatulas. Suitable for both stove and oven.   This is my favorite casserole dish!")</f>
        <v>I've been using this for 3 years now. Suitable for any purpose: frying, boiling, stewing, and baking.    Nothing burns and cooks quickly. The silicone handles are very convenient and you can remove the lid and take out the pan.  There are no scratches or chips, I use bamboo spatulas. Suitable for both stove and oven.   This is my favorite casserole dish!</v>
      </c>
    </row>
    <row r="11180" spans="1:9" x14ac:dyDescent="0.3">
      <c r="A11180" s="1" t="s">
        <v>9</v>
      </c>
      <c r="B11180" s="1" t="s">
        <v>137</v>
      </c>
      <c r="C11180" s="1" t="s">
        <v>19</v>
      </c>
      <c r="D11180" s="1" t="s">
        <v>6071</v>
      </c>
      <c r="E11180" s="1" t="s">
        <v>8177</v>
      </c>
      <c r="F11180" s="1" t="s">
        <v>16033</v>
      </c>
      <c r="G11180" s="1" t="s">
        <v>28</v>
      </c>
      <c r="H11180" s="1" t="s">
        <v>29</v>
      </c>
      <c r="I11180" s="1" t="str">
        <f ca="1">IFERROR(__xludf.DUMMYFUNCTION("GOOGLETRANSLATE(F11180, ""auto"", ""en"")
"),"I recently bought this stove, I’m happy with it")</f>
        <v>I recently bought this stove, I’m happy with it</v>
      </c>
    </row>
    <row r="11181" spans="1:9" x14ac:dyDescent="0.3">
      <c r="A11181" s="1" t="s">
        <v>17</v>
      </c>
      <c r="B11181" s="1" t="s">
        <v>18</v>
      </c>
      <c r="C11181" s="1" t="s">
        <v>151</v>
      </c>
      <c r="D11181" s="1" t="s">
        <v>8069</v>
      </c>
      <c r="E11181" s="1" t="s">
        <v>320</v>
      </c>
      <c r="F11181" s="1" t="s">
        <v>16034</v>
      </c>
      <c r="G11181" s="1" t="s">
        <v>49</v>
      </c>
      <c r="H11181" s="1" t="s">
        <v>16</v>
      </c>
      <c r="I11181" s="1" t="str">
        <f ca="1">IFERROR(__xludf.DUMMYFUNCTION("GOOGLETRANSLATE(F11181, ""auto"", ""en"")
"),"It took a long time to choose a machine for my mother! We looked at the reviews, consulted the video and finally chose! After two months of work, we noticed that the machine hardly takes up water at all! It’s only enough to wet the laundry! We checked all"&amp;" the eyeliner, everything is fine! Has anyone encountered such a problem? Tell me! What to do! I was very upset by this purchase...")</f>
        <v>It took a long time to choose a machine for my mother! We looked at the reviews, consulted the video and finally chose! After two months of work, we noticed that the machine hardly takes up water at all! It’s only enough to wet the laundry! We checked all the eyeliner, everything is fine! Has anyone encountered such a problem? Tell me! What to do! I was very upset by this purchase...</v>
      </c>
    </row>
    <row r="11182" spans="1:9" x14ac:dyDescent="0.3">
      <c r="A11182" s="1" t="s">
        <v>211</v>
      </c>
      <c r="B11182" s="1" t="s">
        <v>212</v>
      </c>
      <c r="C11182" s="1" t="s">
        <v>213</v>
      </c>
      <c r="D11182" s="1" t="s">
        <v>75</v>
      </c>
      <c r="E11182" s="1" t="s">
        <v>10787</v>
      </c>
      <c r="F11182" s="1" t="s">
        <v>16035</v>
      </c>
      <c r="G11182" s="1" t="s">
        <v>36</v>
      </c>
      <c r="H11182" s="1" t="s">
        <v>29</v>
      </c>
      <c r="I11182" s="1" t="str">
        <f ca="1">IFERROR(__xludf.DUMMYFUNCTION("GOOGLETRANSLATE(F11182, ""auto"", ""en"")
"),"Excellent straightener, convenient and does its job well!!! Hair really shines after ions!!!  It's been working fine for 3 years now!!!")</f>
        <v>Excellent straightener, convenient and does its job well!!! Hair really shines after ions!!!  It's been working fine for 3 years now!!!</v>
      </c>
    </row>
    <row r="11183" spans="1:9" x14ac:dyDescent="0.3">
      <c r="A11183" s="1" t="s">
        <v>30</v>
      </c>
      <c r="B11183" s="1" t="s">
        <v>50</v>
      </c>
      <c r="C11183" s="1" t="s">
        <v>32</v>
      </c>
      <c r="D11183" s="1" t="s">
        <v>152</v>
      </c>
      <c r="E11183" s="1" t="s">
        <v>2298</v>
      </c>
      <c r="F11183" s="1" t="s">
        <v>16036</v>
      </c>
      <c r="G11183" s="1" t="s">
        <v>36</v>
      </c>
      <c r="H11183" s="1" t="s">
        <v>29</v>
      </c>
      <c r="I11183" s="1" t="str">
        <f ca="1">IFERROR(__xludf.DUMMYFUNCTION("GOOGLETRANSLATE(F11183, ""auto"", ""en"")
"),"Can you please tell me which video card is better than GeForce G240M or Radeon HD 5650???? Thanks in advance!)))")</f>
        <v>Can you please tell me which video card is better than GeForce G240M or Radeon HD 5650???? Thanks in advance!)))</v>
      </c>
    </row>
    <row r="11184" spans="1:9" x14ac:dyDescent="0.3">
      <c r="A11184" s="1" t="s">
        <v>169</v>
      </c>
      <c r="B11184" s="1" t="s">
        <v>170</v>
      </c>
      <c r="C11184" s="1" t="s">
        <v>171</v>
      </c>
      <c r="D11184" s="1" t="s">
        <v>152</v>
      </c>
      <c r="E11184" s="1" t="s">
        <v>903</v>
      </c>
      <c r="F11184" s="1" t="s">
        <v>16037</v>
      </c>
      <c r="G11184" s="1" t="s">
        <v>36</v>
      </c>
      <c r="H11184" s="1" t="s">
        <v>29</v>
      </c>
      <c r="I11184" s="1" t="str">
        <f ca="1">IFERROR(__xludf.DUMMYFUNCTION("GOOGLETRANSLATE(F11184, ""auto"", ""en"")
"),"Hi all. I bought these headphones an hour ago. =) I tried it on in the store, it seemed a little unusual. Bought. Now I'm used to it. =) The wires lay very conveniently. Usually, with regular headphones, I was annoyed by the fact that the wires itch my ch"&amp;"eeks. Here you can completely forget about the wires. The sound is great. =) The bass is strong. Out of habit, you even get a little tired. =) The only thing is that the materials do not inspire confidence, but I hope everything will be fine. =)")</f>
        <v>Hi all. I bought these headphones an hour ago. =) I tried it on in the store, it seemed a little unusual. Bought. Now I'm used to it. =) The wires lay very conveniently. Usually, with regular headphones, I was annoyed by the fact that the wires itch my cheeks. Here you can completely forget about the wires. The sound is great. =) The bass is strong. Out of habit, you even get a little tired. =) The only thing is that the materials do not inspire confidence, but I hope everything will be fine. =)</v>
      </c>
    </row>
    <row r="11185" spans="1:9" x14ac:dyDescent="0.3">
      <c r="A11185" s="1" t="s">
        <v>105</v>
      </c>
      <c r="B11185" s="1" t="s">
        <v>106</v>
      </c>
      <c r="C11185" s="1" t="s">
        <v>1209</v>
      </c>
      <c r="D11185" s="1" t="s">
        <v>232</v>
      </c>
      <c r="E11185" s="1" t="s">
        <v>1931</v>
      </c>
      <c r="F11185" s="1" t="s">
        <v>16038</v>
      </c>
      <c r="G11185" s="1" t="s">
        <v>36</v>
      </c>
      <c r="H11185" s="1" t="s">
        <v>29</v>
      </c>
      <c r="I11185" s="1" t="str">
        <f ca="1">IFERROR(__xludf.DUMMYFUNCTION("GOOGLETRANSLATE(F11185, ""auto"", ""en"")
"),"You won't find a better player for that kind of money, I've been using it for a month now. There are no glitches, it shows TV, AVI works fine and plays music well. very convenient, but there is no backlight on the keyboard. In general, I'm amazed, don't h"&amp;"esitate, buy it.")</f>
        <v>You won't find a better player for that kind of money, I've been using it for a month now. There are no glitches, it shows TV, AVI works fine and plays music well. very convenient, but there is no backlight on the keyboard. In general, I'm amazed, don't hesitate, buy it.</v>
      </c>
    </row>
    <row r="11186" spans="1:9" x14ac:dyDescent="0.3">
      <c r="A11186" s="1" t="s">
        <v>89</v>
      </c>
      <c r="B11186" s="1" t="s">
        <v>90</v>
      </c>
      <c r="C11186" s="1" t="s">
        <v>185</v>
      </c>
      <c r="D11186" s="1" t="s">
        <v>565</v>
      </c>
      <c r="E11186" s="1" t="s">
        <v>6854</v>
      </c>
      <c r="F11186" s="1" t="s">
        <v>16039</v>
      </c>
      <c r="G11186" s="1" t="s">
        <v>49</v>
      </c>
      <c r="H11186" s="1" t="s">
        <v>16</v>
      </c>
      <c r="I11186" s="1" t="str">
        <f ca="1">IFERROR(__xludf.DUMMYFUNCTION("GOOGLETRANSLATE(F11186, ""auto"", ""en"")
"),"Heavy, bulky, coffee spills from the lid after grinding. You have to press the lid with brutal force. It took a long time to grind until it was fine. The manufacturers and the seller who recommended it to me should be sentenced to use it for life so that "&amp;"it suffers longer. Rare crap.")</f>
        <v>Heavy, bulky, coffee spills from the lid after grinding. You have to press the lid with brutal force. It took a long time to grind until it was fine. The manufacturers and the seller who recommended it to me should be sentenced to use it for life so that it suffers longer. Rare crap.</v>
      </c>
    </row>
    <row r="11187" spans="1:9" x14ac:dyDescent="0.3">
      <c r="A11187" s="1" t="s">
        <v>149</v>
      </c>
      <c r="B11187" s="1" t="s">
        <v>576</v>
      </c>
      <c r="C11187" s="1" t="s">
        <v>459</v>
      </c>
      <c r="D11187" s="1" t="s">
        <v>16040</v>
      </c>
      <c r="E11187" s="1" t="s">
        <v>2829</v>
      </c>
      <c r="F11187" s="1" t="s">
        <v>16041</v>
      </c>
      <c r="G11187" s="1" t="s">
        <v>36</v>
      </c>
      <c r="H11187" s="1" t="s">
        <v>29</v>
      </c>
      <c r="I11187" s="1" t="str">
        <f ca="1">IFERROR(__xludf.DUMMYFUNCTION("GOOGLETRANSLATE(F11187, ""auto"", ""en"")
"),"I've been using it for six months. I was specifically looking for a small one-room apartment.   On the plus side, the handset is easy to place; in the old one it always fell (on my feet and on the cat). The power is quite good - it sticks to the carpet. T"&amp;"he tube inside is with silver - the fact that the air is at least somehow purified (and there are also filters) is very pleasing.")</f>
        <v>I've been using it for six months. I was specifically looking for a small one-room apartment.   On the plus side, the handset is easy to place; in the old one it always fell (on my feet and on the cat). The power is quite good - it sticks to the carpet. The tube inside is with silver - the fact that the air is at least somehow purified (and there are also filters) is very pleasing.</v>
      </c>
    </row>
    <row r="11188" spans="1:9" x14ac:dyDescent="0.3">
      <c r="A11188" s="1" t="s">
        <v>43</v>
      </c>
      <c r="B11188" s="1" t="s">
        <v>1616</v>
      </c>
      <c r="C11188" s="1" t="s">
        <v>185</v>
      </c>
      <c r="D11188" s="1" t="s">
        <v>4244</v>
      </c>
      <c r="E11188" s="1" t="s">
        <v>3903</v>
      </c>
      <c r="F11188" s="1" t="s">
        <v>16042</v>
      </c>
      <c r="G11188" s="1" t="s">
        <v>36</v>
      </c>
      <c r="H11188" s="1" t="s">
        <v>29</v>
      </c>
      <c r="I11188" s="1" t="str">
        <f ca="1">IFERROR(__xludf.DUMMYFUNCTION("GOOGLETRANSLATE(F11188, ""auto"", ""en"")
"),"I recently purchased this mobile air conditioner and was pleasantly surprised, firstly, by the low level, and secondly, by the interesting design, it takes up little space and cools well in the heat.")</f>
        <v>I recently purchased this mobile air conditioner and was pleasantly surprised, firstly, by the low level, and secondly, by the interesting design, it takes up little space and cools well in the heat.</v>
      </c>
    </row>
    <row r="11189" spans="1:9" x14ac:dyDescent="0.3">
      <c r="A11189" s="1" t="s">
        <v>61</v>
      </c>
      <c r="B11189" s="1" t="s">
        <v>318</v>
      </c>
      <c r="C11189" s="1" t="s">
        <v>246</v>
      </c>
      <c r="D11189" s="1" t="s">
        <v>139</v>
      </c>
      <c r="E11189" s="1" t="s">
        <v>2278</v>
      </c>
      <c r="F11189" s="1" t="s">
        <v>16043</v>
      </c>
      <c r="G11189" s="1" t="s">
        <v>28</v>
      </c>
      <c r="H11189" s="1" t="s">
        <v>29</v>
      </c>
      <c r="I11189" s="1" t="str">
        <f ca="1">IFERROR(__xludf.DUMMYFUNCTION("GOOGLETRANSLATE(F11189, ""auto"", ""en"")
"),"The kettle has been in use for about two years. Pros - works without problems, turns off if removed from the stand (the button snaps off), appearance (design). Cons - very noisy, especially when there is scale inside, the rubber-coated handle has peeled o"&amp;"ff (it remains black, but traces of transition where there is rubber and where there is not are visible)")</f>
        <v>The kettle has been in use for about two years. Pros - works without problems, turns off if removed from the stand (the button snaps off), appearance (design). Cons - very noisy, especially when there is scale inside, the rubber-coated handle has peeled off (it remains black, but traces of transition where there is rubber and where there is not are visible)</v>
      </c>
    </row>
    <row r="11190" spans="1:9" x14ac:dyDescent="0.3">
      <c r="A11190" s="1" t="s">
        <v>206</v>
      </c>
      <c r="B11190" s="1" t="s">
        <v>207</v>
      </c>
      <c r="C11190" s="1" t="s">
        <v>152</v>
      </c>
      <c r="D11190" s="1" t="s">
        <v>152</v>
      </c>
      <c r="E11190" s="1" t="s">
        <v>6545</v>
      </c>
      <c r="F11190" s="1" t="s">
        <v>16044</v>
      </c>
      <c r="G11190" s="1" t="s">
        <v>36</v>
      </c>
      <c r="H11190" s="1" t="s">
        <v>29</v>
      </c>
      <c r="I11190" s="1" t="str">
        <f ca="1">IFERROR(__xludf.DUMMYFUNCTION("GOOGLETRANSLATE(F11190, ""auto"", ""en"")
"),"They don't hurt your ears, you can change the direction of the sound, silk, price.")</f>
        <v>They don't hurt your ears, you can change the direction of the sound, silk, price.</v>
      </c>
    </row>
    <row r="11191" spans="1:9" x14ac:dyDescent="0.3">
      <c r="A11191" s="1" t="s">
        <v>211</v>
      </c>
      <c r="B11191" s="1" t="s">
        <v>856</v>
      </c>
      <c r="C11191" s="1" t="s">
        <v>101</v>
      </c>
      <c r="D11191" s="1" t="s">
        <v>1681</v>
      </c>
      <c r="E11191" s="1" t="s">
        <v>7596</v>
      </c>
      <c r="F11191" s="1" t="s">
        <v>16045</v>
      </c>
      <c r="G11191" s="1" t="s">
        <v>28</v>
      </c>
      <c r="H11191" s="1" t="s">
        <v>29</v>
      </c>
      <c r="I11191" s="1" t="str">
        <f ca="1">IFERROR(__xludf.DUMMYFUNCTION("GOOGLETRANSLATE(F11191, ""auto"", ""en"")
"),"Great item for vacation. I'm lying on a sun lounger and slowly polishing my nails. What has technology come to?)) There are enough attachments and power for simple processing. It’s very convenient for me to manage, and it doesn’t get in the way in my suit"&amp;"case")</f>
        <v>Great item for vacation. I'm lying on a sun lounger and slowly polishing my nails. What has technology come to?)) There are enough attachments and power for simple processing. It’s very convenient for me to manage, and it doesn’t get in the way in my suitcase</v>
      </c>
    </row>
    <row r="11192" spans="1:9" x14ac:dyDescent="0.3">
      <c r="A11192" s="1" t="s">
        <v>149</v>
      </c>
      <c r="B11192" s="1" t="s">
        <v>155</v>
      </c>
      <c r="C11192" s="1" t="s">
        <v>24</v>
      </c>
      <c r="D11192" s="1" t="s">
        <v>565</v>
      </c>
      <c r="E11192" s="1" t="s">
        <v>8005</v>
      </c>
      <c r="F11192" s="1" t="s">
        <v>16046</v>
      </c>
      <c r="G11192" s="1" t="s">
        <v>36</v>
      </c>
      <c r="H11192" s="1" t="s">
        <v>29</v>
      </c>
      <c r="I11192" s="1" t="str">
        <f ca="1">IFERROR(__xludf.DUMMYFUNCTION("GOOGLETRANSLATE(F11192, ""auto"", ""en"")
"),"There are no complaints. I've been happy for 3 years now. He went through a move and renovation with me, there are animals at home, he copes with everything without problems. When it started to turn off, I wanted to go and buy the same one, but by chance "&amp;"a replacement filter turned up on the website, it cost about 100 rubles, I bought it, changed it, and it was like new again. I love him very much.")</f>
        <v>There are no complaints. I've been happy for 3 years now. He went through a move and renovation with me, there are animals at home, he copes with everything without problems. When it started to turn off, I wanted to go and buy the same one, but by chance a replacement filter turned up on the website, it cost about 100 rubles, I bought it, changed it, and it was like new again. I love him very much.</v>
      </c>
    </row>
    <row r="11193" spans="1:9" x14ac:dyDescent="0.3">
      <c r="A11193" s="1" t="s">
        <v>37</v>
      </c>
      <c r="B11193" s="1" t="s">
        <v>536</v>
      </c>
      <c r="C11193" s="1" t="s">
        <v>163</v>
      </c>
      <c r="D11193" s="1" t="s">
        <v>305</v>
      </c>
      <c r="E11193" s="1" t="s">
        <v>2735</v>
      </c>
      <c r="F11193" s="1" t="s">
        <v>16047</v>
      </c>
      <c r="G11193" s="1" t="s">
        <v>36</v>
      </c>
      <c r="H11193" s="1" t="s">
        <v>29</v>
      </c>
      <c r="I11193" s="1" t="str">
        <f ca="1">IFERROR(__xludf.DUMMYFUNCTION("GOOGLETRANSLATE(F11193, ""auto"", ""en"")
"),"I've been waiting for a long time!!! I bought it a week ago!!! The phone is just super!!! Unreal functionality for very real money. Almost all unnecessary things are missing))). I recommend it to everyone!!!")</f>
        <v>I've been waiting for a long time!!! I bought it a week ago!!! The phone is just super!!! Unreal functionality for very real money. Almost all unnecessary things are missing))). I recommend it to everyone!!!</v>
      </c>
    </row>
    <row r="11194" spans="1:9" x14ac:dyDescent="0.3">
      <c r="A11194" s="1" t="s">
        <v>43</v>
      </c>
      <c r="B11194" s="1" t="s">
        <v>303</v>
      </c>
      <c r="C11194" s="1" t="s">
        <v>220</v>
      </c>
      <c r="D11194" s="1" t="s">
        <v>327</v>
      </c>
      <c r="E11194" s="1" t="s">
        <v>8242</v>
      </c>
      <c r="F11194" s="1" t="s">
        <v>16048</v>
      </c>
      <c r="G11194" s="1" t="s">
        <v>36</v>
      </c>
      <c r="H11194" s="1" t="s">
        <v>29</v>
      </c>
      <c r="I11194" s="1" t="str">
        <f ca="1">IFERROR(__xludf.DUMMYFUNCTION("GOOGLETRANSLATE(F11194, ""auto"", ""en"")
"),"It has been working continuously for 2 years, no complaints, excellent device. It’s just that after a power outage, the clock stops and after the supply is restored, the clock starts counting from the time of the shutdown, you have to adjust it, but this,"&amp;" I think, is not a big minus.")</f>
        <v>It has been working continuously for 2 years, no complaints, excellent device. It’s just that after a power outage, the clock stops and after the supply is restored, the clock starts counting from the time of the shutdown, you have to adjust it, but this, I think, is not a big minus.</v>
      </c>
    </row>
    <row r="11195" spans="1:9" x14ac:dyDescent="0.3">
      <c r="A11195" s="1" t="s">
        <v>211</v>
      </c>
      <c r="B11195" s="1" t="s">
        <v>212</v>
      </c>
      <c r="C11195" s="1" t="s">
        <v>1591</v>
      </c>
      <c r="D11195" s="1" t="s">
        <v>565</v>
      </c>
      <c r="E11195" s="1" t="s">
        <v>16049</v>
      </c>
      <c r="F11195" s="1" t="s">
        <v>16050</v>
      </c>
      <c r="G11195" s="1" t="s">
        <v>36</v>
      </c>
      <c r="H11195" s="1" t="s">
        <v>29</v>
      </c>
      <c r="I11195" s="1" t="str">
        <f ca="1">IFERROR(__xludf.DUMMYFUNCTION("GOOGLETRANSLATE(F11195, ""auto"", ""en"")
"),"The only negative, but for me it turned out to be significant, is that it is not convenient to switch to the cold mode (which is not cold at all), but the styling effect turned out to be simply magnificent, the hair did not even become frizzy from the hum"&amp;"idity, but remained as smooth and lying as I needed, without any varnish or other styling products. A brush that rotates has significantly reduced styling time.")</f>
        <v>The only negative, but for me it turned out to be significant, is that it is not convenient to switch to the cold mode (which is not cold at all), but the styling effect turned out to be simply magnificent, the hair did not even become frizzy from the humidity, but remained as smooth and lying as I needed, without any varnish or other styling products. A brush that rotates has significantly reduced styling time.</v>
      </c>
    </row>
    <row r="11196" spans="1:9" x14ac:dyDescent="0.3">
      <c r="A11196" s="1" t="s">
        <v>624</v>
      </c>
      <c r="B11196" s="1" t="s">
        <v>625</v>
      </c>
      <c r="C11196" s="1" t="s">
        <v>479</v>
      </c>
      <c r="D11196" s="1" t="s">
        <v>16051</v>
      </c>
      <c r="E11196" s="1" t="s">
        <v>460</v>
      </c>
      <c r="F11196" s="1" t="s">
        <v>16052</v>
      </c>
      <c r="G11196" s="1" t="s">
        <v>49</v>
      </c>
      <c r="H11196" s="1" t="s">
        <v>16</v>
      </c>
      <c r="I11196" s="1" t="str">
        <f ca="1">IFERROR(__xludf.DUMMYFUNCTION("GOOGLETRANSLATE(F11196, ""auto"", ""en"")
"),"It's pointless to play the game if you don't know English, it's like playing GTA 4 in English. In my understanding, such a game cannot be considered a full-fledged and finished product and, accordingly, copyright should not apply to it. I didn’t buy the c"&amp;"onsole to play this crap when you don’t understand what’s going on and what needs to be done, and even when the price of the raw product is 2,600 rubles. It’s better to get a pirated version on Xbox then. I don't buy low-quality products.")</f>
        <v>It's pointless to play the game if you don't know English, it's like playing GTA 4 in English. In my understanding, such a game cannot be considered a full-fledged and finished product and, accordingly, copyright should not apply to it. I didn’t buy the console to play this crap when you don’t understand what’s going on and what needs to be done, and even when the price of the raw product is 2,600 rubles. It’s better to get a pirated version on Xbox then. I don't buy low-quality products.</v>
      </c>
    </row>
    <row r="11197" spans="1:9" x14ac:dyDescent="0.3">
      <c r="A11197" s="1" t="s">
        <v>17</v>
      </c>
      <c r="B11197" s="1" t="s">
        <v>18</v>
      </c>
      <c r="C11197" s="1" t="s">
        <v>63</v>
      </c>
      <c r="D11197" s="1" t="s">
        <v>280</v>
      </c>
      <c r="E11197" s="1" t="s">
        <v>3730</v>
      </c>
      <c r="F11197" s="1" t="s">
        <v>16053</v>
      </c>
      <c r="G11197" s="1" t="s">
        <v>28</v>
      </c>
      <c r="H11197" s="1" t="s">
        <v>29</v>
      </c>
      <c r="I11197" s="1" t="str">
        <f ca="1">IFERROR(__xludf.DUMMYFUNCTION("GOOGLETRANSLATE(F11197, ""auto"", ""en"")
"),"We bought a Bosch washing machine, we are happy with the washing, but during the spin cycle there is a strong knocking sound, and we wash it 2-3 times. (The number of revolutions does not greatly affect this knocking. When we washed it 1 time (test) witho"&amp;"ut laundry, there was no knocking. The washing machine is under MVideo warranty, let’s look at its behavior and then we’ll decide what to do with it, maybe we’ll be able to figure out what caused the knocking!")</f>
        <v>We bought a Bosch washing machine, we are happy with the washing, but during the spin cycle there is a strong knocking sound, and we wash it 2-3 times. (The number of revolutions does not greatly affect this knocking. When we washed it 1 time (test) without laundry, there was no knocking. The washing machine is under MVideo warranty, let’s look at its behavior and then we’ll decide what to do with it, maybe we’ll be able to figure out what caused the knocking!</v>
      </c>
    </row>
    <row r="11198" spans="1:9" x14ac:dyDescent="0.3">
      <c r="A11198" s="1" t="s">
        <v>30</v>
      </c>
      <c r="B11198" s="1" t="s">
        <v>31</v>
      </c>
      <c r="C11198" s="1" t="s">
        <v>32</v>
      </c>
      <c r="D11198" s="1" t="s">
        <v>16054</v>
      </c>
      <c r="E11198" s="1" t="s">
        <v>3626</v>
      </c>
      <c r="F11198" s="1" t="s">
        <v>16055</v>
      </c>
      <c r="G11198" s="1" t="s">
        <v>49</v>
      </c>
      <c r="H11198" s="1" t="s">
        <v>16</v>
      </c>
      <c r="I11198" s="1" t="str">
        <f ca="1">IFERROR(__xludf.DUMMYFUNCTION("GOOGLETRANSLATE(F11198, ""auto"", ""en"")
"),"People, don't be fooled. The computer is just awful, overpriced.  9600GSO DDR2 video card renamed GT230.   The processor is slow, even though it has 4 cores.  Mother is on a budget.  A 300 Watt power supply from the next Codegen won't do any good, for a 9"&amp;"600GSO Chinese 300 Wattnik is not enough, there will be drawdowns and if this assembly lasts at least 1 year, I will be surprised.")</f>
        <v>People, don't be fooled. The computer is just awful, overpriced.  9600GSO DDR2 video card renamed GT230.   The processor is slow, even though it has 4 cores.  Mother is on a budget.  A 300 Watt power supply from the next Codegen won't do any good, for a 9600GSO Chinese 300 Wattnik is not enough, there will be drawdowns and if this assembly lasts at least 1 year, I will be surprised.</v>
      </c>
    </row>
    <row r="11199" spans="1:9" x14ac:dyDescent="0.3">
      <c r="A11199" s="1" t="s">
        <v>624</v>
      </c>
      <c r="B11199" s="1" t="s">
        <v>881</v>
      </c>
      <c r="C11199" s="1" t="s">
        <v>479</v>
      </c>
      <c r="D11199" s="1" t="s">
        <v>16056</v>
      </c>
      <c r="E11199" s="1" t="s">
        <v>3890</v>
      </c>
      <c r="F11199" s="1" t="s">
        <v>16057</v>
      </c>
      <c r="G11199" s="1" t="s">
        <v>36</v>
      </c>
      <c r="H11199" s="1" t="s">
        <v>29</v>
      </c>
      <c r="I11199" s="1" t="str">
        <f ca="1">IFERROR(__xludf.DUMMYFUNCTION("GOOGLETRANSLATE(F11199, ""auto"", ""en"")
"),"I love this awesome game! I’ll definitely buy it! But when will it hit Tolyatti? Thanks in advance!")</f>
        <v>I love this awesome game! I’ll definitely buy it! But when will it hit Tolyatti? Thanks in advance!</v>
      </c>
    </row>
    <row r="11200" spans="1:9" x14ac:dyDescent="0.3">
      <c r="A11200" s="1" t="s">
        <v>211</v>
      </c>
      <c r="B11200" s="1" t="s">
        <v>212</v>
      </c>
      <c r="C11200" s="1" t="s">
        <v>101</v>
      </c>
      <c r="D11200" s="1" t="s">
        <v>335</v>
      </c>
      <c r="E11200" s="1" t="s">
        <v>2616</v>
      </c>
      <c r="F11200" s="1" t="s">
        <v>16058</v>
      </c>
      <c r="G11200" s="1" t="s">
        <v>36</v>
      </c>
      <c r="H11200" s="1" t="s">
        <v>29</v>
      </c>
      <c r="I11200" s="1" t="str">
        <f ca="1">IFERROR(__xludf.DUMMYFUNCTION("GOOGLETRANSLATE(F11200, ""auto"", ""en"")
"),"I bought this straightener and have never regretted it! At 160 degrees it perfectly straightens my less manageable hair. After use, the strands are very pleasant to the touch. I’m terribly glad that it is possible to change the heating temperature, and no"&amp;"t immediately burn your hair at 200 or 220 degrees. The only negative is the inconvenience of finding the mode switching button, but if you consider the quality of this product, you can bear with it! High five to Scarlett!")</f>
        <v>I bought this straightener and have never regretted it! At 160 degrees it perfectly straightens my less manageable hair. After use, the strands are very pleasant to the touch. I’m terribly glad that it is possible to change the heating temperature, and not immediately burn your hair at 200 or 220 degrees. The only negative is the inconvenience of finding the mode switching button, but if you consider the quality of this product, you can bear with it! High five to Scarlett!</v>
      </c>
    </row>
    <row r="11201" spans="1:9" x14ac:dyDescent="0.3">
      <c r="A11201" s="1" t="s">
        <v>37</v>
      </c>
      <c r="B11201" s="1" t="s">
        <v>536</v>
      </c>
      <c r="C11201" s="1" t="s">
        <v>163</v>
      </c>
      <c r="D11201" s="1" t="s">
        <v>592</v>
      </c>
      <c r="E11201" s="1" t="s">
        <v>5696</v>
      </c>
      <c r="F11201" s="1" t="s">
        <v>16059</v>
      </c>
      <c r="G11201" s="1" t="s">
        <v>36</v>
      </c>
      <c r="H11201" s="1" t="s">
        <v>29</v>
      </c>
      <c r="I11201" s="1" t="str">
        <f ca="1">IFERROR(__xludf.DUMMYFUNCTION("GOOGLETRANSLATE(F11201, ""auto"", ""en"")
"),"Switching from push-button to touch requires some getting used to. I was faced with the fact that I didn’t immediately figure out how to turn off the alarm clock (I had no time to read the instructions).  It turned out to be ridiculously simple. Comfortab"&amp;"le in women's hands with lengths. nails. In mvideo they said that the screen reacts not to heat, but to pressure. I don’t know if this is true or not, but it’s even better for me, my fingers are almost always cold, and in winter there certainly shouldn’t "&amp;"be any problems then.  minus: 1. the body is slippery, easy to drop out of your hands; The reverse side does not have protection against scratches, I have been using it for a month and small spider web scratches have already appeared. I only carry it in a"&amp;" case!  2. In the dark, you can’t tell where it’s up and where it’s down—you can’t immediately feel the lock button. You need to hang up a keychain landmark!   3. It’s hard to open the back cover of the case, but you can’t pry it off with something with y"&amp;"our fingernail.  4. The camera is rather weak, good photos only in good lighting. In the evening, even with a flash, they turn out grainy.")</f>
        <v>Switching from push-button to touch requires some getting used to. I was faced with the fact that I didn’t immediately figure out how to turn off the alarm clock (I had no time to read the instructions).  It turned out to be ridiculously simple. Comfortable in women's hands with lengths. nails. In mvideo they said that the screen reacts not to heat, but to pressure. I don’t know if this is true or not, but it’s even better for me, my fingers are almost always cold, and in winter there certainly shouldn’t be any problems then.  minus: 1. the body is slippery, easy to drop out of your hands; The reverse side does not have protection against scratches, I have been using it for a month and small spider web scratches have already appeared. I only carry it in a case!  2. In the dark, you can’t tell where it’s up and where it’s down—you can’t immediately feel the lock button. You need to hang up a keychain landmark!   3. It’s hard to open the back cover of the case, but you can’t pry it off with something with your fingernail.  4. The camera is rather weak, good photos only in good lighting. In the evening, even with a flash, they turn out grainy.</v>
      </c>
    </row>
    <row r="11202" spans="1:9" x14ac:dyDescent="0.3">
      <c r="A11202" s="1" t="s">
        <v>55</v>
      </c>
      <c r="B11202" s="1" t="s">
        <v>56</v>
      </c>
      <c r="C11202" s="1" t="s">
        <v>85</v>
      </c>
      <c r="D11202" s="1" t="s">
        <v>1744</v>
      </c>
      <c r="E11202" s="1" t="s">
        <v>1099</v>
      </c>
      <c r="F11202" s="1" t="s">
        <v>16060</v>
      </c>
      <c r="G11202" s="1" t="s">
        <v>36</v>
      </c>
      <c r="H11202" s="1" t="s">
        <v>29</v>
      </c>
      <c r="I11202" s="1" t="str">
        <f ca="1">IFERROR(__xludf.DUMMYFUNCTION("GOOGLETRANSLATE(F11202, ""auto"", ""en"")
"),"This is the first humidifier we have, our family is very happy, and the flowers have simply taken on a new life. It humidifies the air perfectly and even lowers the temperature in the room by a couple of degrees. If you use distilled water, there will be "&amp;"no white residue on the equipment. I recommend it to everyone, you won’t regret it, very convenient and simple controls.")</f>
        <v>This is the first humidifier we have, our family is very happy, and the flowers have simply taken on a new life. It humidifies the air perfectly and even lowers the temperature in the room by a couple of degrees. If you use distilled water, there will be no white residue on the equipment. I recommend it to everyone, you won’t regret it, very convenient and simple controls.</v>
      </c>
    </row>
    <row r="11203" spans="1:9" x14ac:dyDescent="0.3">
      <c r="A11203" s="1" t="s">
        <v>149</v>
      </c>
      <c r="B11203" s="1" t="s">
        <v>576</v>
      </c>
      <c r="C11203" s="1" t="s">
        <v>69</v>
      </c>
      <c r="D11203" s="1" t="s">
        <v>4222</v>
      </c>
      <c r="E11203" s="1" t="s">
        <v>5143</v>
      </c>
      <c r="F11203" s="1" t="s">
        <v>16061</v>
      </c>
      <c r="G11203" s="1" t="s">
        <v>36</v>
      </c>
      <c r="H11203" s="1" t="s">
        <v>29</v>
      </c>
      <c r="I11203" s="1" t="str">
        <f ca="1">IFERROR(__xludf.DUMMYFUNCTION("GOOGLETRANSLATE(F11203, ""auto"", ""en"")
"),"powerful, ideal for laminate flooring")</f>
        <v>powerful, ideal for laminate flooring</v>
      </c>
    </row>
    <row r="11204" spans="1:9" x14ac:dyDescent="0.3">
      <c r="A11204" s="1" t="s">
        <v>61</v>
      </c>
      <c r="B11204" s="1" t="s">
        <v>318</v>
      </c>
      <c r="C11204" s="1" t="s">
        <v>246</v>
      </c>
      <c r="D11204" s="1" t="s">
        <v>127</v>
      </c>
      <c r="E11204" s="1" t="s">
        <v>1122</v>
      </c>
      <c r="F11204" s="1" t="s">
        <v>16062</v>
      </c>
      <c r="G11204" s="1" t="s">
        <v>36</v>
      </c>
      <c r="H11204" s="1" t="s">
        <v>29</v>
      </c>
      <c r="I11204" s="1" t="str">
        <f ca="1">IFERROR(__xludf.DUMMYFUNCTION("GOOGLETRANSLATE(F11204, ""auto"", ""en"")
"),"I have read the reviews written below and I will say the following. We've had this kettle for over six months. 1. Noisy - yes, but also a power of 2400W, if you want low noise, take up to 2000W and with an open shade. 2. As for the smell of plastic, there"&amp;" is no smell here. 3. The lid stopped opening or closing for someone, so I went to another store, where initially the lid hung halfway, but here everything works fine. It doesn't happen once at a time. 4. Regarding the heating of the case, this is true, i"&amp;"t’s still metal, but it cools down more slowly than in plastic. Now my review. The teapot wins more than it loses to its peers. Of the minuses, the price is very high, that’s all. But when I was looking for a kettle for the kitchen, I was targeting 1000 r"&amp;"ubles, according to the promotion, the body is also metal, but when I saw this handsome guy, I raked everything out of my wallet))). Well, now about the advantages!!! 1. boils quickly (the initial water temperature factor is of course important) 2. the po"&amp;"wer button is on the top and combined with the lid opening key (many models have the power button at the bottom under the handle, and it’s hard to get used to after the top switch, or at the top but there are two keys) it’s very conveniently done here! 3."&amp;" The plastic handle is very pleasant to the touch, this is also important, because technology should please you in the smallest detail. 4. The measuring windows are cleverly built into the body, I think this is one of the manufacturer’s successful solutio"&amp;"ns. 5. Well, the design is very original. I recommend it to everyone who loves convenience, beauty and quality.")</f>
        <v>I have read the reviews written below and I will say the following. We've had this kettle for over six months. 1. Noisy - yes, but also a power of 2400W, if you want low noise, take up to 2000W and with an open shade. 2. As for the smell of plastic, there is no smell here. 3. The lid stopped opening or closing for someone, so I went to another store, where initially the lid hung halfway, but here everything works fine. It doesn't happen once at a time. 4. Regarding the heating of the case, this is true, it’s still metal, but it cools down more slowly than in plastic. Now my review. The teapot wins more than it loses to its peers. Of the minuses, the price is very high, that’s all. But when I was looking for a kettle for the kitchen, I was targeting 1000 rubles, according to the promotion, the body is also metal, but when I saw this handsome guy, I raked everything out of my wallet))). Well, now about the advantages!!! 1. boils quickly (the initial water temperature factor is of course important) 2. the power button is on the top and combined with the lid opening key (many models have the power button at the bottom under the handle, and it’s hard to get used to after the top switch, or at the top but there are two keys) it’s very conveniently done here! 3. The plastic handle is very pleasant to the touch, this is also important, because technology should please you in the smallest detail. 4. The measuring windows are cleverly built into the body, I think this is one of the manufacturer’s successful solutions. 5. Well, the design is very original. I recommend it to everyone who loves convenience, beauty and quality.</v>
      </c>
    </row>
    <row r="11205" spans="1:9" x14ac:dyDescent="0.3">
      <c r="A11205" s="1" t="s">
        <v>211</v>
      </c>
      <c r="B11205" s="1" t="s">
        <v>212</v>
      </c>
      <c r="C11205" s="1" t="s">
        <v>381</v>
      </c>
      <c r="D11205" s="1" t="s">
        <v>385</v>
      </c>
      <c r="E11205" s="1" t="s">
        <v>6232</v>
      </c>
      <c r="F11205" s="1" t="s">
        <v>16063</v>
      </c>
      <c r="G11205" s="1" t="s">
        <v>36</v>
      </c>
      <c r="H11205" s="1" t="s">
        <v>29</v>
      </c>
      <c r="I11205" s="1" t="str">
        <f ca="1">IFERROR(__xludf.DUMMYFUNCTION("GOOGLETRANSLATE(F11205, ""auto"", ""en"")
"),"My loved one gave it to me on March 8th and made me very happy! I chose it myself and did not miss!!! Very good iron, I recommend it to everyone. Then they gave it to the same friend, she was delighted too!")</f>
        <v>My loved one gave it to me on March 8th and made me very happy! I chose it myself and did not miss!!! Very good iron, I recommend it to everyone. Then they gave it to the same friend, she was delighted too!</v>
      </c>
    </row>
    <row r="11206" spans="1:9" x14ac:dyDescent="0.3">
      <c r="A11206" s="1" t="s">
        <v>206</v>
      </c>
      <c r="B11206" s="1" t="s">
        <v>207</v>
      </c>
      <c r="C11206" s="1" t="s">
        <v>97</v>
      </c>
      <c r="D11206" s="1" t="s">
        <v>633</v>
      </c>
      <c r="E11206" s="1" t="s">
        <v>6038</v>
      </c>
      <c r="F11206" s="1" t="s">
        <v>16064</v>
      </c>
      <c r="G11206" s="1" t="s">
        <v>36</v>
      </c>
      <c r="H11206" s="1" t="s">
        <v>29</v>
      </c>
      <c r="I11206" s="1" t="str">
        <f ca="1">IFERROR(__xludf.DUMMYFUNCTION("GOOGLETRANSLATE(F11206, ""auto"", ""en"")
"),"I bought it yesterday and it plays great!!!")</f>
        <v>I bought it yesterday and it plays great!!!</v>
      </c>
    </row>
    <row r="11207" spans="1:9" x14ac:dyDescent="0.3">
      <c r="A11207" s="1" t="s">
        <v>211</v>
      </c>
      <c r="B11207" s="1" t="s">
        <v>265</v>
      </c>
      <c r="C11207" s="1" t="s">
        <v>69</v>
      </c>
      <c r="D11207" s="1" t="s">
        <v>16065</v>
      </c>
      <c r="E11207" s="1" t="s">
        <v>5112</v>
      </c>
      <c r="F11207" s="1" t="s">
        <v>16066</v>
      </c>
      <c r="G11207" s="1" t="s">
        <v>28</v>
      </c>
      <c r="H11207" s="1" t="s">
        <v>29</v>
      </c>
      <c r="I11207" s="1" t="str">
        <f ca="1">IFERROR(__xludf.DUMMYFUNCTION("GOOGLETRANSLATE(F11207, ""auto"", ""en"")
"),"The machine is super, cuts softly, the motor does not vibrate, and is very quiet. The antenna does not leave and the blades are sharp, the only thing is that the attachment feels very fragile to the touch, you need to be careful)")</f>
        <v>The machine is super, cuts softly, the motor does not vibrate, and is very quiet. The antenna does not leave and the blades are sharp, the only thing is that the attachment feels very fragile to the touch, you need to be careful)</v>
      </c>
    </row>
    <row r="11208" spans="1:9" x14ac:dyDescent="0.3">
      <c r="A11208" s="1" t="s">
        <v>30</v>
      </c>
      <c r="B11208" s="1" t="s">
        <v>50</v>
      </c>
      <c r="C11208" s="1" t="s">
        <v>658</v>
      </c>
      <c r="D11208" s="1" t="s">
        <v>1559</v>
      </c>
      <c r="E11208" s="1" t="s">
        <v>469</v>
      </c>
      <c r="F11208" s="1" t="s">
        <v>16067</v>
      </c>
      <c r="G11208" s="1" t="s">
        <v>36</v>
      </c>
      <c r="H11208" s="1" t="s">
        <v>29</v>
      </c>
      <c r="I11208" s="1" t="str">
        <f ca="1">IFERROR(__xludf.DUMMYFUNCTION("GOOGLETRANSLATE(F11208, ""auto"", ""en"")
"),"I really liked it, I got it for my birthday, everything is very conveniently located, especially the keys for music, I especially like the presence of a Bluetooth module and a 1.3 MP camera")</f>
        <v>I really liked it, I got it for my birthday, everything is very conveniently located, especially the keys for music, I especially like the presence of a Bluetooth module and a 1.3 MP camera</v>
      </c>
    </row>
    <row r="11209" spans="1:9" x14ac:dyDescent="0.3">
      <c r="A11209" s="1" t="s">
        <v>61</v>
      </c>
      <c r="B11209" s="1" t="s">
        <v>318</v>
      </c>
      <c r="C11209" s="1" t="s">
        <v>74</v>
      </c>
      <c r="D11209" s="1" t="s">
        <v>896</v>
      </c>
      <c r="E11209" s="1" t="s">
        <v>4203</v>
      </c>
      <c r="F11209" s="1" t="s">
        <v>16068</v>
      </c>
      <c r="G11209" s="1" t="s">
        <v>28</v>
      </c>
      <c r="H11209" s="1" t="s">
        <v>29</v>
      </c>
      <c r="I11209" s="1" t="str">
        <f ca="1">IFERROR(__xludf.DUMMYFUNCTION("GOOGLETRANSLATE(F11209, ""auto"", ""en"")
"),"We bought it three months ago, in general the kettle is not bad, but we noticed sometimes when you pour cold water and you hit the shutdown sensor, it does not work during the first boil. And to be honest, it sticks out somehow inconveniently for washing "&amp;"the kettle (we didn’t look at it right away), it would be better if it was built into the lid.")</f>
        <v>We bought it three months ago, in general the kettle is not bad, but we noticed sometimes when you pour cold water and you hit the shutdown sensor, it does not work during the first boil. And to be honest, it sticks out somehow inconveniently for washing the kettle (we didn’t look at it right away), it would be better if it was built into the lid.</v>
      </c>
    </row>
    <row r="11210" spans="1:9" x14ac:dyDescent="0.3">
      <c r="A11210" s="1" t="s">
        <v>211</v>
      </c>
      <c r="B11210" s="1" t="s">
        <v>899</v>
      </c>
      <c r="C11210" s="1" t="s">
        <v>69</v>
      </c>
      <c r="D11210" s="1" t="s">
        <v>621</v>
      </c>
      <c r="E11210" s="1" t="s">
        <v>16069</v>
      </c>
      <c r="F11210" s="1" t="s">
        <v>16070</v>
      </c>
      <c r="G11210" s="1" t="s">
        <v>36</v>
      </c>
      <c r="H11210" s="1" t="s">
        <v>29</v>
      </c>
      <c r="I11210" s="1" t="str">
        <f ca="1">IFERROR(__xludf.DUMMYFUNCTION("GOOGLETRANSLATE(F11210, ""auto"", ""en"")
"),"Long chose a toothbrush. I didn't know if it would suit me or not. I made no mistake with my choice, I’m very pleased. I didn’t even expect such a result. Convenient, and most importantly cleans excellently.")</f>
        <v>Long chose a toothbrush. I didn't know if it would suit me or not. I made no mistake with my choice, I’m very pleased. I didn’t even expect such a result. Convenient, and most importantly cleans excellently.</v>
      </c>
    </row>
    <row r="11211" spans="1:9" x14ac:dyDescent="0.3">
      <c r="A11211" s="1" t="s">
        <v>149</v>
      </c>
      <c r="B11211" s="1" t="s">
        <v>423</v>
      </c>
      <c r="C11211" s="1" t="s">
        <v>424</v>
      </c>
      <c r="D11211" s="1" t="s">
        <v>658</v>
      </c>
      <c r="E11211" s="1" t="s">
        <v>1742</v>
      </c>
      <c r="F11211" s="1" t="s">
        <v>16071</v>
      </c>
      <c r="G11211" s="1" t="s">
        <v>36</v>
      </c>
      <c r="H11211" s="1" t="s">
        <v>29</v>
      </c>
      <c r="I11211" s="1" t="str">
        <f ca="1">IFERROR(__xludf.DUMMYFUNCTION("GOOGLETRANSLATE(F11211, ""auto"", ""en"")
"),"We bought this vacuum cleaner recently, and we are very pleased)))) it cleans very well, it is much easier and cleaner to wash with it than to wipe the floor with a rag! A necessary thing in a house with a small child. When the chairs were vacuumed, I was"&amp;" horrified by the water that remained in the vacuum cleaner!!!! brown and with sand!!! and this is considering that I clean every day! The furniture was washed with a bang!!! The chairs were completely dry in 25 minutes. Disadvantages - leaves a little mo"&amp;"isture (this can be corrected if you then walk on the floor without water supply) loud, inconvenient to assemble (too much screwing, inserting) My rating is 5, I'm happy!")</f>
        <v>We bought this vacuum cleaner recently, and we are very pleased)))) it cleans very well, it is much easier and cleaner to wash with it than to wipe the floor with a rag! A necessary thing in a house with a small child. When the chairs were vacuumed, I was horrified by the water that remained in the vacuum cleaner!!!! brown and with sand!!! and this is considering that I clean every day! The furniture was washed with a bang!!! The chairs were completely dry in 25 minutes. Disadvantages - leaves a little moisture (this can be corrected if you then walk on the floor without water supply) loud, inconvenient to assemble (too much screwing, inserting) My rating is 5, I'm happy!</v>
      </c>
    </row>
    <row r="11212" spans="1:9" x14ac:dyDescent="0.3">
      <c r="A11212" s="1" t="s">
        <v>37</v>
      </c>
      <c r="B11212" s="1" t="s">
        <v>536</v>
      </c>
      <c r="C11212" s="1" t="s">
        <v>163</v>
      </c>
      <c r="D11212" s="1" t="s">
        <v>16072</v>
      </c>
      <c r="E11212" s="1" t="s">
        <v>779</v>
      </c>
      <c r="F11212" s="1" t="s">
        <v>16073</v>
      </c>
      <c r="G11212" s="1" t="s">
        <v>36</v>
      </c>
      <c r="H11212" s="1" t="s">
        <v>29</v>
      </c>
      <c r="I11212" s="1" t="str">
        <f ca="1">IFERROR(__xludf.DUMMYFUNCTION("GOOGLETRANSLATE(F11212, ""auto"", ""en"")
"),"Stylish, beautiful and also comfortable, fits well in the hand.  I personally like everything about it and the price is cheap.  Bad comments are left by those who do not have this phone and cannot buy it =)))))")</f>
        <v>Stylish, beautiful and also comfortable, fits well in the hand.  I personally like everything about it and the price is cheap.  Bad comments are left by those who do not have this phone and cannot buy it =)))))</v>
      </c>
    </row>
    <row r="11213" spans="1:9" x14ac:dyDescent="0.3">
      <c r="A11213" s="1" t="s">
        <v>206</v>
      </c>
      <c r="B11213" s="1" t="s">
        <v>1349</v>
      </c>
      <c r="C11213" s="1" t="s">
        <v>4219</v>
      </c>
      <c r="D11213" s="1" t="s">
        <v>240</v>
      </c>
      <c r="E11213" s="1" t="s">
        <v>16074</v>
      </c>
      <c r="F11213" s="1" t="s">
        <v>16075</v>
      </c>
      <c r="G11213" s="1" t="s">
        <v>28</v>
      </c>
      <c r="H11213" s="1" t="s">
        <v>29</v>
      </c>
      <c r="I11213" s="1" t="str">
        <f ca="1">IFERROR(__xludf.DUMMYFUNCTION("GOOGLETRANSLATE(F11213, ""auto"", ""en"")
"),"I purchased the radio in September 2014 and installed it in the salon. Great model. The rear view camera is displayed on the screen, I thought the screen would be too small, but as practice has shown, it is quite convenient and I see everything perfectly,"&amp;" although I don’t use it very often when parking, because the habit of navigating by mirrors =) The downside is that the sound does occasionally jump, but it doesn’t happen that often and not much (by 1 division +-). But overall I’m happy so far!")</f>
        <v>I purchased the radio in September 2014 and installed it in the salon. Great model. The rear view camera is displayed on the screen, I thought the screen would be too small, but as practice has shown, it is quite convenient and I see everything perfectly, although I don’t use it very often when parking, because the habit of navigating by mirrors =) The downside is that the sound does occasionally jump, but it doesn’t happen that often and not much (by 1 division +-). But overall I’m happy so far!</v>
      </c>
    </row>
    <row r="11214" spans="1:9" x14ac:dyDescent="0.3">
      <c r="A11214" s="1" t="s">
        <v>211</v>
      </c>
      <c r="B11214" s="1" t="s">
        <v>265</v>
      </c>
      <c r="C11214" s="1" t="s">
        <v>294</v>
      </c>
      <c r="D11214" s="1" t="s">
        <v>172</v>
      </c>
      <c r="E11214" s="1" t="s">
        <v>481</v>
      </c>
      <c r="F11214" s="1" t="s">
        <v>16076</v>
      </c>
      <c r="G11214" s="1" t="s">
        <v>15</v>
      </c>
      <c r="H11214" s="1" t="s">
        <v>16</v>
      </c>
      <c r="I11214" s="1" t="str">
        <f ca="1">IFERROR(__xludf.DUMMYFUNCTION("GOOGLETRANSLATE(F11214, ""auto"", ""en"")
"),"I bought this model. Doesn't cut well, after cutting I noticed that hair remains like antennae. We went through it a couple more times, but the machine still couldn’t cut them off. An old machine, which is already 6 years old, cuts hair much better. In ge"&amp;"neral, I regret the money spent.")</f>
        <v>I bought this model. Doesn't cut well, after cutting I noticed that hair remains like antennae. We went through it a couple more times, but the machine still couldn’t cut them off. An old machine, which is already 6 years old, cuts hair much better. In general, I regret the money spent.</v>
      </c>
    </row>
    <row r="11215" spans="1:9" x14ac:dyDescent="0.3">
      <c r="A11215" s="1" t="s">
        <v>211</v>
      </c>
      <c r="B11215" s="1" t="s">
        <v>384</v>
      </c>
      <c r="C11215" s="1" t="s">
        <v>63</v>
      </c>
      <c r="D11215" s="1" t="s">
        <v>16077</v>
      </c>
      <c r="E11215" s="1" t="s">
        <v>3203</v>
      </c>
      <c r="F11215" s="1" t="s">
        <v>16078</v>
      </c>
      <c r="G11215" s="1" t="s">
        <v>15</v>
      </c>
      <c r="H11215" s="1" t="s">
        <v>16</v>
      </c>
      <c r="I11215" s="1" t="str">
        <f ca="1">IFERROR(__xludf.DUMMYFUNCTION("GOOGLETRANSLATE(F11215, ""auto"", ""en"")
"),"My wife and I bought these scales today and were IMMEDIATELY DISAPPOINTED. Tomorrow we'll go change it.  1. They have an interesting, but inconvenient switching system. Those. you can't just step on the scale... You must first gently tap it with your foot"&amp;" to activate the sensors. In addition, they do not always turn on immediately.  2. For the entire evening of use, a different weight was shown each time. For example: weighed in, showed 69.0; a minute later I weighed myself again, they showed 69.5; then 6"&amp;"9.2. This does not fit into any gates!")</f>
        <v>My wife and I bought these scales today and were IMMEDIATELY DISAPPOINTED. Tomorrow we'll go change it.  1. They have an interesting, but inconvenient switching system. Those. you can't just step on the scale... You must first gently tap it with your foot to activate the sensors. In addition, they do not always turn on immediately.  2. For the entire evening of use, a different weight was shown each time. For example: weighed in, showed 69.0; a minute later I weighed myself again, they showed 69.5; then 69.2. This does not fit into any gates!</v>
      </c>
    </row>
    <row r="11216" spans="1:9" x14ac:dyDescent="0.3">
      <c r="A11216" s="1" t="s">
        <v>43</v>
      </c>
      <c r="B11216" s="1" t="s">
        <v>1382</v>
      </c>
      <c r="C11216" s="1" t="s">
        <v>45</v>
      </c>
      <c r="D11216" s="1" t="s">
        <v>305</v>
      </c>
      <c r="E11216" s="1" t="s">
        <v>6435</v>
      </c>
      <c r="F11216" s="1" t="s">
        <v>16079</v>
      </c>
      <c r="G11216" s="1" t="s">
        <v>36</v>
      </c>
      <c r="H11216" s="1" t="s">
        <v>29</v>
      </c>
      <c r="I11216" s="1" t="str">
        <f ca="1">IFERROR(__xludf.DUMMYFUNCTION("GOOGLETRANSLATE(F11216, ""auto"", ""en"")
"),"I bought this fan a month ago for work and home. Both work at maximum every day, it blows super, at minimum power it is almost inaudible. No creaks, no cracks, very well made. I recommend!")</f>
        <v>I bought this fan a month ago for work and home. Both work at maximum every day, it blows super, at minimum power it is almost inaudible. No creaks, no cracks, very well made. I recommend!</v>
      </c>
    </row>
    <row r="11217" spans="1:9" x14ac:dyDescent="0.3">
      <c r="A11217" s="1" t="s">
        <v>30</v>
      </c>
      <c r="B11217" s="1" t="s">
        <v>50</v>
      </c>
      <c r="C11217" s="1" t="s">
        <v>694</v>
      </c>
      <c r="D11217" s="1" t="s">
        <v>8321</v>
      </c>
      <c r="E11217" s="1" t="s">
        <v>1273</v>
      </c>
      <c r="F11217" s="1" t="s">
        <v>16080</v>
      </c>
      <c r="G11217" s="1" t="s">
        <v>36</v>
      </c>
      <c r="H11217" s="1" t="s">
        <v>29</v>
      </c>
      <c r="I11217" s="1" t="str">
        <f ca="1">IFERROR(__xludf.DUMMYFUNCTION("GOOGLETRANSLATE(F11217, ""auto"", ""en"")
"),"I've been using it for a week. Happy with everything! Bright display, full-fledged keyboard, lightweight, compact, bluetooth. Ideal for internet climbing! Before this I had a full-size, powerful Acer, but its power was never useful - since I only use the "&amp;"laptop for Internet. The battery charge lasts only 2 hours (but you can buy an additional one).  Totally worth the money!")</f>
        <v>I've been using it for a week. Happy with everything! Bright display, full-fledged keyboard, lightweight, compact, bluetooth. Ideal for internet climbing! Before this I had a full-size, powerful Acer, but its power was never useful - since I only use the laptop for Internet. The battery charge lasts only 2 hours (but you can buy an additional one).  Totally worth the money!</v>
      </c>
    </row>
    <row r="11218" spans="1:9" x14ac:dyDescent="0.3">
      <c r="A11218" s="1" t="s">
        <v>211</v>
      </c>
      <c r="B11218" s="1" t="s">
        <v>212</v>
      </c>
      <c r="C11218" s="1" t="s">
        <v>69</v>
      </c>
      <c r="D11218" s="1" t="s">
        <v>6695</v>
      </c>
      <c r="E11218" s="1" t="s">
        <v>3444</v>
      </c>
      <c r="F11218" s="1" t="s">
        <v>16081</v>
      </c>
      <c r="G11218" s="1" t="s">
        <v>49</v>
      </c>
      <c r="H11218" s="1" t="s">
        <v>16</v>
      </c>
      <c r="I11218" s="1" t="str">
        <f ca="1">IFERROR(__xludf.DUMMYFUNCTION("GOOGLETRANSLATE(F11218, ""auto"", ""en"")
"),"Expectations were not met. 1. Lack of clear instructions: small print on gray paper, no illustrations, no indication of the delivery package anywhere. 2. Uneven degree of heating of the curlers; some are already heated, others are not yet. 3. The hairpins"&amp;" are ugly, the design is clearly not thought out.")</f>
        <v>Expectations were not met. 1. Lack of clear instructions: small print on gray paper, no illustrations, no indication of the delivery package anywhere. 2. Uneven degree of heating of the curlers; some are already heated, others are not yet. 3. The hairpins are ugly, the design is clearly not thought out.</v>
      </c>
    </row>
    <row r="11219" spans="1:9" x14ac:dyDescent="0.3">
      <c r="A11219" s="1" t="s">
        <v>211</v>
      </c>
      <c r="B11219" s="1" t="s">
        <v>212</v>
      </c>
      <c r="C11219" s="1" t="s">
        <v>381</v>
      </c>
      <c r="D11219" s="1" t="s">
        <v>75</v>
      </c>
      <c r="E11219" s="1" t="s">
        <v>7187</v>
      </c>
      <c r="F11219" s="1" t="s">
        <v>16082</v>
      </c>
      <c r="G11219" s="1" t="s">
        <v>28</v>
      </c>
      <c r="H11219" s="1" t="s">
        <v>29</v>
      </c>
      <c r="I11219" s="1" t="str">
        <f ca="1">IFERROR(__xludf.DUMMYFUNCTION("GOOGLETRANSLATE(F11219, ""auto"", ""en"")
"),"Good tongs, heat up quickly, easy to use, price-quality ratio is what you need!")</f>
        <v>Good tongs, heat up quickly, easy to use, price-quality ratio is what you need!</v>
      </c>
    </row>
    <row r="11220" spans="1:9" x14ac:dyDescent="0.3">
      <c r="A11220" s="1" t="s">
        <v>17</v>
      </c>
      <c r="B11220" s="1" t="s">
        <v>18</v>
      </c>
      <c r="C11220" s="1" t="s">
        <v>243</v>
      </c>
      <c r="D11220" s="1" t="s">
        <v>589</v>
      </c>
      <c r="E11220" s="1" t="s">
        <v>371</v>
      </c>
      <c r="F11220" s="1" t="s">
        <v>16083</v>
      </c>
      <c r="G11220" s="1" t="s">
        <v>36</v>
      </c>
      <c r="H11220" s="1" t="s">
        <v>29</v>
      </c>
      <c r="I11220" s="1" t="str">
        <f ca="1">IFERROR(__xludf.DUMMYFUNCTION("GOOGLETRANSLATE(F11220, ""auto"", ""en"")
"),"Not noisy, washes great compared to Veko. For a small-sized apartment, it is narrow, but roomy. We are happy with the purchase.")</f>
        <v>Not noisy, washes great compared to Veko. For a small-sized apartment, it is narrow, but roomy. We are happy with the purchase.</v>
      </c>
    </row>
    <row r="11221" spans="1:9" x14ac:dyDescent="0.3">
      <c r="A11221" s="1" t="s">
        <v>37</v>
      </c>
      <c r="B11221" s="1" t="s">
        <v>38</v>
      </c>
      <c r="C11221" s="1" t="s">
        <v>151</v>
      </c>
      <c r="D11221" s="1" t="s">
        <v>39</v>
      </c>
      <c r="E11221" s="1" t="s">
        <v>353</v>
      </c>
      <c r="F11221" s="1" t="s">
        <v>16084</v>
      </c>
      <c r="G11221" s="1" t="s">
        <v>36</v>
      </c>
      <c r="H11221" s="1" t="s">
        <v>29</v>
      </c>
      <c r="I11221" s="1" t="str">
        <f ca="1">IFERROR(__xludf.DUMMYFUNCTION("GOOGLETRANSLATE(F11221, ""auto"", ""en"")
"),"I was pleased with the metal body, stylish and practical, thin and comfortable, good brightness and sound, beautiful in appearance, good camera. The only drawback in the firmware is that you cannot download content directly to a memory card via Bluetooth,"&amp;" although such a service is offered in the menu!")</f>
        <v>I was pleased with the metal body, stylish and practical, thin and comfortable, good brightness and sound, beautiful in appearance, good camera. The only drawback in the firmware is that you cannot download content directly to a memory card via Bluetooth, although such a service is offered in the menu!</v>
      </c>
    </row>
    <row r="11222" spans="1:9" x14ac:dyDescent="0.3">
      <c r="A11222" s="1" t="s">
        <v>451</v>
      </c>
      <c r="B11222" s="1" t="s">
        <v>452</v>
      </c>
      <c r="C11222" s="1" t="s">
        <v>453</v>
      </c>
      <c r="D11222" s="1" t="s">
        <v>2296</v>
      </c>
      <c r="E11222" s="1" t="s">
        <v>15525</v>
      </c>
      <c r="F11222" s="1" t="s">
        <v>16085</v>
      </c>
      <c r="G11222" s="1" t="s">
        <v>36</v>
      </c>
      <c r="H11222" s="1" t="s">
        <v>29</v>
      </c>
      <c r="I11222" s="1" t="str">
        <f ca="1">IFERROR(__xludf.DUMMYFUNCTION("GOOGLETRANSLATE(F11222, ""auto"", ""en"")
"),"My wife finished half her wardrobe in one evening: a satisfied wife means a satisfied me!")</f>
        <v>My wife finished half her wardrobe in one evening: a satisfied wife means a satisfied me!</v>
      </c>
    </row>
    <row r="11223" spans="1:9" x14ac:dyDescent="0.3">
      <c r="A11223" s="1" t="s">
        <v>43</v>
      </c>
      <c r="B11223" s="1" t="s">
        <v>303</v>
      </c>
      <c r="C11223" s="1" t="s">
        <v>220</v>
      </c>
      <c r="D11223" s="1" t="s">
        <v>86</v>
      </c>
      <c r="E11223" s="1" t="s">
        <v>2804</v>
      </c>
      <c r="F11223" s="1" t="s">
        <v>16086</v>
      </c>
      <c r="G11223" s="1" t="s">
        <v>36</v>
      </c>
      <c r="H11223" s="1" t="s">
        <v>29</v>
      </c>
      <c r="I11223" s="1" t="str">
        <f ca="1">IFERROR(__xludf.DUMMYFUNCTION("GOOGLETRANSLATE(F11223, ""auto"", ""en"")
"),"Great boiler. Of course, it costs a little more than regular ones, but it’s definitely worth the money. I hung it in the kitchen near the ceiling and couldn’t be happier. The design is great and heats up very quickly. By the way, to save electricity, I do"&amp;" this: heat it up to 70C, and then just turn it off. A full tank of water cools down in about 2 days.")</f>
        <v>Great boiler. Of course, it costs a little more than regular ones, but it’s definitely worth the money. I hung it in the kitchen near the ceiling and couldn’t be happier. The design is great and heats up very quickly. By the way, to save electricity, I do this: heat it up to 70C, and then just turn it off. A full tank of water cools down in about 2 days.</v>
      </c>
    </row>
    <row r="11224" spans="1:9" x14ac:dyDescent="0.3">
      <c r="A11224" s="1" t="s">
        <v>61</v>
      </c>
      <c r="B11224" s="1" t="s">
        <v>318</v>
      </c>
      <c r="C11224" s="1" t="s">
        <v>101</v>
      </c>
      <c r="D11224" s="1" t="s">
        <v>152</v>
      </c>
      <c r="E11224" s="1" t="s">
        <v>1988</v>
      </c>
      <c r="F11224" s="1" t="s">
        <v>16087</v>
      </c>
      <c r="G11224" s="1" t="s">
        <v>28</v>
      </c>
      <c r="H11224" s="1" t="s">
        <v>29</v>
      </c>
      <c r="I11224" s="1" t="str">
        <f ca="1">IFERROR(__xludf.DUMMYFUNCTION("GOOGLETRANSLATE(F11224, ""auto"", ""en"")
"),"Good weight, it will give any teaguer a 100-point head start!  - an internal all-metal pan (no plastic will be boiled in the boiling water, which you then drink) - 3 liters of boiling water at a constant rate at any time of the day.  - swivel base The onl"&amp;"y competition it has is a cooler with a 20 liter bottle... but there the water is not boiled, just heated... I just haven’t noted yet how much more “my” energy consumption he has increased, because... maintenance and heating are carried out constantly in "&amp;"standby mode, and it does not have heating and shutdown functions")</f>
        <v>Good weight, it will give any teaguer a 100-point head start!  - an internal all-metal pan (no plastic will be boiled in the boiling water, which you then drink) - 3 liters of boiling water at a constant rate at any time of the day.  - swivel base The only competition it has is a cooler with a 20 liter bottle... but there the water is not boiled, just heated... I just haven’t noted yet how much more “my” energy consumption he has increased, because... maintenance and heating are carried out constantly in standby mode, and it does not have heating and shutdown functions</v>
      </c>
    </row>
    <row r="11225" spans="1:9" x14ac:dyDescent="0.3">
      <c r="A11225" s="1" t="s">
        <v>55</v>
      </c>
      <c r="B11225" s="1" t="s">
        <v>752</v>
      </c>
      <c r="C11225" s="1" t="s">
        <v>185</v>
      </c>
      <c r="D11225" s="1" t="s">
        <v>16088</v>
      </c>
      <c r="E11225" s="1" t="s">
        <v>16089</v>
      </c>
      <c r="F11225" s="1" t="s">
        <v>16090</v>
      </c>
      <c r="G11225" s="1" t="s">
        <v>36</v>
      </c>
      <c r="H11225" s="1" t="s">
        <v>29</v>
      </c>
      <c r="I11225" s="1" t="str">
        <f ca="1">IFERROR(__xludf.DUMMYFUNCTION("GOOGLETRANSLATE(F11225, ""auto"", ""en"")
"),"I use it to heat a one-room apartment without interior doors. The room is warm, even at the lowest heating level. I like the presence of a thermostat. The heater automatically turns on and off when the set temperature is reached. Definitely a good thing.")</f>
        <v>I use it to heat a one-room apartment without interior doors. The room is warm, even at the lowest heating level. I like the presence of a thermostat. The heater automatically turns on and off when the set temperature is reached. Definitely a good thing.</v>
      </c>
    </row>
    <row r="11226" spans="1:9" x14ac:dyDescent="0.3">
      <c r="A11226" s="1" t="s">
        <v>211</v>
      </c>
      <c r="B11226" s="1" t="s">
        <v>212</v>
      </c>
      <c r="C11226" s="1" t="s">
        <v>213</v>
      </c>
      <c r="D11226" s="1" t="s">
        <v>64</v>
      </c>
      <c r="E11226" s="1" t="s">
        <v>594</v>
      </c>
      <c r="F11226" s="1" t="s">
        <v>16091</v>
      </c>
      <c r="G11226" s="1" t="s">
        <v>36</v>
      </c>
      <c r="H11226" s="1" t="s">
        <v>29</v>
      </c>
      <c r="I11226" s="1" t="str">
        <f ca="1">IFERROR(__xludf.DUMMYFUNCTION("GOOGLETRANSLATE(F11226, ""auto"", ""en"")
"),"In terms of styling - super. It will add volume, stretch out curly hair, and create curls. The hairstyle lasts a long time. Installation time is minimal - 10-15 minutes. I've been using it every other day for 5 years. You can't go anywhere without him. Co"&amp;"nvenient to take with you on trips. For me, he became just a lifesaver.  One weak point is the base of the wire. After 2 years of intensive use, the contact at the base of the wire began to disappear and began to work intermittently. Then it stopped worki"&amp;"ng altogether. My husband took it apart, soldered it...worked for about another year and again the same story.   I tried to switch to Rowenta and Bosch, they don’t compare at all. I will buy the same Braun.")</f>
        <v>In terms of styling - super. It will add volume, stretch out curly hair, and create curls. The hairstyle lasts a long time. Installation time is minimal - 10-15 minutes. I've been using it every other day for 5 years. You can't go anywhere without him. Convenient to take with you on trips. For me, he became just a lifesaver.  One weak point is the base of the wire. After 2 years of intensive use, the contact at the base of the wire began to disappear and began to work intermittently. Then it stopped working altogether. My husband took it apart, soldered it...worked for about another year and again the same story.   I tried to switch to Rowenta and Bosch, they don’t compare at all. I will buy the same Braun.</v>
      </c>
    </row>
    <row r="11227" spans="1:9" x14ac:dyDescent="0.3">
      <c r="A11227" s="1" t="s">
        <v>89</v>
      </c>
      <c r="B11227" s="1" t="s">
        <v>90</v>
      </c>
      <c r="C11227" s="1" t="s">
        <v>57</v>
      </c>
      <c r="D11227" s="1" t="s">
        <v>1917</v>
      </c>
      <c r="E11227" s="1" t="s">
        <v>5417</v>
      </c>
      <c r="F11227" s="1" t="s">
        <v>16092</v>
      </c>
      <c r="G11227" s="1" t="s">
        <v>36</v>
      </c>
      <c r="H11227" s="1" t="s">
        <v>29</v>
      </c>
      <c r="I11227" s="1" t="str">
        <f ca="1">IFERROR(__xludf.DUMMYFUNCTION("GOOGLETRANSLATE(F11227, ""auto"", ""en"")
"),"Yesterday I purchased this machine, I have experience using various coffee grinders. Selection criteria: steel body; minimalistic design; ease of use; minimum number of plastic parts and moving parts, low cost.  If you erase the vitek inscription and writ"&amp;"e Bork, the cost will increase 3 times. I don't see any point in overpaying.")</f>
        <v>Yesterday I purchased this machine, I have experience using various coffee grinders. Selection criteria: steel body; minimalistic design; ease of use; minimum number of plastic parts and moving parts, low cost.  If you erase the vitek inscription and write Bork, the cost will increase 3 times. I don't see any point in overpaying.</v>
      </c>
    </row>
    <row r="11228" spans="1:9" x14ac:dyDescent="0.3">
      <c r="A11228" s="1" t="s">
        <v>61</v>
      </c>
      <c r="B11228" s="1" t="s">
        <v>318</v>
      </c>
      <c r="C11228" s="1" t="s">
        <v>85</v>
      </c>
      <c r="D11228" s="1" t="s">
        <v>15710</v>
      </c>
      <c r="E11228" s="1" t="s">
        <v>7833</v>
      </c>
      <c r="F11228" s="1" t="s">
        <v>16093</v>
      </c>
      <c r="G11228" s="1" t="s">
        <v>36</v>
      </c>
      <c r="H11228" s="1" t="s">
        <v>29</v>
      </c>
      <c r="I11228" s="1" t="str">
        <f ca="1">IFERROR(__xludf.DUMMYFUNCTION("GOOGLETRANSLATE(F11228, ""auto"", ""en"")
"),"The kettle was purchased in the fall of 2009. I really liked the design, there was no specific smell of a new kettle. As for the quiet mode, I can say that the kettle is quiet for exactly half a minute from the moment it is turned on, then it starts to ro"&amp;"ar like a plane taking off, but it boils quickly. If you turn on one of the modes 80, 85, 90, etc. degrees, then, due to constant measurements of the water temperature, it heats much more slowly than when boiling. But this, I think, is not a minus at all!"&amp;" This phenomenon is smoothed out by the pleasure of being able to set the desired temperature. After 6.5 years (!) of use in shock load mode, the kettle began to act up - the automatic shutdown when boiling stopped working. What helped to cope was to unpl"&amp;"ug it for a day! And everything is OK. In general, taking into account 7 years of work, I can say that the money paid for it is worth it. + the admiration of everyone who sees it for the first time, the elegantly soft opening lid - just like the door of a"&amp;" Mercedes! Nice! We definitely recommend it if you are not a fan of frequently changing equipment.")</f>
        <v>The kettle was purchased in the fall of 2009. I really liked the design, there was no specific smell of a new kettle. As for the quiet mode, I can say that the kettle is quiet for exactly half a minute from the moment it is turned on, then it starts to roar like a plane taking off, but it boils quickly. If you turn on one of the modes 80, 85, 90, etc. degrees, then, due to constant measurements of the water temperature, it heats much more slowly than when boiling. But this, I think, is not a minus at all! This phenomenon is smoothed out by the pleasure of being able to set the desired temperature. After 6.5 years (!) of use in shock load mode, the kettle began to act up - the automatic shutdown when boiling stopped working. What helped to cope was to unplug it for a day! And everything is OK. In general, taking into account 7 years of work, I can say that the money paid for it is worth it. + the admiration of everyone who sees it for the first time, the elegantly soft opening lid - just like the door of a Mercedes! Nice! We definitely recommend it if you are not a fan of frequently changing equipment.</v>
      </c>
    </row>
    <row r="11229" spans="1:9" x14ac:dyDescent="0.3">
      <c r="A11229" s="1" t="s">
        <v>30</v>
      </c>
      <c r="B11229" s="1" t="s">
        <v>50</v>
      </c>
      <c r="C11229" s="1" t="s">
        <v>51</v>
      </c>
      <c r="D11229" s="1" t="s">
        <v>20</v>
      </c>
      <c r="E11229" s="1" t="s">
        <v>594</v>
      </c>
      <c r="F11229" s="1" t="s">
        <v>16094</v>
      </c>
      <c r="G11229" s="1" t="s">
        <v>36</v>
      </c>
      <c r="H11229" s="1" t="s">
        <v>29</v>
      </c>
      <c r="I11229" s="1" t="str">
        <f ca="1">IFERROR(__xludf.DUMMYFUNCTION("GOOGLETRANSLATE(F11229, ""auto"", ""en"")
"),"I also thought for a long time about taking this laptop or a 17-inch laptop in installments, but for games it’s better to take a 15-inch one, for which there is no installment plan (((if for films mainly, then a 17-inch one.")</f>
        <v>I also thought for a long time about taking this laptop or a 17-inch laptop in installments, but for games it’s better to take a 15-inch one, for which there is no installment plan (((if for films mainly, then a 17-inch one.</v>
      </c>
    </row>
    <row r="11230" spans="1:9" x14ac:dyDescent="0.3">
      <c r="A11230" s="1" t="s">
        <v>37</v>
      </c>
      <c r="B11230" s="1" t="s">
        <v>536</v>
      </c>
      <c r="C11230" s="1" t="s">
        <v>163</v>
      </c>
      <c r="D11230" s="1" t="s">
        <v>114</v>
      </c>
      <c r="E11230" s="1" t="s">
        <v>4445</v>
      </c>
      <c r="F11230" s="1" t="s">
        <v>16095</v>
      </c>
      <c r="G11230" s="1" t="s">
        <v>36</v>
      </c>
      <c r="H11230" s="1" t="s">
        <v>29</v>
      </c>
      <c r="I11230" s="1" t="str">
        <f ca="1">IFERROR(__xludf.DUMMYFUNCTION("GOOGLETRANSLATE(F11230, ""auto"", ""en"")
"),"The phone is beautiful, comfortable, loud! Buy and don't hesitate!")</f>
        <v>The phone is beautiful, comfortable, loud! Buy and don't hesitate!</v>
      </c>
    </row>
    <row r="11231" spans="1:9" x14ac:dyDescent="0.3">
      <c r="A11231" s="1" t="s">
        <v>67</v>
      </c>
      <c r="B11231" s="1" t="s">
        <v>68</v>
      </c>
      <c r="C11231" s="1" t="s">
        <v>69</v>
      </c>
      <c r="D11231" s="1" t="s">
        <v>16096</v>
      </c>
      <c r="E11231" s="1" t="s">
        <v>1494</v>
      </c>
      <c r="F11231" s="1" t="s">
        <v>16097</v>
      </c>
      <c r="G11231" s="1" t="s">
        <v>36</v>
      </c>
      <c r="H11231" s="1" t="s">
        <v>29</v>
      </c>
      <c r="I11231" s="1" t="str">
        <f ca="1">IFERROR(__xludf.DUMMYFUNCTION("GOOGLETRANSLATE(F11231, ""auto"", ""en"")
"),"An excellent, easy-to-use iron without any bells and whistles + non-stick coating. The hole for filling the water is made conveniently, it closes tightly, there are no leaks anywhere.   I’d also like to note that I don’t use regular tap water, but buy dis"&amp;"tilled water at any auto store, which doesn’t cause any scale!  So I advise everyone who needs a simple, reliable iron!")</f>
        <v>An excellent, easy-to-use iron without any bells and whistles + non-stick coating. The hole for filling the water is made conveniently, it closes tightly, there are no leaks anywhere.   I’d also like to note that I don’t use regular tap water, but buy distilled water at any auto store, which doesn’t cause any scale!  So I advise everyone who needs a simple, reliable iron!</v>
      </c>
    </row>
    <row r="11232" spans="1:9" x14ac:dyDescent="0.3">
      <c r="A11232" s="1" t="s">
        <v>120</v>
      </c>
      <c r="B11232" s="1" t="s">
        <v>121</v>
      </c>
      <c r="C11232" s="1" t="s">
        <v>122</v>
      </c>
      <c r="D11232" s="1" t="s">
        <v>16098</v>
      </c>
      <c r="E11232" s="1" t="s">
        <v>1603</v>
      </c>
      <c r="F11232" s="1" t="s">
        <v>16099</v>
      </c>
      <c r="G11232" s="1" t="s">
        <v>36</v>
      </c>
      <c r="H11232" s="1" t="s">
        <v>29</v>
      </c>
      <c r="I11232" s="1" t="str">
        <f ca="1">IFERROR(__xludf.DUMMYFUNCTION("GOOGLETRANSLATE(F11232, ""auto"", ""en"")
"),"Great TV. Bought for the New Year. Great picture. The settings are excellent. There are connectors for an SD card and 3 HDMI outputs. Very high quality assembled in all respects. Convenient armor-piercing remote control. Synchronization with PC via HDMI c"&amp;"able is super easy.")</f>
        <v>Great TV. Bought for the New Year. Great picture. The settings are excellent. There are connectors for an SD card and 3 HDMI outputs. Very high quality assembled in all respects. Convenient armor-piercing remote control. Synchronization with PC via HDMI cable is super easy.</v>
      </c>
    </row>
    <row r="11233" spans="1:9" x14ac:dyDescent="0.3">
      <c r="A11233" s="1" t="s">
        <v>43</v>
      </c>
      <c r="B11233" s="1" t="s">
        <v>1370</v>
      </c>
      <c r="C11233" s="1" t="s">
        <v>2137</v>
      </c>
      <c r="D11233" s="1" t="s">
        <v>75</v>
      </c>
      <c r="E11233" s="1" t="s">
        <v>3063</v>
      </c>
      <c r="F11233" s="1" t="s">
        <v>16100</v>
      </c>
      <c r="G11233" s="1" t="s">
        <v>36</v>
      </c>
      <c r="H11233" s="1" t="s">
        <v>29</v>
      </c>
      <c r="I11233" s="1" t="str">
        <f ca="1">IFERROR(__xludf.DUMMYFUNCTION("GOOGLETRANSLATE(F11233, ""auto"", ""en"")
"),"Heats water perfectly and quickly. You can regulate hot water by water flow, i.e. The stronger the water pressure, the cooler it is. During a water outage, that's it. Takes up little space and plugs into an outlet. Thank you, store.")</f>
        <v>Heats water perfectly and quickly. You can regulate hot water by water flow, i.e. The stronger the water pressure, the cooler it is. During a water outage, that's it. Takes up little space and plugs into an outlet. Thank you, store.</v>
      </c>
    </row>
    <row r="11234" spans="1:9" x14ac:dyDescent="0.3">
      <c r="A11234" s="1" t="s">
        <v>61</v>
      </c>
      <c r="B11234" s="1" t="s">
        <v>318</v>
      </c>
      <c r="C11234" s="1" t="s">
        <v>101</v>
      </c>
      <c r="D11234" s="1" t="s">
        <v>86</v>
      </c>
      <c r="E11234" s="1" t="s">
        <v>1155</v>
      </c>
      <c r="F11234" s="1" t="s">
        <v>16101</v>
      </c>
      <c r="G11234" s="1" t="s">
        <v>36</v>
      </c>
      <c r="H11234" s="1" t="s">
        <v>29</v>
      </c>
      <c r="I11234" s="1" t="str">
        <f ca="1">IFERROR(__xludf.DUMMYFUNCTION("GOOGLETRANSLATE(F11234, ""auto"", ""en"")
"),"The kettle doesn’t look bad, I didn’t like that the lid didn’t leak much, well, that’s understandable; the price is not high for the quality. The beautiful blue illumination is very pleasing to the eye, during the first boiling it smelled of something unc"&amp;"lear, although the water was poured through a filter, I think that later the smell will disappear. I give 5 points only because of the price.")</f>
        <v>The kettle doesn’t look bad, I didn’t like that the lid didn’t leak much, well, that’s understandable; the price is not high for the quality. The beautiful blue illumination is very pleasing to the eye, during the first boiling it smelled of something unclear, although the water was poured through a filter, I think that later the smell will disappear. I give 5 points only because of the price.</v>
      </c>
    </row>
    <row r="11235" spans="1:9" x14ac:dyDescent="0.3">
      <c r="A11235" s="1" t="s">
        <v>105</v>
      </c>
      <c r="B11235" s="1" t="s">
        <v>106</v>
      </c>
      <c r="C11235" s="1" t="s">
        <v>1209</v>
      </c>
      <c r="D11235" s="1" t="s">
        <v>16102</v>
      </c>
      <c r="E11235" s="1" t="s">
        <v>1065</v>
      </c>
      <c r="F11235" s="1" t="s">
        <v>16103</v>
      </c>
      <c r="G11235" s="1" t="s">
        <v>28</v>
      </c>
      <c r="H11235" s="1" t="s">
        <v>29</v>
      </c>
      <c r="I11235" s="1" t="str">
        <f ca="1">IFERROR(__xludf.DUMMYFUNCTION("GOOGLETRANSLATE(F11235, ""auto"", ""en"")
"),"In general, the sound is normal and all that... But after a year it began to hang and quickly discharge.")</f>
        <v>In general, the sound is normal and all that... But after a year it began to hang and quickly discharge.</v>
      </c>
    </row>
    <row r="11236" spans="1:9" x14ac:dyDescent="0.3">
      <c r="A11236" s="1" t="s">
        <v>557</v>
      </c>
      <c r="B11236" s="1" t="s">
        <v>558</v>
      </c>
      <c r="C11236" s="1" t="s">
        <v>816</v>
      </c>
      <c r="D11236" s="1" t="s">
        <v>52</v>
      </c>
      <c r="E11236" s="1" t="s">
        <v>4606</v>
      </c>
      <c r="F11236" s="1" t="s">
        <v>16104</v>
      </c>
      <c r="G11236" s="1" t="s">
        <v>15</v>
      </c>
      <c r="H11236" s="1" t="s">
        <v>16</v>
      </c>
      <c r="I11236" s="1" t="str">
        <f ca="1">IFERROR(__xludf.DUMMYFUNCTION("GOOGLETRANSLATE(F11236, ""auto"", ""en"")
"),"Some time after the purchase, the phone began to “glitch”, the signal level on the handset disappeared, although the work with the base is normal, the charging indicator shows 1 division instead of three, but here too everything works fine, and once every"&amp;" 2 weeks the base completely loses, removing the batteries helps.")</f>
        <v>Some time after the purchase, the phone began to “glitch”, the signal level on the handset disappeared, although the work with the base is normal, the charging indicator shows 1 division instead of three, but here too everything works fine, and once every 2 weeks the base completely loses, removing the batteries helps.</v>
      </c>
    </row>
    <row r="11237" spans="1:9" x14ac:dyDescent="0.3">
      <c r="A11237" s="1" t="s">
        <v>211</v>
      </c>
      <c r="B11237" s="1" t="s">
        <v>384</v>
      </c>
      <c r="C11237" s="1" t="s">
        <v>101</v>
      </c>
      <c r="D11237" s="1" t="s">
        <v>16105</v>
      </c>
      <c r="E11237" s="1" t="s">
        <v>109</v>
      </c>
      <c r="F11237" s="1" t="s">
        <v>16106</v>
      </c>
      <c r="G11237" s="1" t="s">
        <v>15</v>
      </c>
      <c r="H11237" s="1" t="s">
        <v>16</v>
      </c>
      <c r="I11237" s="1" t="str">
        <f ca="1">IFERROR(__xludf.DUMMYFUNCTION("GOOGLETRANSLATE(F11237, ""auto"", ""en"")
"),"The division price of these scales is 200g, which is not very convenient, although the seller in the store claimed that it was 100g (I didn’t get it in this store, but it seems like nothing, I’ve been using it for two years now...")</f>
        <v>The division price of these scales is 200g, which is not very convenient, although the seller in the store claimed that it was 100g (I didn’t get it in this store, but it seems like nothing, I’ve been using it for two years now...</v>
      </c>
    </row>
    <row r="11238" spans="1:9" x14ac:dyDescent="0.3">
      <c r="A11238" s="1" t="s">
        <v>369</v>
      </c>
      <c r="B11238" s="1" t="s">
        <v>2480</v>
      </c>
      <c r="C11238" s="1" t="s">
        <v>453</v>
      </c>
      <c r="D11238" s="1" t="s">
        <v>742</v>
      </c>
      <c r="E11238" s="1" t="s">
        <v>7969</v>
      </c>
      <c r="F11238" s="1" t="s">
        <v>16107</v>
      </c>
      <c r="G11238" s="1" t="s">
        <v>15</v>
      </c>
      <c r="H11238" s="1" t="s">
        <v>16</v>
      </c>
      <c r="I11238" s="1" t="str">
        <f ca="1">IFERROR(__xludf.DUMMYFUNCTION("GOOGLETRANSLATE(F11238, ""auto"", ""en"")
"),"The large burner stopped functioning after 8 months of service. It's a pity that the receipt can no longer be found ((")</f>
        <v>The large burner stopped functioning after 8 months of service. It's a pity that the receipt can no longer be found ((</v>
      </c>
    </row>
    <row r="11239" spans="1:9" x14ac:dyDescent="0.3">
      <c r="A11239" s="1" t="s">
        <v>9</v>
      </c>
      <c r="B11239" s="1" t="s">
        <v>133</v>
      </c>
      <c r="C11239" s="1" t="s">
        <v>290</v>
      </c>
      <c r="D11239" s="1" t="s">
        <v>247</v>
      </c>
      <c r="E11239" s="1" t="s">
        <v>2789</v>
      </c>
      <c r="F11239" s="1" t="s">
        <v>16108</v>
      </c>
      <c r="G11239" s="1" t="s">
        <v>15</v>
      </c>
      <c r="H11239" s="1" t="s">
        <v>16</v>
      </c>
      <c r="I11239" s="1" t="str">
        <f ca="1">IFERROR(__xludf.DUMMYFUNCTION("GOOGLETRANSLATE(F11239, ""auto"", ""en"")
"),"They really wanted combustion, 3 glasses, but what’s the point... the glass is fiery, hot air is blowing when the oven is closed under the control panel, the fan is whistling, it’s a shame.")</f>
        <v>They really wanted combustion, 3 glasses, but what’s the point... the glass is fiery, hot air is blowing when the oven is closed under the control panel, the fan is whistling, it’s a shame.</v>
      </c>
    </row>
    <row r="11240" spans="1:9" x14ac:dyDescent="0.3">
      <c r="A11240" s="1" t="s">
        <v>61</v>
      </c>
      <c r="B11240" s="1" t="s">
        <v>145</v>
      </c>
      <c r="C11240" s="1" t="s">
        <v>69</v>
      </c>
      <c r="D11240" s="1" t="s">
        <v>565</v>
      </c>
      <c r="E11240" s="1" t="s">
        <v>1603</v>
      </c>
      <c r="F11240" s="1" t="s">
        <v>16109</v>
      </c>
      <c r="G11240" s="1" t="s">
        <v>36</v>
      </c>
      <c r="H11240" s="1" t="s">
        <v>29</v>
      </c>
      <c r="I11240" s="1" t="str">
        <f ca="1">IFERROR(__xludf.DUMMYFUNCTION("GOOGLETRANSLATE(F11240, ""auto"", ""en"")
"),"I really like it, surprisingly everything is very tasty, most importantly healthy and without fat.")</f>
        <v>I really like it, surprisingly everything is very tasty, most importantly healthy and without fat.</v>
      </c>
    </row>
    <row r="11241" spans="1:9" x14ac:dyDescent="0.3">
      <c r="A11241" s="1" t="s">
        <v>9</v>
      </c>
      <c r="B11241" s="1" t="s">
        <v>137</v>
      </c>
      <c r="C11241" s="1" t="s">
        <v>63</v>
      </c>
      <c r="D11241" s="1" t="s">
        <v>16110</v>
      </c>
      <c r="E11241" s="1" t="s">
        <v>6141</v>
      </c>
      <c r="F11241" s="1" t="s">
        <v>16111</v>
      </c>
      <c r="G11241" s="1" t="s">
        <v>36</v>
      </c>
      <c r="H11241" s="1" t="s">
        <v>29</v>
      </c>
      <c r="I11241" s="1" t="str">
        <f ca="1">IFERROR(__xludf.DUMMYFUNCTION("GOOGLETRANSLATE(F11241, ""auto"", ""en"")
"),"Cool, my wife is happy, easy to use, plenty of space, can accommodate several large pots at once, a timer on each burner, overall great!!!!!!!!")</f>
        <v>Cool, my wife is happy, easy to use, plenty of space, can accommodate several large pots at once, a timer on each burner, overall great!!!!!!!!</v>
      </c>
    </row>
    <row r="11242" spans="1:9" x14ac:dyDescent="0.3">
      <c r="A11242" s="1" t="s">
        <v>624</v>
      </c>
      <c r="B11242" s="1" t="s">
        <v>2107</v>
      </c>
      <c r="C11242" s="1" t="s">
        <v>479</v>
      </c>
      <c r="D11242" s="1" t="s">
        <v>51</v>
      </c>
      <c r="E11242" s="1" t="s">
        <v>2853</v>
      </c>
      <c r="F11242" s="1" t="s">
        <v>16112</v>
      </c>
      <c r="G11242" s="1" t="s">
        <v>28</v>
      </c>
      <c r="H11242" s="1" t="s">
        <v>29</v>
      </c>
      <c r="I11242" s="1" t="str">
        <f ca="1">IFERROR(__xludf.DUMMYFUNCTION("GOOGLETRANSLATE(F11242, ""auto"", ""en"")
"),"I liked the game)) especially if there are two people on a big big screen))")</f>
        <v>I liked the game)) especially if there are two people on a big big screen))</v>
      </c>
    </row>
    <row r="11243" spans="1:9" x14ac:dyDescent="0.3">
      <c r="A11243" s="1" t="s">
        <v>120</v>
      </c>
      <c r="B11243" s="1" t="s">
        <v>121</v>
      </c>
      <c r="C11243" s="1" t="s">
        <v>69</v>
      </c>
      <c r="D11243" s="1" t="s">
        <v>39</v>
      </c>
      <c r="E11243" s="1" t="s">
        <v>6994</v>
      </c>
      <c r="F11243" s="1" t="s">
        <v>16113</v>
      </c>
      <c r="G11243" s="1" t="s">
        <v>36</v>
      </c>
      <c r="H11243" s="1" t="s">
        <v>29</v>
      </c>
      <c r="I11243" s="1" t="str">
        <f ca="1">IFERROR(__xludf.DUMMYFUNCTION("GOOGLETRANSLATE(F11243, ""auto"", ""en"")
"),"I bought this TV yesterday! It’s just super! Lots of possibilities! Perfect picture!")</f>
        <v>I bought this TV yesterday! It’s just super! Lots of possibilities! Perfect picture!</v>
      </c>
    </row>
    <row r="11244" spans="1:9" x14ac:dyDescent="0.3">
      <c r="A11244" s="1" t="s">
        <v>211</v>
      </c>
      <c r="B11244" s="1" t="s">
        <v>856</v>
      </c>
      <c r="C11244" s="1" t="s">
        <v>57</v>
      </c>
      <c r="D11244" s="1" t="s">
        <v>2452</v>
      </c>
      <c r="E11244" s="1" t="s">
        <v>2500</v>
      </c>
      <c r="F11244" s="1" t="s">
        <v>16114</v>
      </c>
      <c r="G11244" s="1" t="s">
        <v>36</v>
      </c>
      <c r="H11244" s="1" t="s">
        <v>29</v>
      </c>
      <c r="I11244" s="1" t="str">
        <f ca="1">IFERROR(__xludf.DUMMYFUNCTION("GOOGLETRANSLATE(F11244, ""auto"", ""en"")
"),"Lightweight, nice model, good price, you really get pleasure from such a purchase.")</f>
        <v>Lightweight, nice model, good price, you really get pleasure from such a purchase.</v>
      </c>
    </row>
    <row r="11245" spans="1:9" x14ac:dyDescent="0.3">
      <c r="A11245" s="1" t="s">
        <v>211</v>
      </c>
      <c r="B11245" s="1" t="s">
        <v>856</v>
      </c>
      <c r="C11245" s="1" t="s">
        <v>57</v>
      </c>
      <c r="D11245" s="1" t="s">
        <v>64</v>
      </c>
      <c r="E11245" s="1" t="s">
        <v>4803</v>
      </c>
      <c r="F11245" s="1" t="s">
        <v>16115</v>
      </c>
      <c r="G11245" s="1" t="s">
        <v>36</v>
      </c>
      <c r="H11245" s="1" t="s">
        <v>29</v>
      </c>
      <c r="I11245" s="1" t="str">
        <f ca="1">IFERROR(__xludf.DUMMYFUNCTION("GOOGLETRANSLATE(F11245, ""auto"", ""en"")
"),"The set is only suitable for home use, of course the power is a little lacking...")</f>
        <v>The set is only suitable for home use, of course the power is a little lacking...</v>
      </c>
    </row>
    <row r="11246" spans="1:9" x14ac:dyDescent="0.3">
      <c r="A11246" s="1" t="s">
        <v>624</v>
      </c>
      <c r="B11246" s="1" t="s">
        <v>625</v>
      </c>
      <c r="C11246" s="1" t="s">
        <v>479</v>
      </c>
      <c r="D11246" s="1" t="s">
        <v>742</v>
      </c>
      <c r="E11246" s="1" t="s">
        <v>3337</v>
      </c>
      <c r="F11246" s="1" t="s">
        <v>16116</v>
      </c>
      <c r="G11246" s="1" t="s">
        <v>36</v>
      </c>
      <c r="H11246" s="1" t="s">
        <v>29</v>
      </c>
      <c r="I11246" s="1" t="str">
        <f ca="1">IFERROR(__xludf.DUMMYFUNCTION("GOOGLETRANSLATE(F11246, ""auto"", ""en"")
"),"In fact, the controls there are not clumsy. At the beginning of the game, the character has not yet been pumped up, so to speak: slow movements, long response. Then the movements will be sharper, faster and completely reflect the movements of the player's"&amp;" hands.")</f>
        <v>In fact, the controls there are not clumsy. At the beginning of the game, the character has not yet been pumped up, so to speak: slow movements, long response. Then the movements will be sharper, faster and completely reflect the movements of the player's hands.</v>
      </c>
    </row>
    <row r="11247" spans="1:9" x14ac:dyDescent="0.3">
      <c r="A11247" s="1" t="s">
        <v>37</v>
      </c>
      <c r="B11247" s="1" t="s">
        <v>536</v>
      </c>
      <c r="C11247" s="1" t="s">
        <v>1419</v>
      </c>
      <c r="D11247" s="1" t="s">
        <v>16117</v>
      </c>
      <c r="E11247" s="1" t="s">
        <v>1359</v>
      </c>
      <c r="F11247" s="1" t="s">
        <v>16118</v>
      </c>
      <c r="G11247" s="1" t="s">
        <v>49</v>
      </c>
      <c r="H11247" s="1" t="s">
        <v>16</v>
      </c>
      <c r="I11247" s="1" t="str">
        <f ca="1">IFERROR(__xludf.DUMMYFUNCTION("GOOGLETRANSLATE(F11247, ""auto"", ""en"")
"),"Do not take it under any circumstances!!!  There are only two advantages in this communicator: 1. Price 2. Build quality (body) There are no complaints here at all, everything is done at 5+. It fits perfectly in the hand, does not creak, there is no play."&amp;" Only the stylus after 1-1.5 months does not attach very well (but DOES NOT fall out) Well, then it all begins!!!  The battery lasts no more than 5-6 hours when using the Internet or ICQ.  The backlight does not go out like on all phones (at the time spec"&amp;"ified in the settings) but only dims. It turns off only by going into sleep mode. And at low brightness, at the moment it should turn off, it flashes brightly and continues to burn. If you disable the “turn on the backlight when you press a key or touch t"&amp;"he screen” function at the same low brightness, it does not light up at all after it dims.  The cellular network signal (MTS) is terrible.  The connection with the Internet is constantly disconnected, sometimes it does not connect at all, you have to rebo"&amp;"ot 2-3 times.  And in a day this will come in handy 10 to 15 or more times.  It often freezes, responds only to the shutdown button, and it is not possible to confirm the shutdown. Even pressing reset doesn't always help, you have to take out the battery!"&amp;"  Searching for GPS satellites takes from 5 to 10, 15 minutes. Or maybe you won’t find it at all, here, as always, a reboot helps))) The player does not work in sleep mode!!! you can only use a simple lock, and at the same time the display is constantly o"&amp;"n. If you suddenly disconnected it from the PC, you remembered that you didn’t do everything you wanted and decide to reconnect it, then at best you will have to reboot it in the worst case and the PC too!!!  The camera completely sucks, it’s better not t"&amp;"o turn it on (there’s no need to upset yourself again))))) It’s stupid, of course, but I couldn’t set up the MMS)))) Although on any other device for me it’s a matter of 3 minutes)) It’s impossible to use a standard browser, it takes a long time to load, "&amp;"constantly freezes, slows down... Even Opera doesn’t really help (for the reasons described above) Even the drivers included in the kit were not installed, citing the fact that I have FlashPlayer is below 8, although it costs 10)))))))))))))))) P.S.  Well"&amp;", if you’re being picky, there will be 10 more glitches.")</f>
        <v>Do not take it under any circumstances!!!  There are only two advantages in this communicator: 1. Price 2. Build quality (body) There are no complaints here at all, everything is done at 5+. It fits perfectly in the hand, does not creak, there is no play. Only the stylus after 1-1.5 months does not attach very well (but DOES NOT fall out) Well, then it all begins!!!  The battery lasts no more than 5-6 hours when using the Internet or ICQ.  The backlight does not go out like on all phones (at the time specified in the settings) but only dims. It turns off only by going into sleep mode. And at low brightness, at the moment it should turn off, it flashes brightly and continues to burn. If you disable the “turn on the backlight when you press a key or touch the screen” function at the same low brightness, it does not light up at all after it dims.  The cellular network signal (MTS) is terrible.  The connection with the Internet is constantly disconnected, sometimes it does not connect at all, you have to reboot 2-3 times.  And in a day this will come in handy 10 to 15 or more times.  It often freezes, responds only to the shutdown button, and it is not possible to confirm the shutdown. Even pressing reset doesn't always help, you have to take out the battery!  Searching for GPS satellites takes from 5 to 10, 15 minutes. Or maybe you won’t find it at all, here, as always, a reboot helps))) The player does not work in sleep mode!!! you can only use a simple lock, and at the same time the display is constantly on. If you suddenly disconnected it from the PC, you remembered that you didn’t do everything you wanted and decide to reconnect it, then at best you will have to reboot it in the worst case and the PC too!!!  The camera completely sucks, it’s better not to turn it on (there’s no need to upset yourself again))))) It’s stupid, of course, but I couldn’t set up the MMS)))) Although on any other device for me it’s a matter of 3 minutes)) It’s impossible to use a standard browser, it takes a long time to load, constantly freezes, slows down... Even Opera doesn’t really help (for the reasons described above) Even the drivers included in the kit were not installed, citing the fact that I have FlashPlayer is below 8, although it costs 10)))))))))))))))) P.S.  Well, if you’re being picky, there will be 10 more glitches.</v>
      </c>
    </row>
    <row r="11248" spans="1:9" x14ac:dyDescent="0.3">
      <c r="A11248" s="1" t="s">
        <v>61</v>
      </c>
      <c r="B11248" s="1" t="s">
        <v>318</v>
      </c>
      <c r="C11248" s="1" t="s">
        <v>2840</v>
      </c>
      <c r="D11248" s="1" t="s">
        <v>127</v>
      </c>
      <c r="E11248" s="1" t="s">
        <v>4803</v>
      </c>
      <c r="F11248" s="1" t="s">
        <v>16119</v>
      </c>
      <c r="G11248" s="1" t="s">
        <v>36</v>
      </c>
      <c r="H11248" s="1" t="s">
        <v>29</v>
      </c>
      <c r="I11248" s="1" t="str">
        <f ca="1">IFERROR(__xludf.DUMMYFUNCTION("GOOGLETRANSLATE(F11248, ""auto"", ""en"")
"),"Used for about a year, the taste of the water is better than in plastic, there is no sediment, it is heavy and takes a long time to boil, but this is the norm. The most important thing is that it stays hot longer, two cups included, fits perfectly into th"&amp;"e kitchen interior! I recommend it.")</f>
        <v>Used for about a year, the taste of the water is better than in plastic, there is no sediment, it is heavy and takes a long time to boil, but this is the norm. The most important thing is that it stays hot longer, two cups included, fits perfectly into the kitchen interior! I recommend it.</v>
      </c>
    </row>
    <row r="11249" spans="1:9" x14ac:dyDescent="0.3">
      <c r="A11249" s="1" t="s">
        <v>120</v>
      </c>
      <c r="B11249" s="1" t="s">
        <v>196</v>
      </c>
      <c r="C11249" s="1" t="s">
        <v>69</v>
      </c>
      <c r="D11249" s="1" t="s">
        <v>327</v>
      </c>
      <c r="E11249" s="1" t="s">
        <v>1992</v>
      </c>
      <c r="F11249" s="1" t="s">
        <v>16120</v>
      </c>
      <c r="G11249" s="1" t="s">
        <v>36</v>
      </c>
      <c r="H11249" s="1" t="s">
        <v>29</v>
      </c>
      <c r="I11249" s="1" t="str">
        <f ca="1">IFERROR(__xludf.DUMMYFUNCTION("GOOGLETRANSLATE(F11249, ""auto"", ""en"")
"),"TV is cool! It’s a pity that it doesn’t read videos from USB, but it’s fine...")</f>
        <v>TV is cool! It’s a pity that it doesn’t read videos from USB, but it’s fine...</v>
      </c>
    </row>
    <row r="11250" spans="1:9" x14ac:dyDescent="0.3">
      <c r="A11250" s="1" t="s">
        <v>30</v>
      </c>
      <c r="B11250" s="1" t="s">
        <v>50</v>
      </c>
      <c r="C11250" s="1" t="s">
        <v>32</v>
      </c>
      <c r="D11250" s="1" t="s">
        <v>16121</v>
      </c>
      <c r="E11250" s="1" t="s">
        <v>397</v>
      </c>
      <c r="F11250" s="1" t="s">
        <v>16122</v>
      </c>
      <c r="G11250" s="1" t="s">
        <v>28</v>
      </c>
      <c r="H11250" s="1" t="s">
        <v>29</v>
      </c>
      <c r="I11250" s="1" t="str">
        <f ca="1">IFERROR(__xludf.DUMMYFUNCTION("GOOGLETRANSLATE(F11250, ""auto"", ""en"")
"),"I've been using it for about a month now. I was pleased with the video card. Standard Vista crashed on the second day) I set it to seven, no complaints so far. Everest writes that the battery is worn out by 12% - this is apparently because, having initial"&amp;"ly heard and read all sorts of articles, I began to train the battery. You should not discharge the battery to zero, it is enough to bring it to 15-20%, then the wear will be less.")</f>
        <v>I've been using it for about a month now. I was pleased with the video card. Standard Vista crashed on the second day) I set it to seven, no complaints so far. Everest writes that the battery is worn out by 12% - this is apparently because, having initially heard and read all sorts of articles, I began to train the battery. You should not discharge the battery to zero, it is enough to bring it to 15-20%, then the wear will be less.</v>
      </c>
    </row>
    <row r="11251" spans="1:9" x14ac:dyDescent="0.3">
      <c r="A11251" s="1" t="s">
        <v>149</v>
      </c>
      <c r="B11251" s="1" t="s">
        <v>423</v>
      </c>
      <c r="C11251" s="1" t="s">
        <v>548</v>
      </c>
      <c r="D11251" s="1" t="s">
        <v>308</v>
      </c>
      <c r="E11251" s="1" t="s">
        <v>4141</v>
      </c>
      <c r="F11251" s="1" t="s">
        <v>16123</v>
      </c>
      <c r="G11251" s="1" t="s">
        <v>36</v>
      </c>
      <c r="H11251" s="1" t="s">
        <v>29</v>
      </c>
      <c r="I11251" s="1" t="str">
        <f ca="1">IFERROR(__xludf.DUMMYFUNCTION("GOOGLETRANSLATE(F11251, ""auto"", ""en"")
"),"The duster is certainly not for everyday cleaning, but for thorough cleaning once a week it is ideal! I advise everyone who writes here that it is heavy (especially “men”) to buy a mop and a subscription to the fitness center.")</f>
        <v>The duster is certainly not for everyday cleaning, but for thorough cleaning once a week it is ideal! I advise everyone who writes here that it is heavy (especially “men”) to buy a mop and a subscription to the fitness center.</v>
      </c>
    </row>
    <row r="11252" spans="1:9" x14ac:dyDescent="0.3">
      <c r="A11252" s="1" t="s">
        <v>17</v>
      </c>
      <c r="B11252" s="1" t="s">
        <v>18</v>
      </c>
      <c r="C11252" s="1" t="s">
        <v>80</v>
      </c>
      <c r="D11252" s="1" t="s">
        <v>474</v>
      </c>
      <c r="E11252" s="1" t="s">
        <v>15315</v>
      </c>
      <c r="F11252" s="1" t="s">
        <v>16124</v>
      </c>
      <c r="G11252" s="1" t="s">
        <v>36</v>
      </c>
      <c r="H11252" s="1" t="s">
        <v>29</v>
      </c>
      <c r="I11252" s="1" t="str">
        <f ca="1">IFERROR(__xludf.DUMMYFUNCTION("GOOGLETRANSLATE(F11252, ""auto"", ""en"")
"),"We've been using it for half a year now. Everything suits me - the price-quality ratio is ideal. Economical (""intelligence"" helps a lot), not noisy, washes children's clothes well, boils perfectly (""gentle boiling"" function). With the birth of the chi"&amp;"ld, the problem of washing disappeared by itself! I recommend it, a worthy model!")</f>
        <v>We've been using it for half a year now. Everything suits me - the price-quality ratio is ideal. Economical ("intelligence" helps a lot), not noisy, washes children's clothes well, boils perfectly ("gentle boiling" function). With the birth of the child, the problem of washing disappeared by itself! I recommend it, a worthy model!</v>
      </c>
    </row>
    <row r="11253" spans="1:9" x14ac:dyDescent="0.3">
      <c r="A11253" s="1" t="s">
        <v>211</v>
      </c>
      <c r="B11253" s="1" t="s">
        <v>212</v>
      </c>
      <c r="C11253" s="1" t="s">
        <v>381</v>
      </c>
      <c r="D11253" s="1" t="s">
        <v>75</v>
      </c>
      <c r="E11253" s="1" t="s">
        <v>2120</v>
      </c>
      <c r="F11253" s="1" t="s">
        <v>16125</v>
      </c>
      <c r="G11253" s="1" t="s">
        <v>36</v>
      </c>
      <c r="H11253" s="1" t="s">
        <v>29</v>
      </c>
      <c r="I11253" s="1" t="str">
        <f ca="1">IFERROR(__xludf.DUMMYFUNCTION("GOOGLETRANSLATE(F11253, ""auto"", ""en"")
"),"When I saw an advertisement on TV I thought “oh, what a cute straightener, but probably expensive.” In the store I just fell in love with him. True, the price was a little steep. I bought it and didn’t regret it one bit. You can spend that kind of money o"&amp;"n THIS straightener and have nothing to regret!")</f>
        <v>When I saw an advertisement on TV I thought “oh, what a cute straightener, but probably expensive.” In the store I just fell in love with him. True, the price was a little steep. I bought it and didn’t regret it one bit. You can spend that kind of money on THIS straightener and have nothing to regret!</v>
      </c>
    </row>
    <row r="11254" spans="1:9" x14ac:dyDescent="0.3">
      <c r="A11254" s="1" t="s">
        <v>965</v>
      </c>
      <c r="B11254" s="1" t="s">
        <v>14420</v>
      </c>
      <c r="C11254" s="1" t="s">
        <v>8257</v>
      </c>
      <c r="D11254" s="1" t="s">
        <v>16126</v>
      </c>
      <c r="E11254" s="1" t="s">
        <v>500</v>
      </c>
      <c r="F11254" s="1" t="s">
        <v>16127</v>
      </c>
      <c r="G11254" s="1" t="s">
        <v>28</v>
      </c>
      <c r="H11254" s="1" t="s">
        <v>29</v>
      </c>
      <c r="I11254" s="1" t="str">
        <f ca="1">IFERROR(__xludf.DUMMYFUNCTION("GOOGLETRANSLATE(F11254, ""auto"", ""en"")
"),"Incorrectly indicated. parameters. The network connection reaches up to 300 Mbps.  802.11n however.  It works without problems, although my distance to the access point is 5-7 meters, through the wall.")</f>
        <v>Incorrectly indicated. parameters. The network connection reaches up to 300 Mbps.  802.11n however.  It works without problems, although my distance to the access point is 5-7 meters, through the wall.</v>
      </c>
    </row>
    <row r="11255" spans="1:9" x14ac:dyDescent="0.3">
      <c r="A11255" s="1" t="s">
        <v>477</v>
      </c>
      <c r="B11255" s="1" t="s">
        <v>478</v>
      </c>
      <c r="C11255" s="1" t="s">
        <v>479</v>
      </c>
      <c r="D11255" s="1" t="s">
        <v>16128</v>
      </c>
      <c r="E11255" s="1" t="s">
        <v>3550</v>
      </c>
      <c r="F11255" s="1" t="s">
        <v>16129</v>
      </c>
      <c r="G11255" s="1" t="s">
        <v>36</v>
      </c>
      <c r="H11255" s="1" t="s">
        <v>29</v>
      </c>
      <c r="I11255" s="1" t="str">
        <f ca="1">IFERROR(__xludf.DUMMYFUNCTION("GOOGLETRANSLATE(F11255, ""auto"", ""en"")
"),"Moreover, the game only costs 399 rubles, I completed it 7 times, the best game in my opinion!!!")</f>
        <v>Moreover, the game only costs 399 rubles, I completed it 7 times, the best game in my opinion!!!</v>
      </c>
    </row>
    <row r="11256" spans="1:9" x14ac:dyDescent="0.3">
      <c r="A11256" s="1" t="s">
        <v>37</v>
      </c>
      <c r="B11256" s="1" t="s">
        <v>536</v>
      </c>
      <c r="C11256" s="1" t="s">
        <v>163</v>
      </c>
      <c r="D11256" s="1" t="s">
        <v>305</v>
      </c>
      <c r="E11256" s="1" t="s">
        <v>443</v>
      </c>
      <c r="F11256" s="1" t="s">
        <v>16130</v>
      </c>
      <c r="G11256" s="1" t="s">
        <v>36</v>
      </c>
      <c r="H11256" s="1" t="s">
        <v>29</v>
      </c>
      <c r="I11256" s="1" t="str">
        <f ca="1">IFERROR(__xludf.DUMMYFUNCTION("GOOGLETRANSLATE(F11256, ""auto"", ""en"")
"),"I'm buying it tomorrow. I read all the reviews, and everything seems to be fine with the phone. The day after tomorrow I’ll write down my thoughts about the phone. Finally, I’ll find out if this “popular” backlash and the lock button have been eliminated)"&amp;" everything seems to be fine with the sensor. The price of the phone has gone up, and you have to hurry!)")</f>
        <v>I'm buying it tomorrow. I read all the reviews, and everything seems to be fine with the phone. The day after tomorrow I’ll write down my thoughts about the phone. Finally, I’ll find out if this “popular” backlash and the lock button have been eliminated) everything seems to be fine with the sensor. The price of the phone has gone up, and you have to hurry!)</v>
      </c>
    </row>
    <row r="11257" spans="1:9" x14ac:dyDescent="0.3">
      <c r="A11257" s="1" t="s">
        <v>120</v>
      </c>
      <c r="B11257" s="1" t="s">
        <v>121</v>
      </c>
      <c r="C11257" s="1" t="s">
        <v>97</v>
      </c>
      <c r="D11257" s="1" t="s">
        <v>81</v>
      </c>
      <c r="E11257" s="1" t="s">
        <v>1321</v>
      </c>
      <c r="F11257" s="1" t="s">
        <v>16131</v>
      </c>
      <c r="G11257" s="1" t="s">
        <v>36</v>
      </c>
      <c r="H11257" s="1" t="s">
        <v>29</v>
      </c>
      <c r="I11257" s="1" t="str">
        <f ca="1">IFERROR(__xludf.DUMMYFUNCTION("GOOGLETRANSLATE(F11257, ""auto"", ""en"")
"),"I spent a long time choosing which TV to buy for no more than 18,000 rubles. I opted for the Sony KLV-32 S550A Blue and didn’t regret it one bit =) The TV shows very well for the money (I mainly watch BLU-RAY) the TV channels, of course, are a little let "&amp;"down, but I think if you install a satellite dish, it will be very good!")</f>
        <v>I spent a long time choosing which TV to buy for no more than 18,000 rubles. I opted for the Sony KLV-32 S550A Blue and didn’t regret it one bit =) The TV shows very well for the money (I mainly watch BLU-RAY) the TV channels, of course, are a little let down, but I think if you install a satellite dish, it will be very good!</v>
      </c>
    </row>
    <row r="11258" spans="1:9" x14ac:dyDescent="0.3">
      <c r="A11258" s="1" t="s">
        <v>211</v>
      </c>
      <c r="B11258" s="1" t="s">
        <v>410</v>
      </c>
      <c r="C11258" s="1" t="s">
        <v>122</v>
      </c>
      <c r="D11258" s="1" t="s">
        <v>159</v>
      </c>
      <c r="E11258" s="1" t="s">
        <v>1319</v>
      </c>
      <c r="F11258" s="1" t="s">
        <v>16132</v>
      </c>
      <c r="G11258" s="1" t="s">
        <v>36</v>
      </c>
      <c r="H11258" s="1" t="s">
        <v>29</v>
      </c>
      <c r="I11258" s="1" t="str">
        <f ca="1">IFERROR(__xludf.DUMMYFUNCTION("GOOGLETRANSLATE(F11258, ""auto"", ""en"")
"),"Dry shaving: the sensations are twofold, burning and gaps in the area of ​​the chin and Adam's apple, and in the area of ​​the cheeks it feels like after a massage and a smooth shave. The duration of the procedure is approximately 10 min+_. You have to ma"&amp;"ke more movements than with a machine. Fits perfectly in the hand. The noise is within acceptable limits, but it’s better not to experiment at night)) for a first impression, it’s a test. Let’s see what happens next...")</f>
        <v>Dry shaving: the sensations are twofold, burning and gaps in the area of ​​the chin and Adam's apple, and in the area of ​​the cheeks it feels like after a massage and a smooth shave. The duration of the procedure is approximately 10 min+_. You have to make more movements than with a machine. Fits perfectly in the hand. The noise is within acceptable limits, but it’s better not to experiment at night)) for a first impression, it’s a test. Let’s see what happens next...</v>
      </c>
    </row>
    <row r="11259" spans="1:9" x14ac:dyDescent="0.3">
      <c r="A11259" s="1" t="s">
        <v>78</v>
      </c>
      <c r="B11259" s="1" t="s">
        <v>79</v>
      </c>
      <c r="C11259" s="1" t="s">
        <v>351</v>
      </c>
      <c r="D11259" s="1" t="s">
        <v>280</v>
      </c>
      <c r="E11259" s="1" t="s">
        <v>248</v>
      </c>
      <c r="F11259" s="1" t="s">
        <v>16133</v>
      </c>
      <c r="G11259" s="1" t="s">
        <v>49</v>
      </c>
      <c r="H11259" s="1" t="s">
        <v>16</v>
      </c>
      <c r="I11259" s="1" t="str">
        <f ca="1">IFERROR(__xludf.DUMMYFUNCTION("GOOGLETRANSLATE(F11259, ""auto"", ""en"")
"),"In a week, two similar specimens were replaced, the first died that same evening, but the second, poor fellow, lasted for three days. The first and last time I contacted Supra.")</f>
        <v>In a week, two similar specimens were replaced, the first died that same evening, but the second, poor fellow, lasted for three days. The first and last time I contacted Supra.</v>
      </c>
    </row>
    <row r="11260" spans="1:9" x14ac:dyDescent="0.3">
      <c r="A11260" s="1" t="s">
        <v>61</v>
      </c>
      <c r="B11260" s="1" t="s">
        <v>318</v>
      </c>
      <c r="C11260" s="1" t="s">
        <v>101</v>
      </c>
      <c r="D11260" s="1" t="s">
        <v>295</v>
      </c>
      <c r="E11260" s="1" t="s">
        <v>5038</v>
      </c>
      <c r="F11260" s="1" t="s">
        <v>16134</v>
      </c>
      <c r="G11260" s="1" t="s">
        <v>36</v>
      </c>
      <c r="H11260" s="1" t="s">
        <v>29</v>
      </c>
      <c r="I11260" s="1" t="str">
        <f ca="1">IFERROR(__xludf.DUMMYFUNCTION("GOOGLETRANSLATE(F11260, ""auto"", ""en"")
"),"I purchased this kettle today. There are no complaints, it works perfectly, the water, after the second boil, is odorless, very nice blue light. I look and am happy.")</f>
        <v>I purchased this kettle today. There are no complaints, it works perfectly, the water, after the second boil, is odorless, very nice blue light. I look and am happy.</v>
      </c>
    </row>
    <row r="11261" spans="1:9" x14ac:dyDescent="0.3">
      <c r="A11261" s="1" t="s">
        <v>37</v>
      </c>
      <c r="B11261" s="1" t="s">
        <v>38</v>
      </c>
      <c r="C11261" s="1" t="s">
        <v>39</v>
      </c>
      <c r="D11261" s="1" t="s">
        <v>2771</v>
      </c>
      <c r="E11261" s="1" t="s">
        <v>1039</v>
      </c>
      <c r="F11261" s="1" t="s">
        <v>16135</v>
      </c>
      <c r="G11261" s="1" t="s">
        <v>36</v>
      </c>
      <c r="H11261" s="1" t="s">
        <v>29</v>
      </c>
      <c r="I11261" s="1" t="str">
        <f ca="1">IFERROR(__xludf.DUMMYFUNCTION("GOOGLETRANSLATE(F11261, ""auto"", ""en"")
"),"I like the phone, I bought it at the beginning of the year, everything is fine, I just lost the cover) and I can’t find the case for it anywhere, help) where can I buy the case?)!!!")</f>
        <v>I like the phone, I bought it at the beginning of the year, everything is fine, I just lost the cover) and I can’t find the case for it anywhere, help) where can I buy the case?)!!!</v>
      </c>
    </row>
    <row r="11262" spans="1:9" x14ac:dyDescent="0.3">
      <c r="A11262" s="1" t="s">
        <v>61</v>
      </c>
      <c r="B11262" s="1" t="s">
        <v>977</v>
      </c>
      <c r="C11262" s="1" t="s">
        <v>85</v>
      </c>
      <c r="D11262" s="1" t="s">
        <v>86</v>
      </c>
      <c r="E11262" s="1" t="s">
        <v>4690</v>
      </c>
      <c r="F11262" s="1" t="s">
        <v>16136</v>
      </c>
      <c r="G11262" s="1" t="s">
        <v>36</v>
      </c>
      <c r="H11262" s="1" t="s">
        <v>29</v>
      </c>
      <c r="I11262" s="1" t="str">
        <f ca="1">IFERROR(__xludf.DUMMYFUNCTION("GOOGLETRANSLATE(F11262, ""auto"", ""en"")
"),"I spent a long time looking for a gift for my mother’s anniversary and after reading these reviews I decided to make this purchase. As a result, mom couldn’t be happier with this mixer. Firstly, it works very quietly, because... The whisks do not touch th"&amp;"e walls of the bowl, which was found in other models (when purchasing, I compared them with others). Secondly, the power is enough to knead any dough, and our family loves dumplings and various pastries. Thirdly, you really don’t have to bother with the d"&amp;"ough: you throw everything into the bowl, set the timer and that’s it - he kneads the dough himself. My mom is delighted!")</f>
        <v>I spent a long time looking for a gift for my mother’s anniversary and after reading these reviews I decided to make this purchase. As a result, mom couldn’t be happier with this mixer. Firstly, it works very quietly, because... The whisks do not touch the walls of the bowl, which was found in other models (when purchasing, I compared them with others). Secondly, the power is enough to knead any dough, and our family loves dumplings and various pastries. Thirdly, you really don’t have to bother with the dough: you throw everything into the bowl, set the timer and that’s it - he kneads the dough himself. My mom is delighted!</v>
      </c>
    </row>
    <row r="11263" spans="1:9" x14ac:dyDescent="0.3">
      <c r="A11263" s="1" t="s">
        <v>211</v>
      </c>
      <c r="B11263" s="1" t="s">
        <v>2818</v>
      </c>
      <c r="C11263" s="1" t="s">
        <v>122</v>
      </c>
      <c r="D11263" s="1" t="s">
        <v>171</v>
      </c>
      <c r="E11263" s="1" t="s">
        <v>8366</v>
      </c>
      <c r="F11263" s="1" t="s">
        <v>16137</v>
      </c>
      <c r="G11263" s="1" t="s">
        <v>28</v>
      </c>
      <c r="H11263" s="1" t="s">
        <v>29</v>
      </c>
      <c r="I11263" s="1" t="str">
        <f ca="1">IFERROR(__xludf.DUMMYFUNCTION("GOOGLETRANSLATE(F11263, ""auto"", ""en"")
"),"I bought it for the ES 3001 model. The only negative for me is the problematic replacement. I changed it myself, was greedy, took it to the mechanic, and ended up having to suffer. That aside, the cutting unit is excellent. The new one shaves cleaner than"&amp;" the original one after purchase, it doesn’t even pull long hairs. Doesn't scratch the skin. I advise.")</f>
        <v>I bought it for the ES 3001 model. The only negative for me is the problematic replacement. I changed it myself, was greedy, took it to the mechanic, and ended up having to suffer. That aside, the cutting unit is excellent. The new one shaves cleaner than the original one after purchase, it doesn’t even pull long hairs. Doesn't scratch the skin. I advise.</v>
      </c>
    </row>
    <row r="11264" spans="1:9" x14ac:dyDescent="0.3">
      <c r="A11264" s="1" t="s">
        <v>61</v>
      </c>
      <c r="B11264" s="1" t="s">
        <v>318</v>
      </c>
      <c r="C11264" s="1" t="s">
        <v>101</v>
      </c>
      <c r="D11264" s="1" t="s">
        <v>633</v>
      </c>
      <c r="E11264" s="1" t="s">
        <v>3621</v>
      </c>
      <c r="F11264" s="1" t="s">
        <v>16138</v>
      </c>
      <c r="G11264" s="1" t="s">
        <v>36</v>
      </c>
      <c r="H11264" s="1" t="s">
        <v>29</v>
      </c>
      <c r="I11264" s="1" t="str">
        <f ca="1">IFERROR(__xludf.DUMMYFUNCTION("GOOGLETRANSLATE(F11264, ""auto"", ""en"")
"),"A “well-fed and well-mannered” teapot. Good quality, high boiling speed, durable quality material! I really like it, especially when working in the dark. Such a night light in the kitchen with its own lighting))")</f>
        <v>A “well-fed and well-mannered” teapot. Good quality, high boiling speed, durable quality material! I really like it, especially when working in the dark. Such a night light in the kitchen with its own lighting))</v>
      </c>
    </row>
    <row r="11265" spans="1:9" x14ac:dyDescent="0.3">
      <c r="A11265" s="1" t="s">
        <v>211</v>
      </c>
      <c r="B11265" s="1" t="s">
        <v>515</v>
      </c>
      <c r="C11265" s="1" t="s">
        <v>213</v>
      </c>
      <c r="D11265" s="1" t="s">
        <v>471</v>
      </c>
      <c r="E11265" s="1" t="s">
        <v>11030</v>
      </c>
      <c r="F11265" s="1" t="s">
        <v>16139</v>
      </c>
      <c r="G11265" s="1" t="s">
        <v>36</v>
      </c>
      <c r="H11265" s="1" t="s">
        <v>29</v>
      </c>
      <c r="I11265" s="1" t="str">
        <f ca="1">IFERROR(__xludf.DUMMYFUNCTION("GOOGLETRANSLATE(F11265, ""auto"", ""en"")
"),"It has been working for more than a year, during the period of active use I only changed the second battery - the savings are significant!")</f>
        <v>It has been working for more than a year, during the period of active use I only changed the second battery - the savings are significant!</v>
      </c>
    </row>
    <row r="11266" spans="1:9" x14ac:dyDescent="0.3">
      <c r="A11266" s="1" t="s">
        <v>206</v>
      </c>
      <c r="B11266" s="1" t="s">
        <v>261</v>
      </c>
      <c r="C11266" s="1" t="s">
        <v>45</v>
      </c>
      <c r="D11266" s="1" t="s">
        <v>2145</v>
      </c>
      <c r="E11266" s="1" t="s">
        <v>3169</v>
      </c>
      <c r="F11266" s="1" t="s">
        <v>16140</v>
      </c>
      <c r="G11266" s="1" t="s">
        <v>36</v>
      </c>
      <c r="H11266" s="1" t="s">
        <v>29</v>
      </c>
      <c r="I11266" s="1" t="str">
        <f ca="1">IFERROR(__xludf.DUMMYFUNCTION("GOOGLETRANSLATE(F11266, ""auto"", ""en"")
"),"Good modulator. I’ve been using it for a month now, no problems, no interference, reads all devices (all my flash drives and an external screw), the sound quality is of course mediocre, but quite tolerable (but I don’t need to carry a bunch of disks with "&amp;"me). In my opinion, a good device for the money.")</f>
        <v>Good modulator. I’ve been using it for a month now, no problems, no interference, reads all devices (all my flash drives and an external screw), the sound quality is of course mediocre, but quite tolerable (but I don’t need to carry a bunch of disks with me). In my opinion, a good device for the money.</v>
      </c>
    </row>
    <row r="11267" spans="1:9" x14ac:dyDescent="0.3">
      <c r="A11267" s="1" t="s">
        <v>61</v>
      </c>
      <c r="B11267" s="1" t="s">
        <v>318</v>
      </c>
      <c r="C11267" s="1" t="s">
        <v>101</v>
      </c>
      <c r="D11267" s="1" t="s">
        <v>1890</v>
      </c>
      <c r="E11267" s="1" t="s">
        <v>2584</v>
      </c>
      <c r="F11267" s="1" t="s">
        <v>16141</v>
      </c>
      <c r="G11267" s="1" t="s">
        <v>28</v>
      </c>
      <c r="H11267" s="1" t="s">
        <v>29</v>
      </c>
      <c r="I11267" s="1" t="str">
        <f ca="1">IFERROR(__xludf.DUMMYFUNCTION("GOOGLETRANSLATE(F11267, ""auto"", ""en"")
"),"Of all the glass teapots, I liked this one the most, and practice has shown that it is really good. It works flawlessly for a long time, I am glad that water boiled with plastic does not begin to give off.")</f>
        <v>Of all the glass teapots, I liked this one the most, and practice has shown that it is really good. It works flawlessly for a long time, I am glad that water boiled with plastic does not begin to give off.</v>
      </c>
    </row>
    <row r="11268" spans="1:9" x14ac:dyDescent="0.3">
      <c r="A11268" s="1" t="s">
        <v>211</v>
      </c>
      <c r="B11268" s="1" t="s">
        <v>212</v>
      </c>
      <c r="C11268" s="1" t="s">
        <v>69</v>
      </c>
      <c r="D11268" s="1" t="s">
        <v>1055</v>
      </c>
      <c r="E11268" s="1" t="s">
        <v>1441</v>
      </c>
      <c r="F11268" s="1" t="s">
        <v>16142</v>
      </c>
      <c r="G11268" s="1" t="s">
        <v>49</v>
      </c>
      <c r="H11268" s="1" t="s">
        <v>16</v>
      </c>
      <c r="I11268" s="1" t="str">
        <f ca="1">IFERROR(__xludf.DUMMYFUNCTION("GOOGLETRANSLATE(F11268, ""auto"", ""en"")
"),"At first I was happy with the hair dryer, everything was fine, but after 6 months of proper use (used once a day to dry hair) it burned out and cannot be repaired")</f>
        <v>At first I was happy with the hair dryer, everything was fine, but after 6 months of proper use (used once a day to dry hair) it burned out and cannot be repaired</v>
      </c>
    </row>
    <row r="11269" spans="1:9" x14ac:dyDescent="0.3">
      <c r="A11269" s="1" t="s">
        <v>149</v>
      </c>
      <c r="B11269" s="1" t="s">
        <v>155</v>
      </c>
      <c r="C11269" s="1" t="s">
        <v>80</v>
      </c>
      <c r="D11269" s="1" t="s">
        <v>280</v>
      </c>
      <c r="E11269" s="1" t="s">
        <v>1330</v>
      </c>
      <c r="F11269" s="1" t="s">
        <v>16143</v>
      </c>
      <c r="G11269" s="1" t="s">
        <v>28</v>
      </c>
      <c r="H11269" s="1" t="s">
        <v>29</v>
      </c>
      <c r="I11269" s="1" t="str">
        <f ca="1">IFERROR(__xludf.DUMMYFUNCTION("GOOGLETRANSLATE(F11269, ""auto"", ""en"")
"),"I lived without a vacuum cleaner for a long time (I couldn’t get around to it, I always had to buy something more necessary for everyday life). Bought. Very good, power adjustment on the handle - Very convenient!!!, quite quiet, a lot of attachments, the "&amp;"parquet nozzle has become standard ;), spare (washable) filter included.  The dust container is not secured very securely (however, it cannot fall out due to vertical loading).    The price/quality ratio is very good.")</f>
        <v>I lived without a vacuum cleaner for a long time (I couldn’t get around to it, I always had to buy something more necessary for everyday life). Bought. Very good, power adjustment on the handle - Very convenient!!!, quite quiet, a lot of attachments, the parquet nozzle has become standard ;), spare (washable) filter included.  The dust container is not secured very securely (however, it cannot fall out due to vertical loading).    The price/quality ratio is very good.</v>
      </c>
    </row>
    <row r="11270" spans="1:9" x14ac:dyDescent="0.3">
      <c r="A11270" s="1" t="s">
        <v>965</v>
      </c>
      <c r="B11270" s="1" t="s">
        <v>966</v>
      </c>
      <c r="C11270" s="1" t="s">
        <v>2149</v>
      </c>
      <c r="D11270" s="1" t="s">
        <v>420</v>
      </c>
      <c r="E11270" s="1" t="s">
        <v>1273</v>
      </c>
      <c r="F11270" s="1" t="s">
        <v>16144</v>
      </c>
      <c r="G11270" s="1" t="s">
        <v>36</v>
      </c>
      <c r="H11270" s="1" t="s">
        <v>29</v>
      </c>
      <c r="I11270" s="1" t="str">
        <f ca="1">IFERROR(__xludf.DUMMYFUNCTION("GOOGLETRANSLATE(F11270, ""auto"", ""en"")
"),"I’ve been using it for over a month now and I’m very pleased, the sound is amazing (especially when you listen to .flac =D)! But weak mids. The computer has a sound box from the Stryker 2 motherboard kit (I'm afraid to imagine what if they were connected "&amp;"to some kind of x-fi elite). The volume is very high (when I turn it up to 1/5 (approximately) my neighbors come running to complain), and when in the store the consultant turned them up to 1/3 (approximately) you couldn’t even hear yourself screaming (th"&amp;"is is in their huge hall). In general, very good and well-made speakers 5+!")</f>
        <v>I’ve been using it for over a month now and I’m very pleased, the sound is amazing (especially when you listen to .flac =D)! But weak mids. The computer has a sound box from the Stryker 2 motherboard kit (I'm afraid to imagine what if they were connected to some kind of x-fi elite). The volume is very high (when I turn it up to 1/5 (approximately) my neighbors come running to complain), and when in the store the consultant turned them up to 1/3 (approximately) you couldn’t even hear yourself screaming (this is in their huge hall). In general, very good and well-made speakers 5+!</v>
      </c>
    </row>
    <row r="11271" spans="1:9" x14ac:dyDescent="0.3">
      <c r="A11271" s="1" t="s">
        <v>111</v>
      </c>
      <c r="B11271" s="1" t="s">
        <v>298</v>
      </c>
      <c r="C11271" s="1" t="s">
        <v>299</v>
      </c>
      <c r="D11271" s="1" t="s">
        <v>2771</v>
      </c>
      <c r="E11271" s="1" t="s">
        <v>12415</v>
      </c>
      <c r="F11271" s="1" t="s">
        <v>16145</v>
      </c>
      <c r="G11271" s="1" t="s">
        <v>36</v>
      </c>
      <c r="H11271" s="1" t="s">
        <v>29</v>
      </c>
      <c r="I11271" s="1" t="str">
        <f ca="1">IFERROR(__xludf.DUMMYFUNCTION("GOOGLETRANSLATE(F11271, ""auto"", ""en"")
"),"A good dryer at an affordable price, no worse than all the other more expensive ones, I’m happy.")</f>
        <v>A good dryer at an affordable price, no worse than all the other more expensive ones, I’m happy.</v>
      </c>
    </row>
    <row r="11272" spans="1:9" x14ac:dyDescent="0.3">
      <c r="A11272" s="1" t="s">
        <v>211</v>
      </c>
      <c r="B11272" s="1" t="s">
        <v>212</v>
      </c>
      <c r="C11272" s="1" t="s">
        <v>381</v>
      </c>
      <c r="D11272" s="1" t="s">
        <v>1188</v>
      </c>
      <c r="E11272" s="1" t="s">
        <v>1129</v>
      </c>
      <c r="F11272" s="1" t="s">
        <v>16146</v>
      </c>
      <c r="G11272" s="1" t="s">
        <v>36</v>
      </c>
      <c r="H11272" s="1" t="s">
        <v>29</v>
      </c>
      <c r="I11272" s="1" t="str">
        <f ca="1">IFERROR(__xludf.DUMMYFUNCTION("GOOGLETRANSLATE(F11272, ""auto"", ""en"")
"),"Excellent straightener, reasonable price and good quality!")</f>
        <v>Excellent straightener, reasonable price and good quality!</v>
      </c>
    </row>
    <row r="11273" spans="1:9" x14ac:dyDescent="0.3">
      <c r="A11273" s="1" t="s">
        <v>61</v>
      </c>
      <c r="B11273" s="1" t="s">
        <v>318</v>
      </c>
      <c r="C11273" s="1" t="s">
        <v>101</v>
      </c>
      <c r="D11273" s="1" t="s">
        <v>742</v>
      </c>
      <c r="E11273" s="1" t="s">
        <v>11595</v>
      </c>
      <c r="F11273" s="1" t="s">
        <v>16147</v>
      </c>
      <c r="G11273" s="1" t="s">
        <v>36</v>
      </c>
      <c r="H11273" s="1" t="s">
        <v>29</v>
      </c>
      <c r="I11273" s="1" t="str">
        <f ca="1">IFERROR(__xludf.DUMMYFUNCTION("GOOGLETRANSLATE(F11273, ""auto"", ""en"")
"),"I have the opportunity to compare several models, because I have several different ones.    This thermopot is a hard worker, it has been working for 3 years, it has never broken down, and after heating it retains heat due to the thermal jacket around the "&amp;"flask. You can take it with you knowing that it will keep the temperature on the road for about 8 hours")</f>
        <v>I have the opportunity to compare several models, because I have several different ones.    This thermopot is a hard worker, it has been working for 3 years, it has never broken down, and after heating it retains heat due to the thermal jacket around the flask. You can take it with you knowing that it will keep the temperature on the road for about 8 hours</v>
      </c>
    </row>
    <row r="11274" spans="1:9" x14ac:dyDescent="0.3">
      <c r="A11274" s="1" t="s">
        <v>120</v>
      </c>
      <c r="B11274" s="1" t="s">
        <v>121</v>
      </c>
      <c r="C11274" s="1" t="s">
        <v>97</v>
      </c>
      <c r="D11274" s="1" t="s">
        <v>896</v>
      </c>
      <c r="E11274" s="1" t="s">
        <v>1866</v>
      </c>
      <c r="F11274" s="1" t="s">
        <v>16148</v>
      </c>
      <c r="G11274" s="1" t="s">
        <v>36</v>
      </c>
      <c r="H11274" s="1" t="s">
        <v>29</v>
      </c>
      <c r="I11274" s="1" t="str">
        <f ca="1">IFERROR(__xludf.DUMMYFUNCTION("GOOGLETRANSLATE(F11274, ""auto"", ""en"")
"),"The TV is actually very cool, both quality and design! Yesterday we bought it and were amazed when we brought it home - it is very big, in the store it does not look so advantageous compared to other TVs! The quality is very good for this resolution. in g"&amp;"eneral, who just needs a big TV, take it and don’t even think about it! It also has a radio and all sorts of other little things (which we haven’t had time to figure out yet).")</f>
        <v>The TV is actually very cool, both quality and design! Yesterday we bought it and were amazed when we brought it home - it is very big, in the store it does not look so advantageous compared to other TVs! The quality is very good for this resolution. in general, who just needs a big TV, take it and don’t even think about it! It also has a radio and all sorts of other little things (which we haven’t had time to figure out yet).</v>
      </c>
    </row>
    <row r="11275" spans="1:9" x14ac:dyDescent="0.3">
      <c r="A11275" s="1" t="s">
        <v>67</v>
      </c>
      <c r="B11275" s="1" t="s">
        <v>68</v>
      </c>
      <c r="C11275" s="1" t="s">
        <v>185</v>
      </c>
      <c r="D11275" s="1" t="s">
        <v>152</v>
      </c>
      <c r="E11275" s="1" t="s">
        <v>1395</v>
      </c>
      <c r="F11275" s="1" t="s">
        <v>16149</v>
      </c>
      <c r="G11275" s="1" t="s">
        <v>36</v>
      </c>
      <c r="H11275" s="1" t="s">
        <v>29</v>
      </c>
      <c r="I11275" s="1" t="str">
        <f ca="1">IFERROR(__xludf.DUMMYFUNCTION("GOOGLETRANSLATE(F11275, ""auto"", ""en"")
"),"Friends advised us to buy a Delonghi steam generator, so we decided to buy it. The thing is excellent, it irons excellently, and the steam is so powerful that we can iron everything vertically. Now we began to spend less time on ironing and more time on o"&amp;"urselves.")</f>
        <v>Friends advised us to buy a Delonghi steam generator, so we decided to buy it. The thing is excellent, it irons excellently, and the steam is so powerful that we can iron everything vertically. Now we began to spend less time on ironing and more time on ourselves.</v>
      </c>
    </row>
    <row r="11276" spans="1:9" x14ac:dyDescent="0.3">
      <c r="A11276" s="1" t="s">
        <v>89</v>
      </c>
      <c r="B11276" s="1" t="s">
        <v>231</v>
      </c>
      <c r="C11276" s="1" t="s">
        <v>185</v>
      </c>
      <c r="D11276" s="1" t="s">
        <v>2045</v>
      </c>
      <c r="E11276" s="1" t="s">
        <v>3903</v>
      </c>
      <c r="F11276" s="1" t="s">
        <v>16150</v>
      </c>
      <c r="G11276" s="1" t="s">
        <v>36</v>
      </c>
      <c r="H11276" s="1" t="s">
        <v>29</v>
      </c>
      <c r="I11276" s="1" t="str">
        <f ca="1">IFERROR(__xludf.DUMMYFUNCTION("GOOGLETRANSLATE(F11276, ""auto"", ""en"")
"),"I bought this coffee machine a couple of months ago, the foam in the coffee is excellent. The controls are quite simple, everything is shown on the display, easy to clean and not very noisy. Changing the degree of grinding, amount of water and strength al"&amp;"lows you to create drinks to suit every taste. I was pleased with the purchase and recommend it to lovers of delicious coffee))")</f>
        <v>I bought this coffee machine a couple of months ago, the foam in the coffee is excellent. The controls are quite simple, everything is shown on the display, easy to clean and not very noisy. Changing the degree of grinding, amount of water and strength allows you to create drinks to suit every taste. I was pleased with the purchase and recommend it to lovers of delicious coffee))</v>
      </c>
    </row>
    <row r="11277" spans="1:9" x14ac:dyDescent="0.3">
      <c r="A11277" s="1" t="s">
        <v>9</v>
      </c>
      <c r="B11277" s="1" t="s">
        <v>23</v>
      </c>
      <c r="C11277" s="1" t="s">
        <v>466</v>
      </c>
      <c r="D11277" s="1" t="s">
        <v>351</v>
      </c>
      <c r="E11277" s="1" t="s">
        <v>4713</v>
      </c>
      <c r="F11277" s="1" t="s">
        <v>16151</v>
      </c>
      <c r="G11277" s="1" t="s">
        <v>28</v>
      </c>
      <c r="H11277" s="1" t="s">
        <v>29</v>
      </c>
      <c r="I11277" s="1" t="str">
        <f ca="1">IFERROR(__xludf.DUMMYFUNCTION("GOOGLETRANSLATE(F11277, ""auto"", ""en"")
"),"I've been using it for a year, I'm satisfied. E3 pops up periodically, just wash the filters to fix it. I don’t like the way it washes cups, I have no complaints about washing other dishes, the worse you arrange the dishes, the worse it cleans; it cleans "&amp;"steel, glass, and Teflon perfectly well. Very often you have to add salt, but the problem may be in hard water. There are yellow stains with grains of salt on the floor under the car, no puddles have ever been noticed, the laminate is not damaged, I don’t"&amp;" know where they came from.")</f>
        <v>I've been using it for a year, I'm satisfied. E3 pops up periodically, just wash the filters to fix it. I don’t like the way it washes cups, I have no complaints about washing other dishes, the worse you arrange the dishes, the worse it cleans; it cleans steel, glass, and Teflon perfectly well. Very often you have to add salt, but the problem may be in hard water. There are yellow stains with grains of salt on the floor under the car, no puddles have ever been noticed, the laminate is not damaged, I don’t know where they came from.</v>
      </c>
    </row>
    <row r="11278" spans="1:9" x14ac:dyDescent="0.3">
      <c r="A11278" s="1" t="s">
        <v>120</v>
      </c>
      <c r="B11278" s="1" t="s">
        <v>256</v>
      </c>
      <c r="C11278" s="1" t="s">
        <v>69</v>
      </c>
      <c r="D11278" s="1" t="s">
        <v>6910</v>
      </c>
      <c r="E11278" s="1" t="s">
        <v>1290</v>
      </c>
      <c r="F11278" s="1" t="s">
        <v>16152</v>
      </c>
      <c r="G11278" s="1" t="s">
        <v>36</v>
      </c>
      <c r="H11278" s="1" t="s">
        <v>29</v>
      </c>
      <c r="I11278" s="1" t="str">
        <f ca="1">IFERROR(__xludf.DUMMYFUNCTION("GOOGLETRANSLATE(F11278, ""auto"", ""en"")
"),"It’s not a bad model at all. There is only one drawback: the screen and the upper part of the case get very hot (maybe this is necessary, this is my first LCD TV)")</f>
        <v>It’s not a bad model at all. There is only one drawback: the screen and the upper part of the case get very hot (maybe this is necessary, this is my first LCD TV)</v>
      </c>
    </row>
    <row r="11279" spans="1:9" x14ac:dyDescent="0.3">
      <c r="A11279" s="1" t="s">
        <v>67</v>
      </c>
      <c r="B11279" s="1" t="s">
        <v>68</v>
      </c>
      <c r="C11279" s="1" t="s">
        <v>69</v>
      </c>
      <c r="D11279" s="1" t="s">
        <v>545</v>
      </c>
      <c r="E11279" s="1" t="s">
        <v>1639</v>
      </c>
      <c r="F11279" s="1" t="s">
        <v>16153</v>
      </c>
      <c r="G11279" s="1" t="s">
        <v>36</v>
      </c>
      <c r="H11279" s="1" t="s">
        <v>29</v>
      </c>
      <c r="I11279" s="1" t="str">
        <f ca="1">IFERROR(__xludf.DUMMYFUNCTION("GOOGLETRANSLATE(F11279, ""auto"", ""en"")
"),"The iron is ideal in its price category. And to others who wrote, I recommend: First, learn to use the equipment!!! And then write reviews!!!")</f>
        <v>The iron is ideal in its price category. And to others who wrote, I recommend: First, learn to use the equipment!!! And then write reviews!!!</v>
      </c>
    </row>
    <row r="11280" spans="1:9" x14ac:dyDescent="0.3">
      <c r="A11280" s="1" t="s">
        <v>61</v>
      </c>
      <c r="B11280" s="1" t="s">
        <v>977</v>
      </c>
      <c r="C11280" s="1" t="s">
        <v>85</v>
      </c>
      <c r="D11280" s="1" t="s">
        <v>102</v>
      </c>
      <c r="E11280" s="1" t="s">
        <v>1914</v>
      </c>
      <c r="F11280" s="1" t="s">
        <v>16154</v>
      </c>
      <c r="G11280" s="1" t="s">
        <v>49</v>
      </c>
      <c r="H11280" s="1" t="s">
        <v>16</v>
      </c>
      <c r="I11280" s="1" t="str">
        <f ca="1">IFERROR(__xludf.DUMMYFUNCTION("GOOGLETRANSLATE(F11280, ""auto"", ""en"")
"),"Not worth the money. The declared power clearly does not correspond. It smells like something is burning.")</f>
        <v>Not worth the money. The declared power clearly does not correspond. It smells like something is burning.</v>
      </c>
    </row>
    <row r="11281" spans="1:9" x14ac:dyDescent="0.3">
      <c r="A11281" s="1" t="s">
        <v>9</v>
      </c>
      <c r="B11281" s="1" t="s">
        <v>137</v>
      </c>
      <c r="C11281" s="1" t="s">
        <v>24</v>
      </c>
      <c r="D11281" s="1" t="s">
        <v>16155</v>
      </c>
      <c r="E11281" s="1" t="s">
        <v>3044</v>
      </c>
      <c r="F11281" s="1" t="s">
        <v>16156</v>
      </c>
      <c r="G11281" s="1" t="s">
        <v>28</v>
      </c>
      <c r="H11281" s="1" t="s">
        <v>29</v>
      </c>
      <c r="I11281" s="1" t="str">
        <f ca="1">IFERROR(__xludf.DUMMYFUNCTION("GOOGLETRANSLATE(F11281, ""auto"", ""en"")
"),"Comfortable, practical, easy to clean. Good. The only drawback is the front burners. The pots are standing unsteadily and the edges of the pots are sticking out of the grate. By the way, the cast iron grate is also a plus.")</f>
        <v>Comfortable, practical, easy to clean. Good. The only drawback is the front burners. The pots are standing unsteadily and the edges of the pots are sticking out of the grate. By the way, the cast iron grate is also a plus.</v>
      </c>
    </row>
    <row r="11282" spans="1:9" x14ac:dyDescent="0.3">
      <c r="A11282" s="1" t="s">
        <v>9</v>
      </c>
      <c r="B11282" s="1" t="s">
        <v>137</v>
      </c>
      <c r="C11282" s="1" t="s">
        <v>134</v>
      </c>
      <c r="D11282" s="1" t="s">
        <v>1121</v>
      </c>
      <c r="E11282" s="1" t="s">
        <v>2789</v>
      </c>
      <c r="F11282" s="1" t="s">
        <v>16157</v>
      </c>
      <c r="G11282" s="1" t="s">
        <v>36</v>
      </c>
      <c r="H11282" s="1" t="s">
        <v>29</v>
      </c>
      <c r="I11282" s="1" t="str">
        <f ca="1">IFERROR(__xludf.DUMMYFUNCTION("GOOGLETRANSLATE(F11282, ""auto"", ""en"")
"),"We bought it a month ago to order, the stove turned out to cope with its duties very well, and the fact that it makes a little noise makes the cooking process even more interesting, 5 points.")</f>
        <v>We bought it a month ago to order, the stove turned out to cope with its duties very well, and the fact that it makes a little noise makes the cooking process even more interesting, 5 points.</v>
      </c>
    </row>
    <row r="11283" spans="1:9" x14ac:dyDescent="0.3">
      <c r="A11283" s="1" t="s">
        <v>211</v>
      </c>
      <c r="B11283" s="1" t="s">
        <v>212</v>
      </c>
      <c r="C11283" s="1" t="s">
        <v>381</v>
      </c>
      <c r="D11283" s="1" t="s">
        <v>12</v>
      </c>
      <c r="E11283" s="1" t="s">
        <v>388</v>
      </c>
      <c r="F11283" s="1" t="s">
        <v>16158</v>
      </c>
      <c r="G11283" s="1" t="s">
        <v>1580</v>
      </c>
      <c r="H11283" s="1" t="s">
        <v>29</v>
      </c>
      <c r="I11283" s="1" t="str">
        <f ca="1">IFERROR(__xludf.DUMMYFUNCTION("GOOGLETRANSLATE(F11283, ""auto"", ""en"")
"),"Convenient to use")</f>
        <v>Convenient to use</v>
      </c>
    </row>
    <row r="11284" spans="1:9" x14ac:dyDescent="0.3">
      <c r="A11284" s="1" t="s">
        <v>369</v>
      </c>
      <c r="B11284" s="1" t="s">
        <v>587</v>
      </c>
      <c r="C11284" s="1" t="s">
        <v>290</v>
      </c>
      <c r="D11284" s="1" t="s">
        <v>471</v>
      </c>
      <c r="E11284" s="1" t="s">
        <v>5143</v>
      </c>
      <c r="F11284" s="1" t="s">
        <v>16159</v>
      </c>
      <c r="G11284" s="1" t="s">
        <v>94</v>
      </c>
      <c r="H11284" s="1" t="s">
        <v>29</v>
      </c>
      <c r="I11284" s="1" t="str">
        <f ca="1">IFERROR(__xludf.DUMMYFUNCTION("GOOGLETRANSLATE(F11284, ""auto"", ""en"")
"),"Compact, can do everything, can do everything, easy to use, manage, and configure.")</f>
        <v>Compact, can do everything, can do everything, easy to use, manage, and configure.</v>
      </c>
    </row>
    <row r="11285" spans="1:9" x14ac:dyDescent="0.3">
      <c r="A11285" s="1" t="s">
        <v>169</v>
      </c>
      <c r="B11285" s="1" t="s">
        <v>170</v>
      </c>
      <c r="C11285" s="1" t="s">
        <v>193</v>
      </c>
      <c r="D11285" s="1" t="s">
        <v>186</v>
      </c>
      <c r="E11285" s="1" t="s">
        <v>4664</v>
      </c>
      <c r="F11285" s="1" t="s">
        <v>16160</v>
      </c>
      <c r="G11285" s="1" t="s">
        <v>36</v>
      </c>
      <c r="H11285" s="1" t="s">
        <v>29</v>
      </c>
      <c r="I11285" s="1" t="str">
        <f ca="1">IFERROR(__xludf.DUMMYFUNCTION("GOOGLETRANSLATE(F11285, ""auto"", ""en"")
"),"I bought it a year and a half ago, they still serve, they are the best headphones I chose. Comfortable, does not pinch the ears, light, neat. When I bought it, I thought they would break in a month, but how many times have they fallen and nothing, they wo"&amp;"rk, the sound is generally super!")</f>
        <v>I bought it a year and a half ago, they still serve, they are the best headphones I chose. Comfortable, does not pinch the ears, light, neat. When I bought it, I thought they would break in a month, but how many times have they fallen and nothing, they work, the sound is generally super!</v>
      </c>
    </row>
    <row r="11286" spans="1:9" x14ac:dyDescent="0.3">
      <c r="A11286" s="1" t="s">
        <v>17</v>
      </c>
      <c r="B11286" s="1" t="s">
        <v>18</v>
      </c>
      <c r="C11286" s="1" t="s">
        <v>63</v>
      </c>
      <c r="D11286" s="1" t="s">
        <v>16161</v>
      </c>
      <c r="E11286" s="1" t="s">
        <v>4335</v>
      </c>
      <c r="F11286" s="1" t="s">
        <v>16162</v>
      </c>
      <c r="G11286" s="1" t="s">
        <v>36</v>
      </c>
      <c r="H11286" s="1" t="s">
        <v>29</v>
      </c>
      <c r="I11286" s="1" t="str">
        <f ca="1">IFERROR(__xludf.DUMMYFUNCTION("GOOGLETRANSLATE(F11286, ""auto"", ""en"")
"),"The machine has many programs. As always, what is pleasing about German products is the thoughtfulness in the little things, which make up the comfort in using the equipment.")</f>
        <v>The machine has many programs. As always, what is pleasing about German products is the thoughtfulness in the little things, which make up the comfort in using the equipment.</v>
      </c>
    </row>
    <row r="11287" spans="1:9" x14ac:dyDescent="0.3">
      <c r="A11287" s="1" t="s">
        <v>61</v>
      </c>
      <c r="B11287" s="1" t="s">
        <v>318</v>
      </c>
      <c r="C11287" s="1" t="s">
        <v>63</v>
      </c>
      <c r="D11287" s="1" t="s">
        <v>13305</v>
      </c>
      <c r="E11287" s="1" t="s">
        <v>386</v>
      </c>
      <c r="F11287" s="1" t="s">
        <v>16163</v>
      </c>
      <c r="G11287" s="1" t="s">
        <v>15</v>
      </c>
      <c r="H11287" s="1" t="s">
        <v>16</v>
      </c>
      <c r="I11287" s="1" t="str">
        <f ca="1">IFERROR(__xludf.DUMMYFUNCTION("GOOGLETRANSLATE(F11287, ""auto"", ""en"")
"),"I didn’t expect this from Bosch, water pours past the cup, the whole floor is in water, now it’s like a suitcase without a handle and it’s a shame to throw it away and can’t be used normally, I’ll give it to the dacha.")</f>
        <v>I didn’t expect this from Bosch, water pours past the cup, the whole floor is in water, now it’s like a suitcase without a handle and it’s a shame to throw it away and can’t be used normally, I’ll give it to the dacha.</v>
      </c>
    </row>
    <row r="11288" spans="1:9" x14ac:dyDescent="0.3">
      <c r="A11288" s="1" t="s">
        <v>206</v>
      </c>
      <c r="B11288" s="1" t="s">
        <v>1253</v>
      </c>
      <c r="C11288" s="1" t="s">
        <v>4464</v>
      </c>
      <c r="D11288" s="1" t="s">
        <v>152</v>
      </c>
      <c r="E11288" s="1" t="s">
        <v>3550</v>
      </c>
      <c r="F11288" s="1" t="s">
        <v>16164</v>
      </c>
      <c r="G11288" s="1" t="s">
        <v>49</v>
      </c>
      <c r="H11288" s="1" t="s">
        <v>16</v>
      </c>
      <c r="I11288" s="1" t="str">
        <f ca="1">IFERROR(__xludf.DUMMYFUNCTION("GOOGLETRANSLATE(F11288, ""auto"", ""en"")
"),"I bought these radios and immediately regretted them. Of course, I thought that the quality would not be very good, but the walkie-talkie exceeded all expectations. Instead of a voice there is a crackling sound, you constantly have to ask again. For some "&amp;"reason, one radio works worse than another, i.e. the communication is almost one-way. In addition to this, the batteries do not charge (that is, when you turn on the 220 V power supply, charging does not occur on both radios, although there is voltage at "&amp;"the connector. They probably forgot to solder something). It seems that the radios were collected in some kind of barn. I think I'll return it to the store.")</f>
        <v>I bought these radios and immediately regretted them. Of course, I thought that the quality would not be very good, but the walkie-talkie exceeded all expectations. Instead of a voice there is a crackling sound, you constantly have to ask again. For some reason, one radio works worse than another, i.e. the communication is almost one-way. In addition to this, the batteries do not charge (that is, when you turn on the 220 V power supply, charging does not occur on both radios, although there is voltage at the connector. They probably forgot to solder something). It seems that the radios were collected in some kind of barn. I think I'll return it to the store.</v>
      </c>
    </row>
    <row r="11289" spans="1:9" x14ac:dyDescent="0.3">
      <c r="A11289" s="1" t="s">
        <v>95</v>
      </c>
      <c r="B11289" s="1" t="s">
        <v>227</v>
      </c>
      <c r="C11289" s="1" t="s">
        <v>97</v>
      </c>
      <c r="D11289" s="1" t="s">
        <v>232</v>
      </c>
      <c r="E11289" s="1" t="s">
        <v>3509</v>
      </c>
      <c r="F11289" s="1" t="s">
        <v>16165</v>
      </c>
      <c r="G11289" s="1" t="s">
        <v>36</v>
      </c>
      <c r="H11289" s="1" t="s">
        <v>29</v>
      </c>
      <c r="I11289" s="1" t="str">
        <f ca="1">IFERROR(__xludf.DUMMYFUNCTION("GOOGLETRANSLATE(F11289, ""auto"", ""en"")
"),"I always liked the PS3 for its advanced technology! The games are awesome, but they would cost less... Otherwise, I also don’t want to shell out 1500-2000 rubles for a game. If the games cost about 700 rubles, then this would be the most popular console a"&amp;"nd would outshine Microsoft’s creation!")</f>
        <v>I always liked the PS3 for its advanced technology! The games are awesome, but they would cost less... Otherwise, I also don’t want to shell out 1500-2000 rubles for a game. If the games cost about 700 rubles, then this would be the most popular console and would outshine Microsoft’s creation!</v>
      </c>
    </row>
    <row r="11290" spans="1:9" x14ac:dyDescent="0.3">
      <c r="A11290" s="1" t="s">
        <v>37</v>
      </c>
      <c r="B11290" s="1" t="s">
        <v>38</v>
      </c>
      <c r="C11290" s="1" t="s">
        <v>39</v>
      </c>
      <c r="D11290" s="1" t="s">
        <v>16166</v>
      </c>
      <c r="E11290" s="1" t="s">
        <v>4486</v>
      </c>
      <c r="F11290" s="1" t="s">
        <v>16167</v>
      </c>
      <c r="G11290" s="1" t="s">
        <v>28</v>
      </c>
      <c r="H11290" s="1" t="s">
        <v>29</v>
      </c>
      <c r="I11290" s="1" t="str">
        <f ca="1">IFERROR(__xludf.DUMMYFUNCTION("GOOGLETRANSLATE(F11290, ""auto"", ""en"")
"),"I completely disagree with the first writer. I've been using it for 2 months, with only two unpleasant moments - the camera takes a long time to turn on and it seems to me that the phone is quite thick. Still, I'm a fan of thin phones. Otherwise, excellen"&amp;"t functionality, display, 8MP camera, excellent video, but the background of previous Soners is many times better.   Regarding the battery, it lasts 4 days (with a camera and frequent conversations). The only thing that really drains the battery is the bl"&amp;"uetooth headset (of excellent quality), but I think this is no secret.   And the fact that the files are distributed in who knows where is nonsense: video into video, photo from camera into photo from camera, pictures into pictures. Everything that the bo"&amp;"dies cannot determine is placed in the rest. The conversation timer works correctly throughout the conversation, I tried it for up to 8 minutes. Please change your screensaver/melody upon launch. In short, I like the device. Whether to buy or not is a mat"&amp;"ter of taste, go to the salon and touch AINO with your hands :)")</f>
        <v>I completely disagree with the first writer. I've been using it for 2 months, with only two unpleasant moments - the camera takes a long time to turn on and it seems to me that the phone is quite thick. Still, I'm a fan of thin phones. Otherwise, excellent functionality, display, 8MP camera, excellent video, but the background of previous Soners is many times better.   Regarding the battery, it lasts 4 days (with a camera and frequent conversations). The only thing that really drains the battery is the bluetooth headset (of excellent quality), but I think this is no secret.   And the fact that the files are distributed in who knows where is nonsense: video into video, photo from camera into photo from camera, pictures into pictures. Everything that the bodies cannot determine is placed in the rest. The conversation timer works correctly throughout the conversation, I tried it for up to 8 minutes. Please change your screensaver/melody upon launch. In short, I like the device. Whether to buy or not is a matter of taste, go to the salon and touch AINO with your hands :)</v>
      </c>
    </row>
    <row r="11291" spans="1:9" x14ac:dyDescent="0.3">
      <c r="A11291" s="1" t="s">
        <v>9</v>
      </c>
      <c r="B11291" s="1" t="s">
        <v>137</v>
      </c>
      <c r="C11291" s="1" t="s">
        <v>63</v>
      </c>
      <c r="D11291" s="1" t="s">
        <v>456</v>
      </c>
      <c r="E11291" s="1" t="s">
        <v>10701</v>
      </c>
      <c r="F11291" s="1" t="s">
        <v>16168</v>
      </c>
      <c r="G11291" s="1" t="s">
        <v>36</v>
      </c>
      <c r="H11291" s="1" t="s">
        <v>29</v>
      </c>
      <c r="I11291" s="1" t="str">
        <f ca="1">IFERROR(__xludf.DUMMYFUNCTION("GOOGLETRANSLATE(F11291, ""auto"", ""en"")
"),"I'm very pleased with the panel. It washes well and doesn't leave stains. I advise you to buy it.")</f>
        <v>I'm very pleased with the panel. It washes well and doesn't leave stains. I advise you to buy it.</v>
      </c>
    </row>
    <row r="11292" spans="1:9" x14ac:dyDescent="0.3">
      <c r="A11292" s="1" t="s">
        <v>37</v>
      </c>
      <c r="B11292" s="1" t="s">
        <v>38</v>
      </c>
      <c r="C11292" s="1" t="s">
        <v>151</v>
      </c>
      <c r="D11292" s="1" t="s">
        <v>3852</v>
      </c>
      <c r="E11292" s="1" t="s">
        <v>937</v>
      </c>
      <c r="F11292" s="1" t="s">
        <v>16169</v>
      </c>
      <c r="G11292" s="1" t="s">
        <v>28</v>
      </c>
      <c r="H11292" s="1" t="s">
        <v>29</v>
      </c>
      <c r="I11292" s="1" t="str">
        <f ca="1">IFERROR(__xludf.DUMMYFUNCTION("GOOGLETRANSLATE(F11292, ""auto"", ""en"")
"),"I like!! I've always had a Nokia, but then I decided to take a Samsung and was pleased. value for money.")</f>
        <v>I like!! I've always had a Nokia, but then I decided to take a Samsung and was pleased. value for money.</v>
      </c>
    </row>
    <row r="11293" spans="1:9" x14ac:dyDescent="0.3">
      <c r="A11293" s="1" t="s">
        <v>238</v>
      </c>
      <c r="B11293" s="1" t="s">
        <v>3043</v>
      </c>
      <c r="C11293" s="1" t="s">
        <v>122</v>
      </c>
      <c r="D11293" s="1" t="s">
        <v>152</v>
      </c>
      <c r="E11293" s="1" t="s">
        <v>854</v>
      </c>
      <c r="F11293" s="1" t="s">
        <v>16170</v>
      </c>
      <c r="G11293" s="1" t="s">
        <v>28</v>
      </c>
      <c r="H11293" s="1" t="s">
        <v>29</v>
      </c>
      <c r="I11293" s="1" t="str">
        <f ca="1">IFERROR(__xludf.DUMMYFUNCTION("GOOGLETRANSLATE(F11293, ""auto"", ""en"")
"),"The compressor noise is somewhat louder. than I would like to hear one But in general the car deserves high praise")</f>
        <v>The compressor noise is somewhat louder. than I would like to hear one But in general the car deserves high praise</v>
      </c>
    </row>
    <row r="11294" spans="1:9" x14ac:dyDescent="0.3">
      <c r="A11294" s="1" t="s">
        <v>9</v>
      </c>
      <c r="B11294" s="1" t="s">
        <v>137</v>
      </c>
      <c r="C11294" s="1" t="s">
        <v>24</v>
      </c>
      <c r="D11294" s="1" t="s">
        <v>588</v>
      </c>
      <c r="E11294" s="1" t="s">
        <v>1816</v>
      </c>
      <c r="F11294" s="1" t="s">
        <v>16171</v>
      </c>
      <c r="G11294" s="1" t="s">
        <v>28</v>
      </c>
      <c r="H11294" s="1" t="s">
        <v>29</v>
      </c>
      <c r="I11294" s="1" t="str">
        <f ca="1">IFERROR(__xludf.DUMMYFUNCTION("GOOGLETRANSLATE(F11294, ""auto"", ""en"")
"),"Overall I'm happy with the panel. The panel is beautiful. She is very easy to care for. The burners are raised high, so it is almost impossible to fill them. The cast iron grate is really a plus. This stove is designed in such a way that you can move sauc"&amp;"epans across the entire area of ​​the panel without fear that the saucepan will tip over. The control knobs work well and the ignition works without problems.   Now the disadvantages. During installation, they threw away the standard fasteners to the tabl"&amp;"etop - they are no good, the thin iron bent due to the minimum force of a screwdriver. In the end they just put it on silicone. That's even better.  Burners: it is inconvenient that there is a large burner on the second line; quick frying is difficult. It"&amp;" is also difficult on the front burners!!! Because the frying pan hangs over the control knobs, and in order to turn the handle you have to either lift the frying pan or stick your fingers into the narrow hot gap between the panel and the bottom of the fr"&amp;"ying pan. Extreme guaranteed!")</f>
        <v>Overall I'm happy with the panel. The panel is beautiful. She is very easy to care for. The burners are raised high, so it is almost impossible to fill them. The cast iron grate is really a plus. This stove is designed in such a way that you can move saucepans across the entire area of ​​the panel without fear that the saucepan will tip over. The control knobs work well and the ignition works without problems.   Now the disadvantages. During installation, they threw away the standard fasteners to the tabletop - they are no good, the thin iron bent due to the minimum force of a screwdriver. In the end they just put it on silicone. That's even better.  Burners: it is inconvenient that there is a large burner on the second line; quick frying is difficult. It is also difficult on the front burners!!! Because the frying pan hangs over the control knobs, and in order to turn the handle you have to either lift the frying pan or stick your fingers into the narrow hot gap between the panel and the bottom of the frying pan. Extreme guaranteed!</v>
      </c>
    </row>
    <row r="11295" spans="1:9" x14ac:dyDescent="0.3">
      <c r="A11295" s="1" t="s">
        <v>37</v>
      </c>
      <c r="B11295" s="1" t="s">
        <v>38</v>
      </c>
      <c r="C11295" s="1" t="s">
        <v>151</v>
      </c>
      <c r="D11295" s="1" t="s">
        <v>240</v>
      </c>
      <c r="E11295" s="1" t="s">
        <v>3664</v>
      </c>
      <c r="F11295" s="1" t="s">
        <v>16172</v>
      </c>
      <c r="G11295" s="1" t="s">
        <v>36</v>
      </c>
      <c r="H11295" s="1" t="s">
        <v>29</v>
      </c>
      <c r="I11295" s="1" t="str">
        <f ca="1">IFERROR(__xludf.DUMMYFUNCTION("GOOGLETRANSLATE(F11295, ""auto"", ""en"")
"),"At first the Nokia Express Music was burning, but my sister gave it to me! Gorgeous in design and sophisticated in functionality! It’s very suitable for girls who love femininity) I don’t know about the quality, it’s made in Korea and the quality doesn’t "&amp;"let you down) The interface is quite convenient, the main advantage is fast internet and a good camera! Those who want to stand out with something sophisticated and multifunctional, you can’t go wrong. I didn’t say any bad criticism, because I couldn’t fi"&amp;"nd any, except that the speaker is not too loud and it’s not made for games... Z.Y friend bought a Nokia, the photos are fake, the phone screams loudly with bad sound, and the screen flexes when pressed (so draw your own conclusions, comrades!")</f>
        <v>At first the Nokia Express Music was burning, but my sister gave it to me! Gorgeous in design and sophisticated in functionality! It’s very suitable for girls who love femininity) I don’t know about the quality, it’s made in Korea and the quality doesn’t let you down) The interface is quite convenient, the main advantage is fast internet and a good camera! Those who want to stand out with something sophisticated and multifunctional, you can’t go wrong. I didn’t say any bad criticism, because I couldn’t find any, except that the speaker is not too loud and it’s not made for games... Z.Y friend bought a Nokia, the photos are fake, the phone screams loudly with bad sound, and the screen flexes when pressed (so draw your own conclusions, comrades!</v>
      </c>
    </row>
    <row r="11296" spans="1:9" x14ac:dyDescent="0.3">
      <c r="A11296" s="1" t="s">
        <v>30</v>
      </c>
      <c r="B11296" s="1" t="s">
        <v>50</v>
      </c>
      <c r="C11296" s="1" t="s">
        <v>51</v>
      </c>
      <c r="D11296" s="1" t="s">
        <v>1610</v>
      </c>
      <c r="E11296" s="1" t="s">
        <v>960</v>
      </c>
      <c r="F11296" s="1" t="s">
        <v>16173</v>
      </c>
      <c r="G11296" s="1" t="s">
        <v>36</v>
      </c>
      <c r="H11296" s="1" t="s">
        <v>29</v>
      </c>
      <c r="I11296" s="1" t="str">
        <f ca="1">IFERROR(__xludf.DUMMYFUNCTION("GOOGLETRANSLATE(F11296, ""auto"", ""en"")
"),"A good fast laptop, but install the programs yourself.")</f>
        <v>A good fast laptop, but install the programs yourself.</v>
      </c>
    </row>
    <row r="11297" spans="1:9" x14ac:dyDescent="0.3">
      <c r="A11297" s="1" t="s">
        <v>211</v>
      </c>
      <c r="B11297" s="1" t="s">
        <v>212</v>
      </c>
      <c r="C11297" s="1" t="s">
        <v>69</v>
      </c>
      <c r="D11297" s="1" t="s">
        <v>305</v>
      </c>
      <c r="E11297" s="1" t="s">
        <v>306</v>
      </c>
      <c r="F11297" s="1" t="s">
        <v>16174</v>
      </c>
      <c r="G11297" s="1" t="s">
        <v>3927</v>
      </c>
      <c r="H11297" s="1" t="s">
        <v>16</v>
      </c>
      <c r="I11297" s="1" t="str">
        <f ca="1">IFERROR(__xludf.DUMMYFUNCTION("GOOGLETRANSLATE(F11297, ""auto"", ""en"")
"),"Low air flow and very hot at maximum power")</f>
        <v>Low air flow and very hot at maximum power</v>
      </c>
    </row>
    <row r="11298" spans="1:9" x14ac:dyDescent="0.3">
      <c r="A11298" s="1" t="s">
        <v>61</v>
      </c>
      <c r="B11298" s="1" t="s">
        <v>180</v>
      </c>
      <c r="C11298" s="1" t="s">
        <v>74</v>
      </c>
      <c r="D11298" s="1" t="s">
        <v>32</v>
      </c>
      <c r="E11298" s="1" t="s">
        <v>3634</v>
      </c>
      <c r="F11298" s="1" t="s">
        <v>16175</v>
      </c>
      <c r="G11298" s="1" t="s">
        <v>36</v>
      </c>
      <c r="H11298" s="1" t="s">
        <v>29</v>
      </c>
      <c r="I11298" s="1" t="str">
        <f ca="1">IFERROR(__xludf.DUMMYFUNCTION("GOOGLETRANSLATE(F11298, ""auto"", ""en"")
"),"My husband gave them for March 8, I made sandwiches with ham and cheese, all my family liked them, especially the crispy golden brown crust. I advise everyone, there was no smell from the plastic.")</f>
        <v>My husband gave them for March 8, I made sandwiches with ham and cheese, all my family liked them, especially the crispy golden brown crust. I advise everyone, there was no smell from the plastic.</v>
      </c>
    </row>
    <row r="11299" spans="1:9" x14ac:dyDescent="0.3">
      <c r="A11299" s="1" t="s">
        <v>811</v>
      </c>
      <c r="B11299" s="1" t="s">
        <v>812</v>
      </c>
      <c r="C11299" s="1" t="s">
        <v>813</v>
      </c>
      <c r="D11299" s="1" t="s">
        <v>16176</v>
      </c>
      <c r="E11299" s="1" t="s">
        <v>3145</v>
      </c>
      <c r="F11299" s="1" t="s">
        <v>16177</v>
      </c>
      <c r="G11299" s="1" t="s">
        <v>36</v>
      </c>
      <c r="H11299" s="1" t="s">
        <v>29</v>
      </c>
      <c r="I11299" s="1" t="str">
        <f ca="1">IFERROR(__xludf.DUMMYFUNCTION("GOOGLETRANSLATE(F11299, ""auto"", ""en"")
"),"Convenient, easy to transport")</f>
        <v>Convenient, easy to transport</v>
      </c>
    </row>
    <row r="11300" spans="1:9" x14ac:dyDescent="0.3">
      <c r="A11300" s="1" t="s">
        <v>55</v>
      </c>
      <c r="B11300" s="1" t="s">
        <v>184</v>
      </c>
      <c r="C11300" s="1" t="s">
        <v>185</v>
      </c>
      <c r="D11300" s="1" t="s">
        <v>1431</v>
      </c>
      <c r="E11300" s="1" t="s">
        <v>4875</v>
      </c>
      <c r="F11300" s="1" t="s">
        <v>16178</v>
      </c>
      <c r="G11300" s="1" t="s">
        <v>36</v>
      </c>
      <c r="H11300" s="1" t="s">
        <v>29</v>
      </c>
      <c r="I11300" s="1" t="str">
        <f ca="1">IFERROR(__xludf.DUMMYFUNCTION("GOOGLETRANSLATE(F11300, ""auto"", ""en"")
"),"I bought it and use it. Heats up the room instantly!  Good heater. I haven't noticed any problems yet.")</f>
        <v>I bought it and use it. Heats up the room instantly!  Good heater. I haven't noticed any problems yet.</v>
      </c>
    </row>
    <row r="11301" spans="1:9" x14ac:dyDescent="0.3">
      <c r="A11301" s="1" t="s">
        <v>211</v>
      </c>
      <c r="B11301" s="1" t="s">
        <v>212</v>
      </c>
      <c r="C11301" s="1" t="s">
        <v>294</v>
      </c>
      <c r="D11301" s="1" t="s">
        <v>16179</v>
      </c>
      <c r="E11301" s="1" t="s">
        <v>3219</v>
      </c>
      <c r="F11301" s="1" t="s">
        <v>16180</v>
      </c>
      <c r="G11301" s="1" t="s">
        <v>36</v>
      </c>
      <c r="H11301" s="1" t="s">
        <v>29</v>
      </c>
      <c r="I11301" s="1" t="str">
        <f ca="1">IFERROR(__xludf.DUMMYFUNCTION("GOOGLETRANSLATE(F11301, ""auto"", ""en"")
"),"excellent) very satisfied!")</f>
        <v>excellent) very satisfied!</v>
      </c>
    </row>
    <row r="11302" spans="1:9" x14ac:dyDescent="0.3">
      <c r="A11302" s="1" t="s">
        <v>17</v>
      </c>
      <c r="B11302" s="1" t="s">
        <v>18</v>
      </c>
      <c r="C11302" s="1" t="s">
        <v>159</v>
      </c>
      <c r="D11302" s="1" t="s">
        <v>9245</v>
      </c>
      <c r="E11302" s="1" t="s">
        <v>7655</v>
      </c>
      <c r="F11302" s="1" t="s">
        <v>16181</v>
      </c>
      <c r="G11302" s="1" t="s">
        <v>15</v>
      </c>
      <c r="H11302" s="1" t="s">
        <v>16</v>
      </c>
      <c r="I11302" s="1" t="str">
        <f ca="1">IFERROR(__xludf.DUMMYFUNCTION("GOOGLETRANSLATE(F11302, ""auto"", ""en"")
"),"The instruction manual does not specifically say about each mode how long it takes to wash - this is a big minus, sit and wait, there is not even any signal at the end of the wash as it is written everywhere! And the machine itself washes perfectly, thing"&amp;"s smell great, and are almost dry after washing!")</f>
        <v>The instruction manual does not specifically say about each mode how long it takes to wash - this is a big minus, sit and wait, there is not even any signal at the end of the wash as it is written everywhere! And the machine itself washes perfectly, things smell great, and are almost dry after washing!</v>
      </c>
    </row>
    <row r="11303" spans="1:9" x14ac:dyDescent="0.3">
      <c r="A11303" s="1" t="s">
        <v>61</v>
      </c>
      <c r="B11303" s="1" t="s">
        <v>73</v>
      </c>
      <c r="C11303" s="1" t="s">
        <v>85</v>
      </c>
      <c r="D11303" s="1" t="s">
        <v>335</v>
      </c>
      <c r="E11303" s="1" t="s">
        <v>1216</v>
      </c>
      <c r="F11303" s="1" t="s">
        <v>16182</v>
      </c>
      <c r="G11303" s="1" t="s">
        <v>49</v>
      </c>
      <c r="H11303" s="1" t="s">
        <v>16</v>
      </c>
      <c r="I11303" s="1" t="str">
        <f ca="1">IFERROR(__xludf.DUMMYFUNCTION("GOOGLETRANSLATE(F11303, ""auto"", ""en"")
"),"I bought an electric meat grinder BORK MG REP 1316 WT. I decided to make zucchini caviar))) I used a meat grinder to grate the zucchini. The sliced ​​zucchini did not fit into the “millstone” without a pusher, and I had to press the pusher very hard. Medi"&amp;"ocre equipment not worth that kind of money!!!!!!!!!!!!!Don't buy it!!!!!!!!!")</f>
        <v>I bought an electric meat grinder BORK MG REP 1316 WT. I decided to make zucchini caviar))) I used a meat grinder to grate the zucchini. The sliced ​​zucchini did not fit into the “millstone” without a pusher, and I had to press the pusher very hard. Mediocre equipment not worth that kind of money!!!!!!!!!!!!!Don't buy it!!!!!!!!!</v>
      </c>
    </row>
    <row r="11304" spans="1:9" x14ac:dyDescent="0.3">
      <c r="A11304" s="1" t="s">
        <v>111</v>
      </c>
      <c r="B11304" s="1" t="s">
        <v>112</v>
      </c>
      <c r="C11304" s="1" t="s">
        <v>113</v>
      </c>
      <c r="D11304" s="1" t="s">
        <v>81</v>
      </c>
      <c r="E11304" s="1" t="s">
        <v>14630</v>
      </c>
      <c r="F11304" s="1" t="s">
        <v>16183</v>
      </c>
      <c r="G11304" s="1" t="s">
        <v>36</v>
      </c>
      <c r="H11304" s="1" t="s">
        <v>29</v>
      </c>
      <c r="I11304" s="1" t="str">
        <f ca="1">IFERROR(__xludf.DUMMYFUNCTION("GOOGLETRANSLATE(F11304, ""auto"", ""en"")
"),"I recently got a Pilot S, it is of very good quality, I don’t believe in bad reviews. The contacts for the plugs are simply thick, and instead of soldering, it used (sort of) welding. So there can be no complaints, I haven’t taken it apart yet. but I thin"&amp;"k everything inside is brand new. Externally extremely nice and 60 month warranty. The price is, of course, three times higher than in China, but there are very few delays compared to this. I recommend Pilit S as an extension cord for short circuit protec"&amp;"tion.")</f>
        <v>I recently got a Pilot S, it is of very good quality, I don’t believe in bad reviews. The contacts for the plugs are simply thick, and instead of soldering, it used (sort of) welding. So there can be no complaints, I haven’t taken it apart yet. but I think everything inside is brand new. Externally extremely nice and 60 month warranty. The price is, of course, three times higher than in China, but there are very few delays compared to this. I recommend Pilit S as an extension cord for short circuit protection.</v>
      </c>
    </row>
    <row r="11305" spans="1:9" x14ac:dyDescent="0.3">
      <c r="A11305" s="1" t="s">
        <v>61</v>
      </c>
      <c r="B11305" s="1" t="s">
        <v>224</v>
      </c>
      <c r="C11305" s="1" t="s">
        <v>74</v>
      </c>
      <c r="D11305" s="1" t="s">
        <v>1940</v>
      </c>
      <c r="E11305" s="1" t="s">
        <v>1899</v>
      </c>
      <c r="F11305" s="1" t="s">
        <v>16184</v>
      </c>
      <c r="G11305" s="1" t="s">
        <v>36</v>
      </c>
      <c r="H11305" s="1" t="s">
        <v>29</v>
      </c>
      <c r="I11305" s="1" t="str">
        <f ca="1">IFERROR(__xludf.DUMMYFUNCTION("GOOGLETRANSLATE(F11305, ""auto"", ""en"")
"),"Bought in January, no problems. I completely agree with the previous review.")</f>
        <v>Bought in January, no problems. I completely agree with the previous review.</v>
      </c>
    </row>
    <row r="11306" spans="1:9" x14ac:dyDescent="0.3">
      <c r="A11306" s="1" t="s">
        <v>9</v>
      </c>
      <c r="B11306" s="1" t="s">
        <v>23</v>
      </c>
      <c r="C11306" s="1" t="s">
        <v>63</v>
      </c>
      <c r="D11306" s="1" t="s">
        <v>6081</v>
      </c>
      <c r="E11306" s="1" t="s">
        <v>7122</v>
      </c>
      <c r="F11306" s="1" t="s">
        <v>16185</v>
      </c>
      <c r="G11306" s="1" t="s">
        <v>36</v>
      </c>
      <c r="H11306" s="1" t="s">
        <v>29</v>
      </c>
      <c r="I11306" s="1" t="str">
        <f ca="1">IFERROR(__xludf.DUMMYFUNCTION("GOOGLETRANSLATE(F11306, ""auto"", ""en"")
"),"All")</f>
        <v>All</v>
      </c>
    </row>
    <row r="11307" spans="1:9" x14ac:dyDescent="0.3">
      <c r="A11307" s="1" t="s">
        <v>61</v>
      </c>
      <c r="B11307" s="1" t="s">
        <v>318</v>
      </c>
      <c r="C11307" s="1" t="s">
        <v>57</v>
      </c>
      <c r="D11307" s="1" t="s">
        <v>280</v>
      </c>
      <c r="E11307" s="1" t="s">
        <v>2804</v>
      </c>
      <c r="F11307" s="1" t="s">
        <v>16186</v>
      </c>
      <c r="G11307" s="1" t="s">
        <v>15</v>
      </c>
      <c r="H11307" s="1" t="s">
        <v>16</v>
      </c>
      <c r="I11307" s="1" t="str">
        <f ca="1">IFERROR(__xludf.DUMMYFUNCTION("GOOGLETRANSLATE(F11307, ""auto"", ""en"")
"),"At first everything was fine, but after 3-4 months, the power buttons for turning on the electric pump began to refuse to work one by one. After a little more than a year of operation, I decided to pour out the remaining water along with the resulting sca"&amp;"le. I took it by the body, lifted it, and the miracle teapot fell apart, pieces of plastic fell everywhere. The top cover (with buttons) is separate, the flask is separate, the bottom is separate. Why does he need a carrying handle if he falls apart stand"&amp;"ing in one place?")</f>
        <v>At first everything was fine, but after 3-4 months, the power buttons for turning on the electric pump began to refuse to work one by one. After a little more than a year of operation, I decided to pour out the remaining water along with the resulting scale. I took it by the body, lifted it, and the miracle teapot fell apart, pieces of plastic fell everywhere. The top cover (with buttons) is separate, the flask is separate, the bottom is separate. Why does he need a carrying handle if he falls apart standing in one place?</v>
      </c>
    </row>
    <row r="11308" spans="1:9" x14ac:dyDescent="0.3">
      <c r="A11308" s="1" t="s">
        <v>477</v>
      </c>
      <c r="B11308" s="1" t="s">
        <v>478</v>
      </c>
      <c r="C11308" s="1" t="s">
        <v>479</v>
      </c>
      <c r="D11308" s="1" t="s">
        <v>8245</v>
      </c>
      <c r="E11308" s="1" t="s">
        <v>443</v>
      </c>
      <c r="F11308" s="1" t="s">
        <v>16187</v>
      </c>
      <c r="G11308" s="1" t="s">
        <v>28</v>
      </c>
      <c r="H11308" s="1" t="s">
        <v>29</v>
      </c>
      <c r="I11308" s="1" t="str">
        <f ca="1">IFERROR(__xludf.DUMMYFUNCTION("GOOGLETRANSLATE(F11308, ""auto"", ""en"")
"),"The graphics in the game pleased me, the plot too (it’s a bit short), now I’m annoyed by its excessive truncatedness and the inability to buy the “Jimmy’s Vendetta” add-on on Steame for Russia!!!")</f>
        <v>The graphics in the game pleased me, the plot too (it’s a bit short), now I’m annoyed by its excessive truncatedness and the inability to buy the “Jimmy’s Vendetta” add-on on Steame for Russia!!!</v>
      </c>
    </row>
    <row r="11309" spans="1:9" x14ac:dyDescent="0.3">
      <c r="A11309" s="1" t="s">
        <v>43</v>
      </c>
      <c r="B11309" s="1" t="s">
        <v>1616</v>
      </c>
      <c r="C11309" s="1" t="s">
        <v>85</v>
      </c>
      <c r="D11309" s="1" t="s">
        <v>114</v>
      </c>
      <c r="E11309" s="1" t="s">
        <v>3078</v>
      </c>
      <c r="F11309" s="1" t="s">
        <v>16188</v>
      </c>
      <c r="G11309" s="1" t="s">
        <v>36</v>
      </c>
      <c r="H11309" s="1" t="s">
        <v>29</v>
      </c>
      <c r="I11309" s="1" t="str">
        <f ca="1">IFERROR(__xludf.DUMMYFUNCTION("GOOGLETRANSLATE(F11309, ""auto"", ""en"")
"),"powerful, excellent cooling and heating, easy to use, remote control.")</f>
        <v>powerful, excellent cooling and heating, easy to use, remote control.</v>
      </c>
    </row>
    <row r="11310" spans="1:9" x14ac:dyDescent="0.3">
      <c r="A11310" s="1" t="s">
        <v>17</v>
      </c>
      <c r="B11310" s="1" t="s">
        <v>18</v>
      </c>
      <c r="C11310" s="1" t="s">
        <v>243</v>
      </c>
      <c r="D11310" s="1" t="s">
        <v>46</v>
      </c>
      <c r="E11310" s="1" t="s">
        <v>4967</v>
      </c>
      <c r="F11310" s="1" t="s">
        <v>16189</v>
      </c>
      <c r="G11310" s="1" t="s">
        <v>36</v>
      </c>
      <c r="H11310" s="1" t="s">
        <v>29</v>
      </c>
      <c r="I11310" s="1" t="str">
        <f ca="1">IFERROR(__xludf.DUMMYFUNCTION("GOOGLETRANSLATE(F11310, ""auto"", ""en"")
"),"I bought the car in October 2008. I chose it based mainly on price. But after 6 years, I can say with full responsibility that it was the right choice: it washes cleanly, even on a 30-minute wash; makes moderate noise without annoying; The tray can be rem"&amp;"oved easily. Very happy with my baby. I recommend it to those who want to get decent results at a low cost!!!")</f>
        <v>I bought the car in October 2008. I chose it based mainly on price. But after 6 years, I can say with full responsibility that it was the right choice: it washes cleanly, even on a 30-minute wash; makes moderate noise without annoying; The tray can be removed easily. Very happy with my baby. I recommend it to those who want to get decent results at a low cost!!!</v>
      </c>
    </row>
    <row r="11311" spans="1:9" x14ac:dyDescent="0.3">
      <c r="A11311" s="1" t="s">
        <v>30</v>
      </c>
      <c r="B11311" s="1" t="s">
        <v>50</v>
      </c>
      <c r="C11311" s="1" t="s">
        <v>1386</v>
      </c>
      <c r="D11311" s="1" t="s">
        <v>52</v>
      </c>
      <c r="E11311" s="1" t="s">
        <v>3755</v>
      </c>
      <c r="F11311" s="1" t="s">
        <v>16190</v>
      </c>
      <c r="G11311" s="1" t="s">
        <v>36</v>
      </c>
      <c r="H11311" s="1" t="s">
        <v>29</v>
      </c>
      <c r="I11311" s="1" t="str">
        <f ca="1">IFERROR(__xludf.DUMMYFUNCTION("GOOGLETRANSLATE(F11311, ""auto"", ""en"")
"),"Excellent car! I bought it for my father, he and I sometimes use it for work for almost a year. It has never let us down, it works like an ox! Highly recommend as a great work machine.")</f>
        <v>Excellent car! I bought it for my father, he and I sometimes use it for work for almost a year. It has never let us down, it works like an ox! Highly recommend as a great work machine.</v>
      </c>
    </row>
    <row r="11312" spans="1:9" x14ac:dyDescent="0.3">
      <c r="A11312" s="1" t="s">
        <v>211</v>
      </c>
      <c r="B11312" s="1" t="s">
        <v>212</v>
      </c>
      <c r="C11312" s="1" t="s">
        <v>63</v>
      </c>
      <c r="D11312" s="1" t="s">
        <v>102</v>
      </c>
      <c r="E11312" s="1" t="s">
        <v>15861</v>
      </c>
      <c r="F11312" s="1" t="s">
        <v>16191</v>
      </c>
      <c r="G11312" s="1" t="s">
        <v>36</v>
      </c>
      <c r="H11312" s="1" t="s">
        <v>29</v>
      </c>
      <c r="I11312" s="1" t="str">
        <f ca="1">IFERROR(__xludf.DUMMYFUNCTION("GOOGLETRANSLATE(F11312, ""auto"", ""en"")
"),"I bought it for my wife and has been using it every day for 1.5 years. I am very pleased and want to give the same to a friend.")</f>
        <v>I bought it for my wife and has been using it every day for 1.5 years. I am very pleased and want to give the same to a friend.</v>
      </c>
    </row>
    <row r="11313" spans="1:9" x14ac:dyDescent="0.3">
      <c r="A11313" s="1" t="s">
        <v>120</v>
      </c>
      <c r="B11313" s="1" t="s">
        <v>121</v>
      </c>
      <c r="C11313" s="1" t="s">
        <v>658</v>
      </c>
      <c r="D11313" s="1" t="s">
        <v>52</v>
      </c>
      <c r="E11313" s="1" t="s">
        <v>363</v>
      </c>
      <c r="F11313" s="1" t="s">
        <v>16192</v>
      </c>
      <c r="G11313" s="1" t="s">
        <v>36</v>
      </c>
      <c r="H11313" s="1" t="s">
        <v>29</v>
      </c>
      <c r="I11313" s="1" t="str">
        <f ca="1">IFERROR(__xludf.DUMMYFUNCTION("GOOGLETRANSLATE(F11313, ""auto"", ""en"")
"),"I bought a 37"" LCD TV Toshiba RV685 DR, the purpose of the purchase was to watch animated films and games, less often TV first impressions: 0. equipment: box, TV, stand with fasteners, bullets, 2 batteries, instructions (the latest in Russian), instructi"&amp;"ons for assembling the stand, warranty card, receipt; 1. Brought in the form of a construction kit, you need to assemble the stand and attach it to the TV, which is done quickly, since everything is there and convenient to use (fasteners for a special key"&amp;" are included); 2. The appearance is pleasant (subjective), the location of the sockets is also convenient (all on one side); 3. The settings are in Russian by default, the menu is convenient, the auto search for 69 TV programs took at least 10 minutes, t"&amp;"he instructions on paper (included) are shortened, contains some of the settings - requires additional downloading; 4 on a 5-point scale, “grain” disappears from about 2-2.5 meters, comfortable to watch from 3 meters; 5. When using a personal computer (he"&amp;"reinafter referred to as a PC), 2 cables were used (for testing): to connect to a 3-meter long RGB/PC connector (a similar connector on the PC unit), a screen resolution of 1024 by 768 was obtained (when you try to change it to a higher one, the message a"&amp;"ppears - the mode is not supported) and HDMI + HDMI in length. 5 meters manufacturer DAYTON (label on the cable box) price 1500 rubles, default screen resolution is 1920 by 1080. The PC has an NVIDEA GEFORCE GTX 295 video card installed. Conclusions: The "&amp;"TV reproduces analog TV well, the signal from the PC is excellent, provided that a high-quality HDMI cable is used, both video (anime or DVD_Rip movies) and games - visually I did not notice any image delays. Worth buying.")</f>
        <v>I bought a 37" LCD TV Toshiba RV685 DR, the purpose of the purchase was to watch animated films and games, less often TV first impressions: 0. equipment: box, TV, stand with fasteners, bullets, 2 batteries, instructions (the latest in Russian), instructions for assembling the stand, warranty card, receipt; 1. Brought in the form of a construction kit, you need to assemble the stand and attach it to the TV, which is done quickly, since everything is there and convenient to use (fasteners for a special key are included); 2. The appearance is pleasant (subjective), the location of the sockets is also convenient (all on one side); 3. The settings are in Russian by default, the menu is convenient, the auto search for 69 TV programs took at least 10 minutes, the instructions on paper (included) are shortened, contains some of the settings - requires additional downloading; 4 on a 5-point scale, “grain” disappears from about 2-2.5 meters, comfortable to watch from 3 meters; 5. When using a personal computer (hereinafter referred to as a PC), 2 cables were used (for testing): to connect to a 3-meter long RGB/PC connector (a similar connector on the PC unit), a screen resolution of 1024 by 768 was obtained (when you try to change it to a higher one, the message appears - the mode is not supported) and HDMI + HDMI in length. 5 meters manufacturer DAYTON (label on the cable box) price 1500 rubles, default screen resolution is 1920 by 1080. The PC has an NVIDEA GEFORCE GTX 295 video card installed. Conclusions: The TV reproduces analog TV well, the signal from the PC is excellent, provided that a high-quality HDMI cable is used, both video (anime or DVD_Rip movies) and games - visually I did not notice any image delays. Worth buying.</v>
      </c>
    </row>
    <row r="11314" spans="1:9" x14ac:dyDescent="0.3">
      <c r="A11314" s="1" t="s">
        <v>61</v>
      </c>
      <c r="B11314" s="1" t="s">
        <v>318</v>
      </c>
      <c r="C11314" s="1" t="s">
        <v>101</v>
      </c>
      <c r="D11314" s="1" t="s">
        <v>39</v>
      </c>
      <c r="E11314" s="1" t="s">
        <v>5798</v>
      </c>
      <c r="F11314" s="1" t="s">
        <v>16193</v>
      </c>
      <c r="G11314" s="1" t="s">
        <v>36</v>
      </c>
      <c r="H11314" s="1" t="s">
        <v>29</v>
      </c>
      <c r="I11314" s="1" t="str">
        <f ca="1">IFERROR(__xludf.DUMMYFUNCTION("GOOGLETRANSLATE(F11314, ""auto"", ""en"")
"),"Wonderful kettle. I bought it a year ago, there was just a promotion for 300 rubles. Considering the year of warranty, this is more reasonable than purchasing a Chinese product on the market for at least 500. It has been in use for more than a year, it is"&amp;" beautiful, fits comfortably in the hand, and is not very loud. Take it, it's a wonderful thing))")</f>
        <v>Wonderful kettle. I bought it a year ago, there was just a promotion for 300 rubles. Considering the year of warranty, this is more reasonable than purchasing a Chinese product on the market for at least 500. It has been in use for more than a year, it is beautiful, fits comfortably in the hand, and is not very loud. Take it, it's a wonderful thing))</v>
      </c>
    </row>
    <row r="11315" spans="1:9" x14ac:dyDescent="0.3">
      <c r="A11315" s="1" t="s">
        <v>206</v>
      </c>
      <c r="B11315" s="1" t="s">
        <v>261</v>
      </c>
      <c r="C11315" s="1" t="s">
        <v>107</v>
      </c>
      <c r="D11315" s="1" t="s">
        <v>16194</v>
      </c>
      <c r="E11315" s="1" t="s">
        <v>868</v>
      </c>
      <c r="F11315" s="1" t="s">
        <v>16195</v>
      </c>
      <c r="G11315" s="1" t="s">
        <v>36</v>
      </c>
      <c r="H11315" s="1" t="s">
        <v>29</v>
      </c>
      <c r="I11315" s="1" t="str">
        <f ca="1">IFERROR(__xludf.DUMMYFUNCTION("GOOGLETRANSLATE(F11315, ""auto"", ""en"")
"),"A distinctive feature is the ability to play a track after starting the engine not from the beginning, but from the place where the listening ended in the previous session, although for this you need to press the “mark A” key before turning off the car’s "&amp;"power. However, even this function is not available in other analogues. And this is important when listening to audiobooks, long tracks (for example, multi-hour mixes). In addition, the playback quality for the transmitter is excellent")</f>
        <v>A distinctive feature is the ability to play a track after starting the engine not from the beginning, but from the place where the listening ended in the previous session, although for this you need to press the “mark A” key before turning off the car’s power. However, even this function is not available in other analogues. And this is important when listening to audiobooks, long tracks (for example, multi-hour mixes). In addition, the playback quality for the transmitter is excellent</v>
      </c>
    </row>
    <row r="11316" spans="1:9" x14ac:dyDescent="0.3">
      <c r="A11316" s="1" t="s">
        <v>43</v>
      </c>
      <c r="B11316" s="1" t="s">
        <v>303</v>
      </c>
      <c r="C11316" s="1" t="s">
        <v>1721</v>
      </c>
      <c r="D11316" s="1" t="s">
        <v>2412</v>
      </c>
      <c r="E11316" s="1" t="s">
        <v>3089</v>
      </c>
      <c r="F11316" s="1" t="s">
        <v>16196</v>
      </c>
      <c r="G11316" s="1" t="s">
        <v>28</v>
      </c>
      <c r="H11316" s="1" t="s">
        <v>29</v>
      </c>
      <c r="I11316" s="1" t="str">
        <f ca="1">IFERROR(__xludf.DUMMYFUNCTION("GOOGLETRANSLATE(F11316, ""auto"", ""en"")
"),"Great technique.  I scrubbed for a long time, read the reviews, but they were not clear.  But somehow I took a risk - I bought Ariston, I’ve been using it for almost a year now - everything works well. I like it, without interruptions and emergencies.")</f>
        <v>Great technique.  I scrubbed for a long time, read the reviews, but they were not clear.  But somehow I took a risk - I bought Ariston, I’ve been using it for almost a year now - everything works well. I like it, without interruptions and emergencies.</v>
      </c>
    </row>
    <row r="11317" spans="1:9" x14ac:dyDescent="0.3">
      <c r="A11317" s="1" t="s">
        <v>206</v>
      </c>
      <c r="B11317" s="1" t="s">
        <v>1349</v>
      </c>
      <c r="C11317" s="1" t="s">
        <v>262</v>
      </c>
      <c r="D11317" s="1" t="s">
        <v>2091</v>
      </c>
      <c r="E11317" s="1" t="s">
        <v>779</v>
      </c>
      <c r="F11317" s="1" t="s">
        <v>16197</v>
      </c>
      <c r="G11317" s="1" t="s">
        <v>28</v>
      </c>
      <c r="H11317" s="1" t="s">
        <v>29</v>
      </c>
      <c r="I11317" s="1" t="str">
        <f ca="1">IFERROR(__xludf.DUMMYFUNCTION("GOOGLETRANSLATE(F11317, ""auto"", ""en"")
"),"The device is fine, but the TV does not show well with the standard antenna and the phone reception freezes!!!!!")</f>
        <v>The device is fine, but the TV does not show well with the standard antenna and the phone reception freezes!!!!!</v>
      </c>
    </row>
    <row r="11318" spans="1:9" x14ac:dyDescent="0.3">
      <c r="A11318" s="1" t="s">
        <v>61</v>
      </c>
      <c r="B11318" s="1" t="s">
        <v>145</v>
      </c>
      <c r="C11318" s="1" t="s">
        <v>246</v>
      </c>
      <c r="D11318" s="1" t="s">
        <v>152</v>
      </c>
      <c r="E11318" s="1" t="s">
        <v>8309</v>
      </c>
      <c r="F11318" s="1" t="s">
        <v>16198</v>
      </c>
      <c r="G11318" s="1" t="s">
        <v>36</v>
      </c>
      <c r="H11318" s="1" t="s">
        <v>29</v>
      </c>
      <c r="I11318" s="1" t="str">
        <f ca="1">IFERROR(__xludf.DUMMYFUNCTION("GOOGLETRANSLATE(F11318, ""auto"", ""en"")
"),"The top lid cracked after about two months, when it’s heated, you need to close it more carefully - open it, it’s your own fault! I don’t know where to buy a new one, you can cook without it, you don’t need a spoon for butter at all, you can splash a few "&amp;"drops on your eye! they called it deep fat ""wrong"" rather an air fryer! You can cook interesting dishes. In the end, I also bought a regular deep-fryer where you have to pour oil in bottles.")</f>
        <v>The top lid cracked after about two months, when it’s heated, you need to close it more carefully - open it, it’s your own fault! I don’t know where to buy a new one, you can cook without it, you don’t need a spoon for butter at all, you can splash a few drops on your eye! they called it deep fat "wrong" rather an air fryer! You can cook interesting dishes. In the end, I also bought a regular deep-fryer where you have to pour oil in bottles.</v>
      </c>
    </row>
    <row r="11319" spans="1:9" x14ac:dyDescent="0.3">
      <c r="A11319" s="1" t="s">
        <v>206</v>
      </c>
      <c r="B11319" s="1" t="s">
        <v>1253</v>
      </c>
      <c r="C11319" s="1" t="s">
        <v>816</v>
      </c>
      <c r="D11319" s="1" t="s">
        <v>1036</v>
      </c>
      <c r="E11319" s="1" t="s">
        <v>1275</v>
      </c>
      <c r="F11319" s="1" t="s">
        <v>16199</v>
      </c>
      <c r="G11319" s="1" t="s">
        <v>28</v>
      </c>
      <c r="H11319" s="1" t="s">
        <v>29</v>
      </c>
      <c r="I11319" s="1" t="str">
        <f ca="1">IFERROR(__xludf.DUMMYFUNCTION("GOOGLETRANSLATE(F11319, ""auto"", ""en"")
"),"I've been using it for a year now - no complaints. For the money this is a very decent device. I recommend it to anyone who needs a walkie-talkie for fishing or hunting. One battery charge is enough for me personally for 4 fishing trips (I don’t save the "&amp;"battery on purpose). If it’s different for you, it means either you’re a bad fisherman, or all your fishing is “pour and drink.”  The downside is that after half an hour the headset begins to strain the ear (it’s a bit harsh), that is, the plus that it’s "&amp;"included in the kit can’t be considered.   I doubt about the stated 8 km (there was no opportunity to check), but the truth is somewhere nearby))) - on the river the reception conditions are not bad and there is enough of what is available. At least the q"&amp;"uality of reception and transmission is several orders of magnitude higher than that of friends with Voxtels.   P.S. Before I bought these walkie-talkies, the question was: 1.JJ-CONNECT 9001 PRO; 2.Midland GXT400; 3.Motorola XTR446.  The 1st one disappear"&amp;"ed because one was included in the set, the 2nd one because I didn’t find it in stock - I took the 3rd one and, in principle, I don’t regret it (sometimes I just look longingly at the JJ-CONNECT 9001 PRO in the window)")</f>
        <v>I've been using it for a year now - no complaints. For the money this is a very decent device. I recommend it to anyone who needs a walkie-talkie for fishing or hunting. One battery charge is enough for me personally for 4 fishing trips (I don’t save the battery on purpose). If it’s different for you, it means either you’re a bad fisherman, or all your fishing is “pour and drink.”  The downside is that after half an hour the headset begins to strain the ear (it’s a bit harsh), that is, the plus that it’s included in the kit can’t be considered.   I doubt about the stated 8 km (there was no opportunity to check), but the truth is somewhere nearby))) - on the river the reception conditions are not bad and there is enough of what is available. At least the quality of reception and transmission is several orders of magnitude higher than that of friends with Voxtels.   P.S. Before I bought these walkie-talkies, the question was: 1.JJ-CONNECT 9001 PRO; 2.Midland GXT400; 3.Motorola XTR446.  The 1st one disappeared because one was included in the set, the 2nd one because I didn’t find it in stock - I took the 3rd one and, in principle, I don’t regret it (sometimes I just look longingly at the JJ-CONNECT 9001 PRO in the window)</v>
      </c>
    </row>
    <row r="11320" spans="1:9" x14ac:dyDescent="0.3">
      <c r="A11320" s="1" t="s">
        <v>89</v>
      </c>
      <c r="B11320" s="1" t="s">
        <v>1106</v>
      </c>
      <c r="C11320" s="1" t="s">
        <v>246</v>
      </c>
      <c r="D11320" s="1" t="s">
        <v>545</v>
      </c>
      <c r="E11320" s="1" t="s">
        <v>612</v>
      </c>
      <c r="F11320" s="1" t="s">
        <v>16200</v>
      </c>
      <c r="G11320" s="1" t="s">
        <v>36</v>
      </c>
      <c r="H11320" s="1" t="s">
        <v>29</v>
      </c>
      <c r="I11320" s="1" t="str">
        <f ca="1">IFERROR(__xludf.DUMMYFUNCTION("GOOGLETRANSLATE(F11320, ""auto"", ""en"")
"),"Great coffee maker! Delicious coffee if you know how to prepare it and correctly calculate the proportions of coffee and water. I gave it to my parents - they really like it, they don’t have to stand and guard the Turk. I also like coffee, even without mi"&amp;"lk! I have cheap moulinex at work, so it’s impossible to drink regular Americano. This coffee maker deserves praise. Value for money. I give it a five.")</f>
        <v>Great coffee maker! Delicious coffee if you know how to prepare it and correctly calculate the proportions of coffee and water. I gave it to my parents - they really like it, they don’t have to stand and guard the Turk. I also like coffee, even without milk! I have cheap moulinex at work, so it’s impossible to drink regular Americano. This coffee maker deserves praise. Value for money. I give it a five.</v>
      </c>
    </row>
    <row r="11321" spans="1:9" x14ac:dyDescent="0.3">
      <c r="A11321" s="1" t="s">
        <v>211</v>
      </c>
      <c r="B11321" s="1" t="s">
        <v>212</v>
      </c>
      <c r="C11321" s="1" t="s">
        <v>69</v>
      </c>
      <c r="D11321" s="1" t="s">
        <v>240</v>
      </c>
      <c r="E11321" s="1" t="s">
        <v>9945</v>
      </c>
      <c r="F11321" s="1" t="s">
        <v>16201</v>
      </c>
      <c r="G11321" s="1" t="s">
        <v>28</v>
      </c>
      <c r="H11321" s="1" t="s">
        <v>29</v>
      </c>
      <c r="I11321" s="1" t="str">
        <f ca="1">IFERROR(__xludf.DUMMYFUNCTION("GOOGLETRANSLATE(F11321, ""auto"", ""en"")
"),"I recently purchased this hair dryer. So far I’m happy with everything.  One thing was upsetting: the consultant said that when you use the cold air function you don’t have to hold the button, but it turned out that this is not the case.")</f>
        <v>I recently purchased this hair dryer. So far I’m happy with everything.  One thing was upsetting: the consultant said that when you use the cold air function you don’t have to hold the button, but it turned out that this is not the case.</v>
      </c>
    </row>
    <row r="11322" spans="1:9" x14ac:dyDescent="0.3">
      <c r="A11322" s="1" t="s">
        <v>105</v>
      </c>
      <c r="B11322" s="1" t="s">
        <v>106</v>
      </c>
      <c r="C11322" s="1" t="s">
        <v>69</v>
      </c>
      <c r="D11322" s="1" t="s">
        <v>5274</v>
      </c>
      <c r="E11322" s="1" t="s">
        <v>6021</v>
      </c>
      <c r="F11322" s="1" t="s">
        <v>16202</v>
      </c>
      <c r="G11322" s="1" t="s">
        <v>36</v>
      </c>
      <c r="H11322" s="1" t="s">
        <v>29</v>
      </c>
      <c r="I11322" s="1" t="str">
        <f ca="1">IFERROR(__xludf.DUMMYFUNCTION("GOOGLETRANSLATE(F11322, ""auto"", ""en"")
"),"I already wrote a review on the 2GB version of the player, because there was no description here at that time and it was impossible to leave a review, but I’ll write it here too. The player is excellent, which I can’t say about the standard headphones - h"&amp;"igh sensitivity and volume, it’s almost impossible to cause overload in them, but the sound is very mediocre. When I bought the player, I immediately thought that the headphones would have to be changed. I bought the same “plugs” that I had already looked"&amp;" at in advance at half the cost of this player, and now I’m happy as an elephant. The equalizer not only has preset settings, but can also be set manually (5 bands).")</f>
        <v>I already wrote a review on the 2GB version of the player, because there was no description here at that time and it was impossible to leave a review, but I’ll write it here too. The player is excellent, which I can’t say about the standard headphones - high sensitivity and volume, it’s almost impossible to cause overload in them, but the sound is very mediocre. When I bought the player, I immediately thought that the headphones would have to be changed. I bought the same “plugs” that I had already looked at in advance at half the cost of this player, and now I’m happy as an elephant. The equalizer not only has preset settings, but can also be set manually (5 bands).</v>
      </c>
    </row>
    <row r="11323" spans="1:9" x14ac:dyDescent="0.3">
      <c r="A11323" s="1" t="s">
        <v>61</v>
      </c>
      <c r="B11323" s="1" t="s">
        <v>180</v>
      </c>
      <c r="C11323" s="1" t="s">
        <v>85</v>
      </c>
      <c r="D11323" s="1" t="s">
        <v>545</v>
      </c>
      <c r="E11323" s="1" t="s">
        <v>16203</v>
      </c>
      <c r="F11323" s="1" t="s">
        <v>16204</v>
      </c>
      <c r="G11323" s="1" t="s">
        <v>36</v>
      </c>
      <c r="H11323" s="1" t="s">
        <v>29</v>
      </c>
      <c r="I11323" s="1" t="str">
        <f ca="1">IFERROR(__xludf.DUMMYFUNCTION("GOOGLETRANSLATE(F11323, ""auto"", ""en"")
"),"I bought this one (maybe a previous version) back in 2005. Works great so far. Like all Bork's equipment it looks very good. stylish, although a little expensive.")</f>
        <v>I bought this one (maybe a previous version) back in 2005. Works great so far. Like all Bork's equipment it looks very good. stylish, although a little expensive.</v>
      </c>
    </row>
    <row r="11324" spans="1:9" x14ac:dyDescent="0.3">
      <c r="A11324" s="1" t="s">
        <v>37</v>
      </c>
      <c r="B11324" s="1" t="s">
        <v>536</v>
      </c>
      <c r="C11324" s="1" t="s">
        <v>151</v>
      </c>
      <c r="D11324" s="1" t="s">
        <v>308</v>
      </c>
      <c r="E11324" s="1" t="s">
        <v>8177</v>
      </c>
      <c r="F11324" s="1" t="s">
        <v>16205</v>
      </c>
      <c r="G11324" s="1" t="s">
        <v>49</v>
      </c>
      <c r="H11324" s="1" t="s">
        <v>16</v>
      </c>
      <c r="I11324" s="1" t="str">
        <f ca="1">IFERROR(__xludf.DUMMYFUNCTION("GOOGLETRANSLATE(F11324, ""auto"", ""en"")
"),"The phone is beautiful and nothing more. I completely agree with Leonid. Doesn't hold a charge at all. Mine is completely discharged in one night in standby mode. It's a pity for the 33 thousand spent. rub (bought the phone in the first batch). If anyone "&amp;"has any tips on how to increase charging time, please write. And also, to charge it, but pry off the latch with your fingernail, it’s amazing how convenient, now I’ve had a shabby manicure for a month, thanks to the manufacturers!")</f>
        <v>The phone is beautiful and nothing more. I completely agree with Leonid. Doesn't hold a charge at all. Mine is completely discharged in one night in standby mode. It's a pity for the 33 thousand spent. rub (bought the phone in the first batch). If anyone has any tips on how to increase charging time, please write. And also, to charge it, but pry off the latch with your fingernail, it’s amazing how convenient, now I’ve had a shabby manicure for a month, thanks to the manufacturers!</v>
      </c>
    </row>
    <row r="11325" spans="1:9" x14ac:dyDescent="0.3">
      <c r="A11325" s="1" t="s">
        <v>120</v>
      </c>
      <c r="B11325" s="1" t="s">
        <v>126</v>
      </c>
      <c r="C11325" s="1" t="s">
        <v>122</v>
      </c>
      <c r="D11325" s="1" t="s">
        <v>592</v>
      </c>
      <c r="E11325" s="1" t="s">
        <v>1115</v>
      </c>
      <c r="F11325" s="1" t="s">
        <v>16206</v>
      </c>
      <c r="G11325" s="1" t="s">
        <v>36</v>
      </c>
      <c r="H11325" s="1" t="s">
        <v>29</v>
      </c>
      <c r="I11325" s="1" t="str">
        <f ca="1">IFERROR(__xludf.DUMMYFUNCTION("GOOGLETRANSLATE(F11325, ""auto"", ""en"")
"),"Today my husband and I bought a 42"" Panasonic TX-PR42 C21 Plasma TV as a gift. We thought about it, searched for a long time, and settled on this model. So far, everyone is happy. There are no bells and whistles (they chose this one on purpose), it’s sim"&amp;"ple and everything is clear. Everything was easy to set up, brightness, clarity, sound, etc. So, in order to simply replace the old one with a new one, this TV model was quite suitable.")</f>
        <v>Today my husband and I bought a 42" Panasonic TX-PR42 C21 Plasma TV as a gift. We thought about it, searched for a long time, and settled on this model. So far, everyone is happy. There are no bells and whistles (they chose this one on purpose), it’s simple and everything is clear. Everything was easy to set up, brightness, clarity, sound, etc. So, in order to simply replace the old one with a new one, this TV model was quite suitable.</v>
      </c>
    </row>
    <row r="11326" spans="1:9" x14ac:dyDescent="0.3">
      <c r="A11326" s="1" t="s">
        <v>206</v>
      </c>
      <c r="B11326" s="1" t="s">
        <v>207</v>
      </c>
      <c r="C11326" s="1" t="s">
        <v>1143</v>
      </c>
      <c r="D11326" s="1" t="s">
        <v>152</v>
      </c>
      <c r="E11326" s="1" t="s">
        <v>9313</v>
      </c>
      <c r="F11326" s="1" t="s">
        <v>16207</v>
      </c>
      <c r="G11326" s="1" t="s">
        <v>36</v>
      </c>
      <c r="H11326" s="1" t="s">
        <v>29</v>
      </c>
      <c r="I11326" s="1" t="str">
        <f ca="1">IFERROR(__xludf.DUMMYFUNCTION("GOOGLETRANSLATE(F11326, ""auto"", ""en"")
"),"The Solaris sedan has been playing for almost two months now from the multimedia system on the Android car 4 g. The Kix Cap-27 amplifier plus a 3.5 farad capacitor swings at full speed, everything rattles, even it’s tuned a little less than the middle, th"&amp;"e device is good for a sedan, take it, you won’t regret it.")</f>
        <v>The Solaris sedan has been playing for almost two months now from the multimedia system on the Android car 4 g. The Kix Cap-27 amplifier plus a 3.5 farad capacitor swings at full speed, everything rattles, even it’s tuned a little less than the middle, the device is good for a sedan, take it, you won’t regret it.</v>
      </c>
    </row>
    <row r="11327" spans="1:9" x14ac:dyDescent="0.3">
      <c r="A11327" s="1" t="s">
        <v>211</v>
      </c>
      <c r="B11327" s="1" t="s">
        <v>899</v>
      </c>
      <c r="C11327" s="1" t="s">
        <v>213</v>
      </c>
      <c r="D11327" s="1" t="s">
        <v>39</v>
      </c>
      <c r="E11327" s="1" t="s">
        <v>12451</v>
      </c>
      <c r="F11327" s="1" t="s">
        <v>16208</v>
      </c>
      <c r="G11327" s="1" t="s">
        <v>28</v>
      </c>
      <c r="H11327" s="1" t="s">
        <v>29</v>
      </c>
      <c r="I11327" s="1" t="str">
        <f ca="1">IFERROR(__xludf.DUMMYFUNCTION("GOOGLETRANSLATE(F11327, ""auto"", ""en"")
"),"Overall, I'm happy with the toothbrush. Cleans well and is convenient to use. The only disappointment is the quality of the materials used. The rubber coating on the handle begins to soften and peel off after a couple of years. For this reason, I once rep"&amp;"laced one brush with a new one. Now she too is starting to peel off. I was thinking about an alternative from another manufacturer. It's strange to get such a result from a seemingly reputable company.")</f>
        <v>Overall, I'm happy with the toothbrush. Cleans well and is convenient to use. The only disappointment is the quality of the materials used. The rubber coating on the handle begins to soften and peel off after a couple of years. For this reason, I once replaced one brush with a new one. Now she too is starting to peel off. I was thinking about an alternative from another manufacturer. It's strange to get such a result from a seemingly reputable company.</v>
      </c>
    </row>
    <row r="11328" spans="1:9" x14ac:dyDescent="0.3">
      <c r="A11328" s="1" t="s">
        <v>9</v>
      </c>
      <c r="B11328" s="1" t="s">
        <v>10</v>
      </c>
      <c r="C11328" s="1" t="s">
        <v>407</v>
      </c>
      <c r="D11328" s="1" t="s">
        <v>280</v>
      </c>
      <c r="E11328" s="1" t="s">
        <v>375</v>
      </c>
      <c r="F11328" s="1" t="s">
        <v>16209</v>
      </c>
      <c r="G11328" s="1" t="s">
        <v>36</v>
      </c>
      <c r="H11328" s="1" t="s">
        <v>29</v>
      </c>
      <c r="I11328" s="1" t="str">
        <f ca="1">IFERROR(__xludf.DUMMYFUNCTION("GOOGLETRANSLATE(F11328, ""auto"", ""en"")
"),"I purchased this hood, the kitchen is in wenge contrast. Very pleased. Pros: 1. Powerful turbine.  2. impressive dimensions of the turbine, which allows for lower revolutions and, as a result, less noise.  3. Very convenient control.  4. Glass allows you "&amp;"to wash away steam and grease without any consequences.  5. Successful lighting.  Cons: 1. I would like the price to be lower.  2. The first time they brought an incomplete set, be careful with the flanges.")</f>
        <v>I purchased this hood, the kitchen is in wenge contrast. Very pleased. Pros: 1. Powerful turbine.  2. impressive dimensions of the turbine, which allows for lower revolutions and, as a result, less noise.  3. Very convenient control.  4. Glass allows you to wash away steam and grease without any consequences.  5. Successful lighting.  Cons: 1. I would like the price to be lower.  2. The first time they brought an incomplete set, be careful with the flanges.</v>
      </c>
    </row>
    <row r="11329" spans="1:9" x14ac:dyDescent="0.3">
      <c r="A11329" s="1" t="s">
        <v>211</v>
      </c>
      <c r="B11329" s="1" t="s">
        <v>212</v>
      </c>
      <c r="C11329" s="1" t="s">
        <v>381</v>
      </c>
      <c r="D11329" s="1" t="s">
        <v>64</v>
      </c>
      <c r="E11329" s="1" t="s">
        <v>1203</v>
      </c>
      <c r="F11329" s="1" t="s">
        <v>16210</v>
      </c>
      <c r="G11329" s="1" t="s">
        <v>36</v>
      </c>
      <c r="H11329" s="1" t="s">
        <v>29</v>
      </c>
      <c r="I11329" s="1" t="str">
        <f ca="1">IFERROR(__xludf.DUMMYFUNCTION("GOOGLETRANSLATE(F11329, ""auto"", ""en"")
"),"I have been using Rowenta for over 6 years. The first one worked for 3 years and was used once every 3-2 days in winter, and every day in summer. My hair is frizzy and a little frizzy. styling takes 20-30 minutes for hair length up to the shoulder blades,"&amp;" the hair immediately becomes well-groomed and shiny. I bought a second one and am still using it! And now I bought it for my sister as a gift for March 8th. Therefore, girls, who didn’t succeed the first time, try again, it’s a wonderful thing...")</f>
        <v>I have been using Rowenta for over 6 years. The first one worked for 3 years and was used once every 3-2 days in winter, and every day in summer. My hair is frizzy and a little frizzy. styling takes 20-30 minutes for hair length up to the shoulder blades, the hair immediately becomes well-groomed and shiny. I bought a second one and am still using it! And now I bought it for my sister as a gift for March 8th. Therefore, girls, who didn’t succeed the first time, try again, it’s a wonderful thing...</v>
      </c>
    </row>
    <row r="11330" spans="1:9" x14ac:dyDescent="0.3">
      <c r="A11330" s="1" t="s">
        <v>120</v>
      </c>
      <c r="B11330" s="1" t="s">
        <v>126</v>
      </c>
      <c r="C11330" s="1" t="s">
        <v>151</v>
      </c>
      <c r="D11330" s="1" t="s">
        <v>102</v>
      </c>
      <c r="E11330" s="1" t="s">
        <v>214</v>
      </c>
      <c r="F11330" s="1" t="s">
        <v>16211</v>
      </c>
      <c r="G11330" s="1" t="s">
        <v>36</v>
      </c>
      <c r="H11330" s="1" t="s">
        <v>29</v>
      </c>
      <c r="I11330" s="1" t="str">
        <f ca="1">IFERROR(__xludf.DUMMYFUNCTION("GOOGLETRANSLATE(F11330, ""auto"", ""en"")
"),"ALEXEY FROM MOSCOW! They should build a monument to you at Samsung’s expense! I had already removed the TV from the wall to take it to the service center, but all I had to do was go to the menu! And now no spontaneous switching on/off!")</f>
        <v>ALEXEY FROM MOSCOW! They should build a monument to you at Samsung’s expense! I had already removed the TV from the wall to take it to the service center, but all I had to do was go to the menu! And now no spontaneous switching on/off!</v>
      </c>
    </row>
    <row r="11331" spans="1:9" x14ac:dyDescent="0.3">
      <c r="A11331" s="1" t="s">
        <v>120</v>
      </c>
      <c r="B11331" s="1" t="s">
        <v>121</v>
      </c>
      <c r="C11331" s="1" t="s">
        <v>151</v>
      </c>
      <c r="D11331" s="1" t="s">
        <v>39</v>
      </c>
      <c r="E11331" s="1" t="s">
        <v>7270</v>
      </c>
      <c r="F11331" s="1" t="s">
        <v>16212</v>
      </c>
      <c r="G11331" s="1" t="s">
        <v>28</v>
      </c>
      <c r="H11331" s="1" t="s">
        <v>29</v>
      </c>
      <c r="I11331" s="1" t="str">
        <f ca="1">IFERROR(__xludf.DUMMYFUNCTION("GOOGLETRANSLATE(F11331, ""auto"", ""en"")
"),"Before you buy, I recommend comparing it with other models, for example LG32 LH5000. The price is the same, but there is a 2ms pixel response time, 100Hz technology and a built-in HD Media player (suitable for those who like to download audio/video from T"&amp;"orrent) with a USB connector for watching movies from external drives.")</f>
        <v>Before you buy, I recommend comparing it with other models, for example LG32 LH5000. The price is the same, but there is a 2ms pixel response time, 100Hz technology and a built-in HD Media player (suitable for those who like to download audio/video from Torrent) with a USB connector for watching movies from external drives.</v>
      </c>
    </row>
    <row r="11332" spans="1:9" x14ac:dyDescent="0.3">
      <c r="A11332" s="1" t="s">
        <v>61</v>
      </c>
      <c r="B11332" s="1" t="s">
        <v>977</v>
      </c>
      <c r="C11332" s="1" t="s">
        <v>69</v>
      </c>
      <c r="D11332" s="1" t="s">
        <v>959</v>
      </c>
      <c r="E11332" s="1" t="s">
        <v>405</v>
      </c>
      <c r="F11332" s="1" t="s">
        <v>16213</v>
      </c>
      <c r="G11332" s="1" t="s">
        <v>36</v>
      </c>
      <c r="H11332" s="1" t="s">
        <v>29</v>
      </c>
      <c r="I11332" s="1" t="str">
        <f ca="1">IFERROR(__xludf.DUMMYFUNCTION("GOOGLETRANSLATE(F11332, ""auto"", ""en"")
"),"Very good blender. I bought it on 05/31/2010 and it still works. I recommend it to everyone, especially for mothers of babies. But how can I buy an additional whisk?")</f>
        <v>Very good blender. I bought it on 05/31/2010 and it still works. I recommend it to everyone, especially for mothers of babies. But how can I buy an additional whisk?</v>
      </c>
    </row>
    <row r="11333" spans="1:9" x14ac:dyDescent="0.3">
      <c r="A11333" s="1" t="s">
        <v>169</v>
      </c>
      <c r="B11333" s="1" t="s">
        <v>170</v>
      </c>
      <c r="C11333" s="1" t="s">
        <v>193</v>
      </c>
      <c r="D11333" s="1" t="s">
        <v>1744</v>
      </c>
      <c r="E11333" s="1" t="s">
        <v>7367</v>
      </c>
      <c r="F11333" s="1" t="s">
        <v>16214</v>
      </c>
      <c r="G11333" s="1" t="s">
        <v>1580</v>
      </c>
      <c r="H11333" s="1" t="s">
        <v>29</v>
      </c>
      <c r="I11333" s="1" t="str">
        <f ca="1">IFERROR(__xludf.DUMMYFUNCTION("GOOGLETRANSLATE(F11333, ""auto"", ""en"")
"),"Good, high quality sound")</f>
        <v>Good, high quality sound</v>
      </c>
    </row>
    <row r="11334" spans="1:9" x14ac:dyDescent="0.3">
      <c r="A11334" s="1" t="s">
        <v>624</v>
      </c>
      <c r="B11334" s="1" t="s">
        <v>625</v>
      </c>
      <c r="C11334" s="1" t="s">
        <v>479</v>
      </c>
      <c r="D11334" s="1" t="s">
        <v>16215</v>
      </c>
      <c r="E11334" s="1" t="s">
        <v>526</v>
      </c>
      <c r="F11334" s="1" t="s">
        <v>16216</v>
      </c>
      <c r="G11334" s="1" t="s">
        <v>36</v>
      </c>
      <c r="H11334" s="1" t="s">
        <v>29</v>
      </c>
      <c r="I11334" s="1" t="str">
        <f ca="1">IFERROR(__xludf.DUMMYFUNCTION("GOOGLETRANSLATE(F11334, ""auto"", ""en"")
"),"Everything is just amazing, I played in one breath!!!")</f>
        <v>Everything is just amazing, I played in one breath!!!</v>
      </c>
    </row>
    <row r="11335" spans="1:9" x14ac:dyDescent="0.3">
      <c r="A11335" s="1" t="s">
        <v>37</v>
      </c>
      <c r="B11335" s="1" t="s">
        <v>38</v>
      </c>
      <c r="C11335" s="1" t="s">
        <v>151</v>
      </c>
      <c r="D11335" s="1" t="s">
        <v>690</v>
      </c>
      <c r="E11335" s="1" t="s">
        <v>1065</v>
      </c>
      <c r="F11335" s="1" t="s">
        <v>16217</v>
      </c>
      <c r="G11335" s="1" t="s">
        <v>28</v>
      </c>
      <c r="H11335" s="1" t="s">
        <v>29</v>
      </c>
      <c r="I11335" s="1" t="str">
        <f ca="1">IFERROR(__xludf.DUMMYFUNCTION("GOOGLETRANSLATE(F11335, ""auto"", ""en"")
"),"I'm the owner of this thing. Very good, solid, excellent build quality, in the player you can select any position inside the music being played, just like in Winamp by poking the slider with your finger, the quality in the ears is very acceptable, the rec"&amp;"eiver is excellent, excellent touch screen, which I compared with skis and fly and it’s cooler, reacts almost to touch, you don’t even need to press, heavy and pleasant, fits comfortably in the hand, beautiful, glitch-free, works with 2 SIM cards thought "&amp;"out, like many things. In general, there are many advantages.    Now about what I didn’t like: - the battery could have been bigger, after the first 3 charges it began to hold for a long time, and at first it started to fly, even without heavy loads;  - p"&amp;"ersonally, I didn’t like texting on such a display - the ends of my fingers begin to get irritated, the stylus does not support - only the body, so I will change to a push-button one;  - the ear jack is not standard, but this will be a drawback for those "&amp;"who regularly listen;  - there is no auto-locking, if you answer a call in transport using a headset, the blocking does not return, and if you have it hanging on your belt or in your pants in a crowd, then there is a high probability that the main buttons"&amp;" will be pressed and the screen will light up, and it only charges the charge on the way;  - speaker - after the Nokia 3250, for me its sound is guanos... :) the speaker, in my opinion, is a bit dirty and dull, even if wav plays without loss;  - the progr"&amp;"am for working with the computer does not work at all, even downloaded;  - when there is an incoming call, the melody plays at 0 volume for the first 1-1.5 seconds, and then sharply increases to the set volume. The manufacturer commented on this as a feat"&amp;"ure; they won’t fix it along the way. Actually, that’s it. If such shortcomings are not critical, then take it - you won’t regret it.")</f>
        <v>I'm the owner of this thing. Very good, solid, excellent build quality, in the player you can select any position inside the music being played, just like in Winamp by poking the slider with your finger, the quality in the ears is very acceptable, the receiver is excellent, excellent touch screen, which I compared with skis and fly and it’s cooler, reacts almost to touch, you don’t even need to press, heavy and pleasant, fits comfortably in the hand, beautiful, glitch-free, works with 2 SIM cards thought out, like many things. In general, there are many advantages.    Now about what I didn’t like: - the battery could have been bigger, after the first 3 charges it began to hold for a long time, and at first it started to fly, even without heavy loads;  - personally, I didn’t like texting on such a display - the ends of my fingers begin to get irritated, the stylus does not support - only the body, so I will change to a push-button one;  - the ear jack is not standard, but this will be a drawback for those who regularly listen;  - there is no auto-locking, if you answer a call in transport using a headset, the blocking does not return, and if you have it hanging on your belt or in your pants in a crowd, then there is a high probability that the main buttons will be pressed and the screen will light up, and it only charges the charge on the way;  - speaker - after the Nokia 3250, for me its sound is guanos... :) the speaker, in my opinion, is a bit dirty and dull, even if wav plays without loss;  - the program for working with the computer does not work at all, even downloaded;  - when there is an incoming call, the melody plays at 0 volume for the first 1-1.5 seconds, and then sharply increases to the set volume. The manufacturer commented on this as a feature; they won’t fix it along the way. Actually, that’s it. If such shortcomings are not critical, then take it - you won’t regret it.</v>
      </c>
    </row>
    <row r="11336" spans="1:9" x14ac:dyDescent="0.3">
      <c r="A11336" s="1" t="s">
        <v>211</v>
      </c>
      <c r="B11336" s="1" t="s">
        <v>515</v>
      </c>
      <c r="C11336" s="1" t="s">
        <v>213</v>
      </c>
      <c r="D11336" s="1" t="s">
        <v>46</v>
      </c>
      <c r="E11336" s="1" t="s">
        <v>661</v>
      </c>
      <c r="F11336" s="1" t="s">
        <v>16218</v>
      </c>
      <c r="G11336" s="1" t="s">
        <v>36</v>
      </c>
      <c r="H11336" s="1" t="s">
        <v>29</v>
      </c>
      <c r="I11336" s="1" t="str">
        <f ca="1">IFERROR(__xludf.DUMMYFUNCTION("GOOGLETRANSLATE(F11336, ""auto"", ""en"")
"),"Very good epilator, almost no pain, no irritation, smooth legs! I recommend it to everyone!")</f>
        <v>Very good epilator, almost no pain, no irritation, smooth legs! I recommend it to everyone!</v>
      </c>
    </row>
    <row r="11337" spans="1:9" x14ac:dyDescent="0.3">
      <c r="A11337" s="1" t="s">
        <v>61</v>
      </c>
      <c r="B11337" s="1" t="s">
        <v>62</v>
      </c>
      <c r="C11337" s="1" t="s">
        <v>146</v>
      </c>
      <c r="D11337" s="1" t="s">
        <v>16219</v>
      </c>
      <c r="E11337" s="1" t="s">
        <v>3811</v>
      </c>
      <c r="F11337" s="1" t="s">
        <v>16220</v>
      </c>
      <c r="G11337" s="1" t="s">
        <v>36</v>
      </c>
      <c r="H11337" s="1" t="s">
        <v>29</v>
      </c>
      <c r="I11337" s="1" t="str">
        <f ca="1">IFERROR(__xludf.DUMMYFUNCTION("GOOGLETRANSLATE(F11337, ""auto"", ""en"")
"),"I've been using it for 5 years. I'm very pleased. While it was new, the motor winding smelled when working, then it went away, it copes with its functions at 5. I load it very heavily during the winding period, nothing, it works properly. It's a pity it d"&amp;"oesn't knead stiff dough.")</f>
        <v>I've been using it for 5 years. I'm very pleased. While it was new, the motor winding smelled when working, then it went away, it copes with its functions at 5. I load it very heavily during the winding period, nothing, it works properly. It's a pity it doesn't knead stiff dough.</v>
      </c>
    </row>
    <row r="11338" spans="1:9" x14ac:dyDescent="0.3">
      <c r="A11338" s="1" t="s">
        <v>361</v>
      </c>
      <c r="B11338" s="1" t="s">
        <v>2555</v>
      </c>
      <c r="C11338" s="1" t="s">
        <v>875</v>
      </c>
      <c r="D11338" s="1" t="s">
        <v>16221</v>
      </c>
      <c r="E11338" s="1" t="s">
        <v>1504</v>
      </c>
      <c r="F11338" s="1" t="s">
        <v>16222</v>
      </c>
      <c r="G11338" s="1" t="s">
        <v>36</v>
      </c>
      <c r="H11338" s="1" t="s">
        <v>29</v>
      </c>
      <c r="I11338" s="1" t="str">
        <f ca="1">IFERROR(__xludf.DUMMYFUNCTION("GOOGLETRANSLATE(F11338, ""auto"", ""en"")
"),"Thermos - deserves respect and praise: - the handle is very pleasant to hold in the hand, the material of the handle allows you to confidently hold the thermos even with wet palms/arms, a huge advantage is its presence at all, holding the metal body with "&amp;"your hands in the cold is very cold, even in insulating agents;  - rubber reinforcements around the body additionally protect the already robust structure and prevent the thermos from slipping when tipped over on snow;  - rubber bottom allows you to insta"&amp;"ll the thermos on slippery surfaces, such as a car hood;  - the lid/glass has an optimal ratio of shape and volume, when filled a quarter - it does not spill with slight shaking, very important when driving in transport;  - the screw cap is made of plasti"&amp;"c with a rubber/silicone seal, has longitudinal sections on both sides and allows you to use a thermos without completely unscrewing the cap, thereby maintaining the temperature of the liquid inside the vessel;  - the stainless steel flask is mounted in t"&amp;"he supporting part of the body using TherMax technology.  According to the manufacturer, the thermos retains the temperature of the liquid for 24 hours, in turn, I can assure you that hot tea was poured into the thermos at about +85° and then it was left "&amp;"in the open air at -20° for 8 hours, after which the thermos was opened and the tea was just as hot. The warranty period and service specified in the manufacturer's warranty card are 10 years.")</f>
        <v>Thermos - deserves respect and praise: - the handle is very pleasant to hold in the hand, the material of the handle allows you to confidently hold the thermos even with wet palms/arms, a huge advantage is its presence at all, holding the metal body with your hands in the cold is very cold, even in insulating agents;  - rubber reinforcements around the body additionally protect the already robust structure and prevent the thermos from slipping when tipped over on snow;  - rubber bottom allows you to install the thermos on slippery surfaces, such as a car hood;  - the lid/glass has an optimal ratio of shape and volume, when filled a quarter - it does not spill with slight shaking, very important when driving in transport;  - the screw cap is made of plastic with a rubber/silicone seal, has longitudinal sections on both sides and allows you to use a thermos without completely unscrewing the cap, thereby maintaining the temperature of the liquid inside the vessel;  - the stainless steel flask is mounted in the supporting part of the body using TherMax technology.  According to the manufacturer, the thermos retains the temperature of the liquid for 24 hours, in turn, I can assure you that hot tea was poured into the thermos at about +85° and then it was left in the open air at -20° for 8 hours, after which the thermos was opened and the tea was just as hot. The warranty period and service specified in the manufacturer's warranty card are 10 years.</v>
      </c>
    </row>
    <row r="11339" spans="1:9" x14ac:dyDescent="0.3">
      <c r="A11339" s="1" t="s">
        <v>61</v>
      </c>
      <c r="B11339" s="1" t="s">
        <v>180</v>
      </c>
      <c r="C11339" s="1" t="s">
        <v>74</v>
      </c>
      <c r="D11339" s="1" t="s">
        <v>64</v>
      </c>
      <c r="E11339" s="1" t="s">
        <v>4251</v>
      </c>
      <c r="F11339" s="1" t="s">
        <v>16223</v>
      </c>
      <c r="G11339" s="1" t="s">
        <v>36</v>
      </c>
      <c r="H11339" s="1" t="s">
        <v>29</v>
      </c>
      <c r="I11339" s="1" t="str">
        <f ca="1">IFERROR(__xludf.DUMMYFUNCTION("GOOGLETRANSLATE(F11339, ""auto"", ""en"")
"),"We were given such a thing about 2 years ago. You just can’t do without hot sandwiches in the morning! And so that the bread is not soft (as in some of the previous reviews), you just need to fry it longer and that’s it! It will be crispy. They couldn't l"&amp;"ive without her. But one day I tried to wash it with a sponge and scratched the entire coating. Everything started to burn. But I didn’t want to give up such a useful thing and here we are again! Hooray!")</f>
        <v>We were given such a thing about 2 years ago. You just can’t do without hot sandwiches in the morning! And so that the bread is not soft (as in some of the previous reviews), you just need to fry it longer and that’s it! It will be crispy. They couldn't live without her. But one day I tried to wash it with a sponge and scratched the entire coating. Everything started to burn. But I didn’t want to give up such a useful thing and here we are again! Hooray!</v>
      </c>
    </row>
    <row r="11340" spans="1:9" x14ac:dyDescent="0.3">
      <c r="A11340" s="1" t="s">
        <v>61</v>
      </c>
      <c r="B11340" s="1" t="s">
        <v>180</v>
      </c>
      <c r="C11340" s="1" t="s">
        <v>69</v>
      </c>
      <c r="D11340" s="1" t="s">
        <v>280</v>
      </c>
      <c r="E11340" s="1" t="s">
        <v>1504</v>
      </c>
      <c r="F11340" s="1" t="s">
        <v>16224</v>
      </c>
      <c r="G11340" s="1" t="s">
        <v>36</v>
      </c>
      <c r="H11340" s="1" t="s">
        <v>29</v>
      </c>
      <c r="I11340" s="1" t="str">
        <f ca="1">IFERROR(__xludf.DUMMYFUNCTION("GOOGLETRANSLATE(F11340, ""auto"", ""en"")
"),"I bought this toaster the other day. A very good unit, there are no disadvantages in it, the bread turns out tasty and has a crust depending on the heating temperature. Very good toaster, I recommend it to everyone!")</f>
        <v>I bought this toaster the other day. A very good unit, there are no disadvantages in it, the bread turns out tasty and has a crust depending on the heating temperature. Very good toaster, I recommend it to everyone!</v>
      </c>
    </row>
    <row r="11341" spans="1:9" x14ac:dyDescent="0.3">
      <c r="A11341" s="1" t="s">
        <v>120</v>
      </c>
      <c r="B11341" s="1" t="s">
        <v>196</v>
      </c>
      <c r="C11341" s="1" t="s">
        <v>151</v>
      </c>
      <c r="D11341" s="1" t="s">
        <v>319</v>
      </c>
      <c r="E11341" s="1" t="s">
        <v>3652</v>
      </c>
      <c r="F11341" s="1" t="s">
        <v>16225</v>
      </c>
      <c r="G11341" s="1" t="s">
        <v>36</v>
      </c>
      <c r="H11341" s="1" t="s">
        <v>29</v>
      </c>
      <c r="I11341" s="1" t="str">
        <f ca="1">IFERROR(__xludf.DUMMYFUNCTION("GOOGLETRANSLATE(F11341, ""auto"", ""en"")
"),"My impressions are as follows: as expected from Samsung - good price/quality ratio.  Excellent black color, no distortion on the “creeping line”, rich (but user-adjustable) colors and brightness, successful adaptation of the television signal to the scree"&amp;"n format, a large set of individual settings, decent (for an LCD) sound, a passable image of TV channels (I have TKT), etc., etc. In general, I got everything I expected from the residential complex. I use it in tandem with Sony Playststion 3, the tandem "&amp;"is excellent. Via HDMI, the picture is great, even games, even movies (well, there’s nothing to say about blue-ray). AVI (MPEG-4) files downloaded from the network are played with a bang and in decent quality (although the resolution of avi files is lower"&amp;"). In other words, if you are not a complete gourmet of color rendering (and accepted only by you) and a connoisseur of the purest hi-end sound, then the model will please you - it has everything you need and even more. The remote control is ugly - the on"&amp;"ly negative (though I didn’t evaluate other manufacturers). Maybe I was lucky, but the copy “from the display case” has no scratches, no abrasions, no dead pixels... Well, being careful when purchasing never hurts, regardless of the manufacturer’s brand.")</f>
        <v>My impressions are as follows: as expected from Samsung - good price/quality ratio.  Excellent black color, no distortion on the “creeping line”, rich (but user-adjustable) colors and brightness, successful adaptation of the television signal to the screen format, a large set of individual settings, decent (for an LCD) sound, a passable image of TV channels (I have TKT), etc., etc. In general, I got everything I expected from the residential complex. I use it in tandem with Sony Playststion 3, the tandem is excellent. Via HDMI, the picture is great, even games, even movies (well, there’s nothing to say about blue-ray). AVI (MPEG-4) files downloaded from the network are played with a bang and in decent quality (although the resolution of avi files is lower). In other words, if you are not a complete gourmet of color rendering (and accepted only by you) and a connoisseur of the purest hi-end sound, then the model will please you - it has everything you need and even more. The remote control is ugly - the only negative (though I didn’t evaluate other manufacturers). Maybe I was lucky, but the copy “from the display case” has no scratches, no abrasions, no dead pixels... Well, being careful when purchasing never hurts, regardless of the manufacturer’s brand.</v>
      </c>
    </row>
    <row r="11342" spans="1:9" x14ac:dyDescent="0.3">
      <c r="A11342" s="1" t="s">
        <v>149</v>
      </c>
      <c r="B11342" s="1" t="s">
        <v>155</v>
      </c>
      <c r="C11342" s="1" t="s">
        <v>151</v>
      </c>
      <c r="D11342" s="1" t="s">
        <v>39</v>
      </c>
      <c r="E11342" s="1" t="s">
        <v>13209</v>
      </c>
      <c r="F11342" s="1" t="s">
        <v>16226</v>
      </c>
      <c r="G11342" s="1" t="s">
        <v>36</v>
      </c>
      <c r="H11342" s="1" t="s">
        <v>29</v>
      </c>
      <c r="I11342" s="1" t="str">
        <f ca="1">IFERROR(__xludf.DUMMYFUNCTION("GOOGLETRANSLATE(F11342, ""auto"", ""en"")
"),"I took it three years ago. I wash one filter about once every three months, the second only after cleaning up construction waste. It still works without any complaints. The only negative is that the power is not adjustable.")</f>
        <v>I took it three years ago. I wash one filter about once every three months, the second only after cleaning up construction waste. It still works without any complaints. The only negative is that the power is not adjustable.</v>
      </c>
    </row>
    <row r="11343" spans="1:9" x14ac:dyDescent="0.3">
      <c r="A11343" s="1" t="s">
        <v>149</v>
      </c>
      <c r="B11343" s="1" t="s">
        <v>155</v>
      </c>
      <c r="C11343" s="1" t="s">
        <v>151</v>
      </c>
      <c r="D11343" s="1" t="s">
        <v>420</v>
      </c>
      <c r="E11343" s="1" t="s">
        <v>1553</v>
      </c>
      <c r="F11343" s="1" t="s">
        <v>16227</v>
      </c>
      <c r="G11343" s="1" t="s">
        <v>28</v>
      </c>
      <c r="H11343" s="1" t="s">
        <v>29</v>
      </c>
      <c r="I11343" s="1" t="str">
        <f ca="1">IFERROR(__xludf.DUMMYFUNCTION("GOOGLETRANSLATE(F11343, ""auto"", ""en"")
"),"I personally liked the design of the vacuum cleaner. It’s small and convenient. I bought it six months ago. I’m also happy with the vacuum cleaner.. the fact that it’s bagless, but the downside is washing the filters. There’s a topic about this, but it’s "&amp;"not done every time, but once a month. The traction is excellent. I also liked the folding tube i.e. you adjust it to your height.")</f>
        <v>I personally liked the design of the vacuum cleaner. It’s small and convenient. I bought it six months ago. I’m also happy with the vacuum cleaner.. the fact that it’s bagless, but the downside is washing the filters. There’s a topic about this, but it’s not done every time, but once a month. The traction is excellent. I also liked the folding tube i.e. you adjust it to your height.</v>
      </c>
    </row>
    <row r="11344" spans="1:9" x14ac:dyDescent="0.3">
      <c r="A11344" s="1" t="s">
        <v>369</v>
      </c>
      <c r="B11344" s="1" t="s">
        <v>587</v>
      </c>
      <c r="C11344" s="1" t="s">
        <v>63</v>
      </c>
      <c r="D11344" s="1" t="s">
        <v>86</v>
      </c>
      <c r="E11344" s="1" t="s">
        <v>16228</v>
      </c>
      <c r="F11344" s="1" t="s">
        <v>16229</v>
      </c>
      <c r="G11344" s="1" t="s">
        <v>36</v>
      </c>
      <c r="H11344" s="1" t="s">
        <v>29</v>
      </c>
      <c r="I11344" s="1" t="str">
        <f ca="1">IFERROR(__xludf.DUMMYFUNCTION("GOOGLETRANSLATE(F11344, ""auto"", ""en"")
"),"It took me a long time to choose which one to get, I chose it, I bought it for 30,000 rubles for two years, it works without any complaints until now, everything is ok, take it, I advise you won’t regret it, minus it doesn’t show the temperature on the di"&amp;"splay")</f>
        <v>It took me a long time to choose which one to get, I chose it, I bought it for 30,000 rubles for two years, it works without any complaints until now, everything is ok, take it, I advise you won’t regret it, minus it doesn’t show the temperature on the display</v>
      </c>
    </row>
    <row r="11345" spans="1:9" x14ac:dyDescent="0.3">
      <c r="A11345" s="1" t="s">
        <v>557</v>
      </c>
      <c r="B11345" s="1" t="s">
        <v>558</v>
      </c>
      <c r="C11345" s="1" t="s">
        <v>816</v>
      </c>
      <c r="D11345" s="1" t="s">
        <v>896</v>
      </c>
      <c r="E11345" s="1" t="s">
        <v>53</v>
      </c>
      <c r="F11345" s="1" t="s">
        <v>16230</v>
      </c>
      <c r="G11345" s="1" t="s">
        <v>49</v>
      </c>
      <c r="H11345" s="1" t="s">
        <v>16</v>
      </c>
      <c r="I11345" s="1" t="str">
        <f ca="1">IFERROR(__xludf.DUMMYFUNCTION("GOOGLETRANSLATE(F11345, ""auto"", ""en"")
"),"We have this phone, sometimes it rings in the middle of the night, sometimes we can’t turn it off, sometimes we can’t turn it on, and the alarm didn’t go off twice. Charging drains VERY quickly. FI.")</f>
        <v>We have this phone, sometimes it rings in the middle of the night, sometimes we can’t turn it off, sometimes we can’t turn it on, and the alarm didn’t go off twice. Charging drains VERY quickly. FI.</v>
      </c>
    </row>
    <row r="11346" spans="1:9" x14ac:dyDescent="0.3">
      <c r="A11346" s="1" t="s">
        <v>95</v>
      </c>
      <c r="B11346" s="1" t="s">
        <v>227</v>
      </c>
      <c r="C11346" s="1" t="s">
        <v>97</v>
      </c>
      <c r="D11346" s="1" t="s">
        <v>186</v>
      </c>
      <c r="E11346" s="1" t="s">
        <v>1571</v>
      </c>
      <c r="F11346" s="1" t="s">
        <v>16231</v>
      </c>
      <c r="G11346" s="1" t="s">
        <v>36</v>
      </c>
      <c r="H11346" s="1" t="s">
        <v>29</v>
      </c>
      <c r="I11346" s="1" t="str">
        <f ca="1">IFERROR(__xludf.DUMMYFUNCTION("GOOGLETRANSLATE(F11346, ""auto"", ""en"")
"),"The best thing in my opinion!  Buy it, you won't regret it.")</f>
        <v>The best thing in my opinion!  Buy it, you won't regret it.</v>
      </c>
    </row>
    <row r="11347" spans="1:9" x14ac:dyDescent="0.3">
      <c r="A11347" s="1" t="s">
        <v>211</v>
      </c>
      <c r="B11347" s="1" t="s">
        <v>410</v>
      </c>
      <c r="C11347" s="1" t="s">
        <v>122</v>
      </c>
      <c r="D11347" s="1" t="s">
        <v>1152</v>
      </c>
      <c r="E11347" s="1" t="s">
        <v>2724</v>
      </c>
      <c r="F11347" s="1" t="s">
        <v>16232</v>
      </c>
      <c r="G11347" s="1" t="s">
        <v>36</v>
      </c>
      <c r="H11347" s="1" t="s">
        <v>29</v>
      </c>
      <c r="I11347" s="1" t="str">
        <f ca="1">IFERROR(__xludf.DUMMYFUNCTION("GOOGLETRANSLATE(F11347, ""auto"", ""en"")
"),"The razor is good, but after a year the blades become dull, it is out of stock in the store, but you can buy a cutting unit for an electric razor Panasonic WES9064Y1361, remove the blades from it and replace it with the unit of your razor")</f>
        <v>The razor is good, but after a year the blades become dull, it is out of stock in the store, but you can buy a cutting unit for an electric razor Panasonic WES9064Y1361, remove the blades from it and replace it with the unit of your razor</v>
      </c>
    </row>
    <row r="11348" spans="1:9" x14ac:dyDescent="0.3">
      <c r="A11348" s="1" t="s">
        <v>120</v>
      </c>
      <c r="B11348" s="1" t="s">
        <v>196</v>
      </c>
      <c r="C11348" s="1" t="s">
        <v>69</v>
      </c>
      <c r="D11348" s="1" t="s">
        <v>305</v>
      </c>
      <c r="E11348" s="1" t="s">
        <v>1245</v>
      </c>
      <c r="F11348" s="1" t="s">
        <v>16233</v>
      </c>
      <c r="G11348" s="1" t="s">
        <v>28</v>
      </c>
      <c r="H11348" s="1" t="s">
        <v>29</v>
      </c>
      <c r="I11348" s="1" t="str">
        <f ca="1">IFERROR(__xludf.DUMMYFUNCTION("GOOGLETRANSLATE(F11348, ""auto"", ""en"")
"),"The picture quality is amazing!!!  the rest is different.  It takes a long time to load, so sometimes the menu slows down.  via USB flash drive it plays like crap, Avihi files larger than 1 GB slow down, and the sound control is disabled.  The assembly is"&amp;" Kaliningrad, maybe because of this it sometimes crackles when you turn up the volume a little, the sound quality is not very good, otherwise everything is convenient and super.  As I understand it, the USB port is here purely for beauty, in terms of usab"&amp;"ility, in general, the TV is good for pictures, to watch high-quality movies you will have to take a media player, and of course the sound")</f>
        <v>The picture quality is amazing!!!  the rest is different.  It takes a long time to load, so sometimes the menu slows down.  via USB flash drive it plays like crap, Avihi files larger than 1 GB slow down, and the sound control is disabled.  The assembly is Kaliningrad, maybe because of this it sometimes crackles when you turn up the volume a little, the sound quality is not very good, otherwise everything is convenient and super.  As I understand it, the USB port is here purely for beauty, in terms of usability, in general, the TV is good for pictures, to watch high-quality movies you will have to take a media player, and of course the sound</v>
      </c>
    </row>
    <row r="11349" spans="1:9" x14ac:dyDescent="0.3">
      <c r="A11349" s="1" t="s">
        <v>361</v>
      </c>
      <c r="B11349" s="1" t="s">
        <v>1077</v>
      </c>
      <c r="C11349" s="1" t="s">
        <v>561</v>
      </c>
      <c r="D11349" s="1" t="s">
        <v>114</v>
      </c>
      <c r="E11349" s="1" t="s">
        <v>2577</v>
      </c>
      <c r="F11349" s="1" t="s">
        <v>16234</v>
      </c>
      <c r="G11349" s="1" t="s">
        <v>49</v>
      </c>
      <c r="H11349" s="1" t="s">
        <v>16</v>
      </c>
      <c r="I11349" s="1" t="str">
        <f ca="1">IFERROR(__xludf.DUMMYFUNCTION("GOOGLETRANSLATE(F11349, ""auto"", ""en"")
"),"The kettle was purchased a year ago, after 6 months I noticed rust all around inside the kettle, it looks like the junction of the bottom and sides is rusting. The handle with the button, although rubberized, sometimes still gets very hot, you can’t take "&amp;"it with your bare hand, this is one of the disadvantages.")</f>
        <v>The kettle was purchased a year ago, after 6 months I noticed rust all around inside the kettle, it looks like the junction of the bottom and sides is rusting. The handle with the button, although rubberized, sometimes still gets very hot, you can’t take it with your bare hand, this is one of the disadvantages.</v>
      </c>
    </row>
    <row r="11350" spans="1:9" x14ac:dyDescent="0.3">
      <c r="A11350" s="1" t="s">
        <v>211</v>
      </c>
      <c r="B11350" s="1" t="s">
        <v>265</v>
      </c>
      <c r="C11350" s="1" t="s">
        <v>57</v>
      </c>
      <c r="D11350" s="1" t="s">
        <v>1917</v>
      </c>
      <c r="E11350" s="1" t="s">
        <v>559</v>
      </c>
      <c r="F11350" s="1" t="s">
        <v>16235</v>
      </c>
      <c r="G11350" s="1" t="s">
        <v>49</v>
      </c>
      <c r="H11350" s="1" t="s">
        <v>16</v>
      </c>
      <c r="I11350" s="1" t="str">
        <f ca="1">IFERROR(__xludf.DUMMYFUNCTION("GOOGLETRANSLATE(F11350, ""auto"", ""en"")
"),"It is a low-power, low-quality machine; it will not last long due to the weak pressure spring, which quickly breaks. don't waste your money on such garbage")</f>
        <v>It is a low-power, low-quality machine; it will not last long due to the weak pressure spring, which quickly breaks. don't waste your money on such garbage</v>
      </c>
    </row>
    <row r="11351" spans="1:9" x14ac:dyDescent="0.3">
      <c r="A11351" s="1" t="s">
        <v>369</v>
      </c>
      <c r="B11351" s="1" t="s">
        <v>2480</v>
      </c>
      <c r="C11351" s="1" t="s">
        <v>453</v>
      </c>
      <c r="D11351" s="1" t="s">
        <v>75</v>
      </c>
      <c r="E11351" s="1" t="s">
        <v>3694</v>
      </c>
      <c r="F11351" s="1" t="s">
        <v>16236</v>
      </c>
      <c r="G11351" s="1" t="s">
        <v>49</v>
      </c>
      <c r="H11351" s="1" t="s">
        <v>16</v>
      </c>
      <c r="I11351" s="1" t="str">
        <f ca="1">IFERROR(__xludf.DUMMYFUNCTION("GOOGLETRANSLATE(F11351, ""auto"", ""en"")
"),"The stove works great in terms of heating speed, but after 2 months of careful use it broke. I live in a hostel; on average, a good stove lasts for a year; if you cook constantly, this model is a disappointment.")</f>
        <v>The stove works great in terms of heating speed, but after 2 months of careful use it broke. I live in a hostel; on average, a good stove lasts for a year; if you cook constantly, this model is a disappointment.</v>
      </c>
    </row>
    <row r="11352" spans="1:9" x14ac:dyDescent="0.3">
      <c r="A11352" s="1" t="s">
        <v>120</v>
      </c>
      <c r="B11352" s="1" t="s">
        <v>121</v>
      </c>
      <c r="C11352" s="1" t="s">
        <v>1677</v>
      </c>
      <c r="D11352" s="1" t="s">
        <v>345</v>
      </c>
      <c r="E11352" s="1" t="s">
        <v>903</v>
      </c>
      <c r="F11352" s="1" t="s">
        <v>16237</v>
      </c>
      <c r="G11352" s="1" t="s">
        <v>36</v>
      </c>
      <c r="H11352" s="1" t="s">
        <v>29</v>
      </c>
      <c r="I11352" s="1" t="str">
        <f ca="1">IFERROR(__xludf.DUMMYFUNCTION("GOOGLETRANSLATE(F11352, ""auto"", ""en"")
"),"I initially looked at the Philips 5604, but as it turned out there was a big drawback: the Russian assembly does not read video files, and the Hungarian one, of course, cannot :), so I took the Sharp and I don’t regret this purchase at all! It reads every"&amp;"thing, even connected a 250GB screw, everything was rushing without any brakes! The menu is simple and convenient! In general, it’s a worthwhile device, I’m satisfied!")</f>
        <v>I initially looked at the Philips 5604, but as it turned out there was a big drawback: the Russian assembly does not read video files, and the Hungarian one, of course, cannot :), so I took the Sharp and I don’t regret this purchase at all! It reads everything, even connected a 250GB screw, everything was rushing without any brakes! The menu is simple and convenient! In general, it’s a worthwhile device, I’m satisfied!</v>
      </c>
    </row>
    <row r="11353" spans="1:9" x14ac:dyDescent="0.3">
      <c r="A11353" s="1" t="s">
        <v>211</v>
      </c>
      <c r="B11353" s="1" t="s">
        <v>212</v>
      </c>
      <c r="C11353" s="1" t="s">
        <v>294</v>
      </c>
      <c r="D11353" s="1" t="s">
        <v>335</v>
      </c>
      <c r="E11353" s="1" t="s">
        <v>233</v>
      </c>
      <c r="F11353" s="1" t="s">
        <v>16238</v>
      </c>
      <c r="G11353" s="1" t="s">
        <v>36</v>
      </c>
      <c r="H11353" s="1" t="s">
        <v>29</v>
      </c>
      <c r="I11353" s="1" t="str">
        <f ca="1">IFERROR(__xludf.DUMMYFUNCTION("GOOGLETRANSLATE(F11353, ""auto"", ""en"")
"),"I was given this straightener for New Year. wonderful thing. Straightens well, quickly.  It’s worth starting with the box itself. Lacquered with black velvet, it already impressed. Along with the curling iron there is a storage bag, an electric eyelash cu"&amp;"rler and a set of brushes with a cosmetic bag, I was absolutely delighted!")</f>
        <v>I was given this straightener for New Year. wonderful thing. Straightens well, quickly.  It’s worth starting with the box itself. Lacquered with black velvet, it already impressed. Along with the curling iron there is a storage bag, an electric eyelash curler and a set of brushes with a cosmetic bag, I was absolutely delighted!</v>
      </c>
    </row>
    <row r="11354" spans="1:9" x14ac:dyDescent="0.3">
      <c r="A11354" s="1" t="s">
        <v>149</v>
      </c>
      <c r="B11354" s="1" t="s">
        <v>155</v>
      </c>
      <c r="C11354" s="1" t="s">
        <v>63</v>
      </c>
      <c r="D11354" s="1" t="s">
        <v>10177</v>
      </c>
      <c r="E11354" s="1" t="s">
        <v>4069</v>
      </c>
      <c r="F11354" s="1" t="s">
        <v>16239</v>
      </c>
      <c r="G11354" s="1" t="s">
        <v>15</v>
      </c>
      <c r="H11354" s="1" t="s">
        <v>16</v>
      </c>
      <c r="I11354" s="1" t="str">
        <f ca="1">IFERROR(__xludf.DUMMYFUNCTION("GOOGLETRANSLATE(F11354, ""auto"", ""en"")
"),"Discount and that's it")</f>
        <v>Discount and that's it</v>
      </c>
    </row>
    <row r="11355" spans="1:9" x14ac:dyDescent="0.3">
      <c r="A11355" s="1" t="s">
        <v>43</v>
      </c>
      <c r="B11355" s="1" t="s">
        <v>1370</v>
      </c>
      <c r="C11355" s="1" t="s">
        <v>159</v>
      </c>
      <c r="D11355" s="1" t="s">
        <v>52</v>
      </c>
      <c r="E11355" s="1" t="s">
        <v>4157</v>
      </c>
      <c r="F11355" s="1" t="s">
        <v>16240</v>
      </c>
      <c r="G11355" s="1" t="s">
        <v>36</v>
      </c>
      <c r="H11355" s="1" t="s">
        <v>29</v>
      </c>
      <c r="I11355" s="1" t="str">
        <f ca="1">IFERROR(__xludf.DUMMYFUNCTION("GOOGLETRANSLATE(F11355, ""auto"", ""en"")
"),"To the post above, I will answer that to install any water heater you need a specialist. For flow electrician, for storage plumber.")</f>
        <v>To the post above, I will answer that to install any water heater you need a specialist. For flow electrician, for storage plumber.</v>
      </c>
    </row>
    <row r="11356" spans="1:9" x14ac:dyDescent="0.3">
      <c r="A11356" s="1" t="s">
        <v>17</v>
      </c>
      <c r="B11356" s="1" t="s">
        <v>18</v>
      </c>
      <c r="C11356" s="1" t="s">
        <v>151</v>
      </c>
      <c r="D11356" s="1" t="s">
        <v>3108</v>
      </c>
      <c r="E11356" s="1" t="s">
        <v>201</v>
      </c>
      <c r="F11356" s="1" t="s">
        <v>16241</v>
      </c>
      <c r="G11356" s="1" t="s">
        <v>49</v>
      </c>
      <c r="H11356" s="1" t="s">
        <v>16</v>
      </c>
      <c r="I11356" s="1" t="str">
        <f ca="1">IFERROR(__xludf.DUMMYFUNCTION("GOOGLETRANSLATE(F11356, ""auto"", ""en"")
"),"In the third year of operation, the machine grunted and the water pump broke. Two months later there was another breakdown, the electrical unit was covered (cost 5-6 thousand). In total, 7 pieces for repairs. how much more money needs to be invested. I do"&amp;"n't trust this company anymore!!!")</f>
        <v>In the third year of operation, the machine grunted and the water pump broke. Two months later there was another breakdown, the electrical unit was covered (cost 5-6 thousand). In total, 7 pieces for repairs. how much more money needs to be invested. I don't trust this company anymore!!!</v>
      </c>
    </row>
    <row r="11357" spans="1:9" x14ac:dyDescent="0.3">
      <c r="A11357" s="1" t="s">
        <v>149</v>
      </c>
      <c r="B11357" s="1" t="s">
        <v>155</v>
      </c>
      <c r="C11357" s="1" t="s">
        <v>63</v>
      </c>
      <c r="D11357" s="1" t="s">
        <v>308</v>
      </c>
      <c r="E11357" s="1" t="s">
        <v>6638</v>
      </c>
      <c r="F11357" s="1" t="s">
        <v>16242</v>
      </c>
      <c r="G11357" s="1" t="s">
        <v>36</v>
      </c>
      <c r="H11357" s="1" t="s">
        <v>29</v>
      </c>
      <c r="I11357" s="1" t="str">
        <f ca="1">IFERROR(__xludf.DUMMYFUNCTION("GOOGLETRANSLATE(F11357, ""auto"", ""en"")
"),"Great vacuum cleaner! We use a bag and container, it works great. The carpet is being torn off the floor! It works quite quietly at medium power. I recommend!")</f>
        <v>Great vacuum cleaner! We use a bag and container, it works great. The carpet is being torn off the floor! It works quite quietly at medium power. I recommend!</v>
      </c>
    </row>
    <row r="11358" spans="1:9" x14ac:dyDescent="0.3">
      <c r="A11358" s="1" t="s">
        <v>17</v>
      </c>
      <c r="B11358" s="1" t="s">
        <v>18</v>
      </c>
      <c r="C11358" s="1" t="s">
        <v>243</v>
      </c>
      <c r="D11358" s="1" t="s">
        <v>305</v>
      </c>
      <c r="E11358" s="1" t="s">
        <v>16243</v>
      </c>
      <c r="F11358" s="1" t="s">
        <v>16244</v>
      </c>
      <c r="G11358" s="1" t="s">
        <v>36</v>
      </c>
      <c r="H11358" s="1" t="s">
        <v>29</v>
      </c>
      <c r="I11358" s="1" t="str">
        <f ca="1">IFERROR(__xludf.DUMMYFUNCTION("GOOGLETRANSLATE(F11358, ""auto"", ""en"")
"),"An excellent machine, I bought it in the M.Video store in Kurgan, it has been working for three years without any problems.")</f>
        <v>An excellent machine, I bought it in the M.Video store in Kurgan, it has been working for three years without any problems.</v>
      </c>
    </row>
    <row r="11359" spans="1:9" x14ac:dyDescent="0.3">
      <c r="A11359" s="1" t="s">
        <v>238</v>
      </c>
      <c r="B11359" s="1" t="s">
        <v>276</v>
      </c>
      <c r="C11359" s="1" t="s">
        <v>1677</v>
      </c>
      <c r="D11359" s="1" t="s">
        <v>139</v>
      </c>
      <c r="E11359" s="1" t="s">
        <v>3166</v>
      </c>
      <c r="F11359" s="1" t="s">
        <v>16245</v>
      </c>
      <c r="G11359" s="1" t="s">
        <v>28</v>
      </c>
      <c r="H11359" s="1" t="s">
        <v>29</v>
      </c>
      <c r="I11359" s="1" t="str">
        <f ca="1">IFERROR(__xludf.DUMMYFUNCTION("GOOGLETRANSLATE(F11359, ""auto"", ""en"")
"),"I bought a Sharp-482 two months ago during a promotion. Before that I was watching it for more than six months. I really liked it. The color is steel, height 180, width 68, it works really very quietly, especially after our Biryusa, only sometimes you can"&amp;" hear the gurgling of the refrigerant. The side walls are a little warm. Only the operation of the ionizer is unclear - it is written in the advertisement that there will be no smell of the products - bacteria will be suppressed. For me There was such a c"&amp;"ase in the store, I bought a brisket, it was a little damp in the bag, they put it on a saucer without a lid in the refrigerator to dry. We left for nature. Two days later we returned - the brisket was normal, and the entire refrigerator and freezer smell"&amp;"ed like brisket. I had to wash it.")</f>
        <v>I bought a Sharp-482 two months ago during a promotion. Before that I was watching it for more than six months. I really liked it. The color is steel, height 180, width 68, it works really very quietly, especially after our Biryusa, only sometimes you can hear the gurgling of the refrigerant. The side walls are a little warm. Only the operation of the ionizer is unclear - it is written in the advertisement that there will be no smell of the products - bacteria will be suppressed. For me There was such a case in the store, I bought a brisket, it was a little damp in the bag, they put it on a saucer without a lid in the refrigerator to dry. We left for nature. Two days later we returned - the brisket was normal, and the entire refrigerator and freezer smelled like brisket. I had to wash it.</v>
      </c>
    </row>
    <row r="11360" spans="1:9" x14ac:dyDescent="0.3">
      <c r="A11360" s="1" t="s">
        <v>30</v>
      </c>
      <c r="B11360" s="1" t="s">
        <v>50</v>
      </c>
      <c r="C11360" s="1" t="s">
        <v>377</v>
      </c>
      <c r="D11360" s="1" t="s">
        <v>8096</v>
      </c>
      <c r="E11360" s="1" t="s">
        <v>449</v>
      </c>
      <c r="F11360" s="1" t="s">
        <v>16246</v>
      </c>
      <c r="G11360" s="1" t="s">
        <v>36</v>
      </c>
      <c r="H11360" s="1" t="s">
        <v>29</v>
      </c>
      <c r="I11360" s="1" t="str">
        <f ca="1">IFERROR(__xludf.DUMMYFUNCTION("GOOGLETRANSLATE(F11360, ""auto"", ""en"")
"),"I recommend everyone to buy a laptop)) I’ve had it for 5 months and it’s working fine and new games run fine (Battlefield Bad Company 2 and Cal of Duty Mode Warfire 2) Windows 7 just slows down, but it works fine.")</f>
        <v>I recommend everyone to buy a laptop)) I’ve had it for 5 months and it’s working fine and new games run fine (Battlefield Bad Company 2 and Cal of Duty Mode Warfire 2) Windows 7 just slows down, but it works fine.</v>
      </c>
    </row>
    <row r="11361" spans="1:9" x14ac:dyDescent="0.3">
      <c r="A11361" s="1" t="s">
        <v>120</v>
      </c>
      <c r="B11361" s="1" t="s">
        <v>256</v>
      </c>
      <c r="C11361" s="1" t="s">
        <v>1008</v>
      </c>
      <c r="D11361" s="1" t="s">
        <v>4281</v>
      </c>
      <c r="E11361" s="1" t="s">
        <v>717</v>
      </c>
      <c r="F11361" s="1" t="s">
        <v>16247</v>
      </c>
      <c r="G11361" s="1" t="s">
        <v>36</v>
      </c>
      <c r="H11361" s="1" t="s">
        <v>29</v>
      </c>
      <c r="I11361" s="1" t="str">
        <f ca="1">IFERROR(__xludf.DUMMYFUNCTION("GOOGLETRANSLATE(F11361, ""auto"", ""en"")
"),"I bought this model and have no regrets. Excellent quality. The sound can be heard in any part of the room. Shows very clearly. Before this there was a Japanese model. Polar seems better to me. Take it, you won’t regret it.")</f>
        <v>I bought this model and have no regrets. Excellent quality. The sound can be heard in any part of the room. Shows very clearly. Before this there was a Japanese model. Polar seems better to me. Take it, you won’t regret it.</v>
      </c>
    </row>
    <row r="11362" spans="1:9" x14ac:dyDescent="0.3">
      <c r="A11362" s="1" t="s">
        <v>55</v>
      </c>
      <c r="B11362" s="1" t="s">
        <v>84</v>
      </c>
      <c r="C11362" s="1" t="s">
        <v>159</v>
      </c>
      <c r="D11362" s="1" t="s">
        <v>695</v>
      </c>
      <c r="E11362" s="1" t="s">
        <v>2059</v>
      </c>
      <c r="F11362" s="1" t="s">
        <v>16248</v>
      </c>
      <c r="G11362" s="1" t="s">
        <v>28</v>
      </c>
      <c r="H11362" s="1" t="s">
        <v>29</v>
      </c>
      <c r="I11362" s="1" t="str">
        <f ca="1">IFERROR(__xludf.DUMMYFUNCTION("GOOGLETRANSLATE(F11362, ""auto"", ""en"")
"),"I’ve been using it for a couple of months now, choosing from the Electrolux line based on function, and I like the design. Pros: easy to use, design, no replacement filters and associated costs, relatively quiet, humidifies the air well. Disadvantages: si"&amp;"ze, no hygrometer. Based on the combination of pros and cons, I would rather recommend it.")</f>
        <v>I’ve been using it for a couple of months now, choosing from the Electrolux line based on function, and I like the design. Pros: easy to use, design, no replacement filters and associated costs, relatively quiet, humidifies the air well. Disadvantages: size, no hygrometer. Based on the combination of pros and cons, I would rather recommend it.</v>
      </c>
    </row>
    <row r="11363" spans="1:9" x14ac:dyDescent="0.3">
      <c r="A11363" s="1" t="s">
        <v>95</v>
      </c>
      <c r="B11363" s="1" t="s">
        <v>227</v>
      </c>
      <c r="C11363" s="1" t="s">
        <v>97</v>
      </c>
      <c r="D11363" s="1" t="s">
        <v>102</v>
      </c>
      <c r="E11363" s="1" t="s">
        <v>4458</v>
      </c>
      <c r="F11363" s="1" t="s">
        <v>16249</v>
      </c>
      <c r="G11363" s="1" t="s">
        <v>36</v>
      </c>
      <c r="H11363" s="1" t="s">
        <v>29</v>
      </c>
      <c r="I11363" s="1" t="str">
        <f ca="1">IFERROR(__xludf.DUMMYFUNCTION("GOOGLETRANSLATE(F11363, ""auto"", ""en"")
"),"I bought it at the beginning of summer, I don’t regret it one bit, it takes up little space if you buy the stand for vertical placement. We play sports festival with friends, it’s a lot of fun)))")</f>
        <v>I bought it at the beginning of summer, I don’t regret it one bit, it takes up little space if you buy the stand for vertical placement. We play sports festival with friends, it’s a lot of fun)))</v>
      </c>
    </row>
    <row r="11364" spans="1:9" x14ac:dyDescent="0.3">
      <c r="A11364" s="1" t="s">
        <v>61</v>
      </c>
      <c r="B11364" s="1" t="s">
        <v>318</v>
      </c>
      <c r="C11364" s="1" t="s">
        <v>246</v>
      </c>
      <c r="D11364" s="1" t="s">
        <v>589</v>
      </c>
      <c r="E11364" s="1" t="s">
        <v>2557</v>
      </c>
      <c r="F11364" s="1" t="s">
        <v>16250</v>
      </c>
      <c r="G11364" s="1" t="s">
        <v>15</v>
      </c>
      <c r="H11364" s="1" t="s">
        <v>16</v>
      </c>
      <c r="I11364" s="1" t="str">
        <f ca="1">IFERROR(__xludf.DUMMYFUNCTION("GOOGLETRANSLATE(F11364, ""auto"", ""en"")
"),"We bought the kettle a year ago, it really makes a lot of noise, but the previous ones worked the same way. The inside of the lid broke, it just fell into pieces, today I’ll go buy another one, it’s simply dangerous to use!")</f>
        <v>We bought the kettle a year ago, it really makes a lot of noise, but the previous ones worked the same way. The inside of the lid broke, it just fell into pieces, today I’ll go buy another one, it’s simply dangerous to use!</v>
      </c>
    </row>
    <row r="11365" spans="1:9" x14ac:dyDescent="0.3">
      <c r="A11365" s="1" t="s">
        <v>211</v>
      </c>
      <c r="B11365" s="1" t="s">
        <v>856</v>
      </c>
      <c r="C11365" s="1" t="s">
        <v>63</v>
      </c>
      <c r="D11365" s="1" t="s">
        <v>16251</v>
      </c>
      <c r="E11365" s="1" t="s">
        <v>1167</v>
      </c>
      <c r="F11365" s="1" t="s">
        <v>16252</v>
      </c>
      <c r="G11365" s="1" t="s">
        <v>28</v>
      </c>
      <c r="H11365" s="1" t="s">
        <v>29</v>
      </c>
      <c r="I11365" s="1" t="str">
        <f ca="1">IFERROR(__xludf.DUMMYFUNCTION("GOOGLETRANSLATE(F11365, ""auto"", ""en"")
"),"The massager is cool. In the first minutes of work I was not impressed, but after 10 minutes the effect was felt - it was relaxing.   Pros - Beautiful thing.  Convenient controls.   Cons - poor water heating, after 10 minutes the water cooled down, after "&amp;"15 it became cold.  And the replaceable attachments (which are installed in the center) turned out to be static, although the seller claimed that they should rotate.")</f>
        <v>The massager is cool. In the first minutes of work I was not impressed, but after 10 minutes the effect was felt - it was relaxing.   Pros - Beautiful thing.  Convenient controls.   Cons - poor water heating, after 10 minutes the water cooled down, after 15 it became cold.  And the replaceable attachments (which are installed in the center) turned out to be static, although the seller claimed that they should rotate.</v>
      </c>
    </row>
    <row r="11366" spans="1:9" x14ac:dyDescent="0.3">
      <c r="A11366" s="1" t="s">
        <v>95</v>
      </c>
      <c r="B11366" s="1" t="s">
        <v>648</v>
      </c>
      <c r="C11366" s="1" t="s">
        <v>97</v>
      </c>
      <c r="D11366" s="1" t="s">
        <v>152</v>
      </c>
      <c r="E11366" s="1" t="s">
        <v>2525</v>
      </c>
      <c r="F11366" s="1" t="s">
        <v>16253</v>
      </c>
      <c r="G11366" s="1" t="s">
        <v>36</v>
      </c>
      <c r="H11366" s="1" t="s">
        <v>29</v>
      </c>
      <c r="I11366" s="1" t="str">
        <f ca="1">IFERROR(__xludf.DUMMYFUNCTION("GOOGLETRANSLATE(F11366, ""auto"", ""en"")
"),"I bought the console and am very pleased with it! It has many more functions than the previous one.   And in general PSP-go is AWESOME!")</f>
        <v>I bought the console and am very pleased with it! It has many more functions than the previous one.   And in general PSP-go is AWESOME!</v>
      </c>
    </row>
    <row r="11367" spans="1:9" x14ac:dyDescent="0.3">
      <c r="A11367" s="1" t="s">
        <v>37</v>
      </c>
      <c r="B11367" s="1" t="s">
        <v>38</v>
      </c>
      <c r="C11367" s="1" t="s">
        <v>163</v>
      </c>
      <c r="D11367" s="1" t="s">
        <v>16254</v>
      </c>
      <c r="E11367" s="1" t="s">
        <v>1811</v>
      </c>
      <c r="F11367" s="1" t="s">
        <v>16255</v>
      </c>
      <c r="G11367" s="1" t="s">
        <v>36</v>
      </c>
      <c r="H11367" s="1" t="s">
        <v>29</v>
      </c>
      <c r="I11367" s="1" t="str">
        <f ca="1">IFERROR(__xludf.DUMMYFUNCTION("GOOGLETRANSLATE(F11367, ""auto"", ""en"")
"),"The phone is super))) after a year, no buttons fall out, it’s just that people don’t know how to handle phones properly)) I just fell in love with this phone))*")</f>
        <v>The phone is super))) after a year, no buttons fall out, it’s just that people don’t know how to handle phones properly)) I just fell in love with this phone))*</v>
      </c>
    </row>
    <row r="11368" spans="1:9" x14ac:dyDescent="0.3">
      <c r="A11368" s="1" t="s">
        <v>61</v>
      </c>
      <c r="B11368" s="1" t="s">
        <v>318</v>
      </c>
      <c r="C11368" s="1" t="s">
        <v>4871</v>
      </c>
      <c r="D11368" s="1" t="s">
        <v>4360</v>
      </c>
      <c r="E11368" s="1" t="s">
        <v>4849</v>
      </c>
      <c r="F11368" s="1" t="s">
        <v>16256</v>
      </c>
      <c r="G11368" s="1" t="s">
        <v>36</v>
      </c>
      <c r="H11368" s="1" t="s">
        <v>29</v>
      </c>
      <c r="I11368" s="1" t="str">
        <f ca="1">IFERROR(__xludf.DUMMYFUNCTION("GOOGLETRANSLATE(F11368, ""auto"", ""en"")
"),"We bought this thermopot several years ago as a gift for our parents. The quality is excellent.  Roomy, just right for tea parties in a large family circle) Maintains temperature in the absence of electricity for exactly 5 hours, maybe more. The temperatu"&amp;"re mode selection function is also quite convenient, because... Not everyone likes boiling tea.  You can choose 60, 90 or 98 degrees.  I recommend!")</f>
        <v>We bought this thermopot several years ago as a gift for our parents. The quality is excellent.  Roomy, just right for tea parties in a large family circle) Maintains temperature in the absence of electricity for exactly 5 hours, maybe more. The temperature mode selection function is also quite convenient, because... Not everyone likes boiling tea.  You can choose 60, 90 or 98 degrees.  I recommend!</v>
      </c>
    </row>
    <row r="11369" spans="1:9" x14ac:dyDescent="0.3">
      <c r="A11369" s="1" t="s">
        <v>37</v>
      </c>
      <c r="B11369" s="1" t="s">
        <v>38</v>
      </c>
      <c r="C11369" s="1" t="s">
        <v>163</v>
      </c>
      <c r="D11369" s="1" t="s">
        <v>1289</v>
      </c>
      <c r="E11369" s="1" t="s">
        <v>1012</v>
      </c>
      <c r="F11369" s="1" t="s">
        <v>16257</v>
      </c>
      <c r="G11369" s="1" t="s">
        <v>28</v>
      </c>
      <c r="H11369" s="1" t="s">
        <v>29</v>
      </c>
      <c r="I11369" s="1" t="str">
        <f ca="1">IFERROR(__xludf.DUMMYFUNCTION("GOOGLETRANSLATE(F11369, ""auto"", ""en"")
"),"Everything about this phone is great. But the panel is terribly weak, once you drop it, I’m terribly upset.")</f>
        <v>Everything about this phone is great. But the panel is terribly weak, once you drop it, I’m terribly upset.</v>
      </c>
    </row>
    <row r="11370" spans="1:9" x14ac:dyDescent="0.3">
      <c r="A11370" s="1" t="s">
        <v>61</v>
      </c>
      <c r="B11370" s="1" t="s">
        <v>977</v>
      </c>
      <c r="C11370" s="1" t="s">
        <v>213</v>
      </c>
      <c r="D11370" s="1" t="s">
        <v>677</v>
      </c>
      <c r="E11370" s="1" t="s">
        <v>675</v>
      </c>
      <c r="F11370" s="1" t="s">
        <v>16258</v>
      </c>
      <c r="G11370" s="1" t="s">
        <v>36</v>
      </c>
      <c r="H11370" s="1" t="s">
        <v>29</v>
      </c>
      <c r="I11370" s="1" t="str">
        <f ca="1">IFERROR(__xludf.DUMMYFUNCTION("GOOGLETRANSLATE(F11370, ""auto"", ""en"")
"),"A very necessary thing in the household. Bought it from M-video, immediately whipped up a cocktail with ice cream and cut the onion into minced meat very well. We store herbs in a vacuum container and can marinate meat. And for children it has no value. C"&amp;"ook the vegetables and meat and blend with a blender and the vegetable puree with meat is ready.")</f>
        <v>A very necessary thing in the household. Bought it from M-video, immediately whipped up a cocktail with ice cream and cut the onion into minced meat very well. We store herbs in a vacuum container and can marinate meat. And for children it has no value. Cook the vegetables and meat and blend with a blender and the vegetable puree with meat is ready.</v>
      </c>
    </row>
    <row r="11371" spans="1:9" x14ac:dyDescent="0.3">
      <c r="A11371" s="1" t="s">
        <v>149</v>
      </c>
      <c r="B11371" s="1" t="s">
        <v>576</v>
      </c>
      <c r="C11371" s="1" t="s">
        <v>80</v>
      </c>
      <c r="D11371" s="1" t="s">
        <v>280</v>
      </c>
      <c r="E11371" s="1" t="s">
        <v>2298</v>
      </c>
      <c r="F11371" s="1" t="s">
        <v>16259</v>
      </c>
      <c r="G11371" s="1" t="s">
        <v>36</v>
      </c>
      <c r="H11371" s="1" t="s">
        <v>29</v>
      </c>
      <c r="I11371" s="1" t="str">
        <f ca="1">IFERROR(__xludf.DUMMYFUNCTION("GOOGLETRANSLATE(F11371, ""auto"", ""en"")
"),"Great vacuum cleaner!   I also have a home renovation, as in the previous review. The vacuum cleaner copes with dust and small construction debris easily. The suction power is very good. Low noise. Convenient to use.  After the renovation, it will remain "&amp;"so for everyday cleaning (we have 2 cats - we can’t live without a vacuum cleaner :-) The vacuum cleaner is larger than a man’s (outwardly). But my wife liked the Samsung better, it was small and round - she bought it for her dacha.   Samsunga's turbo bru"&amp;"sh is more convenient, despite its fragile appearance. Time will tell which vacuum cleaner is more reliable :-)")</f>
        <v>Great vacuum cleaner!   I also have a home renovation, as in the previous review. The vacuum cleaner copes with dust and small construction debris easily. The suction power is very good. Low noise. Convenient to use.  After the renovation, it will remain so for everyday cleaning (we have 2 cats - we can’t live without a vacuum cleaner :-) The vacuum cleaner is larger than a man’s (outwardly). But my wife liked the Samsung better, it was small and round - she bought it for her dacha.   Samsunga's turbo brush is more convenient, despite its fragile appearance. Time will tell which vacuum cleaner is more reliable :-)</v>
      </c>
    </row>
    <row r="11372" spans="1:9" x14ac:dyDescent="0.3">
      <c r="A11372" s="1" t="s">
        <v>17</v>
      </c>
      <c r="B11372" s="1" t="s">
        <v>18</v>
      </c>
      <c r="C11372" s="1" t="s">
        <v>151</v>
      </c>
      <c r="D11372" s="1" t="s">
        <v>16260</v>
      </c>
      <c r="E11372" s="1" t="s">
        <v>3512</v>
      </c>
      <c r="F11372" s="1" t="s">
        <v>16261</v>
      </c>
      <c r="G11372" s="1" t="s">
        <v>36</v>
      </c>
      <c r="H11372" s="1" t="s">
        <v>29</v>
      </c>
      <c r="I11372" s="1" t="str">
        <f ca="1">IFERROR(__xludf.DUMMYFUNCTION("GOOGLETRANSLATE(F11372, ""auto"", ""en"")
"),"We wash it for 3 weeks, very satisfied! To prevent jumping, you need to buy footrests. Before this one, it was 32 cm and was noisy and jumping compared to the Samsung. we recommend!")</f>
        <v>We wash it for 3 weeks, very satisfied! To prevent jumping, you need to buy footrests. Before this one, it was 32 cm and was noisy and jumping compared to the Samsung. we recommend!</v>
      </c>
    </row>
    <row r="11373" spans="1:9" x14ac:dyDescent="0.3">
      <c r="A11373" s="1" t="s">
        <v>169</v>
      </c>
      <c r="B11373" s="1" t="s">
        <v>170</v>
      </c>
      <c r="C11373" s="1" t="s">
        <v>69</v>
      </c>
      <c r="D11373" s="1" t="s">
        <v>5291</v>
      </c>
      <c r="E11373" s="1" t="s">
        <v>4375</v>
      </c>
      <c r="F11373" s="1" t="s">
        <v>16262</v>
      </c>
      <c r="G11373" s="1" t="s">
        <v>36</v>
      </c>
      <c r="H11373" s="1" t="s">
        <v>29</v>
      </c>
      <c r="I11373" s="1" t="str">
        <f ca="1">IFERROR(__xludf.DUMMYFUNCTION("GOOGLETRANSLATE(F11373, ""auto"", ""en"")
"),"I bought it to listen to audiobooks from my phone. Since I have a big head, I was afraid that they would press too hard, but they turned out to be free even for me. They don’t put pressure on the ears, the sound is good, although I didn’t listen to music,"&amp;" I can’t evaluate it from this point of view. I listen to books in the gym, on the treadmill - they don’t skip and you can hear everything, despite the fact that rhythmic music is blaring very loudly in the hall. Of course, you can also hear it, but it do"&amp;"es not drown out the sound in the headphones.")</f>
        <v>I bought it to listen to audiobooks from my phone. Since I have a big head, I was afraid that they would press too hard, but they turned out to be free even for me. They don’t put pressure on the ears, the sound is good, although I didn’t listen to music, I can’t evaluate it from this point of view. I listen to books in the gym, on the treadmill - they don’t skip and you can hear everything, despite the fact that rhythmic music is blaring very loudly in the hall. Of course, you can also hear it, but it does not drown out the sound in the headphones.</v>
      </c>
    </row>
    <row r="11374" spans="1:9" x14ac:dyDescent="0.3">
      <c r="A11374" s="1" t="s">
        <v>9</v>
      </c>
      <c r="B11374" s="1" t="s">
        <v>10</v>
      </c>
      <c r="C11374" s="1" t="s">
        <v>407</v>
      </c>
      <c r="D11374" s="1" t="s">
        <v>695</v>
      </c>
      <c r="E11374" s="1" t="s">
        <v>3875</v>
      </c>
      <c r="F11374" s="1" t="s">
        <v>16263</v>
      </c>
      <c r="G11374" s="1" t="s">
        <v>36</v>
      </c>
      <c r="H11374" s="1" t="s">
        <v>29</v>
      </c>
      <c r="I11374" s="1" t="str">
        <f ca="1">IFERROR(__xludf.DUMMYFUNCTION("GOOGLETRANSLATE(F11374, ""auto"", ""en"")
"),"Just a great hood!! Insanely satisfied! Fits perfectly into the kitchen, works perfectly silently! Usually the first and second speeds are sufficient. We recommend it to everyone!")</f>
        <v>Just a great hood!! Insanely satisfied! Fits perfectly into the kitchen, works perfectly silently! Usually the first and second speeds are sufficient. We recommend it to everyone!</v>
      </c>
    </row>
    <row r="11375" spans="1:9" x14ac:dyDescent="0.3">
      <c r="A11375" s="1" t="s">
        <v>169</v>
      </c>
      <c r="B11375" s="1" t="s">
        <v>170</v>
      </c>
      <c r="C11375" s="1" t="s">
        <v>171</v>
      </c>
      <c r="D11375" s="1" t="s">
        <v>86</v>
      </c>
      <c r="E11375" s="1" t="s">
        <v>3690</v>
      </c>
      <c r="F11375" s="1" t="s">
        <v>16264</v>
      </c>
      <c r="G11375" s="1" t="s">
        <v>49</v>
      </c>
      <c r="H11375" s="1" t="s">
        <v>16</v>
      </c>
      <c r="I11375" s="1" t="str">
        <f ca="1">IFERROR(__xludf.DUMMYFUNCTION("GOOGLETRANSLATE(F11375, ""auto"", ""en"")
"),"Their sound quality is not bad. But the worst thing about it is the very short wire. Now I bought some jelly for myself. I don’t recommend buying them")</f>
        <v>Their sound quality is not bad. But the worst thing about it is the very short wire. Now I bought some jelly for myself. I don’t recommend buying them</v>
      </c>
    </row>
    <row r="11376" spans="1:9" x14ac:dyDescent="0.3">
      <c r="A11376" s="1" t="s">
        <v>67</v>
      </c>
      <c r="B11376" s="1" t="s">
        <v>340</v>
      </c>
      <c r="C11376" s="1" t="s">
        <v>341</v>
      </c>
      <c r="D11376" s="1" t="s">
        <v>308</v>
      </c>
      <c r="E11376" s="1" t="s">
        <v>9600</v>
      </c>
      <c r="F11376" s="1" t="s">
        <v>16265</v>
      </c>
      <c r="G11376" s="1" t="s">
        <v>36</v>
      </c>
      <c r="H11376" s="1" t="s">
        <v>29</v>
      </c>
      <c r="I11376" s="1" t="str">
        <f ca="1">IFERROR(__xludf.DUMMYFUNCTION("GOOGLETRANSLATE(F11376, ""auto"", ""en"")
"),"I have already left a review here about the shortcomings in the quality of the machine regarding the burning smell during operation. I would like to refute that review and apologize to the manufacturer. I sewed on this machine for several days and the sme"&amp;"ll became much less, probably the lubricating oil was burning out, since the mechanism was still new. In operation, the machine showed itself to be excellent - good stitch quality, no strong vibrations or drive noise, convenient and easy to maintain, as w"&amp;"ell as a very accessible instruction manual. So I’m happy with the purchase and recommend this model to everyone. It's a pity that the kit doesn't come with enough sewing feet.")</f>
        <v>I have already left a review here about the shortcomings in the quality of the machine regarding the burning smell during operation. I would like to refute that review and apologize to the manufacturer. I sewed on this machine for several days and the smell became much less, probably the lubricating oil was burning out, since the mechanism was still new. In operation, the machine showed itself to be excellent - good stitch quality, no strong vibrations or drive noise, convenient and easy to maintain, as well as a very accessible instruction manual. So I’m happy with the purchase and recommend this model to everyone. It's a pity that the kit doesn't come with enough sewing feet.</v>
      </c>
    </row>
    <row r="11377" spans="1:9" x14ac:dyDescent="0.3">
      <c r="A11377" s="1" t="s">
        <v>61</v>
      </c>
      <c r="B11377" s="1" t="s">
        <v>180</v>
      </c>
      <c r="C11377" s="1" t="s">
        <v>63</v>
      </c>
      <c r="D11377" s="1" t="s">
        <v>308</v>
      </c>
      <c r="E11377" s="1" t="s">
        <v>3140</v>
      </c>
      <c r="F11377" s="1" t="s">
        <v>16266</v>
      </c>
      <c r="G11377" s="1" t="s">
        <v>28</v>
      </c>
      <c r="H11377" s="1" t="s">
        <v>29</v>
      </c>
      <c r="I11377" s="1" t="str">
        <f ca="1">IFERROR(__xludf.DUMMYFUNCTION("GOOGLETRANSLATE(F11377, ""auto"", ""en"")
"),"I am very impressed by Bosch. Beautiful design. I bought it as a set for the teapot (same color). The toasts turn out delicious and crispy. True, it takes much more time to prepare than indicated in the instruction manual. I have to set it to 6 first, and"&amp;" then another 3 (I do this for regular bread); for a roll, 5 is enough. Despite the cooking time, I don’t regret purchasing this toaster.")</f>
        <v>I am very impressed by Bosch. Beautiful design. I bought it as a set for the teapot (same color). The toasts turn out delicious and crispy. True, it takes much more time to prepare than indicated in the instruction manual. I have to set it to 6 first, and then another 3 (I do this for regular bread); for a roll, 5 is enough. Despite the cooking time, I don’t regret purchasing this toaster.</v>
      </c>
    </row>
    <row r="11378" spans="1:9" x14ac:dyDescent="0.3">
      <c r="A11378" s="1" t="s">
        <v>111</v>
      </c>
      <c r="B11378" s="1" t="s">
        <v>112</v>
      </c>
      <c r="C11378" s="1" t="s">
        <v>113</v>
      </c>
      <c r="D11378" s="1" t="s">
        <v>295</v>
      </c>
      <c r="E11378" s="1" t="s">
        <v>3607</v>
      </c>
      <c r="F11378" s="1" t="s">
        <v>16267</v>
      </c>
      <c r="G11378" s="1" t="s">
        <v>49</v>
      </c>
      <c r="H11378" s="1" t="s">
        <v>16</v>
      </c>
      <c r="I11378" s="1" t="str">
        <f ca="1">IFERROR(__xludf.DUMMYFUNCTION("GOOGLETRANSLATE(F11378, ""auto"", ""en"")
"),"The operator recommended that I buy this filter to protect the refrigerator from power surges. Delivered along with the purchased refrigerator. Didn't work for long. We bought another one. The result is the same. I won't buy any more.")</f>
        <v>The operator recommended that I buy this filter to protect the refrigerator from power surges. Delivered along with the purchased refrigerator. Didn't work for long. We bought another one. The result is the same. I won't buy any more.</v>
      </c>
    </row>
    <row r="11379" spans="1:9" x14ac:dyDescent="0.3">
      <c r="A11379" s="1" t="s">
        <v>30</v>
      </c>
      <c r="B11379" s="1" t="s">
        <v>50</v>
      </c>
      <c r="C11379" s="1" t="s">
        <v>32</v>
      </c>
      <c r="D11379" s="1" t="s">
        <v>305</v>
      </c>
      <c r="E11379" s="1" t="s">
        <v>1875</v>
      </c>
      <c r="F11379" s="1" t="s">
        <v>16268</v>
      </c>
      <c r="G11379" s="1" t="s">
        <v>36</v>
      </c>
      <c r="H11379" s="1" t="s">
        <v>29</v>
      </c>
      <c r="I11379" s="1" t="str">
        <f ca="1">IFERROR(__xludf.DUMMYFUNCTION("GOOGLETRANSLATE(F11379, ""auto"", ""en"")
"),"I bought it a week ago, so far there are no complaints, except for Windows (I immediately demolished it and installed the maximum 32-bit 7). The speed is very good, especially for a laptop. I spent a long time choosing from this price category, settled on"&amp;" this one and didn’t regret it, I’m happy with everything. The camera and bluetooth weren't a big deal to me. So, in my opinion, the price/quality ratio is ideal.")</f>
        <v>I bought it a week ago, so far there are no complaints, except for Windows (I immediately demolished it and installed the maximum 32-bit 7). The speed is very good, especially for a laptop. I spent a long time choosing from this price category, settled on this one and didn’t regret it, I’m happy with everything. The camera and bluetooth weren't a big deal to me. So, in my opinion, the price/quality ratio is ideal.</v>
      </c>
    </row>
    <row r="11380" spans="1:9" x14ac:dyDescent="0.3">
      <c r="A11380" s="1" t="s">
        <v>206</v>
      </c>
      <c r="B11380" s="1" t="s">
        <v>1349</v>
      </c>
      <c r="C11380" s="1" t="s">
        <v>351</v>
      </c>
      <c r="D11380" s="1" t="s">
        <v>1894</v>
      </c>
      <c r="E11380" s="1" t="s">
        <v>2529</v>
      </c>
      <c r="F11380" s="1" t="s">
        <v>16269</v>
      </c>
      <c r="G11380" s="1" t="s">
        <v>28</v>
      </c>
      <c r="H11380" s="1" t="s">
        <v>29</v>
      </c>
      <c r="I11380" s="1" t="str">
        <f ca="1">IFERROR(__xludf.DUMMYFUNCTION("GOOGLETRANSLATE(F11380, ""auto"", ""en"")
"),"I bought it a couple of weeks ago. Really, for the money it’s the best option.  Pros: easy navigation, adjustable screen backlight with different modes, normal sound, logical remote control, partially Russified, huge range of functions, large rotating scr"&amp;"een decent for 1 din.  Cons: a strange clicking sound like the ticking of a mechanical wristwatch during playback and on pause (not audible during playback, but still strange), scanty instructions in which there is almost nothing, you have to poke around "&amp;"to get to everything, the USB connector is stupidly inconveniently placed. No crashes so far.")</f>
        <v>I bought it a couple of weeks ago. Really, for the money it’s the best option.  Pros: easy navigation, adjustable screen backlight with different modes, normal sound, logical remote control, partially Russified, huge range of functions, large rotating screen decent for 1 din.  Cons: a strange clicking sound like the ticking of a mechanical wristwatch during playback and on pause (not audible during playback, but still strange), scanty instructions in which there is almost nothing, you have to poke around to get to everything, the USB connector is stupidly inconveniently placed. No crashes so far.</v>
      </c>
    </row>
    <row r="11381" spans="1:9" x14ac:dyDescent="0.3">
      <c r="A11381" s="1" t="s">
        <v>37</v>
      </c>
      <c r="B11381" s="1" t="s">
        <v>1829</v>
      </c>
      <c r="C11381" s="1" t="s">
        <v>151</v>
      </c>
      <c r="D11381" s="1" t="s">
        <v>1008</v>
      </c>
      <c r="E11381" s="1" t="s">
        <v>11612</v>
      </c>
      <c r="F11381" s="1" t="s">
        <v>16270</v>
      </c>
      <c r="G11381" s="1" t="s">
        <v>36</v>
      </c>
      <c r="H11381" s="1" t="s">
        <v>29</v>
      </c>
      <c r="I11381" s="1" t="str">
        <f ca="1">IFERROR(__xludf.DUMMYFUNCTION("GOOGLETRANSLATE(F11381, ""auto"", ""en"")
"),"I've been using it for a week now and I'm very pleased. An excellent device, truly the flagship of this year (at least among the released models). The functionality is at the level, some of the functions are really a breakthrough - although there is one m"&amp;"inus, they only work with native applications. I won’t talk about processor power - everything is already clear. I was pleasantly surprised by the duration of work under a very serious load - Internet, office programs, video and photos, two hours of calls"&amp;" - it worked for 24 hours. And now a small note about M-Video - in the description there is an FM radio, in reality it is not in the device. Please ask the store to correct it.")</f>
        <v>I've been using it for a week now and I'm very pleased. An excellent device, truly the flagship of this year (at least among the released models). The functionality is at the level, some of the functions are really a breakthrough - although there is one minus, they only work with native applications. I won’t talk about processor power - everything is already clear. I was pleasantly surprised by the duration of work under a very serious load - Internet, office programs, video and photos, two hours of calls - it worked for 24 hours. And now a small note about M-Video - in the description there is an FM radio, in reality it is not in the device. Please ask the store to correct it.</v>
      </c>
    </row>
    <row r="11382" spans="1:9" x14ac:dyDescent="0.3">
      <c r="A11382" s="1" t="s">
        <v>211</v>
      </c>
      <c r="B11382" s="1" t="s">
        <v>856</v>
      </c>
      <c r="C11382" s="1" t="s">
        <v>101</v>
      </c>
      <c r="D11382" s="1" t="s">
        <v>1499</v>
      </c>
      <c r="E11382" s="1" t="s">
        <v>9097</v>
      </c>
      <c r="F11382" s="1" t="s">
        <v>16271</v>
      </c>
      <c r="G11382" s="1" t="s">
        <v>36</v>
      </c>
      <c r="H11382" s="1" t="s">
        <v>29</v>
      </c>
      <c r="I11382" s="1" t="str">
        <f ca="1">IFERROR(__xludf.DUMMYFUNCTION("GOOGLETRANSLATE(F11382, ""auto"", ""en"")
"),"A child can be trusted with such a set - it’s both inexpensive and safe. You can't injure yourself, but you can strengthen your hand for a more serious set in the future. Of the attachments, only the most necessary ones are included in the kit.")</f>
        <v>A child can be trusted with such a set - it’s both inexpensive and safe. You can't injure yourself, but you can strengthen your hand for a more serious set in the future. Of the attachments, only the most necessary ones are included in the kit.</v>
      </c>
    </row>
    <row r="11383" spans="1:9" x14ac:dyDescent="0.3">
      <c r="A11383" s="1" t="s">
        <v>149</v>
      </c>
      <c r="B11383" s="1" t="s">
        <v>576</v>
      </c>
      <c r="C11383" s="1" t="s">
        <v>159</v>
      </c>
      <c r="D11383" s="1" t="s">
        <v>10409</v>
      </c>
      <c r="E11383" s="1" t="s">
        <v>1384</v>
      </c>
      <c r="F11383" s="1" t="s">
        <v>16272</v>
      </c>
      <c r="G11383" s="1" t="s">
        <v>36</v>
      </c>
      <c r="H11383" s="1" t="s">
        <v>29</v>
      </c>
      <c r="I11383" s="1" t="str">
        <f ca="1">IFERROR(__xludf.DUMMYFUNCTION("GOOGLETRANSLATE(F11383, ""auto"", ""en"")
"),"I've been using it for the first month and am very happy with the purchase!!! he is super quiet!!!!")</f>
        <v>I've been using it for the first month and am very happy with the purchase!!! he is super quiet!!!!</v>
      </c>
    </row>
    <row r="11384" spans="1:9" x14ac:dyDescent="0.3">
      <c r="A11384" s="1" t="s">
        <v>9</v>
      </c>
      <c r="B11384" s="1" t="s">
        <v>10</v>
      </c>
      <c r="C11384" s="1" t="s">
        <v>407</v>
      </c>
      <c r="D11384" s="1" t="s">
        <v>1771</v>
      </c>
      <c r="E11384" s="1" t="s">
        <v>10646</v>
      </c>
      <c r="F11384" s="1" t="s">
        <v>16273</v>
      </c>
      <c r="G11384" s="1" t="s">
        <v>36</v>
      </c>
      <c r="H11384" s="1" t="s">
        <v>29</v>
      </c>
      <c r="I11384" s="1" t="str">
        <f ca="1">IFERROR(__xludf.DUMMYFUNCTION("GOOGLETRANSLATE(F11384, ""auto"", ""en"")
"),"I bought it based on power and noise. This model turned out to be the most balanced, and the price was also a pleasant surprise. My husband's installation was no problem. It works very quietly even at medium power. Modern touch control; for additional air"&amp;" purification, we bought a carbon filter; for this model it is very cheap. Bright light bulbs can be used as independent lighting in the kitchen. in a word everything is great!!")</f>
        <v>I bought it based on power and noise. This model turned out to be the most balanced, and the price was also a pleasant surprise. My husband's installation was no problem. It works very quietly even at medium power. Modern touch control; for additional air purification, we bought a carbon filter; for this model it is very cheap. Bright light bulbs can be used as independent lighting in the kitchen. in a word everything is great!!</v>
      </c>
    </row>
    <row r="11385" spans="1:9" x14ac:dyDescent="0.3">
      <c r="A11385" s="1" t="s">
        <v>206</v>
      </c>
      <c r="B11385" s="1" t="s">
        <v>1349</v>
      </c>
      <c r="C11385" s="1" t="s">
        <v>351</v>
      </c>
      <c r="D11385" s="1" t="s">
        <v>5208</v>
      </c>
      <c r="E11385" s="1" t="s">
        <v>1177</v>
      </c>
      <c r="F11385" s="1" t="s">
        <v>16274</v>
      </c>
      <c r="G11385" s="1" t="s">
        <v>28</v>
      </c>
      <c r="H11385" s="1" t="s">
        <v>29</v>
      </c>
      <c r="I11385" s="1" t="str">
        <f ca="1">IFERROR(__xludf.DUMMYFUNCTION("GOOGLETRANSLATE(F11385, ""auto"", ""en"")
"),"I'm happy with everything, the steering wheel controls work great, I don't have to touch the sensor.")</f>
        <v>I'm happy with everything, the steering wheel controls work great, I don't have to touch the sensor.</v>
      </c>
    </row>
    <row r="11386" spans="1:9" x14ac:dyDescent="0.3">
      <c r="A11386" s="1" t="s">
        <v>211</v>
      </c>
      <c r="B11386" s="1" t="s">
        <v>856</v>
      </c>
      <c r="C11386" s="1" t="s">
        <v>57</v>
      </c>
      <c r="D11386" s="1" t="s">
        <v>1188</v>
      </c>
      <c r="E11386" s="1" t="s">
        <v>1718</v>
      </c>
      <c r="F11386" s="1" t="s">
        <v>16275</v>
      </c>
      <c r="G11386" s="1" t="s">
        <v>49</v>
      </c>
      <c r="H11386" s="1" t="s">
        <v>16</v>
      </c>
      <c r="I11386" s="1" t="str">
        <f ca="1">IFERROR(__xludf.DUMMYFUNCTION("GOOGLETRANSLATE(F11386, ""auto"", ""en"")
"),"Disgusting, weak and useless thing. I bought it a year ago, used it exactly 2 times and now it’s just lying there, forgotten by me. It slows down when touched. I don’t recommend it. It’s a waste of money. I give it a 1-.")</f>
        <v>Disgusting, weak and useless thing. I bought it a year ago, used it exactly 2 times and now it’s just lying there, forgotten by me. It slows down when touched. I don’t recommend it. It’s a waste of money. I give it a 1-.</v>
      </c>
    </row>
    <row r="11387" spans="1:9" x14ac:dyDescent="0.3">
      <c r="A11387" s="1" t="s">
        <v>61</v>
      </c>
      <c r="B11387" s="1" t="s">
        <v>224</v>
      </c>
      <c r="C11387" s="1" t="s">
        <v>101</v>
      </c>
      <c r="D11387" s="1" t="s">
        <v>2096</v>
      </c>
      <c r="E11387" s="1" t="s">
        <v>6631</v>
      </c>
      <c r="F11387" s="1" t="s">
        <v>16276</v>
      </c>
      <c r="G11387" s="1" t="s">
        <v>49</v>
      </c>
      <c r="H11387" s="1" t="s">
        <v>16</v>
      </c>
      <c r="I11387" s="1" t="str">
        <f ca="1">IFERROR(__xludf.DUMMYFUNCTION("GOOGLETRANSLATE(F11387, ""auto"", ""en"")
"),"Was received as a gift. Broke the first time I used it. We only managed to drink a glass of apple juice (and not a full one).")</f>
        <v>Was received as a gift. Broke the first time I used it. We only managed to drink a glass of apple juice (and not a full one).</v>
      </c>
    </row>
    <row r="11388" spans="1:9" x14ac:dyDescent="0.3">
      <c r="A11388" s="1" t="s">
        <v>95</v>
      </c>
      <c r="B11388" s="1" t="s">
        <v>486</v>
      </c>
      <c r="C11388" s="1" t="s">
        <v>487</v>
      </c>
      <c r="D11388" s="1" t="s">
        <v>39</v>
      </c>
      <c r="E11388" s="1" t="s">
        <v>7124</v>
      </c>
      <c r="F11388" s="1" t="s">
        <v>16277</v>
      </c>
      <c r="G11388" s="1" t="s">
        <v>36</v>
      </c>
      <c r="H11388" s="1" t="s">
        <v>29</v>
      </c>
      <c r="I11388" s="1" t="str">
        <f ca="1">IFERROR(__xludf.DUMMYFUNCTION("GOOGLETRANSLATE(F11388, ""auto"", ""en"")
"),"It’s good that they started selling them separately without any games... I’ll buy one for myself in May ;)")</f>
        <v>It’s good that they started selling them separately without any games... I’ll buy one for myself in May ;)</v>
      </c>
    </row>
    <row r="11389" spans="1:9" x14ac:dyDescent="0.3">
      <c r="A11389" s="1" t="s">
        <v>30</v>
      </c>
      <c r="B11389" s="1" t="s">
        <v>50</v>
      </c>
      <c r="C11389" s="1" t="s">
        <v>658</v>
      </c>
      <c r="D11389" s="1" t="s">
        <v>16278</v>
      </c>
      <c r="E11389" s="1" t="s">
        <v>4184</v>
      </c>
      <c r="F11389" s="1" t="s">
        <v>16279</v>
      </c>
      <c r="G11389" s="1" t="s">
        <v>28</v>
      </c>
      <c r="H11389" s="1" t="s">
        <v>29</v>
      </c>
      <c r="I11389" s="1" t="str">
        <f ca="1">IFERROR(__xludf.DUMMYFUNCTION("GOOGLETRANSLATE(F11389, ""auto"", ""en"")
"),"The laptop is good. It has never glitched, although it costs Vista and only 2 built-in gigs. If there were at least 4, then it would be possible to play quite normally (when I increase it again, I’ll write back).  And so, for media and work, it’s an excel"&amp;"lent car!")</f>
        <v>The laptop is good. It has never glitched, although it costs Vista and only 2 built-in gigs. If there were at least 4, then it would be possible to play quite normally (when I increase it again, I’ll write back).  And so, for media and work, it’s an excellent car!</v>
      </c>
    </row>
    <row r="11390" spans="1:9" x14ac:dyDescent="0.3">
      <c r="A11390" s="1" t="s">
        <v>369</v>
      </c>
      <c r="B11390" s="1" t="s">
        <v>370</v>
      </c>
      <c r="C11390" s="1" t="s">
        <v>277</v>
      </c>
      <c r="D11390" s="1" t="s">
        <v>16280</v>
      </c>
      <c r="E11390" s="1" t="s">
        <v>16281</v>
      </c>
      <c r="F11390" s="1" t="s">
        <v>16282</v>
      </c>
      <c r="G11390" s="1" t="s">
        <v>36</v>
      </c>
      <c r="H11390" s="1" t="s">
        <v>29</v>
      </c>
      <c r="I11390" s="1" t="str">
        <f ca="1">IFERROR(__xludf.DUMMYFUNCTION("GOOGLETRANSLATE(F11390, ""auto"", ""en"")
"),"Nice electric stove with powerful burners!")</f>
        <v>Nice electric stove with powerful burners!</v>
      </c>
    </row>
    <row r="11391" spans="1:9" x14ac:dyDescent="0.3">
      <c r="A11391" s="1" t="s">
        <v>61</v>
      </c>
      <c r="B11391" s="1" t="s">
        <v>73</v>
      </c>
      <c r="C11391" s="1" t="s">
        <v>74</v>
      </c>
      <c r="D11391" s="1" t="s">
        <v>385</v>
      </c>
      <c r="E11391" s="1" t="s">
        <v>769</v>
      </c>
      <c r="F11391" s="1" t="s">
        <v>16283</v>
      </c>
      <c r="G11391" s="1" t="s">
        <v>28</v>
      </c>
      <c r="H11391" s="1" t="s">
        <v>29</v>
      </c>
      <c r="I11391" s="1" t="str">
        <f ca="1">IFERROR(__xludf.DUMMYFUNCTION("GOOGLETRANSLATE(F11391, ""auto"", ""en"")
"),"Everything about this meat grinder is good - it’s compact in size, the price is attractive, and it copes well with any volume of meat, the only negative is the narrow tube for storing food, overall we’re happy with the purchase")</f>
        <v>Everything about this meat grinder is good - it’s compact in size, the price is attractive, and it copes well with any volume of meat, the only negative is the narrow tube for storing food, overall we’re happy with the purchase</v>
      </c>
    </row>
    <row r="11392" spans="1:9" x14ac:dyDescent="0.3">
      <c r="A11392" s="1" t="s">
        <v>369</v>
      </c>
      <c r="B11392" s="1" t="s">
        <v>587</v>
      </c>
      <c r="C11392" s="1" t="s">
        <v>290</v>
      </c>
      <c r="D11392" s="1" t="s">
        <v>474</v>
      </c>
      <c r="E11392" s="1" t="s">
        <v>1749</v>
      </c>
      <c r="F11392" s="1" t="s">
        <v>16284</v>
      </c>
      <c r="G11392" s="1" t="s">
        <v>36</v>
      </c>
      <c r="H11392" s="1" t="s">
        <v>29</v>
      </c>
      <c r="I11392" s="1" t="str">
        <f ca="1">IFERROR(__xludf.DUMMYFUNCTION("GOOGLETRANSLATE(F11392, ""auto"", ""en"")
"),"We took this stove 2 weeks ago. And they cooked, and fried, and most importantly, baked. The sides and glass heat up, but not critically. The child will be smart enough to remove his hand and not get burned. When you turn on the stove, it first gains temp"&amp;"erature, then calms down, but maintains the desired temperature. No complaints - an excellent stove! Well worth the money.")</f>
        <v>We took this stove 2 weeks ago. And they cooked, and fried, and most importantly, baked. The sides and glass heat up, but not critically. The child will be smart enough to remove his hand and not get burned. When you turn on the stove, it first gains temperature, then calms down, but maintains the desired temperature. No complaints - an excellent stove! Well worth the money.</v>
      </c>
    </row>
    <row r="11393" spans="1:9" x14ac:dyDescent="0.3">
      <c r="A11393" s="1" t="s">
        <v>206</v>
      </c>
      <c r="B11393" s="1" t="s">
        <v>1349</v>
      </c>
      <c r="C11393" s="1" t="s">
        <v>4219</v>
      </c>
      <c r="D11393" s="1" t="s">
        <v>6081</v>
      </c>
      <c r="E11393" s="1" t="s">
        <v>2150</v>
      </c>
      <c r="F11393" s="1" t="s">
        <v>16285</v>
      </c>
      <c r="G11393" s="1" t="s">
        <v>15</v>
      </c>
      <c r="H11393" s="1" t="s">
        <v>16</v>
      </c>
      <c r="I11393" s="1" t="str">
        <f ca="1">IFERROR(__xludf.DUMMYFUNCTION("GOOGLETRANSLATE(F11393, ""auto"", ""en"")
"),"I bought this radio and was expecting more. But nothing really works and it doesn’t work normally, not a sound, not a good menu, nothing. In general + I didn’t find any. How beautifully everything is described on the website about it.")</f>
        <v>I bought this radio and was expecting more. But nothing really works and it doesn’t work normally, not a sound, not a good menu, nothing. In general + I didn’t find any. How beautifully everything is described on the website about it.</v>
      </c>
    </row>
    <row r="11394" spans="1:9" x14ac:dyDescent="0.3">
      <c r="A11394" s="1" t="s">
        <v>120</v>
      </c>
      <c r="B11394" s="1" t="s">
        <v>834</v>
      </c>
      <c r="C11394" s="1" t="s">
        <v>151</v>
      </c>
      <c r="D11394" s="1" t="s">
        <v>39</v>
      </c>
      <c r="E11394" s="1" t="s">
        <v>3472</v>
      </c>
      <c r="F11394" s="1" t="s">
        <v>16286</v>
      </c>
      <c r="G11394" s="1" t="s">
        <v>36</v>
      </c>
      <c r="H11394" s="1" t="s">
        <v>29</v>
      </c>
      <c r="I11394" s="1" t="str">
        <f ca="1">IFERROR(__xludf.DUMMYFUNCTION("GOOGLETRANSLATE(F11394, ""auto"", ""en"")
"),"The device is good (price/quality ratio). This is my second one after the plasma from Panasonic 50'.   The broadcast from the satellite is good, slightly inferior to the above-mentioned plasma, but it stretches the 4:3 image better. It plays out in full b"&amp;"efore the plasma when playing HD video, a signal from a computer in a resolution of 1920*1080 and other video signals with a high bitrate (I won’t argue about the advantages of plasma and LCD). The screen does not glare, and for my room this is important."&amp;" I can’t watch plasma (I have it without anti-reflective coating) there on a sunny day. The menu is convenient with a bunch of settings, simple. It has good sound for built-in speakers. There are enough different inputs/outputs. For me, personally, it’s e"&amp;"nough to connect all the equipment I have at the same time. The only downsides I can mention are the easily scratched plastic and the fact that dust sticks to it a lot.")</f>
        <v>The device is good (price/quality ratio). This is my second one after the plasma from Panasonic 50'.   The broadcast from the satellite is good, slightly inferior to the above-mentioned plasma, but it stretches the 4:3 image better. It plays out in full before the plasma when playing HD video, a signal from a computer in a resolution of 1920*1080 and other video signals with a high bitrate (I won’t argue about the advantages of plasma and LCD). The screen does not glare, and for my room this is important. I can’t watch plasma (I have it without anti-reflective coating) there on a sunny day. The menu is convenient with a bunch of settings, simple. It has good sound for built-in speakers. There are enough different inputs/outputs. For me, personally, it’s enough to connect all the equipment I have at the same time. The only downsides I can mention are the easily scratched plastic and the fact that dust sticks to it a lot.</v>
      </c>
    </row>
    <row r="11395" spans="1:9" x14ac:dyDescent="0.3">
      <c r="A11395" s="1" t="s">
        <v>17</v>
      </c>
      <c r="B11395" s="1" t="s">
        <v>18</v>
      </c>
      <c r="C11395" s="1" t="s">
        <v>151</v>
      </c>
      <c r="D11395" s="1" t="s">
        <v>1659</v>
      </c>
      <c r="E11395" s="1" t="s">
        <v>1387</v>
      </c>
      <c r="F11395" s="1" t="s">
        <v>16287</v>
      </c>
      <c r="G11395" s="1" t="s">
        <v>36</v>
      </c>
      <c r="H11395" s="1" t="s">
        <v>29</v>
      </c>
      <c r="I11395" s="1" t="str">
        <f ca="1">IFERROR(__xludf.DUMMYFUNCTION("GOOGLETRANSLATE(F11395, ""auto"", ""en"")
"),"A really peppy car, consumption in the urban cycle is 9.6 l/100 km.  I recommend!")</f>
        <v>A really peppy car, consumption in the urban cycle is 9.6 l/100 km.  I recommend!</v>
      </c>
    </row>
    <row r="11396" spans="1:9" x14ac:dyDescent="0.3">
      <c r="A11396" s="1" t="s">
        <v>149</v>
      </c>
      <c r="B11396" s="1" t="s">
        <v>155</v>
      </c>
      <c r="C11396" s="1" t="s">
        <v>159</v>
      </c>
      <c r="D11396" s="1" t="s">
        <v>3326</v>
      </c>
      <c r="E11396" s="1" t="s">
        <v>777</v>
      </c>
      <c r="F11396" s="1" t="s">
        <v>16288</v>
      </c>
      <c r="G11396" s="1" t="s">
        <v>36</v>
      </c>
      <c r="H11396" s="1" t="s">
        <v>29</v>
      </c>
      <c r="I11396" s="1" t="str">
        <f ca="1">IFERROR(__xludf.DUMMYFUNCTION("GOOGLETRANSLATE(F11396, ""auto"", ""en"")
"),"Excellent vacuum cleaner, just super!!! The carpet cleans wonderfully. We've been using it for a month and are very happy with the purchase.")</f>
        <v>Excellent vacuum cleaner, just super!!! The carpet cleans wonderfully. We've been using it for a month and are very happy with the purchase.</v>
      </c>
    </row>
    <row r="11397" spans="1:9" x14ac:dyDescent="0.3">
      <c r="A11397" s="1" t="s">
        <v>361</v>
      </c>
      <c r="B11397" s="1" t="s">
        <v>462</v>
      </c>
      <c r="C11397" s="1" t="s">
        <v>463</v>
      </c>
      <c r="D11397" s="1" t="s">
        <v>4404</v>
      </c>
      <c r="E11397" s="1" t="s">
        <v>16289</v>
      </c>
      <c r="F11397" s="1" t="s">
        <v>16290</v>
      </c>
      <c r="G11397" s="1" t="s">
        <v>36</v>
      </c>
      <c r="H11397" s="1" t="s">
        <v>29</v>
      </c>
      <c r="I11397" s="1" t="str">
        <f ca="1">IFERROR(__xludf.DUMMYFUNCTION("GOOGLETRANSLATE(F11397, ""auto"", ""en"")
"),"Available cartridges")</f>
        <v>Available cartridges</v>
      </c>
    </row>
    <row r="11398" spans="1:9" x14ac:dyDescent="0.3">
      <c r="A11398" s="1" t="s">
        <v>61</v>
      </c>
      <c r="B11398" s="1" t="s">
        <v>180</v>
      </c>
      <c r="C11398" s="1" t="s">
        <v>85</v>
      </c>
      <c r="D11398" s="1" t="s">
        <v>5472</v>
      </c>
      <c r="E11398" s="1" t="s">
        <v>3918</v>
      </c>
      <c r="F11398" s="1" t="s">
        <v>16291</v>
      </c>
      <c r="G11398" s="1" t="s">
        <v>36</v>
      </c>
      <c r="H11398" s="1" t="s">
        <v>29</v>
      </c>
      <c r="I11398" s="1" t="str">
        <f ca="1">IFERROR(__xludf.DUMMYFUNCTION("GOOGLETRANSLATE(F11398, ""auto"", ""en"")
"),"Very good toaster! I'm happy. We use it every day and it has never let us down.")</f>
        <v>Very good toaster! I'm happy. We use it every day and it has never let us down.</v>
      </c>
    </row>
    <row r="11399" spans="1:9" x14ac:dyDescent="0.3">
      <c r="A11399" s="1" t="s">
        <v>61</v>
      </c>
      <c r="B11399" s="1" t="s">
        <v>62</v>
      </c>
      <c r="C11399" s="1" t="s">
        <v>63</v>
      </c>
      <c r="D11399" s="1" t="s">
        <v>568</v>
      </c>
      <c r="E11399" s="1" t="s">
        <v>16292</v>
      </c>
      <c r="F11399" s="1" t="s">
        <v>16293</v>
      </c>
      <c r="G11399" s="1" t="s">
        <v>36</v>
      </c>
      <c r="H11399" s="1" t="s">
        <v>29</v>
      </c>
      <c r="I11399" s="1" t="str">
        <f ca="1">IFERROR(__xludf.DUMMYFUNCTION("GOOGLETRANSLATE(F11399, ""auto"", ""en"")
"),"Purchased on December 30, 2011, broken on January 8, 2012 Smoke started coming from inside when grinding granulated sugar into powdered sugar. I didn’t find any contraindications for this operation in the instructions; unfortunately, 1 glass of granulated"&amp;" sugar ruined such a good gift.")</f>
        <v>Purchased on December 30, 2011, broken on January 8, 2012 Smoke started coming from inside when grinding granulated sugar into powdered sugar. I didn’t find any contraindications for this operation in the instructions; unfortunately, 1 glass of granulated sugar ruined such a good gift.</v>
      </c>
    </row>
    <row r="11400" spans="1:9" x14ac:dyDescent="0.3">
      <c r="A11400" s="1" t="s">
        <v>169</v>
      </c>
      <c r="B11400" s="1" t="s">
        <v>170</v>
      </c>
      <c r="C11400" s="1" t="s">
        <v>122</v>
      </c>
      <c r="D11400" s="1" t="s">
        <v>52</v>
      </c>
      <c r="E11400" s="1" t="s">
        <v>4780</v>
      </c>
      <c r="F11400" s="1" t="s">
        <v>16294</v>
      </c>
      <c r="G11400" s="1" t="s">
        <v>36</v>
      </c>
      <c r="H11400" s="1" t="s">
        <v>29</v>
      </c>
      <c r="I11400" s="1" t="str">
        <f ca="1">IFERROR(__xludf.DUMMYFUNCTION("GOOGLETRANSLATE(F11400, ""auto"", ""en"")
"),"Good value for money. Excellent headphones for their price category.  The sound quality is quite acceptable, they fit comfortably on the head, I was pleased with the 5-meter cord. So far I'm happy.")</f>
        <v>Good value for money. Excellent headphones for their price category.  The sound quality is quite acceptable, they fit comfortably on the head, I was pleased with the 5-meter cord. So far I'm happy.</v>
      </c>
    </row>
    <row r="11401" spans="1:9" x14ac:dyDescent="0.3">
      <c r="A11401" s="1" t="s">
        <v>120</v>
      </c>
      <c r="B11401" s="1" t="s">
        <v>121</v>
      </c>
      <c r="C11401" s="1" t="s">
        <v>151</v>
      </c>
      <c r="D11401" s="1" t="s">
        <v>1230</v>
      </c>
      <c r="E11401" s="1" t="s">
        <v>1273</v>
      </c>
      <c r="F11401" s="1" t="s">
        <v>16295</v>
      </c>
      <c r="G11401" s="1" t="s">
        <v>36</v>
      </c>
      <c r="H11401" s="1" t="s">
        <v>29</v>
      </c>
      <c r="I11401" s="1" t="str">
        <f ca="1">IFERROR(__xludf.DUMMYFUNCTION("GOOGLETRANSLATE(F11401, ""auto"", ""en"")
"),"Samsung is a cool device!    Dmitry from Nizhny Tagil!  Why are you scared that HD channels will be broadcast locally?  You got everything mixed up! In 12-15 years, digital television will be introduced in Russia! Not HD!!! And in St. Petersburg they have"&amp;" it! And via a regular RG-58 antenna cable.  HD channels can also be provided locally, but only from the provider.")</f>
        <v>Samsung is a cool device!    Dmitry from Nizhny Tagil!  Why are you scared that HD channels will be broadcast locally?  You got everything mixed up! In 12-15 years, digital television will be introduced in Russia! Not HD!!! And in St. Petersburg they have it! And via a regular RG-58 antenna cable.  HD channels can also be provided locally, but only from the provider.</v>
      </c>
    </row>
    <row r="11402" spans="1:9" x14ac:dyDescent="0.3">
      <c r="A11402" s="1" t="s">
        <v>95</v>
      </c>
      <c r="B11402" s="1" t="s">
        <v>648</v>
      </c>
      <c r="C11402" s="1" t="s">
        <v>97</v>
      </c>
      <c r="D11402" s="1" t="s">
        <v>1851</v>
      </c>
      <c r="E11402" s="1" t="s">
        <v>4327</v>
      </c>
      <c r="F11402" s="1" t="s">
        <v>16296</v>
      </c>
      <c r="G11402" s="1" t="s">
        <v>36</v>
      </c>
      <c r="H11402" s="1" t="s">
        <v>29</v>
      </c>
      <c r="I11402" s="1" t="str">
        <f ca="1">IFERROR(__xludf.DUMMYFUNCTION("GOOGLETRANSLATE(F11402, ""auto"", ""en"")
"),"And now we all unanimously remember Slim when it appeared after the veil.... shouting oh, it has become thin and it’s not convenient to hold it, oh, there’s no way to stitch it, oh, it’s no different from the veil and costs more..... what’s the result? No"&amp;"w each of you says that why the hell do you need Go, which has become smaller, it can’t be flashed, etc. And about the one who complains that he has nowhere to put the disks... IMHO I’ve never bought a single disk, I’ve been driving with a PSP for 3-4 yea"&amp;"rs. It’s easier to flash the PSP, and then download the game on it and that’s it... P.S. Paid firmware is much more profitable than a bunch of disks that especially smart people spent money on..... in general, it’s easier to wait half a year - they’ll bre"&amp;"ak the firmware and everything will be ok... and in terms of form, I advise you to first hold it in your hands, and then draw a conclusion, and not look at the picture and think that you’re a cool critic....")</f>
        <v>And now we all unanimously remember Slim when it appeared after the veil.... shouting oh, it has become thin and it’s not convenient to hold it, oh, there’s no way to stitch it, oh, it’s no different from the veil and costs more..... what’s the result? Now each of you says that why the hell do you need Go, which has become smaller, it can’t be flashed, etc. And about the one who complains that he has nowhere to put the disks... IMHO I’ve never bought a single disk, I’ve been driving with a PSP for 3-4 years. It’s easier to flash the PSP, and then download the game on it and that’s it... P.S. Paid firmware is much more profitable than a bunch of disks that especially smart people spent money on..... in general, it’s easier to wait half a year - they’ll break the firmware and everything will be ok... and in terms of form, I advise you to first hold it in your hands, and then draw a conclusion, and not look at the picture and think that you’re a cool critic....</v>
      </c>
    </row>
    <row r="11403" spans="1:9" x14ac:dyDescent="0.3">
      <c r="A11403" s="1" t="s">
        <v>61</v>
      </c>
      <c r="B11403" s="1" t="s">
        <v>318</v>
      </c>
      <c r="C11403" s="1" t="s">
        <v>69</v>
      </c>
      <c r="D11403" s="1" t="s">
        <v>13442</v>
      </c>
      <c r="E11403" s="1" t="s">
        <v>2004</v>
      </c>
      <c r="F11403" s="1" t="s">
        <v>16297</v>
      </c>
      <c r="G11403" s="1" t="s">
        <v>28</v>
      </c>
      <c r="H11403" s="1" t="s">
        <v>29</v>
      </c>
      <c r="I11403" s="1" t="str">
        <f ca="1">IFERROR(__xludf.DUMMYFUNCTION("GOOGLETRANSLATE(F11403, ""auto"", ""en"")
"),"The kettle is good, I'm happy. Great design, easy to use. The water boils quickly, although it is very noisy (one of the minuses). The bottom became stained and scale formed, but this depends on the quality of the water. As soon as we changed the cartridg"&amp;"e in the water filtering jug, the kettle became perfectly clean. The second of the minuses is that there were cases when the kettle did not turn off. The problem can be solved if you fill the kettle with water slightly below the maximum level. We bought i"&amp;"t on sale at M.Video. I recommend it.")</f>
        <v>The kettle is good, I'm happy. Great design, easy to use. The water boils quickly, although it is very noisy (one of the minuses). The bottom became stained and scale formed, but this depends on the quality of the water. As soon as we changed the cartridge in the water filtering jug, the kettle became perfectly clean. The second of the minuses is that there were cases when the kettle did not turn off. The problem can be solved if you fill the kettle with water slightly below the maximum level. We bought it on sale at M.Video. I recommend it.</v>
      </c>
    </row>
    <row r="11404" spans="1:9" x14ac:dyDescent="0.3">
      <c r="A11404" s="1" t="s">
        <v>211</v>
      </c>
      <c r="B11404" s="1" t="s">
        <v>212</v>
      </c>
      <c r="C11404" s="1" t="s">
        <v>69</v>
      </c>
      <c r="D11404" s="1" t="s">
        <v>521</v>
      </c>
      <c r="E11404" s="1" t="s">
        <v>2331</v>
      </c>
      <c r="F11404" s="1" t="s">
        <v>16298</v>
      </c>
      <c r="G11404" s="1" t="s">
        <v>36</v>
      </c>
      <c r="H11404" s="1" t="s">
        <v>29</v>
      </c>
      <c r="I11404" s="1" t="str">
        <f ca="1">IFERROR(__xludf.DUMMYFUNCTION("GOOGLETRANSLATE(F11404, ""auto"", ""en"")
"),"The hairdryer is super, powerful, dries quickly, the first one failed after 5 years of daily drying!  I bought the same one and have been using it for 2 years")</f>
        <v>The hairdryer is super, powerful, dries quickly, the first one failed after 5 years of daily drying!  I bought the same one and have been using it for 2 years</v>
      </c>
    </row>
    <row r="11405" spans="1:9" x14ac:dyDescent="0.3">
      <c r="A11405" s="1" t="s">
        <v>30</v>
      </c>
      <c r="B11405" s="1" t="s">
        <v>31</v>
      </c>
      <c r="C11405" s="1" t="s">
        <v>365</v>
      </c>
      <c r="D11405" s="1" t="s">
        <v>273</v>
      </c>
      <c r="E11405" s="1" t="s">
        <v>201</v>
      </c>
      <c r="F11405" s="1" t="s">
        <v>16299</v>
      </c>
      <c r="G11405" s="1" t="s">
        <v>36</v>
      </c>
      <c r="H11405" s="1" t="s">
        <v>29</v>
      </c>
      <c r="I11405" s="1" t="str">
        <f ca="1">IFERROR(__xludf.DUMMYFUNCTION("GOOGLETRANSLATE(F11405, ""auto"", ""en"")
"),"There are no good words. I thought the price would be up to 28,000 thousand rubles, but it turns out 21,590. I already want it!!!!! :-)")</f>
        <v>There are no good words. I thought the price would be up to 28,000 thousand rubles, but it turns out 21,590. I already want it!!!!! :-)</v>
      </c>
    </row>
    <row r="11406" spans="1:9" x14ac:dyDescent="0.3">
      <c r="A11406" s="1" t="s">
        <v>211</v>
      </c>
      <c r="B11406" s="1" t="s">
        <v>384</v>
      </c>
      <c r="C11406" s="1" t="s">
        <v>63</v>
      </c>
      <c r="D11406" s="1" t="s">
        <v>305</v>
      </c>
      <c r="E11406" s="1" t="s">
        <v>971</v>
      </c>
      <c r="F11406" s="1" t="s">
        <v>16300</v>
      </c>
      <c r="G11406" s="1" t="s">
        <v>15</v>
      </c>
      <c r="H11406" s="1" t="s">
        <v>16</v>
      </c>
      <c r="I11406" s="1" t="str">
        <f ca="1">IFERROR(__xludf.DUMMYFUNCTION("GOOGLETRANSLATE(F11406, ""auto"", ""en"")
"),"The problem is similar: the numbers are not clearly visible, we also tried to change the battery, let's go change it(")</f>
        <v>The problem is similar: the numbers are not clearly visible, we also tried to change the battery, let's go change it(</v>
      </c>
    </row>
    <row r="11407" spans="1:9" x14ac:dyDescent="0.3">
      <c r="A11407" s="1" t="s">
        <v>361</v>
      </c>
      <c r="B11407" s="1" t="s">
        <v>462</v>
      </c>
      <c r="C11407" s="1" t="s">
        <v>463</v>
      </c>
      <c r="D11407" s="1" t="s">
        <v>1147</v>
      </c>
      <c r="E11407" s="1" t="s">
        <v>11257</v>
      </c>
      <c r="F11407" s="1" t="s">
        <v>16301</v>
      </c>
      <c r="G11407" s="1" t="s">
        <v>36</v>
      </c>
      <c r="H11407" s="1" t="s">
        <v>29</v>
      </c>
      <c r="I11407" s="1" t="str">
        <f ca="1">IFERROR(__xludf.DUMMYFUNCTION("GOOGLETRANSLATE(F11407, ""auto"", ""en"")
"),"Lots of filtered water")</f>
        <v>Lots of filtered water</v>
      </c>
    </row>
    <row r="11408" spans="1:9" x14ac:dyDescent="0.3">
      <c r="A11408" s="1" t="s">
        <v>67</v>
      </c>
      <c r="B11408" s="1" t="s">
        <v>68</v>
      </c>
      <c r="C11408" s="1" t="s">
        <v>101</v>
      </c>
      <c r="D11408" s="1" t="s">
        <v>335</v>
      </c>
      <c r="E11408" s="1" t="s">
        <v>3114</v>
      </c>
      <c r="F11408" s="1" t="s">
        <v>16302</v>
      </c>
      <c r="G11408" s="1" t="s">
        <v>36</v>
      </c>
      <c r="H11408" s="1" t="s">
        <v>29</v>
      </c>
      <c r="I11408" s="1" t="str">
        <f ca="1">IFERROR(__xludf.DUMMYFUNCTION("GOOGLETRANSLATE(F11408, ""auto"", ""en"")
"),"The temperature control does not work well, and the steam supply is also difficult to adjust. Has two positions.  Didn't use it - returned it to the store")</f>
        <v>The temperature control does not work well, and the steam supply is also difficult to adjust. Has two positions.  Didn't use it - returned it to the store</v>
      </c>
    </row>
    <row r="11409" spans="1:9" x14ac:dyDescent="0.3">
      <c r="A11409" s="1" t="s">
        <v>55</v>
      </c>
      <c r="B11409" s="1" t="s">
        <v>84</v>
      </c>
      <c r="C11409" s="1" t="s">
        <v>85</v>
      </c>
      <c r="D11409" s="1" t="s">
        <v>13680</v>
      </c>
      <c r="E11409" s="1" t="s">
        <v>1410</v>
      </c>
      <c r="F11409" s="1" t="s">
        <v>16303</v>
      </c>
      <c r="G11409" s="1" t="s">
        <v>36</v>
      </c>
      <c r="H11409" s="1" t="s">
        <v>29</v>
      </c>
      <c r="I11409" s="1" t="str">
        <f ca="1">IFERROR(__xludf.DUMMYFUNCTION("GOOGLETRANSLATE(F11409, ""auto"", ""en"")
"),"Works silently, quickly moisturizes, consumables are inexpensive")</f>
        <v>Works silently, quickly moisturizes, consumables are inexpensive</v>
      </c>
    </row>
    <row r="11410" spans="1:9" x14ac:dyDescent="0.3">
      <c r="A11410" s="1" t="s">
        <v>30</v>
      </c>
      <c r="B11410" s="1" t="s">
        <v>50</v>
      </c>
      <c r="C11410" s="1" t="s">
        <v>32</v>
      </c>
      <c r="D11410" s="1" t="s">
        <v>152</v>
      </c>
      <c r="E11410" s="1" t="s">
        <v>2008</v>
      </c>
      <c r="F11410" s="1" t="s">
        <v>16304</v>
      </c>
      <c r="G11410" s="1" t="s">
        <v>36</v>
      </c>
      <c r="H11410" s="1" t="s">
        <v>29</v>
      </c>
      <c r="I11410" s="1" t="str">
        <f ca="1">IFERROR(__xludf.DUMMYFUNCTION("GOOGLETRANSLATE(F11410, ""auto"", ""en"")
"),"I bought it a week ago, I like everything! The design is super, excellent comfortable keyboard except for the buttons (arrows)! Excellent screen, and the sound is simply incomparable!!! A very productive laptop and Windows 7 leaves the best impression, al"&amp;"though it loads the system very much: 980 MB of RAM and 2% - 20% of the CPU!!! Installed Assassin Screed on medium flies, at maximum small ones are noticeable brakes! FIFA 09 flies at maximum!!! I also want to note that for watching movies and music it ha"&amp;"s no equal at all!!! I recommend it to everyone!!!")</f>
        <v>I bought it a week ago, I like everything! The design is super, excellent comfortable keyboard except for the buttons (arrows)! Excellent screen, and the sound is simply incomparable!!! A very productive laptop and Windows 7 leaves the best impression, although it loads the system very much: 980 MB of RAM and 2% - 20% of the CPU!!! Installed Assassin Screed on medium flies, at maximum small ones are noticeable brakes! FIFA 09 flies at maximum!!! I also want to note that for watching movies and music it has no equal at all!!! I recommend it to everyone!!!</v>
      </c>
    </row>
    <row r="11411" spans="1:9" x14ac:dyDescent="0.3">
      <c r="A11411" s="1" t="s">
        <v>61</v>
      </c>
      <c r="B11411" s="1" t="s">
        <v>318</v>
      </c>
      <c r="C11411" s="1" t="s">
        <v>1461</v>
      </c>
      <c r="D11411" s="1" t="s">
        <v>16305</v>
      </c>
      <c r="E11411" s="1" t="s">
        <v>1852</v>
      </c>
      <c r="F11411" s="1" t="s">
        <v>16306</v>
      </c>
      <c r="G11411" s="1" t="s">
        <v>15</v>
      </c>
      <c r="H11411" s="1" t="s">
        <v>16</v>
      </c>
      <c r="I11411" s="1" t="str">
        <f ca="1">IFERROR(__xludf.DUMMYFUNCTION("GOOGLETRANSLATE(F11411, ""auto"", ""en"")
"),"The kettle worked for 3 months and broke down (no longer turned on). The service center said that it could not be repaired, there was no necessary part. Since it was a warranty case, they simply returned the money. It’s a pity for the lost time due to run"&amp;"ning around.")</f>
        <v>The kettle worked for 3 months and broke down (no longer turned on). The service center said that it could not be repaired, there was no necessary part. Since it was a warranty case, they simply returned the money. It’s a pity for the lost time due to running around.</v>
      </c>
    </row>
    <row r="11412" spans="1:9" x14ac:dyDescent="0.3">
      <c r="A11412" s="1" t="s">
        <v>624</v>
      </c>
      <c r="B11412" s="1" t="s">
        <v>625</v>
      </c>
      <c r="C11412" s="1" t="s">
        <v>479</v>
      </c>
      <c r="D11412" s="1" t="s">
        <v>6254</v>
      </c>
      <c r="E11412" s="1" t="s">
        <v>13681</v>
      </c>
      <c r="F11412" s="1" t="s">
        <v>16307</v>
      </c>
      <c r="G11412" s="1" t="s">
        <v>36</v>
      </c>
      <c r="H11412" s="1" t="s">
        <v>29</v>
      </c>
      <c r="I11412" s="1" t="str">
        <f ca="1">IFERROR(__xludf.DUMMYFUNCTION("GOOGLETRANSLATE(F11412, ""auto"", ""en"")
"),"Pros: interesting plot, addictive gameplay, quite scary. Cons: none.")</f>
        <v>Pros: interesting plot, addictive gameplay, quite scary. Cons: none.</v>
      </c>
    </row>
    <row r="11413" spans="1:9" x14ac:dyDescent="0.3">
      <c r="A11413" s="1" t="s">
        <v>89</v>
      </c>
      <c r="B11413" s="1" t="s">
        <v>8418</v>
      </c>
      <c r="C11413" s="1" t="s">
        <v>61</v>
      </c>
      <c r="D11413" s="1" t="s">
        <v>16308</v>
      </c>
      <c r="E11413" s="1" t="s">
        <v>4967</v>
      </c>
      <c r="F11413" s="1" t="s">
        <v>16309</v>
      </c>
      <c r="G11413" s="1" t="s">
        <v>36</v>
      </c>
      <c r="H11413" s="1" t="s">
        <v>29</v>
      </c>
      <c r="I11413" s="1" t="str">
        <f ca="1">IFERROR(__xludf.DUMMYFUNCTION("GOOGLETRANSLATE(F11413, ""auto"", ""en"")
"),"I recently purchased this cleaning product for my JURA coffee machine. The result is excellent! The product is quite effective - not a trace of scale remains. The drinks are of excellent quality. So decalcification tablets will now always be on my kitchen"&amp;" shelf. I'm quite satisfied with the purchase.")</f>
        <v>I recently purchased this cleaning product for my JURA coffee machine. The result is excellent! The product is quite effective - not a trace of scale remains. The drinks are of excellent quality. So decalcification tablets will now always be on my kitchen shelf. I'm quite satisfied with the purchase.</v>
      </c>
    </row>
    <row r="11414" spans="1:9" x14ac:dyDescent="0.3">
      <c r="A11414" s="1" t="s">
        <v>17</v>
      </c>
      <c r="B11414" s="1" t="s">
        <v>18</v>
      </c>
      <c r="C11414" s="1" t="s">
        <v>134</v>
      </c>
      <c r="D11414" s="1" t="s">
        <v>152</v>
      </c>
      <c r="E11414" s="1" t="s">
        <v>3694</v>
      </c>
      <c r="F11414" s="1" t="s">
        <v>16310</v>
      </c>
      <c r="G11414" s="1" t="s">
        <v>15</v>
      </c>
      <c r="H11414" s="1" t="s">
        <v>16</v>
      </c>
      <c r="I11414" s="1" t="str">
        <f ca="1">IFERROR(__xludf.DUMMYFUNCTION("GOOGLETRANSLATE(F11414, ""auto"", ""en"")
"),"I wanted to become the owner of this machine, I spent a long time choosing it, there were only positive reviews everywhere, but alas, it didn’t work out. In general, they brought me a washing machine, I launch the program and, lo and behold, it works quie"&amp;"tly, there are no limits to my joy. But it comes to the spin cycle and the joy gives way to the understanding that I have to exchange the washing machine. During the spin cycle, some clicks were heard (metallic sound), as if something was touching somewhe"&amp;"re. The first thought was that it was a bearing. Next, go to the store and call a technician. As a result, we conclude that the machine has a defect, namely the drum touches the cuff. I am making an exchange for the same one. A couple of days later they d"&amp;"eliver a new washing machine, I begin to inspect it and see the following: the side walls are dented, the back panel is bent due to side dents. In general, I immediately gave the machine to the forwarders. I didn’t exchange it for a third one :) Either th"&amp;"eir truck fell down, or it was some kind of counterfeit.")</f>
        <v>I wanted to become the owner of this machine, I spent a long time choosing it, there were only positive reviews everywhere, but alas, it didn’t work out. In general, they brought me a washing machine, I launch the program and, lo and behold, it works quietly, there are no limits to my joy. But it comes to the spin cycle and the joy gives way to the understanding that I have to exchange the washing machine. During the spin cycle, some clicks were heard (metallic sound), as if something was touching somewhere. The first thought was that it was a bearing. Next, go to the store and call a technician. As a result, we conclude that the machine has a defect, namely the drum touches the cuff. I am making an exchange for the same one. A couple of days later they deliver a new washing machine, I begin to inspect it and see the following: the side walls are dented, the back panel is bent due to side dents. In general, I immediately gave the machine to the forwarders. I didn’t exchange it for a third one :) Either their truck fell down, or it was some kind of counterfeit.</v>
      </c>
    </row>
    <row r="11415" spans="1:9" x14ac:dyDescent="0.3">
      <c r="A11415" s="1" t="s">
        <v>206</v>
      </c>
      <c r="B11415" s="1" t="s">
        <v>1253</v>
      </c>
      <c r="C11415" s="1" t="s">
        <v>4464</v>
      </c>
      <c r="D11415" s="1" t="s">
        <v>114</v>
      </c>
      <c r="E11415" s="1" t="s">
        <v>400</v>
      </c>
      <c r="F11415" s="1" t="s">
        <v>16311</v>
      </c>
      <c r="G11415" s="1" t="s">
        <v>36</v>
      </c>
      <c r="H11415" s="1" t="s">
        <v>29</v>
      </c>
      <c r="I11415" s="1" t="str">
        <f ca="1">IFERROR(__xludf.DUMMYFUNCTION("GOOGLETRANSLATE(F11415, ""auto"", ""en"")
"),"The radio station “for a beginner” is quite normal. There are articles on the Internet about how to modify it, increase sensitivity, etc. - While the warranty applies to it, it is better not to do this under any circumstances. but even without modificatio"&amp;"ns, this r/st is much better than products from JJ-connect (do not buy them under any circumstances). That's why I give it a five. don’t look at the range of action, there is no such characteristic.. Receiver sensitivity is approximately 0.18 µV noise sup"&amp;"pressor opening level 0.5 µV transmitter power 0.5 W transmitter deviation +/- 2.7 kHz.")</f>
        <v>The radio station “for a beginner” is quite normal. There are articles on the Internet about how to modify it, increase sensitivity, etc. - While the warranty applies to it, it is better not to do this under any circumstances. but even without modifications, this r/st is much better than products from JJ-connect (do not buy them under any circumstances). That's why I give it a five. don’t look at the range of action, there is no such characteristic.. Receiver sensitivity is approximately 0.18 µV noise suppressor opening level 0.5 µV transmitter power 0.5 W transmitter deviation +/- 2.7 kHz.</v>
      </c>
    </row>
    <row r="11416" spans="1:9" x14ac:dyDescent="0.3">
      <c r="A11416" s="1" t="s">
        <v>211</v>
      </c>
      <c r="B11416" s="1" t="s">
        <v>410</v>
      </c>
      <c r="C11416" s="1" t="s">
        <v>213</v>
      </c>
      <c r="D11416" s="1" t="s">
        <v>308</v>
      </c>
      <c r="E11416" s="1" t="s">
        <v>4174</v>
      </c>
      <c r="F11416" s="1" t="s">
        <v>16312</v>
      </c>
      <c r="G11416" s="1" t="s">
        <v>36</v>
      </c>
      <c r="H11416" s="1" t="s">
        <v>29</v>
      </c>
      <c r="I11416" s="1" t="str">
        <f ca="1">IFERROR(__xludf.DUMMYFUNCTION("GOOGLETRANSLATE(F11416, ""auto"", ""en"")
"),"I, as a woman, want to express my deep gratitude to the manufacturers of this razor!!! Now my husband shaves in just 1 minute!!! This is very pleasing and we don’t spend money on gel and foam!!! But this is only if there is an outlet in the bathroom!!!")</f>
        <v>I, as a woman, want to express my deep gratitude to the manufacturers of this razor!!! Now my husband shaves in just 1 minute!!! This is very pleasing and we don’t spend money on gel and foam!!! But this is only if there is an outlet in the bathroom!!!</v>
      </c>
    </row>
    <row r="11417" spans="1:9" x14ac:dyDescent="0.3">
      <c r="A11417" s="1" t="s">
        <v>105</v>
      </c>
      <c r="B11417" s="1" t="s">
        <v>106</v>
      </c>
      <c r="C11417" s="1" t="s">
        <v>97</v>
      </c>
      <c r="D11417" s="1" t="s">
        <v>327</v>
      </c>
      <c r="E11417" s="1" t="s">
        <v>1742</v>
      </c>
      <c r="F11417" s="1" t="s">
        <v>16313</v>
      </c>
      <c r="G11417" s="1" t="s">
        <v>36</v>
      </c>
      <c r="H11417" s="1" t="s">
        <v>29</v>
      </c>
      <c r="I11417" s="1" t="str">
        <f ca="1">IFERROR(__xludf.DUMMYFUNCTION("GOOGLETRANSLATE(F11417, ""auto"", ""en"")
"),"I looked through all the offers in the range of 4-4.5 thousand rubles. I read reviews and forums. I listened to the recommendations of sales consultants in various retail chains and came to the conclusion that this is really the best birthday gift for a g"&amp;"irl. Firstly, this is Wolfman, which already in terms of sound quality significantly competes with any Samsung. Secondly, the design is small, red, and fits comfortably in the hand. Beautiful display colors, but really, what else do you need? The only thi"&amp;"ng is that many say that it would be better to change the standard headphones, but it is natural that the “vacuum” will sound much better and cleaner, but this is at the discretion of the girl! ;)")</f>
        <v>I looked through all the offers in the range of 4-4.5 thousand rubles. I read reviews and forums. I listened to the recommendations of sales consultants in various retail chains and came to the conclusion that this is really the best birthday gift for a girl. Firstly, this is Wolfman, which already in terms of sound quality significantly competes with any Samsung. Secondly, the design is small, red, and fits comfortably in the hand. Beautiful display colors, but really, what else do you need? The only thing is that many say that it would be better to change the standard headphones, but it is natural that the “vacuum” will sound much better and cleaner, but this is at the discretion of the girl! ;)</v>
      </c>
    </row>
    <row r="11418" spans="1:9" x14ac:dyDescent="0.3">
      <c r="A11418" s="1" t="s">
        <v>67</v>
      </c>
      <c r="B11418" s="1" t="s">
        <v>340</v>
      </c>
      <c r="C11418" s="1" t="s">
        <v>341</v>
      </c>
      <c r="D11418" s="1" t="s">
        <v>2336</v>
      </c>
      <c r="E11418" s="1" t="s">
        <v>6631</v>
      </c>
      <c r="F11418" s="1" t="s">
        <v>16314</v>
      </c>
      <c r="G11418" s="1" t="s">
        <v>36</v>
      </c>
      <c r="H11418" s="1" t="s">
        <v>29</v>
      </c>
      <c r="I11418" s="1" t="str">
        <f ca="1">IFERROR(__xludf.DUMMYFUNCTION("GOOGLETRANSLATE(F11418, ""auto"", ""en"")
"),"One of the best purchases of household appliances! She sews beautifully! ALL! I sew a lot, every day for two hours, from children’s T-shirts and summer dresses, to jeans, jackets with padding polyester and faux fur. It sews thick fabrics perfectly, the ma"&amp;"in thing is to use the appropriate needles. Of the minuses: be careful with the needle bar! When replacing the needle, it is better to tighten it by hand! My husband screwed it in with a screwdriver, overdid it, and had to take it in for repairs. And the "&amp;"presser foot pressure is not adjustable! When sewing thick fabrics in two layers, the fabric moves out :( But these are still minor things, not all daughters’ fur coats are sewn themselves. The presser feet are suitable from other companies, if you wish, "&amp;"you can buy an overlock foot, and a regular zigzag will work just as well as an overlocker.")</f>
        <v>One of the best purchases of household appliances! She sews beautifully! ALL! I sew a lot, every day for two hours, from children’s T-shirts and summer dresses, to jeans, jackets with padding polyester and faux fur. It sews thick fabrics perfectly, the main thing is to use the appropriate needles. Of the minuses: be careful with the needle bar! When replacing the needle, it is better to tighten it by hand! My husband screwed it in with a screwdriver, overdid it, and had to take it in for repairs. And the presser foot pressure is not adjustable! When sewing thick fabrics in two layers, the fabric moves out :( But these are still minor things, not all daughters’ fur coats are sewn themselves. The presser feet are suitable from other companies, if you wish, you can buy an overlock foot, and a regular zigzag will work just as well as an overlocker.</v>
      </c>
    </row>
    <row r="11419" spans="1:9" x14ac:dyDescent="0.3">
      <c r="A11419" s="1" t="s">
        <v>61</v>
      </c>
      <c r="B11419" s="1" t="s">
        <v>224</v>
      </c>
      <c r="C11419" s="1" t="s">
        <v>74</v>
      </c>
      <c r="D11419" s="1" t="s">
        <v>208</v>
      </c>
      <c r="E11419" s="1" t="s">
        <v>2011</v>
      </c>
      <c r="F11419" s="1" t="s">
        <v>16315</v>
      </c>
      <c r="G11419" s="1" t="s">
        <v>36</v>
      </c>
      <c r="H11419" s="1" t="s">
        <v>29</v>
      </c>
      <c r="I11419" s="1" t="str">
        <f ca="1">IFERROR(__xludf.DUMMYFUNCTION("GOOGLETRANSLATE(F11419, ""auto"", ""en"")
"),"We bought it yesterday and immediately made juice from all the types of fruits we had at home. Squeezes apples in half a second, carrots like a laser - in an instant! The grapes were also superbly pressed!    A lot of fruit juice is squeezed out, almost d"&amp;"ry.  I recommend The only downside is that you need to wash it after juicing =)")</f>
        <v>We bought it yesterday and immediately made juice from all the types of fruits we had at home. Squeezes apples in half a second, carrots like a laser - in an instant! The grapes were also superbly pressed!    A lot of fruit juice is squeezed out, almost dry.  I recommend The only downside is that you need to wash it after juicing =)</v>
      </c>
    </row>
    <row r="11420" spans="1:9" x14ac:dyDescent="0.3">
      <c r="A11420" s="1" t="s">
        <v>17</v>
      </c>
      <c r="B11420" s="1" t="s">
        <v>18</v>
      </c>
      <c r="C11420" s="1" t="s">
        <v>19</v>
      </c>
      <c r="D11420" s="1" t="s">
        <v>46</v>
      </c>
      <c r="E11420" s="1" t="s">
        <v>16316</v>
      </c>
      <c r="F11420" s="1" t="s">
        <v>16317</v>
      </c>
      <c r="G11420" s="1" t="s">
        <v>15</v>
      </c>
      <c r="H11420" s="1" t="s">
        <v>16</v>
      </c>
      <c r="I11420" s="1" t="str">
        <f ca="1">IFERROR(__xludf.DUMMYFUNCTION("GOOGLETRANSLATE(F11420, ""auto"", ""en"")
"),"We bought this model in January 2012. We installed it ourselves. It seemed like everything was fine at first... Soon the original hose came loose, the gaskets were changed, and sealed with fume tape, but it still leaked. I washed it once on night mode and"&amp;" it made a terrible noise!  I washed it mainly on 3 modes - white cotton, colored and quick for 30 minutes. I can’t say, “Oh, how great it erases.” Special modes, children's underwear, curtains, shirts....we were not pleased with the quality. After 2 year"&amp;"s it started making more noise. One of the two bearings completely fell apart. But in Russian production, it is difficult to replace the bearing separately; you need to saw the drum (in European-assembled machines they are removed separately, without affe"&amp;"cting the drum). For this reason, replacing bearings turned out to be more expensive than 1/4 of the cost of the entire machine. The water level sensor started acting up. In a word, a disposable machine. My advice to you is not to buy cars made by us.")</f>
        <v>We bought this model in January 2012. We installed it ourselves. It seemed like everything was fine at first... Soon the original hose came loose, the gaskets were changed, and sealed with fume tape, but it still leaked. I washed it once on night mode and it made a terrible noise!  I washed it mainly on 3 modes - white cotton, colored and quick for 30 minutes. I can’t say, “Oh, how great it erases.” Special modes, children's underwear, curtains, shirts....we were not pleased with the quality. After 2 years it started making more noise. One of the two bearings completely fell apart. But in Russian production, it is difficult to replace the bearing separately; you need to saw the drum (in European-assembled machines they are removed separately, without affecting the drum). For this reason, replacing bearings turned out to be more expensive than 1/4 of the cost of the entire machine. The water level sensor started acting up. In a word, a disposable machine. My advice to you is not to buy cars made by us.</v>
      </c>
    </row>
    <row r="11421" spans="1:9" x14ac:dyDescent="0.3">
      <c r="A11421" s="1" t="s">
        <v>169</v>
      </c>
      <c r="B11421" s="1" t="s">
        <v>170</v>
      </c>
      <c r="C11421" s="1" t="s">
        <v>193</v>
      </c>
      <c r="D11421" s="1" t="s">
        <v>308</v>
      </c>
      <c r="E11421" s="1" t="s">
        <v>4171</v>
      </c>
      <c r="F11421" s="1" t="s">
        <v>16318</v>
      </c>
      <c r="G11421" s="1" t="s">
        <v>1580</v>
      </c>
      <c r="H11421" s="1" t="s">
        <v>29</v>
      </c>
      <c r="I11421" s="1" t="str">
        <f ca="1">IFERROR(__xludf.DUMMYFUNCTION("GOOGLETRANSLATE(F11421, ""auto"", ""en"")
"),"Excellent headphones, good sound.")</f>
        <v>Excellent headphones, good sound.</v>
      </c>
    </row>
    <row r="11422" spans="1:9" x14ac:dyDescent="0.3">
      <c r="A11422" s="1" t="s">
        <v>9</v>
      </c>
      <c r="B11422" s="1" t="s">
        <v>10</v>
      </c>
      <c r="C11422" s="1" t="s">
        <v>407</v>
      </c>
      <c r="D11422" s="1" t="s">
        <v>934</v>
      </c>
      <c r="E11422" s="1" t="s">
        <v>14005</v>
      </c>
      <c r="F11422" s="1" t="s">
        <v>16319</v>
      </c>
      <c r="G11422" s="1" t="s">
        <v>36</v>
      </c>
      <c r="H11422" s="1" t="s">
        <v>29</v>
      </c>
      <c r="I11422" s="1" t="str">
        <f ca="1">IFERROR(__xludf.DUMMYFUNCTION("GOOGLETRANSLATE(F11422, ""auto"", ""en"")
"),"I liked the look. In fact, the hood is very cool and convenient. It was quite easy to assemble. Fits perfectly into the interior. Beautiful blue backlight. Really powerful, we personally watched how it pulled you into yourself. It makes a little noise at "&amp;"speed 2-3, but how could it be otherwise if it is powerful. Overall, the design, build and quality are excellent. We are delighted.")</f>
        <v>I liked the look. In fact, the hood is very cool and convenient. It was quite easy to assemble. Fits perfectly into the interior. Beautiful blue backlight. Really powerful, we personally watched how it pulled you into yourself. It makes a little noise at speed 2-3, but how could it be otherwise if it is powerful. Overall, the design, build and quality are excellent. We are delighted.</v>
      </c>
    </row>
    <row r="11423" spans="1:9" x14ac:dyDescent="0.3">
      <c r="A11423" s="1" t="s">
        <v>61</v>
      </c>
      <c r="B11423" s="1" t="s">
        <v>318</v>
      </c>
      <c r="C11423" s="1" t="s">
        <v>246</v>
      </c>
      <c r="D11423" s="1" t="s">
        <v>64</v>
      </c>
      <c r="E11423" s="1" t="s">
        <v>1816</v>
      </c>
      <c r="F11423" s="1" t="s">
        <v>16320</v>
      </c>
      <c r="G11423" s="1" t="s">
        <v>36</v>
      </c>
      <c r="H11423" s="1" t="s">
        <v>29</v>
      </c>
      <c r="I11423" s="1" t="str">
        <f ca="1">IFERROR(__xludf.DUMMYFUNCTION("GOOGLETRANSLATE(F11423, ""auto"", ""en"")
"),"He has been serving in our house for 2 years. There is no smell, the lid does not fall off. Noisy - yes, but compared to other advantages it is nonsense. It boils quickly, turns off on its own without any problems, and this takes into account the number o"&amp;"f kettles heated per day, because... Everyone in the house is a tea and coffee lover. And the most important advantage of this kettle is its spout - not a drop of water spills past, if I have to buy a new kettle I will look for one with the same spout. I "&amp;"bought it on sale for 1.5 thousand. I am very pleased.")</f>
        <v>He has been serving in our house for 2 years. There is no smell, the lid does not fall off. Noisy - yes, but compared to other advantages it is nonsense. It boils quickly, turns off on its own without any problems, and this takes into account the number of kettles heated per day, because... Everyone in the house is a tea and coffee lover. And the most important advantage of this kettle is its spout - not a drop of water spills past, if I have to buy a new kettle I will look for one with the same spout. I bought it on sale for 1.5 thousand. I am very pleased.</v>
      </c>
    </row>
    <row r="11424" spans="1:9" x14ac:dyDescent="0.3">
      <c r="A11424" s="1" t="s">
        <v>624</v>
      </c>
      <c r="B11424" s="1" t="s">
        <v>625</v>
      </c>
      <c r="C11424" s="1" t="s">
        <v>479</v>
      </c>
      <c r="D11424" s="1" t="s">
        <v>327</v>
      </c>
      <c r="E11424" s="1" t="s">
        <v>2693</v>
      </c>
      <c r="F11424" s="1" t="s">
        <v>16321</v>
      </c>
      <c r="G11424" s="1" t="s">
        <v>36</v>
      </c>
      <c r="H11424" s="1" t="s">
        <v>29</v>
      </c>
      <c r="I11424" s="1" t="str">
        <f ca="1">IFERROR(__xludf.DUMMYFUNCTION("GOOGLETRANSLATE(F11424, ""auto"", ""en"")
"),"In my opinion, this is the best car simulator of all time.  This game is a must-buy for anyone who has a passion for auto racing, and ordinary people will certainly like it, because there is no other game in which you can try driving such a number of cars"&amp;".    But there is one reason why I can’t buy such a thing - it’s because I don’t have a PS3.    And this game is worth it, just because of this I will have to buy a PS3)")</f>
        <v>In my opinion, this is the best car simulator of all time.  This game is a must-buy for anyone who has a passion for auto racing, and ordinary people will certainly like it, because there is no other game in which you can try driving such a number of cars.    But there is one reason why I can’t buy such a thing - it’s because I don’t have a PS3.    And this game is worth it, just because of this I will have to buy a PS3)</v>
      </c>
    </row>
    <row r="11425" spans="1:9" x14ac:dyDescent="0.3">
      <c r="A11425" s="1" t="s">
        <v>61</v>
      </c>
      <c r="B11425" s="1" t="s">
        <v>62</v>
      </c>
      <c r="C11425" s="1" t="s">
        <v>69</v>
      </c>
      <c r="D11425" s="1" t="s">
        <v>172</v>
      </c>
      <c r="E11425" s="1" t="s">
        <v>6641</v>
      </c>
      <c r="F11425" s="1" t="s">
        <v>16322</v>
      </c>
      <c r="G11425" s="1" t="s">
        <v>36</v>
      </c>
      <c r="H11425" s="1" t="s">
        <v>29</v>
      </c>
      <c r="I11425" s="1" t="str">
        <f ca="1">IFERROR(__xludf.DUMMYFUNCTION("GOOGLETRANSLATE(F11425, ""auto"", ""en"")
"),"Everything on one unit, conveniently at hand")</f>
        <v>Everything on one unit, conveniently at hand</v>
      </c>
    </row>
    <row r="11426" spans="1:9" x14ac:dyDescent="0.3">
      <c r="A11426" s="1" t="s">
        <v>37</v>
      </c>
      <c r="B11426" s="1" t="s">
        <v>536</v>
      </c>
      <c r="C11426" s="1" t="s">
        <v>1419</v>
      </c>
      <c r="D11426" s="1" t="s">
        <v>695</v>
      </c>
      <c r="E11426" s="1" t="s">
        <v>956</v>
      </c>
      <c r="F11426" s="1" t="s">
        <v>16323</v>
      </c>
      <c r="G11426" s="1" t="s">
        <v>36</v>
      </c>
      <c r="H11426" s="1" t="s">
        <v>29</v>
      </c>
      <c r="I11426" s="1" t="str">
        <f ca="1">IFERROR(__xludf.DUMMYFUNCTION("GOOGLETRANSLATE(F11426, ""auto"", ""en"")
"),"The device has been in use for more than a year. I bought it from Mvideo for 15 thousand. What was required from the PDA was: VGA screen, watching video without conversion, wifi and, most importantly, the presence of GPS. The phone copes with all this per"&amp;"fectly.   For 7200 rubles, definitely take it. You won't find anything cheaper in terms of functionality =)")</f>
        <v>The device has been in use for more than a year. I bought it from Mvideo for 15 thousand. What was required from the PDA was: VGA screen, watching video without conversion, wifi and, most importantly, the presence of GPS. The phone copes with all this perfectly.   For 7200 rubles, definitely take it. You won't find anything cheaper in terms of functionality =)</v>
      </c>
    </row>
    <row r="11427" spans="1:9" x14ac:dyDescent="0.3">
      <c r="A11427" s="1" t="s">
        <v>169</v>
      </c>
      <c r="B11427" s="1" t="s">
        <v>170</v>
      </c>
      <c r="C11427" s="1" t="s">
        <v>69</v>
      </c>
      <c r="D11427" s="1" t="s">
        <v>117</v>
      </c>
      <c r="E11427" s="1" t="s">
        <v>628</v>
      </c>
      <c r="F11427" s="1" t="s">
        <v>16324</v>
      </c>
      <c r="G11427" s="1" t="s">
        <v>36</v>
      </c>
      <c r="H11427" s="1" t="s">
        <v>29</v>
      </c>
      <c r="I11427" s="1" t="str">
        <f ca="1">IFERROR(__xludf.DUMMYFUNCTION("GOOGLETRANSLATE(F11427, ""auto"", ""en"")
"),"The headphones are excellent, I recommend them to everyone.  Gentlemen, about the problem with the left earphone - I myself have the same problem, but with the right one.  Did you think that this was due to the cable fraying next to the plug?")</f>
        <v>The headphones are excellent, I recommend them to everyone.  Gentlemen, about the problem with the left earphone - I myself have the same problem, but with the right one.  Did you think that this was due to the cable fraying next to the plug?</v>
      </c>
    </row>
    <row r="11428" spans="1:9" x14ac:dyDescent="0.3">
      <c r="A11428" s="1" t="s">
        <v>965</v>
      </c>
      <c r="B11428" s="1" t="s">
        <v>966</v>
      </c>
      <c r="C11428" s="1" t="s">
        <v>2149</v>
      </c>
      <c r="D11428" s="1" t="s">
        <v>305</v>
      </c>
      <c r="E11428" s="1" t="s">
        <v>543</v>
      </c>
      <c r="F11428" s="1" t="s">
        <v>16325</v>
      </c>
      <c r="G11428" s="1" t="s">
        <v>36</v>
      </c>
      <c r="H11428" s="1" t="s">
        <v>29</v>
      </c>
      <c r="I11428" s="1" t="str">
        <f ca="1">IFERROR(__xludf.DUMMYFUNCTION("GOOGLETRANSLATE(F11428, ""auto"", ""en"")
"),"I bought these super speakers a week ago and I’m still not overjoyed with them. The sound is high quality and the subwoofer pumps well. I advise you to buy them.")</f>
        <v>I bought these super speakers a week ago and I’m still not overjoyed with them. The sound is high quality and the subwoofer pumps well. I advise you to buy them.</v>
      </c>
    </row>
    <row r="11429" spans="1:9" x14ac:dyDescent="0.3">
      <c r="A11429" s="1" t="s">
        <v>120</v>
      </c>
      <c r="B11429" s="1" t="s">
        <v>121</v>
      </c>
      <c r="C11429" s="1" t="s">
        <v>69</v>
      </c>
      <c r="D11429" s="1" t="s">
        <v>152</v>
      </c>
      <c r="E11429" s="1" t="s">
        <v>4504</v>
      </c>
      <c r="F11429" s="1" t="s">
        <v>16326</v>
      </c>
      <c r="G11429" s="1" t="s">
        <v>36</v>
      </c>
      <c r="H11429" s="1" t="s">
        <v>29</v>
      </c>
      <c r="I11429" s="1" t="str">
        <f ca="1">IFERROR(__xludf.DUMMYFUNCTION("GOOGLETRANSLATE(F11429, ""auto"", ""en"")
"),"I bought it yesterday and I don’t regret it at all!  1) Powerful and clear sound 2) Excellent picture, no blurring or lag of the picture, Tested by Avatar)) Price/quality ratio is ideal, I recommend it to everyone")</f>
        <v>I bought it yesterday and I don’t regret it at all!  1) Powerful and clear sound 2) Excellent picture, no blurring or lag of the picture, Tested by Avatar)) Price/quality ratio is ideal, I recommend it to everyone</v>
      </c>
    </row>
    <row r="11430" spans="1:9" x14ac:dyDescent="0.3">
      <c r="A11430" s="1" t="s">
        <v>61</v>
      </c>
      <c r="B11430" s="1" t="s">
        <v>318</v>
      </c>
      <c r="C11430" s="1" t="s">
        <v>57</v>
      </c>
      <c r="D11430" s="1" t="s">
        <v>1764</v>
      </c>
      <c r="E11430" s="1" t="s">
        <v>7967</v>
      </c>
      <c r="F11430" s="1" t="s">
        <v>16327</v>
      </c>
      <c r="G11430" s="1" t="s">
        <v>36</v>
      </c>
      <c r="H11430" s="1" t="s">
        <v>29</v>
      </c>
      <c r="I11430" s="1" t="str">
        <f ca="1">IFERROR(__xludf.DUMMYFUNCTION("GOOGLETRANSLATE(F11430, ""auto"", ""en"")
"),"I bought a very convenient and easy-to-use kettle somewhere on sale, and I’ve been using it for a year and a half now. It boils very quickly and turns off normally. Material: stainless steel. I recommend it to everyone, it works for a long time, the price"&amp;" is low")</f>
        <v>I bought a very convenient and easy-to-use kettle somewhere on sale, and I’ve been using it for a year and a half now. It boils very quickly and turns off normally. Material: stainless steel. I recommend it to everyone, it works for a long time, the price is low</v>
      </c>
    </row>
    <row r="11431" spans="1:9" x14ac:dyDescent="0.3">
      <c r="A11431" s="1" t="s">
        <v>43</v>
      </c>
      <c r="B11431" s="1" t="s">
        <v>44</v>
      </c>
      <c r="C11431" s="1" t="s">
        <v>45</v>
      </c>
      <c r="D11431" s="1" t="s">
        <v>172</v>
      </c>
      <c r="E11431" s="1" t="s">
        <v>1133</v>
      </c>
      <c r="F11431" s="1" t="s">
        <v>16328</v>
      </c>
      <c r="G11431" s="1" t="s">
        <v>49</v>
      </c>
      <c r="H11431" s="1" t="s">
        <v>16</v>
      </c>
      <c r="I11431" s="1" t="str">
        <f ca="1">IFERROR(__xludf.DUMMYFUNCTION("GOOGLETRANSLATE(F11431, ""auto"", ""en"")
"),"My wife and I bought this fan. I was captivated by its very solid appearance and the fashionable 3D propeller rotation function. We were not happy for long. Exactly one summer season. Then something happened that was not expected at all! The system for at"&amp;"taching the fan head to the stand, where the locking thumbscrew is, is made of plastic of frankly poor quality. The plastic part that connects the fan head to the vertical stand simply crumbled. Fan - ejection. A blatant miscalculation by the designers. W"&amp;"e made a mistake in choosing the material. Be careful and careful when choosing this model.")</f>
        <v>My wife and I bought this fan. I was captivated by its very solid appearance and the fashionable 3D propeller rotation function. We were not happy for long. Exactly one summer season. Then something happened that was not expected at all! The system for attaching the fan head to the stand, where the locking thumbscrew is, is made of plastic of frankly poor quality. The plastic part that connects the fan head to the vertical stand simply crumbled. Fan - ejection. A blatant miscalculation by the designers. We made a mistake in choosing the material. Be careful and careful when choosing this model.</v>
      </c>
    </row>
    <row r="11432" spans="1:9" x14ac:dyDescent="0.3">
      <c r="A11432" s="1" t="s">
        <v>211</v>
      </c>
      <c r="B11432" s="1" t="s">
        <v>212</v>
      </c>
      <c r="C11432" s="1" t="s">
        <v>381</v>
      </c>
      <c r="D11432" s="1" t="s">
        <v>621</v>
      </c>
      <c r="E11432" s="1" t="s">
        <v>1660</v>
      </c>
      <c r="F11432" s="1" t="s">
        <v>16329</v>
      </c>
      <c r="G11432" s="1" t="s">
        <v>36</v>
      </c>
      <c r="H11432" s="1" t="s">
        <v>29</v>
      </c>
      <c r="I11432" s="1" t="str">
        <f ca="1">IFERROR(__xludf.DUMMYFUNCTION("GOOGLETRANSLATE(F11432, ""auto"", ""en"")
"),"This is the best hair dryer I've ever owned. I bought it 3 years ago, I’m very pleased!!!")</f>
        <v>This is the best hair dryer I've ever owned. I bought it 3 years ago, I’m very pleased!!!</v>
      </c>
    </row>
    <row r="11433" spans="1:9" x14ac:dyDescent="0.3">
      <c r="A11433" s="1" t="s">
        <v>111</v>
      </c>
      <c r="B11433" s="1" t="s">
        <v>636</v>
      </c>
      <c r="C11433" s="1" t="s">
        <v>637</v>
      </c>
      <c r="D11433" s="1" t="s">
        <v>10682</v>
      </c>
      <c r="E11433" s="1" t="s">
        <v>1312</v>
      </c>
      <c r="F11433" s="1" t="s">
        <v>16330</v>
      </c>
      <c r="G11433" s="1" t="s">
        <v>15</v>
      </c>
      <c r="H11433" s="1" t="s">
        <v>16</v>
      </c>
      <c r="I11433" s="1" t="str">
        <f ca="1">IFERROR(__xludf.DUMMYFUNCTION("GOOGLETRANSLATE(F11433, ""auto"", ""en"")
"),"After a year and a half, the projector segments stopped working. It's a pity.")</f>
        <v>After a year and a half, the projector segments stopped working. It's a pity.</v>
      </c>
    </row>
    <row r="11434" spans="1:9" x14ac:dyDescent="0.3">
      <c r="A11434" s="1" t="s">
        <v>61</v>
      </c>
      <c r="B11434" s="1" t="s">
        <v>318</v>
      </c>
      <c r="C11434" s="1" t="s">
        <v>63</v>
      </c>
      <c r="D11434" s="1" t="s">
        <v>471</v>
      </c>
      <c r="E11434" s="1" t="s">
        <v>5855</v>
      </c>
      <c r="F11434" s="1" t="s">
        <v>16331</v>
      </c>
      <c r="G11434" s="1" t="s">
        <v>36</v>
      </c>
      <c r="H11434" s="1" t="s">
        <v>29</v>
      </c>
      <c r="I11434" s="1" t="str">
        <f ca="1">IFERROR(__xludf.DUMMYFUNCTION("GOOGLETRANSLATE(F11434, ""auto"", ""en"")
"),"The kettle is simply classy. It has been working for about 2 years and everything is fine. Externally, the displacement scale has been erased. Easy to clean. I recommend it.")</f>
        <v>The kettle is simply classy. It has been working for about 2 years and everything is fine. Externally, the displacement scale has been erased. Easy to clean. I recommend it.</v>
      </c>
    </row>
    <row r="11435" spans="1:9" x14ac:dyDescent="0.3">
      <c r="A11435" s="1" t="s">
        <v>61</v>
      </c>
      <c r="B11435" s="1" t="s">
        <v>145</v>
      </c>
      <c r="C11435" s="1" t="s">
        <v>85</v>
      </c>
      <c r="D11435" s="1" t="s">
        <v>64</v>
      </c>
      <c r="E11435" s="1" t="s">
        <v>7339</v>
      </c>
      <c r="F11435" s="1" t="s">
        <v>16332</v>
      </c>
      <c r="G11435" s="1" t="s">
        <v>36</v>
      </c>
      <c r="H11435" s="1" t="s">
        <v>29</v>
      </c>
      <c r="I11435" s="1" t="str">
        <f ca="1">IFERROR(__xludf.DUMMYFUNCTION("GOOGLETRANSLATE(F11435, ""auto"", ""en"")
"),"The steamer has all the necessary functions. Made from quality material. Very happy with the purchase!")</f>
        <v>The steamer has all the necessary functions. Made from quality material. Very happy with the purchase!</v>
      </c>
    </row>
    <row r="11436" spans="1:9" x14ac:dyDescent="0.3">
      <c r="A11436" s="1" t="s">
        <v>67</v>
      </c>
      <c r="B11436" s="1" t="s">
        <v>340</v>
      </c>
      <c r="C11436" s="1" t="s">
        <v>341</v>
      </c>
      <c r="D11436" s="1" t="s">
        <v>852</v>
      </c>
      <c r="E11436" s="1" t="s">
        <v>7925</v>
      </c>
      <c r="F11436" s="1" t="s">
        <v>16333</v>
      </c>
      <c r="G11436" s="1" t="s">
        <v>36</v>
      </c>
      <c r="H11436" s="1" t="s">
        <v>29</v>
      </c>
      <c r="I11436" s="1" t="str">
        <f ca="1">IFERROR(__xludf.DUMMYFUNCTION("GOOGLETRANSLATE(F11436, ""auto"", ""en"")
"),"I bought it a few days ago and I really like it so far. The design, assembly and sewing are excellent. I’m not a professional, I bought it for home. Easy to use, not loud. Everything is clearly written in the instructions. A very cool thing, a thread thre"&amp;"ader (convenient for those with poor eyesight)!!!")</f>
        <v>I bought it a few days ago and I really like it so far. The design, assembly and sewing are excellent. I’m not a professional, I bought it for home. Easy to use, not loud. Everything is clearly written in the instructions. A very cool thing, a thread threader (convenient for those with poor eyesight)!!!</v>
      </c>
    </row>
    <row r="11437" spans="1:9" x14ac:dyDescent="0.3">
      <c r="A11437" s="1" t="s">
        <v>105</v>
      </c>
      <c r="B11437" s="1" t="s">
        <v>106</v>
      </c>
      <c r="C11437" s="1" t="s">
        <v>69</v>
      </c>
      <c r="D11437" s="1" t="s">
        <v>2764</v>
      </c>
      <c r="E11437" s="1" t="s">
        <v>225</v>
      </c>
      <c r="F11437" s="1" t="s">
        <v>16334</v>
      </c>
      <c r="G11437" s="1" t="s">
        <v>28</v>
      </c>
      <c r="H11437" s="1" t="s">
        <v>29</v>
      </c>
      <c r="I11437" s="1" t="str">
        <f ca="1">IFERROR(__xludf.DUMMYFUNCTION("GOOGLETRANSLATE(F11437, ""auto"", ""en"")
"),"I bought it in September 2009. I liked the model and the price. Then it cost 1990 rubles.  The headphones included in the set suck. Inconvenient and simply poor quality. That's why I bought others.   So about the ""+""-x of the player. It works for a very"&amp;" long time. At first I listened constantly. And it lasted for more than 3 days. Yes, and it charges quickly. Not a bad voice recorder. You can record lectures, but live music should not be terribly loud. It feels like you're listening to an old record pla"&amp;"yer. Good memory. I can accommodate classics, lectures, and contemporary music. Small, doesn't take up much space.  ""-"" Recharges only from the computer. You can delete tracks or an entire folder only by connecting to your computer. It doesn’t have such"&amp;" a function. It takes a long time to turn on. About 20 seconds. Even with purchased headphones, the volume is weak when you listen to classics! This, in my opinion, is the biggest disadvantage of this model. But for modern music it’s even enough. so if yo"&amp;"u are not a fan of the classics, then buy it.  This model is very good for those who need MP3 without a camera and not for watching movies.")</f>
        <v>I bought it in September 2009. I liked the model and the price. Then it cost 1990 rubles.  The headphones included in the set suck. Inconvenient and simply poor quality. That's why I bought others.   So about the "+"-x of the player. It works for a very long time. At first I listened constantly. And it lasted for more than 3 days. Yes, and it charges quickly. Not a bad voice recorder. You can record lectures, but live music should not be terribly loud. It feels like you're listening to an old record player. Good memory. I can accommodate classics, lectures, and contemporary music. Small, doesn't take up much space.  "-" Recharges only from the computer. You can delete tracks or an entire folder only by connecting to your computer. It doesn’t have such a function. It takes a long time to turn on. About 20 seconds. Even with purchased headphones, the volume is weak when you listen to classics! This, in my opinion, is the biggest disadvantage of this model. But for modern music it’s even enough. so if you are not a fan of the classics, then buy it.  This model is very good for those who need MP3 without a camera and not for watching movies.</v>
      </c>
    </row>
    <row r="11438" spans="1:9" x14ac:dyDescent="0.3">
      <c r="A11438" s="1" t="s">
        <v>9</v>
      </c>
      <c r="B11438" s="1" t="s">
        <v>10</v>
      </c>
      <c r="C11438" s="1" t="s">
        <v>407</v>
      </c>
      <c r="D11438" s="1" t="s">
        <v>568</v>
      </c>
      <c r="E11438" s="1" t="s">
        <v>5470</v>
      </c>
      <c r="F11438" s="1" t="s">
        <v>16335</v>
      </c>
      <c r="G11438" s="1" t="s">
        <v>36</v>
      </c>
      <c r="H11438" s="1" t="s">
        <v>29</v>
      </c>
      <c r="I11438" s="1" t="str">
        <f ca="1">IFERROR(__xludf.DUMMYFUNCTION("GOOGLETRANSLATE(F11438, ""auto"", ""en"")
"),"For a small kitchen in Khrushchev - just an ideal option. It is smaller in area than most other hoods in stores. And not heavy. I installed it myself without any problems. The plastic hood is made very interestingly - it seems to direct the air flow where"&amp;" it is needed and does not allow it to “spray”; I think that it greatly increases the efficiency of the hood. The lighting is based on two hundred-watt light bulbs - this is also a plus, since in most other hoods the light bulbs are much weaker.  There ar"&amp;"e three speeds, it pulls quite significantly. Due to the fact that it is single-engine, even at maximum speed it does not produce much noise. The set includes both grease-absorbing and carbon filters. Metal grilles can be easily removed.  The warranty is "&amp;"long - for two years. In general, I think that for this price it’s just a wonderful hood, I’m glad that I discovered it in time and appreciated it!")</f>
        <v>For a small kitchen in Khrushchev - just an ideal option. It is smaller in area than most other hoods in stores. And not heavy. I installed it myself without any problems. The plastic hood is made very interestingly - it seems to direct the air flow where it is needed and does not allow it to “spray”; I think that it greatly increases the efficiency of the hood. The lighting is based on two hundred-watt light bulbs - this is also a plus, since in most other hoods the light bulbs are much weaker.  There are three speeds, it pulls quite significantly. Due to the fact that it is single-engine, even at maximum speed it does not produce much noise. The set includes both grease-absorbing and carbon filters. Metal grilles can be easily removed.  The warranty is long - for two years. In general, I think that for this price it’s just a wonderful hood, I’m glad that I discovered it in time and appreciated it!</v>
      </c>
    </row>
    <row r="11439" spans="1:9" x14ac:dyDescent="0.3">
      <c r="A11439" s="1" t="s">
        <v>37</v>
      </c>
      <c r="B11439" s="1" t="s">
        <v>38</v>
      </c>
      <c r="C11439" s="1" t="s">
        <v>163</v>
      </c>
      <c r="D11439" s="1" t="s">
        <v>172</v>
      </c>
      <c r="E11439" s="1" t="s">
        <v>397</v>
      </c>
      <c r="F11439" s="1" t="s">
        <v>16336</v>
      </c>
      <c r="G11439" s="1" t="s">
        <v>36</v>
      </c>
      <c r="H11439" s="1" t="s">
        <v>29</v>
      </c>
      <c r="I11439" s="1" t="str">
        <f ca="1">IFERROR(__xludf.DUMMYFUNCTION("GOOGLETRANSLATE(F11439, ""auto"", ""en"")
"),"The phone is just awesome! I’ve been using it for half a year now and have never glitched or slowed down, in general, take it and don’t think twice about it!")</f>
        <v>The phone is just awesome! I’ve been using it for half a year now and have never glitched or slowed down, in general, take it and don’t think twice about it!</v>
      </c>
    </row>
    <row r="11440" spans="1:9" x14ac:dyDescent="0.3">
      <c r="A11440" s="1" t="s">
        <v>30</v>
      </c>
      <c r="B11440" s="1" t="s">
        <v>50</v>
      </c>
      <c r="C11440" s="1" t="s">
        <v>189</v>
      </c>
      <c r="D11440" s="1" t="s">
        <v>16337</v>
      </c>
      <c r="E11440" s="1" t="s">
        <v>696</v>
      </c>
      <c r="F11440" s="1" t="s">
        <v>16338</v>
      </c>
      <c r="G11440" s="1" t="s">
        <v>36</v>
      </c>
      <c r="H11440" s="1" t="s">
        <v>29</v>
      </c>
      <c r="I11440" s="1" t="str">
        <f ca="1">IFERROR(__xludf.DUMMYFUNCTION("GOOGLETRANSLATE(F11440, ""auto"", ""en"")
"),"I purchased a laptop of this model and was satisfied. value for money.Very comfortable. Compact.")</f>
        <v>I purchased a laptop of this model and was satisfied. value for money.Very comfortable. Compact.</v>
      </c>
    </row>
    <row r="11441" spans="1:9" x14ac:dyDescent="0.3">
      <c r="A11441" s="1" t="s">
        <v>61</v>
      </c>
      <c r="B11441" s="1" t="s">
        <v>318</v>
      </c>
      <c r="C11441" s="1" t="s">
        <v>2840</v>
      </c>
      <c r="D11441" s="1" t="s">
        <v>474</v>
      </c>
      <c r="E11441" s="1" t="s">
        <v>3809</v>
      </c>
      <c r="F11441" s="1" t="s">
        <v>16339</v>
      </c>
      <c r="G11441" s="1" t="s">
        <v>28</v>
      </c>
      <c r="H11441" s="1" t="s">
        <v>29</v>
      </c>
      <c r="I11441" s="1" t="str">
        <f ca="1">IFERROR(__xludf.DUMMYFUNCTION("GOOGLETRANSLATE(F11441, ""auto"", ""en"")
"),"Environmentally friendly material, classic design, silent operation, lightweight and easy to care for. ")</f>
        <v xml:space="preserve">Environmentally friendly material, classic design, silent operation, lightweight and easy to care for. </v>
      </c>
    </row>
    <row r="11442" spans="1:9" x14ac:dyDescent="0.3">
      <c r="A11442" s="1" t="s">
        <v>61</v>
      </c>
      <c r="B11442" s="1" t="s">
        <v>62</v>
      </c>
      <c r="C11442" s="1" t="s">
        <v>146</v>
      </c>
      <c r="D11442" s="1" t="s">
        <v>305</v>
      </c>
      <c r="E11442" s="1" t="s">
        <v>1448</v>
      </c>
      <c r="F11442" s="1" t="s">
        <v>16340</v>
      </c>
      <c r="G11442" s="1" t="s">
        <v>49</v>
      </c>
      <c r="H11442" s="1" t="s">
        <v>16</v>
      </c>
      <c r="I11442" s="1" t="str">
        <f ca="1">IFERROR(__xludf.DUMMYFUNCTION("GOOGLETRANSLATE(F11442, ""auto"", ""en"")
"),"The model is not bad in principle, but a week later I went and returned it - the knife (its plastic base) had melted.")</f>
        <v>The model is not bad in principle, but a week later I went and returned it - the knife (its plastic base) had melted.</v>
      </c>
    </row>
    <row r="11443" spans="1:9" x14ac:dyDescent="0.3">
      <c r="A11443" s="1" t="s">
        <v>169</v>
      </c>
      <c r="B11443" s="1" t="s">
        <v>170</v>
      </c>
      <c r="C11443" s="1" t="s">
        <v>193</v>
      </c>
      <c r="D11443" s="1" t="s">
        <v>488</v>
      </c>
      <c r="E11443" s="1" t="s">
        <v>1553</v>
      </c>
      <c r="F11443" s="1" t="s">
        <v>16341</v>
      </c>
      <c r="G11443" s="1" t="s">
        <v>36</v>
      </c>
      <c r="H11443" s="1" t="s">
        <v>29</v>
      </c>
      <c r="I11443" s="1" t="str">
        <f ca="1">IFERROR(__xludf.DUMMYFUNCTION("GOOGLETRANSLATE(F11443, ""auto"", ""en"")
"),"Amazing headphones, I bought them for the Samsung Galaxy ACE, they are very loud, the inscription on the box “Feel the bass” is completely justified, very pleasant lows, they fit well in the ear, in general I recommend them to all music lovers!")</f>
        <v>Amazing headphones, I bought them for the Samsung Galaxy ACE, they are very loud, the inscription on the box “Feel the bass” is completely justified, very pleasant lows, they fit well in the ear, in general I recommend them to all music lovers!</v>
      </c>
    </row>
    <row r="11444" spans="1:9" x14ac:dyDescent="0.3">
      <c r="A11444" s="1" t="s">
        <v>120</v>
      </c>
      <c r="B11444" s="1" t="s">
        <v>121</v>
      </c>
      <c r="C11444" s="1" t="s">
        <v>80</v>
      </c>
      <c r="D11444" s="1" t="s">
        <v>16342</v>
      </c>
      <c r="E11444" s="1" t="s">
        <v>3775</v>
      </c>
      <c r="F11444" s="1" t="s">
        <v>16343</v>
      </c>
      <c r="G11444" s="1" t="s">
        <v>36</v>
      </c>
      <c r="H11444" s="1" t="s">
        <v>29</v>
      </c>
      <c r="I11444" s="1" t="str">
        <f ca="1">IFERROR(__xludf.DUMMYFUNCTION("GOOGLETRANSLATE(F11444, ""auto"", ""en"")
"),"The TV is good, terrestrial analogue television shows well, is sensitive to the signal, with a good antenna it shows perfectly, channels with a weak signal are “trying”, but sometimes the image on 4-cable TV FULLHD is just great, the menu is convenient, e"&amp;"ven a child can figure it out, all the settings are there, you can adjust it to your liking as you please. The video from the Blu-ray player is amazing, all connectors are in presence, the response in dynamic scenes is enough, it doesn’t seem to smear, I "&amp;"didn’t notice any streaks, for me the TV is 5 points. I'm happy with the purchase.")</f>
        <v>The TV is good, terrestrial analogue television shows well, is sensitive to the signal, with a good antenna it shows perfectly, channels with a weak signal are “trying”, but sometimes the image on 4-cable TV FULLHD is just great, the menu is convenient, even a child can figure it out, all the settings are there, you can adjust it to your liking as you please. The video from the Blu-ray player is amazing, all connectors are in presence, the response in dynamic scenes is enough, it doesn’t seem to smear, I didn’t notice any streaks, for me the TV is 5 points. I'm happy with the purchase.</v>
      </c>
    </row>
    <row r="11445" spans="1:9" x14ac:dyDescent="0.3">
      <c r="A11445" s="1" t="s">
        <v>477</v>
      </c>
      <c r="B11445" s="1" t="s">
        <v>478</v>
      </c>
      <c r="C11445" s="1" t="s">
        <v>479</v>
      </c>
      <c r="D11445" s="1" t="s">
        <v>16344</v>
      </c>
      <c r="E11445" s="1" t="s">
        <v>4668</v>
      </c>
      <c r="F11445" s="1" t="s">
        <v>16345</v>
      </c>
      <c r="G11445" s="1" t="s">
        <v>36</v>
      </c>
      <c r="H11445" s="1" t="s">
        <v>29</v>
      </c>
      <c r="I11445" s="1" t="str">
        <f ca="1">IFERROR(__xludf.DUMMYFUNCTION("GOOGLETRANSLATE(F11445, ""auto"", ""en"")
"),"When I found out that another Russian game was released, I thought that this is another item that is not worth spending a penny on. After thinking about it, I decided to buy it and did not regret it. This is the best game I've ever played. Magnificent gra"&amp;"phics, unique, ingenious plot. This is a game from God himself.     P.S. Thanks to this ""Pirate Hunter. Somali Trap"" I became a patriot of my native country and I am proud of Russian game developers.")</f>
        <v>When I found out that another Russian game was released, I thought that this is another item that is not worth spending a penny on. After thinking about it, I decided to buy it and did not regret it. This is the best game I've ever played. Magnificent graphics, unique, ingenious plot. This is a game from God himself.     P.S. Thanks to this "Pirate Hunter. Somali Trap" I became a patriot of my native country and I am proud of Russian game developers.</v>
      </c>
    </row>
    <row r="11446" spans="1:9" x14ac:dyDescent="0.3">
      <c r="A11446" s="1" t="s">
        <v>61</v>
      </c>
      <c r="B11446" s="1" t="s">
        <v>318</v>
      </c>
      <c r="C11446" s="1" t="s">
        <v>69</v>
      </c>
      <c r="D11446" s="1" t="s">
        <v>81</v>
      </c>
      <c r="E11446" s="1" t="s">
        <v>7058</v>
      </c>
      <c r="F11446" s="1" t="s">
        <v>16346</v>
      </c>
      <c r="G11446" s="1" t="s">
        <v>36</v>
      </c>
      <c r="H11446" s="1" t="s">
        <v>29</v>
      </c>
      <c r="I11446" s="1" t="str">
        <f ca="1">IFERROR(__xludf.DUMMYFUNCTION("GOOGLETRANSLATE(F11446, ""auto"", ""en"")
"),"It has been working for 8 years, only the glass is cracked. Super kettle")</f>
        <v>It has been working for 8 years, only the glass is cracked. Super kettle</v>
      </c>
    </row>
    <row r="11447" spans="1:9" x14ac:dyDescent="0.3">
      <c r="A11447" s="1" t="s">
        <v>55</v>
      </c>
      <c r="B11447" s="1" t="s">
        <v>56</v>
      </c>
      <c r="C11447" s="1" t="s">
        <v>85</v>
      </c>
      <c r="D11447" s="1" t="s">
        <v>305</v>
      </c>
      <c r="E11447" s="1" t="s">
        <v>9988</v>
      </c>
      <c r="F11447" s="1" t="s">
        <v>16347</v>
      </c>
      <c r="G11447" s="1" t="s">
        <v>36</v>
      </c>
      <c r="H11447" s="1" t="s">
        <v>29</v>
      </c>
      <c r="I11447" s="1" t="str">
        <f ca="1">IFERROR(__xludf.DUMMYFUNCTION("GOOGLETRANSLATE(F11447, ""auto"", ""en"")
"),"5 years of continuous operation, 24 a day. Water consumption is one tank per day. I change the filter once a year, but on the condition that I fill the water from the Aquaphor B 150 filter. One repair took place half a year ago, the touch buttons stopped "&amp;"working. We replaced the panel at the service center and it continues to work.")</f>
        <v>5 years of continuous operation, 24 a day. Water consumption is one tank per day. I change the filter once a year, but on the condition that I fill the water from the Aquaphor B 150 filter. One repair took place half a year ago, the touch buttons stopped working. We replaced the panel at the service center and it continues to work.</v>
      </c>
    </row>
    <row r="11448" spans="1:9" x14ac:dyDescent="0.3">
      <c r="A11448" s="1" t="s">
        <v>477</v>
      </c>
      <c r="B11448" s="1" t="s">
        <v>478</v>
      </c>
      <c r="C11448" s="1" t="s">
        <v>479</v>
      </c>
      <c r="D11448" s="1" t="s">
        <v>8893</v>
      </c>
      <c r="E11448" s="1" t="s">
        <v>1611</v>
      </c>
      <c r="F11448" s="1" t="s">
        <v>16348</v>
      </c>
      <c r="G11448" s="1" t="s">
        <v>36</v>
      </c>
      <c r="H11448" s="1" t="s">
        <v>29</v>
      </c>
      <c r="I11448" s="1" t="str">
        <f ca="1">IFERROR(__xludf.DUMMYFUNCTION("GOOGLETRANSLATE(F11448, ""auto"", ""en"")
"),"The toy is great. I'm very glad! Thank you!")</f>
        <v>The toy is great. I'm very glad! Thank you!</v>
      </c>
    </row>
    <row r="11449" spans="1:9" x14ac:dyDescent="0.3">
      <c r="A11449" s="1" t="s">
        <v>61</v>
      </c>
      <c r="B11449" s="1" t="s">
        <v>318</v>
      </c>
      <c r="C11449" s="1" t="s">
        <v>57</v>
      </c>
      <c r="D11449" s="1" t="s">
        <v>12</v>
      </c>
      <c r="E11449" s="1" t="s">
        <v>3422</v>
      </c>
      <c r="F11449" s="1" t="s">
        <v>16349</v>
      </c>
      <c r="G11449" s="1" t="s">
        <v>36</v>
      </c>
      <c r="H11449" s="1" t="s">
        <v>29</v>
      </c>
      <c r="I11449" s="1" t="str">
        <f ca="1">IFERROR(__xludf.DUMMYFUNCTION("GOOGLETRANSLATE(F11449, ""auto"", ""en"")
"),"Convenient because you can take it on any trip. The technical characteristics for this model are excellent. I just knew that I was buying this model for travel and have already used it several times. It suits me perfectly.")</f>
        <v>Convenient because you can take it on any trip. The technical characteristics for this model are excellent. I just knew that I was buying this model for travel and have already used it several times. It suits me perfectly.</v>
      </c>
    </row>
    <row r="11450" spans="1:9" x14ac:dyDescent="0.3">
      <c r="A11450" s="1" t="s">
        <v>211</v>
      </c>
      <c r="B11450" s="1" t="s">
        <v>212</v>
      </c>
      <c r="C11450" s="1" t="s">
        <v>101</v>
      </c>
      <c r="D11450" s="1" t="s">
        <v>32</v>
      </c>
      <c r="E11450" s="1" t="s">
        <v>808</v>
      </c>
      <c r="F11450" s="1" t="s">
        <v>16350</v>
      </c>
      <c r="G11450" s="1" t="s">
        <v>28</v>
      </c>
      <c r="H11450" s="1" t="s">
        <v>29</v>
      </c>
      <c r="I11450" s="1" t="str">
        <f ca="1">IFERROR(__xludf.DUMMYFUNCTION("GOOGLETRANSLATE(F11450, ""auto"", ""en"")
"),"The straightener was given as a birthday present, a year or more ago even. At first, it was a little inconvenient with the temperature switch button, but then I used it every day, now everything is very convenient. Doesn't really damage the hair. I have t"&amp;"hick hair, I straighten it at temperature 2 for 5-10 minutes.  so I advise you to take it, you won’t regret it)")</f>
        <v>The straightener was given as a birthday present, a year or more ago even. At first, it was a little inconvenient with the temperature switch button, but then I used it every day, now everything is very convenient. Doesn't really damage the hair. I have thick hair, I straighten it at temperature 2 for 5-10 minutes.  so I advise you to take it, you won’t regret it)</v>
      </c>
    </row>
    <row r="11451" spans="1:9" x14ac:dyDescent="0.3">
      <c r="A11451" s="1" t="s">
        <v>17</v>
      </c>
      <c r="B11451" s="1" t="s">
        <v>18</v>
      </c>
      <c r="C11451" s="1" t="s">
        <v>138</v>
      </c>
      <c r="D11451" s="1" t="s">
        <v>565</v>
      </c>
      <c r="E11451" s="1" t="s">
        <v>201</v>
      </c>
      <c r="F11451" s="1" t="s">
        <v>16351</v>
      </c>
      <c r="G11451" s="1" t="s">
        <v>28</v>
      </c>
      <c r="H11451" s="1" t="s">
        <v>29</v>
      </c>
      <c r="I11451" s="1" t="str">
        <f ca="1">IFERROR(__xludf.DUMMYFUNCTION("GOOGLETRANSLATE(F11451, ""auto"", ""en"")
"),"washes normally, only whistles when washing and spinning - very noisy. but at this price it’s normal")</f>
        <v>washes normally, only whistles when washing and spinning - very noisy. but at this price it’s normal</v>
      </c>
    </row>
    <row r="11452" spans="1:9" x14ac:dyDescent="0.3">
      <c r="A11452" s="1" t="s">
        <v>361</v>
      </c>
      <c r="B11452" s="1" t="s">
        <v>362</v>
      </c>
      <c r="C11452" s="1" t="s">
        <v>561</v>
      </c>
      <c r="D11452" s="1" t="s">
        <v>139</v>
      </c>
      <c r="E11452" s="1" t="s">
        <v>2596</v>
      </c>
      <c r="F11452" s="1" t="s">
        <v>16352</v>
      </c>
      <c r="G11452" s="1" t="s">
        <v>36</v>
      </c>
      <c r="H11452" s="1" t="s">
        <v>29</v>
      </c>
      <c r="I11452" s="1" t="str">
        <f ca="1">IFERROR(__xludf.DUMMYFUNCTION("GOOGLETRANSLATE(F11452, ""auto"", ""en"")
"),"Cuts potatoes evenly, quickly and easily. The vacuum suction cup holds the cut securely on the table. The design is simple and reliable. Removable parts can be easily removed and replaced. Among the disadvantages, it can be noted that the cutting body, un"&amp;"like the knives, is not made of stainless steel. Therefore, the instructions recommend wiping it rather than washing it. Well, if you still decide to wash it, it’s better to dry it with a towel.")</f>
        <v>Cuts potatoes evenly, quickly and easily. The vacuum suction cup holds the cut securely on the table. The design is simple and reliable. Removable parts can be easily removed and replaced. Among the disadvantages, it can be noted that the cutting body, unlike the knives, is not made of stainless steel. Therefore, the instructions recommend wiping it rather than washing it. Well, if you still decide to wash it, it’s better to dry it with a towel.</v>
      </c>
    </row>
    <row r="11453" spans="1:9" x14ac:dyDescent="0.3">
      <c r="A11453" s="1" t="s">
        <v>369</v>
      </c>
      <c r="B11453" s="1" t="s">
        <v>2480</v>
      </c>
      <c r="C11453" s="1" t="s">
        <v>453</v>
      </c>
      <c r="D11453" s="1" t="s">
        <v>152</v>
      </c>
      <c r="E11453" s="1" t="s">
        <v>12311</v>
      </c>
      <c r="F11453" s="1" t="s">
        <v>16353</v>
      </c>
      <c r="G11453" s="1" t="s">
        <v>49</v>
      </c>
      <c r="H11453" s="1" t="s">
        <v>16</v>
      </c>
      <c r="I11453" s="1" t="str">
        <f ca="1">IFERROR(__xludf.DUMMYFUNCTION("GOOGLETRANSLATE(F11453, ""auto"", ""en"")
"),"I was a little luckier, and this tile worked for me for 4 months. But it also broke.")</f>
        <v>I was a little luckier, and this tile worked for me for 4 months. But it also broke.</v>
      </c>
    </row>
    <row r="11454" spans="1:9" x14ac:dyDescent="0.3">
      <c r="A11454" s="1" t="s">
        <v>149</v>
      </c>
      <c r="B11454" s="1" t="s">
        <v>155</v>
      </c>
      <c r="C11454" s="1" t="s">
        <v>1187</v>
      </c>
      <c r="D11454" s="1" t="s">
        <v>247</v>
      </c>
      <c r="E11454" s="1" t="s">
        <v>3954</v>
      </c>
      <c r="F11454" s="1" t="s">
        <v>16354</v>
      </c>
      <c r="G11454" s="1" t="s">
        <v>36</v>
      </c>
      <c r="H11454" s="1" t="s">
        <v>29</v>
      </c>
      <c r="I11454" s="1" t="str">
        <f ca="1">IFERROR(__xludf.DUMMYFUNCTION("GOOGLETRANSLATE(F11454, ""auto"", ""en"")
"),"Initially I wanted to buy a vacuum cleaner with an aqua filter, but the sellers dissuaded me because... When the water becomes contaminated, the power immediately drops. According to my requirements (no consumables, cleanable/washable container), Dyson wa"&amp;"s suitable. A huge plus is that it is very, very easy to assemble, does not require significant physical effort - all the buttons are very light and fit into the grooves immediately. Convenient to clean. The brush does not hit corners. It sucks very well "&amp;"- visually you can immediately see how dirty it was. I really liked it + it looks nice.")</f>
        <v>Initially I wanted to buy a vacuum cleaner with an aqua filter, but the sellers dissuaded me because... When the water becomes contaminated, the power immediately drops. According to my requirements (no consumables, cleanable/washable container), Dyson was suitable. A huge plus is that it is very, very easy to assemble, does not require significant physical effort - all the buttons are very light and fit into the grooves immediately. Convenient to clean. The brush does not hit corners. It sucks very well - visually you can immediately see how dirty it was. I really liked it + it looks nice.</v>
      </c>
    </row>
    <row r="11455" spans="1:9" x14ac:dyDescent="0.3">
      <c r="A11455" s="1" t="s">
        <v>43</v>
      </c>
      <c r="B11455" s="1" t="s">
        <v>1370</v>
      </c>
      <c r="C11455" s="1" t="s">
        <v>2137</v>
      </c>
      <c r="D11455" s="1" t="s">
        <v>589</v>
      </c>
      <c r="E11455" s="1" t="s">
        <v>11244</v>
      </c>
      <c r="F11455" s="1" t="s">
        <v>16355</v>
      </c>
      <c r="G11455" s="1" t="s">
        <v>28</v>
      </c>
      <c r="H11455" s="1" t="s">
        <v>29</v>
      </c>
      <c r="I11455" s="1" t="str">
        <f ca="1">IFERROR(__xludf.DUMMYFUNCTION("GOOGLETRANSLATE(F11455, ""auto"", ""en"")
"),"We purchased it in 2015 for the period of the next water outage, the wiring in the house is ordinary, we are not friends with electricians, so we chose 3.5 kW. We hung it on a plastic tie to the hood in the bathroom so as not to damage the walls. 5 minute"&amp;"s and you're done.  For maximum temperature, you must use the watering can from the kit, and also install the rings in it according to the instructions. If there are problems with the water pressure in the tap, then, yes, this heater is not your option, b"&amp;"ut if the water flow is stable, then take it.  Of course, don’t expect a flow like from a tap, but it’s enough to wash yourself, certainly better than pots and kettles, which, by the way, also consume a lot of electricity. We got used to the sequence of p"&amp;"lugging in the outlet - switching the water to the shower - waiting for the heater to fill (about 10 seconds or by sound) - turning on the switch for heating - adjusting the temperature using water pressure. Turn it off: Reduce the water pressure until th"&amp;"e auto shut-off is triggered - wait for cool water to cool the heater - press the off button - turn off the shower.")</f>
        <v>We purchased it in 2015 for the period of the next water outage, the wiring in the house is ordinary, we are not friends with electricians, so we chose 3.5 kW. We hung it on a plastic tie to the hood in the bathroom so as not to damage the walls. 5 minutes and you're done.  For maximum temperature, you must use the watering can from the kit, and also install the rings in it according to the instructions. If there are problems with the water pressure in the tap, then, yes, this heater is not your option, but if the water flow is stable, then take it.  Of course, don’t expect a flow like from a tap, but it’s enough to wash yourself, certainly better than pots and kettles, which, by the way, also consume a lot of electricity. We got used to the sequence of plugging in the outlet - switching the water to the shower - waiting for the heater to fill (about 10 seconds or by sound) - turning on the switch for heating - adjusting the temperature using water pressure. Turn it off: Reduce the water pressure until the auto shut-off is triggered - wait for cool water to cool the heater - press the off button - turn off the shower.</v>
      </c>
    </row>
    <row r="11456" spans="1:9" x14ac:dyDescent="0.3">
      <c r="A11456" s="1" t="s">
        <v>369</v>
      </c>
      <c r="B11456" s="1" t="s">
        <v>370</v>
      </c>
      <c r="C11456" s="1" t="s">
        <v>290</v>
      </c>
      <c r="D11456" s="1" t="s">
        <v>335</v>
      </c>
      <c r="E11456" s="1" t="s">
        <v>2038</v>
      </c>
      <c r="F11456" s="1" t="s">
        <v>16356</v>
      </c>
      <c r="G11456" s="1" t="s">
        <v>36</v>
      </c>
      <c r="H11456" s="1" t="s">
        <v>29</v>
      </c>
      <c r="I11456" s="1" t="str">
        <f ca="1">IFERROR(__xludf.DUMMYFUNCTION("GOOGLETRANSLATE(F11456, ""auto"", ""en"")
"),"My husband and I were renovating the kitchen and decided to buy a new stove, we went to M.Video and looked at this one. We decided if we were going to buy a good one of high quality. And they bought it! I have no regrets, the stove is super!!")</f>
        <v>My husband and I were renovating the kitchen and decided to buy a new stove, we went to M.Video and looked at this one. We decided if we were going to buy a good one of high quality. And they bought it! I have no regrets, the stove is super!!</v>
      </c>
    </row>
    <row r="11457" spans="1:9" x14ac:dyDescent="0.3">
      <c r="A11457" s="1" t="s">
        <v>37</v>
      </c>
      <c r="B11457" s="1" t="s">
        <v>38</v>
      </c>
      <c r="C11457" s="1" t="s">
        <v>163</v>
      </c>
      <c r="D11457" s="1" t="s">
        <v>599</v>
      </c>
      <c r="E11457" s="1" t="s">
        <v>1273</v>
      </c>
      <c r="F11457" s="1" t="s">
        <v>16357</v>
      </c>
      <c r="G11457" s="1" t="s">
        <v>36</v>
      </c>
      <c r="H11457" s="1" t="s">
        <v>29</v>
      </c>
      <c r="I11457" s="1" t="str">
        <f ca="1">IFERROR(__xludf.DUMMYFUNCTION("GOOGLETRANSLATE(F11457, ""auto"", ""en"")
"),"I really like this phone, it’s just great. I bought it 3 months ago, now there are a lot of new products, but strangely enough I don’t want to change the phone. I’m happy with everything about it, it’s compact, beautiful, easy to use, loud =)")</f>
        <v>I really like this phone, it’s just great. I bought it 3 months ago, now there are a lot of new products, but strangely enough I don’t want to change the phone. I’m happy with everything about it, it’s compact, beautiful, easy to use, loud =)</v>
      </c>
    </row>
    <row r="11458" spans="1:9" x14ac:dyDescent="0.3">
      <c r="A11458" s="1" t="s">
        <v>61</v>
      </c>
      <c r="B11458" s="1" t="s">
        <v>318</v>
      </c>
      <c r="C11458" s="1" t="s">
        <v>101</v>
      </c>
      <c r="D11458" s="1" t="s">
        <v>565</v>
      </c>
      <c r="E11458" s="1" t="s">
        <v>8970</v>
      </c>
      <c r="F11458" s="1" t="s">
        <v>16358</v>
      </c>
      <c r="G11458" s="1" t="s">
        <v>15</v>
      </c>
      <c r="H11458" s="1" t="s">
        <v>16</v>
      </c>
      <c r="I11458" s="1" t="str">
        <f ca="1">IFERROR(__xludf.DUMMYFUNCTION("GOOGLETRANSLATE(F11458, ""auto"", ""en"")
"),"We bought this kettle last summer. At first we were very pleased. After 5 months, the plastic on the lid cracked and it fell off. Then the kettle began to leak. Unfortunately, my overly active parent decided to repair the lid (here it’s my fault, of cours"&amp;"e, I didn’t keep track), etc. Of course, we violated the terms of the guarantee and could not exchange anything, but I made conclusions about this technique. I will never (!) buy from this company again, no matter what anyone says! Now I’m going to buy a "&amp;"new kettle (we bought a multicooker and they gave me a coupon for a 1000 rubles discount), I don’t even know what to choose.")</f>
        <v>We bought this kettle last summer. At first we were very pleased. After 5 months, the plastic on the lid cracked and it fell off. Then the kettle began to leak. Unfortunately, my overly active parent decided to repair the lid (here it’s my fault, of course, I didn’t keep track), etc. Of course, we violated the terms of the guarantee and could not exchange anything, but I made conclusions about this technique. I will never (!) buy from this company again, no matter what anyone says! Now I’m going to buy a new kettle (we bought a multicooker and they gave me a coupon for a 1000 rubles discount), I don’t even know what to choose.</v>
      </c>
    </row>
    <row r="11459" spans="1:9" x14ac:dyDescent="0.3">
      <c r="A11459" s="1" t="s">
        <v>95</v>
      </c>
      <c r="B11459" s="1" t="s">
        <v>227</v>
      </c>
      <c r="C11459" s="1" t="s">
        <v>97</v>
      </c>
      <c r="D11459" s="1" t="s">
        <v>411</v>
      </c>
      <c r="E11459" s="1" t="s">
        <v>1039</v>
      </c>
      <c r="F11459" s="1" t="s">
        <v>16359</v>
      </c>
      <c r="G11459" s="1" t="s">
        <v>36</v>
      </c>
      <c r="H11459" s="1" t="s">
        <v>29</v>
      </c>
      <c r="I11459" s="1" t="str">
        <f ca="1">IFERROR(__xludf.DUMMYFUNCTION("GOOGLETRANSLATE(F11459, ""auto"", ""en"")
"),"“I have a question. Yesterday I bought myself a PS3, and immediately started thinking - if I insert a regular DVD with a regular movie into it, will the console read it or say it’s an unsupported format?”    It will be with great pleasure!  I bought Slimk"&amp;"a about a year ago, it practically doesn’t turn off. Not only me, but also my parents like it very much. I downloaded the film, recorded it on a flash drive and transferred it to Sonya. Watching on a FullHD TV is a lot of fun.   I bought the console mainl"&amp;"y for the multiplayer. PSN is completely free, only content is paid, and not all of it. I would never have thought that playing a shooter on sticks could bring joy))) Buy Sonya for your child or yourself for the New Year. This is a wonderful gift that wil"&amp;"l faithfully serve you and your family!!!    Regarding the eternal “holivars” ps3 vs xbox 360... In my opinion, the xbox 360 is intended for a hardcore audience, and the ps3 is still a multimedia entertainment center. The graphics on both consoles are the"&amp;" same (with the exception of some crooked ports on both the one and the other). “X” is worth taking for people: who are not ready to pay for a license, for Halo fans (by the way, this is the game for which I myself would take “X” =)) or for those fans who"&amp;" had “X” before the release of the 360th version...")</f>
        <v>“I have a question. Yesterday I bought myself a PS3, and immediately started thinking - if I insert a regular DVD with a regular movie into it, will the console read it or say it’s an unsupported format?”    It will be with great pleasure!  I bought Slimka about a year ago, it practically doesn’t turn off. Not only me, but also my parents like it very much. I downloaded the film, recorded it on a flash drive and transferred it to Sonya. Watching on a FullHD TV is a lot of fun.   I bought the console mainly for the multiplayer. PSN is completely free, only content is paid, and not all of it. I would never have thought that playing a shooter on sticks could bring joy))) Buy Sonya for your child or yourself for the New Year. This is a wonderful gift that will faithfully serve you and your family!!!    Regarding the eternal “holivars” ps3 vs xbox 360... In my opinion, the xbox 360 is intended for a hardcore audience, and the ps3 is still a multimedia entertainment center. The graphics on both consoles are the same (with the exception of some crooked ports on both the one and the other). “X” is worth taking for people: who are not ready to pay for a license, for Halo fans (by the way, this is the game for which I myself would take “X” =)) or for those fans who had “X” before the release of the 360th version...</v>
      </c>
    </row>
    <row r="11460" spans="1:9" x14ac:dyDescent="0.3">
      <c r="A11460" s="1" t="s">
        <v>169</v>
      </c>
      <c r="B11460" s="1" t="s">
        <v>170</v>
      </c>
      <c r="C11460" s="1" t="s">
        <v>69</v>
      </c>
      <c r="D11460" s="1" t="s">
        <v>875</v>
      </c>
      <c r="E11460" s="1" t="s">
        <v>3233</v>
      </c>
      <c r="F11460" s="1" t="s">
        <v>16360</v>
      </c>
      <c r="G11460" s="1" t="s">
        <v>49</v>
      </c>
      <c r="H11460" s="1" t="s">
        <v>16</v>
      </c>
      <c r="I11460" s="1" t="str">
        <f ca="1">IFERROR(__xludf.DUMMYFUNCTION("GOOGLETRANSLATE(F11460, ""auto"", ""en"")
"),"It took me 30 minutes to understand WHAT I purchased, because... The headphones absolutely do not fulfill their function - transmitting sound over a distance without wires. The sound is distorted even near the IR transmitter, the interference is constant,"&amp;" it is impossible to listen. At the same time, no one explained to me when purchasing the miracle device WHAT is meant by a distance of 7 meters. If even the light of a chandelier in a room is the strongest obstacle to IR rays, then the existence of this "&amp;"model is meaningless. I really regretted that I bought it, I don’t recommend it to anyone, even if he’s just watching TV at a distance of 1 meter in a dark room and without making sudden movements of his head (I’ve already tried it - it doesn’t roll - ter"&amp;"rible interference).")</f>
        <v>It took me 30 minutes to understand WHAT I purchased, because... The headphones absolutely do not fulfill their function - transmitting sound over a distance without wires. The sound is distorted even near the IR transmitter, the interference is constant, it is impossible to listen. At the same time, no one explained to me when purchasing the miracle device WHAT is meant by a distance of 7 meters. If even the light of a chandelier in a room is the strongest obstacle to IR rays, then the existence of this model is meaningless. I really regretted that I bought it, I don’t recommend it to anyone, even if he’s just watching TV at a distance of 1 meter in a dark room and without making sudden movements of his head (I’ve already tried it - it doesn’t roll - terrible interference).</v>
      </c>
    </row>
    <row r="11461" spans="1:9" x14ac:dyDescent="0.3">
      <c r="A11461" s="1" t="s">
        <v>211</v>
      </c>
      <c r="B11461" s="1" t="s">
        <v>212</v>
      </c>
      <c r="C11461" s="1" t="s">
        <v>453</v>
      </c>
      <c r="D11461" s="1" t="s">
        <v>64</v>
      </c>
      <c r="E11461" s="1" t="s">
        <v>549</v>
      </c>
      <c r="F11461" s="1" t="s">
        <v>16361</v>
      </c>
      <c r="G11461" s="1" t="s">
        <v>28</v>
      </c>
      <c r="H11461" s="1" t="s">
        <v>29</v>
      </c>
      <c r="I11461" s="1" t="str">
        <f ca="1">IFERROR(__xludf.DUMMYFUNCTION("GOOGLETRANSLATE(F11461, ""auto"", ""en"")
"),"I have thin, curly hair, it works quickly, it’s light and comfortable. I've been using it since 2011. I give it a four only because it is not so easy to straighten thick and coarse hair (tested on friends).")</f>
        <v>I have thin, curly hair, it works quickly, it’s light and comfortable. I've been using it since 2011. I give it a four only because it is not so easy to straighten thick and coarse hair (tested on friends).</v>
      </c>
    </row>
    <row r="11462" spans="1:9" x14ac:dyDescent="0.3">
      <c r="A11462" s="1" t="s">
        <v>95</v>
      </c>
      <c r="B11462" s="1" t="s">
        <v>227</v>
      </c>
      <c r="C11462" s="1" t="s">
        <v>97</v>
      </c>
      <c r="D11462" s="1" t="s">
        <v>139</v>
      </c>
      <c r="E11462" s="1" t="s">
        <v>886</v>
      </c>
      <c r="F11462" s="1" t="s">
        <v>16362</v>
      </c>
      <c r="G11462" s="1" t="s">
        <v>36</v>
      </c>
      <c r="H11462" s="1" t="s">
        <v>29</v>
      </c>
      <c r="I11462" s="1" t="str">
        <f ca="1">IFERROR(__xludf.DUMMYFUNCTION("GOOGLETRANSLATE(F11462, ""auto"", ""en"")
"),"I'm happy with the purchase overall, the quality is not comparable to a computer, I'm very pleased. You can safely play for 4 hours, and at least the console will get a little warm from this. From the beginning the HDIM cable got very hot (Well, in genera"&amp;"l it’s a cool thing) I advise everyone who likes to play!")</f>
        <v>I'm happy with the purchase overall, the quality is not comparable to a computer, I'm very pleased. You can safely play for 4 hours, and at least the console will get a little warm from this. From the beginning the HDIM cable got very hot (Well, in general it’s a cool thing) I advise everyone who likes to play!</v>
      </c>
    </row>
    <row r="11463" spans="1:9" x14ac:dyDescent="0.3">
      <c r="A11463" s="1" t="s">
        <v>120</v>
      </c>
      <c r="B11463" s="1" t="s">
        <v>256</v>
      </c>
      <c r="C11463" s="1" t="s">
        <v>97</v>
      </c>
      <c r="D11463" s="1" t="s">
        <v>152</v>
      </c>
      <c r="E11463" s="1" t="s">
        <v>443</v>
      </c>
      <c r="F11463" s="1" t="s">
        <v>16363</v>
      </c>
      <c r="G11463" s="1" t="s">
        <v>28</v>
      </c>
      <c r="H11463" s="1" t="s">
        <v>29</v>
      </c>
      <c r="I11463" s="1" t="str">
        <f ca="1">IFERROR(__xludf.DUMMYFUNCTION("GOOGLETRANSLATE(F11463, ""auto"", ""en"")
"),"I bought it recently, and changed from 32 to 26"". The image is better than on the LV and Samsung. True, it may be due to the fact that the diagonal is not so stretched. The signal from the antenna, probably, in principle, cannot be complete, but almost a"&amp;"ll channels are in the green zone. Perhaps due to the built-in amplifier. It’s bad that the screen does not rotate.")</f>
        <v>I bought it recently, and changed from 32 to 26". The image is better than on the LV and Samsung. True, it may be due to the fact that the diagonal is not so stretched. The signal from the antenna, probably, in principle, cannot be complete, but almost all channels are in the green zone. Perhaps due to the built-in amplifier. It’s bad that the screen does not rotate.</v>
      </c>
    </row>
    <row r="11464" spans="1:9" x14ac:dyDescent="0.3">
      <c r="A11464" s="1" t="s">
        <v>1119</v>
      </c>
      <c r="B11464" s="1" t="s">
        <v>1120</v>
      </c>
      <c r="C11464" s="1" t="s">
        <v>97</v>
      </c>
      <c r="D11464" s="1" t="s">
        <v>16364</v>
      </c>
      <c r="E11464" s="1" t="s">
        <v>1494</v>
      </c>
      <c r="F11464" s="1" t="s">
        <v>16365</v>
      </c>
      <c r="G11464" s="1" t="s">
        <v>28</v>
      </c>
      <c r="H11464" s="1" t="s">
        <v>29</v>
      </c>
      <c r="I11464" s="1" t="str">
        <f ca="1">IFERROR(__xludf.DUMMYFUNCTION("GOOGLETRANSLATE(F11464, ""auto"", ""en"")
"),"I recently purchased an HDD Sony HDR-XR150E Black. I was not pleased with the quality of shooting in Full HD mode; I connected directly via an HDMI cable and did not notice a difference between the image quality via a component cable. The photo turns out "&amp;"so-so. However, I note that in general the camera shoots video well, if you do not take into account the Full HD mode.")</f>
        <v>I recently purchased an HDD Sony HDR-XR150E Black. I was not pleased with the quality of shooting in Full HD mode; I connected directly via an HDMI cable and did not notice a difference between the image quality via a component cable. The photo turns out so-so. However, I note that in general the camera shoots video well, if you do not take into account the Full HD mode.</v>
      </c>
    </row>
    <row r="11465" spans="1:9" x14ac:dyDescent="0.3">
      <c r="A11465" s="1" t="s">
        <v>61</v>
      </c>
      <c r="B11465" s="1" t="s">
        <v>62</v>
      </c>
      <c r="C11465" s="1" t="s">
        <v>63</v>
      </c>
      <c r="D11465" s="1" t="s">
        <v>64</v>
      </c>
      <c r="E11465" s="1" t="s">
        <v>569</v>
      </c>
      <c r="F11465" s="1" t="s">
        <v>16366</v>
      </c>
      <c r="G11465" s="1" t="s">
        <v>36</v>
      </c>
      <c r="H11465" s="1" t="s">
        <v>29</v>
      </c>
      <c r="I11465" s="1" t="str">
        <f ca="1">IFERROR(__xludf.DUMMYFUNCTION("GOOGLETRANSLATE(F11465, ""auto"", ""en"")
"),"I wish everyone to acquire such an indispensable assistant in the kitchen! I just can’t imagine life without it. A meat grinder is a pleasure - in 2 minutes the minced meat is ready! I immediately convert the processor with a slight movement of my hands a"&amp;"nd it turns into an excellent dough mixer! In the same way as minced meat, after 2-3 minutes the dough is kneaded! It takes a long time to do it by hand and the quality of the dough is lower. Every housewife knows that dumplings are a long and labor-inten"&amp;"sive process - without this assistant I was often too lazy to make them myself, now this process is a pleasure and it’s quick and neat and it’s very easy to wash the food processor! The shredder is also super! And cabbage and carrots in a matter of second"&amp;"s - everything is ready! I’ve been using it for six months, the combine has proven itself to be excellent! I recommend it!")</f>
        <v>I wish everyone to acquire such an indispensable assistant in the kitchen! I just can’t imagine life without it. A meat grinder is a pleasure - in 2 minutes the minced meat is ready! I immediately convert the processor with a slight movement of my hands and it turns into an excellent dough mixer! In the same way as minced meat, after 2-3 minutes the dough is kneaded! It takes a long time to do it by hand and the quality of the dough is lower. Every housewife knows that dumplings are a long and labor-intensive process - without this assistant I was often too lazy to make them myself, now this process is a pleasure and it’s quick and neat and it’s very easy to wash the food processor! The shredder is also super! And cabbage and carrots in a matter of seconds - everything is ready! I’ve been using it for six months, the combine has proven itself to be excellent! I recommend it!</v>
      </c>
    </row>
    <row r="11466" spans="1:9" x14ac:dyDescent="0.3">
      <c r="A11466" s="1" t="s">
        <v>206</v>
      </c>
      <c r="B11466" s="1" t="s">
        <v>1349</v>
      </c>
      <c r="C11466" s="1" t="s">
        <v>4219</v>
      </c>
      <c r="D11466" s="1" t="s">
        <v>352</v>
      </c>
      <c r="E11466" s="1" t="s">
        <v>5032</v>
      </c>
      <c r="F11466" s="1" t="s">
        <v>16367</v>
      </c>
      <c r="G11466" s="1" t="s">
        <v>49</v>
      </c>
      <c r="H11466" s="1" t="s">
        <v>16</v>
      </c>
      <c r="I11466" s="1" t="str">
        <f ca="1">IFERROR(__xludf.DUMMYFUNCTION("GOOGLETRANSLATE(F11466, ""auto"", ""en"")
"),"I bought it in July 2012, two weeks later the sound simply began to disappear after 30 minutes of playing, CD, mp3 and through aux. I took it to the workshop for repairs, honestly waited 45 days for them to do it, I had to go find out for myself what was "&amp;"wrong with the radio, although they promised to call, but everything turned out to be much simpler than it seemed, their answer was: that they didn’t find the reason!! But for some reason, the way I installed it, the same thing happened))) in addition, I "&amp;"chewed the disk, sent it in for repair again, and continued to wait 45 days for repairs))) After 45 days, something started)) in short, the spare part never arrived, they fed me breakfast, in the end, 4 months without a mafon!!! record!!! Yesterday I was "&amp;"in the store where I bought it, explained the situation, in short, they said come with your passport and we will give you a tape recorder to replace the one that is still being repaired for me!!! A great gift for the New Year!!! I took a new one, but not "&amp;"a Hyundai!")</f>
        <v>I bought it in July 2012, two weeks later the sound simply began to disappear after 30 minutes of playing, CD, mp3 and through aux. I took it to the workshop for repairs, honestly waited 45 days for them to do it, I had to go find out for myself what was wrong with the radio, although they promised to call, but everything turned out to be much simpler than it seemed, their answer was: that they didn’t find the reason!! But for some reason, the way I installed it, the same thing happened))) in addition, I chewed the disk, sent it in for repair again, and continued to wait 45 days for repairs))) After 45 days, something started)) in short, the spare part never arrived, they fed me breakfast, in the end, 4 months without a mafon!!! record!!! Yesterday I was in the store where I bought it, explained the situation, in short, they said come with your passport and we will give you a tape recorder to replace the one that is still being repaired for me!!! A great gift for the New Year!!! I took a new one, but not a Hyundai!</v>
      </c>
    </row>
    <row r="11467" spans="1:9" x14ac:dyDescent="0.3">
      <c r="A11467" s="1" t="s">
        <v>811</v>
      </c>
      <c r="B11467" s="1" t="s">
        <v>4226</v>
      </c>
      <c r="C11467" s="1" t="s">
        <v>13680</v>
      </c>
      <c r="D11467" s="1" t="s">
        <v>280</v>
      </c>
      <c r="E11467" s="1" t="s">
        <v>5078</v>
      </c>
      <c r="F11467" s="1" t="s">
        <v>16368</v>
      </c>
      <c r="G11467" s="1" t="s">
        <v>15</v>
      </c>
      <c r="H11467" s="1" t="s">
        <v>16</v>
      </c>
      <c r="I11467" s="1" t="str">
        <f ca="1">IFERROR(__xludf.DUMMYFUNCTION("GOOGLETRANSLATE(F11467, ""auto"", ""en"")
"),"The battery barely holds a charge. If there are flash photos, he will “die” very quickly. The original 4 year old holds a charge and even more! Don't skimp, take the original.")</f>
        <v>The battery barely holds a charge. If there are flash photos, he will “die” very quickly. The original 4 year old holds a charge and even more! Don't skimp, take the original.</v>
      </c>
    </row>
    <row r="11468" spans="1:9" x14ac:dyDescent="0.3">
      <c r="A11468" s="1" t="s">
        <v>149</v>
      </c>
      <c r="B11468" s="1" t="s">
        <v>155</v>
      </c>
      <c r="C11468" s="1" t="s">
        <v>159</v>
      </c>
      <c r="D11468" s="1" t="s">
        <v>1391</v>
      </c>
      <c r="E11468" s="1" t="s">
        <v>1201</v>
      </c>
      <c r="F11468" s="1" t="s">
        <v>16369</v>
      </c>
      <c r="G11468" s="1" t="s">
        <v>36</v>
      </c>
      <c r="H11468" s="1" t="s">
        <v>29</v>
      </c>
      <c r="I11468" s="1" t="str">
        <f ca="1">IFERROR(__xludf.DUMMYFUNCTION("GOOGLETRANSLATE(F11468, ""auto"", ""en"")
"),"Good vacuum cleaner!!! If you clean your carpet with a furniture brush, it will be as good as new!! Cleans furniture like a charm! All filters are washable! Easy and simple to wash and clean!! simple light and very powerful! I spent a long time choosing a"&amp;" vacuum cleaner and settled on it!!! because it's JUST SUPER))")</f>
        <v>Good vacuum cleaner!!! If you clean your carpet with a furniture brush, it will be as good as new!! Cleans furniture like a charm! All filters are washable! Easy and simple to wash and clean!! simple light and very powerful! I spent a long time choosing a vacuum cleaner and settled on it!!! because it's JUST SUPER))</v>
      </c>
    </row>
    <row r="11469" spans="1:9" x14ac:dyDescent="0.3">
      <c r="A11469" s="1" t="s">
        <v>120</v>
      </c>
      <c r="B11469" s="1" t="s">
        <v>121</v>
      </c>
      <c r="C11469" s="1" t="s">
        <v>122</v>
      </c>
      <c r="D11469" s="1" t="s">
        <v>20</v>
      </c>
      <c r="E11469" s="1" t="s">
        <v>886</v>
      </c>
      <c r="F11469" s="1" t="s">
        <v>16370</v>
      </c>
      <c r="G11469" s="1" t="s">
        <v>36</v>
      </c>
      <c r="H11469" s="1" t="s">
        <v>29</v>
      </c>
      <c r="I11469" s="1" t="str">
        <f ca="1">IFERROR(__xludf.DUMMYFUNCTION("GOOGLETRANSLATE(F11469, ""auto"", ""en"")
"),"I bought this device instead of a monitor, connected it via HDMI, excellent picture and clarity, I haven’t used a TV yet, I don’t see the point of spoiling the impression with an indoor antenna....")</f>
        <v>I bought this device instead of a monitor, connected it via HDMI, excellent picture and clarity, I haven’t used a TV yet, I don’t see the point of spoiling the impression with an indoor antenna....</v>
      </c>
    </row>
    <row r="11470" spans="1:9" x14ac:dyDescent="0.3">
      <c r="A11470" s="1" t="s">
        <v>477</v>
      </c>
      <c r="B11470" s="1" t="s">
        <v>478</v>
      </c>
      <c r="C11470" s="1" t="s">
        <v>479</v>
      </c>
      <c r="D11470" s="1" t="s">
        <v>172</v>
      </c>
      <c r="E11470" s="1" t="s">
        <v>617</v>
      </c>
      <c r="F11470" s="1" t="s">
        <v>16371</v>
      </c>
      <c r="G11470" s="1" t="s">
        <v>49</v>
      </c>
      <c r="H11470" s="1" t="s">
        <v>16</v>
      </c>
      <c r="I11470" s="1" t="str">
        <f ca="1">IFERROR(__xludf.DUMMYFUNCTION("GOOGLETRANSLATE(F11470, ""auto"", ""en"")
"),"After playing Mafia 2, this game seems too primitive. They say high-quality graphics? Who will believe this! The detail is low, the cars are not realistic, they look flat! The background is heavily blurred and anti-aliasing is not supported. In some video"&amp;"s, defects are visible, such as the transparency of a person’s head (we can only see the jaw from it). The game slows down with high graphics quality even on a computer with an Intel Core i7 720QM processor and a Radeon HD5850 1024 Mb video card. With ave"&amp;"rage graphics in the test it gives 21-24 frames per second. On Windows 7 it generally runs only in compatibility mode with Vista SP1. The processor and video card cannot be loaded properly, but it is clearly slowing down. In the original version you can’t"&amp;" even reassign the control keys; you have to download a patch. But I still can’t turn on the arrows for movement, it says “important keys are not assigned” and leaves W and S instead. The game card is also not very convenient. It's a pity that the voice a"&amp;"cting is not Russian. Driving a car remains at the level of games from 2004-2005, and certainly not 2008. Because of these shortcomings, the plot seems incomprehensible and stupid. GTA 4 is disgracing itself...")</f>
        <v>After playing Mafia 2, this game seems too primitive. They say high-quality graphics? Who will believe this! The detail is low, the cars are not realistic, they look flat! The background is heavily blurred and anti-aliasing is not supported. In some videos, defects are visible, such as the transparency of a person’s head (we can only see the jaw from it). The game slows down with high graphics quality even on a computer with an Intel Core i7 720QM processor and a Radeon HD5850 1024 Mb video card. With average graphics in the test it gives 21-24 frames per second. On Windows 7 it generally runs only in compatibility mode with Vista SP1. The processor and video card cannot be loaded properly, but it is clearly slowing down. In the original version you can’t even reassign the control keys; you have to download a patch. But I still can’t turn on the arrows for movement, it says “important keys are not assigned” and leaves W and S instead. The game card is also not very convenient. It's a pity that the voice acting is not Russian. Driving a car remains at the level of games from 2004-2005, and certainly not 2008. Because of these shortcomings, the plot seems incomprehensible and stupid. GTA 4 is disgracing itself...</v>
      </c>
    </row>
    <row r="11471" spans="1:9" x14ac:dyDescent="0.3">
      <c r="A11471" s="1" t="s">
        <v>120</v>
      </c>
      <c r="B11471" s="1" t="s">
        <v>126</v>
      </c>
      <c r="C11471" s="1" t="s">
        <v>80</v>
      </c>
      <c r="D11471" s="1" t="s">
        <v>16372</v>
      </c>
      <c r="E11471" s="1" t="s">
        <v>8735</v>
      </c>
      <c r="F11471" s="1" t="s">
        <v>16373</v>
      </c>
      <c r="G11471" s="1" t="s">
        <v>36</v>
      </c>
      <c r="H11471" s="1" t="s">
        <v>29</v>
      </c>
      <c r="I11471" s="1" t="str">
        <f ca="1">IFERROR(__xludf.DUMMYFUNCTION("GOOGLETRANSLATE(F11471, ""auto"", ""en"")
"),"Excellent plasma!!!!  I watched it at a friend's place! Overall super and inexpensive!  I'll be getting one for myself soon!!!  So whoever is planning to buy, don’t hesitate and take it right away!!!!")</f>
        <v>Excellent plasma!!!!  I watched it at a friend's place! Overall super and inexpensive!  I'll be getting one for myself soon!!!  So whoever is planning to buy, don’t hesitate and take it right away!!!!</v>
      </c>
    </row>
    <row r="11472" spans="1:9" x14ac:dyDescent="0.3">
      <c r="A11472" s="1" t="s">
        <v>95</v>
      </c>
      <c r="B11472" s="1" t="s">
        <v>648</v>
      </c>
      <c r="C11472" s="1" t="s">
        <v>97</v>
      </c>
      <c r="D11472" s="1" t="s">
        <v>16374</v>
      </c>
      <c r="E11472" s="1" t="s">
        <v>285</v>
      </c>
      <c r="F11472" s="1" t="s">
        <v>16375</v>
      </c>
      <c r="G11472" s="1" t="s">
        <v>36</v>
      </c>
      <c r="H11472" s="1" t="s">
        <v>29</v>
      </c>
      <c r="I11472" s="1" t="str">
        <f ca="1">IFERROR(__xludf.DUMMYFUNCTION("GOOGLETRANSLATE(F11472, ""auto"", ""en"")
"),"I'm going to buy it too. The design there is of course SUPER !!!! I'm probably buying it from here)")</f>
        <v>I'm going to buy it too. The design there is of course SUPER !!!! I'm probably buying it from here)</v>
      </c>
    </row>
    <row r="11473" spans="1:9" x14ac:dyDescent="0.3">
      <c r="A11473" s="1" t="s">
        <v>95</v>
      </c>
      <c r="B11473" s="1" t="s">
        <v>227</v>
      </c>
      <c r="C11473" s="1" t="s">
        <v>97</v>
      </c>
      <c r="D11473" s="1" t="s">
        <v>16376</v>
      </c>
      <c r="E11473" s="1" t="s">
        <v>1432</v>
      </c>
      <c r="F11473" s="1" t="s">
        <v>16377</v>
      </c>
      <c r="G11473" s="1" t="s">
        <v>36</v>
      </c>
      <c r="H11473" s="1" t="s">
        <v>29</v>
      </c>
      <c r="I11473" s="1" t="str">
        <f ca="1">IFERROR(__xludf.DUMMYFUNCTION("GOOGLETRANSLATE(F11473, ""auto"", ""en"")
"),"This bundle was released on September 22, we checked the firmware version on the TV - get 3.40 before we run out! I haven’t checked the other “simple” versions of 120 and 160 GB from October, but I sense that they are already at least 3.42")</f>
        <v>This bundle was released on September 22, we checked the firmware version on the TV - get 3.40 before we run out! I haven’t checked the other “simple” versions of 120 and 160 GB from October, but I sense that they are already at least 3.42</v>
      </c>
    </row>
    <row r="11474" spans="1:9" x14ac:dyDescent="0.3">
      <c r="A11474" s="1" t="s">
        <v>95</v>
      </c>
      <c r="B11474" s="1" t="s">
        <v>227</v>
      </c>
      <c r="C11474" s="1" t="s">
        <v>97</v>
      </c>
      <c r="D11474" s="1" t="s">
        <v>13305</v>
      </c>
      <c r="E11474" s="1" t="s">
        <v>2059</v>
      </c>
      <c r="F11474" s="1" t="s">
        <v>16378</v>
      </c>
      <c r="G11474" s="1" t="s">
        <v>36</v>
      </c>
      <c r="H11474" s="1" t="s">
        <v>29</v>
      </c>
      <c r="I11474" s="1" t="str">
        <f ca="1">IFERROR(__xludf.DUMMYFUNCTION("GOOGLETRANSLATE(F11474, ""auto"", ""en"")
"),"I bought it 2 days ago, a very cool thing, I recommend it to everyone, including fans of ""God of War"", because this is a game only on this platform. So hurry up!!!")</f>
        <v>I bought it 2 days ago, a very cool thing, I recommend it to everyone, including fans of "God of War", because this is a game only on this platform. So hurry up!!!</v>
      </c>
    </row>
    <row r="11475" spans="1:9" x14ac:dyDescent="0.3">
      <c r="A11475" s="1" t="s">
        <v>43</v>
      </c>
      <c r="B11475" s="1" t="s">
        <v>219</v>
      </c>
      <c r="C11475" s="1" t="s">
        <v>665</v>
      </c>
      <c r="D11475" s="1" t="s">
        <v>565</v>
      </c>
      <c r="E11475" s="1" t="s">
        <v>8833</v>
      </c>
      <c r="F11475" s="1" t="s">
        <v>16379</v>
      </c>
      <c r="G11475" s="1" t="s">
        <v>36</v>
      </c>
      <c r="H11475" s="1" t="s">
        <v>29</v>
      </c>
      <c r="I11475" s="1" t="str">
        <f ca="1">IFERROR(__xludf.DUMMYFUNCTION("GOOGLETRANSLATE(F11475, ""auto"", ""en"")
"),"copes with his responsibilities 100%")</f>
        <v>copes with his responsibilities 100%</v>
      </c>
    </row>
    <row r="11476" spans="1:9" x14ac:dyDescent="0.3">
      <c r="A11476" s="1" t="s">
        <v>169</v>
      </c>
      <c r="B11476" s="1" t="s">
        <v>170</v>
      </c>
      <c r="C11476" s="1" t="s">
        <v>171</v>
      </c>
      <c r="D11476" s="1" t="s">
        <v>305</v>
      </c>
      <c r="E11476" s="1" t="s">
        <v>3509</v>
      </c>
      <c r="F11476" s="1" t="s">
        <v>16380</v>
      </c>
      <c r="G11476" s="1" t="s">
        <v>36</v>
      </c>
      <c r="H11476" s="1" t="s">
        <v>29</v>
      </c>
      <c r="I11476" s="1" t="str">
        <f ca="1">IFERROR(__xludf.DUMMYFUNCTION("GOOGLETRANSLATE(F11476, ""auto"", ""en"")
"),"Super headphones:) I've been using them for 3 months, not a single negative thing. The sound is high quality, clear, good bass.")</f>
        <v>Super headphones:) I've been using them for 3 months, not a single negative thing. The sound is high quality, clear, good bass.</v>
      </c>
    </row>
    <row r="11477" spans="1:9" x14ac:dyDescent="0.3">
      <c r="A11477" s="1" t="s">
        <v>373</v>
      </c>
      <c r="B11477" s="1" t="s">
        <v>374</v>
      </c>
      <c r="C11477" s="1" t="s">
        <v>134</v>
      </c>
      <c r="D11477" s="1" t="s">
        <v>58</v>
      </c>
      <c r="E11477" s="1" t="s">
        <v>1899</v>
      </c>
      <c r="F11477" s="1" t="s">
        <v>16381</v>
      </c>
      <c r="G11477" s="1" t="s">
        <v>36</v>
      </c>
      <c r="H11477" s="1" t="s">
        <v>29</v>
      </c>
      <c r="I11477" s="1" t="str">
        <f ca="1">IFERROR(__xludf.DUMMYFUNCTION("GOOGLETRANSLATE(F11477, ""auto"", ""en"")
"),"We have been using this machine for half a year, no complaints. Cons: it doesn’t dry dishes well, after automatic washing the dishes are wet, but otherwise everything is fine.   Pros - the dishes are conveniently located, you can wash both plastic and pot"&amp;"s at the same time, the pots are washed without problems. We use tablets, tried adding salt, detergent, etc. separately, then we came to the conclusion that this is not the best option. The tablet is simpler and cleans better (but this is just a personal "&amp;"opinion)")</f>
        <v>We have been using this machine for half a year, no complaints. Cons: it doesn’t dry dishes well, after automatic washing the dishes are wet, but otherwise everything is fine.   Pros - the dishes are conveniently located, you can wash both plastic and pots at the same time, the pots are washed without problems. We use tablets, tried adding salt, detergent, etc. separately, then we came to the conclusion that this is not the best option. The tablet is simpler and cleans better (but this is just a personal opinion)</v>
      </c>
    </row>
    <row r="11478" spans="1:9" x14ac:dyDescent="0.3">
      <c r="A11478" s="1" t="s">
        <v>811</v>
      </c>
      <c r="B11478" s="1" t="s">
        <v>4226</v>
      </c>
      <c r="C11478" s="1" t="s">
        <v>97</v>
      </c>
      <c r="D11478" s="1" t="s">
        <v>52</v>
      </c>
      <c r="E11478" s="1" t="s">
        <v>9965</v>
      </c>
      <c r="F11478" s="1" t="s">
        <v>16382</v>
      </c>
      <c r="G11478" s="1" t="s">
        <v>49</v>
      </c>
      <c r="H11478" s="1" t="s">
        <v>16</v>
      </c>
      <c r="I11478" s="1" t="str">
        <f ca="1">IFERROR(__xludf.DUMMYFUNCTION("GOOGLETRANSLATE(F11478, ""auto"", ""en"")
"),"During the promotion (June 2015) they are selling batteries manufactured in 2010 and no one warns about it! Wasted money... :(")</f>
        <v>During the promotion (June 2015) they are selling batteries manufactured in 2010 and no one warns about it! Wasted money... :(</v>
      </c>
    </row>
    <row r="11479" spans="1:9" x14ac:dyDescent="0.3">
      <c r="A11479" s="1" t="s">
        <v>9</v>
      </c>
      <c r="B11479" s="1" t="s">
        <v>10</v>
      </c>
      <c r="C11479" s="1" t="s">
        <v>407</v>
      </c>
      <c r="D11479" s="1" t="s">
        <v>280</v>
      </c>
      <c r="E11479" s="1" t="s">
        <v>727</v>
      </c>
      <c r="F11479" s="1" t="s">
        <v>16383</v>
      </c>
      <c r="G11479" s="1" t="s">
        <v>28</v>
      </c>
      <c r="H11479" s="1" t="s">
        <v>29</v>
      </c>
      <c r="I11479" s="1" t="str">
        <f ca="1">IFERROR(__xludf.DUMMYFUNCTION("GOOGLETRANSLATE(F11479, ""auto"", ""en"")
"),"I bought it about 2 months ago, an excellent device, the only complaint when air passes through (draft or door opens) is that the air valve constantly beats - a plastic knock.")</f>
        <v>I bought it about 2 months ago, an excellent device, the only complaint when air passes through (draft or door opens) is that the air valve constantly beats - a plastic knock.</v>
      </c>
    </row>
    <row r="11480" spans="1:9" x14ac:dyDescent="0.3">
      <c r="A11480" s="1" t="s">
        <v>61</v>
      </c>
      <c r="B11480" s="1" t="s">
        <v>726</v>
      </c>
      <c r="C11480" s="1" t="s">
        <v>122</v>
      </c>
      <c r="D11480" s="1" t="s">
        <v>102</v>
      </c>
      <c r="E11480" s="1" t="s">
        <v>708</v>
      </c>
      <c r="F11480" s="1" t="s">
        <v>16384</v>
      </c>
      <c r="G11480" s="1" t="s">
        <v>36</v>
      </c>
      <c r="H11480" s="1" t="s">
        <v>29</v>
      </c>
      <c r="I11480" s="1" t="str">
        <f ca="1">IFERROR(__xludf.DUMMYFUNCTION("GOOGLETRANSLATE(F11480, ""auto"", ""en"")
"),"In order for the bread to turn out well, you need to carefully read the instructions at least once. In particular, the place where it talks about the need to WEIGH the flour. If you pour it from the bulldozer and pour water onto the peephole, then you sho"&amp;"uldn’t expect a good result. And in order for the dough to be kneaded poorly and the bread not to be baked in THIS bread machine, you need to have a special talent!")</f>
        <v>In order for the bread to turn out well, you need to carefully read the instructions at least once. In particular, the place where it talks about the need to WEIGH the flour. If you pour it from the bulldozer and pour water onto the peephole, then you shouldn’t expect a good result. And in order for the dough to be kneaded poorly and the bread not to be baked in THIS bread machine, you need to have a special talent!</v>
      </c>
    </row>
    <row r="11481" spans="1:9" x14ac:dyDescent="0.3">
      <c r="A11481" s="1" t="s">
        <v>211</v>
      </c>
      <c r="B11481" s="1" t="s">
        <v>856</v>
      </c>
      <c r="C11481" s="1" t="s">
        <v>57</v>
      </c>
      <c r="D11481" s="1" t="s">
        <v>545</v>
      </c>
      <c r="E11481" s="1" t="s">
        <v>4345</v>
      </c>
      <c r="F11481" s="1" t="s">
        <v>16385</v>
      </c>
      <c r="G11481" s="1" t="s">
        <v>36</v>
      </c>
      <c r="H11481" s="1" t="s">
        <v>29</v>
      </c>
      <c r="I11481" s="1" t="str">
        <f ca="1">IFERROR(__xludf.DUMMYFUNCTION("GOOGLETRANSLATE(F11481, ""auto"", ""en"")
"),"Not a bad set for the price. Good for maintaining manicure and pedicure. I had enough power")</f>
        <v>Not a bad set for the price. Good for maintaining manicure and pedicure. I had enough power</v>
      </c>
    </row>
    <row r="11482" spans="1:9" x14ac:dyDescent="0.3">
      <c r="A11482" s="1" t="s">
        <v>61</v>
      </c>
      <c r="B11482" s="1" t="s">
        <v>977</v>
      </c>
      <c r="C11482" s="1" t="s">
        <v>69</v>
      </c>
      <c r="D11482" s="1" t="s">
        <v>113</v>
      </c>
      <c r="E11482" s="1" t="s">
        <v>1742</v>
      </c>
      <c r="F11482" s="1" t="s">
        <v>16386</v>
      </c>
      <c r="G11482" s="1" t="s">
        <v>36</v>
      </c>
      <c r="H11482" s="1" t="s">
        <v>29</v>
      </c>
      <c r="I11482" s="1" t="str">
        <f ca="1">IFERROR(__xludf.DUMMYFUNCTION("GOOGLETRANSLATE(F11482, ""auto"", ""en"")
"),"I haven’t been using it for long, but I’m very pleased. An excellent assistant in the kitchen. It works silently and quickly, does not take up much space, unlike a food processor. I recommend it, YOU WILL NOT REGRET.")</f>
        <v>I haven’t been using it for long, but I’m very pleased. An excellent assistant in the kitchen. It works silently and quickly, does not take up much space, unlike a food processor. I recommend it, YOU WILL NOT REGRET.</v>
      </c>
    </row>
    <row r="11483" spans="1:9" x14ac:dyDescent="0.3">
      <c r="A11483" s="1" t="s">
        <v>37</v>
      </c>
      <c r="B11483" s="1" t="s">
        <v>38</v>
      </c>
      <c r="C11483" s="1" t="s">
        <v>39</v>
      </c>
      <c r="D11483" s="1" t="s">
        <v>280</v>
      </c>
      <c r="E11483" s="1" t="s">
        <v>415</v>
      </c>
      <c r="F11483" s="1" t="s">
        <v>16387</v>
      </c>
      <c r="G11483" s="1" t="s">
        <v>36</v>
      </c>
      <c r="H11483" s="1" t="s">
        <v>29</v>
      </c>
      <c r="I11483" s="1" t="str">
        <f ca="1">IFERROR(__xludf.DUMMYFUNCTION("GOOGLETRANSLATE(F11483, ""auto"", ""en"")
"),"I completely disagree with Anastasia. Well, show me at least one phone (not a smartphone or a communicator) in which you can change the boot sounds. Yes, are you going to talk on the phone for 2 hours? The files are distributed normally, by the way. image"&amp;" in f. images, playing games, etc.")</f>
        <v>I completely disagree with Anastasia. Well, show me at least one phone (not a smartphone or a communicator) in which you can change the boot sounds. Yes, are you going to talk on the phone for 2 hours? The files are distributed normally, by the way. image in f. images, playing games, etc.</v>
      </c>
    </row>
    <row r="11484" spans="1:9" x14ac:dyDescent="0.3">
      <c r="A11484" s="1" t="s">
        <v>811</v>
      </c>
      <c r="B11484" s="1" t="s">
        <v>4226</v>
      </c>
      <c r="C11484" s="1" t="s">
        <v>122</v>
      </c>
      <c r="D11484" s="1" t="s">
        <v>16388</v>
      </c>
      <c r="E11484" s="1" t="s">
        <v>2459</v>
      </c>
      <c r="F11484" s="1" t="s">
        <v>16389</v>
      </c>
      <c r="G11484" s="1" t="s">
        <v>36</v>
      </c>
      <c r="H11484" s="1" t="s">
        <v>29</v>
      </c>
      <c r="I11484" s="1" t="str">
        <f ca="1">IFERROR(__xludf.DUMMYFUNCTION("GOOGLETRANSLATE(F11484, ""auto"", ""en"")
"),"High-quality battery for a thousand mAh. Replacing batteries is not difficult; it is small and convenient and fits into a bag pocket. During the entire time I have been using it, there have been no incidents with it, it holds the charge normally, and when"&amp;" charging it does not heat up and does not increase in size.")</f>
        <v>High-quality battery for a thousand mAh. Replacing batteries is not difficult; it is small and convenient and fits into a bag pocket. During the entire time I have been using it, there have been no incidents with it, it holds the charge normally, and when charging it does not heat up and does not increase in size.</v>
      </c>
    </row>
    <row r="11485" spans="1:9" x14ac:dyDescent="0.3">
      <c r="A11485" s="1" t="s">
        <v>89</v>
      </c>
      <c r="B11485" s="1" t="s">
        <v>231</v>
      </c>
      <c r="C11485" s="1" t="s">
        <v>1072</v>
      </c>
      <c r="D11485" s="1" t="s">
        <v>1055</v>
      </c>
      <c r="E11485" s="1" t="s">
        <v>16390</v>
      </c>
      <c r="F11485" s="1" t="s">
        <v>16391</v>
      </c>
      <c r="G11485" s="1" t="s">
        <v>36</v>
      </c>
      <c r="H11485" s="1" t="s">
        <v>29</v>
      </c>
      <c r="I11485" s="1" t="str">
        <f ca="1">IFERROR(__xludf.DUMMYFUNCTION("GOOGLETRANSLATE(F11485, ""auto"", ""en"")
"),"An excellent coffee machine, the only bad thing is that it’s a problem to buy maintenance products.")</f>
        <v>An excellent coffee machine, the only bad thing is that it’s a problem to buy maintenance products.</v>
      </c>
    </row>
    <row r="11486" spans="1:9" x14ac:dyDescent="0.3">
      <c r="A11486" s="1" t="s">
        <v>211</v>
      </c>
      <c r="B11486" s="1" t="s">
        <v>515</v>
      </c>
      <c r="C11486" s="1" t="s">
        <v>213</v>
      </c>
      <c r="D11486" s="1" t="s">
        <v>64</v>
      </c>
      <c r="E11486" s="1" t="s">
        <v>4486</v>
      </c>
      <c r="F11486" s="1" t="s">
        <v>16392</v>
      </c>
      <c r="G11486" s="1" t="s">
        <v>36</v>
      </c>
      <c r="H11486" s="1" t="s">
        <v>29</v>
      </c>
      <c r="I11486" s="1" t="str">
        <f ca="1">IFERROR(__xludf.DUMMYFUNCTION("GOOGLETRANSLATE(F11486, ""auto"", ""en"")
"),"I’m quite happy with it, I bought it for the first time, there is, of course, a little pain, but it’s bearable. And it’s very convenient to have a razor.")</f>
        <v>I’m quite happy with it, I bought it for the first time, there is, of course, a little pain, but it’s bearable. And it’s very convenient to have a razor.</v>
      </c>
    </row>
    <row r="11487" spans="1:9" x14ac:dyDescent="0.3">
      <c r="A11487" s="1" t="s">
        <v>61</v>
      </c>
      <c r="B11487" s="1" t="s">
        <v>224</v>
      </c>
      <c r="C11487" s="1" t="s">
        <v>85</v>
      </c>
      <c r="D11487" s="1" t="s">
        <v>295</v>
      </c>
      <c r="E11487" s="1" t="s">
        <v>12451</v>
      </c>
      <c r="F11487" s="1" t="s">
        <v>16393</v>
      </c>
      <c r="G11487" s="1" t="s">
        <v>36</v>
      </c>
      <c r="H11487" s="1" t="s">
        <v>29</v>
      </c>
      <c r="I11487" s="1" t="str">
        <f ca="1">IFERROR(__xludf.DUMMYFUNCTION("GOOGLETRANSLATE(F11487, ""auto"", ""en"")
"),"I went for another company, but the seller very skillfully showed the difference between them, there was no doubt left, I need to take Bork! It is very convenient to use, easy to clean, the juice is prepared in seconds, seedless vegetables and fruits do n"&amp;"ot need to be cut, a large apple fits entirely. The juice turns out excellent, the pulp is dry, it’s simply not possible to squeeze anything else out of it! Very happy with the purchase!")</f>
        <v>I went for another company, but the seller very skillfully showed the difference between them, there was no doubt left, I need to take Bork! It is very convenient to use, easy to clean, the juice is prepared in seconds, seedless vegetables and fruits do not need to be cut, a large apple fits entirely. The juice turns out excellent, the pulp is dry, it’s simply not possible to squeeze anything else out of it! Very happy with the purchase!</v>
      </c>
    </row>
    <row r="11488" spans="1:9" x14ac:dyDescent="0.3">
      <c r="A11488" s="1" t="s">
        <v>89</v>
      </c>
      <c r="B11488" s="1" t="s">
        <v>1106</v>
      </c>
      <c r="C11488" s="1" t="s">
        <v>63</v>
      </c>
      <c r="D11488" s="1" t="s">
        <v>6695</v>
      </c>
      <c r="E11488" s="1" t="s">
        <v>178</v>
      </c>
      <c r="F11488" s="1" t="s">
        <v>16394</v>
      </c>
      <c r="G11488" s="1" t="s">
        <v>36</v>
      </c>
      <c r="H11488" s="1" t="s">
        <v>29</v>
      </c>
      <c r="I11488" s="1" t="str">
        <f ca="1">IFERROR(__xludf.DUMMYFUNCTION("GOOGLETRANSLATE(F11488, ""auto"", ""en"")
"),"Great coffee maker! Hard worker - lasts for more years, is optimal for the money and the volume of the kettle is 1.3 liters. It makes me happy when a lot of guests come. We use it several times every day. Using the ""Poke"" method, we determined the requi"&amp;"red volume of water and coffee per cup.  Like.")</f>
        <v>Great coffee maker! Hard worker - lasts for more years, is optimal for the money and the volume of the kettle is 1.3 liters. It makes me happy when a lot of guests come. We use it several times every day. Using the "Poke" method, we determined the required volume of water and coffee per cup.  Like.</v>
      </c>
    </row>
    <row r="11489" spans="1:9" x14ac:dyDescent="0.3">
      <c r="A11489" s="1" t="s">
        <v>211</v>
      </c>
      <c r="B11489" s="1" t="s">
        <v>265</v>
      </c>
      <c r="C11489" s="1" t="s">
        <v>381</v>
      </c>
      <c r="D11489" s="1" t="s">
        <v>81</v>
      </c>
      <c r="E11489" s="1" t="s">
        <v>5594</v>
      </c>
      <c r="F11489" s="1" t="s">
        <v>16395</v>
      </c>
      <c r="G11489" s="1" t="s">
        <v>49</v>
      </c>
      <c r="H11489" s="1" t="s">
        <v>16</v>
      </c>
      <c r="I11489" s="1" t="str">
        <f ca="1">IFERROR(__xludf.DUMMYFUNCTION("GOOGLETRANSLATE(F11489, ""auto"", ""en"")
"),"The machine was enough for several haircuts! After a haircut, my hair feels like cotton candy to the touch, and my hair tugs painfully. Sharpening did not bring any results. We are very sorry that we chose this model.")</f>
        <v>The machine was enough for several haircuts! After a haircut, my hair feels like cotton candy to the touch, and my hair tugs painfully. Sharpening did not bring any results. We are very sorry that we chose this model.</v>
      </c>
    </row>
    <row r="11490" spans="1:9" x14ac:dyDescent="0.3">
      <c r="A11490" s="1" t="s">
        <v>61</v>
      </c>
      <c r="B11490" s="1" t="s">
        <v>224</v>
      </c>
      <c r="C11490" s="1" t="s">
        <v>85</v>
      </c>
      <c r="D11490" s="1" t="s">
        <v>545</v>
      </c>
      <c r="E11490" s="1" t="s">
        <v>4972</v>
      </c>
      <c r="F11490" s="1" t="s">
        <v>16396</v>
      </c>
      <c r="G11490" s="1" t="s">
        <v>36</v>
      </c>
      <c r="H11490" s="1" t="s">
        <v>29</v>
      </c>
      <c r="I11490" s="1" t="str">
        <f ca="1">IFERROR(__xludf.DUMMYFUNCTION("GOOGLETRANSLATE(F11490, ""auto"", ""en"")
"),"My husband gave me this wonderful juicer for my birthday!!! This is just great!! I am very pleased and do not regret that my husband made such a choice!! Nothing splashes, the juice is without any peels or seeds!! clean and transparent!!! The only thing i"&amp;"s that it takes a long time to wash the mesh through which the juice passes!!! But I think that I will learn and will do it much faster!!!!!  Buy it and you won't regret it!!!!!!")</f>
        <v>My husband gave me this wonderful juicer for my birthday!!! This is just great!! I am very pleased and do not regret that my husband made such a choice!! Nothing splashes, the juice is without any peels or seeds!! clean and transparent!!! The only thing is that it takes a long time to wash the mesh through which the juice passes!!! But I think that I will learn and will do it much faster!!!!!  Buy it and you won't regret it!!!!!!</v>
      </c>
    </row>
    <row r="11491" spans="1:9" x14ac:dyDescent="0.3">
      <c r="A11491" s="1" t="s">
        <v>9</v>
      </c>
      <c r="B11491" s="1" t="s">
        <v>137</v>
      </c>
      <c r="C11491" s="1" t="s">
        <v>63</v>
      </c>
      <c r="D11491" s="1" t="s">
        <v>8069</v>
      </c>
      <c r="E11491" s="1" t="s">
        <v>3102</v>
      </c>
      <c r="F11491" s="1" t="s">
        <v>16397</v>
      </c>
      <c r="G11491" s="1" t="s">
        <v>36</v>
      </c>
      <c r="H11491" s="1" t="s">
        <v>29</v>
      </c>
      <c r="I11491" s="1" t="str">
        <f ca="1">IFERROR(__xludf.DUMMYFUNCTION("GOOGLETRANSLATE(F11491, ""auto"", ""en"")
"),"We’ve been using an excellent cooking stove for five years now and we’re happy with it, there are no stains, and if there are any, it’s easy to clean and it’s easy to fry and it’s a pleasure to cook and everything cooks quickly")</f>
        <v>We’ve been using an excellent cooking stove for five years now and we’re happy with it, there are no stains, and if there are any, it’s easy to clean and it’s easy to fry and it’s a pleasure to cook and everything cooks quickly</v>
      </c>
    </row>
    <row r="11492" spans="1:9" x14ac:dyDescent="0.3">
      <c r="A11492" s="1" t="s">
        <v>43</v>
      </c>
      <c r="B11492" s="1" t="s">
        <v>303</v>
      </c>
      <c r="C11492" s="1" t="s">
        <v>304</v>
      </c>
      <c r="D11492" s="1" t="s">
        <v>152</v>
      </c>
      <c r="E11492" s="1" t="s">
        <v>6971</v>
      </c>
      <c r="F11492" s="1" t="s">
        <v>16398</v>
      </c>
      <c r="G11492" s="1" t="s">
        <v>49</v>
      </c>
      <c r="H11492" s="1" t="s">
        <v>16</v>
      </c>
      <c r="I11492" s="1" t="str">
        <f ca="1">IFERROR(__xludf.DUMMYFUNCTION("GOOGLETRANSLATE(F11492, ""auto"", ""en"")
"),"Leaked immediately after first filling with water.")</f>
        <v>Leaked immediately after first filling with water.</v>
      </c>
    </row>
    <row r="11493" spans="1:9" x14ac:dyDescent="0.3">
      <c r="A11493" s="1" t="s">
        <v>37</v>
      </c>
      <c r="B11493" s="1" t="s">
        <v>38</v>
      </c>
      <c r="C11493" s="1" t="s">
        <v>39</v>
      </c>
      <c r="D11493" s="1" t="s">
        <v>280</v>
      </c>
      <c r="E11493" s="1" t="s">
        <v>734</v>
      </c>
      <c r="F11493" s="1" t="s">
        <v>16399</v>
      </c>
      <c r="G11493" s="1" t="s">
        <v>36</v>
      </c>
      <c r="H11493" s="1" t="s">
        <v>29</v>
      </c>
      <c r="I11493" s="1" t="str">
        <f ca="1">IFERROR(__xludf.DUMMYFUNCTION("GOOGLETRANSLATE(F11493, ""auto"", ""en"")
"),"If you want to make the sound louder in the speakers (it is not yet possible with headphones due to the clear bass function), then you need to replace the sound drivers and you will be happy.")</f>
        <v>If you want to make the sound louder in the speakers (it is not yet possible with headphones due to the clear bass function), then you need to replace the sound drivers and you will be happy.</v>
      </c>
    </row>
    <row r="11494" spans="1:9" x14ac:dyDescent="0.3">
      <c r="A11494" s="1" t="s">
        <v>43</v>
      </c>
      <c r="B11494" s="1" t="s">
        <v>303</v>
      </c>
      <c r="C11494" s="1" t="s">
        <v>220</v>
      </c>
      <c r="D11494" s="1" t="s">
        <v>1605</v>
      </c>
      <c r="E11494" s="1" t="s">
        <v>4171</v>
      </c>
      <c r="F11494" s="1" t="s">
        <v>16400</v>
      </c>
      <c r="G11494" s="1" t="s">
        <v>36</v>
      </c>
      <c r="H11494" s="1" t="s">
        <v>29</v>
      </c>
      <c r="I11494" s="1" t="str">
        <f ca="1">IFERROR(__xludf.DUMMYFUNCTION("GOOGLETRANSLATE(F11494, ""auto"", ""en"")
"),"stainless steel, flat, powerful, beautiful ")</f>
        <v xml:space="preserve">stainless steel, flat, powerful, beautiful </v>
      </c>
    </row>
    <row r="11495" spans="1:9" x14ac:dyDescent="0.3">
      <c r="A11495" s="1" t="s">
        <v>9</v>
      </c>
      <c r="B11495" s="1" t="s">
        <v>137</v>
      </c>
      <c r="C11495" s="1" t="s">
        <v>134</v>
      </c>
      <c r="D11495" s="1" t="s">
        <v>39</v>
      </c>
      <c r="E11495" s="1" t="s">
        <v>12498</v>
      </c>
      <c r="F11495" s="1" t="s">
        <v>16401</v>
      </c>
      <c r="G11495" s="1" t="s">
        <v>28</v>
      </c>
      <c r="H11495" s="1" t="s">
        <v>29</v>
      </c>
      <c r="I11495" s="1" t="str">
        <f ca="1">IFERROR(__xludf.DUMMYFUNCTION("GOOGLETRANSLATE(F11495, ""auto"", ""en"")
"),"I bought this stove before the dollar somersault. The plate is gorgeous! and child protection, timers that automatically turn off the flame, etc. The only negative is poor sealing between the panel and the burner, resulting in boiling soups, etc. The ther"&amp;"mocouple seat oxidizes and contact to ground is lost and, accordingly, this particular burner cannot be lit!     For me, this is a trifle; using a high-temperature sealant solved the problem (that’s why minus one star)")</f>
        <v>I bought this stove before the dollar somersault. The plate is gorgeous! and child protection, timers that automatically turn off the flame, etc. The only negative is poor sealing between the panel and the burner, resulting in boiling soups, etc. The thermocouple seat oxidizes and contact to ground is lost and, accordingly, this particular burner cannot be lit!     For me, this is a trifle; using a high-temperature sealant solved the problem (that’s why minus one star)</v>
      </c>
    </row>
    <row r="11496" spans="1:9" x14ac:dyDescent="0.3">
      <c r="A11496" s="1" t="s">
        <v>211</v>
      </c>
      <c r="B11496" s="1" t="s">
        <v>212</v>
      </c>
      <c r="C11496" s="1" t="s">
        <v>294</v>
      </c>
      <c r="D11496" s="1" t="s">
        <v>308</v>
      </c>
      <c r="E11496" s="1" t="s">
        <v>559</v>
      </c>
      <c r="F11496" s="1" t="s">
        <v>16402</v>
      </c>
      <c r="G11496" s="1" t="s">
        <v>36</v>
      </c>
      <c r="H11496" s="1" t="s">
        <v>29</v>
      </c>
      <c r="I11496" s="1" t="str">
        <f ca="1">IFERROR(__xludf.DUMMYFUNCTION("GOOGLETRANSLATE(F11496, ""auto"", ""en"")
"),"An excellent thing, although there is no ionization, the hair does not frizz due to the Teflon/ceramic coating; in general, it is simple; there is a temperature regulator, which is very important; I straighten it on a straightener and it’s enough for me, "&amp;"and the kit includes a thermal brush for eyelashes, a cosmetic bag and brushes")</f>
        <v>An excellent thing, although there is no ionization, the hair does not frizz due to the Teflon/ceramic coating; in general, it is simple; there is a temperature regulator, which is very important; I straighten it on a straightener and it’s enough for me, and the kit includes a thermal brush for eyelashes, a cosmetic bag and brushes</v>
      </c>
    </row>
    <row r="11497" spans="1:9" x14ac:dyDescent="0.3">
      <c r="A11497" s="1" t="s">
        <v>624</v>
      </c>
      <c r="B11497" s="1" t="s">
        <v>2107</v>
      </c>
      <c r="C11497" s="1" t="s">
        <v>479</v>
      </c>
      <c r="D11497" s="1" t="s">
        <v>16403</v>
      </c>
      <c r="E11497" s="1" t="s">
        <v>580</v>
      </c>
      <c r="F11497" s="1" t="s">
        <v>16404</v>
      </c>
      <c r="G11497" s="1" t="s">
        <v>36</v>
      </c>
      <c r="H11497" s="1" t="s">
        <v>29</v>
      </c>
      <c r="I11497" s="1" t="str">
        <f ca="1">IFERROR(__xludf.DUMMYFUNCTION("GOOGLETRANSLATE(F11497, ""auto"", ""en"")
"),"An excellent continuation of a cool horror film in space! Take it along with the first part!")</f>
        <v>An excellent continuation of a cool horror film in space! Take it along with the first part!</v>
      </c>
    </row>
    <row r="11498" spans="1:9" x14ac:dyDescent="0.3">
      <c r="A11498" s="1" t="s">
        <v>211</v>
      </c>
      <c r="B11498" s="1" t="s">
        <v>265</v>
      </c>
      <c r="C11498" s="1" t="s">
        <v>69</v>
      </c>
      <c r="D11498" s="1" t="s">
        <v>545</v>
      </c>
      <c r="E11498" s="1" t="s">
        <v>1450</v>
      </c>
      <c r="F11498" s="1" t="s">
        <v>16405</v>
      </c>
      <c r="G11498" s="1" t="s">
        <v>36</v>
      </c>
      <c r="H11498" s="1" t="s">
        <v>29</v>
      </c>
      <c r="I11498" s="1" t="str">
        <f ca="1">IFERROR(__xludf.DUMMYFUNCTION("GOOGLETRANSLATE(F11498, ""auto"", ""en"")
"),"And I really liked the machine. Just great. If earlier, when cutting with other clippers, the help of scissors was required, then this was not needed here! The machine coped perfectly well without this! It’s very convenient that you don’t have to constant"&amp;"ly remove and rearrange the attachments, you just adjust the length and that’s it. A big plus is that you can wash the machine under running water. In general, I don’t regret that we bought it, I recommend it to everyone. The machine is super and the pric"&amp;"e is reasonable.")</f>
        <v>And I really liked the machine. Just great. If earlier, when cutting with other clippers, the help of scissors was required, then this was not needed here! The machine coped perfectly well without this! It’s very convenient that you don’t have to constantly remove and rearrange the attachments, you just adjust the length and that’s it. A big plus is that you can wash the machine under running water. In general, I don’t regret that we bought it, I recommend it to everyone. The machine is super and the price is reasonable.</v>
      </c>
    </row>
    <row r="11499" spans="1:9" x14ac:dyDescent="0.3">
      <c r="A11499" s="1" t="s">
        <v>43</v>
      </c>
      <c r="B11499" s="1" t="s">
        <v>1616</v>
      </c>
      <c r="C11499" s="1" t="s">
        <v>185</v>
      </c>
      <c r="D11499" s="1" t="s">
        <v>139</v>
      </c>
      <c r="E11499" s="1" t="s">
        <v>11612</v>
      </c>
      <c r="F11499" s="1" t="s">
        <v>16406</v>
      </c>
      <c r="G11499" s="1" t="s">
        <v>36</v>
      </c>
      <c r="H11499" s="1" t="s">
        <v>29</v>
      </c>
      <c r="I11499" s="1" t="str">
        <f ca="1">IFERROR(__xludf.DUMMYFUNCTION("GOOGLETRANSLATE(F11499, ""auto"", ""en"")
"),"An excellent mobile air conditioner with a good and efficient cooling system. I use it in the office (sunny side), it cools the room very quickly and maintains a comfortable temperature. And most importantly, there is no need to drain the condensate, it e"&amp;"vaporates into the corrugation itself! I think this is it for our Moscow summer!")</f>
        <v>An excellent mobile air conditioner with a good and efficient cooling system. I use it in the office (sunny side), it cools the room very quickly and maintains a comfortable temperature. And most importantly, there is no need to drain the condensate, it evaporates into the corrugation itself! I think this is it for our Moscow summer!</v>
      </c>
    </row>
    <row r="11500" spans="1:9" x14ac:dyDescent="0.3">
      <c r="A11500" s="1" t="s">
        <v>89</v>
      </c>
      <c r="B11500" s="1" t="s">
        <v>231</v>
      </c>
      <c r="C11500" s="1" t="s">
        <v>185</v>
      </c>
      <c r="D11500" s="1" t="s">
        <v>16407</v>
      </c>
      <c r="E11500" s="1" t="s">
        <v>4054</v>
      </c>
      <c r="F11500" s="1" t="s">
        <v>16408</v>
      </c>
      <c r="G11500" s="1" t="s">
        <v>36</v>
      </c>
      <c r="H11500" s="1" t="s">
        <v>29</v>
      </c>
      <c r="I11500" s="1" t="str">
        <f ca="1">IFERROR(__xludf.DUMMYFUNCTION("GOOGLETRANSLATE(F11500, ""auto"", ""en"")
"),"The coffee machine is simply SUPER. The quality and taste of the prepared coffee is not inferior to professional coffee machines. Simple and easy to use and maintain. Programmed for water hardness using the supplied test strip. Automatic descaling. I did "&amp;"not use ground coffee, there is no need because... Perfectly grinds coffee beans. The waste coffee is pressed into large “tablets” and dumped into a special container. The cappuccino machine perfectly froths milk to 100% foam, which can be added to a cup "&amp;"of ready-made coffee. I recommend it to everyone.")</f>
        <v>The coffee machine is simply SUPER. The quality and taste of the prepared coffee is not inferior to professional coffee machines. Simple and easy to use and maintain. Programmed for water hardness using the supplied test strip. Automatic descaling. I did not use ground coffee, there is no need because... Perfectly grinds coffee beans. The waste coffee is pressed into large “tablets” and dumped into a special container. The cappuccino machine perfectly froths milk to 100% foam, which can be added to a cup of ready-made coffee. I recommend it to everyone.</v>
      </c>
    </row>
    <row r="11501" spans="1:9" x14ac:dyDescent="0.3">
      <c r="A11501" s="1" t="s">
        <v>111</v>
      </c>
      <c r="B11501" s="1" t="s">
        <v>112</v>
      </c>
      <c r="C11501" s="1" t="s">
        <v>113</v>
      </c>
      <c r="D11501" s="1" t="s">
        <v>695</v>
      </c>
      <c r="E11501" s="1" t="s">
        <v>11340</v>
      </c>
      <c r="F11501" s="1" t="s">
        <v>16409</v>
      </c>
      <c r="G11501" s="1" t="s">
        <v>49</v>
      </c>
      <c r="H11501" s="1" t="s">
        <v>16</v>
      </c>
      <c r="I11501" s="1" t="str">
        <f ca="1">IFERROR(__xludf.DUMMYFUNCTION("GOOGLETRANSLATE(F11501, ""auto"", ""en"")
"),"Three weeks! and burned! a TV, receiver, DVD, router and two consoles were connected")</f>
        <v>Three weeks! and burned! a TV, receiver, DVD, router and two consoles were connected</v>
      </c>
    </row>
    <row r="11502" spans="1:9" x14ac:dyDescent="0.3">
      <c r="A11502" s="1" t="s">
        <v>211</v>
      </c>
      <c r="B11502" s="1" t="s">
        <v>384</v>
      </c>
      <c r="C11502" s="1" t="s">
        <v>101</v>
      </c>
      <c r="D11502" s="1" t="s">
        <v>64</v>
      </c>
      <c r="E11502" s="1" t="s">
        <v>1864</v>
      </c>
      <c r="F11502" s="1" t="s">
        <v>16410</v>
      </c>
      <c r="G11502" s="1" t="s">
        <v>49</v>
      </c>
      <c r="H11502" s="1" t="s">
        <v>16</v>
      </c>
      <c r="I11502" s="1" t="str">
        <f ca="1">IFERROR(__xludf.DUMMYFUNCTION("GOOGLETRANSLATE(F11502, ""auto"", ""en"")
"),"After 2 months they made me happy. they just stopped turning on!   I'll go to the store! Change.")</f>
        <v>After 2 months they made me happy. they just stopped turning on!   I'll go to the store! Change.</v>
      </c>
    </row>
    <row r="11503" spans="1:9" x14ac:dyDescent="0.3">
      <c r="A11503" s="1" t="s">
        <v>211</v>
      </c>
      <c r="B11503" s="1" t="s">
        <v>212</v>
      </c>
      <c r="C11503" s="1" t="s">
        <v>381</v>
      </c>
      <c r="D11503" s="1" t="s">
        <v>308</v>
      </c>
      <c r="E11503" s="1" t="s">
        <v>8801</v>
      </c>
      <c r="F11503" s="1" t="s">
        <v>16411</v>
      </c>
      <c r="G11503" s="1" t="s">
        <v>36</v>
      </c>
      <c r="H11503" s="1" t="s">
        <v>29</v>
      </c>
      <c r="I11503" s="1" t="str">
        <f ca="1">IFERROR(__xludf.DUMMYFUNCTION("GOOGLETRANSLATE(F11503, ""auto"", ""en"")
"),"Lightweight, powerful, convenient button placement, various modes, reasonable price")</f>
        <v>Lightweight, powerful, convenient button placement, various modes, reasonable price</v>
      </c>
    </row>
    <row r="11504" spans="1:9" x14ac:dyDescent="0.3">
      <c r="A11504" s="1" t="s">
        <v>17</v>
      </c>
      <c r="B11504" s="1" t="s">
        <v>18</v>
      </c>
      <c r="C11504" s="1" t="s">
        <v>243</v>
      </c>
      <c r="D11504" s="1" t="s">
        <v>20</v>
      </c>
      <c r="E11504" s="1" t="s">
        <v>386</v>
      </c>
      <c r="F11504" s="1" t="s">
        <v>16412</v>
      </c>
      <c r="G11504" s="1" t="s">
        <v>36</v>
      </c>
      <c r="H11504" s="1" t="s">
        <v>29</v>
      </c>
      <c r="I11504" s="1" t="str">
        <f ca="1">IFERROR(__xludf.DUMMYFUNCTION("GOOGLETRANSLATE(F11504, ""auto"", ""en"")
"),"We bought the last one yesterday from the display just before closing because... the old one broke down, and with children and without a washing machine it’s impossible to live... It’s worked great already 2 times, it’s quiet and doesn’t jump...")</f>
        <v>We bought the last one yesterday from the display just before closing because... the old one broke down, and with children and without a washing machine it’s impossible to live... It’s worked great already 2 times, it’s quiet and doesn’t jump...</v>
      </c>
    </row>
    <row r="11505" spans="1:9" x14ac:dyDescent="0.3">
      <c r="A11505" s="1" t="s">
        <v>30</v>
      </c>
      <c r="B11505" s="1" t="s">
        <v>31</v>
      </c>
      <c r="C11505" s="1" t="s">
        <v>32</v>
      </c>
      <c r="D11505" s="1" t="s">
        <v>171</v>
      </c>
      <c r="E11505" s="1" t="s">
        <v>646</v>
      </c>
      <c r="F11505" s="1" t="s">
        <v>16413</v>
      </c>
      <c r="G11505" s="1" t="s">
        <v>28</v>
      </c>
      <c r="H11505" s="1" t="s">
        <v>29</v>
      </c>
      <c r="I11505" s="1" t="str">
        <f ca="1">IFERROR(__xludf.DUMMYFUNCTION("GOOGLETRANSLATE(F11505, ""auto"", ""en"")
"),"A very good machine, for such a price I consider buying this system unit a miracle. A beast.    Let's take the noob option... all modern games run without lags, they fulfill the needs of the gamer very well. As a work computer, of course, none. And as a m"&amp;"inus, I can note that the frequency is not very good")</f>
        <v>A very good machine, for such a price I consider buying this system unit a miracle. A beast.    Let's take the noob option... all modern games run without lags, they fulfill the needs of the gamer very well. As a work computer, of course, none. And as a minus, I can note that the frequency is not very good</v>
      </c>
    </row>
    <row r="11506" spans="1:9" x14ac:dyDescent="0.3">
      <c r="A11506" s="1" t="s">
        <v>61</v>
      </c>
      <c r="B11506" s="1" t="s">
        <v>977</v>
      </c>
      <c r="C11506" s="1" t="s">
        <v>85</v>
      </c>
      <c r="D11506" s="1" t="s">
        <v>64</v>
      </c>
      <c r="E11506" s="1" t="s">
        <v>259</v>
      </c>
      <c r="F11506" s="1" t="s">
        <v>16414</v>
      </c>
      <c r="G11506" s="1" t="s">
        <v>36</v>
      </c>
      <c r="H11506" s="1" t="s">
        <v>29</v>
      </c>
      <c r="I11506" s="1" t="str">
        <f ca="1">IFERROR(__xludf.DUMMYFUNCTION("GOOGLETRANSLATE(F11506, ""auto"", ""en"")
"),"My kids gave me this blender for Christmas in 2009. I just couldn't be happier! With its help I make minced meat, cocktails, dough and much more..... And the noise...., so how can a blender be silent? No one wakes me up from it and there are no problems w"&amp;"ith neighbors :))))")</f>
        <v>My kids gave me this blender for Christmas in 2009. I just couldn't be happier! With its help I make minced meat, cocktails, dough and much more..... And the noise...., so how can a blender be silent? No one wakes me up from it and there are no problems with neighbors :))))</v>
      </c>
    </row>
    <row r="11507" spans="1:9" x14ac:dyDescent="0.3">
      <c r="A11507" s="1" t="s">
        <v>282</v>
      </c>
      <c r="B11507" s="1" t="s">
        <v>283</v>
      </c>
      <c r="C11507" s="1" t="s">
        <v>16415</v>
      </c>
      <c r="D11507" s="1" t="s">
        <v>171</v>
      </c>
      <c r="E11507" s="1" t="s">
        <v>2531</v>
      </c>
      <c r="F11507" s="1" t="s">
        <v>16416</v>
      </c>
      <c r="G11507" s="1" t="s">
        <v>36</v>
      </c>
      <c r="H11507" s="1" t="s">
        <v>29</v>
      </c>
      <c r="I11507" s="1" t="str">
        <f ca="1">IFERROR(__xludf.DUMMYFUNCTION("GOOGLETRANSLATE(F11507, ""auto"", ""en"")
"),"This is a wonderful film with wonderful acting. The more I look, the more nuances I notice. The first time you watch it because of the plot, and the rest - you admire the acting, music, facial expressions, words and the unsaid between the lines. Great act"&amp;"ing ensemble!")</f>
        <v>This is a wonderful film with wonderful acting. The more I look, the more nuances I notice. The first time you watch it because of the plot, and the rest - you admire the acting, music, facial expressions, words and the unsaid between the lines. Great acting ensemble!</v>
      </c>
    </row>
    <row r="11508" spans="1:9" x14ac:dyDescent="0.3">
      <c r="A11508" s="1" t="s">
        <v>61</v>
      </c>
      <c r="B11508" s="1" t="s">
        <v>145</v>
      </c>
      <c r="C11508" s="1" t="s">
        <v>85</v>
      </c>
      <c r="D11508" s="1" t="s">
        <v>1188</v>
      </c>
      <c r="E11508" s="1" t="s">
        <v>2994</v>
      </c>
      <c r="F11508" s="1" t="s">
        <v>16417</v>
      </c>
      <c r="G11508" s="1" t="s">
        <v>36</v>
      </c>
      <c r="H11508" s="1" t="s">
        <v>29</v>
      </c>
      <c r="I11508" s="1" t="str">
        <f ca="1">IFERROR(__xludf.DUMMYFUNCTION("GOOGLETRANSLATE(F11508, ""auto"", ""en"")
"),"We bought a steamer more than a year ago, I use it 5-6 times a week - I cook and heat it up (slower than in the microwave, but healthier!), I’m very pleased! All removable parts (bowls, drip tray, etc.) are washed in the dishwasher! Money well spent! I hi"&amp;"ghly recommend it!  Just one thing, I want to find 1-2 more bowls for rice somewhere - one is good for two, but not enough for company!  And for those who don’t have it, it means it’s defective or a fake! The model itself is gorgeous!")</f>
        <v>We bought a steamer more than a year ago, I use it 5-6 times a week - I cook and heat it up (slower than in the microwave, but healthier!), I’m very pleased! All removable parts (bowls, drip tray, etc.) are washed in the dishwasher! Money well spent! I highly recommend it!  Just one thing, I want to find 1-2 more bowls for rice somewhere - one is good for two, but not enough for company!  And for those who don’t have it, it means it’s defective or a fake! The model itself is gorgeous!</v>
      </c>
    </row>
    <row r="11509" spans="1:9" x14ac:dyDescent="0.3">
      <c r="A11509" s="1" t="s">
        <v>111</v>
      </c>
      <c r="B11509" s="1" t="s">
        <v>636</v>
      </c>
      <c r="C11509" s="1" t="s">
        <v>637</v>
      </c>
      <c r="D11509" s="1" t="s">
        <v>345</v>
      </c>
      <c r="E11509" s="1" t="s">
        <v>1267</v>
      </c>
      <c r="F11509" s="1" t="s">
        <v>16418</v>
      </c>
      <c r="G11509" s="1" t="s">
        <v>36</v>
      </c>
      <c r="H11509" s="1" t="s">
        <v>29</v>
      </c>
      <c r="I11509" s="1" t="str">
        <f ca="1">IFERROR(__xludf.DUMMYFUNCTION("GOOGLETRANSLATE(F11509, ""auto"", ""en"")
"),"I bought it by accident because... Bonus rubles on the card burned out.  Great stuff! It shows the temperature accurately, synchronizes the time with Frankfurt (works only west of Kazan), and a convenient alarm clock. The most interesting thing is the pro"&amp;"jection on the ceiling! Waking up at night, you don’t have to fumble around looking for an alarm clock, you opened your eyes and the time is on the ceiling))) I recommend it!!!")</f>
        <v>I bought it by accident because... Bonus rubles on the card burned out.  Great stuff! It shows the temperature accurately, synchronizes the time with Frankfurt (works only west of Kazan), and a convenient alarm clock. The most interesting thing is the projection on the ceiling! Waking up at night, you don’t have to fumble around looking for an alarm clock, you opened your eyes and the time is on the ceiling))) I recommend it!!!</v>
      </c>
    </row>
    <row r="11510" spans="1:9" x14ac:dyDescent="0.3">
      <c r="A11510" s="1" t="s">
        <v>120</v>
      </c>
      <c r="B11510" s="1" t="s">
        <v>196</v>
      </c>
      <c r="C11510" s="1" t="s">
        <v>151</v>
      </c>
      <c r="D11510" s="1" t="s">
        <v>16419</v>
      </c>
      <c r="E11510" s="1" t="s">
        <v>6021</v>
      </c>
      <c r="F11510" s="1" t="s">
        <v>16420</v>
      </c>
      <c r="G11510" s="1" t="s">
        <v>36</v>
      </c>
      <c r="H11510" s="1" t="s">
        <v>29</v>
      </c>
      <c r="I11510" s="1" t="str">
        <f ca="1">IFERROR(__xludf.DUMMYFUNCTION("GOOGLETRANSLATE(F11510, ""auto"", ""en"")
"),"The TV is just great! Series 5 is generally the best in terms of quality/price in my opinion! Clear image, excellent contrast. Of the TVs in this price category, the best in my opinion! I highly recommend it!")</f>
        <v>The TV is just great! Series 5 is generally the best in terms of quality/price in my opinion! Clear image, excellent contrast. Of the TVs in this price category, the best in my opinion! I highly recommend it!</v>
      </c>
    </row>
    <row r="11511" spans="1:9" x14ac:dyDescent="0.3">
      <c r="A11511" s="1" t="s">
        <v>67</v>
      </c>
      <c r="B11511" s="1" t="s">
        <v>68</v>
      </c>
      <c r="C11511" s="1" t="s">
        <v>381</v>
      </c>
      <c r="D11511" s="1" t="s">
        <v>39</v>
      </c>
      <c r="E11511" s="1" t="s">
        <v>15182</v>
      </c>
      <c r="F11511" s="1" t="s">
        <v>16421</v>
      </c>
      <c r="G11511" s="1" t="s">
        <v>36</v>
      </c>
      <c r="H11511" s="1" t="s">
        <v>29</v>
      </c>
      <c r="I11511" s="1" t="str">
        <f ca="1">IFERROR(__xludf.DUMMYFUNCTION("GOOGLETRANSLATE(F11511, ""auto"", ""en"")
"),"We recently bought this iron, it took us a long time to choose it, we are very happy with the iron, it irons great, you can even iron clothes only on one side, it heats and steams so well. And you can add water, it’s not difficult. If you are faced with a"&amp;" choice, take it, you won’t regret it!!!")</f>
        <v>We recently bought this iron, it took us a long time to choose it, we are very happy with the iron, it irons great, you can even iron clothes only on one side, it heats and steams so well. And you can add water, it’s not difficult. If you are faced with a choice, take it, you won’t regret it!!!</v>
      </c>
    </row>
    <row r="11512" spans="1:9" x14ac:dyDescent="0.3">
      <c r="A11512" s="1" t="s">
        <v>211</v>
      </c>
      <c r="B11512" s="1" t="s">
        <v>212</v>
      </c>
      <c r="C11512" s="1" t="s">
        <v>294</v>
      </c>
      <c r="D11512" s="1" t="s">
        <v>351</v>
      </c>
      <c r="E11512" s="1" t="s">
        <v>1481</v>
      </c>
      <c r="F11512" s="1" t="s">
        <v>16422</v>
      </c>
      <c r="G11512" s="1" t="s">
        <v>36</v>
      </c>
      <c r="H11512" s="1" t="s">
        <v>29</v>
      </c>
      <c r="I11512" s="1" t="str">
        <f ca="1">IFERROR(__xludf.DUMMYFUNCTION("GOOGLETRANSLATE(F11512, ""auto"", ""en"")
"),"The hairdryer is excellent, it works properly, it dries my hair very well, I’m very happy with it!!!")</f>
        <v>The hairdryer is excellent, it works properly, it dries my hair very well, I’m very happy with it!!!</v>
      </c>
    </row>
    <row r="11513" spans="1:9" x14ac:dyDescent="0.3">
      <c r="A11513" s="1" t="s">
        <v>17</v>
      </c>
      <c r="B11513" s="1" t="s">
        <v>18</v>
      </c>
      <c r="C11513" s="1" t="s">
        <v>63</v>
      </c>
      <c r="D11513" s="1" t="s">
        <v>16423</v>
      </c>
      <c r="E11513" s="1" t="s">
        <v>386</v>
      </c>
      <c r="F11513" s="1" t="s">
        <v>16424</v>
      </c>
      <c r="G11513" s="1" t="s">
        <v>49</v>
      </c>
      <c r="H11513" s="1" t="s">
        <v>16</v>
      </c>
      <c r="I11513" s="1" t="str">
        <f ca="1">IFERROR(__xludf.DUMMYFUNCTION("GOOGLETRANSLATE(F11513, ""auto"", ""en"")
"),"Well, I'm glad you're happy. But let's not misinform buyers. This assembly is not German but Chinese.")</f>
        <v>Well, I'm glad you're happy. But let's not misinform buyers. This assembly is not German but Chinese.</v>
      </c>
    </row>
    <row r="11514" spans="1:9" x14ac:dyDescent="0.3">
      <c r="A11514" s="1" t="s">
        <v>61</v>
      </c>
      <c r="B11514" s="1" t="s">
        <v>318</v>
      </c>
      <c r="C11514" s="1" t="s">
        <v>85</v>
      </c>
      <c r="D11514" s="1" t="s">
        <v>545</v>
      </c>
      <c r="E11514" s="1" t="s">
        <v>8896</v>
      </c>
      <c r="F11514" s="1" t="s">
        <v>16425</v>
      </c>
      <c r="G11514" s="1" t="s">
        <v>15</v>
      </c>
      <c r="H11514" s="1" t="s">
        <v>16</v>
      </c>
      <c r="I11514" s="1" t="str">
        <f ca="1">IFERROR(__xludf.DUMMYFUNCTION("GOOGLETRANSLATE(F11514, ""auto"", ""en"")
"),"Everything is good in this kettle, both design and functionality. But these teapots have a disease; after a while, water begins to leak from the glass and the rubber band on the lid comes off. The kettle has a 2 year warranty. And as a rule, these problem"&amp;"s begin towards the end of the warranty; to fix a glass leak, it takes about 2-2.5 thousand. That’s the point of buying such an expensive kettle if after 2 years you need to invest the price of a new regular kettle into it. It’s easier to replace a new ke"&amp;"ttle every 2-3 years. Very disappointed with him. There are a lot of expectations, but you shouldn’t expect long-term work from him. Now we are wondering whether it is worth repairing it.")</f>
        <v>Everything is good in this kettle, both design and functionality. But these teapots have a disease; after a while, water begins to leak from the glass and the rubber band on the lid comes off. The kettle has a 2 year warranty. And as a rule, these problems begin towards the end of the warranty; to fix a glass leak, it takes about 2-2.5 thousand. That’s the point of buying such an expensive kettle if after 2 years you need to invest the price of a new regular kettle into it. It’s easier to replace a new kettle every 2-3 years. Very disappointed with him. There are a lot of expectations, but you shouldn’t expect long-term work from him. Now we are wondering whether it is worth repairing it.</v>
      </c>
    </row>
    <row r="11515" spans="1:9" x14ac:dyDescent="0.3">
      <c r="A11515" s="1" t="s">
        <v>211</v>
      </c>
      <c r="B11515" s="1" t="s">
        <v>899</v>
      </c>
      <c r="C11515" s="1" t="s">
        <v>213</v>
      </c>
      <c r="D11515" s="1" t="s">
        <v>32</v>
      </c>
      <c r="E11515" s="1" t="s">
        <v>16426</v>
      </c>
      <c r="F11515" s="1" t="s">
        <v>16427</v>
      </c>
      <c r="G11515" s="1" t="s">
        <v>36</v>
      </c>
      <c r="H11515" s="1" t="s">
        <v>29</v>
      </c>
      <c r="I11515" s="1" t="str">
        <f ca="1">IFERROR(__xludf.DUMMYFUNCTION("GOOGLETRANSLATE(F11515, ""auto"", ""en"")
"),"I was forced to choose an electric toothbrush by necessity - after the appearance of the crown, it became difficult to brush the distant teeth behind it, and with very diligent rubbing, the weak enamel hurt on the closer ones. And the crown itself costs s"&amp;"o much that it’s better to buy a toothbrush =) prevention is cheaper.  Cleaning is a dream. It is better to study with a mirror in order to get used to the correct position, and the brush does not go around empty. For sensitive teeth and exposed gum tissu"&amp;"e - in my opinion, it is very helpful, the level of cleanliness is high, and there are no harmful transverse movements. Pasta, of course, requires sensitivity.  I’ve been using it for 4-5 months, I haven’t noticed any whitening, but the main thing is that"&amp;" it doesn’t get any worse than the mega-capricious enamel.  All attachments from the Oral-B series are suitable; inside the packaging of the attachments there is always a colored ring for marking if several people are using it.  Charging for 1 person last"&amp;"s me about a week, but it really doesn’t charge quickly - the promised 16 hours from the instructions. This is a bit of a minus, but if you have an outlet in the bathroom, you can generally store it on the charging stand all the time.  Yes, if this is the"&amp;" first electric brush, then there are really no horrors when using it. With a working brush, you can touch the gums and carefully clean their border, the effect of a massage. If you really overdo it, then there will be a slight roughness, like dryness. Th"&amp;"e instructions promise that while you get used to the slight bleeding, in the first days it’s normal - my quivering gums, which can turn red from apples, didn’t feel anything. If you blindly and out of habit press the brush too hard, it will of course emi"&amp;"t a hum throughout the entire jaw - also like a massage, quite funny - and then the pressure sensor reduces the speed. Therefore, in fact, it is better to learn with a mirror.")</f>
        <v>I was forced to choose an electric toothbrush by necessity - after the appearance of the crown, it became difficult to brush the distant teeth behind it, and with very diligent rubbing, the weak enamel hurt on the closer ones. And the crown itself costs so much that it’s better to buy a toothbrush =) prevention is cheaper.  Cleaning is a dream. It is better to study with a mirror in order to get used to the correct position, and the brush does not go around empty. For sensitive teeth and exposed gum tissue - in my opinion, it is very helpful, the level of cleanliness is high, and there are no harmful transverse movements. Pasta, of course, requires sensitivity.  I’ve been using it for 4-5 months, I haven’t noticed any whitening, but the main thing is that it doesn’t get any worse than the mega-capricious enamel.  All attachments from the Oral-B series are suitable; inside the packaging of the attachments there is always a colored ring for marking if several people are using it.  Charging for 1 person lasts me about a week, but it really doesn’t charge quickly - the promised 16 hours from the instructions. This is a bit of a minus, but if you have an outlet in the bathroom, you can generally store it on the charging stand all the time.  Yes, if this is the first electric brush, then there are really no horrors when using it. With a working brush, you can touch the gums and carefully clean their border, the effect of a massage. If you really overdo it, then there will be a slight roughness, like dryness. The instructions promise that while you get used to the slight bleeding, in the first days it’s normal - my quivering gums, which can turn red from apples, didn’t feel anything. If you blindly and out of habit press the brush too hard, it will of course emit a hum throughout the entire jaw - also like a massage, quite funny - and then the pressure sensor reduces the speed. Therefore, in fact, it is better to learn with a mirror.</v>
      </c>
    </row>
    <row r="11516" spans="1:9" x14ac:dyDescent="0.3">
      <c r="A11516" s="1" t="s">
        <v>30</v>
      </c>
      <c r="B11516" s="1" t="s">
        <v>31</v>
      </c>
      <c r="C11516" s="1" t="s">
        <v>32</v>
      </c>
      <c r="D11516" s="1" t="s">
        <v>172</v>
      </c>
      <c r="E11516" s="1" t="s">
        <v>3310</v>
      </c>
      <c r="F11516" s="1" t="s">
        <v>16428</v>
      </c>
      <c r="G11516" s="1" t="s">
        <v>36</v>
      </c>
      <c r="H11516" s="1" t="s">
        <v>29</v>
      </c>
      <c r="I11516" s="1" t="str">
        <f ca="1">IFERROR(__xludf.DUMMYFUNCTION("GOOGLETRANSLATE(F11516, ""auto"", ""en"")
"),"Now I know exactly what I need for my birthday)))!!!")</f>
        <v>Now I know exactly what I need for my birthday)))!!!</v>
      </c>
    </row>
    <row r="11517" spans="1:9" x14ac:dyDescent="0.3">
      <c r="A11517" s="1" t="s">
        <v>105</v>
      </c>
      <c r="B11517" s="1" t="s">
        <v>106</v>
      </c>
      <c r="C11517" s="1" t="s">
        <v>97</v>
      </c>
      <c r="D11517" s="1" t="s">
        <v>15454</v>
      </c>
      <c r="E11517" s="1" t="s">
        <v>41</v>
      </c>
      <c r="F11517" s="1" t="s">
        <v>16429</v>
      </c>
      <c r="G11517" s="1" t="s">
        <v>49</v>
      </c>
      <c r="H11517" s="1" t="s">
        <v>16</v>
      </c>
      <c r="I11517" s="1" t="str">
        <f ca="1">IFERROR(__xludf.DUMMYFUNCTION("GOOGLETRANSLATE(F11517, ""auto"", ""en"")
"),"The battery runs out quickly.")</f>
        <v>The battery runs out quickly.</v>
      </c>
    </row>
    <row r="11518" spans="1:9" x14ac:dyDescent="0.3">
      <c r="A11518" s="1" t="s">
        <v>211</v>
      </c>
      <c r="B11518" s="1" t="s">
        <v>265</v>
      </c>
      <c r="C11518" s="1" t="s">
        <v>69</v>
      </c>
      <c r="D11518" s="1" t="s">
        <v>16430</v>
      </c>
      <c r="E11518" s="1" t="s">
        <v>1866</v>
      </c>
      <c r="F11518" s="1" t="s">
        <v>16431</v>
      </c>
      <c r="G11518" s="1" t="s">
        <v>36</v>
      </c>
      <c r="H11518" s="1" t="s">
        <v>29</v>
      </c>
      <c r="I11518" s="1" t="str">
        <f ca="1">IFERROR(__xludf.DUMMYFUNCTION("GOOGLETRANSLATE(F11518, ""auto"", ""en"")
"),"I took it in March. The clipper is very good, I cut my hair twice. No comments.")</f>
        <v>I took it in March. The clipper is very good, I cut my hair twice. No comments.</v>
      </c>
    </row>
    <row r="11519" spans="1:9" x14ac:dyDescent="0.3">
      <c r="A11519" s="1" t="s">
        <v>732</v>
      </c>
      <c r="B11519" s="1" t="s">
        <v>733</v>
      </c>
      <c r="C11519" s="1" t="s">
        <v>13019</v>
      </c>
      <c r="D11519" s="1" t="s">
        <v>16432</v>
      </c>
      <c r="E11519" s="1" t="s">
        <v>391</v>
      </c>
      <c r="F11519" s="1" t="s">
        <v>16433</v>
      </c>
      <c r="G11519" s="1" t="s">
        <v>28</v>
      </c>
      <c r="H11519" s="1" t="s">
        <v>29</v>
      </c>
      <c r="I11519" s="1" t="str">
        <f ca="1">IFERROR(__xludf.DUMMYFUNCTION("GOOGLETRANSLATE(F11519, ""auto"", ""en"")
"),"After 3 weeks of operation, a blue vertical line of pixels appeared at its entire height.  Delivered under warranty. They repaired it for 3 months. They didn’t fix it - they gave me a certificate for a replacement.    What a cool TV. The picture is impecc"&amp;"able, the menu is convenient, there are still images.")</f>
        <v>After 3 weeks of operation, a blue vertical line of pixels appeared at its entire height.  Delivered under warranty. They repaired it for 3 months. They didn’t fix it - they gave me a certificate for a replacement.    What a cool TV. The picture is impeccable, the menu is convenient, there are still images.</v>
      </c>
    </row>
    <row r="11520" spans="1:9" x14ac:dyDescent="0.3">
      <c r="A11520" s="1" t="s">
        <v>30</v>
      </c>
      <c r="B11520" s="1" t="s">
        <v>50</v>
      </c>
      <c r="C11520" s="1" t="s">
        <v>694</v>
      </c>
      <c r="D11520" s="1" t="s">
        <v>3097</v>
      </c>
      <c r="E11520" s="1" t="s">
        <v>201</v>
      </c>
      <c r="F11520" s="1" t="s">
        <v>16434</v>
      </c>
      <c r="G11520" s="1" t="s">
        <v>36</v>
      </c>
      <c r="H11520" s="1" t="s">
        <v>29</v>
      </c>
      <c r="I11520" s="1" t="str">
        <f ca="1">IFERROR(__xludf.DUMMYFUNCTION("GOOGLETRANSLATE(F11520, ""auto"", ""en"")
"),"I would like to buy... Tell me, is it worth buying at all?  Is it worth taking it on the train?  And a few more questions.  Is there a discount on it?  Otherwise I won’t be able to afford that amount!!!  Without a discount, I need to save for 5 years!!!  "&amp;"And is this netbook sold with a flash drive?  I would like it with a flash drive!!!  And one more thing. This connector is not for a SIM card, but for a flash drive.")</f>
        <v>I would like to buy... Tell me, is it worth buying at all?  Is it worth taking it on the train?  And a few more questions.  Is there a discount on it?  Otherwise I won’t be able to afford that amount!!!  Without a discount, I need to save for 5 years!!!  And is this netbook sold with a flash drive?  I would like it with a flash drive!!!  And one more thing. This connector is not for a SIM card, but for a flash drive.</v>
      </c>
    </row>
    <row r="11521" spans="1:9" x14ac:dyDescent="0.3">
      <c r="A11521" s="1" t="s">
        <v>120</v>
      </c>
      <c r="B11521" s="1" t="s">
        <v>256</v>
      </c>
      <c r="C11521" s="1" t="s">
        <v>80</v>
      </c>
      <c r="D11521" s="1" t="s">
        <v>152</v>
      </c>
      <c r="E11521" s="1" t="s">
        <v>1319</v>
      </c>
      <c r="F11521" s="1" t="s">
        <v>16435</v>
      </c>
      <c r="G11521" s="1" t="s">
        <v>28</v>
      </c>
      <c r="H11521" s="1" t="s">
        <v>29</v>
      </c>
      <c r="I11521" s="1" t="str">
        <f ca="1">IFERROR(__xludf.DUMMYFUNCTION("GOOGLETRANSLATE(F11521, ""auto"", ""en"")
"),"The USB input reads all known video file formats, although you need to open the input yourself; in the initial settings it is closed. It needs a digital television signal; from an analog antenna, the quality on it is worse than on a kinescope one.")</f>
        <v>The USB input reads all known video file formats, although you need to open the input yourself; in the initial settings it is closed. It needs a digital television signal; from an analog antenna, the quality on it is worse than on a kinescope one.</v>
      </c>
    </row>
    <row r="11522" spans="1:9" x14ac:dyDescent="0.3">
      <c r="A11522" s="1" t="s">
        <v>120</v>
      </c>
      <c r="B11522" s="1" t="s">
        <v>121</v>
      </c>
      <c r="C11522" s="1" t="s">
        <v>80</v>
      </c>
      <c r="D11522" s="1" t="s">
        <v>16436</v>
      </c>
      <c r="E11522" s="1" t="s">
        <v>532</v>
      </c>
      <c r="F11522" s="1" t="s">
        <v>16437</v>
      </c>
      <c r="G11522" s="1" t="s">
        <v>36</v>
      </c>
      <c r="H11522" s="1" t="s">
        <v>29</v>
      </c>
      <c r="I11522" s="1" t="str">
        <f ca="1">IFERROR(__xludf.DUMMYFUNCTION("GOOGLETRANSLATE(F11522, ""auto"", ""en"")
"),"Excellent TV, cable TV +5, DVD - great, Blu Ray - just a blast! The sound is very good! Movies from torrents -!!! EXCELLENT!!! The only negative for me is that it was lost, and I took 32 inches for a 12-meter room - for Blu-Ray this is not enough - 42 at "&amp;"least! Don’t save money on the diagonal - there’s never too much of it!")</f>
        <v>Excellent TV, cable TV +5, DVD - great, Blu Ray - just a blast! The sound is very good! Movies from torrents -!!! EXCELLENT!!! The only negative for me is that it was lost, and I took 32 inches for a 12-meter room - for Blu-Ray this is not enough - 42 at least! Don’t save money on the diagonal - there’s never too much of it!</v>
      </c>
    </row>
    <row r="11523" spans="1:9" x14ac:dyDescent="0.3">
      <c r="A11523" s="1" t="s">
        <v>17</v>
      </c>
      <c r="B11523" s="1" t="s">
        <v>18</v>
      </c>
      <c r="C11523" s="1" t="s">
        <v>277</v>
      </c>
      <c r="D11523" s="1" t="s">
        <v>3253</v>
      </c>
      <c r="E11523" s="1" t="s">
        <v>1228</v>
      </c>
      <c r="F11523" s="1" t="s">
        <v>16438</v>
      </c>
      <c r="G11523" s="1" t="s">
        <v>49</v>
      </c>
      <c r="H11523" s="1" t="s">
        <v>16</v>
      </c>
      <c r="I11523" s="1" t="str">
        <f ca="1">IFERROR(__xludf.DUMMYFUNCTION("GOOGLETRANSLATE(F11523, ""auto"", ""en"")
"),"It broke after 2 weeks, it’s good that I bought an additional warranty and exchanged it for another model with an additional payment!!!")</f>
        <v>It broke after 2 weeks, it’s good that I bought an additional warranty and exchanged it for another model with an additional payment!!!</v>
      </c>
    </row>
    <row r="11524" spans="1:9" x14ac:dyDescent="0.3">
      <c r="A11524" s="1" t="s">
        <v>95</v>
      </c>
      <c r="B11524" s="1" t="s">
        <v>486</v>
      </c>
      <c r="C11524" s="1" t="s">
        <v>487</v>
      </c>
      <c r="D11524" s="1" t="s">
        <v>16439</v>
      </c>
      <c r="E11524" s="1" t="s">
        <v>3233</v>
      </c>
      <c r="F11524" s="1" t="s">
        <v>16440</v>
      </c>
      <c r="G11524" s="1" t="s">
        <v>36</v>
      </c>
      <c r="H11524" s="1" t="s">
        <v>29</v>
      </c>
      <c r="I11524" s="1" t="str">
        <f ca="1">IFERROR(__xludf.DUMMYFUNCTION("GOOGLETRANSLATE(F11524, ""auto"", ""en"")
"),"Xbox 360 Elite - An excellent console, I recommend it to everyone who does not have one.")</f>
        <v>Xbox 360 Elite - An excellent console, I recommend it to everyone who does not have one.</v>
      </c>
    </row>
    <row r="11525" spans="1:9" x14ac:dyDescent="0.3">
      <c r="A11525" s="1" t="s">
        <v>1443</v>
      </c>
      <c r="B11525" s="1" t="s">
        <v>1444</v>
      </c>
      <c r="C11525" s="1" t="s">
        <v>1445</v>
      </c>
      <c r="D11525" s="1" t="s">
        <v>305</v>
      </c>
      <c r="E11525" s="1" t="s">
        <v>862</v>
      </c>
      <c r="F11525" s="1" t="s">
        <v>16441</v>
      </c>
      <c r="G11525" s="1" t="s">
        <v>36</v>
      </c>
      <c r="H11525" s="1" t="s">
        <v>29</v>
      </c>
      <c r="I11525" s="1" t="str">
        <f ca="1">IFERROR(__xludf.DUMMYFUNCTION("GOOGLETRANSLATE(F11525, ""auto"", ""en"")
"),"The quality is traditionally good, the 10-year guarantee is not given in vain. Speeds are average, but quite sufficient for watching videos. USB 2 is easily understood by all home appliances. Small, perfect to carry in your pocket. I've been using only Tr"&amp;"anscend for flash drives for about 5 years now, they all work flawlessly.")</f>
        <v>The quality is traditionally good, the 10-year guarantee is not given in vain. Speeds are average, but quite sufficient for watching videos. USB 2 is easily understood by all home appliances. Small, perfect to carry in your pocket. I've been using only Transcend for flash drives for about 5 years now, they all work flawlessly.</v>
      </c>
    </row>
    <row r="11526" spans="1:9" x14ac:dyDescent="0.3">
      <c r="A11526" s="1" t="s">
        <v>30</v>
      </c>
      <c r="B11526" s="1" t="s">
        <v>50</v>
      </c>
      <c r="C11526" s="1" t="s">
        <v>32</v>
      </c>
      <c r="D11526" s="1" t="s">
        <v>568</v>
      </c>
      <c r="E11526" s="1" t="s">
        <v>288</v>
      </c>
      <c r="F11526" s="1" t="s">
        <v>16442</v>
      </c>
      <c r="G11526" s="1" t="s">
        <v>36</v>
      </c>
      <c r="H11526" s="1" t="s">
        <v>29</v>
      </c>
      <c r="I11526" s="1" t="str">
        <f ca="1">IFERROR(__xludf.DUMMYFUNCTION("GOOGLETRANSLATE(F11526, ""auto"", ""en"")
"),"Nice laptop!!!! but the battery doesn't last long!! but this is all nonsense!")</f>
        <v>Nice laptop!!!! but the battery doesn't last long!! but this is all nonsense!</v>
      </c>
    </row>
    <row r="11527" spans="1:9" x14ac:dyDescent="0.3">
      <c r="A11527" s="1" t="s">
        <v>211</v>
      </c>
      <c r="B11527" s="1" t="s">
        <v>212</v>
      </c>
      <c r="C11527" s="1" t="s">
        <v>294</v>
      </c>
      <c r="D11527" s="1" t="s">
        <v>16443</v>
      </c>
      <c r="E11527" s="1" t="s">
        <v>12311</v>
      </c>
      <c r="F11527" s="1" t="s">
        <v>16444</v>
      </c>
      <c r="G11527" s="1" t="s">
        <v>36</v>
      </c>
      <c r="H11527" s="1" t="s">
        <v>29</v>
      </c>
      <c r="I11527" s="1" t="str">
        <f ca="1">IFERROR(__xludf.DUMMYFUNCTION("GOOGLETRANSLATE(F11527, ""auto"", ""en"")
"),"I begged my husband.) And I don’t regret it!!! miracle straightener! There is a key lock: hold “-” for 2 seconds. I straightened my hair at 180 degrees - the result is super, smooth, shiny hair! I recommend it to everyone!")</f>
        <v>I begged my husband.) And I don’t regret it!!! miracle straightener! There is a key lock: hold “-” for 2 seconds. I straightened my hair at 180 degrees - the result is super, smooth, shiny hair! I recommend it to everyone!</v>
      </c>
    </row>
    <row r="11528" spans="1:9" x14ac:dyDescent="0.3">
      <c r="A11528" s="1" t="s">
        <v>17</v>
      </c>
      <c r="B11528" s="1" t="s">
        <v>18</v>
      </c>
      <c r="C11528" s="1" t="s">
        <v>243</v>
      </c>
      <c r="D11528" s="1" t="s">
        <v>2045</v>
      </c>
      <c r="E11528" s="1" t="s">
        <v>13653</v>
      </c>
      <c r="F11528" s="1" t="s">
        <v>16445</v>
      </c>
      <c r="G11528" s="1" t="s">
        <v>94</v>
      </c>
      <c r="H11528" s="1" t="s">
        <v>29</v>
      </c>
      <c r="I11528" s="1" t="str">
        <f ca="1">IFERROR(__xludf.DUMMYFUNCTION("GOOGLETRANSLATE(F11528, ""auto"", ""en"")
"),"Dimensions, fits perfectly into a small bathroom. The installation took 20 minutes, we installed it ourselves. Quite easy to use. It does not vibrate, the noise is within normal limits, but excuse me, this is not Ariston.")</f>
        <v>Dimensions, fits perfectly into a small bathroom. The installation took 20 minutes, we installed it ourselves. Quite easy to use. It does not vibrate, the noise is within normal limits, but excuse me, this is not Ariston.</v>
      </c>
    </row>
    <row r="11529" spans="1:9" x14ac:dyDescent="0.3">
      <c r="A11529" s="1" t="s">
        <v>2087</v>
      </c>
      <c r="B11529" s="1" t="s">
        <v>2088</v>
      </c>
      <c r="C11529" s="1" t="s">
        <v>69</v>
      </c>
      <c r="D11529" s="1" t="s">
        <v>16446</v>
      </c>
      <c r="E11529" s="1" t="s">
        <v>1553</v>
      </c>
      <c r="F11529" s="1" t="s">
        <v>16447</v>
      </c>
      <c r="G11529" s="1" t="s">
        <v>28</v>
      </c>
      <c r="H11529" s="1" t="s">
        <v>29</v>
      </c>
      <c r="I11529" s="1" t="str">
        <f ca="1">IFERROR(__xludf.DUMMYFUNCTION("GOOGLETRANSLATE(F11529, ""auto"", ""en"")
"),"Excellent playback quality! The downside is that it is slow, can freeze when viewing from a flash drive, and makes audible grunting noises.")</f>
        <v>Excellent playback quality! The downside is that it is slow, can freeze when viewing from a flash drive, and makes audible grunting noises.</v>
      </c>
    </row>
    <row r="11530" spans="1:9" x14ac:dyDescent="0.3">
      <c r="A11530" s="1" t="s">
        <v>78</v>
      </c>
      <c r="B11530" s="1" t="s">
        <v>79</v>
      </c>
      <c r="C11530" s="1" t="s">
        <v>351</v>
      </c>
      <c r="D11530" s="1" t="s">
        <v>11138</v>
      </c>
      <c r="E11530" s="1" t="s">
        <v>214</v>
      </c>
      <c r="F11530" s="1" t="s">
        <v>16448</v>
      </c>
      <c r="G11530" s="1" t="s">
        <v>36</v>
      </c>
      <c r="H11530" s="1" t="s">
        <v>29</v>
      </c>
      <c r="I11530" s="1" t="str">
        <f ca="1">IFERROR(__xludf.DUMMYFUNCTION("GOOGLETRANSLATE(F11530, ""auto"", ""en"")
"),"For the money you won't find anything better! Everyone is happy!!!")</f>
        <v>For the money you won't find anything better! Everyone is happy!!!</v>
      </c>
    </row>
    <row r="11531" spans="1:9" x14ac:dyDescent="0.3">
      <c r="A11531" s="1" t="s">
        <v>30</v>
      </c>
      <c r="B11531" s="1" t="s">
        <v>50</v>
      </c>
      <c r="C11531" s="1" t="s">
        <v>32</v>
      </c>
      <c r="D11531" s="1" t="s">
        <v>4937</v>
      </c>
      <c r="E11531" s="1" t="s">
        <v>8177</v>
      </c>
      <c r="F11531" s="1" t="s">
        <v>16449</v>
      </c>
      <c r="G11531" s="1" t="s">
        <v>36</v>
      </c>
      <c r="H11531" s="1" t="s">
        <v>29</v>
      </c>
      <c r="I11531" s="1" t="str">
        <f ca="1">IFERROR(__xludf.DUMMYFUNCTION("GOOGLETRANSLATE(F11531, ""auto"", ""en"")
"),"great powerful laptop for a low price")</f>
        <v>great powerful laptop for a low price</v>
      </c>
    </row>
    <row r="11532" spans="1:9" x14ac:dyDescent="0.3">
      <c r="A11532" s="1" t="s">
        <v>169</v>
      </c>
      <c r="B11532" s="1" t="s">
        <v>170</v>
      </c>
      <c r="C11532" s="1" t="s">
        <v>193</v>
      </c>
      <c r="D11532" s="1" t="s">
        <v>171</v>
      </c>
      <c r="E11532" s="1" t="s">
        <v>2981</v>
      </c>
      <c r="F11532" s="1" t="s">
        <v>16450</v>
      </c>
      <c r="G11532" s="1" t="s">
        <v>1580</v>
      </c>
      <c r="H11532" s="1" t="s">
        <v>29</v>
      </c>
      <c r="I11532" s="1" t="str">
        <f ca="1">IFERROR(__xludf.DUMMYFUNCTION("GOOGLETRANSLATE(F11532, ""auto"", ""en"")
"),"Gorgeous headphones. Excellent and clear sound, the bass is very well felt, but is not “pounding”, but reverberates softly. Validity period is about 1.5 years.")</f>
        <v>Gorgeous headphones. Excellent and clear sound, the bass is very well felt, but is not “pounding”, but reverberates softly. Validity period is about 1.5 years.</v>
      </c>
    </row>
    <row r="11533" spans="1:9" x14ac:dyDescent="0.3">
      <c r="A11533" s="1" t="s">
        <v>61</v>
      </c>
      <c r="B11533" s="1" t="s">
        <v>1727</v>
      </c>
      <c r="C11533" s="1" t="s">
        <v>122</v>
      </c>
      <c r="D11533" s="1" t="s">
        <v>295</v>
      </c>
      <c r="E11533" s="1" t="s">
        <v>1749</v>
      </c>
      <c r="F11533" s="1" t="s">
        <v>16451</v>
      </c>
      <c r="G11533" s="1" t="s">
        <v>36</v>
      </c>
      <c r="H11533" s="1" t="s">
        <v>29</v>
      </c>
      <c r="I11533" s="1" t="str">
        <f ca="1">IFERROR(__xludf.DUMMYFUNCTION("GOOGLETRANSLATE(F11533, ""auto"", ""en"")
"),"I have a 4.5 liter MV. I’ve been using it for about 4 years now, I’ve never sent it in for repairs, except for the time when, while thinking, I poured buckwheat not into the pan, but directly into the bottom of the MV. I had to take it in for service unde"&amp;"r warranty - unscrew it and clean it. We mostly make porridge in the morning, today I made soup - everything is fine. I prepared orange charlotte - everything was baked, juicy, not dry. Regarding the stuck together cereals - you need to get used to it - w"&amp;"ith water and the amount of cereal, and do not forget to remove it from the automatic heating if you don’t need it - porridge that has been left on the automatic heating for a long time naturally continues to swell, the water evaporates through the valve "&amp;"and it becomes dry or sticks together altogether. The rest is nitpicking!")</f>
        <v>I have a 4.5 liter MV. I’ve been using it for about 4 years now, I’ve never sent it in for repairs, except for the time when, while thinking, I poured buckwheat not into the pan, but directly into the bottom of the MV. I had to take it in for service under warranty - unscrew it and clean it. We mostly make porridge in the morning, today I made soup - everything is fine. I prepared orange charlotte - everything was baked, juicy, not dry. Regarding the stuck together cereals - you need to get used to it - with water and the amount of cereal, and do not forget to remove it from the automatic heating if you don’t need it - porridge that has been left on the automatic heating for a long time naturally continues to swell, the water evaporates through the valve and it becomes dry or sticks together altogether. The rest is nitpicking!</v>
      </c>
    </row>
    <row r="11534" spans="1:9" x14ac:dyDescent="0.3">
      <c r="A11534" s="1" t="s">
        <v>67</v>
      </c>
      <c r="B11534" s="1" t="s">
        <v>68</v>
      </c>
      <c r="C11534" s="1" t="s">
        <v>69</v>
      </c>
      <c r="D11534" s="1" t="s">
        <v>52</v>
      </c>
      <c r="E11534" s="1" t="s">
        <v>10005</v>
      </c>
      <c r="F11534" s="1" t="s">
        <v>16452</v>
      </c>
      <c r="G11534" s="1" t="s">
        <v>36</v>
      </c>
      <c r="H11534" s="1" t="s">
        <v>29</v>
      </c>
      <c r="I11534" s="1" t="str">
        <f ca="1">IFERROR(__xludf.DUMMYFUNCTION("GOOGLETRANSLATE(F11534, ""auto"", ""en"")
"),"If the iron is only Philips - 2 years of operation and only the most positive impressions: it’s even nice to look at it. And when working, it doesn’t drip anywhere, glides easily. I recommend it.")</f>
        <v>If the iron is only Philips - 2 years of operation and only the most positive impressions: it’s even nice to look at it. And when working, it doesn’t drip anywhere, glides easily. I recommend it.</v>
      </c>
    </row>
    <row r="11535" spans="1:9" x14ac:dyDescent="0.3">
      <c r="A11535" s="1" t="s">
        <v>67</v>
      </c>
      <c r="B11535" s="1" t="s">
        <v>68</v>
      </c>
      <c r="C11535" s="1" t="s">
        <v>381</v>
      </c>
      <c r="D11535" s="1" t="s">
        <v>46</v>
      </c>
      <c r="E11535" s="1" t="s">
        <v>16453</v>
      </c>
      <c r="F11535" s="1" t="s">
        <v>16454</v>
      </c>
      <c r="G11535" s="1" t="s">
        <v>36</v>
      </c>
      <c r="H11535" s="1" t="s">
        <v>29</v>
      </c>
      <c r="I11535" s="1" t="str">
        <f ca="1">IFERROR(__xludf.DUMMYFUNCTION("GOOGLETRANSLATE(F11535, ""auto"", ""en"")
"),"I fell in love with the Rowenta iron from the first moment!  It won’t let you down, it won’t let you down, it answers any requests: It’s beautiful in design and practical, plus it’s also economical!  My iron is so convenient - It’s simply incomparable in "&amp;"its work: It has a very special gift - The mood for a burst of steam!  There is a powerful vertical one, and also a horizontal one... It will steam all clothes, curtains - Ready to work until it stops!   Non-stick sole will not let you down like in the pa"&amp;"st.  He will iron everything out without setting it on fire, and will delight you with his work!  Its presence is not a question.. The iron is simply a virtuoso!  And from now on I recommend this Rowenta model to everyone!")</f>
        <v>I fell in love with the Rowenta iron from the first moment!  It won’t let you down, it won’t let you down, it answers any requests: It’s beautiful in design and practical, plus it’s also economical!  My iron is so convenient - It’s simply incomparable in its work: It has a very special gift - The mood for a burst of steam!  There is a powerful vertical one, and also a horizontal one... It will steam all clothes, curtains - Ready to work until it stops!   Non-stick sole will not let you down like in the past.  He will iron everything out without setting it on fire, and will delight you with his work!  Its presence is not a question.. The iron is simply a virtuoso!  And from now on I recommend this Rowenta model to everyone!</v>
      </c>
    </row>
    <row r="11536" spans="1:9" x14ac:dyDescent="0.3">
      <c r="A11536" s="1" t="s">
        <v>211</v>
      </c>
      <c r="B11536" s="1" t="s">
        <v>1818</v>
      </c>
      <c r="C11536" s="1" t="s">
        <v>213</v>
      </c>
      <c r="D11536" s="1" t="s">
        <v>75</v>
      </c>
      <c r="E11536" s="1" t="s">
        <v>1312</v>
      </c>
      <c r="F11536" s="1" t="s">
        <v>16455</v>
      </c>
      <c r="G11536" s="1" t="s">
        <v>15</v>
      </c>
      <c r="H11536" s="1" t="s">
        <v>16</v>
      </c>
      <c r="I11536" s="1" t="str">
        <f ca="1">IFERROR(__xludf.DUMMYFUNCTION("GOOGLETRANSLATE(F11536, ""auto"", ""en"")
"),"My hair started to get a little less frizzy. I didn’t notice any more positive effects")</f>
        <v>My hair started to get a little less frizzy. I didn’t notice any more positive effects</v>
      </c>
    </row>
    <row r="11537" spans="1:9" x14ac:dyDescent="0.3">
      <c r="A11537" s="1" t="s">
        <v>9</v>
      </c>
      <c r="B11537" s="1" t="s">
        <v>874</v>
      </c>
      <c r="C11537" s="1" t="s">
        <v>588</v>
      </c>
      <c r="D11537" s="1" t="s">
        <v>171</v>
      </c>
      <c r="E11537" s="1" t="s">
        <v>713</v>
      </c>
      <c r="F11537" s="1" t="s">
        <v>16456</v>
      </c>
      <c r="G11537" s="1" t="s">
        <v>28</v>
      </c>
      <c r="H11537" s="1" t="s">
        <v>29</v>
      </c>
      <c r="I11537" s="1" t="str">
        <f ca="1">IFERROR(__xludf.DUMMYFUNCTION("GOOGLETRANSLATE(F11537, ""auto"", ""en"")
"),"Beautiful, fast heating")</f>
        <v>Beautiful, fast heating</v>
      </c>
    </row>
    <row r="11538" spans="1:9" x14ac:dyDescent="0.3">
      <c r="A11538" s="1" t="s">
        <v>211</v>
      </c>
      <c r="B11538" s="1" t="s">
        <v>212</v>
      </c>
      <c r="C11538" s="1" t="s">
        <v>69</v>
      </c>
      <c r="D11538" s="1" t="s">
        <v>16457</v>
      </c>
      <c r="E11538" s="1" t="s">
        <v>4409</v>
      </c>
      <c r="F11538" s="1" t="s">
        <v>16458</v>
      </c>
      <c r="G11538" s="1" t="s">
        <v>36</v>
      </c>
      <c r="H11538" s="1" t="s">
        <v>29</v>
      </c>
      <c r="I11538" s="1" t="str">
        <f ca="1">IFERROR(__xludf.DUMMYFUNCTION("GOOGLETRANSLATE(F11538, ""auto"", ""en"")
"),"Wonderful set! Beautiful design, the hair dryer is quite powerful and, in my opinion, convenient. The iron lets me down a little, but it’s still good) I recommend it)")</f>
        <v>Wonderful set! Beautiful design, the hair dryer is quite powerful and, in my opinion, convenient. The iron lets me down a little, but it’s still good) I recommend it)</v>
      </c>
    </row>
    <row r="11539" spans="1:9" x14ac:dyDescent="0.3">
      <c r="A11539" s="1" t="s">
        <v>120</v>
      </c>
      <c r="B11539" s="1" t="s">
        <v>196</v>
      </c>
      <c r="C11539" s="1" t="s">
        <v>97</v>
      </c>
      <c r="D11539" s="1" t="s">
        <v>16459</v>
      </c>
      <c r="E11539" s="1" t="s">
        <v>2735</v>
      </c>
      <c r="F11539" s="1" t="s">
        <v>16460</v>
      </c>
      <c r="G11539" s="1" t="s">
        <v>36</v>
      </c>
      <c r="H11539" s="1" t="s">
        <v>29</v>
      </c>
      <c r="I11539" s="1" t="str">
        <f ca="1">IFERROR(__xludf.DUMMYFUNCTION("GOOGLETRANSLATE(F11539, ""auto"", ""en"")
"),"In use - 2 months.  I won’t describe the technical characteristics - everything is on the product page.  I'll try to categorize the ratings: Design, appearance - 5. Strict minimalism SONY. Nothing extra. Black varnish. It looks sooooo expensive.  Image qu"&amp;"ality - 5. Compared with other manufacturers, subjectively, SONY is SONY. I would like to say the hackneyed phrase “the rest is a compromise.” Dynamics and color rendition are unrivaled. Does not leave artifacts. Several picture and energy saving modes. F"&amp;"ine-tune the screen mode and image ""with one button.""  Ergonomics (menu, settings, etc.) - 4+. I lowered the rating only for the lack of a “call the last channel” button, although a “favorites” button was conveniently added; you can also use it to call "&amp;"the most viewed channels. In general, the menu is made for the PS-3, it is very convenient and accessible, with pictures and buttons moving across the screen. I haven't tried connecting to the Internet yet.    The picture from SONY DVD via HDMI is simply "&amp;"amazing. I look and am not overjoyed. I have been using equipment from this company for 15 years and would not change it for anything else.    A! There is a small ""minus"" - it turns on for 5-6 seconds (although the 20"" kitchen Toshiba turns on, it seem"&amp;"s to me, no faster. This is if it bothers someone. However (!) switching channels after turning on is instantaneous, which rare LCD TVs can boast of. In short - that's all. I give the overall rating - a solid, well-deserved ""5"".")</f>
        <v>In use - 2 months.  I won’t describe the technical characteristics - everything is on the product page.  I'll try to categorize the ratings: Design, appearance - 5. Strict minimalism SONY. Nothing extra. Black varnish. It looks sooooo expensive.  Image quality - 5. Compared with other manufacturers, subjectively, SONY is SONY. I would like to say the hackneyed phrase “the rest is a compromise.” Dynamics and color rendition are unrivaled. Does not leave artifacts. Several picture and energy saving modes. Fine-tune the screen mode and image "with one button."  Ergonomics (menu, settings, etc.) - 4+. I lowered the rating only for the lack of a “call the last channel” button, although a “favorites” button was conveniently added; you can also use it to call the most viewed channels. In general, the menu is made for the PS-3, it is very convenient and accessible, with pictures and buttons moving across the screen. I haven't tried connecting to the Internet yet.    The picture from SONY DVD via HDMI is simply amazing. I look and am not overjoyed. I have been using equipment from this company for 15 years and would not change it for anything else.    A! There is a small "minus" - it turns on for 5-6 seconds (although the 20" kitchen Toshiba turns on, it seems to me, no faster. This is if it bothers someone. However (!) switching channels after turning on is instantaneous, which rare LCD TVs can boast of. In short - that's all. I give the overall rating - a solid, well-deserved "5".</v>
      </c>
    </row>
    <row r="11540" spans="1:9" x14ac:dyDescent="0.3">
      <c r="A11540" s="1" t="s">
        <v>169</v>
      </c>
      <c r="B11540" s="1" t="s">
        <v>170</v>
      </c>
      <c r="C11540" s="1" t="s">
        <v>122</v>
      </c>
      <c r="D11540" s="1" t="s">
        <v>1329</v>
      </c>
      <c r="E11540" s="1" t="s">
        <v>5949</v>
      </c>
      <c r="F11540" s="1" t="s">
        <v>16461</v>
      </c>
      <c r="G11540" s="1" t="s">
        <v>36</v>
      </c>
      <c r="H11540" s="1" t="s">
        <v>29</v>
      </c>
      <c r="I11540" s="1" t="str">
        <f ca="1">IFERROR(__xludf.DUMMYFUNCTION("GOOGLETRANSLATE(F11540, ""auto"", ""en"")
"),"The headphones are super cool and fit snugly in your ears!!!!!!!")</f>
        <v>The headphones are super cool and fit snugly in your ears!!!!!!!</v>
      </c>
    </row>
    <row r="11541" spans="1:9" x14ac:dyDescent="0.3">
      <c r="A11541" s="1" t="s">
        <v>206</v>
      </c>
      <c r="B11541" s="1" t="s">
        <v>1349</v>
      </c>
      <c r="C11541" s="1" t="s">
        <v>4219</v>
      </c>
      <c r="D11541" s="1" t="s">
        <v>152</v>
      </c>
      <c r="E11541" s="1" t="s">
        <v>1131</v>
      </c>
      <c r="F11541" s="1" t="s">
        <v>16462</v>
      </c>
      <c r="G11541" s="1" t="s">
        <v>49</v>
      </c>
      <c r="H11541" s="1" t="s">
        <v>16</v>
      </c>
      <c r="I11541" s="1" t="str">
        <f ca="1">IFERROR(__xludf.DUMMYFUNCTION("GOOGLETRANSLATE(F11541, ""auto"", ""en"")
"),"The radio was simply terrible, after a month it stopped reading discs, I sent it in for repairs, but it didn’t last long. Now it doesn’t read again, the volume has stopped decreasing, but in general the volume lives on its own, it wants to increase or dec"&amp;"rease.")</f>
        <v>The radio was simply terrible, after a month it stopped reading discs, I sent it in for repairs, but it didn’t last long. Now it doesn’t read again, the volume has stopped decreasing, but in general the volume lives on its own, it wants to increase or decrease.</v>
      </c>
    </row>
    <row r="11542" spans="1:9" x14ac:dyDescent="0.3">
      <c r="A11542" s="1" t="s">
        <v>95</v>
      </c>
      <c r="B11542" s="1" t="s">
        <v>96</v>
      </c>
      <c r="C11542" s="1" t="s">
        <v>97</v>
      </c>
      <c r="D11542" s="1" t="s">
        <v>403</v>
      </c>
      <c r="E11542" s="1" t="s">
        <v>4522</v>
      </c>
      <c r="F11542" s="1" t="s">
        <v>16463</v>
      </c>
      <c r="G11542" s="1" t="s">
        <v>36</v>
      </c>
      <c r="H11542" s="1" t="s">
        <v>29</v>
      </c>
      <c r="I11542" s="1" t="str">
        <f ca="1">IFERROR(__xludf.DUMMYFUNCTION("GOOGLETRANSLATE(F11542, ""auto"", ""en"")
"),"Very cool console! I was very happy when I bought it, because I had been dreaming about it for a year =) Since I played it with a friend =) Buy everything! You won't regret it!")</f>
        <v>Very cool console! I was very happy when I bought it, because I had been dreaming about it for a year =) Since I played it with a friend =) Buy everything! You won't regret it!</v>
      </c>
    </row>
    <row r="11543" spans="1:9" x14ac:dyDescent="0.3">
      <c r="A11543" s="1" t="s">
        <v>61</v>
      </c>
      <c r="B11543" s="1" t="s">
        <v>977</v>
      </c>
      <c r="C11543" s="1" t="s">
        <v>246</v>
      </c>
      <c r="D11543" s="1" t="s">
        <v>2595</v>
      </c>
      <c r="E11543" s="1" t="s">
        <v>2162</v>
      </c>
      <c r="F11543" s="1" t="s">
        <v>16464</v>
      </c>
      <c r="G11543" s="1" t="s">
        <v>36</v>
      </c>
      <c r="H11543" s="1" t="s">
        <v>29</v>
      </c>
      <c r="I11543" s="1" t="str">
        <f ca="1">IFERROR(__xludf.DUMMYFUNCTION("GOOGLETRANSLATE(F11543, ""auto"", ""en"")
"),"It’s quite light and comfortable to hold in your hand, it’s convenient to switch speeds, it works very quietly and your hand doesn’t get tired, it whips up biscuit dough perfectly in a couple of minutes, I was even surprised! I was very pleased that the c"&amp;"ord can be easily hidden and it takes up little space.")</f>
        <v>It’s quite light and comfortable to hold in your hand, it’s convenient to switch speeds, it works very quietly and your hand doesn’t get tired, it whips up biscuit dough perfectly in a couple of minutes, I was even surprised! I was very pleased that the cord can be easily hidden and it takes up little space.</v>
      </c>
    </row>
    <row r="11544" spans="1:9" x14ac:dyDescent="0.3">
      <c r="A11544" s="1" t="s">
        <v>37</v>
      </c>
      <c r="B11544" s="1" t="s">
        <v>38</v>
      </c>
      <c r="C11544" s="1" t="s">
        <v>39</v>
      </c>
      <c r="D11544" s="1" t="s">
        <v>574</v>
      </c>
      <c r="E11544" s="1" t="s">
        <v>832</v>
      </c>
      <c r="F11544" s="1" t="s">
        <v>16465</v>
      </c>
      <c r="G11544" s="1" t="s">
        <v>36</v>
      </c>
      <c r="H11544" s="1" t="s">
        <v>29</v>
      </c>
      <c r="I11544" s="1" t="str">
        <f ca="1">IFERROR(__xludf.DUMMYFUNCTION("GOOGLETRANSLATE(F11544, ""auto"", ""en"")
"),"I bought the phone two years ago, but it still works. The phone is black. The phone is excellent, the music is very loud, especially with headphones, fully equipped, etc. This makes me happy. I advise everyone who loves Sony to take it")</f>
        <v>I bought the phone two years ago, but it still works. The phone is black. The phone is excellent, the music is very loud, especially with headphones, fully equipped, etc. This makes me happy. I advise everyone who loves Sony to take it</v>
      </c>
    </row>
    <row r="11545" spans="1:9" x14ac:dyDescent="0.3">
      <c r="A11545" s="1" t="s">
        <v>61</v>
      </c>
      <c r="B11545" s="1" t="s">
        <v>73</v>
      </c>
      <c r="C11545" s="1" t="s">
        <v>146</v>
      </c>
      <c r="D11545" s="1" t="s">
        <v>2595</v>
      </c>
      <c r="E11545" s="1" t="s">
        <v>3790</v>
      </c>
      <c r="F11545" s="1" t="s">
        <v>16466</v>
      </c>
      <c r="G11545" s="1" t="s">
        <v>49</v>
      </c>
      <c r="H11545" s="1" t="s">
        <v>16</v>
      </c>
      <c r="I11545" s="1" t="str">
        <f ca="1">IFERROR(__xludf.DUMMYFUNCTION("GOOGLETRANSLATE(F11545, ""auto"", ""en"")
"),"I bought it 2 weeks ago, the consultants praised it in 3 stores... I was very disappointed. Yesterday I decided to try it, bought good meat, chose a medium rack and... the meat does not come out through the sieve..., I changed the rack to the largest one."&amp;".. it seemed to work... but everything is somehow... it makes a lot of noise, I didn’t get any pleasure... I always buy from MVideo and this is the first time I have such a joint...")</f>
        <v>I bought it 2 weeks ago, the consultants praised it in 3 stores... I was very disappointed. Yesterday I decided to try it, bought good meat, chose a medium rack and... the meat does not come out through the sieve..., I changed the rack to the largest one... it seemed to work... but everything is somehow... it makes a lot of noise, I didn’t get any pleasure... I always buy from MVideo and this is the first time I have such a joint...</v>
      </c>
    </row>
    <row r="11546" spans="1:9" x14ac:dyDescent="0.3">
      <c r="A11546" s="1" t="s">
        <v>211</v>
      </c>
      <c r="B11546" s="1" t="s">
        <v>265</v>
      </c>
      <c r="C11546" s="1" t="s">
        <v>1591</v>
      </c>
      <c r="D11546" s="1" t="s">
        <v>16467</v>
      </c>
      <c r="E11546" s="1" t="s">
        <v>15483</v>
      </c>
      <c r="F11546" s="1" t="s">
        <v>16468</v>
      </c>
      <c r="G11546" s="1" t="s">
        <v>49</v>
      </c>
      <c r="H11546" s="1" t="s">
        <v>16</v>
      </c>
      <c r="I11546" s="1" t="str">
        <f ca="1">IFERROR(__xludf.DUMMYFUNCTION("GOOGLETRANSLATE(F11546, ""auto"", ""en"")
"),"The attachment broke after the 5th use. Although the knives are good, they cannot perform their functionality due to a broken attachment. If used without attachments, it works well. Convenient suitcase. And other unnecessary things.")</f>
        <v>The attachment broke after the 5th use. Although the knives are good, they cannot perform their functionality due to a broken attachment. If used without attachments, it works well. Convenient suitcase. And other unnecessary things.</v>
      </c>
    </row>
    <row r="11547" spans="1:9" x14ac:dyDescent="0.3">
      <c r="A11547" s="1" t="s">
        <v>9</v>
      </c>
      <c r="B11547" s="1" t="s">
        <v>137</v>
      </c>
      <c r="C11547" s="1" t="s">
        <v>466</v>
      </c>
      <c r="D11547" s="1" t="s">
        <v>295</v>
      </c>
      <c r="E11547" s="1" t="s">
        <v>6832</v>
      </c>
      <c r="F11547" s="1" t="s">
        <v>16469</v>
      </c>
      <c r="G11547" s="1" t="s">
        <v>49</v>
      </c>
      <c r="H11547" s="1" t="s">
        <v>16</v>
      </c>
      <c r="I11547" s="1" t="str">
        <f ca="1">IFERROR(__xludf.DUMMYFUNCTION("GOOGLETRANSLATE(F11547, ""auto"", ""en"")
"),"We bought a hob for the first time for a new kitchen, brought it home, unpacked it (we picked it up from the warehouse ourselves, since delivery to M.Video is a long story), began to inspect it and found a fairly noticeable crack near the handle. They too"&amp;"k me straight away for exchange. They took another one and installed it at home according to the instructions. Two months later they discovered a similar crack from a different handle. Because I had to use it for a while with a crack and chips appeared. T"&amp;"he surface itself is functionally convenient, but the quality leaves much to be desired. Now they sent it to the service center.")</f>
        <v>We bought a hob for the first time for a new kitchen, brought it home, unpacked it (we picked it up from the warehouse ourselves, since delivery to M.Video is a long story), began to inspect it and found a fairly noticeable crack near the handle. They took me straight away for exchange. They took another one and installed it at home according to the instructions. Two months later they discovered a similar crack from a different handle. Because I had to use it for a while with a crack and chips appeared. The surface itself is functionally convenient, but the quality leaves much to be desired. Now they sent it to the service center.</v>
      </c>
    </row>
    <row r="11548" spans="1:9" x14ac:dyDescent="0.3">
      <c r="A11548" s="1" t="s">
        <v>61</v>
      </c>
      <c r="B11548" s="1" t="s">
        <v>145</v>
      </c>
      <c r="C11548" s="1" t="s">
        <v>57</v>
      </c>
      <c r="D11548" s="1" t="s">
        <v>16470</v>
      </c>
      <c r="E11548" s="1" t="s">
        <v>4881</v>
      </c>
      <c r="F11548" s="1" t="s">
        <v>16471</v>
      </c>
      <c r="G11548" s="1" t="s">
        <v>36</v>
      </c>
      <c r="H11548" s="1" t="s">
        <v>29</v>
      </c>
      <c r="I11548" s="1" t="str">
        <f ca="1">IFERROR(__xludf.DUMMYFUNCTION("GOOGLETRANSLATE(F11548, ""auto"", ""en"")
"),"Convenient, compact. I'm happy! I recommend!")</f>
        <v>Convenient, compact. I'm happy! I recommend!</v>
      </c>
    </row>
    <row r="11549" spans="1:9" x14ac:dyDescent="0.3">
      <c r="A11549" s="1" t="s">
        <v>811</v>
      </c>
      <c r="B11549" s="1" t="s">
        <v>812</v>
      </c>
      <c r="C11549" s="1" t="s">
        <v>97</v>
      </c>
      <c r="D11549" s="1" t="s">
        <v>16472</v>
      </c>
      <c r="E11549" s="1" t="s">
        <v>696</v>
      </c>
      <c r="F11549" s="1" t="s">
        <v>16473</v>
      </c>
      <c r="G11549" s="1" t="s">
        <v>36</v>
      </c>
      <c r="H11549" s="1" t="s">
        <v>29</v>
      </c>
      <c r="I11549" s="1" t="str">
        <f ca="1">IFERROR(__xludf.DUMMYFUNCTION("GOOGLETRANSLATE(F11549, ""auto"", ""en"")
"),"An excellent product, I always carry it with me, 130 kg, but like a feather, fits in my pocket, unfolds in 3 seconds.")</f>
        <v>An excellent product, I always carry it with me, 130 kg, but like a feather, fits in my pocket, unfolds in 3 seconds.</v>
      </c>
    </row>
    <row r="11550" spans="1:9" x14ac:dyDescent="0.3">
      <c r="A11550" s="1" t="s">
        <v>61</v>
      </c>
      <c r="B11550" s="1" t="s">
        <v>726</v>
      </c>
      <c r="C11550" s="1" t="s">
        <v>146</v>
      </c>
      <c r="D11550" s="1" t="s">
        <v>139</v>
      </c>
      <c r="E11550" s="1" t="s">
        <v>594</v>
      </c>
      <c r="F11550" s="1" t="s">
        <v>16474</v>
      </c>
      <c r="G11550" s="1" t="s">
        <v>36</v>
      </c>
      <c r="H11550" s="1" t="s">
        <v>29</v>
      </c>
      <c r="I11550" s="1" t="str">
        <f ca="1">IFERROR(__xludf.DUMMYFUNCTION("GOOGLETRANSLATE(F11550, ""auto"", ""en"")
"),"I have used many bread makers, this one is definitely the best. not a single comment. There is, however, one peculiarity: if in LG all products can be measured with a measuring cup, then here you will have to buy electronic kitchen scales (preferably Beur"&amp;"er :) and one more thing: in hot weather, reduce the amount of yeast by one and a half times and never use Russian yeast.")</f>
        <v>I have used many bread makers, this one is definitely the best. not a single comment. There is, however, one peculiarity: if in LG all products can be measured with a measuring cup, then here you will have to buy electronic kitchen scales (preferably Beurer :) and one more thing: in hot weather, reduce the amount of yeast by one and a half times and never use Russian yeast.</v>
      </c>
    </row>
    <row r="11551" spans="1:9" x14ac:dyDescent="0.3">
      <c r="A11551" s="1" t="s">
        <v>37</v>
      </c>
      <c r="B11551" s="1" t="s">
        <v>38</v>
      </c>
      <c r="C11551" s="1" t="s">
        <v>39</v>
      </c>
      <c r="D11551" s="1" t="s">
        <v>30</v>
      </c>
      <c r="E11551" s="1" t="s">
        <v>3512</v>
      </c>
      <c r="F11551" s="1" t="s">
        <v>16475</v>
      </c>
      <c r="G11551" s="1" t="s">
        <v>36</v>
      </c>
      <c r="H11551" s="1" t="s">
        <v>29</v>
      </c>
      <c r="I11551" s="1" t="str">
        <f ca="1">IFERROR(__xludf.DUMMYFUNCTION("GOOGLETRANSLATE(F11551, ""auto"", ""en"")
"),"Overall a great phone!  You can't think of anything better at this price!  But in extreme cases, the phone is just great!")</f>
        <v>Overall a great phone!  You can't think of anything better at this price!  But in extreme cases, the phone is just great!</v>
      </c>
    </row>
    <row r="11552" spans="1:9" x14ac:dyDescent="0.3">
      <c r="A11552" s="1" t="s">
        <v>557</v>
      </c>
      <c r="B11552" s="1" t="s">
        <v>1977</v>
      </c>
      <c r="C11552" s="1" t="s">
        <v>369</v>
      </c>
      <c r="D11552" s="1" t="s">
        <v>280</v>
      </c>
      <c r="E11552" s="1" t="s">
        <v>8529</v>
      </c>
      <c r="F11552" s="1" t="s">
        <v>16476</v>
      </c>
      <c r="G11552" s="1" t="s">
        <v>36</v>
      </c>
      <c r="H11552" s="1" t="s">
        <v>29</v>
      </c>
      <c r="I11552" s="1" t="str">
        <f ca="1">IFERROR(__xludf.DUMMYFUNCTION("GOOGLETRANSLATE(F11552, ""auto"", ""en"")
"),"Great phone. Large and comfortable keys, display backlight, clear sound, does not require connection to 220V. After carefully reading all the instructions and setting up the phone the way it’s convenient for you, it turns into an indispensable assistant ("&amp;"alarm clock, auto-dial) and simply a beautiful, convenient, practical, I’m not afraid of this word - modern, even despite all the classicism of its design, a phone for the family and home.")</f>
        <v>Great phone. Large and comfortable keys, display backlight, clear sound, does not require connection to 220V. After carefully reading all the instructions and setting up the phone the way it’s convenient for you, it turns into an indispensable assistant (alarm clock, auto-dial) and simply a beautiful, convenient, practical, I’m not afraid of this word - modern, even despite all the classicism of its design, a phone for the family and home.</v>
      </c>
    </row>
    <row r="11553" spans="1:9" x14ac:dyDescent="0.3">
      <c r="A11553" s="1" t="s">
        <v>43</v>
      </c>
      <c r="B11553" s="1" t="s">
        <v>219</v>
      </c>
      <c r="C11553" s="1" t="s">
        <v>665</v>
      </c>
      <c r="D11553" s="1" t="s">
        <v>896</v>
      </c>
      <c r="E11553" s="1" t="s">
        <v>4990</v>
      </c>
      <c r="F11553" s="1" t="s">
        <v>16477</v>
      </c>
      <c r="G11553" s="1" t="s">
        <v>36</v>
      </c>
      <c r="H11553" s="1" t="s">
        <v>29</v>
      </c>
      <c r="I11553" s="1" t="str">
        <f ca="1">IFERROR(__xludf.DUMMYFUNCTION("GOOGLETRANSLATE(F11553, ""auto"", ""en"")
"),"I didn’t think there were water heaters of such a small volume. We have a large unit hanging in the bathroom, also from Haier. And then we decided to hang a hot water heater in the kitchen at the dacha to make washing dishes more convenient. This model ha"&amp;"s only advantages) It heats up water quickly, it takes a long time to cool down, convenient controls, it turns off automatically, it produces good water pressure, and on top of that, there is a seven-year warranty on the internal tank.")</f>
        <v>I didn’t think there were water heaters of such a small volume. We have a large unit hanging in the bathroom, also from Haier. And then we decided to hang a hot water heater in the kitchen at the dacha to make washing dishes more convenient. This model has only advantages) It heats up water quickly, it takes a long time to cool down, convenient controls, it turns off automatically, it produces good water pressure, and on top of that, there is a seven-year warranty on the internal tank.</v>
      </c>
    </row>
    <row r="11554" spans="1:9" x14ac:dyDescent="0.3">
      <c r="A11554" s="1" t="s">
        <v>149</v>
      </c>
      <c r="B11554" s="1" t="s">
        <v>155</v>
      </c>
      <c r="C11554" s="1" t="s">
        <v>24</v>
      </c>
      <c r="D11554" s="1" t="s">
        <v>308</v>
      </c>
      <c r="E11554" s="1" t="s">
        <v>1723</v>
      </c>
      <c r="F11554" s="1" t="s">
        <v>16478</v>
      </c>
      <c r="G11554" s="1" t="s">
        <v>28</v>
      </c>
      <c r="H11554" s="1" t="s">
        <v>29</v>
      </c>
      <c r="I11554" s="1" t="str">
        <f ca="1">IFERROR(__xludf.DUMMYFUNCTION("GOOGLETRANSLATE(F11554, ""auto"", ""en"")
"),"The vacuum cleaner is a beast! Cleans everything! One of the disadvantages is that the filter gets dirty quickly, although this may be a plus, it means that it removes all visible and invisible dirt so effectively. Purchased at the end of December. I like"&amp;" it so far.")</f>
        <v>The vacuum cleaner is a beast! Cleans everything! One of the disadvantages is that the filter gets dirty quickly, although this may be a plus, it means that it removes all visible and invisible dirt so effectively. Purchased at the end of December. I like it so far.</v>
      </c>
    </row>
    <row r="11555" spans="1:9" x14ac:dyDescent="0.3">
      <c r="A11555" s="1" t="s">
        <v>61</v>
      </c>
      <c r="B11555" s="1" t="s">
        <v>318</v>
      </c>
      <c r="C11555" s="1" t="s">
        <v>1461</v>
      </c>
      <c r="D11555" s="1" t="s">
        <v>1662</v>
      </c>
      <c r="E11555" s="1" t="s">
        <v>2680</v>
      </c>
      <c r="F11555" s="1" t="s">
        <v>16479</v>
      </c>
      <c r="G11555" s="1" t="s">
        <v>36</v>
      </c>
      <c r="H11555" s="1" t="s">
        <v>29</v>
      </c>
      <c r="I11555" s="1" t="str">
        <f ca="1">IFERROR(__xludf.DUMMYFUNCTION("GOOGLETRANSLATE(F11555, ""auto"", ""en"")
"),"We had an expensive kettle, it worked for 5 years and it broke; there was no money for a good kettle at that time. We bought this kettle and it has been working for a year now. I have no complaints. For anyone who stinks, wash it well after purchase. for "&amp;"that kind of money it works for 5!")</f>
        <v>We had an expensive kettle, it worked for 5 years and it broke; there was no money for a good kettle at that time. We bought this kettle and it has been working for a year now. I have no complaints. For anyone who stinks, wash it well after purchase. for that kind of money it works for 5!</v>
      </c>
    </row>
    <row r="11556" spans="1:9" x14ac:dyDescent="0.3">
      <c r="A11556" s="1" t="s">
        <v>105</v>
      </c>
      <c r="B11556" s="1" t="s">
        <v>106</v>
      </c>
      <c r="C11556" s="1" t="s">
        <v>151</v>
      </c>
      <c r="D11556" s="1" t="s">
        <v>1520</v>
      </c>
      <c r="E11556" s="1" t="s">
        <v>5596</v>
      </c>
      <c r="F11556" s="1" t="s">
        <v>16480</v>
      </c>
      <c r="G11556" s="1" t="s">
        <v>36</v>
      </c>
      <c r="H11556" s="1" t="s">
        <v>29</v>
      </c>
      <c r="I11556" s="1" t="str">
        <f ca="1">IFERROR(__xludf.DUMMYFUNCTION("GOOGLETRANSLATE(F11556, ""auto"", ""en"")
"),"I use this player. Very convenient.")</f>
        <v>I use this player. Very convenient.</v>
      </c>
    </row>
    <row r="11557" spans="1:9" x14ac:dyDescent="0.3">
      <c r="A11557" s="1" t="s">
        <v>61</v>
      </c>
      <c r="B11557" s="1" t="s">
        <v>318</v>
      </c>
      <c r="C11557" s="1" t="s">
        <v>246</v>
      </c>
      <c r="D11557" s="1" t="s">
        <v>295</v>
      </c>
      <c r="E11557" s="1" t="s">
        <v>460</v>
      </c>
      <c r="F11557" s="1" t="s">
        <v>16481</v>
      </c>
      <c r="G11557" s="1" t="s">
        <v>15</v>
      </c>
      <c r="H11557" s="1" t="s">
        <v>16</v>
      </c>
      <c r="I11557" s="1" t="str">
        <f ca="1">IFERROR(__xludf.DUMMYFUNCTION("GOOGLETRANSLATE(F11557, ""auto"", ""en"")
"),"You are all luckier than me. I only used it for half a year.:(((")</f>
        <v>You are all luckier than me. I only used it for half a year.:(((</v>
      </c>
    </row>
    <row r="11558" spans="1:9" x14ac:dyDescent="0.3">
      <c r="A11558" s="1" t="s">
        <v>61</v>
      </c>
      <c r="B11558" s="1" t="s">
        <v>224</v>
      </c>
      <c r="C11558" s="1" t="s">
        <v>246</v>
      </c>
      <c r="D11558" s="1" t="s">
        <v>295</v>
      </c>
      <c r="E11558" s="1" t="s">
        <v>3954</v>
      </c>
      <c r="F11558" s="1" t="s">
        <v>16482</v>
      </c>
      <c r="G11558" s="1" t="s">
        <v>36</v>
      </c>
      <c r="H11558" s="1" t="s">
        <v>29</v>
      </c>
      <c r="I11558" s="1" t="str">
        <f ca="1">IFERROR(__xludf.DUMMYFUNCTION("GOOGLETRANSLATE(F11558, ""auto"", ""en"")
"),"I bought this juicer today. I liked her. It works quietly and cleans well. I recommend it.")</f>
        <v>I bought this juicer today. I liked her. It works quietly and cleans well. I recommend it.</v>
      </c>
    </row>
    <row r="11559" spans="1:9" x14ac:dyDescent="0.3">
      <c r="A11559" s="1" t="s">
        <v>111</v>
      </c>
      <c r="B11559" s="1" t="s">
        <v>1090</v>
      </c>
      <c r="C11559" s="1" t="s">
        <v>8229</v>
      </c>
      <c r="D11559" s="1" t="s">
        <v>203</v>
      </c>
      <c r="E11559" s="1" t="s">
        <v>5369</v>
      </c>
      <c r="F11559" s="1" t="s">
        <v>16483</v>
      </c>
      <c r="G11559" s="1" t="s">
        <v>36</v>
      </c>
      <c r="H11559" s="1" t="s">
        <v>29</v>
      </c>
      <c r="I11559" s="1" t="str">
        <f ca="1">IFERROR(__xludf.DUMMYFUNCTION("GOOGLETRANSLATE(F11559, ""auto"", ""en"")
"),"Convenient, reliable")</f>
        <v>Convenient, reliable</v>
      </c>
    </row>
    <row r="11560" spans="1:9" x14ac:dyDescent="0.3">
      <c r="A11560" s="1" t="s">
        <v>169</v>
      </c>
      <c r="B11560" s="1" t="s">
        <v>170</v>
      </c>
      <c r="C11560" s="1" t="s">
        <v>69</v>
      </c>
      <c r="D11560" s="1" t="s">
        <v>305</v>
      </c>
      <c r="E11560" s="1" t="s">
        <v>386</v>
      </c>
      <c r="F11560" s="1" t="s">
        <v>16484</v>
      </c>
      <c r="G11560" s="1" t="s">
        <v>36</v>
      </c>
      <c r="H11560" s="1" t="s">
        <v>29</v>
      </c>
      <c r="I11560" s="1" t="str">
        <f ca="1">IFERROR(__xludf.DUMMYFUNCTION("GOOGLETRANSLATE(F11560, ""auto"", ""en"")
"),"It's good to listen to electronics and instrumental music. Rock is somehow not very good... it seemed to me that there was a mess in the mid frequencies. Purely from the sound it seems as if the lows and highs are raised. The highs are very beautiful and "&amp;"sonorous. The bass is vibrating. The middle is incomprehensible, the sound is flat, not very impressed.")</f>
        <v>It's good to listen to electronics and instrumental music. Rock is somehow not very good... it seemed to me that there was a mess in the mid frequencies. Purely from the sound it seems as if the lows and highs are raised. The highs are very beautiful and sonorous. The bass is vibrating. The middle is incomprehensible, the sound is flat, not very impressed.</v>
      </c>
    </row>
    <row r="11561" spans="1:9" x14ac:dyDescent="0.3">
      <c r="A11561" s="1" t="s">
        <v>211</v>
      </c>
      <c r="B11561" s="1" t="s">
        <v>212</v>
      </c>
      <c r="C11561" s="1" t="s">
        <v>63</v>
      </c>
      <c r="D11561" s="1" t="s">
        <v>474</v>
      </c>
      <c r="E11561" s="1" t="s">
        <v>1866</v>
      </c>
      <c r="F11561" s="1" t="s">
        <v>16485</v>
      </c>
      <c r="G11561" s="1" t="s">
        <v>49</v>
      </c>
      <c r="H11561" s="1" t="s">
        <v>16</v>
      </c>
      <c r="I11561" s="1" t="str">
        <f ca="1">IFERROR(__xludf.DUMMYFUNCTION("GOOGLETRANSLATE(F11561, ""auto"", ""en"")
"),"I don’t recommend buying such a hairdryer, the attachments broke very quickly, after a year of use it started to overheat, but it didn’t turn off, but the whole thing melted, now I’m looking for a new, more reliable one.")</f>
        <v>I don’t recommend buying such a hairdryer, the attachments broke very quickly, after a year of use it started to overheat, but it didn’t turn off, but the whole thing melted, now I’m looking for a new, more reliable one.</v>
      </c>
    </row>
    <row r="11562" spans="1:9" x14ac:dyDescent="0.3">
      <c r="A11562" s="1" t="s">
        <v>169</v>
      </c>
      <c r="B11562" s="1" t="s">
        <v>170</v>
      </c>
      <c r="C11562" s="1" t="s">
        <v>122</v>
      </c>
      <c r="D11562" s="1" t="s">
        <v>943</v>
      </c>
      <c r="E11562" s="1" t="s">
        <v>1504</v>
      </c>
      <c r="F11562" s="1" t="s">
        <v>16486</v>
      </c>
      <c r="G11562" s="1" t="s">
        <v>36</v>
      </c>
      <c r="H11562" s="1" t="s">
        <v>29</v>
      </c>
      <c r="I11562" s="1" t="str">
        <f ca="1">IFERROR(__xludf.DUMMYFUNCTION("GOOGLETRANSLATE(F11562, ""auto"", ""en"")
"),"The headphones, despite their price, are excellent. I’ve been using them for a long time, the sound is excellent, all the bass is in place even better, very loud. And I’m writing this comment only because I bought orange Panasonic RP-HJE120E-D Or vacuum h"&amp;"eadphones from the same company and was incredibly disappointed in them, because... there the sound is stupidly poppy with noise and there seems to be no bass, they are quiet, so I just adore these. I have compared them many times and every time I am conv"&amp;"inced that these are just super. I love them.")</f>
        <v>The headphones, despite their price, are excellent. I’ve been using them for a long time, the sound is excellent, all the bass is in place even better, very loud. And I’m writing this comment only because I bought orange Panasonic RP-HJE120E-D Or vacuum headphones from the same company and was incredibly disappointed in them, because... there the sound is stupidly poppy with noise and there seems to be no bass, they are quiet, so I just adore these. I have compared them many times and every time I am convinced that these are just super. I love them.</v>
      </c>
    </row>
    <row r="11563" spans="1:9" x14ac:dyDescent="0.3">
      <c r="A11563" s="1" t="s">
        <v>61</v>
      </c>
      <c r="B11563" s="1" t="s">
        <v>977</v>
      </c>
      <c r="C11563" s="1" t="s">
        <v>85</v>
      </c>
      <c r="D11563" s="1" t="s">
        <v>32</v>
      </c>
      <c r="E11563" s="1" t="s">
        <v>4803</v>
      </c>
      <c r="F11563" s="1" t="s">
        <v>16487</v>
      </c>
      <c r="G11563" s="1" t="s">
        <v>36</v>
      </c>
      <c r="H11563" s="1" t="s">
        <v>29</v>
      </c>
      <c r="I11563" s="1" t="str">
        <f ca="1">IFERROR(__xludf.DUMMYFUNCTION("GOOGLETRANSLATE(F11563, ""auto"", ""en"")
"),"It took us a long time to choose, but we settled on it and never regretted it, chops the meat, ice. Cocktails are prepared in seconds. Our family really likes it. Buy it, you won’t regret it, it’s worth the money!!!!!! In general, BORK is a very good comp"&amp;"any.")</f>
        <v>It took us a long time to choose, but we settled on it and never regretted it, chops the meat, ice. Cocktails are prepared in seconds. Our family really likes it. Buy it, you won’t regret it, it’s worth the money!!!!!! In general, BORK is a very good company.</v>
      </c>
    </row>
    <row r="11564" spans="1:9" x14ac:dyDescent="0.3">
      <c r="A11564" s="1" t="s">
        <v>1823</v>
      </c>
      <c r="B11564" s="1" t="s">
        <v>1824</v>
      </c>
      <c r="C11564" s="1" t="s">
        <v>69</v>
      </c>
      <c r="D11564" s="1" t="s">
        <v>2336</v>
      </c>
      <c r="E11564" s="1" t="s">
        <v>5415</v>
      </c>
      <c r="F11564" s="1" t="s">
        <v>16488</v>
      </c>
      <c r="G11564" s="1" t="s">
        <v>28</v>
      </c>
      <c r="H11564" s="1" t="s">
        <v>29</v>
      </c>
      <c r="I11564" s="1" t="str">
        <f ca="1">IFERROR(__xludf.DUMMYFUNCTION("GOOGLETRANSLATE(F11564, ""auto"", ""en"")
"),"I really liked the board. + Large surface, easy to unfold, stable, fairly high quality - There is only one drawback (common, judging by other reviews): the mesh bends in the middle. But still, many advantages outweigh this disadvantage.")</f>
        <v>I really liked the board. + Large surface, easy to unfold, stable, fairly high quality - There is only one drawback (common, judging by other reviews): the mesh bends in the middle. But still, many advantages outweigh this disadvantage.</v>
      </c>
    </row>
    <row r="11565" spans="1:9" x14ac:dyDescent="0.3">
      <c r="A11565" s="1" t="s">
        <v>105</v>
      </c>
      <c r="B11565" s="1" t="s">
        <v>106</v>
      </c>
      <c r="C11565" s="1" t="s">
        <v>1209</v>
      </c>
      <c r="D11565" s="1" t="s">
        <v>16489</v>
      </c>
      <c r="E11565" s="1" t="s">
        <v>4203</v>
      </c>
      <c r="F11565" s="1" t="s">
        <v>16490</v>
      </c>
      <c r="G11565" s="1" t="s">
        <v>49</v>
      </c>
      <c r="H11565" s="1" t="s">
        <v>16</v>
      </c>
      <c r="I11565" s="1" t="str">
        <f ca="1">IFERROR(__xludf.DUMMYFUNCTION("GOOGLETRANSLATE(F11565, ""auto"", ""en"")
"),"works for 3 hours at most, the menu is not convenient, the sound is kind of flat, in general it’s in the furnace")</f>
        <v>works for 3 hours at most, the menu is not convenient, the sound is kind of flat, in general it’s in the furnace</v>
      </c>
    </row>
    <row r="11566" spans="1:9" x14ac:dyDescent="0.3">
      <c r="A11566" s="1" t="s">
        <v>78</v>
      </c>
      <c r="B11566" s="1" t="s">
        <v>79</v>
      </c>
      <c r="C11566" s="1" t="s">
        <v>122</v>
      </c>
      <c r="D11566" s="1" t="s">
        <v>3097</v>
      </c>
      <c r="E11566" s="1" t="s">
        <v>1221</v>
      </c>
      <c r="F11566" s="1" t="s">
        <v>16491</v>
      </c>
      <c r="G11566" s="1" t="s">
        <v>36</v>
      </c>
      <c r="H11566" s="1" t="s">
        <v>29</v>
      </c>
      <c r="I11566" s="1" t="str">
        <f ca="1">IFERROR(__xludf.DUMMYFUNCTION("GOOGLETRANSLATE(F11566, ""auto"", ""en"")
"),"I bought this wonderful microwave today. The stylish design fits well into the interior of the kitchen. I have already tried several cooking and defrosting modes, all 5+!  Of course, I recommend buying a protective cover so as not to dirty the inside of t"&amp;"he microwave and to wipe off fingerprints more often. I set the clock and everything is visible very well, but the fact that the backlight is weak is absolutely useless.")</f>
        <v>I bought this wonderful microwave today. The stylish design fits well into the interior of the kitchen. I have already tried several cooking and defrosting modes, all 5+!  Of course, I recommend buying a protective cover so as not to dirty the inside of the microwave and to wipe off fingerprints more often. I set the clock and everything is visible very well, but the fact that the backlight is weak is absolutely useless.</v>
      </c>
    </row>
    <row r="11567" spans="1:9" x14ac:dyDescent="0.3">
      <c r="A11567" s="1" t="s">
        <v>37</v>
      </c>
      <c r="B11567" s="1" t="s">
        <v>536</v>
      </c>
      <c r="C11567" s="1" t="s">
        <v>163</v>
      </c>
      <c r="D11567" s="1" t="s">
        <v>365</v>
      </c>
      <c r="E11567" s="1" t="s">
        <v>1384</v>
      </c>
      <c r="F11567" s="1" t="s">
        <v>16492</v>
      </c>
      <c r="G11567" s="1" t="s">
        <v>36</v>
      </c>
      <c r="H11567" s="1" t="s">
        <v>29</v>
      </c>
      <c r="I11567" s="1" t="str">
        <f ca="1">IFERROR(__xludf.DUMMYFUNCTION("GOOGLETRANSLATE(F11567, ""auto"", ""en"")
"),"Sedokryl (Moscow) - navigation works for free! You can even turn off navigation using the Internet so as not to “fork out money”.  About the alarm clock - There is a special strip running on the screen - you don’t need to press it, but you need to run you"&amp;"r finger along it))). The office is not a problem.  And the phone is great!!! The battery is powerful - I played music at full volume through the speaker for 4 hours straight. And who needs a powerful camera (03/30/2010 ololo) - buy a digital camera for 1"&amp;"0,000 rubles.")</f>
        <v>Sedokryl (Moscow) - navigation works for free! You can even turn off navigation using the Internet so as not to “fork out money”.  About the alarm clock - There is a special strip running on the screen - you don’t need to press it, but you need to run your finger along it))). The office is not a problem.  And the phone is great!!! The battery is powerful - I played music at full volume through the speaker for 4 hours straight. And who needs a powerful camera (03/30/2010 ololo) - buy a digital camera for 10,000 rubles.</v>
      </c>
    </row>
    <row r="11568" spans="1:9" x14ac:dyDescent="0.3">
      <c r="A11568" s="1" t="s">
        <v>30</v>
      </c>
      <c r="B11568" s="1" t="s">
        <v>50</v>
      </c>
      <c r="C11568" s="1" t="s">
        <v>32</v>
      </c>
      <c r="D11568" s="1" t="s">
        <v>16493</v>
      </c>
      <c r="E11568" s="1" t="s">
        <v>4187</v>
      </c>
      <c r="F11568" s="1" t="s">
        <v>16494</v>
      </c>
      <c r="G11568" s="1" t="s">
        <v>36</v>
      </c>
      <c r="H11568" s="1" t="s">
        <v>29</v>
      </c>
      <c r="I11568" s="1" t="str">
        <f ca="1">IFERROR(__xludf.DUMMYFUNCTION("GOOGLETRANSLATE(F11568, ""auto"", ""en"")
"),"super laptop)")</f>
        <v>super laptop)</v>
      </c>
    </row>
    <row r="11569" spans="1:9" x14ac:dyDescent="0.3">
      <c r="A11569" s="1" t="s">
        <v>89</v>
      </c>
      <c r="B11569" s="1" t="s">
        <v>1106</v>
      </c>
      <c r="C11569" s="1" t="s">
        <v>63</v>
      </c>
      <c r="D11569" s="1" t="s">
        <v>33</v>
      </c>
      <c r="E11569" s="1" t="s">
        <v>4152</v>
      </c>
      <c r="F11569" s="1" t="s">
        <v>16495</v>
      </c>
      <c r="G11569" s="1" t="s">
        <v>36</v>
      </c>
      <c r="H11569" s="1" t="s">
        <v>29</v>
      </c>
      <c r="I11569" s="1" t="str">
        <f ca="1">IFERROR(__xludf.DUMMYFUNCTION("GOOGLETRANSLATE(F11569, ""auto"", ""en"")
"),"My first coffee maker. There is nothing to compare with. I bought it because I was tired of hanging around the stove in the morning so it wouldn’t run away. The coffee turns out good, acceptably hot - brew it, pour it and drink it right away. The case is "&amp;"without burrs, good plastic. The downside is that it’s not very convenient to pour water into the coffee maker and it’s completely inconvenient to pour the coffee itself; the flask had to be made with a straight wall, but in the meantime you have to almos"&amp;"t turn it over to pour out all the coffee. It would be nice if the kit included a gold filter. When cooking, it clicks and hisses in moderation. Overall - my recommendations!")</f>
        <v>My first coffee maker. There is nothing to compare with. I bought it because I was tired of hanging around the stove in the morning so it wouldn’t run away. The coffee turns out good, acceptably hot - brew it, pour it and drink it right away. The case is without burrs, good plastic. The downside is that it’s not very convenient to pour water into the coffee maker and it’s completely inconvenient to pour the coffee itself; the flask had to be made with a straight wall, but in the meantime you have to almost turn it over to pour out all the coffee. It would be nice if the kit included a gold filter. When cooking, it clicks and hisses in moderation. Overall - my recommendations!</v>
      </c>
    </row>
    <row r="11570" spans="1:9" x14ac:dyDescent="0.3">
      <c r="A11570" s="1" t="s">
        <v>149</v>
      </c>
      <c r="B11570" s="1" t="s">
        <v>155</v>
      </c>
      <c r="C11570" s="1" t="s">
        <v>159</v>
      </c>
      <c r="D11570" s="1" t="s">
        <v>545</v>
      </c>
      <c r="E11570" s="1" t="s">
        <v>1858</v>
      </c>
      <c r="F11570" s="1" t="s">
        <v>16496</v>
      </c>
      <c r="G11570" s="1" t="s">
        <v>28</v>
      </c>
      <c r="H11570" s="1" t="s">
        <v>29</v>
      </c>
      <c r="I11570" s="1" t="str">
        <f ca="1">IFERROR(__xludf.DUMMYFUNCTION("GOOGLETRANSLATE(F11570, ""auto"", ""en"")
"),"The vacuum cleaner itself is not bad, the power is good, the container is convenient, and the filters are all washable. One “but”: in addition to the usual standard pile on the brush, which either retracts or extends, depending on the surface, there are a"&amp;"lso rubber or silicone strips, which make it very inconvenient to vacuum carpets (even at low power, the brush practically stands still, you can only move it towards you). In principle, it’s a good vacuum cleaner, but the brush can be changed.")</f>
        <v>The vacuum cleaner itself is not bad, the power is good, the container is convenient, and the filters are all washable. One “but”: in addition to the usual standard pile on the brush, which either retracts or extends, depending on the surface, there are also rubber or silicone strips, which make it very inconvenient to vacuum carpets (even at low power, the brush practically stands still, you can only move it towards you). In principle, it’s a good vacuum cleaner, but the brush can be changed.</v>
      </c>
    </row>
    <row r="11571" spans="1:9" x14ac:dyDescent="0.3">
      <c r="A11571" s="1" t="s">
        <v>624</v>
      </c>
      <c r="B11571" s="1" t="s">
        <v>881</v>
      </c>
      <c r="C11571" s="1" t="s">
        <v>479</v>
      </c>
      <c r="D11571" s="1" t="s">
        <v>12278</v>
      </c>
      <c r="E11571" s="1" t="s">
        <v>2222</v>
      </c>
      <c r="F11571" s="1" t="s">
        <v>16497</v>
      </c>
      <c r="G11571" s="1" t="s">
        <v>36</v>
      </c>
      <c r="H11571" s="1" t="s">
        <v>29</v>
      </c>
      <c r="I11571" s="1" t="str">
        <f ca="1">IFERROR(__xludf.DUMMYFUNCTION("GOOGLETRANSLATE(F11571, ""auto"", ""en"")
"),"Tekken that everyone will play. Tekken, accessible enough for beginners and delighting with familiar heroes and super combinations of series veterans. A Tekken that never gets boring. And, in the end, the best Tekken on PSP! (Part 6 is much worse)")</f>
        <v>Tekken that everyone will play. Tekken, accessible enough for beginners and delighting with familiar heroes and super combinations of series veterans. A Tekken that never gets boring. And, in the end, the best Tekken on PSP! (Part 6 is much worse)</v>
      </c>
    </row>
    <row r="11572" spans="1:9" x14ac:dyDescent="0.3">
      <c r="A11572" s="1" t="s">
        <v>61</v>
      </c>
      <c r="B11572" s="1" t="s">
        <v>318</v>
      </c>
      <c r="C11572" s="1" t="s">
        <v>63</v>
      </c>
      <c r="D11572" s="1" t="s">
        <v>64</v>
      </c>
      <c r="E11572" s="1" t="s">
        <v>11102</v>
      </c>
      <c r="F11572" s="1" t="s">
        <v>16498</v>
      </c>
      <c r="G11572" s="1" t="s">
        <v>36</v>
      </c>
      <c r="H11572" s="1" t="s">
        <v>29</v>
      </c>
      <c r="I11572" s="1" t="str">
        <f ca="1">IFERROR(__xludf.DUMMYFUNCTION("GOOGLETRANSLATE(F11572, ""auto"", ""en"")
"),"I have been using this kettle for 2.5 years. I have no complaints about the quality. I'm happy with the purchase... I recommend it to everyone!!!!!")</f>
        <v>I have been using this kettle for 2.5 years. I have no complaints about the quality. I'm happy with the purchase... I recommend it to everyone!!!!!</v>
      </c>
    </row>
    <row r="11573" spans="1:9" x14ac:dyDescent="0.3">
      <c r="A11573" s="1" t="s">
        <v>30</v>
      </c>
      <c r="B11573" s="1" t="s">
        <v>50</v>
      </c>
      <c r="C11573" s="1" t="s">
        <v>32</v>
      </c>
      <c r="D11573" s="1" t="s">
        <v>3668</v>
      </c>
      <c r="E11573" s="1" t="s">
        <v>292</v>
      </c>
      <c r="F11573" s="1" t="s">
        <v>16499</v>
      </c>
      <c r="G11573" s="1" t="s">
        <v>36</v>
      </c>
      <c r="H11573" s="1" t="s">
        <v>29</v>
      </c>
      <c r="I11573" s="1" t="str">
        <f ca="1">IFERROR(__xludf.DUMMYFUNCTION("GOOGLETRANSLATE(F11573, ""auto"", ""en"")
"),"Yesterday I bought this laptop. So far I'm happy with everything. nothing extra. the keyboard is very comfortable. True, the battery lasts for 2.5 hours. However, you can use quite economical settings to extend the operating time. The display is convenien"&amp;"t. and low cost - a very good purchase")</f>
        <v>Yesterday I bought this laptop. So far I'm happy with everything. nothing extra. the keyboard is very comfortable. True, the battery lasts for 2.5 hours. However, you can use quite economical settings to extend the operating time. The display is convenient. and low cost - a very good purchase</v>
      </c>
    </row>
    <row r="11574" spans="1:9" x14ac:dyDescent="0.3">
      <c r="A11574" s="1" t="s">
        <v>1119</v>
      </c>
      <c r="B11574" s="1" t="s">
        <v>1120</v>
      </c>
      <c r="C11574" s="1" t="s">
        <v>97</v>
      </c>
      <c r="D11574" s="1" t="s">
        <v>52</v>
      </c>
      <c r="E11574" s="1" t="s">
        <v>4421</v>
      </c>
      <c r="F11574" s="1" t="s">
        <v>16500</v>
      </c>
      <c r="G11574" s="1" t="s">
        <v>36</v>
      </c>
      <c r="H11574" s="1" t="s">
        <v>29</v>
      </c>
      <c r="I11574" s="1" t="str">
        <f ca="1">IFERROR(__xludf.DUMMYFUNCTION("GOOGLETRANSLATE(F11574, ""auto"", ""en"")
"),"Good camera. I read reviews on the Internet and decided to take it. I don't regret it one bit. It takes excellent pictures, is easy to use, easy to start, the built-in 4gb memory is enough to shoot in the best quality for 55 minutes. I don't need any more"&amp;". I'm looking at the Sony 32 HDReady LCD. I tried to upload what was recorded, then edit it using Pinnacle Studio, and then convert it again - the quality remains good, even after re-encoding. Take it, you won't regret it.")</f>
        <v>Good camera. I read reviews on the Internet and decided to take it. I don't regret it one bit. It takes excellent pictures, is easy to use, easy to start, the built-in 4gb memory is enough to shoot in the best quality for 55 minutes. I don't need any more. I'm looking at the Sony 32 HDReady LCD. I tried to upload what was recorded, then edit it using Pinnacle Studio, and then convert it again - the quality remains good, even after re-encoding. Take it, you won't regret it.</v>
      </c>
    </row>
    <row r="11575" spans="1:9" x14ac:dyDescent="0.3">
      <c r="A11575" s="1" t="s">
        <v>169</v>
      </c>
      <c r="B11575" s="1" t="s">
        <v>170</v>
      </c>
      <c r="C11575" s="1" t="s">
        <v>69</v>
      </c>
      <c r="D11575" s="1" t="s">
        <v>52</v>
      </c>
      <c r="E11575" s="1" t="s">
        <v>16501</v>
      </c>
      <c r="F11575" s="1" t="s">
        <v>16502</v>
      </c>
      <c r="G11575" s="1" t="s">
        <v>28</v>
      </c>
      <c r="H11575" s="1" t="s">
        <v>29</v>
      </c>
      <c r="I11575" s="1" t="str">
        <f ca="1">IFERROR(__xludf.DUMMYFUNCTION("GOOGLETRANSLATE(F11575, ""auto"", ""en"")
"),"Pros: fit well - bought for running, sports. They don't subside.  Cons: the disadvantage inherent in all headphones of this type is that the sound is not concentrated, because these are not earbuds. Therefore, using them in noisy places (subway, on the st"&amp;"reet) is not very convenient, it is difficult to hear.")</f>
        <v>Pros: fit well - bought for running, sports. They don't subside.  Cons: the disadvantage inherent in all headphones of this type is that the sound is not concentrated, because these are not earbuds. Therefore, using them in noisy places (subway, on the street) is not very convenient, it is difficult to hear.</v>
      </c>
    </row>
    <row r="11576" spans="1:9" x14ac:dyDescent="0.3">
      <c r="A11576" s="1" t="s">
        <v>4624</v>
      </c>
      <c r="B11576" s="1" t="s">
        <v>4625</v>
      </c>
      <c r="C11576" s="1" t="s">
        <v>80</v>
      </c>
      <c r="D11576" s="1" t="s">
        <v>16503</v>
      </c>
      <c r="E11576" s="1" t="s">
        <v>6382</v>
      </c>
      <c r="F11576" s="1" t="s">
        <v>16504</v>
      </c>
      <c r="G11576" s="1" t="s">
        <v>36</v>
      </c>
      <c r="H11576" s="1" t="s">
        <v>29</v>
      </c>
      <c r="I11576" s="1" t="str">
        <f ca="1">IFERROR(__xludf.DUMMYFUNCTION("GOOGLETRANSLATE(F11576, ""auto"", ""en"")
"),"Excellent theater, sound like in a movie, reads absolutely everything, happy with the purchase!")</f>
        <v>Excellent theater, sound like in a movie, reads absolutely everything, happy with the purchase!</v>
      </c>
    </row>
    <row r="11577" spans="1:9" x14ac:dyDescent="0.3">
      <c r="A11577" s="1" t="s">
        <v>211</v>
      </c>
      <c r="B11577" s="1" t="s">
        <v>265</v>
      </c>
      <c r="C11577" s="1" t="s">
        <v>122</v>
      </c>
      <c r="D11577" s="1" t="s">
        <v>545</v>
      </c>
      <c r="E11577" s="1" t="s">
        <v>1410</v>
      </c>
      <c r="F11577" s="1" t="s">
        <v>16505</v>
      </c>
      <c r="G11577" s="1" t="s">
        <v>36</v>
      </c>
      <c r="H11577" s="1" t="s">
        <v>29</v>
      </c>
      <c r="I11577" s="1" t="str">
        <f ca="1">IFERROR(__xludf.DUMMYFUNCTION("GOOGLETRANSLATE(F11577, ""auto"", ""en"")
"),"LIGHTWEIGHT, COMFORTABLE, COMPACT, NOT NOISY, GREAT CUT ")</f>
        <v xml:space="preserve">LIGHTWEIGHT, COMFORTABLE, COMPACT, NOT NOISY, GREAT CUT </v>
      </c>
    </row>
    <row r="11578" spans="1:9" x14ac:dyDescent="0.3">
      <c r="A11578" s="1" t="s">
        <v>17</v>
      </c>
      <c r="B11578" s="1" t="s">
        <v>18</v>
      </c>
      <c r="C11578" s="1" t="s">
        <v>243</v>
      </c>
      <c r="D11578" s="1" t="s">
        <v>345</v>
      </c>
      <c r="E11578" s="1" t="s">
        <v>16506</v>
      </c>
      <c r="F11578" s="1" t="s">
        <v>16507</v>
      </c>
      <c r="G11578" s="1" t="s">
        <v>28</v>
      </c>
      <c r="H11578" s="1" t="s">
        <v>29</v>
      </c>
      <c r="I11578" s="1" t="str">
        <f ca="1">IFERROR(__xludf.DUMMYFUNCTION("GOOGLETRANSLATE(F11578, ""auto"", ""en"")
"),"We're happy with the purchase. Everything washes and wrings out, doesn't jump around. You need to adjust everything to the level and unscrew the 4 shipping bolts.")</f>
        <v>We're happy with the purchase. Everything washes and wrings out, doesn't jump around. You need to adjust everything to the level and unscrew the 4 shipping bolts.</v>
      </c>
    </row>
    <row r="11579" spans="1:9" x14ac:dyDescent="0.3">
      <c r="A11579" s="1" t="s">
        <v>169</v>
      </c>
      <c r="B11579" s="1" t="s">
        <v>170</v>
      </c>
      <c r="C11579" s="1" t="s">
        <v>69</v>
      </c>
      <c r="D11579" s="1" t="s">
        <v>16508</v>
      </c>
      <c r="E11579" s="1" t="s">
        <v>1905</v>
      </c>
      <c r="F11579" s="1" t="s">
        <v>16509</v>
      </c>
      <c r="G11579" s="1" t="s">
        <v>28</v>
      </c>
      <c r="H11579" s="1" t="s">
        <v>29</v>
      </c>
      <c r="I11579" s="1" t="str">
        <f ca="1">IFERROR(__xludf.DUMMYFUNCTION("GOOGLETRANSLATE(F11579, ""auto"", ""en"")
"),"The same problem - the left ear stopped working for no reason. True, they served me for two years. It's a shame, 1000 rubles are not lying around on the road, but now we have to take new ones.")</f>
        <v>The same problem - the left ear stopped working for no reason. True, they served me for two years. It's a shame, 1000 rubles are not lying around on the road, but now we have to take new ones.</v>
      </c>
    </row>
    <row r="11580" spans="1:9" x14ac:dyDescent="0.3">
      <c r="A11580" s="1" t="s">
        <v>361</v>
      </c>
      <c r="B11580" s="1" t="s">
        <v>462</v>
      </c>
      <c r="C11580" s="1" t="s">
        <v>463</v>
      </c>
      <c r="D11580" s="1" t="s">
        <v>16510</v>
      </c>
      <c r="E11580" s="1" t="s">
        <v>1112</v>
      </c>
      <c r="F11580" s="1" t="s">
        <v>16511</v>
      </c>
      <c r="G11580" s="1" t="s">
        <v>36</v>
      </c>
      <c r="H11580" s="1" t="s">
        <v>29</v>
      </c>
      <c r="I11580" s="1" t="str">
        <f ca="1">IFERROR(__xludf.DUMMYFUNCTION("GOOGLETRANSLATE(F11580, ""auto"", ""en"")
"),"Filters quickly")</f>
        <v>Filters quickly</v>
      </c>
    </row>
    <row r="11581" spans="1:9" x14ac:dyDescent="0.3">
      <c r="A11581" s="1" t="s">
        <v>37</v>
      </c>
      <c r="B11581" s="1" t="s">
        <v>38</v>
      </c>
      <c r="C11581" s="1" t="s">
        <v>151</v>
      </c>
      <c r="D11581" s="1" t="s">
        <v>16512</v>
      </c>
      <c r="E11581" s="1" t="s">
        <v>2565</v>
      </c>
      <c r="F11581" s="1" t="s">
        <v>16513</v>
      </c>
      <c r="G11581" s="1" t="s">
        <v>36</v>
      </c>
      <c r="H11581" s="1" t="s">
        <v>29</v>
      </c>
      <c r="I11581" s="1" t="str">
        <f ca="1">IFERROR(__xludf.DUMMYFUNCTION("GOOGLETRANSLATE(F11581, ""auto"", ""en"")
"),"I bought this phone yesterday, overall I’m very happy))) I recommend it))))")</f>
        <v>I bought this phone yesterday, overall I’m very happy))) I recommend it))))</v>
      </c>
    </row>
    <row r="11582" spans="1:9" x14ac:dyDescent="0.3">
      <c r="A11582" s="1" t="s">
        <v>211</v>
      </c>
      <c r="B11582" s="1" t="s">
        <v>856</v>
      </c>
      <c r="C11582" s="1" t="s">
        <v>266</v>
      </c>
      <c r="D11582" s="1" t="s">
        <v>52</v>
      </c>
      <c r="E11582" s="1" t="s">
        <v>4146</v>
      </c>
      <c r="F11582" s="1" t="s">
        <v>16514</v>
      </c>
      <c r="G11582" s="1" t="s">
        <v>36</v>
      </c>
      <c r="H11582" s="1" t="s">
        <v>29</v>
      </c>
      <c r="I11582" s="1" t="str">
        <f ca="1">IFERROR(__xludf.DUMMYFUNCTION("GOOGLETRANSLATE(F11582, ""auto"", ""en"")
"),"It's a good thing, I bought it for my wife on New Year's Eve. I was satisfied. From my impressions, everything was done well. The power of the device is sufficient, i.e. the engine does not block, all attachments are made of steel, as written for surgical"&amp;" purposes. The nozzles do not rotate in the device, and they are unlikely to because they have the shape of a hexagon.")</f>
        <v>It's a good thing, I bought it for my wife on New Year's Eve. I was satisfied. From my impressions, everything was done well. The power of the device is sufficient, i.e. the engine does not block, all attachments are made of steel, as written for surgical purposes. The nozzles do not rotate in the device, and they are unlikely to because they have the shape of a hexagon.</v>
      </c>
    </row>
    <row r="11583" spans="1:9" x14ac:dyDescent="0.3">
      <c r="A11583" s="1" t="s">
        <v>120</v>
      </c>
      <c r="B11583" s="1" t="s">
        <v>126</v>
      </c>
      <c r="C11583" s="1" t="s">
        <v>151</v>
      </c>
      <c r="D11583" s="1" t="s">
        <v>52</v>
      </c>
      <c r="E11583" s="1" t="s">
        <v>41</v>
      </c>
      <c r="F11583" s="1" t="s">
        <v>16515</v>
      </c>
      <c r="G11583" s="1" t="s">
        <v>28</v>
      </c>
      <c r="H11583" s="1" t="s">
        <v>29</v>
      </c>
      <c r="I11583" s="1" t="str">
        <f ca="1">IFERROR(__xludf.DUMMYFUNCTION("GOOGLETRANSLATE(F11583, ""auto"", ""en"")
"),"I bought HDMI (DVI) and connected it from the computer to the TV, but there is no sound on the TV, there is a picture, maybe I didn’t turn something on, tell me.")</f>
        <v>I bought HDMI (DVI) and connected it from the computer to the TV, but there is no sound on the TV, there is a picture, maybe I didn’t turn something on, tell me.</v>
      </c>
    </row>
    <row r="11584" spans="1:9" x14ac:dyDescent="0.3">
      <c r="A11584" s="1" t="s">
        <v>211</v>
      </c>
      <c r="B11584" s="1" t="s">
        <v>856</v>
      </c>
      <c r="C11584" s="1" t="s">
        <v>101</v>
      </c>
      <c r="D11584" s="1" t="s">
        <v>2953</v>
      </c>
      <c r="E11584" s="1" t="s">
        <v>3712</v>
      </c>
      <c r="F11584" s="1" t="s">
        <v>16516</v>
      </c>
      <c r="G11584" s="1" t="s">
        <v>28</v>
      </c>
      <c r="H11584" s="1" t="s">
        <v>29</v>
      </c>
      <c r="I11584" s="1" t="str">
        <f ca="1">IFERROR(__xludf.DUMMYFUNCTION("GOOGLETRANSLATE(F11584, ""auto"", ""en"")
"),"Very convenient and easy to use set! Fits well in the hand and does the job. The machine has several attachments and two speeds; when you press hard on the nail, it does not turn off, but continues to work. It’s convenient that there is a backlight - you "&amp;"can see what you’re doing with your nails. And most importantly - inexpensive. Not the most powerful option, of course, but for a home manicure it’s just the thing!")</f>
        <v>Very convenient and easy to use set! Fits well in the hand and does the job. The machine has several attachments and two speeds; when you press hard on the nail, it does not turn off, but continues to work. It’s convenient that there is a backlight - you can see what you’re doing with your nails. And most importantly - inexpensive. Not the most powerful option, of course, but for a home manicure it’s just the thing!</v>
      </c>
    </row>
    <row r="11585" spans="1:9" x14ac:dyDescent="0.3">
      <c r="A11585" s="1" t="s">
        <v>78</v>
      </c>
      <c r="B11585" s="1" t="s">
        <v>79</v>
      </c>
      <c r="C11585" s="1" t="s">
        <v>151</v>
      </c>
      <c r="D11585" s="1" t="s">
        <v>1506</v>
      </c>
      <c r="E11585" s="1" t="s">
        <v>8688</v>
      </c>
      <c r="F11585" s="1" t="s">
        <v>16517</v>
      </c>
      <c r="G11585" s="1" t="s">
        <v>36</v>
      </c>
      <c r="H11585" s="1" t="s">
        <v>29</v>
      </c>
      <c r="I11585" s="1" t="str">
        <f ca="1">IFERROR(__xludf.DUMMYFUNCTION("GOOGLETRANSLATE(F11585, ""auto"", ""en"")
"),"A wonderful stove. It has worked for me and my parents for several years. This model has a bowl with a diameter of 28.8 cm, which is a huge plus and is extremely rare in other models.")</f>
        <v>A wonderful stove. It has worked for me and my parents for several years. This model has a bowl with a diameter of 28.8 cm, which is a huge plus and is extremely rare in other models.</v>
      </c>
    </row>
    <row r="11586" spans="1:9" x14ac:dyDescent="0.3">
      <c r="A11586" s="1" t="s">
        <v>37</v>
      </c>
      <c r="B11586" s="1" t="s">
        <v>536</v>
      </c>
      <c r="C11586" s="1" t="s">
        <v>151</v>
      </c>
      <c r="D11586" s="1" t="s">
        <v>305</v>
      </c>
      <c r="E11586" s="1" t="s">
        <v>2735</v>
      </c>
      <c r="F11586" s="1" t="s">
        <v>16518</v>
      </c>
      <c r="G11586" s="1" t="s">
        <v>28</v>
      </c>
      <c r="H11586" s="1" t="s">
        <v>29</v>
      </c>
      <c r="I11586" s="1" t="str">
        <f ca="1">IFERROR(__xludf.DUMMYFUNCTION("GOOGLETRANSLATE(F11586, ""auto"", ""en"")
"),"I bought it 2 weeks ago.  Everything is fine, but there are inconveniences: Separate stylus;  Combined connector for charging and headphones;  In addition, in dense clouds, GPS takes a very long time to connect with satellites. The sensitivity of the GPS "&amp;"receiver may be insufficient.  Otherwise, there are no complaints, it works very well...")</f>
        <v>I bought it 2 weeks ago.  Everything is fine, but there are inconveniences: Separate stylus;  Combined connector for charging and headphones;  In addition, in dense clouds, GPS takes a very long time to connect with satellites. The sensitivity of the GPS receiver may be insufficient.  Otherwise, there are no complaints, it works very well...</v>
      </c>
    </row>
    <row r="11587" spans="1:9" x14ac:dyDescent="0.3">
      <c r="A11587" s="1" t="s">
        <v>55</v>
      </c>
      <c r="B11587" s="1" t="s">
        <v>84</v>
      </c>
      <c r="C11587" s="1" t="s">
        <v>85</v>
      </c>
      <c r="D11587" s="1" t="s">
        <v>2145</v>
      </c>
      <c r="E11587" s="1" t="s">
        <v>4842</v>
      </c>
      <c r="F11587" s="1" t="s">
        <v>16519</v>
      </c>
      <c r="G11587" s="1" t="s">
        <v>36</v>
      </c>
      <c r="H11587" s="1" t="s">
        <v>29</v>
      </c>
      <c r="I11587" s="1" t="str">
        <f ca="1">IFERROR(__xludf.DUMMYFUNCTION("GOOGLETRANSLATE(F11587, ""auto"", ""en"")
"),"It cleans the air well, smog and smoke no longer bother you.")</f>
        <v>It cleans the air well, smog and smoke no longer bother you.</v>
      </c>
    </row>
    <row r="11588" spans="1:9" x14ac:dyDescent="0.3">
      <c r="A11588" s="1" t="s">
        <v>149</v>
      </c>
      <c r="B11588" s="1" t="s">
        <v>576</v>
      </c>
      <c r="C11588" s="1" t="s">
        <v>80</v>
      </c>
      <c r="D11588" s="1" t="s">
        <v>521</v>
      </c>
      <c r="E11588" s="1" t="s">
        <v>5803</v>
      </c>
      <c r="F11588" s="1" t="s">
        <v>16520</v>
      </c>
      <c r="G11588" s="1" t="s">
        <v>36</v>
      </c>
      <c r="H11588" s="1" t="s">
        <v>29</v>
      </c>
      <c r="I11588" s="1" t="str">
        <f ca="1">IFERROR(__xludf.DUMMYFUNCTION("GOOGLETRANSLATE(F11588, ""auto"", ""en"")
"),"The vacuum cleaner is very cool. It suctions well, leaving carpets looking like new, with raised pile. And it collects all the hair around the apartment perfectly. After cleaning with it, there is not a speck in the apartment! I recommend it to everyone! "&amp;"And the color is pleasant)")</f>
        <v>The vacuum cleaner is very cool. It suctions well, leaving carpets looking like new, with raised pile. And it collects all the hair around the apartment perfectly. After cleaning with it, there is not a speck in the apartment! I recommend it to everyone! And the color is pleasant)</v>
      </c>
    </row>
    <row r="11589" spans="1:9" x14ac:dyDescent="0.3">
      <c r="A11589" s="1" t="s">
        <v>61</v>
      </c>
      <c r="B11589" s="1" t="s">
        <v>318</v>
      </c>
      <c r="C11589" s="1" t="s">
        <v>57</v>
      </c>
      <c r="D11589" s="1" t="s">
        <v>565</v>
      </c>
      <c r="E11589" s="1" t="s">
        <v>4434</v>
      </c>
      <c r="F11589" s="1" t="s">
        <v>16521</v>
      </c>
      <c r="G11589" s="1" t="s">
        <v>49</v>
      </c>
      <c r="H11589" s="1" t="s">
        <v>16</v>
      </c>
      <c r="I11589" s="1" t="str">
        <f ca="1">IFERROR(__xludf.DUMMYFUNCTION("GOOGLETRANSLATE(F11589, ""auto"", ""en"")
"),"Hot water")</f>
        <v>Hot water</v>
      </c>
    </row>
    <row r="11590" spans="1:9" x14ac:dyDescent="0.3">
      <c r="A11590" s="1" t="s">
        <v>477</v>
      </c>
      <c r="B11590" s="1" t="s">
        <v>478</v>
      </c>
      <c r="C11590" s="1" t="s">
        <v>479</v>
      </c>
      <c r="D11590" s="1" t="s">
        <v>86</v>
      </c>
      <c r="E11590" s="1" t="s">
        <v>12712</v>
      </c>
      <c r="F11590" s="1" t="s">
        <v>16522</v>
      </c>
      <c r="G11590" s="1" t="s">
        <v>36</v>
      </c>
      <c r="H11590" s="1" t="s">
        <v>29</v>
      </c>
      <c r="I11590" s="1" t="str">
        <f ca="1">IFERROR(__xludf.DUMMYFUNCTION("GOOGLETRANSLATE(F11590, ""auto"", ""en"")
"),"very cool game")</f>
        <v>very cool game</v>
      </c>
    </row>
    <row r="11591" spans="1:9" x14ac:dyDescent="0.3">
      <c r="A11591" s="1" t="s">
        <v>95</v>
      </c>
      <c r="B11591" s="1" t="s">
        <v>648</v>
      </c>
      <c r="C11591" s="1" t="s">
        <v>97</v>
      </c>
      <c r="D11591" s="1" t="s">
        <v>891</v>
      </c>
      <c r="E11591" s="1" t="s">
        <v>3284</v>
      </c>
      <c r="F11591" s="1" t="s">
        <v>16523</v>
      </c>
      <c r="G11591" s="1" t="s">
        <v>36</v>
      </c>
      <c r="H11591" s="1" t="s">
        <v>29</v>
      </c>
      <c r="I11591" s="1" t="str">
        <f ca="1">IFERROR(__xludf.DUMMYFUNCTION("GOOGLETRANSLATE(F11591, ""auto"", ""en"")
"),"Who has already purchased it, please write down what version of the firmware it has...")</f>
        <v>Who has already purchased it, please write down what version of the firmware it has...</v>
      </c>
    </row>
    <row r="11592" spans="1:9" x14ac:dyDescent="0.3">
      <c r="A11592" s="1" t="s">
        <v>1119</v>
      </c>
      <c r="B11592" s="1" t="s">
        <v>1120</v>
      </c>
      <c r="C11592" s="1" t="s">
        <v>122</v>
      </c>
      <c r="D11592" s="1" t="s">
        <v>75</v>
      </c>
      <c r="E11592" s="1" t="s">
        <v>1310</v>
      </c>
      <c r="F11592" s="1" t="s">
        <v>16524</v>
      </c>
      <c r="G11592" s="1" t="s">
        <v>15</v>
      </c>
      <c r="H11592" s="1" t="s">
        <v>16</v>
      </c>
      <c r="I11592" s="1" t="str">
        <f ca="1">IFERROR(__xludf.DUMMYFUNCTION("GOOGLETRANSLATE(F11592, ""auto"", ""en"")
"),"The seller recommended it, but did not pay attention to the weak matrix, as the advantages of the 70x zoom and optical stabilizer were praised. As a result, the quality of the recording is disgusting, indoors is terrible - everything is dark yellow and bu"&amp;"rgundy, outdoors it’s too light - it’s blinding. The zoom is not needed at all, I don’t know if the stabilizer is good or not, but you still can’t hold it with one hand, everything twitches, only with both hands firmly and carefully. In general, I'm not h"&amp;"appy with the purchase. I paid 13 thousand in October.")</f>
        <v>The seller recommended it, but did not pay attention to the weak matrix, as the advantages of the 70x zoom and optical stabilizer were praised. As a result, the quality of the recording is disgusting, indoors is terrible - everything is dark yellow and burgundy, outdoors it’s too light - it’s blinding. The zoom is not needed at all, I don’t know if the stabilizer is good or not, but you still can’t hold it with one hand, everything twitches, only with both hands firmly and carefully. In general, I'm not happy with the purchase. I paid 13 thousand in October.</v>
      </c>
    </row>
    <row r="11593" spans="1:9" x14ac:dyDescent="0.3">
      <c r="A11593" s="1" t="s">
        <v>37</v>
      </c>
      <c r="B11593" s="1" t="s">
        <v>536</v>
      </c>
      <c r="C11593" s="1" t="s">
        <v>537</v>
      </c>
      <c r="D11593" s="1" t="s">
        <v>280</v>
      </c>
      <c r="E11593" s="1" t="s">
        <v>379</v>
      </c>
      <c r="F11593" s="1" t="s">
        <v>16525</v>
      </c>
      <c r="G11593" s="1" t="s">
        <v>36</v>
      </c>
      <c r="H11593" s="1" t="s">
        <v>29</v>
      </c>
      <c r="I11593" s="1" t="str">
        <f ca="1">IFERROR(__xludf.DUMMYFUNCTION("GOOGLETRANSLATE(F11593, ""auto"", ""en"")
"),"The OS is really 6.1, but if the handles are not crooked, everything will be fine, but if anyone likes the 3310, then use it and don’t go to the forum where they discuss advanced devices not for lamers... I can add from myself, the body is cool, no glitch"&amp;"es, + HTC produces the best communicators in the World!!!")</f>
        <v>The OS is really 6.1, but if the handles are not crooked, everything will be fine, but if anyone likes the 3310, then use it and don’t go to the forum where they discuss advanced devices not for lamers... I can add from myself, the body is cool, no glitches, + HTC produces the best communicators in the World!!!</v>
      </c>
    </row>
    <row r="11594" spans="1:9" x14ac:dyDescent="0.3">
      <c r="A11594" s="1" t="s">
        <v>17</v>
      </c>
      <c r="B11594" s="1" t="s">
        <v>18</v>
      </c>
      <c r="C11594" s="1" t="s">
        <v>159</v>
      </c>
      <c r="D11594" s="1" t="s">
        <v>2045</v>
      </c>
      <c r="E11594" s="1" t="s">
        <v>5879</v>
      </c>
      <c r="F11594" s="1" t="s">
        <v>16526</v>
      </c>
      <c r="G11594" s="1" t="s">
        <v>28</v>
      </c>
      <c r="H11594" s="1" t="s">
        <v>29</v>
      </c>
      <c r="I11594" s="1" t="str">
        <f ca="1">IFERROR(__xludf.DUMMYFUNCTION("GOOGLETRANSLATE(F11594, ""auto"", ""en"")
"),"The first time I started washing everything was fine, but the second time, it was just terrible. The machine was shaking, I thought the drum would fly out. The two of us held it. It turns out that's what was wrong. There are 3 transportation bolts (red) a"&amp;"t the back of the machine; they need to be pulled out. 2 small ones, and 1 large one from the top (which is larger, it’s a little hard to pull out, but it’s possible) When they were removed, there was no such shaking. At the moment the machine is working "&amp;"and I’m happy with everything, I hope the joy will not disappear in the future))")</f>
        <v>The first time I started washing everything was fine, but the second time, it was just terrible. The machine was shaking, I thought the drum would fly out. The two of us held it. It turns out that's what was wrong. There are 3 transportation bolts (red) at the back of the machine; they need to be pulled out. 2 small ones, and 1 large one from the top (which is larger, it’s a little hard to pull out, but it’s possible) When they were removed, there was no such shaking. At the moment the machine is working and I’m happy with everything, I hope the joy will not disappear in the future))</v>
      </c>
    </row>
    <row r="11595" spans="1:9" x14ac:dyDescent="0.3">
      <c r="A11595" s="1" t="s">
        <v>61</v>
      </c>
      <c r="B11595" s="1" t="s">
        <v>726</v>
      </c>
      <c r="C11595" s="1" t="s">
        <v>74</v>
      </c>
      <c r="D11595" s="1" t="s">
        <v>16527</v>
      </c>
      <c r="E11595" s="1" t="s">
        <v>4929</v>
      </c>
      <c r="F11595" s="1" t="s">
        <v>16528</v>
      </c>
      <c r="G11595" s="1" t="s">
        <v>28</v>
      </c>
      <c r="H11595" s="1" t="s">
        <v>29</v>
      </c>
      <c r="I11595" s="1" t="str">
        <f ca="1">IFERROR(__xludf.DUMMYFUNCTION("GOOGLETRANSLATE(F11595, ""auto"", ""en"")
"),"how to make dumpling dough on this bread machine?")</f>
        <v>how to make dumpling dough on this bread machine?</v>
      </c>
    </row>
    <row r="11596" spans="1:9" x14ac:dyDescent="0.3">
      <c r="A11596" s="1" t="s">
        <v>369</v>
      </c>
      <c r="B11596" s="1" t="s">
        <v>370</v>
      </c>
      <c r="C11596" s="1" t="s">
        <v>588</v>
      </c>
      <c r="D11596" s="1" t="s">
        <v>327</v>
      </c>
      <c r="E11596" s="1" t="s">
        <v>6916</v>
      </c>
      <c r="F11596" s="1" t="s">
        <v>16529</v>
      </c>
      <c r="G11596" s="1" t="s">
        <v>49</v>
      </c>
      <c r="H11596" s="1" t="s">
        <v>16</v>
      </c>
      <c r="I11596" s="1" t="str">
        <f ca="1">IFERROR(__xludf.DUMMYFUNCTION("GOOGLETRANSLATE(F11596, ""auto"", ""en"")
"),"This stove deserves no respect. Exactly a year later, the outer glass of the oven shattered. The service center said that in order to replace the glass, you need to order it from Germany and this pleasure will cost about 8 thousand. The paint also lasted "&amp;"a year and started to look like cobwebs. In general, the name of this stove is Money down the drain. So much for German quality))")</f>
        <v>This stove deserves no respect. Exactly a year later, the outer glass of the oven shattered. The service center said that in order to replace the glass, you need to order it from Germany and this pleasure will cost about 8 thousand. The paint also lasted a year and started to look like cobwebs. In general, the name of this stove is Money down the drain. So much for German quality))</v>
      </c>
    </row>
    <row r="11597" spans="1:9" x14ac:dyDescent="0.3">
      <c r="A11597" s="1" t="s">
        <v>206</v>
      </c>
      <c r="B11597" s="1" t="s">
        <v>207</v>
      </c>
      <c r="C11597" s="1" t="s">
        <v>152</v>
      </c>
      <c r="D11597" s="1" t="s">
        <v>139</v>
      </c>
      <c r="E11597" s="1" t="s">
        <v>2772</v>
      </c>
      <c r="F11597" s="1" t="s">
        <v>16530</v>
      </c>
      <c r="G11597" s="1" t="s">
        <v>28</v>
      </c>
      <c r="H11597" s="1" t="s">
        <v>29</v>
      </c>
      <c r="I11597" s="1" t="str">
        <f ca="1">IFERROR(__xludf.DUMMYFUNCTION("GOOGLETRANSLATE(F11597, ""auto"", ""en"")
"),"The first impression is quite positive! Very high quality workmanship - due to the rather low price, I examined it very carefully... I didn’t find any manufacturing mistakes - everything is done very high quality and beautifully (there are no plastic melt"&amp;"s or soldering! &amp;nbsp; Plus, rings for flush mounting are included in the kit!!! which is what I needed. An unpleasant surprise - there is no connection diagram either in the box or on it, which, in the presence of two white wires (regardless of the red s"&amp;"tripe on one) drives I have some thoughts about the connection. I can’t write anything specific about the sound quality - I installed it in the rear doors quite close to the main speakers, so it’s not particularly audible (if you don’t cover the main spea"&amp;"ker with a pillow), but they play harmoniously with the main speakers, they don’t spoil the sound and they don’t create sound distortion. There is an idea to duplicate the front speakers with the same tweeters, so I vote Yes!")</f>
        <v>The first impression is quite positive! Very high quality workmanship - due to the rather low price, I examined it very carefully... I didn’t find any manufacturing mistakes - everything is done very high quality and beautifully (there are no plastic melts or soldering! &amp;nbsp; Plus, rings for flush mounting are included in the kit!!! which is what I needed. An unpleasant surprise - there is no connection diagram either in the box or on it, which, in the presence of two white wires (regardless of the red stripe on one) drives I have some thoughts about the connection. I can’t write anything specific about the sound quality - I installed it in the rear doors quite close to the main speakers, so it’s not particularly audible (if you don’t cover the main speaker with a pillow), but they play harmoniously with the main speakers, they don’t spoil the sound and they don’t create sound distortion. There is an idea to duplicate the front speakers with the same tweeters, so I vote Yes!</v>
      </c>
    </row>
    <row r="11598" spans="1:9" x14ac:dyDescent="0.3">
      <c r="A11598" s="1" t="s">
        <v>95</v>
      </c>
      <c r="B11598" s="1" t="s">
        <v>4131</v>
      </c>
      <c r="C11598" s="1" t="s">
        <v>97</v>
      </c>
      <c r="D11598" s="1" t="s">
        <v>568</v>
      </c>
      <c r="E11598" s="1" t="s">
        <v>14444</v>
      </c>
      <c r="F11598" s="1" t="s">
        <v>16531</v>
      </c>
      <c r="G11598" s="1" t="s">
        <v>36</v>
      </c>
      <c r="H11598" s="1" t="s">
        <v>29</v>
      </c>
      <c r="I11598" s="1" t="str">
        <f ca="1">IFERROR(__xludf.DUMMYFUNCTION("GOOGLETRANSLATE(F11598, ""auto"", ""en"")
"),"I'm happy with the console and the game. I advise you to take it!")</f>
        <v>I'm happy with the console and the game. I advise you to take it!</v>
      </c>
    </row>
    <row r="11599" spans="1:9" x14ac:dyDescent="0.3">
      <c r="A11599" s="1" t="s">
        <v>624</v>
      </c>
      <c r="B11599" s="1" t="s">
        <v>625</v>
      </c>
      <c r="C11599" s="1" t="s">
        <v>479</v>
      </c>
      <c r="D11599" s="1" t="s">
        <v>280</v>
      </c>
      <c r="E11599" s="1" t="s">
        <v>2874</v>
      </c>
      <c r="F11599" s="1" t="s">
        <v>16532</v>
      </c>
      <c r="G11599" s="1" t="s">
        <v>36</v>
      </c>
      <c r="H11599" s="1" t="s">
        <v>29</v>
      </c>
      <c r="I11599" s="1" t="str">
        <f ca="1">IFERROR(__xludf.DUMMYFUNCTION("GOOGLETRANSLATE(F11599, ""auto"", ""en"")
"),"If you want to take the final game, then take it on the PS3, and not on the box, where the game plays on three discs and in a highly compressed resolution.")</f>
        <v>If you want to take the final game, then take it on the PS3, and not on the box, where the game plays on three discs and in a highly compressed resolution.</v>
      </c>
    </row>
    <row r="11600" spans="1:9" x14ac:dyDescent="0.3">
      <c r="A11600" s="1" t="s">
        <v>61</v>
      </c>
      <c r="B11600" s="1" t="s">
        <v>145</v>
      </c>
      <c r="C11600" s="1" t="s">
        <v>246</v>
      </c>
      <c r="D11600" s="1" t="s">
        <v>592</v>
      </c>
      <c r="E11600" s="1" t="s">
        <v>6752</v>
      </c>
      <c r="F11600" s="1" t="s">
        <v>16533</v>
      </c>
      <c r="G11600" s="1" t="s">
        <v>36</v>
      </c>
      <c r="H11600" s="1" t="s">
        <v>29</v>
      </c>
      <c r="I11600" s="1" t="str">
        <f ca="1">IFERROR(__xludf.DUMMYFUNCTION("GOOGLETRANSLATE(F11600, ""auto"", ""en"")
"),"Tears off cans effortlessly, easily and quickly. And now there are no problems with sharpening knives. A necessary thing and an irreplaceable assistant. And I don’t agree with the previous comment, it’s cumbersome!!! Convenient, compact, there is a compar"&amp;"tment for storing the cord. In general, I recommend it!!! Buy!!! You won't regret it!!!")</f>
        <v>Tears off cans effortlessly, easily and quickly. And now there are no problems with sharpening knives. A necessary thing and an irreplaceable assistant. And I don’t agree with the previous comment, it’s cumbersome!!! Convenient, compact, there is a compartment for storing the cord. In general, I recommend it!!! Buy!!! You won't regret it!!!</v>
      </c>
    </row>
    <row r="11601" spans="1:9" x14ac:dyDescent="0.3">
      <c r="A11601" s="1" t="s">
        <v>369</v>
      </c>
      <c r="B11601" s="1" t="s">
        <v>2480</v>
      </c>
      <c r="C11601" s="1" t="s">
        <v>453</v>
      </c>
      <c r="D11601" s="1" t="s">
        <v>304</v>
      </c>
      <c r="E11601" s="1" t="s">
        <v>16228</v>
      </c>
      <c r="F11601" s="1" t="s">
        <v>16534</v>
      </c>
      <c r="G11601" s="1" t="s">
        <v>49</v>
      </c>
      <c r="H11601" s="1" t="s">
        <v>16</v>
      </c>
      <c r="I11601" s="1" t="str">
        <f ca="1">IFERROR(__xludf.DUMMYFUNCTION("GOOGLETRANSLATE(F11601, ""auto"", ""en"")
"),"This tile worked for 8 months and stopped working.((It took a very long time to warm up and cool down.")</f>
        <v>This tile worked for 8 months and stopped working.((It took a very long time to warm up and cool down.</v>
      </c>
    </row>
    <row r="11602" spans="1:9" x14ac:dyDescent="0.3">
      <c r="A11602" s="1" t="s">
        <v>61</v>
      </c>
      <c r="B11602" s="1" t="s">
        <v>318</v>
      </c>
      <c r="C11602" s="1" t="s">
        <v>69</v>
      </c>
      <c r="D11602" s="1" t="s">
        <v>152</v>
      </c>
      <c r="E11602" s="1" t="s">
        <v>8784</v>
      </c>
      <c r="F11602" s="1" t="s">
        <v>16535</v>
      </c>
      <c r="G11602" s="1" t="s">
        <v>15</v>
      </c>
      <c r="H11602" s="1" t="s">
        <v>16</v>
      </c>
      <c r="I11602" s="1" t="str">
        <f ca="1">IFERROR(__xludf.DUMMYFUNCTION("GOOGLETRANSLATE(F11602, ""auto"", ""en"")
"),"The kettle only worked for a week - after that a terrible taste of burnt plastic began - don’t buy it, I don’t recommend it!!! Take a white plastic kettle.")</f>
        <v>The kettle only worked for a week - after that a terrible taste of burnt plastic began - don’t buy it, I don’t recommend it!!! Take a white plastic kettle.</v>
      </c>
    </row>
    <row r="11603" spans="1:9" x14ac:dyDescent="0.3">
      <c r="A11603" s="1" t="s">
        <v>477</v>
      </c>
      <c r="B11603" s="1" t="s">
        <v>478</v>
      </c>
      <c r="C11603" s="1" t="s">
        <v>479</v>
      </c>
      <c r="D11603" s="1" t="s">
        <v>1917</v>
      </c>
      <c r="E11603" s="1" t="s">
        <v>3184</v>
      </c>
      <c r="F11603" s="1" t="s">
        <v>16536</v>
      </c>
      <c r="G11603" s="1" t="s">
        <v>36</v>
      </c>
      <c r="H11603" s="1" t="s">
        <v>29</v>
      </c>
      <c r="I11603" s="1" t="str">
        <f ca="1">IFERROR(__xludf.DUMMYFUNCTION("GOOGLETRANSLATE(F11603, ""auto"", ""en"")
"),"This is the coolest online game I've ever seen...")</f>
        <v>This is the coolest online game I've ever seen...</v>
      </c>
    </row>
    <row r="11604" spans="1:9" x14ac:dyDescent="0.3">
      <c r="A11604" s="1" t="s">
        <v>61</v>
      </c>
      <c r="B11604" s="1" t="s">
        <v>318</v>
      </c>
      <c r="C11604" s="1" t="s">
        <v>101</v>
      </c>
      <c r="D11604" s="1" t="s">
        <v>308</v>
      </c>
      <c r="E11604" s="1" t="s">
        <v>1270</v>
      </c>
      <c r="F11604" s="1" t="s">
        <v>16537</v>
      </c>
      <c r="G11604" s="1" t="s">
        <v>36</v>
      </c>
      <c r="H11604" s="1" t="s">
        <v>29</v>
      </c>
      <c r="I11604" s="1" t="str">
        <f ca="1">IFERROR(__xludf.DUMMYFUNCTION("GOOGLETRANSLATE(F11604, ""auto"", ""en"")
"),"I bought this kettle, it heats up great, it’s fast, although it’s a little noisy, but I’m happy with the purchase.")</f>
        <v>I bought this kettle, it heats up great, it’s fast, although it’s a little noisy, but I’m happy with the purchase.</v>
      </c>
    </row>
    <row r="11605" spans="1:9" x14ac:dyDescent="0.3">
      <c r="A11605" s="1" t="s">
        <v>169</v>
      </c>
      <c r="B11605" s="1" t="s">
        <v>170</v>
      </c>
      <c r="C11605" s="1" t="s">
        <v>171</v>
      </c>
      <c r="D11605" s="1" t="s">
        <v>16538</v>
      </c>
      <c r="E11605" s="1" t="s">
        <v>532</v>
      </c>
      <c r="F11605" s="1" t="s">
        <v>16539</v>
      </c>
      <c r="G11605" s="1" t="s">
        <v>36</v>
      </c>
      <c r="H11605" s="1" t="s">
        <v>29</v>
      </c>
      <c r="I11605" s="1" t="str">
        <f ca="1">IFERROR(__xludf.DUMMYFUNCTION("GOOGLETRANSLATE(F11605, ""auto"", ""en"")
"),"I've had these headphones for a year now, I listen to them often, I have no complaints. I wouldn’t say that the contacts fall off and the wires are flimsy; for the price they are very good!")</f>
        <v>I've had these headphones for a year now, I listen to them often, I have no complaints. I wouldn’t say that the contacts fall off and the wires are flimsy; for the price they are very good!</v>
      </c>
    </row>
    <row r="11606" spans="1:9" x14ac:dyDescent="0.3">
      <c r="A11606" s="1" t="s">
        <v>211</v>
      </c>
      <c r="B11606" s="1" t="s">
        <v>212</v>
      </c>
      <c r="C11606" s="1" t="s">
        <v>69</v>
      </c>
      <c r="D11606" s="1" t="s">
        <v>592</v>
      </c>
      <c r="E11606" s="1" t="s">
        <v>2038</v>
      </c>
      <c r="F11606" s="1" t="s">
        <v>16540</v>
      </c>
      <c r="G11606" s="1" t="s">
        <v>36</v>
      </c>
      <c r="H11606" s="1" t="s">
        <v>29</v>
      </c>
      <c r="I11606" s="1" t="str">
        <f ca="1">IFERROR(__xludf.DUMMYFUNCTION("GOOGLETRANSLATE(F11606, ""auto"", ""en"")
"),"I have been using this hairdryer for 5 years now, and no comments!!!!!! I recommend it!!!!")</f>
        <v>I have been using this hairdryer for 5 years now, and no comments!!!!!! I recommend it!!!!</v>
      </c>
    </row>
    <row r="11607" spans="1:9" x14ac:dyDescent="0.3">
      <c r="A11607" s="1" t="s">
        <v>61</v>
      </c>
      <c r="B11607" s="1" t="s">
        <v>977</v>
      </c>
      <c r="C11607" s="1" t="s">
        <v>69</v>
      </c>
      <c r="D11607" s="1" t="s">
        <v>295</v>
      </c>
      <c r="E11607" s="1" t="s">
        <v>2514</v>
      </c>
      <c r="F11607" s="1" t="s">
        <v>16541</v>
      </c>
      <c r="G11607" s="1" t="s">
        <v>36</v>
      </c>
      <c r="H11607" s="1" t="s">
        <v>29</v>
      </c>
      <c r="I11607" s="1" t="str">
        <f ca="1">IFERROR(__xludf.DUMMYFUNCTION("GOOGLETRANSLATE(F11607, ""auto"", ""en"")
"),"I bought it about two weeks ago, and now it is my indispensable assistant in the kitchen. I make chicken cutlets in it, and jam and delicious cocktails")</f>
        <v>I bought it about two weeks ago, and now it is my indispensable assistant in the kitchen. I make chicken cutlets in it, and jam and delicious cocktails</v>
      </c>
    </row>
    <row r="11608" spans="1:9" x14ac:dyDescent="0.3">
      <c r="A11608" s="1" t="s">
        <v>120</v>
      </c>
      <c r="B11608" s="1" t="s">
        <v>196</v>
      </c>
      <c r="C11608" s="1" t="s">
        <v>97</v>
      </c>
      <c r="D11608" s="1" t="s">
        <v>633</v>
      </c>
      <c r="E11608" s="1" t="s">
        <v>1190</v>
      </c>
      <c r="F11608" s="1" t="s">
        <v>16542</v>
      </c>
      <c r="G11608" s="1" t="s">
        <v>36</v>
      </c>
      <c r="H11608" s="1" t="s">
        <v>29</v>
      </c>
      <c r="I11608" s="1" t="str">
        <f ca="1">IFERROR(__xludf.DUMMYFUNCTION("GOOGLETRANSLATE(F11608, ""auto"", ""en"")
"),"A very good TV. Totally worth the money and not on par with its closest competitors. The only drawback is that the model is already old, if not physically, then morally for sure. (produced since October 2008) Very bright, saturated colors, transmission fr"&amp;"om a computer via HDMI is exactly the same. There are a lot of really necessary settings, the backlight of the remote control and the remote control itself - you couldn’t ask for anything better. I bought it on February 8, 2010. I have never regretted it,"&amp;" I recommend it to everyone, it’s a worthy thing.")</f>
        <v>A very good TV. Totally worth the money and not on par with its closest competitors. The only drawback is that the model is already old, if not physically, then morally for sure. (produced since October 2008) Very bright, saturated colors, transmission from a computer via HDMI is exactly the same. There are a lot of really necessary settings, the backlight of the remote control and the remote control itself - you couldn’t ask for anything better. I bought it on February 8, 2010. I have never regretted it, I recommend it to everyone, it’s a worthy thing.</v>
      </c>
    </row>
    <row r="11609" spans="1:9" x14ac:dyDescent="0.3">
      <c r="A11609" s="1" t="s">
        <v>373</v>
      </c>
      <c r="B11609" s="1" t="s">
        <v>374</v>
      </c>
      <c r="C11609" s="1" t="s">
        <v>24</v>
      </c>
      <c r="D11609" s="1" t="s">
        <v>75</v>
      </c>
      <c r="E11609" s="1" t="s">
        <v>1273</v>
      </c>
      <c r="F11609" s="1" t="s">
        <v>16543</v>
      </c>
      <c r="G11609" s="1" t="s">
        <v>28</v>
      </c>
      <c r="H11609" s="1" t="s">
        <v>29</v>
      </c>
      <c r="I11609" s="1" t="str">
        <f ca="1">IFERROR(__xludf.DUMMYFUNCTION("GOOGLETRANSLATE(F11609, ""auto"", ""en"")
"),"We've wanted a dishwasher for a long time, but finances didn't allow it. After another trip to Mvideo, we were shocked by the price and bought it! We've been using it for about a week now, no complaints! excellent value for money!")</f>
        <v>We've wanted a dishwasher for a long time, but finances didn't allow it. After another trip to Mvideo, we were shocked by the price and bought it! We've been using it for about a week now, no complaints! excellent value for money!</v>
      </c>
    </row>
    <row r="11610" spans="1:9" x14ac:dyDescent="0.3">
      <c r="A11610" s="1" t="s">
        <v>37</v>
      </c>
      <c r="B11610" s="1" t="s">
        <v>38</v>
      </c>
      <c r="C11610" s="1" t="s">
        <v>39</v>
      </c>
      <c r="D11610" s="1" t="s">
        <v>69</v>
      </c>
      <c r="E11610" s="1" t="s">
        <v>864</v>
      </c>
      <c r="F11610" s="1" t="s">
        <v>16544</v>
      </c>
      <c r="G11610" s="1" t="s">
        <v>49</v>
      </c>
      <c r="H11610" s="1" t="s">
        <v>16</v>
      </c>
      <c r="I11610" s="1" t="str">
        <f ca="1">IFERROR(__xludf.DUMMYFUNCTION("GOOGLETRANSLATE(F11610, ""auto"", ""en"")
"),"The phone is so-so, most of all for women, the price is cheap, it will do, the sound is not very good......")</f>
        <v>The phone is so-so, most of all for women, the price is cheap, it will do, the sound is not very good......</v>
      </c>
    </row>
    <row r="11611" spans="1:9" x14ac:dyDescent="0.3">
      <c r="A11611" s="1" t="s">
        <v>43</v>
      </c>
      <c r="B11611" s="1" t="s">
        <v>303</v>
      </c>
      <c r="C11611" s="1" t="s">
        <v>2292</v>
      </c>
      <c r="D11611" s="1" t="s">
        <v>152</v>
      </c>
      <c r="E11611" s="1" t="s">
        <v>2275</v>
      </c>
      <c r="F11611" s="1" t="s">
        <v>16545</v>
      </c>
      <c r="G11611" s="1" t="s">
        <v>36</v>
      </c>
      <c r="H11611" s="1" t="s">
        <v>29</v>
      </c>
      <c r="I11611" s="1" t="str">
        <f ca="1">IFERROR(__xludf.DUMMYFUNCTION("GOOGLETRANSLATE(F11611, ""auto"", ""en"")
"),"Good water heater. Keeps warm water for a long time when turned off. The downside is that the kit does not include dowel bolts for installation and there is no provision for draining water, but in principle it all costs a penny.")</f>
        <v>Good water heater. Keeps warm water for a long time when turned off. The downside is that the kit does not include dowel bolts for installation and there is no provision for draining water, but in principle it all costs a penny.</v>
      </c>
    </row>
    <row r="11612" spans="1:9" x14ac:dyDescent="0.3">
      <c r="A11612" s="1" t="s">
        <v>1443</v>
      </c>
      <c r="B11612" s="1" t="s">
        <v>1444</v>
      </c>
      <c r="C11612" s="1" t="s">
        <v>1489</v>
      </c>
      <c r="D11612" s="1" t="s">
        <v>11480</v>
      </c>
      <c r="E11612" s="1" t="s">
        <v>980</v>
      </c>
      <c r="F11612" s="1" t="s">
        <v>16546</v>
      </c>
      <c r="G11612" s="1" t="s">
        <v>36</v>
      </c>
      <c r="H11612" s="1" t="s">
        <v>29</v>
      </c>
      <c r="I11612" s="1" t="str">
        <f ca="1">IFERROR(__xludf.DUMMYFUNCTION("GOOGLETRANSLATE(F11612, ""auto"", ""en"")
"),"The flash drive is just like a flash drive, nothing special... But after a year it stopped working. When you insert the flash drive into the computer, autorun appears... and then closes. After a second, autostart turns on again and closes again. As a resu"&amp;"lt, the flash drive is unreadable and the computer freezes.")</f>
        <v>The flash drive is just like a flash drive, nothing special... But after a year it stopped working. When you insert the flash drive into the computer, autorun appears... and then closes. After a second, autostart turns on again and closes again. As a result, the flash drive is unreadable and the computer freezes.</v>
      </c>
    </row>
    <row r="11613" spans="1:9" x14ac:dyDescent="0.3">
      <c r="A11613" s="1" t="s">
        <v>37</v>
      </c>
      <c r="B11613" s="1" t="s">
        <v>38</v>
      </c>
      <c r="C11613" s="1" t="s">
        <v>39</v>
      </c>
      <c r="D11613" s="1" t="s">
        <v>16547</v>
      </c>
      <c r="E11613" s="1" t="s">
        <v>2360</v>
      </c>
      <c r="F11613" s="1" t="s">
        <v>16548</v>
      </c>
      <c r="G11613" s="1" t="s">
        <v>36</v>
      </c>
      <c r="H11613" s="1" t="s">
        <v>29</v>
      </c>
      <c r="I11613" s="1" t="str">
        <f ca="1">IFERROR(__xludf.DUMMYFUNCTION("GOOGLETRANSLATE(F11613, ""auto"", ""en"")
"),"The device is simply cool, everything is civilized, there are minor drawbacks: it’s not convenient for me, because the buttons are not very convenient to press to quickly type a message. Everything works as efficiently as in a “pharmacy”, if you know how "&amp;"to use it... I was pleased with the camera. The design is good. Very good phone, worth the money.")</f>
        <v>The device is simply cool, everything is civilized, there are minor drawbacks: it’s not convenient for me, because the buttons are not very convenient to press to quickly type a message. Everything works as efficiently as in a “pharmacy”, if you know how to use it... I was pleased with the camera. The design is good. Very good phone, worth the money.</v>
      </c>
    </row>
    <row r="11614" spans="1:9" x14ac:dyDescent="0.3">
      <c r="A11614" s="1" t="s">
        <v>17</v>
      </c>
      <c r="B11614" s="1" t="s">
        <v>18</v>
      </c>
      <c r="C11614" s="1" t="s">
        <v>885</v>
      </c>
      <c r="D11614" s="1" t="s">
        <v>589</v>
      </c>
      <c r="E11614" s="1" t="s">
        <v>5419</v>
      </c>
      <c r="F11614" s="1" t="s">
        <v>16549</v>
      </c>
      <c r="G11614" s="1" t="s">
        <v>28</v>
      </c>
      <c r="H11614" s="1" t="s">
        <v>29</v>
      </c>
      <c r="I11614" s="1" t="str">
        <f ca="1">IFERROR(__xludf.DUMMYFUNCTION("GOOGLETRANSLATE(F11614, ""auto"", ""en"")
"),"I purchased this machine, everything seemed simple and easy and it seemed like there shouldn’t be any problems, but I was very surprised when, after the first use, the next day they found a puddle under the machine, apparently the water supply sleeve to t"&amp;"he machine was leaking. The instructions say that the water must be turned off each time after use, but I intended to build the machine into the kitchen furniture and naturally there would be no access to the water, so I was slightly disappointed.")</f>
        <v>I purchased this machine, everything seemed simple and easy and it seemed like there shouldn’t be any problems, but I was very surprised when, after the first use, the next day they found a puddle under the machine, apparently the water supply sleeve to the machine was leaking. The instructions say that the water must be turned off each time after use, but I intended to build the machine into the kitchen furniture and naturally there would be no access to the water, so I was slightly disappointed.</v>
      </c>
    </row>
    <row r="11615" spans="1:9" x14ac:dyDescent="0.3">
      <c r="A11615" s="1" t="s">
        <v>67</v>
      </c>
      <c r="B11615" s="1" t="s">
        <v>68</v>
      </c>
      <c r="C11615" s="1" t="s">
        <v>101</v>
      </c>
      <c r="D11615" s="1" t="s">
        <v>16550</v>
      </c>
      <c r="E11615" s="1" t="s">
        <v>5417</v>
      </c>
      <c r="F11615" s="1" t="s">
        <v>16551</v>
      </c>
      <c r="G11615" s="1" t="s">
        <v>28</v>
      </c>
      <c r="H11615" s="1" t="s">
        <v>29</v>
      </c>
      <c r="I11615" s="1" t="str">
        <f ca="1">IFERROR(__xludf.DUMMYFUNCTION("GOOGLETRANSLATE(F11615, ""auto"", ""en"")
"),"Of course, it is naive to expect all the functions in such a small iron. But for the road it is simply excellent. I often travel between cities, and I can’t live without such a thing. It works well on my clothes, nothing sticks or burns. Vertical steaming"&amp;" really can’t compare with a full-fledged steamer - but I don’t need to iron curtains while traveling, and it’s enough for a dress or blouse.")</f>
        <v>Of course, it is naive to expect all the functions in such a small iron. But for the road it is simply excellent. I often travel between cities, and I can’t live without such a thing. It works well on my clothes, nothing sticks or burns. Vertical steaming really can’t compare with a full-fledged steamer - but I don’t need to iron curtains while traveling, and it’s enough for a dress or blouse.</v>
      </c>
    </row>
    <row r="11616" spans="1:9" x14ac:dyDescent="0.3">
      <c r="A11616" s="1" t="s">
        <v>9</v>
      </c>
      <c r="B11616" s="1" t="s">
        <v>10</v>
      </c>
      <c r="C11616" s="1" t="s">
        <v>466</v>
      </c>
      <c r="D11616" s="1" t="s">
        <v>240</v>
      </c>
      <c r="E11616" s="1" t="s">
        <v>16552</v>
      </c>
      <c r="F11616" s="1" t="s">
        <v>16553</v>
      </c>
      <c r="G11616" s="1" t="s">
        <v>36</v>
      </c>
      <c r="H11616" s="1" t="s">
        <v>29</v>
      </c>
      <c r="I11616" s="1" t="str">
        <f ca="1">IFERROR(__xludf.DUMMYFUNCTION("GOOGLETRANSLATE(F11616, ""auto"", ""en"")
"),"If the C symbol lights up: After 60 hours of operation of the hood, the C symbol appears on the display, warning you that the aluminum grease filter needs to be cleaned. After cleaning the filter (see p. Maintenance and care of the hood) and installing it"&amp;" in the hood, press button 1 and hold it for 3 or more seconds. After this, the C symbol will disappear and the E symbol will appear on the display, meaning that the hood is again ready for normal operation.")</f>
        <v>If the C symbol lights up: After 60 hours of operation of the hood, the C symbol appears on the display, warning you that the aluminum grease filter needs to be cleaned. After cleaning the filter (see p. Maintenance and care of the hood) and installing it in the hood, press button 1 and hold it for 3 or more seconds. After this, the C symbol will disappear and the E symbol will appear on the display, meaning that the hood is again ready for normal operation.</v>
      </c>
    </row>
    <row r="11617" spans="1:9" x14ac:dyDescent="0.3">
      <c r="A11617" s="1" t="s">
        <v>206</v>
      </c>
      <c r="B11617" s="1" t="s">
        <v>1349</v>
      </c>
      <c r="C11617" s="1" t="s">
        <v>351</v>
      </c>
      <c r="D11617" s="1" t="s">
        <v>690</v>
      </c>
      <c r="E11617" s="1" t="s">
        <v>1384</v>
      </c>
      <c r="F11617" s="1" t="s">
        <v>16554</v>
      </c>
      <c r="G11617" s="1" t="s">
        <v>49</v>
      </c>
      <c r="H11617" s="1" t="s">
        <v>16</v>
      </c>
      <c r="I11617" s="1" t="str">
        <f ca="1">IFERROR(__xludf.DUMMYFUNCTION("GOOGLETRANSLATE(F11617, ""auto"", ""en"")
"),"It broke on the second day. Doesn't read DVDs. Well, at least they changed it to Sony MP3.")</f>
        <v>It broke on the second day. Doesn't read DVDs. Well, at least they changed it to Sony MP3.</v>
      </c>
    </row>
    <row r="11618" spans="1:9" x14ac:dyDescent="0.3">
      <c r="A11618" s="1" t="s">
        <v>43</v>
      </c>
      <c r="B11618" s="1" t="s">
        <v>502</v>
      </c>
      <c r="C11618" s="1" t="s">
        <v>138</v>
      </c>
      <c r="D11618" s="1" t="s">
        <v>940</v>
      </c>
      <c r="E11618" s="1" t="s">
        <v>956</v>
      </c>
      <c r="F11618" s="1" t="s">
        <v>16555</v>
      </c>
      <c r="G11618" s="1" t="s">
        <v>49</v>
      </c>
      <c r="H11618" s="1" t="s">
        <v>16</v>
      </c>
      <c r="I11618" s="1" t="str">
        <f ca="1">IFERROR(__xludf.DUMMYFUNCTION("GOOGLETRANSLATE(F11618, ""auto"", ""en"")
"),"The quality of the split system is terrible. I won’t recommend it to anyone - you’ll be tortured.")</f>
        <v>The quality of the split system is terrible. I won’t recommend it to anyone - you’ll be tortured.</v>
      </c>
    </row>
    <row r="11619" spans="1:9" x14ac:dyDescent="0.3">
      <c r="A11619" s="1" t="s">
        <v>149</v>
      </c>
      <c r="B11619" s="1" t="s">
        <v>423</v>
      </c>
      <c r="C11619" s="1" t="s">
        <v>424</v>
      </c>
      <c r="D11619" s="1" t="s">
        <v>16556</v>
      </c>
      <c r="E11619" s="1" t="s">
        <v>4690</v>
      </c>
      <c r="F11619" s="1" t="s">
        <v>16557</v>
      </c>
      <c r="G11619" s="1" t="s">
        <v>36</v>
      </c>
      <c r="H11619" s="1" t="s">
        <v>29</v>
      </c>
      <c r="I11619" s="1" t="str">
        <f ca="1">IFERROR(__xludf.DUMMYFUNCTION("GOOGLETRANSLATE(F11619, ""auto"", ""en"")
"),"Having studied all the pros and cons of washing vacuum cleaners, I clearly determined for myself that I need to have a washing vacuum cleaner and a regular one with a bag. As a result, you can effectively vacuum clean without any problems (neither adding "&amp;"water nor draining, nor drying anything), and when necessary, take out the detergent and do wet cleaning. Thus, an excellent vacuum cleaner for dry cleaning and this washing one were purchased. And it turned out to be more economical on the budget. Now ab"&amp;"out this vacuum cleaner. Sellers have incorrect information. This is not a vacuum cleaner for dry and wet cleaning, but a vacuum cleaner exclusively for wet cleaning (manufacturer information). If you vacuum it dry, most of the dust will get into the engi"&amp;"ne and into the air. There is no dust bag and no NAPA filters. But it washes very well. The design is simple and reliable. The plastic is strong, although it doesn't look like it. Very powerful (a bit noisy). It was a waste to make a telescopic pipe out o"&amp;"f stainless steel; it is too heavy and thus causes a lot of inconvenience. The floor brush has a poorly designed nipple for the cleaning liquid supply tube, due to the short length of which the nipple breaks off easily (this was fixed with epoxy, I advise"&amp;" you to immediately replace the tube with a longer one). There are few clips for attaching the detergent supply tube. Overall, this is a great device for the money. Bought at a 50% discount")</f>
        <v>Having studied all the pros and cons of washing vacuum cleaners, I clearly determined for myself that I need to have a washing vacuum cleaner and a regular one with a bag. As a result, you can effectively vacuum clean without any problems (neither adding water nor draining, nor drying anything), and when necessary, take out the detergent and do wet cleaning. Thus, an excellent vacuum cleaner for dry cleaning and this washing one were purchased. And it turned out to be more economical on the budget. Now about this vacuum cleaner. Sellers have incorrect information. This is not a vacuum cleaner for dry and wet cleaning, but a vacuum cleaner exclusively for wet cleaning (manufacturer information). If you vacuum it dry, most of the dust will get into the engine and into the air. There is no dust bag and no NAPA filters. But it washes very well. The design is simple and reliable. The plastic is strong, although it doesn't look like it. Very powerful (a bit noisy). It was a waste to make a telescopic pipe out of stainless steel; it is too heavy and thus causes a lot of inconvenience. The floor brush has a poorly designed nipple for the cleaning liquid supply tube, due to the short length of which the nipple breaks off easily (this was fixed with epoxy, I advise you to immediately replace the tube with a longer one). There are few clips for attaching the detergent supply tube. Overall, this is a great device for the money. Bought at a 50% discount</v>
      </c>
    </row>
    <row r="11620" spans="1:9" x14ac:dyDescent="0.3">
      <c r="A11620" s="1" t="s">
        <v>9</v>
      </c>
      <c r="B11620" s="1" t="s">
        <v>10</v>
      </c>
      <c r="C11620" s="1" t="s">
        <v>407</v>
      </c>
      <c r="D11620" s="1" t="s">
        <v>1055</v>
      </c>
      <c r="E11620" s="1" t="s">
        <v>9308</v>
      </c>
      <c r="F11620" s="1" t="s">
        <v>16558</v>
      </c>
      <c r="G11620" s="1" t="s">
        <v>28</v>
      </c>
      <c r="H11620" s="1" t="s">
        <v>29</v>
      </c>
      <c r="I11620" s="1" t="str">
        <f ca="1">IFERROR(__xludf.DUMMYFUNCTION("GOOGLETRANSLATE(F11620, ""auto"", ""en"")
"),"I've been using it for two months and I'm happy with everything. Yes, it makes noise at speeds 2-3, but you haven’t heard other hoods at these speeds. And this one works great on the first one (and there is practically no noise) and draws out without prob"&amp;"lems (considering that I smoke in the kitchen, Shindo is a real lifesaver!)")</f>
        <v>I've been using it for two months and I'm happy with everything. Yes, it makes noise at speeds 2-3, but you haven’t heard other hoods at these speeds. And this one works great on the first one (and there is practically no noise) and draws out without problems (considering that I smoke in the kitchen, Shindo is a real lifesaver!)</v>
      </c>
    </row>
    <row r="11621" spans="1:9" x14ac:dyDescent="0.3">
      <c r="A11621" s="1" t="s">
        <v>17</v>
      </c>
      <c r="B11621" s="1" t="s">
        <v>18</v>
      </c>
      <c r="C11621" s="1" t="s">
        <v>19</v>
      </c>
      <c r="D11621" s="1" t="s">
        <v>545</v>
      </c>
      <c r="E11621" s="1" t="s">
        <v>841</v>
      </c>
      <c r="F11621" s="1" t="s">
        <v>16559</v>
      </c>
      <c r="G11621" s="1" t="s">
        <v>15</v>
      </c>
      <c r="H11621" s="1" t="s">
        <v>16</v>
      </c>
      <c r="I11621" s="1" t="str">
        <f ca="1">IFERROR(__xludf.DUMMYFUNCTION("GOOGLETRANSLATE(F11621, ""auto"", ""en"")
"),"After installing the machine and starting washing, the electricity bills doubled! So, before this machine I paid an average of 250 rubles for electricity. per month. And now - 450 rubles for 2 weeks! (for 2 weeks in July and August I “sat at the dacha”). "&amp;"I purchased the machine in July from MVideo :(. Despite the fact that I do laundry no more than 4 times a month. It’s scary to imagine what kind of bills will come in the 4 weeks of September. And if, God forbid, I have to do laundry 6 times a month! A ni"&amp;"ghtmare")</f>
        <v>After installing the machine and starting washing, the electricity bills doubled! So, before this machine I paid an average of 250 rubles for electricity. per month. And now - 450 rubles for 2 weeks! (for 2 weeks in July and August I “sat at the dacha”). I purchased the machine in July from MVideo :(. Despite the fact that I do laundry no more than 4 times a month. It’s scary to imagine what kind of bills will come in the 4 weeks of September. And if, God forbid, I have to do laundry 6 times a month! A nightmare</v>
      </c>
    </row>
    <row r="11622" spans="1:9" x14ac:dyDescent="0.3">
      <c r="A11622" s="1" t="s">
        <v>89</v>
      </c>
      <c r="B11622" s="1" t="s">
        <v>1106</v>
      </c>
      <c r="C11622" s="1" t="s">
        <v>246</v>
      </c>
      <c r="D11622" s="1" t="s">
        <v>20</v>
      </c>
      <c r="E11622" s="1" t="s">
        <v>1866</v>
      </c>
      <c r="F11622" s="1" t="s">
        <v>16560</v>
      </c>
      <c r="G11622" s="1" t="s">
        <v>36</v>
      </c>
      <c r="H11622" s="1" t="s">
        <v>29</v>
      </c>
      <c r="I11622" s="1" t="str">
        <f ca="1">IFERROR(__xludf.DUMMYFUNCTION("GOOGLETRANSLATE(F11622, ""auto"", ""en"")
"),"I took this coffee maker a couple of hours ago as an alternative to a regular kettle. The device is made with high quality, nothing wobbles, all parts fit tightly to each other - it’s a pleasure to use. In short, I haven’t found any cons yet, and I hope I"&amp;" never will.")</f>
        <v>I took this coffee maker a couple of hours ago as an alternative to a regular kettle. The device is made with high quality, nothing wobbles, all parts fit tightly to each other - it’s a pleasure to use. In short, I haven’t found any cons yet, and I hope I never will.</v>
      </c>
    </row>
    <row r="11623" spans="1:9" x14ac:dyDescent="0.3">
      <c r="A11623" s="1" t="s">
        <v>89</v>
      </c>
      <c r="B11623" s="1" t="s">
        <v>231</v>
      </c>
      <c r="C11623" s="1" t="s">
        <v>185</v>
      </c>
      <c r="D11623" s="1" t="s">
        <v>16561</v>
      </c>
      <c r="E11623" s="1" t="s">
        <v>16289</v>
      </c>
      <c r="F11623" s="1" t="s">
        <v>16562</v>
      </c>
      <c r="G11623" s="1" t="s">
        <v>36</v>
      </c>
      <c r="H11623" s="1" t="s">
        <v>29</v>
      </c>
      <c r="I11623" s="1" t="str">
        <f ca="1">IFERROR(__xludf.DUMMYFUNCTION("GOOGLETRANSLATE(F11623, ""auto"", ""en"")
"),"Great coffee machine")</f>
        <v>Great coffee machine</v>
      </c>
    </row>
    <row r="11624" spans="1:9" x14ac:dyDescent="0.3">
      <c r="A11624" s="1" t="s">
        <v>61</v>
      </c>
      <c r="B11624" s="1" t="s">
        <v>318</v>
      </c>
      <c r="C11624" s="1" t="s">
        <v>101</v>
      </c>
      <c r="D11624" s="1" t="s">
        <v>16563</v>
      </c>
      <c r="E11624" s="1" t="s">
        <v>3128</v>
      </c>
      <c r="F11624" s="1" t="s">
        <v>16564</v>
      </c>
      <c r="G11624" s="1" t="s">
        <v>36</v>
      </c>
      <c r="H11624" s="1" t="s">
        <v>29</v>
      </c>
      <c r="I11624" s="1" t="str">
        <f ca="1">IFERROR(__xludf.DUMMYFUNCTION("GOOGLETRANSLATE(F11624, ""auto"", ""en"")
"),"The kettle is excellent, it has been working for six months without any complaints. Always hot water. In the morning, however, it boils for a long time, so this is understandable.")</f>
        <v>The kettle is excellent, it has been working for six months without any complaints. Always hot water. In the morning, however, it boils for a long time, so this is understandable.</v>
      </c>
    </row>
    <row r="11625" spans="1:9" x14ac:dyDescent="0.3">
      <c r="A11625" s="1" t="s">
        <v>61</v>
      </c>
      <c r="B11625" s="1" t="s">
        <v>73</v>
      </c>
      <c r="C11625" s="1" t="s">
        <v>146</v>
      </c>
      <c r="D11625" s="1" t="s">
        <v>75</v>
      </c>
      <c r="E11625" s="1" t="s">
        <v>3186</v>
      </c>
      <c r="F11625" s="1" t="s">
        <v>16565</v>
      </c>
      <c r="G11625" s="1" t="s">
        <v>36</v>
      </c>
      <c r="H11625" s="1" t="s">
        <v>29</v>
      </c>
      <c r="I11625" s="1" t="str">
        <f ca="1">IFERROR(__xludf.DUMMYFUNCTION("GOOGLETRANSLATE(F11625, ""auto"", ""en"")
"),"Powerful, high speed, ease of use, compact, stylish, productive, in an affordable price segment. ")</f>
        <v xml:space="preserve">Powerful, high speed, ease of use, compact, stylish, productive, in an affordable price segment. </v>
      </c>
    </row>
    <row r="11626" spans="1:9" x14ac:dyDescent="0.3">
      <c r="A11626" s="1" t="s">
        <v>61</v>
      </c>
      <c r="B11626" s="1" t="s">
        <v>1727</v>
      </c>
      <c r="C11626" s="1" t="s">
        <v>122</v>
      </c>
      <c r="D11626" s="1" t="s">
        <v>545</v>
      </c>
      <c r="E11626" s="1" t="s">
        <v>1099</v>
      </c>
      <c r="F11626" s="1" t="s">
        <v>16566</v>
      </c>
      <c r="G11626" s="1" t="s">
        <v>36</v>
      </c>
      <c r="H11626" s="1" t="s">
        <v>29</v>
      </c>
      <c r="I11626" s="1" t="str">
        <f ca="1">IFERROR(__xludf.DUMMYFUNCTION("GOOGLETRANSLATE(F11626, ""auto"", ""en"")
"),"I have been using the multicooker for 1 year. I didn’t expect that she would be my assistant in preparing so many dishes.  Very pleased! I left the groceries and forgot. Convenient, tasty, healthy!  There are a lot of recipes on the Internet.  I recommend"&amp;" it to everyone!")</f>
        <v>I have been using the multicooker for 1 year. I didn’t expect that she would be my assistant in preparing so many dishes.  Very pleased! I left the groceries and forgot. Convenient, tasty, healthy!  There are a lot of recipes on the Internet.  I recommend it to everyone!</v>
      </c>
    </row>
    <row r="11627" spans="1:9" x14ac:dyDescent="0.3">
      <c r="A11627" s="1" t="s">
        <v>61</v>
      </c>
      <c r="B11627" s="1" t="s">
        <v>180</v>
      </c>
      <c r="C11627" s="1" t="s">
        <v>85</v>
      </c>
      <c r="D11627" s="1" t="s">
        <v>39</v>
      </c>
      <c r="E11627" s="1" t="s">
        <v>13681</v>
      </c>
      <c r="F11627" s="1" t="s">
        <v>16567</v>
      </c>
      <c r="G11627" s="1" t="s">
        <v>36</v>
      </c>
      <c r="H11627" s="1" t="s">
        <v>29</v>
      </c>
      <c r="I11627" s="1" t="str">
        <f ca="1">IFERROR(__xludf.DUMMYFUNCTION("GOOGLETRANSLATE(F11627, ""auto"", ""en"")
"),"I don’t understand who would fiercely downvote all the positive reviews? :) The toaster has no equal on the market, that's a fact. He earns his money. For those who have everything peeling off after washing, try not washing the kitchen with sulfuric acid."&amp;" Well, or don’t buy equipment on the top))))")</f>
        <v>I don’t understand who would fiercely downvote all the positive reviews? :) The toaster has no equal on the market, that's a fact. He earns his money. For those who have everything peeling off after washing, try not washing the kitchen with sulfuric acid. Well, or don’t buy equipment on the top))))</v>
      </c>
    </row>
    <row r="11628" spans="1:9" x14ac:dyDescent="0.3">
      <c r="A11628" s="1" t="s">
        <v>369</v>
      </c>
      <c r="B11628" s="1" t="s">
        <v>587</v>
      </c>
      <c r="C11628" s="1" t="s">
        <v>308</v>
      </c>
      <c r="D11628" s="1" t="s">
        <v>75</v>
      </c>
      <c r="E11628" s="1" t="s">
        <v>6618</v>
      </c>
      <c r="F11628" s="1" t="s">
        <v>16568</v>
      </c>
      <c r="G11628" s="1" t="s">
        <v>36</v>
      </c>
      <c r="H11628" s="1" t="s">
        <v>29</v>
      </c>
      <c r="I11628" s="1" t="str">
        <f ca="1">IFERROR(__xludf.DUMMYFUNCTION("GOOGLETRANSLATE(F11628, ""auto"", ""en"")
"),"We chose the stove based on the price, we’ve been using it for 1.5 months now, we’re happy with the purchase.  The burners and oven work great. I'm pleased with the oven thermostat, the ""minimum heat"" function and the appearance. Minor disadvantages: th"&amp;"e grill in the oven is a bit thin; when igniting the oven, you need to press hard on the tap handle, otherwise the gas will go out.  Overall, it's a good stove for the money.")</f>
        <v>We chose the stove based on the price, we’ve been using it for 1.5 months now, we’re happy with the purchase.  The burners and oven work great. I'm pleased with the oven thermostat, the "minimum heat" function and the appearance. Minor disadvantages: the grill in the oven is a bit thin; when igniting the oven, you need to press hard on the tap handle, otherwise the gas will go out.  Overall, it's a good stove for the money.</v>
      </c>
    </row>
    <row r="11629" spans="1:9" x14ac:dyDescent="0.3">
      <c r="A11629" s="1" t="s">
        <v>211</v>
      </c>
      <c r="B11629" s="1" t="s">
        <v>410</v>
      </c>
      <c r="C11629" s="1" t="s">
        <v>213</v>
      </c>
      <c r="D11629" s="1" t="s">
        <v>411</v>
      </c>
      <c r="E11629" s="1" t="s">
        <v>2298</v>
      </c>
      <c r="F11629" s="1" t="s">
        <v>16569</v>
      </c>
      <c r="G11629" s="1" t="s">
        <v>36</v>
      </c>
      <c r="H11629" s="1" t="s">
        <v>29</v>
      </c>
      <c r="I11629" s="1" t="str">
        <f ca="1">IFERROR(__xludf.DUMMYFUNCTION("GOOGLETRANSLATE(F11629, ""auto"", ""en"")
"),"The razor is excellent. The cleaning system is simply pleasing. One cleaning cartridge lasts for about a month and a half. It costs about three hundred rubles. It's cheaper than buying blades and after cleaning the razor is like new. There are no cons. Sk"&amp;"in irritation is out of the question.")</f>
        <v>The razor is excellent. The cleaning system is simply pleasing. One cleaning cartridge lasts for about a month and a half. It costs about three hundred rubles. It's cheaper than buying blades and after cleaning the razor is like new. There are no cons. Skin irritation is out of the question.</v>
      </c>
    </row>
    <row r="11630" spans="1:9" x14ac:dyDescent="0.3">
      <c r="A11630" s="1" t="s">
        <v>149</v>
      </c>
      <c r="B11630" s="1" t="s">
        <v>423</v>
      </c>
      <c r="C11630" s="1" t="s">
        <v>548</v>
      </c>
      <c r="D11630" s="1" t="s">
        <v>305</v>
      </c>
      <c r="E11630" s="1" t="s">
        <v>1883</v>
      </c>
      <c r="F11630" s="1" t="s">
        <v>16570</v>
      </c>
      <c r="G11630" s="1" t="s">
        <v>36</v>
      </c>
      <c r="H11630" s="1" t="s">
        <v>29</v>
      </c>
      <c r="I11630" s="1" t="str">
        <f ca="1">IFERROR(__xludf.DUMMYFUNCTION("GOOGLETRANSLATE(F11630, ""auto"", ""en"")
"),"Everything's great")</f>
        <v>Everything's great</v>
      </c>
    </row>
    <row r="11631" spans="1:9" x14ac:dyDescent="0.3">
      <c r="A11631" s="1" t="s">
        <v>30</v>
      </c>
      <c r="B11631" s="1" t="s">
        <v>50</v>
      </c>
      <c r="C11631" s="1" t="s">
        <v>189</v>
      </c>
      <c r="D11631" s="1" t="s">
        <v>152</v>
      </c>
      <c r="E11631" s="1" t="s">
        <v>6703</v>
      </c>
      <c r="F11631" s="1" t="s">
        <v>16571</v>
      </c>
      <c r="G11631" s="1" t="s">
        <v>36</v>
      </c>
      <c r="H11631" s="1" t="s">
        <v>29</v>
      </c>
      <c r="I11631" s="1" t="str">
        <f ca="1">IFERROR(__xludf.DUMMYFUNCTION("GOOGLETRANSLATE(F11631, ""auto"", ""en"")
"),"I've been using the laptop for a week.  The impressions are amazing.  A very powerful machine, it heats up very little and does not make any noise AT ALL!  all heavy applications work perfectly and quickly.  Seven is a little annoying, especially after XP"&amp;".  Well, I’m already used to it. I was pleased with the fairly large and bright screen.  Now the disadvantages (how could we live without them =)): Asus’s design - I personally don’t like it. The build quality is in doubt, I examined the keyboard and it f"&amp;"elt like after a year or a year and a half the buttons would fall off, although anything could happen... I didn’t like the too flimsy lid fastenings, if you constantly open and close the lid they won’t last long either...... I also personally don’t like t"&amp;"he gloss on the laptop - there are fingerprints everywhere, you have to constantly wipe with a cloth. for some, 3 usb ports may not be enough... and in general it has few connectors, so if you need a powerful, fast computer - take it - you won’t regret it"&amp;" (Stalker, Call of Pripyat without brakes on maximum settings - a blast! %) + GTA4 on medium settings is excellent) photoshop and other graphic and editing programs - everything works well and quite quickly.  if you need a beautiful appearance (taste and "&amp;"color....) and a balance between price and power, look for something else.")</f>
        <v>I've been using the laptop for a week.  The impressions are amazing.  A very powerful machine, it heats up very little and does not make any noise AT ALL!  all heavy applications work perfectly and quickly.  Seven is a little annoying, especially after XP.  Well, I’m already used to it. I was pleased with the fairly large and bright screen.  Now the disadvantages (how could we live without them =)): Asus’s design - I personally don’t like it. The build quality is in doubt, I examined the keyboard and it felt like after a year or a year and a half the buttons would fall off, although anything could happen... I didn’t like the too flimsy lid fastenings, if you constantly open and close the lid they won’t last long either...... I also personally don’t like the gloss on the laptop - there are fingerprints everywhere, you have to constantly wipe with a cloth. for some, 3 usb ports may not be enough... and in general it has few connectors, so if you need a powerful, fast computer - take it - you won’t regret it (Stalker, Call of Pripyat without brakes on maximum settings - a blast! %) + GTA4 on medium settings is excellent) photoshop and other graphic and editing programs - everything works well and quite quickly.  if you need a beautiful appearance (taste and color....) and a balance between price and power, look for something else.</v>
      </c>
    </row>
    <row r="11632" spans="1:9" x14ac:dyDescent="0.3">
      <c r="A11632" s="1" t="s">
        <v>95</v>
      </c>
      <c r="B11632" s="1" t="s">
        <v>402</v>
      </c>
      <c r="C11632" s="1" t="s">
        <v>403</v>
      </c>
      <c r="D11632" s="1" t="s">
        <v>75</v>
      </c>
      <c r="E11632" s="1" t="s">
        <v>1236</v>
      </c>
      <c r="F11632" s="1" t="s">
        <v>16572</v>
      </c>
      <c r="G11632" s="1" t="s">
        <v>36</v>
      </c>
      <c r="H11632" s="1" t="s">
        <v>29</v>
      </c>
      <c r="I11632" s="1" t="str">
        <f ca="1">IFERROR(__xludf.DUMMYFUNCTION("GOOGLETRANSLATE(F11632, ""auto"", ""en"")
"),"Just a super thing... I'm going to buy it one of these days...")</f>
        <v>Just a super thing... I'm going to buy it one of these days...</v>
      </c>
    </row>
    <row r="11633" spans="1:9" x14ac:dyDescent="0.3">
      <c r="A11633" s="1" t="s">
        <v>17</v>
      </c>
      <c r="B11633" s="1" t="s">
        <v>18</v>
      </c>
      <c r="C11633" s="1" t="s">
        <v>870</v>
      </c>
      <c r="D11633" s="1" t="s">
        <v>420</v>
      </c>
      <c r="E11633" s="1" t="s">
        <v>2275</v>
      </c>
      <c r="F11633" s="1" t="s">
        <v>16573</v>
      </c>
      <c r="G11633" s="1" t="s">
        <v>36</v>
      </c>
      <c r="H11633" s="1" t="s">
        <v>29</v>
      </c>
      <c r="I11633" s="1" t="str">
        <f ca="1">IFERROR(__xludf.DUMMYFUNCTION("GOOGLETRANSLATE(F11633, ""auto"", ""en"")
"),"Our machine is already 10 years old. All this time it worked flawlessly. But the years take their toll. The bearings on the drum have worn out. Tomorrow we'll go and buy a new one, exactly like this. No complaints, only positive reviews.")</f>
        <v>Our machine is already 10 years old. All this time it worked flawlessly. But the years take their toll. The bearings on the drum have worn out. Tomorrow we'll go and buy a new one, exactly like this. No complaints, only positive reviews.</v>
      </c>
    </row>
    <row r="11634" spans="1:9" x14ac:dyDescent="0.3">
      <c r="A11634" s="1" t="s">
        <v>211</v>
      </c>
      <c r="B11634" s="1" t="s">
        <v>265</v>
      </c>
      <c r="C11634" s="1" t="s">
        <v>122</v>
      </c>
      <c r="D11634" s="1" t="s">
        <v>16574</v>
      </c>
      <c r="E11634" s="1" t="s">
        <v>5803</v>
      </c>
      <c r="F11634" s="1" t="s">
        <v>16575</v>
      </c>
      <c r="G11634" s="1" t="s">
        <v>36</v>
      </c>
      <c r="H11634" s="1" t="s">
        <v>29</v>
      </c>
      <c r="I11634" s="1" t="str">
        <f ca="1">IFERROR(__xludf.DUMMYFUNCTION("GOOGLETRANSLATE(F11634, ""auto"", ""en"")
"),"Very high quality trimmer. Does everything SUPER! I'm overwhelmed with emotions!")</f>
        <v>Very high quality trimmer. Does everything SUPER! I'm overwhelmed with emotions!</v>
      </c>
    </row>
    <row r="11635" spans="1:9" x14ac:dyDescent="0.3">
      <c r="A11635" s="1" t="s">
        <v>17</v>
      </c>
      <c r="B11635" s="1" t="s">
        <v>18</v>
      </c>
      <c r="C11635" s="1" t="s">
        <v>63</v>
      </c>
      <c r="D11635" s="1" t="s">
        <v>378</v>
      </c>
      <c r="E11635" s="1" t="s">
        <v>1732</v>
      </c>
      <c r="F11635" s="1" t="s">
        <v>16576</v>
      </c>
      <c r="G11635" s="1" t="s">
        <v>28</v>
      </c>
      <c r="H11635" s="1" t="s">
        <v>29</v>
      </c>
      <c r="I11635" s="1" t="str">
        <f ca="1">IFERROR(__xludf.DUMMYFUNCTION("GOOGLETRANSLATE(F11635, ""auto"", ""en"")
"),"The machine was delivered, there are no complaints about it - it washes perfectly!!! However, the website states that the warranty is 2 years, and the machine itself is accompanied by its “original” warranty card for 1 year. So look carefully at the store"&amp;" for the coupon....")</f>
        <v>The machine was delivered, there are no complaints about it - it washes perfectly!!! However, the website states that the warranty is 2 years, and the machine itself is accompanied by its “original” warranty card for 1 year. So look carefully at the store for the coupon....</v>
      </c>
    </row>
    <row r="11636" spans="1:9" x14ac:dyDescent="0.3">
      <c r="A11636" s="1" t="s">
        <v>61</v>
      </c>
      <c r="B11636" s="1" t="s">
        <v>977</v>
      </c>
      <c r="C11636" s="1" t="s">
        <v>63</v>
      </c>
      <c r="D11636" s="1" t="s">
        <v>521</v>
      </c>
      <c r="E11636" s="1" t="s">
        <v>13391</v>
      </c>
      <c r="F11636" s="1" t="s">
        <v>16577</v>
      </c>
      <c r="G11636" s="1" t="s">
        <v>15</v>
      </c>
      <c r="H11636" s="1" t="s">
        <v>16</v>
      </c>
      <c r="I11636" s="1" t="str">
        <f ca="1">IFERROR(__xludf.DUMMYFUNCTION("GOOGLETRANSLATE(F11636, ""auto"", ""en"")
"),"I wonder if I'm the only one unlucky? I bought this model, the instructions do not say that the lid cannot be washed under the tap, so the lid was washed (only then I saw the sign of a crossed out tap on it), now water has been poured into it and not all "&amp;"of it pours out, but some kind of brown oozes out... And how to wash this lid without running water - no matter how I wipe it, some residue remains in the corners and edges and darkens.. Bullshit in the end (")</f>
        <v>I wonder if I'm the only one unlucky? I bought this model, the instructions do not say that the lid cannot be washed under the tap, so the lid was washed (only then I saw the sign of a crossed out tap on it), now water has been poured into it and not all of it pours out, but some kind of brown oozes out... And how to wash this lid without running water - no matter how I wipe it, some residue remains in the corners and edges and darkens.. Bullshit in the end (</v>
      </c>
    </row>
    <row r="11637" spans="1:9" x14ac:dyDescent="0.3">
      <c r="A11637" s="1" t="s">
        <v>89</v>
      </c>
      <c r="B11637" s="1" t="s">
        <v>90</v>
      </c>
      <c r="C11637" s="1" t="s">
        <v>63</v>
      </c>
      <c r="D11637" s="1" t="s">
        <v>919</v>
      </c>
      <c r="E11637" s="1" t="s">
        <v>4434</v>
      </c>
      <c r="F11637" s="1" t="s">
        <v>16578</v>
      </c>
      <c r="G11637" s="1" t="s">
        <v>36</v>
      </c>
      <c r="H11637" s="1" t="s">
        <v>29</v>
      </c>
      <c r="I11637" s="1" t="str">
        <f ca="1">IFERROR(__xludf.DUMMYFUNCTION("GOOGLETRANSLATE(F11637, ""auto"", ""en"")
"),"Excellent. She worked for more than 10 years! I started working on relationships every now and then. I want the same one.")</f>
        <v>Excellent. She worked for more than 10 years! I started working on relationships every now and then. I want the same one.</v>
      </c>
    </row>
    <row r="11638" spans="1:9" x14ac:dyDescent="0.3">
      <c r="A11638" s="1" t="s">
        <v>1443</v>
      </c>
      <c r="B11638" s="1" t="s">
        <v>1444</v>
      </c>
      <c r="C11638" s="1" t="s">
        <v>1489</v>
      </c>
      <c r="D11638" s="1" t="s">
        <v>171</v>
      </c>
      <c r="E11638" s="1" t="s">
        <v>4670</v>
      </c>
      <c r="F11638" s="1" t="s">
        <v>16579</v>
      </c>
      <c r="G11638" s="1" t="s">
        <v>28</v>
      </c>
      <c r="H11638" s="1" t="s">
        <v>29</v>
      </c>
      <c r="I11638" s="1" t="str">
        <f ca="1">IFERROR(__xludf.DUMMYFUNCTION("GOOGLETRANSLATE(F11638, ""auto"", ""en"")
"),"I've had this flash drive for over a year now. Convenient to use. The cap does not get lost. Not wide, which allows you to use it with a small distance between the ports.")</f>
        <v>I've had this flash drive for over a year now. Convenient to use. The cap does not get lost. Not wide, which allows you to use it with a small distance between the ports.</v>
      </c>
    </row>
    <row r="11639" spans="1:9" x14ac:dyDescent="0.3">
      <c r="A11639" s="1" t="s">
        <v>120</v>
      </c>
      <c r="B11639" s="1" t="s">
        <v>121</v>
      </c>
      <c r="C11639" s="1" t="s">
        <v>97</v>
      </c>
      <c r="D11639" s="1" t="s">
        <v>1776</v>
      </c>
      <c r="E11639" s="1" t="s">
        <v>128</v>
      </c>
      <c r="F11639" s="1" t="s">
        <v>16580</v>
      </c>
      <c r="G11639" s="1" t="s">
        <v>28</v>
      </c>
      <c r="H11639" s="1" t="s">
        <v>29</v>
      </c>
      <c r="I11639" s="1" t="str">
        <f ca="1">IFERROR(__xludf.DUMMYFUNCTION("GOOGLETRANSLATE(F11639, ""auto"", ""en"")
"),"Purchased in August 2010, a good device, video from flash drives, computer, laptop, XBOX360 connects via HDMI and there is still 1 connector left, only on the remote control there are 2 control rings made illogically.")</f>
        <v>Purchased in August 2010, a good device, video from flash drives, computer, laptop, XBOX360 connects via HDMI and there is still 1 connector left, only on the remote control there are 2 control rings made illogically.</v>
      </c>
    </row>
    <row r="11640" spans="1:9" x14ac:dyDescent="0.3">
      <c r="A11640" s="1" t="s">
        <v>149</v>
      </c>
      <c r="B11640" s="1" t="s">
        <v>423</v>
      </c>
      <c r="C11640" s="1" t="s">
        <v>424</v>
      </c>
      <c r="D11640" s="1" t="s">
        <v>521</v>
      </c>
      <c r="E11640" s="1" t="s">
        <v>1504</v>
      </c>
      <c r="F11640" s="1" t="s">
        <v>16581</v>
      </c>
      <c r="G11640" s="1" t="s">
        <v>36</v>
      </c>
      <c r="H11640" s="1" t="s">
        <v>29</v>
      </c>
      <c r="I11640" s="1" t="str">
        <f ca="1">IFERROR(__xludf.DUMMYFUNCTION("GOOGLETRANSLATE(F11640, ""auto"", ""en"")
"),"I liked the vacuum cleaner, the suction power is extraordinary, after it the apartment simply shines. The only drawback: the iron tube fell off the flexible hose, but this problem was quickly solved with the help of adhesive tape))) You have to change the"&amp;" water, wipe everything, of course it takes more time, but when you see how much sand and dirt it collects, then these efforts are worth it. Delivery directly to your home, which is very convenient.")</f>
        <v>I liked the vacuum cleaner, the suction power is extraordinary, after it the apartment simply shines. The only drawback: the iron tube fell off the flexible hose, but this problem was quickly solved with the help of adhesive tape))) You have to change the water, wipe everything, of course it takes more time, but when you see how much sand and dirt it collects, then these efforts are worth it. Delivery directly to your home, which is very convenient.</v>
      </c>
    </row>
    <row r="11641" spans="1:9" x14ac:dyDescent="0.3">
      <c r="A11641" s="1" t="s">
        <v>61</v>
      </c>
      <c r="B11641" s="1" t="s">
        <v>726</v>
      </c>
      <c r="C11641" s="1" t="s">
        <v>74</v>
      </c>
      <c r="D11641" s="1" t="s">
        <v>548</v>
      </c>
      <c r="E11641" s="1" t="s">
        <v>128</v>
      </c>
      <c r="F11641" s="1" t="s">
        <v>16582</v>
      </c>
      <c r="G11641" s="1" t="s">
        <v>49</v>
      </c>
      <c r="H11641" s="1" t="s">
        <v>16</v>
      </c>
      <c r="I11641" s="1" t="str">
        <f ca="1">IFERROR(__xludf.DUMMYFUNCTION("GOOGLETRANSLATE(F11641, ""auto"", ""en"")
"),"I worked for half a year. then she started beeping constantly, beeping at any inappropriate time and constantly. I took it and adjusted something under warranty. 10 days have passed. beeps again. I'll take it back to them today.")</f>
        <v>I worked for half a year. then she started beeping constantly, beeping at any inappropriate time and constantly. I took it and adjusted something under warranty. 10 days have passed. beeps again. I'll take it back to them today.</v>
      </c>
    </row>
    <row r="11642" spans="1:9" x14ac:dyDescent="0.3">
      <c r="A11642" s="1" t="s">
        <v>61</v>
      </c>
      <c r="B11642" s="1" t="s">
        <v>318</v>
      </c>
      <c r="C11642" s="1" t="s">
        <v>213</v>
      </c>
      <c r="D11642" s="1" t="s">
        <v>127</v>
      </c>
      <c r="E11642" s="1" t="s">
        <v>1207</v>
      </c>
      <c r="F11642" s="1" t="s">
        <v>16583</v>
      </c>
      <c r="G11642" s="1" t="s">
        <v>36</v>
      </c>
      <c r="H11642" s="1" t="s">
        <v>29</v>
      </c>
      <c r="I11642" s="1" t="str">
        <f ca="1">IFERROR(__xludf.DUMMYFUNCTION("GOOGLETRANSLATE(F11642, ""auto"", ""en"")
"),"I give 5 points because... The kettle is simply excellent quality! We've been using it with our family for over 4 years now and it works like a charm, no breakdowns have occurred! I recommend it to everyone!")</f>
        <v>I give 5 points because... The kettle is simply excellent quality! We've been using it with our family for over 4 years now and it works like a charm, no breakdowns have occurred! I recommend it to everyone!</v>
      </c>
    </row>
    <row r="11643" spans="1:9" x14ac:dyDescent="0.3">
      <c r="A11643" s="1" t="s">
        <v>37</v>
      </c>
      <c r="B11643" s="1" t="s">
        <v>38</v>
      </c>
      <c r="C11643" s="1" t="s">
        <v>163</v>
      </c>
      <c r="D11643" s="1" t="s">
        <v>345</v>
      </c>
      <c r="E11643" s="1" t="s">
        <v>1742</v>
      </c>
      <c r="F11643" s="1" t="s">
        <v>16584</v>
      </c>
      <c r="G11643" s="1" t="s">
        <v>36</v>
      </c>
      <c r="H11643" s="1" t="s">
        <v>29</v>
      </c>
      <c r="I11643" s="1" t="str">
        <f ca="1">IFERROR(__xludf.DUMMYFUNCTION("GOOGLETRANSLATE(F11643, ""auto"", ""en"")
"),"People, the phone is great if you take care of it. Year 2 is the best and cheapest.")</f>
        <v>People, the phone is great if you take care of it. Year 2 is the best and cheapest.</v>
      </c>
    </row>
    <row r="11644" spans="1:9" x14ac:dyDescent="0.3">
      <c r="A11644" s="1" t="s">
        <v>17</v>
      </c>
      <c r="B11644" s="1" t="s">
        <v>18</v>
      </c>
      <c r="C11644" s="1" t="s">
        <v>870</v>
      </c>
      <c r="D11644" s="1" t="s">
        <v>12</v>
      </c>
      <c r="E11644" s="1" t="s">
        <v>2240</v>
      </c>
      <c r="F11644" s="1" t="s">
        <v>16585</v>
      </c>
      <c r="G11644" s="1" t="s">
        <v>36</v>
      </c>
      <c r="H11644" s="1" t="s">
        <v>29</v>
      </c>
      <c r="I11644" s="1" t="str">
        <f ca="1">IFERROR(__xludf.DUMMYFUNCTION("GOOGLETRANSLATE(F11644, ""auto"", ""en"")
"),"The machine is very good, simple control panel, everything is very accessible. It washes perfectly, spins well, and doesn’t wrinkle things. During the spin cycle it behaves normally, does not jump or rattle. It stands on the tiled floor in the bathtub wit"&amp;"hout any rubber bands under the legs, the floor is level and stands level, the noise from it is minimal during the spin cycle. I advise everyone to purchase this model of washing machine.")</f>
        <v>The machine is very good, simple control panel, everything is very accessible. It washes perfectly, spins well, and doesn’t wrinkle things. During the spin cycle it behaves normally, does not jump or rattle. It stands on the tiled floor in the bathtub without any rubber bands under the legs, the floor is level and stands level, the noise from it is minimal during the spin cycle. I advise everyone to purchase this model of washing machine.</v>
      </c>
    </row>
    <row r="11645" spans="1:9" x14ac:dyDescent="0.3">
      <c r="A11645" s="1" t="s">
        <v>169</v>
      </c>
      <c r="B11645" s="1" t="s">
        <v>170</v>
      </c>
      <c r="C11645" s="1" t="s">
        <v>97</v>
      </c>
      <c r="D11645" s="1" t="s">
        <v>16586</v>
      </c>
      <c r="E11645" s="1" t="s">
        <v>3359</v>
      </c>
      <c r="F11645" s="1" t="s">
        <v>16587</v>
      </c>
      <c r="G11645" s="1" t="s">
        <v>36</v>
      </c>
      <c r="H11645" s="1" t="s">
        <v>29</v>
      </c>
      <c r="I11645" s="1" t="str">
        <f ca="1">IFERROR(__xludf.DUMMYFUNCTION("GOOGLETRANSLATE(F11645, ""auto"", ""en"")
"),"Sony, as always, is at its best, the headphones are excellent, they fit comfortably in the ears, the sound is clear, they don’t get tangled, which is very pleasing. I bought them for my phone, I’m 100% happy with the purchase")</f>
        <v>Sony, as always, is at its best, the headphones are excellent, they fit comfortably in the ears, the sound is clear, they don’t get tangled, which is very pleasing. I bought them for my phone, I’m 100% happy with the purchase</v>
      </c>
    </row>
    <row r="11646" spans="1:9" x14ac:dyDescent="0.3">
      <c r="A11646" s="1" t="s">
        <v>61</v>
      </c>
      <c r="B11646" s="1" t="s">
        <v>977</v>
      </c>
      <c r="C11646" s="1" t="s">
        <v>69</v>
      </c>
      <c r="D11646" s="1" t="s">
        <v>545</v>
      </c>
      <c r="E11646" s="1" t="s">
        <v>15587</v>
      </c>
      <c r="F11646" s="1" t="s">
        <v>16588</v>
      </c>
      <c r="G11646" s="1" t="s">
        <v>49</v>
      </c>
      <c r="H11646" s="1" t="s">
        <v>16</v>
      </c>
      <c r="I11646" s="1" t="str">
        <f ca="1">IFERROR(__xludf.DUMMYFUNCTION("GOOGLETRANSLATE(F11646, ""auto"", ""en"")
"),"It works loudly. When working, there was a terrible smell of plastic, in the end I couldn’t cope with the vegetable puree and burned (((. It often happened that the knives were turned at idle, creating an air cushion, and all the products lay peacefully o"&amp;"n top, I had to either shake the working blender so that everything would fall through, or remove the jug, shake and start again, and so on many, many times.... Result: it worked for 1.5 months when using 1 once every 2 days...")</f>
        <v>It works loudly. When working, there was a terrible smell of plastic, in the end I couldn’t cope with the vegetable puree and burned (((. It often happened that the knives were turned at idle, creating an air cushion, and all the products lay peacefully on top, I had to either shake the working blender so that everything would fall through, or remove the jug, shake and start again, and so on many, many times.... Result: it worked for 1.5 months when using 1 once every 2 days...</v>
      </c>
    </row>
    <row r="11647" spans="1:9" x14ac:dyDescent="0.3">
      <c r="A11647" s="1" t="s">
        <v>211</v>
      </c>
      <c r="B11647" s="1" t="s">
        <v>212</v>
      </c>
      <c r="C11647" s="1" t="s">
        <v>63</v>
      </c>
      <c r="D11647" s="1" t="s">
        <v>474</v>
      </c>
      <c r="E11647" s="1" t="s">
        <v>2924</v>
      </c>
      <c r="F11647" s="1" t="s">
        <v>16589</v>
      </c>
      <c r="G11647" s="1" t="s">
        <v>28</v>
      </c>
      <c r="H11647" s="1" t="s">
        <v>29</v>
      </c>
      <c r="I11647" s="1" t="str">
        <f ca="1">IFERROR(__xludf.DUMMYFUNCTION("GOOGLETRANSLATE(F11647, ""auto"", ""en"")
"),"I bought it about 5 years ago. It still works. Since my hair is thin, it dries quickly. I use a brush attachment. The rest are useless.")</f>
        <v>I bought it about 5 years ago. It still works. Since my hair is thin, it dries quickly. I use a brush attachment. The rest are useless.</v>
      </c>
    </row>
    <row r="11648" spans="1:9" x14ac:dyDescent="0.3">
      <c r="A11648" s="1" t="s">
        <v>149</v>
      </c>
      <c r="B11648" s="1" t="s">
        <v>423</v>
      </c>
      <c r="C11648" s="1" t="s">
        <v>531</v>
      </c>
      <c r="D11648" s="1" t="s">
        <v>16590</v>
      </c>
      <c r="E11648" s="1" t="s">
        <v>2796</v>
      </c>
      <c r="F11648" s="1" t="s">
        <v>16591</v>
      </c>
      <c r="G11648" s="1" t="s">
        <v>36</v>
      </c>
      <c r="H11648" s="1" t="s">
        <v>29</v>
      </c>
      <c r="I11648" s="1" t="str">
        <f ca="1">IFERROR(__xludf.DUMMYFUNCTION("GOOGLETRANSLATE(F11648, ""auto"", ""en"")
"),"An excellent vacuum cleaner, worth the money 100%.")</f>
        <v>An excellent vacuum cleaner, worth the money 100%.</v>
      </c>
    </row>
    <row r="11649" spans="1:9" x14ac:dyDescent="0.3">
      <c r="A11649" s="1" t="s">
        <v>9</v>
      </c>
      <c r="B11649" s="1" t="s">
        <v>133</v>
      </c>
      <c r="C11649" s="1" t="s">
        <v>588</v>
      </c>
      <c r="D11649" s="1" t="s">
        <v>64</v>
      </c>
      <c r="E11649" s="1" t="s">
        <v>6243</v>
      </c>
      <c r="F11649" s="1" t="s">
        <v>16592</v>
      </c>
      <c r="G11649" s="1" t="s">
        <v>36</v>
      </c>
      <c r="H11649" s="1" t="s">
        <v>29</v>
      </c>
      <c r="I11649" s="1" t="str">
        <f ca="1">IFERROR(__xludf.DUMMYFUNCTION("GOOGLETRANSLATE(F11649, ""auto"", ""en"")
"),"I bought it just recently.  I chose the Hans technique, the positive experience of “communication” with the stove of this company.   1. Appearance: The surface is mirrored, looks very stylish, the buttons are pleasant to the touch. Inside the glass there "&amp;"are hints for which product, which program and temperature to choose. Very convenient in my opinion.  2.Functional: A large number of programs, but at the same time everything is extremely clear. I was pleased with the programmer, which you can set for th"&amp;"e desired time and go about your business.  Telescopic guides are also convenient.   Regarding the smell, because of which I almost changed my mind about buying an oven after reading the reviews. I washed it, dried it and turned it on. The smell was certa"&amp;"inly present, but not such that you wouldn’t buy it. I was pleased with the purchase. An excellent combination of price, quality and aesthetic pleasure. I RECOMMEND!")</f>
        <v>I bought it just recently.  I chose the Hans technique, the positive experience of “communication” with the stove of this company.   1. Appearance: The surface is mirrored, looks very stylish, the buttons are pleasant to the touch. Inside the glass there are hints for which product, which program and temperature to choose. Very convenient in my opinion.  2.Functional: A large number of programs, but at the same time everything is extremely clear. I was pleased with the programmer, which you can set for the desired time and go about your business.  Telescopic guides are also convenient.   Regarding the smell, because of which I almost changed my mind about buying an oven after reading the reviews. I washed it, dried it and turned it on. The smell was certainly present, but not such that you wouldn’t buy it. I was pleased with the purchase. An excellent combination of price, quality and aesthetic pleasure. I RECOMMEND!</v>
      </c>
    </row>
    <row r="11650" spans="1:9" x14ac:dyDescent="0.3">
      <c r="A11650" s="1" t="s">
        <v>89</v>
      </c>
      <c r="B11650" s="1" t="s">
        <v>90</v>
      </c>
      <c r="C11650" s="1" t="s">
        <v>57</v>
      </c>
      <c r="D11650" s="1" t="s">
        <v>232</v>
      </c>
      <c r="E11650" s="1" t="s">
        <v>8048</v>
      </c>
      <c r="F11650" s="1" t="s">
        <v>16593</v>
      </c>
      <c r="G11650" s="1" t="s">
        <v>36</v>
      </c>
      <c r="H11650" s="1" t="s">
        <v>29</v>
      </c>
      <c r="I11650" s="1" t="str">
        <f ca="1">IFERROR(__xludf.DUMMYFUNCTION("GOOGLETRANSLATE(F11650, ""auto"", ""en"")
"),"low consumption,")</f>
        <v>low consumption,</v>
      </c>
    </row>
    <row r="11651" spans="1:9" x14ac:dyDescent="0.3">
      <c r="A11651" s="1" t="s">
        <v>211</v>
      </c>
      <c r="B11651" s="1" t="s">
        <v>212</v>
      </c>
      <c r="C11651" s="1" t="s">
        <v>1591</v>
      </c>
      <c r="D11651" s="1" t="s">
        <v>589</v>
      </c>
      <c r="E11651" s="1" t="s">
        <v>2838</v>
      </c>
      <c r="F11651" s="1" t="s">
        <v>16594</v>
      </c>
      <c r="G11651" s="1" t="s">
        <v>36</v>
      </c>
      <c r="H11651" s="1" t="s">
        <v>29</v>
      </c>
      <c r="I11651" s="1" t="str">
        <f ca="1">IFERROR(__xludf.DUMMYFUNCTION("GOOGLETRANSLATE(F11651, ""auto"", ""en"")
"),"I bought it in September 2015, only now I decided to write a review))). The hairdryer brush is great, it rotates in both directions, the hair does not get tangled when drying, this is very important for me, because I was worried about this very moment. Th"&amp;"ere are three temperature settings at which you can dry your hair. The buttons are conveniently located, the handle is also comfortable, it fits in the hand and is not difficult to hold. And all this is stored in a case, which is a plus. Of the minuses: I"&amp;" was wondering what it was about it that I didn’t like, everything seems to be working well so far.")</f>
        <v>I bought it in September 2015, only now I decided to write a review))). The hairdryer brush is great, it rotates in both directions, the hair does not get tangled when drying, this is very important for me, because I was worried about this very moment. There are three temperature settings at which you can dry your hair. The buttons are conveniently located, the handle is also comfortable, it fits in the hand and is not difficult to hold. And all this is stored in a case, which is a plus. Of the minuses: I was wondering what it was about it that I didn’t like, everything seems to be working well so far.</v>
      </c>
    </row>
    <row r="11652" spans="1:9" x14ac:dyDescent="0.3">
      <c r="A11652" s="1" t="s">
        <v>61</v>
      </c>
      <c r="B11652" s="1" t="s">
        <v>318</v>
      </c>
      <c r="C11652" s="1" t="s">
        <v>85</v>
      </c>
      <c r="D11652" s="1" t="s">
        <v>565</v>
      </c>
      <c r="E11652" s="1" t="s">
        <v>16595</v>
      </c>
      <c r="F11652" s="1" t="s">
        <v>16596</v>
      </c>
      <c r="G11652" s="1" t="s">
        <v>36</v>
      </c>
      <c r="H11652" s="1" t="s">
        <v>29</v>
      </c>
      <c r="I11652" s="1" t="str">
        <f ca="1">IFERROR(__xludf.DUMMYFUNCTION("GOOGLETRANSLATE(F11652, ""auto"", ""en"")
"),"Quickly heats the water, when turned off the “Ding” sounds - it means that the kettle has boiled water")</f>
        <v>Quickly heats the water, when turned off the “Ding” sounds - it means that the kettle has boiled water</v>
      </c>
    </row>
    <row r="11653" spans="1:9" x14ac:dyDescent="0.3">
      <c r="A11653" s="1" t="s">
        <v>37</v>
      </c>
      <c r="B11653" s="1" t="s">
        <v>38</v>
      </c>
      <c r="C11653" s="1" t="s">
        <v>151</v>
      </c>
      <c r="D11653" s="1" t="s">
        <v>5606</v>
      </c>
      <c r="E11653" s="1" t="s">
        <v>708</v>
      </c>
      <c r="F11653" s="1" t="s">
        <v>16597</v>
      </c>
      <c r="G11653" s="1" t="s">
        <v>15</v>
      </c>
      <c r="H11653" s="1" t="s">
        <v>16</v>
      </c>
      <c r="I11653" s="1" t="str">
        <f ca="1">IFERROR(__xludf.DUMMYFUNCTION("GOOGLETRANSLATE(F11653, ""auto"", ""en"")
"),"Samsung is not of Korean quality, not Samsung at all! I have never seen worse plastic - not a high-quality phone - it’s unpleasant even for your hand to hold a cheap one...")</f>
        <v>Samsung is not of Korean quality, not Samsung at all! I have never seen worse plastic - not a high-quality phone - it’s unpleasant even for your hand to hold a cheap one...</v>
      </c>
    </row>
    <row r="11654" spans="1:9" x14ac:dyDescent="0.3">
      <c r="A11654" s="1" t="s">
        <v>37</v>
      </c>
      <c r="B11654" s="1" t="s">
        <v>38</v>
      </c>
      <c r="C11654" s="1" t="s">
        <v>151</v>
      </c>
      <c r="D11654" s="1" t="s">
        <v>152</v>
      </c>
      <c r="E11654" s="1" t="s">
        <v>3872</v>
      </c>
      <c r="F11654" s="1" t="s">
        <v>16598</v>
      </c>
      <c r="G11654" s="1" t="s">
        <v>36</v>
      </c>
      <c r="H11654" s="1" t="s">
        <v>29</v>
      </c>
      <c r="I11654" s="1" t="str">
        <f ca="1">IFERROR(__xludf.DUMMYFUNCTION("GOOGLETRANSLATE(F11654, ""auto"", ""en"")
"),"My NOKIA3250 smartphone crashed, after which I urgently needed to solve the connection problem! I decided not to show off because... We use all those sophisticated functions that modern phones have very rarely, so we chose a simple phone and this phone wa"&amp;"s the Samsung GT-E1310M in black! Very stylish and nothing superfluous! I recommend it to everyone! Fits very well in the hand! Doesn't pull down your trouser pockets! ;)")</f>
        <v>My NOKIA3250 smartphone crashed, after which I urgently needed to solve the connection problem! I decided not to show off because... We use all those sophisticated functions that modern phones have very rarely, so we chose a simple phone and this phone was the Samsung GT-E1310M in black! Very stylish and nothing superfluous! I recommend it to everyone! Fits very well in the hand! Doesn't pull down your trouser pockets! ;)</v>
      </c>
    </row>
    <row r="11655" spans="1:9" x14ac:dyDescent="0.3">
      <c r="A11655" s="1" t="s">
        <v>211</v>
      </c>
      <c r="B11655" s="1" t="s">
        <v>212</v>
      </c>
      <c r="C11655" s="1" t="s">
        <v>69</v>
      </c>
      <c r="D11655" s="1" t="s">
        <v>2682</v>
      </c>
      <c r="E11655" s="1" t="s">
        <v>26</v>
      </c>
      <c r="F11655" s="1" t="s">
        <v>16599</v>
      </c>
      <c r="G11655" s="1" t="s">
        <v>36</v>
      </c>
      <c r="H11655" s="1" t="s">
        <v>29</v>
      </c>
      <c r="I11655" s="1" t="str">
        <f ca="1">IFERROR(__xludf.DUMMYFUNCTION("GOOGLETRANSLATE(F11655, ""auto"", ""en"")
"),"The hairdryer is excellent, I’ve been using it every other day for two years. It has never broken down, all modes work well. I highly recommend it, especially at this price.")</f>
        <v>The hairdryer is excellent, I’ve been using it every other day for two years. It has never broken down, all modes work well. I highly recommend it, especially at this price.</v>
      </c>
    </row>
    <row r="11656" spans="1:9" x14ac:dyDescent="0.3">
      <c r="A11656" s="1" t="s">
        <v>149</v>
      </c>
      <c r="B11656" s="1" t="s">
        <v>576</v>
      </c>
      <c r="C11656" s="1" t="s">
        <v>69</v>
      </c>
      <c r="D11656" s="1" t="s">
        <v>2217</v>
      </c>
      <c r="E11656" s="1" t="s">
        <v>4110</v>
      </c>
      <c r="F11656" s="1" t="s">
        <v>16600</v>
      </c>
      <c r="G11656" s="1" t="s">
        <v>36</v>
      </c>
      <c r="H11656" s="1" t="s">
        <v>29</v>
      </c>
      <c r="I11656" s="1" t="str">
        <f ca="1">IFERROR(__xludf.DUMMYFUNCTION("GOOGLETRANSLATE(F11656, ""auto"", ""en"")
"),"The vacuum cleaner is a beast!!! And without any noise! ​​Only positive impressions!")</f>
        <v>The vacuum cleaner is a beast!!! And without any noise! ​​Only positive impressions!</v>
      </c>
    </row>
    <row r="11657" spans="1:9" x14ac:dyDescent="0.3">
      <c r="A11657" s="1" t="s">
        <v>105</v>
      </c>
      <c r="B11657" s="1" t="s">
        <v>106</v>
      </c>
      <c r="C11657" s="1" t="s">
        <v>69</v>
      </c>
      <c r="D11657" s="1" t="s">
        <v>16601</v>
      </c>
      <c r="E11657" s="1" t="s">
        <v>427</v>
      </c>
      <c r="F11657" s="1" t="s">
        <v>16602</v>
      </c>
      <c r="G11657" s="1" t="s">
        <v>36</v>
      </c>
      <c r="H11657" s="1" t="s">
        <v>29</v>
      </c>
      <c r="I11657" s="1" t="str">
        <f ca="1">IFERROR(__xludf.DUMMYFUNCTION("GOOGLETRANSLATE(F11657, ""auto"", ""en"")
"),"I honestly haven’t bought it yet, but a friend in Kazan bought it and I somehow took it from him to use. I liked the player for its simplicity and ease. The battery, by the way, works great. I looked at the description of such batteries: after a year of u"&amp;"se, from 5% to 13% of the total capacity is lost from the battery life, i.e. even after a year it will work for quite a long time. The working day will definitely last with a bang!    The headphones that were included, frankly, suck. They were replaced wi"&amp;"th a Creative EP630 and the sound became simply wonderful.    This set is very good in my opinion. Because I already bought my headphones, but I’ll go get the player after the 12th ^_^ so WAIT for me M.Video Nizhnekamsk.")</f>
        <v>I honestly haven’t bought it yet, but a friend in Kazan bought it and I somehow took it from him to use. I liked the player for its simplicity and ease. The battery, by the way, works great. I looked at the description of such batteries: after a year of use, from 5% to 13% of the total capacity is lost from the battery life, i.e. even after a year it will work for quite a long time. The working day will definitely last with a bang!    The headphones that were included, frankly, suck. They were replaced with a Creative EP630 and the sound became simply wonderful.    This set is very good in my opinion. Because I already bought my headphones, but I’ll go get the player after the 12th ^_^ so WAIT for me M.Video Nizhnekamsk.</v>
      </c>
    </row>
    <row r="11658" spans="1:9" x14ac:dyDescent="0.3">
      <c r="A11658" s="1" t="s">
        <v>169</v>
      </c>
      <c r="B11658" s="1" t="s">
        <v>170</v>
      </c>
      <c r="C11658" s="1" t="s">
        <v>193</v>
      </c>
      <c r="D11658" s="1" t="s">
        <v>139</v>
      </c>
      <c r="E11658" s="1" t="s">
        <v>956</v>
      </c>
      <c r="F11658" s="1" t="s">
        <v>16603</v>
      </c>
      <c r="G11658" s="1" t="s">
        <v>36</v>
      </c>
      <c r="H11658" s="1" t="s">
        <v>29</v>
      </c>
      <c r="I11658" s="1" t="str">
        <f ca="1">IFERROR(__xludf.DUMMYFUNCTION("GOOGLETRANSLATE(F11658, ""auto"", ""en"")
"),"At first I took the HD-202, but as it turned out they have a very quiet bass, the store advised me to listen to the EH-150, the difference is felt immediately! True, there is one minus, there is no thing for winding wires like in HD, a small thing of cour"&amp;"se, but nice!")</f>
        <v>At first I took the HD-202, but as it turned out they have a very quiet bass, the store advised me to listen to the EH-150, the difference is felt immediately! True, there is one minus, there is no thing for winding wires like in HD, a small thing of course, but nice!</v>
      </c>
    </row>
    <row r="11659" spans="1:9" x14ac:dyDescent="0.3">
      <c r="A11659" s="1" t="s">
        <v>61</v>
      </c>
      <c r="B11659" s="1" t="s">
        <v>224</v>
      </c>
      <c r="C11659" s="1" t="s">
        <v>74</v>
      </c>
      <c r="D11659" s="1" t="s">
        <v>1681</v>
      </c>
      <c r="E11659" s="1" t="s">
        <v>1553</v>
      </c>
      <c r="F11659" s="1" t="s">
        <v>16604</v>
      </c>
      <c r="G11659" s="1" t="s">
        <v>28</v>
      </c>
      <c r="H11659" s="1" t="s">
        <v>29</v>
      </c>
      <c r="I11659" s="1" t="str">
        <f ca="1">IFERROR(__xludf.DUMMYFUNCTION("GOOGLETRANSLATE(F11659, ""auto"", ""en"")
"),"I'm happy with this model. Appeared a long time ago. For three years he has been regularly squeezing juice out of oranges. Easy to clean. Decent quality of plastic parts. 7-10 minutes and you have one liter of freshly squeezed juice. Very easy to use. I r"&amp;"ecommend")</f>
        <v>I'm happy with this model. Appeared a long time ago. For three years he has been regularly squeezing juice out of oranges. Easy to clean. Decent quality of plastic parts. 7-10 minutes and you have one liter of freshly squeezed juice. Very easy to use. I recommend</v>
      </c>
    </row>
    <row r="11660" spans="1:9" x14ac:dyDescent="0.3">
      <c r="A11660" s="1" t="s">
        <v>211</v>
      </c>
      <c r="B11660" s="1" t="s">
        <v>899</v>
      </c>
      <c r="C11660" s="1" t="s">
        <v>213</v>
      </c>
      <c r="D11660" s="1" t="s">
        <v>16605</v>
      </c>
      <c r="E11660" s="1" t="s">
        <v>1982</v>
      </c>
      <c r="F11660" s="1" t="s">
        <v>16606</v>
      </c>
      <c r="G11660" s="1" t="s">
        <v>36</v>
      </c>
      <c r="H11660" s="1" t="s">
        <v>29</v>
      </c>
      <c r="I11660" s="1" t="str">
        <f ca="1">IFERROR(__xludf.DUMMYFUNCTION("GOOGLETRANSLATE(F11660, ""auto"", ""en"")
"),"Awesome counting! This is the best thing that has happened to me in the last six months! The heavy coating is almost gone! People, take it, you won’t regret it!")</f>
        <v>Awesome counting! This is the best thing that has happened to me in the last six months! The heavy coating is almost gone! People, take it, you won’t regret it!</v>
      </c>
    </row>
    <row r="11661" spans="1:9" x14ac:dyDescent="0.3">
      <c r="A11661" s="1" t="s">
        <v>30</v>
      </c>
      <c r="B11661" s="1" t="s">
        <v>50</v>
      </c>
      <c r="C11661" s="1" t="s">
        <v>32</v>
      </c>
      <c r="D11661" s="1" t="s">
        <v>1008</v>
      </c>
      <c r="E11661" s="1" t="s">
        <v>730</v>
      </c>
      <c r="F11661" s="1" t="s">
        <v>16607</v>
      </c>
      <c r="G11661" s="1" t="s">
        <v>36</v>
      </c>
      <c r="H11661" s="1" t="s">
        <v>29</v>
      </c>
      <c r="I11661" s="1" t="str">
        <f ca="1">IFERROR(__xludf.DUMMYFUNCTION("GOOGLETRANSLATE(F11661, ""auto"", ""en"")
"),"The laptop is excellent, good performance in games, one drawback: if the laptop is running on battery power, the laptop turns off when you reboot.")</f>
        <v>The laptop is excellent, good performance in games, one drawback: if the laptop is running on battery power, the laptop turns off when you reboot.</v>
      </c>
    </row>
    <row r="11662" spans="1:9" x14ac:dyDescent="0.3">
      <c r="A11662" s="1" t="s">
        <v>211</v>
      </c>
      <c r="B11662" s="1" t="s">
        <v>212</v>
      </c>
      <c r="C11662" s="1" t="s">
        <v>1591</v>
      </c>
      <c r="D11662" s="1" t="s">
        <v>16608</v>
      </c>
      <c r="E11662" s="1" t="s">
        <v>2998</v>
      </c>
      <c r="F11662" s="1" t="s">
        <v>16609</v>
      </c>
      <c r="G11662" s="1" t="s">
        <v>36</v>
      </c>
      <c r="H11662" s="1" t="s">
        <v>29</v>
      </c>
      <c r="I11662" s="1" t="str">
        <f ca="1">IFERROR(__xludf.DUMMYFUNCTION("GOOGLETRANSLATE(F11662, ""auto"", ""en"")
"),"An excellent hair dryer, it doesn’t tear or tangle your hair, it styles quickly and smoothly. My hair gets very frizzy, so this hair dryer is a godsend for me! I have given up using an iron completely and now I cut my hair less often!")</f>
        <v>An excellent hair dryer, it doesn’t tear or tangle your hair, it styles quickly and smoothly. My hair gets very frizzy, so this hair dryer is a godsend for me! I have given up using an iron completely and now I cut my hair less often!</v>
      </c>
    </row>
    <row r="11663" spans="1:9" x14ac:dyDescent="0.3">
      <c r="A11663" s="1" t="s">
        <v>37</v>
      </c>
      <c r="B11663" s="1" t="s">
        <v>355</v>
      </c>
      <c r="C11663" s="1" t="s">
        <v>356</v>
      </c>
      <c r="D11663" s="1" t="s">
        <v>749</v>
      </c>
      <c r="E11663" s="1" t="s">
        <v>2321</v>
      </c>
      <c r="F11663" s="1" t="s">
        <v>16610</v>
      </c>
      <c r="G11663" s="1" t="s">
        <v>36</v>
      </c>
      <c r="H11663" s="1" t="s">
        <v>29</v>
      </c>
      <c r="I11663" s="1" t="str">
        <f ca="1">IFERROR(__xludf.DUMMYFUNCTION("GOOGLETRANSLATE(F11663, ""auto"", ""en"")
"),"At first I bought 2G, looked around, then I took a Nokia, and only then 3G and I couldn’t be happier, at first I got used to the fact that there was no bluetooth, then I got used to it and can’t get out of the habit, the device is a beast!!!!!!!! I’m happ"&amp;"y with everything: functions, reliability, design.  everyone who is thinking: ""to buy... or not to buy..."" I definitely advise you to buy, the main thing is that it will cope with i tunes_om... thanks apple)))))))))")</f>
        <v>At first I bought 2G, looked around, then I took a Nokia, and only then 3G and I couldn’t be happier, at first I got used to the fact that there was no bluetooth, then I got used to it and can’t get out of the habit, the device is a beast!!!!!!!! I’m happy with everything: functions, reliability, design.  everyone who is thinking: "to buy... or not to buy..." I definitely advise you to buy, the main thing is that it will cope with i tunes_om... thanks apple)))))))))</v>
      </c>
    </row>
    <row r="11664" spans="1:9" x14ac:dyDescent="0.3">
      <c r="A11664" s="1" t="s">
        <v>120</v>
      </c>
      <c r="B11664" s="1" t="s">
        <v>126</v>
      </c>
      <c r="C11664" s="1" t="s">
        <v>122</v>
      </c>
      <c r="D11664" s="1" t="s">
        <v>565</v>
      </c>
      <c r="E11664" s="1" t="s">
        <v>1321</v>
      </c>
      <c r="F11664" s="1" t="s">
        <v>16611</v>
      </c>
      <c r="G11664" s="1" t="s">
        <v>36</v>
      </c>
      <c r="H11664" s="1" t="s">
        <v>29</v>
      </c>
      <c r="I11664" s="1" t="str">
        <f ca="1">IFERROR(__xludf.DUMMYFUNCTION("GOOGLETRANSLATE(F11664, ""auto"", ""en"")
"),"I've been using it for 4 months now. During this time, I have never once regretted that I took this particular model. I recommend it to everyone")</f>
        <v>I've been using it for 4 months now. During this time, I have never once regretted that I took this particular model. I recommend it to everyone</v>
      </c>
    </row>
    <row r="11665" spans="1:9" x14ac:dyDescent="0.3">
      <c r="A11665" s="1" t="s">
        <v>211</v>
      </c>
      <c r="B11665" s="1" t="s">
        <v>265</v>
      </c>
      <c r="C11665" s="1" t="s">
        <v>57</v>
      </c>
      <c r="D11665" s="1" t="s">
        <v>86</v>
      </c>
      <c r="E11665" s="1" t="s">
        <v>2829</v>
      </c>
      <c r="F11665" s="1" t="s">
        <v>16612</v>
      </c>
      <c r="G11665" s="1" t="s">
        <v>49</v>
      </c>
      <c r="H11665" s="1" t="s">
        <v>16</v>
      </c>
      <c r="I11665" s="1" t="str">
        <f ca="1">IFERROR(__xludf.DUMMYFUNCTION("GOOGLETRANSLATE(F11665, ""auto"", ""en"")
"),"I bought it today... I decided to cut my hair shorter at home this summer. I experienced a bunch of new sensations. He practically doesn’t cut his hair, he tears it out. As a result, I put on a cap and went to the hairdresser to get my hair cut. Sorry I d"&amp;"idn't read the reviews first. I'll go return it tomorrow...")</f>
        <v>I bought it today... I decided to cut my hair shorter at home this summer. I experienced a bunch of new sensations. He practically doesn’t cut his hair, he tears it out. As a result, I put on a cap and went to the hairdresser to get my hair cut. Sorry I didn't read the reviews first. I'll go return it tomorrow...</v>
      </c>
    </row>
    <row r="11666" spans="1:9" x14ac:dyDescent="0.3">
      <c r="A11666" s="1" t="s">
        <v>89</v>
      </c>
      <c r="B11666" s="1" t="s">
        <v>1106</v>
      </c>
      <c r="C11666" s="1" t="s">
        <v>185</v>
      </c>
      <c r="D11666" s="1" t="s">
        <v>471</v>
      </c>
      <c r="E11666" s="1" t="s">
        <v>1614</v>
      </c>
      <c r="F11666" s="1" t="s">
        <v>16613</v>
      </c>
      <c r="G11666" s="1" t="s">
        <v>28</v>
      </c>
      <c r="H11666" s="1" t="s">
        <v>29</v>
      </c>
      <c r="I11666" s="1" t="str">
        <f ca="1">IFERROR(__xludf.DUMMYFUNCTION("GOOGLETRANSLATE(F11666, ""auto"", ""en"")
"),"I agree with previous reviews that when unpacking the coffee maker, you can hear the smell of plastic, but personally, it was enough for me to just run water a couple of times, without coffee, in the operating mode of the device for this smell to disappea"&amp;"r. After this, there is no smell either from the coffee maker or from the coffee being prepared. Personally, I am completely satisfied with this coffee maker.")</f>
        <v>I agree with previous reviews that when unpacking the coffee maker, you can hear the smell of plastic, but personally, it was enough for me to just run water a couple of times, without coffee, in the operating mode of the device for this smell to disappear. After this, there is no smell either from the coffee maker or from the coffee being prepared. Personally, I am completely satisfied with this coffee maker.</v>
      </c>
    </row>
    <row r="11667" spans="1:9" x14ac:dyDescent="0.3">
      <c r="A11667" s="1" t="s">
        <v>55</v>
      </c>
      <c r="B11667" s="1" t="s">
        <v>184</v>
      </c>
      <c r="C11667" s="1" t="s">
        <v>45</v>
      </c>
      <c r="D11667" s="1" t="s">
        <v>319</v>
      </c>
      <c r="E11667" s="1" t="s">
        <v>7294</v>
      </c>
      <c r="F11667" s="1" t="s">
        <v>16614</v>
      </c>
      <c r="G11667" s="1" t="s">
        <v>36</v>
      </c>
      <c r="H11667" s="1" t="s">
        <v>29</v>
      </c>
      <c r="I11667" s="1" t="str">
        <f ca="1">IFERROR(__xludf.DUMMYFUNCTION("GOOGLETRANSLATE(F11667, ""auto"", ""en"")
"),"The fan heater is not the most powerful, but firstly, it works quite quietly and is not annoying, and secondly, it quickly warmed up our room. There was a slight smell of plastic, but probably all inexpensive fan heaters have this. We didn't turn it on fo"&amp;"r a long time; there was no need. In general, for this price it is a very acceptable option for the off-season, when there is no heating for a couple of weeks, but you want warmth.")</f>
        <v>The fan heater is not the most powerful, but firstly, it works quite quietly and is not annoying, and secondly, it quickly warmed up our room. There was a slight smell of plastic, but probably all inexpensive fan heaters have this. We didn't turn it on for a long time; there was no need. In general, for this price it is a very acceptable option for the off-season, when there is no heating for a couple of weeks, but you want warmth.</v>
      </c>
    </row>
    <row r="11668" spans="1:9" x14ac:dyDescent="0.3">
      <c r="A11668" s="1" t="s">
        <v>43</v>
      </c>
      <c r="B11668" s="1" t="s">
        <v>303</v>
      </c>
      <c r="C11668" s="1" t="s">
        <v>220</v>
      </c>
      <c r="D11668" s="1" t="s">
        <v>16615</v>
      </c>
      <c r="E11668" s="1" t="s">
        <v>5661</v>
      </c>
      <c r="F11668" s="1" t="s">
        <v>16616</v>
      </c>
      <c r="G11668" s="1" t="s">
        <v>36</v>
      </c>
      <c r="H11668" s="1" t="s">
        <v>29</v>
      </c>
      <c r="I11668" s="1" t="str">
        <f ca="1">IFERROR(__xludf.DUMMYFUNCTION("GOOGLETRANSLATE(F11668, ""auto"", ""en"")
"),"Design and electronic control")</f>
        <v>Design and electronic control</v>
      </c>
    </row>
    <row r="11669" spans="1:9" x14ac:dyDescent="0.3">
      <c r="A11669" s="1" t="s">
        <v>30</v>
      </c>
      <c r="B11669" s="1" t="s">
        <v>50</v>
      </c>
      <c r="C11669" s="1" t="s">
        <v>32</v>
      </c>
      <c r="D11669" s="1" t="s">
        <v>16617</v>
      </c>
      <c r="E11669" s="1" t="s">
        <v>1454</v>
      </c>
      <c r="F11669" s="1" t="s">
        <v>16618</v>
      </c>
      <c r="G11669" s="1" t="s">
        <v>28</v>
      </c>
      <c r="H11669" s="1" t="s">
        <v>29</v>
      </c>
      <c r="I11669" s="1" t="str">
        <f ca="1">IFERROR(__xludf.DUMMYFUNCTION("GOOGLETRANSLATE(F11669, ""auto"", ""en"")
"),"The laptop is great, I'm happy. Copes with all operations without problems. The battery is not enough current :-((")</f>
        <v>The laptop is great, I'm happy. Copes with all operations without problems. The battery is not enough current :-((</v>
      </c>
    </row>
    <row r="11670" spans="1:9" x14ac:dyDescent="0.3">
      <c r="A11670" s="1" t="s">
        <v>61</v>
      </c>
      <c r="B11670" s="1" t="s">
        <v>977</v>
      </c>
      <c r="C11670" s="1" t="s">
        <v>63</v>
      </c>
      <c r="D11670" s="1" t="s">
        <v>474</v>
      </c>
      <c r="E11670" s="1" t="s">
        <v>3967</v>
      </c>
      <c r="F11670" s="1" t="s">
        <v>16619</v>
      </c>
      <c r="G11670" s="1" t="s">
        <v>36</v>
      </c>
      <c r="H11670" s="1" t="s">
        <v>29</v>
      </c>
      <c r="I11670" s="1" t="str">
        <f ca="1">IFERROR(__xludf.DUMMYFUNCTION("GOOGLETRANSLATE(F11670, ""auto"", ""en"")
"),"A very good mixer, I've been using it for a year now. It’s convenient that it comes with a stand, but if necessary, you can remove the mixer from it. The bowl rotates, this plays a role when kneading the dough, it always turns out to be the desired consis"&amp;"tency and without lumps. The power is good, it works quietly, the buttons are convenient, and the whisks are easy to put on and take off. I didn’t really like that the mounts on the beaters are made of plastic, but the plastic feels thick and durable to t"&amp;"he touch, I hope there won’t be any problems.")</f>
        <v>A very good mixer, I've been using it for a year now. It’s convenient that it comes with a stand, but if necessary, you can remove the mixer from it. The bowl rotates, this plays a role when kneading the dough, it always turns out to be the desired consistency and without lumps. The power is good, it works quietly, the buttons are convenient, and the whisks are easy to put on and take off. I didn’t really like that the mounts on the beaters are made of plastic, but the plastic feels thick and durable to the touch, I hope there won’t be any problems.</v>
      </c>
    </row>
    <row r="11671" spans="1:9" x14ac:dyDescent="0.3">
      <c r="A11671" s="1" t="s">
        <v>30</v>
      </c>
      <c r="B11671" s="1" t="s">
        <v>50</v>
      </c>
      <c r="C11671" s="1" t="s">
        <v>32</v>
      </c>
      <c r="D11671" s="1" t="s">
        <v>16620</v>
      </c>
      <c r="E11671" s="1" t="s">
        <v>6937</v>
      </c>
      <c r="F11671" s="1" t="s">
        <v>16621</v>
      </c>
      <c r="G11671" s="1" t="s">
        <v>28</v>
      </c>
      <c r="H11671" s="1" t="s">
        <v>29</v>
      </c>
      <c r="I11671" s="1" t="str">
        <f ca="1">IFERROR(__xludf.DUMMYFUNCTION("GOOGLETRANSLATE(F11671, ""auto"", ""en"")
"),"I agree with the positive sides, but there are negative ones: there is a bluetooth button, but there is no bluetooth antenna in the laptop itself; there is no fingerprint scanner, although the description says that it is there; There is no driver disc inc"&amp;"luded.")</f>
        <v>I agree with the positive sides, but there are negative ones: there is a bluetooth button, but there is no bluetooth antenna in the laptop itself; there is no fingerprint scanner, although the description says that it is there; There is no driver disc included.</v>
      </c>
    </row>
    <row r="11672" spans="1:9" x14ac:dyDescent="0.3">
      <c r="A11672" s="1" t="s">
        <v>206</v>
      </c>
      <c r="B11672" s="1" t="s">
        <v>207</v>
      </c>
      <c r="C11672" s="1" t="s">
        <v>262</v>
      </c>
      <c r="D11672" s="1" t="s">
        <v>2923</v>
      </c>
      <c r="E11672" s="1" t="s">
        <v>3233</v>
      </c>
      <c r="F11672" s="1" t="s">
        <v>16622</v>
      </c>
      <c r="G11672" s="1" t="s">
        <v>28</v>
      </c>
      <c r="H11672" s="1" t="s">
        <v>29</v>
      </c>
      <c r="I11672" s="1" t="str">
        <f ca="1">IFERROR(__xludf.DUMMYFUNCTION("GOOGLETRANSLATE(F11672, ""auto"", ""en"")
"),"Not a bad set for the average listener.  I used it for 2 years, I needed something inexpensive and at the same time normal. Of course, 5000W is not enough for an amplifier for a subwoofer with a power of 1000W, but for that kind of money I could only affo"&amp;"rd that!!!! Honestly a good product")</f>
        <v>Not a bad set for the average listener.  I used it for 2 years, I needed something inexpensive and at the same time normal. Of course, 5000W is not enough for an amplifier for a subwoofer with a power of 1000W, but for that kind of money I could only afford that!!!! Honestly a good product</v>
      </c>
    </row>
    <row r="11673" spans="1:9" x14ac:dyDescent="0.3">
      <c r="A11673" s="1" t="s">
        <v>43</v>
      </c>
      <c r="B11673" s="1" t="s">
        <v>334</v>
      </c>
      <c r="C11673" s="1" t="s">
        <v>101</v>
      </c>
      <c r="D11673" s="1" t="s">
        <v>102</v>
      </c>
      <c r="E11673" s="1" t="s">
        <v>4386</v>
      </c>
      <c r="F11673" s="1" t="s">
        <v>16623</v>
      </c>
      <c r="G11673" s="1" t="s">
        <v>36</v>
      </c>
      <c r="H11673" s="1" t="s">
        <v>29</v>
      </c>
      <c r="I11673" s="1" t="str">
        <f ca="1">IFERROR(__xludf.DUMMYFUNCTION("GOOGLETRANSLATE(F11673, ""auto"", ""en"")
"),"compact, functional ")</f>
        <v xml:space="preserve">compact, functional </v>
      </c>
    </row>
    <row r="11674" spans="1:9" x14ac:dyDescent="0.3">
      <c r="A11674" s="1" t="s">
        <v>211</v>
      </c>
      <c r="B11674" s="1" t="s">
        <v>265</v>
      </c>
      <c r="C11674" s="1" t="s">
        <v>294</v>
      </c>
      <c r="D11674" s="1" t="s">
        <v>2560</v>
      </c>
      <c r="E11674" s="1" t="s">
        <v>1937</v>
      </c>
      <c r="F11674" s="1" t="s">
        <v>16624</v>
      </c>
      <c r="G11674" s="1" t="s">
        <v>36</v>
      </c>
      <c r="H11674" s="1" t="s">
        <v>29</v>
      </c>
      <c r="I11674" s="1" t="str">
        <f ca="1">IFERROR(__xludf.DUMMYFUNCTION("GOOGLETRANSLATE(F11674, ""auto"", ""en"")
"),"I bought it for my husband as a gift, he is very pleased!")</f>
        <v>I bought it for my husband as a gift, he is very pleased!</v>
      </c>
    </row>
    <row r="11675" spans="1:9" x14ac:dyDescent="0.3">
      <c r="A11675" s="1" t="s">
        <v>369</v>
      </c>
      <c r="B11675" s="1" t="s">
        <v>587</v>
      </c>
      <c r="C11675" s="1" t="s">
        <v>159</v>
      </c>
      <c r="D11675" s="1" t="s">
        <v>295</v>
      </c>
      <c r="E11675" s="1" t="s">
        <v>1654</v>
      </c>
      <c r="F11675" s="1" t="s">
        <v>16625</v>
      </c>
      <c r="G11675" s="1" t="s">
        <v>36</v>
      </c>
      <c r="H11675" s="1" t="s">
        <v>29</v>
      </c>
      <c r="I11675" s="1" t="str">
        <f ca="1">IFERROR(__xludf.DUMMYFUNCTION("GOOGLETRANSLATE(F11675, ""auto"", ""en"")
"),"I've been using the stove for a year now. I'm very pleased. Everything in it is thought out to the smallest detail. I recommend this cooker.")</f>
        <v>I've been using the stove for a year now. I'm very pleased. Everything in it is thought out to the smallest detail. I recommend this cooker.</v>
      </c>
    </row>
    <row r="11676" spans="1:9" x14ac:dyDescent="0.3">
      <c r="A11676" s="1" t="s">
        <v>61</v>
      </c>
      <c r="B11676" s="1" t="s">
        <v>145</v>
      </c>
      <c r="C11676" s="1" t="s">
        <v>63</v>
      </c>
      <c r="D11676" s="1" t="s">
        <v>471</v>
      </c>
      <c r="E11676" s="1" t="s">
        <v>9600</v>
      </c>
      <c r="F11676" s="1" t="s">
        <v>16626</v>
      </c>
      <c r="G11676" s="1" t="s">
        <v>36</v>
      </c>
      <c r="H11676" s="1" t="s">
        <v>29</v>
      </c>
      <c r="I11676" s="1" t="str">
        <f ca="1">IFERROR(__xludf.DUMMYFUNCTION("GOOGLETRANSLATE(F11676, ""auto"", ""en"")
"),"An excellent thing, in the absence of other devices (blender, mixer, dough mixer, meat grinder, etc.) I have been using it to the fullest for more than 7 years, my mother and sisters have the same one, I think there can be no better indicator of quality!")</f>
        <v>An excellent thing, in the absence of other devices (blender, mixer, dough mixer, meat grinder, etc.) I have been using it to the fullest for more than 7 years, my mother and sisters have the same one, I think there can be no better indicator of quality!</v>
      </c>
    </row>
    <row r="11677" spans="1:9" x14ac:dyDescent="0.3">
      <c r="A11677" s="1" t="s">
        <v>30</v>
      </c>
      <c r="B11677" s="1" t="s">
        <v>31</v>
      </c>
      <c r="C11677" s="1" t="s">
        <v>32</v>
      </c>
      <c r="D11677" s="1" t="s">
        <v>81</v>
      </c>
      <c r="E11677" s="1" t="s">
        <v>3550</v>
      </c>
      <c r="F11677" s="1" t="s">
        <v>16627</v>
      </c>
      <c r="G11677" s="1" t="s">
        <v>28</v>
      </c>
      <c r="H11677" s="1" t="s">
        <v>29</v>
      </c>
      <c r="I11677" s="1" t="str">
        <f ca="1">IFERROR(__xludf.DUMMYFUNCTION("GOOGLETRANSLATE(F11677, ""auto"", ""en"")
"),"Guys, if you assemble this computer by hand, it will be much more expensive than in the store!!! and for 40,000 thousand you can’t assemble a better computer than this one!!! I can only install 1 gig RAM and 700 hard drive!!!")</f>
        <v>Guys, if you assemble this computer by hand, it will be much more expensive than in the store!!! and for 40,000 thousand you can’t assemble a better computer than this one!!! I can only install 1 gig RAM and 700 hard drive!!!</v>
      </c>
    </row>
    <row r="11678" spans="1:9" x14ac:dyDescent="0.3">
      <c r="A11678" s="1" t="s">
        <v>9</v>
      </c>
      <c r="B11678" s="1" t="s">
        <v>10</v>
      </c>
      <c r="C11678" s="1" t="s">
        <v>466</v>
      </c>
      <c r="D11678" s="1" t="s">
        <v>64</v>
      </c>
      <c r="E11678" s="1" t="s">
        <v>5661</v>
      </c>
      <c r="F11678" s="1" t="s">
        <v>16628</v>
      </c>
      <c r="G11678" s="1" t="s">
        <v>36</v>
      </c>
      <c r="H11678" s="1" t="s">
        <v>29</v>
      </c>
      <c r="I11678" s="1" t="str">
        <f ca="1">IFERROR(__xludf.DUMMYFUNCTION("GOOGLETRANSLATE(F11678, ""auto"", ""en"")
"),"Copes well with odors, convenient operation, compact size.")</f>
        <v>Copes well with odors, convenient operation, compact size.</v>
      </c>
    </row>
    <row r="11679" spans="1:9" x14ac:dyDescent="0.3">
      <c r="A11679" s="1" t="s">
        <v>61</v>
      </c>
      <c r="B11679" s="1" t="s">
        <v>318</v>
      </c>
      <c r="C11679" s="1" t="s">
        <v>57</v>
      </c>
      <c r="D11679" s="1" t="s">
        <v>4835</v>
      </c>
      <c r="E11679" s="1" t="s">
        <v>4342</v>
      </c>
      <c r="F11679" s="1" t="s">
        <v>16629</v>
      </c>
      <c r="G11679" s="1" t="s">
        <v>36</v>
      </c>
      <c r="H11679" s="1" t="s">
        <v>29</v>
      </c>
      <c r="I11679" s="1" t="str">
        <f ca="1">IFERROR(__xludf.DUMMYFUNCTION("GOOGLETRANSLATE(F11679, ""auto"", ""en"")
"),"A model from the premium series, with a hidden stainless steel heater, a good tight-fitting anti-scale filter. It's easy to clean, doesn't scratch, I clean it from scale once a month and that's enough. Comfortable non-slip handle.")</f>
        <v>A model from the premium series, with a hidden stainless steel heater, a good tight-fitting anti-scale filter. It's easy to clean, doesn't scratch, I clean it from scale once a month and that's enough. Comfortable non-slip handle.</v>
      </c>
    </row>
    <row r="11680" spans="1:9" x14ac:dyDescent="0.3">
      <c r="A11680" s="1" t="s">
        <v>61</v>
      </c>
      <c r="B11680" s="1" t="s">
        <v>224</v>
      </c>
      <c r="C11680" s="1" t="s">
        <v>57</v>
      </c>
      <c r="D11680" s="1" t="s">
        <v>152</v>
      </c>
      <c r="E11680" s="1" t="s">
        <v>4012</v>
      </c>
      <c r="F11680" s="1" t="s">
        <v>16630</v>
      </c>
      <c r="G11680" s="1" t="s">
        <v>28</v>
      </c>
      <c r="H11680" s="1" t="s">
        <v>29</v>
      </c>
      <c r="I11680" s="1" t="str">
        <f ca="1">IFERROR(__xludf.DUMMYFUNCTION("GOOGLETRANSLATE(F11680, ""auto"", ""en"")
"),"The cake is damp. but in principle it’s a normal squeeze, I’m not going to twist it a lot. I hope it doesn’t burn. Carrots, apples and pears - the flight is normal.")</f>
        <v>The cake is damp. but in principle it’s a normal squeeze, I’m not going to twist it a lot. I hope it doesn’t burn. Carrots, apples and pears - the flight is normal.</v>
      </c>
    </row>
    <row r="11681" spans="1:9" x14ac:dyDescent="0.3">
      <c r="A11681" s="1" t="s">
        <v>61</v>
      </c>
      <c r="B11681" s="1" t="s">
        <v>977</v>
      </c>
      <c r="C11681" s="1" t="s">
        <v>213</v>
      </c>
      <c r="D11681" s="1" t="s">
        <v>113</v>
      </c>
      <c r="E11681" s="1" t="s">
        <v>4335</v>
      </c>
      <c r="F11681" s="1" t="s">
        <v>16631</v>
      </c>
      <c r="G11681" s="1" t="s">
        <v>36</v>
      </c>
      <c r="H11681" s="1" t="s">
        <v>29</v>
      </c>
      <c r="I11681" s="1" t="str">
        <f ca="1">IFERROR(__xludf.DUMMYFUNCTION("GOOGLETRANSLATE(F11681, ""auto"", ""en"")
"),"It’s a good thing. Especially minced meat and cocktails come out quickly.  but the whisk is missing.")</f>
        <v>It’s a good thing. Especially minced meat and cocktails come out quickly.  but the whisk is missing.</v>
      </c>
    </row>
    <row r="11682" spans="1:9" x14ac:dyDescent="0.3">
      <c r="A11682" s="1" t="s">
        <v>120</v>
      </c>
      <c r="B11682" s="1" t="s">
        <v>121</v>
      </c>
      <c r="C11682" s="1" t="s">
        <v>69</v>
      </c>
      <c r="D11682" s="1" t="s">
        <v>52</v>
      </c>
      <c r="E11682" s="1" t="s">
        <v>832</v>
      </c>
      <c r="F11682" s="1" t="s">
        <v>16632</v>
      </c>
      <c r="G11682" s="1" t="s">
        <v>28</v>
      </c>
      <c r="H11682" s="1" t="s">
        <v>29</v>
      </c>
      <c r="I11682" s="1" t="str">
        <f ca="1">IFERROR(__xludf.DUMMYFUNCTION("GOOGLETRANSLATE(F11682, ""auto"", ""en"")
"),"Not a bad TV for the price. I was pleased with the full HD support for video equipment (blue ray players, set-top boxes, etc.) supports 1080p.")</f>
        <v>Not a bad TV for the price. I was pleased with the full HD support for video equipment (blue ray players, set-top boxes, etc.) supports 1080p.</v>
      </c>
    </row>
    <row r="11683" spans="1:9" x14ac:dyDescent="0.3">
      <c r="A11683" s="1" t="s">
        <v>477</v>
      </c>
      <c r="B11683" s="1" t="s">
        <v>478</v>
      </c>
      <c r="C11683" s="1" t="s">
        <v>479</v>
      </c>
      <c r="D11683" s="1" t="s">
        <v>16633</v>
      </c>
      <c r="E11683" s="1" t="s">
        <v>359</v>
      </c>
      <c r="F11683" s="1" t="s">
        <v>16634</v>
      </c>
      <c r="G11683" s="1" t="s">
        <v>36</v>
      </c>
      <c r="H11683" s="1" t="s">
        <v>29</v>
      </c>
      <c r="I11683" s="1" t="str">
        <f ca="1">IFERROR(__xludf.DUMMYFUNCTION("GOOGLETRANSLATE(F11683, ""auto"", ""en"")
"),"I liked the gameplay! High-quality graphics, interesting plot!")</f>
        <v>I liked the gameplay! High-quality graphics, interesting plot!</v>
      </c>
    </row>
    <row r="11684" spans="1:9" x14ac:dyDescent="0.3">
      <c r="A11684" s="1" t="s">
        <v>61</v>
      </c>
      <c r="B11684" s="1" t="s">
        <v>318</v>
      </c>
      <c r="C11684" s="1" t="s">
        <v>246</v>
      </c>
      <c r="D11684" s="1" t="s">
        <v>295</v>
      </c>
      <c r="E11684" s="1" t="s">
        <v>1784</v>
      </c>
      <c r="F11684" s="1" t="s">
        <v>16635</v>
      </c>
      <c r="G11684" s="1" t="s">
        <v>49</v>
      </c>
      <c r="H11684" s="1" t="s">
        <v>16</v>
      </c>
      <c r="I11684" s="1" t="str">
        <f ca="1">IFERROR(__xludf.DUMMYFUNCTION("GOOGLETRANSLATE(F11684, ""auto"", ""en"")
"),"It makes a lot of noise. The lid opens involuntarily. Doesn't always turn off. Once I turned on the kettle and went into the bathroom, it turned off only when all the water had boiled away; there was a steam room in the kitchen.")</f>
        <v>It makes a lot of noise. The lid opens involuntarily. Doesn't always turn off. Once I turned on the kettle and went into the bathroom, it turned off only when all the water had boiled away; there was a steam room in the kitchen.</v>
      </c>
    </row>
    <row r="11685" spans="1:9" x14ac:dyDescent="0.3">
      <c r="A11685" s="1" t="s">
        <v>95</v>
      </c>
      <c r="B11685" s="1" t="s">
        <v>486</v>
      </c>
      <c r="C11685" s="1" t="s">
        <v>487</v>
      </c>
      <c r="D11685" s="1" t="s">
        <v>86</v>
      </c>
      <c r="E11685" s="1" t="s">
        <v>2535</v>
      </c>
      <c r="F11685" s="1" t="s">
        <v>16636</v>
      </c>
      <c r="G11685" s="1" t="s">
        <v>36</v>
      </c>
      <c r="H11685" s="1" t="s">
        <v>29</v>
      </c>
      <c r="I11685" s="1" t="str">
        <f ca="1">IFERROR(__xludf.DUMMYFUNCTION("GOOGLETRANSLATE(F11685, ""auto"", ""en"")
"),"I want to take it this week... Tell me what the hard one is for? what should I write on it? and will games downloaded from the Internet work?")</f>
        <v>I want to take it this week... Tell me what the hard one is for? what should I write on it? and will games downloaded from the Internet work?</v>
      </c>
    </row>
    <row r="11686" spans="1:9" x14ac:dyDescent="0.3">
      <c r="A11686" s="1" t="s">
        <v>30</v>
      </c>
      <c r="B11686" s="1" t="s">
        <v>31</v>
      </c>
      <c r="C11686" s="1" t="s">
        <v>32</v>
      </c>
      <c r="D11686" s="1" t="s">
        <v>33</v>
      </c>
      <c r="E11686" s="1" t="s">
        <v>6569</v>
      </c>
      <c r="F11686" s="1" t="s">
        <v>16637</v>
      </c>
      <c r="G11686" s="1" t="s">
        <v>36</v>
      </c>
      <c r="H11686" s="1" t="s">
        <v>29</v>
      </c>
      <c r="I11686" s="1" t="str">
        <f ca="1">IFERROR(__xludf.DUMMYFUNCTION("GOOGLETRANSLATE(F11686, ""auto"", ""en"")
"),"Hello, on this system unit I can run games like: cs go, dota 2, gta5, if I can, what settings will the game graphics, fps? ▶▶▶M.VIDEO EXPERT ANSWER◀◀◀ Denis, we have not conducted such studies. I recommend visiting the specialized forum on the manufacture"&amp;"r’s website or contacting technical support. game support.")</f>
        <v>Hello, on this system unit I can run games like: cs go, dota 2, gta5, if I can, what settings will the game graphics, fps? ▶▶▶M.VIDEO EXPERT ANSWER◀◀◀ Denis, we have not conducted such studies. I recommend visiting the specialized forum on the manufacturer’s website or contacting technical support. game support.</v>
      </c>
    </row>
    <row r="11687" spans="1:9" x14ac:dyDescent="0.3">
      <c r="A11687" s="1" t="s">
        <v>477</v>
      </c>
      <c r="B11687" s="1" t="s">
        <v>478</v>
      </c>
      <c r="C11687" s="1" t="s">
        <v>479</v>
      </c>
      <c r="D11687" s="1" t="s">
        <v>16638</v>
      </c>
      <c r="E11687" s="1" t="s">
        <v>5935</v>
      </c>
      <c r="F11687" s="1" t="s">
        <v>16639</v>
      </c>
      <c r="G11687" s="1" t="s">
        <v>36</v>
      </c>
      <c r="H11687" s="1" t="s">
        <v>29</v>
      </c>
      <c r="I11687" s="1" t="str">
        <f ca="1">IFERROR(__xludf.DUMMYFUNCTION("GOOGLETRANSLATE(F11687, ""auto"", ""en"")
"),"Almost everything!!!")</f>
        <v>Almost everything!!!</v>
      </c>
    </row>
    <row r="11688" spans="1:9" x14ac:dyDescent="0.3">
      <c r="A11688" s="1" t="s">
        <v>111</v>
      </c>
      <c r="B11688" s="1" t="s">
        <v>112</v>
      </c>
      <c r="C11688" s="1" t="s">
        <v>1230</v>
      </c>
      <c r="D11688" s="1" t="s">
        <v>39</v>
      </c>
      <c r="E11688" s="1" t="s">
        <v>4490</v>
      </c>
      <c r="F11688" s="1" t="s">
        <v>16640</v>
      </c>
      <c r="G11688" s="1" t="s">
        <v>36</v>
      </c>
      <c r="H11688" s="1" t="s">
        <v>29</v>
      </c>
      <c r="I11688" s="1" t="str">
        <f ca="1">IFERROR(__xludf.DUMMYFUNCTION("GOOGLETRANSLATE(F11688, ""auto"", ""en"")
"),"I bought exactly the same one to replace the one that burned out. I must say that the computer saved me, it automatically reset the voltage three times until it dawned on me that something was wrong and I needed to completely turn off the power in the apa"&amp;"rtment. I turned it off with the button and then turned off the current completely. The voltage at that time on One phase was 400 volts!!! After power was restored, the filter turned out to be burnt out.  He died the death of the brave, but the equipment "&amp;"was intact. The choice fell again on him.")</f>
        <v>I bought exactly the same one to replace the one that burned out. I must say that the computer saved me, it automatically reset the voltage three times until it dawned on me that something was wrong and I needed to completely turn off the power in the apartment. I turned it off with the button and then turned off the current completely. The voltage at that time on One phase was 400 volts!!! After power was restored, the filter turned out to be burnt out.  He died the death of the brave, but the equipment was intact. The choice fell again on him.</v>
      </c>
    </row>
    <row r="11689" spans="1:9" x14ac:dyDescent="0.3">
      <c r="A11689" s="1" t="s">
        <v>211</v>
      </c>
      <c r="B11689" s="1" t="s">
        <v>410</v>
      </c>
      <c r="C11689" s="1" t="s">
        <v>69</v>
      </c>
      <c r="D11689" s="1" t="s">
        <v>14753</v>
      </c>
      <c r="E11689" s="1" t="s">
        <v>2251</v>
      </c>
      <c r="F11689" s="1" t="s">
        <v>16641</v>
      </c>
      <c r="G11689" s="1" t="s">
        <v>36</v>
      </c>
      <c r="H11689" s="1" t="s">
        <v>29</v>
      </c>
      <c r="I11689" s="1" t="str">
        <f ca="1">IFERROR(__xludf.DUMMYFUNCTION("GOOGLETRANSLATE(F11689, ""auto"", ""en"")
"),"excellent razor, no irritation)")</f>
        <v>excellent razor, no irritation)</v>
      </c>
    </row>
    <row r="11690" spans="1:9" x14ac:dyDescent="0.3">
      <c r="A11690" s="1" t="s">
        <v>211</v>
      </c>
      <c r="B11690" s="1" t="s">
        <v>212</v>
      </c>
      <c r="C11690" s="1" t="s">
        <v>381</v>
      </c>
      <c r="D11690" s="1" t="s">
        <v>589</v>
      </c>
      <c r="E11690" s="1" t="s">
        <v>481</v>
      </c>
      <c r="F11690" s="1" t="s">
        <v>16642</v>
      </c>
      <c r="G11690" s="1" t="s">
        <v>36</v>
      </c>
      <c r="H11690" s="1" t="s">
        <v>29</v>
      </c>
      <c r="I11690" s="1" t="str">
        <f ca="1">IFERROR(__xludf.DUMMYFUNCTION("GOOGLETRANSLATE(F11690, ""auto"", ""en"")
"),"My husband gave me this straightener for my birthday. Super, I’m delighted! straightens it very quickly! I recommend it!  one of the minuses: when you hold the device, your hand is constantly on the temperature adjustment buttons, but there is a lock ther"&amp;"e, so I don’t consider this a disadvantage as such.")</f>
        <v>My husband gave me this straightener for my birthday. Super, I’m delighted! straightens it very quickly! I recommend it!  one of the minuses: when you hold the device, your hand is constantly on the temperature adjustment buttons, but there is a lock there, so I don’t consider this a disadvantage as such.</v>
      </c>
    </row>
    <row r="11691" spans="1:9" x14ac:dyDescent="0.3">
      <c r="A11691" s="1" t="s">
        <v>37</v>
      </c>
      <c r="B11691" s="1" t="s">
        <v>38</v>
      </c>
      <c r="C11691" s="1" t="s">
        <v>39</v>
      </c>
      <c r="D11691" s="1" t="s">
        <v>232</v>
      </c>
      <c r="E11691" s="1" t="s">
        <v>540</v>
      </c>
      <c r="F11691" s="1" t="s">
        <v>16643</v>
      </c>
      <c r="G11691" s="1" t="s">
        <v>36</v>
      </c>
      <c r="H11691" s="1" t="s">
        <v>29</v>
      </c>
      <c r="I11691" s="1" t="str">
        <f ca="1">IFERROR(__xludf.DUMMYFUNCTION("GOOGLETRANSLATE(F11691, ""auto"", ""en"")
"),"Very beautiful and colorful phone! ideal for listening to music, very beautiful themes! I advise everyone to take the phone, reliable! The back cover is very durable.")</f>
        <v>Very beautiful and colorful phone! ideal for listening to music, very beautiful themes! I advise everyone to take the phone, reliable! The back cover is very durable.</v>
      </c>
    </row>
    <row r="11692" spans="1:9" x14ac:dyDescent="0.3">
      <c r="A11692" s="1" t="s">
        <v>369</v>
      </c>
      <c r="B11692" s="1" t="s">
        <v>587</v>
      </c>
      <c r="C11692" s="1" t="s">
        <v>588</v>
      </c>
      <c r="D11692" s="1" t="s">
        <v>64</v>
      </c>
      <c r="E11692" s="1" t="s">
        <v>16644</v>
      </c>
      <c r="F11692" s="1" t="s">
        <v>16645</v>
      </c>
      <c r="G11692" s="1" t="s">
        <v>28</v>
      </c>
      <c r="H11692" s="1" t="s">
        <v>29</v>
      </c>
      <c r="I11692" s="1" t="str">
        <f ca="1">IFERROR(__xludf.DUMMYFUNCTION("GOOGLETRANSLATE(F11692, ""auto"", ""en"")
"),"I've been using the stove for six months. As for the oven, the bottom actually bakes faster than the top, you can brown it with a grill. The heat from the oven does not come out - it protects the furniture))) The oven modes are convenient: set it and forg"&amp;"et it. It lights up once, just bring the lighter up, after 3 seconds the handle can be released. Burners: there is indeed some noise from the burners, but it’s not particularly annoying. The location of the burners (in my opinion) is not particularly conv"&amp;"enient. The left one is huge, and you can’t put a small saucepan for morning porridge, and the right one is small... I don’t understand what it’s for... The electric ignition works like a charm (the main thing is that the burner itself lies correctly in t"&amp;"he socket). For me, the execution in metal did not seem convenient - there are greasy hand marks (I am a pedant and a perfectionist), if only the white enamel was the same, I would take it.")</f>
        <v>I've been using the stove for six months. As for the oven, the bottom actually bakes faster than the top, you can brown it with a grill. The heat from the oven does not come out - it protects the furniture))) The oven modes are convenient: set it and forget it. It lights up once, just bring the lighter up, after 3 seconds the handle can be released. Burners: there is indeed some noise from the burners, but it’s not particularly annoying. The location of the burners (in my opinion) is not particularly convenient. The left one is huge, and you can’t put a small saucepan for morning porridge, and the right one is small... I don’t understand what it’s for... The electric ignition works like a charm (the main thing is that the burner itself lies correctly in the socket). For me, the execution in metal did not seem convenient - there are greasy hand marks (I am a pedant and a perfectionist), if only the white enamel was the same, I would take it.</v>
      </c>
    </row>
    <row r="11693" spans="1:9" x14ac:dyDescent="0.3">
      <c r="A11693" s="1" t="s">
        <v>211</v>
      </c>
      <c r="B11693" s="1" t="s">
        <v>384</v>
      </c>
      <c r="C11693" s="1" t="s">
        <v>246</v>
      </c>
      <c r="D11693" s="1" t="s">
        <v>589</v>
      </c>
      <c r="E11693" s="1" t="s">
        <v>4366</v>
      </c>
      <c r="F11693" s="1" t="s">
        <v>16646</v>
      </c>
      <c r="G11693" s="1" t="s">
        <v>49</v>
      </c>
      <c r="H11693" s="1" t="s">
        <v>16</v>
      </c>
      <c r="I11693" s="1" t="str">
        <f ca="1">IFERROR(__xludf.DUMMYFUNCTION("GOOGLETRANSLATE(F11693, ""auto"", ""en"")
"),"Libra is terrible. Two weeks after the purchase, they began to show error 114, you can weigh yourself normally only the third time.")</f>
        <v>Libra is terrible. Two weeks after the purchase, they began to show error 114, you can weigh yourself normally only the third time.</v>
      </c>
    </row>
    <row r="11694" spans="1:9" x14ac:dyDescent="0.3">
      <c r="A11694" s="1" t="s">
        <v>17</v>
      </c>
      <c r="B11694" s="1" t="s">
        <v>18</v>
      </c>
      <c r="C11694" s="1" t="s">
        <v>63</v>
      </c>
      <c r="D11694" s="1" t="s">
        <v>52</v>
      </c>
      <c r="E11694" s="1" t="s">
        <v>236</v>
      </c>
      <c r="F11694" s="1" t="s">
        <v>16647</v>
      </c>
      <c r="G11694" s="1" t="s">
        <v>36</v>
      </c>
      <c r="H11694" s="1" t="s">
        <v>29</v>
      </c>
      <c r="I11694" s="1" t="str">
        <f ca="1">IFERROR(__xludf.DUMMYFUNCTION("GOOGLETRANSLATE(F11694, ""auto"", ""en"")
"),"The machine is excellent. It does its job very well. You still need to look for better machines for the money... In general, I advise everyone...")</f>
        <v>The machine is excellent. It does its job very well. You still need to look for better machines for the money... In general, I advise everyone...</v>
      </c>
    </row>
    <row r="11695" spans="1:9" x14ac:dyDescent="0.3">
      <c r="A11695" s="1" t="s">
        <v>211</v>
      </c>
      <c r="B11695" s="1" t="s">
        <v>212</v>
      </c>
      <c r="C11695" s="1" t="s">
        <v>381</v>
      </c>
      <c r="D11695" s="1" t="s">
        <v>64</v>
      </c>
      <c r="E11695" s="1" t="s">
        <v>9939</v>
      </c>
      <c r="F11695" s="1" t="s">
        <v>16648</v>
      </c>
      <c r="G11695" s="1" t="s">
        <v>28</v>
      </c>
      <c r="H11695" s="1" t="s">
        <v>29</v>
      </c>
      <c r="I11695" s="1" t="str">
        <f ca="1">IFERROR(__xludf.DUMMYFUNCTION("GOOGLETRANSLATE(F11695, ""auto"", ""en"")
"),"This hairdryer has been serving me every morning for 5 years now, I am very pleased with it. Lightweight, comfortable, ionization, cold air. Everything you need. The only thing is! Very fragile attachment. Mine was all cracked simply from the flow of hot "&amp;"air and contact with the comb while drying. He didn't fall. Well, the cord would be longer. Despite these disadvantages, I recommend this hair dryer!")</f>
        <v>This hairdryer has been serving me every morning for 5 years now, I am very pleased with it. Lightweight, comfortable, ionization, cold air. Everything you need. The only thing is! Very fragile attachment. Mine was all cracked simply from the flow of hot air and contact with the comb while drying. He didn't fall. Well, the cord would be longer. Despite these disadvantages, I recommend this hair dryer!</v>
      </c>
    </row>
    <row r="11696" spans="1:9" x14ac:dyDescent="0.3">
      <c r="A11696" s="1" t="s">
        <v>89</v>
      </c>
      <c r="B11696" s="1" t="s">
        <v>1106</v>
      </c>
      <c r="C11696" s="1" t="s">
        <v>63</v>
      </c>
      <c r="D11696" s="1" t="s">
        <v>305</v>
      </c>
      <c r="E11696" s="1" t="s">
        <v>585</v>
      </c>
      <c r="F11696" s="1" t="s">
        <v>16649</v>
      </c>
      <c r="G11696" s="1" t="s">
        <v>36</v>
      </c>
      <c r="H11696" s="1" t="s">
        <v>29</v>
      </c>
      <c r="I11696" s="1" t="str">
        <f ca="1">IFERROR(__xludf.DUMMYFUNCTION("GOOGLETRANSLATE(F11696, ""auto"", ""en"")
"),"The coffee maker is great, we’ve had it for 3 or 4 years, I’ve been wanting it for a long time. I brew coffee in it every day, I even make tea, it’s a durable coffee maker. rating 5++++++++++++++++")</f>
        <v>The coffee maker is great, we’ve had it for 3 or 4 years, I’ve been wanting it for a long time. I brew coffee in it every day, I even make tea, it’s a durable coffee maker. rating 5++++++++++++++++</v>
      </c>
    </row>
    <row r="11697" spans="1:9" x14ac:dyDescent="0.3">
      <c r="A11697" s="1" t="s">
        <v>61</v>
      </c>
      <c r="B11697" s="1" t="s">
        <v>62</v>
      </c>
      <c r="C11697" s="1" t="s">
        <v>146</v>
      </c>
      <c r="D11697" s="1" t="s">
        <v>2764</v>
      </c>
      <c r="E11697" s="1" t="s">
        <v>2853</v>
      </c>
      <c r="F11697" s="1" t="s">
        <v>16650</v>
      </c>
      <c r="G11697" s="1" t="s">
        <v>36</v>
      </c>
      <c r="H11697" s="1" t="s">
        <v>29</v>
      </c>
      <c r="I11697" s="1" t="str">
        <f ca="1">IFERROR(__xludf.DUMMYFUNCTION("GOOGLETRANSLATE(F11697, ""auto"", ""en"")
"),"great combine! Takes up little space on the table! Quite a large volume of bowls (both). Collapsible design of the blender bowl. It is no louder than other food processors; at first the noise bothered me, but then you didn’t pay attention.")</f>
        <v>great combine! Takes up little space on the table! Quite a large volume of bowls (both). Collapsible design of the blender bowl. It is no louder than other food processors; at first the noise bothered me, but then you didn’t pay attention.</v>
      </c>
    </row>
    <row r="11698" spans="1:9" x14ac:dyDescent="0.3">
      <c r="A11698" s="1" t="s">
        <v>211</v>
      </c>
      <c r="B11698" s="1" t="s">
        <v>410</v>
      </c>
      <c r="C11698" s="1" t="s">
        <v>213</v>
      </c>
      <c r="D11698" s="1" t="s">
        <v>39</v>
      </c>
      <c r="E11698" s="1" t="s">
        <v>5195</v>
      </c>
      <c r="F11698" s="1" t="s">
        <v>16651</v>
      </c>
      <c r="G11698" s="1" t="s">
        <v>28</v>
      </c>
      <c r="H11698" s="1" t="s">
        <v>29</v>
      </c>
      <c r="I11698" s="1" t="str">
        <f ca="1">IFERROR(__xludf.DUMMYFUNCTION("GOOGLETRANSLATE(F11698, ""auto"", ""en"")
"),"In recent years I have been shaving with a Panasonic ES8026 and was not very happy, so I thought Braun.... After purchasing the Braun 3340wd I say WOW! I can’t do this thing, it doesn’t shave much better than the Panasonic, both of them are bad at shaving"&amp;" long hairs growing parallel to the skin, well, maybe the Braun is a little bit better (and that’s why I bought Braun), but it costs much more than similar models, for example the same Panasonic.   ps interesting: series 5 and 7, how much better do series"&amp;" 3 shave?")</f>
        <v>In recent years I have been shaving with a Panasonic ES8026 and was not very happy, so I thought Braun.... After purchasing the Braun 3340wd I say WOW! I can’t do this thing, it doesn’t shave much better than the Panasonic, both of them are bad at shaving long hairs growing parallel to the skin, well, maybe the Braun is a little bit better (and that’s why I bought Braun), but it costs much more than similar models, for example the same Panasonic.   ps interesting: series 5 and 7, how much better do series 3 shave?</v>
      </c>
    </row>
    <row r="11699" spans="1:9" x14ac:dyDescent="0.3">
      <c r="A11699" s="1" t="s">
        <v>9</v>
      </c>
      <c r="B11699" s="1" t="s">
        <v>137</v>
      </c>
      <c r="C11699" s="1" t="s">
        <v>870</v>
      </c>
      <c r="D11699" s="1" t="s">
        <v>742</v>
      </c>
      <c r="E11699" s="1" t="s">
        <v>16652</v>
      </c>
      <c r="F11699" s="1" t="s">
        <v>16653</v>
      </c>
      <c r="G11699" s="1" t="s">
        <v>36</v>
      </c>
      <c r="H11699" s="1" t="s">
        <v>29</v>
      </c>
      <c r="I11699" s="1" t="str">
        <f ca="1">IFERROR(__xludf.DUMMYFUNCTION("GOOGLETRANSLATE(F11699, ""auto"", ""en"")
"),"excellent built-in. gas panel")</f>
        <v>excellent built-in. gas panel</v>
      </c>
    </row>
    <row r="11700" spans="1:9" x14ac:dyDescent="0.3">
      <c r="A11700" s="1" t="s">
        <v>55</v>
      </c>
      <c r="B11700" s="1" t="s">
        <v>56</v>
      </c>
      <c r="C11700" s="1" t="s">
        <v>57</v>
      </c>
      <c r="D11700" s="1" t="s">
        <v>1506</v>
      </c>
      <c r="E11700" s="1" t="s">
        <v>3284</v>
      </c>
      <c r="F11700" s="1" t="s">
        <v>16654</v>
      </c>
      <c r="G11700" s="1" t="s">
        <v>36</v>
      </c>
      <c r="H11700" s="1" t="s">
        <v>29</v>
      </c>
      <c r="I11700" s="1" t="str">
        <f ca="1">IFERROR(__xludf.DUMMYFUNCTION("GOOGLETRANSLATE(F11700, ""auto"", ""en"")
"),"We bought an air humidifier from Vitek brand VT-1764, the model is distinguished by remote control + control panel.  We like it: the air humidifies well both with cold steam and with heating. The built-in ionization also works great: the air becomes clean"&amp;"er.  I recommend!")</f>
        <v>We bought an air humidifier from Vitek brand VT-1764, the model is distinguished by remote control + control panel.  We like it: the air humidifies well both with cold steam and with heating. The built-in ionization also works great: the air becomes cleaner.  I recommend!</v>
      </c>
    </row>
    <row r="11701" spans="1:9" x14ac:dyDescent="0.3">
      <c r="A11701" s="1" t="s">
        <v>557</v>
      </c>
      <c r="B11701" s="1" t="s">
        <v>558</v>
      </c>
      <c r="C11701" s="1" t="s">
        <v>816</v>
      </c>
      <c r="D11701" s="1" t="s">
        <v>16655</v>
      </c>
      <c r="E11701" s="1" t="s">
        <v>8066</v>
      </c>
      <c r="F11701" s="1" t="s">
        <v>16656</v>
      </c>
      <c r="G11701" s="1" t="s">
        <v>36</v>
      </c>
      <c r="H11701" s="1" t="s">
        <v>29</v>
      </c>
      <c r="I11701" s="1" t="str">
        <f ca="1">IFERROR(__xludf.DUMMYFUNCTION("GOOGLETRANSLATE(F11701, ""auto"", ""en"")
"),"I bought a set, plus an extra handset! There are no noises described above! All three tubes work great! The menu doesn’t slow down, everything is incredibly simple! Elegant! Neat, easy!")</f>
        <v>I bought a set, plus an extra handset! There are no noises described above! All three tubes work great! The menu doesn’t slow down, everything is incredibly simple! Elegant! Neat, easy!</v>
      </c>
    </row>
    <row r="11702" spans="1:9" x14ac:dyDescent="0.3">
      <c r="A11702" s="1" t="s">
        <v>17</v>
      </c>
      <c r="B11702" s="1" t="s">
        <v>18</v>
      </c>
      <c r="C11702" s="1" t="s">
        <v>138</v>
      </c>
      <c r="D11702" s="1" t="s">
        <v>308</v>
      </c>
      <c r="E11702" s="1" t="s">
        <v>1540</v>
      </c>
      <c r="F11702" s="1" t="s">
        <v>16657</v>
      </c>
      <c r="G11702" s="1" t="s">
        <v>28</v>
      </c>
      <c r="H11702" s="1" t="s">
        <v>29</v>
      </c>
      <c r="I11702" s="1" t="str">
        <f ca="1">IFERROR(__xludf.DUMMYFUNCTION("GOOGLETRANSLATE(F11702, ""auto"", ""en"")
"),"We were looking for a budget option for a rented apartment and settled on this model.   Stopped on the third wash. With a sad “well, this is cheap equipment,” we turned to technical support. I must say, the guys arrived promptly, and our problem turned ou"&amp;"t to be extremely stupid: during installation, the plumber did not pull out the foam blocks from under the drum (it’s unclear how she, poor thing, washed with them the first time).   Since then, it has been in active work for almost 2 years (I am a child,"&amp;" so I had to use it often).   In general, I’m happy with everything, except for the shortcomings: it’s a little noisy, but it didn’t bother us too much.   Now I’m looking for a machine again for another apartment, reading reviews and again looking towards"&amp;" this model. :)")</f>
        <v>We were looking for a budget option for a rented apartment and settled on this model.   Stopped on the third wash. With a sad “well, this is cheap equipment,” we turned to technical support. I must say, the guys arrived promptly, and our problem turned out to be extremely stupid: during installation, the plumber did not pull out the foam blocks from under the drum (it’s unclear how she, poor thing, washed with them the first time).   Since then, it has been in active work for almost 2 years (I am a child, so I had to use it often).   In general, I’m happy with everything, except for the shortcomings: it’s a little noisy, but it didn’t bother us too much.   Now I’m looking for a machine again for another apartment, reading reviews and again looking towards this model. :)</v>
      </c>
    </row>
    <row r="11703" spans="1:9" x14ac:dyDescent="0.3">
      <c r="A11703" s="1" t="s">
        <v>61</v>
      </c>
      <c r="B11703" s="1" t="s">
        <v>318</v>
      </c>
      <c r="C11703" s="1" t="s">
        <v>69</v>
      </c>
      <c r="D11703" s="1" t="s">
        <v>16658</v>
      </c>
      <c r="E11703" s="1" t="s">
        <v>10796</v>
      </c>
      <c r="F11703" s="1" t="s">
        <v>16659</v>
      </c>
      <c r="G11703" s="1" t="s">
        <v>36</v>
      </c>
      <c r="H11703" s="1" t="s">
        <v>29</v>
      </c>
      <c r="I11703" s="1" t="str">
        <f ca="1">IFERROR(__xludf.DUMMYFUNCTION("GOOGLETRANSLATE(F11703, ""auto"", ""en"")
"),"Today I’m going to buy a second exactly the same kettle, because I haven’t come across a better one in Moscow yet! But the old one just fell, and everything possible in the design was broken, so I’m changing it... I don’t like metal, I always stick to blu"&amp;"e and white in the kitchen :). I definitely recommend it to everyone.")</f>
        <v>Today I’m going to buy a second exactly the same kettle, because I haven’t come across a better one in Moscow yet! But the old one just fell, and everything possible in the design was broken, so I’m changing it... I don’t like metal, I always stick to blue and white in the kitchen :). I definitely recommend it to everyone.</v>
      </c>
    </row>
    <row r="11704" spans="1:9" x14ac:dyDescent="0.3">
      <c r="A11704" s="1" t="s">
        <v>43</v>
      </c>
      <c r="B11704" s="1" t="s">
        <v>303</v>
      </c>
      <c r="C11704" s="1" t="s">
        <v>304</v>
      </c>
      <c r="D11704" s="1" t="s">
        <v>64</v>
      </c>
      <c r="E11704" s="1" t="s">
        <v>3960</v>
      </c>
      <c r="F11704" s="1" t="s">
        <v>16660</v>
      </c>
      <c r="G11704" s="1" t="s">
        <v>36</v>
      </c>
      <c r="H11704" s="1" t="s">
        <v>29</v>
      </c>
      <c r="I11704" s="1" t="str">
        <f ca="1">IFERROR(__xludf.DUMMYFUNCTION("GOOGLETRANSLATE(F11704, ""auto"", ""en"")
"),"We have been using it for 2 weeks, no complaints yet, everything is fine, the water is hot. Everything is fine!!!")</f>
        <v>We have been using it for 2 weeks, no complaints yet, everything is fine, the water is hot. Everything is fine!!!</v>
      </c>
    </row>
    <row r="11705" spans="1:9" x14ac:dyDescent="0.3">
      <c r="A11705" s="1" t="s">
        <v>105</v>
      </c>
      <c r="B11705" s="1" t="s">
        <v>106</v>
      </c>
      <c r="C11705" s="1" t="s">
        <v>151</v>
      </c>
      <c r="D11705" s="1" t="s">
        <v>729</v>
      </c>
      <c r="E11705" s="1" t="s">
        <v>1457</v>
      </c>
      <c r="F11705" s="1" t="s">
        <v>16661</v>
      </c>
      <c r="G11705" s="1" t="s">
        <v>36</v>
      </c>
      <c r="H11705" s="1" t="s">
        <v>29</v>
      </c>
      <c r="I11705" s="1" t="str">
        <f ca="1">IFERROR(__xludf.DUMMYFUNCTION("GOOGLETRANSLATE(F11705, ""auto"", ""en"")
"),"I bought it on July 21, 09 in m-video. I'm 100% happy with the player. I really liked the fact that you don't need to recode movies, almost everyone can read them!")</f>
        <v>I bought it on July 21, 09 in m-video. I'm 100% happy with the player. I really liked the fact that you don't need to recode movies, almost everyone can read them!</v>
      </c>
    </row>
    <row r="11706" spans="1:9" x14ac:dyDescent="0.3">
      <c r="A11706" s="1" t="s">
        <v>61</v>
      </c>
      <c r="B11706" s="1" t="s">
        <v>318</v>
      </c>
      <c r="C11706" s="1" t="s">
        <v>101</v>
      </c>
      <c r="D11706" s="1" t="s">
        <v>1681</v>
      </c>
      <c r="E11706" s="1" t="s">
        <v>1195</v>
      </c>
      <c r="F11706" s="1" t="s">
        <v>16662</v>
      </c>
      <c r="G11706" s="1" t="s">
        <v>36</v>
      </c>
      <c r="H11706" s="1" t="s">
        <v>29</v>
      </c>
      <c r="I11706" s="1" t="str">
        <f ca="1">IFERROR(__xludf.DUMMYFUNCTION("GOOGLETRANSLATE(F11706, ""auto"", ""en"")
"),"Cool thermopot! We bought it for a creative space where there are always a lot of people. There is a lot of water in it, and it stays hot for a long time (unlike a kettle, which would have to be boiled a million times). It doesn’t consume much electricity"&amp;", which is nice.")</f>
        <v>Cool thermopot! We bought it for a creative space where there are always a lot of people. There is a lot of water in it, and it stays hot for a long time (unlike a kettle, which would have to be boiled a million times). It doesn’t consume much electricity, which is nice.</v>
      </c>
    </row>
    <row r="11707" spans="1:9" x14ac:dyDescent="0.3">
      <c r="A11707" s="1" t="s">
        <v>149</v>
      </c>
      <c r="B11707" s="1" t="s">
        <v>150</v>
      </c>
      <c r="C11707" s="1" t="s">
        <v>151</v>
      </c>
      <c r="D11707" s="1" t="s">
        <v>295</v>
      </c>
      <c r="E11707" s="1" t="s">
        <v>6345</v>
      </c>
      <c r="F11707" s="1" t="s">
        <v>16663</v>
      </c>
      <c r="G11707" s="1" t="s">
        <v>36</v>
      </c>
      <c r="H11707" s="1" t="s">
        <v>29</v>
      </c>
      <c r="I11707" s="1" t="str">
        <f ca="1">IFERROR(__xludf.DUMMYFUNCTION("GOOGLETRANSLATE(F11707, ""auto"", ""en"")
"),"I recently bought a vacuum cleaner, I was wondering whether to believe the bad reviews or not. So, you know, the vacuum cleaner is simply wonderful! He is very nimble and rolls well on the floor. I don’t lift it anywhere, so I didn’t notice the heavy weig"&amp;"ht. I had doubts about the power, but what I saw exceeded all my expectations: the carpets are lifted, and it sticks to the linoleum so that you can’t tear it off! After cleaning, I had the feeling that the apartment had never been cleaned before)))) Ther"&amp;"e was so much dirt in the filter!!!! But the most important thing is that when cleaning it, it doesn’t fly anywhere: pour it into the toilet and that’s it! Washing the filter takes about 5 minutes at most. The handle control is very convenient. Noisy, but"&amp;" not so much that it becomes a disadvantage. And the finishing touch of this wonderful vacuum cleaner is its attractive design. There are no problems with cleaning now!")</f>
        <v>I recently bought a vacuum cleaner, I was wondering whether to believe the bad reviews or not. So, you know, the vacuum cleaner is simply wonderful! He is very nimble and rolls well on the floor. I don’t lift it anywhere, so I didn’t notice the heavy weight. I had doubts about the power, but what I saw exceeded all my expectations: the carpets are lifted, and it sticks to the linoleum so that you can’t tear it off! After cleaning, I had the feeling that the apartment had never been cleaned before)))) There was so much dirt in the filter!!!! But the most important thing is that when cleaning it, it doesn’t fly anywhere: pour it into the toilet and that’s it! Washing the filter takes about 5 minutes at most. The handle control is very convenient. Noisy, but not so much that it becomes a disadvantage. And the finishing touch of this wonderful vacuum cleaner is its attractive design. There are no problems with cleaning now!</v>
      </c>
    </row>
    <row r="11708" spans="1:9" x14ac:dyDescent="0.3">
      <c r="A11708" s="1" t="s">
        <v>149</v>
      </c>
      <c r="B11708" s="1" t="s">
        <v>576</v>
      </c>
      <c r="C11708" s="1" t="s">
        <v>85</v>
      </c>
      <c r="D11708" s="1" t="s">
        <v>232</v>
      </c>
      <c r="E11708" s="1" t="s">
        <v>2236</v>
      </c>
      <c r="F11708" s="1" t="s">
        <v>16664</v>
      </c>
      <c r="G11708" s="1" t="s">
        <v>36</v>
      </c>
      <c r="H11708" s="1" t="s">
        <v>29</v>
      </c>
      <c r="I11708" s="1" t="str">
        <f ca="1">IFERROR(__xludf.DUMMYFUNCTION("GOOGLETRANSLATE(F11708, ""auto"", ""en"")
"),"Fireworks to everyone!  I don’t know who writes bad reviews for what and for what purpose, but I will say the following... I can’t even call it a vacuum cleaner - THIS MERCE)))) Runs after me on three wheels))) in general, I needed a vacuum cleaner that d"&amp;"oes not leave marks on the parquet and at the same time does not make noise, because the child is small at home (he got what he wanted, dust predator No. 1!!! I have a two-room apartment, about 70 square meters, I changed the bag for the third time this m"&amp;"onth, and bought it in early March, when the Phillips broke (the lid and nozzle came loose), although it worked without problems, but I changed the bag in it once a month (I later realized that it has a small volume for the bag, in short, I clean it with "&amp;"joy every time, and my friends are jealous))))))")</f>
        <v>Fireworks to everyone!  I don’t know who writes bad reviews for what and for what purpose, but I will say the following... I can’t even call it a vacuum cleaner - THIS MERCE)))) Runs after me on three wheels))) in general, I needed a vacuum cleaner that does not leave marks on the parquet and at the same time does not make noise, because the child is small at home (he got what he wanted, dust predator No. 1!!! I have a two-room apartment, about 70 square meters, I changed the bag for the third time this month, and bought it in early March, when the Phillips broke (the lid and nozzle came loose), although it worked without problems, but I changed the bag in it once a month (I later realized that it has a small volume for the bag, in short, I clean it with joy every time, and my friends are jealous))))))</v>
      </c>
    </row>
    <row r="11709" spans="1:9" x14ac:dyDescent="0.3">
      <c r="A11709" s="1" t="s">
        <v>17</v>
      </c>
      <c r="B11709" s="1" t="s">
        <v>18</v>
      </c>
      <c r="C11709" s="1" t="s">
        <v>885</v>
      </c>
      <c r="D11709" s="1" t="s">
        <v>86</v>
      </c>
      <c r="E11709" s="1" t="s">
        <v>3594</v>
      </c>
      <c r="F11709" s="1" t="s">
        <v>16665</v>
      </c>
      <c r="G11709" s="1" t="s">
        <v>36</v>
      </c>
      <c r="H11709" s="1" t="s">
        <v>29</v>
      </c>
      <c r="I11709" s="1" t="str">
        <f ca="1">IFERROR(__xludf.DUMMYFUNCTION("GOOGLETRANSLATE(F11709, ""auto"", ""en"")
"),"I've been using it for six months, no complaints.")</f>
        <v>I've been using it for six months, no complaints.</v>
      </c>
    </row>
    <row r="11710" spans="1:9" x14ac:dyDescent="0.3">
      <c r="A11710" s="1" t="s">
        <v>17</v>
      </c>
      <c r="B11710" s="1" t="s">
        <v>18</v>
      </c>
      <c r="C11710" s="1" t="s">
        <v>151</v>
      </c>
      <c r="D11710" s="1" t="s">
        <v>16666</v>
      </c>
      <c r="E11710" s="1" t="s">
        <v>1784</v>
      </c>
      <c r="F11710" s="1" t="s">
        <v>16667</v>
      </c>
      <c r="G11710" s="1" t="s">
        <v>28</v>
      </c>
      <c r="H11710" s="1" t="s">
        <v>29</v>
      </c>
      <c r="I11710" s="1" t="str">
        <f ca="1">IFERROR(__xludf.DUMMYFUNCTION("GOOGLETRANSLATE(F11710, ""auto"", ""en"")
"),"Advantages: excellent price-quality ratio; easy to use; quiet; completely flushes detergents out of the detergent compartment (there was powder left in the previous machine); Possibility to select temperature and spin speed.  Disadvantages: no “delicate f"&amp;"abrics” program; When washing wool and dark clothes, the powder is not washed out; you have to turn on an additional rinse after washing.  Comments: in general I’m happy with the machine, when washing delicate fabrics I use the synthetic or wool program a"&amp;"nd set the temperature to 30 and the speed to 400, it turns out almost the same as the special program.")</f>
        <v>Advantages: excellent price-quality ratio; easy to use; quiet; completely flushes detergents out of the detergent compartment (there was powder left in the previous machine); Possibility to select temperature and spin speed.  Disadvantages: no “delicate fabrics” program; When washing wool and dark clothes, the powder is not washed out; you have to turn on an additional rinse after washing.  Comments: in general I’m happy with the machine, when washing delicate fabrics I use the synthetic or wool program and set the temperature to 30 and the speed to 400, it turns out almost the same as the special program.</v>
      </c>
    </row>
    <row r="11711" spans="1:9" x14ac:dyDescent="0.3">
      <c r="A11711" s="1" t="s">
        <v>55</v>
      </c>
      <c r="B11711" s="1" t="s">
        <v>56</v>
      </c>
      <c r="C11711" s="1" t="s">
        <v>159</v>
      </c>
      <c r="D11711" s="1" t="s">
        <v>39</v>
      </c>
      <c r="E11711" s="1" t="s">
        <v>128</v>
      </c>
      <c r="F11711" s="1" t="s">
        <v>16668</v>
      </c>
      <c r="G11711" s="1" t="s">
        <v>36</v>
      </c>
      <c r="H11711" s="1" t="s">
        <v>29</v>
      </c>
      <c r="I11711" s="1" t="str">
        <f ca="1">IFERROR(__xludf.DUMMYFUNCTION("GOOGLETRANSLATE(F11711, ""auto"", ""en"")
"),"The filter fits easily from Borka!!!  Decent Humidifier!")</f>
        <v>The filter fits easily from Borka!!!  Decent Humidifier!</v>
      </c>
    </row>
    <row r="11712" spans="1:9" x14ac:dyDescent="0.3">
      <c r="A11712" s="1" t="s">
        <v>169</v>
      </c>
      <c r="B11712" s="1" t="s">
        <v>170</v>
      </c>
      <c r="C11712" s="1" t="s">
        <v>171</v>
      </c>
      <c r="D11712" s="1" t="s">
        <v>16669</v>
      </c>
      <c r="E11712" s="1" t="s">
        <v>3169</v>
      </c>
      <c r="F11712" s="1" t="s">
        <v>16670</v>
      </c>
      <c r="G11712" s="1" t="s">
        <v>36</v>
      </c>
      <c r="H11712" s="1" t="s">
        <v>29</v>
      </c>
      <c r="I11712" s="1" t="str">
        <f ca="1">IFERROR(__xludf.DUMMYFUNCTION("GOOGLETRANSLATE(F11712, ""auto"", ""en"")
"),"I've been using them for over a year, excellent headphones for their price!")</f>
        <v>I've been using them for over a year, excellent headphones for their price!</v>
      </c>
    </row>
    <row r="11713" spans="1:9" x14ac:dyDescent="0.3">
      <c r="A11713" s="1" t="s">
        <v>149</v>
      </c>
      <c r="B11713" s="1" t="s">
        <v>576</v>
      </c>
      <c r="C11713" s="1" t="s">
        <v>69</v>
      </c>
      <c r="D11713" s="1" t="s">
        <v>16671</v>
      </c>
      <c r="E11713" s="1" t="s">
        <v>5823</v>
      </c>
      <c r="F11713" s="1" t="s">
        <v>16672</v>
      </c>
      <c r="G11713" s="1" t="s">
        <v>36</v>
      </c>
      <c r="H11713" s="1" t="s">
        <v>29</v>
      </c>
      <c r="I11713" s="1" t="str">
        <f ca="1">IFERROR(__xludf.DUMMYFUNCTION("GOOGLETRANSLATE(F11713, ""auto"", ""en"")
"),"We've been using it for 2 years, it's an excellent vacuum cleaner. It perfectly collects all the debris from the carpet and solves our main problem. There are two tailed residents walking around the house: a daughter who loves ponytail hairstyles and deni"&amp;"es braids, and a cat. On the carpet are all the consequences of the “tailed life”. The turbo brush + vacuum cleaner power removes all this mess in an instant. Very pleased with the purchase.")</f>
        <v>We've been using it for 2 years, it's an excellent vacuum cleaner. It perfectly collects all the debris from the carpet and solves our main problem. There are two tailed residents walking around the house: a daughter who loves ponytail hairstyles and denies braids, and a cat. On the carpet are all the consequences of the “tailed life”. The turbo brush + vacuum cleaner power removes all this mess in an instant. Very pleased with the purchase.</v>
      </c>
    </row>
    <row r="11714" spans="1:9" x14ac:dyDescent="0.3">
      <c r="A11714" s="1" t="s">
        <v>149</v>
      </c>
      <c r="B11714" s="1" t="s">
        <v>423</v>
      </c>
      <c r="C11714" s="1" t="s">
        <v>531</v>
      </c>
      <c r="D11714" s="1" t="s">
        <v>335</v>
      </c>
      <c r="E11714" s="1" t="s">
        <v>1833</v>
      </c>
      <c r="F11714" s="1" t="s">
        <v>16673</v>
      </c>
      <c r="G11714" s="1" t="s">
        <v>36</v>
      </c>
      <c r="H11714" s="1" t="s">
        <v>29</v>
      </c>
      <c r="I11714" s="1" t="str">
        <f ca="1">IFERROR(__xludf.DUMMYFUNCTION("GOOGLETRANSLATE(F11714, ""auto"", ""en"")
"),"For the first time we decided to buy a washing vacuum cleaner!!!    We have a large family + pets. Before this, cleaning was done only with a vacuum cleaner with dry cleaning (dust bag) and, of course, the indispensable wet cleaning with a mop)) Before th"&amp;"e first start, we read the instructions several times, since the cleaning process is still more complex. We even went online and watched a video... Unusually heavy, after a regular vacuum cleaner, but maneuverable and easy to move on 4 wheels. A large num"&amp;"ber of filters are easy to clean and change if necessary.   I realized one thing for myself: for dry regular cleaning and general cleaning, this is an indispensable thing! But in some places you still have to work with a damp cloth) The nozzle is quite vo"&amp;"luminous and it is not possible to treat the surface with it everywhere.   Overall: a solid 5, and then time will tell... We recommend this product to everyone! We trust the reliability of the company and manufacturers)")</f>
        <v>For the first time we decided to buy a washing vacuum cleaner!!!    We have a large family + pets. Before this, cleaning was done only with a vacuum cleaner with dry cleaning (dust bag) and, of course, the indispensable wet cleaning with a mop)) Before the first start, we read the instructions several times, since the cleaning process is still more complex. We even went online and watched a video... Unusually heavy, after a regular vacuum cleaner, but maneuverable and easy to move on 4 wheels. A large number of filters are easy to clean and change if necessary.   I realized one thing for myself: for dry regular cleaning and general cleaning, this is an indispensable thing! But in some places you still have to work with a damp cloth) The nozzle is quite voluminous and it is not possible to treat the surface with it everywhere.   Overall: a solid 5, and then time will tell... We recommend this product to everyone! We trust the reliability of the company and manufacturers)</v>
      </c>
    </row>
    <row r="11715" spans="1:9" x14ac:dyDescent="0.3">
      <c r="A11715" s="1" t="s">
        <v>61</v>
      </c>
      <c r="B11715" s="1" t="s">
        <v>145</v>
      </c>
      <c r="C11715" s="1" t="s">
        <v>45</v>
      </c>
      <c r="D11715" s="1" t="s">
        <v>774</v>
      </c>
      <c r="E11715" s="1" t="s">
        <v>1950</v>
      </c>
      <c r="F11715" s="1" t="s">
        <v>16674</v>
      </c>
      <c r="G11715" s="1" t="s">
        <v>15</v>
      </c>
      <c r="H11715" s="1" t="s">
        <v>16</v>
      </c>
      <c r="I11715" s="1" t="str">
        <f ca="1">IFERROR(__xludf.DUMMYFUNCTION("GOOGLETRANSLATE(F11715, ""auto"", ""en"")
"),"Either I'm doing something wrong, or the air fryer is not such a wonderful thing as they describe. I’ve already made the 4th dish strictly according to the recipe and nothing comes out. The meat burns, the chicken is so dry that it is impossible to eat, t"&amp;"he pies are burnt on the outside and raw on the inside. I don’t know what to do. I hope something will change.")</f>
        <v>Either I'm doing something wrong, or the air fryer is not such a wonderful thing as they describe. I’ve already made the 4th dish strictly according to the recipe and nothing comes out. The meat burns, the chicken is so dry that it is impossible to eat, the pies are burnt on the outside and raw on the inside. I don’t know what to do. I hope something will change.</v>
      </c>
    </row>
    <row r="11716" spans="1:9" x14ac:dyDescent="0.3">
      <c r="A11716" s="1" t="s">
        <v>211</v>
      </c>
      <c r="B11716" s="1" t="s">
        <v>515</v>
      </c>
      <c r="C11716" s="1" t="s">
        <v>69</v>
      </c>
      <c r="D11716" s="1" t="s">
        <v>3273</v>
      </c>
      <c r="E11716" s="1" t="s">
        <v>7160</v>
      </c>
      <c r="F11716" s="1" t="s">
        <v>16675</v>
      </c>
      <c r="G11716" s="1" t="s">
        <v>36</v>
      </c>
      <c r="H11716" s="1" t="s">
        <v>29</v>
      </c>
      <c r="I11716" s="1" t="str">
        <f ca="1">IFERROR(__xludf.DUMMYFUNCTION("GOOGLETRANSLATE(F11716, ""auto"", ""en"")
"),"This is not the first epilator I have used. I was impressed from the first use, it doesn’t hurt at all, compared to the previous ones, it’s very comfortable to hold in your hands. I was also pleased that the set included illuminated tweezers; in my opinio"&amp;"n, this is a godsend for any girl!! So, in my opinion, the epilator is simply excellent, I recommend it to everyone)")</f>
        <v>This is not the first epilator I have used. I was impressed from the first use, it doesn’t hurt at all, compared to the previous ones, it’s very comfortable to hold in your hands. I was also pleased that the set included illuminated tweezers; in my opinion, this is a godsend for any girl!! So, in my opinion, the epilator is simply excellent, I recommend it to everyone)</v>
      </c>
    </row>
    <row r="11717" spans="1:9" x14ac:dyDescent="0.3">
      <c r="A11717" s="1" t="s">
        <v>78</v>
      </c>
      <c r="B11717" s="1" t="s">
        <v>1163</v>
      </c>
      <c r="C11717" s="1" t="s">
        <v>1224</v>
      </c>
      <c r="D11717" s="1" t="s">
        <v>64</v>
      </c>
      <c r="E11717" s="1" t="s">
        <v>187</v>
      </c>
      <c r="F11717" s="1" t="s">
        <v>16676</v>
      </c>
      <c r="G11717" s="1" t="s">
        <v>28</v>
      </c>
      <c r="H11717" s="1" t="s">
        <v>29</v>
      </c>
      <c r="I11717" s="1" t="str">
        <f ca="1">IFERROR(__xludf.DUMMYFUNCTION("GOOGLETRANSLATE(F11717, ""auto"", ""en"")
"),"If you, like me, need a microwave to defrost and warm up food, then this is a very good option! She has been in my house for 5 years and is no more noisy than others! I recommend it to everyone!")</f>
        <v>If you, like me, need a microwave to defrost and warm up food, then this is a very good option! She has been in my house for 5 years and is no more noisy than others! I recommend it to everyone!</v>
      </c>
    </row>
    <row r="11718" spans="1:9" x14ac:dyDescent="0.3">
      <c r="A11718" s="1" t="s">
        <v>95</v>
      </c>
      <c r="B11718" s="1" t="s">
        <v>7468</v>
      </c>
      <c r="C11718" s="1" t="s">
        <v>4128</v>
      </c>
      <c r="D11718" s="1" t="s">
        <v>20</v>
      </c>
      <c r="E11718" s="1" t="s">
        <v>1669</v>
      </c>
      <c r="F11718" s="1" t="s">
        <v>16677</v>
      </c>
      <c r="G11718" s="1" t="s">
        <v>49</v>
      </c>
      <c r="H11718" s="1" t="s">
        <v>16</v>
      </c>
      <c r="I11718" s="1" t="str">
        <f ca="1">IFERROR(__xludf.DUMMYFUNCTION("GOOGLETRANSLATE(F11718, ""auto"", ""en"")
"),"I bought this battery and it won't charge. The orange light is flashing.")</f>
        <v>I bought this battery and it won't charge. The orange light is flashing.</v>
      </c>
    </row>
    <row r="11719" spans="1:9" x14ac:dyDescent="0.3">
      <c r="A11719" s="1" t="s">
        <v>55</v>
      </c>
      <c r="B11719" s="1" t="s">
        <v>752</v>
      </c>
      <c r="C11719" s="1" t="s">
        <v>185</v>
      </c>
      <c r="D11719" s="1" t="s">
        <v>2934</v>
      </c>
      <c r="E11719" s="1" t="s">
        <v>2141</v>
      </c>
      <c r="F11719" s="1" t="s">
        <v>16678</v>
      </c>
      <c r="G11719" s="1" t="s">
        <v>36</v>
      </c>
      <c r="H11719" s="1" t="s">
        <v>29</v>
      </c>
      <c r="I11719" s="1" t="str">
        <f ca="1">IFERROR(__xludf.DUMMYFUNCTION("GOOGLETRANSLATE(F11719, ""auto"", ""en"")
"),"I've been using it for about a month without turning it off. I don’t experience any smell, noise or discomfort from it. It perfectly heats 2 adjacent rooms without a door (about 18 square meters). The cat doesn’t leave his side at all)))) Among the shortc"&amp;"omings is the short cord, I haven’t noticed any others yet.")</f>
        <v>I've been using it for about a month without turning it off. I don’t experience any smell, noise or discomfort from it. It perfectly heats 2 adjacent rooms without a door (about 18 square meters). The cat doesn’t leave his side at all)))) Among the shortcomings is the short cord, I haven’t noticed any others yet.</v>
      </c>
    </row>
    <row r="11720" spans="1:9" x14ac:dyDescent="0.3">
      <c r="A11720" s="1" t="s">
        <v>30</v>
      </c>
      <c r="B11720" s="1" t="s">
        <v>50</v>
      </c>
      <c r="C11720" s="1" t="s">
        <v>51</v>
      </c>
      <c r="D11720" s="1" t="s">
        <v>186</v>
      </c>
      <c r="E11720" s="1" t="s">
        <v>1139</v>
      </c>
      <c r="F11720" s="1" t="s">
        <v>16679</v>
      </c>
      <c r="G11720" s="1" t="s">
        <v>36</v>
      </c>
      <c r="H11720" s="1" t="s">
        <v>29</v>
      </c>
      <c r="I11720" s="1" t="str">
        <f ca="1">IFERROR(__xludf.DUMMYFUNCTION("GOOGLETRANSLATE(F11720, ""auto"", ""en"")
"),"Hello everyone, I bought this laptop six months ago. Everything is great. But the bluetooth doesn’t work! I press fn+f6 and it doesn’t turn on. Help")</f>
        <v>Hello everyone, I bought this laptop six months ago. Everything is great. But the bluetooth doesn’t work! I press fn+f6 and it doesn’t turn on. Help</v>
      </c>
    </row>
    <row r="11721" spans="1:9" x14ac:dyDescent="0.3">
      <c r="A11721" s="1" t="s">
        <v>17</v>
      </c>
      <c r="B11721" s="1" t="s">
        <v>18</v>
      </c>
      <c r="C11721" s="1" t="s">
        <v>19</v>
      </c>
      <c r="D11721" s="1" t="s">
        <v>16680</v>
      </c>
      <c r="E11721" s="1" t="s">
        <v>1053</v>
      </c>
      <c r="F11721" s="1" t="s">
        <v>16681</v>
      </c>
      <c r="G11721" s="1" t="s">
        <v>28</v>
      </c>
      <c r="H11721" s="1" t="s">
        <v>29</v>
      </c>
      <c r="I11721" s="1" t="str">
        <f ca="1">IFERROR(__xludf.DUMMYFUNCTION("GOOGLETRANSLATE(F11721, ""auto"", ""en"")
"),"There is no foam when washing. No matter what powder I try, a lump of powder always remains, but overall I’m happy with the machine")</f>
        <v>There is no foam when washing. No matter what powder I try, a lump of powder always remains, but overall I’m happy with the machine</v>
      </c>
    </row>
    <row r="11722" spans="1:9" x14ac:dyDescent="0.3">
      <c r="A11722" s="1" t="s">
        <v>9</v>
      </c>
      <c r="B11722" s="1" t="s">
        <v>137</v>
      </c>
      <c r="C11722" s="1" t="s">
        <v>63</v>
      </c>
      <c r="D11722" s="1" t="s">
        <v>16682</v>
      </c>
      <c r="E11722" s="1" t="s">
        <v>13909</v>
      </c>
      <c r="F11722" s="1" t="s">
        <v>16683</v>
      </c>
      <c r="G11722" s="1" t="s">
        <v>36</v>
      </c>
      <c r="H11722" s="1" t="s">
        <v>29</v>
      </c>
      <c r="I11722" s="1" t="str">
        <f ca="1">IFERROR(__xludf.DUMMYFUNCTION("GOOGLETRANSLATE(F11722, ""auto"", ""en"")
"),"It looks very unusual compared to other glass-ceramic relatives - it is wide, comfortable and the burners are well located so that the pans do not interfere with each other. In front there is a touch control panel with burner and power indicators, I immed"&amp;"iately figured out the functionality and never even opened the instructions, even the children studied it on their own and now heat their own food in my absence. The most important thing for me, as for any mother, was safety when using the stove, here, if"&amp;" desired, you can set the child protection, plus the heat indication is always indicated so as not to accidentally touch the hot surface and get burned, with a gas stove I constantly burned my fingers with either pans or burners, but here I waited a minut"&amp;"e or two after turning it off until the indication dropped to zero, and you can safely wipe the surface with a cloth)) It washes, By the way, without any difficulties - a drop of product and a sponge, then removed the remaining moisture with a paper towel"&amp;" and that’s it, the stove really is like new! My opinion is that it’s a successful model in terms of functionality, it’s easy and pleasant to use))")</f>
        <v>It looks very unusual compared to other glass-ceramic relatives - it is wide, comfortable and the burners are well located so that the pans do not interfere with each other. In front there is a touch control panel with burner and power indicators, I immediately figured out the functionality and never even opened the instructions, even the children studied it on their own and now heat their own food in my absence. The most important thing for me, as for any mother, was safety when using the stove, here, if desired, you can set the child protection, plus the heat indication is always indicated so as not to accidentally touch the hot surface and get burned, with a gas stove I constantly burned my fingers with either pans or burners, but here I waited a minute or two after turning it off until the indication dropped to zero, and you can safely wipe the surface with a cloth)) It washes, By the way, without any difficulties - a drop of product and a sponge, then removed the remaining moisture with a paper towel and that’s it, the stove really is like new! My opinion is that it’s a successful model in terms of functionality, it’s easy and pleasant to use))</v>
      </c>
    </row>
    <row r="11723" spans="1:9" x14ac:dyDescent="0.3">
      <c r="A11723" s="1" t="s">
        <v>477</v>
      </c>
      <c r="B11723" s="1" t="s">
        <v>478</v>
      </c>
      <c r="C11723" s="1" t="s">
        <v>479</v>
      </c>
      <c r="D11723" s="1" t="s">
        <v>16684</v>
      </c>
      <c r="E11723" s="1" t="s">
        <v>3550</v>
      </c>
      <c r="F11723" s="1" t="s">
        <v>16685</v>
      </c>
      <c r="G11723" s="1" t="s">
        <v>36</v>
      </c>
      <c r="H11723" s="1" t="s">
        <v>29</v>
      </c>
      <c r="I11723" s="1" t="str">
        <f ca="1">IFERROR(__xludf.DUMMYFUNCTION("GOOGLETRANSLATE(F11723, ""auto"", ""en"")
"),"One of the most popular and best online games...")</f>
        <v>One of the most popular and best online games...</v>
      </c>
    </row>
    <row r="11724" spans="1:9" x14ac:dyDescent="0.3">
      <c r="A11724" s="1" t="s">
        <v>37</v>
      </c>
      <c r="B11724" s="1" t="s">
        <v>38</v>
      </c>
      <c r="C11724" s="1" t="s">
        <v>163</v>
      </c>
      <c r="D11724" s="1" t="s">
        <v>117</v>
      </c>
      <c r="E11724" s="1" t="s">
        <v>1228</v>
      </c>
      <c r="F11724" s="1" t="s">
        <v>16686</v>
      </c>
      <c r="G11724" s="1" t="s">
        <v>36</v>
      </c>
      <c r="H11724" s="1" t="s">
        <v>29</v>
      </c>
      <c r="I11724" s="1" t="str">
        <f ca="1">IFERROR(__xludf.DUMMYFUNCTION("GOOGLETRANSLATE(F11724, ""auto"", ""en"")
"),"I’ve been going with this myself for six months!! does not slow down, plays music like 5200!!! (in terms of volume) in ICQ it’s also good to sit on it!! In general, take it, you won’t regret it!!!!")</f>
        <v>I’ve been going with this myself for six months!! does not slow down, plays music like 5200!!! (in terms of volume) in ICQ it’s also good to sit on it!! In general, take it, you won’t regret it!!!!</v>
      </c>
    </row>
    <row r="11725" spans="1:9" x14ac:dyDescent="0.3">
      <c r="A11725" s="1" t="s">
        <v>61</v>
      </c>
      <c r="B11725" s="1" t="s">
        <v>73</v>
      </c>
      <c r="C11725" s="1" t="s">
        <v>146</v>
      </c>
      <c r="D11725" s="1" t="s">
        <v>238</v>
      </c>
      <c r="E11725" s="1" t="s">
        <v>4386</v>
      </c>
      <c r="F11725" s="1" t="s">
        <v>16687</v>
      </c>
      <c r="G11725" s="1" t="s">
        <v>49</v>
      </c>
      <c r="H11725" s="1" t="s">
        <v>16</v>
      </c>
      <c r="I11725" s="1" t="str">
        <f ca="1">IFERROR(__xludf.DUMMYFUNCTION("GOOGLETRANSLATE(F11725, ""auto"", ""en"")
"),"metal")</f>
        <v>metal</v>
      </c>
    </row>
    <row r="11726" spans="1:9" x14ac:dyDescent="0.3">
      <c r="A11726" s="1" t="s">
        <v>9</v>
      </c>
      <c r="B11726" s="1" t="s">
        <v>133</v>
      </c>
      <c r="C11726" s="1" t="s">
        <v>159</v>
      </c>
      <c r="D11726" s="1" t="s">
        <v>33</v>
      </c>
      <c r="E11726" s="1" t="s">
        <v>832</v>
      </c>
      <c r="F11726" s="1" t="s">
        <v>16688</v>
      </c>
      <c r="G11726" s="1" t="s">
        <v>36</v>
      </c>
      <c r="H11726" s="1" t="s">
        <v>29</v>
      </c>
      <c r="I11726" s="1" t="str">
        <f ca="1">IFERROR(__xludf.DUMMYFUNCTION("GOOGLETRANSLATE(F11726, ""auto"", ""en"")
"),"We bought it 4 years ago, I chose it myself, because... cook - VERY SATISFIED, both the pastries and cakes are excellent....")</f>
        <v>We bought it 4 years ago, I chose it myself, because... cook - VERY SATISFIED, both the pastries and cakes are excellent....</v>
      </c>
    </row>
    <row r="11727" spans="1:9" x14ac:dyDescent="0.3">
      <c r="A11727" s="1" t="s">
        <v>169</v>
      </c>
      <c r="B11727" s="1" t="s">
        <v>170</v>
      </c>
      <c r="C11727" s="1" t="s">
        <v>193</v>
      </c>
      <c r="D11727" s="1" t="s">
        <v>52</v>
      </c>
      <c r="E11727" s="1" t="s">
        <v>5369</v>
      </c>
      <c r="F11727" s="1" t="s">
        <v>16689</v>
      </c>
      <c r="G11727" s="1" t="s">
        <v>94</v>
      </c>
      <c r="H11727" s="1" t="s">
        <v>29</v>
      </c>
      <c r="I11727" s="1" t="str">
        <f ca="1">IFERROR(__xludf.DUMMYFUNCTION("GOOGLETRANSLATE(F11727, ""auto"", ""en"")
"),"Awesome sound, price.")</f>
        <v>Awesome sound, price.</v>
      </c>
    </row>
    <row r="11728" spans="1:9" x14ac:dyDescent="0.3">
      <c r="A11728" s="1" t="s">
        <v>37</v>
      </c>
      <c r="B11728" s="1" t="s">
        <v>38</v>
      </c>
      <c r="C11728" s="1" t="s">
        <v>163</v>
      </c>
      <c r="D11728" s="1" t="s">
        <v>16690</v>
      </c>
      <c r="E11728" s="1" t="s">
        <v>229</v>
      </c>
      <c r="F11728" s="1" t="s">
        <v>16691</v>
      </c>
      <c r="G11728" s="1" t="s">
        <v>28</v>
      </c>
      <c r="H11728" s="1" t="s">
        <v>29</v>
      </c>
      <c r="I11728" s="1" t="str">
        <f ca="1">IFERROR(__xludf.DUMMYFUNCTION("GOOGLETRANSLATE(F11728, ""auto"", ""en"")
"),"I forgot to add, it’s really heavy and feels good in the hand, and doesn’t rattle at high volumes (I’m picky about little things, I should have noticed).")</f>
        <v>I forgot to add, it’s really heavy and feels good in the hand, and doesn’t rattle at high volumes (I’m picky about little things, I should have noticed).</v>
      </c>
    </row>
    <row r="11729" spans="1:9" x14ac:dyDescent="0.3">
      <c r="A11729" s="1" t="s">
        <v>211</v>
      </c>
      <c r="B11729" s="1" t="s">
        <v>265</v>
      </c>
      <c r="C11729" s="1" t="s">
        <v>122</v>
      </c>
      <c r="D11729" s="1" t="s">
        <v>968</v>
      </c>
      <c r="E11729" s="1" t="s">
        <v>92</v>
      </c>
      <c r="F11729" s="1" t="s">
        <v>16692</v>
      </c>
      <c r="G11729" s="1" t="s">
        <v>36</v>
      </c>
      <c r="H11729" s="1" t="s">
        <v>29</v>
      </c>
      <c r="I11729" s="1" t="str">
        <f ca="1">IFERROR(__xludf.DUMMYFUNCTION("GOOGLETRANSLATE(F11729, ""auto"", ""en"")
"),"Compact, ergonomic, works both from mains and battery")</f>
        <v>Compact, ergonomic, works both from mains and battery</v>
      </c>
    </row>
    <row r="11730" spans="1:9" x14ac:dyDescent="0.3">
      <c r="A11730" s="1" t="s">
        <v>211</v>
      </c>
      <c r="B11730" s="1" t="s">
        <v>265</v>
      </c>
      <c r="C11730" s="1" t="s">
        <v>1591</v>
      </c>
      <c r="D11730" s="1" t="s">
        <v>32</v>
      </c>
      <c r="E11730" s="1" t="s">
        <v>103</v>
      </c>
      <c r="F11730" s="1" t="s">
        <v>16693</v>
      </c>
      <c r="G11730" s="1" t="s">
        <v>36</v>
      </c>
      <c r="H11730" s="1" t="s">
        <v>29</v>
      </c>
      <c r="I11730" s="1" t="str">
        <f ca="1">IFERROR(__xludf.DUMMYFUNCTION("GOOGLETRANSLATE(F11730, ""auto"", ""en"")
"),"I bought this trimmer as a gift for my husband on the advice of a consultant in the store. My husband is extremely pleased with the gift! Having fun with the attachments) ) The battery lasts about 30 minutes, it’s great that you don’t have to mess with wi"&amp;"res")</f>
        <v>I bought this trimmer as a gift for my husband on the advice of a consultant in the store. My husband is extremely pleased with the gift! Having fun with the attachments) ) The battery lasts about 30 minutes, it’s great that you don’t have to mess with wires</v>
      </c>
    </row>
    <row r="11731" spans="1:9" x14ac:dyDescent="0.3">
      <c r="A11731" s="1" t="s">
        <v>43</v>
      </c>
      <c r="B11731" s="1" t="s">
        <v>1382</v>
      </c>
      <c r="C11731" s="1" t="s">
        <v>57</v>
      </c>
      <c r="D11731" s="1" t="s">
        <v>742</v>
      </c>
      <c r="E11731" s="1" t="s">
        <v>460</v>
      </c>
      <c r="F11731" s="1" t="s">
        <v>16694</v>
      </c>
      <c r="G11731" s="1" t="s">
        <v>28</v>
      </c>
      <c r="H11731" s="1" t="s">
        <v>29</v>
      </c>
      <c r="I11731" s="1" t="str">
        <f ca="1">IFERROR(__xludf.DUMMYFUNCTION("GOOGLETRANSLATE(F11731, ""auto"", ""en"")
"),"very small airflow radius")</f>
        <v>very small airflow radius</v>
      </c>
    </row>
    <row r="11732" spans="1:9" x14ac:dyDescent="0.3">
      <c r="A11732" s="1" t="s">
        <v>61</v>
      </c>
      <c r="B11732" s="1" t="s">
        <v>180</v>
      </c>
      <c r="C11732" s="1" t="s">
        <v>74</v>
      </c>
      <c r="D11732" s="1" t="s">
        <v>295</v>
      </c>
      <c r="E11732" s="1" t="s">
        <v>6393</v>
      </c>
      <c r="F11732" s="1" t="s">
        <v>16695</v>
      </c>
      <c r="G11732" s="1" t="s">
        <v>28</v>
      </c>
      <c r="H11732" s="1" t="s">
        <v>29</v>
      </c>
      <c r="I11732" s="1" t="str">
        <f ca="1">IFERROR(__xludf.DUMMYFUNCTION("GOOGLETRANSLATE(F11732, ""auto"", ""en"")
"),"Our family is very pleased with the purchase. There are, of course, disadvantages, for example, as someone already wrote - a short cord, and a small container for sandwiches. I would also add the fact that it has to be plugged into a socket to turn it on "&amp;"and pulled out of it to turn it off. But for this price, I think it doesn’t count :-) it’s not true about the filling - everything warms up, the cheese melts, and if you don’t put it close to the edges, it won’t leak out!")</f>
        <v>Our family is very pleased with the purchase. There are, of course, disadvantages, for example, as someone already wrote - a short cord, and a small container for sandwiches. I would also add the fact that it has to be plugged into a socket to turn it on and pulled out of it to turn it off. But for this price, I think it doesn’t count :-) it’s not true about the filling - everything warms up, the cheese melts, and if you don’t put it close to the edges, it won’t leak out!</v>
      </c>
    </row>
    <row r="11733" spans="1:9" x14ac:dyDescent="0.3">
      <c r="A11733" s="1" t="s">
        <v>37</v>
      </c>
      <c r="B11733" s="1" t="s">
        <v>355</v>
      </c>
      <c r="C11733" s="1" t="s">
        <v>356</v>
      </c>
      <c r="D11733" s="1" t="s">
        <v>16696</v>
      </c>
      <c r="E11733" s="1" t="s">
        <v>2531</v>
      </c>
      <c r="F11733" s="1" t="s">
        <v>16697</v>
      </c>
      <c r="G11733" s="1" t="s">
        <v>15</v>
      </c>
      <c r="H11733" s="1" t="s">
        <v>16</v>
      </c>
      <c r="I11733" s="1" t="str">
        <f ca="1">IFERROR(__xludf.DUMMYFUNCTION("GOOGLETRANSLATE(F11733, ""auto"", ""en"")
"),"Hi all!!! I agree that APPLE is cool and very cool, but only in laptops and all-in-one PCs!!!!!!!!! And this is true, nothing compares to them. But IPHONE is generally... Try the new NOKIA N8. This is quality! Nothing else is needed. With respect to all A"&amp;"PPLE fans.")</f>
        <v>Hi all!!! I agree that APPLE is cool and very cool, but only in laptops and all-in-one PCs!!!!!!!!! And this is true, nothing compares to them. But IPHONE is generally... Try the new NOKIA N8. This is quality! Nothing else is needed. With respect to all APPLE fans.</v>
      </c>
    </row>
    <row r="11734" spans="1:9" x14ac:dyDescent="0.3">
      <c r="A11734" s="1" t="s">
        <v>105</v>
      </c>
      <c r="B11734" s="1" t="s">
        <v>106</v>
      </c>
      <c r="C11734" s="1" t="s">
        <v>69</v>
      </c>
      <c r="D11734" s="1" t="s">
        <v>39</v>
      </c>
      <c r="E11734" s="1" t="s">
        <v>8184</v>
      </c>
      <c r="F11734" s="1" t="s">
        <v>16698</v>
      </c>
      <c r="G11734" s="1" t="s">
        <v>49</v>
      </c>
      <c r="H11734" s="1" t="s">
        <v>16</v>
      </c>
      <c r="I11734" s="1" t="str">
        <f ca="1">IFERROR(__xludf.DUMMYFUNCTION("GOOGLETRANSLATE(F11734, ""auto"", ""en"")
"),"I don’t know guys... the player seems fine, but after 3 days of use it started to turn off on its own. That's why I think it's a bad model.")</f>
        <v>I don’t know guys... the player seems fine, but after 3 days of use it started to turn off on its own. That's why I think it's a bad model.</v>
      </c>
    </row>
    <row r="11735" spans="1:9" x14ac:dyDescent="0.3">
      <c r="A11735" s="1" t="s">
        <v>61</v>
      </c>
      <c r="B11735" s="1" t="s">
        <v>977</v>
      </c>
      <c r="C11735" s="1" t="s">
        <v>246</v>
      </c>
      <c r="D11735" s="1" t="s">
        <v>172</v>
      </c>
      <c r="E11735" s="1" t="s">
        <v>1728</v>
      </c>
      <c r="F11735" s="1" t="s">
        <v>16699</v>
      </c>
      <c r="G11735" s="1" t="s">
        <v>49</v>
      </c>
      <c r="H11735" s="1" t="s">
        <v>16</v>
      </c>
      <c r="I11735" s="1" t="str">
        <f ca="1">IFERROR(__xludf.DUMMYFUNCTION("GOOGLETRANSLATE(F11735, ""auto"", ""en"")
"),"Worked for 1 month, the chopping knives broke. Despite the fact that they only made purees for the child and milkshakes a couple of times!")</f>
        <v>Worked for 1 month, the chopping knives broke. Despite the fact that they only made purees for the child and milkshakes a couple of times!</v>
      </c>
    </row>
    <row r="11736" spans="1:9" x14ac:dyDescent="0.3">
      <c r="A11736" s="1" t="s">
        <v>61</v>
      </c>
      <c r="B11736" s="1" t="s">
        <v>145</v>
      </c>
      <c r="C11736" s="1" t="s">
        <v>74</v>
      </c>
      <c r="D11736" s="1" t="s">
        <v>247</v>
      </c>
      <c r="E11736" s="1" t="s">
        <v>10965</v>
      </c>
      <c r="F11736" s="1" t="s">
        <v>16700</v>
      </c>
      <c r="G11736" s="1" t="s">
        <v>36</v>
      </c>
      <c r="H11736" s="1" t="s">
        <v>29</v>
      </c>
      <c r="I11736" s="1" t="str">
        <f ca="1">IFERROR(__xludf.DUMMYFUNCTION("GOOGLETRANSLATE(F11736, ""auto"", ""en"")
"),"I bought it a month ago and am very pleased with the purchase. In terms of price-quality ratio, it justifies itself - it’s not such a serious unit that you need to bother with its functionality (such as a timer, scoreboard, etc.). I am very pleased with t"&amp;"he fact that instead of the jars that are included in the set, you can use any container. I put a large 1.5 liter microwave glass bowl and immediately get 1.5 liters of good yogurt, which I pour into the bowl I want. The only thing is: the temperature of "&amp;"the yogurt after 8 hours of operation of the device is about 50-55 degrees. Although the yogurt turns out excellent, and even using it as a base I make yogurt several times, there are suspicions that the temperature is too high, so I put 2 paper towels on"&amp;" the bottom, in this case the temperature only rises to 45 (I found information on the Internet that the optimal temperature for the growth of bacteria is 37-45 g). I really like it and recommend it to everyone.")</f>
        <v>I bought it a month ago and am very pleased with the purchase. In terms of price-quality ratio, it justifies itself - it’s not such a serious unit that you need to bother with its functionality (such as a timer, scoreboard, etc.). I am very pleased with the fact that instead of the jars that are included in the set, you can use any container. I put a large 1.5 liter microwave glass bowl and immediately get 1.5 liters of good yogurt, which I pour into the bowl I want. The only thing is: the temperature of the yogurt after 8 hours of operation of the device is about 50-55 degrees. Although the yogurt turns out excellent, and even using it as a base I make yogurt several times, there are suspicions that the temperature is too high, so I put 2 paper towels on the bottom, in this case the temperature only rises to 45 (I found information on the Internet that the optimal temperature for the growth of bacteria is 37-45 g). I really like it and recommend it to everyone.</v>
      </c>
    </row>
    <row r="11737" spans="1:9" x14ac:dyDescent="0.3">
      <c r="A11737" s="1" t="s">
        <v>37</v>
      </c>
      <c r="B11737" s="1" t="s">
        <v>536</v>
      </c>
      <c r="C11737" s="1" t="s">
        <v>32</v>
      </c>
      <c r="D11737" s="1" t="s">
        <v>81</v>
      </c>
      <c r="E11737" s="1" t="s">
        <v>484</v>
      </c>
      <c r="F11737" s="1" t="s">
        <v>16701</v>
      </c>
      <c r="G11737" s="1" t="s">
        <v>36</v>
      </c>
      <c r="H11737" s="1" t="s">
        <v>29</v>
      </c>
      <c r="I11737" s="1" t="str">
        <f ca="1">IFERROR(__xludf.DUMMYFUNCTION("GOOGLETRANSLATE(F11737, ""auto"", ""en"")
"),"I liked it, stylish design.. absolutely a cult thing, really inspired me.... I just don’t know the maximum number of times a flash drive can be put in there.")</f>
        <v>I liked it, stylish design.. absolutely a cult thing, really inspired me.... I just don’t know the maximum number of times a flash drive can be put in there.</v>
      </c>
    </row>
    <row r="11738" spans="1:9" x14ac:dyDescent="0.3">
      <c r="A11738" s="1" t="s">
        <v>120</v>
      </c>
      <c r="B11738" s="1" t="s">
        <v>256</v>
      </c>
      <c r="C11738" s="1" t="s">
        <v>97</v>
      </c>
      <c r="D11738" s="1" t="s">
        <v>16702</v>
      </c>
      <c r="E11738" s="1" t="s">
        <v>118</v>
      </c>
      <c r="F11738" s="1" t="s">
        <v>16703</v>
      </c>
      <c r="G11738" s="1" t="s">
        <v>49</v>
      </c>
      <c r="H11738" s="1" t="s">
        <v>16</v>
      </c>
      <c r="I11738" s="1" t="str">
        <f ca="1">IFERROR(__xludf.DUMMYFUNCTION("GOOGLETRANSLATE(F11738, ""auto"", ""en"")
"),"SONY is a good brand, but this series is simply terrible, the design is good, but the matrices are simply disgusting. Poor image quality is the main drawback of these TVs. Fortunately, this is only one episode of such poor quality.")</f>
        <v>SONY is a good brand, but this series is simply terrible, the design is good, but the matrices are simply disgusting. Poor image quality is the main drawback of these TVs. Fortunately, this is only one episode of such poor quality.</v>
      </c>
    </row>
    <row r="11739" spans="1:9" x14ac:dyDescent="0.3">
      <c r="A11739" s="1" t="s">
        <v>211</v>
      </c>
      <c r="B11739" s="1" t="s">
        <v>515</v>
      </c>
      <c r="C11739" s="1" t="s">
        <v>69</v>
      </c>
      <c r="D11739" s="1" t="s">
        <v>32</v>
      </c>
      <c r="E11739" s="1" t="s">
        <v>1816</v>
      </c>
      <c r="F11739" s="1" t="s">
        <v>16704</v>
      </c>
      <c r="G11739" s="1" t="s">
        <v>28</v>
      </c>
      <c r="H11739" s="1" t="s">
        <v>29</v>
      </c>
      <c r="I11739" s="1" t="str">
        <f ca="1">IFERROR(__xludf.DUMMYFUNCTION("GOOGLETRANSLATE(F11739, ""auto"", ""en"")
"),"Overall, I like it and have been using it for several months now. Cons: works like a tractor! But it practically does not allow hairs to pass through and there is anesthesia for pain, for those especially sensitive)")</f>
        <v>Overall, I like it and have been using it for several months now. Cons: works like a tractor! But it practically does not allow hairs to pass through and there is anesthesia for pain, for those especially sensitive)</v>
      </c>
    </row>
    <row r="11740" spans="1:9" x14ac:dyDescent="0.3">
      <c r="A11740" s="1" t="s">
        <v>30</v>
      </c>
      <c r="B11740" s="1" t="s">
        <v>50</v>
      </c>
      <c r="C11740" s="1" t="s">
        <v>32</v>
      </c>
      <c r="D11740" s="1" t="s">
        <v>228</v>
      </c>
      <c r="E11740" s="1" t="s">
        <v>1742</v>
      </c>
      <c r="F11740" s="1" t="s">
        <v>16705</v>
      </c>
      <c r="G11740" s="1" t="s">
        <v>49</v>
      </c>
      <c r="H11740" s="1" t="s">
        <v>16</v>
      </c>
      <c r="I11740" s="1" t="str">
        <f ca="1">IFERROR(__xludf.DUMMYFUNCTION("GOOGLETRANSLATE(F11740, ""auto"", ""en"")
"),"bought it yesterday, beautiful. Today it has already gone out and does not turn on or off, what should I do?")</f>
        <v>bought it yesterday, beautiful. Today it has already gone out and does not turn on or off, what should I do?</v>
      </c>
    </row>
    <row r="11741" spans="1:9" x14ac:dyDescent="0.3">
      <c r="A11741" s="1" t="s">
        <v>477</v>
      </c>
      <c r="B11741" s="1" t="s">
        <v>478</v>
      </c>
      <c r="C11741" s="1" t="s">
        <v>479</v>
      </c>
      <c r="D11741" s="1" t="s">
        <v>4065</v>
      </c>
      <c r="E11741" s="1" t="s">
        <v>3755</v>
      </c>
      <c r="F11741" s="1" t="s">
        <v>16706</v>
      </c>
      <c r="G11741" s="1" t="s">
        <v>36</v>
      </c>
      <c r="H11741" s="1" t="s">
        <v>29</v>
      </c>
      <c r="I11741" s="1" t="str">
        <f ca="1">IFERROR(__xludf.DUMMYFUNCTION("GOOGLETRANSLATE(F11741, ""auto"", ""en"")
"),"The game is great!!!!!!  and the commentators are cool!! take it all!!!  FIFA11 awesome!!")</f>
        <v>The game is great!!!!!!  and the commentators are cool!! take it all!!!  FIFA11 awesome!!</v>
      </c>
    </row>
    <row r="11742" spans="1:9" x14ac:dyDescent="0.3">
      <c r="A11742" s="1" t="s">
        <v>61</v>
      </c>
      <c r="B11742" s="1" t="s">
        <v>318</v>
      </c>
      <c r="C11742" s="1" t="s">
        <v>57</v>
      </c>
      <c r="D11742" s="1" t="s">
        <v>335</v>
      </c>
      <c r="E11742" s="1" t="s">
        <v>9097</v>
      </c>
      <c r="F11742" s="1" t="s">
        <v>16707</v>
      </c>
      <c r="G11742" s="1" t="s">
        <v>15</v>
      </c>
      <c r="H11742" s="1" t="s">
        <v>16</v>
      </c>
      <c r="I11742" s="1" t="str">
        <f ca="1">IFERROR(__xludf.DUMMYFUNCTION("GOOGLETRANSLATE(F11742, ""auto"", ""en"")
"),"After emptying the first portion, you cannot immediately boil the second portion - you need to wait until the kettle cools completely.")</f>
        <v>After emptying the first portion, you cannot immediately boil the second portion - you need to wait until the kettle cools completely.</v>
      </c>
    </row>
    <row r="11743" spans="1:9" x14ac:dyDescent="0.3">
      <c r="A11743" s="1" t="s">
        <v>17</v>
      </c>
      <c r="B11743" s="1" t="s">
        <v>18</v>
      </c>
      <c r="C11743" s="1" t="s">
        <v>243</v>
      </c>
      <c r="D11743" s="1" t="s">
        <v>102</v>
      </c>
      <c r="E11743" s="1" t="s">
        <v>10025</v>
      </c>
      <c r="F11743" s="1" t="s">
        <v>16708</v>
      </c>
      <c r="G11743" s="1" t="s">
        <v>36</v>
      </c>
      <c r="H11743" s="1" t="s">
        <v>29</v>
      </c>
      <c r="I11743" s="1" t="str">
        <f ca="1">IFERROR(__xludf.DUMMYFUNCTION("GOOGLETRANSLATE(F11743, ""auto"", ""en"")
"),"Compact, squeezes well.")</f>
        <v>Compact, squeezes well.</v>
      </c>
    </row>
    <row r="11744" spans="1:9" x14ac:dyDescent="0.3">
      <c r="A11744" s="1" t="s">
        <v>9</v>
      </c>
      <c r="B11744" s="1" t="s">
        <v>10</v>
      </c>
      <c r="C11744" s="1" t="s">
        <v>407</v>
      </c>
      <c r="D11744" s="1" t="s">
        <v>52</v>
      </c>
      <c r="E11744" s="1" t="s">
        <v>2804</v>
      </c>
      <c r="F11744" s="1" t="s">
        <v>16709</v>
      </c>
      <c r="G11744" s="1" t="s">
        <v>36</v>
      </c>
      <c r="H11744" s="1" t="s">
        <v>29</v>
      </c>
      <c r="I11744" s="1" t="str">
        <f ca="1">IFERROR(__xludf.DUMMYFUNCTION("GOOGLETRANSLATE(F11744, ""auto"", ""en"")
"),"Excellent hood! We've been using it for 2 years.   Pros: Considering the high engine power and the large diameter of the ventilation duct, the hood copes with 5 plus! When three burners are loaded (ceramic panel), the hood copes at 1st and 2nd speed.  A s"&amp;"tandard sheet of A4 paper is reliably attracted to the filter already at speed 1. I would consider it a minus that the control buttons are non-touch, but the buttons are located above the protective glass and contamination of the control panel is excluded"&amp;", e.g. This fact is not a disadvantage.   When the hood is not working, natural ventilation works well, because... The air duct has a fairly large diameter (160 mm). When the windows in the kitchen are opened, you can hear the check valve flaps opening.  "&amp;"The protective cap of the hood is made of transparent glass, PE. The hob does not suffer from lack of light.   Possible disadvantage: the hood is noisy at high speed, but most likely not due to engine noise, but from the large volume of air passing throug"&amp;"h the grease filter and channels. If you are not satisfied with the noise of a productive hood, then you need to take a closer look at low-power appliances, and therefore only decorative ones!    Advice: In order for the hood to cope with its functions, d"&amp;"o not narrow the air duct below the norm and do not install the air duct longer than 3 meters.   I give the hood a confident 5 plus!")</f>
        <v>Excellent hood! We've been using it for 2 years.   Pros: Considering the high engine power and the large diameter of the ventilation duct, the hood copes with 5 plus! When three burners are loaded (ceramic panel), the hood copes at 1st and 2nd speed.  A standard sheet of A4 paper is reliably attracted to the filter already at speed 1. I would consider it a minus that the control buttons are non-touch, but the buttons are located above the protective glass and contamination of the control panel is excluded, e.g. This fact is not a disadvantage.   When the hood is not working, natural ventilation works well, because... The air duct has a fairly large diameter (160 mm). When the windows in the kitchen are opened, you can hear the check valve flaps opening.  The protective cap of the hood is made of transparent glass, PE. The hob does not suffer from lack of light.   Possible disadvantage: the hood is noisy at high speed, but most likely not due to engine noise, but from the large volume of air passing through the grease filter and channels. If you are not satisfied with the noise of a productive hood, then you need to take a closer look at low-power appliances, and therefore only decorative ones!    Advice: In order for the hood to cope with its functions, do not narrow the air duct below the norm and do not install the air duct longer than 3 meters.   I give the hood a confident 5 plus!</v>
      </c>
    </row>
    <row r="11745" spans="1:9" x14ac:dyDescent="0.3">
      <c r="A11745" s="1" t="s">
        <v>211</v>
      </c>
      <c r="B11745" s="1" t="s">
        <v>265</v>
      </c>
      <c r="C11745" s="1" t="s">
        <v>122</v>
      </c>
      <c r="D11745" s="1" t="s">
        <v>247</v>
      </c>
      <c r="E11745" s="1" t="s">
        <v>12180</v>
      </c>
      <c r="F11745" s="1" t="s">
        <v>16710</v>
      </c>
      <c r="G11745" s="1" t="s">
        <v>49</v>
      </c>
      <c r="H11745" s="1" t="s">
        <v>16</v>
      </c>
      <c r="I11745" s="1" t="str">
        <f ca="1">IFERROR(__xludf.DUMMYFUNCTION("GOOGLETRANSLATE(F11745, ""auto"", ""en"")
"),"We never managed to identify them")</f>
        <v>We never managed to identify them</v>
      </c>
    </row>
    <row r="11746" spans="1:9" x14ac:dyDescent="0.3">
      <c r="A11746" s="1" t="s">
        <v>61</v>
      </c>
      <c r="B11746" s="1" t="s">
        <v>318</v>
      </c>
      <c r="C11746" s="1" t="s">
        <v>246</v>
      </c>
      <c r="D11746" s="1" t="s">
        <v>152</v>
      </c>
      <c r="E11746" s="1" t="s">
        <v>2596</v>
      </c>
      <c r="F11746" s="1" t="s">
        <v>16711</v>
      </c>
      <c r="G11746" s="1" t="s">
        <v>28</v>
      </c>
      <c r="H11746" s="1" t="s">
        <v>29</v>
      </c>
      <c r="I11746" s="1" t="str">
        <f ca="1">IFERROR(__xludf.DUMMYFUNCTION("GOOGLETRANSLATE(F11746, ""auto"", ""en"")
"),"So many bad reviews.  I bought it about 2 years ago and use it very often. Everything is fine! When I bought it, upon inspection I didn’t like the poorly closing lid, so I asked for another one.")</f>
        <v>So many bad reviews.  I bought it about 2 years ago and use it very often. Everything is fine! When I bought it, upon inspection I didn’t like the poorly closing lid, so I asked for another one.</v>
      </c>
    </row>
    <row r="11747" spans="1:9" x14ac:dyDescent="0.3">
      <c r="A11747" s="1" t="s">
        <v>206</v>
      </c>
      <c r="B11747" s="1" t="s">
        <v>1349</v>
      </c>
      <c r="C11747" s="1" t="s">
        <v>4219</v>
      </c>
      <c r="D11747" s="1" t="s">
        <v>305</v>
      </c>
      <c r="E11747" s="1" t="s">
        <v>128</v>
      </c>
      <c r="F11747" s="1" t="s">
        <v>16712</v>
      </c>
      <c r="G11747" s="1" t="s">
        <v>36</v>
      </c>
      <c r="H11747" s="1" t="s">
        <v>29</v>
      </c>
      <c r="I11747" s="1" t="str">
        <f ca="1">IFERROR(__xludf.DUMMYFUNCTION("GOOGLETRANSLATE(F11747, ""auto"", ""en"")
"),"As they say, taste and color... I really liked this device. Touchscreen control is 5+, the screen does not dazzle the eyes at night, it works without brakes, USB up to 32 gig, the radio is found instantly, the video is watchable, the TV is super. For this"&amp;" money I didn’t even expect such a miracle (I tried many models).")</f>
        <v>As they say, taste and color... I really liked this device. Touchscreen control is 5+, the screen does not dazzle the eyes at night, it works without brakes, USB up to 32 gig, the radio is found instantly, the video is watchable, the TV is super. For this money I didn’t even expect such a miracle (I tried many models).</v>
      </c>
    </row>
    <row r="11748" spans="1:9" x14ac:dyDescent="0.3">
      <c r="A11748" s="1" t="s">
        <v>17</v>
      </c>
      <c r="B11748" s="1" t="s">
        <v>18</v>
      </c>
      <c r="C11748" s="1" t="s">
        <v>19</v>
      </c>
      <c r="D11748" s="1" t="s">
        <v>16713</v>
      </c>
      <c r="E11748" s="1" t="s">
        <v>3166</v>
      </c>
      <c r="F11748" s="1" t="s">
        <v>16714</v>
      </c>
      <c r="G11748" s="1" t="s">
        <v>28</v>
      </c>
      <c r="H11748" s="1" t="s">
        <v>29</v>
      </c>
      <c r="I11748" s="1" t="str">
        <f ca="1">IFERROR(__xludf.DUMMYFUNCTION("GOOGLETRANSLATE(F11748, ""auto"", ""en"")
"),"After 3 years, replacement of the control board 6500 rubles 8(( with work But the machine is nothing")</f>
        <v>After 3 years, replacement of the control board 6500 rubles 8(( with work But the machine is nothing</v>
      </c>
    </row>
    <row r="11749" spans="1:9" x14ac:dyDescent="0.3">
      <c r="A11749" s="1" t="s">
        <v>43</v>
      </c>
      <c r="B11749" s="1" t="s">
        <v>1370</v>
      </c>
      <c r="C11749" s="1" t="s">
        <v>2137</v>
      </c>
      <c r="D11749" s="1" t="s">
        <v>114</v>
      </c>
      <c r="E11749" s="1" t="s">
        <v>7756</v>
      </c>
      <c r="F11749" s="1" t="s">
        <v>16715</v>
      </c>
      <c r="G11749" s="1" t="s">
        <v>28</v>
      </c>
      <c r="H11749" s="1" t="s">
        <v>29</v>
      </c>
      <c r="I11749" s="1" t="str">
        <f ca="1">IFERROR(__xludf.DUMMYFUNCTION("GOOGLETRANSLATE(F11749, ""auto"", ""en"")
"),"We purchased this device due to a planned shutdown of hot water for a month. Among the shortcomings, I can note the fact that the pressure is weak. On the plus side, it’s better than heating buckets of water on the stove")</f>
        <v>We purchased this device due to a planned shutdown of hot water for a month. Among the shortcomings, I can note the fact that the pressure is weak. On the plus side, it’s better than heating buckets of water on the stove</v>
      </c>
    </row>
    <row r="11750" spans="1:9" x14ac:dyDescent="0.3">
      <c r="A11750" s="1" t="s">
        <v>55</v>
      </c>
      <c r="B11750" s="1" t="s">
        <v>56</v>
      </c>
      <c r="C11750" s="1" t="s">
        <v>1502</v>
      </c>
      <c r="D11750" s="1" t="s">
        <v>139</v>
      </c>
      <c r="E11750" s="1" t="s">
        <v>1571</v>
      </c>
      <c r="F11750" s="1" t="s">
        <v>16716</v>
      </c>
      <c r="G11750" s="1" t="s">
        <v>36</v>
      </c>
      <c r="H11750" s="1" t="s">
        <v>29</v>
      </c>
      <c r="I11750" s="1" t="str">
        <f ca="1">IFERROR(__xludf.DUMMYFUNCTION("GOOGLETRANSLATE(F11750, ""auto"", ""en"")
"),"I’ve been using it for a year now, I’m generally satisfied, but with our heating system we need to install at least two humidifiers for a room of 18 m2, then there will be an effect.")</f>
        <v>I’ve been using it for a year now, I’m generally satisfied, but with our heating system we need to install at least two humidifiers for a room of 18 m2, then there will be an effect.</v>
      </c>
    </row>
    <row r="11751" spans="1:9" x14ac:dyDescent="0.3">
      <c r="A11751" s="1" t="s">
        <v>30</v>
      </c>
      <c r="B11751" s="1" t="s">
        <v>50</v>
      </c>
      <c r="C11751" s="1" t="s">
        <v>1003</v>
      </c>
      <c r="D11751" s="1" t="s">
        <v>39</v>
      </c>
      <c r="E11751" s="1" t="s">
        <v>391</v>
      </c>
      <c r="F11751" s="1" t="s">
        <v>16717</v>
      </c>
      <c r="G11751" s="1" t="s">
        <v>36</v>
      </c>
      <c r="H11751" s="1" t="s">
        <v>29</v>
      </c>
      <c r="I11751" s="1" t="str">
        <f ca="1">IFERROR(__xludf.DUMMYFUNCTION("GOOGLETRANSLATE(F11751, ""auto"", ""en"")
"),"The laptop itself is good. The keyboard has the most modern and “fashionable” design at the moment, just like on a MacBook. The touchpad has optimal sensitivity and also accepts multi-touch commands. The battery lasts for a maximum of 7 hours. It's a pity"&amp;" that it's bluetooth. But the weight is 1.91 kg. This is alarming, because for a 13-inch laptop this is quite a lot. This is a fairly universal laptop that would be useful at home, and would allow you to work on the road at your usual pace and software en"&amp;"vironment; the considered option from HP looks really attractive. The developers skillfully avoided everything that we could attribute to objective shortcomings, and subjectively there is nothing particularly to complain about.")</f>
        <v>The laptop itself is good. The keyboard has the most modern and “fashionable” design at the moment, just like on a MacBook. The touchpad has optimal sensitivity and also accepts multi-touch commands. The battery lasts for a maximum of 7 hours. It's a pity that it's bluetooth. But the weight is 1.91 kg. This is alarming, because for a 13-inch laptop this is quite a lot. This is a fairly universal laptop that would be useful at home, and would allow you to work on the road at your usual pace and software environment; the considered option from HP looks really attractive. The developers skillfully avoided everything that we could attribute to objective shortcomings, and subjectively there is nothing particularly to complain about.</v>
      </c>
    </row>
    <row r="11752" spans="1:9" x14ac:dyDescent="0.3">
      <c r="A11752" s="1" t="s">
        <v>9</v>
      </c>
      <c r="B11752" s="1" t="s">
        <v>133</v>
      </c>
      <c r="C11752" s="1" t="s">
        <v>5528</v>
      </c>
      <c r="D11752" s="1" t="s">
        <v>568</v>
      </c>
      <c r="E11752" s="1" t="s">
        <v>1826</v>
      </c>
      <c r="F11752" s="1" t="s">
        <v>16718</v>
      </c>
      <c r="G11752" s="1" t="s">
        <v>36</v>
      </c>
      <c r="H11752" s="1" t="s">
        <v>29</v>
      </c>
      <c r="I11752" s="1" t="str">
        <f ca="1">IFERROR(__xludf.DUMMYFUNCTION("GOOGLETRANSLATE(F11752, ""auto"", ""en"")
"),"An excellent cabinet with a large selection of cooking modes, a convenient inner surface for cleaning, no fingerprints left on the outer panel (thanks aeg-electrolux) and plus triple glass! Very pleased!")</f>
        <v>An excellent cabinet with a large selection of cooking modes, a convenient inner surface for cleaning, no fingerprints left on the outer panel (thanks aeg-electrolux) and plus triple glass! Very pleased!</v>
      </c>
    </row>
    <row r="11753" spans="1:9" x14ac:dyDescent="0.3">
      <c r="A11753" s="1" t="s">
        <v>43</v>
      </c>
      <c r="B11753" s="1" t="s">
        <v>1382</v>
      </c>
      <c r="C11753" s="1" t="s">
        <v>45</v>
      </c>
      <c r="D11753" s="1" t="s">
        <v>548</v>
      </c>
      <c r="E11753" s="1" t="s">
        <v>836</v>
      </c>
      <c r="F11753" s="1" t="s">
        <v>16719</v>
      </c>
      <c r="G11753" s="1" t="s">
        <v>36</v>
      </c>
      <c r="H11753" s="1" t="s">
        <v>29</v>
      </c>
      <c r="I11753" s="1" t="str">
        <f ca="1">IFERROR(__xludf.DUMMYFUNCTION("GOOGLETRANSLATE(F11753, ""auto"", ""en"")
"),"I bought this miracle today. Everything works, no cracks, no creaks, it blows great. It has not three, but 4 operating modes - I-II-III and NAT (style with gusts of wind, cool!!). At speed I it is no louder than an ultrasonic humidifier. At speed III ever"&amp;"ything flies away. Considering that the power is only 45W. Designed for a room no more than 30 meters. Made neatly, white glossy body. The buttons and ventilation grille are silver. The remote control is white - it controls the fan from any position, I st"&amp;"ill have it in the factory film, but it easily penetrates it from a distance of 6-7 meters. For that kind of money, and even on sale - an ideal friend against the heat! I recommend!")</f>
        <v>I bought this miracle today. Everything works, no cracks, no creaks, it blows great. It has not three, but 4 operating modes - I-II-III and NAT (style with gusts of wind, cool!!). At speed I it is no louder than an ultrasonic humidifier. At speed III everything flies away. Considering that the power is only 45W. Designed for a room no more than 30 meters. Made neatly, white glossy body. The buttons and ventilation grille are silver. The remote control is white - it controls the fan from any position, I still have it in the factory film, but it easily penetrates it from a distance of 6-7 meters. For that kind of money, and even on sale - an ideal friend against the heat! I recommend!</v>
      </c>
    </row>
    <row r="11754" spans="1:9" x14ac:dyDescent="0.3">
      <c r="A11754" s="1" t="s">
        <v>9</v>
      </c>
      <c r="B11754" s="1" t="s">
        <v>10</v>
      </c>
      <c r="C11754" s="1" t="s">
        <v>407</v>
      </c>
      <c r="D11754" s="1" t="s">
        <v>1055</v>
      </c>
      <c r="E11754" s="1" t="s">
        <v>6557</v>
      </c>
      <c r="F11754" s="1" t="s">
        <v>16720</v>
      </c>
      <c r="G11754" s="1" t="s">
        <v>28</v>
      </c>
      <c r="H11754" s="1" t="s">
        <v>29</v>
      </c>
      <c r="I11754" s="1" t="str">
        <f ca="1">IFERROR(__xludf.DUMMYFUNCTION("GOOGLETRANSLATE(F11754, ""auto"", ""en"")
"),"We have been using the hood for about a month, it performs its functions perfectly. The smell of cigarette smoke disappears within 10 minutes. There is one drawback: the clock turns off 20 minutes after turning off the hood. Is this how it should be? And "&amp;"one more thing: in the specification column the power is 400 W, in the instructions - 200 W.")</f>
        <v>We have been using the hood for about a month, it performs its functions perfectly. The smell of cigarette smoke disappears within 10 minutes. There is one drawback: the clock turns off 20 minutes after turning off the hood. Is this how it should be? And one more thing: in the specification column the power is 400 W, in the instructions - 200 W.</v>
      </c>
    </row>
    <row r="11755" spans="1:9" x14ac:dyDescent="0.3">
      <c r="A11755" s="1" t="s">
        <v>61</v>
      </c>
      <c r="B11755" s="1" t="s">
        <v>224</v>
      </c>
      <c r="C11755" s="1" t="s">
        <v>74</v>
      </c>
      <c r="D11755" s="1" t="s">
        <v>75</v>
      </c>
      <c r="E11755" s="1" t="s">
        <v>3664</v>
      </c>
      <c r="F11755" s="1" t="s">
        <v>16721</v>
      </c>
      <c r="G11755" s="1" t="s">
        <v>36</v>
      </c>
      <c r="H11755" s="1" t="s">
        <v>29</v>
      </c>
      <c r="I11755" s="1" t="str">
        <f ca="1">IFERROR(__xludf.DUMMYFUNCTION("GOOGLETRANSLATE(F11755, ""auto"", ""en"")
"),"squeezes out perfectly!!!")</f>
        <v>squeezes out perfectly!!!</v>
      </c>
    </row>
    <row r="11756" spans="1:9" x14ac:dyDescent="0.3">
      <c r="A11756" s="1" t="s">
        <v>17</v>
      </c>
      <c r="B11756" s="1" t="s">
        <v>18</v>
      </c>
      <c r="C11756" s="1" t="s">
        <v>290</v>
      </c>
      <c r="D11756" s="1" t="s">
        <v>637</v>
      </c>
      <c r="E11756" s="1" t="s">
        <v>4327</v>
      </c>
      <c r="F11756" s="1" t="s">
        <v>16722</v>
      </c>
      <c r="G11756" s="1" t="s">
        <v>36</v>
      </c>
      <c r="H11756" s="1" t="s">
        <v>29</v>
      </c>
      <c r="I11756" s="1" t="str">
        <f ca="1">IFERROR(__xludf.DUMMYFUNCTION("GOOGLETRANSLATE(F11756, ""auto"", ""en"")
"),"the problem has been resolved. this is not a lid: the tray into which the powder is poured and poured was leaking, there was water in the rightmost cell (you need to pull out the tray and clean the attachment cap in this rightmost cell).  p.s. On my contr"&amp;"ol panel I have ""economy"" and not ""economy"".")</f>
        <v>the problem has been resolved. this is not a lid: the tray into which the powder is poured and poured was leaking, there was water in the rightmost cell (you need to pull out the tray and clean the attachment cap in this rightmost cell).  p.s. On my control panel I have "economy" and not "economy".</v>
      </c>
    </row>
    <row r="11757" spans="1:9" x14ac:dyDescent="0.3">
      <c r="A11757" s="1" t="s">
        <v>17</v>
      </c>
      <c r="B11757" s="1" t="s">
        <v>18</v>
      </c>
      <c r="C11757" s="1" t="s">
        <v>151</v>
      </c>
      <c r="D11757" s="1" t="s">
        <v>200</v>
      </c>
      <c r="E11757" s="1" t="s">
        <v>2113</v>
      </c>
      <c r="F11757" s="1" t="s">
        <v>16723</v>
      </c>
      <c r="G11757" s="1" t="s">
        <v>49</v>
      </c>
      <c r="H11757" s="1" t="s">
        <v>16</v>
      </c>
      <c r="I11757" s="1" t="str">
        <f ca="1">IFERROR(__xludf.DUMMYFUNCTION("GOOGLETRANSLATE(F11757, ""auto"", ""en"")
"),"Made beautifully, stickers, smooth lines and all that. Doesn't wash on wool at all, after three washes it stops and works like a computer. it is necessary to reboot if the brain is not in order, it takes in little water, the water drain valve either does "&amp;"not hold or does not work at all, the error “LE” constantly appears. In general, my wife bought the machine and now she is suffering. For six months there was such chaos, but the first signs were after she was brought and connected. In general, my advice "&amp;"to everyone is, before buying, ask repairmen, or on communication sites, and not on store sites. In addition, when I touched upon the warranty repair, I saw that the warranty cards did not contain the store’s seal, pay special attention to this, otherwise"&amp;" they simply won’t get through to M-Video, they simply hang up the phone. Draw conclusions.")</f>
        <v>Made beautifully, stickers, smooth lines and all that. Doesn't wash on wool at all, after three washes it stops and works like a computer. it is necessary to reboot if the brain is not in order, it takes in little water, the water drain valve either does not hold or does not work at all, the error “LE” constantly appears. In general, my wife bought the machine and now she is suffering. For six months there was such chaos, but the first signs were after she was brought and connected. In general, my advice to everyone is, before buying, ask repairmen, or on communication sites, and not on store sites. In addition, when I touched upon the warranty repair, I saw that the warranty cards did not contain the store’s seal, pay special attention to this, otherwise they simply won’t get through to M-Video, they simply hang up the phone. Draw conclusions.</v>
      </c>
    </row>
    <row r="11758" spans="1:9" x14ac:dyDescent="0.3">
      <c r="A11758" s="1" t="s">
        <v>113</v>
      </c>
      <c r="B11758" s="1" t="s">
        <v>1251</v>
      </c>
      <c r="C11758" s="1" t="s">
        <v>151</v>
      </c>
      <c r="D11758" s="1" t="s">
        <v>295</v>
      </c>
      <c r="E11758" s="1" t="s">
        <v>397</v>
      </c>
      <c r="F11758" s="1" t="s">
        <v>16724</v>
      </c>
      <c r="G11758" s="1" t="s">
        <v>36</v>
      </c>
      <c r="H11758" s="1" t="s">
        <v>29</v>
      </c>
      <c r="I11758" s="1" t="str">
        <f ca="1">IFERROR(__xludf.DUMMYFUNCTION("GOOGLETRANSLATE(F11758, ""auto"", ""en"")
"),"I bought it and don’t regret it! What killed me was the lack of audio/video output next to the USB mini port under the rubber plug, although it was in the description of the device, where did it go? Sincerely, Tatyana")</f>
        <v>I bought it and don’t regret it! What killed me was the lack of audio/video output next to the USB mini port under the rubber plug, although it was in the description of the device, where did it go? Sincerely, Tatyana</v>
      </c>
    </row>
    <row r="11759" spans="1:9" x14ac:dyDescent="0.3">
      <c r="A11759" s="1" t="s">
        <v>55</v>
      </c>
      <c r="B11759" s="1" t="s">
        <v>56</v>
      </c>
      <c r="C11759" s="1" t="s">
        <v>3651</v>
      </c>
      <c r="D11759" s="1" t="s">
        <v>16725</v>
      </c>
      <c r="E11759" s="1" t="s">
        <v>2693</v>
      </c>
      <c r="F11759" s="1" t="s">
        <v>16726</v>
      </c>
      <c r="G11759" s="1" t="s">
        <v>36</v>
      </c>
      <c r="H11759" s="1" t="s">
        <v>29</v>
      </c>
      <c r="I11759" s="1" t="str">
        <f ca="1">IFERROR(__xludf.DUMMYFUNCTION("GOOGLETRANSLATE(F11759, ""auto"", ""en"")
"),"It's not black, but green. First I tried it at home, and then I took it to work. I take water from the cooler. Caring for the device is very simple and even a child can control the humidity. I clean the membrane at home, it is lightweight to carry. I noti"&amp;"ced that when the humidifier works, I get less tired, my facial skin looks better, and I want to drink less.  I rate it 5 and recommend that office workers like me purchase such a humidifier. Health must be protected at work too.")</f>
        <v>It's not black, but green. First I tried it at home, and then I took it to work. I take water from the cooler. Caring for the device is very simple and even a child can control the humidity. I clean the membrane at home, it is lightweight to carry. I noticed that when the humidifier works, I get less tired, my facial skin looks better, and I want to drink less.  I rate it 5 and recommend that office workers like me purchase such a humidifier. Health must be protected at work too.</v>
      </c>
    </row>
    <row r="11760" spans="1:9" x14ac:dyDescent="0.3">
      <c r="A11760" s="1" t="s">
        <v>361</v>
      </c>
      <c r="B11760" s="1" t="s">
        <v>1077</v>
      </c>
      <c r="C11760" s="1" t="s">
        <v>2143</v>
      </c>
      <c r="D11760" s="1" t="s">
        <v>521</v>
      </c>
      <c r="E11760" s="1" t="s">
        <v>3673</v>
      </c>
      <c r="F11760" s="1" t="s">
        <v>16727</v>
      </c>
      <c r="G11760" s="1" t="s">
        <v>36</v>
      </c>
      <c r="H11760" s="1" t="s">
        <v>29</v>
      </c>
      <c r="I11760" s="1" t="str">
        <f ca="1">IFERROR(__xludf.DUMMYFUNCTION("GOOGLETRANSLATE(F11760, ""auto"", ""en"")
"),"The kettle is excellent, spacious and convenient. The inside of the metal cup-strainer is reinforced with plastic, which prolongs its service life; the cup of the previous kettle (from a different company) fell apart. We've been using it for a month now a"&amp;"nd we're happy.")</f>
        <v>The kettle is excellent, spacious and convenient. The inside of the metal cup-strainer is reinforced with plastic, which prolongs its service life; the cup of the previous kettle (from a different company) fell apart. We've been using it for a month now and we're happy.</v>
      </c>
    </row>
    <row r="11761" spans="1:9" x14ac:dyDescent="0.3">
      <c r="A11761" s="1" t="s">
        <v>211</v>
      </c>
      <c r="B11761" s="1" t="s">
        <v>265</v>
      </c>
      <c r="C11761" s="1" t="s">
        <v>294</v>
      </c>
      <c r="D11761" s="1" t="s">
        <v>152</v>
      </c>
      <c r="E11761" s="1" t="s">
        <v>323</v>
      </c>
      <c r="F11761" s="1" t="s">
        <v>16728</v>
      </c>
      <c r="G11761" s="1" t="s">
        <v>36</v>
      </c>
      <c r="H11761" s="1" t="s">
        <v>29</v>
      </c>
      <c r="I11761" s="1" t="str">
        <f ca="1">IFERROR(__xludf.DUMMYFUNCTION("GOOGLETRANSLATE(F11761, ""auto"", ""en"")
"),"I worked for 6 years and am now working, I saw the discount and today I took another one.")</f>
        <v>I worked for 6 years and am now working, I saw the discount and today I took another one.</v>
      </c>
    </row>
    <row r="11762" spans="1:9" x14ac:dyDescent="0.3">
      <c r="A11762" s="1" t="s">
        <v>61</v>
      </c>
      <c r="B11762" s="1" t="s">
        <v>977</v>
      </c>
      <c r="C11762" s="1" t="s">
        <v>101</v>
      </c>
      <c r="D11762" s="1" t="s">
        <v>127</v>
      </c>
      <c r="E11762" s="1" t="s">
        <v>6170</v>
      </c>
      <c r="F11762" s="1" t="s">
        <v>16729</v>
      </c>
      <c r="G11762" s="1" t="s">
        <v>49</v>
      </c>
      <c r="H11762" s="1" t="s">
        <v>16</v>
      </c>
      <c r="I11762" s="1" t="str">
        <f ca="1">IFERROR(__xludf.DUMMYFUNCTION("GOOGLETRANSLATE(F11762, ""auto"", ""en"")
"),"If anyone wants to feel nostalgic about Chinese consumer goods of the 90s, then this is it. Once again I was convinced that everything produced under such brands is junk!!! After six months of use, and not very often, the whisk of this miracle device flar"&amp;"ed (the hemispherical tip inside which the knives rotate) and began to scroll, splashing out everything it was grinding during operation. Judging by the quality of this connection, this is what lies ahead for all owners. The bearing in the rim is clogged "&amp;"with dirt. After disassembling it for cleaning and lubrication, I saw that the seals (oil seals) were clean. It feels very uncomfortable in the hand. Heavy. The button is awkwardly located and hard to press. It gets hot after a fairly short period of oper"&amp;"ation. The attachments are put on in the antediluvian way - by thread. Modern models have long been able to quickly and conveniently change attachments. In general, the RESULT is low-quality junk.")</f>
        <v>If anyone wants to feel nostalgic about Chinese consumer goods of the 90s, then this is it. Once again I was convinced that everything produced under such brands is junk!!! After six months of use, and not very often, the whisk of this miracle device flared (the hemispherical tip inside which the knives rotate) and began to scroll, splashing out everything it was grinding during operation. Judging by the quality of this connection, this is what lies ahead for all owners. The bearing in the rim is clogged with dirt. After disassembling it for cleaning and lubrication, I saw that the seals (oil seals) were clean. It feels very uncomfortable in the hand. Heavy. The button is awkwardly located and hard to press. It gets hot after a fairly short period of operation. The attachments are put on in the antediluvian way - by thread. Modern models have long been able to quickly and conveniently change attachments. In general, the RESULT is low-quality junk.</v>
      </c>
    </row>
    <row r="11763" spans="1:9" x14ac:dyDescent="0.3">
      <c r="A11763" s="1" t="s">
        <v>120</v>
      </c>
      <c r="B11763" s="1" t="s">
        <v>256</v>
      </c>
      <c r="C11763" s="1" t="s">
        <v>69</v>
      </c>
      <c r="D11763" s="1" t="s">
        <v>729</v>
      </c>
      <c r="E11763" s="1" t="s">
        <v>675</v>
      </c>
      <c r="F11763" s="1" t="s">
        <v>16730</v>
      </c>
      <c r="G11763" s="1" t="s">
        <v>28</v>
      </c>
      <c r="H11763" s="1" t="s">
        <v>29</v>
      </c>
      <c r="I11763" s="1" t="str">
        <f ca="1">IFERROR(__xludf.DUMMYFUNCTION("GOOGLETRANSLATE(F11763, ""auto"", ""en"")
"),"It shows darkly and if it is on a simple antenna (not a dish), the quality is worse than with old TVs.")</f>
        <v>It shows darkly and if it is on a simple antenna (not a dish), the quality is worse than with old TVs.</v>
      </c>
    </row>
    <row r="11764" spans="1:9" x14ac:dyDescent="0.3">
      <c r="A11764" s="1" t="s">
        <v>9</v>
      </c>
      <c r="B11764" s="1" t="s">
        <v>23</v>
      </c>
      <c r="C11764" s="1" t="s">
        <v>24</v>
      </c>
      <c r="D11764" s="1" t="s">
        <v>653</v>
      </c>
      <c r="E11764" s="1" t="s">
        <v>1225</v>
      </c>
      <c r="F11764" s="1" t="s">
        <v>16731</v>
      </c>
      <c r="G11764" s="1" t="s">
        <v>36</v>
      </c>
      <c r="H11764" s="1" t="s">
        <v>29</v>
      </c>
      <c r="I11764" s="1" t="str">
        <f ca="1">IFERROR(__xludf.DUMMYFUNCTION("GOOGLETRANSLATE(F11764, ""auto"", ""en"")
"),"I’ve been using this machine for 3 years now, no problems have arisen. It washes and dries perfectly, and doesn’t make any noise. I set it on a timer and wash the dishes at night - the dishes are already washed by breakfast, very convenient! There are 5 p"&amp;"rograms, but I only use one - at 70 degrees, I have a small child and at this temperature all bacteria clearly die! I really like the machine!")</f>
        <v>I’ve been using this machine for 3 years now, no problems have arisen. It washes and dries perfectly, and doesn’t make any noise. I set it on a timer and wash the dishes at night - the dishes are already washed by breakfast, very convenient! There are 5 programs, but I only use one - at 70 degrees, I have a small child and at this temperature all bacteria clearly die! I really like the machine!</v>
      </c>
    </row>
    <row r="11765" spans="1:9" x14ac:dyDescent="0.3">
      <c r="A11765" s="1" t="s">
        <v>61</v>
      </c>
      <c r="B11765" s="1" t="s">
        <v>73</v>
      </c>
      <c r="C11765" s="1" t="s">
        <v>146</v>
      </c>
      <c r="D11765" s="1" t="s">
        <v>545</v>
      </c>
      <c r="E11765" s="1" t="s">
        <v>2344</v>
      </c>
      <c r="F11765" s="1" t="s">
        <v>16732</v>
      </c>
      <c r="G11765" s="1" t="s">
        <v>36</v>
      </c>
      <c r="H11765" s="1" t="s">
        <v>29</v>
      </c>
      <c r="I11765" s="1" t="str">
        <f ca="1">IFERROR(__xludf.DUMMYFUNCTION("GOOGLETRANSLATE(F11765, ""auto"", ""en"")
"),"Cuts quality meat")</f>
        <v>Cuts quality meat</v>
      </c>
    </row>
    <row r="11766" spans="1:9" x14ac:dyDescent="0.3">
      <c r="A11766" s="1" t="s">
        <v>206</v>
      </c>
      <c r="B11766" s="1" t="s">
        <v>2026</v>
      </c>
      <c r="C11766" s="1" t="s">
        <v>16733</v>
      </c>
      <c r="D11766" s="1" t="s">
        <v>16734</v>
      </c>
      <c r="E11766" s="1" t="s">
        <v>2896</v>
      </c>
      <c r="F11766" s="1" t="s">
        <v>16735</v>
      </c>
      <c r="G11766" s="1" t="s">
        <v>28</v>
      </c>
      <c r="H11766" s="1" t="s">
        <v>29</v>
      </c>
      <c r="I11766" s="1" t="str">
        <f ca="1">IFERROR(__xludf.DUMMYFUNCTION("GOOGLETRANSLATE(F11766, ""auto"", ""en"")
"),"good cassette player, yesterday I connected two TVs, it works great, far from the worst option")</f>
        <v>good cassette player, yesterday I connected two TVs, it works great, far from the worst option</v>
      </c>
    </row>
    <row r="11767" spans="1:9" x14ac:dyDescent="0.3">
      <c r="A11767" s="1" t="s">
        <v>211</v>
      </c>
      <c r="B11767" s="1" t="s">
        <v>265</v>
      </c>
      <c r="C11767" s="1" t="s">
        <v>122</v>
      </c>
      <c r="D11767" s="1" t="s">
        <v>39</v>
      </c>
      <c r="E11767" s="1" t="s">
        <v>4069</v>
      </c>
      <c r="F11767" s="1" t="s">
        <v>16736</v>
      </c>
      <c r="G11767" s="1" t="s">
        <v>36</v>
      </c>
      <c r="H11767" s="1" t="s">
        <v>29</v>
      </c>
      <c r="I11767" s="1" t="str">
        <f ca="1">IFERROR(__xludf.DUMMYFUNCTION("GOOGLETRANSLATE(F11767, ""auto"", ""en"")
"),"Works quietly! One adjustable nozzle! It cuts great! I trimmed both my face and my head;) as soon as I bought it, I unpacked it and had enough charge! One adjustable nozzle! I washed it right away under the tap.")</f>
        <v>Works quietly! One adjustable nozzle! It cuts great! I trimmed both my face and my head;) as soon as I bought it, I unpacked it and had enough charge! One adjustable nozzle! I washed it right away under the tap.</v>
      </c>
    </row>
    <row r="11768" spans="1:9" x14ac:dyDescent="0.3">
      <c r="A11768" s="1" t="s">
        <v>211</v>
      </c>
      <c r="B11768" s="1" t="s">
        <v>899</v>
      </c>
      <c r="C11768" s="1" t="s">
        <v>213</v>
      </c>
      <c r="D11768" s="1" t="s">
        <v>139</v>
      </c>
      <c r="E11768" s="1" t="s">
        <v>3494</v>
      </c>
      <c r="F11768" s="1" t="s">
        <v>16737</v>
      </c>
      <c r="G11768" s="1" t="s">
        <v>36</v>
      </c>
      <c r="H11768" s="1" t="s">
        <v>29</v>
      </c>
      <c r="I11768" s="1" t="str">
        <f ca="1">IFERROR(__xludf.DUMMYFUNCTION("GOOGLETRANSLATE(F11768, ""auto"", ""en"")
"),"Very good brush. I have been using it daily for 4 years. Not buggy, never broken")</f>
        <v>Very good brush. I have been using it daily for 4 years. Not buggy, never broken</v>
      </c>
    </row>
    <row r="11769" spans="1:9" x14ac:dyDescent="0.3">
      <c r="A11769" s="1" t="s">
        <v>557</v>
      </c>
      <c r="B11769" s="1" t="s">
        <v>558</v>
      </c>
      <c r="C11769" s="1" t="s">
        <v>122</v>
      </c>
      <c r="D11769" s="1" t="s">
        <v>1659</v>
      </c>
      <c r="E11769" s="1" t="s">
        <v>405</v>
      </c>
      <c r="F11769" s="1" t="s">
        <v>16738</v>
      </c>
      <c r="G11769" s="1" t="s">
        <v>28</v>
      </c>
      <c r="H11769" s="1" t="s">
        <v>29</v>
      </c>
      <c r="I11769" s="1" t="str">
        <f ca="1">IFERROR(__xludf.DUMMYFUNCTION("GOOGLETRANSLATE(F11769, ""auto"", ""en"")
"),"Incoming calls to mobile are free, if you don't know. And Caller ID needs to be configured in your phone either Caller ID or Caller ID...")</f>
        <v>Incoming calls to mobile are free, if you don't know. And Caller ID needs to be configured in your phone either Caller ID or Caller ID...</v>
      </c>
    </row>
    <row r="11770" spans="1:9" x14ac:dyDescent="0.3">
      <c r="A11770" s="1" t="s">
        <v>37</v>
      </c>
      <c r="B11770" s="1" t="s">
        <v>38</v>
      </c>
      <c r="C11770" s="1" t="s">
        <v>163</v>
      </c>
      <c r="D11770" s="1" t="s">
        <v>16739</v>
      </c>
      <c r="E11770" s="1" t="s">
        <v>1345</v>
      </c>
      <c r="F11770" s="1" t="s">
        <v>16740</v>
      </c>
      <c r="G11770" s="1" t="s">
        <v>36</v>
      </c>
      <c r="H11770" s="1" t="s">
        <v>29</v>
      </c>
      <c r="I11770" s="1" t="str">
        <f ca="1">IFERROR(__xludf.DUMMYFUNCTION("GOOGLETRANSLATE(F11770, ""auto"", ""en"")
"),"I bought the phone 2.5 months ago. The phone is good in price and quality, considering that the assembly is Romanian, and it is produced in Finland. The speaker is loud, although this depends on the firmware and factory settings of the speaker. It holds a"&amp;"n 8GB flash drive, but the player switches the song every 4 seconds, as soon as you install 4GB, the brakes disappear (checked). The battery lasts for 2 days without problems, I listen for 5-8 hours a day and make calls periodically, I sit in ICQ for 1-2 "&amp;"hours. In general, I'm happy with the phone. And regarding the phone disconnecting and poor-quality firmware, this is a factory defect, so people, don’t be stupid, change it where you bought it.")</f>
        <v>I bought the phone 2.5 months ago. The phone is good in price and quality, considering that the assembly is Romanian, and it is produced in Finland. The speaker is loud, although this depends on the firmware and factory settings of the speaker. It holds an 8GB flash drive, but the player switches the song every 4 seconds, as soon as you install 4GB, the brakes disappear (checked). The battery lasts for 2 days without problems, I listen for 5-8 hours a day and make calls periodically, I sit in ICQ for 1-2 hours. In general, I'm happy with the phone. And regarding the phone disconnecting and poor-quality firmware, this is a factory defect, so people, don’t be stupid, change it where you bought it.</v>
      </c>
    </row>
    <row r="11771" spans="1:9" x14ac:dyDescent="0.3">
      <c r="A11771" s="1" t="s">
        <v>369</v>
      </c>
      <c r="B11771" s="1" t="s">
        <v>370</v>
      </c>
      <c r="C11771" s="1" t="s">
        <v>290</v>
      </c>
      <c r="D11771" s="1" t="s">
        <v>295</v>
      </c>
      <c r="E11771" s="1" t="s">
        <v>3361</v>
      </c>
      <c r="F11771" s="1" t="s">
        <v>16741</v>
      </c>
      <c r="G11771" s="1" t="s">
        <v>36</v>
      </c>
      <c r="H11771" s="1" t="s">
        <v>29</v>
      </c>
      <c r="I11771" s="1" t="str">
        <f ca="1">IFERROR(__xludf.DUMMYFUNCTION("GOOGLETRANSLATE(F11771, ""auto"", ""en"")
"),"We bought it and chose it urgently, the top is super, it’s easy to wash, the oven functions are excellent, and the chicken is fried and cooks wonderfully in the hot air. It’s beautiful in appearance.")</f>
        <v>We bought it and chose it urgently, the top is super, it’s easy to wash, the oven functions are excellent, and the chicken is fried and cooks wonderfully in the hot air. It’s beautiful in appearance.</v>
      </c>
    </row>
    <row r="11772" spans="1:9" x14ac:dyDescent="0.3">
      <c r="A11772" s="1" t="s">
        <v>95</v>
      </c>
      <c r="B11772" s="1" t="s">
        <v>486</v>
      </c>
      <c r="C11772" s="1" t="s">
        <v>487</v>
      </c>
      <c r="D11772" s="1" t="s">
        <v>172</v>
      </c>
      <c r="E11772" s="1" t="s">
        <v>4862</v>
      </c>
      <c r="F11772" s="1" t="s">
        <v>16742</v>
      </c>
      <c r="G11772" s="1" t="s">
        <v>28</v>
      </c>
      <c r="H11772" s="1" t="s">
        <v>29</v>
      </c>
      <c r="I11772" s="1" t="str">
        <f ca="1">IFERROR(__xludf.DUMMYFUNCTION("GOOGLETRANSLATE(F11772, ""auto"", ""en"")
"),"People. Tell me please. Is this slim being stitched in our city of Novorossiysk?")</f>
        <v>People. Tell me please. Is this slim being stitched in our city of Novorossiysk?</v>
      </c>
    </row>
    <row r="11773" spans="1:9" x14ac:dyDescent="0.3">
      <c r="A11773" s="1" t="s">
        <v>37</v>
      </c>
      <c r="B11773" s="1" t="s">
        <v>38</v>
      </c>
      <c r="C11773" s="1" t="s">
        <v>39</v>
      </c>
      <c r="D11773" s="1" t="s">
        <v>2145</v>
      </c>
      <c r="E11773" s="1" t="s">
        <v>1167</v>
      </c>
      <c r="F11773" s="1" t="s">
        <v>16743</v>
      </c>
      <c r="G11773" s="1" t="s">
        <v>36</v>
      </c>
      <c r="H11773" s="1" t="s">
        <v>29</v>
      </c>
      <c r="I11773" s="1" t="str">
        <f ca="1">IFERROR(__xludf.DUMMYFUNCTION("GOOGLETRANSLATE(F11773, ""auto"", ""en"")
"),"The phone is just great!!! I've been using it for 3 months now, not a single glitch) The sound of the speakers is loud, any Nokia would be jealous. As for the photos, I can say that the quality is acceptable, there are a lot of features from the K-series "&amp;"cyber-shots, such as various shooting conditions, smiley shooter, etc. Video records clearly, with virtually no noise. The case is not bad, it did not become loose during all the time of use. The only thing is that the display constantly gets dirty, but t"&amp;"hese are minor things) There are many interesting toys created using the accelerator function.   More like a youth phone. I liked it. If you are thinking about taking it or not, my advice is, take it! you won't regret it!")</f>
        <v>The phone is just great!!! I've been using it for 3 months now, not a single glitch) The sound of the speakers is loud, any Nokia would be jealous. As for the photos, I can say that the quality is acceptable, there are a lot of features from the K-series cyber-shots, such as various shooting conditions, smiley shooter, etc. Video records clearly, with virtually no noise. The case is not bad, it did not become loose during all the time of use. The only thing is that the display constantly gets dirty, but these are minor things) There are many interesting toys created using the accelerator function.   More like a youth phone. I liked it. If you are thinking about taking it or not, my advice is, take it! you won't regret it!</v>
      </c>
    </row>
    <row r="11774" spans="1:9" x14ac:dyDescent="0.3">
      <c r="A11774" s="1" t="s">
        <v>211</v>
      </c>
      <c r="B11774" s="1" t="s">
        <v>265</v>
      </c>
      <c r="C11774" s="1" t="s">
        <v>122</v>
      </c>
      <c r="D11774" s="1" t="s">
        <v>16051</v>
      </c>
      <c r="E11774" s="1" t="s">
        <v>6937</v>
      </c>
      <c r="F11774" s="1" t="s">
        <v>16744</v>
      </c>
      <c r="G11774" s="1" t="s">
        <v>49</v>
      </c>
      <c r="H11774" s="1" t="s">
        <v>16</v>
      </c>
      <c r="I11774" s="1" t="str">
        <f ca="1">IFERROR(__xludf.DUMMYFUNCTION("GOOGLETRANSLATE(F11774, ""auto"", ""en"")
"),"It is absolutely impossible to cut hair using the attachment; it is not a hair clipper, but rather a trimmer.")</f>
        <v>It is absolutely impossible to cut hair using the attachment; it is not a hair clipper, but rather a trimmer.</v>
      </c>
    </row>
    <row r="11775" spans="1:9" x14ac:dyDescent="0.3">
      <c r="A11775" s="1" t="s">
        <v>120</v>
      </c>
      <c r="B11775" s="1" t="s">
        <v>256</v>
      </c>
      <c r="C11775" s="1" t="s">
        <v>151</v>
      </c>
      <c r="D11775" s="1" t="s">
        <v>75</v>
      </c>
      <c r="E11775" s="1" t="s">
        <v>2008</v>
      </c>
      <c r="F11775" s="1" t="s">
        <v>16745</v>
      </c>
      <c r="G11775" s="1" t="s">
        <v>28</v>
      </c>
      <c r="H11775" s="1" t="s">
        <v>29</v>
      </c>
      <c r="I11775" s="1" t="str">
        <f ca="1">IFERROR(__xludf.DUMMYFUNCTION("GOOGLETRANSLATE(F11775, ""auto"", ""en"")
"),"Yesterday we purchased this TV model!   We've been walking and licking our lips for a long time, looking at it - it's very beautiful in design and very good in its characteristics. I’m still getting acquainted with the menu program, but in principle every"&amp;"thing there is very accessible and understandable.   This model was chosen for the kitchen, our kitchen is 19 meters and this size is just right, but if your kitchen is less than 15 meters, then the size for this footage will be too big. So far everything"&amp;" is fine.    P.S.: during my practice, I purchased Samsung for the second time, before that I had a video two-piece, which I bought in 1997, and so, it served well in our kitchen until 2008, the problem that came out last year was the speaker acting up ov"&amp;"er time and the on and off button stopped working.    So I think you can draw your own conclusions regarding this brand. Good luck and happy shopping!!! Julia, Samara.  November 12, 2009")</f>
        <v>Yesterday we purchased this TV model!   We've been walking and licking our lips for a long time, looking at it - it's very beautiful in design and very good in its characteristics. I’m still getting acquainted with the menu program, but in principle everything there is very accessible and understandable.   This model was chosen for the kitchen, our kitchen is 19 meters and this size is just right, but if your kitchen is less than 15 meters, then the size for this footage will be too big. So far everything is fine.    P.S.: during my practice, I purchased Samsung for the second time, before that I had a video two-piece, which I bought in 1997, and so, it served well in our kitchen until 2008, the problem that came out last year was the speaker acting up over time and the on and off button stopped working.    So I think you can draw your own conclusions regarding this brand. Good luck and happy shopping!!! Julia, Samara.  November 12, 2009</v>
      </c>
    </row>
    <row r="11776" spans="1:9" x14ac:dyDescent="0.3">
      <c r="A11776" s="1" t="s">
        <v>61</v>
      </c>
      <c r="B11776" s="1" t="s">
        <v>318</v>
      </c>
      <c r="C11776" s="1" t="s">
        <v>101</v>
      </c>
      <c r="D11776" s="1" t="s">
        <v>16746</v>
      </c>
      <c r="E11776" s="1" t="s">
        <v>2561</v>
      </c>
      <c r="F11776" s="1" t="s">
        <v>16747</v>
      </c>
      <c r="G11776" s="1" t="s">
        <v>36</v>
      </c>
      <c r="H11776" s="1" t="s">
        <v>29</v>
      </c>
      <c r="I11776" s="1" t="str">
        <f ca="1">IFERROR(__xludf.DUMMYFUNCTION("GOOGLETRANSLATE(F11776, ""auto"", ""en"")
"),"We bought this thermopot in mid-2010, choosing it based on the principle: a hidden heating element and that the color matched! The first days smelled like plastic, but it passed. It turned out to be irreplaceable and very reliable! Now the pump is broken,"&amp;" I'm going to buy the same model again!")</f>
        <v>We bought this thermopot in mid-2010, choosing it based on the principle: a hidden heating element and that the color matched! The first days smelled like plastic, but it passed. It turned out to be irreplaceable and very reliable! Now the pump is broken, I'm going to buy the same model again!</v>
      </c>
    </row>
    <row r="11777" spans="1:9" x14ac:dyDescent="0.3">
      <c r="A11777" s="1" t="s">
        <v>211</v>
      </c>
      <c r="B11777" s="1" t="s">
        <v>212</v>
      </c>
      <c r="C11777" s="1" t="s">
        <v>213</v>
      </c>
      <c r="D11777" s="1" t="s">
        <v>2336</v>
      </c>
      <c r="E11777" s="1" t="s">
        <v>9813</v>
      </c>
      <c r="F11777" s="1" t="s">
        <v>16748</v>
      </c>
      <c r="G11777" s="1" t="s">
        <v>15</v>
      </c>
      <c r="H11777" s="1" t="s">
        <v>16</v>
      </c>
      <c r="I11777" s="1" t="str">
        <f ca="1">IFERROR(__xludf.DUMMYFUNCTION("GOOGLETRANSLATE(F11777, ""auto"", ""en"")
"),"About 10 years ago I bought this hair dryer for the first time. The attachments themselves are great (especially the brush), but the attachment is just a nightmare. The attachments constantly fall off when combing my hair. When the first hair dryer burned"&amp;" out a couple of years ago, I stupidly bought the same one (I thought they had suddenly improved the design) - the same thing.")</f>
        <v>About 10 years ago I bought this hair dryer for the first time. The attachments themselves are great (especially the brush), but the attachment is just a nightmare. The attachments constantly fall off when combing my hair. When the first hair dryer burned out a couple of years ago, I stupidly bought the same one (I thought they had suddenly improved the design) - the same thing.</v>
      </c>
    </row>
    <row r="11778" spans="1:9" x14ac:dyDescent="0.3">
      <c r="A11778" s="1" t="s">
        <v>37</v>
      </c>
      <c r="B11778" s="1" t="s">
        <v>536</v>
      </c>
      <c r="C11778" s="1" t="s">
        <v>163</v>
      </c>
      <c r="D11778" s="1" t="s">
        <v>7505</v>
      </c>
      <c r="E11778" s="1" t="s">
        <v>594</v>
      </c>
      <c r="F11778" s="1" t="s">
        <v>16749</v>
      </c>
      <c r="G11778" s="1" t="s">
        <v>28</v>
      </c>
      <c r="H11778" s="1" t="s">
        <v>29</v>
      </c>
      <c r="I11778" s="1" t="str">
        <f ca="1">IFERROR(__xludf.DUMMYFUNCTION("GOOGLETRANSLATE(F11778, ""auto"", ""en"")
"),"The phone is normal. One minus, I want the volume higher. Well, that will do.   phone number 4+ (with a big plus)")</f>
        <v>The phone is normal. One minus, I want the volume higher. Well, that will do.   phone number 4+ (with a big plus)</v>
      </c>
    </row>
    <row r="11779" spans="1:9" x14ac:dyDescent="0.3">
      <c r="A11779" s="1" t="s">
        <v>965</v>
      </c>
      <c r="B11779" s="1" t="s">
        <v>966</v>
      </c>
      <c r="C11779" s="1" t="s">
        <v>967</v>
      </c>
      <c r="D11779" s="1" t="s">
        <v>474</v>
      </c>
      <c r="E11779" s="1" t="s">
        <v>4803</v>
      </c>
      <c r="F11779" s="1" t="s">
        <v>16750</v>
      </c>
      <c r="G11779" s="1" t="s">
        <v>36</v>
      </c>
      <c r="H11779" s="1" t="s">
        <v>29</v>
      </c>
      <c r="I11779" s="1" t="str">
        <f ca="1">IFERROR(__xludf.DUMMYFUNCTION("GOOGLETRANSLATE(F11779, ""auto"", ""en"")
"),"Super speakers, my husband and I liked them, the sound is good, and they sound good)) in general, I recommend")</f>
        <v>Super speakers, my husband and I liked them, the sound is good, and they sound good)) in general, I recommend</v>
      </c>
    </row>
    <row r="11780" spans="1:9" x14ac:dyDescent="0.3">
      <c r="A11780" s="1" t="s">
        <v>17</v>
      </c>
      <c r="B11780" s="1" t="s">
        <v>18</v>
      </c>
      <c r="C11780" s="1" t="s">
        <v>243</v>
      </c>
      <c r="D11780" s="1" t="s">
        <v>308</v>
      </c>
      <c r="E11780" s="1" t="s">
        <v>5332</v>
      </c>
      <c r="F11780" s="1" t="s">
        <v>16751</v>
      </c>
      <c r="G11780" s="1" t="s">
        <v>36</v>
      </c>
      <c r="H11780" s="1" t="s">
        <v>29</v>
      </c>
      <c r="I11780" s="1" t="str">
        <f ca="1">IFERROR(__xludf.DUMMYFUNCTION("GOOGLETRANSLATE(F11780, ""auto"", ""en"")
"),"Good machine. We recommend it.")</f>
        <v>Good machine. We recommend it.</v>
      </c>
    </row>
    <row r="11781" spans="1:9" x14ac:dyDescent="0.3">
      <c r="A11781" s="1" t="s">
        <v>17</v>
      </c>
      <c r="B11781" s="1" t="s">
        <v>18</v>
      </c>
      <c r="C11781" s="1" t="s">
        <v>243</v>
      </c>
      <c r="D11781" s="1" t="s">
        <v>33</v>
      </c>
      <c r="E11781" s="1" t="s">
        <v>92</v>
      </c>
      <c r="F11781" s="1" t="s">
        <v>16752</v>
      </c>
      <c r="G11781" s="1" t="s">
        <v>28</v>
      </c>
      <c r="H11781" s="1" t="s">
        <v>29</v>
      </c>
      <c r="I11781" s="1" t="str">
        <f ca="1">IFERROR(__xludf.DUMMYFUNCTION("GOOGLETRANSLATE(F11781, ""auto"", ""en"")
"),"Dimensions, ease of use, washes normally.")</f>
        <v>Dimensions, ease of use, washes normally.</v>
      </c>
    </row>
    <row r="11782" spans="1:9" x14ac:dyDescent="0.3">
      <c r="A11782" s="1" t="s">
        <v>557</v>
      </c>
      <c r="B11782" s="1" t="s">
        <v>558</v>
      </c>
      <c r="C11782" s="1" t="s">
        <v>122</v>
      </c>
      <c r="D11782" s="1" t="s">
        <v>545</v>
      </c>
      <c r="E11782" s="1" t="s">
        <v>9611</v>
      </c>
      <c r="F11782" s="1" t="s">
        <v>16753</v>
      </c>
      <c r="G11782" s="1" t="s">
        <v>28</v>
      </c>
      <c r="H11782" s="1" t="s">
        <v>29</v>
      </c>
      <c r="I11782" s="1" t="str">
        <f ca="1">IFERROR(__xludf.DUMMYFUNCTION("GOOGLETRANSLATE(F11782, ""auto"", ""en"")
"),"Everything is fine, except: - the answering machine turns on very quickly, sometimes you don’t have time to go to the phone before the answering machine has already turned on - if you are talking on the speakerphone, then during the conversation you can’t"&amp;" turn it off.")</f>
        <v>Everything is fine, except: - the answering machine turns on very quickly, sometimes you don’t have time to go to the phone before the answering machine has already turned on - if you are talking on the speakerphone, then during the conversation you can’t turn it off.</v>
      </c>
    </row>
    <row r="11783" spans="1:9" x14ac:dyDescent="0.3">
      <c r="A11783" s="1" t="s">
        <v>89</v>
      </c>
      <c r="B11783" s="1" t="s">
        <v>231</v>
      </c>
      <c r="C11783" s="1" t="s">
        <v>185</v>
      </c>
      <c r="D11783" s="1" t="s">
        <v>12</v>
      </c>
      <c r="E11783" s="1" t="s">
        <v>2338</v>
      </c>
      <c r="F11783" s="1" t="s">
        <v>16754</v>
      </c>
      <c r="G11783" s="1" t="s">
        <v>36</v>
      </c>
      <c r="H11783" s="1" t="s">
        <v>29</v>
      </c>
      <c r="I11783" s="1" t="str">
        <f ca="1">IFERROR(__xludf.DUMMYFUNCTION("GOOGLETRANSLATE(F11783, ""auto"", ""en"")
"),"We bought this model a year ago in a cafe. The machine is easy to use with standard functions. If you choose a car from economy options, this car is super. Makes coffee quickly, easy to clean, everything is convenient and clear. We don’t know any problems"&amp;" with it, although it brews coffee all the time. We descale it once every 4 months, fill it with water and add coffee - that’s all the maintenance. Inexpensive price, but good quality (assembled in Italy). I recommend it to everyone)))")</f>
        <v>We bought this model a year ago in a cafe. The machine is easy to use with standard functions. If you choose a car from economy options, this car is super. Makes coffee quickly, easy to clean, everything is convenient and clear. We don’t know any problems with it, although it brews coffee all the time. We descale it once every 4 months, fill it with water and add coffee - that’s all the maintenance. Inexpensive price, but good quality (assembled in Italy). I recommend it to everyone)))</v>
      </c>
    </row>
    <row r="11784" spans="1:9" x14ac:dyDescent="0.3">
      <c r="A11784" s="1" t="s">
        <v>211</v>
      </c>
      <c r="B11784" s="1" t="s">
        <v>212</v>
      </c>
      <c r="C11784" s="1" t="s">
        <v>69</v>
      </c>
      <c r="D11784" s="1" t="s">
        <v>545</v>
      </c>
      <c r="E11784" s="1" t="s">
        <v>672</v>
      </c>
      <c r="F11784" s="1" t="s">
        <v>16755</v>
      </c>
      <c r="G11784" s="1" t="s">
        <v>28</v>
      </c>
      <c r="H11784" s="1" t="s">
        <v>29</v>
      </c>
      <c r="I11784" s="1" t="str">
        <f ca="1">IFERROR(__xludf.DUMMYFUNCTION("GOOGLETRANSLATE(F11784, ""auto"", ""en"")
"),"I liked the hairdryer. Dries hair very quickly and gently. Thanks to the ionization function, they do not “fluff” after installation. It is convenient to style your hair - there is a narrow nozzle and a cold air button. It’s not icy, of course, but it fix"&amp;"es the newly curled curl perfectly. Drying + styling takes minimal time.   Apparently there is only one drawback - a very “fragile” design. After 1.5 years of use, my hair dryer crackled, sparked, and all its blades fell out. Fortunately, it has a 2-year "&amp;"warranty. I took it to service. And today I was pleased that they would give me a decision on a replacement or a refund. I'll go back to the store soon. I just haven’t decided yet whether to take the same one or another.  A guarantee is a thing.")</f>
        <v>I liked the hairdryer. Dries hair very quickly and gently. Thanks to the ionization function, they do not “fluff” after installation. It is convenient to style your hair - there is a narrow nozzle and a cold air button. It’s not icy, of course, but it fixes the newly curled curl perfectly. Drying + styling takes minimal time.   Apparently there is only one drawback - a very “fragile” design. After 1.5 years of use, my hair dryer crackled, sparked, and all its blades fell out. Fortunately, it has a 2-year warranty. I took it to service. And today I was pleased that they would give me a decision on a replacement or a refund. I'll go back to the store soon. I just haven’t decided yet whether to take the same one or another.  A guarantee is a thing.</v>
      </c>
    </row>
    <row r="11785" spans="1:9" x14ac:dyDescent="0.3">
      <c r="A11785" s="1" t="s">
        <v>89</v>
      </c>
      <c r="B11785" s="1" t="s">
        <v>1106</v>
      </c>
      <c r="C11785" s="1" t="s">
        <v>63</v>
      </c>
      <c r="D11785" s="1" t="s">
        <v>247</v>
      </c>
      <c r="E11785" s="1" t="s">
        <v>1467</v>
      </c>
      <c r="F11785" s="1" t="s">
        <v>16756</v>
      </c>
      <c r="G11785" s="1" t="s">
        <v>36</v>
      </c>
      <c r="H11785" s="1" t="s">
        <v>29</v>
      </c>
      <c r="I11785" s="1" t="str">
        <f ca="1">IFERROR(__xludf.DUMMYFUNCTION("GOOGLETRANSLATE(F11785, ""auto"", ""en"")
"),"I gave this coffee maker to my husband on February 23rd. We drank coffee several times and really enjoyed it. The coffee maker is good, I like everything so far, there is a water level sensor, but it’s hard to see, although I think it’s not needed.       "&amp;"          A good coffee maker and not expensive.")</f>
        <v>I gave this coffee maker to my husband on February 23rd. We drank coffee several times and really enjoyed it. The coffee maker is good, I like everything so far, there is a water level sensor, but it’s hard to see, although I think it’s not needed.                 A good coffee maker and not expensive.</v>
      </c>
    </row>
    <row r="11786" spans="1:9" x14ac:dyDescent="0.3">
      <c r="A11786" s="1" t="s">
        <v>61</v>
      </c>
      <c r="B11786" s="1" t="s">
        <v>73</v>
      </c>
      <c r="C11786" s="1" t="s">
        <v>101</v>
      </c>
      <c r="D11786" s="1" t="s">
        <v>633</v>
      </c>
      <c r="E11786" s="1" t="s">
        <v>6891</v>
      </c>
      <c r="F11786" s="1" t="s">
        <v>16757</v>
      </c>
      <c r="G11786" s="1" t="s">
        <v>15</v>
      </c>
      <c r="H11786" s="1" t="s">
        <v>16</v>
      </c>
      <c r="I11786" s="1" t="str">
        <f ca="1">IFERROR(__xludf.DUMMYFUNCTION("GOOGLETRANSLATE(F11786, ""auto"", ""en"")
"),"I don’t know how it works for anyone, but for me it gets clogged all the time, it seems like I put in normal small pieces of meat, everything gets jammed every once in a while and everything gets stuck inside.")</f>
        <v>I don’t know how it works for anyone, but for me it gets clogged all the time, it seems like I put in normal small pieces of meat, everything gets jammed every once in a while and everything gets stuck inside.</v>
      </c>
    </row>
    <row r="11787" spans="1:9" x14ac:dyDescent="0.3">
      <c r="A11787" s="1" t="s">
        <v>238</v>
      </c>
      <c r="B11787" s="1" t="s">
        <v>276</v>
      </c>
      <c r="C11787" s="1" t="s">
        <v>1677</v>
      </c>
      <c r="D11787" s="1" t="s">
        <v>916</v>
      </c>
      <c r="E11787" s="1" t="s">
        <v>16758</v>
      </c>
      <c r="F11787" s="1" t="s">
        <v>16759</v>
      </c>
      <c r="G11787" s="1" t="s">
        <v>36</v>
      </c>
      <c r="H11787" s="1" t="s">
        <v>29</v>
      </c>
      <c r="I11787" s="1" t="str">
        <f ca="1">IFERROR(__xludf.DUMMYFUNCTION("GOOGLETRANSLATE(F11787, ""auto"", ""en"")
"),"I read the reviews here. It was a shame for this refrigerator. We bought the same one from MVideo 4 years ago. There were and are no problems with him. Works great, almost no noise, very quiet. I really liked the ionizer. Spacious, beautiful, reliable, hi"&amp;"gh-quality material. I definitely recommend it.")</f>
        <v>I read the reviews here. It was a shame for this refrigerator. We bought the same one from MVideo 4 years ago. There were and are no problems with him. Works great, almost no noise, very quiet. I really liked the ionizer. Spacious, beautiful, reliable, high-quality material. I definitely recommend it.</v>
      </c>
    </row>
    <row r="11788" spans="1:9" x14ac:dyDescent="0.3">
      <c r="A11788" s="1" t="s">
        <v>105</v>
      </c>
      <c r="B11788" s="1" t="s">
        <v>106</v>
      </c>
      <c r="C11788" s="1" t="s">
        <v>151</v>
      </c>
      <c r="D11788" s="1" t="s">
        <v>52</v>
      </c>
      <c r="E11788" s="1" t="s">
        <v>4187</v>
      </c>
      <c r="F11788" s="1" t="s">
        <v>16760</v>
      </c>
      <c r="G11788" s="1" t="s">
        <v>15</v>
      </c>
      <c r="H11788" s="1" t="s">
        <v>16</v>
      </c>
      <c r="I11788" s="1" t="str">
        <f ca="1">IFERROR(__xludf.DUMMYFUNCTION("GOOGLETRANSLATE(F11788, ""auto"", ""en"")
"),"Unlike AndrE, the battery does not hold. I bought it yesterday and put it on charge, fully charged it. I just left it on without playing any music. In the morning it was already turned off due to discharge. Explain who knows what 30 hours of playback is a"&amp;"nd is the player simply turned on considered to be playing? maybe the battery is frozen?")</f>
        <v>Unlike AndrE, the battery does not hold. I bought it yesterday and put it on charge, fully charged it. I just left it on without playing any music. In the morning it was already turned off due to discharge. Explain who knows what 30 hours of playback is and is the player simply turned on considered to be playing? maybe the battery is frozen?</v>
      </c>
    </row>
    <row r="11789" spans="1:9" x14ac:dyDescent="0.3">
      <c r="A11789" s="1" t="s">
        <v>624</v>
      </c>
      <c r="B11789" s="1" t="s">
        <v>2107</v>
      </c>
      <c r="C11789" s="1" t="s">
        <v>479</v>
      </c>
      <c r="D11789" s="1" t="s">
        <v>16761</v>
      </c>
      <c r="E11789" s="1" t="s">
        <v>2829</v>
      </c>
      <c r="F11789" s="1" t="s">
        <v>16762</v>
      </c>
      <c r="G11789" s="1" t="s">
        <v>36</v>
      </c>
      <c r="H11789" s="1" t="s">
        <v>29</v>
      </c>
      <c r="I11789" s="1" t="str">
        <f ca="1">IFERROR(__xludf.DUMMYFUNCTION("GOOGLETRANSLATE(F11789, ""auto"", ""en"")
"),"this is a super game I recommend it to everyone")</f>
        <v>this is a super game I recommend it to everyone</v>
      </c>
    </row>
    <row r="11790" spans="1:9" x14ac:dyDescent="0.3">
      <c r="A11790" s="1" t="s">
        <v>30</v>
      </c>
      <c r="B11790" s="1" t="s">
        <v>50</v>
      </c>
      <c r="C11790" s="1" t="s">
        <v>32</v>
      </c>
      <c r="D11790" s="1" t="s">
        <v>305</v>
      </c>
      <c r="E11790" s="1" t="s">
        <v>7124</v>
      </c>
      <c r="F11790" s="1" t="s">
        <v>16763</v>
      </c>
      <c r="G11790" s="1" t="s">
        <v>36</v>
      </c>
      <c r="H11790" s="1" t="s">
        <v>29</v>
      </c>
      <c r="I11790" s="1" t="str">
        <f ca="1">IFERROR(__xludf.DUMMYFUNCTION("GOOGLETRANSLATE(F11790, ""auto"", ""en"")
"),"I acquired this animal quite recently and now I hasten to share my impressions.  I was very pleased with the performance in modern games, from what I have tested so far: SIMS-3, NFS-Shift, DIRT-2, FlatOut2-Ultimate, Tom Clancys END WAR (Unreal Engine3), R"&amp;"esident Evil5, I agree the list is still short, but they all run on high or maximum graphics settings on this beech at 1366 by 768!!! I'm shocked))). Agree , not every desktop PC is capable of this. What’s the joke? Can the combination of a powerful Intel"&amp;" Core I3 and a modern, albeit budget, GeForce 310M video card work such wonders?  PS: Everything was tested on Win7 Ultimat 32bit with firewood under 187.82 from the Acer offsite.  IMHO: The best performance-price-size ratio.")</f>
        <v>I acquired this animal quite recently and now I hasten to share my impressions.  I was very pleased with the performance in modern games, from what I have tested so far: SIMS-3, NFS-Shift, DIRT-2, FlatOut2-Ultimate, Tom Clancys END WAR (Unreal Engine3), Resident Evil5, I agree the list is still short, but they all run on high or maximum graphics settings on this beech at 1366 by 768!!! I'm shocked))). Agree , not every desktop PC is capable of this. What’s the joke? Can the combination of a powerful Intel Core I3 and a modern, albeit budget, GeForce 310M video card work such wonders?  PS: Everything was tested on Win7 Ultimat 32bit with firewood under 187.82 from the Acer offsite.  IMHO: The best performance-price-size ratio.</v>
      </c>
    </row>
    <row r="11791" spans="1:9" x14ac:dyDescent="0.3">
      <c r="A11791" s="1" t="s">
        <v>149</v>
      </c>
      <c r="B11791" s="1" t="s">
        <v>423</v>
      </c>
      <c r="C11791" s="1" t="s">
        <v>424</v>
      </c>
      <c r="D11791" s="1" t="s">
        <v>16764</v>
      </c>
      <c r="E11791" s="1" t="s">
        <v>2557</v>
      </c>
      <c r="F11791" s="1" t="s">
        <v>16765</v>
      </c>
      <c r="G11791" s="1" t="s">
        <v>15</v>
      </c>
      <c r="H11791" s="1" t="s">
        <v>16</v>
      </c>
      <c r="I11791" s="1" t="str">
        <f ca="1">IFERROR(__xludf.DUMMYFUNCTION("GOOGLETRANSLATE(F11791, ""auto"", ""en"")
"),"The fact that there are negative reviews is true. The vacuum cleaner takes up a lot of space, at first I thought about where to put it, now it’s in the closet and takes up half the closet, horror. It washes so-so, I couldn’t wash my sofa with it from the "&amp;"stains that children constantly leave. After cleaning, everything takes a very long time to dry, because water pours out of the vacuum cleaner. In general, I’m not happy with the purchase, but if you have space at home and time for drying, then this model"&amp;" is for you.")</f>
        <v>The fact that there are negative reviews is true. The vacuum cleaner takes up a lot of space, at first I thought about where to put it, now it’s in the closet and takes up half the closet, horror. It washes so-so, I couldn’t wash my sofa with it from the stains that children constantly leave. After cleaning, everything takes a very long time to dry, because water pours out of the vacuum cleaner. In general, I’m not happy with the purchase, but if you have space at home and time for drying, then this model is for you.</v>
      </c>
    </row>
    <row r="11792" spans="1:9" x14ac:dyDescent="0.3">
      <c r="A11792" s="1" t="s">
        <v>120</v>
      </c>
      <c r="B11792" s="1" t="s">
        <v>196</v>
      </c>
      <c r="C11792" s="1" t="s">
        <v>80</v>
      </c>
      <c r="D11792" s="1" t="s">
        <v>1008</v>
      </c>
      <c r="E11792" s="1" t="s">
        <v>2341</v>
      </c>
      <c r="F11792" s="1" t="s">
        <v>16766</v>
      </c>
      <c r="G11792" s="1" t="s">
        <v>36</v>
      </c>
      <c r="H11792" s="1" t="s">
        <v>29</v>
      </c>
      <c r="I11792" s="1" t="str">
        <f ca="1">IFERROR(__xludf.DUMMYFUNCTION("GOOGLETRANSLATE(F11792, ""auto"", ""en"")
"),"I bought this TV yesterday. According to first estimates, this is a good TV for the price/quality. The hidden features are especially pleasing (unlocking the USB port for watching movies from a flash drive :-) )")</f>
        <v>I bought this TV yesterday. According to first estimates, this is a good TV for the price/quality. The hidden features are especially pleasing (unlocking the USB port for watching movies from a flash drive :-) )</v>
      </c>
    </row>
    <row r="11793" spans="1:9" x14ac:dyDescent="0.3">
      <c r="A11793" s="1" t="s">
        <v>211</v>
      </c>
      <c r="B11793" s="1" t="s">
        <v>212</v>
      </c>
      <c r="C11793" s="1" t="s">
        <v>63</v>
      </c>
      <c r="D11793" s="1" t="s">
        <v>621</v>
      </c>
      <c r="E11793" s="1" t="s">
        <v>6366</v>
      </c>
      <c r="F11793" s="1" t="s">
        <v>16767</v>
      </c>
      <c r="G11793" s="1" t="s">
        <v>15</v>
      </c>
      <c r="H11793" s="1" t="s">
        <v>16</v>
      </c>
      <c r="I11793" s="1" t="str">
        <f ca="1">IFERROR(__xludf.DUMMYFUNCTION("GOOGLETRANSLATE(F11793, ""auto"", ""en"")
"),"Less than a year later, the hair dryer began to overheat and burned out(((&amp;nbsp;")</f>
        <v>Less than a year later, the hair dryer began to overheat and burned out(((&amp;nbsp;</v>
      </c>
    </row>
    <row r="11794" spans="1:9" x14ac:dyDescent="0.3">
      <c r="A11794" s="1" t="s">
        <v>206</v>
      </c>
      <c r="B11794" s="1" t="s">
        <v>1349</v>
      </c>
      <c r="C11794" s="1" t="s">
        <v>262</v>
      </c>
      <c r="D11794" s="1" t="s">
        <v>568</v>
      </c>
      <c r="E11794" s="1" t="s">
        <v>3867</v>
      </c>
      <c r="F11794" s="1" t="s">
        <v>16768</v>
      </c>
      <c r="G11794" s="1" t="s">
        <v>28</v>
      </c>
      <c r="H11794" s="1" t="s">
        <v>29</v>
      </c>
      <c r="I11794" s="1" t="str">
        <f ca="1">IFERROR(__xludf.DUMMYFUNCTION("GOOGLETRANSLATE(F11794, ""auto"", ""en"")
"),"You know, I bought a Car Radio with DVD + monitor Prology DVS-1350 Everything is fine, everything is good, sound, image, but I don’t understand why the tuner is so bad, not a single radio station works clearly. Before this I had a JVC, albeit a simple one"&amp;" without a DVD without a flash card, I picked up radio stations perfectly, but I don’t understand what the reason is, if anyone knows, please answer.  my email: Kuvaeff_roman@mail.ru")</f>
        <v>You know, I bought a Car Radio with DVD + monitor Prology DVS-1350 Everything is fine, everything is good, sound, image, but I don’t understand why the tuner is so bad, not a single radio station works clearly. Before this I had a JVC, albeit a simple one without a DVD without a flash card, I picked up radio stations perfectly, but I don’t understand what the reason is, if anyone knows, please answer.  my email: Kuvaeff_roman@mail.ru</v>
      </c>
    </row>
    <row r="11795" spans="1:9" x14ac:dyDescent="0.3">
      <c r="A11795" s="1" t="s">
        <v>120</v>
      </c>
      <c r="B11795" s="1" t="s">
        <v>121</v>
      </c>
      <c r="C11795" s="1" t="s">
        <v>97</v>
      </c>
      <c r="D11795" s="1" t="s">
        <v>16769</v>
      </c>
      <c r="E11795" s="1" t="s">
        <v>1273</v>
      </c>
      <c r="F11795" s="1" t="s">
        <v>16770</v>
      </c>
      <c r="G11795" s="1" t="s">
        <v>28</v>
      </c>
      <c r="H11795" s="1" t="s">
        <v>29</v>
      </c>
      <c r="I11795" s="1" t="str">
        <f ca="1">IFERROR(__xludf.DUMMYFUNCTION("GOOGLETRANSLATE(F11795, ""auto"", ""en"")
"),"The TV was completely fine for my money, everything I connected to the TV showed perfectly (at least for me), but it’s a strange thing, maybe I did something wrong, I don’t know, maybe someone can help - I connect the xbox360 via hdmi, and the video is no"&amp;"t output, there is sound.")</f>
        <v>The TV was completely fine for my money, everything I connected to the TV showed perfectly (at least for me), but it’s a strange thing, maybe I did something wrong, I don’t know, maybe someone can help - I connect the xbox360 via hdmi, and the video is not output, there is sound.</v>
      </c>
    </row>
    <row r="11796" spans="1:9" x14ac:dyDescent="0.3">
      <c r="A11796" s="1" t="s">
        <v>149</v>
      </c>
      <c r="B11796" s="1" t="s">
        <v>423</v>
      </c>
      <c r="C11796" s="1" t="s">
        <v>548</v>
      </c>
      <c r="D11796" s="1" t="s">
        <v>3346</v>
      </c>
      <c r="E11796" s="1" t="s">
        <v>14655</v>
      </c>
      <c r="F11796" s="1" t="s">
        <v>16771</v>
      </c>
      <c r="G11796" s="1" t="s">
        <v>36</v>
      </c>
      <c r="H11796" s="1" t="s">
        <v>29</v>
      </c>
      <c r="I11796" s="1" t="str">
        <f ca="1">IFERROR(__xludf.DUMMYFUNCTION("GOOGLETRANSLATE(F11796, ""auto"", ""en"")
"),"Absorbs and cleans super. It copes with its function on a 5-point scale at 6)). I have a large area to clean and here it comes in very handy, I highly recommend it to those who have a large area. When cleaning standard carpet, the water in the reservoir b"&amp;"ecomes like a swamp. I have never seen such quality of cleaning before. If you pour water into the tank for dry cleaning at the level of the back wall, then it works 200%, at first I poured water at the side level and it didn’t suck either, I made a mista"&amp;"ke, you need to read the instructions more carefully. If we take a large house without hesitation, otherwise it makes sense to look for a smaller vacuum cleaner. A bunch of attachments and a turbo brush with 3 cans of chemicals are a serious plus. I recom"&amp;"mend it. Thanks to the consultant from M-Video!!!")</f>
        <v>Absorbs and cleans super. It copes with its function on a 5-point scale at 6)). I have a large area to clean and here it comes in very handy, I highly recommend it to those who have a large area. When cleaning standard carpet, the water in the reservoir becomes like a swamp. I have never seen such quality of cleaning before. If you pour water into the tank for dry cleaning at the level of the back wall, then it works 200%, at first I poured water at the side level and it didn’t suck either, I made a mistake, you need to read the instructions more carefully. If we take a large house without hesitation, otherwise it makes sense to look for a smaller vacuum cleaner. A bunch of attachments and a turbo brush with 3 cans of chemicals are a serious plus. I recommend it. Thanks to the consultant from M-Video!!!</v>
      </c>
    </row>
    <row r="11797" spans="1:9" x14ac:dyDescent="0.3">
      <c r="A11797" s="1" t="s">
        <v>361</v>
      </c>
      <c r="B11797" s="1" t="s">
        <v>2555</v>
      </c>
      <c r="C11797" s="1" t="s">
        <v>4871</v>
      </c>
      <c r="D11797" s="1" t="s">
        <v>280</v>
      </c>
      <c r="E11797" s="1" t="s">
        <v>3444</v>
      </c>
      <c r="F11797" s="1" t="s">
        <v>16772</v>
      </c>
      <c r="G11797" s="1" t="s">
        <v>36</v>
      </c>
      <c r="H11797" s="1" t="s">
        <v>29</v>
      </c>
      <c r="I11797" s="1" t="str">
        <f ca="1">IFERROR(__xludf.DUMMYFUNCTION("GOOGLETRANSLATE(F11797, ""auto"", ""en"")
"),"I chose for a long time. I bought it and didn’t regret it. Their declared characteristics are fully met. And then I decided to try making yoghurts in it instead of yoghurt makers and I was not mistaken. In 7 hours the temperature did not drop a degree. Th"&amp;"erefore, no electricity is required and the results are excellent.")</f>
        <v>I chose for a long time. I bought it and didn’t regret it. Their declared characteristics are fully met. And then I decided to try making yoghurts in it instead of yoghurt makers and I was not mistaken. In 7 hours the temperature did not drop a degree. Therefore, no electricity is required and the results are excellent.</v>
      </c>
    </row>
    <row r="11798" spans="1:9" x14ac:dyDescent="0.3">
      <c r="A11798" s="1" t="s">
        <v>43</v>
      </c>
      <c r="B11798" s="1" t="s">
        <v>303</v>
      </c>
      <c r="C11798" s="1" t="s">
        <v>220</v>
      </c>
      <c r="D11798" s="1" t="s">
        <v>943</v>
      </c>
      <c r="E11798" s="1" t="s">
        <v>4295</v>
      </c>
      <c r="F11798" s="1" t="s">
        <v>16773</v>
      </c>
      <c r="G11798" s="1" t="s">
        <v>36</v>
      </c>
      <c r="H11798" s="1" t="s">
        <v>29</v>
      </c>
      <c r="I11798" s="1" t="str">
        <f ca="1">IFERROR(__xludf.DUMMYFUNCTION("GOOGLETRANSLATE(F11798, ""auto"", ""en"")
"),"No.")</f>
        <v>No.</v>
      </c>
    </row>
    <row r="11799" spans="1:9" x14ac:dyDescent="0.3">
      <c r="A11799" s="1" t="s">
        <v>211</v>
      </c>
      <c r="B11799" s="1" t="s">
        <v>515</v>
      </c>
      <c r="C11799" s="1" t="s">
        <v>69</v>
      </c>
      <c r="D11799" s="1" t="s">
        <v>943</v>
      </c>
      <c r="E11799" s="1" t="s">
        <v>386</v>
      </c>
      <c r="F11799" s="1" t="s">
        <v>16774</v>
      </c>
      <c r="G11799" s="1" t="s">
        <v>36</v>
      </c>
      <c r="H11799" s="1" t="s">
        <v>29</v>
      </c>
      <c r="I11799" s="1" t="str">
        <f ca="1">IFERROR(__xludf.DUMMYFUNCTION("GOOGLETRANSLATE(F11799, ""auto"", ""en"")
"),"I bought this model today. I really liked it! Great, everything is great!  The pain is very minor, the quality and convenience are excellent")</f>
        <v>I bought this model today. I really liked it! Great, everything is great!  The pain is very minor, the quality and convenience are excellent</v>
      </c>
    </row>
    <row r="11800" spans="1:9" x14ac:dyDescent="0.3">
      <c r="A11800" s="1" t="s">
        <v>43</v>
      </c>
      <c r="B11800" s="1" t="s">
        <v>334</v>
      </c>
      <c r="C11800" s="1" t="s">
        <v>101</v>
      </c>
      <c r="D11800" s="1" t="s">
        <v>1416</v>
      </c>
      <c r="E11800" s="1" t="s">
        <v>661</v>
      </c>
      <c r="F11800" s="1" t="s">
        <v>16775</v>
      </c>
      <c r="G11800" s="1" t="s">
        <v>36</v>
      </c>
      <c r="H11800" s="1" t="s">
        <v>29</v>
      </c>
      <c r="I11800" s="1" t="str">
        <f ca="1">IFERROR(__xludf.DUMMYFUNCTION("GOOGLETRANSLATE(F11800, ""auto"", ""en"")
"),"excellent fan, low noise, comfortable, very reliable clothespin, I am very pleased, I recommend it to everyone.")</f>
        <v>excellent fan, low noise, comfortable, very reliable clothespin, I am very pleased, I recommend it to everyone.</v>
      </c>
    </row>
    <row r="11801" spans="1:9" x14ac:dyDescent="0.3">
      <c r="A11801" s="1" t="s">
        <v>373</v>
      </c>
      <c r="B11801" s="1" t="s">
        <v>374</v>
      </c>
      <c r="C11801" s="1" t="s">
        <v>138</v>
      </c>
      <c r="D11801" s="1" t="s">
        <v>308</v>
      </c>
      <c r="E11801" s="1" t="s">
        <v>822</v>
      </c>
      <c r="F11801" s="1" t="s">
        <v>16776</v>
      </c>
      <c r="G11801" s="1" t="s">
        <v>36</v>
      </c>
      <c r="H11801" s="1" t="s">
        <v>29</v>
      </c>
      <c r="I11801" s="1" t="str">
        <f ca="1">IFERROR(__xludf.DUMMYFUNCTION("GOOGLETRANSLATE(F11801, ""auto"", ""en"")
"),"The car is simply SUPERB!!! “MY ASSISTANT” is what I call her. Now I divide my life “before” and “after” buying a dishwasher!!!")</f>
        <v>The car is simply SUPERB!!! “MY ASSISTANT” is what I call her. Now I divide my life “before” and “after” buying a dishwasher!!!</v>
      </c>
    </row>
    <row r="11802" spans="1:9" x14ac:dyDescent="0.3">
      <c r="A11802" s="1" t="s">
        <v>55</v>
      </c>
      <c r="B11802" s="1" t="s">
        <v>56</v>
      </c>
      <c r="C11802" s="1" t="s">
        <v>1373</v>
      </c>
      <c r="D11802" s="1" t="s">
        <v>247</v>
      </c>
      <c r="E11802" s="1" t="s">
        <v>1718</v>
      </c>
      <c r="F11802" s="1" t="s">
        <v>16777</v>
      </c>
      <c r="G11802" s="1" t="s">
        <v>36</v>
      </c>
      <c r="H11802" s="1" t="s">
        <v>29</v>
      </c>
      <c r="I11802" s="1" t="str">
        <f ca="1">IFERROR(__xludf.DUMMYFUNCTION("GOOGLETRANSLATE(F11802, ""auto"", ""en"")
"),"We have been using the humidifier for 2 weeks. Boneco specializes specifically in climate control equipment, so I decided that I would use this company. The humidifier looks very stylish, made with high quality, soundly. Not noisy! At night we don’t notic"&amp;"e it at all. I fill the water from an osmotic filter, there is no white residue. In a room of 22 m. the humidity rises to 40% (from 20% available), it works around the clock. The skin on our hands stopped drying out, my husband had a sore throat because o"&amp;"f the dryness, I forgot about it now. It became much more comfortable to be in the room. The device met our expectations. The only thing is that I would like to raise the humidity to 50%, but this cannot be done with frequent ventilation. So I recommend a"&amp;" humidifier to everyone. Good.")</f>
        <v>We have been using the humidifier for 2 weeks. Boneco specializes specifically in climate control equipment, so I decided that I would use this company. The humidifier looks very stylish, made with high quality, soundly. Not noisy! At night we don’t notice it at all. I fill the water from an osmotic filter, there is no white residue. In a room of 22 m. the humidity rises to 40% (from 20% available), it works around the clock. The skin on our hands stopped drying out, my husband had a sore throat because of the dryness, I forgot about it now. It became much more comfortable to be in the room. The device met our expectations. The only thing is that I would like to raise the humidity to 50%, but this cannot be done with frequent ventilation. So I recommend a humidifier to everyone. Good.</v>
      </c>
    </row>
    <row r="11803" spans="1:9" x14ac:dyDescent="0.3">
      <c r="A11803" s="1" t="s">
        <v>17</v>
      </c>
      <c r="B11803" s="1" t="s">
        <v>18</v>
      </c>
      <c r="C11803" s="1" t="s">
        <v>885</v>
      </c>
      <c r="D11803" s="1" t="s">
        <v>1055</v>
      </c>
      <c r="E11803" s="1" t="s">
        <v>4668</v>
      </c>
      <c r="F11803" s="1" t="s">
        <v>16778</v>
      </c>
      <c r="G11803" s="1" t="s">
        <v>36</v>
      </c>
      <c r="H11803" s="1" t="s">
        <v>29</v>
      </c>
      <c r="I11803" s="1" t="str">
        <f ca="1">IFERROR(__xludf.DUMMYFUNCTION("GOOGLETRANSLATE(F11803, ""auto"", ""en"")
"),"We are very pleased with the machine!  The first time we bought it for the dacha, now we bought the same model for home.  I don’t know who and what is not happy with her. You just need to read the instruction manual carefully.  It is very convenient to wo"&amp;"rk with and is not noisy, which is very important.  I recommend it to everyone.")</f>
        <v>We are very pleased with the machine!  The first time we bought it for the dacha, now we bought the same model for home.  I don’t know who and what is not happy with her. You just need to read the instruction manual carefully.  It is very convenient to work with and is not noisy, which is very important.  I recommend it to everyone.</v>
      </c>
    </row>
    <row r="11804" spans="1:9" x14ac:dyDescent="0.3">
      <c r="A11804" s="1" t="s">
        <v>149</v>
      </c>
      <c r="B11804" s="1" t="s">
        <v>155</v>
      </c>
      <c r="C11804" s="1" t="s">
        <v>151</v>
      </c>
      <c r="D11804" s="1" t="s">
        <v>521</v>
      </c>
      <c r="E11804" s="1" t="s">
        <v>386</v>
      </c>
      <c r="F11804" s="1" t="s">
        <v>16779</v>
      </c>
      <c r="G11804" s="1" t="s">
        <v>49</v>
      </c>
      <c r="H11804" s="1" t="s">
        <v>16</v>
      </c>
      <c r="I11804" s="1" t="str">
        <f ca="1">IFERROR(__xludf.DUMMYFUNCTION("GOOGLETRANSLATE(F11804, ""auto"", ""en"")
"),"At first I couldn’t get enough of it, but the joy didn’t last long. As soon as all warranties expired (the law of meanness), the vacuum cleaner stopped working normally. There is no power at all, it just irons the rugs. It sucks everything into the filter"&amp;" at once, leaving the container empty. It’s a pain to wash every time, and even before you clean the whole apartment you have to pull the dust out of the filter six times, otherwise it won’t work at all. They sent it in for repairs, but they couldn’t find"&amp;" the reason, it was perfectly clean inside, but the indicator light didn’t light up either. They advised to replace the filter, so they did. The picture is the same, only money was thrown away. In short, two years is too short a time for a vacuum cleaner."&amp;" And it's not cheap. Disposable, don't buy it.")</f>
        <v>At first I couldn’t get enough of it, but the joy didn’t last long. As soon as all warranties expired (the law of meanness), the vacuum cleaner stopped working normally. There is no power at all, it just irons the rugs. It sucks everything into the filter at once, leaving the container empty. It’s a pain to wash every time, and even before you clean the whole apartment you have to pull the dust out of the filter six times, otherwise it won’t work at all. They sent it in for repairs, but they couldn’t find the reason, it was perfectly clean inside, but the indicator light didn’t light up either. They advised to replace the filter, so they did. The picture is the same, only money was thrown away. In short, two years is too short a time for a vacuum cleaner. And it's not cheap. Disposable, don't buy it.</v>
      </c>
    </row>
    <row r="11805" spans="1:9" x14ac:dyDescent="0.3">
      <c r="A11805" s="1" t="s">
        <v>67</v>
      </c>
      <c r="B11805" s="1" t="s">
        <v>340</v>
      </c>
      <c r="C11805" s="1" t="s">
        <v>341</v>
      </c>
      <c r="D11805" s="1" t="s">
        <v>16780</v>
      </c>
      <c r="E11805" s="1" t="s">
        <v>16781</v>
      </c>
      <c r="F11805" s="1" t="s">
        <v>16782</v>
      </c>
      <c r="G11805" s="1" t="s">
        <v>36</v>
      </c>
      <c r="H11805" s="1" t="s">
        <v>29</v>
      </c>
      <c r="I11805" s="1" t="str">
        <f ca="1">IFERROR(__xludf.DUMMYFUNCTION("GOOGLETRANSLATE(F11805, ""auto"", ""en"")
"),"This miracle was purchased for 2800 rubles, yes, M.Video has such promotions. The seamstress sews with a bang, you just have time to wind the thread. The first month we bought it, the car worked from morning to night (we sewed diapers for the baby) and at"&amp;" the same time we were convinced of the quality. The whole family is happy with the product!!! Unfortunately, but not for me, the overlocker is not present.")</f>
        <v>This miracle was purchased for 2800 rubles, yes, M.Video has such promotions. The seamstress sews with a bang, you just have time to wind the thread. The first month we bought it, the car worked from morning to night (we sewed diapers for the baby) and at the same time we were convinced of the quality. The whole family is happy with the product!!! Unfortunately, but not for me, the overlocker is not present.</v>
      </c>
    </row>
    <row r="11806" spans="1:9" x14ac:dyDescent="0.3">
      <c r="A11806" s="1" t="s">
        <v>37</v>
      </c>
      <c r="B11806" s="1" t="s">
        <v>536</v>
      </c>
      <c r="C11806" s="1" t="s">
        <v>537</v>
      </c>
      <c r="D11806" s="1" t="s">
        <v>16783</v>
      </c>
      <c r="E11806" s="1" t="s">
        <v>800</v>
      </c>
      <c r="F11806" s="1" t="s">
        <v>16784</v>
      </c>
      <c r="G11806" s="1" t="s">
        <v>36</v>
      </c>
      <c r="H11806" s="1" t="s">
        <v>29</v>
      </c>
      <c r="I11806" s="1" t="str">
        <f ca="1">IFERROR(__xludf.DUMMYFUNCTION("GOOGLETRANSLATE(F11806, ""auto"", ""en"")
"),"The phone is very successful. I've been using it for 2 months. I like everything. There are some shortcomings, but they are not significant. Before this there were other PDAs so there is something to compare with")</f>
        <v>The phone is very successful. I've been using it for 2 months. I like everything. There are some shortcomings, but they are not significant. Before this there were other PDAs so there is something to compare with</v>
      </c>
    </row>
    <row r="11807" spans="1:9" x14ac:dyDescent="0.3">
      <c r="A11807" s="1" t="s">
        <v>732</v>
      </c>
      <c r="B11807" s="1" t="s">
        <v>733</v>
      </c>
      <c r="C11807" s="1" t="s">
        <v>80</v>
      </c>
      <c r="D11807" s="1" t="s">
        <v>152</v>
      </c>
      <c r="E11807" s="1" t="s">
        <v>1948</v>
      </c>
      <c r="F11807" s="1" t="s">
        <v>16785</v>
      </c>
      <c r="G11807" s="1" t="s">
        <v>36</v>
      </c>
      <c r="H11807" s="1" t="s">
        <v>29</v>
      </c>
      <c r="I11807" s="1" t="str">
        <f ca="1">IFERROR(__xludf.DUMMYFUNCTION("GOOGLETRANSLATE(F11807, ""auto"", ""en"")
"),"I bought it as an addition to a Sony 15 laptop* The lack of DVI does not affect anything, the picture quality has maximum contrast, the colors are saturated, the viewing angles are good.    I recommend just checking and selecting for dead pixels")</f>
        <v>I bought it as an addition to a Sony 15 laptop* The lack of DVI does not affect anything, the picture quality has maximum contrast, the colors are saturated, the viewing angles are good.    I recommend just checking and selecting for dead pixels</v>
      </c>
    </row>
    <row r="11808" spans="1:9" x14ac:dyDescent="0.3">
      <c r="A11808" s="1" t="s">
        <v>113</v>
      </c>
      <c r="B11808" s="1" t="s">
        <v>1251</v>
      </c>
      <c r="C11808" s="1" t="s">
        <v>2115</v>
      </c>
      <c r="D11808" s="1" t="s">
        <v>474</v>
      </c>
      <c r="E11808" s="1" t="s">
        <v>552</v>
      </c>
      <c r="F11808" s="1" t="s">
        <v>16786</v>
      </c>
      <c r="G11808" s="1" t="s">
        <v>49</v>
      </c>
      <c r="H11808" s="1" t="s">
        <v>16</v>
      </c>
      <c r="I11808" s="1" t="str">
        <f ca="1">IFERROR(__xludf.DUMMYFUNCTION("GOOGLETRANSLATE(F11808, ""auto"", ""en"")
"),"The camera is disgusting!!! The quality of the photos is terrible. I have never seen worse quality, the photos are blurry. The next day I handed it in.")</f>
        <v>The camera is disgusting!!! The quality of the photos is terrible. I have never seen worse quality, the photos are blurry. The next day I handed it in.</v>
      </c>
    </row>
    <row r="11809" spans="1:9" x14ac:dyDescent="0.3">
      <c r="A11809" s="1" t="s">
        <v>37</v>
      </c>
      <c r="B11809" s="1" t="s">
        <v>38</v>
      </c>
      <c r="C11809" s="1" t="s">
        <v>151</v>
      </c>
      <c r="D11809" s="1" t="s">
        <v>545</v>
      </c>
      <c r="E11809" s="1" t="s">
        <v>10496</v>
      </c>
      <c r="F11809" s="1" t="s">
        <v>16787</v>
      </c>
      <c r="G11809" s="1" t="s">
        <v>36</v>
      </c>
      <c r="H11809" s="1" t="s">
        <v>29</v>
      </c>
      <c r="I11809" s="1" t="str">
        <f ca="1">IFERROR(__xludf.DUMMYFUNCTION("GOOGLETRANSLATE(F11809, ""auto"", ""en"")
"),"I've been using the phone for 2 weeks. So far, only positive emotions - I haven’t used all the functions to their fullest, but so far I’ve tried everything, everything was fine: the menu is convenient, the photos and videos are quite acceptable, I took th"&amp;"e additional memory as if it were my own, no problems, I was interested in exchanging files with a computer via Bluetooth - again, no difficulties, I liked the options for setting the alarm clock :), I used the player only to play all the melodies in a ro"&amp;"w, but there is the ability to create playback groups in the menu. So far I have not found any specific disadvantages.")</f>
        <v>I've been using the phone for 2 weeks. So far, only positive emotions - I haven’t used all the functions to their fullest, but so far I’ve tried everything, everything was fine: the menu is convenient, the photos and videos are quite acceptable, I took the additional memory as if it were my own, no problems, I was interested in exchanging files with a computer via Bluetooth - again, no difficulties, I liked the options for setting the alarm clock :), I used the player only to play all the melodies in a row, but there is the ability to create playback groups in the menu. So far I have not found any specific disadvantages.</v>
      </c>
    </row>
    <row r="11810" spans="1:9" x14ac:dyDescent="0.3">
      <c r="A11810" s="1" t="s">
        <v>361</v>
      </c>
      <c r="B11810" s="1" t="s">
        <v>1077</v>
      </c>
      <c r="C11810" s="1" t="s">
        <v>2143</v>
      </c>
      <c r="D11810" s="1" t="s">
        <v>152</v>
      </c>
      <c r="E11810" s="1" t="s">
        <v>11075</v>
      </c>
      <c r="F11810" s="1" t="s">
        <v>16788</v>
      </c>
      <c r="G11810" s="1" t="s">
        <v>36</v>
      </c>
      <c r="H11810" s="1" t="s">
        <v>29</v>
      </c>
      <c r="I11810" s="1" t="str">
        <f ca="1">IFERROR(__xludf.DUMMYFUNCTION("GOOGLETRANSLATE(F11810, ""auto"", ""en"")
"),"I used it for 5 years, very high quality, nothing superfluous. Withstands huge temperature changes. Yesterday I dropped a glass flask on a metal object and broke it. I went to many stores, but found it in one (the last one). I recommend this model to ever"&amp;"yone.")</f>
        <v>I used it for 5 years, very high quality, nothing superfluous. Withstands huge temperature changes. Yesterday I dropped a glass flask on a metal object and broke it. I went to many stores, but found it in one (the last one). I recommend this model to everyone.</v>
      </c>
    </row>
    <row r="11811" spans="1:9" x14ac:dyDescent="0.3">
      <c r="A11811" s="1" t="s">
        <v>61</v>
      </c>
      <c r="B11811" s="1" t="s">
        <v>318</v>
      </c>
      <c r="C11811" s="1" t="s">
        <v>69</v>
      </c>
      <c r="D11811" s="1" t="s">
        <v>474</v>
      </c>
      <c r="E11811" s="1" t="s">
        <v>214</v>
      </c>
      <c r="F11811" s="1" t="s">
        <v>16789</v>
      </c>
      <c r="G11811" s="1" t="s">
        <v>36</v>
      </c>
      <c r="H11811" s="1" t="s">
        <v>29</v>
      </c>
      <c r="I11811" s="1" t="str">
        <f ca="1">IFERROR(__xludf.DUMMYFUNCTION("GOOGLETRANSLATE(F11811, ""auto"", ""en"")
"),"Our simplest Philips kettle has worked perfectly since 2001, and only a week ago a crack appeared in the transparent insert and it began to leak.  After 10 years of work, I even managed to get pretty tired of the kettle: well, how long can you work, I wan"&amp;"ted to buy something new :)")</f>
        <v>Our simplest Philips kettle has worked perfectly since 2001, and only a week ago a crack appeared in the transparent insert and it began to leak.  After 10 years of work, I even managed to get pretty tired of the kettle: well, how long can you work, I wanted to buy something new :)</v>
      </c>
    </row>
    <row r="11812" spans="1:9" x14ac:dyDescent="0.3">
      <c r="A11812" s="1" t="s">
        <v>17</v>
      </c>
      <c r="B11812" s="1" t="s">
        <v>18</v>
      </c>
      <c r="C11812" s="1" t="s">
        <v>885</v>
      </c>
      <c r="D11812" s="1" t="s">
        <v>385</v>
      </c>
      <c r="E11812" s="1" t="s">
        <v>1310</v>
      </c>
      <c r="F11812" s="1" t="s">
        <v>16790</v>
      </c>
      <c r="G11812" s="1" t="s">
        <v>36</v>
      </c>
      <c r="H11812" s="1" t="s">
        <v>29</v>
      </c>
      <c r="I11812" s="1" t="str">
        <f ca="1">IFERROR(__xludf.DUMMYFUNCTION("GOOGLETRANSLATE(F11812, ""auto"", ""en"")
"),"Nice machine. No problems after 1 year of use!")</f>
        <v>Nice machine. No problems after 1 year of use!</v>
      </c>
    </row>
    <row r="11813" spans="1:9" x14ac:dyDescent="0.3">
      <c r="A11813" s="1" t="s">
        <v>17</v>
      </c>
      <c r="B11813" s="1" t="s">
        <v>18</v>
      </c>
      <c r="C11813" s="1" t="s">
        <v>19</v>
      </c>
      <c r="D11813" s="1" t="s">
        <v>16791</v>
      </c>
      <c r="E11813" s="1" t="s">
        <v>2835</v>
      </c>
      <c r="F11813" s="1" t="s">
        <v>16792</v>
      </c>
      <c r="G11813" s="1" t="s">
        <v>36</v>
      </c>
      <c r="H11813" s="1" t="s">
        <v>29</v>
      </c>
      <c r="I11813" s="1" t="str">
        <f ca="1">IFERROR(__xludf.DUMMYFUNCTION("GOOGLETRANSLATE(F11813, ""auto"", ""en"")
"),"A wonderful machine. It washes perfectly and quietly, I like the delicate wash. If you didn’t manage to throw something in on time, the door opens. The dream of any housewife.")</f>
        <v>A wonderful machine. It washes perfectly and quietly, I like the delicate wash. If you didn’t manage to throw something in on time, the door opens. The dream of any housewife.</v>
      </c>
    </row>
    <row r="11814" spans="1:9" x14ac:dyDescent="0.3">
      <c r="A11814" s="1" t="s">
        <v>149</v>
      </c>
      <c r="B11814" s="1" t="s">
        <v>150</v>
      </c>
      <c r="C11814" s="1" t="s">
        <v>57</v>
      </c>
      <c r="D11814" s="1" t="s">
        <v>152</v>
      </c>
      <c r="E11814" s="1" t="s">
        <v>7324</v>
      </c>
      <c r="F11814" s="1" t="s">
        <v>16793</v>
      </c>
      <c r="G11814" s="1" t="s">
        <v>49</v>
      </c>
      <c r="H11814" s="1" t="s">
        <v>16</v>
      </c>
      <c r="I11814" s="1" t="str">
        <f ca="1">IFERROR(__xludf.DUMMYFUNCTION("GOOGLETRANSLATE(F11814, ""auto"", ""en"")
"),"The thing is completely useless, it barely removes dirt, although the equipment is good. But why these additional attachments if it has practically no power? I thought that there was something wrong with the vacuum cleaner, I came to the service center, t"&amp;"hey turned it on and said that everything was fine and that I should not expect anything from this vacuum cleaner, because... automobiles are all like that. I can say that this is not so, I personally saw a friend’s vacuum cleaner that cleans normally")</f>
        <v>The thing is completely useless, it barely removes dirt, although the equipment is good. But why these additional attachments if it has practically no power? I thought that there was something wrong with the vacuum cleaner, I came to the service center, they turned it on and said that everything was fine and that I should not expect anything from this vacuum cleaner, because... automobiles are all like that. I can say that this is not so, I personally saw a friend’s vacuum cleaner that cleans normally</v>
      </c>
    </row>
    <row r="11815" spans="1:9" x14ac:dyDescent="0.3">
      <c r="A11815" s="1" t="s">
        <v>811</v>
      </c>
      <c r="B11815" s="1" t="s">
        <v>812</v>
      </c>
      <c r="C11815" s="1" t="s">
        <v>813</v>
      </c>
      <c r="D11815" s="1" t="s">
        <v>1431</v>
      </c>
      <c r="E11815" s="1" t="s">
        <v>2244</v>
      </c>
      <c r="F11815" s="1" t="s">
        <v>16794</v>
      </c>
      <c r="G11815" s="1" t="s">
        <v>36</v>
      </c>
      <c r="H11815" s="1" t="s">
        <v>29</v>
      </c>
      <c r="I11815" s="1" t="str">
        <f ca="1">IFERROR(__xludf.DUMMYFUNCTION("GOOGLETRANSLATE(F11815, ""auto"", ""en"")
"),"I bought this tripod six months ago. The tripod is lightweight and generally quite durable. Just right for a beginner. Suitable for medium sized DSLRs. I was very pleased with the bag included, it does its job perfectly. If the price suits you, then you s"&amp;"hould take a tripod.")</f>
        <v>I bought this tripod six months ago. The tripod is lightweight and generally quite durable. Just right for a beginner. Suitable for medium sized DSLRs. I was very pleased with the bag included, it does its job perfectly. If the price suits you, then you should take a tripod.</v>
      </c>
    </row>
    <row r="11816" spans="1:9" x14ac:dyDescent="0.3">
      <c r="A11816" s="1" t="s">
        <v>61</v>
      </c>
      <c r="B11816" s="1" t="s">
        <v>73</v>
      </c>
      <c r="C11816" s="1" t="s">
        <v>63</v>
      </c>
      <c r="D11816" s="1" t="s">
        <v>152</v>
      </c>
      <c r="E11816" s="1" t="s">
        <v>6007</v>
      </c>
      <c r="F11816" s="1" t="s">
        <v>16795</v>
      </c>
      <c r="G11816" s="1" t="s">
        <v>36</v>
      </c>
      <c r="H11816" s="1" t="s">
        <v>29</v>
      </c>
      <c r="I11816" s="1" t="str">
        <f ca="1">IFERROR(__xludf.DUMMYFUNCTION("GOOGLETRANSLATE(F11816, ""auto"", ""en"")
"),"I've been using it for 2 years, no complaints. The thing is great. For us, it threshes both meat and horseradish perfectly. Tomorrow I’ll buy another one like this for my mother-in-law in the DR.")</f>
        <v>I've been using it for 2 years, no complaints. The thing is great. For us, it threshes both meat and horseradish perfectly. Tomorrow I’ll buy another one like this for my mother-in-law in the DR.</v>
      </c>
    </row>
    <row r="11817" spans="1:9" x14ac:dyDescent="0.3">
      <c r="A11817" s="1" t="s">
        <v>9</v>
      </c>
      <c r="B11817" s="1" t="s">
        <v>4430</v>
      </c>
      <c r="C11817" s="1" t="s">
        <v>63</v>
      </c>
      <c r="D11817" s="1" t="s">
        <v>2204</v>
      </c>
      <c r="E11817" s="1" t="s">
        <v>5687</v>
      </c>
      <c r="F11817" s="1" t="s">
        <v>16796</v>
      </c>
      <c r="G11817" s="1" t="s">
        <v>36</v>
      </c>
      <c r="H11817" s="1" t="s">
        <v>29</v>
      </c>
      <c r="I11817" s="1" t="str">
        <f ca="1">IFERROR(__xludf.DUMMYFUNCTION("GOOGLETRANSLATE(F11817, ""auto"", ""en"")
"),"When I washed with an old machine, I had to specifically increase the number of rinses, because... my habit of adding more washing powder and rinse aid than necessary is simply irresistible)) Now I don’t worry about it, this machine has foam control, whic"&amp;"h guarantees complete rinsing. In addition, this machine has a large load, which is economical in terms of water and electricity. A smart machine and it washes smartly.")</f>
        <v>When I washed with an old machine, I had to specifically increase the number of rinses, because... my habit of adding more washing powder and rinse aid than necessary is simply irresistible)) Now I don’t worry about it, this machine has foam control, which guarantees complete rinsing. In addition, this machine has a large load, which is economical in terms of water and electricity. A smart machine and it washes smartly.</v>
      </c>
    </row>
    <row r="11818" spans="1:9" x14ac:dyDescent="0.3">
      <c r="A11818" s="1" t="s">
        <v>30</v>
      </c>
      <c r="B11818" s="1" t="s">
        <v>50</v>
      </c>
      <c r="C11818" s="1" t="s">
        <v>694</v>
      </c>
      <c r="D11818" s="1" t="s">
        <v>16797</v>
      </c>
      <c r="E11818" s="1" t="s">
        <v>1481</v>
      </c>
      <c r="F11818" s="1" t="s">
        <v>16798</v>
      </c>
      <c r="G11818" s="1" t="s">
        <v>36</v>
      </c>
      <c r="H11818" s="1" t="s">
        <v>29</v>
      </c>
      <c r="I11818" s="1" t="str">
        <f ca="1">IFERROR(__xludf.DUMMYFUNCTION("GOOGLETRANSLATE(F11818, ""auto"", ""en"")
"),"To turn the touchpad on/off, press the Fn-F6 key combination")</f>
        <v>To turn the touchpad on/off, press the Fn-F6 key combination</v>
      </c>
    </row>
    <row r="11819" spans="1:9" x14ac:dyDescent="0.3">
      <c r="A11819" s="1" t="s">
        <v>43</v>
      </c>
      <c r="B11819" s="1" t="s">
        <v>502</v>
      </c>
      <c r="C11819" s="1" t="s">
        <v>151</v>
      </c>
      <c r="D11819" s="1" t="s">
        <v>599</v>
      </c>
      <c r="E11819" s="1" t="s">
        <v>5810</v>
      </c>
      <c r="F11819" s="1" t="s">
        <v>16799</v>
      </c>
      <c r="G11819" s="1" t="s">
        <v>36</v>
      </c>
      <c r="H11819" s="1" t="s">
        <v>29</v>
      </c>
      <c r="I11819" s="1" t="str">
        <f ca="1">IFERROR(__xludf.DUMMYFUNCTION("GOOGLETRANSLATE(F11819, ""auto"", ""en"")
"),"I bought it from Mvideo, installed it myself, it works very quietly, I recommend it. Cools down with a bang, heats up too. 25 meters + price and quality I recommend.")</f>
        <v>I bought it from Mvideo, installed it myself, it works very quietly, I recommend it. Cools down with a bang, heats up too. 25 meters + price and quality I recommend.</v>
      </c>
    </row>
    <row r="11820" spans="1:9" x14ac:dyDescent="0.3">
      <c r="A11820" s="1" t="s">
        <v>211</v>
      </c>
      <c r="B11820" s="1" t="s">
        <v>384</v>
      </c>
      <c r="C11820" s="1" t="s">
        <v>246</v>
      </c>
      <c r="D11820" s="1" t="s">
        <v>16800</v>
      </c>
      <c r="E11820" s="1" t="s">
        <v>2769</v>
      </c>
      <c r="F11820" s="1" t="s">
        <v>16801</v>
      </c>
      <c r="G11820" s="1" t="s">
        <v>36</v>
      </c>
      <c r="H11820" s="1" t="s">
        <v>29</v>
      </c>
      <c r="I11820" s="1" t="str">
        <f ca="1">IFERROR(__xludf.DUMMYFUNCTION("GOOGLETRANSLATE(F11820, ""auto"", ""en"")
"),"The scales are good! The weight is shown accurately. I advise you to take it.")</f>
        <v>The scales are good! The weight is shown accurately. I advise you to take it.</v>
      </c>
    </row>
    <row r="11821" spans="1:9" x14ac:dyDescent="0.3">
      <c r="A11821" s="1" t="s">
        <v>61</v>
      </c>
      <c r="B11821" s="1" t="s">
        <v>1727</v>
      </c>
      <c r="C11821" s="1" t="s">
        <v>122</v>
      </c>
      <c r="D11821" s="1" t="s">
        <v>471</v>
      </c>
      <c r="E11821" s="1" t="s">
        <v>11210</v>
      </c>
      <c r="F11821" s="1" t="s">
        <v>16802</v>
      </c>
      <c r="G11821" s="1" t="s">
        <v>36</v>
      </c>
      <c r="H11821" s="1" t="s">
        <v>29</v>
      </c>
      <c r="I11821" s="1" t="str">
        <f ca="1">IFERROR(__xludf.DUMMYFUNCTION("GOOGLETRANSLATE(F11821, ""auto"", ""en"")
"),"Cool thing! The pilaf is amazing, the chicken is baked perfectly! There are no words for muffins and biscuits! You can cook it with steam) It’s easy and simple to wash))) I recommend it to everyone))")</f>
        <v>Cool thing! The pilaf is amazing, the chicken is baked perfectly! There are no words for muffins and biscuits! You can cook it with steam) It’s easy and simple to wash))) I recommend it to everyone))</v>
      </c>
    </row>
    <row r="11822" spans="1:9" x14ac:dyDescent="0.3">
      <c r="A11822" s="1" t="s">
        <v>2087</v>
      </c>
      <c r="B11822" s="1" t="s">
        <v>2088</v>
      </c>
      <c r="C11822" s="1" t="s">
        <v>122</v>
      </c>
      <c r="D11822" s="1" t="s">
        <v>152</v>
      </c>
      <c r="E11822" s="1" t="s">
        <v>3184</v>
      </c>
      <c r="F11822" s="1" t="s">
        <v>16803</v>
      </c>
      <c r="G11822" s="1" t="s">
        <v>28</v>
      </c>
      <c r="H11822" s="1" t="s">
        <v>29</v>
      </c>
      <c r="I11822" s="1" t="str">
        <f ca="1">IFERROR(__xludf.DUMMYFUNCTION("GOOGLETRANSLATE(F11822, ""auto"", ""en"")
"),"I was very pleased with the player, with a juicy, beautiful picture, compared the quality of the picture of compressed formats between the computer and the player, Panasonic “draws” much more volume and more detail. Of the minuses, the Blu-ray takes a ver"&amp;"y long time to load, and sometimes slows down in dynamic scenes, maybe not it, but the TV.")</f>
        <v>I was very pleased with the player, with a juicy, beautiful picture, compared the quality of the picture of compressed formats between the computer and the player, Panasonic “draws” much more volume and more detail. Of the minuses, the Blu-ray takes a very long time to load, and sometimes slows down in dynamic scenes, maybe not it, but the TV.</v>
      </c>
    </row>
    <row r="11823" spans="1:9" x14ac:dyDescent="0.3">
      <c r="A11823" s="1" t="s">
        <v>169</v>
      </c>
      <c r="B11823" s="1" t="s">
        <v>170</v>
      </c>
      <c r="C11823" s="1" t="s">
        <v>122</v>
      </c>
      <c r="D11823" s="1" t="s">
        <v>16804</v>
      </c>
      <c r="E11823" s="1" t="s">
        <v>393</v>
      </c>
      <c r="F11823" s="1" t="s">
        <v>16805</v>
      </c>
      <c r="G11823" s="1" t="s">
        <v>36</v>
      </c>
      <c r="H11823" s="1" t="s">
        <v>29</v>
      </c>
      <c r="I11823" s="1" t="str">
        <f ca="1">IFERROR(__xludf.DUMMYFUNCTION("GOOGLETRANSLATE(F11823, ""auto"", ""en"")
"),"The best in-ear headphones with the most honest (in terms of frequency) and clear sound. You can even use it for professional purposes, information and monitoring - they won’t let you down or deceive you! And the large maximum power of 200 mW guarantees t"&amp;"he absence of overload and a sharp increase in distortion when listening at high volumes.  The unexpectedly low level of nonlinear distortion compared to other headphones in this series (RP-HJE200 and RP-HJE300) and the perfectly flat frequency response w"&amp;"ere very pleasing.    Finally, I found what I was looking for, I advise everyone to listen: you will not hear such pure and at the same time deep bass from any headphones from other manufacturers, except professional Beyerdynamic DT 770 PRO and the like w"&amp;"ith several times the cost... To further reduce the THD, listening to these headphones is recommended through a 100-200 Ohm ballast resistor, depending on the power and maximum voltage at the output of your sound source.")</f>
        <v>The best in-ear headphones with the most honest (in terms of frequency) and clear sound. You can even use it for professional purposes, information and monitoring - they won’t let you down or deceive you! And the large maximum power of 200 mW guarantees the absence of overload and a sharp increase in distortion when listening at high volumes.  The unexpectedly low level of nonlinear distortion compared to other headphones in this series (RP-HJE200 and RP-HJE300) and the perfectly flat frequency response were very pleasing.    Finally, I found what I was looking for, I advise everyone to listen: you will not hear such pure and at the same time deep bass from any headphones from other manufacturers, except professional Beyerdynamic DT 770 PRO and the like with several times the cost... To further reduce the THD, listening to these headphones is recommended through a 100-200 Ohm ballast resistor, depending on the power and maximum voltage at the output of your sound source.</v>
      </c>
    </row>
    <row r="11824" spans="1:9" x14ac:dyDescent="0.3">
      <c r="A11824" s="1" t="s">
        <v>89</v>
      </c>
      <c r="B11824" s="1" t="s">
        <v>231</v>
      </c>
      <c r="C11824" s="1" t="s">
        <v>185</v>
      </c>
      <c r="D11824" s="1" t="s">
        <v>55</v>
      </c>
      <c r="E11824" s="1" t="s">
        <v>2904</v>
      </c>
      <c r="F11824" s="1" t="s">
        <v>16806</v>
      </c>
      <c r="G11824" s="1" t="s">
        <v>49</v>
      </c>
      <c r="H11824" s="1" t="s">
        <v>16</v>
      </c>
      <c r="I11824" s="1" t="str">
        <f ca="1">IFERROR(__xludf.DUMMYFUNCTION("GOOGLETRANSLATE(F11824, ""auto"", ""en"")
"),"broke after exactly 2 years")</f>
        <v>broke after exactly 2 years</v>
      </c>
    </row>
    <row r="11825" spans="1:9" x14ac:dyDescent="0.3">
      <c r="A11825" s="1" t="s">
        <v>211</v>
      </c>
      <c r="B11825" s="1" t="s">
        <v>410</v>
      </c>
      <c r="C11825" s="1" t="s">
        <v>213</v>
      </c>
      <c r="D11825" s="1" t="s">
        <v>305</v>
      </c>
      <c r="E11825" s="1" t="s">
        <v>7571</v>
      </c>
      <c r="F11825" s="1" t="s">
        <v>16807</v>
      </c>
      <c r="G11825" s="1" t="s">
        <v>36</v>
      </c>
      <c r="H11825" s="1" t="s">
        <v>29</v>
      </c>
      <c r="I11825" s="1" t="str">
        <f ca="1">IFERROR(__xludf.DUMMYFUNCTION("GOOGLETRANSLATE(F11825, ""auto"", ""en"")
"),"One thing I want from razors is a smooth shave. I don’t wear sideburns or a mustache, but shaving has always been a problem because my skin is dry and sensitive. Therefore, I decided to try the ultra-modern Braun 799cc-7 Series 7 razor in the hope of meet"&amp;"ing my expectations. And they were justified  A full charge takes just over 40 minutes. The razor in the docking station is slightly tilted, which is unusual.  Having started the shaving process, I realized that this was something new. I didn't have to s"&amp;"crape over the same spot multiple times. Everything remained clean and smooth the first time... And no irritation, this surprised and pleased me most of all. When finished, I simply held it under running water! The cleaning process on the docking station "&amp;"looks funny - sometimes it’s silent, sometimes it buzzes.  To sum it up: The Braun 799cc-7 Series 7 makes a great impression, shaves very quickly and cleanly, and improves your quality of life. Conclusion: worth the money!")</f>
        <v>One thing I want from razors is a smooth shave. I don’t wear sideburns or a mustache, but shaving has always been a problem because my skin is dry and sensitive. Therefore, I decided to try the ultra-modern Braun 799cc-7 Series 7 razor in the hope of meeting my expectations. And they were justified  A full charge takes just over 40 minutes. The razor in the docking station is slightly tilted, which is unusual.  Having started the shaving process, I realized that this was something new. I didn't have to scrape over the same spot multiple times. Everything remained clean and smooth the first time... And no irritation, this surprised and pleased me most of all. When finished, I simply held it under running water! The cleaning process on the docking station looks funny - sometimes it’s silent, sometimes it buzzes.  To sum it up: The Braun 799cc-7 Series 7 makes a great impression, shaves very quickly and cleanly, and improves your quality of life. Conclusion: worth the money!</v>
      </c>
    </row>
    <row r="11826" spans="1:9" x14ac:dyDescent="0.3">
      <c r="A11826" s="1" t="s">
        <v>43</v>
      </c>
      <c r="B11826" s="1" t="s">
        <v>219</v>
      </c>
      <c r="C11826" s="1" t="s">
        <v>665</v>
      </c>
      <c r="D11826" s="1" t="s">
        <v>295</v>
      </c>
      <c r="E11826" s="1" t="s">
        <v>4069</v>
      </c>
      <c r="F11826" s="1" t="s">
        <v>16808</v>
      </c>
      <c r="G11826" s="1" t="s">
        <v>36</v>
      </c>
      <c r="H11826" s="1" t="s">
        <v>29</v>
      </c>
      <c r="I11826" s="1" t="str">
        <f ca="1">IFERROR(__xludf.DUMMYFUNCTION("GOOGLETRANSLATE(F11826, ""auto"", ""en"")
"),"Fast heating time, compact size, low heat loss.")</f>
        <v>Fast heating time, compact size, low heat loss.</v>
      </c>
    </row>
    <row r="11827" spans="1:9" x14ac:dyDescent="0.3">
      <c r="A11827" s="1" t="s">
        <v>120</v>
      </c>
      <c r="B11827" s="1" t="s">
        <v>121</v>
      </c>
      <c r="C11827" s="1" t="s">
        <v>151</v>
      </c>
      <c r="D11827" s="1" t="s">
        <v>6419</v>
      </c>
      <c r="E11827" s="1" t="s">
        <v>236</v>
      </c>
      <c r="F11827" s="1" t="s">
        <v>16809</v>
      </c>
      <c r="G11827" s="1" t="s">
        <v>15</v>
      </c>
      <c r="H11827" s="1" t="s">
        <v>16</v>
      </c>
      <c r="I11827" s="1" t="str">
        <f ca="1">IFERROR(__xludf.DUMMYFUNCTION("GOOGLETRANSLATE(F11827, ""auto"", ""en"")
"),"Strange series.  First we took the LE22 B450. everything is fine, but the trance buzzes at night when you turn the volume down. The remote control is of the lapat type. We decided to change it to some kind of 26 - there was nothing except Sonya 26.  As a "&amp;"result, they changed it to an LE32 B450. My eyes hurt - constantly. And also some jokes with the settings. They get lost when you turn it off and when you change the image format on one program (for example, you’re watching a movie, an advertisement start"&amp;"s - the format changes and everything goes wrong - the mode is set to dynamic, the “black” mode is removed. The most disgusting thing is that the settings can jump to default even while watching a movie. As a result, after advertising, you have to press a"&amp;"ll the settings buttons again).  There are only two sizes of PIP - small and very small, it takes forever to get to it in the menu.  And most importantly... a wide range of colors... these same colors are clogged. In the machine, bright colors lose their "&amp;"shades.  If I can’t set it up to at least hold the set settings, I’ll return it. Even though you have to lose 700 rubles for change.")</f>
        <v>Strange series.  First we took the LE22 B450. everything is fine, but the trance buzzes at night when you turn the volume down. The remote control is of the lapat type. We decided to change it to some kind of 26 - there was nothing except Sonya 26.  As a result, they changed it to an LE32 B450. My eyes hurt - constantly. And also some jokes with the settings. They get lost when you turn it off and when you change the image format on one program (for example, you’re watching a movie, an advertisement starts - the format changes and everything goes wrong - the mode is set to dynamic, the “black” mode is removed. The most disgusting thing is that the settings can jump to default even while watching a movie. As a result, after advertising, you have to press all the settings buttons again).  There are only two sizes of PIP - small and very small, it takes forever to get to it in the menu.  And most importantly... a wide range of colors... these same colors are clogged. In the machine, bright colors lose their shades.  If I can’t set it up to at least hold the set settings, I’ll return it. Even though you have to lose 700 rubles for change.</v>
      </c>
    </row>
    <row r="11828" spans="1:9" x14ac:dyDescent="0.3">
      <c r="A11828" s="1" t="s">
        <v>67</v>
      </c>
      <c r="B11828" s="1" t="s">
        <v>340</v>
      </c>
      <c r="C11828" s="1" t="s">
        <v>341</v>
      </c>
      <c r="D11828" s="1" t="s">
        <v>2045</v>
      </c>
      <c r="E11828" s="1" t="s">
        <v>1164</v>
      </c>
      <c r="F11828" s="1" t="s">
        <v>16810</v>
      </c>
      <c r="G11828" s="1" t="s">
        <v>36</v>
      </c>
      <c r="H11828" s="1" t="s">
        <v>29</v>
      </c>
      <c r="I11828" s="1" t="str">
        <f ca="1">IFERROR(__xludf.DUMMYFUNCTION("GOOGLETRANSLATE(F11828, ""auto"", ""en"")
"),"I liked the car. I took it for myself and my mother. Of course, I don’t do anything supernatural, but I always get something done around the house. Not difficult to manage. It took literally 10 minutes to understand everything without instructions. So far"&amp;" I'm just happy. In operation 4 months")</f>
        <v>I liked the car. I took it for myself and my mother. Of course, I don’t do anything supernatural, but I always get something done around the house. Not difficult to manage. It took literally 10 minutes to understand everything without instructions. So far I'm just happy. In operation 4 months</v>
      </c>
    </row>
    <row r="11829" spans="1:9" x14ac:dyDescent="0.3">
      <c r="A11829" s="1" t="s">
        <v>43</v>
      </c>
      <c r="B11829" s="1" t="s">
        <v>219</v>
      </c>
      <c r="C11829" s="1" t="s">
        <v>665</v>
      </c>
      <c r="D11829" s="1" t="s">
        <v>589</v>
      </c>
      <c r="E11829" s="1" t="s">
        <v>4231</v>
      </c>
      <c r="F11829" s="1" t="s">
        <v>16811</v>
      </c>
      <c r="G11829" s="1" t="s">
        <v>36</v>
      </c>
      <c r="H11829" s="1" t="s">
        <v>29</v>
      </c>
      <c r="I11829" s="1" t="str">
        <f ca="1">IFERROR(__xludf.DUMMYFUNCTION("GOOGLETRANSLATE(F11829, ""auto"", ""en"")
"),"We purchased this heater for use in the kitchen during hot water outages. We are very pleased with the purchase! Compact and neat appearance, while the capacity is quite enough for household needs. Heats up again very quickly and holds the temperature wel"&amp;"l. No shortcomings were noted after two weeks of constant use.")</f>
        <v>We purchased this heater for use in the kitchen during hot water outages. We are very pleased with the purchase! Compact and neat appearance, while the capacity is quite enough for household needs. Heats up again very quickly and holds the temperature well. No shortcomings were noted after two weeks of constant use.</v>
      </c>
    </row>
    <row r="11830" spans="1:9" x14ac:dyDescent="0.3">
      <c r="A11830" s="1" t="s">
        <v>37</v>
      </c>
      <c r="B11830" s="1" t="s">
        <v>38</v>
      </c>
      <c r="C11830" s="1" t="s">
        <v>163</v>
      </c>
      <c r="D11830" s="1" t="s">
        <v>280</v>
      </c>
      <c r="E11830" s="1" t="s">
        <v>491</v>
      </c>
      <c r="F11830" s="1" t="s">
        <v>16812</v>
      </c>
      <c r="G11830" s="1" t="s">
        <v>36</v>
      </c>
      <c r="H11830" s="1" t="s">
        <v>29</v>
      </c>
      <c r="I11830" s="1" t="str">
        <f ca="1">IFERROR(__xludf.DUMMYFUNCTION("GOOGLETRANSLATE(F11830, ""auto"", ""en"")
"),"The phone is wonderful, worth the money, loud clear sound, creative design, just what you need!")</f>
        <v>The phone is wonderful, worth the money, loud clear sound, creative design, just what you need!</v>
      </c>
    </row>
    <row r="11831" spans="1:9" x14ac:dyDescent="0.3">
      <c r="A11831" s="1" t="s">
        <v>78</v>
      </c>
      <c r="B11831" s="1" t="s">
        <v>79</v>
      </c>
      <c r="C11831" s="1" t="s">
        <v>80</v>
      </c>
      <c r="D11831" s="1" t="s">
        <v>33</v>
      </c>
      <c r="E11831" s="1" t="s">
        <v>559</v>
      </c>
      <c r="F11831" s="1" t="s">
        <v>16813</v>
      </c>
      <c r="G11831" s="1" t="s">
        <v>36</v>
      </c>
      <c r="H11831" s="1" t="s">
        <v>29</v>
      </c>
      <c r="I11831" s="1" t="str">
        <f ca="1">IFERROR(__xludf.DUMMYFUNCTION("GOOGLETRANSLATE(F11831, ""auto"", ""en"")
"),"Gifted for my birthday, I've been using it for almost two months.  Stylish design, convenient controls, excellent quality, heats and cooks well, the only negative is that fingerprints remain, but this is a problem with all steel surfaces.")</f>
        <v>Gifted for my birthday, I've been using it for almost two months.  Stylish design, convenient controls, excellent quality, heats and cooks well, the only negative is that fingerprints remain, but this is a problem with all steel surfaces.</v>
      </c>
    </row>
    <row r="11832" spans="1:9" x14ac:dyDescent="0.3">
      <c r="A11832" s="1" t="s">
        <v>211</v>
      </c>
      <c r="B11832" s="1" t="s">
        <v>212</v>
      </c>
      <c r="C11832" s="1" t="s">
        <v>381</v>
      </c>
      <c r="D11832" s="1" t="s">
        <v>589</v>
      </c>
      <c r="E11832" s="1" t="s">
        <v>4203</v>
      </c>
      <c r="F11832" s="1" t="s">
        <v>16814</v>
      </c>
      <c r="G11832" s="1" t="s">
        <v>49</v>
      </c>
      <c r="H11832" s="1" t="s">
        <v>16</v>
      </c>
      <c r="I11832" s="1" t="str">
        <f ca="1">IFERROR(__xludf.DUMMYFUNCTION("GOOGLETRANSLATE(F11832, ""auto"", ""en"")
"),"Similar situation. Everything is the same, I wanted large curls, but this device doesn’t even really curl the ends, it’s kind of terrible, it seems to heat up a lot, but there’s no result, no matter how long you hold it, you can’t curl the curls))))))))))"&amp;". Money to throw away, nothing more to say!!!!!!!!")</f>
        <v>Similar situation. Everything is the same, I wanted large curls, but this device doesn’t even really curl the ends, it’s kind of terrible, it seems to heat up a lot, but there’s no result, no matter how long you hold it, you can’t curl the curls)))))))))). Money to throw away, nothing more to say!!!!!!!!</v>
      </c>
    </row>
    <row r="11833" spans="1:9" x14ac:dyDescent="0.3">
      <c r="A11833" s="1" t="s">
        <v>149</v>
      </c>
      <c r="B11833" s="1" t="s">
        <v>423</v>
      </c>
      <c r="C11833" s="1" t="s">
        <v>531</v>
      </c>
      <c r="D11833" s="1" t="s">
        <v>893</v>
      </c>
      <c r="E11833" s="1" t="s">
        <v>594</v>
      </c>
      <c r="F11833" s="1" t="s">
        <v>16815</v>
      </c>
      <c r="G11833" s="1" t="s">
        <v>28</v>
      </c>
      <c r="H11833" s="1" t="s">
        <v>29</v>
      </c>
      <c r="I11833" s="1" t="str">
        <f ca="1">IFERROR(__xludf.DUMMYFUNCTION("GOOGLETRANSLATE(F11833, ""auto"", ""en"")
"),"I didn't even know there was so much dirt in my house. It is not surprising that the vacuum cleaner quickly eats up its load. At first I was angry that it filled up quickly, but then I realized that the vacuum cleaner was good. It cleans dirt well, which "&amp;"is why it fills well, otherwise I would be breathing what I quickly poured into the toilet, and the filters can quickly be washed under running water. My advice is to change the water more often and everything will be fine. When the water is dirty, it no "&amp;"longer filters and the hepa filter then becomes clogged, but it can be washed with water.   What can we say in the end? The vacuum cleaner itself is good, but it also requires a decent owner. It will clean the house in one go, but you just need to not be "&amp;"lazy and clean it too and clean it on time.")</f>
        <v>I didn't even know there was so much dirt in my house. It is not surprising that the vacuum cleaner quickly eats up its load. At first I was angry that it filled up quickly, but then I realized that the vacuum cleaner was good. It cleans dirt well, which is why it fills well, otherwise I would be breathing what I quickly poured into the toilet, and the filters can quickly be washed under running water. My advice is to change the water more often and everything will be fine. When the water is dirty, it no longer filters and the hepa filter then becomes clogged, but it can be washed with water.   What can we say in the end? The vacuum cleaner itself is good, but it also requires a decent owner. It will clean the house in one go, but you just need to not be lazy and clean it too and clean it on time.</v>
      </c>
    </row>
    <row r="11834" spans="1:9" x14ac:dyDescent="0.3">
      <c r="A11834" s="1" t="s">
        <v>37</v>
      </c>
      <c r="B11834" s="1" t="s">
        <v>38</v>
      </c>
      <c r="C11834" s="1" t="s">
        <v>151</v>
      </c>
      <c r="D11834" s="1" t="s">
        <v>20</v>
      </c>
      <c r="E11834" s="1" t="s">
        <v>1660</v>
      </c>
      <c r="F11834" s="1" t="s">
        <v>16816</v>
      </c>
      <c r="G11834" s="1" t="s">
        <v>36</v>
      </c>
      <c r="H11834" s="1" t="s">
        <v>29</v>
      </c>
      <c r="I11834" s="1" t="str">
        <f ca="1">IFERROR(__xludf.DUMMYFUNCTION("GOOGLETRANSLATE(F11834, ""auto"", ""en"")
"),"Before this phone there was a sensor, this one is much more convenient) the phone is excellent, I’ve been using it for the second month now, there are only two glitches: the vibration sometimes does not turn off when delivering SMS and the computer does n"&amp;"ot see it. Otherwise, it’s very decent for such a price. And it matches the color of the car very well)))")</f>
        <v>Before this phone there was a sensor, this one is much more convenient) the phone is excellent, I’ve been using it for the second month now, there are only two glitches: the vibration sometimes does not turn off when delivering SMS and the computer does not see it. Otherwise, it’s very decent for such a price. And it matches the color of the car very well)))</v>
      </c>
    </row>
    <row r="11835" spans="1:9" x14ac:dyDescent="0.3">
      <c r="A11835" s="1" t="s">
        <v>17</v>
      </c>
      <c r="B11835" s="1" t="s">
        <v>18</v>
      </c>
      <c r="C11835" s="1" t="s">
        <v>243</v>
      </c>
      <c r="D11835" s="1" t="s">
        <v>943</v>
      </c>
      <c r="E11835" s="1" t="s">
        <v>16817</v>
      </c>
      <c r="F11835" s="1" t="s">
        <v>16818</v>
      </c>
      <c r="G11835" s="1" t="s">
        <v>36</v>
      </c>
      <c r="H11835" s="1" t="s">
        <v>29</v>
      </c>
      <c r="I11835" s="1" t="str">
        <f ca="1">IFERROR(__xludf.DUMMYFUNCTION("GOOGLETRANSLATE(F11835, ""auto"", ""en"")
"),"The washing machine is super, 5+. Quiet. It washes everything wonderfully. Lots of functions, we can even wash shoes in it!")</f>
        <v>The washing machine is super, 5+. Quiet. It washes everything wonderfully. Lots of functions, we can even wash shoes in it!</v>
      </c>
    </row>
    <row r="11836" spans="1:9" x14ac:dyDescent="0.3">
      <c r="A11836" s="1" t="s">
        <v>17</v>
      </c>
      <c r="B11836" s="1" t="s">
        <v>18</v>
      </c>
      <c r="C11836" s="1" t="s">
        <v>885</v>
      </c>
      <c r="D11836" s="1" t="s">
        <v>1894</v>
      </c>
      <c r="E11836" s="1" t="s">
        <v>1321</v>
      </c>
      <c r="F11836" s="1" t="s">
        <v>16819</v>
      </c>
      <c r="G11836" s="1" t="s">
        <v>36</v>
      </c>
      <c r="H11836" s="1" t="s">
        <v>29</v>
      </c>
      <c r="I11836" s="1" t="str">
        <f ca="1">IFERROR(__xludf.DUMMYFUNCTION("GOOGLETRANSLATE(F11836, ""auto"", ""en"")
"),"Bought on sale for 13990. Excellent purchase for the money. Before that there were two Aristons, there is something to compare with. Advantages: narrow (it fit where we planned, another would not have fit); low noise; very convenient loading (huge hatch +"&amp;" located higher than other washing machines); a lot of programs; electronic display (shows how long until the end of the wash); It doesn’t jump even at maximum speed, although I didn’t set it to the level and didn’t buy footpegs.  Notes: it’s too automate"&amp;"d (each program has its own maximum temperature and speed, which you can’t select manually), but you can trick it through other buttons; There is no child protection (central switch lock) and I would like an LED in this switch to see what mode is in opera"&amp;"tion. but these are little things, there are many more advantages and we received a bunch of bonuses, enough for a cell phone for a kid.")</f>
        <v>Bought on sale for 13990. Excellent purchase for the money. Before that there were two Aristons, there is something to compare with. Advantages: narrow (it fit where we planned, another would not have fit); low noise; very convenient loading (huge hatch + located higher than other washing machines); a lot of programs; electronic display (shows how long until the end of the wash); It doesn’t jump even at maximum speed, although I didn’t set it to the level and didn’t buy footpegs.  Notes: it’s too automated (each program has its own maximum temperature and speed, which you can’t select manually), but you can trick it through other buttons; There is no child protection (central switch lock) and I would like an LED in this switch to see what mode is in operation. but these are little things, there are many more advantages and we received a bunch of bonuses, enough for a cell phone for a kid.</v>
      </c>
    </row>
    <row r="11837" spans="1:9" x14ac:dyDescent="0.3">
      <c r="A11837" s="1" t="s">
        <v>211</v>
      </c>
      <c r="B11837" s="1" t="s">
        <v>212</v>
      </c>
      <c r="C11837" s="1" t="s">
        <v>745</v>
      </c>
      <c r="D11837" s="1" t="s">
        <v>247</v>
      </c>
      <c r="E11837" s="1" t="s">
        <v>13161</v>
      </c>
      <c r="F11837" s="1" t="s">
        <v>16820</v>
      </c>
      <c r="G11837" s="1" t="s">
        <v>36</v>
      </c>
      <c r="H11837" s="1" t="s">
        <v>29</v>
      </c>
      <c r="I11837" s="1" t="str">
        <f ca="1">IFERROR(__xludf.DUMMYFUNCTION("GOOGLETRANSLATE(F11837, ""auto"", ""en"")
"),"Very affordable price for this product, the purchase was made for my mother. There is an additional attachment in the form of a comb. You can dry it simply like a hairdryer (without an attachment), or you can style it with an attachment. It curls hair wel"&amp;"l at the ends and adds volume at the roots. Mom was pleased.)")</f>
        <v>Very affordable price for this product, the purchase was made for my mother. There is an additional attachment in the form of a comb. You can dry it simply like a hairdryer (without an attachment), or you can style it with an attachment. It curls hair well at the ends and adds volume at the roots. Mom was pleased.)</v>
      </c>
    </row>
    <row r="11838" spans="1:9" x14ac:dyDescent="0.3">
      <c r="A11838" s="1" t="s">
        <v>211</v>
      </c>
      <c r="B11838" s="1" t="s">
        <v>789</v>
      </c>
      <c r="C11838" s="1" t="s">
        <v>69</v>
      </c>
      <c r="D11838" s="1" t="s">
        <v>152</v>
      </c>
      <c r="E11838" s="1" t="s">
        <v>15848</v>
      </c>
      <c r="F11838" s="1" t="s">
        <v>16821</v>
      </c>
      <c r="G11838" s="1" t="s">
        <v>49</v>
      </c>
      <c r="H11838" s="1" t="s">
        <v>16</v>
      </c>
      <c r="I11838" s="1" t="str">
        <f ca="1">IFERROR(__xludf.DUMMYFUNCTION("GOOGLETRANSLATE(F11838, ""auto"", ""en"")
"),"Bought as a gift. When checking the house, it is impossible to make out anything on the display of the parent unit: some lines of pixels do not light up. I reviewed 3 of the same devices. The display doesn't work on all of them! The quality is zero! And i"&amp;"t looks more like a Chinese craft than a reliable Philips.")</f>
        <v>Bought as a gift. When checking the house, it is impossible to make out anything on the display of the parent unit: some lines of pixels do not light up. I reviewed 3 of the same devices. The display doesn't work on all of them! The quality is zero! And it looks more like a Chinese craft than a reliable Philips.</v>
      </c>
    </row>
    <row r="11839" spans="1:9" x14ac:dyDescent="0.3">
      <c r="A11839" s="1" t="s">
        <v>43</v>
      </c>
      <c r="B11839" s="1" t="s">
        <v>1616</v>
      </c>
      <c r="C11839" s="1" t="s">
        <v>85</v>
      </c>
      <c r="D11839" s="1" t="s">
        <v>8507</v>
      </c>
      <c r="E11839" s="1" t="s">
        <v>1330</v>
      </c>
      <c r="F11839" s="1" t="s">
        <v>16822</v>
      </c>
      <c r="G11839" s="1" t="s">
        <v>36</v>
      </c>
      <c r="H11839" s="1" t="s">
        <v>29</v>
      </c>
      <c r="I11839" s="1" t="str">
        <f ca="1">IFERROR(__xludf.DUMMYFUNCTION("GOOGLETRANSLATE(F11839, ""auto"", ""en"")
"),"The Conder is normal, Victor just doesn’t read the specification, and there it is written in Russian in white, the current consumption is 6.9A, the standard socket does not hold 6A, it melts with long-term use")</f>
        <v>The Conder is normal, Victor just doesn’t read the specification, and there it is written in Russian in white, the current consumption is 6.9A, the standard socket does not hold 6A, it melts with long-term use</v>
      </c>
    </row>
    <row r="11840" spans="1:9" x14ac:dyDescent="0.3">
      <c r="A11840" s="1" t="s">
        <v>120</v>
      </c>
      <c r="B11840" s="1" t="s">
        <v>121</v>
      </c>
      <c r="C11840" s="1" t="s">
        <v>69</v>
      </c>
      <c r="D11840" s="1" t="s">
        <v>1008</v>
      </c>
      <c r="E11840" s="1" t="s">
        <v>2215</v>
      </c>
      <c r="F11840" s="1" t="s">
        <v>16823</v>
      </c>
      <c r="G11840" s="1" t="s">
        <v>36</v>
      </c>
      <c r="H11840" s="1" t="s">
        <v>29</v>
      </c>
      <c r="I11840" s="1" t="str">
        <f ca="1">IFERROR(__xludf.DUMMYFUNCTION("GOOGLETRANSLATE(F11840, ""auto"", ""en"")
"),"I've been using this device for a week and a half, and I'm mostly happy with everything. Of the advantages, there is undoubtedly the presence of USB (I watch videos in the absence of a player) and a digital tuner. Of the minuses, there is nothing particul"&amp;"arly to complain about; I did not notice any particular heating during operation. So a solid ""5"".")</f>
        <v>I've been using this device for a week and a half, and I'm mostly happy with everything. Of the advantages, there is undoubtedly the presence of USB (I watch videos in the absence of a player) and a digital tuner. Of the minuses, there is nothing particularly to complain about; I did not notice any particular heating during operation. So a solid "5".</v>
      </c>
    </row>
    <row r="11841" spans="1:9" x14ac:dyDescent="0.3">
      <c r="A11841" s="1" t="s">
        <v>30</v>
      </c>
      <c r="B11841" s="1" t="s">
        <v>31</v>
      </c>
      <c r="C11841" s="1" t="s">
        <v>32</v>
      </c>
      <c r="D11841" s="1" t="s">
        <v>20</v>
      </c>
      <c r="E11841" s="1" t="s">
        <v>594</v>
      </c>
      <c r="F11841" s="1" t="s">
        <v>16824</v>
      </c>
      <c r="G11841" s="1" t="s">
        <v>15</v>
      </c>
      <c r="H11841" s="1" t="s">
        <v>16</v>
      </c>
      <c r="I11841" s="1" t="str">
        <f ca="1">IFERROR(__xludf.DUMMYFUNCTION("GOOGLETRANSLATE(F11841, ""auto"", ""en"")
"),"I agree with Alexander that for that kind of money you can buy a more powerful computer, DDR2 8GB 800Mgz is not necessary at all; because DDR3 4GB 1333Mgz will be much better and more productive. As for the video card, GDDR5 is too expensive an adapter, b"&amp;"ut if there was enough GDDR3 X2 512 bit it would be cheaper. So people, by purchasing such a computer, you are throwing money away! Know that progress does not stand still, no matter what kind of car you buy, in six months it will be mercilessly outdated."&amp;" My advice to you is to buy a computer in this store for 20,000 rubles. and wait for INTEL BULDOZER/ Your hacker :)")</f>
        <v>I agree with Alexander that for that kind of money you can buy a more powerful computer, DDR2 8GB 800Mgz is not necessary at all; because DDR3 4GB 1333Mgz will be much better and more productive. As for the video card, GDDR5 is too expensive an adapter, but if there was enough GDDR3 X2 512 bit it would be cheaper. So people, by purchasing such a computer, you are throwing money away! Know that progress does not stand still, no matter what kind of car you buy, in six months it will be mercilessly outdated. My advice to you is to buy a computer in this store for 20,000 rubles. and wait for INTEL BULDOZER/ Your hacker :)</v>
      </c>
    </row>
    <row r="11842" spans="1:9" x14ac:dyDescent="0.3">
      <c r="A11842" s="1" t="s">
        <v>89</v>
      </c>
      <c r="B11842" s="1" t="s">
        <v>231</v>
      </c>
      <c r="C11842" s="1" t="s">
        <v>1072</v>
      </c>
      <c r="D11842" s="1" t="s">
        <v>1681</v>
      </c>
      <c r="E11842" s="1" t="s">
        <v>7671</v>
      </c>
      <c r="F11842" s="1" t="s">
        <v>16825</v>
      </c>
      <c r="G11842" s="1" t="s">
        <v>36</v>
      </c>
      <c r="H11842" s="1" t="s">
        <v>29</v>
      </c>
      <c r="I11842" s="1" t="str">
        <f ca="1">IFERROR(__xludf.DUMMYFUNCTION("GOOGLETRANSLATE(F11842, ""auto"", ""en"")
"),"The car is excellent for the price/quality. The coffee is delicious. There is a difference. Anyone who has recently used it and does not know how to properly use a cappuccino maker will consider the machine bad, unless, perhaps, they do not appreciate esp"&amp;"resso. If you read the instructions and get into it, start using all the features, everything will work out perfectly. Plus the car is as compact as possible. Now I can say with confidence that I drink excellent coffee.")</f>
        <v>The car is excellent for the price/quality. The coffee is delicious. There is a difference. Anyone who has recently used it and does not know how to properly use a cappuccino maker will consider the machine bad, unless, perhaps, they do not appreciate espresso. If you read the instructions and get into it, start using all the features, everything will work out perfectly. Plus the car is as compact as possible. Now I can say with confidence that I drink excellent coffee.</v>
      </c>
    </row>
    <row r="11843" spans="1:9" x14ac:dyDescent="0.3">
      <c r="A11843" s="1" t="s">
        <v>37</v>
      </c>
      <c r="B11843" s="1" t="s">
        <v>38</v>
      </c>
      <c r="C11843" s="1" t="s">
        <v>163</v>
      </c>
      <c r="D11843" s="1" t="s">
        <v>16826</v>
      </c>
      <c r="E11843" s="1" t="s">
        <v>1190</v>
      </c>
      <c r="F11843" s="1" t="s">
        <v>16827</v>
      </c>
      <c r="G11843" s="1" t="s">
        <v>36</v>
      </c>
      <c r="H11843" s="1" t="s">
        <v>29</v>
      </c>
      <c r="I11843" s="1" t="str">
        <f ca="1">IFERROR(__xludf.DUMMYFUNCTION("GOOGLETRANSLATE(F11843, ""auto"", ""en"")
"),"For me, the Nokia 6300 is the ideal phone, I’ve been using it for more than 2 years, and during this time I haven’t gotten tired of it, I used to buy a new phone once a year, but now I’ve stopped because I’m completely satisfied with it. After 2 years, no"&amp;" complaints, only the battery began to hold a charge, but changing that is not a problem. And so, everything is ok. The phone is functional, beautiful, light and very importantly, it is durable: it fell 2 times on asphalt and on tiles, as a result the bac"&amp;"k cover was scratched, but such stylish scratches on the steel cover even added some piquancy to the phone) And the screen is intact and undamaged and the phone works pah-pah-pah perfectly.   The phone is made in the best traditions of Nokia - made above "&amp;"all with high quality, which is rarely seen these days. Everything in it is balanced: design, menu, contact list, themes and screensavers, vibration alert is good, the sound of the call itself is not very loud, but this is not critical, and it has everyth"&amp;"ing that should be in a phone.   The camera is also good for a phone; when you need to quickly take a photo of something, it helps a lot. The memory capacity is decent: it can fit a lot of photos and music.   In general, for me the Nokia 6300 is my ideal "&amp;"mobile assistant, stylish, functional and reliable!")</f>
        <v>For me, the Nokia 6300 is the ideal phone, I’ve been using it for more than 2 years, and during this time I haven’t gotten tired of it, I used to buy a new phone once a year, but now I’ve stopped because I’m completely satisfied with it. After 2 years, no complaints, only the battery began to hold a charge, but changing that is not a problem. And so, everything is ok. The phone is functional, beautiful, light and very importantly, it is durable: it fell 2 times on asphalt and on tiles, as a result the back cover was scratched, but such stylish scratches on the steel cover even added some piquancy to the phone) And the screen is intact and undamaged and the phone works pah-pah-pah perfectly.   The phone is made in the best traditions of Nokia - made above all with high quality, which is rarely seen these days. Everything in it is balanced: design, menu, contact list, themes and screensavers, vibration alert is good, the sound of the call itself is not very loud, but this is not critical, and it has everything that should be in a phone.   The camera is also good for a phone; when you need to quickly take a photo of something, it helps a lot. The memory capacity is decent: it can fit a lot of photos and music.   In general, for me the Nokia 6300 is my ideal mobile assistant, stylish, functional and reliable!</v>
      </c>
    </row>
    <row r="11844" spans="1:9" x14ac:dyDescent="0.3">
      <c r="A11844" s="1" t="s">
        <v>30</v>
      </c>
      <c r="B11844" s="1" t="s">
        <v>31</v>
      </c>
      <c r="C11844" s="1" t="s">
        <v>32</v>
      </c>
      <c r="D11844" s="1" t="s">
        <v>16828</v>
      </c>
      <c r="E11844" s="1" t="s">
        <v>5798</v>
      </c>
      <c r="F11844" s="1" t="s">
        <v>16829</v>
      </c>
      <c r="G11844" s="1" t="s">
        <v>36</v>
      </c>
      <c r="H11844" s="1" t="s">
        <v>29</v>
      </c>
      <c r="I11844" s="1" t="str">
        <f ca="1">IFERROR(__xludf.DUMMYFUNCTION("GOOGLETRANSLATE(F11844, ""auto"", ""en"")
"),"I read your reviews, and the video card gets hot, but there is a solution to just buy an additional fan and install it yourself only for blowing, which is what I did - now I don’t know the problems, the firewood can be found on the official website, the R"&amp;"AM can be increased to 8 gigs, and the HDD to 1 TB, so I’m happy with it, both in appearance and in performance. I wish you good luck!!!")</f>
        <v>I read your reviews, and the video card gets hot, but there is a solution to just buy an additional fan and install it yourself only for blowing, which is what I did - now I don’t know the problems, the firewood can be found on the official website, the RAM can be increased to 8 gigs, and the HDD to 1 TB, so I’m happy with it, both in appearance and in performance. I wish you good luck!!!</v>
      </c>
    </row>
    <row r="11845" spans="1:9" x14ac:dyDescent="0.3">
      <c r="A11845" s="1" t="s">
        <v>2087</v>
      </c>
      <c r="B11845" s="1" t="s">
        <v>2088</v>
      </c>
      <c r="C11845" s="1" t="s">
        <v>151</v>
      </c>
      <c r="D11845" s="1" t="s">
        <v>16830</v>
      </c>
      <c r="E11845" s="1" t="s">
        <v>7043</v>
      </c>
      <c r="F11845" s="1" t="s">
        <v>16831</v>
      </c>
      <c r="G11845" s="1" t="s">
        <v>36</v>
      </c>
      <c r="H11845" s="1" t="s">
        <v>29</v>
      </c>
      <c r="I11845" s="1" t="str">
        <f ca="1">IFERROR(__xludf.DUMMYFUNCTION("GOOGLETRANSLATE(F11845, ""auto"", ""en"")
"),"I was attracted by the possibilities, I was especially pleased with the multi-format feature and the fast playback feature, my previous player did not have such an option, it makes viewing much easier. The sensor responds normally to touch; you don’t need"&amp;" to press the same button several times. Well, full-ashdi is definitely a thing - the picture turns out to be super-detailed.")</f>
        <v>I was attracted by the possibilities, I was especially pleased with the multi-format feature and the fast playback feature, my previous player did not have such an option, it makes viewing much easier. The sensor responds normally to touch; you don’t need to press the same button several times. Well, full-ashdi is definitely a thing - the picture turns out to be super-detailed.</v>
      </c>
    </row>
    <row r="11846" spans="1:9" x14ac:dyDescent="0.3">
      <c r="A11846" s="1" t="s">
        <v>111</v>
      </c>
      <c r="B11846" s="1" t="s">
        <v>112</v>
      </c>
      <c r="C11846" s="1" t="s">
        <v>1230</v>
      </c>
      <c r="D11846" s="1" t="s">
        <v>16415</v>
      </c>
      <c r="E11846" s="1" t="s">
        <v>3664</v>
      </c>
      <c r="F11846" s="1" t="s">
        <v>16832</v>
      </c>
      <c r="G11846" s="1" t="s">
        <v>36</v>
      </c>
      <c r="H11846" s="1" t="s">
        <v>29</v>
      </c>
      <c r="I11846" s="1" t="str">
        <f ca="1">IFERROR(__xludf.DUMMYFUNCTION("GOOGLETRANSLATE(F11846, ""auto"", ""en"")
"),"Nice item, comfortable and reasonable price.  Plus it doesn't take up much space.  He protects like his “senior” comrades.")</f>
        <v>Nice item, comfortable and reasonable price.  Plus it doesn't take up much space.  He protects like his “senior” comrades.</v>
      </c>
    </row>
    <row r="11847" spans="1:9" x14ac:dyDescent="0.3">
      <c r="A11847" s="1" t="s">
        <v>30</v>
      </c>
      <c r="B11847" s="1" t="s">
        <v>50</v>
      </c>
      <c r="C11847" s="1" t="s">
        <v>189</v>
      </c>
      <c r="D11847" s="1" t="s">
        <v>7165</v>
      </c>
      <c r="E11847" s="1" t="s">
        <v>1517</v>
      </c>
      <c r="F11847" s="1" t="s">
        <v>16833</v>
      </c>
      <c r="G11847" s="1" t="s">
        <v>36</v>
      </c>
      <c r="H11847" s="1" t="s">
        <v>29</v>
      </c>
      <c r="I11847" s="1" t="str">
        <f ca="1">IFERROR(__xludf.DUMMYFUNCTION("GOOGLETRANSLATE(F11847, ""auto"", ""en"")
"),"I bought it a couple of days ago!! Great PC, everything works well!")</f>
        <v>I bought it a couple of days ago!! Great PC, everything works well!</v>
      </c>
    </row>
    <row r="11848" spans="1:9" x14ac:dyDescent="0.3">
      <c r="A11848" s="1" t="s">
        <v>105</v>
      </c>
      <c r="B11848" s="1" t="s">
        <v>106</v>
      </c>
      <c r="C11848" s="1" t="s">
        <v>1209</v>
      </c>
      <c r="D11848" s="1" t="s">
        <v>16834</v>
      </c>
      <c r="E11848" s="1" t="s">
        <v>6937</v>
      </c>
      <c r="F11848" s="1" t="s">
        <v>16835</v>
      </c>
      <c r="G11848" s="1" t="s">
        <v>49</v>
      </c>
      <c r="H11848" s="1" t="s">
        <v>16</v>
      </c>
      <c r="I11848" s="1" t="str">
        <f ca="1">IFERROR(__xludf.DUMMYFUNCTION("GOOGLETRANSLATE(F11848, ""auto"", ""en"")
"),"In addition to the loose headphone jack, the rewind right button began to work strangely, it works when it wants, pressing 2 or 3 times. I repeat, it’s beautiful, it’s beautiful, but it’s very difficult to listen, then the sound disappears, then it takes "&amp;"a long time to get to the right place on the list.  I simply solved the problem with the headphone jack, taped the plug up and hammered it in with force, now the sound almost disappears :)))")</f>
        <v>In addition to the loose headphone jack, the rewind right button began to work strangely, it works when it wants, pressing 2 or 3 times. I repeat, it’s beautiful, it’s beautiful, but it’s very difficult to listen, then the sound disappears, then it takes a long time to get to the right place on the list.  I simply solved the problem with the headphone jack, taped the plug up and hammered it in with force, now the sound almost disappears :)))</v>
      </c>
    </row>
    <row r="11849" spans="1:9" x14ac:dyDescent="0.3">
      <c r="A11849" s="1" t="s">
        <v>238</v>
      </c>
      <c r="B11849" s="1" t="s">
        <v>276</v>
      </c>
      <c r="C11849" s="1" t="s">
        <v>277</v>
      </c>
      <c r="D11849" s="1" t="s">
        <v>16836</v>
      </c>
      <c r="E11849" s="1" t="s">
        <v>2168</v>
      </c>
      <c r="F11849" s="1" t="s">
        <v>16837</v>
      </c>
      <c r="G11849" s="1" t="s">
        <v>36</v>
      </c>
      <c r="H11849" s="1" t="s">
        <v>29</v>
      </c>
      <c r="I11849" s="1" t="str">
        <f ca="1">IFERROR(__xludf.DUMMYFUNCTION("GOOGLETRANSLATE(F11849, ""auto"", ""en"")
"),"Not a refrigerator, but some kind of white silence. If you listen in complete silence, you can hear the slight click of the compressor turning on. You can't hear the operation or shutdown. And you don’t know whether it works or not until you press your ea"&amp;"r. Or until you open the door and make sure that it’s freezing, like in Antarctica. On a double! The doors open easily and fit tightly. The design is nice. There’s nothing to complain about... Two months - the flight is normal.")</f>
        <v>Not a refrigerator, but some kind of white silence. If you listen in complete silence, you can hear the slight click of the compressor turning on. You can't hear the operation or shutdown. And you don’t know whether it works or not until you press your ear. Or until you open the door and make sure that it’s freezing, like in Antarctica. On a double! The doors open easily and fit tightly. The design is nice. There’s nothing to complain about... Two months - the flight is normal.</v>
      </c>
    </row>
    <row r="11850" spans="1:9" x14ac:dyDescent="0.3">
      <c r="A11850" s="1" t="s">
        <v>206</v>
      </c>
      <c r="B11850" s="1" t="s">
        <v>207</v>
      </c>
      <c r="C11850" s="1" t="s">
        <v>97</v>
      </c>
      <c r="D11850" s="1" t="s">
        <v>16838</v>
      </c>
      <c r="E11850" s="1" t="s">
        <v>3138</v>
      </c>
      <c r="F11850" s="1" t="s">
        <v>16839</v>
      </c>
      <c r="G11850" s="1" t="s">
        <v>15</v>
      </c>
      <c r="H11850" s="1" t="s">
        <v>16</v>
      </c>
      <c r="I11850" s="1" t="str">
        <f ca="1">IFERROR(__xludf.DUMMYFUNCTION("GOOGLETRANSLATE(F11850, ""auto"", ""en"")
"),"It doesn't press at all, it just shakes. Maybe in hatchbacks you can somehow hear it, but in a sedan (Mercedes W210) it just takes up space in the trunk in vain.")</f>
        <v>It doesn't press at all, it just shakes. Maybe in hatchbacks you can somehow hear it, but in a sedan (Mercedes W210) it just takes up space in the trunk in vain.</v>
      </c>
    </row>
    <row r="11851" spans="1:9" x14ac:dyDescent="0.3">
      <c r="A11851" s="1" t="s">
        <v>169</v>
      </c>
      <c r="B11851" s="1" t="s">
        <v>170</v>
      </c>
      <c r="C11851" s="1" t="s">
        <v>122</v>
      </c>
      <c r="D11851" s="1" t="s">
        <v>280</v>
      </c>
      <c r="E11851" s="1" t="s">
        <v>140</v>
      </c>
      <c r="F11851" s="1" t="s">
        <v>16840</v>
      </c>
      <c r="G11851" s="1" t="s">
        <v>36</v>
      </c>
      <c r="H11851" s="1" t="s">
        <v>29</v>
      </c>
      <c r="I11851" s="1" t="str">
        <f ca="1">IFERROR(__xludf.DUMMYFUNCTION("GOOGLETRANSLATE(F11851, ""auto"", ""en"")
"),"The sound is clear and does not wheeze when amplified to the maximum! The bass is good and the sound clarity is excellent.")</f>
        <v>The sound is clear and does not wheeze when amplified to the maximum! The bass is good and the sound clarity is excellent.</v>
      </c>
    </row>
    <row r="11852" spans="1:9" x14ac:dyDescent="0.3">
      <c r="A11852" s="1" t="s">
        <v>30</v>
      </c>
      <c r="B11852" s="1" t="s">
        <v>50</v>
      </c>
      <c r="C11852" s="1" t="s">
        <v>1003</v>
      </c>
      <c r="D11852" s="1" t="s">
        <v>1147</v>
      </c>
      <c r="E11852" s="1" t="s">
        <v>8177</v>
      </c>
      <c r="F11852" s="1" t="s">
        <v>16841</v>
      </c>
      <c r="G11852" s="1" t="s">
        <v>36</v>
      </c>
      <c r="H11852" s="1" t="s">
        <v>29</v>
      </c>
      <c r="I11852" s="1" t="str">
        <f ca="1">IFERROR(__xludf.DUMMYFUNCTION("GOOGLETRANSLATE(F11852, ""auto"", ""en"")
"),"You know, when I saw him, I fell in love!! but I barely removed Whist. XP was installed somehow... but I'm glad... now the problem is with the drivers over the Internet)) funny!!")</f>
        <v>You know, when I saw him, I fell in love!! but I barely removed Whist. XP was installed somehow... but I'm glad... now the problem is with the drivers over the Internet)) funny!!</v>
      </c>
    </row>
    <row r="11853" spans="1:9" x14ac:dyDescent="0.3">
      <c r="A11853" s="1" t="s">
        <v>89</v>
      </c>
      <c r="B11853" s="1" t="s">
        <v>1106</v>
      </c>
      <c r="C11853" s="1" t="s">
        <v>246</v>
      </c>
      <c r="D11853" s="1" t="s">
        <v>1188</v>
      </c>
      <c r="E11853" s="1" t="s">
        <v>2810</v>
      </c>
      <c r="F11853" s="1" t="s">
        <v>16842</v>
      </c>
      <c r="G11853" s="1" t="s">
        <v>36</v>
      </c>
      <c r="H11853" s="1" t="s">
        <v>29</v>
      </c>
      <c r="I11853" s="1" t="str">
        <f ca="1">IFERROR(__xludf.DUMMYFUNCTION("GOOGLETRANSLATE(F11853, ""auto"", ""en"")
"),"Tefal CM410530 drip coffee maker was purchased 5 months ago. It gets the job done. Coffee per mug 300 ml fine (like flour) grind 8g. Strong coffee mode. Cons: water remains in the tank, the flask stuck to the platform a couple of times and when it came of"&amp;"f, the black layer peeled off. I recommend to buy.")</f>
        <v>Tefal CM410530 drip coffee maker was purchased 5 months ago. It gets the job done. Coffee per mug 300 ml fine (like flour) grind 8g. Strong coffee mode. Cons: water remains in the tank, the flask stuck to the platform a couple of times and when it came off, the black layer peeled off. I recommend to buy.</v>
      </c>
    </row>
    <row r="11854" spans="1:9" x14ac:dyDescent="0.3">
      <c r="A11854" s="1" t="s">
        <v>61</v>
      </c>
      <c r="B11854" s="1" t="s">
        <v>1727</v>
      </c>
      <c r="C11854" s="1" t="s">
        <v>122</v>
      </c>
      <c r="D11854" s="1" t="s">
        <v>934</v>
      </c>
      <c r="E11854" s="1" t="s">
        <v>1185</v>
      </c>
      <c r="F11854" s="1" t="s">
        <v>16843</v>
      </c>
      <c r="G11854" s="1" t="s">
        <v>36</v>
      </c>
      <c r="H11854" s="1" t="s">
        <v>29</v>
      </c>
      <c r="I11854" s="1" t="str">
        <f ca="1">IFERROR(__xludf.DUMMYFUNCTION("GOOGLETRANSLATE(F11854, ""auto"", ""en"")
"),"A wonderful and irreplaceable thing in the kitchen that everyone, young and old, can handle!  In a slow cooker, all dishes turn out incredibly tasty; they cannot be compared with those cooked on the stove.  And how much free time appeared after purchasing"&amp;" this assistant?  In general, until you buy it, you won’t understand!")</f>
        <v>A wonderful and irreplaceable thing in the kitchen that everyone, young and old, can handle!  In a slow cooker, all dishes turn out incredibly tasty; they cannot be compared with those cooked on the stove.  And how much free time appeared after purchasing this assistant?  In general, until you buy it, you won’t understand!</v>
      </c>
    </row>
    <row r="11855" spans="1:9" x14ac:dyDescent="0.3">
      <c r="A11855" s="1" t="s">
        <v>67</v>
      </c>
      <c r="B11855" s="1" t="s">
        <v>68</v>
      </c>
      <c r="C11855" s="1" t="s">
        <v>381</v>
      </c>
      <c r="D11855" s="1" t="s">
        <v>16844</v>
      </c>
      <c r="E11855" s="1" t="s">
        <v>3630</v>
      </c>
      <c r="F11855" s="1" t="s">
        <v>16845</v>
      </c>
      <c r="G11855" s="1" t="s">
        <v>36</v>
      </c>
      <c r="H11855" s="1" t="s">
        <v>29</v>
      </c>
      <c r="I11855" s="1" t="str">
        <f ca="1">IFERROR(__xludf.DUMMYFUNCTION("GOOGLETRANSLATE(F11855, ""auto"", ""en"")
"),"It's just a car, probably a professional thing. The steam boost is actually just like a steam boost, be careful (!), unlike other brands indicating 170 g/l, where the boost is zilch! I advise, but be careful and inspect carefully.")</f>
        <v>It's just a car, probably a professional thing. The steam boost is actually just like a steam boost, be careful (!), unlike other brands indicating 170 g/l, where the boost is zilch! I advise, but be careful and inspect carefully.</v>
      </c>
    </row>
    <row r="11856" spans="1:9" x14ac:dyDescent="0.3">
      <c r="A11856" s="1" t="s">
        <v>17</v>
      </c>
      <c r="B11856" s="1" t="s">
        <v>18</v>
      </c>
      <c r="C11856" s="1" t="s">
        <v>243</v>
      </c>
      <c r="D11856" s="1" t="s">
        <v>247</v>
      </c>
      <c r="E11856" s="1" t="s">
        <v>217</v>
      </c>
      <c r="F11856" s="1" t="s">
        <v>16846</v>
      </c>
      <c r="G11856" s="1" t="s">
        <v>15</v>
      </c>
      <c r="H11856" s="1" t="s">
        <v>16</v>
      </c>
      <c r="I11856" s="1" t="str">
        <f ca="1">IFERROR(__xludf.DUMMYFUNCTION("GOOGLETRANSLATE(F11856, ""auto"", ""en"")
"),"In terms of functions, the machine is simply superb. But it served us for only 2 years and 2 months - the module flew. Replacing it would cost half the cost of the machine itself. Overall I have pleasant memories of her.")</f>
        <v>In terms of functions, the machine is simply superb. But it served us for only 2 years and 2 months - the module flew. Replacing it would cost half the cost of the machine itself. Overall I have pleasant memories of her.</v>
      </c>
    </row>
    <row r="11857" spans="1:9" x14ac:dyDescent="0.3">
      <c r="A11857" s="1" t="s">
        <v>61</v>
      </c>
      <c r="B11857" s="1" t="s">
        <v>224</v>
      </c>
      <c r="C11857" s="1" t="s">
        <v>257</v>
      </c>
      <c r="D11857" s="1" t="s">
        <v>52</v>
      </c>
      <c r="E11857" s="1" t="s">
        <v>391</v>
      </c>
      <c r="F11857" s="1" t="s">
        <v>16847</v>
      </c>
      <c r="G11857" s="1" t="s">
        <v>28</v>
      </c>
      <c r="H11857" s="1" t="s">
        <v>29</v>
      </c>
      <c r="I11857" s="1" t="str">
        <f ca="1">IFERROR(__xludf.DUMMYFUNCTION("GOOGLETRANSLATE(F11857, ""auto"", ""en"")
"),"It worked for six months and something stuck in it and wouldn’t turn on. The service was repaired quickly and in order! Well done!       During operation, I found a small drawback - when squeezing, the juice leaks a little onto the housing with the motor."&amp;" The rest of the design is very well thought out + impressive motor power.")</f>
        <v>It worked for six months and something stuck in it and wouldn’t turn on. The service was repaired quickly and in order! Well done!       During operation, I found a small drawback - when squeezing, the juice leaks a little onto the housing with the motor. The rest of the design is very well thought out + impressive motor power.</v>
      </c>
    </row>
    <row r="11858" spans="1:9" x14ac:dyDescent="0.3">
      <c r="A11858" s="1" t="s">
        <v>169</v>
      </c>
      <c r="B11858" s="1" t="s">
        <v>170</v>
      </c>
      <c r="C11858" s="1" t="s">
        <v>122</v>
      </c>
      <c r="D11858" s="1" t="s">
        <v>16848</v>
      </c>
      <c r="E11858" s="1" t="s">
        <v>4692</v>
      </c>
      <c r="F11858" s="1" t="s">
        <v>16849</v>
      </c>
      <c r="G11858" s="1" t="s">
        <v>36</v>
      </c>
      <c r="H11858" s="1" t="s">
        <v>29</v>
      </c>
      <c r="I11858" s="1" t="str">
        <f ca="1">IFERROR(__xludf.DUMMYFUNCTION("GOOGLETRANSLATE(F11858, ""auto"", ""en"")
"),"In general, super ears, buy it, you won’t regret it!!!")</f>
        <v>In general, super ears, buy it, you won’t regret it!!!</v>
      </c>
    </row>
    <row r="11859" spans="1:9" x14ac:dyDescent="0.3">
      <c r="A11859" s="1" t="s">
        <v>17</v>
      </c>
      <c r="B11859" s="1" t="s">
        <v>18</v>
      </c>
      <c r="C11859" s="1" t="s">
        <v>243</v>
      </c>
      <c r="D11859" s="1" t="s">
        <v>16850</v>
      </c>
      <c r="E11859" s="1" t="s">
        <v>2459</v>
      </c>
      <c r="F11859" s="1" t="s">
        <v>15489</v>
      </c>
      <c r="G11859" s="1" t="s">
        <v>36</v>
      </c>
      <c r="H11859" s="1" t="s">
        <v>29</v>
      </c>
      <c r="I11859" s="1" t="str">
        <f ca="1">IFERROR(__xludf.DUMMYFUNCTION("GOOGLETRANSLATE(F11859, ""auto"", ""en"")
"),"Compact")</f>
        <v>Compact</v>
      </c>
    </row>
    <row r="11860" spans="1:9" x14ac:dyDescent="0.3">
      <c r="A11860" s="1" t="s">
        <v>1443</v>
      </c>
      <c r="B11860" s="1" t="s">
        <v>1444</v>
      </c>
      <c r="C11860" s="1" t="s">
        <v>1489</v>
      </c>
      <c r="D11860" s="1" t="s">
        <v>16851</v>
      </c>
      <c r="E11860" s="1" t="s">
        <v>2529</v>
      </c>
      <c r="F11860" s="1" t="s">
        <v>16852</v>
      </c>
      <c r="G11860" s="1" t="s">
        <v>36</v>
      </c>
      <c r="H11860" s="1" t="s">
        <v>29</v>
      </c>
      <c r="I11860" s="1" t="str">
        <f ca="1">IFERROR(__xludf.DUMMYFUNCTION("GOOGLETRANSLATE(F11860, ""auto"", ""en"")
"),"Cool flash drive. Compact, convenient and positive. It's been working great for three years now. The speed is normal, the quality too.")</f>
        <v>Cool flash drive. Compact, convenient and positive. It's been working great for three years now. The speed is normal, the quality too.</v>
      </c>
    </row>
    <row r="11861" spans="1:9" x14ac:dyDescent="0.3">
      <c r="A11861" s="1" t="s">
        <v>211</v>
      </c>
      <c r="B11861" s="1" t="s">
        <v>789</v>
      </c>
      <c r="C11861" s="1" t="s">
        <v>69</v>
      </c>
      <c r="D11861" s="1" t="s">
        <v>1499</v>
      </c>
      <c r="E11861" s="1" t="s">
        <v>1136</v>
      </c>
      <c r="F11861" s="1" t="s">
        <v>16853</v>
      </c>
      <c r="G11861" s="1" t="s">
        <v>36</v>
      </c>
      <c r="H11861" s="1" t="s">
        <v>29</v>
      </c>
      <c r="I11861" s="1" t="str">
        <f ca="1">IFERROR(__xludf.DUMMYFUNCTION("GOOGLETRANSLATE(F11861, ""auto"", ""en"")
"),"This is just a set of thermometers, the most convenient thing for those who have a baby!")</f>
        <v>This is just a set of thermometers, the most convenient thing for those who have a baby!</v>
      </c>
    </row>
    <row r="11862" spans="1:9" x14ac:dyDescent="0.3">
      <c r="A11862" s="1" t="s">
        <v>206</v>
      </c>
      <c r="B11862" s="1" t="s">
        <v>207</v>
      </c>
      <c r="C11862" s="1" t="s">
        <v>262</v>
      </c>
      <c r="D11862" s="1" t="s">
        <v>139</v>
      </c>
      <c r="E11862" s="1" t="s">
        <v>2646</v>
      </c>
      <c r="F11862" s="1" t="s">
        <v>16854</v>
      </c>
      <c r="G11862" s="1" t="s">
        <v>28</v>
      </c>
      <c r="H11862" s="1" t="s">
        <v>29</v>
      </c>
      <c r="I11862" s="1" t="str">
        <f ca="1">IFERROR(__xludf.DUMMYFUNCTION("GOOGLETRANSLATE(F11862, ""auto"", ""en"")
"),"To be honest, when I took it, I thought I was taking a pig in a poke, but in reality it’s not so! :) The set is excellent for the money, it works 100%, I thought it would be worse, I’m completely satisfied!")</f>
        <v>To be honest, when I took it, I thought I was taking a pig in a poke, but in reality it’s not so! :) The set is excellent for the money, it works 100%, I thought it would be worse, I’m completely satisfied!</v>
      </c>
    </row>
    <row r="11863" spans="1:9" x14ac:dyDescent="0.3">
      <c r="A11863" s="1" t="s">
        <v>1174</v>
      </c>
      <c r="B11863" s="1" t="s">
        <v>1175</v>
      </c>
      <c r="C11863" s="1" t="s">
        <v>356</v>
      </c>
      <c r="D11863" s="1" t="s">
        <v>203</v>
      </c>
      <c r="E11863" s="1" t="s">
        <v>128</v>
      </c>
      <c r="F11863" s="1" t="s">
        <v>16855</v>
      </c>
      <c r="G11863" s="1" t="s">
        <v>36</v>
      </c>
      <c r="H11863" s="1" t="s">
        <v>29</v>
      </c>
      <c r="I11863" s="1" t="str">
        <f ca="1">IFERROR(__xludf.DUMMYFUNCTION("GOOGLETRANSLATE(F11863, ""auto"", ""en"")
"),"The headphones are excellent and lasted almost 2 years after the left earphone fell apart. The sound pleased me all 2 years.")</f>
        <v>The headphones are excellent and lasted almost 2 years after the left earphone fell apart. The sound pleased me all 2 years.</v>
      </c>
    </row>
    <row r="11864" spans="1:9" x14ac:dyDescent="0.3">
      <c r="A11864" s="1" t="s">
        <v>965</v>
      </c>
      <c r="B11864" s="1" t="s">
        <v>966</v>
      </c>
      <c r="C11864" s="1" t="s">
        <v>967</v>
      </c>
      <c r="D11864" s="1" t="s">
        <v>86</v>
      </c>
      <c r="E11864" s="1" t="s">
        <v>4508</v>
      </c>
      <c r="F11864" s="1" t="s">
        <v>16856</v>
      </c>
      <c r="G11864" s="1" t="s">
        <v>36</v>
      </c>
      <c r="H11864" s="1" t="s">
        <v>29</v>
      </c>
      <c r="I11864" s="1" t="str">
        <f ca="1">IFERROR(__xludf.DUMMYFUNCTION("GOOGLETRANSLATE(F11864, ""auto"", ""en"")
"),"Sound, design ")</f>
        <v xml:space="preserve">Sound, design </v>
      </c>
    </row>
    <row r="11865" spans="1:9" x14ac:dyDescent="0.3">
      <c r="A11865" s="1" t="s">
        <v>238</v>
      </c>
      <c r="B11865" s="1" t="s">
        <v>239</v>
      </c>
      <c r="C11865" s="1" t="s">
        <v>240</v>
      </c>
      <c r="D11865" s="1" t="s">
        <v>39</v>
      </c>
      <c r="E11865" s="1" t="s">
        <v>446</v>
      </c>
      <c r="F11865" s="1" t="s">
        <v>16857</v>
      </c>
      <c r="G11865" s="1" t="s">
        <v>36</v>
      </c>
      <c r="H11865" s="1" t="s">
        <v>29</v>
      </c>
      <c r="I11865" s="1" t="str">
        <f ca="1">IFERROR(__xludf.DUMMYFUNCTION("GOOGLETRANSLATE(F11865, ""auto"", ""en"")
"),"I settled on German quality. Works hard, makes little noise and has no industrial smell! I recommend it to everyone!))")</f>
        <v>I settled on German quality. Works hard, makes little noise and has no industrial smell! I recommend it to everyone!))</v>
      </c>
    </row>
    <row r="11866" spans="1:9" x14ac:dyDescent="0.3">
      <c r="A11866" s="1" t="s">
        <v>120</v>
      </c>
      <c r="B11866" s="1" t="s">
        <v>121</v>
      </c>
      <c r="C11866" s="1" t="s">
        <v>69</v>
      </c>
      <c r="D11866" s="1" t="s">
        <v>1036</v>
      </c>
      <c r="E11866" s="1" t="s">
        <v>26</v>
      </c>
      <c r="F11866" s="1" t="s">
        <v>16858</v>
      </c>
      <c r="G11866" s="1" t="s">
        <v>36</v>
      </c>
      <c r="H11866" s="1" t="s">
        <v>29</v>
      </c>
      <c r="I11866" s="1" t="str">
        <f ca="1">IFERROR(__xludf.DUMMYFUNCTION("GOOGLETRANSLATE(F11866, ""auto"", ""en"")
"),"The choice of 9604 was not spontaneous. For several months I was choosing in the price category of 40-60 tr. among LCDs from Sharp, Sony, Samsung, among Philips models. The others looked pale. In addition to outstanding technical characteristics, we can s"&amp;"ay that Philips managed to squeeze the maximum and even more out of LCD technology, and also offer its own technology - Ambilight (which others do not have). With the purchase of this TV, all films can be watched again.   Pros: 1. The quality of the pictu"&amp;"re from the air, from any source, is at a very high level (even films with the avi extension are read perfectly). I don't feel like going to the movies anymore.   2. The sound is also excellent, the dialogues are all clear (I use the sound very rarely, be"&amp;"cause the TV works in a cultural center).  3. Ambilight works wonders - you can watch movies in complete darkness without your eyes getting tired!!!  4. The remote control is very convenient and beautiful, with divided zones, it allows you to control DVD "&amp;"players of other brands.  5. Ability to play video files from a flash drive.  6. The instructions are included in the TV itself.  7. Ambilight can be turned on separately (even without turning on the TV) - it turns out to be a very stylish lamp, with comf"&amp;"ortable lighting and changeable colors in automatic and manual modes.  8. Auto format is beyond praise, a 4:3 picture adapts very comfortably to 16:9 (compare Sony - just two black bars on the sides) 9. Touch control on the TV itself (touch with a finger "&amp;"without pressing).  10. Lots of inputs and functions, including Internet connection via Wi-Fi.  IMMERSION INTO THE FILM 110%.  cons: 1. it is not possible to buy 37 inches (in our region the only seller of the 9600 series is M. Video, which does not carry"&amp;" TVs with a diagonal of 37) I had to take 32. 2. Philips 32 PFL 9604H is quite deep (compared to the ultra-thin Samsung) and this must be taken into account when purchasing mounting brackets and wires.  NO OTHER DISADVANTAGES HAVE BEEN IDENTIFIED IN SEVER"&amp;"AL MONTHS OF OPERATION.")</f>
        <v>The choice of 9604 was not spontaneous. For several months I was choosing in the price category of 40-60 tr. among LCDs from Sharp, Sony, Samsung, among Philips models. The others looked pale. In addition to outstanding technical characteristics, we can say that Philips managed to squeeze the maximum and even more out of LCD technology, and also offer its own technology - Ambilight (which others do not have). With the purchase of this TV, all films can be watched again.   Pros: 1. The quality of the picture from the air, from any source, is at a very high level (even films with the avi extension are read perfectly). I don't feel like going to the movies anymore.   2. The sound is also excellent, the dialogues are all clear (I use the sound very rarely, because the TV works in a cultural center).  3. Ambilight works wonders - you can watch movies in complete darkness without your eyes getting tired!!!  4. The remote control is very convenient and beautiful, with divided zones, it allows you to control DVD players of other brands.  5. Ability to play video files from a flash drive.  6. The instructions are included in the TV itself.  7. Ambilight can be turned on separately (even without turning on the TV) - it turns out to be a very stylish lamp, with comfortable lighting and changeable colors in automatic and manual modes.  8. Auto format is beyond praise, a 4:3 picture adapts very comfortably to 16:9 (compare Sony - just two black bars on the sides) 9. Touch control on the TV itself (touch with a finger without pressing).  10. Lots of inputs and functions, including Internet connection via Wi-Fi.  IMMERSION INTO THE FILM 110%.  cons: 1. it is not possible to buy 37 inches (in our region the only seller of the 9600 series is M. Video, which does not carry TVs with a diagonal of 37) I had to take 32. 2. Philips 32 PFL 9604H is quite deep (compared to the ultra-thin Samsung) and this must be taken into account when purchasing mounting brackets and wires.  NO OTHER DISADVANTAGES HAVE BEEN IDENTIFIED IN SEVERAL MONTHS OF OPERATION.</v>
      </c>
    </row>
    <row r="11867" spans="1:9" x14ac:dyDescent="0.3">
      <c r="A11867" s="1" t="s">
        <v>61</v>
      </c>
      <c r="B11867" s="1" t="s">
        <v>73</v>
      </c>
      <c r="C11867" s="1" t="s">
        <v>74</v>
      </c>
      <c r="D11867" s="1" t="s">
        <v>4136</v>
      </c>
      <c r="E11867" s="1" t="s">
        <v>2059</v>
      </c>
      <c r="F11867" s="1" t="s">
        <v>16859</v>
      </c>
      <c r="G11867" s="1" t="s">
        <v>36</v>
      </c>
      <c r="H11867" s="1" t="s">
        <v>29</v>
      </c>
      <c r="I11867" s="1" t="str">
        <f ca="1">IFERROR(__xludf.DUMMYFUNCTION("GOOGLETRANSLATE(F11867, ""auto"", ""en"")
"),"I agree with Oleg...we’ve been using it for 4 years...so far so good.")</f>
        <v>I agree with Oleg...we’ve been using it for 4 years...so far so good.</v>
      </c>
    </row>
    <row r="11868" spans="1:9" x14ac:dyDescent="0.3">
      <c r="A11868" s="1" t="s">
        <v>95</v>
      </c>
      <c r="B11868" s="1" t="s">
        <v>486</v>
      </c>
      <c r="C11868" s="1" t="s">
        <v>487</v>
      </c>
      <c r="D11868" s="1" t="s">
        <v>152</v>
      </c>
      <c r="E11868" s="1" t="s">
        <v>12335</v>
      </c>
      <c r="F11868" s="1" t="s">
        <v>16860</v>
      </c>
      <c r="G11868" s="1" t="s">
        <v>36</v>
      </c>
      <c r="H11868" s="1" t="s">
        <v>29</v>
      </c>
      <c r="I11868" s="1" t="str">
        <f ca="1">IFERROR(__xludf.DUMMYFUNCTION("GOOGLETRANSLATE(F11868, ""auto"", ""en"")
"),"I bought it recently, so far I’m happy, it doesn’t scratch the wheels.")</f>
        <v>I bought it recently, so far I’m happy, it doesn’t scratch the wheels.</v>
      </c>
    </row>
    <row r="11869" spans="1:9" x14ac:dyDescent="0.3">
      <c r="A11869" s="1" t="s">
        <v>211</v>
      </c>
      <c r="B11869" s="1" t="s">
        <v>265</v>
      </c>
      <c r="C11869" s="1" t="s">
        <v>294</v>
      </c>
      <c r="D11869" s="1" t="s">
        <v>152</v>
      </c>
      <c r="E11869" s="1" t="s">
        <v>2855</v>
      </c>
      <c r="F11869" s="1" t="s">
        <v>1693</v>
      </c>
      <c r="G11869" s="1" t="s">
        <v>28</v>
      </c>
      <c r="H11869" s="1" t="s">
        <v>29</v>
      </c>
      <c r="I11869" s="1" t="str">
        <f ca="1">IFERROR(__xludf.DUMMYFUNCTION("GOOGLETRANSLATE(F11869, ""auto"", ""en"")
"),"Price")</f>
        <v>Price</v>
      </c>
    </row>
    <row r="11870" spans="1:9" x14ac:dyDescent="0.3">
      <c r="A11870" s="1" t="s">
        <v>211</v>
      </c>
      <c r="B11870" s="1" t="s">
        <v>212</v>
      </c>
      <c r="C11870" s="1" t="s">
        <v>745</v>
      </c>
      <c r="D11870" s="1" t="s">
        <v>589</v>
      </c>
      <c r="E11870" s="1" t="s">
        <v>8151</v>
      </c>
      <c r="F11870" s="1" t="s">
        <v>16861</v>
      </c>
      <c r="G11870" s="1" t="s">
        <v>36</v>
      </c>
      <c r="H11870" s="1" t="s">
        <v>29</v>
      </c>
      <c r="I11870" s="1" t="str">
        <f ca="1">IFERROR(__xludf.DUMMYFUNCTION("GOOGLETRANSLATE(F11870, ""auto"", ""en"")
"),"It doesn't require a hairdryer, it's as convenient as a two-in-one comb")</f>
        <v>It doesn't require a hairdryer, it's as convenient as a two-in-one comb</v>
      </c>
    </row>
    <row r="11871" spans="1:9" x14ac:dyDescent="0.3">
      <c r="A11871" s="1" t="s">
        <v>17</v>
      </c>
      <c r="B11871" s="1" t="s">
        <v>18</v>
      </c>
      <c r="C11871" s="1" t="s">
        <v>243</v>
      </c>
      <c r="D11871" s="1" t="s">
        <v>64</v>
      </c>
      <c r="E11871" s="1" t="s">
        <v>3186</v>
      </c>
      <c r="F11871" s="1" t="s">
        <v>16862</v>
      </c>
      <c r="G11871" s="1" t="s">
        <v>36</v>
      </c>
      <c r="H11871" s="1" t="s">
        <v>29</v>
      </c>
      <c r="I11871" s="1" t="str">
        <f ca="1">IFERROR(__xludf.DUMMYFUNCTION("GOOGLETRANSLATE(F11871, ""auto"", ""en"")
"),"Great machine")</f>
        <v>Great machine</v>
      </c>
    </row>
    <row r="11872" spans="1:9" x14ac:dyDescent="0.3">
      <c r="A11872" s="1" t="s">
        <v>9</v>
      </c>
      <c r="B11872" s="1" t="s">
        <v>10</v>
      </c>
      <c r="C11872" s="1" t="s">
        <v>466</v>
      </c>
      <c r="D11872" s="1" t="s">
        <v>1042</v>
      </c>
      <c r="E11872" s="1" t="s">
        <v>692</v>
      </c>
      <c r="F11872" s="1" t="s">
        <v>16863</v>
      </c>
      <c r="G11872" s="1" t="s">
        <v>36</v>
      </c>
      <c r="H11872" s="1" t="s">
        <v>29</v>
      </c>
      <c r="I11872" s="1" t="str">
        <f ca="1">IFERROR(__xludf.DUMMYFUNCTION("GOOGLETRANSLATE(F11872, ""auto"", ""en"")
"),"We've been looking for a hood for a cabinet for a long time, we don't have much space, so we're fighting for every centimeter. My parents have had almost the same crown for 3 years and no problems at all. Another advantage of this model is that it has a r"&amp;"etractable part, so you can adjust the absorption area above the stove. If you wish, you can install a carbon filter, it is inexpensive for this model, but we can do without it for now; there are no odors from the kitchen into the rooms during cooking.")</f>
        <v>We've been looking for a hood for a cabinet for a long time, we don't have much space, so we're fighting for every centimeter. My parents have had almost the same crown for 3 years and no problems at all. Another advantage of this model is that it has a retractable part, so you can adjust the absorption area above the stove. If you wish, you can install a carbon filter, it is inexpensive for this model, but we can do without it for now; there are no odors from the kitchen into the rooms during cooking.</v>
      </c>
    </row>
    <row r="11873" spans="1:9" x14ac:dyDescent="0.3">
      <c r="A11873" s="1" t="s">
        <v>30</v>
      </c>
      <c r="B11873" s="1" t="s">
        <v>50</v>
      </c>
      <c r="C11873" s="1" t="s">
        <v>1003</v>
      </c>
      <c r="D11873" s="1" t="s">
        <v>8940</v>
      </c>
      <c r="E11873" s="1" t="s">
        <v>5798</v>
      </c>
      <c r="F11873" s="1" t="s">
        <v>16864</v>
      </c>
      <c r="G11873" s="1" t="s">
        <v>36</v>
      </c>
      <c r="H11873" s="1" t="s">
        <v>29</v>
      </c>
      <c r="I11873" s="1" t="str">
        <f ca="1">IFERROR(__xludf.DUMMYFUNCTION("GOOGLETRANSLATE(F11873, ""auto"", ""en"")
"),"very cool) I love him =-)))))")</f>
        <v>very cool) I love him =-)))))</v>
      </c>
    </row>
    <row r="11874" spans="1:9" x14ac:dyDescent="0.3">
      <c r="A11874" s="1" t="s">
        <v>211</v>
      </c>
      <c r="B11874" s="1" t="s">
        <v>265</v>
      </c>
      <c r="C11874" s="1" t="s">
        <v>122</v>
      </c>
      <c r="D11874" s="1" t="s">
        <v>2217</v>
      </c>
      <c r="E11874" s="1" t="s">
        <v>1376</v>
      </c>
      <c r="F11874" s="1" t="s">
        <v>16865</v>
      </c>
      <c r="G11874" s="1" t="s">
        <v>28</v>
      </c>
      <c r="H11874" s="1" t="s">
        <v>29</v>
      </c>
      <c r="I11874" s="1" t="str">
        <f ca="1">IFERROR(__xludf.DUMMYFUNCTION("GOOGLETRANSLATE(F11874, ""auto"", ""en"")
"),"+: Elegant, comfortable shape, because... Bought it for my wife to cut her hair, it fits perfectly in a woman's hands.  The blade block is easy to remove, easy to clean, no hair gets into the body. Lubricating oil is included.  Can work from the network. "&amp;" -: long charging time 8 hours.  There is no nozzle larger than 12mm, but we don’t need it.    Over time, most likely you won’t be able to buy a battery, but I think it will be possible to re-solder a regular AA AA battery.    According to the calculation"&amp;"s in the operating instructions (cutting time 12 minutes), the blade should last for the entire life of the machine - 37 years when cutting once a month, back and forth exactly 10 years.")</f>
        <v>+: Elegant, comfortable shape, because... Bought it for my wife to cut her hair, it fits perfectly in a woman's hands.  The blade block is easy to remove, easy to clean, no hair gets into the body. Lubricating oil is included.  Can work from the network.  -: long charging time 8 hours.  There is no nozzle larger than 12mm, but we don’t need it.    Over time, most likely you won’t be able to buy a battery, but I think it will be possible to re-solder a regular AA AA battery.    According to the calculations in the operating instructions (cutting time 12 minutes), the blade should last for the entire life of the machine - 37 years when cutting once a month, back and forth exactly 10 years.</v>
      </c>
    </row>
    <row r="11875" spans="1:9" x14ac:dyDescent="0.3">
      <c r="A11875" s="1" t="s">
        <v>1031</v>
      </c>
      <c r="B11875" s="1" t="s">
        <v>1032</v>
      </c>
      <c r="C11875" s="1" t="s">
        <v>6206</v>
      </c>
      <c r="D11875" s="1" t="s">
        <v>411</v>
      </c>
      <c r="E11875" s="1" t="s">
        <v>3320</v>
      </c>
      <c r="F11875" s="1" t="s">
        <v>16866</v>
      </c>
      <c r="G11875" s="1" t="s">
        <v>36</v>
      </c>
      <c r="H11875" s="1" t="s">
        <v>29</v>
      </c>
      <c r="I11875" s="1" t="str">
        <f ca="1">IFERROR(__xludf.DUMMYFUNCTION("GOOGLETRANSLATE(F11875, ""auto"", ""en"")
"),"Great stuff. I use it to turn the electric engine heater on and off in the garage. The garage is made of metal, but the timer is not affected by frost.")</f>
        <v>Great stuff. I use it to turn the electric engine heater on and off in the garage. The garage is made of metal, but the timer is not affected by frost.</v>
      </c>
    </row>
    <row r="11876" spans="1:9" x14ac:dyDescent="0.3">
      <c r="A11876" s="1" t="s">
        <v>78</v>
      </c>
      <c r="B11876" s="1" t="s">
        <v>493</v>
      </c>
      <c r="C11876" s="1" t="s">
        <v>80</v>
      </c>
      <c r="D11876" s="1" t="s">
        <v>75</v>
      </c>
      <c r="E11876" s="1" t="s">
        <v>755</v>
      </c>
      <c r="F11876" s="1" t="s">
        <v>16867</v>
      </c>
      <c r="G11876" s="1" t="s">
        <v>28</v>
      </c>
      <c r="H11876" s="1" t="s">
        <v>29</v>
      </c>
      <c r="I11876" s="1" t="str">
        <f ca="1">IFERROR(__xludf.DUMMYFUNCTION("GOOGLETRANSLATE(F11876, ""auto"", ""en"")
"),"Not a bad microwave, performs its functions 4 out of 5 points. Microwave power is only 900 W, which is not very much for modern microwave ovens; 5 operating modes; total of 5 automatic programs.")</f>
        <v>Not a bad microwave, performs its functions 4 out of 5 points. Microwave power is only 900 W, which is not very much for modern microwave ovens; 5 operating modes; total of 5 automatic programs.</v>
      </c>
    </row>
    <row r="11877" spans="1:9" x14ac:dyDescent="0.3">
      <c r="A11877" s="1" t="s">
        <v>89</v>
      </c>
      <c r="B11877" s="1" t="s">
        <v>90</v>
      </c>
      <c r="C11877" s="1" t="s">
        <v>745</v>
      </c>
      <c r="D11877" s="1" t="s">
        <v>474</v>
      </c>
      <c r="E11877" s="1" t="s">
        <v>16868</v>
      </c>
      <c r="F11877" s="1" t="s">
        <v>16869</v>
      </c>
      <c r="G11877" s="1" t="s">
        <v>36</v>
      </c>
      <c r="H11877" s="1" t="s">
        <v>29</v>
      </c>
      <c r="I11877" s="1" t="str">
        <f ca="1">IFERROR(__xludf.DUMMYFUNCTION("GOOGLETRANSLATE(F11877, ""auto"", ""en"")
"),"I came to buy the cheapest coffee grinder for rare use - for powdered sugar, I don’t drink coffee at all. , I had a 500 bonus discount, it has worked all these years without any complaints, looks nice, and is easy to clean. I also use flax seed in it))) t"&amp;"hese are the two products for which I need it...")</f>
        <v>I came to buy the cheapest coffee grinder for rare use - for powdered sugar, I don’t drink coffee at all. , I had a 500 bonus discount, it has worked all these years without any complaints, looks nice, and is easy to clean. I also use flax seed in it))) these are the two products for which I need it...</v>
      </c>
    </row>
    <row r="11878" spans="1:9" x14ac:dyDescent="0.3">
      <c r="A11878" s="1" t="s">
        <v>105</v>
      </c>
      <c r="B11878" s="1" t="s">
        <v>106</v>
      </c>
      <c r="C11878" s="1" t="s">
        <v>1526</v>
      </c>
      <c r="D11878" s="1" t="s">
        <v>114</v>
      </c>
      <c r="E11878" s="1" t="s">
        <v>4012</v>
      </c>
      <c r="F11878" s="1" t="s">
        <v>16870</v>
      </c>
      <c r="G11878" s="1" t="s">
        <v>36</v>
      </c>
      <c r="H11878" s="1" t="s">
        <v>29</v>
      </c>
      <c r="I11878" s="1" t="str">
        <f ca="1">IFERROR(__xludf.DUMMYFUNCTION("GOOGLETRANSLATE(F11878, ""auto"", ""en"")
"),"I bought myself an E30 2Gb with slightly more modest functions than the E50, but I’m very pleased with the player; the battery died 3 weeks after charging during active listening.  + There are no complaints about the sound; I fiddled with one equalizer fo"&amp;"r a very long time; with excellent headphones, you can achieve a three-dimensional sound effect, but I settled on the Rock equalizer, which is more familiar and better in my opinion.   + About the video (I answer KeShe) it shows everything, you just need "&amp;"to install the utility on the included Movie Converter disk in the Select Device tab, select E50 and convert it to the SMV format (file with the SMV extension), save the resulting file in the player in the folder with the video and watch. When watching a "&amp;"video, the battery drains MULTIPLE faster.  Best regards, Ivan.")</f>
        <v>I bought myself an E30 2Gb with slightly more modest functions than the E50, but I’m very pleased with the player; the battery died 3 weeks after charging during active listening.  + There are no complaints about the sound; I fiddled with one equalizer for a very long time; with excellent headphones, you can achieve a three-dimensional sound effect, but I settled on the Rock equalizer, which is more familiar and better in my opinion.   + About the video (I answer KeShe) it shows everything, you just need to install the utility on the included Movie Converter disk in the Select Device tab, select E50 and convert it to the SMV format (file with the SMV extension), save the resulting file in the player in the folder with the video and watch. When watching a video, the battery drains MULTIPLE faster.  Best regards, Ivan.</v>
      </c>
    </row>
    <row r="11879" spans="1:9" x14ac:dyDescent="0.3">
      <c r="A11879" s="1" t="s">
        <v>105</v>
      </c>
      <c r="B11879" s="1" t="s">
        <v>106</v>
      </c>
      <c r="C11879" s="1" t="s">
        <v>69</v>
      </c>
      <c r="D11879" s="1" t="s">
        <v>232</v>
      </c>
      <c r="E11879" s="1" t="s">
        <v>357</v>
      </c>
      <c r="F11879" s="1" t="s">
        <v>16871</v>
      </c>
      <c r="G11879" s="1" t="s">
        <v>28</v>
      </c>
      <c r="H11879" s="1" t="s">
        <v>29</v>
      </c>
      <c r="I11879" s="1" t="str">
        <f ca="1">IFERROR(__xludf.DUMMYFUNCTION("GOOGLETRANSLATE(F11879, ""auto"", ""en"")
"),"A normal player, the sound is good, but sometimes it reboots on its own, for that kind of money it will do.")</f>
        <v>A normal player, the sound is good, but sometimes it reboots on its own, for that kind of money it will do.</v>
      </c>
    </row>
    <row r="11880" spans="1:9" x14ac:dyDescent="0.3">
      <c r="A11880" s="1" t="s">
        <v>30</v>
      </c>
      <c r="B11880" s="1" t="s">
        <v>50</v>
      </c>
      <c r="C11880" s="1" t="s">
        <v>51</v>
      </c>
      <c r="D11880" s="1" t="s">
        <v>3858</v>
      </c>
      <c r="E11880" s="1" t="s">
        <v>3184</v>
      </c>
      <c r="F11880" s="1" t="s">
        <v>16872</v>
      </c>
      <c r="G11880" s="1" t="s">
        <v>36</v>
      </c>
      <c r="H11880" s="1" t="s">
        <v>29</v>
      </c>
      <c r="I11880" s="1" t="str">
        <f ca="1">IFERROR(__xludf.DUMMYFUNCTION("GOOGLETRANSLATE(F11880, ""auto"", ""en"")
"),"So far I'm happy with everything. Works like a clock and pleases with performance. There is an optical audio output and space for a second screw. I haven’t installed the second screw yet, but I did make a slide for it :) The negative review about the burn"&amp;"t bridge certainly frightened me, but something is fishy here. Because half of what has been written - about finding firewood for a video - is outright heresy.   And one more thing - the laptop is not warm at all! Only a couple of hours of racket will som"&amp;"ehow warm it up... I swapped my old Toshiba A100-002 for it. Tosha, of course, was a higher class, and this can be seen from the build quality, but overall I give the laptop a 5 with a minus. And if you consider the price - 5 plus!")</f>
        <v>So far I'm happy with everything. Works like a clock and pleases with performance. There is an optical audio output and space for a second screw. I haven’t installed the second screw yet, but I did make a slide for it :) The negative review about the burnt bridge certainly frightened me, but something is fishy here. Because half of what has been written - about finding firewood for a video - is outright heresy.   And one more thing - the laptop is not warm at all! Only a couple of hours of racket will somehow warm it up... I swapped my old Toshiba A100-002 for it. Tosha, of course, was a higher class, and this can be seen from the build quality, but overall I give the laptop a 5 with a minus. And if you consider the price - 5 plus!</v>
      </c>
    </row>
    <row r="11881" spans="1:9" x14ac:dyDescent="0.3">
      <c r="A11881" s="1" t="s">
        <v>120</v>
      </c>
      <c r="B11881" s="1" t="s">
        <v>121</v>
      </c>
      <c r="C11881" s="1" t="s">
        <v>80</v>
      </c>
      <c r="D11881" s="1" t="s">
        <v>1092</v>
      </c>
      <c r="E11881" s="1" t="s">
        <v>3073</v>
      </c>
      <c r="F11881" s="1" t="s">
        <v>16873</v>
      </c>
      <c r="G11881" s="1" t="s">
        <v>36</v>
      </c>
      <c r="H11881" s="1" t="s">
        <v>29</v>
      </c>
      <c r="I11881" s="1" t="str">
        <f ca="1">IFERROR(__xludf.DUMMYFUNCTION("GOOGLETRANSLATE(F11881, ""auto"", ""en"")
"),"I bought it a week ago, everything suited me very well. Good image, convenient remote control. Digital tuner for the future. In general, I’m satisfied. I recommend it.")</f>
        <v>I bought it a week ago, everything suited me very well. Good image, convenient remote control. Digital tuner for the future. In general, I’m satisfied. I recommend it.</v>
      </c>
    </row>
    <row r="11882" spans="1:9" x14ac:dyDescent="0.3">
      <c r="A11882" s="1" t="s">
        <v>211</v>
      </c>
      <c r="B11882" s="1" t="s">
        <v>212</v>
      </c>
      <c r="C11882" s="1" t="s">
        <v>266</v>
      </c>
      <c r="D11882" s="1" t="s">
        <v>521</v>
      </c>
      <c r="E11882" s="1" t="s">
        <v>2341</v>
      </c>
      <c r="F11882" s="1" t="s">
        <v>16874</v>
      </c>
      <c r="G11882" s="1" t="s">
        <v>36</v>
      </c>
      <c r="H11882" s="1" t="s">
        <v>29</v>
      </c>
      <c r="I11882" s="1" t="str">
        <f ca="1">IFERROR(__xludf.DUMMYFUNCTION("GOOGLETRANSLATE(F11882, ""auto"", ""en"")
"),"Cool thing!!! So far I have only tried one attachment for corrugation, but the impressions are already positive))) The waves are made quickly, hold for 10 seconds - and you’re done))) And you won’t get burned, since the outer part of the attachment is pla"&amp;"stic))) So the price-functionality-quality ratio is 5+!!!")</f>
        <v>Cool thing!!! So far I have only tried one attachment for corrugation, but the impressions are already positive))) The waves are made quickly, hold for 10 seconds - and you’re done))) And you won’t get burned, since the outer part of the attachment is plastic))) So the price-functionality-quality ratio is 5+!!!</v>
      </c>
    </row>
    <row r="11883" spans="1:9" x14ac:dyDescent="0.3">
      <c r="A11883" s="1" t="s">
        <v>9</v>
      </c>
      <c r="B11883" s="1" t="s">
        <v>10</v>
      </c>
      <c r="C11883" s="1" t="s">
        <v>407</v>
      </c>
      <c r="D11883" s="1" t="s">
        <v>1055</v>
      </c>
      <c r="E11883" s="1" t="s">
        <v>1529</v>
      </c>
      <c r="F11883" s="1" t="s">
        <v>16875</v>
      </c>
      <c r="G11883" s="1" t="s">
        <v>15</v>
      </c>
      <c r="H11883" s="1" t="s">
        <v>16</v>
      </c>
      <c r="I11883" s="1" t="str">
        <f ca="1">IFERROR(__xludf.DUMMYFUNCTION("GOOGLETRANSLATE(F11883, ""auto"", ""en"")
"),"The hood itself is good, it makes noise, yes, but not so much that you can’t hear anything and only at the highest speed. It took us a long time to choose, I liked the appearance, it suited the kitchen very well. Everything was fine, until one fine day th"&amp;"e glass seemed to explode, the hob and countertop were not damaged, thank God, but it was not pleasant, and it’s good that at that moment no one was in the kitchen. At first we thought that another meteorite had flown by))))). When we looked at the review"&amp;"s, for some reason we didn’t see such optimistic ones, now the hood has been in a state of repair for several weeks now and it’s not clear when it will end. Everyone is pushing responsibility onto each other, which again means time, money and nerves.")</f>
        <v>The hood itself is good, it makes noise, yes, but not so much that you can’t hear anything and only at the highest speed. It took us a long time to choose, I liked the appearance, it suited the kitchen very well. Everything was fine, until one fine day the glass seemed to explode, the hob and countertop were not damaged, thank God, but it was not pleasant, and it’s good that at that moment no one was in the kitchen. At first we thought that another meteorite had flown by))))). When we looked at the reviews, for some reason we didn’t see such optimistic ones, now the hood has been in a state of repair for several weeks now and it’s not clear when it will end. Everyone is pushing responsibility onto each other, which again means time, money and nerves.</v>
      </c>
    </row>
    <row r="11884" spans="1:9" x14ac:dyDescent="0.3">
      <c r="A11884" s="1" t="s">
        <v>369</v>
      </c>
      <c r="B11884" s="1" t="s">
        <v>370</v>
      </c>
      <c r="C11884" s="1" t="s">
        <v>588</v>
      </c>
      <c r="D11884" s="1" t="s">
        <v>247</v>
      </c>
      <c r="E11884" s="1" t="s">
        <v>8317</v>
      </c>
      <c r="F11884" s="1" t="s">
        <v>16876</v>
      </c>
      <c r="G11884" s="1" t="s">
        <v>36</v>
      </c>
      <c r="H11884" s="1" t="s">
        <v>29</v>
      </c>
      <c r="I11884" s="1" t="str">
        <f ca="1">IFERROR(__xludf.DUMMYFUNCTION("GOOGLETRANSLATE(F11884, ""auto"", ""en"")
"),"As they say - you don’t have to do it once in a while! We really liked the stove. The box at the bottom doesn't come off. The burners heat up quickly and the oven is excellent. I'm very pleased with the grill. We got it at a discount, and even an addition"&amp;"al discount for the old stove. Thank you, M-Video.")</f>
        <v>As they say - you don’t have to do it once in a while! We really liked the stove. The box at the bottom doesn't come off. The burners heat up quickly and the oven is excellent. I'm very pleased with the grill. We got it at a discount, and even an additional discount for the old stove. Thank you, M-Video.</v>
      </c>
    </row>
    <row r="11885" spans="1:9" x14ac:dyDescent="0.3">
      <c r="A11885" s="1" t="s">
        <v>17</v>
      </c>
      <c r="B11885" s="1" t="s">
        <v>18</v>
      </c>
      <c r="C11885" s="1" t="s">
        <v>151</v>
      </c>
      <c r="D11885" s="1" t="s">
        <v>5491</v>
      </c>
      <c r="E11885" s="1" t="s">
        <v>14175</v>
      </c>
      <c r="F11885" s="1" t="s">
        <v>16877</v>
      </c>
      <c r="G11885" s="1" t="s">
        <v>15</v>
      </c>
      <c r="H11885" s="1" t="s">
        <v>16</v>
      </c>
      <c r="I11885" s="1" t="str">
        <f ca="1">IFERROR(__xludf.DUMMYFUNCTION("GOOGLETRANSLATE(F11885, ""auto"", ""en"")
"),"Silver with a large hatch, narrow, with an attractive appearance. Disadvantages: - the drum does not correspond to the declared 6 kg;  -during the spin cycle, it jumps around the bathroom, despite the presence of additionally purchased legs, you have to r"&amp;"emove everything from the machine;  - rinses the laundry poorly, some pieces of either dust or rags remain. You have to turn on additional rinsing;  - when washing, all the laundry gets tangled either in the duvet cover or in the sheet;  - washing modes a"&amp;"re not measured: either too short or too long;  -no half load mode;  -the specified laundry pre-balancing function is missing (doesn’t work??).;  I don’t recommend it to anyone, the only plus is the appearance.")</f>
        <v>Silver with a large hatch, narrow, with an attractive appearance. Disadvantages: - the drum does not correspond to the declared 6 kg;  -during the spin cycle, it jumps around the bathroom, despite the presence of additionally purchased legs, you have to remove everything from the machine;  - rinses the laundry poorly, some pieces of either dust or rags remain. You have to turn on additional rinsing;  - when washing, all the laundry gets tangled either in the duvet cover or in the sheet;  - washing modes are not measured: either too short or too long;  -no half load mode;  -the specified laundry pre-balancing function is missing (doesn’t work??).;  I don’t recommend it to anyone, the only plus is the appearance.</v>
      </c>
    </row>
    <row r="11886" spans="1:9" x14ac:dyDescent="0.3">
      <c r="A11886" s="1" t="s">
        <v>30</v>
      </c>
      <c r="B11886" s="1" t="s">
        <v>50</v>
      </c>
      <c r="C11886" s="1" t="s">
        <v>32</v>
      </c>
      <c r="D11886" s="1" t="s">
        <v>152</v>
      </c>
      <c r="E11886" s="1" t="s">
        <v>271</v>
      </c>
      <c r="F11886" s="1" t="s">
        <v>16878</v>
      </c>
      <c r="G11886" s="1" t="s">
        <v>36</v>
      </c>
      <c r="H11886" s="1" t="s">
        <v>29</v>
      </c>
      <c r="I11886" s="1" t="str">
        <f ca="1">IFERROR(__xludf.DUMMYFUNCTION("GOOGLETRANSLATE(F11886, ""auto"", ""en"")
"),"Screen, Excellent screen!!!, bright and juicy, LED. Nice design, but it's not for everyone. They write lies about toys! If you can play CoD4 and the like at 1024*768 on minimum graphics settings, then you can watch the slides. If you want to play, take a "&amp;"PS3 or a regular computer. There is no need to expect a revolution for games from beech. And it’s an excellent homemade beech tree.... 17 inches is not too heavy to carry around.")</f>
        <v>Screen, Excellent screen!!!, bright and juicy, LED. Nice design, but it's not for everyone. They write lies about toys! If you can play CoD4 and the like at 1024*768 on minimum graphics settings, then you can watch the slides. If you want to play, take a PS3 or a regular computer. There is no need to expect a revolution for games from beech. And it’s an excellent homemade beech tree.... 17 inches is not too heavy to carry around.</v>
      </c>
    </row>
    <row r="11887" spans="1:9" x14ac:dyDescent="0.3">
      <c r="A11887" s="1" t="s">
        <v>67</v>
      </c>
      <c r="B11887" s="1" t="s">
        <v>68</v>
      </c>
      <c r="C11887" s="1" t="s">
        <v>101</v>
      </c>
      <c r="D11887" s="1" t="s">
        <v>633</v>
      </c>
      <c r="E11887" s="1" t="s">
        <v>5796</v>
      </c>
      <c r="F11887" s="1" t="s">
        <v>16879</v>
      </c>
      <c r="G11887" s="1" t="s">
        <v>28</v>
      </c>
      <c r="H11887" s="1" t="s">
        <v>29</v>
      </c>
      <c r="I11887" s="1" t="str">
        <f ca="1">IFERROR(__xludf.DUMMYFUNCTION("GOOGLETRANSLATE(F11887, ""auto"", ""en"")
"),"For this size and price, the iron is simply excellent, exceeding all my expectations. It really steams and irons well. I even use it at home, but I always take it on trips too!")</f>
        <v>For this size and price, the iron is simply excellent, exceeding all my expectations. It really steams and irons well. I even use it at home, but I always take it on trips too!</v>
      </c>
    </row>
    <row r="11888" spans="1:9" x14ac:dyDescent="0.3">
      <c r="A11888" s="1" t="s">
        <v>95</v>
      </c>
      <c r="B11888" s="1" t="s">
        <v>648</v>
      </c>
      <c r="C11888" s="1" t="s">
        <v>97</v>
      </c>
      <c r="D11888" s="1" t="s">
        <v>171</v>
      </c>
      <c r="E11888" s="1" t="s">
        <v>2533</v>
      </c>
      <c r="F11888" s="1" t="s">
        <v>16880</v>
      </c>
      <c r="G11888" s="1" t="s">
        <v>49</v>
      </c>
      <c r="H11888" s="1" t="s">
        <v>16</v>
      </c>
      <c r="I11888" s="1" t="str">
        <f ca="1">IFERROR(__xludf.DUMMYFUNCTION("GOOGLETRANSLATE(F11888, ""auto"", ""en"")
"),"The product is terrible, I don’t recommend it, it worked for three days and then all the games crashed, I couldn’t fix it, after 3 months it stopped working :-(")</f>
        <v>The product is terrible, I don’t recommend it, it worked for three days and then all the games crashed, I couldn’t fix it, after 3 months it stopped working :-(</v>
      </c>
    </row>
    <row r="11889" spans="1:9" x14ac:dyDescent="0.3">
      <c r="A11889" s="1" t="s">
        <v>89</v>
      </c>
      <c r="B11889" s="1" t="s">
        <v>90</v>
      </c>
      <c r="C11889" s="1" t="s">
        <v>85</v>
      </c>
      <c r="D11889" s="1" t="s">
        <v>52</v>
      </c>
      <c r="E11889" s="1" t="s">
        <v>16881</v>
      </c>
      <c r="F11889" s="1" t="s">
        <v>16882</v>
      </c>
      <c r="G11889" s="1" t="s">
        <v>28</v>
      </c>
      <c r="H11889" s="1" t="s">
        <v>29</v>
      </c>
      <c r="I11889" s="1" t="str">
        <f ca="1">IFERROR(__xludf.DUMMYFUNCTION("GOOGLETRANSLATE(F11889, ""auto"", ""en"")
"),"A very good coffee grinder, I’ve been using it for about 2 years, good design and functionality. But as already mentioned, there is a drawback - an inaccurate time control. The problem can be solved with a regular stopwatch (turn it on yourself, turn it o"&amp;"ff yourself).")</f>
        <v>A very good coffee grinder, I’ve been using it for about 2 years, good design and functionality. But as already mentioned, there is a drawback - an inaccurate time control. The problem can be solved with a regular stopwatch (turn it on yourself, turn it off yourself).</v>
      </c>
    </row>
    <row r="11890" spans="1:9" x14ac:dyDescent="0.3">
      <c r="A11890" s="1" t="s">
        <v>211</v>
      </c>
      <c r="B11890" s="1" t="s">
        <v>856</v>
      </c>
      <c r="C11890" s="1" t="s">
        <v>57</v>
      </c>
      <c r="D11890" s="1" t="s">
        <v>1890</v>
      </c>
      <c r="E11890" s="1" t="s">
        <v>2388</v>
      </c>
      <c r="F11890" s="1" t="s">
        <v>16883</v>
      </c>
      <c r="G11890" s="1" t="s">
        <v>36</v>
      </c>
      <c r="H11890" s="1" t="s">
        <v>29</v>
      </c>
      <c r="I11890" s="1" t="str">
        <f ca="1">IFERROR(__xludf.DUMMYFUNCTION("GOOGLETRANSLATE(F11890, ""auto"", ""en"")
"),"I really liked this set. Although I was very wary of customer reviews that it lacked power, however, I decided to take a risk and did not miss. There is no need to apply too much pressure during operation! The device is designed in such a way that a light"&amp;" touch is enough to have an effect. Read the instructions carefully, and then you will not be disappointed.")</f>
        <v>I really liked this set. Although I was very wary of customer reviews that it lacked power, however, I decided to take a risk and did not miss. There is no need to apply too much pressure during operation! The device is designed in such a way that a light touch is enough to have an effect. Read the instructions carefully, and then you will not be disappointed.</v>
      </c>
    </row>
    <row r="11891" spans="1:9" x14ac:dyDescent="0.3">
      <c r="A11891" s="1" t="s">
        <v>61</v>
      </c>
      <c r="B11891" s="1" t="s">
        <v>318</v>
      </c>
      <c r="C11891" s="1" t="s">
        <v>69</v>
      </c>
      <c r="D11891" s="1" t="s">
        <v>411</v>
      </c>
      <c r="E11891" s="1" t="s">
        <v>443</v>
      </c>
      <c r="F11891" s="1" t="s">
        <v>16884</v>
      </c>
      <c r="G11891" s="1" t="s">
        <v>36</v>
      </c>
      <c r="H11891" s="1" t="s">
        <v>29</v>
      </c>
      <c r="I11891" s="1" t="str">
        <f ca="1">IFERROR(__xludf.DUMMYFUNCTION("GOOGLETRANSLATE(F11891, ""auto"", ""en"")
"),"I bought it today for 790 rubles, I was won over by Polish production. Judging by the reviews, I think I made the right choice. The fact that it’s 1.5 liters isn’t scary, it’s a pity that it doesn’t have a power indicator, I hope it won’t leak like Muline"&amp;"x, although with a 2-year warranty it’s not scary!")</f>
        <v>I bought it today for 790 rubles, I was won over by Polish production. Judging by the reviews, I think I made the right choice. The fact that it’s 1.5 liters isn’t scary, it’s a pity that it doesn’t have a power indicator, I hope it won’t leak like Mulinex, although with a 2-year warranty it’s not scary!</v>
      </c>
    </row>
    <row r="11892" spans="1:9" x14ac:dyDescent="0.3">
      <c r="A11892" s="1" t="s">
        <v>369</v>
      </c>
      <c r="B11892" s="1" t="s">
        <v>587</v>
      </c>
      <c r="C11892" s="1" t="s">
        <v>63</v>
      </c>
      <c r="D11892" s="1" t="s">
        <v>81</v>
      </c>
      <c r="E11892" s="1" t="s">
        <v>16885</v>
      </c>
      <c r="F11892" s="1" t="s">
        <v>16886</v>
      </c>
      <c r="G11892" s="1" t="s">
        <v>36</v>
      </c>
      <c r="H11892" s="1" t="s">
        <v>29</v>
      </c>
      <c r="I11892" s="1" t="str">
        <f ca="1">IFERROR(__xludf.DUMMYFUNCTION("GOOGLETRANSLATE(F11892, ""auto"", ""en"")
"),"We got it on sale for 24,000. The oven is super! Probably the best in its class.")</f>
        <v>We got it on sale for 24,000. The oven is super! Probably the best in its class.</v>
      </c>
    </row>
    <row r="11893" spans="1:9" x14ac:dyDescent="0.3">
      <c r="A11893" s="1" t="s">
        <v>120</v>
      </c>
      <c r="B11893" s="1" t="s">
        <v>256</v>
      </c>
      <c r="C11893" s="1" t="s">
        <v>69</v>
      </c>
      <c r="D11893" s="1" t="s">
        <v>16887</v>
      </c>
      <c r="E11893" s="1" t="s">
        <v>750</v>
      </c>
      <c r="F11893" s="1" t="s">
        <v>16888</v>
      </c>
      <c r="G11893" s="1" t="s">
        <v>15</v>
      </c>
      <c r="H11893" s="1" t="s">
        <v>16</v>
      </c>
      <c r="I11893" s="1" t="str">
        <f ca="1">IFERROR(__xludf.DUMMYFUNCTION("GOOGLETRANSLATE(F11893, ""auto"", ""en"")
"),"I bought it because of the company’s advertising, then I read on the Internet that this model was no longer new in 2008, it’s not black, the backlight is not adjustable, on movies, increasing the volume is accompanied by disgusting overtones from the body"&amp;", in short, it sucks. don't buy!")</f>
        <v>I bought it because of the company’s advertising, then I read on the Internet that this model was no longer new in 2008, it’s not black, the backlight is not adjustable, on movies, increasing the volume is accompanied by disgusting overtones from the body, in short, it sucks. don't buy!</v>
      </c>
    </row>
    <row r="11894" spans="1:9" x14ac:dyDescent="0.3">
      <c r="A11894" s="1" t="s">
        <v>211</v>
      </c>
      <c r="B11894" s="1" t="s">
        <v>789</v>
      </c>
      <c r="C11894" s="1" t="s">
        <v>69</v>
      </c>
      <c r="D11894" s="1" t="s">
        <v>171</v>
      </c>
      <c r="E11894" s="1" t="s">
        <v>353</v>
      </c>
      <c r="F11894" s="1" t="s">
        <v>16889</v>
      </c>
      <c r="G11894" s="1" t="s">
        <v>36</v>
      </c>
      <c r="H11894" s="1" t="s">
        <v>29</v>
      </c>
      <c r="I11894" s="1" t="str">
        <f ca="1">IFERROR(__xludf.DUMMYFUNCTION("GOOGLETRANSLATE(F11894, ""auto"", ""en"")
"),"I don’t know how previous users turned on and handled this device, but everything works well for me. I use a baby monitor for “walking” the child on the balcony. You can hear not only nearby, but also crows in the trees, car horns, rustling leaves, etc.")</f>
        <v>I don’t know how previous users turned on and handled this device, but everything works well for me. I use a baby monitor for “walking” the child on the balcony. You can hear not only nearby, but also crows in the trees, car horns, rustling leaves, etc.</v>
      </c>
    </row>
    <row r="11895" spans="1:9" x14ac:dyDescent="0.3">
      <c r="A11895" s="1" t="s">
        <v>811</v>
      </c>
      <c r="B11895" s="1" t="s">
        <v>1712</v>
      </c>
      <c r="C11895" s="1" t="s">
        <v>1645</v>
      </c>
      <c r="D11895" s="1" t="s">
        <v>548</v>
      </c>
      <c r="E11895" s="1" t="s">
        <v>4578</v>
      </c>
      <c r="F11895" s="1" t="s">
        <v>16890</v>
      </c>
      <c r="G11895" s="1" t="s">
        <v>36</v>
      </c>
      <c r="H11895" s="1" t="s">
        <v>29</v>
      </c>
      <c r="I11895" s="1" t="str">
        <f ca="1">IFERROR(__xludf.DUMMYFUNCTION("GOOGLETRANSLATE(F11895, ""auto"", ""en"")
"),"I upgraded to the latest firmware from the official Kodak website. Just like Sergei’s, it stopped loading. I did a reset via reset. I set the language to English, but it didn't help. I found the firmware from 04/14/2008 - exactly the one that was installe"&amp;"d on it. I fixed it - it works :) I would like the latter, of course, but apparently it’s not fate yet.")</f>
        <v>I upgraded to the latest firmware from the official Kodak website. Just like Sergei’s, it stopped loading. I did a reset via reset. I set the language to English, but it didn't help. I found the firmware from 04/14/2008 - exactly the one that was installed on it. I fixed it - it works :) I would like the latter, of course, but apparently it’s not fate yet.</v>
      </c>
    </row>
    <row r="11896" spans="1:9" x14ac:dyDescent="0.3">
      <c r="A11896" s="1" t="s">
        <v>120</v>
      </c>
      <c r="B11896" s="1" t="s">
        <v>121</v>
      </c>
      <c r="C11896" s="1" t="s">
        <v>80</v>
      </c>
      <c r="D11896" s="1" t="s">
        <v>11054</v>
      </c>
      <c r="E11896" s="1" t="s">
        <v>393</v>
      </c>
      <c r="F11896" s="1" t="s">
        <v>16891</v>
      </c>
      <c r="G11896" s="1" t="s">
        <v>36</v>
      </c>
      <c r="H11896" s="1" t="s">
        <v>29</v>
      </c>
      <c r="I11896" s="1" t="str">
        <f ca="1">IFERROR(__xludf.DUMMYFUNCTION("GOOGLETRANSLATE(F11896, ""auto"", ""en"")
"),"Probably one of the best in its price-quality class! I bought it in November 2009 and I was not mistaken! I immediately took the LG TS-100 video player with it, excellent image and sound via HDMI. Also a wonderful image when watching digital and analog TV"&amp;". Energy saving mode, a very good option. Of course, there are no comrades according to taste and color! I really like it, I recommend it...")</f>
        <v>Probably one of the best in its price-quality class! I bought it in November 2009 and I was not mistaken! I immediately took the LG TS-100 video player with it, excellent image and sound via HDMI. Also a wonderful image when watching digital and analog TV. Energy saving mode, a very good option. Of course, there are no comrades according to taste and color! I really like it, I recommend it...</v>
      </c>
    </row>
    <row r="11897" spans="1:9" x14ac:dyDescent="0.3">
      <c r="A11897" s="1" t="s">
        <v>149</v>
      </c>
      <c r="B11897" s="1" t="s">
        <v>155</v>
      </c>
      <c r="C11897" s="1" t="s">
        <v>80</v>
      </c>
      <c r="D11897" s="1" t="s">
        <v>456</v>
      </c>
      <c r="E11897" s="1" t="s">
        <v>4692</v>
      </c>
      <c r="F11897" s="1" t="s">
        <v>16892</v>
      </c>
      <c r="G11897" s="1" t="s">
        <v>36</v>
      </c>
      <c r="H11897" s="1" t="s">
        <v>29</v>
      </c>
      <c r="I11897" s="1" t="str">
        <f ca="1">IFERROR(__xludf.DUMMYFUNCTION("GOOGLETRANSLATE(F11897, ""auto"", ""en"")
"),"Great design. Lots of power but still compact. The power adjustment on the handle is great. There is only one drawback:) - it’s hard for a child to vacuum. Cannot lift the brush off the floor at maximum power. I recommend the vacuum cleaner!!!")</f>
        <v>Great design. Lots of power but still compact. The power adjustment on the handle is great. There is only one drawback:) - it’s hard for a child to vacuum. Cannot lift the brush off the floor at maximum power. I recommend the vacuum cleaner!!!</v>
      </c>
    </row>
    <row r="11898" spans="1:9" x14ac:dyDescent="0.3">
      <c r="A11898" s="1" t="s">
        <v>43</v>
      </c>
      <c r="B11898" s="1" t="s">
        <v>44</v>
      </c>
      <c r="C11898" s="1" t="s">
        <v>101</v>
      </c>
      <c r="D11898" s="1" t="s">
        <v>471</v>
      </c>
      <c r="E11898" s="1" t="s">
        <v>8122</v>
      </c>
      <c r="F11898" s="1" t="s">
        <v>16893</v>
      </c>
      <c r="G11898" s="1" t="s">
        <v>28</v>
      </c>
      <c r="H11898" s="1" t="s">
        <v>29</v>
      </c>
      <c r="I11898" s="1" t="str">
        <f ca="1">IFERROR(__xludf.DUMMYFUNCTION("GOOGLETRANSLATE(F11898, ""auto"", ""en"")
"),"Yesterday my husband and I bought this fan... We arrived, I started to disassemble the box, twisted everything together, assembled it and was happy to just turn it on (since the house is insulated and it’s very hot in the summer) and oops........it doesn’"&amp;"t work((((The night light is on, but the fan doesn’t turn. Today my husband went to exchange it....they assembled it there and lo and behold......it worked..!!! but it didn’t work for us!!!!! ok :-D. And then they turned it on again, and then again and ag"&amp;"ain - and then they gave me another one and said that the whole batch might be defective and they would not last long.")</f>
        <v>Yesterday my husband and I bought this fan... We arrived, I started to disassemble the box, twisted everything together, assembled it and was happy to just turn it on (since the house is insulated and it’s very hot in the summer) and oops........it doesn’t work((((The night light is on, but the fan doesn’t turn. Today my husband went to exchange it....they assembled it there and lo and behold......it worked..!!! but it didn’t work for us!!!!! ok :-D. And then they turned it on again, and then again and again - and then they gave me another one and said that the whole batch might be defective and they would not last long.</v>
      </c>
    </row>
    <row r="11899" spans="1:9" x14ac:dyDescent="0.3">
      <c r="A11899" s="1" t="s">
        <v>30</v>
      </c>
      <c r="B11899" s="1" t="s">
        <v>31</v>
      </c>
      <c r="C11899" s="1" t="s">
        <v>32</v>
      </c>
      <c r="D11899" s="1" t="s">
        <v>33</v>
      </c>
      <c r="E11899" s="1" t="s">
        <v>3872</v>
      </c>
      <c r="F11899" s="1" t="s">
        <v>16894</v>
      </c>
      <c r="G11899" s="1" t="s">
        <v>28</v>
      </c>
      <c r="H11899" s="1" t="s">
        <v>29</v>
      </c>
      <c r="I11899" s="1" t="str">
        <f ca="1">IFERROR(__xludf.DUMMYFUNCTION("GOOGLETRANSLATE(F11899, ""auto"", ""en"")
"),"Very good hardware at this price... but as mentioned above, there are problems with the video card, i.e. its overheating...stressing...anyone solved this problem!??!?!")</f>
        <v>Very good hardware at this price... but as mentioned above, there are problems with the video card, i.e. its overheating...stressing...anyone solved this problem!??!?!</v>
      </c>
    </row>
    <row r="11900" spans="1:9" x14ac:dyDescent="0.3">
      <c r="A11900" s="1" t="s">
        <v>61</v>
      </c>
      <c r="B11900" s="1" t="s">
        <v>73</v>
      </c>
      <c r="C11900" s="1" t="s">
        <v>146</v>
      </c>
      <c r="D11900" s="1" t="s">
        <v>1188</v>
      </c>
      <c r="E11900" s="1" t="s">
        <v>2251</v>
      </c>
      <c r="F11900" s="1" t="s">
        <v>16895</v>
      </c>
      <c r="G11900" s="1" t="s">
        <v>36</v>
      </c>
      <c r="H11900" s="1" t="s">
        <v>29</v>
      </c>
      <c r="I11900" s="1" t="str">
        <f ca="1">IFERROR(__xludf.DUMMYFUNCTION("GOOGLETRANSLATE(F11900, ""auto"", ""en"")
"),"I’m happy with the meat grinder, it’s a very good knife, it can even grind half-frozen meat.  that it is very important to have a reverse, for reverse motion, if something gets wound on the auger, you don’t have to disassemble the entire meat grinder. It’"&amp;"s been working for the second year.  I recommend it to everyone! Excellent value for money")</f>
        <v>I’m happy with the meat grinder, it’s a very good knife, it can even grind half-frozen meat.  that it is very important to have a reverse, for reverse motion, if something gets wound on the auger, you don’t have to disassemble the entire meat grinder. It’s been working for the second year.  I recommend it to everyone! Excellent value for money</v>
      </c>
    </row>
    <row r="11901" spans="1:9" x14ac:dyDescent="0.3">
      <c r="A11901" s="1" t="s">
        <v>37</v>
      </c>
      <c r="B11901" s="1" t="s">
        <v>38</v>
      </c>
      <c r="C11901" s="1" t="s">
        <v>39</v>
      </c>
      <c r="D11901" s="1" t="s">
        <v>16896</v>
      </c>
      <c r="E11901" s="1" t="s">
        <v>1065</v>
      </c>
      <c r="F11901" s="1" t="s">
        <v>16897</v>
      </c>
      <c r="G11901" s="1" t="s">
        <v>36</v>
      </c>
      <c r="H11901" s="1" t="s">
        <v>29</v>
      </c>
      <c r="I11901" s="1" t="str">
        <f ca="1">IFERROR(__xludf.DUMMYFUNCTION("GOOGLETRANSLATE(F11901, ""auto"", ""en"")
"),"The phone is good... I bought it and have been using it for a year now. The sound and camera are excellent. But there is one minus. When he pulled the phone apart, he rubbed off the paint. And the phone is good.")</f>
        <v>The phone is good... I bought it and have been using it for a year now. The sound and camera are excellent. But there is one minus. When he pulled the phone apart, he rubbed off the paint. And the phone is good.</v>
      </c>
    </row>
    <row r="11902" spans="1:9" x14ac:dyDescent="0.3">
      <c r="A11902" s="1" t="s">
        <v>369</v>
      </c>
      <c r="B11902" s="1" t="s">
        <v>370</v>
      </c>
      <c r="C11902" s="1" t="s">
        <v>63</v>
      </c>
      <c r="D11902" s="1" t="s">
        <v>232</v>
      </c>
      <c r="E11902" s="1" t="s">
        <v>16898</v>
      </c>
      <c r="F11902" s="1" t="s">
        <v>16899</v>
      </c>
      <c r="G11902" s="1" t="s">
        <v>36</v>
      </c>
      <c r="H11902" s="1" t="s">
        <v>29</v>
      </c>
      <c r="I11902" s="1" t="str">
        <f ca="1">IFERROR(__xludf.DUMMYFUNCTION("GOOGLETRANSLATE(F11902, ""auto"", ""en"")
"),"Third day in use, overall not bad.  There is still one serious drawback. Dumb instructions. A lot of unnecessary information, but what is really necessary is ignored. Fast heating mode, no time specified. It makes sense then, if it can be heated in other "&amp;"modes. Lack of time intervals, a very serious oversight")</f>
        <v>Third day in use, overall not bad.  There is still one serious drawback. Dumb instructions. A lot of unnecessary information, but what is really necessary is ignored. Fast heating mode, no time specified. It makes sense then, if it can be heated in other modes. Lack of time intervals, a very serious oversight</v>
      </c>
    </row>
    <row r="11903" spans="1:9" x14ac:dyDescent="0.3">
      <c r="A11903" s="1" t="s">
        <v>43</v>
      </c>
      <c r="B11903" s="1" t="s">
        <v>44</v>
      </c>
      <c r="C11903" s="1" t="s">
        <v>45</v>
      </c>
      <c r="D11903" s="1" t="s">
        <v>64</v>
      </c>
      <c r="E11903" s="1" t="s">
        <v>1586</v>
      </c>
      <c r="F11903" s="1" t="s">
        <v>16900</v>
      </c>
      <c r="G11903" s="1" t="s">
        <v>36</v>
      </c>
      <c r="H11903" s="1" t="s">
        <v>29</v>
      </c>
      <c r="I11903" s="1" t="str">
        <f ca="1">IFERROR(__xludf.DUMMYFUNCTION("GOOGLETRANSLATE(F11903, ""auto"", ""en"")
"),"Yesterday we bought this fan because... Summer is just around the corner, and of course we immediately tried it out to check. By the way, its platform is metal, not plastic as it is written here. It operates silently, does not wobble, does not rattle. So "&amp;"it's good, I'm happy.")</f>
        <v>Yesterday we bought this fan because... Summer is just around the corner, and of course we immediately tried it out to check. By the way, its platform is metal, not plastic as it is written here. It operates silently, does not wobble, does not rattle. So it's good, I'm happy.</v>
      </c>
    </row>
    <row r="11904" spans="1:9" x14ac:dyDescent="0.3">
      <c r="A11904" s="1" t="s">
        <v>206</v>
      </c>
      <c r="B11904" s="1" t="s">
        <v>261</v>
      </c>
      <c r="C11904" s="1" t="s">
        <v>262</v>
      </c>
      <c r="D11904" s="1" t="s">
        <v>1036</v>
      </c>
      <c r="E11904" s="1" t="s">
        <v>3080</v>
      </c>
      <c r="F11904" s="1" t="s">
        <v>16901</v>
      </c>
      <c r="G11904" s="1" t="s">
        <v>36</v>
      </c>
      <c r="H11904" s="1" t="s">
        <v>29</v>
      </c>
      <c r="I11904" s="1" t="str">
        <f ca="1">IFERROR(__xludf.DUMMYFUNCTION("GOOGLETRANSLATE(F11904, ""auto"", ""en"")
"),"The device works great! smooths out any jumps! happy as an elephant! take it, you won’t regret it!")</f>
        <v>The device works great! smooths out any jumps! happy as an elephant! take it, you won’t regret it!</v>
      </c>
    </row>
    <row r="11905" spans="1:9" x14ac:dyDescent="0.3">
      <c r="A11905" s="1" t="s">
        <v>206</v>
      </c>
      <c r="B11905" s="1" t="s">
        <v>261</v>
      </c>
      <c r="C11905" s="1" t="s">
        <v>45</v>
      </c>
      <c r="D11905" s="1" t="s">
        <v>139</v>
      </c>
      <c r="E11905" s="1" t="s">
        <v>2640</v>
      </c>
      <c r="F11905" s="1" t="s">
        <v>16902</v>
      </c>
      <c r="G11905" s="1" t="s">
        <v>36</v>
      </c>
      <c r="H11905" s="1" t="s">
        <v>29</v>
      </c>
      <c r="I11905" s="1" t="str">
        <f ca="1">IFERROR(__xludf.DUMMYFUNCTION("GOOGLETRANSLATE(F11905, ""auto"", ""en"")
"),"A good useful thing, I put it in for a reason.")</f>
        <v>A good useful thing, I put it in for a reason.</v>
      </c>
    </row>
    <row r="11906" spans="1:9" x14ac:dyDescent="0.3">
      <c r="A11906" s="1" t="s">
        <v>1823</v>
      </c>
      <c r="B11906" s="1" t="s">
        <v>1824</v>
      </c>
      <c r="C11906" s="1" t="s">
        <v>1825</v>
      </c>
      <c r="D11906" s="1" t="s">
        <v>152</v>
      </c>
      <c r="E11906" s="1" t="s">
        <v>2063</v>
      </c>
      <c r="F11906" s="1" t="s">
        <v>16903</v>
      </c>
      <c r="G11906" s="1" t="s">
        <v>36</v>
      </c>
      <c r="H11906" s="1" t="s">
        <v>29</v>
      </c>
      <c r="I11906" s="1" t="str">
        <f ca="1">IFERROR(__xludf.DUMMYFUNCTION("GOOGLETRANSLATE(F11906, ""auto"", ""en"")
"),"We recommend!!! A very comfortable board: wide, light, stable and affordable. We are very pleased")</f>
        <v>We recommend!!! A very comfortable board: wide, light, stable and affordable. We are very pleased</v>
      </c>
    </row>
    <row r="11907" spans="1:9" x14ac:dyDescent="0.3">
      <c r="A11907" s="1" t="s">
        <v>105</v>
      </c>
      <c r="B11907" s="1" t="s">
        <v>106</v>
      </c>
      <c r="C11907" s="1" t="s">
        <v>107</v>
      </c>
      <c r="D11907" s="1" t="s">
        <v>442</v>
      </c>
      <c r="E11907" s="1" t="s">
        <v>8177</v>
      </c>
      <c r="F11907" s="1" t="s">
        <v>16904</v>
      </c>
      <c r="G11907" s="1" t="s">
        <v>28</v>
      </c>
      <c r="H11907" s="1" t="s">
        <v>29</v>
      </c>
      <c r="I11907" s="1" t="str">
        <f ca="1">IFERROR(__xludf.DUMMYFUNCTION("GOOGLETRANSLATE(F11907, ""auto"", ""en"")
"),"A decent player, there is a function for saving bookmarks in the text, by the way, you can make a large font in the book. Plays music well and can show pictures and movies.")</f>
        <v>A decent player, there is a function for saving bookmarks in the text, by the way, you can make a large font in the book. Plays music well and can show pictures and movies.</v>
      </c>
    </row>
    <row r="11908" spans="1:9" x14ac:dyDescent="0.3">
      <c r="A11908" s="1" t="s">
        <v>61</v>
      </c>
      <c r="B11908" s="1" t="s">
        <v>224</v>
      </c>
      <c r="C11908" s="1" t="s">
        <v>74</v>
      </c>
      <c r="D11908" s="1" t="s">
        <v>16905</v>
      </c>
      <c r="E11908" s="1" t="s">
        <v>3084</v>
      </c>
      <c r="F11908" s="1" t="s">
        <v>16906</v>
      </c>
      <c r="G11908" s="1" t="s">
        <v>36</v>
      </c>
      <c r="H11908" s="1" t="s">
        <v>29</v>
      </c>
      <c r="I11908" s="1" t="str">
        <f ca="1">IFERROR(__xludf.DUMMYFUNCTION("GOOGLETRANSLATE(F11908, ""auto"", ""en"")
"),"It squeezes everything out with a bang, although it is a little noisy; they could put some kind of strainer in the draining glass for better drainage into the mug. Cleans very conveniently, in 5 minutes!")</f>
        <v>It squeezes everything out with a bang, although it is a little noisy; they could put some kind of strainer in the draining glass for better drainage into the mug. Cleans very conveniently, in 5 minutes!</v>
      </c>
    </row>
    <row r="11909" spans="1:9" x14ac:dyDescent="0.3">
      <c r="A11909" s="1" t="s">
        <v>43</v>
      </c>
      <c r="B11909" s="1" t="s">
        <v>502</v>
      </c>
      <c r="C11909" s="1" t="s">
        <v>1627</v>
      </c>
      <c r="D11909" s="1" t="s">
        <v>152</v>
      </c>
      <c r="E11909" s="1" t="s">
        <v>3306</v>
      </c>
      <c r="F11909" s="1" t="s">
        <v>16907</v>
      </c>
      <c r="G11909" s="1" t="s">
        <v>36</v>
      </c>
      <c r="H11909" s="1" t="s">
        <v>29</v>
      </c>
      <c r="I11909" s="1" t="str">
        <f ca="1">IFERROR(__xludf.DUMMYFUNCTION("GOOGLETRANSLATE(F11909, ""auto"", ""en"")
"),"Very efficient air conditioner! One is in an apartment, a room of 12-14 m2, after turning it on it’s cold within 1.5 minutes! The second one works in the country - attic floor, ceiling height 4 m, area 40 m2. In hot weather it’s cool after 20 minutes, col"&amp;"d after an hour! The outdoor unit is very quiet, the indoor unit is not very quiet for DAIKIN. If you sometimes hear a slight vibration at the minimum fan setting, as well as in night mode, remove the additional antimicrobial pads from the dust filters; a"&amp;"t low speeds they are the ones that make the noise!")</f>
        <v>Very efficient air conditioner! One is in an apartment, a room of 12-14 m2, after turning it on it’s cold within 1.5 minutes! The second one works in the country - attic floor, ceiling height 4 m, area 40 m2. In hot weather it’s cool after 20 minutes, cold after an hour! The outdoor unit is very quiet, the indoor unit is not very quiet for DAIKIN. If you sometimes hear a slight vibration at the minimum fan setting, as well as in night mode, remove the additional antimicrobial pads from the dust filters; at low speeds they are the ones that make the noise!</v>
      </c>
    </row>
    <row r="11910" spans="1:9" x14ac:dyDescent="0.3">
      <c r="A11910" s="1" t="s">
        <v>17</v>
      </c>
      <c r="B11910" s="1" t="s">
        <v>18</v>
      </c>
      <c r="C11910" s="1" t="s">
        <v>151</v>
      </c>
      <c r="D11910" s="1" t="s">
        <v>16908</v>
      </c>
      <c r="E11910" s="1" t="s">
        <v>1586</v>
      </c>
      <c r="F11910" s="1" t="s">
        <v>16909</v>
      </c>
      <c r="G11910" s="1" t="s">
        <v>28</v>
      </c>
      <c r="H11910" s="1" t="s">
        <v>29</v>
      </c>
      <c r="I11910" s="1" t="str">
        <f ca="1">IFERROR(__xludf.DUMMYFUNCTION("GOOGLETRANSLATE(F11910, ""auto"", ""en"")
"),"I've had the car for several months now. Those who write that the machine is quiet have simply not heard quiet machines. I'm not talking about expensive ones, there are quiet ones in this price category. Why do all Samsungs (at the moment) whistle like th"&amp;"at? I sell washing machines and I know what I'm talking about. If you want the machine to stand in the hallway, in the kitchen, or do laundry at night, and you don’t sleep well, this is not your option! Any Samsung whistles, regardless of the price. And i"&amp;"t washes well (my wife is happy) It doesn’t jump, it’s relatively pretty, the controls are not complicated, there is an indicator of the remaining washing time and other joys.")</f>
        <v>I've had the car for several months now. Those who write that the machine is quiet have simply not heard quiet machines. I'm not talking about expensive ones, there are quiet ones in this price category. Why do all Samsungs (at the moment) whistle like that? I sell washing machines and I know what I'm talking about. If you want the machine to stand in the hallway, in the kitchen, or do laundry at night, and you don’t sleep well, this is not your option! Any Samsung whistles, regardless of the price. And it washes well (my wife is happy) It doesn’t jump, it’s relatively pretty, the controls are not complicated, there is an indicator of the remaining washing time and other joys.</v>
      </c>
    </row>
    <row r="11911" spans="1:9" x14ac:dyDescent="0.3">
      <c r="A11911" s="1" t="s">
        <v>206</v>
      </c>
      <c r="B11911" s="1" t="s">
        <v>1349</v>
      </c>
      <c r="C11911" s="1" t="s">
        <v>4219</v>
      </c>
      <c r="D11911" s="1" t="s">
        <v>568</v>
      </c>
      <c r="E11911" s="1" t="s">
        <v>1571</v>
      </c>
      <c r="F11911" s="1" t="s">
        <v>16910</v>
      </c>
      <c r="G11911" s="1" t="s">
        <v>28</v>
      </c>
      <c r="H11911" s="1" t="s">
        <v>29</v>
      </c>
      <c r="I11911" s="1" t="str">
        <f ca="1">IFERROR(__xludf.DUMMYFUNCTION("GOOGLETRANSLATE(F11911, ""auto"", ""en"")
"),"I wouldn't say the sound is bad. My acoustics are fine, the only thing I don’t like is high bitrate (mp3 over 256 may not play). I agree that the menu is inconvenient, basically everything is oriented to the remote control, which is not the best option wh"&amp;"en moving.")</f>
        <v>I wouldn't say the sound is bad. My acoustics are fine, the only thing I don’t like is high bitrate (mp3 over 256 may not play). I agree that the menu is inconvenient, basically everything is oriented to the remote control, which is not the best option when moving.</v>
      </c>
    </row>
    <row r="11912" spans="1:9" x14ac:dyDescent="0.3">
      <c r="A11912" s="1" t="s">
        <v>17</v>
      </c>
      <c r="B11912" s="1" t="s">
        <v>18</v>
      </c>
      <c r="C11912" s="1" t="s">
        <v>80</v>
      </c>
      <c r="D11912" s="1" t="s">
        <v>16911</v>
      </c>
      <c r="E11912" s="1" t="s">
        <v>3320</v>
      </c>
      <c r="F11912" s="1" t="s">
        <v>16912</v>
      </c>
      <c r="G11912" s="1" t="s">
        <v>36</v>
      </c>
      <c r="H11912" s="1" t="s">
        <v>29</v>
      </c>
      <c r="I11912" s="1" t="str">
        <f ca="1">IFERROR(__xludf.DUMMYFUNCTION("GOOGLETRANSLATE(F11912, ""auto"", ""en"")
"),"An excellent washing machine, most importantly it is quiet and the electronic display is very convenient.")</f>
        <v>An excellent washing machine, most importantly it is quiet and the electronic display is very convenient.</v>
      </c>
    </row>
    <row r="11913" spans="1:9" x14ac:dyDescent="0.3">
      <c r="A11913" s="1" t="s">
        <v>61</v>
      </c>
      <c r="B11913" s="1" t="s">
        <v>145</v>
      </c>
      <c r="C11913" s="1" t="s">
        <v>146</v>
      </c>
      <c r="D11913" s="1" t="s">
        <v>308</v>
      </c>
      <c r="E11913" s="1" t="s">
        <v>288</v>
      </c>
      <c r="F11913" s="1" t="s">
        <v>16913</v>
      </c>
      <c r="G11913" s="1" t="s">
        <v>36</v>
      </c>
      <c r="H11913" s="1" t="s">
        <v>29</v>
      </c>
      <c r="I11913" s="1" t="str">
        <f ca="1">IFERROR(__xludf.DUMMYFUNCTION("GOOGLETRANSLATE(F11913, ""auto"", ""en"")
"),"I bought a steamer in 2007. I am completely satisfied. I use it and am happy. Compared to Tefal, I choose Kenwood. I advise you to buy it, you will be satisfied.")</f>
        <v>I bought a steamer in 2007. I am completely satisfied. I use it and am happy. Compared to Tefal, I choose Kenwood. I advise you to buy it, you will be satisfied.</v>
      </c>
    </row>
    <row r="11914" spans="1:9" x14ac:dyDescent="0.3">
      <c r="A11914" s="1" t="s">
        <v>78</v>
      </c>
      <c r="B11914" s="1" t="s">
        <v>79</v>
      </c>
      <c r="C11914" s="1" t="s">
        <v>1677</v>
      </c>
      <c r="D11914" s="1" t="s">
        <v>2764</v>
      </c>
      <c r="E11914" s="1" t="s">
        <v>147</v>
      </c>
      <c r="F11914" s="1" t="s">
        <v>16914</v>
      </c>
      <c r="G11914" s="1" t="s">
        <v>28</v>
      </c>
      <c r="H11914" s="1" t="s">
        <v>29</v>
      </c>
      <c r="I11914" s="1" t="str">
        <f ca="1">IFERROR(__xludf.DUMMYFUNCTION("GOOGLETRANSLATE(F11914, ""auto"", ""en"")
"),"I respect this brand very much, that’s why we bought this microwave, there are no complaints about the work, everything is wonderful, easy and understandable. BUT: 1. there is no clock, although there is a display, but these are minor things.  2. After a "&amp;"year of use, one of the handle mounts broke off.")</f>
        <v>I respect this brand very much, that’s why we bought this microwave, there are no complaints about the work, everything is wonderful, easy and understandable. BUT: 1. there is no clock, although there is a display, but these are minor things.  2. After a year of use, one of the handle mounts broke off.</v>
      </c>
    </row>
    <row r="11915" spans="1:9" x14ac:dyDescent="0.3">
      <c r="A11915" s="1" t="s">
        <v>61</v>
      </c>
      <c r="B11915" s="1" t="s">
        <v>977</v>
      </c>
      <c r="C11915" s="1" t="s">
        <v>63</v>
      </c>
      <c r="D11915" s="1" t="s">
        <v>16915</v>
      </c>
      <c r="E11915" s="1" t="s">
        <v>2829</v>
      </c>
      <c r="F11915" s="1" t="s">
        <v>16916</v>
      </c>
      <c r="G11915" s="1" t="s">
        <v>36</v>
      </c>
      <c r="H11915" s="1" t="s">
        <v>29</v>
      </c>
      <c r="I11915" s="1" t="str">
        <f ca="1">IFERROR(__xludf.DUMMYFUNCTION("GOOGLETRANSLATE(F11915, ""auto"", ""en"")
"),"I first bought it for my mother as a gift and then took it home for myself. The reviews are only positive, quiet, quite powerful, the blender works like a charm. My wife uses a universal shredder. In general, the product is good, I recommend it!")</f>
        <v>I first bought it for my mother as a gift and then took it home for myself. The reviews are only positive, quiet, quite powerful, the blender works like a charm. My wife uses a universal shredder. In general, the product is good, I recommend it!</v>
      </c>
    </row>
    <row r="11916" spans="1:9" x14ac:dyDescent="0.3">
      <c r="A11916" s="1" t="s">
        <v>17</v>
      </c>
      <c r="B11916" s="1" t="s">
        <v>18</v>
      </c>
      <c r="C11916" s="1" t="s">
        <v>243</v>
      </c>
      <c r="D11916" s="1" t="s">
        <v>474</v>
      </c>
      <c r="E11916" s="1" t="s">
        <v>3983</v>
      </c>
      <c r="F11916" s="1" t="s">
        <v>16917</v>
      </c>
      <c r="G11916" s="1" t="s">
        <v>36</v>
      </c>
      <c r="H11916" s="1" t="s">
        <v>29</v>
      </c>
      <c r="I11916" s="1" t="str">
        <f ca="1">IFERROR(__xludf.DUMMYFUNCTION("GOOGLETRANSLATE(F11916, ""auto"", ""en"")
"),"Durable, easy to use, convenient")</f>
        <v>Durable, easy to use, convenient</v>
      </c>
    </row>
    <row r="11917" spans="1:9" x14ac:dyDescent="0.3">
      <c r="A11917" s="1" t="s">
        <v>89</v>
      </c>
      <c r="B11917" s="1" t="s">
        <v>90</v>
      </c>
      <c r="C11917" s="1" t="s">
        <v>63</v>
      </c>
      <c r="D11917" s="1" t="s">
        <v>1008</v>
      </c>
      <c r="E11917" s="1" t="s">
        <v>5530</v>
      </c>
      <c r="F11917" s="1" t="s">
        <v>16918</v>
      </c>
      <c r="G11917" s="1" t="s">
        <v>36</v>
      </c>
      <c r="H11917" s="1" t="s">
        <v>29</v>
      </c>
      <c r="I11917" s="1" t="str">
        <f ca="1">IFERROR(__xludf.DUMMYFUNCTION("GOOGLETRANSLATE(F11917, ""auto"", ""en"")
"),"excellent coffee grinder, moderately noisy, the build quality is quite good, I bought it a week ago, I use it every day, the flight is normal!")</f>
        <v>excellent coffee grinder, moderately noisy, the build quality is quite good, I bought it a week ago, I use it every day, the flight is normal!</v>
      </c>
    </row>
    <row r="11918" spans="1:9" x14ac:dyDescent="0.3">
      <c r="A11918" s="1" t="s">
        <v>89</v>
      </c>
      <c r="B11918" s="1" t="s">
        <v>90</v>
      </c>
      <c r="C11918" s="1" t="s">
        <v>63</v>
      </c>
      <c r="D11918" s="1" t="s">
        <v>240</v>
      </c>
      <c r="E11918" s="1" t="s">
        <v>167</v>
      </c>
      <c r="F11918" s="1" t="s">
        <v>16919</v>
      </c>
      <c r="G11918" s="1" t="s">
        <v>36</v>
      </c>
      <c r="H11918" s="1" t="s">
        <v>29</v>
      </c>
      <c r="I11918" s="1" t="str">
        <f ca="1">IFERROR(__xludf.DUMMYFUNCTION("GOOGLETRANSLATE(F11918, ""auto"", ""en"")
"),"Great coffee grinder! It served for more than 10 years and was very actively used. I only ground coffee. Good value for money. I recommend it.")</f>
        <v>Great coffee grinder! It served for more than 10 years and was very actively used. I only ground coffee. Good value for money. I recommend it.</v>
      </c>
    </row>
    <row r="11919" spans="1:9" x14ac:dyDescent="0.3">
      <c r="A11919" s="1" t="s">
        <v>89</v>
      </c>
      <c r="B11919" s="1" t="s">
        <v>1106</v>
      </c>
      <c r="C11919" s="1" t="s">
        <v>185</v>
      </c>
      <c r="D11919" s="1" t="s">
        <v>171</v>
      </c>
      <c r="E11919" s="1" t="s">
        <v>824</v>
      </c>
      <c r="F11919" s="1" t="s">
        <v>16920</v>
      </c>
      <c r="G11919" s="1" t="s">
        <v>36</v>
      </c>
      <c r="H11919" s="1" t="s">
        <v>29</v>
      </c>
      <c r="I11919" s="1" t="str">
        <f ca="1">IFERROR(__xludf.DUMMYFUNCTION("GOOGLETRANSLATE(F11919, ""auto"", ""en"")
"),"I was very pleased with this coffee maker. For this price - an excellent choice! I've had it for 1.5 years now and it works great. One ON button has become slightly worn out from daily use, but this does not affect the operation in any way (an aesthetic p"&amp;"roblem). Before this I had a Moulinex BCA1L1 coffee maker - it worked for 1 week and broke. I changed it to DeLonghi. Overall, I'm very pleased!")</f>
        <v>I was very pleased with this coffee maker. For this price - an excellent choice! I've had it for 1.5 years now and it works great. One ON button has become slightly worn out from daily use, but this does not affect the operation in any way (an aesthetic problem). Before this I had a Moulinex BCA1L1 coffee maker - it worked for 1 week and broke. I changed it to DeLonghi. Overall, I'm very pleased!</v>
      </c>
    </row>
    <row r="11920" spans="1:9" x14ac:dyDescent="0.3">
      <c r="A11920" s="1" t="s">
        <v>211</v>
      </c>
      <c r="B11920" s="1" t="s">
        <v>410</v>
      </c>
      <c r="C11920" s="1" t="s">
        <v>122</v>
      </c>
      <c r="D11920" s="1" t="s">
        <v>52</v>
      </c>
      <c r="E11920" s="1" t="s">
        <v>494</v>
      </c>
      <c r="F11920" s="1" t="s">
        <v>16921</v>
      </c>
      <c r="G11920" s="1" t="s">
        <v>36</v>
      </c>
      <c r="H11920" s="1" t="s">
        <v>29</v>
      </c>
      <c r="I11920" s="1" t="str">
        <f ca="1">IFERROR(__xludf.DUMMYFUNCTION("GOOGLETRANSLATE(F11920, ""auto"", ""en"")
"),"A normal razor for the money. It shaves well, if it doesn’t, then you simply don’t know how to use electric razors.")</f>
        <v>A normal razor for the money. It shaves well, if it doesn’t, then you simply don’t know how to use electric razors.</v>
      </c>
    </row>
    <row r="11921" spans="1:9" x14ac:dyDescent="0.3">
      <c r="A11921" s="1" t="s">
        <v>17</v>
      </c>
      <c r="B11921" s="1" t="s">
        <v>18</v>
      </c>
      <c r="C11921" s="1" t="s">
        <v>1835</v>
      </c>
      <c r="D11921" s="1" t="s">
        <v>152</v>
      </c>
      <c r="E11921" s="1" t="s">
        <v>2529</v>
      </c>
      <c r="F11921" s="1" t="s">
        <v>16922</v>
      </c>
      <c r="G11921" s="1" t="s">
        <v>36</v>
      </c>
      <c r="H11921" s="1" t="s">
        <v>29</v>
      </c>
      <c r="I11921" s="1" t="str">
        <f ca="1">IFERROR(__xludf.DUMMYFUNCTION("GOOGLETRANSLATE(F11921, ""auto"", ""en"")
"),"Better not!!! The car is just super, but of course a little expensive ;)")</f>
        <v>Better not!!! The car is just super, but of course a little expensive ;)</v>
      </c>
    </row>
    <row r="11922" spans="1:9" x14ac:dyDescent="0.3">
      <c r="A11922" s="1" t="s">
        <v>624</v>
      </c>
      <c r="B11922" s="1" t="s">
        <v>2107</v>
      </c>
      <c r="C11922" s="1" t="s">
        <v>479</v>
      </c>
      <c r="D11922" s="1" t="s">
        <v>4460</v>
      </c>
      <c r="E11922" s="1" t="s">
        <v>1553</v>
      </c>
      <c r="F11922" s="1" t="s">
        <v>16923</v>
      </c>
      <c r="G11922" s="1" t="s">
        <v>36</v>
      </c>
      <c r="H11922" s="1" t="s">
        <v>29</v>
      </c>
      <c r="I11922" s="1" t="str">
        <f ca="1">IFERROR(__xludf.DUMMYFUNCTION("GOOGLETRANSLATE(F11922, ""auto"", ""en"")
"),"Game CLASS! There are no words, from the first seconds it’s so interesting. The graphics are so mesmerizing, such colors, sounds. The fights are done with a bang, the controls are very convenient, the blows are performed with buttons, you really feel thes"&amp;"e blows, the sweat is splashing, the blood is also beautiful, the knockouts are beautiful. Especially on a big TV with HD! True, there is a minus - some fighters are some! Some are clumsy. In ROUND 4, for example, Tyson was very similar, but this trifle!)"&amp;")) The game is nothing, guys, you won’t regret it.")</f>
        <v>Game CLASS! There are no words, from the first seconds it’s so interesting. The graphics are so mesmerizing, such colors, sounds. The fights are done with a bang, the controls are very convenient, the blows are performed with buttons, you really feel these blows, the sweat is splashing, the blood is also beautiful, the knockouts are beautiful. Especially on a big TV with HD! True, there is a minus - some fighters are some! Some are clumsy. In ROUND 4, for example, Tyson was very similar, but this trifle!))) The game is nothing, guys, you won’t regret it.</v>
      </c>
    </row>
    <row r="11923" spans="1:9" x14ac:dyDescent="0.3">
      <c r="A11923" s="1" t="s">
        <v>1119</v>
      </c>
      <c r="B11923" s="1" t="s">
        <v>1120</v>
      </c>
      <c r="C11923" s="1" t="s">
        <v>97</v>
      </c>
      <c r="D11923" s="1" t="s">
        <v>152</v>
      </c>
      <c r="E11923" s="1" t="s">
        <v>2278</v>
      </c>
      <c r="F11923" s="1" t="s">
        <v>16924</v>
      </c>
      <c r="G11923" s="1" t="s">
        <v>49</v>
      </c>
      <c r="H11923" s="1" t="s">
        <v>16</v>
      </c>
      <c r="I11923" s="1" t="str">
        <f ca="1">IFERROR(__xludf.DUMMYFUNCTION("GOOGLETRANSLATE(F11923, ""auto"", ""en"")
"),"Firstly, it is not FullHD - read the technical specifications carefully. The zoom motor whistles and rattles like a tractor and all this is recorded in the sound channel. Of course, if you film at a disco, you won’t hear it. I contacted Sony service and t"&amp;"hey said everything is as it should be. Well, if that’s how it should be, then I handed it back and waved my hand at Sony. The only correct decision is not to buy!!!")</f>
        <v>Firstly, it is not FullHD - read the technical specifications carefully. The zoom motor whistles and rattles like a tractor and all this is recorded in the sound channel. Of course, if you film at a disco, you won’t hear it. I contacted Sony service and they said everything is as it should be. Well, if that’s how it should be, then I handed it back and waved my hand at Sony. The only correct decision is not to buy!!!</v>
      </c>
    </row>
    <row r="11924" spans="1:9" x14ac:dyDescent="0.3">
      <c r="A11924" s="1" t="s">
        <v>369</v>
      </c>
      <c r="B11924" s="1" t="s">
        <v>587</v>
      </c>
      <c r="C11924" s="1" t="s">
        <v>159</v>
      </c>
      <c r="D11924" s="1" t="s">
        <v>52</v>
      </c>
      <c r="E11924" s="1" t="s">
        <v>5800</v>
      </c>
      <c r="F11924" s="1" t="s">
        <v>16925</v>
      </c>
      <c r="G11924" s="1" t="s">
        <v>15</v>
      </c>
      <c r="H11924" s="1" t="s">
        <v>16</v>
      </c>
      <c r="I11924" s="1" t="str">
        <f ca="1">IFERROR(__xludf.DUMMYFUNCTION("GOOGLETRANSLATE(F11924, ""auto"", ""en"")
"),"The build quality of Electrolux cookers is currently poor.  The grille falls apart after 4 months. And the warranty on it and the grille is three months (as a component). You have to either buy a new grille, price 3 thousand, or weld it yourself.  The ele"&amp;"ctric ignition is also lame. With mine, sometimes you have to press the button ten times for the fire to appear.  Good luck with your shopping.  Sincerely, the happy owner of an Electrolux stove. (joke)")</f>
        <v>The build quality of Electrolux cookers is currently poor.  The grille falls apart after 4 months. And the warranty on it and the grille is three months (as a component). You have to either buy a new grille, price 3 thousand, or weld it yourself.  The electric ignition is also lame. With mine, sometimes you have to press the button ten times for the fire to appear.  Good luck with your shopping.  Sincerely, the happy owner of an Electrolux stove. (joke)</v>
      </c>
    </row>
    <row r="11925" spans="1:9" x14ac:dyDescent="0.3">
      <c r="A11925" s="1" t="s">
        <v>211</v>
      </c>
      <c r="B11925" s="1" t="s">
        <v>212</v>
      </c>
      <c r="C11925" s="1" t="s">
        <v>745</v>
      </c>
      <c r="D11925" s="1" t="s">
        <v>16926</v>
      </c>
      <c r="E11925" s="1" t="s">
        <v>4383</v>
      </c>
      <c r="F11925" s="1" t="s">
        <v>16927</v>
      </c>
      <c r="G11925" s="1" t="s">
        <v>94</v>
      </c>
      <c r="H11925" s="1" t="s">
        <v>29</v>
      </c>
      <c r="I11925" s="1" t="str">
        <f ca="1">IFERROR(__xludf.DUMMYFUNCTION("GOOGLETRANSLATE(F11925, ""auto"", ""en"")
"),"Cost, several attachments, idea")</f>
        <v>Cost, several attachments, idea</v>
      </c>
    </row>
    <row r="11926" spans="1:9" x14ac:dyDescent="0.3">
      <c r="A11926" s="1" t="s">
        <v>61</v>
      </c>
      <c r="B11926" s="1" t="s">
        <v>977</v>
      </c>
      <c r="C11926" s="1" t="s">
        <v>85</v>
      </c>
      <c r="D11926" s="1" t="s">
        <v>75</v>
      </c>
      <c r="E11926" s="1" t="s">
        <v>2407</v>
      </c>
      <c r="F11926" s="1" t="s">
        <v>16928</v>
      </c>
      <c r="G11926" s="1" t="s">
        <v>28</v>
      </c>
      <c r="H11926" s="1" t="s">
        <v>29</v>
      </c>
      <c r="I11926" s="1" t="str">
        <f ca="1">IFERROR(__xludf.DUMMYFUNCTION("GOOGLETRANSLATE(F11926, ""auto"", ""en"")
"),"The shape of the bowl is inconvenient when you scrape out the remaining puree/chopped product from it. Sometimes something can stick to the corner of the bowl and no longer participate in the grinding until you peel off the piece yourself.  In order to wa"&amp;"sh it, you need to completely disassemble it, because food debris still gets stuck in the cracks.  Overall very pleased with the gift. I use it sometimes. Perhaps a simpler model could have been used. :)")</f>
        <v>The shape of the bowl is inconvenient when you scrape out the remaining puree/chopped product from it. Sometimes something can stick to the corner of the bowl and no longer participate in the grinding until you peel off the piece yourself.  In order to wash it, you need to completely disassemble it, because food debris still gets stuck in the cracks.  Overall very pleased with the gift. I use it sometimes. Perhaps a simpler model could have been used. :)</v>
      </c>
    </row>
    <row r="11927" spans="1:9" x14ac:dyDescent="0.3">
      <c r="A11927" s="1" t="s">
        <v>61</v>
      </c>
      <c r="B11927" s="1" t="s">
        <v>62</v>
      </c>
      <c r="C11927" s="1" t="s">
        <v>69</v>
      </c>
      <c r="D11927" s="1" t="s">
        <v>3253</v>
      </c>
      <c r="E11927" s="1" t="s">
        <v>610</v>
      </c>
      <c r="F11927" s="1" t="s">
        <v>16929</v>
      </c>
      <c r="G11927" s="1" t="s">
        <v>15</v>
      </c>
      <c r="H11927" s="1" t="s">
        <v>16</v>
      </c>
      <c r="I11927" s="1" t="str">
        <f ca="1">IFERROR(__xludf.DUMMYFUNCTION("GOOGLETRANSLATE(F11927, ""auto"", ""en"")
"),"I bought it a year ago as a gift. I really liked everything right away. I hardly used it for a year. No more than 10 times a year. And as soon as he was needed at one fine moment, he simply stopped in the process of work. And that's it...")</f>
        <v>I bought it a year ago as a gift. I really liked everything right away. I hardly used it for a year. No more than 10 times a year. And as soon as he was needed at one fine moment, he simply stopped in the process of work. And that's it...</v>
      </c>
    </row>
    <row r="11928" spans="1:9" x14ac:dyDescent="0.3">
      <c r="A11928" s="1" t="s">
        <v>211</v>
      </c>
      <c r="B11928" s="1" t="s">
        <v>410</v>
      </c>
      <c r="C11928" s="1" t="s">
        <v>69</v>
      </c>
      <c r="D11928" s="1" t="s">
        <v>52</v>
      </c>
      <c r="E11928" s="1" t="s">
        <v>14131</v>
      </c>
      <c r="F11928" s="1" t="s">
        <v>16930</v>
      </c>
      <c r="G11928" s="1" t="s">
        <v>36</v>
      </c>
      <c r="H11928" s="1" t="s">
        <v>29</v>
      </c>
      <c r="I11928" s="1" t="str">
        <f ca="1">IFERROR(__xludf.DUMMYFUNCTION("GOOGLETRANSLATE(F11928, ""auto"", ""en"")
"),"I've been using this razor for three years now.  The power button is torn, but does not affect the speed. Shaves clean, but wet is much better than dry.  It makes sense to buy.  What is more expensive is the same razors, just a more serious design. My adv"&amp;"ice is to take it.")</f>
        <v>I've been using this razor for three years now.  The power button is torn, but does not affect the speed. Shaves clean, but wet is much better than dry.  It makes sense to buy.  What is more expensive is the same razors, just a more serious design. My advice is to take it.</v>
      </c>
    </row>
    <row r="11929" spans="1:9" x14ac:dyDescent="0.3">
      <c r="A11929" s="1" t="s">
        <v>37</v>
      </c>
      <c r="B11929" s="1" t="s">
        <v>355</v>
      </c>
      <c r="C11929" s="1" t="s">
        <v>356</v>
      </c>
      <c r="D11929" s="1" t="s">
        <v>16931</v>
      </c>
      <c r="E11929" s="1" t="s">
        <v>917</v>
      </c>
      <c r="F11929" s="1" t="s">
        <v>16932</v>
      </c>
      <c r="G11929" s="1" t="s">
        <v>36</v>
      </c>
      <c r="H11929" s="1" t="s">
        <v>29</v>
      </c>
      <c r="I11929" s="1" t="str">
        <f ca="1">IFERROR(__xludf.DUMMYFUNCTION("GOOGLETRANSLATE(F11929, ""auto"", ""en"")
"),"With this tube, everything is very simple: Dissatisfied, screaming here and there that the apple phone is g - they simply have extremely crooked hands growing approximately at their point g... The phone works great, constant support and updates, a whole b"&amp;"unch of applications for every taste and color. Are you talking about VM? Who needs it? Are there so many programs for it?  I seriously think that after an iPhone, using something else is a mockery of yourself :) Apple, as always, is inimitable, the devic"&amp;"e is super, everything is thought out to the smallest detail... To buy or not, of course, is everyone’s choice. I use it and am very glad that I have an iPhone and straight hands :))")</f>
        <v>With this tube, everything is very simple: Dissatisfied, screaming here and there that the apple phone is g - they simply have extremely crooked hands growing approximately at their point g... The phone works great, constant support and updates, a whole bunch of applications for every taste and color. Are you talking about VM? Who needs it? Are there so many programs for it?  I seriously think that after an iPhone, using something else is a mockery of yourself :) Apple, as always, is inimitable, the device is super, everything is thought out to the smallest detail... To buy or not, of course, is everyone’s choice. I use it and am very glad that I have an iPhone and straight hands :))</v>
      </c>
    </row>
    <row r="11930" spans="1:9" x14ac:dyDescent="0.3">
      <c r="A11930" s="1" t="s">
        <v>238</v>
      </c>
      <c r="B11930" s="1" t="s">
        <v>276</v>
      </c>
      <c r="C11930" s="1" t="s">
        <v>19</v>
      </c>
      <c r="D11930" s="1" t="s">
        <v>2771</v>
      </c>
      <c r="E11930" s="1" t="s">
        <v>3527</v>
      </c>
      <c r="F11930" s="1" t="s">
        <v>16933</v>
      </c>
      <c r="G11930" s="1" t="s">
        <v>36</v>
      </c>
      <c r="H11930" s="1" t="s">
        <v>29</v>
      </c>
      <c r="I11930" s="1" t="str">
        <f ca="1">IFERROR(__xludf.DUMMYFUNCTION("GOOGLETRANSLATE(F11930, ""auto"", ""en"")
"),"I bought the refrigerator in 2007. works great.")</f>
        <v>I bought the refrigerator in 2007. works great.</v>
      </c>
    </row>
    <row r="11931" spans="1:9" x14ac:dyDescent="0.3">
      <c r="A11931" s="1" t="s">
        <v>120</v>
      </c>
      <c r="B11931" s="1" t="s">
        <v>121</v>
      </c>
      <c r="C11931" s="1" t="s">
        <v>69</v>
      </c>
      <c r="D11931" s="1" t="s">
        <v>3996</v>
      </c>
      <c r="E11931" s="1" t="s">
        <v>2733</v>
      </c>
      <c r="F11931" s="1" t="s">
        <v>16934</v>
      </c>
      <c r="G11931" s="1" t="s">
        <v>36</v>
      </c>
      <c r="H11931" s="1" t="s">
        <v>29</v>
      </c>
      <c r="I11931" s="1" t="str">
        <f ca="1">IFERROR(__xludf.DUMMYFUNCTION("GOOGLETRANSLATE(F11931, ""auto"", ""en"")
"),"I also had the honor of talking with this TV the other day. I really didn’t buy it for myself... But 32 inches for 19990 is the best thing that was in M-Video. I was pleased that it reads .avi, .mpeg1, .vob, jpeg and mp3 from the flash drive - of course. "&amp;"Not a single gnusmas and even more expensive ones read, for example, .avi - This was checked by me. By the way, there are two assemblies of this TV. Russian and Hungarian. The Russian does not see the flash AT ALL!!! We took the Hungarian one. Therefore, "&amp;"for those who care about the fact of reading from a flash drive, check it on the spot in the store so that such a small thing does not turn out to be unpleasant at home.  It’s getting hot and not too bad. that's all for now")</f>
        <v>I also had the honor of talking with this TV the other day. I really didn’t buy it for myself... But 32 inches for 19990 is the best thing that was in M-Video. I was pleased that it reads .avi, .mpeg1, .vob, jpeg and mp3 from the flash drive - of course. Not a single gnusmas and even more expensive ones read, for example, .avi - This was checked by me. By the way, there are two assemblies of this TV. Russian and Hungarian. The Russian does not see the flash AT ALL!!! We took the Hungarian one. Therefore, for those who care about the fact of reading from a flash drive, check it on the spot in the store so that such a small thing does not turn out to be unpleasant at home.  It’s getting hot and not too bad. that's all for now</v>
      </c>
    </row>
    <row r="11932" spans="1:9" x14ac:dyDescent="0.3">
      <c r="A11932" s="1" t="s">
        <v>477</v>
      </c>
      <c r="B11932" s="1" t="s">
        <v>478</v>
      </c>
      <c r="C11932" s="1" t="s">
        <v>479</v>
      </c>
      <c r="D11932" s="1" t="s">
        <v>16935</v>
      </c>
      <c r="E11932" s="1" t="s">
        <v>2300</v>
      </c>
      <c r="F11932" s="1" t="s">
        <v>16936</v>
      </c>
      <c r="G11932" s="1" t="s">
        <v>36</v>
      </c>
      <c r="H11932" s="1" t="s">
        <v>29</v>
      </c>
      <c r="I11932" s="1" t="str">
        <f ca="1">IFERROR(__xludf.DUMMYFUNCTION("GOOGLETRANSLATE(F11932, ""auto"", ""en"")
"),"The adventures of Isaac Clarke frightened many. In the second part, Isaac will kick the crap out of the necromorphs. The game starts in a straitjacket. But then... it scares like no other horror. The death of the hero is especially frightening. He not onl"&amp;"y dies, but his enemies cut off/tear off/gnaw off his arms/legs/head. Are you scared?? Truth: It's not that scary to play. Few moments are scary. But only if you don't play at night. So buy the game and stereo headphones, wait until it gets dark... P.S. D"&amp;"o not give to pregnant women! Children under 14 too! Over 14 - only under adult supervision!")</f>
        <v>The adventures of Isaac Clarke frightened many. In the second part, Isaac will kick the crap out of the necromorphs. The game starts in a straitjacket. But then... it scares like no other horror. The death of the hero is especially frightening. He not only dies, but his enemies cut off/tear off/gnaw off his arms/legs/head. Are you scared?? Truth: It's not that scary to play. Few moments are scary. But only if you don't play at night. So buy the game and stereo headphones, wait until it gets dark... P.S. Do not give to pregnant women! Children under 14 too! Over 14 - only under adult supervision!</v>
      </c>
    </row>
    <row r="11933" spans="1:9" x14ac:dyDescent="0.3">
      <c r="A11933" s="1" t="s">
        <v>120</v>
      </c>
      <c r="B11933" s="1" t="s">
        <v>121</v>
      </c>
      <c r="C11933" s="1" t="s">
        <v>151</v>
      </c>
      <c r="D11933" s="1" t="s">
        <v>16937</v>
      </c>
      <c r="E11933" s="1" t="s">
        <v>4739</v>
      </c>
      <c r="F11933" s="1" t="s">
        <v>16938</v>
      </c>
      <c r="G11933" s="1" t="s">
        <v>36</v>
      </c>
      <c r="H11933" s="1" t="s">
        <v>29</v>
      </c>
      <c r="I11933" s="1" t="str">
        <f ca="1">IFERROR(__xludf.DUMMYFUNCTION("GOOGLETRANSLATE(F11933, ""auto"", ""en"")
"),"At home I checked for dead pixels - not a single one!!! I bought it to replace the monitor. Installed without any problems and without reading the instructions. The resolution was set automatically on both Windows 7 and XP. The pixels are almost invisible"&amp;". The matrix is ​​really PVA. Better than TNT. My eyes hurt until I turned down the brightness. In short, it's the same monitor, only bigger!!! I’m glad I got into the promotion and saved 4 thousand! It is 100% worth the money!!! I won’t say anything abou"&amp;"t the design - I don’t care. It’s for my work, not for cheap show-off))). Although, no, if the body was made of plywood, it would be better - the dust is not visible and it is cheaper))). The screen is not glossy - the chandelier hanging behind is not ref"&amp;"lected.   Thank you M-Video for the discount!")</f>
        <v>At home I checked for dead pixels - not a single one!!! I bought it to replace the monitor. Installed without any problems and without reading the instructions. The resolution was set automatically on both Windows 7 and XP. The pixels are almost invisible. The matrix is ​​really PVA. Better than TNT. My eyes hurt until I turned down the brightness. In short, it's the same monitor, only bigger!!! I’m glad I got into the promotion and saved 4 thousand! It is 100% worth the money!!! I won’t say anything about the design - I don’t care. It’s for my work, not for cheap show-off))). Although, no, if the body was made of plywood, it would be better - the dust is not visible and it is cheaper))). The screen is not glossy - the chandelier hanging behind is not reflected.   Thank you M-Video for the discount!</v>
      </c>
    </row>
    <row r="11934" spans="1:9" x14ac:dyDescent="0.3">
      <c r="A11934" s="1" t="s">
        <v>238</v>
      </c>
      <c r="B11934" s="1" t="s">
        <v>276</v>
      </c>
      <c r="C11934" s="1" t="s">
        <v>1677</v>
      </c>
      <c r="D11934" s="1" t="s">
        <v>102</v>
      </c>
      <c r="E11934" s="1" t="s">
        <v>10302</v>
      </c>
      <c r="F11934" s="1" t="s">
        <v>16939</v>
      </c>
      <c r="G11934" s="1" t="s">
        <v>36</v>
      </c>
      <c r="H11934" s="1" t="s">
        <v>29</v>
      </c>
      <c r="I11934" s="1" t="str">
        <f ca="1">IFERROR(__xludf.DUMMYFUNCTION("GOOGLETRANSLATE(F11934, ""auto"", ""en"")
"),"Bought a year ago! During this time we have never regretted it! The refrigerator is just great! Works great! Roomy! Alone +++!!! Don't hesitate, buy!!")</f>
        <v>Bought a year ago! During this time we have never regretted it! The refrigerator is just great! Works great! Roomy! Alone +++!!! Don't hesitate, buy!!</v>
      </c>
    </row>
    <row r="11935" spans="1:9" x14ac:dyDescent="0.3">
      <c r="A11935" s="1" t="s">
        <v>67</v>
      </c>
      <c r="B11935" s="1" t="s">
        <v>68</v>
      </c>
      <c r="C11935" s="1" t="s">
        <v>69</v>
      </c>
      <c r="D11935" s="1" t="s">
        <v>16940</v>
      </c>
      <c r="E11935" s="1" t="s">
        <v>1070</v>
      </c>
      <c r="F11935" s="1" t="s">
        <v>16941</v>
      </c>
      <c r="G11935" s="1" t="s">
        <v>36</v>
      </c>
      <c r="H11935" s="1" t="s">
        <v>29</v>
      </c>
      <c r="I11935" s="1" t="str">
        <f ca="1">IFERROR(__xludf.DUMMYFUNCTION("GOOGLETRANSLATE(F11935, ""auto"", ""en"")
"),"I bought this iron to replace the GC2905. The new one turned out to be heavier and somehow more reliably assembled, no creaks, an awesome long cord. It has one feature: water can only be poured in the position when the iron is lying with its sole on the t"&amp;"able (the lid of the tank comes off this way); you cannot fill it while standing. As for the steam boost, I dealt with this in detail since I came across the previous GC2905 iron, which was defective with a semi-working steam boost. So, I called Philips s"&amp;"upport, they explained that, they say, steam was coming from the spout. I was upset, but I didn’t believe it. I went out onto the balcony with the iron on (in winter) and pressed the button... It turned out that steam was coming out from the entire surfac"&amp;"e, but from the spout much stronger. These are the experiments.")</f>
        <v>I bought this iron to replace the GC2905. The new one turned out to be heavier and somehow more reliably assembled, no creaks, an awesome long cord. It has one feature: water can only be poured in the position when the iron is lying with its sole on the table (the lid of the tank comes off this way); you cannot fill it while standing. As for the steam boost, I dealt with this in detail since I came across the previous GC2905 iron, which was defective with a semi-working steam boost. So, I called Philips support, they explained that, they say, steam was coming from the spout. I was upset, but I didn’t believe it. I went out onto the balcony with the iron on (in winter) and pressed the button... It turned out that steam was coming out from the entire surface, but from the spout much stronger. These are the experiments.</v>
      </c>
    </row>
    <row r="11936" spans="1:9" x14ac:dyDescent="0.3">
      <c r="A11936" s="1" t="s">
        <v>496</v>
      </c>
      <c r="B11936" s="1" t="s">
        <v>497</v>
      </c>
      <c r="C11936" s="1" t="s">
        <v>1520</v>
      </c>
      <c r="D11936" s="1" t="s">
        <v>568</v>
      </c>
      <c r="E11936" s="1" t="s">
        <v>6406</v>
      </c>
      <c r="F11936" s="1" t="s">
        <v>16942</v>
      </c>
      <c r="G11936" s="1" t="s">
        <v>36</v>
      </c>
      <c r="H11936" s="1" t="s">
        <v>29</v>
      </c>
      <c r="I11936" s="1" t="str">
        <f ca="1">IFERROR(__xludf.DUMMYFUNCTION("GOOGLETRANSLATE(F11936, ""auto"", ""en"")
"),"It seems to me a very good antivirus. So we purchase it and are glad that your PC is protected. The main thing is safety and security.")</f>
        <v>It seems to me a very good antivirus. So we purchase it and are glad that your PC is protected. The main thing is safety and security.</v>
      </c>
    </row>
    <row r="11937" spans="1:9" x14ac:dyDescent="0.3">
      <c r="A11937" s="1" t="s">
        <v>169</v>
      </c>
      <c r="B11937" s="1" t="s">
        <v>170</v>
      </c>
      <c r="C11937" s="1" t="s">
        <v>171</v>
      </c>
      <c r="D11937" s="1" t="s">
        <v>695</v>
      </c>
      <c r="E11937" s="1" t="s">
        <v>2305</v>
      </c>
      <c r="F11937" s="1" t="s">
        <v>16943</v>
      </c>
      <c r="G11937" s="1" t="s">
        <v>36</v>
      </c>
      <c r="H11937" s="1" t="s">
        <v>29</v>
      </c>
      <c r="I11937" s="1" t="str">
        <f ca="1">IFERROR(__xludf.DUMMYFUNCTION("GOOGLETRANSLATE(F11937, ""auto"", ""en"")
"),"Excellent headphones for the money. They insulate well, are reliable and the sound is even, very happy with the purchase. I've been using it for over 7 months.")</f>
        <v>Excellent headphones for the money. They insulate well, are reliable and the sound is even, very happy with the purchase. I've been using it for over 7 months.</v>
      </c>
    </row>
    <row r="11938" spans="1:9" x14ac:dyDescent="0.3">
      <c r="A11938" s="1" t="s">
        <v>211</v>
      </c>
      <c r="B11938" s="1" t="s">
        <v>410</v>
      </c>
      <c r="C11938" s="1" t="s">
        <v>213</v>
      </c>
      <c r="D11938" s="1" t="s">
        <v>152</v>
      </c>
      <c r="E11938" s="1" t="s">
        <v>2432</v>
      </c>
      <c r="F11938" s="1" t="s">
        <v>16944</v>
      </c>
      <c r="G11938" s="1" t="s">
        <v>15</v>
      </c>
      <c r="H11938" s="1" t="s">
        <v>16</v>
      </c>
      <c r="I11938" s="1" t="str">
        <f ca="1">IFERROR(__xludf.DUMMYFUNCTION("GOOGLETRANSLATE(F11938, ""auto"", ""en"")
"),"The razor is really rubbish. It shaves poorly. You can’t find a shaving head (in stores) because it gets dull quickly. The only + is the trimmer. It’s really good.")</f>
        <v>The razor is really rubbish. It shaves poorly. You can’t find a shaving head (in stores) because it gets dull quickly. The only + is the trimmer. It’s really good.</v>
      </c>
    </row>
    <row r="11939" spans="1:9" x14ac:dyDescent="0.3">
      <c r="A11939" s="1" t="s">
        <v>120</v>
      </c>
      <c r="B11939" s="1" t="s">
        <v>5219</v>
      </c>
      <c r="C11939" s="1" t="s">
        <v>69</v>
      </c>
      <c r="D11939" s="1" t="s">
        <v>16945</v>
      </c>
      <c r="E11939" s="1" t="s">
        <v>1540</v>
      </c>
      <c r="F11939" s="1" t="s">
        <v>16946</v>
      </c>
      <c r="G11939" s="1" t="s">
        <v>36</v>
      </c>
      <c r="H11939" s="1" t="s">
        <v>29</v>
      </c>
      <c r="I11939" s="1" t="str">
        <f ca="1">IFERROR(__xludf.DUMMYFUNCTION("GOOGLETRANSLATE(F11939, ""auto"", ""en"")
"),"Great TV")</f>
        <v>Great TV</v>
      </c>
    </row>
    <row r="11940" spans="1:9" x14ac:dyDescent="0.3">
      <c r="A11940" s="1" t="s">
        <v>37</v>
      </c>
      <c r="B11940" s="1" t="s">
        <v>38</v>
      </c>
      <c r="C11940" s="1" t="s">
        <v>39</v>
      </c>
      <c r="D11940" s="1" t="s">
        <v>729</v>
      </c>
      <c r="E11940" s="1" t="s">
        <v>750</v>
      </c>
      <c r="F11940" s="1" t="s">
        <v>16947</v>
      </c>
      <c r="G11940" s="1" t="s">
        <v>49</v>
      </c>
      <c r="H11940" s="1" t="s">
        <v>16</v>
      </c>
      <c r="I11940" s="1" t="str">
        <f ca="1">IFERROR(__xludf.DUMMYFUNCTION("GOOGLETRANSLATE(F11940, ""auto"", ""en"")
"),"The phone is simply nonsense, the quality of the display due to its resolution is simply terrible, the capabilities are weak, it does not accept or install applications, does not minimize them, as was the case in many older models, which is what attracted"&amp;" buyers to sonars.")</f>
        <v>The phone is simply nonsense, the quality of the display due to its resolution is simply terrible, the capabilities are weak, it does not accept or install applications, does not minimize them, as was the case in many older models, which is what attracted buyers to sonars.</v>
      </c>
    </row>
    <row r="11941" spans="1:9" x14ac:dyDescent="0.3">
      <c r="A11941" s="1" t="s">
        <v>369</v>
      </c>
      <c r="B11941" s="1" t="s">
        <v>587</v>
      </c>
      <c r="C11941" s="1" t="s">
        <v>243</v>
      </c>
      <c r="D11941" s="1" t="s">
        <v>280</v>
      </c>
      <c r="E11941" s="1" t="s">
        <v>41</v>
      </c>
      <c r="F11941" s="1" t="s">
        <v>16948</v>
      </c>
      <c r="G11941" s="1" t="s">
        <v>28</v>
      </c>
      <c r="H11941" s="1" t="s">
        <v>29</v>
      </c>
      <c r="I11941" s="1" t="str">
        <f ca="1">IFERROR(__xludf.DUMMYFUNCTION("GOOGLETRANSLATE(F11941, ""auto"", ""en"")
"),"The oven does not bake well. The baked goods have to be placed on the very top, otherwise the bottom may burn. And the stove is nice, there is a grill.")</f>
        <v>The oven does not bake well. The baked goods have to be placed on the very top, otherwise the bottom may burn. And the stove is nice, there is a grill.</v>
      </c>
    </row>
    <row r="11942" spans="1:9" x14ac:dyDescent="0.3">
      <c r="A11942" s="1" t="s">
        <v>61</v>
      </c>
      <c r="B11942" s="1" t="s">
        <v>318</v>
      </c>
      <c r="C11942" s="1" t="s">
        <v>57</v>
      </c>
      <c r="D11942" s="1" t="s">
        <v>922</v>
      </c>
      <c r="E11942" s="1" t="s">
        <v>5161</v>
      </c>
      <c r="F11942" s="1" t="s">
        <v>16949</v>
      </c>
      <c r="G11942" s="1" t="s">
        <v>36</v>
      </c>
      <c r="H11942" s="1" t="s">
        <v>29</v>
      </c>
      <c r="I11942" s="1" t="str">
        <f ca="1">IFERROR(__xludf.DUMMYFUNCTION("GOOGLETRANSLATE(F11942, ""auto"", ""en"")
"),"A nice little kettle for a couple of cups of tea). Convenient and easy to use.")</f>
        <v>A nice little kettle for a couple of cups of tea). Convenient and easy to use.</v>
      </c>
    </row>
    <row r="11943" spans="1:9" x14ac:dyDescent="0.3">
      <c r="A11943" s="1" t="s">
        <v>149</v>
      </c>
      <c r="B11943" s="1" t="s">
        <v>576</v>
      </c>
      <c r="C11943" s="1" t="s">
        <v>69</v>
      </c>
      <c r="D11943" s="1" t="s">
        <v>679</v>
      </c>
      <c r="E11943" s="1" t="s">
        <v>2919</v>
      </c>
      <c r="F11943" s="1" t="s">
        <v>16950</v>
      </c>
      <c r="G11943" s="1" t="s">
        <v>36</v>
      </c>
      <c r="H11943" s="1" t="s">
        <v>29</v>
      </c>
      <c r="I11943" s="1" t="str">
        <f ca="1">IFERROR(__xludf.DUMMYFUNCTION("GOOGLETRANSLATE(F11943, ""auto"", ""en"")
"),"Powerful, silent, lightweight")</f>
        <v>Powerful, silent, lightweight</v>
      </c>
    </row>
    <row r="11944" spans="1:9" x14ac:dyDescent="0.3">
      <c r="A11944" s="1" t="s">
        <v>624</v>
      </c>
      <c r="B11944" s="1" t="s">
        <v>2107</v>
      </c>
      <c r="C11944" s="1" t="s">
        <v>479</v>
      </c>
      <c r="D11944" s="1" t="s">
        <v>8758</v>
      </c>
      <c r="E11944" s="1" t="s">
        <v>2348</v>
      </c>
      <c r="F11944" s="1" t="s">
        <v>16951</v>
      </c>
      <c r="G11944" s="1" t="s">
        <v>36</v>
      </c>
      <c r="H11944" s="1" t="s">
        <v>29</v>
      </c>
      <c r="I11944" s="1" t="str">
        <f ca="1">IFERROR(__xludf.DUMMYFUNCTION("GOOGLETRANSLATE(F11944, ""auto"", ""en"")
"),"the game is good, but very similar to part 1, the graphics are excellent, the gameplay is also good, but the creators could have added something good, very new to the game, but everything is great, but to be honest, it’s not for everyone)")</f>
        <v>the game is good, but very similar to part 1, the graphics are excellent, the gameplay is also good, but the creators could have added something good, very new to the game, but everything is great, but to be honest, it’s not for everyone)</v>
      </c>
    </row>
    <row r="11945" spans="1:9" x14ac:dyDescent="0.3">
      <c r="A11945" s="1" t="s">
        <v>9</v>
      </c>
      <c r="B11945" s="1" t="s">
        <v>23</v>
      </c>
      <c r="C11945" s="1" t="s">
        <v>466</v>
      </c>
      <c r="D11945" s="1" t="s">
        <v>474</v>
      </c>
      <c r="E11945" s="1" t="s">
        <v>16952</v>
      </c>
      <c r="F11945" s="1" t="s">
        <v>16953</v>
      </c>
      <c r="G11945" s="1" t="s">
        <v>15</v>
      </c>
      <c r="H11945" s="1" t="s">
        <v>16</v>
      </c>
      <c r="I11945" s="1" t="str">
        <f ca="1">IFERROR(__xludf.DUMMYFUNCTION("GOOGLETRANSLATE(F11945, ""auto"", ""en"")
"),"After 1 month of operation, the machine gives error e 3 every once in a while, especially on a program of 60 degrees and above, it washes poorly, is noisy, takes a long time to wash on average for 2 hours or more, it consumes energy, I constantly wash the"&amp;" remains of dried food, and I generally wash glasses twice, there are always stains on Bohemia, it’s better not to save and judging by the reviews to buy more expensive, I think I’ll change (I arrange the dishes correctly and don’t use tablets)")</f>
        <v>After 1 month of operation, the machine gives error e 3 every once in a while, especially on a program of 60 degrees and above, it washes poorly, is noisy, takes a long time to wash on average for 2 hours or more, it consumes energy, I constantly wash the remains of dried food, and I generally wash glasses twice, there are always stains on Bohemia, it’s better not to save and judging by the reviews to buy more expensive, I think I’ll change (I arrange the dishes correctly and don’t use tablets)</v>
      </c>
    </row>
    <row r="11946" spans="1:9" x14ac:dyDescent="0.3">
      <c r="A11946" s="1" t="s">
        <v>149</v>
      </c>
      <c r="B11946" s="1" t="s">
        <v>576</v>
      </c>
      <c r="C11946" s="1" t="s">
        <v>85</v>
      </c>
      <c r="D11946" s="1" t="s">
        <v>565</v>
      </c>
      <c r="E11946" s="1" t="s">
        <v>1742</v>
      </c>
      <c r="F11946" s="1" t="s">
        <v>16954</v>
      </c>
      <c r="G11946" s="1" t="s">
        <v>36</v>
      </c>
      <c r="H11946" s="1" t="s">
        <v>29</v>
      </c>
      <c r="I11946" s="1" t="str">
        <f ca="1">IFERROR(__xludf.DUMMYFUNCTION("GOOGLETRANSLATE(F11946, ""auto"", ""en"")
"),"I’m very pleased with the vacuum cleaner, one thing: it makes a loud noise, as if it’s taking off, but I was told that this is due to the high power, but I’m so glad that I purchased this particular vacuum cleaner.")</f>
        <v>I’m very pleased with the vacuum cleaner, one thing: it makes a loud noise, as if it’s taking off, but I was told that this is due to the high power, but I’m so glad that I purchased this particular vacuum cleaner.</v>
      </c>
    </row>
    <row r="11947" spans="1:9" x14ac:dyDescent="0.3">
      <c r="A11947" s="1" t="s">
        <v>30</v>
      </c>
      <c r="B11947" s="1" t="s">
        <v>31</v>
      </c>
      <c r="C11947" s="1" t="s">
        <v>32</v>
      </c>
      <c r="D11947" s="1" t="s">
        <v>6144</v>
      </c>
      <c r="E11947" s="1" t="s">
        <v>2094</v>
      </c>
      <c r="F11947" s="1" t="s">
        <v>16955</v>
      </c>
      <c r="G11947" s="1" t="s">
        <v>36</v>
      </c>
      <c r="H11947" s="1" t="s">
        <v>29</v>
      </c>
      <c r="I11947" s="1" t="str">
        <f ca="1">IFERROR(__xludf.DUMMYFUNCTION("GOOGLETRANSLATE(F11947, ""auto"", ""en"")
"),"I am the owner of a similar PC - X3810. In some ways, I am a shopper, I purchased computers in this series for clients and friends, 5 pieces in total.  Pros - very quiet during non-gaming use, relatively high quality build and case - I already disassemble"&amp;"d mine to replace the HDD with another, more capacious one (Seagate 500 GB 418AS). The cables inside are laid very competently, the assembly culture is closer to that of laptops. Card reader, 8 USB, DVD-RW, SPDIF - a nice asset, coupled with an HDMI outpu"&amp;"t (on my PC). I would rate maintainability as quite high - the body is reversibly dismountable. Modern platform - I have DDR3, G41-G45 chipset. The motherboard has built-in video, therefore, for office use, the PC can be disassembled by selling the video "&amp;"card after the warranty period expires.  Cons - there are no PCI connectors on the motherboard. There is 1 PCI-Express slot available for expansion; I plan to install the Behold TV H8 tuner there. As a gaming machine, it’s not quite the same; the video ca"&amp;"rd is prone to overheating, and it’s not easy to fix. On one of the 5 PCs, the power button turned out to be defective - it works 10-20 times. They did not change it, since there were no alternatives for the purchase price (13990), and the copy turned out"&amp;" to be the last. The button in this case is unique, sealed in a light block, so be careful when purchasing everything connected with the case - the button, DVD and card reader hatches, covers. On another PC, when closing the drive tray, the decorative hat"&amp;"ch closed with a loud bang - although this behavior was not noticed on other models; closing is not much louder than the lid of a VCR.  The optimal use is a multimedia or office PC, with occasional use as a gaming PC, which is what the set of interfaces h"&amp;"ints at. The Benq G 2420 HD monitor makes excellent company for this PC - and in design too. The HDMI cable revealed the full potential of the monitor’s video card - budget 500-700 rubles for it, from the “necessary and sufficient” category.  Finally: it "&amp;"was not for nothing that I indicated the word “line” (of products) in the topic. The fact is that it is almost impossible to find two identical configurations of these Acers - they are all slightly different from each other, mainly in the processor, video"&amp;" card and amount of RAM. (...made from what was...) I saw combinations from Celeron to Core Quad, ATI and nVidia video, DDR2 and DDR3 memory, so be careful. Advice from a PC-savvy friend right in the store is advisable, as there may be more or less succes"&amp;"sful options with a similar cost. And don't forget to create Recovery Discs immediately after purchase! Good luck to all lucky owners.")</f>
        <v>I am the owner of a similar PC - X3810. In some ways, I am a shopper, I purchased computers in this series for clients and friends, 5 pieces in total.  Pros - very quiet during non-gaming use, relatively high quality build and case - I already disassembled mine to replace the HDD with another, more capacious one (Seagate 500 GB 418AS). The cables inside are laid very competently, the assembly culture is closer to that of laptops. Card reader, 8 USB, DVD-RW, SPDIF - a nice asset, coupled with an HDMI output (on my PC). I would rate maintainability as quite high - the body is reversibly dismountable. Modern platform - I have DDR3, G41-G45 chipset. The motherboard has built-in video, therefore, for office use, the PC can be disassembled by selling the video card after the warranty period expires.  Cons - there are no PCI connectors on the motherboard. There is 1 PCI-Express slot available for expansion; I plan to install the Behold TV H8 tuner there. As a gaming machine, it’s not quite the same; the video card is prone to overheating, and it’s not easy to fix. On one of the 5 PCs, the power button turned out to be defective - it works 10-20 times. They did not change it, since there were no alternatives for the purchase price (13990), and the copy turned out to be the last. The button in this case is unique, sealed in a light block, so be careful when purchasing everything connected with the case - the button, DVD and card reader hatches, covers. On another PC, when closing the drive tray, the decorative hatch closed with a loud bang - although this behavior was not noticed on other models; closing is not much louder than the lid of a VCR.  The optimal use is a multimedia or office PC, with occasional use as a gaming PC, which is what the set of interfaces hints at. The Benq G 2420 HD monitor makes excellent company for this PC - and in design too. The HDMI cable revealed the full potential of the monitor’s video card - budget 500-700 rubles for it, from the “necessary and sufficient” category.  Finally: it was not for nothing that I indicated the word “line” (of products) in the topic. The fact is that it is almost impossible to find two identical configurations of these Acers - they are all slightly different from each other, mainly in the processor, video card and amount of RAM. (...made from what was...) I saw combinations from Celeron to Core Quad, ATI and nVidia video, DDR2 and DDR3 memory, so be careful. Advice from a PC-savvy friend right in the store is advisable, as there may be more or less successful options with a similar cost. And don't forget to create Recovery Discs immediately after purchase! Good luck to all lucky owners.</v>
      </c>
    </row>
    <row r="11948" spans="1:9" x14ac:dyDescent="0.3">
      <c r="A11948" s="1" t="s">
        <v>43</v>
      </c>
      <c r="B11948" s="1" t="s">
        <v>44</v>
      </c>
      <c r="C11948" s="1" t="s">
        <v>101</v>
      </c>
      <c r="D11948" s="1" t="s">
        <v>114</v>
      </c>
      <c r="E11948" s="1" t="s">
        <v>11337</v>
      </c>
      <c r="F11948" s="1" t="s">
        <v>16956</v>
      </c>
      <c r="G11948" s="1" t="s">
        <v>28</v>
      </c>
      <c r="H11948" s="1" t="s">
        <v>29</v>
      </c>
      <c r="I11948" s="1" t="str">
        <f ca="1">IFERROR(__xludf.DUMMYFUNCTION("GOOGLETRANSLATE(F11948, ""auto"", ""en"")
"),"I purchased it today, let’s say, the price and quality are all right, it’s better to assemble it once and not touch it again, since the parts are not very reliable in appearance, but it’s not scary if you don’t take it apart; light, does not make noise, b"&amp;"lows very well, 1st speed is enough. The downside is that it smells like plastic, I think the smell will go away over time.")</f>
        <v>I purchased it today, let’s say, the price and quality are all right, it’s better to assemble it once and not touch it again, since the parts are not very reliable in appearance, but it’s not scary if you don’t take it apart; light, does not make noise, blows very well, 1st speed is enough. The downside is that it smells like plastic, I think the smell will go away over time.</v>
      </c>
    </row>
    <row r="11949" spans="1:9" x14ac:dyDescent="0.3">
      <c r="A11949" s="1" t="s">
        <v>369</v>
      </c>
      <c r="B11949" s="1" t="s">
        <v>370</v>
      </c>
      <c r="C11949" s="1" t="s">
        <v>290</v>
      </c>
      <c r="D11949" s="1" t="s">
        <v>1489</v>
      </c>
      <c r="E11949" s="1" t="s">
        <v>1666</v>
      </c>
      <c r="F11949" s="1" t="s">
        <v>16957</v>
      </c>
      <c r="G11949" s="1" t="s">
        <v>36</v>
      </c>
      <c r="H11949" s="1" t="s">
        <v>29</v>
      </c>
      <c r="I11949" s="1" t="str">
        <f ca="1">IFERROR(__xludf.DUMMYFUNCTION("GOOGLETRANSLATE(F11949, ""auto"", ""en"")
"),"The stove is good. 20 years of experience with glass ceramic hobs. It cooks, fries and bakes well. The surface can be washed not only with a special product, but also with dishwashing liquid. In order for the stove to last a long time, you need to use goo"&amp;"d cookware and cook carefully. Glass-ceramic surfaces and double-bottom pans will save energy.")</f>
        <v>The stove is good. 20 years of experience with glass ceramic hobs. It cooks, fries and bakes well. The surface can be washed not only with a special product, but also with dishwashing liquid. In order for the stove to last a long time, you need to use good cookware and cook carefully. Glass-ceramic surfaces and double-bottom pans will save energy.</v>
      </c>
    </row>
    <row r="11950" spans="1:9" x14ac:dyDescent="0.3">
      <c r="A11950" s="1" t="s">
        <v>496</v>
      </c>
      <c r="B11950" s="1" t="s">
        <v>497</v>
      </c>
      <c r="C11950" s="1" t="s">
        <v>487</v>
      </c>
      <c r="D11950" s="1" t="s">
        <v>16958</v>
      </c>
      <c r="E11950" s="1" t="s">
        <v>1065</v>
      </c>
      <c r="F11950" s="1" t="s">
        <v>16959</v>
      </c>
      <c r="G11950" s="1" t="s">
        <v>36</v>
      </c>
      <c r="H11950" s="1" t="s">
        <v>29</v>
      </c>
      <c r="I11950" s="1" t="str">
        <f ca="1">IFERROR(__xludf.DUMMYFUNCTION("GOOGLETRANSLATE(F11950, ""auto"", ""en"")
"),"I installed this version of 7 x64 and I don’t regret it. Before that, Vista and XP worked a little worse, but here everything is very fast, even things that didn’t work on previous systems, especially graphics and network games. The only drawback is that "&amp;"you need to install drivers for some programs, but these are all little things on the Internet. Advice, you need to install them!")</f>
        <v>I installed this version of 7 x64 and I don’t regret it. Before that, Vista and XP worked a little worse, but here everything is very fast, even things that didn’t work on previous systems, especially graphics and network games. The only drawback is that you need to install drivers for some programs, but these are all little things on the Internet. Advice, you need to install them!</v>
      </c>
    </row>
    <row r="11951" spans="1:9" x14ac:dyDescent="0.3">
      <c r="A11951" s="1" t="s">
        <v>149</v>
      </c>
      <c r="B11951" s="1" t="s">
        <v>576</v>
      </c>
      <c r="C11951" s="1" t="s">
        <v>80</v>
      </c>
      <c r="D11951" s="1" t="s">
        <v>127</v>
      </c>
      <c r="E11951" s="1" t="s">
        <v>2365</v>
      </c>
      <c r="F11951" s="1" t="s">
        <v>16960</v>
      </c>
      <c r="G11951" s="1" t="s">
        <v>28</v>
      </c>
      <c r="H11951" s="1" t="s">
        <v>29</v>
      </c>
      <c r="I11951" s="1" t="str">
        <f ca="1">IFERROR(__xludf.DUMMYFUNCTION("GOOGLETRANSLATE(F11951, ""auto"", ""en"")
"),"Good vacuum cleaner.")</f>
        <v>Good vacuum cleaner.</v>
      </c>
    </row>
    <row r="11952" spans="1:9" x14ac:dyDescent="0.3">
      <c r="A11952" s="1" t="s">
        <v>111</v>
      </c>
      <c r="B11952" s="1" t="s">
        <v>636</v>
      </c>
      <c r="C11952" s="1" t="s">
        <v>637</v>
      </c>
      <c r="D11952" s="1" t="s">
        <v>2934</v>
      </c>
      <c r="E11952" s="1" t="s">
        <v>16961</v>
      </c>
      <c r="F11952" s="1" t="s">
        <v>16962</v>
      </c>
      <c r="G11952" s="1" t="s">
        <v>36</v>
      </c>
      <c r="H11952" s="1" t="s">
        <v>29</v>
      </c>
      <c r="I11952" s="1" t="str">
        <f ca="1">IFERROR(__xludf.DUMMYFUNCTION("GOOGLETRANSLATE(F11952, ""auto"", ""en"")
"),"Oregon weather stations are some of the best on the market. Room humidity can easily be 2%. With our heating systems in Soviet apartment buildings (and, 100% in your case, panel buildings) this is not a device error. I came across this myself (I have an O"&amp;"regon weather station with 3 sensors). And about the error in external temperature: the sensor is placed on the street (and not on the balcony or loggia), and so that it is on the north side (or well covered if on the south...) and everything will be as i"&amp;"t should be. Good luck everyone.")</f>
        <v>Oregon weather stations are some of the best on the market. Room humidity can easily be 2%. With our heating systems in Soviet apartment buildings (and, 100% in your case, panel buildings) this is not a device error. I came across this myself (I have an Oregon weather station with 3 sensors). And about the error in external temperature: the sensor is placed on the street (and not on the balcony or loggia), and so that it is on the north side (or well covered if on the south...) and everything will be as it should be. Good luck everyone.</v>
      </c>
    </row>
    <row r="11953" spans="1:9" x14ac:dyDescent="0.3">
      <c r="A11953" s="1" t="s">
        <v>61</v>
      </c>
      <c r="B11953" s="1" t="s">
        <v>318</v>
      </c>
      <c r="C11953" s="1" t="s">
        <v>69</v>
      </c>
      <c r="D11953" s="1" t="s">
        <v>308</v>
      </c>
      <c r="E11953" s="1" t="s">
        <v>1978</v>
      </c>
      <c r="F11953" s="1" t="s">
        <v>16963</v>
      </c>
      <c r="G11953" s="1" t="s">
        <v>36</v>
      </c>
      <c r="H11953" s="1" t="s">
        <v>29</v>
      </c>
      <c r="I11953" s="1" t="str">
        <f ca="1">IFERROR(__xludf.DUMMYFUNCTION("GOOGLETRANSLATE(F11953, ""auto"", ""en"")
"),"The kettle is just super! We bought it 2 years ago, so far there are no complaints! I advise everyone to buy this one.")</f>
        <v>The kettle is just super! We bought it 2 years ago, so far there are no complaints! I advise everyone to buy this one.</v>
      </c>
    </row>
    <row r="11954" spans="1:9" x14ac:dyDescent="0.3">
      <c r="A11954" s="1" t="s">
        <v>17</v>
      </c>
      <c r="B11954" s="1" t="s">
        <v>18</v>
      </c>
      <c r="C11954" s="1" t="s">
        <v>151</v>
      </c>
      <c r="D11954" s="1" t="s">
        <v>52</v>
      </c>
      <c r="E11954" s="1" t="s">
        <v>1649</v>
      </c>
      <c r="F11954" s="1" t="s">
        <v>16964</v>
      </c>
      <c r="G11954" s="1" t="s">
        <v>36</v>
      </c>
      <c r="H11954" s="1" t="s">
        <v>29</v>
      </c>
      <c r="I11954" s="1" t="str">
        <f ca="1">IFERROR(__xludf.DUMMYFUNCTION("GOOGLETRANSLATE(F11954, ""auto"", ""en"")
"),"I bought the car three weeks ago. Everything works as stated, does not jump around the bathroom, the noise is normal. For the money it's a pretty good set of features.")</f>
        <v>I bought the car three weeks ago. Everything works as stated, does not jump around the bathroom, the noise is normal. For the money it's a pretty good set of features.</v>
      </c>
    </row>
    <row r="11955" spans="1:9" x14ac:dyDescent="0.3">
      <c r="A11955" s="1" t="s">
        <v>61</v>
      </c>
      <c r="B11955" s="1" t="s">
        <v>224</v>
      </c>
      <c r="C11955" s="1" t="s">
        <v>57</v>
      </c>
      <c r="D11955" s="1" t="s">
        <v>39</v>
      </c>
      <c r="E11955" s="1" t="s">
        <v>2050</v>
      </c>
      <c r="F11955" s="1" t="s">
        <v>16965</v>
      </c>
      <c r="G11955" s="1" t="s">
        <v>36</v>
      </c>
      <c r="H11955" s="1" t="s">
        <v>29</v>
      </c>
      <c r="I11955" s="1" t="str">
        <f ca="1">IFERROR(__xludf.DUMMYFUNCTION("GOOGLETRANSLATE(F11955, ""auto"", ""en"")
"),"An excellent juicer, I’ve been using it for almost a week, it squeezes perfectly, the juice output is normal, small in size, no worse than expensive ones.")</f>
        <v>An excellent juicer, I’ve been using it for almost a week, it squeezes perfectly, the juice output is normal, small in size, no worse than expensive ones.</v>
      </c>
    </row>
    <row r="11956" spans="1:9" x14ac:dyDescent="0.3">
      <c r="A11956" s="1" t="s">
        <v>120</v>
      </c>
      <c r="B11956" s="1" t="s">
        <v>126</v>
      </c>
      <c r="C11956" s="1" t="s">
        <v>151</v>
      </c>
      <c r="D11956" s="1" t="s">
        <v>139</v>
      </c>
      <c r="E11956" s="1" t="s">
        <v>1962</v>
      </c>
      <c r="F11956" s="1" t="s">
        <v>16966</v>
      </c>
      <c r="G11956" s="1" t="s">
        <v>36</v>
      </c>
      <c r="H11956" s="1" t="s">
        <v>29</v>
      </c>
      <c r="I11956" s="1" t="str">
        <f ca="1">IFERROR(__xludf.DUMMYFUNCTION("GOOGLETRANSLATE(F11956, ""auto"", ""en"")
"),"Actually, it’s not the stand that rotates, but the TV itself!  And the device is very good for that kind of money. good! The only negative is that there is no connection for headphones to it....")</f>
        <v>Actually, it’s not the stand that rotates, but the TV itself!  And the device is very good for that kind of money. good! The only negative is that there is no connection for headphones to it....</v>
      </c>
    </row>
    <row r="11957" spans="1:9" x14ac:dyDescent="0.3">
      <c r="A11957" s="1" t="s">
        <v>61</v>
      </c>
      <c r="B11957" s="1" t="s">
        <v>145</v>
      </c>
      <c r="C11957" s="1" t="s">
        <v>85</v>
      </c>
      <c r="D11957" s="1" t="s">
        <v>327</v>
      </c>
      <c r="E11957" s="1" t="s">
        <v>11884</v>
      </c>
      <c r="F11957" s="1" t="s">
        <v>16967</v>
      </c>
      <c r="G11957" s="1" t="s">
        <v>28</v>
      </c>
      <c r="H11957" s="1" t="s">
        <v>29</v>
      </c>
      <c r="I11957" s="1" t="str">
        <f ca="1">IFERROR(__xludf.DUMMYFUNCTION("GOOGLETRANSLATE(F11957, ""auto"", ""en"")
"),"We must pay tribute to Mvideo, the issue of replacement/return of the goods was resolved within a week. At the same time, they met halfway and all this time I had the opportunity to use a double boiler. Accordingly, you draw conclusions: Product defects ("&amp;"from which no one is insured) are not my, that is, the consumer’s, headache. Accordingly, next time you come to the store where there is the appropriate service. Regarding the steamer itself. We were looking for an alternative to this steamer, but we coul"&amp;"dn’t find it. It was its independent layout that I liked and its power. The whole chicken is ready in 40 minutes. Something was already cooking in one, a child came up and threw in whatever he wanted. Key to start and let's go. That's why they took the sa"&amp;"me model. BUT!!! We unpacked several packages. In all containers/compartments, the transparent ones already have barely noticeable rays of varying lengths around the steam holes in the bottom. They took it with a warranty note about defects. If the Rays g"&amp;"o, then we will make a return and take another model. Or a steamer for everyone :) So German with Chinese quality, not German.")</f>
        <v>We must pay tribute to Mvideo, the issue of replacement/return of the goods was resolved within a week. At the same time, they met halfway and all this time I had the opportunity to use a double boiler. Accordingly, you draw conclusions: Product defects (from which no one is insured) are not my, that is, the consumer’s, headache. Accordingly, next time you come to the store where there is the appropriate service. Regarding the steamer itself. We were looking for an alternative to this steamer, but we couldn’t find it. It was its independent layout that I liked and its power. The whole chicken is ready in 40 minutes. Something was already cooking in one, a child came up and threw in whatever he wanted. Key to start and let's go. That's why they took the same model. BUT!!! We unpacked several packages. In all containers/compartments, the transparent ones already have barely noticeable rays of varying lengths around the steam holes in the bottom. They took it with a warranty note about defects. If the Rays go, then we will make a return and take another model. Or a steamer for everyone :) So German with Chinese quality, not German.</v>
      </c>
    </row>
    <row r="11958" spans="1:9" x14ac:dyDescent="0.3">
      <c r="A11958" s="1" t="s">
        <v>120</v>
      </c>
      <c r="B11958" s="1" t="s">
        <v>121</v>
      </c>
      <c r="C11958" s="1" t="s">
        <v>658</v>
      </c>
      <c r="D11958" s="1" t="s">
        <v>16968</v>
      </c>
      <c r="E11958" s="1" t="s">
        <v>5798</v>
      </c>
      <c r="F11958" s="1" t="s">
        <v>16969</v>
      </c>
      <c r="G11958" s="1" t="s">
        <v>28</v>
      </c>
      <c r="H11958" s="1" t="s">
        <v>29</v>
      </c>
      <c r="I11958" s="1" t="str">
        <f ca="1">IFERROR(__xludf.DUMMYFUNCTION("GOOGLETRANSLATE(F11958, ""auto"", ""en"")
"),"I purchased this TV in the desire to see 1920x1080p, since there is a 42,720p plasma. The store connected the same 1080p picture to it, to Sony W... and to Samsung 530 or 550. Sony, of course, was ideal, Samsung - contrast, but motion blur was noticeable "&amp;"to the eye, Toshiba turned out to be as close as possible to Sony, there was no 100Hz, but I didn’t see any blurriness and the price was LOWER than Sonievskaya.   The little contrast that seemed in the store disappeared at home and the plasma was less ins"&amp;"piring than this TV.   Pros: 1080p movies look great, colors are amazing, detail is great. The number of settings is simply AMAZING (I love the latest TV in the lineup). Soft remote control. Convenient connectors for mounting on the wall, I could barely f"&amp;"ind the TV, so that, like on my ancient plasma, the antenna input was at the BOTTOM. To a PC via HDMI and disabling secondary displays on the Radeon 4850 produces 1080p. A good and really working Rez... + function.   Now the disadvantages: bulky design (b"&amp;"ack) (but I think this is a tribute to technology, it was simpler in Philips), Surround sound on Philips is better, maybe Dolby did something cool, but as I understand it is available with digital TV, Frail back wall covering the fancy insides - it hangs "&amp;"rather weakly on the mount. The transformer is humming (or something else that depends on the Hz signal and changes its tone).   It takes a VERY long time to search for channels during a full search.   I went for 32 SONY W... with 100Hz, for a little less"&amp;" money I got this 37. I don’t regret it at all, it shows super - very natural. What's most infuriating is the hum and that the Philips has the best surround sound that came before it, despite the two Dolby logos on it.")</f>
        <v>I purchased this TV in the desire to see 1920x1080p, since there is a 42,720p plasma. The store connected the same 1080p picture to it, to Sony W... and to Samsung 530 or 550. Sony, of course, was ideal, Samsung - contrast, but motion blur was noticeable to the eye, Toshiba turned out to be as close as possible to Sony, there was no 100Hz, but I didn’t see any blurriness and the price was LOWER than Sonievskaya.   The little contrast that seemed in the store disappeared at home and the plasma was less inspiring than this TV.   Pros: 1080p movies look great, colors are amazing, detail is great. The number of settings is simply AMAZING (I love the latest TV in the lineup). Soft remote control. Convenient connectors for mounting on the wall, I could barely find the TV, so that, like on my ancient plasma, the antenna input was at the BOTTOM. To a PC via HDMI and disabling secondary displays on the Radeon 4850 produces 1080p. A good and really working Rez... + function.   Now the disadvantages: bulky design (back) (but I think this is a tribute to technology, it was simpler in Philips), Surround sound on Philips is better, maybe Dolby did something cool, but as I understand it is available with digital TV, Frail back wall covering the fancy insides - it hangs rather weakly on the mount. The transformer is humming (or something else that depends on the Hz signal and changes its tone).   It takes a VERY long time to search for channels during a full search.   I went for 32 SONY W... with 100Hz, for a little less money I got this 37. I don’t regret it at all, it shows super - very natural. What's most infuriating is the hum and that the Philips has the best surround sound that came before it, despite the two Dolby logos on it.</v>
      </c>
    </row>
    <row r="11959" spans="1:9" x14ac:dyDescent="0.3">
      <c r="A11959" s="1" t="s">
        <v>9</v>
      </c>
      <c r="B11959" s="1" t="s">
        <v>23</v>
      </c>
      <c r="C11959" s="1" t="s">
        <v>466</v>
      </c>
      <c r="D11959" s="1" t="s">
        <v>16970</v>
      </c>
      <c r="E11959" s="1" t="s">
        <v>6122</v>
      </c>
      <c r="F11959" s="1" t="s">
        <v>16971</v>
      </c>
      <c r="G11959" s="1" t="s">
        <v>15</v>
      </c>
      <c r="H11959" s="1" t="s">
        <v>16</v>
      </c>
      <c r="I11959" s="1" t="str">
        <f ca="1">IFERROR(__xludf.DUMMYFUNCTION("GOOGLETRANSLATE(F11959, ""auto"", ""en"")
"),"For some reason, all my dishes are washed in the machine selectively: that is, out of 7 loaded plates, 3 are washed, and 4 are not even touched... I can’t understand how this happens...")</f>
        <v>For some reason, all my dishes are washed in the machine selectively: that is, out of 7 loaded plates, 3 are washed, and 4 are not even touched... I can’t understand how this happens...</v>
      </c>
    </row>
    <row r="11960" spans="1:9" x14ac:dyDescent="0.3">
      <c r="A11960" s="1" t="s">
        <v>477</v>
      </c>
      <c r="B11960" s="1" t="s">
        <v>478</v>
      </c>
      <c r="C11960" s="1" t="s">
        <v>479</v>
      </c>
      <c r="D11960" s="1" t="s">
        <v>16972</v>
      </c>
      <c r="E11960" s="1" t="s">
        <v>1228</v>
      </c>
      <c r="F11960" s="1" t="s">
        <v>16973</v>
      </c>
      <c r="G11960" s="1" t="s">
        <v>36</v>
      </c>
      <c r="H11960" s="1" t="s">
        <v>29</v>
      </c>
      <c r="I11960" s="1" t="str">
        <f ca="1">IFERROR(__xludf.DUMMYFUNCTION("GOOGLETRANSLATE(F11960, ""auto"", ""en"")
"),"it's just something!!! This is a bomb, not a game!!! I recommend it to everyone!!!")</f>
        <v>it's just something!!! This is a bomb, not a game!!! I recommend it to everyone!!!</v>
      </c>
    </row>
    <row r="11961" spans="1:9" x14ac:dyDescent="0.3">
      <c r="A11961" s="1" t="s">
        <v>149</v>
      </c>
      <c r="B11961" s="1" t="s">
        <v>576</v>
      </c>
      <c r="C11961" s="1" t="s">
        <v>80</v>
      </c>
      <c r="D11961" s="1" t="s">
        <v>474</v>
      </c>
      <c r="E11961" s="1" t="s">
        <v>2323</v>
      </c>
      <c r="F11961" s="1" t="s">
        <v>16974</v>
      </c>
      <c r="G11961" s="1" t="s">
        <v>36</v>
      </c>
      <c r="H11961" s="1" t="s">
        <v>29</v>
      </c>
      <c r="I11961" s="1" t="str">
        <f ca="1">IFERROR(__xludf.DUMMYFUNCTION("GOOGLETRANSLATE(F11961, ""auto"", ""en"")
"),"We purchased this vacuum cleaner today. I’m very pleased. The advantages would be that it has a metal tube, a power of 1500 W and is very light.   We haven’t noticed any downsides yet and I hope we won’t! Let's see how long it lasts :) Before this vacuum "&amp;"cleaner, we used the simplest vacuum cleaner from LG and I will say that it definitely served us for 5-7 years. We will be glad if this one doesn’t let us down either.")</f>
        <v>We purchased this vacuum cleaner today. I’m very pleased. The advantages would be that it has a metal tube, a power of 1500 W and is very light.   We haven’t noticed any downsides yet and I hope we won’t! Let's see how long it lasts :) Before this vacuum cleaner, we used the simplest vacuum cleaner from LG and I will say that it definitely served us for 5-7 years. We will be glad if this one doesn’t let us down either.</v>
      </c>
    </row>
    <row r="11962" spans="1:9" x14ac:dyDescent="0.3">
      <c r="A11962" s="1" t="s">
        <v>369</v>
      </c>
      <c r="B11962" s="1" t="s">
        <v>587</v>
      </c>
      <c r="C11962" s="1" t="s">
        <v>138</v>
      </c>
      <c r="D11962" s="1" t="s">
        <v>114</v>
      </c>
      <c r="E11962" s="1" t="s">
        <v>3166</v>
      </c>
      <c r="F11962" s="1" t="s">
        <v>16975</v>
      </c>
      <c r="G11962" s="1" t="s">
        <v>36</v>
      </c>
      <c r="H11962" s="1" t="s">
        <v>29</v>
      </c>
      <c r="I11962" s="1" t="str">
        <f ca="1">IFERROR(__xludf.DUMMYFUNCTION("GOOGLETRANSLATE(F11962, ""auto"", ""en"")
"),"I bought this stove for my wife in March. I still can't get enough of it. Electric ignition, an electric oven that bakes and bakes wonderfully. Recently my wife has taken up the habit of cooking in the oven. Convenient and tasty. The design also fits very"&amp;" comfortably into the interior of our kitchen.   There is only one negative: a few days after the purchase, we discovered that the mechanical timer did not work and did not count back the time. But these are small things, they happen everywhere, even with"&amp;" the most expensive models. Problem with warranty repair. I left a request with the warranty company, they promised that the spare part would arrive within 1-2 months and everything would be done. The fifth month has begun, the warranty workshop is denyin"&amp;"g that the spare part will not arrive. So there you go.  And don’t regret it, buy it, it’s a very good model both in price and quality.")</f>
        <v>I bought this stove for my wife in March. I still can't get enough of it. Electric ignition, an electric oven that bakes and bakes wonderfully. Recently my wife has taken up the habit of cooking in the oven. Convenient and tasty. The design also fits very comfortably into the interior of our kitchen.   There is only one negative: a few days after the purchase, we discovered that the mechanical timer did not work and did not count back the time. But these are small things, they happen everywhere, even with the most expensive models. Problem with warranty repair. I left a request with the warranty company, they promised that the spare part would arrive within 1-2 months and everything would be done. The fifth month has begun, the warranty workshop is denying that the spare part will not arrive. So there you go.  And don’t regret it, buy it, it’s a very good model both in price and quality.</v>
      </c>
    </row>
    <row r="11963" spans="1:9" x14ac:dyDescent="0.3">
      <c r="A11963" s="1" t="s">
        <v>61</v>
      </c>
      <c r="B11963" s="1" t="s">
        <v>73</v>
      </c>
      <c r="C11963" s="1" t="s">
        <v>146</v>
      </c>
      <c r="D11963" s="1" t="s">
        <v>280</v>
      </c>
      <c r="E11963" s="1" t="s">
        <v>7075</v>
      </c>
      <c r="F11963" s="1" t="s">
        <v>16976</v>
      </c>
      <c r="G11963" s="1" t="s">
        <v>49</v>
      </c>
      <c r="H11963" s="1" t="s">
        <v>16</v>
      </c>
      <c r="I11963" s="1" t="str">
        <f ca="1">IFERROR(__xludf.DUMMYFUNCTION("GOOGLETRANSLATE(F11963, ""auto"", ""en"")
"),"My wife and I bought it ten months ago. The name of the company attracted, they thought the upper class, and the seller praised it. It wasn't like that. There is a lot of noise, but little sense! On it you can only spin tomatoes along the way. The meat mu"&amp;"st be defrosted, cut into strips 2.5 cm wide and all veins trimmed. If this is not done, then the entire contents are wound onto the auger and you have to turn it in reverse. I don’t recommend using it. Money down the drain.")</f>
        <v>My wife and I bought it ten months ago. The name of the company attracted, they thought the upper class, and the seller praised it. It wasn't like that. There is a lot of noise, but little sense! On it you can only spin tomatoes along the way. The meat must be defrosted, cut into strips 2.5 cm wide and all veins trimmed. If this is not done, then the entire contents are wound onto the auger and you have to turn it in reverse. I don’t recommend using it. Money down the drain.</v>
      </c>
    </row>
    <row r="11964" spans="1:9" x14ac:dyDescent="0.3">
      <c r="A11964" s="1" t="s">
        <v>149</v>
      </c>
      <c r="B11964" s="1" t="s">
        <v>576</v>
      </c>
      <c r="C11964" s="1" t="s">
        <v>69</v>
      </c>
      <c r="D11964" s="1" t="s">
        <v>127</v>
      </c>
      <c r="E11964" s="1" t="s">
        <v>15137</v>
      </c>
      <c r="F11964" s="1" t="s">
        <v>16977</v>
      </c>
      <c r="G11964" s="1" t="s">
        <v>36</v>
      </c>
      <c r="H11964" s="1" t="s">
        <v>29</v>
      </c>
      <c r="I11964" s="1" t="str">
        <f ca="1">IFERROR(__xludf.DUMMYFUNCTION("GOOGLETRANSLATE(F11964, ""auto"", ""en"")
"),"I took a similar one in terms of power, but without a turbo brush - I bought it separately, as they advised. The vacuum cleaner is quiet and powerful compared to the ones I had. There was no electric shock.")</f>
        <v>I took a similar one in terms of power, but without a turbo brush - I bought it separately, as they advised. The vacuum cleaner is quiet and powerful compared to the ones I had. There was no electric shock.</v>
      </c>
    </row>
    <row r="11965" spans="1:9" x14ac:dyDescent="0.3">
      <c r="A11965" s="1" t="s">
        <v>211</v>
      </c>
      <c r="B11965" s="1" t="s">
        <v>856</v>
      </c>
      <c r="C11965" s="1" t="s">
        <v>57</v>
      </c>
      <c r="D11965" s="1" t="s">
        <v>565</v>
      </c>
      <c r="E11965" s="1" t="s">
        <v>15621</v>
      </c>
      <c r="F11965" s="1" t="s">
        <v>16978</v>
      </c>
      <c r="G11965" s="1" t="s">
        <v>15</v>
      </c>
      <c r="H11965" s="1" t="s">
        <v>16</v>
      </c>
      <c r="I11965" s="1" t="str">
        <f ca="1">IFERROR(__xludf.DUMMYFUNCTION("GOOGLETRANSLATE(F11965, ""auto"", ""en"")
"),"You can forget about the pedicure - too weak! So, just remove the cuticle a little, but no more. There are a lot of attachments - no use, because... in fact, it is possible to use only 2-3.  Not suitable for gel either. Overall the device is weak, I didn’"&amp;"t like it. It's a pity for the money spent. ALAS!")</f>
        <v>You can forget about the pedicure - too weak! So, just remove the cuticle a little, but no more. There are a lot of attachments - no use, because... in fact, it is possible to use only 2-3.  Not suitable for gel either. Overall the device is weak, I didn’t like it. It's a pity for the money spent. ALAS!</v>
      </c>
    </row>
    <row r="11966" spans="1:9" x14ac:dyDescent="0.3">
      <c r="A11966" s="1" t="s">
        <v>369</v>
      </c>
      <c r="B11966" s="1" t="s">
        <v>587</v>
      </c>
      <c r="C11966" s="1" t="s">
        <v>159</v>
      </c>
      <c r="D11966" s="1" t="s">
        <v>64</v>
      </c>
      <c r="E11966" s="1" t="s">
        <v>128</v>
      </c>
      <c r="F11966" s="1" t="s">
        <v>16979</v>
      </c>
      <c r="G11966" s="1" t="s">
        <v>28</v>
      </c>
      <c r="H11966" s="1" t="s">
        <v>29</v>
      </c>
      <c r="I11966" s="1" t="str">
        <f ca="1">IFERROR(__xludf.DUMMYFUNCTION("GOOGLETRANSLATE(F11966, ""auto"", ""en"")
"),"We bought the stove relatively recently (at the beginning of the year). We chose a stove with gas. control and full electric ignition. At that time I was not interested in how the oven baked, because... I’m not a fan of baking, but when my mother came and"&amp;" we started baking chicken chicken, I was pleasantly surprised: the oven bakes just fine! Everything was baked evenly and even browned on top without burning on the bottom. We were pleased with the functions of turning off the burners and oven independent"&amp;"ly, but the timer signal could have been louder. If you are in another room, you will not hear it. I was also disappointed by the lack of a stand on the wire rack for small dishes, but judging by and large, I’m happy with the stove.")</f>
        <v>We bought the stove relatively recently (at the beginning of the year). We chose a stove with gas. control and full electric ignition. At that time I was not interested in how the oven baked, because... I’m not a fan of baking, but when my mother came and we started baking chicken chicken, I was pleasantly surprised: the oven bakes just fine! Everything was baked evenly and even browned on top without burning on the bottom. We were pleased with the functions of turning off the burners and oven independently, but the timer signal could have been louder. If you are in another room, you will not hear it. I was also disappointed by the lack of a stand on the wire rack for small dishes, but judging by and large, I’m happy with the stove.</v>
      </c>
    </row>
    <row r="11967" spans="1:9" x14ac:dyDescent="0.3">
      <c r="A11967" s="1" t="s">
        <v>169</v>
      </c>
      <c r="B11967" s="1" t="s">
        <v>170</v>
      </c>
      <c r="C11967" s="1" t="s">
        <v>193</v>
      </c>
      <c r="D11967" s="1" t="s">
        <v>2068</v>
      </c>
      <c r="E11967" s="1" t="s">
        <v>421</v>
      </c>
      <c r="F11967" s="1" t="s">
        <v>16980</v>
      </c>
      <c r="G11967" s="1" t="s">
        <v>36</v>
      </c>
      <c r="H11967" s="1" t="s">
        <v>29</v>
      </c>
      <c r="I11967" s="1" t="str">
        <f ca="1">IFERROR(__xludf.DUMMYFUNCTION("GOOGLETRANSLATE(F11967, ""auto"", ""en"")
"),"I bought it yesterday. I listened all night long - 8 hours straight. I don’t want to take pictures and I won’t! But it needs to be filmed. At least sometimes.  It was tested on Alice, Rammstein, Nightwish, Dancevut and the compositions of the singer Sveta"&amp;" (it was just the first thing that was at hand on the greedy disk).  Great choice. Excellent playback. Of course, there are cooler headphones (with deeper bass) - no one argues. But for listening on a computer with an integrated sound card (as well as for"&amp;" games and movies), this is more than enough.  The cord is 3m long, in this situation this is a clear advantage of these headphones. However, you can also carry it on the street - the reel for winding the wire is very useful.   Sennheiser domes - quality "&amp;"weight! You can feel it right away.  It is quite possible that this model is not entirely suitable for listening to rock music saturated with heavy basses (Rammstein, Nightwish, Alisa, not to mention the incorrigible hardcore heavyweights) - the basses ar"&amp;"e somewhat weak (but this is a matter of taste and, if possible, is regulated by the equalizer sliders). But the series of headphones is called DJ for a reason - these “ears” were originally designed for electronic music of all kinds. Keep this in mind wh"&amp;"en making your choice. But the sound of these particular Zennhs is ultra-pleasant in any case. Super thing!    My rating for these “ears” is 10 points out of 10. - The main thing is to set the equalizer settings correctly and then the bass and tops will b"&amp;"e as they should!     They do not provide complete sound insulation from the surrounding outside world, although they noticeably dampen all external sound waves.")</f>
        <v>I bought it yesterday. I listened all night long - 8 hours straight. I don’t want to take pictures and I won’t! But it needs to be filmed. At least sometimes.  It was tested on Alice, Rammstein, Nightwish, Dancevut and the compositions of the singer Sveta (it was just the first thing that was at hand on the greedy disk).  Great choice. Excellent playback. Of course, there are cooler headphones (with deeper bass) - no one argues. But for listening on a computer with an integrated sound card (as well as for games and movies), this is more than enough.  The cord is 3m long, in this situation this is a clear advantage of these headphones. However, you can also carry it on the street - the reel for winding the wire is very useful.   Sennheiser domes - quality weight! You can feel it right away.  It is quite possible that this model is not entirely suitable for listening to rock music saturated with heavy basses (Rammstein, Nightwish, Alisa, not to mention the incorrigible hardcore heavyweights) - the basses are somewhat weak (but this is a matter of taste and, if possible, is regulated by the equalizer sliders). But the series of headphones is called DJ for a reason - these “ears” were originally designed for electronic music of all kinds. Keep this in mind when making your choice. But the sound of these particular Zennhs is ultra-pleasant in any case. Super thing!    My rating for these “ears” is 10 points out of 10. - The main thing is to set the equalizer settings correctly and then the bass and tops will be as they should!     They do not provide complete sound insulation from the surrounding outside world, although they noticeably dampen all external sound waves.</v>
      </c>
    </row>
    <row r="11968" spans="1:9" x14ac:dyDescent="0.3">
      <c r="A11968" s="1" t="s">
        <v>169</v>
      </c>
      <c r="B11968" s="1" t="s">
        <v>170</v>
      </c>
      <c r="C11968" s="1" t="s">
        <v>171</v>
      </c>
      <c r="D11968" s="1" t="s">
        <v>3386</v>
      </c>
      <c r="E11968" s="1" t="s">
        <v>626</v>
      </c>
      <c r="F11968" s="1" t="s">
        <v>16981</v>
      </c>
      <c r="G11968" s="1" t="s">
        <v>36</v>
      </c>
      <c r="H11968" s="1" t="s">
        <v>29</v>
      </c>
      <c r="I11968" s="1" t="str">
        <f ca="1">IFERROR(__xludf.DUMMYFUNCTION("GOOGLETRANSLATE(F11968, ""auto"", ""en"")
"),"I am writing in addition to the old review. The headphones are still alive, the jack has been re-soldered again and that’s it. I dropped them on the asphalt and accidentally stepped on them, the body only cracked a little. Simply unrealistically durable h"&amp;"eadphones. I'm going to buy the updated version of this model.")</f>
        <v>I am writing in addition to the old review. The headphones are still alive, the jack has been re-soldered again and that’s it. I dropped them on the asphalt and accidentally stepped on them, the body only cracked a little. Simply unrealistically durable headphones. I'm going to buy the updated version of this model.</v>
      </c>
    </row>
    <row r="11969" spans="1:9" x14ac:dyDescent="0.3">
      <c r="A11969" s="1" t="s">
        <v>6277</v>
      </c>
      <c r="B11969" s="1" t="s">
        <v>6823</v>
      </c>
      <c r="C11969" s="1" t="s">
        <v>85</v>
      </c>
      <c r="D11969" s="1" t="s">
        <v>16982</v>
      </c>
      <c r="E11969" s="1" t="s">
        <v>6824</v>
      </c>
      <c r="F11969" s="1" t="s">
        <v>16983</v>
      </c>
      <c r="G11969" s="1" t="s">
        <v>36</v>
      </c>
      <c r="H11969" s="1" t="s">
        <v>29</v>
      </c>
      <c r="I11969" s="1" t="str">
        <f ca="1">IFERROR(__xludf.DUMMYFUNCTION("GOOGLETRANSLATE(F11969, ""auto"", ""en"")
"),"A really high-quality filter that cleans the air properly. I thought there would be problems with the replacement, but one video on YouTube was enough. It gives its money's worth - the air purifier has been working with this filter for two weeks now, and "&amp;"the difference ""before"" and ""after"" is noticeable for me personally. I’m just breathing in clean air, plus I no longer have any nausea that I used to constantly have. Super.")</f>
        <v>A really high-quality filter that cleans the air properly. I thought there would be problems with the replacement, but one video on YouTube was enough. It gives its money's worth - the air purifier has been working with this filter for two weeks now, and the difference "before" and "after" is noticeable for me personally. I’m just breathing in clean air, plus I no longer have any nausea that I used to constantly have. Super.</v>
      </c>
    </row>
    <row r="11970" spans="1:9" x14ac:dyDescent="0.3">
      <c r="A11970" s="1" t="s">
        <v>43</v>
      </c>
      <c r="B11970" s="1" t="s">
        <v>502</v>
      </c>
      <c r="C11970" s="1" t="s">
        <v>159</v>
      </c>
      <c r="D11970" s="1" t="s">
        <v>39</v>
      </c>
      <c r="E11970" s="1" t="s">
        <v>7463</v>
      </c>
      <c r="F11970" s="1" t="s">
        <v>16984</v>
      </c>
      <c r="G11970" s="1" t="s">
        <v>49</v>
      </c>
      <c r="H11970" s="1" t="s">
        <v>16</v>
      </c>
      <c r="I11970" s="1" t="str">
        <f ca="1">IFERROR(__xludf.DUMMYFUNCTION("GOOGLETRANSLATE(F11970, ""auto"", ""en"")
"),"It is poorly assembled, there are gaps and cracks everywhere, and the plastic is downright thin. When the air blows, the whole thing creaks... the indoor unit is quite large, for some reason in the photo and in the store it seemed smaller, and the cord is"&amp;" also short, so I had to take out an outlet specifically for it. Once during use, the indoor unit leaked, I had to call the technicians")</f>
        <v>It is poorly assembled, there are gaps and cracks everywhere, and the plastic is downright thin. When the air blows, the whole thing creaks... the indoor unit is quite large, for some reason in the photo and in the store it seemed smaller, and the cord is also short, so I had to take out an outlet specifically for it. Once during use, the indoor unit leaked, I had to call the technicians</v>
      </c>
    </row>
    <row r="11971" spans="1:9" x14ac:dyDescent="0.3">
      <c r="A11971" s="1" t="s">
        <v>61</v>
      </c>
      <c r="B11971" s="1" t="s">
        <v>318</v>
      </c>
      <c r="C11971" s="1" t="s">
        <v>85</v>
      </c>
      <c r="D11971" s="1" t="s">
        <v>280</v>
      </c>
      <c r="E11971" s="1" t="s">
        <v>16985</v>
      </c>
      <c r="F11971" s="1" t="s">
        <v>16986</v>
      </c>
      <c r="G11971" s="1" t="s">
        <v>36</v>
      </c>
      <c r="H11971" s="1" t="s">
        <v>29</v>
      </c>
      <c r="I11971" s="1" t="str">
        <f ca="1">IFERROR(__xludf.DUMMYFUNCTION("GOOGLETRANSLATE(F11971, ""auto"", ""en"")
"),"Controlled brewing time and temperature (important for green tea)")</f>
        <v>Controlled brewing time and temperature (important for green tea)</v>
      </c>
    </row>
    <row r="11972" spans="1:9" x14ac:dyDescent="0.3">
      <c r="A11972" s="1" t="s">
        <v>30</v>
      </c>
      <c r="B11972" s="1" t="s">
        <v>31</v>
      </c>
      <c r="C11972" s="1" t="s">
        <v>32</v>
      </c>
      <c r="D11972" s="1" t="s">
        <v>305</v>
      </c>
      <c r="E11972" s="1" t="s">
        <v>750</v>
      </c>
      <c r="F11972" s="1" t="s">
        <v>16987</v>
      </c>
      <c r="G11972" s="1" t="s">
        <v>49</v>
      </c>
      <c r="H11972" s="1" t="s">
        <v>16</v>
      </c>
      <c r="I11972" s="1" t="str">
        <f ca="1">IFERROR(__xludf.DUMMYFUNCTION("GOOGLETRANSLATE(F11972, ""auto"", ""en"")
"),"We bought it, after an hour it began to freeze, apparently a defect with the video card.  It hangs on any programs, the monitor flickers, 3 magic keys do not work, today we went to take it, no, they say, wait for the examination, they say it doesn’t freez"&amp;"e, of course, in static conditions the screen shines longer, in the end it froze, on its own, thank you, it’s true that the nerves were wasted..... The money was returned. I do not recommend buying this Chinese remake.")</f>
        <v>We bought it, after an hour it began to freeze, apparently a defect with the video card.  It hangs on any programs, the monitor flickers, 3 magic keys do not work, today we went to take it, no, they say, wait for the examination, they say it doesn’t freeze, of course, in static conditions the screen shines longer, in the end it froze, on its own, thank you, it’s true that the nerves were wasted..... The money was returned. I do not recommend buying this Chinese remake.</v>
      </c>
    </row>
    <row r="11973" spans="1:9" x14ac:dyDescent="0.3">
      <c r="A11973" s="1" t="s">
        <v>211</v>
      </c>
      <c r="B11973" s="1" t="s">
        <v>212</v>
      </c>
      <c r="C11973" s="1" t="s">
        <v>381</v>
      </c>
      <c r="D11973" s="1" t="s">
        <v>75</v>
      </c>
      <c r="E11973" s="1" t="s">
        <v>11612</v>
      </c>
      <c r="F11973" s="1" t="s">
        <v>16988</v>
      </c>
      <c r="G11973" s="1" t="s">
        <v>49</v>
      </c>
      <c r="H11973" s="1" t="s">
        <v>16</v>
      </c>
      <c r="I11973" s="1" t="str">
        <f ca="1">IFERROR(__xludf.DUMMYFUNCTION("GOOGLETRANSLATE(F11973, ""auto"", ""en"")
"),"Terrible hairdryer. I bought it today, used it for five minutes - it turned off due to overheating. I was just drying my hair like always. I absolutely do not recommend it.")</f>
        <v>Terrible hairdryer. I bought it today, used it for five minutes - it turned off due to overheating. I was just drying my hair like always. I absolutely do not recommend it.</v>
      </c>
    </row>
    <row r="11974" spans="1:9" x14ac:dyDescent="0.3">
      <c r="A11974" s="1" t="s">
        <v>9</v>
      </c>
      <c r="B11974" s="1" t="s">
        <v>133</v>
      </c>
      <c r="C11974" s="1" t="s">
        <v>159</v>
      </c>
      <c r="D11974" s="1" t="s">
        <v>327</v>
      </c>
      <c r="E11974" s="1" t="s">
        <v>41</v>
      </c>
      <c r="F11974" s="1" t="s">
        <v>16989</v>
      </c>
      <c r="G11974" s="1" t="s">
        <v>36</v>
      </c>
      <c r="H11974" s="1" t="s">
        <v>29</v>
      </c>
      <c r="I11974" s="1" t="str">
        <f ca="1">IFERROR(__xludf.DUMMYFUNCTION("GOOGLETRANSLATE(F11974, ""auto"", ""en"")
"),"I chose for 3 months, compared... I think it’s the best choice.")</f>
        <v>I chose for 3 months, compared... I think it’s the best choice.</v>
      </c>
    </row>
    <row r="11975" spans="1:9" x14ac:dyDescent="0.3">
      <c r="A11975" s="1" t="s">
        <v>61</v>
      </c>
      <c r="B11975" s="1" t="s">
        <v>62</v>
      </c>
      <c r="C11975" s="1" t="s">
        <v>63</v>
      </c>
      <c r="D11975" s="1" t="s">
        <v>46</v>
      </c>
      <c r="E11975" s="1" t="s">
        <v>6296</v>
      </c>
      <c r="F11975" s="1" t="s">
        <v>16990</v>
      </c>
      <c r="G11975" s="1" t="s">
        <v>15</v>
      </c>
      <c r="H11975" s="1" t="s">
        <v>16</v>
      </c>
      <c r="I11975" s="1" t="str">
        <f ca="1">IFERROR(__xludf.DUMMYFUNCTION("GOOGLETRANSLATE(F11975, ""auto"", ""en"")
"),"I really don’t like it, there are only three attachments, it either grinds it into puree, or into large pieces, there is no main middle one. When working at once, both bowls work and install poorly. I don’t want to use them!")</f>
        <v>I really don’t like it, there are only three attachments, it either grinds it into puree, or into large pieces, there is no main middle one. When working at once, both bowls work and install poorly. I don’t want to use them!</v>
      </c>
    </row>
    <row r="11976" spans="1:9" x14ac:dyDescent="0.3">
      <c r="A11976" s="1" t="s">
        <v>37</v>
      </c>
      <c r="B11976" s="1" t="s">
        <v>536</v>
      </c>
      <c r="C11976" s="1" t="s">
        <v>163</v>
      </c>
      <c r="D11976" s="1" t="s">
        <v>3668</v>
      </c>
      <c r="E11976" s="1" t="s">
        <v>9392</v>
      </c>
      <c r="F11976" s="1" t="s">
        <v>16991</v>
      </c>
      <c r="G11976" s="1" t="s">
        <v>36</v>
      </c>
      <c r="H11976" s="1" t="s">
        <v>29</v>
      </c>
      <c r="I11976" s="1" t="str">
        <f ca="1">IFERROR(__xludf.DUMMYFUNCTION("GOOGLETRANSLATE(F11976, ""auto"", ""en"")
"),"At first I took another model, but after a month and two days it broke. I arrived at the store and thought they would send me to a service center, but they agreed to reflash my phone. This didn’t help, so the seller offered to exchange the phone for anoth"&amp;"er one. I agreed to 5530. Since that day I have never regretted it. I liked 5530 more. Good stereo sound. The sensor is good. Very fast, the photo is quite decent! Take it, you won't regret it! And a big thank you to the store, from now on I will only buy"&amp;" equipment there. They exchanged without questions and the difference in price was returned, even the points on the card! THANK YOU!")</f>
        <v>At first I took another model, but after a month and two days it broke. I arrived at the store and thought they would send me to a service center, but they agreed to reflash my phone. This didn’t help, so the seller offered to exchange the phone for another one. I agreed to 5530. Since that day I have never regretted it. I liked 5530 more. Good stereo sound. The sensor is good. Very fast, the photo is quite decent! Take it, you won't regret it! And a big thank you to the store, from now on I will only buy equipment there. They exchanged without questions and the difference in price was returned, even the points on the card! THANK YOU!</v>
      </c>
    </row>
    <row r="11977" spans="1:9" x14ac:dyDescent="0.3">
      <c r="A11977" s="1" t="s">
        <v>811</v>
      </c>
      <c r="B11977" s="1" t="s">
        <v>812</v>
      </c>
      <c r="C11977" s="1" t="s">
        <v>813</v>
      </c>
      <c r="D11977" s="1" t="s">
        <v>1147</v>
      </c>
      <c r="E11977" s="1" t="s">
        <v>217</v>
      </c>
      <c r="F11977" s="1" t="s">
        <v>16992</v>
      </c>
      <c r="G11977" s="1" t="s">
        <v>36</v>
      </c>
      <c r="H11977" s="1" t="s">
        <v>29</v>
      </c>
      <c r="I11977" s="1" t="str">
        <f ca="1">IFERROR(__xludf.DUMMYFUNCTION("GOOGLETRANSLATE(F11977, ""auto"", ""en"")
"),"The tripod is very good, especially for keen amateurs and novice photographers, compact, lightweight, height 108 maximum, but that’s enough. In general, REKAM is an inexpensive but good company. Price and quality are appropriate. Thanks M.Video.")</f>
        <v>The tripod is very good, especially for keen amateurs and novice photographers, compact, lightweight, height 108 maximum, but that’s enough. In general, REKAM is an inexpensive but good company. Price and quality are appropriate. Thanks M.Video.</v>
      </c>
    </row>
    <row r="11978" spans="1:9" x14ac:dyDescent="0.3">
      <c r="A11978" s="1" t="s">
        <v>30</v>
      </c>
      <c r="B11978" s="1" t="s">
        <v>50</v>
      </c>
      <c r="C11978" s="1" t="s">
        <v>694</v>
      </c>
      <c r="D11978" s="1" t="s">
        <v>16993</v>
      </c>
      <c r="E11978" s="1" t="s">
        <v>5126</v>
      </c>
      <c r="F11978" s="1" t="s">
        <v>16994</v>
      </c>
      <c r="G11978" s="1" t="s">
        <v>36</v>
      </c>
      <c r="H11978" s="1" t="s">
        <v>29</v>
      </c>
      <c r="I11978" s="1" t="str">
        <f ca="1">IFERROR(__xludf.DUMMYFUNCTION("GOOGLETRANSLATE(F11978, ""auto"", ""en"")
"),"I’ve been using the beech for half a year now and I’m very pleased. I chose long and carefully – and I don’t regret it.  There are a lot of pros, so let's talk about the cons: - The video card, although it is the weakest in terms of hardware of everything"&amp;" that is on this laptop, but all parts of NFS are running at maximum settings, and GTA (this is one of the pop ones) is pleasing, but GTA 4 is already only at the minimum - it’s not so interesting to play it. If you are not a gamer, take it, you won’t reg"&amp;"ret it.   - Sound buttons, although they are buttons, are controlled by software, i.e. The sound cannot be turned off if something hangs, does not load, or is simply not installed. I would like a full-fledged mechanical twister or something like that.  - "&amp;"thin plastic, although this is due to the “thinness” of the laptop itself, but sometimes you close the lid with caution, if you take it in the center, not at the corner, then everything is fine)) - the camera is weak, 0.3 mPc. Skype is problematic.  - a t"&amp;"errible “peak”, until I figured out where to turn it off, not in the BIOS, not in the power management software either. When the battery is running low, the beech beeps loudly and obnoxiously until you turn it off or plug it in - it’s terribly annoying!  "&amp;"-Latin and Cyrillic on the keyboard are the same color - you get confused when you type the text (These are all the disadvantages that I found, believe me, there are many more advantages - yesterday I chose a beech for my sister - so I settled on the same"&amp;" model - all the others (for the money) are inferior to it. I hope I helped someone with the choice. After all, it is always better to know the disadvantages before buying, and the advantages easily cover them.")</f>
        <v>I’ve been using the beech for half a year now and I’m very pleased. I chose long and carefully – and I don’t regret it.  There are a lot of pros, so let's talk about the cons: - The video card, although it is the weakest in terms of hardware of everything that is on this laptop, but all parts of NFS are running at maximum settings, and GTA (this is one of the pop ones) is pleasing, but GTA 4 is already only at the minimum - it’s not so interesting to play it. If you are not a gamer, take it, you won’t regret it.   - Sound buttons, although they are buttons, are controlled by software, i.e. The sound cannot be turned off if something hangs, does not load, or is simply not installed. I would like a full-fledged mechanical twister or something like that.  - thin plastic, although this is due to the “thinness” of the laptop itself, but sometimes you close the lid with caution, if you take it in the center, not at the corner, then everything is fine)) - the camera is weak, 0.3 mPc. Skype is problematic.  - a terrible “peak”, until I figured out where to turn it off, not in the BIOS, not in the power management software either. When the battery is running low, the beech beeps loudly and obnoxiously until you turn it off or plug it in - it’s terribly annoying!  -Latin and Cyrillic on the keyboard are the same color - you get confused when you type the text (These are all the disadvantages that I found, believe me, there are many more advantages - yesterday I chose a beech for my sister - so I settled on the same model - all the others (for the money) are inferior to it. I hope I helped someone with the choice. After all, it is always better to know the disadvantages before buying, and the advantages easily cover them.</v>
      </c>
    </row>
    <row r="11979" spans="1:9" x14ac:dyDescent="0.3">
      <c r="A11979" s="1" t="s">
        <v>111</v>
      </c>
      <c r="B11979" s="1" t="s">
        <v>636</v>
      </c>
      <c r="C11979" s="1" t="s">
        <v>2610</v>
      </c>
      <c r="D11979" s="1" t="s">
        <v>305</v>
      </c>
      <c r="E11979" s="1" t="s">
        <v>6661</v>
      </c>
      <c r="F11979" s="1" t="s">
        <v>16995</v>
      </c>
      <c r="G11979" s="1" t="s">
        <v>36</v>
      </c>
      <c r="H11979" s="1" t="s">
        <v>29</v>
      </c>
      <c r="I11979" s="1" t="str">
        <f ca="1">IFERROR(__xludf.DUMMYFUNCTION("GOOGLETRANSLATE(F11979, ""auto"", ""en"")
"),"Great item for the home! delights both children and adults! especially the projection of time onto the surface! I bought it for my room and for the nursery. everyone is happy. We also check the temperature in the nursery in one go - very convenient! Very "&amp;"pleased!")</f>
        <v>Great item for the home! delights both children and adults! especially the projection of time onto the surface! I bought it for my room and for the nursery. everyone is happy. We also check the temperature in the nursery in one go - very convenient! Very pleased!</v>
      </c>
    </row>
    <row r="11980" spans="1:9" x14ac:dyDescent="0.3">
      <c r="A11980" s="1" t="s">
        <v>61</v>
      </c>
      <c r="B11980" s="1" t="s">
        <v>726</v>
      </c>
      <c r="C11980" s="1" t="s">
        <v>80</v>
      </c>
      <c r="D11980" s="1" t="s">
        <v>12</v>
      </c>
      <c r="E11980" s="1" t="s">
        <v>971</v>
      </c>
      <c r="F11980" s="1" t="s">
        <v>16996</v>
      </c>
      <c r="G11980" s="1" t="s">
        <v>36</v>
      </c>
      <c r="H11980" s="1" t="s">
        <v>29</v>
      </c>
      <c r="I11980" s="1" t="str">
        <f ca="1">IFERROR(__xludf.DUMMYFUNCTION("GOOGLETRANSLATE(F11980, ""auto"", ""en"")
"),"I’ve been using this for 4 years now and have never regretted it! There is one thing... the dough mixer spatula is baked directly into the bread, although this is stipulated in the instructions. The whole family eats bread with pleasure, especially during"&amp;" Lent - everyone likes French. We make cupcakes, dough, and bread! You won't regret it!  Our family has no complaints!!!!!")</f>
        <v>I’ve been using this for 4 years now and have never regretted it! There is one thing... the dough mixer spatula is baked directly into the bread, although this is stipulated in the instructions. The whole family eats bread with pleasure, especially during Lent - everyone likes French. We make cupcakes, dough, and bread! You won't regret it!  Our family has no complaints!!!!!</v>
      </c>
    </row>
    <row r="11981" spans="1:9" x14ac:dyDescent="0.3">
      <c r="A11981" s="1" t="s">
        <v>105</v>
      </c>
      <c r="B11981" s="1" t="s">
        <v>106</v>
      </c>
      <c r="C11981" s="1" t="s">
        <v>97</v>
      </c>
      <c r="D11981" s="1" t="s">
        <v>16997</v>
      </c>
      <c r="E11981" s="1" t="s">
        <v>2401</v>
      </c>
      <c r="F11981" s="1" t="s">
        <v>16998</v>
      </c>
      <c r="G11981" s="1" t="s">
        <v>36</v>
      </c>
      <c r="H11981" s="1" t="s">
        <v>29</v>
      </c>
      <c r="I11981" s="1" t="str">
        <f ca="1">IFERROR(__xludf.DUMMYFUNCTION("GOOGLETRANSLATE(F11981, ""auto"", ""en"")
"),"super player!!! the sound is great!!! SONY is the best company!!! Everything is 5++++")</f>
        <v>super player!!! the sound is great!!! SONY is the best company!!! Everything is 5++++</v>
      </c>
    </row>
    <row r="11982" spans="1:9" x14ac:dyDescent="0.3">
      <c r="A11982" s="1" t="s">
        <v>149</v>
      </c>
      <c r="B11982" s="1" t="s">
        <v>155</v>
      </c>
      <c r="C11982" s="1" t="s">
        <v>151</v>
      </c>
      <c r="D11982" s="1" t="s">
        <v>545</v>
      </c>
      <c r="E11982" s="1" t="s">
        <v>1185</v>
      </c>
      <c r="F11982" s="1" t="s">
        <v>16999</v>
      </c>
      <c r="G11982" s="1" t="s">
        <v>36</v>
      </c>
      <c r="H11982" s="1" t="s">
        <v>29</v>
      </c>
      <c r="I11982" s="1" t="str">
        <f ca="1">IFERROR(__xludf.DUMMYFUNCTION("GOOGLETRANSLATE(F11982, ""auto"", ""en"")
"),"I bought this model a year ago. The suction power is quite decent. We clean two rooms and a corridor without any problems, the power does not drop. The container and filter are easy to remove and wash, even a child can do it. I don’t understand why you sh"&amp;"ould store dust in a container and breathe it again, if shaking out what you have collected and washing this same container and filter will take no more than 5 minutes. So, you can ignore the negative review and take this vacuum cleaner without hesitation"&amp;".")</f>
        <v>I bought this model a year ago. The suction power is quite decent. We clean two rooms and a corridor without any problems, the power does not drop. The container and filter are easy to remove and wash, even a child can do it. I don’t understand why you should store dust in a container and breathe it again, if shaking out what you have collected and washing this same container and filter will take no more than 5 minutes. So, you can ignore the negative review and take this vacuum cleaner without hesitation.</v>
      </c>
    </row>
    <row r="11983" spans="1:9" x14ac:dyDescent="0.3">
      <c r="A11983" s="1" t="s">
        <v>111</v>
      </c>
      <c r="B11983" s="1" t="s">
        <v>1090</v>
      </c>
      <c r="C11983" s="1" t="s">
        <v>6206</v>
      </c>
      <c r="D11983" s="1" t="s">
        <v>39</v>
      </c>
      <c r="E11983" s="1" t="s">
        <v>1122</v>
      </c>
      <c r="F11983" s="1" t="s">
        <v>17000</v>
      </c>
      <c r="G11983" s="1" t="s">
        <v>49</v>
      </c>
      <c r="H11983" s="1" t="s">
        <v>16</v>
      </c>
      <c r="I11983" s="1" t="str">
        <f ca="1">IFERROR(__xludf.DUMMYFUNCTION("GOOGLETRANSLATE(F11983, ""auto"", ""en"")
"),"Turned it on - it doesn't work! I checked it in the store - it worked! The voltage in the apartment is 176 V. This is not a complaint against the manufacturer, although they could take into account living conditions in Russia. Think before you buy this pr"&amp;"oduct! First check the voltage in your apartment.")</f>
        <v>Turned it on - it doesn't work! I checked it in the store - it worked! The voltage in the apartment is 176 V. This is not a complaint against the manufacturer, although they could take into account living conditions in Russia. Think before you buy this product! First check the voltage in your apartment.</v>
      </c>
    </row>
    <row r="11984" spans="1:9" x14ac:dyDescent="0.3">
      <c r="A11984" s="1" t="s">
        <v>61</v>
      </c>
      <c r="B11984" s="1" t="s">
        <v>224</v>
      </c>
      <c r="C11984" s="1" t="s">
        <v>314</v>
      </c>
      <c r="D11984" s="1" t="s">
        <v>17001</v>
      </c>
      <c r="E11984" s="1" t="s">
        <v>4860</v>
      </c>
      <c r="F11984" s="1" t="s">
        <v>17002</v>
      </c>
      <c r="G11984" s="1" t="s">
        <v>36</v>
      </c>
      <c r="H11984" s="1" t="s">
        <v>29</v>
      </c>
      <c r="I11984" s="1" t="str">
        <f ca="1">IFERROR(__xludf.DUMMYFUNCTION("GOOGLETRANSLATE(F11984, ""auto"", ""en"")
"),"An excellent juicer for the money, you can’t put it next to Scarlets and others. Convenient, compact, easy to disassemble and clean, and the pulp comes out almost dry.")</f>
        <v>An excellent juicer for the money, you can’t put it next to Scarlets and others. Convenient, compact, easy to disassemble and clean, and the pulp comes out almost dry.</v>
      </c>
    </row>
    <row r="11985" spans="1:9" x14ac:dyDescent="0.3">
      <c r="A11985" s="1" t="s">
        <v>149</v>
      </c>
      <c r="B11985" s="1" t="s">
        <v>576</v>
      </c>
      <c r="C11985" s="1" t="s">
        <v>85</v>
      </c>
      <c r="D11985" s="1" t="s">
        <v>247</v>
      </c>
      <c r="E11985" s="1" t="s">
        <v>2254</v>
      </c>
      <c r="F11985" s="1" t="s">
        <v>17003</v>
      </c>
      <c r="G11985" s="1" t="s">
        <v>36</v>
      </c>
      <c r="H11985" s="1" t="s">
        <v>29</v>
      </c>
      <c r="I11985" s="1" t="str">
        <f ca="1">IFERROR(__xludf.DUMMYFUNCTION("GOOGLETRANSLATE(F11985, ""auto"", ""en"")
"),"Bought 3.5 months ago. There is a big dog in the apartment, so there is plenty of fur. It cleans great and looks great too. We use it - every other day, yesterday I changed the bag for the first time, the lamp did not burn, but the smell of dust appeared."&amp;".. The vacuum cleaner moves easily around the apartment.")</f>
        <v>Bought 3.5 months ago. There is a big dog in the apartment, so there is plenty of fur. It cleans great and looks great too. We use it - every other day, yesterday I changed the bag for the first time, the lamp did not burn, but the smell of dust appeared... The vacuum cleaner moves easily around the apartment.</v>
      </c>
    </row>
    <row r="11986" spans="1:9" x14ac:dyDescent="0.3">
      <c r="A11986" s="1" t="s">
        <v>9</v>
      </c>
      <c r="B11986" s="1" t="s">
        <v>133</v>
      </c>
      <c r="C11986" s="1" t="s">
        <v>19</v>
      </c>
      <c r="D11986" s="1" t="s">
        <v>565</v>
      </c>
      <c r="E11986" s="1" t="s">
        <v>2535</v>
      </c>
      <c r="F11986" s="1" t="s">
        <v>17004</v>
      </c>
      <c r="G11986" s="1" t="s">
        <v>36</v>
      </c>
      <c r="H11986" s="1" t="s">
        <v>29</v>
      </c>
      <c r="I11986" s="1" t="str">
        <f ca="1">IFERROR(__xludf.DUMMYFUNCTION("GOOGLETRANSLATE(F11986, ""auto"", ""en"")
"),"Simple, without unnecessary frills, very convenient. Bakes well! I'm happy with it!")</f>
        <v>Simple, without unnecessary frills, very convenient. Bakes well! I'm happy with it!</v>
      </c>
    </row>
    <row r="11987" spans="1:9" x14ac:dyDescent="0.3">
      <c r="A11987" s="1" t="s">
        <v>61</v>
      </c>
      <c r="B11987" s="1" t="s">
        <v>318</v>
      </c>
      <c r="C11987" s="1" t="s">
        <v>101</v>
      </c>
      <c r="D11987" s="1" t="s">
        <v>8618</v>
      </c>
      <c r="E11987" s="1" t="s">
        <v>8122</v>
      </c>
      <c r="F11987" s="1" t="s">
        <v>17005</v>
      </c>
      <c r="G11987" s="1" t="s">
        <v>49</v>
      </c>
      <c r="H11987" s="1" t="s">
        <v>16</v>
      </c>
      <c r="I11987" s="1" t="str">
        <f ca="1">IFERROR(__xludf.DUMMYFUNCTION("GOOGLETRANSLATE(F11987, ""auto"", ""en"")
"),"The kettle turned out to be very poisonous; the smell of plastic does not disappear, although the instructions say that it must go through several boils. I’ve already boiled it 20-30 times, the smell from the water is still there, I’m upset (((")</f>
        <v>The kettle turned out to be very poisonous; the smell of plastic does not disappear, although the instructions say that it must go through several boils. I’ve already boiled it 20-30 times, the smell from the water is still there, I’m upset (((</v>
      </c>
    </row>
    <row r="11988" spans="1:9" x14ac:dyDescent="0.3">
      <c r="A11988" s="1" t="s">
        <v>61</v>
      </c>
      <c r="B11988" s="1" t="s">
        <v>318</v>
      </c>
      <c r="C11988" s="1" t="s">
        <v>85</v>
      </c>
      <c r="D11988" s="1" t="s">
        <v>17006</v>
      </c>
      <c r="E11988" s="1" t="s">
        <v>17007</v>
      </c>
      <c r="F11988" s="1" t="s">
        <v>17008</v>
      </c>
      <c r="G11988" s="1" t="s">
        <v>36</v>
      </c>
      <c r="H11988" s="1" t="s">
        <v>29</v>
      </c>
      <c r="I11988" s="1" t="str">
        <f ca="1">IFERROR(__xludf.DUMMYFUNCTION("GOOGLETRANSLATE(F11988, ""auto"", ""en"")
"),"Yesterday we bought a second kettle like this. The first one is already six years old. And for the last three years he has been living in the country. At home I used Tefal for these three years, but recently he gave up a long life. Without hesitation we p"&amp;"urchased the K700: beautiful, comfortable, reliable and quiet. I don’t know how lucky we will be with the new kettle, but the mere fact that it has a 2-year warranty warms the soul: usually shortcomings come out before this period.")</f>
        <v>Yesterday we bought a second kettle like this. The first one is already six years old. And for the last three years he has been living in the country. At home I used Tefal for these three years, but recently he gave up a long life. Without hesitation we purchased the K700: beautiful, comfortable, reliable and quiet. I don’t know how lucky we will be with the new kettle, but the mere fact that it has a 2-year warranty warms the soul: usually shortcomings come out before this period.</v>
      </c>
    </row>
    <row r="11989" spans="1:9" x14ac:dyDescent="0.3">
      <c r="A11989" s="1" t="s">
        <v>61</v>
      </c>
      <c r="B11989" s="1" t="s">
        <v>318</v>
      </c>
      <c r="C11989" s="1" t="s">
        <v>246</v>
      </c>
      <c r="D11989" s="1" t="s">
        <v>172</v>
      </c>
      <c r="E11989" s="1" t="s">
        <v>5032</v>
      </c>
      <c r="F11989" s="1" t="s">
        <v>17009</v>
      </c>
      <c r="G11989" s="1" t="s">
        <v>15</v>
      </c>
      <c r="H11989" s="1" t="s">
        <v>16</v>
      </c>
      <c r="I11989" s="1" t="str">
        <f ca="1">IFERROR(__xludf.DUMMYFUNCTION("GOOGLETRANSLATE(F11989, ""auto"", ""en"")
"),"After 1.5 years it began to leak and cracks appeared in the translucent plastic. It can be easily treated - filled with silicone sealant for sealing car windows (DoneDeal). 4 holes for measuring water level. Now about the presence of water - only by weigh"&amp;"t or when opening the lid. The leakage problems have gone away, I'm waiting for the heating element to burn out.")</f>
        <v>After 1.5 years it began to leak and cracks appeared in the translucent plastic. It can be easily treated - filled with silicone sealant for sealing car windows (DoneDeal). 4 holes for measuring water level. Now about the presence of water - only by weight or when opening the lid. The leakage problems have gone away, I'm waiting for the heating element to burn out.</v>
      </c>
    </row>
    <row r="11990" spans="1:9" x14ac:dyDescent="0.3">
      <c r="A11990" s="1" t="s">
        <v>149</v>
      </c>
      <c r="B11990" s="1" t="s">
        <v>576</v>
      </c>
      <c r="C11990" s="1" t="s">
        <v>80</v>
      </c>
      <c r="D11990" s="1" t="s">
        <v>197</v>
      </c>
      <c r="E11990" s="1" t="s">
        <v>2313</v>
      </c>
      <c r="F11990" s="1" t="s">
        <v>17010</v>
      </c>
      <c r="G11990" s="1" t="s">
        <v>15</v>
      </c>
      <c r="H11990" s="1" t="s">
        <v>16</v>
      </c>
      <c r="I11990" s="1" t="str">
        <f ca="1">IFERROR(__xludf.DUMMYFUNCTION("GOOGLETRANSLATE(F11990, ""auto"", ""en"")
"),"I bought it as the cheapest per kilowatt that there were. For the dacha. 1. The lock of the pipe’s body mechanism failed very quickly. The castle is so idiotic that there are no words. Unrepairable. Lubricating and cleaning doesn't help. The plastic block"&amp;"er is a curse from hell. I had to sharpen it and lock it open. Forever.  2. Buying replacement bags is a problem on a universal scale. Torment every time. On the way to the dacha there are 4 M-Video stores. There are before and after models for all models"&amp;". under 38xxx no. I caught it once on Oct. field - I took everything that was in the store - as many as 4 packs! Now it's great again - there's only one bag left. I'm running around like crazy - no.  Conclusions: it will work for a dacha, but not a founta"&amp;"in. The standard brush is bad, buying a special brush for a cheap vacuum cleaner is easier to just buy a good one. Guys, check the consumables before purchasing.")</f>
        <v>I bought it as the cheapest per kilowatt that there were. For the dacha. 1. The lock of the pipe’s body mechanism failed very quickly. The castle is so idiotic that there are no words. Unrepairable. Lubricating and cleaning doesn't help. The plastic blocker is a curse from hell. I had to sharpen it and lock it open. Forever.  2. Buying replacement bags is a problem on a universal scale. Torment every time. On the way to the dacha there are 4 M-Video stores. There are before and after models for all models. under 38xxx no. I caught it once on Oct. field - I took everything that was in the store - as many as 4 packs! Now it's great again - there's only one bag left. I'm running around like crazy - no.  Conclusions: it will work for a dacha, but not a fountain. The standard brush is bad, buying a special brush for a cheap vacuum cleaner is easier to just buy a good one. Guys, check the consumables before purchasing.</v>
      </c>
    </row>
    <row r="11991" spans="1:9" x14ac:dyDescent="0.3">
      <c r="A11991" s="1" t="s">
        <v>61</v>
      </c>
      <c r="B11991" s="1" t="s">
        <v>145</v>
      </c>
      <c r="C11991" s="1" t="s">
        <v>69</v>
      </c>
      <c r="D11991" s="1" t="s">
        <v>166</v>
      </c>
      <c r="E11991" s="1" t="s">
        <v>1695</v>
      </c>
      <c r="F11991" s="1" t="s">
        <v>17011</v>
      </c>
      <c r="G11991" s="1" t="s">
        <v>36</v>
      </c>
      <c r="H11991" s="1" t="s">
        <v>29</v>
      </c>
      <c r="I11991" s="1" t="str">
        <f ca="1">IFERROR(__xludf.DUMMYFUNCTION("GOOGLETRANSLATE(F11991, ""auto"", ""en"")
"),"For all healthy eating enthusiasts, this steamer is a must! Everything is prepared as if by magic, while the appearance and color of the products are preserved to the maximum. I recommend it to everyone!")</f>
        <v>For all healthy eating enthusiasts, this steamer is a must! Everything is prepared as if by magic, while the appearance and color of the products are preserved to the maximum. I recommend it to everyone!</v>
      </c>
    </row>
    <row r="11992" spans="1:9" x14ac:dyDescent="0.3">
      <c r="A11992" s="1" t="s">
        <v>477</v>
      </c>
      <c r="B11992" s="1" t="s">
        <v>478</v>
      </c>
      <c r="C11992" s="1" t="s">
        <v>479</v>
      </c>
      <c r="D11992" s="1" t="s">
        <v>17012</v>
      </c>
      <c r="E11992" s="1" t="s">
        <v>994</v>
      </c>
      <c r="F11992" s="1" t="s">
        <v>17013</v>
      </c>
      <c r="G11992" s="1" t="s">
        <v>36</v>
      </c>
      <c r="H11992" s="1" t="s">
        <v>29</v>
      </c>
      <c r="I11992" s="1" t="str">
        <f ca="1">IFERROR(__xludf.DUMMYFUNCTION("GOOGLETRANSLATE(F11992, ""auto"", ""en"")
"),"This game is absolutely gorgeous. You play from two different sides of Liberty City. First you play as a biker, and then you move into the life of glamorous peppers. The count is awesome, better than in GTA 4.")</f>
        <v>This game is absolutely gorgeous. You play from two different sides of Liberty City. First you play as a biker, and then you move into the life of glamorous peppers. The count is awesome, better than in GTA 4.</v>
      </c>
    </row>
    <row r="11993" spans="1:9" x14ac:dyDescent="0.3">
      <c r="A11993" s="1" t="s">
        <v>206</v>
      </c>
      <c r="B11993" s="1" t="s">
        <v>1349</v>
      </c>
      <c r="C11993" s="1" t="s">
        <v>9905</v>
      </c>
      <c r="D11993" s="1" t="s">
        <v>81</v>
      </c>
      <c r="E11993" s="1" t="s">
        <v>2622</v>
      </c>
      <c r="F11993" s="1" t="s">
        <v>17014</v>
      </c>
      <c r="G11993" s="1" t="s">
        <v>36</v>
      </c>
      <c r="H11993" s="1" t="s">
        <v>29</v>
      </c>
      <c r="I11993" s="1" t="str">
        <f ca="1">IFERROR(__xludf.DUMMYFUNCTION("GOOGLETRANSLATE(F11993, ""auto"", ""en"")
"),"I sympathize with Alex. It's a pity that he got such a copy. I purchased this device at the beginning of October, in such a short period of use it is impossible to identify all the shortcomings, mostly positive impressions.  And yet the on-screen menu is "&amp;"Russified, as much as possible, the calibration of the monitor does not cause any complaints, wherever you hit it with your finger, that’s what you get. Everything works almost flawlessly. There is a minus - it takes a little time to load the video from t"&amp;"he flash card, but then it plays back without problems. A fairly large screen, good viewing angles, normal color rendition, 4 monitor tilt positions, you can watch videos quite comfortably from the back seat. It was easy to count a 4-gigabyte flash drive "&amp;"with music; you could move through folders only manually using the remote control or through the on-screen menu, that is, playback was looped inside the folder. The advantage is that, unlike many other systems, playback of content from the flash card cont"&amp;"inues from the same place where it was stopped, even after turning off. I don’t recommend using three fixed equalizer settings; it’s better to manually adjust the timbre, then the sound will be much better. I haven't checked the TV tuner yet, there is no "&amp;"TV antenna. They say the taste and color of all markers are different, in my opinion one of the best in its class. I just expressed my subjective opinion, and the question of purchasing is up to you to decide for yourself.")</f>
        <v>I sympathize with Alex. It's a pity that he got such a copy. I purchased this device at the beginning of October, in such a short period of use it is impossible to identify all the shortcomings, mostly positive impressions.  And yet the on-screen menu is Russified, as much as possible, the calibration of the monitor does not cause any complaints, wherever you hit it with your finger, that’s what you get. Everything works almost flawlessly. There is a minus - it takes a little time to load the video from the flash card, but then it plays back without problems. A fairly large screen, good viewing angles, normal color rendition, 4 monitor tilt positions, you can watch videos quite comfortably from the back seat. It was easy to count a 4-gigabyte flash drive with music; you could move through folders only manually using the remote control or through the on-screen menu, that is, playback was looped inside the folder. The advantage is that, unlike many other systems, playback of content from the flash card continues from the same place where it was stopped, even after turning off. I don’t recommend using three fixed equalizer settings; it’s better to manually adjust the timbre, then the sound will be much better. I haven't checked the TV tuner yet, there is no TV antenna. They say the taste and color of all markers are different, in my opinion one of the best in its class. I just expressed my subjective opinion, and the question of purchasing is up to you to decide for yourself.</v>
      </c>
    </row>
    <row r="11994" spans="1:9" x14ac:dyDescent="0.3">
      <c r="A11994" s="1" t="s">
        <v>61</v>
      </c>
      <c r="B11994" s="1" t="s">
        <v>977</v>
      </c>
      <c r="C11994" s="1" t="s">
        <v>101</v>
      </c>
      <c r="D11994" s="1" t="s">
        <v>335</v>
      </c>
      <c r="E11994" s="1" t="s">
        <v>2070</v>
      </c>
      <c r="F11994" s="1" t="s">
        <v>17015</v>
      </c>
      <c r="G11994" s="1" t="s">
        <v>28</v>
      </c>
      <c r="H11994" s="1" t="s">
        <v>29</v>
      </c>
      <c r="I11994" s="1" t="str">
        <f ca="1">IFERROR(__xludf.DUMMYFUNCTION("GOOGLETRANSLATE(F11994, ""auto"", ""en"")
"),"I've been using it for almost two years. Works well. I’m glad that for soup, quickly chopping onions and grating carrots doesn’t take much time. Once I tried to make minced meat in it. I regretted it. He finds it difficult to chop pieces of chicken and me"&amp;"at. There are no problems with the rest. My husband makes cocktails in it. If you beat it for too long, it will overheat.")</f>
        <v>I've been using it for almost two years. Works well. I’m glad that for soup, quickly chopping onions and grating carrots doesn’t take much time. Once I tried to make minced meat in it. I regretted it. He finds it difficult to chop pieces of chicken and meat. There are no problems with the rest. My husband makes cocktails in it. If you beat it for too long, it will overheat.</v>
      </c>
    </row>
    <row r="11995" spans="1:9" x14ac:dyDescent="0.3">
      <c r="A11995" s="1" t="s">
        <v>61</v>
      </c>
      <c r="B11995" s="1" t="s">
        <v>318</v>
      </c>
      <c r="C11995" s="1" t="s">
        <v>101</v>
      </c>
      <c r="D11995" s="1" t="s">
        <v>592</v>
      </c>
      <c r="E11995" s="1" t="s">
        <v>3773</v>
      </c>
      <c r="F11995" s="1" t="s">
        <v>17016</v>
      </c>
      <c r="G11995" s="1" t="s">
        <v>36</v>
      </c>
      <c r="H11995" s="1" t="s">
        <v>29</v>
      </c>
      <c r="I11995" s="1" t="str">
        <f ca="1">IFERROR(__xludf.DUMMYFUNCTION("GOOGLETRANSLATE(F11995, ""auto"", ""en"")
"),"The kettle is just super! Stylish design, beautiful lighting, thoughtful, comfortable shape. There are no foreign odors or metallic taste in the water. When boiling it does not make much noise, it turns off quietly. We bought it for the office and have be"&amp;"en using it for about three months now. We found no shortcomings, only advantages.")</f>
        <v>The kettle is just super! Stylish design, beautiful lighting, thoughtful, comfortable shape. There are no foreign odors or metallic taste in the water. When boiling it does not make much noise, it turns off quietly. We bought it for the office and have been using it for about three months now. We found no shortcomings, only advantages.</v>
      </c>
    </row>
    <row r="11996" spans="1:9" x14ac:dyDescent="0.3">
      <c r="A11996" s="1" t="s">
        <v>89</v>
      </c>
      <c r="B11996" s="1" t="s">
        <v>90</v>
      </c>
      <c r="C11996" s="1" t="s">
        <v>57</v>
      </c>
      <c r="D11996" s="1" t="s">
        <v>545</v>
      </c>
      <c r="E11996" s="1" t="s">
        <v>3128</v>
      </c>
      <c r="F11996" s="1" t="s">
        <v>17017</v>
      </c>
      <c r="G11996" s="1" t="s">
        <v>28</v>
      </c>
      <c r="H11996" s="1" t="s">
        <v>29</v>
      </c>
      <c r="I11996" s="1" t="str">
        <f ca="1">IFERROR(__xludf.DUMMYFUNCTION("GOOGLETRANSLATE(F11996, ""auto"", ""en"")
"),"I came to the store for a completely different model, but after looking closely I found this model to be more reliable. The coffee grinder has been running every morning for six months now. There are no complaints or complaints about the work.   The only "&amp;"downside is the plastic fastener on the lid, which requires careful handling.")</f>
        <v>I came to the store for a completely different model, but after looking closely I found this model to be more reliable. The coffee grinder has been running every morning for six months now. There are no complaints or complaints about the work.   The only downside is the plastic fastener on the lid, which requires careful handling.</v>
      </c>
    </row>
    <row r="11997" spans="1:9" x14ac:dyDescent="0.3">
      <c r="A11997" s="1" t="s">
        <v>211</v>
      </c>
      <c r="B11997" s="1" t="s">
        <v>212</v>
      </c>
      <c r="C11997" s="1" t="s">
        <v>63</v>
      </c>
      <c r="D11997" s="1" t="s">
        <v>471</v>
      </c>
      <c r="E11997" s="1" t="s">
        <v>47</v>
      </c>
      <c r="F11997" s="1" t="s">
        <v>17018</v>
      </c>
      <c r="G11997" s="1" t="s">
        <v>36</v>
      </c>
      <c r="H11997" s="1" t="s">
        <v>29</v>
      </c>
      <c r="I11997" s="1" t="str">
        <f ca="1">IFERROR(__xludf.DUMMYFUNCTION("GOOGLETRANSLATE(F11997, ""auto"", ""en"")
"),"I've been using this hairdryer brush for about two years. Never let me down yet. Dries hair perfectly. I think that drying fairly thick hair in 5 minutes is a good indicator. Used the curling iron several times, got nice curls. A straightener is an irrepl"&amp;"aceable thing. Ionization saves the day, the hair does not become electrified and does not stick to anything. Absolutely satisfied. The air blows hot, but the hair does not burn, because after two years of use, no damaged hair was noticed; after drying, i"&amp;"t is always soft and silky. My baits don't melt.")</f>
        <v>I've been using this hairdryer brush for about two years. Never let me down yet. Dries hair perfectly. I think that drying fairly thick hair in 5 minutes is a good indicator. Used the curling iron several times, got nice curls. A straightener is an irreplaceable thing. Ionization saves the day, the hair does not become electrified and does not stick to anything. Absolutely satisfied. The air blows hot, but the hair does not burn, because after two years of use, no damaged hair was noticed; after drying, it is always soft and silky. My baits don't melt.</v>
      </c>
    </row>
    <row r="11998" spans="1:9" x14ac:dyDescent="0.3">
      <c r="A11998" s="1" t="s">
        <v>105</v>
      </c>
      <c r="B11998" s="1" t="s">
        <v>106</v>
      </c>
      <c r="C11998" s="1" t="s">
        <v>69</v>
      </c>
      <c r="D11998" s="1" t="s">
        <v>17019</v>
      </c>
      <c r="E11998" s="1" t="s">
        <v>1649</v>
      </c>
      <c r="F11998" s="1" t="s">
        <v>17020</v>
      </c>
      <c r="G11998" s="1" t="s">
        <v>36</v>
      </c>
      <c r="H11998" s="1" t="s">
        <v>29</v>
      </c>
      <c r="I11998" s="1" t="str">
        <f ca="1">IFERROR(__xludf.DUMMYFUNCTION("GOOGLETRANSLATE(F11998, ""auto"", ""en"")
"),"The player is very normal for such a price. Radio reception is excellent)))")</f>
        <v>The player is very normal for such a price. Radio reception is excellent)))</v>
      </c>
    </row>
    <row r="11999" spans="1:9" x14ac:dyDescent="0.3">
      <c r="A11999" s="1" t="s">
        <v>9</v>
      </c>
      <c r="B11999" s="1" t="s">
        <v>133</v>
      </c>
      <c r="C11999" s="1" t="s">
        <v>588</v>
      </c>
      <c r="D11999" s="1" t="s">
        <v>474</v>
      </c>
      <c r="E11999" s="1" t="s">
        <v>92</v>
      </c>
      <c r="F11999" s="1" t="s">
        <v>17021</v>
      </c>
      <c r="G11999" s="1" t="s">
        <v>94</v>
      </c>
      <c r="H11999" s="1" t="s">
        <v>29</v>
      </c>
      <c r="I11999" s="1" t="str">
        <f ca="1">IFERROR(__xludf.DUMMYFUNCTION("GOOGLETRANSLATE(F11999, ""auto"", ""en"")
"),"price, quality, appearance")</f>
        <v>price, quality, appearance</v>
      </c>
    </row>
    <row r="12000" spans="1:9" x14ac:dyDescent="0.3">
      <c r="A12000" s="1" t="s">
        <v>17</v>
      </c>
      <c r="B12000" s="1" t="s">
        <v>18</v>
      </c>
      <c r="C12000" s="1" t="s">
        <v>80</v>
      </c>
      <c r="D12000" s="1" t="s">
        <v>280</v>
      </c>
      <c r="E12000" s="1" t="s">
        <v>792</v>
      </c>
      <c r="F12000" s="1" t="s">
        <v>17022</v>
      </c>
      <c r="G12000" s="1" t="s">
        <v>49</v>
      </c>
      <c r="H12000" s="1" t="s">
        <v>16</v>
      </c>
      <c r="I12000" s="1" t="str">
        <f ca="1">IFERROR(__xludf.DUMMYFUNCTION("GOOGLETRANSLATE(F12000, ""auto"", ""en"")
"),"When the drum rotates counterclockwise, the body rattles, I am very upset by this fact")</f>
        <v>When the drum rotates counterclockwise, the body rattles, I am very upset by this fact</v>
      </c>
    </row>
    <row r="12001" spans="1:9" x14ac:dyDescent="0.3">
      <c r="A12001" s="1" t="s">
        <v>61</v>
      </c>
      <c r="B12001" s="1" t="s">
        <v>145</v>
      </c>
      <c r="C12001" s="1" t="s">
        <v>69</v>
      </c>
      <c r="D12001" s="1" t="s">
        <v>64</v>
      </c>
      <c r="E12001" s="1" t="s">
        <v>1826</v>
      </c>
      <c r="F12001" s="1" t="s">
        <v>17023</v>
      </c>
      <c r="G12001" s="1" t="s">
        <v>36</v>
      </c>
      <c r="H12001" s="1" t="s">
        <v>29</v>
      </c>
      <c r="I12001" s="1" t="str">
        <f ca="1">IFERROR(__xludf.DUMMYFUNCTION("GOOGLETRANSLATE(F12001, ""auto"", ""en"")
"),"We recently bought this steamer and cooked using all the bowls at the same time. Everything was steamed perfectly, cooked at all levels at the same time, even the rice turned out better than before when I cooked it on the stove in a saucepan! Very happy w"&amp;"ith the purchase!")</f>
        <v>We recently bought this steamer and cooked using all the bowls at the same time. Everything was steamed perfectly, cooked at all levels at the same time, even the rice turned out better than before when I cooked it on the stove in a saucepan! Very happy with the purchase!</v>
      </c>
    </row>
    <row r="12002" spans="1:9" x14ac:dyDescent="0.3">
      <c r="A12002" s="1" t="s">
        <v>61</v>
      </c>
      <c r="B12002" s="1" t="s">
        <v>318</v>
      </c>
      <c r="C12002" s="1" t="s">
        <v>246</v>
      </c>
      <c r="D12002" s="1" t="s">
        <v>335</v>
      </c>
      <c r="E12002" s="1" t="s">
        <v>1515</v>
      </c>
      <c r="F12002" s="1" t="s">
        <v>17024</v>
      </c>
      <c r="G12002" s="1" t="s">
        <v>28</v>
      </c>
      <c r="H12002" s="1" t="s">
        <v>29</v>
      </c>
      <c r="I12002" s="1" t="str">
        <f ca="1">IFERROR(__xludf.DUMMYFUNCTION("GOOGLETRANSLATE(F12002, ""auto"", ""en"")
"),"Design, price")</f>
        <v>Design, price</v>
      </c>
    </row>
    <row r="12003" spans="1:9" x14ac:dyDescent="0.3">
      <c r="A12003" s="1" t="s">
        <v>369</v>
      </c>
      <c r="B12003" s="1" t="s">
        <v>2480</v>
      </c>
      <c r="C12003" s="1" t="s">
        <v>453</v>
      </c>
      <c r="D12003" s="1" t="s">
        <v>1456</v>
      </c>
      <c r="E12003" s="1" t="s">
        <v>6180</v>
      </c>
      <c r="F12003" s="1" t="s">
        <v>17025</v>
      </c>
      <c r="G12003" s="1" t="s">
        <v>49</v>
      </c>
      <c r="H12003" s="1" t="s">
        <v>16</v>
      </c>
      <c r="I12003" s="1" t="str">
        <f ca="1">IFERROR(__xludf.DUMMYFUNCTION("GOOGLETRANSLATE(F12003, ""auto"", ""en"")
"),"Within six months, 2 legs of the stove fell off, then the large burner failed. It is not convenient to cook on them using 2 burners at once. I don't recommend buying it.")</f>
        <v>Within six months, 2 legs of the stove fell off, then the large burner failed. It is not convenient to cook on them using 2 burners at once. I don't recommend buying it.</v>
      </c>
    </row>
    <row r="12004" spans="1:9" x14ac:dyDescent="0.3">
      <c r="A12004" s="1" t="s">
        <v>211</v>
      </c>
      <c r="B12004" s="1" t="s">
        <v>384</v>
      </c>
      <c r="C12004" s="1" t="s">
        <v>246</v>
      </c>
      <c r="D12004" s="1" t="s">
        <v>545</v>
      </c>
      <c r="E12004" s="1" t="s">
        <v>3906</v>
      </c>
      <c r="F12004" s="1" t="s">
        <v>17026</v>
      </c>
      <c r="G12004" s="1" t="s">
        <v>49</v>
      </c>
      <c r="H12004" s="1" t="s">
        <v>16</v>
      </c>
      <c r="I12004" s="1" t="str">
        <f ca="1">IFERROR(__xludf.DUMMYFUNCTION("GOOGLETRANSLATE(F12004, ""auto"", ""en"")
"),"My husband gave me scales on March 8th. After 2 days, the scales began to show the same weight for everyone - 114 kg. I went and changed it. Now it turns out that everyone has lost 10 kilograms. If you weigh yourself several times in a row, you will find "&amp;"that the measurement error is about 3-5 kg. Today I'm going to change to another model.")</f>
        <v>My husband gave me scales on March 8th. After 2 days, the scales began to show the same weight for everyone - 114 kg. I went and changed it. Now it turns out that everyone has lost 10 kilograms. If you weigh yourself several times in a row, you will find that the measurement error is about 3-5 kg. Today I'm going to change to another model.</v>
      </c>
    </row>
    <row r="12005" spans="1:9" x14ac:dyDescent="0.3">
      <c r="A12005" s="1" t="s">
        <v>211</v>
      </c>
      <c r="B12005" s="1" t="s">
        <v>212</v>
      </c>
      <c r="C12005" s="1" t="s">
        <v>213</v>
      </c>
      <c r="D12005" s="1" t="s">
        <v>2185</v>
      </c>
      <c r="E12005" s="1" t="s">
        <v>320</v>
      </c>
      <c r="F12005" s="1" t="s">
        <v>17027</v>
      </c>
      <c r="G12005" s="1" t="s">
        <v>36</v>
      </c>
      <c r="H12005" s="1" t="s">
        <v>29</v>
      </c>
      <c r="I12005" s="1" t="str">
        <f ca="1">IFERROR(__xludf.DUMMYFUNCTION("GOOGLETRANSLATE(F12005, ""auto"", ""en"")
"),"I used this hair dryer for 6 years, it just recently burned out, I don’t even want to think about any other, I was completely satisfied. Not a single tooth of the attachments fell off. The hairdryer is great. I'll go buy it again.")</f>
        <v>I used this hair dryer for 6 years, it just recently burned out, I don’t even want to think about any other, I was completely satisfied. Not a single tooth of the attachments fell off. The hairdryer is great. I'll go buy it again.</v>
      </c>
    </row>
    <row r="12006" spans="1:9" x14ac:dyDescent="0.3">
      <c r="A12006" s="1" t="s">
        <v>43</v>
      </c>
      <c r="B12006" s="1" t="s">
        <v>219</v>
      </c>
      <c r="C12006" s="1" t="s">
        <v>220</v>
      </c>
      <c r="D12006" s="1" t="s">
        <v>2293</v>
      </c>
      <c r="E12006" s="1" t="s">
        <v>1702</v>
      </c>
      <c r="F12006" s="1" t="s">
        <v>17028</v>
      </c>
      <c r="G12006" s="1" t="s">
        <v>28</v>
      </c>
      <c r="H12006" s="1" t="s">
        <v>29</v>
      </c>
      <c r="I12006" s="1" t="str">
        <f ca="1">IFERROR(__xludf.DUMMYFUNCTION("GOOGLETRANSLATE(F12006, ""auto"", ""en"")
"),"good water heater")</f>
        <v>good water heater</v>
      </c>
    </row>
    <row r="12007" spans="1:9" x14ac:dyDescent="0.3">
      <c r="A12007" s="1" t="s">
        <v>105</v>
      </c>
      <c r="B12007" s="1" t="s">
        <v>106</v>
      </c>
      <c r="C12007" s="1" t="s">
        <v>1921</v>
      </c>
      <c r="D12007" s="1" t="s">
        <v>17029</v>
      </c>
      <c r="E12007" s="1" t="s">
        <v>3755</v>
      </c>
      <c r="F12007" s="1" t="s">
        <v>17030</v>
      </c>
      <c r="G12007" s="1" t="s">
        <v>49</v>
      </c>
      <c r="H12007" s="1" t="s">
        <v>16</v>
      </c>
      <c r="I12007" s="1" t="str">
        <f ca="1">IFERROR(__xludf.DUMMYFUNCTION("GOOGLETRANSLATE(F12007, ""auto"", ""en"")
"),"I bought it too and I regret it. I’ll go return it maybe. It only charges via USB, but doesn’t recognize it. I tried everything that was said on the caliper, but nothing helps. The player is only 2 days old.")</f>
        <v>I bought it too and I regret it. I’ll go return it maybe. It only charges via USB, but doesn’t recognize it. I tried everything that was said on the caliper, but nothing helps. The player is only 2 days old.</v>
      </c>
    </row>
    <row r="12008" spans="1:9" x14ac:dyDescent="0.3">
      <c r="A12008" s="1" t="s">
        <v>105</v>
      </c>
      <c r="B12008" s="1" t="s">
        <v>106</v>
      </c>
      <c r="C12008" s="1" t="s">
        <v>1921</v>
      </c>
      <c r="D12008" s="1" t="s">
        <v>25</v>
      </c>
      <c r="E12008" s="1" t="s">
        <v>2780</v>
      </c>
      <c r="F12008" s="1" t="s">
        <v>17031</v>
      </c>
      <c r="G12008" s="1" t="s">
        <v>36</v>
      </c>
      <c r="H12008" s="1" t="s">
        <v>29</v>
      </c>
      <c r="I12008" s="1" t="str">
        <f ca="1">IFERROR(__xludf.DUMMYFUNCTION("GOOGLETRANSLATE(F12008, ""auto"", ""en"")
"),"The player is a waste. It really freezes sometimes, but I don’t pay attention.")</f>
        <v>The player is a waste. It really freezes sometimes, but I don’t pay attention.</v>
      </c>
    </row>
    <row r="12009" spans="1:9" x14ac:dyDescent="0.3">
      <c r="A12009" s="1" t="s">
        <v>477</v>
      </c>
      <c r="B12009" s="1" t="s">
        <v>478</v>
      </c>
      <c r="C12009" s="1" t="s">
        <v>479</v>
      </c>
      <c r="D12009" s="1" t="s">
        <v>17032</v>
      </c>
      <c r="E12009" s="1" t="s">
        <v>889</v>
      </c>
      <c r="F12009" s="1" t="s">
        <v>17033</v>
      </c>
      <c r="G12009" s="1" t="s">
        <v>36</v>
      </c>
      <c r="H12009" s="1" t="s">
        <v>29</v>
      </c>
      <c r="I12009" s="1" t="str">
        <f ca="1">IFERROR(__xludf.DUMMYFUNCTION("GOOGLETRANSLATE(F12009, ""auto"", ""en"")
"),"super game I recommend it to everyone")</f>
        <v>super game I recommend it to everyone</v>
      </c>
    </row>
    <row r="12010" spans="1:9" x14ac:dyDescent="0.3">
      <c r="A12010" s="1" t="s">
        <v>61</v>
      </c>
      <c r="B12010" s="1" t="s">
        <v>145</v>
      </c>
      <c r="C12010" s="1" t="s">
        <v>246</v>
      </c>
      <c r="D12010" s="1" t="s">
        <v>20</v>
      </c>
      <c r="E12010" s="1" t="s">
        <v>2486</v>
      </c>
      <c r="F12010" s="1" t="s">
        <v>17034</v>
      </c>
      <c r="G12010" s="1" t="s">
        <v>36</v>
      </c>
      <c r="H12010" s="1" t="s">
        <v>29</v>
      </c>
      <c r="I12010" s="1" t="str">
        <f ca="1">IFERROR(__xludf.DUMMYFUNCTION("GOOGLETRANSLATE(F12010, ""auto"", ""en"")
"),"Great thing, we bake pancakes and zucchini fritters, even fried eggs, very convenient, excellent and tasty entertainment for the whole family!")</f>
        <v>Great thing, we bake pancakes and zucchini fritters, even fried eggs, very convenient, excellent and tasty entertainment for the whole family!</v>
      </c>
    </row>
    <row r="12011" spans="1:9" x14ac:dyDescent="0.3">
      <c r="A12011" s="1" t="s">
        <v>61</v>
      </c>
      <c r="B12011" s="1" t="s">
        <v>1727</v>
      </c>
      <c r="C12011" s="1" t="s">
        <v>122</v>
      </c>
      <c r="D12011" s="1" t="s">
        <v>17035</v>
      </c>
      <c r="E12011" s="1" t="s">
        <v>10796</v>
      </c>
      <c r="F12011" s="1" t="s">
        <v>17036</v>
      </c>
      <c r="G12011" s="1" t="s">
        <v>49</v>
      </c>
      <c r="H12011" s="1" t="s">
        <v>16</v>
      </c>
      <c r="I12011" s="1" t="str">
        <f ca="1">IFERROR(__xludf.DUMMYFUNCTION("GOOGLETRANSLATE(F12011, ""auto"", ""en"")
"),"Didn't even work for a year. After my wife’s something overflowed, the timer stopped working. After it was repaired at the office center, everything stopped working. They said that in the end the repairs would cost more than 2,000 rubles. They threw money"&amp;" down the drain.")</f>
        <v>Didn't even work for a year. After my wife’s something overflowed, the timer stopped working. After it was repaired at the office center, everything stopped working. They said that in the end the repairs would cost more than 2,000 rubles. They threw money down the drain.</v>
      </c>
    </row>
    <row r="12012" spans="1:9" x14ac:dyDescent="0.3">
      <c r="A12012" s="1" t="s">
        <v>149</v>
      </c>
      <c r="B12012" s="1" t="s">
        <v>155</v>
      </c>
      <c r="C12012" s="1" t="s">
        <v>151</v>
      </c>
      <c r="D12012" s="1" t="s">
        <v>308</v>
      </c>
      <c r="E12012" s="1" t="s">
        <v>2325</v>
      </c>
      <c r="F12012" s="1" t="s">
        <v>17037</v>
      </c>
      <c r="G12012" s="1" t="s">
        <v>36</v>
      </c>
      <c r="H12012" s="1" t="s">
        <v>29</v>
      </c>
      <c r="I12012" s="1" t="str">
        <f ca="1">IFERROR(__xludf.DUMMYFUNCTION("GOOGLETRANSLATE(F12012, ""auto"", ""en"")
"),"We have had this vacuum cleaner since April 2009 and it still works. We vacuum every day or every other day, because the Persian cat lives at home. Everything is fine. We like it.")</f>
        <v>We have had this vacuum cleaner since April 2009 and it still works. We vacuum every day or every other day, because the Persian cat lives at home. Everything is fine. We like it.</v>
      </c>
    </row>
    <row r="12013" spans="1:9" x14ac:dyDescent="0.3">
      <c r="A12013" s="1" t="s">
        <v>61</v>
      </c>
      <c r="B12013" s="1" t="s">
        <v>726</v>
      </c>
      <c r="C12013" s="1" t="s">
        <v>85</v>
      </c>
      <c r="D12013" s="1" t="s">
        <v>896</v>
      </c>
      <c r="E12013" s="1" t="s">
        <v>580</v>
      </c>
      <c r="F12013" s="1" t="s">
        <v>17038</v>
      </c>
      <c r="G12013" s="1" t="s">
        <v>28</v>
      </c>
      <c r="H12013" s="1" t="s">
        <v>29</v>
      </c>
      <c r="I12013" s="1" t="str">
        <f ca="1">IFERROR(__xludf.DUMMYFUNCTION("GOOGLETRANSLATE(F12013, ""auto"", ""en"")
"),"Everything about it is beautiful and wonderful, after reading many reviews on the forums, we chose this particular stove. But the only “-” from this purchase is that the kit did not include a recipe book, a measuring spoon and a measuring cup, and as it t"&amp;"urned out later, the sellers knew about this and didn’t even say anything.")</f>
        <v>Everything about it is beautiful and wonderful, after reading many reviews on the forums, we chose this particular stove. But the only “-” from this purchase is that the kit did not include a recipe book, a measuring spoon and a measuring cup, and as it turned out later, the sellers knew about this and didn’t even say anything.</v>
      </c>
    </row>
    <row r="12014" spans="1:9" x14ac:dyDescent="0.3">
      <c r="A12014" s="1" t="s">
        <v>149</v>
      </c>
      <c r="B12014" s="1" t="s">
        <v>155</v>
      </c>
      <c r="C12014" s="1" t="s">
        <v>80</v>
      </c>
      <c r="D12014" s="1" t="s">
        <v>75</v>
      </c>
      <c r="E12014" s="1" t="s">
        <v>3367</v>
      </c>
      <c r="F12014" s="1" t="s">
        <v>17039</v>
      </c>
      <c r="G12014" s="1" t="s">
        <v>36</v>
      </c>
      <c r="H12014" s="1" t="s">
        <v>29</v>
      </c>
      <c r="I12014" s="1" t="str">
        <f ca="1">IFERROR(__xludf.DUMMYFUNCTION("GOOGLETRANSLATE(F12014, ""auto"", ""en"")
"),"We have been using this vacuum cleaner for 3 months now - we are very happy that we bought it. no hassle - the filter is washable, the dust container is also easy to assemble.")</f>
        <v>We have been using this vacuum cleaner for 3 months now - we are very happy that we bought it. no hassle - the filter is washable, the dust container is also easy to assemble.</v>
      </c>
    </row>
    <row r="12015" spans="1:9" x14ac:dyDescent="0.3">
      <c r="A12015" s="1" t="s">
        <v>120</v>
      </c>
      <c r="B12015" s="1" t="s">
        <v>256</v>
      </c>
      <c r="C12015" s="1" t="s">
        <v>151</v>
      </c>
      <c r="D12015" s="1" t="s">
        <v>186</v>
      </c>
      <c r="E12015" s="1" t="s">
        <v>4012</v>
      </c>
      <c r="F12015" s="1" t="s">
        <v>17040</v>
      </c>
      <c r="G12015" s="1" t="s">
        <v>28</v>
      </c>
      <c r="H12015" s="1" t="s">
        <v>29</v>
      </c>
      <c r="I12015" s="1" t="str">
        <f ca="1">IFERROR(__xludf.DUMMYFUNCTION("GOOGLETRANSLATE(F12015, ""auto"", ""en"")
"),"The TV is great, but there was a problem with the sound. When connected to a computer (connected in this way: video - to the computer dvi to the hdmi TV, audio - to the computer jack (tried both the speaker connector and line output) to the tulips TV) the"&amp;"re is no sound. If anyone has a solution to this problem, I would be grateful for your advice. The TV does not have settings for selecting the sound source (")</f>
        <v>The TV is great, but there was a problem with the sound. When connected to a computer (connected in this way: video - to the computer dvi to the hdmi TV, audio - to the computer jack (tried both the speaker connector and line output) to the tulips TV) there is no sound. If anyone has a solution to this problem, I would be grateful for your advice. The TV does not have settings for selecting the sound source (</v>
      </c>
    </row>
    <row r="12016" spans="1:9" x14ac:dyDescent="0.3">
      <c r="A12016" s="1" t="s">
        <v>89</v>
      </c>
      <c r="B12016" s="1" t="s">
        <v>231</v>
      </c>
      <c r="C12016" s="1" t="s">
        <v>1072</v>
      </c>
      <c r="D12016" s="1" t="s">
        <v>102</v>
      </c>
      <c r="E12016" s="1" t="s">
        <v>4345</v>
      </c>
      <c r="F12016" s="1" t="s">
        <v>17041</v>
      </c>
      <c r="G12016" s="1" t="s">
        <v>36</v>
      </c>
      <c r="H12016" s="1" t="s">
        <v>29</v>
      </c>
      <c r="I12016" s="1" t="str">
        <f ca="1">IFERROR(__xludf.DUMMYFUNCTION("GOOGLETRANSLATE(F12016, ""auto"", ""en"")
"),"Makes excellent coffee and works flawlessly.   For the machine to operate properly, it must be prepared. To do this, you need to remove the “heart of the machine” and lubricate the O-rings. Also check the lubrication on the moving parts. It is absolutely "&amp;"not difficult and will take 5 minutes. If this is not done, water will flow into the pan and waste container. Some machines do not need this, but it is better to play it safe right away so as not to write about problems with the operation of the coffee ma"&amp;"chine later.   I think Saeco are the best coffee machines.")</f>
        <v>Makes excellent coffee and works flawlessly.   For the machine to operate properly, it must be prepared. To do this, you need to remove the “heart of the machine” and lubricate the O-rings. Also check the lubrication on the moving parts. It is absolutely not difficult and will take 5 minutes. If this is not done, water will flow into the pan and waste container. Some machines do not need this, but it is better to play it safe right away so as not to write about problems with the operation of the coffee machine later.   I think Saeco are the best coffee machines.</v>
      </c>
    </row>
    <row r="12017" spans="1:9" x14ac:dyDescent="0.3">
      <c r="A12017" s="1" t="s">
        <v>37</v>
      </c>
      <c r="B12017" s="1" t="s">
        <v>38</v>
      </c>
      <c r="C12017" s="1" t="s">
        <v>151</v>
      </c>
      <c r="D12017" s="1" t="s">
        <v>521</v>
      </c>
      <c r="E12017" s="1" t="s">
        <v>353</v>
      </c>
      <c r="F12017" s="1" t="s">
        <v>17042</v>
      </c>
      <c r="G12017" s="1" t="s">
        <v>36</v>
      </c>
      <c r="H12017" s="1" t="s">
        <v>29</v>
      </c>
      <c r="I12017" s="1" t="str">
        <f ca="1">IFERROR(__xludf.DUMMYFUNCTION("GOOGLETRANSLATE(F12017, ""auto"", ""en"")
"),"Gave it to my daughter for her birthday, it was a year ago. The phone is simply SUPERB: its appearance and functionality have not changed over the year of being tormented by a child! A very simple, CLEAR menu, the sound is AMAZING, loud, excellent! The ca"&amp;"mera for a mobile phone is good! In general, my daughter pumped him up with everything she could, and he hasn’t let her down yet. The choice is up to you, and I am VERY pleased with my choice! Now, of course, the child is already asking for a sensor, but "&amp;"he categorically REFUSES to give this one (in return)!")</f>
        <v>Gave it to my daughter for her birthday, it was a year ago. The phone is simply SUPERB: its appearance and functionality have not changed over the year of being tormented by a child! A very simple, CLEAR menu, the sound is AMAZING, loud, excellent! The camera for a mobile phone is good! In general, my daughter pumped him up with everything she could, and he hasn’t let her down yet. The choice is up to you, and I am VERY pleased with my choice! Now, of course, the child is already asking for a sensor, but he categorically REFUSES to give this one (in return)!</v>
      </c>
    </row>
    <row r="12018" spans="1:9" x14ac:dyDescent="0.3">
      <c r="A12018" s="1" t="s">
        <v>30</v>
      </c>
      <c r="B12018" s="1" t="s">
        <v>31</v>
      </c>
      <c r="C12018" s="1" t="s">
        <v>32</v>
      </c>
      <c r="D12018" s="1" t="s">
        <v>592</v>
      </c>
      <c r="E12018" s="1" t="s">
        <v>363</v>
      </c>
      <c r="F12018" s="1" t="s">
        <v>17043</v>
      </c>
      <c r="G12018" s="1" t="s">
        <v>28</v>
      </c>
      <c r="H12018" s="1" t="s">
        <v>29</v>
      </c>
      <c r="I12018" s="1" t="str">
        <f ca="1">IFERROR(__xludf.DUMMYFUNCTION("GOOGLETRANSLATE(F12018, ""auto"", ""en"")
"),"The system unit is normal, but the DVD drive is not very good, it does not accept mini-discs, this was upsetting in the first hour of purchase (in general, I have been using it for two months now and have not yet replaced it with another one.")</f>
        <v>The system unit is normal, but the DVD drive is not very good, it does not accept mini-discs, this was upsetting in the first hour of purchase (in general, I have been using it for two months now and have not yet replaced it with another one.</v>
      </c>
    </row>
    <row r="12019" spans="1:9" x14ac:dyDescent="0.3">
      <c r="A12019" s="1" t="s">
        <v>9</v>
      </c>
      <c r="B12019" s="1" t="s">
        <v>10</v>
      </c>
      <c r="C12019" s="1" t="s">
        <v>466</v>
      </c>
      <c r="D12019" s="1" t="s">
        <v>17044</v>
      </c>
      <c r="E12019" s="1" t="s">
        <v>11999</v>
      </c>
      <c r="F12019" s="1" t="s">
        <v>17045</v>
      </c>
      <c r="G12019" s="1" t="s">
        <v>36</v>
      </c>
      <c r="H12019" s="1" t="s">
        <v>29</v>
      </c>
      <c r="I12019" s="1" t="str">
        <f ca="1">IFERROR(__xludf.DUMMYFUNCTION("GOOGLETRANSLATE(F12019, ""auto"", ""en"")
"),"Finally, unpleasant odors in the kitchen are a thing of the past thanks to this product. Before we had a hood, it was impossible to breathe in the kitchen, especially after my husband or son cooked there... Everything there always burned, and sometimes ev"&amp;"en completely burned, well, it’s not a man’s business to hang around in the kitchen!! So we decided to install a hood... Besides, my husband smokes constantly, and now this model is saving us from that too!! Since we didn’t have any free space above the s"&amp;"tove and there was already a cupboard hanging there, we decided to take a hood that could be built into the cabinet. This particular model was significantly cheaper than other hoods, which also played a role in the purchase.  After installation, it was ev"&amp;"en possible to store dishes above the hood itself, fortunately the hood works very quietly, there is no shaking or vibration, nothing is in danger for the dishes!  In a word, an excellent hood, it does its main function perfectly, in our kitchen there is "&amp;"no longer the smell of burnt eggs, cigarette smoke and the like!")</f>
        <v>Finally, unpleasant odors in the kitchen are a thing of the past thanks to this product. Before we had a hood, it was impossible to breathe in the kitchen, especially after my husband or son cooked there... Everything there always burned, and sometimes even completely burned, well, it’s not a man’s business to hang around in the kitchen!! So we decided to install a hood... Besides, my husband smokes constantly, and now this model is saving us from that too!! Since we didn’t have any free space above the stove and there was already a cupboard hanging there, we decided to take a hood that could be built into the cabinet. This particular model was significantly cheaper than other hoods, which also played a role in the purchase.  After installation, it was even possible to store dishes above the hood itself, fortunately the hood works very quietly, there is no shaking or vibration, nothing is in danger for the dishes!  In a word, an excellent hood, it does its main function perfectly, in our kitchen there is no longer the smell of burnt eggs, cigarette smoke and the like!</v>
      </c>
    </row>
    <row r="12020" spans="1:9" x14ac:dyDescent="0.3">
      <c r="A12020" s="1" t="s">
        <v>17</v>
      </c>
      <c r="B12020" s="1" t="s">
        <v>18</v>
      </c>
      <c r="C12020" s="1" t="s">
        <v>159</v>
      </c>
      <c r="D12020" s="1" t="s">
        <v>17046</v>
      </c>
      <c r="E12020" s="1" t="s">
        <v>1457</v>
      </c>
      <c r="F12020" s="1" t="s">
        <v>17047</v>
      </c>
      <c r="G12020" s="1" t="s">
        <v>28</v>
      </c>
      <c r="H12020" s="1" t="s">
        <v>29</v>
      </c>
      <c r="I12020" s="1" t="str">
        <f ca="1">IFERROR(__xludf.DUMMYFUNCTION("GOOGLETRANSLATE(F12020, ""auto"", ""en"")
"),"The car is good. I liked it)")</f>
        <v>The car is good. I liked it)</v>
      </c>
    </row>
    <row r="12021" spans="1:9" x14ac:dyDescent="0.3">
      <c r="A12021" s="1" t="s">
        <v>9</v>
      </c>
      <c r="B12021" s="1" t="s">
        <v>10</v>
      </c>
      <c r="C12021" s="1" t="s">
        <v>11</v>
      </c>
      <c r="D12021" s="1" t="s">
        <v>295</v>
      </c>
      <c r="E12021" s="1" t="s">
        <v>15226</v>
      </c>
      <c r="F12021" s="1" t="s">
        <v>17048</v>
      </c>
      <c r="G12021" s="1" t="s">
        <v>36</v>
      </c>
      <c r="H12021" s="1" t="s">
        <v>29</v>
      </c>
      <c r="I12021" s="1" t="str">
        <f ca="1">IFERROR(__xludf.DUMMYFUNCTION("GOOGLETRANSLATE(F12021, ""auto"", ""en"")
"),"The hood looks very stylish, beautiful and modern in the kitchen interior. It has three speeds, small buttons to change speeds, and the backlight is quite good. There is only one motor in the hood, but it does its job perfectly. It is noisy, of course, bu"&amp;"t not like a jet engine. It copes with fumes, smoke and odors perfectly, sucks everything in like a vacuum cleaner. When you turn on the hood, it even starts to blow something cold, as if the fan was turned on.   It contains a grease filter that can be ea"&amp;"sily washed. The width of the hood is 60 cm. Overall, an excellent hood.")</f>
        <v>The hood looks very stylish, beautiful and modern in the kitchen interior. It has three speeds, small buttons to change speeds, and the backlight is quite good. There is only one motor in the hood, but it does its job perfectly. It is noisy, of course, but not like a jet engine. It copes with fumes, smoke and odors perfectly, sucks everything in like a vacuum cleaner. When you turn on the hood, it even starts to blow something cold, as if the fan was turned on.   It contains a grease filter that can be easily washed. The width of the hood is 60 cm. Overall, an excellent hood.</v>
      </c>
    </row>
    <row r="12022" spans="1:9" x14ac:dyDescent="0.3">
      <c r="A12022" s="1" t="s">
        <v>1174</v>
      </c>
      <c r="B12022" s="1" t="s">
        <v>1175</v>
      </c>
      <c r="C12022" s="1" t="s">
        <v>356</v>
      </c>
      <c r="D12022" s="1" t="s">
        <v>411</v>
      </c>
      <c r="E12022" s="1" t="s">
        <v>1310</v>
      </c>
      <c r="F12022" s="1" t="s">
        <v>17049</v>
      </c>
      <c r="G12022" s="1" t="s">
        <v>36</v>
      </c>
      <c r="H12022" s="1" t="s">
        <v>29</v>
      </c>
      <c r="I12022" s="1" t="str">
        <f ca="1">IFERROR(__xludf.DUMMYFUNCTION("GOOGLETRANSLATE(F12022, ""auto"", ""en"")
"),"The headphones sound very high quality, the sound is clear, the ears do not get tired.  I don’t think you will find better Apple headphones, Schonheisers, in my opinion, lose very much, the only negative is that after some time they have 1 speaker and thi"&amp;"s makes 1 ear play quieter... and I advise all owners of iPod and iPhone =)")</f>
        <v>The headphones sound very high quality, the sound is clear, the ears do not get tired.  I don’t think you will find better Apple headphones, Schonheisers, in my opinion, lose very much, the only negative is that after some time they have 1 speaker and this makes 1 ear play quieter... and I advise all owners of iPod and iPhone =)</v>
      </c>
    </row>
    <row r="12023" spans="1:9" x14ac:dyDescent="0.3">
      <c r="A12023" s="1" t="s">
        <v>451</v>
      </c>
      <c r="B12023" s="1" t="s">
        <v>452</v>
      </c>
      <c r="C12023" s="1" t="s">
        <v>710</v>
      </c>
      <c r="D12023" s="1" t="s">
        <v>1634</v>
      </c>
      <c r="E12023" s="1" t="s">
        <v>3764</v>
      </c>
      <c r="F12023" s="1" t="s">
        <v>17050</v>
      </c>
      <c r="G12023" s="1" t="s">
        <v>36</v>
      </c>
      <c r="H12023" s="1" t="s">
        <v>29</v>
      </c>
      <c r="I12023" s="1" t="str">
        <f ca="1">IFERROR(__xludf.DUMMYFUNCTION("GOOGLETRANSLATE(F12023, ""auto"", ""en"")
"),"This is a powerful knife))) When the time came to change it on my Mulinex meat grinder, I thought of looking for something from the same company, but your consultants said that this model would also be suitable. I decided to take this one because the pric"&amp;"e was really good, to be honest))) I don’t regret it, the knife fit perfectly, I can achieve the maximum result with it))) I’m happy with everything, I recommend it!!!")</f>
        <v>This is a powerful knife))) When the time came to change it on my Mulinex meat grinder, I thought of looking for something from the same company, but your consultants said that this model would also be suitable. I decided to take this one because the price was really good, to be honest))) I don’t regret it, the knife fit perfectly, I can achieve the maximum result with it))) I’m happy with everything, I recommend it!!!</v>
      </c>
    </row>
    <row r="12024" spans="1:9" x14ac:dyDescent="0.3">
      <c r="A12024" s="1" t="s">
        <v>43</v>
      </c>
      <c r="B12024" s="1" t="s">
        <v>1382</v>
      </c>
      <c r="C12024" s="1" t="s">
        <v>45</v>
      </c>
      <c r="D12024" s="1" t="s">
        <v>232</v>
      </c>
      <c r="E12024" s="1" t="s">
        <v>5859</v>
      </c>
      <c r="F12024" s="1" t="s">
        <v>17051</v>
      </c>
      <c r="G12024" s="1" t="s">
        <v>49</v>
      </c>
      <c r="H12024" s="1" t="s">
        <v>16</v>
      </c>
      <c r="I12024" s="1" t="str">
        <f ca="1">IFERROR(__xludf.DUMMYFUNCTION("GOOGLETRANSLATE(F12024, ""auto"", ""en"")
"),"I bought it in 2011, it doesn’t have a remote control, it blows well. But: it has a loud engine, the impeller hums terribly from the air flow. And the worst thing: - the impeller shafts are in brass bushings (production is in progress) - the shaft is not "&amp;"balanced (strong vibration) it started shaking after a month, I had to disassemble and lubricate it. Threw it out for the second season.")</f>
        <v>I bought it in 2011, it doesn’t have a remote control, it blows well. But: it has a loud engine, the impeller hums terribly from the air flow. And the worst thing: - the impeller shafts are in brass bushings (production is in progress) - the shaft is not balanced (strong vibration) it started shaking after a month, I had to disassemble and lubricate it. Threw it out for the second season.</v>
      </c>
    </row>
    <row r="12025" spans="1:9" x14ac:dyDescent="0.3">
      <c r="A12025" s="1" t="s">
        <v>61</v>
      </c>
      <c r="B12025" s="1" t="s">
        <v>318</v>
      </c>
      <c r="C12025" s="1" t="s">
        <v>69</v>
      </c>
      <c r="D12025" s="1" t="s">
        <v>203</v>
      </c>
      <c r="E12025" s="1" t="s">
        <v>6681</v>
      </c>
      <c r="F12025" s="1" t="s">
        <v>17052</v>
      </c>
      <c r="G12025" s="1" t="s">
        <v>36</v>
      </c>
      <c r="H12025" s="1" t="s">
        <v>29</v>
      </c>
      <c r="I12025" s="1" t="str">
        <f ca="1">IFERROR(__xludf.DUMMYFUNCTION("GOOGLETRANSLATE(F12025, ""auto"", ""en"")
"),"There were no problems at all, today the lid crumbled, I think this is a record for 7 years, now I was sitting choosing a new kettle, but whatever one may say, I’m settling on this model. I read the reviews and think we should sell the lids for this kettl"&amp;"e separately))))")</f>
        <v>There were no problems at all, today the lid crumbled, I think this is a record for 7 years, now I was sitting choosing a new kettle, but whatever one may say, I’m settling on this model. I read the reviews and think we should sell the lids for this kettle separately))))</v>
      </c>
    </row>
    <row r="12026" spans="1:9" x14ac:dyDescent="0.3">
      <c r="A12026" s="1" t="s">
        <v>61</v>
      </c>
      <c r="B12026" s="1" t="s">
        <v>145</v>
      </c>
      <c r="C12026" s="1" t="s">
        <v>146</v>
      </c>
      <c r="D12026" s="1" t="s">
        <v>305</v>
      </c>
      <c r="E12026" s="1" t="s">
        <v>4925</v>
      </c>
      <c r="F12026" s="1" t="s">
        <v>17053</v>
      </c>
      <c r="G12026" s="1" t="s">
        <v>36</v>
      </c>
      <c r="H12026" s="1" t="s">
        <v>29</v>
      </c>
      <c r="I12026" s="1" t="str">
        <f ca="1">IFERROR(__xludf.DUMMYFUNCTION("GOOGLETRANSLATE(F12026, ""auto"", ""en"")
"),"Oh this is my dream, after the electric wiper")</f>
        <v>Oh this is my dream, after the electric wiper</v>
      </c>
    </row>
    <row r="12027" spans="1:9" x14ac:dyDescent="0.3">
      <c r="A12027" s="1" t="s">
        <v>206</v>
      </c>
      <c r="B12027" s="1" t="s">
        <v>1253</v>
      </c>
      <c r="C12027" s="1" t="s">
        <v>4464</v>
      </c>
      <c r="D12027" s="1" t="s">
        <v>3571</v>
      </c>
      <c r="E12027" s="1" t="s">
        <v>610</v>
      </c>
      <c r="F12027" s="1" t="s">
        <v>17054</v>
      </c>
      <c r="G12027" s="1" t="s">
        <v>28</v>
      </c>
      <c r="H12027" s="1" t="s">
        <v>29</v>
      </c>
      <c r="I12027" s="1" t="str">
        <f ca="1">IFERROR(__xludf.DUMMYFUNCTION("GOOGLETRANSLATE(F12027, ""auto"", ""en"")
"),"Sometimes the following picture is observed: one walkie-talkie from the set receives signals loudly, while the other receives the same signal much quieter. It's not a matter of sensitivity. In some instances, the receiver IF circuit is incorrectly configu"&amp;"red; it is located to the left of the LTM 450HTU filter. The simplest and most accessible way to set it up looks like this: 1. Remove the back cover, connect the power and turn on the radio. 2. Set the maximum volume. 3. Press PTT on the other radio and b"&amp;"ring it up so that you can hear a small whistle. 4. Using a non-inductive screwdriver (this is important!), slowly turn the inverter circuit. 5. Achieve maximum whistle volume. 6. The setup is complete, let’s assemble the radio.")</f>
        <v>Sometimes the following picture is observed: one walkie-talkie from the set receives signals loudly, while the other receives the same signal much quieter. It's not a matter of sensitivity. In some instances, the receiver IF circuit is incorrectly configured; it is located to the left of the LTM 450HTU filter. The simplest and most accessible way to set it up looks like this: 1. Remove the back cover, connect the power and turn on the radio. 2. Set the maximum volume. 3. Press PTT on the other radio and bring it up so that you can hear a small whistle. 4. Using a non-inductive screwdriver (this is important!), slowly turn the inverter circuit. 5. Achieve maximum whistle volume. 6. The setup is complete, let’s assemble the radio.</v>
      </c>
    </row>
    <row r="12028" spans="1:9" x14ac:dyDescent="0.3">
      <c r="A12028" s="1" t="s">
        <v>169</v>
      </c>
      <c r="B12028" s="1" t="s">
        <v>170</v>
      </c>
      <c r="C12028" s="1" t="s">
        <v>171</v>
      </c>
      <c r="D12028" s="1" t="s">
        <v>568</v>
      </c>
      <c r="E12028" s="1" t="s">
        <v>11942</v>
      </c>
      <c r="F12028" s="1" t="s">
        <v>17055</v>
      </c>
      <c r="G12028" s="1" t="s">
        <v>28</v>
      </c>
      <c r="H12028" s="1" t="s">
        <v>29</v>
      </c>
      <c r="I12028" s="1" t="str">
        <f ca="1">IFERROR(__xludf.DUMMYFUNCTION("GOOGLETRANSLATE(F12028, ""auto"", ""en"")
"),"The sound is good, the frequencies are balanced, the bass is soft. these are the advantages.  But there are also disadvantages, very significant for me.  The wires are very bad (wooden insulation). The wire at the base of the right earphone housing has br"&amp;"oken. They served for exactly a YEAR, day after day, from the date of purchase (managed to hand it over). Well, another disadvantage is that the body is too small, but that’s to each his own, as they say. but here are the wires......")</f>
        <v>The sound is good, the frequencies are balanced, the bass is soft. these are the advantages.  But there are also disadvantages, very significant for me.  The wires are very bad (wooden insulation). The wire at the base of the right earphone housing has broken. They served for exactly a YEAR, day after day, from the date of purchase (managed to hand it over). Well, another disadvantage is that the body is too small, but that’s to each his own, as they say. but here are the wires......</v>
      </c>
    </row>
    <row r="12029" spans="1:9" x14ac:dyDescent="0.3">
      <c r="A12029" s="1" t="s">
        <v>37</v>
      </c>
      <c r="B12029" s="1" t="s">
        <v>38</v>
      </c>
      <c r="C12029" s="1" t="s">
        <v>69</v>
      </c>
      <c r="D12029" s="1" t="s">
        <v>417</v>
      </c>
      <c r="E12029" s="1" t="s">
        <v>750</v>
      </c>
      <c r="F12029" s="1" t="s">
        <v>17056</v>
      </c>
      <c r="G12029" s="1" t="s">
        <v>28</v>
      </c>
      <c r="H12029" s="1" t="s">
        <v>29</v>
      </c>
      <c r="I12029" s="1" t="str">
        <f ca="1">IFERROR(__xludf.DUMMYFUNCTION("GOOGLETRANSLATE(F12029, ""auto"", ""en"")
"),"The phone is basically ok, loud speakers, powerful battery, but individual calls cannot be made to individual subscribers or even groups, they also said in the store that it comes with a flash drive, no")</f>
        <v>The phone is basically ok, loud speakers, powerful battery, but individual calls cannot be made to individual subscribers or even groups, they also said in the store that it comes with a flash drive, no</v>
      </c>
    </row>
    <row r="12030" spans="1:9" x14ac:dyDescent="0.3">
      <c r="A12030" s="1" t="s">
        <v>211</v>
      </c>
      <c r="B12030" s="1" t="s">
        <v>212</v>
      </c>
      <c r="C12030" s="1" t="s">
        <v>294</v>
      </c>
      <c r="D12030" s="1" t="s">
        <v>438</v>
      </c>
      <c r="E12030" s="1" t="s">
        <v>3676</v>
      </c>
      <c r="F12030" s="1" t="s">
        <v>17057</v>
      </c>
      <c r="G12030" s="1" t="s">
        <v>36</v>
      </c>
      <c r="H12030" s="1" t="s">
        <v>29</v>
      </c>
      <c r="I12030" s="1" t="str">
        <f ca="1">IFERROR(__xludf.DUMMYFUNCTION("GOOGLETRANSLATE(F12030, ""auto"", ""en"")
"),"A very convenient and practical thing! Heats up quickly, straightens and curls hair perfectly, without damaging it! I recommend it to everyone :) I was also very pleased with the CD included in the kit, which explains how to do which hairstyles :)")</f>
        <v>A very convenient and practical thing! Heats up quickly, straightens and curls hair perfectly, without damaging it! I recommend it to everyone :) I was also very pleased with the CD included in the kit, which explains how to do which hairstyles :)</v>
      </c>
    </row>
    <row r="12031" spans="1:9" x14ac:dyDescent="0.3">
      <c r="A12031" s="1" t="s">
        <v>30</v>
      </c>
      <c r="B12031" s="1" t="s">
        <v>50</v>
      </c>
      <c r="C12031" s="1" t="s">
        <v>32</v>
      </c>
      <c r="D12031" s="1" t="s">
        <v>8593</v>
      </c>
      <c r="E12031" s="1" t="s">
        <v>7124</v>
      </c>
      <c r="F12031" s="1" t="s">
        <v>17058</v>
      </c>
      <c r="G12031" s="1" t="s">
        <v>28</v>
      </c>
      <c r="H12031" s="1" t="s">
        <v>29</v>
      </c>
      <c r="I12031" s="1" t="str">
        <f ca="1">IFERROR(__xludf.DUMMYFUNCTION("GOOGLETRANSLATE(F12031, ""auto"", ""en"")
"),"For 2 video cards to work correctly, you will have to reflash the BIOS, and regarding 3 gigs instead of 4 - Windows Vista 32 uses only 3 gigs of RAM")</f>
        <v>For 2 video cards to work correctly, you will have to reflash the BIOS, and regarding 3 gigs instead of 4 - Windows Vista 32 uses only 3 gigs of RAM</v>
      </c>
    </row>
    <row r="12032" spans="1:9" x14ac:dyDescent="0.3">
      <c r="A12032" s="1" t="s">
        <v>37</v>
      </c>
      <c r="B12032" s="1" t="s">
        <v>536</v>
      </c>
      <c r="C12032" s="1" t="s">
        <v>1419</v>
      </c>
      <c r="D12032" s="1" t="s">
        <v>17059</v>
      </c>
      <c r="E12032" s="1" t="s">
        <v>7124</v>
      </c>
      <c r="F12032" s="1" t="s">
        <v>17060</v>
      </c>
      <c r="G12032" s="1" t="s">
        <v>36</v>
      </c>
      <c r="H12032" s="1" t="s">
        <v>29</v>
      </c>
      <c r="I12032" s="1" t="str">
        <f ca="1">IFERROR(__xludf.DUMMYFUNCTION("GOOGLETRANSLATE(F12032, ""auto"", ""en"")
"),"I've been using x7 for about half a year, I've been using PDA for a very long time, and the last 3 were only rover, they never let me down, here I am again with rover. And the price is normal")</f>
        <v>I've been using x7 for about half a year, I've been using PDA for a very long time, and the last 3 were only rover, they never let me down, here I am again with rover. And the price is normal</v>
      </c>
    </row>
    <row r="12033" spans="1:9" x14ac:dyDescent="0.3">
      <c r="A12033" s="1" t="s">
        <v>105</v>
      </c>
      <c r="B12033" s="1" t="s">
        <v>106</v>
      </c>
      <c r="C12033" s="1" t="s">
        <v>97</v>
      </c>
      <c r="D12033" s="1" t="s">
        <v>117</v>
      </c>
      <c r="E12033" s="1" t="s">
        <v>1527</v>
      </c>
      <c r="F12033" s="1" t="s">
        <v>17061</v>
      </c>
      <c r="G12033" s="1" t="s">
        <v>36</v>
      </c>
      <c r="H12033" s="1" t="s">
        <v>29</v>
      </c>
      <c r="I12033" s="1" t="str">
        <f ca="1">IFERROR(__xludf.DUMMYFUNCTION("GOOGLETRANSLATE(F12033, ""auto"", ""en"")
"),"An excellent player, but there are 2 drawbacks - it gets scratched quickly (like the Playstation 3 case, for example) and it comes with cheap headphones. But this is nothing compared to its advantages - excellent sound, excellent video playback (you can c"&amp;"onvert using movavi video converter 9), beautiful and clear interface, long battery life, etc. in general the best within 5000 rubles.")</f>
        <v>An excellent player, but there are 2 drawbacks - it gets scratched quickly (like the Playstation 3 case, for example) and it comes with cheap headphones. But this is nothing compared to its advantages - excellent sound, excellent video playback (you can convert using movavi video converter 9), beautiful and clear interface, long battery life, etc. in general the best within 5000 rubles.</v>
      </c>
    </row>
    <row r="12034" spans="1:9" x14ac:dyDescent="0.3">
      <c r="A12034" s="1" t="s">
        <v>206</v>
      </c>
      <c r="B12034" s="1" t="s">
        <v>1349</v>
      </c>
      <c r="C12034" s="1" t="s">
        <v>262</v>
      </c>
      <c r="D12034" s="1" t="s">
        <v>17062</v>
      </c>
      <c r="E12034" s="1" t="s">
        <v>3147</v>
      </c>
      <c r="F12034" s="1" t="s">
        <v>17063</v>
      </c>
      <c r="G12034" s="1" t="s">
        <v>28</v>
      </c>
      <c r="H12034" s="1" t="s">
        <v>29</v>
      </c>
      <c r="I12034" s="1" t="str">
        <f ca="1">IFERROR(__xludf.DUMMYFUNCTION("GOOGLETRANSLATE(F12034, ""auto"", ""en"")
"),"1) Flash drive with MMS standard navigator software.  2) Radio settings are not required if you place a jumper between the red (+ from the ignition switch) and yellow (constant +) power wires on the cable from the head unit. BUT this connection scheme can"&amp;" lead to the inclusion of the car's onboard systems by default, such as: cigarette lighter, clock, BC, etc. because the (+) power supply of the system will always be constant, the ignition switch will cease to be a switch and some devices will not need th"&amp;"e ignition key to start.")</f>
        <v>1) Flash drive with MMS standard navigator software.  2) Radio settings are not required if you place a jumper between the red (+ from the ignition switch) and yellow (constant +) power wires on the cable from the head unit. BUT this connection scheme can lead to the inclusion of the car's onboard systems by default, such as: cigarette lighter, clock, BC, etc. because the (+) power supply of the system will always be constant, the ignition switch will cease to be a switch and some devices will not need the ignition key to start.</v>
      </c>
    </row>
    <row r="12035" spans="1:9" x14ac:dyDescent="0.3">
      <c r="A12035" s="1" t="s">
        <v>43</v>
      </c>
      <c r="B12035" s="1" t="s">
        <v>502</v>
      </c>
      <c r="C12035" s="1" t="s">
        <v>151</v>
      </c>
      <c r="D12035" s="1" t="s">
        <v>305</v>
      </c>
      <c r="E12035" s="1" t="s">
        <v>8520</v>
      </c>
      <c r="F12035" s="1" t="s">
        <v>17064</v>
      </c>
      <c r="G12035" s="1" t="s">
        <v>49</v>
      </c>
      <c r="H12035" s="1" t="s">
        <v>16</v>
      </c>
      <c r="I12035" s="1" t="str">
        <f ca="1">IFERROR(__xludf.DUMMYFUNCTION("GOOGLETRANSLATE(F12035, ""auto"", ""en"")
"),"I think many air conditioner users want to know why the new air conditioner makes a lot of noise and makes the walls hum? Your air conditioner is overcharged (too much refrigerant).... There is a risk that the compressor will fail or the neighbors will co"&amp;"mplain a lot. No amount of gaskets or rubber bands will provide significant sound insulation! This is infrasound, it is almost impossible to extinguish it. Try it like this! Turn off the air conditioner, unscrew the cap through which the refrigerant is ch"&amp;"arged, press the spool and release some of the gas (about 3-5 seconds). Don't put your hands up - they'll freeze. You can also adjust it using pressure gauges. The installers are to blame.... They should have taken into account that the gas in the air con"&amp;"ditioner is filled for a 15 m long route. Don't be afraid that the gas will come out and it won't freeze. Yes, the freezing will be a little worse, but it will work quietly.")</f>
        <v>I think many air conditioner users want to know why the new air conditioner makes a lot of noise and makes the walls hum? Your air conditioner is overcharged (too much refrigerant).... There is a risk that the compressor will fail or the neighbors will complain a lot. No amount of gaskets or rubber bands will provide significant sound insulation! This is infrasound, it is almost impossible to extinguish it. Try it like this! Turn off the air conditioner, unscrew the cap through which the refrigerant is charged, press the spool and release some of the gas (about 3-5 seconds). Don't put your hands up - they'll freeze. You can also adjust it using pressure gauges. The installers are to blame.... They should have taken into account that the gas in the air conditioner is filled for a 15 m long route. Don't be afraid that the gas will come out and it won't freeze. Yes, the freezing will be a little worse, but it will work quietly.</v>
      </c>
    </row>
    <row r="12036" spans="1:9" x14ac:dyDescent="0.3">
      <c r="A12036" s="1" t="s">
        <v>17</v>
      </c>
      <c r="B12036" s="1" t="s">
        <v>18</v>
      </c>
      <c r="C12036" s="1" t="s">
        <v>885</v>
      </c>
      <c r="D12036" s="1" t="s">
        <v>474</v>
      </c>
      <c r="E12036" s="1" t="s">
        <v>1540</v>
      </c>
      <c r="F12036" s="1" t="s">
        <v>17065</v>
      </c>
      <c r="G12036" s="1" t="s">
        <v>36</v>
      </c>
      <c r="H12036" s="1" t="s">
        <v>29</v>
      </c>
      <c r="I12036" s="1" t="str">
        <f ca="1">IFERROR(__xludf.DUMMYFUNCTION("GOOGLETRANSLATE(F12036, ""auto"", ""en"")
"),"During the spin cycle, a loud grinding noise is heard from the drum. At the end of the wash, the smell of burnt plastic appeared.. The only good thing was the large hatch))) We will change the machine.. 04/25/2010 Ekaterina (Moscow) Is this review helpful"&amp;": 22:9 After the technician arrived, he discovered that the spring was creaking here and there and removed the flaw - everything fell into place!!! It washes great! Not noisy. Very convenient hatch and various washing programs!  We are happy! I recommend!")</f>
        <v>During the spin cycle, a loud grinding noise is heard from the drum. At the end of the wash, the smell of burnt plastic appeared.. The only good thing was the large hatch))) We will change the machine.. 04/25/2010 Ekaterina (Moscow) Is this review helpful: 22:9 After the technician arrived, he discovered that the spring was creaking here and there and removed the flaw - everything fell into place!!! It washes great! Not noisy. Very convenient hatch and various washing programs!  We are happy! I recommend!</v>
      </c>
    </row>
    <row r="12037" spans="1:9" x14ac:dyDescent="0.3">
      <c r="A12037" s="1" t="s">
        <v>30</v>
      </c>
      <c r="B12037" s="1" t="s">
        <v>31</v>
      </c>
      <c r="C12037" s="1" t="s">
        <v>32</v>
      </c>
      <c r="D12037" s="1" t="s">
        <v>17066</v>
      </c>
      <c r="E12037" s="1" t="s">
        <v>750</v>
      </c>
      <c r="F12037" s="1" t="s">
        <v>17067</v>
      </c>
      <c r="G12037" s="1" t="s">
        <v>28</v>
      </c>
      <c r="H12037" s="1" t="s">
        <v>29</v>
      </c>
      <c r="I12037" s="1" t="str">
        <f ca="1">IFERROR(__xludf.DUMMYFUNCTION("GOOGLETRANSLATE(F12037, ""auto"", ""en"")
"),"The computer itself is very powerful, runs a lot of games and programs, is very fast, and Windows 7 is good, I’m already used to it, I’ve been using it for two months, the cooling system is very weak, the video card heats up, it’s already on fire, so it c"&amp;"an freeze completely, not responding to anything, I don’t recommend it to very picky people.      ps? I bought it for 13990 at a discount so I’m not really complaining)")</f>
        <v>The computer itself is very powerful, runs a lot of games and programs, is very fast, and Windows 7 is good, I’m already used to it, I’ve been using it for two months, the cooling system is very weak, the video card heats up, it’s already on fire, so it can freeze completely, not responding to anything, I don’t recommend it to very picky people.      ps? I bought it for 13990 at a discount so I’m not really complaining)</v>
      </c>
    </row>
    <row r="12038" spans="1:9" x14ac:dyDescent="0.3">
      <c r="A12038" s="1" t="s">
        <v>211</v>
      </c>
      <c r="B12038" s="1" t="s">
        <v>1818</v>
      </c>
      <c r="C12038" s="1" t="s">
        <v>213</v>
      </c>
      <c r="D12038" s="1" t="s">
        <v>17068</v>
      </c>
      <c r="E12038" s="1" t="s">
        <v>504</v>
      </c>
      <c r="F12038" s="1" t="s">
        <v>17069</v>
      </c>
      <c r="G12038" s="1" t="s">
        <v>36</v>
      </c>
      <c r="H12038" s="1" t="s">
        <v>29</v>
      </c>
      <c r="I12038" s="1" t="str">
        <f ca="1">IFERROR(__xludf.DUMMYFUNCTION("GOOGLETRANSLATE(F12038, ""auto"", ""en"")
"),"This is a real surprise! A friend gave me this very comb) I didn’t even think there would be a result, but it works, and it works 100%) My hair became soft, shiny, in short, CHIC AND SHINE)) Thanks to the manufacturers!")</f>
        <v>This is a real surprise! A friend gave me this very comb) I didn’t even think there would be a result, but it works, and it works 100%) My hair became soft, shiny, in short, CHIC AND SHINE)) Thanks to the manufacturers!</v>
      </c>
    </row>
    <row r="12039" spans="1:9" x14ac:dyDescent="0.3">
      <c r="A12039" s="1" t="s">
        <v>61</v>
      </c>
      <c r="B12039" s="1" t="s">
        <v>977</v>
      </c>
      <c r="C12039" s="1" t="s">
        <v>246</v>
      </c>
      <c r="D12039" s="1" t="s">
        <v>1008</v>
      </c>
      <c r="E12039" s="1" t="s">
        <v>781</v>
      </c>
      <c r="F12039" s="1" t="s">
        <v>17070</v>
      </c>
      <c r="G12039" s="1" t="s">
        <v>36</v>
      </c>
      <c r="H12039" s="1" t="s">
        <v>29</v>
      </c>
      <c r="I12039" s="1" t="str">
        <f ca="1">IFERROR(__xludf.DUMMYFUNCTION("GOOGLETRANSLATE(F12039, ""auto"", ""en"")
"),"I’ve been using the blender for half a year, we use it to its fullest, we just grind, crush, beat, this power is enough for everything (considering how much blenders with this power cost, this is the best choice), the quality of the plastic is wonderful. "&amp;"The only thing is that this is an engineering mistake in the development of the grinder cup, where the “spout” is located. liquid rises. During use, the inscriptions have become a little worn. Overall, this is the best thing you can buy, even judging by t"&amp;"he power and configuration.")</f>
        <v>I’ve been using the blender for half a year, we use it to its fullest, we just grind, crush, beat, this power is enough for everything (considering how much blenders with this power cost, this is the best choice), the quality of the plastic is wonderful. The only thing is that this is an engineering mistake in the development of the grinder cup, where the “spout” is located. liquid rises. During use, the inscriptions have become a little worn. Overall, this is the best thing you can buy, even judging by the power and configuration.</v>
      </c>
    </row>
    <row r="12040" spans="1:9" x14ac:dyDescent="0.3">
      <c r="A12040" s="1" t="s">
        <v>61</v>
      </c>
      <c r="B12040" s="1" t="s">
        <v>318</v>
      </c>
      <c r="C12040" s="1" t="s">
        <v>246</v>
      </c>
      <c r="D12040" s="1" t="s">
        <v>471</v>
      </c>
      <c r="E12040" s="1" t="s">
        <v>817</v>
      </c>
      <c r="F12040" s="1" t="s">
        <v>17071</v>
      </c>
      <c r="G12040" s="1" t="s">
        <v>36</v>
      </c>
      <c r="H12040" s="1" t="s">
        <v>29</v>
      </c>
      <c r="I12040" s="1" t="str">
        <f ca="1">IFERROR(__xludf.DUMMYFUNCTION("GOOGLETRANSLATE(F12040, ""auto"", ""en"")
"),"Very convenient! there is no need to install a water filter or buy separate ones, waste time heating a large amount in the kettle, as much as you need to pour mugs of tea, coffee, or just water, the kettle will heat up so much, and no time is wasted waiti"&amp;"ng. In the morning, rushing to work, it’s convenient to put the mug down and press the button, and at this time start making a sandwich, when the sandwich is ready, a cup of hot coffee is also poured.")</f>
        <v>Very convenient! there is no need to install a water filter or buy separate ones, waste time heating a large amount in the kettle, as much as you need to pour mugs of tea, coffee, or just water, the kettle will heat up so much, and no time is wasted waiting. In the morning, rushing to work, it’s convenient to put the mug down and press the button, and at this time start making a sandwich, when the sandwich is ready, a cup of hot coffee is also poured.</v>
      </c>
    </row>
    <row r="12041" spans="1:9" x14ac:dyDescent="0.3">
      <c r="A12041" s="1" t="s">
        <v>55</v>
      </c>
      <c r="B12041" s="1" t="s">
        <v>6412</v>
      </c>
      <c r="C12041" s="1" t="s">
        <v>57</v>
      </c>
      <c r="D12041" s="1" t="s">
        <v>64</v>
      </c>
      <c r="E12041" s="1" t="s">
        <v>1636</v>
      </c>
      <c r="F12041" s="1" t="s">
        <v>17072</v>
      </c>
      <c r="G12041" s="1" t="s">
        <v>36</v>
      </c>
      <c r="H12041" s="1" t="s">
        <v>29</v>
      </c>
      <c r="I12041" s="1" t="str">
        <f ca="1">IFERROR(__xludf.DUMMYFUNCTION("GOOGLETRANSLATE(F12041, ""auto"", ""en"")
"),"We bought it for our country house, for a small room, about 9 sq.m. But before that, we used it at home for several days in a room of 18 sq.m.   The heater did an excellent job in a large room, it heated up quickly, kept it warm all night, and made zero n"&amp;"oise.  At the dacha they hung it on the wall like a battery, it’s very convenient and doesn’t take up space. Heated up a small room almost instantly, left it on the unit overnight and it was very warm.   We are happy with the purchase, M Video, thanks for"&amp;" the consultation. We recommend!")</f>
        <v>We bought it for our country house, for a small room, about 9 sq.m. But before that, we used it at home for several days in a room of 18 sq.m.   The heater did an excellent job in a large room, it heated up quickly, kept it warm all night, and made zero noise.  At the dacha they hung it on the wall like a battery, it’s very convenient and doesn’t take up space. Heated up a small room almost instantly, left it on the unit overnight and it was very warm.   We are happy with the purchase, M Video, thanks for the consultation. We recommend!</v>
      </c>
    </row>
    <row r="12042" spans="1:9" x14ac:dyDescent="0.3">
      <c r="A12042" s="1" t="s">
        <v>169</v>
      </c>
      <c r="B12042" s="1" t="s">
        <v>170</v>
      </c>
      <c r="C12042" s="1" t="s">
        <v>69</v>
      </c>
      <c r="D12042" s="1" t="s">
        <v>299</v>
      </c>
      <c r="E12042" s="1" t="s">
        <v>2325</v>
      </c>
      <c r="F12042" s="1" t="s">
        <v>17073</v>
      </c>
      <c r="G12042" s="1" t="s">
        <v>36</v>
      </c>
      <c r="H12042" s="1" t="s">
        <v>29</v>
      </c>
      <c r="I12042" s="1" t="str">
        <f ca="1">IFERROR(__xludf.DUMMYFUNCTION("GOOGLETRANSLATE(F12042, ""auto"", ""en"")
"),"The headphones are wonderful, I’ve been using them for three years now, and so far there have been no problems with them. Convenient, tangle-free wire, good sound and fit very comfortably, so your ears don’t get tired.")</f>
        <v>The headphones are wonderful, I’ve been using them for three years now, and so far there have been no problems with them. Convenient, tangle-free wire, good sound and fit very comfortably, so your ears don’t get tired.</v>
      </c>
    </row>
    <row r="12043" spans="1:9" x14ac:dyDescent="0.3">
      <c r="A12043" s="1" t="s">
        <v>149</v>
      </c>
      <c r="B12043" s="1" t="s">
        <v>423</v>
      </c>
      <c r="C12043" s="1" t="s">
        <v>314</v>
      </c>
      <c r="D12043" s="1" t="s">
        <v>75</v>
      </c>
      <c r="E12043" s="1" t="s">
        <v>3692</v>
      </c>
      <c r="F12043" s="1" t="s">
        <v>17074</v>
      </c>
      <c r="G12043" s="1" t="s">
        <v>36</v>
      </c>
      <c r="H12043" s="1" t="s">
        <v>29</v>
      </c>
      <c r="I12043" s="1" t="str">
        <f ca="1">IFERROR(__xludf.DUMMYFUNCTION("GOOGLETRANSLATE(F12043, ""auto"", ""en"")
"),"Very powerful. Cleans great.")</f>
        <v>Very powerful. Cleans great.</v>
      </c>
    </row>
    <row r="12044" spans="1:9" x14ac:dyDescent="0.3">
      <c r="A12044" s="1" t="s">
        <v>9</v>
      </c>
      <c r="B12044" s="1" t="s">
        <v>133</v>
      </c>
      <c r="C12044" s="1" t="s">
        <v>63</v>
      </c>
      <c r="D12044" s="1" t="s">
        <v>102</v>
      </c>
      <c r="E12044" s="1" t="s">
        <v>4008</v>
      </c>
      <c r="F12044" s="1" t="s">
        <v>17075</v>
      </c>
      <c r="G12044" s="1" t="s">
        <v>36</v>
      </c>
      <c r="H12044" s="1" t="s">
        <v>29</v>
      </c>
      <c r="I12044" s="1" t="str">
        <f ca="1">IFERROR(__xludf.DUMMYFUNCTION("GOOGLETRANSLATE(F12044, ""auto"", ""en"")
"),"As already mentioned above, appearance is everything. In this case this is true. It looks very impressive. I haven’t explored all the possibilities yet, but I’m quite happy with what I tried. One of the minuses is the lack of telescopic retractable grille"&amp;"s (I think for such money it should be the norm), but I bought this cabinet more for its appearance. Not the largest volume.")</f>
        <v>As already mentioned above, appearance is everything. In this case this is true. It looks very impressive. I haven’t explored all the possibilities yet, but I’m quite happy with what I tried. One of the minuses is the lack of telescopic retractable grilles (I think for such money it should be the norm), but I bought this cabinet more for its appearance. Not the largest volume.</v>
      </c>
    </row>
    <row r="12045" spans="1:9" x14ac:dyDescent="0.3">
      <c r="A12045" s="1" t="s">
        <v>61</v>
      </c>
      <c r="B12045" s="1" t="s">
        <v>726</v>
      </c>
      <c r="C12045" s="1" t="s">
        <v>85</v>
      </c>
      <c r="D12045" s="1" t="s">
        <v>474</v>
      </c>
      <c r="E12045" s="1" t="s">
        <v>2861</v>
      </c>
      <c r="F12045" s="1" t="s">
        <v>17076</v>
      </c>
      <c r="G12045" s="1" t="s">
        <v>36</v>
      </c>
      <c r="H12045" s="1" t="s">
        <v>29</v>
      </c>
      <c r="I12045" s="1" t="str">
        <f ca="1">IFERROR(__xludf.DUMMYFUNCTION("GOOGLETRANSLATE(F12045, ""auto"", ""en"")
"),"Bought it a week ago. The impression of it is good, the appearance is pleasant, it looks good, it kneads the dough well, everything is baked. The bread turns out beautiful and tasty. There is no smell of plastic. We are very glad that this brand was recom"&amp;"mended to us.")</f>
        <v>Bought it a week ago. The impression of it is good, the appearance is pleasant, it looks good, it kneads the dough well, everything is baked. The bread turns out beautiful and tasty. There is no smell of plastic. We are very glad that this brand was recommended to us.</v>
      </c>
    </row>
    <row r="12046" spans="1:9" x14ac:dyDescent="0.3">
      <c r="A12046" s="1" t="s">
        <v>120</v>
      </c>
      <c r="B12046" s="1" t="s">
        <v>126</v>
      </c>
      <c r="C12046" s="1" t="s">
        <v>80</v>
      </c>
      <c r="D12046" s="1" t="s">
        <v>17077</v>
      </c>
      <c r="E12046" s="1" t="s">
        <v>1586</v>
      </c>
      <c r="F12046" s="1" t="s">
        <v>17078</v>
      </c>
      <c r="G12046" s="1" t="s">
        <v>36</v>
      </c>
      <c r="H12046" s="1" t="s">
        <v>29</v>
      </c>
      <c r="I12046" s="1" t="str">
        <f ca="1">IFERROR(__xludf.DUMMYFUNCTION("GOOGLETRANSLATE(F12046, ""auto"", ""en"")
"),"Great TV!!! I got it about a month ago and I still can’t get enough of it :))) it reads all formats from a flash drive, and also ran it from a 1 TB removable hard drive. If you connect from a computer via an HD cable, the resolution is set to 1920*1080. T"&amp;"he quality of BR films is simply amazing. I recommend it to everyone!!!")</f>
        <v>Great TV!!! I got it about a month ago and I still can’t get enough of it :))) it reads all formats from a flash drive, and also ran it from a 1 TB removable hard drive. If you connect from a computer via an HD cable, the resolution is set to 1920*1080. The quality of BR films is simply amazing. I recommend it to everyone!!!</v>
      </c>
    </row>
    <row r="12047" spans="1:9" x14ac:dyDescent="0.3">
      <c r="A12047" s="1" t="s">
        <v>17</v>
      </c>
      <c r="B12047" s="1" t="s">
        <v>18</v>
      </c>
      <c r="C12047" s="1" t="s">
        <v>243</v>
      </c>
      <c r="D12047" s="1" t="s">
        <v>39</v>
      </c>
      <c r="E12047" s="1" t="s">
        <v>8945</v>
      </c>
      <c r="F12047" s="1" t="s">
        <v>17079</v>
      </c>
      <c r="G12047" s="1" t="s">
        <v>1580</v>
      </c>
      <c r="H12047" s="1" t="s">
        <v>29</v>
      </c>
      <c r="I12047" s="1" t="str">
        <f ca="1">IFERROR(__xludf.DUMMYFUNCTION("GOOGLETRANSLATE(F12047, ""auto"", ""en"")
"),"Reliable and compact")</f>
        <v>Reliable and compact</v>
      </c>
    </row>
    <row r="12048" spans="1:9" x14ac:dyDescent="0.3">
      <c r="A12048" s="1" t="s">
        <v>61</v>
      </c>
      <c r="B12048" s="1" t="s">
        <v>318</v>
      </c>
      <c r="C12048" s="1" t="s">
        <v>63</v>
      </c>
      <c r="D12048" s="1" t="s">
        <v>17080</v>
      </c>
      <c r="E12048" s="1" t="s">
        <v>17081</v>
      </c>
      <c r="F12048" s="1" t="s">
        <v>17082</v>
      </c>
      <c r="G12048" s="1" t="s">
        <v>36</v>
      </c>
      <c r="H12048" s="1" t="s">
        <v>29</v>
      </c>
      <c r="I12048" s="1" t="str">
        <f ca="1">IFERROR(__xludf.DUMMYFUNCTION("GOOGLETRANSLATE(F12048, ""auto"", ""en"")
"),"He has been serving us for two years. The handle is comfortable to hold, the design is excellent and the color is unusual")</f>
        <v>He has been serving us for two years. The handle is comfortable to hold, the design is excellent and the color is unusual</v>
      </c>
    </row>
    <row r="12049" spans="1:9" x14ac:dyDescent="0.3">
      <c r="A12049" s="1" t="s">
        <v>37</v>
      </c>
      <c r="B12049" s="1" t="s">
        <v>38</v>
      </c>
      <c r="C12049" s="1" t="s">
        <v>163</v>
      </c>
      <c r="D12049" s="1" t="s">
        <v>7879</v>
      </c>
      <c r="E12049" s="1" t="s">
        <v>2050</v>
      </c>
      <c r="F12049" s="1" t="s">
        <v>17083</v>
      </c>
      <c r="G12049" s="1" t="s">
        <v>15</v>
      </c>
      <c r="H12049" s="1" t="s">
        <v>16</v>
      </c>
      <c r="I12049" s="1" t="str">
        <f ca="1">IFERROR(__xludf.DUMMYFUNCTION("GOOGLETRANSLATE(F12049, ""auto"", ""en"")
"),"I've been using it for 5 days and am going to change it. in 70% of cases I don’t hear the subscriber, the sound floats and there is some gurgling and blocking. It's a pity, because... I really liked the design and functionality.")</f>
        <v>I've been using it for 5 days and am going to change it. in 70% of cases I don’t hear the subscriber, the sound floats and there is some gurgling and blocking. It's a pity, because... I really liked the design and functionality.</v>
      </c>
    </row>
    <row r="12050" spans="1:9" x14ac:dyDescent="0.3">
      <c r="A12050" s="1" t="s">
        <v>30</v>
      </c>
      <c r="B12050" s="1" t="s">
        <v>50</v>
      </c>
      <c r="C12050" s="1" t="s">
        <v>377</v>
      </c>
      <c r="D12050" s="1" t="s">
        <v>17084</v>
      </c>
      <c r="E12050" s="1" t="s">
        <v>750</v>
      </c>
      <c r="F12050" s="1" t="s">
        <v>17085</v>
      </c>
      <c r="G12050" s="1" t="s">
        <v>36</v>
      </c>
      <c r="H12050" s="1" t="s">
        <v>29</v>
      </c>
      <c r="I12050" s="1" t="str">
        <f ca="1">IFERROR(__xludf.DUMMYFUNCTION("GOOGLETRANSLATE(F12050, ""auto"", ""en"")
"),"Very cool laptop. I recommend it to everyone, the price is affordable and the quality is super. Still, “hp” speaks for itself! I've been using it for three weeks now, everything is great!")</f>
        <v>Very cool laptop. I recommend it to everyone, the price is affordable and the quality is super. Still, “hp” speaks for itself! I've been using it for three weeks now, everything is great!</v>
      </c>
    </row>
    <row r="12051" spans="1:9" x14ac:dyDescent="0.3">
      <c r="A12051" s="1" t="s">
        <v>120</v>
      </c>
      <c r="B12051" s="1" t="s">
        <v>126</v>
      </c>
      <c r="C12051" s="1" t="s">
        <v>151</v>
      </c>
      <c r="D12051" s="1" t="s">
        <v>17086</v>
      </c>
      <c r="E12051" s="1" t="s">
        <v>3203</v>
      </c>
      <c r="F12051" s="1" t="s">
        <v>17087</v>
      </c>
      <c r="G12051" s="1" t="s">
        <v>36</v>
      </c>
      <c r="H12051" s="1" t="s">
        <v>29</v>
      </c>
      <c r="I12051" s="1" t="str">
        <f ca="1">IFERROR(__xludf.DUMMYFUNCTION("GOOGLETRANSLATE(F12051, ""auto"", ""en"")
"),"Quote: In general, after rummaging through the TV and reading for 10 minutes. instructions, I realized that this is not a glitch at all. After 45 min. The software update starts in standby mode. Indeed, exactly after 45 minutes the TV turns on, a search f"&amp;"or new software occurs on the air, and if it is found, the installation begins, and if not found, the TV turns off. To get rid of it, do the following. Press Menu, select Support, then select software update. Next - update in dir. expectations. And select"&amp;" - Off. That's all. So before you take it to the warranty office, read the instructions. Good luck!")</f>
        <v>Quote: In general, after rummaging through the TV and reading for 10 minutes. instructions, I realized that this is not a glitch at all. After 45 min. The software update starts in standby mode. Indeed, exactly after 45 minutes the TV turns on, a search for new software occurs on the air, and if it is found, the installation begins, and if not found, the TV turns off. To get rid of it, do the following. Press Menu, select Support, then select software update. Next - update in dir. expectations. And select - Off. That's all. So before you take it to the warranty office, read the instructions. Good luck!</v>
      </c>
    </row>
    <row r="12052" spans="1:9" x14ac:dyDescent="0.3">
      <c r="A12052" s="1" t="s">
        <v>105</v>
      </c>
      <c r="B12052" s="1" t="s">
        <v>106</v>
      </c>
      <c r="C12052" s="1" t="s">
        <v>69</v>
      </c>
      <c r="D12052" s="1" t="s">
        <v>1542</v>
      </c>
      <c r="E12052" s="1" t="s">
        <v>5091</v>
      </c>
      <c r="F12052" s="1" t="s">
        <v>17088</v>
      </c>
      <c r="G12052" s="1" t="s">
        <v>28</v>
      </c>
      <c r="H12052" s="1" t="s">
        <v>29</v>
      </c>
      <c r="I12052" s="1" t="str">
        <f ca="1">IFERROR(__xludf.DUMMYFUNCTION("GOOGLETRANSLATE(F12052, ""auto"", ""en"")
"),"good and easy to use")</f>
        <v>good and easy to use</v>
      </c>
    </row>
    <row r="12053" spans="1:9" x14ac:dyDescent="0.3">
      <c r="A12053" s="1" t="s">
        <v>1823</v>
      </c>
      <c r="B12053" s="1" t="s">
        <v>1824</v>
      </c>
      <c r="C12053" s="1" t="s">
        <v>69</v>
      </c>
      <c r="D12053" s="1" t="s">
        <v>17089</v>
      </c>
      <c r="E12053" s="1" t="s">
        <v>6794</v>
      </c>
      <c r="F12053" s="1" t="s">
        <v>17090</v>
      </c>
      <c r="G12053" s="1" t="s">
        <v>49</v>
      </c>
      <c r="H12053" s="1" t="s">
        <v>16</v>
      </c>
      <c r="I12053" s="1" t="str">
        <f ca="1">IFERROR(__xludf.DUMMYFUNCTION("GOOGLETRANSLATE(F12053, ""auto"", ""en"")
"),"Large size and foldable")</f>
        <v>Large size and foldable</v>
      </c>
    </row>
    <row r="12054" spans="1:9" x14ac:dyDescent="0.3">
      <c r="A12054" s="1" t="s">
        <v>89</v>
      </c>
      <c r="B12054" s="1" t="s">
        <v>90</v>
      </c>
      <c r="C12054" s="1" t="s">
        <v>57</v>
      </c>
      <c r="D12054" s="1" t="s">
        <v>17091</v>
      </c>
      <c r="E12054" s="1" t="s">
        <v>7855</v>
      </c>
      <c r="F12054" s="1" t="s">
        <v>17092</v>
      </c>
      <c r="G12054" s="1" t="s">
        <v>36</v>
      </c>
      <c r="H12054" s="1" t="s">
        <v>29</v>
      </c>
      <c r="I12054" s="1" t="str">
        <f ca="1">IFERROR(__xludf.DUMMYFUNCTION("GOOGLETRANSLATE(F12054, ""auto"", ""en"")
"),"I am very pleased with this particular model of coffee grinder. Easy to use, grinds evenly and very finely. Easy to clean. Looks beautiful.")</f>
        <v>I am very pleased with this particular model of coffee grinder. Easy to use, grinds evenly and very finely. Easy to clean. Looks beautiful.</v>
      </c>
    </row>
    <row r="12055" spans="1:9" x14ac:dyDescent="0.3">
      <c r="A12055" s="1" t="s">
        <v>89</v>
      </c>
      <c r="B12055" s="1" t="s">
        <v>90</v>
      </c>
      <c r="C12055" s="1" t="s">
        <v>185</v>
      </c>
      <c r="D12055" s="1" t="s">
        <v>81</v>
      </c>
      <c r="E12055" s="1" t="s">
        <v>1051</v>
      </c>
      <c r="F12055" s="1" t="s">
        <v>17093</v>
      </c>
      <c r="G12055" s="1" t="s">
        <v>28</v>
      </c>
      <c r="H12055" s="1" t="s">
        <v>29</v>
      </c>
      <c r="I12055" s="1" t="str">
        <f ca="1">IFERROR(__xludf.DUMMYFUNCTION("GOOGLETRANSLATE(F12055, ""auto"", ""en"")
"),"About De Longhi KG 79 maybe someone will find it useful. I bought this device today. I really liked it: grinding, functionality. Doesn't make much noise. All lids click into place. But the body assembly is poor. Everything looks very flimsy, creaks when y"&amp;"ou press lightly with your fingers. And yes, I couldn’t help but be surprised by the lack of a basic outlet for the wire! The case stands on it, the only thing that saves it is the height of the legs, which is tick by tick +\\- micron. Almost satisfied.")</f>
        <v>About De Longhi KG 79 maybe someone will find it useful. I bought this device today. I really liked it: grinding, functionality. Doesn't make much noise. All lids click into place. But the body assembly is poor. Everything looks very flimsy, creaks when you press lightly with your fingers. And yes, I couldn’t help but be surprised by the lack of a basic outlet for the wire! The case stands on it, the only thing that saves it is the height of the legs, which is tick by tick +\\- micron. Almost satisfied.</v>
      </c>
    </row>
    <row r="12056" spans="1:9" x14ac:dyDescent="0.3">
      <c r="A12056" s="1" t="s">
        <v>9</v>
      </c>
      <c r="B12056" s="1" t="s">
        <v>133</v>
      </c>
      <c r="C12056" s="1" t="s">
        <v>870</v>
      </c>
      <c r="D12056" s="1" t="s">
        <v>1890</v>
      </c>
      <c r="E12056" s="1" t="s">
        <v>2518</v>
      </c>
      <c r="F12056" s="1" t="s">
        <v>17094</v>
      </c>
      <c r="G12056" s="1" t="s">
        <v>36</v>
      </c>
      <c r="H12056" s="1" t="s">
        <v>29</v>
      </c>
      <c r="I12056" s="1" t="str">
        <f ca="1">IFERROR(__xludf.DUMMYFUNCTION("GOOGLETRANSLATE(F12056, ""auto"", ""en"")
"),"just a dream!!! and grilled chicken, and pastries, and casseroles....in general, delicious!")</f>
        <v>just a dream!!! and grilled chicken, and pastries, and casseroles....in general, delicious!</v>
      </c>
    </row>
    <row r="12057" spans="1:9" x14ac:dyDescent="0.3">
      <c r="A12057" s="1" t="s">
        <v>105</v>
      </c>
      <c r="B12057" s="1" t="s">
        <v>106</v>
      </c>
      <c r="C12057" s="1" t="s">
        <v>151</v>
      </c>
      <c r="D12057" s="1" t="s">
        <v>4468</v>
      </c>
      <c r="E12057" s="1" t="s">
        <v>2348</v>
      </c>
      <c r="F12057" s="1" t="s">
        <v>17095</v>
      </c>
      <c r="G12057" s="1" t="s">
        <v>36</v>
      </c>
      <c r="H12057" s="1" t="s">
        <v>29</v>
      </c>
      <c r="I12057" s="1" t="str">
        <f ca="1">IFERROR(__xludf.DUMMYFUNCTION("GOOGLETRANSLATE(F12057, ""auto"", ""en"")
"),"The player is quite stylish, convenient and functional. The included headphones provide quite high-quality sound even at low frequencies (assuming that the included headphones are of low quality so as not to increase the overall cost of the player). The e"&amp;"qualizer settings are very pleasing; everyone can choose the optimal one for themselves. The sensor does not fail. The only drawback is that the stated operating time is clearly lower, although on average the operating time is not inferior to an i-pod or "&amp;"Walkman. Ideal for daily use. Samsung, as always, keeps its brand)))")</f>
        <v>The player is quite stylish, convenient and functional. The included headphones provide quite high-quality sound even at low frequencies (assuming that the included headphones are of low quality so as not to increase the overall cost of the player). The equalizer settings are very pleasing; everyone can choose the optimal one for themselves. The sensor does not fail. The only drawback is that the stated operating time is clearly lower, although on average the operating time is not inferior to an i-pod or Walkman. Ideal for daily use. Samsung, as always, keeps its brand)))</v>
      </c>
    </row>
    <row r="12058" spans="1:9" x14ac:dyDescent="0.3">
      <c r="A12058" s="1" t="s">
        <v>89</v>
      </c>
      <c r="B12058" s="1" t="s">
        <v>90</v>
      </c>
      <c r="C12058" s="1" t="s">
        <v>745</v>
      </c>
      <c r="D12058" s="1" t="s">
        <v>1008</v>
      </c>
      <c r="E12058" s="1" t="s">
        <v>5449</v>
      </c>
      <c r="F12058" s="1" t="s">
        <v>17096</v>
      </c>
      <c r="G12058" s="1" t="s">
        <v>49</v>
      </c>
      <c r="H12058" s="1" t="s">
        <v>16</v>
      </c>
      <c r="I12058" s="1" t="str">
        <f ca="1">IFERROR(__xludf.DUMMYFUNCTION("GOOGLETRANSLATE(F12058, ""auto"", ""en"")
"),"Broke after the first grind...")</f>
        <v>Broke after the first grind...</v>
      </c>
    </row>
    <row r="12059" spans="1:9" x14ac:dyDescent="0.3">
      <c r="A12059" s="1" t="s">
        <v>95</v>
      </c>
      <c r="B12059" s="1" t="s">
        <v>486</v>
      </c>
      <c r="C12059" s="1" t="s">
        <v>487</v>
      </c>
      <c r="D12059" s="1" t="s">
        <v>117</v>
      </c>
      <c r="E12059" s="1" t="s">
        <v>1929</v>
      </c>
      <c r="F12059" s="1" t="s">
        <v>17097</v>
      </c>
      <c r="G12059" s="1" t="s">
        <v>36</v>
      </c>
      <c r="H12059" s="1" t="s">
        <v>29</v>
      </c>
      <c r="I12059" s="1" t="str">
        <f ca="1">IFERROR(__xludf.DUMMYFUNCTION("GOOGLETRANSLATE(F12059, ""auto"", ""en"")
"),"Advantages: Cool graphics, Quiet, Chic, convenient Joystick and a lot more :-) Disadvantages: Except that it scratches a lot and the power supply is as healthy as a brick! :-) Comment: I was given this box for my birthday, now I can’t be happier :-), well"&amp;", I really liked the Game Fable III, in short, Microsoft did a great job creating a super Console and finalized Slimka Steel Much better than Fatki in terms of graphics.")</f>
        <v>Advantages: Cool graphics, Quiet, Chic, convenient Joystick and a lot more :-) Disadvantages: Except that it scratches a lot and the power supply is as healthy as a brick! :-) Comment: I was given this box for my birthday, now I can’t be happier :-), well, I really liked the Game Fable III, in short, Microsoft did a great job creating a super Console and finalized Slimka Steel Much better than Fatki in terms of graphics.</v>
      </c>
    </row>
    <row r="12060" spans="1:9" x14ac:dyDescent="0.3">
      <c r="A12060" s="1" t="s">
        <v>557</v>
      </c>
      <c r="B12060" s="1" t="s">
        <v>1977</v>
      </c>
      <c r="C12060" s="1" t="s">
        <v>369</v>
      </c>
      <c r="D12060" s="1" t="s">
        <v>326</v>
      </c>
      <c r="E12060" s="1" t="s">
        <v>1155</v>
      </c>
      <c r="F12060" s="1" t="s">
        <v>17098</v>
      </c>
      <c r="G12060" s="1" t="s">
        <v>36</v>
      </c>
      <c r="H12060" s="1" t="s">
        <v>29</v>
      </c>
      <c r="I12060" s="1" t="str">
        <f ca="1">IFERROR(__xludf.DUMMYFUNCTION("GOOGLETRANSLATE(F12060, ""auto"", ""en"")
"),"I took it for my mother, ended up keeping it for myself, and bought the same one for her. It’s just a very convenient model, suitable for those whose number is included in some database for advertisers. Personally, they constantly call me on weekends and "&amp;"at night - either they offer to use the Internet, or they offer to whiten my teeth. We're terribly tired. And here there is automatic caller ID. I dictate it to them, inform them that the call is recorded, and I will contact the prosecutor’s office, since"&amp;" it is a crime to call strangers in the middle of the night))) Or I simply don’t pick up the phone if the number is unknown to me. In addition to such a necessary function as Caller ID, there are many more pleasant moments - for example, a voluminous phon"&amp;"e book from which you can choose who to call, rather than entering numbers every time. Adjusting the ringer volume - I can finally turn off the sound at night, but still know who called in the morning. Naturally, there is redial with auto redial, and the "&amp;"phone is designed for calls in tone mode. I also really like that it records the time of the conversation, then you are not surprised by the phone bills, in general it teaches you to control yourself in chatting. There is a mount on the back to mount it o"&amp;"n the wall.")</f>
        <v>I took it for my mother, ended up keeping it for myself, and bought the same one for her. It’s just a very convenient model, suitable for those whose number is included in some database for advertisers. Personally, they constantly call me on weekends and at night - either they offer to use the Internet, or they offer to whiten my teeth. We're terribly tired. And here there is automatic caller ID. I dictate it to them, inform them that the call is recorded, and I will contact the prosecutor’s office, since it is a crime to call strangers in the middle of the night))) Or I simply don’t pick up the phone if the number is unknown to me. In addition to such a necessary function as Caller ID, there are many more pleasant moments - for example, a voluminous phone book from which you can choose who to call, rather than entering numbers every time. Adjusting the ringer volume - I can finally turn off the sound at night, but still know who called in the morning. Naturally, there is redial with auto redial, and the phone is designed for calls in tone mode. I also really like that it records the time of the conversation, then you are not surprised by the phone bills, in general it teaches you to control yourself in chatting. There is a mount on the back to mount it on the wall.</v>
      </c>
    </row>
    <row r="12061" spans="1:9" x14ac:dyDescent="0.3">
      <c r="A12061" s="1" t="s">
        <v>105</v>
      </c>
      <c r="B12061" s="1" t="s">
        <v>106</v>
      </c>
      <c r="C12061" s="1" t="s">
        <v>107</v>
      </c>
      <c r="D12061" s="1" t="s">
        <v>916</v>
      </c>
      <c r="E12061" s="1" t="s">
        <v>1129</v>
      </c>
      <c r="F12061" s="1" t="s">
        <v>17099</v>
      </c>
      <c r="G12061" s="1" t="s">
        <v>36</v>
      </c>
      <c r="H12061" s="1" t="s">
        <v>29</v>
      </c>
      <c r="I12061" s="1" t="str">
        <f ca="1">IFERROR(__xludf.DUMMYFUNCTION("GOOGLETRANSLATE(F12061, ""auto"", ""en"")
"),"I’ve been using the player for about 3 months now, the button works from the first press, the only problem is with video playback (the sound does not match the image), but it can be easily solved if you use a good converter.  In three months I have not re"&amp;"gretted the purchase even once. An excellent flash drive for such a price and it works without problems (if, of course, your hands grow from the right place).")</f>
        <v>I’ve been using the player for about 3 months now, the button works from the first press, the only problem is with video playback (the sound does not match the image), but it can be easily solved if you use a good converter.  In three months I have not regretted the purchase even once. An excellent flash drive for such a price and it works without problems (if, of course, your hands grow from the right place).</v>
      </c>
    </row>
    <row r="12062" spans="1:9" x14ac:dyDescent="0.3">
      <c r="A12062" s="1" t="s">
        <v>238</v>
      </c>
      <c r="B12062" s="1" t="s">
        <v>276</v>
      </c>
      <c r="C12062" s="1" t="s">
        <v>19</v>
      </c>
      <c r="D12062" s="1" t="s">
        <v>280</v>
      </c>
      <c r="E12062" s="1" t="s">
        <v>2120</v>
      </c>
      <c r="F12062" s="1" t="s">
        <v>17100</v>
      </c>
      <c r="G12062" s="1" t="s">
        <v>36</v>
      </c>
      <c r="H12062" s="1" t="s">
        <v>29</v>
      </c>
      <c r="I12062" s="1" t="str">
        <f ca="1">IFERROR(__xludf.DUMMYFUNCTION("GOOGLETRANSLATE(F12062, ""auto"", ""en"")
"),"It works like a charm, in 2 years I haven’t even defrosted it once.")</f>
        <v>It works like a charm, in 2 years I haven’t even defrosted it once.</v>
      </c>
    </row>
    <row r="12063" spans="1:9" x14ac:dyDescent="0.3">
      <c r="A12063" s="1" t="s">
        <v>169</v>
      </c>
      <c r="B12063" s="1" t="s">
        <v>170</v>
      </c>
      <c r="C12063" s="1" t="s">
        <v>69</v>
      </c>
      <c r="D12063" s="1" t="s">
        <v>52</v>
      </c>
      <c r="E12063" s="1" t="s">
        <v>563</v>
      </c>
      <c r="F12063" s="1" t="s">
        <v>17101</v>
      </c>
      <c r="G12063" s="1" t="s">
        <v>28</v>
      </c>
      <c r="H12063" s="1" t="s">
        <v>29</v>
      </c>
      <c r="I12063" s="1" t="str">
        <f ca="1">IFERROR(__xludf.DUMMYFUNCTION("GOOGLETRANSLATE(F12063, ""auto"", ""en"")
"),"The sound is quite good. I liked the fasteners, but I still don’t know how reliable they are. There is a minus: when listening to music, you can hear everything that is happening around. But for me this is not very important. Sometimes this is even a plus"&amp;". You hear your interlocutor and listen to music. But if you turn on the music louder, the problem will be solved, but not completely. These are not earplugs after all) They stay on the ears very tightly.")</f>
        <v>The sound is quite good. I liked the fasteners, but I still don’t know how reliable they are. There is a minus: when listening to music, you can hear everything that is happening around. But for me this is not very important. Sometimes this is even a plus. You hear your interlocutor and listen to music. But if you turn on the music louder, the problem will be solved, but not completely. These are not earplugs after all) They stay on the ears very tightly.</v>
      </c>
    </row>
    <row r="12064" spans="1:9" x14ac:dyDescent="0.3">
      <c r="A12064" s="1" t="s">
        <v>557</v>
      </c>
      <c r="B12064" s="1" t="s">
        <v>558</v>
      </c>
      <c r="C12064" s="1" t="s">
        <v>122</v>
      </c>
      <c r="D12064" s="1" t="s">
        <v>75</v>
      </c>
      <c r="E12064" s="1" t="s">
        <v>2061</v>
      </c>
      <c r="F12064" s="1" t="s">
        <v>17102</v>
      </c>
      <c r="G12064" s="1" t="s">
        <v>36</v>
      </c>
      <c r="H12064" s="1" t="s">
        <v>29</v>
      </c>
      <c r="I12064" s="1" t="str">
        <f ca="1">IFERROR(__xludf.DUMMYFUNCTION("GOOGLETRANSLATE(F12064, ""auto"", ""en"")
"),"We've been using it for 2 years. Everything suits me. It only detects one number, but the caller ID is ON in the handset; it was not set up at the station. We don’t need it. Good sound.")</f>
        <v>We've been using it for 2 years. Everything suits me. It only detects one number, but the caller ID is ON in the handset; it was not set up at the station. We don’t need it. Good sound.</v>
      </c>
    </row>
    <row r="12065" spans="1:9" x14ac:dyDescent="0.3">
      <c r="A12065" s="1" t="s">
        <v>211</v>
      </c>
      <c r="B12065" s="1" t="s">
        <v>212</v>
      </c>
      <c r="C12065" s="1" t="s">
        <v>381</v>
      </c>
      <c r="D12065" s="1" t="s">
        <v>471</v>
      </c>
      <c r="E12065" s="1" t="s">
        <v>8793</v>
      </c>
      <c r="F12065" s="1" t="s">
        <v>17103</v>
      </c>
      <c r="G12065" s="1" t="s">
        <v>28</v>
      </c>
      <c r="H12065" s="1" t="s">
        <v>29</v>
      </c>
      <c r="I12065" s="1" t="str">
        <f ca="1">IFERROR(__xludf.DUMMYFUNCTION("GOOGLETRANSLATE(F12065, ""auto"", ""en"")
"),"I have been using this hairdryer for more than three years. The hair is capricious, curly and frizzy, waist-length. At first it was uncomfortable, it seemed a little heavy, I couldn’t get used to switching rotations, installation took a huge amount of tim"&amp;"e, sometimes an hour, many more. After a couple of weeks, everything became fine, the hair was tamed, now it is flowing silk, and not the head of a gorgon jellyfish mixed with a dandelion, and in just 15-20 minutes. It curls the ends wonderfully, makes be"&amp;"autiful soft curls, I'm happy with the result. Now about the cons. Firstly, the fastening of the brushes became loose. They did not start to fall out, but during the styling process the hair periodically chewed. Extremely unpleasant. Secondly, the rotatio"&amp;"n speed switch stopped working, something came loose there. I had to insert a small piece of paper and squeeze it. Well, lately it has started to get very hot and my hair is drying out. So I'm thinking about replacing it. And the hairdryer is 4+. Not idea"&amp;"l, but not terrible either, compared to some models.")</f>
        <v>I have been using this hairdryer for more than three years. The hair is capricious, curly and frizzy, waist-length. At first it was uncomfortable, it seemed a little heavy, I couldn’t get used to switching rotations, installation took a huge amount of time, sometimes an hour, many more. After a couple of weeks, everything became fine, the hair was tamed, now it is flowing silk, and not the head of a gorgon jellyfish mixed with a dandelion, and in just 15-20 minutes. It curls the ends wonderfully, makes beautiful soft curls, I'm happy with the result. Now about the cons. Firstly, the fastening of the brushes became loose. They did not start to fall out, but during the styling process the hair periodically chewed. Extremely unpleasant. Secondly, the rotation speed switch stopped working, something came loose there. I had to insert a small piece of paper and squeeze it. Well, lately it has started to get very hot and my hair is drying out. So I'm thinking about replacing it. And the hairdryer is 4+. Not ideal, but not terrible either, compared to some models.</v>
      </c>
    </row>
    <row r="12066" spans="1:9" x14ac:dyDescent="0.3">
      <c r="A12066" s="1" t="s">
        <v>369</v>
      </c>
      <c r="B12066" s="1" t="s">
        <v>587</v>
      </c>
      <c r="C12066" s="1" t="s">
        <v>290</v>
      </c>
      <c r="D12066" s="1" t="s">
        <v>545</v>
      </c>
      <c r="E12066" s="1" t="s">
        <v>6562</v>
      </c>
      <c r="F12066" s="1" t="s">
        <v>17104</v>
      </c>
      <c r="G12066" s="1" t="s">
        <v>36</v>
      </c>
      <c r="H12066" s="1" t="s">
        <v>29</v>
      </c>
      <c r="I12066" s="1" t="str">
        <f ca="1">IFERROR(__xludf.DUMMYFUNCTION("GOOGLETRANSLATE(F12066, ""auto"", ""en"")
"),"Great stove! I've been using it for six months. I saw it on this site. After traveling around the city, I returned to this stove. This cooker has all the latest bells and whistles. Great oven! I bake all the time now. The family is happy.  Caring for the "&amp;"stove is not difficult; it is quite easy to keep it in excellent condition. I didn't quite like the burner with the triple row of flames. Water gets inside the burner itself, etc. Problems with cleaning this burner, but nothing more. On such a burner, wat"&amp;"er in a large saucepan boils very quickly.   Another nuance is that the auto-ignition works on all burners at once, but I don’t pay attention to this now either.  In general, everything in the stove is convenient, I’m happy with my purchase.")</f>
        <v>Great stove! I've been using it for six months. I saw it on this site. After traveling around the city, I returned to this stove. This cooker has all the latest bells and whistles. Great oven! I bake all the time now. The family is happy.  Caring for the stove is not difficult; it is quite easy to keep it in excellent condition. I didn't quite like the burner with the triple row of flames. Water gets inside the burner itself, etc. Problems with cleaning this burner, but nothing more. On such a burner, water in a large saucepan boils very quickly.   Another nuance is that the auto-ignition works on all burners at once, but I don’t pay attention to this now either.  In general, everything in the stove is convenient, I’m happy with my purchase.</v>
      </c>
    </row>
    <row r="12067" spans="1:9" x14ac:dyDescent="0.3">
      <c r="A12067" s="1" t="s">
        <v>43</v>
      </c>
      <c r="B12067" s="1" t="s">
        <v>303</v>
      </c>
      <c r="C12067" s="1" t="s">
        <v>10226</v>
      </c>
      <c r="D12067" s="1" t="s">
        <v>280</v>
      </c>
      <c r="E12067" s="1" t="s">
        <v>128</v>
      </c>
      <c r="F12067" s="1" t="s">
        <v>17105</v>
      </c>
      <c r="G12067" s="1" t="s">
        <v>15</v>
      </c>
      <c r="H12067" s="1" t="s">
        <v>16</v>
      </c>
      <c r="I12067" s="1" t="str">
        <f ca="1">IFERROR(__xludf.DUMMYFUNCTION("GOOGLETRANSLATE(F12067, ""auto"", ""en"")
"),"The kit does not include a power cord. And the most important thing is that the supply pipes to which the piping must be connected are closed with a plastic cover so that it is impossible to connect the shut-off valves directly to these pipes. Pay attenti"&amp;"on to this when purchasing and look at how the lid is made on other heaters.")</f>
        <v>The kit does not include a power cord. And the most important thing is that the supply pipes to which the piping must be connected are closed with a plastic cover so that it is impossible to connect the shut-off valves directly to these pipes. Pay attention to this when purchasing and look at how the lid is made on other heaters.</v>
      </c>
    </row>
    <row r="12068" spans="1:9" x14ac:dyDescent="0.3">
      <c r="A12068" s="1" t="s">
        <v>67</v>
      </c>
      <c r="B12068" s="1" t="s">
        <v>340</v>
      </c>
      <c r="C12068" s="1" t="s">
        <v>341</v>
      </c>
      <c r="D12068" s="1" t="s">
        <v>2217</v>
      </c>
      <c r="E12068" s="1" t="s">
        <v>543</v>
      </c>
      <c r="F12068" s="1" t="s">
        <v>17106</v>
      </c>
      <c r="G12068" s="1" t="s">
        <v>28</v>
      </c>
      <c r="H12068" s="1" t="s">
        <v>29</v>
      </c>
      <c r="I12068" s="1" t="str">
        <f ca="1">IFERROR(__xludf.DUMMYFUNCTION("GOOGLETRANSLATE(F12068, ""auto"", ""en"")
"),"I bought it yesterday after an hour of testing and the light bulb on the machine burned out. It sews not bad, but it’s a little tight, maybe we’re just doing something wrong, but in general it’s not bad. It’s good for beginners to learn.")</f>
        <v>I bought it yesterday after an hour of testing and the light bulb on the machine burned out. It sews not bad, but it’s a little tight, maybe we’re just doing something wrong, but in general it’s not bad. It’s good for beginners to learn.</v>
      </c>
    </row>
    <row r="12069" spans="1:9" x14ac:dyDescent="0.3">
      <c r="A12069" s="1" t="s">
        <v>9</v>
      </c>
      <c r="B12069" s="1" t="s">
        <v>23</v>
      </c>
      <c r="C12069" s="1" t="s">
        <v>63</v>
      </c>
      <c r="D12069" s="1" t="s">
        <v>742</v>
      </c>
      <c r="E12069" s="1" t="s">
        <v>13707</v>
      </c>
      <c r="F12069" s="1" t="s">
        <v>17107</v>
      </c>
      <c r="G12069" s="1" t="s">
        <v>36</v>
      </c>
      <c r="H12069" s="1" t="s">
        <v>29</v>
      </c>
      <c r="I12069" s="1" t="str">
        <f ca="1">IFERROR(__xludf.DUMMYFUNCTION("GOOGLETRANSLATE(F12069, ""auto"", ""en"")
"),"It's a test car, my wife is happy, it washes and dries everything perfectly, even carbon deposits, it has all the necessary indicators, I installed it myself, nothing complicated, I chose it for a long time, I looked at it, I read about it and I was not d"&amp;"isappointed, in short, I recommend it. You don't need a dishwasher - say those who don't have one!!!")</f>
        <v>It's a test car, my wife is happy, it washes and dries everything perfectly, even carbon deposits, it has all the necessary indicators, I installed it myself, nothing complicated, I chose it for a long time, I looked at it, I read about it and I was not disappointed, in short, I recommend it. You don't need a dishwasher - say those who don't have one!!!</v>
      </c>
    </row>
    <row r="12070" spans="1:9" x14ac:dyDescent="0.3">
      <c r="A12070" s="1" t="s">
        <v>211</v>
      </c>
      <c r="B12070" s="1" t="s">
        <v>212</v>
      </c>
      <c r="C12070" s="1" t="s">
        <v>381</v>
      </c>
      <c r="D12070" s="1" t="s">
        <v>521</v>
      </c>
      <c r="E12070" s="1" t="s">
        <v>140</v>
      </c>
      <c r="F12070" s="1" t="s">
        <v>17108</v>
      </c>
      <c r="G12070" s="1" t="s">
        <v>36</v>
      </c>
      <c r="H12070" s="1" t="s">
        <v>29</v>
      </c>
      <c r="I12070" s="1" t="str">
        <f ca="1">IFERROR(__xludf.DUMMYFUNCTION("GOOGLETRANSLATE(F12070, ""auto"", ""en"")
"),"I was given a hairdryer yesterday, I tried it today and I was very pleased! It’s great - you dry your hair and at the same time massage your head (thanks to the moving fingers)! I have long, heavy hair and it can be difficult to achieve volume when drying"&amp;", but this hair dryer did a +5 job! very powerful, by the way! I hope he will continue to make me happy!")</f>
        <v>I was given a hairdryer yesterday, I tried it today and I was very pleased! It’s great - you dry your hair and at the same time massage your head (thanks to the moving fingers)! I have long, heavy hair and it can be difficult to achieve volume when drying, but this hair dryer did a +5 job! very powerful, by the way! I hope he will continue to make me happy!</v>
      </c>
    </row>
    <row r="12071" spans="1:9" x14ac:dyDescent="0.3">
      <c r="A12071" s="1" t="s">
        <v>477</v>
      </c>
      <c r="B12071" s="1" t="s">
        <v>478</v>
      </c>
      <c r="C12071" s="1" t="s">
        <v>479</v>
      </c>
      <c r="D12071" s="1" t="s">
        <v>17109</v>
      </c>
      <c r="E12071" s="1" t="s">
        <v>3266</v>
      </c>
      <c r="F12071" s="1" t="s">
        <v>17110</v>
      </c>
      <c r="G12071" s="1" t="s">
        <v>36</v>
      </c>
      <c r="H12071" s="1" t="s">
        <v>29</v>
      </c>
      <c r="I12071" s="1" t="str">
        <f ca="1">IFERROR(__xludf.DUMMYFUNCTION("GOOGLETRANSLATE(F12071, ""auto"", ""en"")
"),"Cool game, I recommend playing if you like to tickle your nerves")</f>
        <v>Cool game, I recommend playing if you like to tickle your nerves</v>
      </c>
    </row>
    <row r="12072" spans="1:9" x14ac:dyDescent="0.3">
      <c r="A12072" s="1" t="s">
        <v>95</v>
      </c>
      <c r="B12072" s="1" t="s">
        <v>486</v>
      </c>
      <c r="C12072" s="1" t="s">
        <v>487</v>
      </c>
      <c r="D12072" s="1" t="s">
        <v>17111</v>
      </c>
      <c r="E12072" s="1" t="s">
        <v>3080</v>
      </c>
      <c r="F12072" s="1" t="s">
        <v>17112</v>
      </c>
      <c r="G12072" s="1" t="s">
        <v>36</v>
      </c>
      <c r="H12072" s="1" t="s">
        <v>29</v>
      </c>
      <c r="I12072" s="1" t="str">
        <f ca="1">IFERROR(__xludf.DUMMYFUNCTION("GOOGLETRANSLATE(F12072, ""auto"", ""en"")
"),"what a cool thing they'll give you for the new year")</f>
        <v>what a cool thing they'll give you for the new year</v>
      </c>
    </row>
    <row r="12073" spans="1:9" x14ac:dyDescent="0.3">
      <c r="A12073" s="1" t="s">
        <v>120</v>
      </c>
      <c r="B12073" s="1" t="s">
        <v>1205</v>
      </c>
      <c r="C12073" s="1" t="s">
        <v>1430</v>
      </c>
      <c r="D12073" s="1" t="s">
        <v>17113</v>
      </c>
      <c r="E12073" s="1" t="s">
        <v>980</v>
      </c>
      <c r="F12073" s="1" t="s">
        <v>17114</v>
      </c>
      <c r="G12073" s="1" t="s">
        <v>28</v>
      </c>
      <c r="H12073" s="1" t="s">
        <v>29</v>
      </c>
      <c r="I12073" s="1" t="str">
        <f ca="1">IFERROR(__xludf.DUMMYFUNCTION("GOOGLETRANSLATE(F12073, ""auto"", ""en"")
"),"The broadcasting quality is excellent, the menu is clear and very friendly, the only negative is of course the dish diameter of 0.6 meters is too small for 4 mpeg, you need to change it to at least 0.9 and with a mechanism for fine adjustment of the angle"&amp;", otherwise it is very difficult to adjust it yourself even with the help of a satellite finder, because no matter how good the signal is when tightening the bolts and nuts, it wanders, and when setting up the antenna, do not believe the phrase in the pas"&amp;"sport about circular polarization, you will also have to turn the head slightly to the side, and not as it is written in the passport, with the connector straight down, and immediately Satfindr also buy the cheapest switch.")</f>
        <v>The broadcasting quality is excellent, the menu is clear and very friendly, the only negative is of course the dish diameter of 0.6 meters is too small for 4 mpeg, you need to change it to at least 0.9 and with a mechanism for fine adjustment of the angle, otherwise it is very difficult to adjust it yourself even with the help of a satellite finder, because no matter how good the signal is when tightening the bolts and nuts, it wanders, and when setting up the antenna, do not believe the phrase in the passport about circular polarization, you will also have to turn the head slightly to the side, and not as it is written in the passport, with the connector straight down, and immediately Satfindr also buy the cheapest switch.</v>
      </c>
    </row>
    <row r="12074" spans="1:9" x14ac:dyDescent="0.3">
      <c r="A12074" s="1" t="s">
        <v>111</v>
      </c>
      <c r="B12074" s="1" t="s">
        <v>112</v>
      </c>
      <c r="C12074" s="1" t="s">
        <v>113</v>
      </c>
      <c r="D12074" s="1" t="s">
        <v>280</v>
      </c>
      <c r="E12074" s="1" t="s">
        <v>5894</v>
      </c>
      <c r="F12074" s="1" t="s">
        <v>17115</v>
      </c>
      <c r="G12074" s="1" t="s">
        <v>36</v>
      </c>
      <c r="H12074" s="1" t="s">
        <v>29</v>
      </c>
      <c r="I12074" s="1" t="str">
        <f ca="1">IFERROR(__xludf.DUMMYFUNCTION("GOOGLETRANSLATE(F12074, ""auto"", ""en"")
"),"Especially for Lyudmila and Irina. You should understand for what purpose you are using the device. Pilot Single is primarily a long-term automatic protection device against low and high voltage. This device automatically goes into protection (turns off t"&amp;"he power) when the voltage is below 180 V and above 255 V. When the voltage normalizes, it automatically turns on the power. This device is not suitable for protection against pulsed surges of voltage (current), because provides mostly protection for itse"&amp;"lf and only partially for equipment, as described in the specifications: max. dissipated energy is only 250 J. And protection against surges in it is only between phase and zero. Phase-Earth and Earth-Zero are not protected.  Lyudmila should have bought a"&amp;" Pilot Bit surge filter, which has the best surge protection: max. diss. en. 1300 J, maximum pulse current 40000 Ampere.")</f>
        <v>Especially for Lyudmila and Irina. You should understand for what purpose you are using the device. Pilot Single is primarily a long-term automatic protection device against low and high voltage. This device automatically goes into protection (turns off the power) when the voltage is below 180 V and above 255 V. When the voltage normalizes, it automatically turns on the power. This device is not suitable for protection against pulsed surges of voltage (current), because provides mostly protection for itself and only partially for equipment, as described in the specifications: max. dissipated energy is only 250 J. And protection against surges in it is only between phase and zero. Phase-Earth and Earth-Zero are not protected.  Lyudmila should have bought a Pilot Bit surge filter, which has the best surge protection: max. diss. en. 1300 J, maximum pulse current 40000 Ampere.</v>
      </c>
    </row>
    <row r="12075" spans="1:9" x14ac:dyDescent="0.3">
      <c r="A12075" s="1" t="s">
        <v>61</v>
      </c>
      <c r="B12075" s="1" t="s">
        <v>318</v>
      </c>
      <c r="C12075" s="1" t="s">
        <v>246</v>
      </c>
      <c r="D12075" s="1" t="s">
        <v>17116</v>
      </c>
      <c r="E12075" s="1" t="s">
        <v>1929</v>
      </c>
      <c r="F12075" s="1" t="s">
        <v>17117</v>
      </c>
      <c r="G12075" s="1" t="s">
        <v>36</v>
      </c>
      <c r="H12075" s="1" t="s">
        <v>29</v>
      </c>
      <c r="I12075" s="1" t="str">
        <f ca="1">IFERROR(__xludf.DUMMYFUNCTION("GOOGLETRANSLATE(F12075, ""auto"", ""en"")
"),"a good kettle, looks like a bright “baby” :), the plastic is strong, without a specific plastic smell, it works for about 2 years, no malfunctions were observed, the spout is convenient, a stream of water flows straight into the mug, otherwise the old ket"&amp;"tle not only poured water into the mug, but also onto the table.")</f>
        <v>a good kettle, looks like a bright “baby” :), the plastic is strong, without a specific plastic smell, it works for about 2 years, no malfunctions were observed, the spout is convenient, a stream of water flows straight into the mug, otherwise the old kettle not only poured water into the mug, but also onto the table.</v>
      </c>
    </row>
    <row r="12076" spans="1:9" x14ac:dyDescent="0.3">
      <c r="A12076" s="1" t="s">
        <v>61</v>
      </c>
      <c r="B12076" s="1" t="s">
        <v>180</v>
      </c>
      <c r="C12076" s="1" t="s">
        <v>69</v>
      </c>
      <c r="D12076" s="1" t="s">
        <v>52</v>
      </c>
      <c r="E12076" s="1" t="s">
        <v>15716</v>
      </c>
      <c r="F12076" s="1" t="s">
        <v>17118</v>
      </c>
      <c r="G12076" s="1" t="s">
        <v>36</v>
      </c>
      <c r="H12076" s="1" t="s">
        <v>29</v>
      </c>
      <c r="I12076" s="1" t="str">
        <f ca="1">IFERROR(__xludf.DUMMYFUNCTION("GOOGLETRANSLATE(F12076, ""auto"", ""en"")
"),"It has been in service for more than 3 years.  Simple, convenient, cheap.  There is no point in buying a toaster for a lot of money.  I recommend it to everyone!")</f>
        <v>It has been in service for more than 3 years.  Simple, convenient, cheap.  There is no point in buying a toaster for a lot of money.  I recommend it to everyone!</v>
      </c>
    </row>
    <row r="12077" spans="1:9" x14ac:dyDescent="0.3">
      <c r="A12077" s="1" t="s">
        <v>211</v>
      </c>
      <c r="B12077" s="1" t="s">
        <v>515</v>
      </c>
      <c r="C12077" s="1" t="s">
        <v>381</v>
      </c>
      <c r="D12077" s="1" t="s">
        <v>75</v>
      </c>
      <c r="E12077" s="1" t="s">
        <v>4925</v>
      </c>
      <c r="F12077" s="1" t="s">
        <v>17119</v>
      </c>
      <c r="G12077" s="1" t="s">
        <v>94</v>
      </c>
      <c r="H12077" s="1" t="s">
        <v>29</v>
      </c>
      <c r="I12077" s="1" t="str">
        <f ca="1">IFERROR(__xludf.DUMMYFUNCTION("GOOGLETRANSLATE(F12077, ""auto"", ""en"")
"),"Epilates quite smoothly, the backlight is a significant plus, easy to use")</f>
        <v>Epilates quite smoothly, the backlight is a significant plus, easy to use</v>
      </c>
    </row>
    <row r="12078" spans="1:9" x14ac:dyDescent="0.3">
      <c r="A12078" s="1" t="s">
        <v>9</v>
      </c>
      <c r="B12078" s="1" t="s">
        <v>10</v>
      </c>
      <c r="C12078" s="1" t="s">
        <v>4759</v>
      </c>
      <c r="D12078" s="1" t="s">
        <v>17120</v>
      </c>
      <c r="E12078" s="1" t="s">
        <v>4780</v>
      </c>
      <c r="F12078" s="1" t="s">
        <v>17121</v>
      </c>
      <c r="G12078" s="1" t="s">
        <v>36</v>
      </c>
      <c r="H12078" s="1" t="s">
        <v>29</v>
      </c>
      <c r="I12078" s="1" t="str">
        <f ca="1">IFERROR(__xludf.DUMMYFUNCTION("GOOGLETRANSLATE(F12078, ""auto"", ""en"")
"),"Very beautiful hood! We hid the main part of the air vent in the body of the furniture and only a glass arch is brought out, it looks very elegant and does not weigh on your head. Bright lighting illuminates the entire work area, not just the surface of t"&amp;"he stove. Effectively copes with fat, steam, the smell of fried oil and food, etc. It cleans the air perfectly, it’s convenient when it’s cold outside and there’s a small child in the house to ventilate in this way. It is not particularly loud; with the d"&amp;"oor to the kitchen closed, it is practically inaudible in other rooms. There are four operating speeds of different power and noise; when cooking soup, the lowest one is sufficient. The control panel has an indicator of the current operation and the degre"&amp;"e of filter clogging; when cleaning is necessary, a light comes on. The filter meshes are easy to remove and install back; I clean them with a brush and not very often.")</f>
        <v>Very beautiful hood! We hid the main part of the air vent in the body of the furniture and only a glass arch is brought out, it looks very elegant and does not weigh on your head. Bright lighting illuminates the entire work area, not just the surface of the stove. Effectively copes with fat, steam, the smell of fried oil and food, etc. It cleans the air perfectly, it’s convenient when it’s cold outside and there’s a small child in the house to ventilate in this way. It is not particularly loud; with the door to the kitchen closed, it is practically inaudible in other rooms. There are four operating speeds of different power and noise; when cooking soup, the lowest one is sufficient. The control panel has an indicator of the current operation and the degree of filter clogging; when cleaning is necessary, a light comes on. The filter meshes are easy to remove and install back; I clean them with a brush and not very often.</v>
      </c>
    </row>
    <row r="12079" spans="1:9" x14ac:dyDescent="0.3">
      <c r="A12079" s="1" t="s">
        <v>206</v>
      </c>
      <c r="B12079" s="1" t="s">
        <v>207</v>
      </c>
      <c r="C12079" s="1" t="s">
        <v>97</v>
      </c>
      <c r="D12079" s="1" t="s">
        <v>152</v>
      </c>
      <c r="E12079" s="1" t="s">
        <v>626</v>
      </c>
      <c r="F12079" s="1" t="s">
        <v>17122</v>
      </c>
      <c r="G12079" s="1" t="s">
        <v>36</v>
      </c>
      <c r="H12079" s="1" t="s">
        <v>29</v>
      </c>
      <c r="I12079" s="1" t="str">
        <f ca="1">IFERROR(__xludf.DUMMYFUNCTION("GOOGLETRANSLATE(F12079, ""auto"", ""en"")
"),"An excellent sub is worth the money, it's 100%!!! It sits in the 9th place with a Blaupunkt GTA 475 in a 300 W bridge, it pumps so much that your hair stands on end, the pressure is decent, the bass is clear and not smeared, the very comfortable case does"&amp;" not take up a lot of space. I am very pleased with them and recommend them to everyone!!!")</f>
        <v>An excellent sub is worth the money, it's 100%!!! It sits in the 9th place with a Blaupunkt GTA 475 in a 300 W bridge, it pumps so much that your hair stands on end, the pressure is decent, the bass is clear and not smeared, the very comfortable case does not take up a lot of space. I am very pleased with them and recommend them to everyone!!!</v>
      </c>
    </row>
    <row r="12080" spans="1:9" x14ac:dyDescent="0.3">
      <c r="A12080" s="1" t="s">
        <v>149</v>
      </c>
      <c r="B12080" s="1" t="s">
        <v>423</v>
      </c>
      <c r="C12080" s="1" t="s">
        <v>531</v>
      </c>
      <c r="D12080" s="1" t="s">
        <v>3253</v>
      </c>
      <c r="E12080" s="1" t="s">
        <v>13291</v>
      </c>
      <c r="F12080" s="1" t="s">
        <v>17123</v>
      </c>
      <c r="G12080" s="1" t="s">
        <v>36</v>
      </c>
      <c r="H12080" s="1" t="s">
        <v>29</v>
      </c>
      <c r="I12080" s="1" t="str">
        <f ca="1">IFERROR(__xludf.DUMMYFUNCTION("GOOGLETRANSLATE(F12080, ""auto"", ""en"")
"),"A huge plus is that it includes all types of cleaning, compact, light and powerful ")</f>
        <v xml:space="preserve">A huge plus is that it includes all types of cleaning, compact, light and powerful </v>
      </c>
    </row>
    <row r="12081" spans="1:9" x14ac:dyDescent="0.3">
      <c r="A12081" s="1" t="s">
        <v>61</v>
      </c>
      <c r="B12081" s="1" t="s">
        <v>73</v>
      </c>
      <c r="C12081" s="1" t="s">
        <v>146</v>
      </c>
      <c r="D12081" s="1" t="s">
        <v>81</v>
      </c>
      <c r="E12081" s="1" t="s">
        <v>1816</v>
      </c>
      <c r="F12081" s="1" t="s">
        <v>17124</v>
      </c>
      <c r="G12081" s="1" t="s">
        <v>36</v>
      </c>
      <c r="H12081" s="1" t="s">
        <v>29</v>
      </c>
      <c r="I12081" s="1" t="str">
        <f ca="1">IFERROR(__xludf.DUMMYFUNCTION("GOOGLETRANSLATE(F12081, ""auto"", ""en"")
"),"I bought this model, I am completely satisfied, everything works. Cool attachment for cooking sausage. We made minced meat of different diameters, 3 grates included, + a book with recipes, I learned a lot of new things.")</f>
        <v>I bought this model, I am completely satisfied, everything works. Cool attachment for cooking sausage. We made minced meat of different diameters, 3 grates included, + a book with recipes, I learned a lot of new things.</v>
      </c>
    </row>
    <row r="12082" spans="1:9" x14ac:dyDescent="0.3">
      <c r="A12082" s="1" t="s">
        <v>61</v>
      </c>
      <c r="B12082" s="1" t="s">
        <v>977</v>
      </c>
      <c r="C12082" s="1" t="s">
        <v>85</v>
      </c>
      <c r="D12082" s="1" t="s">
        <v>565</v>
      </c>
      <c r="E12082" s="1" t="s">
        <v>6028</v>
      </c>
      <c r="F12082" s="1" t="s">
        <v>17125</v>
      </c>
      <c r="G12082" s="1" t="s">
        <v>36</v>
      </c>
      <c r="H12082" s="1" t="s">
        <v>29</v>
      </c>
      <c r="I12082" s="1" t="str">
        <f ca="1">IFERROR(__xludf.DUMMYFUNCTION("GOOGLETRANSLATE(F12082, ""auto"", ""en"")
"),"Great mixer! We've been using it for the second year and successfully pampering ourselves with all sorts of goodies... The meringue whips up just right!  A little expensive, of course, but the machine is super!")</f>
        <v>Great mixer! We've been using it for the second year and successfully pampering ourselves with all sorts of goodies... The meringue whips up just right!  A little expensive, of course, but the machine is super!</v>
      </c>
    </row>
    <row r="12083" spans="1:9" x14ac:dyDescent="0.3">
      <c r="A12083" s="1" t="s">
        <v>149</v>
      </c>
      <c r="B12083" s="1" t="s">
        <v>576</v>
      </c>
      <c r="C12083" s="1" t="s">
        <v>69</v>
      </c>
      <c r="D12083" s="1" t="s">
        <v>52</v>
      </c>
      <c r="E12083" s="1" t="s">
        <v>8535</v>
      </c>
      <c r="F12083" s="1" t="s">
        <v>17126</v>
      </c>
      <c r="G12083" s="1" t="s">
        <v>36</v>
      </c>
      <c r="H12083" s="1" t="s">
        <v>29</v>
      </c>
      <c r="I12083" s="1" t="str">
        <f ca="1">IFERROR(__xludf.DUMMYFUNCTION("GOOGLETRANSLATE(F12083, ""auto"", ""en"")
"),"The most powerful, the quietest, there are no analogues. Perfectly vacuums carpets like new after every cleaning. The kit includes a turbo brush that perfectly collects cat hair!!!")</f>
        <v>The most powerful, the quietest, there are no analogues. Perfectly vacuums carpets like new after every cleaning. The kit includes a turbo brush that perfectly collects cat hair!!!</v>
      </c>
    </row>
    <row r="12084" spans="1:9" x14ac:dyDescent="0.3">
      <c r="A12084" s="1" t="s">
        <v>89</v>
      </c>
      <c r="B12084" s="1" t="s">
        <v>231</v>
      </c>
      <c r="C12084" s="1" t="s">
        <v>185</v>
      </c>
      <c r="D12084" s="1" t="s">
        <v>64</v>
      </c>
      <c r="E12084" s="1" t="s">
        <v>2919</v>
      </c>
      <c r="F12084" s="1" t="s">
        <v>17127</v>
      </c>
      <c r="G12084" s="1" t="s">
        <v>1580</v>
      </c>
      <c r="H12084" s="1" t="s">
        <v>29</v>
      </c>
      <c r="I12084" s="1" t="str">
        <f ca="1">IFERROR(__xludf.DUMMYFUNCTION("GOOGLETRANSLATE(F12084, ""auto"", ""en"")
"),"unpretentiousness, cappuccino maker, European quality, you can find spare parts for any unit")</f>
        <v>unpretentiousness, cappuccino maker, European quality, you can find spare parts for any unit</v>
      </c>
    </row>
    <row r="12085" spans="1:9" x14ac:dyDescent="0.3">
      <c r="A12085" s="1" t="s">
        <v>61</v>
      </c>
      <c r="B12085" s="1" t="s">
        <v>318</v>
      </c>
      <c r="C12085" s="1" t="s">
        <v>85</v>
      </c>
      <c r="D12085" s="1" t="s">
        <v>52</v>
      </c>
      <c r="E12085" s="1" t="s">
        <v>1849</v>
      </c>
      <c r="F12085" s="1" t="s">
        <v>17128</v>
      </c>
      <c r="G12085" s="1" t="s">
        <v>36</v>
      </c>
      <c r="H12085" s="1" t="s">
        <v>29</v>
      </c>
      <c r="I12085" s="1" t="str">
        <f ca="1">IFERROR(__xludf.DUMMYFUNCTION("GOOGLETRANSLATE(F12085, ""auto"", ""en"")
"),"It’s love at first sight, if you can say so))) And there was no longer any doubt that I would buy, the design is gorgeous, it’s impossible to look away, and when I found out that it can, all doubts even about its huge price faded into the background. Only"&amp;" now I appreciated the taste of green tea, I never liked it because of the bitter taste, but how could I achieve 80-90 degrees on gas or in a regular electric kettle and not miss time??? Quiet, I read a review here that it rattles, makes noise, jumps, etc"&amp;". I laughed heartily))) If you have the opportunity or don’t mind the money (I bought it on a cool installment plan), buy it and enjoy the tea party, good luck and good luck to everyone.")</f>
        <v>It’s love at first sight, if you can say so))) And there was no longer any doubt that I would buy, the design is gorgeous, it’s impossible to look away, and when I found out that it can, all doubts even about its huge price faded into the background. Only now I appreciated the taste of green tea, I never liked it because of the bitter taste, but how could I achieve 80-90 degrees on gas or in a regular electric kettle and not miss time??? Quiet, I read a review here that it rattles, makes noise, jumps, etc. I laughed heartily))) If you have the opportunity or don’t mind the money (I bought it on a cool installment plan), buy it and enjoy the tea party, good luck and good luck to everyone.</v>
      </c>
    </row>
    <row r="12086" spans="1:9" x14ac:dyDescent="0.3">
      <c r="A12086" s="1" t="s">
        <v>67</v>
      </c>
      <c r="B12086" s="1" t="s">
        <v>68</v>
      </c>
      <c r="C12086" s="1" t="s">
        <v>246</v>
      </c>
      <c r="D12086" s="1" t="s">
        <v>64</v>
      </c>
      <c r="E12086" s="1" t="s">
        <v>661</v>
      </c>
      <c r="F12086" s="1" t="s">
        <v>17129</v>
      </c>
      <c r="G12086" s="1" t="s">
        <v>36</v>
      </c>
      <c r="H12086" s="1" t="s">
        <v>29</v>
      </c>
      <c r="I12086" s="1" t="str">
        <f ca="1">IFERROR(__xludf.DUMMYFUNCTION("GOOGLETRANSLATE(F12086, ""auto"", ""en"")
"),"I used this iron for a year until my apartment was robbed and this iron was also stolen. I chose a lot on the Internet, read reviews and went and bought the same one again.")</f>
        <v>I used this iron for a year until my apartment was robbed and this iron was also stolen. I chose a lot on the Internet, read reviews and went and bought the same one again.</v>
      </c>
    </row>
    <row r="12087" spans="1:9" x14ac:dyDescent="0.3">
      <c r="A12087" s="1" t="s">
        <v>30</v>
      </c>
      <c r="B12087" s="1" t="s">
        <v>50</v>
      </c>
      <c r="C12087" s="1" t="s">
        <v>1003</v>
      </c>
      <c r="D12087" s="1" t="s">
        <v>2137</v>
      </c>
      <c r="E12087" s="1" t="s">
        <v>3454</v>
      </c>
      <c r="F12087" s="1" t="s">
        <v>17130</v>
      </c>
      <c r="G12087" s="1" t="s">
        <v>49</v>
      </c>
      <c r="H12087" s="1" t="s">
        <v>16</v>
      </c>
      <c r="I12087" s="1" t="str">
        <f ca="1">IFERROR(__xludf.DUMMYFUNCTION("GOOGLETRANSLATE(F12087, ""auto"", ""en"")
"),"a month after the purchase, the hardware died, it heats up - horror, a friend has the same problem, in general I don’t recommend buying it, it’s just a waste of time, the service department didn’t repair it.")</f>
        <v>a month after the purchase, the hardware died, it heats up - horror, a friend has the same problem, in general I don’t recommend buying it, it’s just a waste of time, the service department didn’t repair it.</v>
      </c>
    </row>
    <row r="12088" spans="1:9" x14ac:dyDescent="0.3">
      <c r="A12088" s="1" t="s">
        <v>361</v>
      </c>
      <c r="B12088" s="1" t="s">
        <v>362</v>
      </c>
      <c r="C12088" s="1" t="s">
        <v>561</v>
      </c>
      <c r="D12088" s="1" t="s">
        <v>2045</v>
      </c>
      <c r="E12088" s="1" t="s">
        <v>2348</v>
      </c>
      <c r="F12088" s="1" t="s">
        <v>17131</v>
      </c>
      <c r="G12088" s="1" t="s">
        <v>49</v>
      </c>
      <c r="H12088" s="1" t="s">
        <v>16</v>
      </c>
      <c r="I12088" s="1" t="str">
        <f ca="1">IFERROR(__xludf.DUMMYFUNCTION("GOOGLETRANSLATE(F12088, ""auto"", ""en"")
"),"The grater is simply terrible, the knives are crooked, the holder is inconvenient, everything falls out and does not cut completely and has an incomprehensible shape, which is natural with its design, it is heavy, inconvenient to use, it is simply a usele"&amp;"ss monster in the kitchen (((.. Do not buy it under any circumstances, it is impossible to use..")</f>
        <v>The grater is simply terrible, the knives are crooked, the holder is inconvenient, everything falls out and does not cut completely and has an incomprehensible shape, which is natural with its design, it is heavy, inconvenient to use, it is simply a useless monster in the kitchen (((.. Do not buy it under any circumstances, it is impossible to use..</v>
      </c>
    </row>
    <row r="12089" spans="1:9" x14ac:dyDescent="0.3">
      <c r="A12089" s="1" t="s">
        <v>30</v>
      </c>
      <c r="B12089" s="1" t="s">
        <v>31</v>
      </c>
      <c r="C12089" s="1" t="s">
        <v>32</v>
      </c>
      <c r="D12089" s="1" t="s">
        <v>152</v>
      </c>
      <c r="E12089" s="1" t="s">
        <v>540</v>
      </c>
      <c r="F12089" s="1" t="s">
        <v>17132</v>
      </c>
      <c r="G12089" s="1" t="s">
        <v>28</v>
      </c>
      <c r="H12089" s="1" t="s">
        <v>29</v>
      </c>
      <c r="I12089" s="1" t="str">
        <f ca="1">IFERROR(__xludf.DUMMYFUNCTION("GOOGLETRANSLATE(F12089, ""auto"", ""en"")
"),"Complete nonsense! Sergey, apparently neither you nor, unfortunately, the managers are aware of this device at all. In general, the atom is almost idle during the playback process, if the video stream speed is less than 60MB\s (BD players have 32, by the "&amp;"way), then everything will be fine - without jerks and freezes, the 9400 chipset (this is exactly nVidia ION) takes on this task, with hardware decoding it takes on everything that is optimized for CUDA - this is application processing using the GPU.  I h"&amp;"ave already looked at a bunch of tests and I myself know that this is excluded. (the second comment is adequate, although I still love Asus).  In my opinion, his W7 rating is 3.0, which is quite enough for decent office work.")</f>
        <v>Complete nonsense! Sergey, apparently neither you nor, unfortunately, the managers are aware of this device at all. In general, the atom is almost idle during the playback process, if the video stream speed is less than 60MB\s (BD players have 32, by the way), then everything will be fine - without jerks and freezes, the 9400 chipset (this is exactly nVidia ION) takes on this task, with hardware decoding it takes on everything that is optimized for CUDA - this is application processing using the GPU.  I have already looked at a bunch of tests and I myself know that this is excluded. (the second comment is adequate, although I still love Asus).  In my opinion, his W7 rating is 3.0, which is quite enough for decent office work.</v>
      </c>
    </row>
    <row r="12090" spans="1:9" x14ac:dyDescent="0.3">
      <c r="A12090" s="1" t="s">
        <v>9</v>
      </c>
      <c r="B12090" s="1" t="s">
        <v>10</v>
      </c>
      <c r="C12090" s="1" t="s">
        <v>466</v>
      </c>
      <c r="D12090" s="1" t="s">
        <v>919</v>
      </c>
      <c r="E12090" s="1" t="s">
        <v>511</v>
      </c>
      <c r="F12090" s="1" t="s">
        <v>17133</v>
      </c>
      <c r="G12090" s="1" t="s">
        <v>28</v>
      </c>
      <c r="H12090" s="1" t="s">
        <v>29</v>
      </c>
      <c r="I12090" s="1" t="str">
        <f ca="1">IFERROR(__xludf.DUMMYFUNCTION("GOOGLETRANSLATE(F12090, ""auto"", ""en"")
"),"I read the instructions several times, but in this thin brochure there is not the slightest hint of a malfunction in the display or the letter “C”!!!   Apparently some comrades want to seem smart, but cannot give practical advice))) At first speed, extran"&amp;"eous noise is also heard, but this is apparently a problem with this model, which comes with time (described in a review about a similar stainless steel hood).  I’ve been using this “miracle” for almost a year now, and I can still give it a solid 4!")</f>
        <v>I read the instructions several times, but in this thin brochure there is not the slightest hint of a malfunction in the display or the letter “C”!!!   Apparently some comrades want to seem smart, but cannot give practical advice))) At first speed, extraneous noise is also heard, but this is apparently a problem with this model, which comes with time (described in a review about a similar stainless steel hood).  I’ve been using this “miracle” for almost a year now, and I can still give it a solid 4!</v>
      </c>
    </row>
    <row r="12091" spans="1:9" x14ac:dyDescent="0.3">
      <c r="A12091" s="1" t="s">
        <v>169</v>
      </c>
      <c r="B12091" s="1" t="s">
        <v>170</v>
      </c>
      <c r="C12091" s="1" t="s">
        <v>69</v>
      </c>
      <c r="D12091" s="1" t="s">
        <v>152</v>
      </c>
      <c r="E12091" s="1" t="s">
        <v>1115</v>
      </c>
      <c r="F12091" s="1" t="s">
        <v>17134</v>
      </c>
      <c r="G12091" s="1" t="s">
        <v>28</v>
      </c>
      <c r="H12091" s="1" t="s">
        <v>29</v>
      </c>
      <c r="I12091" s="1" t="str">
        <f ca="1">IFERROR(__xludf.DUMMYFUNCTION("GOOGLETRANSLATE(F12091, ""auto"", ""en"")
"),"Pros: good, fits comfortably on the head.  good sound, good bass.  Of the minuses: I used it for a year, after which the mount broke, since the material is plastic. In principle, a common, but correctable case for this type of “ears”.  In general, they wo"&amp;"rk out their price 100%.")</f>
        <v>Pros: good, fits comfortably on the head.  good sound, good bass.  Of the minuses: I used it for a year, after which the mount broke, since the material is plastic. In principle, a common, but correctable case for this type of “ears”.  In general, they work out their price 100%.</v>
      </c>
    </row>
    <row r="12092" spans="1:9" x14ac:dyDescent="0.3">
      <c r="A12092" s="1" t="s">
        <v>120</v>
      </c>
      <c r="B12092" s="1" t="s">
        <v>196</v>
      </c>
      <c r="C12092" s="1" t="s">
        <v>658</v>
      </c>
      <c r="D12092" s="1" t="s">
        <v>4812</v>
      </c>
      <c r="E12092" s="1" t="s">
        <v>1275</v>
      </c>
      <c r="F12092" s="1" t="s">
        <v>17135</v>
      </c>
      <c r="G12092" s="1" t="s">
        <v>36</v>
      </c>
      <c r="H12092" s="1" t="s">
        <v>29</v>
      </c>
      <c r="I12092" s="1" t="str">
        <f ca="1">IFERROR(__xludf.DUMMYFUNCTION("GOOGLETRANSLATE(F12092, ""auto"", ""en"")
"),"I consider this TV to be the best in its price category. Compared: Philips 7404; sharp lx600; panasonic v10(plasma), toshiba zv635. In the end, I chose the Toshiba zv635 - not a single TV, not even an LED TV, could compare with it in terms of contrast and"&amp;" brightness (in the price range up to 50 thousand rubles)")</f>
        <v>I consider this TV to be the best in its price category. Compared: Philips 7404; sharp lx600; panasonic v10(plasma), toshiba zv635. In the end, I chose the Toshiba zv635 - not a single TV, not even an LED TV, could compare with it in terms of contrast and brightness (in the price range up to 50 thousand rubles)</v>
      </c>
    </row>
    <row r="12093" spans="1:9" x14ac:dyDescent="0.3">
      <c r="A12093" s="1" t="s">
        <v>43</v>
      </c>
      <c r="B12093" s="1" t="s">
        <v>303</v>
      </c>
      <c r="C12093" s="1" t="s">
        <v>304</v>
      </c>
      <c r="D12093" s="1" t="s">
        <v>17136</v>
      </c>
      <c r="E12093" s="1" t="s">
        <v>4789</v>
      </c>
      <c r="F12093" s="1" t="s">
        <v>17137</v>
      </c>
      <c r="G12093" s="1" t="s">
        <v>28</v>
      </c>
      <c r="H12093" s="1" t="s">
        <v>29</v>
      </c>
      <c r="I12093" s="1" t="str">
        <f ca="1">IFERROR(__xludf.DUMMYFUNCTION("GOOGLETRANSLATE(F12093, ""auto"", ""en"")
"),"price ease of installation and operation")</f>
        <v>price ease of installation and operation</v>
      </c>
    </row>
    <row r="12094" spans="1:9" x14ac:dyDescent="0.3">
      <c r="A12094" s="1" t="s">
        <v>105</v>
      </c>
      <c r="B12094" s="1" t="s">
        <v>106</v>
      </c>
      <c r="C12094" s="1" t="s">
        <v>1209</v>
      </c>
      <c r="D12094" s="1" t="s">
        <v>3596</v>
      </c>
      <c r="E12094" s="1" t="s">
        <v>661</v>
      </c>
      <c r="F12094" s="1" t="s">
        <v>17138</v>
      </c>
      <c r="G12094" s="1" t="s">
        <v>49</v>
      </c>
      <c r="H12094" s="1" t="s">
        <v>16</v>
      </c>
      <c r="I12094" s="1" t="str">
        <f ca="1">IFERROR(__xludf.DUMMYFUNCTION("GOOGLETRANSLATE(F12094, ""auto"", ""en"")
"),"I bought the player 2 days ago, charged it, downloaded video and music... It froze and did not respond to anything... I'm going to return it")</f>
        <v>I bought the player 2 days ago, charged it, downloaded video and music... It froze and did not respond to anything... I'm going to return it</v>
      </c>
    </row>
    <row r="12095" spans="1:9" x14ac:dyDescent="0.3">
      <c r="A12095" s="1" t="s">
        <v>37</v>
      </c>
      <c r="B12095" s="1" t="s">
        <v>536</v>
      </c>
      <c r="C12095" s="1" t="s">
        <v>163</v>
      </c>
      <c r="D12095" s="1" t="s">
        <v>729</v>
      </c>
      <c r="E12095" s="1" t="s">
        <v>2059</v>
      </c>
      <c r="F12095" s="1" t="s">
        <v>17139</v>
      </c>
      <c r="G12095" s="1" t="s">
        <v>36</v>
      </c>
      <c r="H12095" s="1" t="s">
        <v>29</v>
      </c>
      <c r="I12095" s="1" t="str">
        <f ca="1">IFERROR(__xludf.DUMMYFUNCTION("GOOGLETRANSLATE(F12095, ""auto"", ""en"")
"),"Cool phone! Buy it and don’t hesitate, there are a lot of functions, the camera is normal.")</f>
        <v>Cool phone! Buy it and don’t hesitate, there are a lot of functions, the camera is normal.</v>
      </c>
    </row>
    <row r="12096" spans="1:9" x14ac:dyDescent="0.3">
      <c r="A12096" s="1" t="s">
        <v>9</v>
      </c>
      <c r="B12096" s="1" t="s">
        <v>10</v>
      </c>
      <c r="C12096" s="1" t="s">
        <v>407</v>
      </c>
      <c r="D12096" s="1" t="s">
        <v>247</v>
      </c>
      <c r="E12096" s="1" t="s">
        <v>8932</v>
      </c>
      <c r="F12096" s="1" t="s">
        <v>17140</v>
      </c>
      <c r="G12096" s="1" t="s">
        <v>49</v>
      </c>
      <c r="H12096" s="1" t="s">
        <v>16</v>
      </c>
      <c r="I12096" s="1" t="str">
        <f ca="1">IFERROR(__xludf.DUMMYFUNCTION("GOOGLETRANSLATE(F12096, ""auto"", ""en"")
"),"It worked perfectly for exactly a year, the warranty has expired - the backlight burned out, and even in the workshop they don’t know how to replace it.")</f>
        <v>It worked perfectly for exactly a year, the warranty has expired - the backlight burned out, and even in the workshop they don’t know how to replace it.</v>
      </c>
    </row>
    <row r="12097" spans="1:9" x14ac:dyDescent="0.3">
      <c r="A12097" s="1" t="s">
        <v>61</v>
      </c>
      <c r="B12097" s="1" t="s">
        <v>977</v>
      </c>
      <c r="C12097" s="1" t="s">
        <v>63</v>
      </c>
      <c r="D12097" s="1" t="s">
        <v>64</v>
      </c>
      <c r="E12097" s="1" t="s">
        <v>6312</v>
      </c>
      <c r="F12097" s="1" t="s">
        <v>17141</v>
      </c>
      <c r="G12097" s="1" t="s">
        <v>36</v>
      </c>
      <c r="H12097" s="1" t="s">
        <v>29</v>
      </c>
      <c r="I12097" s="1" t="str">
        <f ca="1">IFERROR(__xludf.DUMMYFUNCTION("GOOGLETRANSLATE(F12097, ""auto"", ""en"")
"),"Made in Slovenia, no worse than German. I praise it for: a durable body, low noise, the bowl rotates, the augers and whisks thoroughly whip and mix the contents, bringing it to a homogeneous mass, everything is easily transformed, the ability to use an ad"&amp;"ditional blender attachment, the cord length is almost 1.5 m (will reach any outlet), there is nothing superfluous in the device - everything is functional and necessary, an interesting design. The thing is worthwhile, you have to take it!!!!!")</f>
        <v>Made in Slovenia, no worse than German. I praise it for: a durable body, low noise, the bowl rotates, the augers and whisks thoroughly whip and mix the contents, bringing it to a homogeneous mass, everything is easily transformed, the ability to use an additional blender attachment, the cord length is almost 1.5 m (will reach any outlet), there is nothing superfluous in the device - everything is functional and necessary, an interesting design. The thing is worthwhile, you have to take it!!!!!</v>
      </c>
    </row>
    <row r="12098" spans="1:9" x14ac:dyDescent="0.3">
      <c r="A12098" s="1" t="s">
        <v>67</v>
      </c>
      <c r="B12098" s="1" t="s">
        <v>340</v>
      </c>
      <c r="C12098" s="1" t="s">
        <v>341</v>
      </c>
      <c r="D12098" s="1" t="s">
        <v>474</v>
      </c>
      <c r="E12098" s="1" t="s">
        <v>1984</v>
      </c>
      <c r="F12098" s="1" t="s">
        <v>17142</v>
      </c>
      <c r="G12098" s="1" t="s">
        <v>49</v>
      </c>
      <c r="H12098" s="1" t="s">
        <v>16</v>
      </c>
      <c r="I12098" s="1" t="str">
        <f ca="1">IFERROR(__xludf.DUMMYFUNCTION("GOOGLETRANSLATE(F12098, ""auto"", ""en"")
"),"Disgusting machine! I bought it 2 years ago. At the beginning I rarely sewed, but now that I need to sew often and a lot, I realized what a nightmare it is! No matter how you change the thread tension, it is always the same. Either the fabric will snag, t"&amp;"hen the thread, or it will just hang. In general, 5 minutes of sewing on it turns into a half-hour war at best. I do not advise anyone to buy it!")</f>
        <v>Disgusting machine! I bought it 2 years ago. At the beginning I rarely sewed, but now that I need to sew often and a lot, I realized what a nightmare it is! No matter how you change the thread tension, it is always the same. Either the fabric will snag, then the thread, or it will just hang. In general, 5 minutes of sewing on it turns into a half-hour war at best. I do not advise anyone to buy it!</v>
      </c>
    </row>
    <row r="12099" spans="1:9" x14ac:dyDescent="0.3">
      <c r="A12099" s="1" t="s">
        <v>557</v>
      </c>
      <c r="B12099" s="1" t="s">
        <v>558</v>
      </c>
      <c r="C12099" s="1" t="s">
        <v>122</v>
      </c>
      <c r="D12099" s="1" t="s">
        <v>17143</v>
      </c>
      <c r="E12099" s="1" t="s">
        <v>3002</v>
      </c>
      <c r="F12099" s="1" t="s">
        <v>17144</v>
      </c>
      <c r="G12099" s="1" t="s">
        <v>28</v>
      </c>
      <c r="H12099" s="1" t="s">
        <v>29</v>
      </c>
      <c r="I12099" s="1" t="str">
        <f ca="1">IFERROR(__xludf.DUMMYFUNCTION("GOOGLETRANSLATE(F12099, ""auto"", ""en"")
"),"In general, for the money it’s a very good device. There are only a couple of disadvantages: 1. There is no speakerphone 2. There are a lot of languages, but unfortunately there is no Russian ;)) And so the rating is 4+!!!")</f>
        <v>In general, for the money it’s a very good device. There are only a couple of disadvantages: 1. There is no speakerphone 2. There are a lot of languages, but unfortunately there is no Russian ;)) And so the rating is 4+!!!</v>
      </c>
    </row>
    <row r="12100" spans="1:9" x14ac:dyDescent="0.3">
      <c r="A12100" s="1" t="s">
        <v>211</v>
      </c>
      <c r="B12100" s="1" t="s">
        <v>212</v>
      </c>
      <c r="C12100" s="1" t="s">
        <v>381</v>
      </c>
      <c r="D12100" s="1" t="s">
        <v>64</v>
      </c>
      <c r="E12100" s="1" t="s">
        <v>3404</v>
      </c>
      <c r="F12100" s="1" t="s">
        <v>17145</v>
      </c>
      <c r="G12100" s="1" t="s">
        <v>28</v>
      </c>
      <c r="H12100" s="1" t="s">
        <v>29</v>
      </c>
      <c r="I12100" s="1" t="str">
        <f ca="1">IFERROR(__xludf.DUMMYFUNCTION("GOOGLETRANSLATE(F12100, ""auto"", ""en"")
"),"Today I made up my mind and bought this styler, my hair has grown, so I decided that I will curl and do my hair, the first time I curled, I burned myself, but this is most likely due to the fact that I am not used to electric curling irons, I usually curl"&amp;" my hair with a hair dryer with a round brush, and it’s difficult to get burned, apparently, you just need to get used to it, but it really heats up very quickly, curls quickly, I especially liked the attachment, which It’s a little flat, these curls come"&amp;" out good, the corrugation is also very good.")</f>
        <v>Today I made up my mind and bought this styler, my hair has grown, so I decided that I will curl and do my hair, the first time I curled, I burned myself, but this is most likely due to the fact that I am not used to electric curling irons, I usually curl my hair with a hair dryer with a round brush, and it’s difficult to get burned, apparently, you just need to get used to it, but it really heats up very quickly, curls quickly, I especially liked the attachment, which It’s a little flat, these curls come out good, the corrugation is also very good.</v>
      </c>
    </row>
    <row r="12101" spans="1:9" x14ac:dyDescent="0.3">
      <c r="A12101" s="1" t="s">
        <v>61</v>
      </c>
      <c r="B12101" s="1" t="s">
        <v>180</v>
      </c>
      <c r="C12101" s="1" t="s">
        <v>246</v>
      </c>
      <c r="D12101" s="1" t="s">
        <v>295</v>
      </c>
      <c r="E12101" s="1" t="s">
        <v>6469</v>
      </c>
      <c r="F12101" s="1" t="s">
        <v>17146</v>
      </c>
      <c r="G12101" s="1" t="s">
        <v>15</v>
      </c>
      <c r="H12101" s="1" t="s">
        <v>16</v>
      </c>
      <c r="I12101" s="1" t="str">
        <f ca="1">IFERROR(__xludf.DUMMYFUNCTION("GOOGLETRANSLATE(F12101, ""auto"", ""en"")
"),"The bread does not fry evenly, and the handle broke, you had to press it hard, the plastic part just fell off from the metal (((and the bread crumbs did not want to fly out and got stuck in the body((")</f>
        <v>The bread does not fry evenly, and the handle broke, you had to press it hard, the plastic part just fell off from the metal (((and the bread crumbs did not want to fly out and got stuck in the body((</v>
      </c>
    </row>
    <row r="12102" spans="1:9" x14ac:dyDescent="0.3">
      <c r="A12102" s="1" t="s">
        <v>9</v>
      </c>
      <c r="B12102" s="1" t="s">
        <v>137</v>
      </c>
      <c r="C12102" s="1" t="s">
        <v>466</v>
      </c>
      <c r="D12102" s="1" t="s">
        <v>1506</v>
      </c>
      <c r="E12102" s="1" t="s">
        <v>6763</v>
      </c>
      <c r="F12102" s="1" t="s">
        <v>17147</v>
      </c>
      <c r="G12102" s="1" t="s">
        <v>28</v>
      </c>
      <c r="H12102" s="1" t="s">
        <v>29</v>
      </c>
      <c r="I12102" s="1" t="str">
        <f ca="1">IFERROR(__xludf.DUMMYFUNCTION("GOOGLETRANSLATE(F12102, ""auto"", ""en"")
"),"I've been using this for almost a year now. Everything is great. Both electric ignition and gas control - everything works like clockwork. I especially like the slow fire feature. But it immediately became clear that aesthetically it would not please me. "&amp;"Even the softest fabric leaves scratches; the panel cannot be rubbed. Within a month, all the signs around the knobs and the logo were washed off from special products for stainless steel. I took care of it as best I could, but its appearance was greatly "&amp;"damaged!")</f>
        <v>I've been using this for almost a year now. Everything is great. Both electric ignition and gas control - everything works like clockwork. I especially like the slow fire feature. But it immediately became clear that aesthetically it would not please me. Even the softest fabric leaves scratches; the panel cannot be rubbed. Within a month, all the signs around the knobs and the logo were washed off from special products for stainless steel. I took care of it as best I could, but its appearance was greatly damaged!</v>
      </c>
    </row>
    <row r="12103" spans="1:9" x14ac:dyDescent="0.3">
      <c r="A12103" s="1" t="s">
        <v>105</v>
      </c>
      <c r="B12103" s="1" t="s">
        <v>106</v>
      </c>
      <c r="C12103" s="1" t="s">
        <v>1526</v>
      </c>
      <c r="D12103" s="1" t="s">
        <v>545</v>
      </c>
      <c r="E12103" s="1" t="s">
        <v>1139</v>
      </c>
      <c r="F12103" s="1" t="s">
        <v>17148</v>
      </c>
      <c r="G12103" s="1" t="s">
        <v>36</v>
      </c>
      <c r="H12103" s="1" t="s">
        <v>29</v>
      </c>
      <c r="I12103" s="1" t="str">
        <f ca="1">IFERROR(__xludf.DUMMYFUNCTION("GOOGLETRANSLATE(F12103, ""auto"", ""en"")
"),"I just bought it today, but I’m already delighted! There are a lot of pros, but I haven’t found any cons yet!!! But something is not clear with the instructions! And I recommend it to everyone! It’s wonderful!")</f>
        <v>I just bought it today, but I’m already delighted! There are a lot of pros, but I haven’t found any cons yet!!! But something is not clear with the instructions! And I recommend it to everyone! It’s wonderful!</v>
      </c>
    </row>
    <row r="12104" spans="1:9" x14ac:dyDescent="0.3">
      <c r="A12104" s="1" t="s">
        <v>43</v>
      </c>
      <c r="B12104" s="1" t="s">
        <v>303</v>
      </c>
      <c r="C12104" s="1" t="s">
        <v>220</v>
      </c>
      <c r="D12104" s="1" t="s">
        <v>305</v>
      </c>
      <c r="E12104" s="1" t="s">
        <v>6824</v>
      </c>
      <c r="F12104" s="1" t="s">
        <v>17149</v>
      </c>
      <c r="G12104" s="1" t="s">
        <v>49</v>
      </c>
      <c r="H12104" s="1" t="s">
        <v>16</v>
      </c>
      <c r="I12104" s="1" t="str">
        <f ca="1">IFERROR(__xludf.DUMMYFUNCTION("GOOGLETRANSLATE(F12104, ""auto"", ""en"")
"),"Unreliable heating elements and electronics. It broke down twice. THE TENS ARE MADE FROM BLACK METAL, SO THEY ARE COVERED WITH RUST INSIDE AND STOP WORKING.   DISPOSABLE ELECTRONICS.  DO NOT BUY THIS WATER HEATER!!!  DON'T MAKE A MISTAKE!!!")</f>
        <v>Unreliable heating elements and electronics. It broke down twice. THE TENS ARE MADE FROM BLACK METAL, SO THEY ARE COVERED WITH RUST INSIDE AND STOP WORKING.   DISPOSABLE ELECTRONICS.  DO NOT BUY THIS WATER HEATER!!!  DON'T MAKE A MISTAKE!!!</v>
      </c>
    </row>
    <row r="12105" spans="1:9" x14ac:dyDescent="0.3">
      <c r="A12105" s="1" t="s">
        <v>9</v>
      </c>
      <c r="B12105" s="1" t="s">
        <v>10</v>
      </c>
      <c r="C12105" s="1" t="s">
        <v>407</v>
      </c>
      <c r="D12105" s="1" t="s">
        <v>280</v>
      </c>
      <c r="E12105" s="1" t="s">
        <v>608</v>
      </c>
      <c r="F12105" s="1" t="s">
        <v>17150</v>
      </c>
      <c r="G12105" s="1" t="s">
        <v>28</v>
      </c>
      <c r="H12105" s="1" t="s">
        <v>29</v>
      </c>
      <c r="I12105" s="1" t="str">
        <f ca="1">IFERROR(__xludf.DUMMYFUNCTION("GOOGLETRANSLATE(F12105, ""auto"", ""en"")
"),"Very nice and powerful hood. One minus: I began to live my own life. Sometimes it turns on on its own, but you can only turn it off by unplugging the cord from the outlet (the sensors do not respond).")</f>
        <v>Very nice and powerful hood. One minus: I began to live my own life. Sometimes it turns on on its own, but you can only turn it off by unplugging the cord from the outlet (the sensors do not respond).</v>
      </c>
    </row>
    <row r="12106" spans="1:9" x14ac:dyDescent="0.3">
      <c r="A12106" s="1" t="s">
        <v>149</v>
      </c>
      <c r="B12106" s="1" t="s">
        <v>150</v>
      </c>
      <c r="C12106" s="1" t="s">
        <v>314</v>
      </c>
      <c r="D12106" s="1" t="s">
        <v>2764</v>
      </c>
      <c r="E12106" s="1" t="s">
        <v>1228</v>
      </c>
      <c r="F12106" s="1" t="s">
        <v>17151</v>
      </c>
      <c r="G12106" s="1" t="s">
        <v>36</v>
      </c>
      <c r="H12106" s="1" t="s">
        <v>29</v>
      </c>
      <c r="I12106" s="1" t="str">
        <f ca="1">IFERROR(__xludf.DUMMYFUNCTION("GOOGLETRANSLATE(F12106, ""auto"", ""en"")
"),"The problem is finding a replacement HEPA filter.")</f>
        <v>The problem is finding a replacement HEPA filter.</v>
      </c>
    </row>
    <row r="12107" spans="1:9" x14ac:dyDescent="0.3">
      <c r="A12107" s="1" t="s">
        <v>30</v>
      </c>
      <c r="B12107" s="1" t="s">
        <v>31</v>
      </c>
      <c r="C12107" s="1" t="s">
        <v>32</v>
      </c>
      <c r="D12107" s="1" t="s">
        <v>52</v>
      </c>
      <c r="E12107" s="1" t="s">
        <v>1228</v>
      </c>
      <c r="F12107" s="1" t="s">
        <v>17152</v>
      </c>
      <c r="G12107" s="1" t="s">
        <v>28</v>
      </c>
      <c r="H12107" s="1" t="s">
        <v>29</v>
      </c>
      <c r="I12107" s="1" t="str">
        <f ca="1">IFERROR(__xludf.DUMMYFUNCTION("GOOGLETRANSLATE(F12107, ""auto"", ""en"")
"),"I bought the computer 3 weeks ago. Everything is good at first glance, but when I started doing serious things on it, it really started to overheat and damage the video card, in short, it really lacks cooling, and because of this it starts to glitch")</f>
        <v>I bought the computer 3 weeks ago. Everything is good at first glance, but when I started doing serious things on it, it really started to overheat and damage the video card, in short, it really lacks cooling, and because of this it starts to glitch</v>
      </c>
    </row>
    <row r="12108" spans="1:9" x14ac:dyDescent="0.3">
      <c r="A12108" s="1" t="s">
        <v>89</v>
      </c>
      <c r="B12108" s="1" t="s">
        <v>90</v>
      </c>
      <c r="C12108" s="1" t="s">
        <v>185</v>
      </c>
      <c r="D12108" s="1" t="s">
        <v>232</v>
      </c>
      <c r="E12108" s="1" t="s">
        <v>1112</v>
      </c>
      <c r="F12108" s="1" t="s">
        <v>11041</v>
      </c>
      <c r="G12108" s="1" t="s">
        <v>15</v>
      </c>
      <c r="H12108" s="1" t="s">
        <v>16</v>
      </c>
      <c r="I12108" s="1" t="str">
        <f ca="1">IFERROR(__xludf.DUMMYFUNCTION("GOOGLETRANSLATE(F12108, ""auto"", ""en"")
"),"price")</f>
        <v>price</v>
      </c>
    </row>
    <row r="12109" spans="1:9" x14ac:dyDescent="0.3">
      <c r="A12109" s="1" t="s">
        <v>9</v>
      </c>
      <c r="B12109" s="1" t="s">
        <v>137</v>
      </c>
      <c r="C12109" s="1" t="s">
        <v>24</v>
      </c>
      <c r="D12109" s="1" t="s">
        <v>52</v>
      </c>
      <c r="E12109" s="1" t="s">
        <v>2202</v>
      </c>
      <c r="F12109" s="1" t="s">
        <v>17153</v>
      </c>
      <c r="G12109" s="1" t="s">
        <v>15</v>
      </c>
      <c r="H12109" s="1" t="s">
        <v>16</v>
      </c>
      <c r="I12109" s="1" t="str">
        <f ca="1">IFERROR(__xludf.DUMMYFUNCTION("GOOGLETRANSLATE(F12109, ""auto"", ""en"")
"),"The stove has been in use for 5 years. Both right burners refused to work. Repair price: new stove. I will change the manufacturer.")</f>
        <v>The stove has been in use for 5 years. Both right burners refused to work. Repair price: new stove. I will change the manufacturer.</v>
      </c>
    </row>
    <row r="12110" spans="1:9" x14ac:dyDescent="0.3">
      <c r="A12110" s="1" t="s">
        <v>61</v>
      </c>
      <c r="B12110" s="1" t="s">
        <v>180</v>
      </c>
      <c r="C12110" s="1" t="s">
        <v>57</v>
      </c>
      <c r="D12110" s="1" t="s">
        <v>589</v>
      </c>
      <c r="E12110" s="1" t="s">
        <v>2371</v>
      </c>
      <c r="F12110" s="1" t="s">
        <v>17154</v>
      </c>
      <c r="G12110" s="1" t="s">
        <v>36</v>
      </c>
      <c r="H12110" s="1" t="s">
        <v>29</v>
      </c>
      <c r="I12110" s="1" t="str">
        <f ca="1">IFERROR(__xludf.DUMMYFUNCTION("GOOGLETRANSLATE(F12110, ""auto"", ""en"")
"),"We bought this toaster a few months ago, I’m incredibly happy! The bread cooks evenly, I never turn anything twice. The case does not heat up, there are buttons for canceling, defrosting, and warming up the buns. 6 levels of bread frying. Now I almost alw"&amp;"ays eat toasters instead of regular bread. It is very tasty and crispy. Excellent design, compact body. In general, everything is 5+! I recommend!")</f>
        <v>We bought this toaster a few months ago, I’m incredibly happy! The bread cooks evenly, I never turn anything twice. The case does not heat up, there are buttons for canceling, defrosting, and warming up the buns. 6 levels of bread frying. Now I almost always eat toasters instead of regular bread. It is very tasty and crispy. Excellent design, compact body. In general, everything is 5+! I recommend!</v>
      </c>
    </row>
    <row r="12111" spans="1:9" x14ac:dyDescent="0.3">
      <c r="A12111" s="1" t="s">
        <v>206</v>
      </c>
      <c r="B12111" s="1" t="s">
        <v>207</v>
      </c>
      <c r="C12111" s="1" t="s">
        <v>152</v>
      </c>
      <c r="D12111" s="1" t="s">
        <v>171</v>
      </c>
      <c r="E12111" s="1" t="s">
        <v>7897</v>
      </c>
      <c r="F12111" s="1" t="s">
        <v>17155</v>
      </c>
      <c r="G12111" s="1" t="s">
        <v>36</v>
      </c>
      <c r="H12111" s="1" t="s">
        <v>29</v>
      </c>
      <c r="I12111" s="1" t="str">
        <f ca="1">IFERROR(__xludf.DUMMYFUNCTION("GOOGLETRANSLATE(F12111, ""auto"", ""en"")
"),"Closed housing, clear, powerful, bass without distortion. Works with a Blaupunkt GTA 470 power amplifier connected by a 400 W bridge. You won’t find anything better for the money, and more expensive models won’t work so well, it’s been in the Ford Fusion "&amp;"for a year now.")</f>
        <v>Closed housing, clear, powerful, bass without distortion. Works with a Blaupunkt GTA 470 power amplifier connected by a 400 W bridge. You won’t find anything better for the money, and more expensive models won’t work so well, it’s been in the Ford Fusion for a year now.</v>
      </c>
    </row>
    <row r="12112" spans="1:9" x14ac:dyDescent="0.3">
      <c r="A12112" s="1" t="s">
        <v>373</v>
      </c>
      <c r="B12112" s="1" t="s">
        <v>374</v>
      </c>
      <c r="C12112" s="1" t="s">
        <v>159</v>
      </c>
      <c r="D12112" s="1" t="s">
        <v>247</v>
      </c>
      <c r="E12112" s="1" t="s">
        <v>17156</v>
      </c>
      <c r="F12112" s="1" t="s">
        <v>17157</v>
      </c>
      <c r="G12112" s="1" t="s">
        <v>49</v>
      </c>
      <c r="H12112" s="1" t="s">
        <v>16</v>
      </c>
      <c r="I12112" s="1" t="str">
        <f ca="1">IFERROR(__xludf.DUMMYFUNCTION("GOOGLETRANSLATE(F12112, ""auto"", ""en"")
"),"After 1 year and 2 months (after the warranty), a leak appeared on the door. Repairs won't be cheap. The first time I was not so lucky with household appliances, but everything else is INDESIT.")</f>
        <v>After 1 year and 2 months (after the warranty), a leak appeared on the door. Repairs won't be cheap. The first time I was not so lucky with household appliances, but everything else is INDESIT.</v>
      </c>
    </row>
    <row r="12113" spans="1:9" x14ac:dyDescent="0.3">
      <c r="A12113" s="1" t="s">
        <v>120</v>
      </c>
      <c r="B12113" s="1" t="s">
        <v>1205</v>
      </c>
      <c r="C12113" s="1" t="s">
        <v>1430</v>
      </c>
      <c r="D12113" s="1" t="s">
        <v>208</v>
      </c>
      <c r="E12113" s="1" t="s">
        <v>980</v>
      </c>
      <c r="F12113" s="1" t="s">
        <v>17158</v>
      </c>
      <c r="G12113" s="1" t="s">
        <v>36</v>
      </c>
      <c r="H12113" s="1" t="s">
        <v>29</v>
      </c>
      <c r="I12113" s="1" t="str">
        <f ca="1">IFERROR(__xludf.DUMMYFUNCTION("GOOGLETRANSLATE(F12113, ""auto"", ""en"")
"),"Humax Receivers are very good, I have Humax at home for 7 years now and have never had signal reception repaired. I’m sure I recommend very good receivers of this brand.")</f>
        <v>Humax Receivers are very good, I have Humax at home for 7 years now and have never had signal reception repaired. I’m sure I recommend very good receivers of this brand.</v>
      </c>
    </row>
    <row r="12114" spans="1:9" x14ac:dyDescent="0.3">
      <c r="A12114" s="1" t="s">
        <v>61</v>
      </c>
      <c r="B12114" s="1" t="s">
        <v>318</v>
      </c>
      <c r="C12114" s="1" t="s">
        <v>45</v>
      </c>
      <c r="D12114" s="1" t="s">
        <v>152</v>
      </c>
      <c r="E12114" s="1" t="s">
        <v>5696</v>
      </c>
      <c r="F12114" s="1" t="s">
        <v>17159</v>
      </c>
      <c r="G12114" s="1" t="s">
        <v>36</v>
      </c>
      <c r="H12114" s="1" t="s">
        <v>29</v>
      </c>
      <c r="I12114" s="1" t="str">
        <f ca="1">IFERROR(__xludf.DUMMYFUNCTION("GOOGLETRANSLATE(F12114, ""auto"", ""en"")
"),"I bought it a month ago. I'm happy with the purchase. Advantages: Quiet, excellent workmanship, comfortable handle, blue backlight. Disadvantages: haven't found any yet.")</f>
        <v>I bought it a month ago. I'm happy with the purchase. Advantages: Quiet, excellent workmanship, comfortable handle, blue backlight. Disadvantages: haven't found any yet.</v>
      </c>
    </row>
    <row r="12115" spans="1:9" x14ac:dyDescent="0.3">
      <c r="A12115" s="1" t="s">
        <v>211</v>
      </c>
      <c r="B12115" s="1" t="s">
        <v>515</v>
      </c>
      <c r="C12115" s="1" t="s">
        <v>69</v>
      </c>
      <c r="D12115" s="1" t="s">
        <v>653</v>
      </c>
      <c r="E12115" s="1" t="s">
        <v>6426</v>
      </c>
      <c r="F12115" s="1" t="s">
        <v>17160</v>
      </c>
      <c r="G12115" s="1" t="s">
        <v>28</v>
      </c>
      <c r="H12115" s="1" t="s">
        <v>29</v>
      </c>
      <c r="I12115" s="1" t="str">
        <f ca="1">IFERROR(__xludf.DUMMYFUNCTION("GOOGLETRANSLATE(F12115, ""auto"", ""en"")
"),"The result is quite good, removes 90% of hair")</f>
        <v>The result is quite good, removes 90% of hair</v>
      </c>
    </row>
    <row r="12116" spans="1:9" x14ac:dyDescent="0.3">
      <c r="A12116" s="1" t="s">
        <v>95</v>
      </c>
      <c r="B12116" s="1" t="s">
        <v>648</v>
      </c>
      <c r="C12116" s="1" t="s">
        <v>97</v>
      </c>
      <c r="D12116" s="1" t="s">
        <v>1166</v>
      </c>
      <c r="E12116" s="1" t="s">
        <v>2006</v>
      </c>
      <c r="F12116" s="1" t="s">
        <v>17161</v>
      </c>
      <c r="G12116" s="1" t="s">
        <v>49</v>
      </c>
      <c r="H12116" s="1" t="s">
        <v>16</v>
      </c>
      <c r="I12116" s="1" t="str">
        <f ca="1">IFERROR(__xludf.DUMMYFUNCTION("GOOGLETRANSLATE(F12116, ""auto"", ""en"")
"),"I didn't like it - it's very buggy. Bad!")</f>
        <v>I didn't like it - it's very buggy. Bad!</v>
      </c>
    </row>
    <row r="12117" spans="1:9" x14ac:dyDescent="0.3">
      <c r="A12117" s="1" t="s">
        <v>120</v>
      </c>
      <c r="B12117" s="1" t="s">
        <v>121</v>
      </c>
      <c r="C12117" s="1" t="s">
        <v>69</v>
      </c>
      <c r="D12117" s="1" t="s">
        <v>17162</v>
      </c>
      <c r="E12117" s="1" t="s">
        <v>4956</v>
      </c>
      <c r="F12117" s="1" t="s">
        <v>17163</v>
      </c>
      <c r="G12117" s="1" t="s">
        <v>36</v>
      </c>
      <c r="H12117" s="1" t="s">
        <v>29</v>
      </c>
      <c r="I12117" s="1" t="str">
        <f ca="1">IFERROR(__xludf.DUMMYFUNCTION("GOOGLETRANSLATE(F12117, ""auto"", ""en"")
"),"For those who are faced with the problem of not reading files from a flash drive over 2 years old. The problem is in the file system format, format the flash drive to NTFS and you will be...")</f>
        <v>For those who are faced with the problem of not reading files from a flash drive over 2 years old. The problem is in the file system format, format the flash drive to NTFS and you will be...</v>
      </c>
    </row>
    <row r="12118" spans="1:9" x14ac:dyDescent="0.3">
      <c r="A12118" s="1" t="s">
        <v>37</v>
      </c>
      <c r="B12118" s="1" t="s">
        <v>536</v>
      </c>
      <c r="C12118" s="1" t="s">
        <v>189</v>
      </c>
      <c r="D12118" s="1" t="s">
        <v>17164</v>
      </c>
      <c r="E12118" s="1" t="s">
        <v>3469</v>
      </c>
      <c r="F12118" s="1" t="s">
        <v>17165</v>
      </c>
      <c r="G12118" s="1" t="s">
        <v>28</v>
      </c>
      <c r="H12118" s="1" t="s">
        <v>29</v>
      </c>
      <c r="I12118" s="1" t="str">
        <f ca="1">IFERROR(__xludf.DUMMYFUNCTION("GOOGLETRANSLATE(F12118, ""auto"", ""en"")
"),"normal phone, just the body is not very good")</f>
        <v>normal phone, just the body is not very good</v>
      </c>
    </row>
    <row r="12119" spans="1:9" x14ac:dyDescent="0.3">
      <c r="A12119" s="1" t="s">
        <v>211</v>
      </c>
      <c r="B12119" s="1" t="s">
        <v>856</v>
      </c>
      <c r="C12119" s="1" t="s">
        <v>57</v>
      </c>
      <c r="D12119" s="1" t="s">
        <v>471</v>
      </c>
      <c r="E12119" s="1" t="s">
        <v>15442</v>
      </c>
      <c r="F12119" s="1" t="s">
        <v>17166</v>
      </c>
      <c r="G12119" s="1" t="s">
        <v>36</v>
      </c>
      <c r="H12119" s="1" t="s">
        <v>29</v>
      </c>
      <c r="I12119" s="1" t="str">
        <f ca="1">IFERROR(__xludf.DUMMYFUNCTION("GOOGLETRANSLATE(F12119, ""auto"", ""en"")
"),"I read the comments and decided to leave my own) I’ve been using the set for more than a year. At first I was dissatisfied, but now I understand that I simply did not know how to use it.    My mom was absolutely delighted when I did her nails for the firs"&amp;"t time. Now he wants the same set for himself.   For me, the dryer and pedicure attachments were useless. I haven’t even tried to use them, because I treat my heels with a special file.   I can't live without this set anymore. I carry it with me everywher"&amp;"e I go.   My result: a good useful thing. If you only need it for manicure, you can buy a simpler one. The main thing is to learn how to use :) all beauty and health!  I forgot to add: many people say that the device stops when pressed hard. So this is a "&amp;"plus, not a minus. After all, this way you won’t hurt yourself. But it stops because you are doing something wrong :))")</f>
        <v>I read the comments and decided to leave my own) I’ve been using the set for more than a year. At first I was dissatisfied, but now I understand that I simply did not know how to use it.    My mom was absolutely delighted when I did her nails for the first time. Now he wants the same set for himself.   For me, the dryer and pedicure attachments were useless. I haven’t even tried to use them, because I treat my heels with a special file.   I can't live without this set anymore. I carry it with me everywhere I go.   My result: a good useful thing. If you only need it for manicure, you can buy a simpler one. The main thing is to learn how to use :) all beauty and health!  I forgot to add: many people say that the device stops when pressed hard. So this is a plus, not a minus. After all, this way you won’t hurt yourself. But it stops because you are doing something wrong :))</v>
      </c>
    </row>
    <row r="12120" spans="1:9" x14ac:dyDescent="0.3">
      <c r="A12120" s="1" t="s">
        <v>211</v>
      </c>
      <c r="B12120" s="1" t="s">
        <v>410</v>
      </c>
      <c r="C12120" s="1" t="s">
        <v>122</v>
      </c>
      <c r="D12120" s="1" t="s">
        <v>305</v>
      </c>
      <c r="E12120" s="1" t="s">
        <v>3131</v>
      </c>
      <c r="F12120" s="1" t="s">
        <v>17167</v>
      </c>
      <c r="G12120" s="1" t="s">
        <v>49</v>
      </c>
      <c r="H12120" s="1" t="s">
        <v>16</v>
      </c>
      <c r="I12120" s="1" t="str">
        <f ca="1">IFERROR(__xludf.DUMMYFUNCTION("GOOGLETRANSLATE(F12120, ""auto"", ""en"")
"),"It shaves poorly (you have to spend a lot of time) and takes a long time to charge.")</f>
        <v>It shaves poorly (you have to spend a lot of time) and takes a long time to charge.</v>
      </c>
    </row>
    <row r="12121" spans="1:9" x14ac:dyDescent="0.3">
      <c r="A12121" s="1" t="s">
        <v>9</v>
      </c>
      <c r="B12121" s="1" t="s">
        <v>133</v>
      </c>
      <c r="C12121" s="1" t="s">
        <v>870</v>
      </c>
      <c r="D12121" s="1" t="s">
        <v>295</v>
      </c>
      <c r="E12121" s="1" t="s">
        <v>446</v>
      </c>
      <c r="F12121" s="1" t="s">
        <v>17168</v>
      </c>
      <c r="G12121" s="1" t="s">
        <v>36</v>
      </c>
      <c r="H12121" s="1" t="s">
        <v>29</v>
      </c>
      <c r="I12121" s="1" t="str">
        <f ca="1">IFERROR(__xludf.DUMMYFUNCTION("GOOGLETRANSLATE(F12121, ""auto"", ""en"")
"),"I bought one for my production, for a cafe-snack. I couldn't be happier with it!!! Withstands 10 hours of continuous operation, has never been capricious or malfunctioned. Super!!")</f>
        <v>I bought one for my production, for a cafe-snack. I couldn't be happier with it!!! Withstands 10 hours of continuous operation, has never been capricious or malfunctioned. Super!!</v>
      </c>
    </row>
    <row r="12122" spans="1:9" x14ac:dyDescent="0.3">
      <c r="A12122" s="1" t="s">
        <v>105</v>
      </c>
      <c r="B12122" s="1" t="s">
        <v>106</v>
      </c>
      <c r="C12122" s="1" t="s">
        <v>97</v>
      </c>
      <c r="D12122" s="1" t="s">
        <v>4222</v>
      </c>
      <c r="E12122" s="1" t="s">
        <v>2215</v>
      </c>
      <c r="F12122" s="1" t="s">
        <v>17169</v>
      </c>
      <c r="G12122" s="1" t="s">
        <v>15</v>
      </c>
      <c r="H12122" s="1" t="s">
        <v>16</v>
      </c>
      <c r="I12122" s="1" t="str">
        <f ca="1">IFERROR(__xludf.DUMMYFUNCTION("GOOGLETRANSLATE(F12122, ""auto"", ""en"")
"),"Same problem as Ekaterina! It’s very strange - I can connect it, everything is displayed on the computer, I even dragged a few music files onto it, but then ... nothing, there is still 1 memory, and some MB numbers - only a small part is filled, but I can"&amp;"’t delete music files, or upload anything else, and I can’t do anything at all. I'm very upset, I'll probably have to change it.")</f>
        <v>Same problem as Ekaterina! It’s very strange - I can connect it, everything is displayed on the computer, I even dragged a few music files onto it, but then ... nothing, there is still 1 memory, and some MB numbers - only a small part is filled, but I can’t delete music files, or upload anything else, and I can’t do anything at all. I'm very upset, I'll probably have to change it.</v>
      </c>
    </row>
    <row r="12123" spans="1:9" x14ac:dyDescent="0.3">
      <c r="A12123" s="1" t="s">
        <v>30</v>
      </c>
      <c r="B12123" s="1" t="s">
        <v>50</v>
      </c>
      <c r="C12123" s="1" t="s">
        <v>51</v>
      </c>
      <c r="D12123" s="1" t="s">
        <v>33</v>
      </c>
      <c r="E12123" s="1" t="s">
        <v>1517</v>
      </c>
      <c r="F12123" s="1" t="s">
        <v>17170</v>
      </c>
      <c r="G12123" s="1" t="s">
        <v>36</v>
      </c>
      <c r="H12123" s="1" t="s">
        <v>29</v>
      </c>
      <c r="I12123" s="1" t="str">
        <f ca="1">IFERROR(__xludf.DUMMYFUNCTION("GOOGLETRANSLATE(F12123, ""auto"", ""en"")
"),"I bought the laptop I wanted - a gaming laptop, with a large diagonal, in the price category up to 30 thousand. I'm one hundred percent satisfied with the performance - I didn't even think about the processor that it was weak - everything you need, everyt"&amp;"hing flies) One nuance - ergonomics. To be honest, the keyboard could be better, which is why it bothers me) But otherwise, it’s an ideal price/performance combination.")</f>
        <v>I bought the laptop I wanted - a gaming laptop, with a large diagonal, in the price category up to 30 thousand. I'm one hundred percent satisfied with the performance - I didn't even think about the processor that it was weak - everything you need, everything flies) One nuance - ergonomics. To be honest, the keyboard could be better, which is why it bothers me) But otherwise, it’s an ideal price/performance combination.</v>
      </c>
    </row>
    <row r="12124" spans="1:9" x14ac:dyDescent="0.3">
      <c r="A12124" s="1" t="s">
        <v>238</v>
      </c>
      <c r="B12124" s="1" t="s">
        <v>239</v>
      </c>
      <c r="C12124" s="1" t="s">
        <v>240</v>
      </c>
      <c r="D12124" s="1" t="s">
        <v>1610</v>
      </c>
      <c r="E12124" s="1" t="s">
        <v>3422</v>
      </c>
      <c r="F12124" s="1" t="s">
        <v>17171</v>
      </c>
      <c r="G12124" s="1" t="s">
        <v>36</v>
      </c>
      <c r="H12124" s="1" t="s">
        <v>29</v>
      </c>
      <c r="I12124" s="1" t="str">
        <f ca="1">IFERROR(__xludf.DUMMYFUNCTION("GOOGLETRANSLATE(F12124, ""auto"", ""en"")
"),"The refrigerator is simply super!!!!")</f>
        <v>The refrigerator is simply super!!!!</v>
      </c>
    </row>
    <row r="12125" spans="1:9" x14ac:dyDescent="0.3">
      <c r="A12125" s="1" t="s">
        <v>120</v>
      </c>
      <c r="B12125" s="1" t="s">
        <v>196</v>
      </c>
      <c r="C12125" s="1" t="s">
        <v>80</v>
      </c>
      <c r="D12125" s="1" t="s">
        <v>8786</v>
      </c>
      <c r="E12125" s="1" t="s">
        <v>178</v>
      </c>
      <c r="F12125" s="1" t="s">
        <v>17172</v>
      </c>
      <c r="G12125" s="1" t="s">
        <v>28</v>
      </c>
      <c r="H12125" s="1" t="s">
        <v>29</v>
      </c>
      <c r="I12125" s="1" t="str">
        <f ca="1">IFERROR(__xludf.DUMMYFUNCTION("GOOGLETRANSLATE(F12125, ""auto"", ""en"")
"),"Alexandre (Moscow) Link from the warranty agreement to the studio!    you don’t need to be a genius; any modification of the device’s firmware or the device itself removes responsibility from the manufacturer - this is in any warranty brochure and in some"&amp;" other papers (ignorance does not exempt you from responsibility) (another thing is that you can reset all the settings to factory settings and then everything will be fine; the service center will have nothing to complain about) You can’t kill by flashin"&amp;"g the firmware!  You can only use crooked actions in the service menu. --- that's right, you can damage the firmware itself if, during flashing, God forbid, the voltage jumps or the lights are turned off (the TV will not turn on after this)")</f>
        <v>Alexandre (Moscow) Link from the warranty agreement to the studio!    you don’t need to be a genius; any modification of the device’s firmware or the device itself removes responsibility from the manufacturer - this is in any warranty brochure and in some other papers (ignorance does not exempt you from responsibility) (another thing is that you can reset all the settings to factory settings and then everything will be fine; the service center will have nothing to complain about) You can’t kill by flashing the firmware!  You can only use crooked actions in the service menu. --- that's right, you can damage the firmware itself if, during flashing, God forbid, the voltage jumps or the lights are turned off (the TV will not turn on after this)</v>
      </c>
    </row>
    <row r="12126" spans="1:9" x14ac:dyDescent="0.3">
      <c r="A12126" s="1" t="s">
        <v>37</v>
      </c>
      <c r="B12126" s="1" t="s">
        <v>38</v>
      </c>
      <c r="C12126" s="1" t="s">
        <v>39</v>
      </c>
      <c r="D12126" s="1" t="s">
        <v>280</v>
      </c>
      <c r="E12126" s="1" t="s">
        <v>1319</v>
      </c>
      <c r="F12126" s="1" t="s">
        <v>17173</v>
      </c>
      <c r="G12126" s="1" t="s">
        <v>28</v>
      </c>
      <c r="H12126" s="1" t="s">
        <v>29</v>
      </c>
      <c r="I12126" s="1" t="str">
        <f ca="1">IFERROR(__xludf.DUMMYFUNCTION("GOOGLETRANSLATE(F12126, ""auto"", ""en"")
"),"I bought the phone in December 2009 for 12,000. The assembly of course leaves much to be desired - the back play of the cover is a little loose (but that’s not a big deal), there are gaps on the sides of the display. The only thing that upset me was that "&amp;"the very first firmware was installed - the most crude, hence the disadvantages - it reboots itself (in 2 months it rebooted 5 times, the multimedia menu slows down a little - the animation effect It’s harsh, when enlarging pictures from thumbnails it slo"&amp;"ws down, auto-rotating the video slows down. Well, everything is treated with firmware.")</f>
        <v>I bought the phone in December 2009 for 12,000. The assembly of course leaves much to be desired - the back play of the cover is a little loose (but that’s not a big deal), there are gaps on the sides of the display. The only thing that upset me was that the very first firmware was installed - the most crude, hence the disadvantages - it reboots itself (in 2 months it rebooted 5 times, the multimedia menu slows down a little - the animation effect It’s harsh, when enlarging pictures from thumbnails it slows down, auto-rotating the video slows down. Well, everything is treated with firmware.</v>
      </c>
    </row>
    <row r="12127" spans="1:9" x14ac:dyDescent="0.3">
      <c r="A12127" s="1" t="s">
        <v>149</v>
      </c>
      <c r="B12127" s="1" t="s">
        <v>576</v>
      </c>
      <c r="C12127" s="1" t="s">
        <v>151</v>
      </c>
      <c r="D12127" s="1" t="s">
        <v>166</v>
      </c>
      <c r="E12127" s="1" t="s">
        <v>1275</v>
      </c>
      <c r="F12127" s="1" t="s">
        <v>17174</v>
      </c>
      <c r="G12127" s="1" t="s">
        <v>36</v>
      </c>
      <c r="H12127" s="1" t="s">
        <v>29</v>
      </c>
      <c r="I12127" s="1" t="str">
        <f ca="1">IFERROR(__xludf.DUMMYFUNCTION("GOOGLETRANSLATE(F12127, ""auto"", ""en"")
"),"A good and very convenient vacuum cleaner, for such a price it’s just super) Very pleased! I advise)")</f>
        <v>A good and very convenient vacuum cleaner, for such a price it’s just super) Very pleased! I advise)</v>
      </c>
    </row>
    <row r="12128" spans="1:9" x14ac:dyDescent="0.3">
      <c r="A12128" s="1" t="s">
        <v>120</v>
      </c>
      <c r="B12128" s="1" t="s">
        <v>256</v>
      </c>
      <c r="C12128" s="1" t="s">
        <v>2697</v>
      </c>
      <c r="D12128" s="1" t="s">
        <v>17175</v>
      </c>
      <c r="E12128" s="1" t="s">
        <v>784</v>
      </c>
      <c r="F12128" s="1" t="s">
        <v>17176</v>
      </c>
      <c r="G12128" s="1" t="s">
        <v>36</v>
      </c>
      <c r="H12128" s="1" t="s">
        <v>29</v>
      </c>
      <c r="I12128" s="1" t="str">
        <f ca="1">IFERROR(__xludf.DUMMYFUNCTION("GOOGLETRANSLATE(F12128, ""auto"", ""en"")
"),"I've been using it for 1 year, the downside is bad sound!!!")</f>
        <v>I've been using it for 1 year, the downside is bad sound!!!</v>
      </c>
    </row>
    <row r="12129" spans="1:9" x14ac:dyDescent="0.3">
      <c r="A12129" s="1" t="s">
        <v>206</v>
      </c>
      <c r="B12129" s="1" t="s">
        <v>261</v>
      </c>
      <c r="C12129" s="1" t="s">
        <v>152</v>
      </c>
      <c r="D12129" s="1" t="s">
        <v>305</v>
      </c>
      <c r="E12129" s="1" t="s">
        <v>17177</v>
      </c>
      <c r="F12129" s="1" t="s">
        <v>17178</v>
      </c>
      <c r="G12129" s="1" t="s">
        <v>36</v>
      </c>
      <c r="H12129" s="1" t="s">
        <v>29</v>
      </c>
      <c r="I12129" s="1" t="str">
        <f ca="1">IFERROR(__xludf.DUMMYFUNCTION("GOOGLETRANSLATE(F12129, ""auto"", ""en"")
"),"Excellent cable for connoisseurs of high-quality car audio!")</f>
        <v>Excellent cable for connoisseurs of high-quality car audio!</v>
      </c>
    </row>
    <row r="12130" spans="1:9" x14ac:dyDescent="0.3">
      <c r="A12130" s="1" t="s">
        <v>30</v>
      </c>
      <c r="B12130" s="1" t="s">
        <v>31</v>
      </c>
      <c r="C12130" s="1" t="s">
        <v>377</v>
      </c>
      <c r="D12130" s="1" t="s">
        <v>17179</v>
      </c>
      <c r="E12130" s="1" t="s">
        <v>3512</v>
      </c>
      <c r="F12130" s="1" t="s">
        <v>17180</v>
      </c>
      <c r="G12130" s="1" t="s">
        <v>49</v>
      </c>
      <c r="H12130" s="1" t="s">
        <v>16</v>
      </c>
      <c r="I12130" s="1" t="str">
        <f ca="1">IFERROR(__xludf.DUMMYFUNCTION("GOOGLETRANSLATE(F12130, ""auto"", ""en"")
"),"for that kind of money you can assemble an order of magnitude more powerful system, the whole price is the HP name and a Windows license")</f>
        <v>for that kind of money you can assemble an order of magnitude more powerful system, the whole price is the HP name and a Windows license</v>
      </c>
    </row>
    <row r="12131" spans="1:9" x14ac:dyDescent="0.3">
      <c r="A12131" s="1" t="s">
        <v>111</v>
      </c>
      <c r="B12131" s="1" t="s">
        <v>298</v>
      </c>
      <c r="C12131" s="1" t="s">
        <v>299</v>
      </c>
      <c r="D12131" s="1" t="s">
        <v>13329</v>
      </c>
      <c r="E12131" s="1" t="s">
        <v>8784</v>
      </c>
      <c r="F12131" s="1" t="s">
        <v>17181</v>
      </c>
      <c r="G12131" s="1" t="s">
        <v>36</v>
      </c>
      <c r="H12131" s="1" t="s">
        <v>29</v>
      </c>
      <c r="I12131" s="1" t="str">
        <f ca="1">IFERROR(__xludf.DUMMYFUNCTION("GOOGLETRANSLATE(F12131, ""auto"", ""en"")
"),"The dryer is first class! Works without noise and dust. It's a pity that he spends money on electricity. But the product is first class! I bought 6 more pieces as gifts for friends. I recommend it to my work colleagues and friends!")</f>
        <v>The dryer is first class! Works without noise and dust. It's a pity that he spends money on electricity. But the product is first class! I bought 6 more pieces as gifts for friends. I recommend it to my work colleagues and friends!</v>
      </c>
    </row>
    <row r="12132" spans="1:9" x14ac:dyDescent="0.3">
      <c r="A12132" s="1" t="s">
        <v>17</v>
      </c>
      <c r="B12132" s="1" t="s">
        <v>325</v>
      </c>
      <c r="C12132" s="1" t="s">
        <v>326</v>
      </c>
      <c r="D12132" s="1" t="s">
        <v>64</v>
      </c>
      <c r="E12132" s="1" t="s">
        <v>3694</v>
      </c>
      <c r="F12132" s="1" t="s">
        <v>17182</v>
      </c>
      <c r="G12132" s="1" t="s">
        <v>36</v>
      </c>
      <c r="H12132" s="1" t="s">
        <v>29</v>
      </c>
      <c r="I12132" s="1" t="str">
        <f ca="1">IFERROR(__xludf.DUMMYFUNCTION("GOOGLETRANSLATE(F12132, ""auto"", ""en"")
"),"Shaitan machine)) is perfect for a rented apartment))) washes perfectly))) Lightweight. Of the presented models of this series, it is very spacious. I recommend!!!")</f>
        <v>Shaitan machine)) is perfect for a rented apartment))) washes perfectly))) Lightweight. Of the presented models of this series, it is very spacious. I recommend!!!</v>
      </c>
    </row>
    <row r="12133" spans="1:9" x14ac:dyDescent="0.3">
      <c r="A12133" s="1" t="s">
        <v>61</v>
      </c>
      <c r="B12133" s="1" t="s">
        <v>977</v>
      </c>
      <c r="C12133" s="1" t="s">
        <v>57</v>
      </c>
      <c r="D12133" s="1" t="s">
        <v>295</v>
      </c>
      <c r="E12133" s="1" t="s">
        <v>980</v>
      </c>
      <c r="F12133" s="1" t="s">
        <v>17183</v>
      </c>
      <c r="G12133" s="1" t="s">
        <v>36</v>
      </c>
      <c r="H12133" s="1" t="s">
        <v>29</v>
      </c>
      <c r="I12133" s="1" t="str">
        <f ca="1">IFERROR(__xludf.DUMMYFUNCTION("GOOGLETRANSLATE(F12133, ""auto"", ""en"")
"),"I've been using blender for almost 2 years. I've been dreaming about it for a long time. And so my husband gave it for the New Year. We chose together. I was incredibly happy. I've been using it with pleasure all this time, no complaints.  The equipment i"&amp;"s completely satisfactory, except that the lid on the measuring cup is sometimes missing... I recommend it to everyone, the price-quality ratio is simply excellent and there is no unnecessary overpayment for the brand))")</f>
        <v>I've been using blender for almost 2 years. I've been dreaming about it for a long time. And so my husband gave it for the New Year. We chose together. I was incredibly happy. I've been using it with pleasure all this time, no complaints.  The equipment is completely satisfactory, except that the lid on the measuring cup is sometimes missing... I recommend it to everyone, the price-quality ratio is simply excellent and there is no unnecessary overpayment for the brand))</v>
      </c>
    </row>
    <row r="12134" spans="1:9" x14ac:dyDescent="0.3">
      <c r="A12134" s="1" t="s">
        <v>55</v>
      </c>
      <c r="B12134" s="1" t="s">
        <v>235</v>
      </c>
      <c r="C12134" s="1" t="s">
        <v>185</v>
      </c>
      <c r="D12134" s="1" t="s">
        <v>295</v>
      </c>
      <c r="E12134" s="1" t="s">
        <v>8374</v>
      </c>
      <c r="F12134" s="1" t="s">
        <v>17184</v>
      </c>
      <c r="G12134" s="1" t="s">
        <v>36</v>
      </c>
      <c r="H12134" s="1" t="s">
        <v>29</v>
      </c>
      <c r="I12134" s="1" t="str">
        <f ca="1">IFERROR(__xludf.DUMMYFUNCTION("GOOGLETRANSLATE(F12134, ""auto"", ""en"")
"),"The fan heater has 2 modes, respectively 2-button. Creates a powerful flow of warm air. It warms the floor perfectly, and I, with a small child crawling on the floor, really liked it. My son often crawls up to the heater and sits with his back to it, warm"&amp;"ing himself up.  Of course, it won’t heat the entire apartment at once, but it can heat the room well.  If you come across this or a similar model, take it without hesitation. The heater is lightweight, not large and not expensive.")</f>
        <v>The fan heater has 2 modes, respectively 2-button. Creates a powerful flow of warm air. It warms the floor perfectly, and I, with a small child crawling on the floor, really liked it. My son often crawls up to the heater and sits with his back to it, warming himself up.  Of course, it won’t heat the entire apartment at once, but it can heat the room well.  If you come across this or a similar model, take it without hesitation. The heater is lightweight, not large and not expensive.</v>
      </c>
    </row>
    <row r="12135" spans="1:9" x14ac:dyDescent="0.3">
      <c r="A12135" s="1" t="s">
        <v>120</v>
      </c>
      <c r="B12135" s="1" t="s">
        <v>126</v>
      </c>
      <c r="C12135" s="1" t="s">
        <v>151</v>
      </c>
      <c r="D12135" s="1" t="s">
        <v>420</v>
      </c>
      <c r="E12135" s="1" t="s">
        <v>4452</v>
      </c>
      <c r="F12135" s="1" t="s">
        <v>17185</v>
      </c>
      <c r="G12135" s="1" t="s">
        <v>36</v>
      </c>
      <c r="H12135" s="1" t="s">
        <v>29</v>
      </c>
      <c r="I12135" s="1" t="str">
        <f ca="1">IFERROR(__xludf.DUMMYFUNCTION("GOOGLETRANSLATE(F12135, ""auto"", ""en"")
"),"The TV is Super... I'm happy... But there's a small problem: it suddenly turned on 3 times at night. It turned on... But there was no image. I pressed the Power button... And the image appeared...")</f>
        <v>The TV is Super... I'm happy... But there's a small problem: it suddenly turned on 3 times at night. It turned on... But there was no image. I pressed the Power button... And the image appeared...</v>
      </c>
    </row>
    <row r="12136" spans="1:9" x14ac:dyDescent="0.3">
      <c r="A12136" s="1" t="s">
        <v>17</v>
      </c>
      <c r="B12136" s="1" t="s">
        <v>18</v>
      </c>
      <c r="C12136" s="1" t="s">
        <v>19</v>
      </c>
      <c r="D12136" s="1" t="s">
        <v>565</v>
      </c>
      <c r="E12136" s="1" t="s">
        <v>1651</v>
      </c>
      <c r="F12136" s="1" t="s">
        <v>17186</v>
      </c>
      <c r="G12136" s="1" t="s">
        <v>36</v>
      </c>
      <c r="H12136" s="1" t="s">
        <v>29</v>
      </c>
      <c r="I12136" s="1" t="str">
        <f ca="1">IFERROR(__xludf.DUMMYFUNCTION("GOOGLETRANSLATE(F12136, ""auto"", ""en"")
"),"I've been using the car for over a year now. And every wash is a holiday. I am satisfied with everything: the design, the quality of washing and the fact that it works silently. And the choice when purchasing was not easy. When my friends’ Bosch washing m"&amp;"achines began to break down, they had to think about what to choose. And when I saw this car, I immediately decided that I wanted it. And I have never regretted it. Excellent quality at this price! Bravo!!!")</f>
        <v>I've been using the car for over a year now. And every wash is a holiday. I am satisfied with everything: the design, the quality of washing and the fact that it works silently. And the choice when purchasing was not easy. When my friends’ Bosch washing machines began to break down, they had to think about what to choose. And when I saw this car, I immediately decided that I wanted it. And I have never regretted it. Excellent quality at this price! Bravo!!!</v>
      </c>
    </row>
    <row r="12137" spans="1:9" x14ac:dyDescent="0.3">
      <c r="A12137" s="1" t="s">
        <v>30</v>
      </c>
      <c r="B12137" s="1" t="s">
        <v>50</v>
      </c>
      <c r="C12137" s="1" t="s">
        <v>32</v>
      </c>
      <c r="D12137" s="1" t="s">
        <v>2934</v>
      </c>
      <c r="E12137" s="1" t="s">
        <v>1452</v>
      </c>
      <c r="F12137" s="1" t="s">
        <v>17187</v>
      </c>
      <c r="G12137" s="1" t="s">
        <v>28</v>
      </c>
      <c r="H12137" s="1" t="s">
        <v>29</v>
      </c>
      <c r="I12137" s="1" t="str">
        <f ca="1">IFERROR(__xludf.DUMMYFUNCTION("GOOGLETRANSLATE(F12137, ""auto"", ""en"")
"),"This laptop is a new model in the computer. technology. The Core i3 processor, 32 nm technical process, produces low leakage currents, following the laws of electronics and electricity. technology, the less leakage currents, the greater the processor perf"&amp;"ormance, the video card is powerful from a number of mobile video cards, I won’t say anything about the display and everything else... Conclusion: you can work on it, watch videos, listen to music, games, as for them, not all games will run on maximum set"&amp;"tings, but they will still run... Today this is a good and new laptop, I advise all owners of 64 bit Windows to change to 32 bit due to the presence of 3 gigs of RAM, not 4.")</f>
        <v>This laptop is a new model in the computer. technology. The Core i3 processor, 32 nm technical process, produces low leakage currents, following the laws of electronics and electricity. technology, the less leakage currents, the greater the processor performance, the video card is powerful from a number of mobile video cards, I won’t say anything about the display and everything else... Conclusion: you can work on it, watch videos, listen to music, games, as for them, not all games will run on maximum settings, but they will still run... Today this is a good and new laptop, I advise all owners of 64 bit Windows to change to 32 bit due to the presence of 3 gigs of RAM, not 4.</v>
      </c>
    </row>
    <row r="12138" spans="1:9" x14ac:dyDescent="0.3">
      <c r="A12138" s="1" t="s">
        <v>149</v>
      </c>
      <c r="B12138" s="1" t="s">
        <v>155</v>
      </c>
      <c r="C12138" s="1" t="s">
        <v>80</v>
      </c>
      <c r="D12138" s="1" t="s">
        <v>127</v>
      </c>
      <c r="E12138" s="1" t="s">
        <v>1705</v>
      </c>
      <c r="F12138" s="1" t="s">
        <v>17188</v>
      </c>
      <c r="G12138" s="1" t="s">
        <v>28</v>
      </c>
      <c r="H12138" s="1" t="s">
        <v>29</v>
      </c>
      <c r="I12138" s="1" t="str">
        <f ca="1">IFERROR(__xludf.DUMMYFUNCTION("GOOGLETRANSLATE(F12138, ""auto"", ""en"")
"),"When cleaning the vacuum cleaner itself, I pulled out the Hepa13 filter several times and broke off the top plastic fasteners. In general, I removed this filter - no difference. There is perhaps a little more dust at the exit, but it is not visible withou"&amp;"t a microscope. Everything is working fine. I wanted to buy a new Hepa filter, but it is rarely on sale. I left it as is.")</f>
        <v>When cleaning the vacuum cleaner itself, I pulled out the Hepa13 filter several times and broke off the top plastic fasteners. In general, I removed this filter - no difference. There is perhaps a little more dust at the exit, but it is not visible without a microscope. Everything is working fine. I wanted to buy a new Hepa filter, but it is rarely on sale. I left it as is.</v>
      </c>
    </row>
    <row r="12139" spans="1:9" x14ac:dyDescent="0.3">
      <c r="A12139" s="1" t="s">
        <v>1119</v>
      </c>
      <c r="B12139" s="1" t="s">
        <v>1120</v>
      </c>
      <c r="C12139" s="1" t="s">
        <v>122</v>
      </c>
      <c r="D12139" s="1" t="s">
        <v>1659</v>
      </c>
      <c r="E12139" s="1" t="s">
        <v>1228</v>
      </c>
      <c r="F12139" s="1" t="s">
        <v>17189</v>
      </c>
      <c r="G12139" s="1" t="s">
        <v>28</v>
      </c>
      <c r="H12139" s="1" t="s">
        <v>29</v>
      </c>
      <c r="I12139" s="1" t="str">
        <f ca="1">IFERROR(__xludf.DUMMYFUNCTION("GOOGLETRANSLATE(F12139, ""auto"", ""en"")
"),"I always wanted to shoot without looking at the treacherously rapidly decreasing battery icon.  One hour for video filming is very little.")</f>
        <v>I always wanted to shoot without looking at the treacherously rapidly decreasing battery icon.  One hour for video filming is very little.</v>
      </c>
    </row>
    <row r="12140" spans="1:9" x14ac:dyDescent="0.3">
      <c r="A12140" s="1" t="s">
        <v>105</v>
      </c>
      <c r="B12140" s="1" t="s">
        <v>106</v>
      </c>
      <c r="C12140" s="1" t="s">
        <v>1209</v>
      </c>
      <c r="D12140" s="1" t="s">
        <v>17190</v>
      </c>
      <c r="E12140" s="1" t="s">
        <v>1723</v>
      </c>
      <c r="F12140" s="1" t="s">
        <v>17191</v>
      </c>
      <c r="G12140" s="1" t="s">
        <v>36</v>
      </c>
      <c r="H12140" s="1" t="s">
        <v>29</v>
      </c>
      <c r="I12140" s="1" t="str">
        <f ca="1">IFERROR(__xludf.DUMMYFUNCTION("GOOGLETRANSLATE(F12140, ""auto"", ""en"")
"),"I recently bought a player. I'm happy with the TV, even though in our remote town the TV picks up well and eats all the files.")</f>
        <v>I recently bought a player. I'm happy with the TV, even though in our remote town the TV picks up well and eats all the files.</v>
      </c>
    </row>
    <row r="12141" spans="1:9" x14ac:dyDescent="0.3">
      <c r="A12141" s="1" t="s">
        <v>30</v>
      </c>
      <c r="B12141" s="1" t="s">
        <v>50</v>
      </c>
      <c r="C12141" s="1" t="s">
        <v>51</v>
      </c>
      <c r="D12141" s="1" t="s">
        <v>171</v>
      </c>
      <c r="E12141" s="1" t="s">
        <v>1245</v>
      </c>
      <c r="F12141" s="1" t="s">
        <v>17192</v>
      </c>
      <c r="G12141" s="1" t="s">
        <v>28</v>
      </c>
      <c r="H12141" s="1" t="s">
        <v>29</v>
      </c>
      <c r="I12141" s="1" t="str">
        <f ca="1">IFERROR(__xludf.DUMMYFUNCTION("GOOGLETRANSLATE(F12141, ""auto"", ""en"")
"),"Microscopic arrows!!!!")</f>
        <v>Microscopic arrows!!!!</v>
      </c>
    </row>
    <row r="12142" spans="1:9" x14ac:dyDescent="0.3">
      <c r="A12142" s="1" t="s">
        <v>61</v>
      </c>
      <c r="B12142" s="1" t="s">
        <v>726</v>
      </c>
      <c r="C12142" s="1" t="s">
        <v>80</v>
      </c>
      <c r="D12142" s="1" t="s">
        <v>39</v>
      </c>
      <c r="E12142" s="1" t="s">
        <v>511</v>
      </c>
      <c r="F12142" s="1" t="s">
        <v>17193</v>
      </c>
      <c r="G12142" s="1" t="s">
        <v>15</v>
      </c>
      <c r="H12142" s="1" t="s">
        <v>16</v>
      </c>
      <c r="I12142" s="1" t="str">
        <f ca="1">IFERROR(__xludf.DUMMYFUNCTION("GOOGLETRANSLATE(F12142, ""auto"", ""en"")
"),"Bad oven. Bought as a gift for my grandmother. It turned out that she baked poorly. The crust is constantly falling into the inside of the loaf, and the result itself could have been better.  My parents have a Panasonic stove. This is the ideal. I don’t r"&amp;"ecommend LG to anyone!")</f>
        <v>Bad oven. Bought as a gift for my grandmother. It turned out that she baked poorly. The crust is constantly falling into the inside of the loaf, and the result itself could have been better.  My parents have a Panasonic stove. This is the ideal. I don’t recommend LG to anyone!</v>
      </c>
    </row>
    <row r="12143" spans="1:9" x14ac:dyDescent="0.3">
      <c r="A12143" s="1" t="s">
        <v>211</v>
      </c>
      <c r="B12143" s="1" t="s">
        <v>265</v>
      </c>
      <c r="C12143" s="1" t="s">
        <v>1591</v>
      </c>
      <c r="D12143" s="1" t="s">
        <v>152</v>
      </c>
      <c r="E12143" s="1" t="s">
        <v>638</v>
      </c>
      <c r="F12143" s="1" t="s">
        <v>17194</v>
      </c>
      <c r="G12143" s="1" t="s">
        <v>36</v>
      </c>
      <c r="H12143" s="1" t="s">
        <v>29</v>
      </c>
      <c r="I12143" s="1" t="str">
        <f ca="1">IFERROR(__xludf.DUMMYFUNCTION("GOOGLETRANSLATE(F12143, ""auto"", ""en"")
"),"I asked my wife to look for a hair clipper, she said she didn’t understand it, like she wouldn’t buy one yet. In general, I myself got stuck in the runets of the Internet. After discussions and some reviews I decided to buy babyliss. Cool small plastic bo"&amp;"dy, self-sharpening blades that are not afraid of moisture. Telescopic nozzles with adjustable length, and cuts precisely. Although I spent a lot of time choosing, it was not in vain, it’s a cool model, I’m pleased with the quality.")</f>
        <v>I asked my wife to look for a hair clipper, she said she didn’t understand it, like she wouldn’t buy one yet. In general, I myself got stuck in the runets of the Internet. After discussions and some reviews I decided to buy babyliss. Cool small plastic body, self-sharpening blades that are not afraid of moisture. Telescopic nozzles with adjustable length, and cuts precisely. Although I spent a lot of time choosing, it was not in vain, it’s a cool model, I’m pleased with the quality.</v>
      </c>
    </row>
    <row r="12144" spans="1:9" x14ac:dyDescent="0.3">
      <c r="A12144" s="1" t="s">
        <v>95</v>
      </c>
      <c r="B12144" s="1" t="s">
        <v>227</v>
      </c>
      <c r="C12144" s="1" t="s">
        <v>97</v>
      </c>
      <c r="D12144" s="1" t="s">
        <v>17195</v>
      </c>
      <c r="E12144" s="1" t="s">
        <v>1527</v>
      </c>
      <c r="F12144" s="1" t="s">
        <v>17196</v>
      </c>
      <c r="G12144" s="1" t="s">
        <v>36</v>
      </c>
      <c r="H12144" s="1" t="s">
        <v>29</v>
      </c>
      <c r="I12144" s="1" t="str">
        <f ca="1">IFERROR(__xludf.DUMMYFUNCTION("GOOGLETRANSLATE(F12144, ""auto"", ""en"")
"),"I played Uncharted 2: Among Thieves and inFAMOUS with a friend, I’ll be honest, there’s not a single console that comes close to Sony. Buy it, you won’t regret it")</f>
        <v>I played Uncharted 2: Among Thieves and inFAMOUS with a friend, I’ll be honest, there’s not a single console that comes close to Sony. Buy it, you won’t regret it</v>
      </c>
    </row>
    <row r="12145" spans="1:9" x14ac:dyDescent="0.3">
      <c r="A12145" s="1" t="s">
        <v>43</v>
      </c>
      <c r="B12145" s="1" t="s">
        <v>303</v>
      </c>
      <c r="C12145" s="1" t="s">
        <v>304</v>
      </c>
      <c r="D12145" s="1" t="s">
        <v>232</v>
      </c>
      <c r="E12145" s="1" t="s">
        <v>222</v>
      </c>
      <c r="F12145" s="1" t="s">
        <v>17197</v>
      </c>
      <c r="G12145" s="1" t="s">
        <v>36</v>
      </c>
      <c r="H12145" s="1" t="s">
        <v>29</v>
      </c>
      <c r="I12145" s="1" t="str">
        <f ca="1">IFERROR(__xludf.DUMMYFUNCTION("GOOGLETRANSLATE(F12145, ""auto"", ""en"")
"),"Easy to use and maintain.")</f>
        <v>Easy to use and maintain.</v>
      </c>
    </row>
    <row r="12146" spans="1:9" x14ac:dyDescent="0.3">
      <c r="A12146" s="1" t="s">
        <v>37</v>
      </c>
      <c r="B12146" s="1" t="s">
        <v>38</v>
      </c>
      <c r="C12146" s="1" t="s">
        <v>39</v>
      </c>
      <c r="D12146" s="1" t="s">
        <v>17198</v>
      </c>
      <c r="E12146" s="1" t="s">
        <v>201</v>
      </c>
      <c r="F12146" s="1" t="s">
        <v>17199</v>
      </c>
      <c r="G12146" s="1" t="s">
        <v>36</v>
      </c>
      <c r="H12146" s="1" t="s">
        <v>29</v>
      </c>
      <c r="I12146" s="1" t="str">
        <f ca="1">IFERROR(__xludf.DUMMYFUNCTION("GOOGLETRANSLATE(F12146, ""auto"", ""en"")
"),"please tell me, does this phone have wi-fi?")</f>
        <v>please tell me, does this phone have wi-fi?</v>
      </c>
    </row>
    <row r="12147" spans="1:9" x14ac:dyDescent="0.3">
      <c r="A12147" s="1" t="s">
        <v>37</v>
      </c>
      <c r="B12147" s="1" t="s">
        <v>355</v>
      </c>
      <c r="C12147" s="1" t="s">
        <v>356</v>
      </c>
      <c r="D12147" s="1" t="s">
        <v>17200</v>
      </c>
      <c r="E12147" s="1" t="s">
        <v>357</v>
      </c>
      <c r="F12147" s="1" t="s">
        <v>17201</v>
      </c>
      <c r="G12147" s="1" t="s">
        <v>36</v>
      </c>
      <c r="H12147" s="1" t="s">
        <v>29</v>
      </c>
      <c r="I12147" s="1" t="str">
        <f ca="1">IFERROR(__xludf.DUMMYFUNCTION("GOOGLETRANSLATE(F12147, ""auto"", ""en"")
"),"Very good phone. I have been using this model for 0.5 years. Great screen! You can see everything wonderfully in the sun! And as soon as you can hear it, I turn the volume down to half!  There is also a special anti-fingerprint coating on the screen, whic"&amp;"h is also remarkably scratch-resistant, as is the back cover, which also cracks no worse than on an iPhone 3G! But the compass works very quickly! A very useful thing. Apparently in the forest)")</f>
        <v>Very good phone. I have been using this model for 0.5 years. Great screen! You can see everything wonderfully in the sun! And as soon as you can hear it, I turn the volume down to half!  There is also a special anti-fingerprint coating on the screen, which is also remarkably scratch-resistant, as is the back cover, which also cracks no worse than on an iPhone 3G! But the compass works very quickly! A very useful thing. Apparently in the forest)</v>
      </c>
    </row>
    <row r="12148" spans="1:9" x14ac:dyDescent="0.3">
      <c r="A12148" s="1" t="s">
        <v>373</v>
      </c>
      <c r="B12148" s="1" t="s">
        <v>374</v>
      </c>
      <c r="C12148" s="1" t="s">
        <v>63</v>
      </c>
      <c r="D12148" s="1" t="s">
        <v>247</v>
      </c>
      <c r="E12148" s="1" t="s">
        <v>7168</v>
      </c>
      <c r="F12148" s="1" t="s">
        <v>17202</v>
      </c>
      <c r="G12148" s="1" t="s">
        <v>36</v>
      </c>
      <c r="H12148" s="1" t="s">
        <v>29</v>
      </c>
      <c r="I12148" s="1" t="str">
        <f ca="1">IFERROR(__xludf.DUMMYFUNCTION("GOOGLETRANSLATE(F12148, ""auto"", ""en"")
"),"Dishwasher (45 cm) Bosch SRS 45 T62 EU..excellent choice... It works very quietly, almost without sound. At first I wanted something like a sound from a washing machine, but nothing. The dishes just sparkle..... save on water - there is a meter at home..."&amp;".. in a couple of washes I washed the terrible frying pans and the aluminum pans shine like new.")</f>
        <v>Dishwasher (45 cm) Bosch SRS 45 T62 EU..excellent choice... It works very quietly, almost without sound. At first I wanted something like a sound from a washing machine, but nothing. The dishes just sparkle..... save on water - there is a meter at home..... in a couple of washes I washed the terrible frying pans and the aluminum pans shine like new.</v>
      </c>
    </row>
    <row r="12149" spans="1:9" x14ac:dyDescent="0.3">
      <c r="A12149" s="1" t="s">
        <v>149</v>
      </c>
      <c r="B12149" s="1" t="s">
        <v>155</v>
      </c>
      <c r="C12149" s="1" t="s">
        <v>151</v>
      </c>
      <c r="D12149" s="1" t="s">
        <v>9726</v>
      </c>
      <c r="E12149" s="1" t="s">
        <v>1982</v>
      </c>
      <c r="F12149" s="1" t="s">
        <v>17203</v>
      </c>
      <c r="G12149" s="1" t="s">
        <v>28</v>
      </c>
      <c r="H12149" s="1" t="s">
        <v>29</v>
      </c>
      <c r="I12149" s="1" t="str">
        <f ca="1">IFERROR(__xludf.DUMMYFUNCTION("GOOGLETRANSLATE(F12149, ""auto"", ""en"")
"),"We bought a vacuum cleaner 5 years ago, I’m happy with it, it sucks up dust and other larger objects perfectly, I would like to say right away that the vacuum cleaner is not for lazy people and white-handed people, since it is advisable to wash the foam r"&amp;"ubber and mesh filters after 4-5 times of use, but for this service life, when cleaning with a vacuum cleaner, my rooms do not smell like stinky socks, but clean air remains. A well-thought-out glass with a cyclone effect, numerous attachments, including "&amp;"one for wool, the hose does not twist, and a telescopic tube. Even my 2 year old daughter can handle it easily. I recommend it.")</f>
        <v>We bought a vacuum cleaner 5 years ago, I’m happy with it, it sucks up dust and other larger objects perfectly, I would like to say right away that the vacuum cleaner is not for lazy people and white-handed people, since it is advisable to wash the foam rubber and mesh filters after 4-5 times of use, but for this service life, when cleaning with a vacuum cleaner, my rooms do not smell like stinky socks, but clean air remains. A well-thought-out glass with a cyclone effect, numerous attachments, including one for wool, the hose does not twist, and a telescopic tube. Even my 2 year old daughter can handle it easily. I recommend it.</v>
      </c>
    </row>
    <row r="12150" spans="1:9" x14ac:dyDescent="0.3">
      <c r="A12150" s="1" t="s">
        <v>55</v>
      </c>
      <c r="B12150" s="1" t="s">
        <v>184</v>
      </c>
      <c r="C12150" s="1" t="s">
        <v>85</v>
      </c>
      <c r="D12150" s="1" t="s">
        <v>39</v>
      </c>
      <c r="E12150" s="1" t="s">
        <v>5803</v>
      </c>
      <c r="F12150" s="1" t="s">
        <v>17204</v>
      </c>
      <c r="G12150" s="1" t="s">
        <v>28</v>
      </c>
      <c r="H12150" s="1" t="s">
        <v>29</v>
      </c>
      <c r="I12150" s="1" t="str">
        <f ca="1">IFERROR(__xludf.DUMMYFUNCTION("GOOGLETRANSLATE(F12150, ""auto"", ""en"")
"),"A very convenient and compact fan heater, the main advantage: fast and strong heating of the air, and it’s also very good that there is a remote control and convenient touch controls on the body with backlit buttons. We bought it in February 2010, used it"&amp;" often, almost every day with a break for a short summer, sometimes it worked for several days in a row without turning off, after 10 months one of the fans began to crack, and a week after the warranty expired it simply turned off at one point and did no"&amp;"t turn on again. Conclusion: A good, quite reliable model. For those who need to quickly heat a room, there is no better option in terms of size-performance ratio; it is also very safe and turns off even with a slight rocking (we have repeatedly left it a"&amp;"lone at home unattended without any fear). Disadvantages: quite noticeable noise from the fans (after a couple of weeks you stop noticing it), no thermostat, only a shutdown timer, which is not entirely convenient")</f>
        <v>A very convenient and compact fan heater, the main advantage: fast and strong heating of the air, and it’s also very good that there is a remote control and convenient touch controls on the body with backlit buttons. We bought it in February 2010, used it often, almost every day with a break for a short summer, sometimes it worked for several days in a row without turning off, after 10 months one of the fans began to crack, and a week after the warranty expired it simply turned off at one point and did not turn on again. Conclusion: A good, quite reliable model. For those who need to quickly heat a room, there is no better option in terms of size-performance ratio; it is also very safe and turns off even with a slight rocking (we have repeatedly left it alone at home unattended without any fear). Disadvantages: quite noticeable noise from the fans (after a couple of weeks you stop noticing it), no thermostat, only a shutdown timer, which is not entirely convenient</v>
      </c>
    </row>
    <row r="12151" spans="1:9" x14ac:dyDescent="0.3">
      <c r="A12151" s="1" t="s">
        <v>43</v>
      </c>
      <c r="B12151" s="1" t="s">
        <v>502</v>
      </c>
      <c r="C12151" s="1" t="s">
        <v>151</v>
      </c>
      <c r="D12151" s="1" t="s">
        <v>8257</v>
      </c>
      <c r="E12151" s="1" t="s">
        <v>8466</v>
      </c>
      <c r="F12151" s="1" t="s">
        <v>17205</v>
      </c>
      <c r="G12151" s="1" t="s">
        <v>36</v>
      </c>
      <c r="H12151" s="1" t="s">
        <v>29</v>
      </c>
      <c r="I12151" s="1" t="str">
        <f ca="1">IFERROR(__xludf.DUMMYFUNCTION("GOOGLETRANSLATE(F12151, ""auto"", ""en"")
"),"We bought it in May 2012, it cools perfectly and works great for heating. Doesn't make noise. I recommend it to everyone.")</f>
        <v>We bought it in May 2012, it cools perfectly and works great for heating. Doesn't make noise. I recommend it to everyone.</v>
      </c>
    </row>
    <row r="12152" spans="1:9" x14ac:dyDescent="0.3">
      <c r="A12152" s="1" t="s">
        <v>61</v>
      </c>
      <c r="B12152" s="1" t="s">
        <v>73</v>
      </c>
      <c r="C12152" s="1" t="s">
        <v>85</v>
      </c>
      <c r="D12152" s="1" t="s">
        <v>172</v>
      </c>
      <c r="E12152" s="1" t="s">
        <v>328</v>
      </c>
      <c r="F12152" s="1" t="s">
        <v>17206</v>
      </c>
      <c r="G12152" s="1" t="s">
        <v>36</v>
      </c>
      <c r="H12152" s="1" t="s">
        <v>29</v>
      </c>
      <c r="I12152" s="1" t="str">
        <f ca="1">IFERROR(__xludf.DUMMYFUNCTION("GOOGLETRANSLATE(F12152, ""auto"", ""en"")
"),"I bought this meat grinder. I've been using it for about three months. Works with any meat. The minced meat has a uniform consistency. The kit includes graters, at first I thought I wouldn’t use them, but I tried them and it turned out to be very convenie"&amp;"nt. I recommend it to everyone! Excellent meat grinder.")</f>
        <v>I bought this meat grinder. I've been using it for about three months. Works with any meat. The minced meat has a uniform consistency. The kit includes graters, at first I thought I wouldn’t use them, but I tried them and it turned out to be very convenient. I recommend it to everyone! Excellent meat grinder.</v>
      </c>
    </row>
    <row r="12153" spans="1:9" x14ac:dyDescent="0.3">
      <c r="A12153" s="1" t="s">
        <v>43</v>
      </c>
      <c r="B12153" s="1" t="s">
        <v>303</v>
      </c>
      <c r="C12153" s="1" t="s">
        <v>10226</v>
      </c>
      <c r="D12153" s="1" t="s">
        <v>52</v>
      </c>
      <c r="E12153" s="1" t="s">
        <v>2050</v>
      </c>
      <c r="F12153" s="1" t="s">
        <v>17207</v>
      </c>
      <c r="G12153" s="1" t="s">
        <v>28</v>
      </c>
      <c r="H12153" s="1" t="s">
        <v>29</v>
      </c>
      <c r="I12153" s="1" t="str">
        <f ca="1">IFERROR(__xludf.DUMMYFUNCTION("GOOGLETRANSLATE(F12153, ""auto"", ""en"")
"),"We bought it on June 26, 2010, looked for the cheapest one, and settled on this one. Made in Russia, in Vsevolozhsk (near St. Petersburg) at the Ariston plant. Complete set: heater, safety valve, instructions - everything is in place. In my opinion, an ex"&amp;"cellent choice in terms of price and quality during the summer shutdown of hot water. The tank is enough to wash in the shower for two, but if you save money, then three will wash.")</f>
        <v>We bought it on June 26, 2010, looked for the cheapest one, and settled on this one. Made in Russia, in Vsevolozhsk (near St. Petersburg) at the Ariston plant. Complete set: heater, safety valve, instructions - everything is in place. In my opinion, an excellent choice in terms of price and quality during the summer shutdown of hot water. The tank is enough to wash in the shower for two, but if you save money, then three will wash.</v>
      </c>
    </row>
    <row r="12154" spans="1:9" x14ac:dyDescent="0.3">
      <c r="A12154" s="1" t="s">
        <v>95</v>
      </c>
      <c r="B12154" s="1" t="s">
        <v>227</v>
      </c>
      <c r="C12154" s="1" t="s">
        <v>97</v>
      </c>
      <c r="D12154" s="1" t="s">
        <v>81</v>
      </c>
      <c r="E12154" s="1" t="s">
        <v>504</v>
      </c>
      <c r="F12154" s="1" t="s">
        <v>17208</v>
      </c>
      <c r="G12154" s="1" t="s">
        <v>15</v>
      </c>
      <c r="H12154" s="1" t="s">
        <v>16</v>
      </c>
      <c r="I12154" s="1" t="str">
        <f ca="1">IFERROR(__xludf.DUMMYFUNCTION("GOOGLETRANSLATE(F12154, ""auto"", ""en"")
"),"An extremely mediocre item.  There was too much blur in many games, and the console froze or froze on numerous occasions while playing. The set-top box gets very hot after two hours of operation, the drive makes a lot of noise during the first 10 minutes "&amp;"of working with the disc, and the mkv format does not play. As a gaming platform I was very disappointed. It's not even worth considering as a media center.")</f>
        <v>An extremely mediocre item.  There was too much blur in many games, and the console froze or froze on numerous occasions while playing. The set-top box gets very hot after two hours of operation, the drive makes a lot of noise during the first 10 minutes of working with the disc, and the mkv format does not play. As a gaming platform I was very disappointed. It's not even worth considering as a media center.</v>
      </c>
    </row>
    <row r="12155" spans="1:9" x14ac:dyDescent="0.3">
      <c r="A12155" s="1" t="s">
        <v>120</v>
      </c>
      <c r="B12155" s="1" t="s">
        <v>256</v>
      </c>
      <c r="C12155" s="1" t="s">
        <v>277</v>
      </c>
      <c r="D12155" s="1" t="s">
        <v>295</v>
      </c>
      <c r="E12155" s="1" t="s">
        <v>386</v>
      </c>
      <c r="F12155" s="1" t="s">
        <v>17209</v>
      </c>
      <c r="G12155" s="1" t="s">
        <v>28</v>
      </c>
      <c r="H12155" s="1" t="s">
        <v>29</v>
      </c>
      <c r="I12155" s="1" t="str">
        <f ca="1">IFERROR(__xludf.DUMMYFUNCTION("GOOGLETRANSLATE(F12155, ""auto"", ""en"")
"),"We bought it the other day, I can’t say much yet, but the price-quality ratio is not bad, when we bought it we compared it as shown by nearby more expensive TVs, this device was a winner, so far there are no complaints, you can also use it as a monitor, i"&amp;"f anything, you can also connect a DVD, it’s a pity there is no input for a flash drive.")</f>
        <v>We bought it the other day, I can’t say much yet, but the price-quality ratio is not bad, when we bought it we compared it as shown by nearby more expensive TVs, this device was a winner, so far there are no complaints, you can also use it as a monitor, if anything, you can also connect a DVD, it’s a pity there is no input for a flash drive.</v>
      </c>
    </row>
    <row r="12156" spans="1:9" x14ac:dyDescent="0.3">
      <c r="A12156" s="1" t="s">
        <v>211</v>
      </c>
      <c r="B12156" s="1" t="s">
        <v>212</v>
      </c>
      <c r="C12156" s="1" t="s">
        <v>381</v>
      </c>
      <c r="D12156" s="1" t="s">
        <v>308</v>
      </c>
      <c r="E12156" s="1" t="s">
        <v>2484</v>
      </c>
      <c r="F12156" s="1" t="s">
        <v>17210</v>
      </c>
      <c r="G12156" s="1" t="s">
        <v>36</v>
      </c>
      <c r="H12156" s="1" t="s">
        <v>29</v>
      </c>
      <c r="I12156" s="1" t="str">
        <f ca="1">IFERROR(__xludf.DUMMYFUNCTION("GOOGLETRANSLATE(F12156, ""auto"", ""en"")
"),"My husband gave me this hairdryer for New Year. And for half a year now it has been serving me well: it dries my hair very quickly, the motor is powerful, the touch sensor is a big plus, you don’t have to turn off the hair dryer when you put it on the she"&amp;"lf to grab a strand!  There is only 1 drawback - it seems a little heavy at the beginning of use, but I got used to its weight after using it a few times!")</f>
        <v>My husband gave me this hairdryer for New Year. And for half a year now it has been serving me well: it dries my hair very quickly, the motor is powerful, the touch sensor is a big plus, you don’t have to turn off the hair dryer when you put it on the shelf to grab a strand!  There is only 1 drawback - it seems a little heavy at the beginning of use, but I got used to its weight after using it a few times!</v>
      </c>
    </row>
    <row r="12157" spans="1:9" x14ac:dyDescent="0.3">
      <c r="A12157" s="1" t="s">
        <v>149</v>
      </c>
      <c r="B12157" s="1" t="s">
        <v>155</v>
      </c>
      <c r="C12157" s="1" t="s">
        <v>80</v>
      </c>
      <c r="D12157" s="1" t="s">
        <v>64</v>
      </c>
      <c r="E12157" s="1" t="s">
        <v>4862</v>
      </c>
      <c r="F12157" s="1" t="s">
        <v>17211</v>
      </c>
      <c r="G12157" s="1" t="s">
        <v>28</v>
      </c>
      <c r="H12157" s="1" t="s">
        <v>29</v>
      </c>
      <c r="I12157" s="1" t="str">
        <f ca="1">IFERROR(__xludf.DUMMYFUNCTION("GOOGLETRANSLATE(F12157, ""auto"", ""en"")
"),"I bought it today - I liked it, I already managed to recommend it to my godfather, for the money it’s a very worthy thing. As for the fact that you need to shake it out often - I don’t know, I probably didn’t have enough dust. True, it is a little electro"&amp;"static.")</f>
        <v>I bought it today - I liked it, I already managed to recommend it to my godfather, for the money it’s a very worthy thing. As for the fact that you need to shake it out often - I don’t know, I probably didn’t have enough dust. True, it is a little electrostatic.</v>
      </c>
    </row>
    <row r="12158" spans="1:9" x14ac:dyDescent="0.3">
      <c r="A12158" s="1" t="s">
        <v>496</v>
      </c>
      <c r="B12158" s="1" t="s">
        <v>497</v>
      </c>
      <c r="C12158" s="1" t="s">
        <v>487</v>
      </c>
      <c r="D12158" s="1" t="s">
        <v>52</v>
      </c>
      <c r="E12158" s="1" t="s">
        <v>7219</v>
      </c>
      <c r="F12158" s="1" t="s">
        <v>17212</v>
      </c>
      <c r="G12158" s="1" t="s">
        <v>36</v>
      </c>
      <c r="H12158" s="1" t="s">
        <v>29</v>
      </c>
      <c r="I12158" s="1" t="str">
        <f ca="1">IFERROR(__xludf.DUMMYFUNCTION("GOOGLETRANSLATE(F12158, ""auto"", ""en"")
"),"Works on 2 operating systems Windows 7 maximum (2 computers) I’m very pleased with the system, it’s intuitive, and if a question arises, it’s convenient to use help through a hint, I advise you to buy it.  P.S. keys can be purchased via the Internet, as a"&amp;" rule, the price of 1 key is no more than 1000 rubles ($30), the key can be checked on the Microsoft website for functionality and legitimacy.")</f>
        <v>Works on 2 operating systems Windows 7 maximum (2 computers) I’m very pleased with the system, it’s intuitive, and if a question arises, it’s convenient to use help through a hint, I advise you to buy it.  P.S. keys can be purchased via the Internet, as a rule, the price of 1 key is no more than 1000 rubles ($30), the key can be checked on the Microsoft website for functionality and legitimacy.</v>
      </c>
    </row>
    <row r="12159" spans="1:9" x14ac:dyDescent="0.3">
      <c r="A12159" s="1" t="s">
        <v>55</v>
      </c>
      <c r="B12159" s="1" t="s">
        <v>56</v>
      </c>
      <c r="C12159" s="1" t="s">
        <v>57</v>
      </c>
      <c r="D12159" s="1" t="s">
        <v>280</v>
      </c>
      <c r="E12159" s="1" t="s">
        <v>3169</v>
      </c>
      <c r="F12159" s="1" t="s">
        <v>17213</v>
      </c>
      <c r="G12159" s="1" t="s">
        <v>28</v>
      </c>
      <c r="H12159" s="1" t="s">
        <v>29</v>
      </c>
      <c r="I12159" s="1" t="str">
        <f ca="1">IFERROR(__xludf.DUMMYFUNCTION("GOOGLETRANSLATE(F12159, ""auto"", ""en"")
"),"We bought it today, everything is fine, but there is one nuance: with an air temperature of +31 in the apartment, and a humidity of 40%, I set the humidity to 60%, it puffs like a steam locomotive, it works, but... the humidity on the display (and therefo"&amp;"re obviously in the room) does not increase in any way... is it a mistake? or am I misunderstanding something???")</f>
        <v>We bought it today, everything is fine, but there is one nuance: with an air temperature of +31 in the apartment, and a humidity of 40%, I set the humidity to 60%, it puffs like a steam locomotive, it works, but... the humidity on the display (and therefore obviously in the room) does not increase in any way... is it a mistake? or am I misunderstanding something???</v>
      </c>
    </row>
    <row r="12160" spans="1:9" x14ac:dyDescent="0.3">
      <c r="A12160" s="1" t="s">
        <v>30</v>
      </c>
      <c r="B12160" s="1" t="s">
        <v>50</v>
      </c>
      <c r="C12160" s="1" t="s">
        <v>32</v>
      </c>
      <c r="D12160" s="1" t="s">
        <v>33</v>
      </c>
      <c r="E12160" s="1" t="s">
        <v>1695</v>
      </c>
      <c r="F12160" s="1" t="s">
        <v>17214</v>
      </c>
      <c r="G12160" s="1" t="s">
        <v>36</v>
      </c>
      <c r="H12160" s="1" t="s">
        <v>29</v>
      </c>
      <c r="I12160" s="1" t="str">
        <f ca="1">IFERROR(__xludf.DUMMYFUNCTION("GOOGLETRANSLATE(F12160, ""auto"", ""en"")
"),"I bought it two weeks ago, spent a long time choosing it and settled on this model, looking for a worthy replacement for a desktop computer. It has everything you need, I really liked the graphics system - modern games do not slow down at medium settings,"&amp;" Jast Cause 2 flies, one minus is a small hard drive, but this can be fixed, in the future I plan to buy a 500 gigabyte one. In general, the machine is what you need, the build quality is excellent, the keyboard is complete, an excellent device for the mo"&amp;"ney")</f>
        <v>I bought it two weeks ago, spent a long time choosing it and settled on this model, looking for a worthy replacement for a desktop computer. It has everything you need, I really liked the graphics system - modern games do not slow down at medium settings, Jast Cause 2 flies, one minus is a small hard drive, but this can be fixed, in the future I plan to buy a 500 gigabyte one. In general, the machine is what you need, the build quality is excellent, the keyboard is complete, an excellent device for the money</v>
      </c>
    </row>
    <row r="12161" spans="1:9" x14ac:dyDescent="0.3">
      <c r="A12161" s="1" t="s">
        <v>211</v>
      </c>
      <c r="B12161" s="1" t="s">
        <v>384</v>
      </c>
      <c r="C12161" s="1" t="s">
        <v>246</v>
      </c>
      <c r="D12161" s="1" t="s">
        <v>52</v>
      </c>
      <c r="E12161" s="1" t="s">
        <v>187</v>
      </c>
      <c r="F12161" s="1" t="s">
        <v>17215</v>
      </c>
      <c r="G12161" s="1" t="s">
        <v>36</v>
      </c>
      <c r="H12161" s="1" t="s">
        <v>29</v>
      </c>
      <c r="I12161" s="1" t="str">
        <f ca="1">IFERROR(__xludf.DUMMYFUNCTION("GOOGLETRANSLATE(F12161, ""auto"", ""en"")
"),"I’ve been using it for 1.5 months, weighing myself after 2-3 days. The weight is shown accurately, you can weigh yourself immediately, without waiting for time, unlike others, since they automatically turn on when you stand on them. The only downside is t"&amp;"hat they creak when weighing, but they are excellent scales.")</f>
        <v>I’ve been using it for 1.5 months, weighing myself after 2-3 days. The weight is shown accurately, you can weigh yourself immediately, without waiting for time, unlike others, since they automatically turn on when you stand on them. The only downside is that they creak when weighing, but they are excellent scales.</v>
      </c>
    </row>
    <row r="12162" spans="1:9" x14ac:dyDescent="0.3">
      <c r="A12162" s="1" t="s">
        <v>120</v>
      </c>
      <c r="B12162" s="1" t="s">
        <v>196</v>
      </c>
      <c r="C12162" s="1" t="s">
        <v>151</v>
      </c>
      <c r="D12162" s="1" t="s">
        <v>10177</v>
      </c>
      <c r="E12162" s="1" t="s">
        <v>3465</v>
      </c>
      <c r="F12162" s="1" t="s">
        <v>17216</v>
      </c>
      <c r="G12162" s="1" t="s">
        <v>36</v>
      </c>
      <c r="H12162" s="1" t="s">
        <v>29</v>
      </c>
      <c r="I12162" s="1" t="str">
        <f ca="1">IFERROR(__xludf.DUMMYFUNCTION("GOOGLETRANSLATE(F12162, ""auto"", ""en"")
"),"I confirm the review dated 09.29.09.  This is an ideal TV paired with a Sony PlayStation.  For this money you can't buy anything better!   The remote control isn't that scary. This is an opinion for everyone's taste and color :)")</f>
        <v>I confirm the review dated 09.29.09.  This is an ideal TV paired with a Sony PlayStation.  For this money you can't buy anything better!   The remote control isn't that scary. This is an opinion for everyone's taste and color :)</v>
      </c>
    </row>
    <row r="12163" spans="1:9" x14ac:dyDescent="0.3">
      <c r="A12163" s="1" t="s">
        <v>67</v>
      </c>
      <c r="B12163" s="1" t="s">
        <v>68</v>
      </c>
      <c r="C12163" s="1" t="s">
        <v>246</v>
      </c>
      <c r="D12163" s="1" t="s">
        <v>471</v>
      </c>
      <c r="E12163" s="1" t="s">
        <v>3337</v>
      </c>
      <c r="F12163" s="1" t="s">
        <v>17217</v>
      </c>
      <c r="G12163" s="1" t="s">
        <v>28</v>
      </c>
      <c r="H12163" s="1" t="s">
        <v>29</v>
      </c>
      <c r="I12163" s="1" t="str">
        <f ca="1">IFERROR(__xludf.DUMMYFUNCTION("GOOGLETRANSLATE(F12163, ""auto"", ""en"")
"),"I read positive reviews about this model, and still decided to buy such an iron. In principle, it works not bad. It irons normally, but I still can’t iron some shirts. I dream of a steamer.")</f>
        <v>I read positive reviews about this model, and still decided to buy such an iron. In principle, it works not bad. It irons normally, but I still can’t iron some shirts. I dream of a steamer.</v>
      </c>
    </row>
    <row r="12164" spans="1:9" x14ac:dyDescent="0.3">
      <c r="A12164" s="1" t="s">
        <v>61</v>
      </c>
      <c r="B12164" s="1" t="s">
        <v>224</v>
      </c>
      <c r="C12164" s="1" t="s">
        <v>85</v>
      </c>
      <c r="D12164" s="1" t="s">
        <v>17218</v>
      </c>
      <c r="E12164" s="1" t="s">
        <v>1395</v>
      </c>
      <c r="F12164" s="1" t="s">
        <v>17219</v>
      </c>
      <c r="G12164" s="1" t="s">
        <v>36</v>
      </c>
      <c r="H12164" s="1" t="s">
        <v>29</v>
      </c>
      <c r="I12164" s="1" t="str">
        <f ca="1">IFERROR(__xludf.DUMMYFUNCTION("GOOGLETRANSLATE(F12164, ""auto"", ""en"")
"),"We were looking for a juicer for everyday squeezing orange juice, since the centrifugal one we bought a long time ago produces juice without pulp. I also know that besides a press, nothing is better at squeezing citrus fruits. The seller at Mvideo immedia"&amp;"tely pointed to the Z800 model, guided by my desire to squeeze a pomegranate. We tried it, it’s a really great squeeze and citrus and pomegranate! Now every morning begins with squeezing an orange and drinking pomegranate juice to strengthen the immune sy"&amp;"stem. Thanks to the Mvideo sellers for their advice in choosing the Bork Z 800 juicer!")</f>
        <v>We were looking for a juicer for everyday squeezing orange juice, since the centrifugal one we bought a long time ago produces juice without pulp. I also know that besides a press, nothing is better at squeezing citrus fruits. The seller at Mvideo immediately pointed to the Z800 model, guided by my desire to squeeze a pomegranate. We tried it, it’s a really great squeeze and citrus and pomegranate! Now every morning begins with squeezing an orange and drinking pomegranate juice to strengthen the immune system. Thanks to the Mvideo sellers for their advice in choosing the Bork Z 800 juicer!</v>
      </c>
    </row>
    <row r="12165" spans="1:9" x14ac:dyDescent="0.3">
      <c r="A12165" s="1" t="s">
        <v>30</v>
      </c>
      <c r="B12165" s="1" t="s">
        <v>50</v>
      </c>
      <c r="C12165" s="1" t="s">
        <v>32</v>
      </c>
      <c r="D12165" s="1" t="s">
        <v>2078</v>
      </c>
      <c r="E12165" s="1" t="s">
        <v>201</v>
      </c>
      <c r="F12165" s="1" t="s">
        <v>17220</v>
      </c>
      <c r="G12165" s="1" t="s">
        <v>36</v>
      </c>
      <c r="H12165" s="1" t="s">
        <v>29</v>
      </c>
      <c r="I12165" s="1" t="str">
        <f ca="1">IFERROR(__xludf.DUMMYFUNCTION("GOOGLETRANSLATE(F12165, ""auto"", ""en"")
"),"I bought this laptop and have never regretted it. Everything works great. The laptop can be said to fly. All modern games run. I was shocked when I launched GTA 4 on high requirements, the game literally flies.   I was very pleased with the sound on the l"&amp;"aptop. The keyboard is conveniently located, the camera is good. In general, take it, you won’t regret it.")</f>
        <v>I bought this laptop and have never regretted it. Everything works great. The laptop can be said to fly. All modern games run. I was shocked when I launched GTA 4 on high requirements, the game literally flies.   I was very pleased with the sound on the laptop. The keyboard is conveniently located, the camera is good. In general, take it, you won’t regret it.</v>
      </c>
    </row>
    <row r="12166" spans="1:9" x14ac:dyDescent="0.3">
      <c r="A12166" s="1" t="s">
        <v>61</v>
      </c>
      <c r="B12166" s="1" t="s">
        <v>145</v>
      </c>
      <c r="C12166" s="1" t="s">
        <v>1981</v>
      </c>
      <c r="D12166" s="1" t="s">
        <v>3456</v>
      </c>
      <c r="E12166" s="1" t="s">
        <v>6916</v>
      </c>
      <c r="F12166" s="1" t="s">
        <v>17221</v>
      </c>
      <c r="G12166" s="1" t="s">
        <v>28</v>
      </c>
      <c r="H12166" s="1" t="s">
        <v>29</v>
      </c>
      <c r="I12166" s="1" t="str">
        <f ca="1">IFERROR(__xludf.DUMMYFUNCTION("GOOGLETRANSLATE(F12166, ""auto"", ""en"")
"),"A very convenient thing, one drawback, in my opinion, is that it cooks for quite a long time. And everything is great. Once ready, a warning signal sounds.")</f>
        <v>A very convenient thing, one drawback, in my opinion, is that it cooks for quite a long time. And everything is great. Once ready, a warning signal sounds.</v>
      </c>
    </row>
    <row r="12167" spans="1:9" x14ac:dyDescent="0.3">
      <c r="A12167" s="1" t="s">
        <v>17</v>
      </c>
      <c r="B12167" s="1" t="s">
        <v>18</v>
      </c>
      <c r="C12167" s="1" t="s">
        <v>290</v>
      </c>
      <c r="D12167" s="1" t="s">
        <v>5570</v>
      </c>
      <c r="E12167" s="1" t="s">
        <v>1225</v>
      </c>
      <c r="F12167" s="1" t="s">
        <v>17222</v>
      </c>
      <c r="G12167" s="1" t="s">
        <v>28</v>
      </c>
      <c r="H12167" s="1" t="s">
        <v>29</v>
      </c>
      <c r="I12167" s="1" t="str">
        <f ca="1">IFERROR(__xludf.DUMMYFUNCTION("GOOGLETRANSLATE(F12167, ""auto"", ""en"")
"),"I've been doing laundry for 2 weeks. First of all, I would like to note the excellent quality of washing. I used the same powder, the laundry was clean at 40 degrees.  There is absolutely no vibration, the legs were carefully adjusted during installation."&amp;"  One of the disadvantages is that with short washing there are traces of powder on dark clothes. You have to rinse extra.")</f>
        <v>I've been doing laundry for 2 weeks. First of all, I would like to note the excellent quality of washing. I used the same powder, the laundry was clean at 40 degrees.  There is absolutely no vibration, the legs were carefully adjusted during installation.  One of the disadvantages is that with short washing there are traces of powder on dark clothes. You have to rinse extra.</v>
      </c>
    </row>
    <row r="12168" spans="1:9" x14ac:dyDescent="0.3">
      <c r="A12168" s="1" t="s">
        <v>67</v>
      </c>
      <c r="B12168" s="1" t="s">
        <v>68</v>
      </c>
      <c r="C12168" s="1" t="s">
        <v>381</v>
      </c>
      <c r="D12168" s="1" t="s">
        <v>589</v>
      </c>
      <c r="E12168" s="1" t="s">
        <v>4581</v>
      </c>
      <c r="F12168" s="1" t="s">
        <v>17223</v>
      </c>
      <c r="G12168" s="1" t="s">
        <v>36</v>
      </c>
      <c r="H12168" s="1" t="s">
        <v>29</v>
      </c>
      <c r="I12168" s="1" t="str">
        <f ca="1">IFERROR(__xludf.DUMMYFUNCTION("GOOGLETRANSLATE(F12168, ""auto"", ""en"")
"),"Buying a Rowenta iron was one of the most successful! I immediately noticed it in the store - I liked the design (the color, the comfortable shape of the spout, besides, there is also a display that shows the selected type of fabric, which is very conveni"&amp;"ent, now you will never burn your favorite things)). I was also pleased that the assembly was made in GERMANY! Well, and most importantly, this is a steam boost - 230 g/min. With such steam and a sole (a large number of holes), ironing is a pleasure! You "&amp;"can even steam vertically, which is also very important! The iron has a built-in motion sensor - steam comes out only when the iron moves, there is no need to frequently add water. Overall, I'm very pleased with the purchase! I recommend it to everyone!!!")</f>
        <v>Buying a Rowenta iron was one of the most successful! I immediately noticed it in the store - I liked the design (the color, the comfortable shape of the spout, besides, there is also a display that shows the selected type of fabric, which is very convenient, now you will never burn your favorite things)). I was also pleased that the assembly was made in GERMANY! Well, and most importantly, this is a steam boost - 230 g/min. With such steam and a sole (a large number of holes), ironing is a pleasure! You can even steam vertically, which is also very important! The iron has a built-in motion sensor - steam comes out only when the iron moves, there is no need to frequently add water. Overall, I'm very pleased with the purchase! I recommend it to everyone!!!</v>
      </c>
    </row>
    <row r="12169" spans="1:9" x14ac:dyDescent="0.3">
      <c r="A12169" s="1" t="s">
        <v>120</v>
      </c>
      <c r="B12169" s="1" t="s">
        <v>126</v>
      </c>
      <c r="C12169" s="1" t="s">
        <v>151</v>
      </c>
      <c r="D12169" s="1" t="s">
        <v>305</v>
      </c>
      <c r="E12169" s="1" t="s">
        <v>3241</v>
      </c>
      <c r="F12169" s="1" t="s">
        <v>17224</v>
      </c>
      <c r="G12169" s="1" t="s">
        <v>28</v>
      </c>
      <c r="H12169" s="1" t="s">
        <v>29</v>
      </c>
      <c r="I12169" s="1" t="str">
        <f ca="1">IFERROR(__xludf.DUMMYFUNCTION("GOOGLETRANSLATE(F12169, ""auto"", ""en"")
"),"I really like the TV, the picture from the flash drive is awesome, but there is one minus, the power supply is humming, apparently cheap))), rating 4+")</f>
        <v>I really like the TV, the picture from the flash drive is awesome, but there is one minus, the power supply is humming, apparently cheap))), rating 4+</v>
      </c>
    </row>
    <row r="12170" spans="1:9" x14ac:dyDescent="0.3">
      <c r="A12170" s="1" t="s">
        <v>624</v>
      </c>
      <c r="B12170" s="1" t="s">
        <v>625</v>
      </c>
      <c r="C12170" s="1" t="s">
        <v>479</v>
      </c>
      <c r="D12170" s="1" t="s">
        <v>114</v>
      </c>
      <c r="E12170" s="1" t="s">
        <v>3872</v>
      </c>
      <c r="F12170" s="1" t="s">
        <v>17225</v>
      </c>
      <c r="G12170" s="1" t="s">
        <v>36</v>
      </c>
      <c r="H12170" s="1" t="s">
        <v>29</v>
      </c>
      <c r="I12170" s="1" t="str">
        <f ca="1">IFERROR(__xludf.DUMMYFUNCTION("GOOGLETRANSLATE(F12170, ""auto"", ""en"")
"),"I bought Heavy Rain Special Edition and display it on the cabinet with the console. And there is no price for it. What are you willing to do for your loved one?")</f>
        <v>I bought Heavy Rain Special Edition and display it on the cabinet with the console. And there is no price for it. What are you willing to do for your loved one?</v>
      </c>
    </row>
    <row r="12171" spans="1:9" x14ac:dyDescent="0.3">
      <c r="A12171" s="1" t="s">
        <v>211</v>
      </c>
      <c r="B12171" s="1" t="s">
        <v>601</v>
      </c>
      <c r="C12171" s="1" t="s">
        <v>69</v>
      </c>
      <c r="D12171" s="1" t="s">
        <v>2412</v>
      </c>
      <c r="E12171" s="1" t="s">
        <v>1136</v>
      </c>
      <c r="F12171" s="1" t="s">
        <v>17226</v>
      </c>
      <c r="G12171" s="1" t="s">
        <v>36</v>
      </c>
      <c r="H12171" s="1" t="s">
        <v>29</v>
      </c>
      <c r="I12171" s="1" t="str">
        <f ca="1">IFERROR(__xludf.DUMMYFUNCTION("GOOGLETRANSLATE(F12171, ""auto"", ""en"")
"),"The set includes three nozzles, soft bristles, and an irrigation effect. The original is what matters!")</f>
        <v>The set includes three nozzles, soft bristles, and an irrigation effect. The original is what matters!</v>
      </c>
    </row>
    <row r="12172" spans="1:9" x14ac:dyDescent="0.3">
      <c r="A12172" s="1" t="s">
        <v>120</v>
      </c>
      <c r="B12172" s="1" t="s">
        <v>834</v>
      </c>
      <c r="C12172" s="1" t="s">
        <v>97</v>
      </c>
      <c r="D12172" s="1" t="s">
        <v>81</v>
      </c>
      <c r="E12172" s="1" t="s">
        <v>3390</v>
      </c>
      <c r="F12172" s="1" t="s">
        <v>17227</v>
      </c>
      <c r="G12172" s="1" t="s">
        <v>36</v>
      </c>
      <c r="H12172" s="1" t="s">
        <v>29</v>
      </c>
      <c r="I12172" s="1" t="str">
        <f ca="1">IFERROR(__xludf.DUMMYFUNCTION("GOOGLETRANSLATE(F12172, ""auto"", ""en"")
"),"I bought this TV yesterday and am absolutely delighted! The sound is excellent, the picture is absolutely lovely! Playing Gran Turismo on PS3 on this TV is simply a masterpiece! I recommend it to everyone!")</f>
        <v>I bought this TV yesterday and am absolutely delighted! The sound is excellent, the picture is absolutely lovely! Playing Gran Turismo on PS3 on this TV is simply a masterpiece! I recommend it to everyone!</v>
      </c>
    </row>
    <row r="12173" spans="1:9" x14ac:dyDescent="0.3">
      <c r="A12173" s="1" t="s">
        <v>55</v>
      </c>
      <c r="B12173" s="1" t="s">
        <v>184</v>
      </c>
      <c r="C12173" s="1" t="s">
        <v>85</v>
      </c>
      <c r="D12173" s="1" t="s">
        <v>1744</v>
      </c>
      <c r="E12173" s="1" t="s">
        <v>580</v>
      </c>
      <c r="F12173" s="1" t="s">
        <v>17228</v>
      </c>
      <c r="G12173" s="1" t="s">
        <v>15</v>
      </c>
      <c r="H12173" s="1" t="s">
        <v>16</v>
      </c>
      <c r="I12173" s="1" t="str">
        <f ca="1">IFERROR(__xludf.DUMMYFUNCTION("GOOGLETRANSLATE(F12173, ""auto"", ""en"")
"),"When working, it smells very strongly of plastic, dries out the air very much, and is noisy, although it heats up quickly and takes up little space.  I don't recommend it because of the plastic smell")</f>
        <v>When working, it smells very strongly of plastic, dries out the air very much, and is noisy, although it heats up quickly and takes up little space.  I don't recommend it because of the plastic smell</v>
      </c>
    </row>
    <row r="12174" spans="1:9" x14ac:dyDescent="0.3">
      <c r="A12174" s="1" t="s">
        <v>206</v>
      </c>
      <c r="B12174" s="1" t="s">
        <v>1349</v>
      </c>
      <c r="C12174" s="1" t="s">
        <v>262</v>
      </c>
      <c r="D12174" s="1" t="s">
        <v>729</v>
      </c>
      <c r="E12174" s="1" t="s">
        <v>363</v>
      </c>
      <c r="F12174" s="1" t="s">
        <v>17229</v>
      </c>
      <c r="G12174" s="1" t="s">
        <v>28</v>
      </c>
      <c r="H12174" s="1" t="s">
        <v>29</v>
      </c>
      <c r="I12174" s="1" t="str">
        <f ca="1">IFERROR(__xludf.DUMMYFUNCTION("GOOGLETRANSLATE(F12174, ""auto"", ""en"")
"),"The main problem is that all the settings are lost when I remove the panel, leaving the panel in the car is dangerous, so I take it home, and every morning I have to tune the radio again. If anyone does not have such a problem, write, otherwise it spoils "&amp;"the whole impression too much.")</f>
        <v>The main problem is that all the settings are lost when I remove the panel, leaving the panel in the car is dangerous, so I take it home, and every morning I have to tune the radio again. If anyone does not have such a problem, write, otherwise it spoils the whole impression too much.</v>
      </c>
    </row>
    <row r="12175" spans="1:9" x14ac:dyDescent="0.3">
      <c r="A12175" s="1" t="s">
        <v>61</v>
      </c>
      <c r="B12175" s="1" t="s">
        <v>145</v>
      </c>
      <c r="C12175" s="1" t="s">
        <v>246</v>
      </c>
      <c r="D12175" s="1" t="s">
        <v>247</v>
      </c>
      <c r="E12175" s="1" t="s">
        <v>1929</v>
      </c>
      <c r="F12175" s="1" t="s">
        <v>17230</v>
      </c>
      <c r="G12175" s="1" t="s">
        <v>49</v>
      </c>
      <c r="H12175" s="1" t="s">
        <v>16</v>
      </c>
      <c r="I12175" s="1" t="str">
        <f ca="1">IFERROR(__xludf.DUMMYFUNCTION("GOOGLETRANSLATE(F12175, ""auto"", ""en"")
"),"The steamer is very convenient in terms of cooking, but it broke down once and after repair it actually caught fire... almost burned down the apartment")</f>
        <v>The steamer is very convenient in terms of cooking, but it broke down once and after repair it actually caught fire... almost burned down the apartment</v>
      </c>
    </row>
    <row r="12176" spans="1:9" x14ac:dyDescent="0.3">
      <c r="A12176" s="1" t="s">
        <v>30</v>
      </c>
      <c r="B12176" s="1" t="s">
        <v>50</v>
      </c>
      <c r="C12176" s="1" t="s">
        <v>1386</v>
      </c>
      <c r="D12176" s="1" t="s">
        <v>172</v>
      </c>
      <c r="E12176" s="1" t="s">
        <v>292</v>
      </c>
      <c r="F12176" s="1" t="s">
        <v>17231</v>
      </c>
      <c r="G12176" s="1" t="s">
        <v>36</v>
      </c>
      <c r="H12176" s="1" t="s">
        <v>29</v>
      </c>
      <c r="I12176" s="1" t="str">
        <f ca="1">IFERROR(__xludf.DUMMYFUNCTION("GOOGLETRANSLATE(F12176, ""auto"", ""en"")
"),"I ran GTA 4 on it quite playably...")</f>
        <v>I ran GTA 4 on it quite playably...</v>
      </c>
    </row>
    <row r="12177" spans="1:9" x14ac:dyDescent="0.3">
      <c r="A12177" s="1" t="s">
        <v>169</v>
      </c>
      <c r="B12177" s="1" t="s">
        <v>170</v>
      </c>
      <c r="C12177" s="1" t="s">
        <v>122</v>
      </c>
      <c r="D12177" s="1" t="s">
        <v>247</v>
      </c>
      <c r="E12177" s="1" t="s">
        <v>4884</v>
      </c>
      <c r="F12177" s="1" t="s">
        <v>17232</v>
      </c>
      <c r="G12177" s="1" t="s">
        <v>36</v>
      </c>
      <c r="H12177" s="1" t="s">
        <v>29</v>
      </c>
      <c r="I12177" s="1" t="str">
        <f ca="1">IFERROR(__xludf.DUMMYFUNCTION("GOOGLETRANSLATE(F12177, ""auto"", ""en"")
"),"They turned out to be surprisingly comfortable for my ears, although I often suffer from the fact that the headphones put pressure on my ears. The sound is quite decent (I watch movies) - much better than my Sony TV. Very pleased with the purchase. For me"&amp;", a very good combination of price and quality.")</f>
        <v>They turned out to be surprisingly comfortable for my ears, although I often suffer from the fact that the headphones put pressure on my ears. The sound is quite decent (I watch movies) - much better than my Sony TV. Very pleased with the purchase. For me, a very good combination of price and quality.</v>
      </c>
    </row>
    <row r="12178" spans="1:9" x14ac:dyDescent="0.3">
      <c r="A12178" s="1" t="s">
        <v>61</v>
      </c>
      <c r="B12178" s="1" t="s">
        <v>62</v>
      </c>
      <c r="C12178" s="1" t="s">
        <v>69</v>
      </c>
      <c r="D12178" s="1" t="s">
        <v>471</v>
      </c>
      <c r="E12178" s="1" t="s">
        <v>3560</v>
      </c>
      <c r="F12178" s="1" t="s">
        <v>17233</v>
      </c>
      <c r="G12178" s="1" t="s">
        <v>36</v>
      </c>
      <c r="H12178" s="1" t="s">
        <v>29</v>
      </c>
      <c r="I12178" s="1" t="str">
        <f ca="1">IFERROR(__xludf.DUMMYFUNCTION("GOOGLETRANSLATE(F12178, ""auto"", ""en"")
"),"I’ve been using it for 7 years now. I use it mercilessly, constantly - I beat the dough for pancakes, and for charlotte, and rub carrots with beets, and cheese, if it’s hard. If it suddenly breaks, I'll buy the same one!  We give it to all our friends and"&amp;" family for the holidays.")</f>
        <v>I’ve been using it for 7 years now. I use it mercilessly, constantly - I beat the dough for pancakes, and for charlotte, and rub carrots with beets, and cheese, if it’s hard. If it suddenly breaks, I'll buy the same one!  We give it to all our friends and family for the holidays.</v>
      </c>
    </row>
    <row r="12179" spans="1:9" x14ac:dyDescent="0.3">
      <c r="A12179" s="1" t="s">
        <v>78</v>
      </c>
      <c r="B12179" s="1" t="s">
        <v>493</v>
      </c>
      <c r="C12179" s="1" t="s">
        <v>122</v>
      </c>
      <c r="D12179" s="1" t="s">
        <v>545</v>
      </c>
      <c r="E12179" s="1" t="s">
        <v>10921</v>
      </c>
      <c r="F12179" s="1" t="s">
        <v>17234</v>
      </c>
      <c r="G12179" s="1" t="s">
        <v>36</v>
      </c>
      <c r="H12179" s="1" t="s">
        <v>29</v>
      </c>
      <c r="I12179" s="1" t="str">
        <f ca="1">IFERROR(__xludf.DUMMYFUNCTION("GOOGLETRANSLATE(F12179, ""auto"", ""en"")
"),"I was attracted first of all by the appearance, suitable for almost any kitchen (which is important for housewives))) the huge internal space allows you to heat up even in large forms, and defrost just 5+")</f>
        <v>I was attracted first of all by the appearance, suitable for almost any kitchen (which is important for housewives))) the huge internal space allows you to heat up even in large forms, and defrost just 5+</v>
      </c>
    </row>
    <row r="12180" spans="1:9" x14ac:dyDescent="0.3">
      <c r="A12180" s="1" t="s">
        <v>61</v>
      </c>
      <c r="B12180" s="1" t="s">
        <v>145</v>
      </c>
      <c r="C12180" s="1" t="s">
        <v>246</v>
      </c>
      <c r="D12180" s="1" t="s">
        <v>75</v>
      </c>
      <c r="E12180" s="1" t="s">
        <v>2557</v>
      </c>
      <c r="F12180" s="1" t="s">
        <v>17235</v>
      </c>
      <c r="G12180" s="1" t="s">
        <v>36</v>
      </c>
      <c r="H12180" s="1" t="s">
        <v>29</v>
      </c>
      <c r="I12180" s="1" t="str">
        <f ca="1">IFERROR(__xludf.DUMMYFUNCTION("GOOGLETRANSLATE(F12180, ""auto"", ""en"")
"),"I received this pancake maker as a gift. At first I openly doubted it, but one day I decided to bake pancakes. It turned out to be very convenient and, most importantly, fast. Much faster and easier than in a frying pan. In addition, the set includes a la"&amp;"dle and a convenient spatula for turning. Just 20 minutes and a whole stack of pancakes is ready. The 1st pancake just happens to need to be turned over while you pour the 4th. Therefore, it’s hard to imagine a similar pancake maker with 6 pancakes.  The "&amp;"only negative is storage, because it still takes up space and the diameter of the pancakes directly on this pancake maker does not allow them to be filled with minced meat, for example, if only rolled into a tube. Otherwise, it’s a very convenient thing, "&amp;"if you suddenly want pancakes, the time savings are VERY noticeable.")</f>
        <v>I received this pancake maker as a gift. At first I openly doubted it, but one day I decided to bake pancakes. It turned out to be very convenient and, most importantly, fast. Much faster and easier than in a frying pan. In addition, the set includes a ladle and a convenient spatula for turning. Just 20 minutes and a whole stack of pancakes is ready. The 1st pancake just happens to need to be turned over while you pour the 4th. Therefore, it’s hard to imagine a similar pancake maker with 6 pancakes.  The only negative is storage, because it still takes up space and the diameter of the pancakes directly on this pancake maker does not allow them to be filled with minced meat, for example, if only rolled into a tube. Otherwise, it’s a very convenient thing, if you suddenly want pancakes, the time savings are VERY noticeable.</v>
      </c>
    </row>
    <row r="12181" spans="1:9" x14ac:dyDescent="0.3">
      <c r="A12181" s="1" t="s">
        <v>120</v>
      </c>
      <c r="B12181" s="1" t="s">
        <v>256</v>
      </c>
      <c r="C12181" s="1" t="s">
        <v>2697</v>
      </c>
      <c r="D12181" s="1" t="s">
        <v>17236</v>
      </c>
      <c r="E12181" s="1" t="s">
        <v>1315</v>
      </c>
      <c r="F12181" s="1" t="s">
        <v>17237</v>
      </c>
      <c r="G12181" s="1" t="s">
        <v>28</v>
      </c>
      <c r="H12181" s="1" t="s">
        <v>29</v>
      </c>
      <c r="I12181" s="1" t="str">
        <f ca="1">IFERROR(__xludf.DUMMYFUNCTION("GOOGLETRANSLATE(F12181, ""auto"", ""en"")
"),"I bought this TV for myself. The advantages are that it has two remote controls, all inputs and outputs, the image is excellent for such a price, but there is one disadvantage - the sound is very high-frequency, which makes the squeaking stop your ears. T"&amp;"herefore, I had to buy computer speakers to correct this situation.")</f>
        <v>I bought this TV for myself. The advantages are that it has two remote controls, all inputs and outputs, the image is excellent for such a price, but there is one disadvantage - the sound is very high-frequency, which makes the squeaking stop your ears. Therefore, I had to buy computer speakers to correct this situation.</v>
      </c>
    </row>
    <row r="12182" spans="1:9" x14ac:dyDescent="0.3">
      <c r="A12182" s="1" t="s">
        <v>9</v>
      </c>
      <c r="B12182" s="1" t="s">
        <v>10</v>
      </c>
      <c r="C12182" s="1" t="s">
        <v>466</v>
      </c>
      <c r="D12182" s="1" t="s">
        <v>521</v>
      </c>
      <c r="E12182" s="1" t="s">
        <v>755</v>
      </c>
      <c r="F12182" s="1" t="s">
        <v>17238</v>
      </c>
      <c r="G12182" s="1" t="s">
        <v>28</v>
      </c>
      <c r="H12182" s="1" t="s">
        <v>29</v>
      </c>
      <c r="I12182" s="1" t="str">
        <f ca="1">IFERROR(__xludf.DUMMYFUNCTION("GOOGLETRANSLATE(F12182, ""auto"", ""en"")
"),"Due to the frequent activation of the backlight, the button became worn out, i.e. The bronze coating was worn off - it became just white. I've been using it for 7 months. Otherwise ok")</f>
        <v>Due to the frequent activation of the backlight, the button became worn out, i.e. The bronze coating was worn off - it became just white. I've been using it for 7 months. Otherwise ok</v>
      </c>
    </row>
    <row r="12183" spans="1:9" x14ac:dyDescent="0.3">
      <c r="A12183" s="1" t="s">
        <v>206</v>
      </c>
      <c r="B12183" s="1" t="s">
        <v>207</v>
      </c>
      <c r="C12183" s="1" t="s">
        <v>351</v>
      </c>
      <c r="D12183" s="1" t="s">
        <v>17239</v>
      </c>
      <c r="E12183" s="1" t="s">
        <v>12269</v>
      </c>
      <c r="F12183" s="1" t="s">
        <v>17240</v>
      </c>
      <c r="G12183" s="1" t="s">
        <v>49</v>
      </c>
      <c r="H12183" s="1" t="s">
        <v>16</v>
      </c>
      <c r="I12183" s="1" t="str">
        <f ca="1">IFERROR(__xludf.DUMMYFUNCTION("GOOGLETRANSLATE(F12183, ""auto"", ""en"")
"),"Don't take it, they immediately wheezed.")</f>
        <v>Don't take it, they immediately wheezed.</v>
      </c>
    </row>
    <row r="12184" spans="1:9" x14ac:dyDescent="0.3">
      <c r="A12184" s="1" t="s">
        <v>211</v>
      </c>
      <c r="B12184" s="1" t="s">
        <v>265</v>
      </c>
      <c r="C12184" s="1" t="s">
        <v>122</v>
      </c>
      <c r="D12184" s="1" t="s">
        <v>114</v>
      </c>
      <c r="E12184" s="1" t="s">
        <v>2455</v>
      </c>
      <c r="F12184" s="1" t="s">
        <v>17241</v>
      </c>
      <c r="G12184" s="1" t="s">
        <v>36</v>
      </c>
      <c r="H12184" s="1" t="s">
        <v>29</v>
      </c>
      <c r="I12184" s="1" t="str">
        <f ca="1">IFERROR(__xludf.DUMMYFUNCTION("GOOGLETRANSLATE(F12184, ""auto"", ""en"")
"),"For this price it is quite an acceptable option. Sturdy body, cuts well, does not pull hair. I was pleased with the purchase.")</f>
        <v>For this price it is quite an acceptable option. Sturdy body, cuts well, does not pull hair. I was pleased with the purchase.</v>
      </c>
    </row>
    <row r="12185" spans="1:9" x14ac:dyDescent="0.3">
      <c r="A12185" s="1" t="s">
        <v>149</v>
      </c>
      <c r="B12185" s="1" t="s">
        <v>576</v>
      </c>
      <c r="C12185" s="1" t="s">
        <v>424</v>
      </c>
      <c r="D12185" s="1" t="s">
        <v>247</v>
      </c>
      <c r="E12185" s="1" t="s">
        <v>920</v>
      </c>
      <c r="F12185" s="1" t="s">
        <v>17242</v>
      </c>
      <c r="G12185" s="1" t="s">
        <v>49</v>
      </c>
      <c r="H12185" s="1" t="s">
        <v>16</v>
      </c>
      <c r="I12185" s="1" t="str">
        <f ca="1">IFERROR(__xludf.DUMMYFUNCTION("GOOGLETRANSLATE(F12185, ""auto"", ""en"")
"),"The vacuum cleaner is quite good for its price. But there is no way to find dust collectors for it.")</f>
        <v>The vacuum cleaner is quite good for its price. But there is no way to find dust collectors for it.</v>
      </c>
    </row>
    <row r="12186" spans="1:9" x14ac:dyDescent="0.3">
      <c r="A12186" s="1" t="s">
        <v>211</v>
      </c>
      <c r="B12186" s="1" t="s">
        <v>1818</v>
      </c>
      <c r="C12186" s="1" t="s">
        <v>213</v>
      </c>
      <c r="D12186" s="1" t="s">
        <v>64</v>
      </c>
      <c r="E12186" s="1" t="s">
        <v>161</v>
      </c>
      <c r="F12186" s="1" t="s">
        <v>17243</v>
      </c>
      <c r="G12186" s="1" t="s">
        <v>36</v>
      </c>
      <c r="H12186" s="1" t="s">
        <v>29</v>
      </c>
      <c r="I12186" s="1" t="str">
        <f ca="1">IFERROR(__xludf.DUMMYFUNCTION("GOOGLETRANSLATE(F12186, ""auto"", ""en"")
"),"The sensations are exotic, apparently due to the ionization effect. When you constantly use this brush, you don’t want to comb your hair with others. I have long thin dry hair and it helps me a lot.")</f>
        <v>The sensations are exotic, apparently due to the ionization effect. When you constantly use this brush, you don’t want to comb your hair with others. I have long thin dry hair and it helps me a lot.</v>
      </c>
    </row>
    <row r="12187" spans="1:9" x14ac:dyDescent="0.3">
      <c r="A12187" s="1" t="s">
        <v>557</v>
      </c>
      <c r="B12187" s="1" t="s">
        <v>558</v>
      </c>
      <c r="C12187" s="1" t="s">
        <v>1921</v>
      </c>
      <c r="D12187" s="1" t="s">
        <v>32</v>
      </c>
      <c r="E12187" s="1" t="s">
        <v>2113</v>
      </c>
      <c r="F12187" s="1" t="s">
        <v>17244</v>
      </c>
      <c r="G12187" s="1" t="s">
        <v>49</v>
      </c>
      <c r="H12187" s="1" t="s">
        <v>16</v>
      </c>
      <c r="I12187" s="1" t="str">
        <f ca="1">IFERROR(__xludf.DUMMYFUNCTION("GOOGLETRANSLATE(F12187, ""auto"", ""en"")
"),"Plus: very beautiful phone Cons: very, very, VERY quiet call. The display is for 100% vision, and nothing less. I had to change it to another phone.")</f>
        <v>Plus: very beautiful phone Cons: very, very, VERY quiet call. The display is for 100% vision, and nothing less. I had to change it to another phone.</v>
      </c>
    </row>
    <row r="12188" spans="1:9" x14ac:dyDescent="0.3">
      <c r="A12188" s="1" t="s">
        <v>169</v>
      </c>
      <c r="B12188" s="1" t="s">
        <v>170</v>
      </c>
      <c r="C12188" s="1" t="s">
        <v>193</v>
      </c>
      <c r="D12188" s="1" t="s">
        <v>11550</v>
      </c>
      <c r="E12188" s="1" t="s">
        <v>680</v>
      </c>
      <c r="F12188" s="1" t="s">
        <v>17245</v>
      </c>
      <c r="G12188" s="1" t="s">
        <v>28</v>
      </c>
      <c r="H12188" s="1" t="s">
        <v>29</v>
      </c>
      <c r="I12188" s="1" t="str">
        <f ca="1">IFERROR(__xludf.DUMMYFUNCTION("GOOGLETRANSLATE(F12188, ""auto"", ""en"")
"),"Good quality sound, the bass is simply super, but after a week of use a crackling sound appears in the left earphone.")</f>
        <v>Good quality sound, the bass is simply super, but after a week of use a crackling sound appears in the left earphone.</v>
      </c>
    </row>
    <row r="12189" spans="1:9" x14ac:dyDescent="0.3">
      <c r="A12189" s="1" t="s">
        <v>95</v>
      </c>
      <c r="B12189" s="1" t="s">
        <v>227</v>
      </c>
      <c r="C12189" s="1" t="s">
        <v>97</v>
      </c>
      <c r="D12189" s="1" t="s">
        <v>1036</v>
      </c>
      <c r="E12189" s="1" t="s">
        <v>1654</v>
      </c>
      <c r="F12189" s="1" t="s">
        <v>17246</v>
      </c>
      <c r="G12189" s="1" t="s">
        <v>36</v>
      </c>
      <c r="H12189" s="1" t="s">
        <v>29</v>
      </c>
      <c r="I12189" s="1" t="str">
        <f ca="1">IFERROR(__xludf.DUMMYFUNCTION("GOOGLETRANSLATE(F12189, ""auto"", ""en"")
"),"I bought it a couple of months ago, I really like it, it works quietly, the games are amazing, I recommend it to everyone, much better than the X-box. The Slim version is much better than the “fat one.”")</f>
        <v>I bought it a couple of months ago, I really like it, it works quietly, the games are amazing, I recommend it to everyone, much better than the X-box. The Slim version is much better than the “fat one.”</v>
      </c>
    </row>
    <row r="12190" spans="1:9" x14ac:dyDescent="0.3">
      <c r="A12190" s="1" t="s">
        <v>67</v>
      </c>
      <c r="B12190" s="1" t="s">
        <v>68</v>
      </c>
      <c r="C12190" s="1" t="s">
        <v>101</v>
      </c>
      <c r="D12190" s="1" t="s">
        <v>565</v>
      </c>
      <c r="E12190" s="1" t="s">
        <v>3861</v>
      </c>
      <c r="F12190" s="1" t="s">
        <v>17247</v>
      </c>
      <c r="G12190" s="1" t="s">
        <v>28</v>
      </c>
      <c r="H12190" s="1" t="s">
        <v>29</v>
      </c>
      <c r="I12190" s="1" t="str">
        <f ca="1">IFERROR(__xludf.DUMMYFUNCTION("GOOGLETRANSLATE(F12190, ""auto"", ""en"")
"),"Purely for the road, perfectly irons thin fabrics. Lightweight, very compact and costs pennies.")</f>
        <v>Purely for the road, perfectly irons thin fabrics. Lightweight, very compact and costs pennies.</v>
      </c>
    </row>
    <row r="12191" spans="1:9" x14ac:dyDescent="0.3">
      <c r="A12191" s="1" t="s">
        <v>30</v>
      </c>
      <c r="B12191" s="1" t="s">
        <v>50</v>
      </c>
      <c r="C12191" s="1" t="s">
        <v>1003</v>
      </c>
      <c r="D12191" s="1" t="s">
        <v>1917</v>
      </c>
      <c r="E12191" s="1" t="s">
        <v>2432</v>
      </c>
      <c r="F12191" s="1" t="s">
        <v>17248</v>
      </c>
      <c r="G12191" s="1" t="s">
        <v>36</v>
      </c>
      <c r="H12191" s="1" t="s">
        <v>29</v>
      </c>
      <c r="I12191" s="1" t="str">
        <f ca="1">IFERROR(__xludf.DUMMYFUNCTION("GOOGLETRANSLATE(F12191, ""auto"", ""en"")
"),"Hello everyone.  I bought this animal before the New Year, of course I was surprised by the low price with discount (at that time 25,999 rubles) And they also gave 3 rubles as a gift. Well done, of course, MVideo.  At first I used Windows 7 Home that was "&amp;"originally installed. Well, I’ll tell you, it’s not a very good package. And 1.7 gigabytes of memory was consuming a lot (data at minimum load). Many. A week later I tore everything down and reinstalled it on 7 professional - the result was all good. Memo"&amp;"ry eats up about 900 meters. I don’t need HP programs, there’s a lot of extra stuff there, but they were just eating up the resource.  Well, now let's start with the problems that I read here and on many other forums about the 6th series pavilions: 1. ---"&amp;"The fan is noisy and annoying.--- In the power settings I set the economy mode. It makes less noise, is not particularly annoying, one might say it is not annoying at all. The fact that it works all the time only calms me down, the iron is ventilated, esp"&amp;"ecially such a powerful one. You only have to change the mode when you turn on powerful toys. Agree, switching back and forth is not difficult.  2. --- Weak screen --- I agree only if a crowd watches something on it. For one user I don’t see any problems,"&amp;" at least I’m not too lazy to change the viewing angle a little.  3. --- It gets very hot --- Yes, what do you want from such hardware, people on stationary computers install additional cooling on the same video card, by the way, the video card on an anim"&amp;"al can compete decently with the GF 9600. And of course, we must not forget about overheating, that is, NEVER cover the ventilation holes with a sofa, pillow, knees, belly, and other parts of the body )))). It’s worth bringing the temperature of the proce"&amp;"ssor to 100 and the video card to 85 (I don’t know exactly) degrees and that’s it, if it continues to work, then it’s a fortune, and if not, then someone will have to use a hairdryer (not to dry the hair))). In general, the most ideal way out of this situ"&amp;"ation (for those who are constantly on the move) is to buy a high-quality cooling pad. Costs approximately 1500r. But you don't have to worry about overheating.  3. --- Constant beeping from the hard drive --- Yes. Yes. Yes. It's annoying. It looks like t"&amp;"his is a disease of this animal. Moreover, the disease itself does not in any way affect performance (with the exception of 1 second of braking, I want to note that I did not notice glitches when squeaking in games). I don’t remember where, but this probl"&amp;"em was described in some forum. There, a person changed the propeller with a speed of not 7200, but 5400. It seems the problem was solved. YES I almost forgot. !!!!! I had to pull the screw out of the laptop for complete formatting, I unscrew the screws, "&amp;"open the lid, and find myself in a state of complete .... Someone already pulled the screw, and the screws were not fully tightened. This problem is also common, it seems to me that this is due to some kind of defective hard drives, and they were either r"&amp;"eplaced or something else, but one thing is clear that all this was done in haste.  4. --- Stained body OH OH OH --- Well, I can only advise one thing. Before using the laptop (opening the lid), wash your hands, feet, etc. THOROUGHLY. and wipe your hands "&amp;"DRY, after which you need to dry them with a hairdryer for a minute. The problem of soiling has been solved)))))).    Result: I am 100% satisfied with the laptop. I think with careful use, this animal should run, jump and enjoy life for another 2 years. T"&amp;"hank you all for your attention.. PS: I took HP because before that I also had HP, who led an extreme lifestyle. He flew, got wet, got sunstroke and frostbite, suffocated in his own bag for an hour and a half, and is still alive. I only freed him from ext"&amp;"reme sports; stop tormenting the animal.")</f>
        <v>Hello everyone.  I bought this animal before the New Year, of course I was surprised by the low price with discount (at that time 25,999 rubles) And they also gave 3 rubles as a gift. Well done, of course, MVideo.  At first I used Windows 7 Home that was originally installed. Well, I’ll tell you, it’s not a very good package. And 1.7 gigabytes of memory was consuming a lot (data at minimum load). Many. A week later I tore everything down and reinstalled it on 7 professional - the result was all good. Memory eats up about 900 meters. I don’t need HP programs, there’s a lot of extra stuff there, but they were just eating up the resource.  Well, now let's start with the problems that I read here and on many other forums about the 6th series pavilions: 1. ---The fan is noisy and annoying.--- In the power settings I set the economy mode. It makes less noise, is not particularly annoying, one might say it is not annoying at all. The fact that it works all the time only calms me down, the iron is ventilated, especially such a powerful one. You only have to change the mode when you turn on powerful toys. Agree, switching back and forth is not difficult.  2. --- Weak screen --- I agree only if a crowd watches something on it. For one user I don’t see any problems, at least I’m not too lazy to change the viewing angle a little.  3. --- It gets very hot --- Yes, what do you want from such hardware, people on stationary computers install additional cooling on the same video card, by the way, the video card on an animal can compete decently with the GF 9600. And of course, we must not forget about overheating, that is, NEVER cover the ventilation holes with a sofa, pillow, knees, belly, and other parts of the body )))). It’s worth bringing the temperature of the processor to 100 and the video card to 85 (I don’t know exactly) degrees and that’s it, if it continues to work, then it’s a fortune, and if not, then someone will have to use a hairdryer (not to dry the hair))). In general, the most ideal way out of this situation (for those who are constantly on the move) is to buy a high-quality cooling pad. Costs approximately 1500r. But you don't have to worry about overheating.  3. --- Constant beeping from the hard drive --- Yes. Yes. Yes. It's annoying. It looks like this is a disease of this animal. Moreover, the disease itself does not in any way affect performance (with the exception of 1 second of braking, I want to note that I did not notice glitches when squeaking in games). I don’t remember where, but this problem was described in some forum. There, a person changed the propeller with a speed of not 7200, but 5400. It seems the problem was solved. YES I almost forgot. !!!!! I had to pull the screw out of the laptop for complete formatting, I unscrew the screws, open the lid, and find myself in a state of complete .... Someone already pulled the screw, and the screws were not fully tightened. This problem is also common, it seems to me that this is due to some kind of defective hard drives, and they were either replaced or something else, but one thing is clear that all this was done in haste.  4. --- Stained body OH OH OH --- Well, I can only advise one thing. Before using the laptop (opening the lid), wash your hands, feet, etc. THOROUGHLY. and wipe your hands DRY, after which you need to dry them with a hairdryer for a minute. The problem of soiling has been solved)))))).    Result: I am 100% satisfied with the laptop. I think with careful use, this animal should run, jump and enjoy life for another 2 years. Thank you all for your attention.. PS: I took HP because before that I also had HP, who led an extreme lifestyle. He flew, got wet, got sunstroke and frostbite, suffocated in his own bag for an hour and a half, and is still alive. I only freed him from extreme sports; stop tormenting the animal.</v>
      </c>
    </row>
    <row r="12192" spans="1:9" x14ac:dyDescent="0.3">
      <c r="A12192" s="1" t="s">
        <v>105</v>
      </c>
      <c r="B12192" s="1" t="s">
        <v>106</v>
      </c>
      <c r="C12192" s="1" t="s">
        <v>107</v>
      </c>
      <c r="D12192" s="1" t="s">
        <v>690</v>
      </c>
      <c r="E12192" s="1" t="s">
        <v>109</v>
      </c>
      <c r="F12192" s="1" t="s">
        <v>17249</v>
      </c>
      <c r="G12192" s="1" t="s">
        <v>36</v>
      </c>
      <c r="H12192" s="1" t="s">
        <v>29</v>
      </c>
      <c r="I12192" s="1" t="str">
        <f ca="1">IFERROR(__xludf.DUMMYFUNCTION("GOOGLETRANSLATE(F12192, ""auto"", ""en"")
"),"I would like to comment on the previous opponent.   I myself am the owner of an 8GB device, but it is the same. Perhaps you came across an unsuccessful copy.  1. Sound - still 5! I've listened to many players in my entire life, and the sound is excellent."&amp;"  2. Sensor - yes, due to the large size of the fingers, one button does not always work, but this is rare. I didn’t tear off the film - even with it it’s quite sensitive.  3. Yes, the screen is loose by about 1mm, but this is normal, because... The scree"&amp;"n is touch-sensitive and implies some physical pressure that must be compensated.  4. Regarding rewinding by one point - yes, the guys screwed up in this regard, but I’m also getting used to it, besides, I reported this to support, maybe with the next fir"&amp;"mware they will reduce the slider or come up with something else... 5. The timer works for me.  6. The translation is correct, no inconsistencies were found.  7. Yes, time flies... But is it needed there at all? :))) 8. My memory card is inserted and remo"&amp;"ved without problems.    Just exchange it for another copy, you just came across one.")</f>
        <v>I would like to comment on the previous opponent.   I myself am the owner of an 8GB device, but it is the same. Perhaps you came across an unsuccessful copy.  1. Sound - still 5! I've listened to many players in my entire life, and the sound is excellent.  2. Sensor - yes, due to the large size of the fingers, one button does not always work, but this is rare. I didn’t tear off the film - even with it it’s quite sensitive.  3. Yes, the screen is loose by about 1mm, but this is normal, because... The screen is touch-sensitive and implies some physical pressure that must be compensated.  4. Regarding rewinding by one point - yes, the guys screwed up in this regard, but I’m also getting used to it, besides, I reported this to support, maybe with the next firmware they will reduce the slider or come up with something else... 5. The timer works for me.  6. The translation is correct, no inconsistencies were found.  7. Yes, time flies... But is it needed there at all? :))) 8. My memory card is inserted and removed without problems.    Just exchange it for another copy, you just came across one.</v>
      </c>
    </row>
    <row r="12193" spans="1:9" x14ac:dyDescent="0.3">
      <c r="A12193" s="1" t="s">
        <v>43</v>
      </c>
      <c r="B12193" s="1" t="s">
        <v>502</v>
      </c>
      <c r="C12193" s="1" t="s">
        <v>151</v>
      </c>
      <c r="D12193" s="1" t="s">
        <v>172</v>
      </c>
      <c r="E12193" s="1" t="s">
        <v>10965</v>
      </c>
      <c r="F12193" s="1" t="s">
        <v>17250</v>
      </c>
      <c r="G12193" s="1" t="s">
        <v>36</v>
      </c>
      <c r="H12193" s="1" t="s">
        <v>29</v>
      </c>
      <c r="I12193" s="1" t="str">
        <f ca="1">IFERROR(__xludf.DUMMYFUNCTION("GOOGLETRANSLATE(F12193, ""auto"", ""en"")
"),"I bought this device on April 30, I was very pleased with the price. Before buying, I read the reviews, watched the video, 90% of people criticize it for its noise, but this didn’t happen to me, the installers were great guys, by the way, I was also lucky"&amp;" with the installation in terms of price. They immediately warned that this model had a lot of defects (before launching they kept their fingers crossed :)) and lo and behold, even without compensating spacers, it does not vibrate at all, does not rumble "&amp;"in turbo mode, it is almost inaudible, the fan on the computer is noisier than it. Cools very quickly, 2 rooms 15m2 and 9m2 in about 7-8 minutes to 22C*. To summarize: I believe that everything depends on the installer, since I am one myself and over 10 y"&amp;"ears of work I have encountered various situations in which 70% is a lack of experience on the part of the specialist, and often there are simply charlotans (or trainees without masters) posing as professionals. Be careful!")</f>
        <v>I bought this device on April 30, I was very pleased with the price. Before buying, I read the reviews, watched the video, 90% of people criticize it for its noise, but this didn’t happen to me, the installers were great guys, by the way, I was also lucky with the installation in terms of price. They immediately warned that this model had a lot of defects (before launching they kept their fingers crossed :)) and lo and behold, even without compensating spacers, it does not vibrate at all, does not rumble in turbo mode, it is almost inaudible, the fan on the computer is noisier than it. Cools very quickly, 2 rooms 15m2 and 9m2 in about 7-8 minutes to 22C*. To summarize: I believe that everything depends on the installer, since I am one myself and over 10 years of work I have encountered various situations in which 70% is a lack of experience on the part of the specialist, and often there are simply charlotans (or trainees without masters) posing as professionals. Be careful!</v>
      </c>
    </row>
    <row r="12194" spans="1:9" x14ac:dyDescent="0.3">
      <c r="A12194" s="1" t="s">
        <v>211</v>
      </c>
      <c r="B12194" s="1" t="s">
        <v>265</v>
      </c>
      <c r="C12194" s="1" t="s">
        <v>1591</v>
      </c>
      <c r="D12194" s="1" t="s">
        <v>46</v>
      </c>
      <c r="E12194" s="1" t="s">
        <v>12148</v>
      </c>
      <c r="F12194" s="1" t="s">
        <v>17251</v>
      </c>
      <c r="G12194" s="1" t="s">
        <v>36</v>
      </c>
      <c r="H12194" s="1" t="s">
        <v>29</v>
      </c>
      <c r="I12194" s="1" t="str">
        <f ca="1">IFERROR(__xludf.DUMMYFUNCTION("GOOGLETRANSLATE(F12194, ""auto"", ""en"")
"),"I have already ordered something from this site. Therefore, the purchase of this clipper came with bonuses. I bought it as a gift for my brother. He is very pleased, he says that he cuts hair well, the blades are high quality and self-sharpening. So I mad"&amp;"e the right choice. I just have babyliss tongs and I like the quality. So I chose a car from their series.")</f>
        <v>I have already ordered something from this site. Therefore, the purchase of this clipper came with bonuses. I bought it as a gift for my brother. He is very pleased, he says that he cuts hair well, the blades are high quality and self-sharpening. So I made the right choice. I just have babyliss tongs and I like the quality. So I chose a car from their series.</v>
      </c>
    </row>
    <row r="12195" spans="1:9" x14ac:dyDescent="0.3">
      <c r="A12195" s="1" t="s">
        <v>17</v>
      </c>
      <c r="B12195" s="1" t="s">
        <v>18</v>
      </c>
      <c r="C12195" s="1" t="s">
        <v>134</v>
      </c>
      <c r="D12195" s="1" t="s">
        <v>5472</v>
      </c>
      <c r="E12195" s="1" t="s">
        <v>164</v>
      </c>
      <c r="F12195" s="1" t="s">
        <v>17252</v>
      </c>
      <c r="G12195" s="1" t="s">
        <v>36</v>
      </c>
      <c r="H12195" s="1" t="s">
        <v>29</v>
      </c>
      <c r="I12195" s="1" t="str">
        <f ca="1">IFERROR(__xludf.DUMMYFUNCTION("GOOGLETRANSLATE(F12195, ""auto"", ""en"")
"),"I wash with this machine and couldn’t be happier, I really like it. I used to have an Ardo, so it poured a lot of water, but this one is economical. It beeps funny when the wash is finished. The quality is good.")</f>
        <v>I wash with this machine and couldn’t be happier, I really like it. I used to have an Ardo, so it poured a lot of water, but this one is economical. It beeps funny when the wash is finished. The quality is good.</v>
      </c>
    </row>
    <row r="12196" spans="1:9" x14ac:dyDescent="0.3">
      <c r="A12196" s="1" t="s">
        <v>557</v>
      </c>
      <c r="B12196" s="1" t="s">
        <v>1977</v>
      </c>
      <c r="C12196" s="1" t="s">
        <v>122</v>
      </c>
      <c r="D12196" s="1" t="s">
        <v>172</v>
      </c>
      <c r="E12196" s="1" t="s">
        <v>15094</v>
      </c>
      <c r="F12196" s="1" t="s">
        <v>17253</v>
      </c>
      <c r="G12196" s="1" t="s">
        <v>36</v>
      </c>
      <c r="H12196" s="1" t="s">
        <v>29</v>
      </c>
      <c r="I12196" s="1" t="str">
        <f ca="1">IFERROR(__xludf.DUMMYFUNCTION("GOOGLETRANSLATE(F12196, ""auto"", ""en"")
"),"A very successful model. It looks complete on its own, and even more so with an iPhone on charge. Moreover, functionally, this is a full-fledged DECT device and can completely work separately from an iPhone. In principle, you can connect any other mobile "&amp;"phone to it via Bluetooth, not just an iPhone, the main thing is that the Bluetooth version is compatible; my smartphone, for example, works great. And my wife now puts her iPhone on the base and proudly charges it)) I’m very pleased.")</f>
        <v>A very successful model. It looks complete on its own, and even more so with an iPhone on charge. Moreover, functionally, this is a full-fledged DECT device and can completely work separately from an iPhone. In principle, you can connect any other mobile phone to it via Bluetooth, not just an iPhone, the main thing is that the Bluetooth version is compatible; my smartphone, for example, works great. And my wife now puts her iPhone on the base and proudly charges it)) I’m very pleased.</v>
      </c>
    </row>
    <row r="12197" spans="1:9" x14ac:dyDescent="0.3">
      <c r="A12197" s="1" t="s">
        <v>149</v>
      </c>
      <c r="B12197" s="1" t="s">
        <v>150</v>
      </c>
      <c r="C12197" s="1" t="s">
        <v>57</v>
      </c>
      <c r="D12197" s="1" t="s">
        <v>474</v>
      </c>
      <c r="E12197" s="1" t="s">
        <v>7735</v>
      </c>
      <c r="F12197" s="1" t="s">
        <v>17254</v>
      </c>
      <c r="G12197" s="1" t="s">
        <v>36</v>
      </c>
      <c r="H12197" s="1" t="s">
        <v>29</v>
      </c>
      <c r="I12197" s="1" t="str">
        <f ca="1">IFERROR(__xludf.DUMMYFUNCTION("GOOGLETRANSLATE(F12197, ""auto"", ""en"")
"),"Convenient, lightweight, inexpensive vacuum cleaner. An irreplaceable thing for everyone who has their own car. During the time that I have been using it, I have actually saved the same amount on cleaning and washing as I paid for it. Then there will be d"&amp;"irect profit) The main advantages of this model (for me) are a comfortable rubberized handle, a long cord, and a long operating time. I don't remember any shortcomings. When used for a very long time, it begins to heat up noticeably, but this is most like"&amp;"ly a natural process rather than a drawback.")</f>
        <v>Convenient, lightweight, inexpensive vacuum cleaner. An irreplaceable thing for everyone who has their own car. During the time that I have been using it, I have actually saved the same amount on cleaning and washing as I paid for it. Then there will be direct profit) The main advantages of this model (for me) are a comfortable rubberized handle, a long cord, and a long operating time. I don't remember any shortcomings. When used for a very long time, it begins to heat up noticeably, but this is most likely a natural process rather than a drawback.</v>
      </c>
    </row>
    <row r="12198" spans="1:9" x14ac:dyDescent="0.3">
      <c r="A12198" s="1" t="s">
        <v>37</v>
      </c>
      <c r="B12198" s="1" t="s">
        <v>38</v>
      </c>
      <c r="C12198" s="1" t="s">
        <v>39</v>
      </c>
      <c r="D12198" s="1" t="s">
        <v>20</v>
      </c>
      <c r="E12198" s="1" t="s">
        <v>1682</v>
      </c>
      <c r="F12198" s="1" t="s">
        <v>17255</v>
      </c>
      <c r="G12198" s="1" t="s">
        <v>36</v>
      </c>
      <c r="H12198" s="1" t="s">
        <v>29</v>
      </c>
      <c r="I12198" s="1" t="str">
        <f ca="1">IFERROR(__xludf.DUMMYFUNCTION("GOOGLETRANSLATE(F12198, ""auto"", ""en"")
"),"The phone is normal, but only when you turn on the phone it slows down. Otherwise everything is fine. Take it, you won’t regret it!!!")</f>
        <v>The phone is normal, but only when you turn on the phone it slows down. Otherwise everything is fine. Take it, you won’t regret it!!!</v>
      </c>
    </row>
    <row r="12199" spans="1:9" x14ac:dyDescent="0.3">
      <c r="A12199" s="1" t="s">
        <v>811</v>
      </c>
      <c r="B12199" s="1" t="s">
        <v>1599</v>
      </c>
      <c r="C12199" s="1" t="s">
        <v>3051</v>
      </c>
      <c r="D12199" s="1" t="s">
        <v>305</v>
      </c>
      <c r="E12199" s="1" t="s">
        <v>1929</v>
      </c>
      <c r="F12199" s="1" t="s">
        <v>17256</v>
      </c>
      <c r="G12199" s="1" t="s">
        <v>36</v>
      </c>
      <c r="H12199" s="1" t="s">
        <v>29</v>
      </c>
      <c r="I12199" s="1" t="str">
        <f ca="1">IFERROR(__xludf.DUMMYFUNCTION("GOOGLETRANSLATE(F12199, ""auto"", ""en"")
"),"Great backpack")</f>
        <v>Great backpack</v>
      </c>
    </row>
    <row r="12200" spans="1:9" x14ac:dyDescent="0.3">
      <c r="A12200" s="1" t="s">
        <v>1443</v>
      </c>
      <c r="B12200" s="1" t="s">
        <v>1444</v>
      </c>
      <c r="C12200" s="1" t="s">
        <v>1489</v>
      </c>
      <c r="D12200" s="1" t="s">
        <v>280</v>
      </c>
      <c r="E12200" s="1" t="s">
        <v>763</v>
      </c>
      <c r="F12200" s="1" t="s">
        <v>17257</v>
      </c>
      <c r="G12200" s="1" t="s">
        <v>36</v>
      </c>
      <c r="H12200" s="1" t="s">
        <v>29</v>
      </c>
      <c r="I12200" s="1" t="str">
        <f ca="1">IFERROR(__xludf.DUMMYFUNCTION("GOOGLETRANSLATE(F12200, ""auto"", ""en"")
"),"Kingston is a fairly well-known manufacturer in certain circles. The reliability of this flash drive is confirmed by a five-year warranty from the manufacturer; you hardly come across such guarantees very often. The speed of copying and transferring infor"&amp;"mation is average, but no one hid the fact that this is USB 2.0. I bought identical 16 GB flash drives for me and my wife, I don’t notice any problems. The disadvantages could be the volume of 14.5 GB, but at this price, the cost of 1 GB is negligible, an"&amp;"d given the name of the manufacturer, this is generally a gift.")</f>
        <v>Kingston is a fairly well-known manufacturer in certain circles. The reliability of this flash drive is confirmed by a five-year warranty from the manufacturer; you hardly come across such guarantees very often. The speed of copying and transferring information is average, but no one hid the fact that this is USB 2.0. I bought identical 16 GB flash drives for me and my wife, I don’t notice any problems. The disadvantages could be the volume of 14.5 GB, but at this price, the cost of 1 GB is negligible, and given the name of the manufacturer, this is generally a gift.</v>
      </c>
    </row>
    <row r="12201" spans="1:9" x14ac:dyDescent="0.3">
      <c r="A12201" s="1" t="s">
        <v>211</v>
      </c>
      <c r="B12201" s="1" t="s">
        <v>265</v>
      </c>
      <c r="C12201" s="1" t="s">
        <v>122</v>
      </c>
      <c r="D12201" s="1" t="s">
        <v>186</v>
      </c>
      <c r="E12201" s="1" t="s">
        <v>13291</v>
      </c>
      <c r="F12201" s="1" t="s">
        <v>17258</v>
      </c>
      <c r="G12201" s="1" t="s">
        <v>1580</v>
      </c>
      <c r="H12201" s="1" t="s">
        <v>29</v>
      </c>
      <c r="I12201" s="1" t="str">
        <f ca="1">IFERROR(__xludf.DUMMYFUNCTION("GOOGLETRANSLATE(F12201, ""auto"", ""en"")
"),"Cuts well")</f>
        <v>Cuts well</v>
      </c>
    </row>
    <row r="12202" spans="1:9" x14ac:dyDescent="0.3">
      <c r="A12202" s="1" t="s">
        <v>61</v>
      </c>
      <c r="B12202" s="1" t="s">
        <v>73</v>
      </c>
      <c r="C12202" s="1" t="s">
        <v>74</v>
      </c>
      <c r="D12202" s="1" t="s">
        <v>17259</v>
      </c>
      <c r="E12202" s="1" t="s">
        <v>15027</v>
      </c>
      <c r="F12202" s="1" t="s">
        <v>17260</v>
      </c>
      <c r="G12202" s="1" t="s">
        <v>28</v>
      </c>
      <c r="H12202" s="1" t="s">
        <v>29</v>
      </c>
      <c r="I12202" s="1" t="str">
        <f ca="1">IFERROR(__xludf.DUMMYFUNCTION("GOOGLETRANSLATE(F12202, ""auto"", ""en"")
"),"I’ve been using it for 5 years, it’s a normal meat grinder, worth the price. Nothing has broken anywhere, and the mount holds. And the meat turns, and the grater helps out!!!")</f>
        <v>I’ve been using it for 5 years, it’s a normal meat grinder, worth the price. Nothing has broken anywhere, and the mount holds. And the meat turns, and the grater helps out!!!</v>
      </c>
    </row>
    <row r="12203" spans="1:9" x14ac:dyDescent="0.3">
      <c r="A12203" s="1" t="s">
        <v>43</v>
      </c>
      <c r="B12203" s="1" t="s">
        <v>303</v>
      </c>
      <c r="C12203" s="1" t="s">
        <v>220</v>
      </c>
      <c r="D12203" s="1" t="s">
        <v>200</v>
      </c>
      <c r="E12203" s="1" t="s">
        <v>5870</v>
      </c>
      <c r="F12203" s="1" t="s">
        <v>2268</v>
      </c>
      <c r="G12203" s="1" t="s">
        <v>49</v>
      </c>
      <c r="H12203" s="1" t="s">
        <v>16</v>
      </c>
      <c r="I12203" s="1" t="str">
        <f ca="1">IFERROR(__xludf.DUMMYFUNCTION("GOOGLETRANSLATE(F12203, ""auto"", ""en"")
"),"No")</f>
        <v>No</v>
      </c>
    </row>
    <row r="12204" spans="1:9" x14ac:dyDescent="0.3">
      <c r="A12204" s="1" t="s">
        <v>373</v>
      </c>
      <c r="B12204" s="1" t="s">
        <v>374</v>
      </c>
      <c r="C12204" s="1" t="s">
        <v>19</v>
      </c>
      <c r="D12204" s="1" t="s">
        <v>152</v>
      </c>
      <c r="E12204" s="1" t="s">
        <v>3461</v>
      </c>
      <c r="F12204" s="1" t="s">
        <v>17261</v>
      </c>
      <c r="G12204" s="1" t="s">
        <v>36</v>
      </c>
      <c r="H12204" s="1" t="s">
        <v>29</v>
      </c>
      <c r="I12204" s="1" t="str">
        <f ca="1">IFERROR(__xludf.DUMMYFUNCTION("GOOGLETRANSLATE(F12204, ""auto"", ""en"")
"),"The dishwasher is awesome! I gave it to my mom and my sister for her anniversary in January! During this time, the dishwasher has proven itself only on the positive side! Tomorrow I'm going to buy it for my home!!! Moreover, the promotion has begun, 5 day"&amp;"s at the purchase price is simply super!!!")</f>
        <v>The dishwasher is awesome! I gave it to my mom and my sister for her anniversary in January! During this time, the dishwasher has proven itself only on the positive side! Tomorrow I'm going to buy it for my home!!! Moreover, the promotion has begun, 5 days at the purchase price is simply super!!!</v>
      </c>
    </row>
    <row r="12205" spans="1:9" x14ac:dyDescent="0.3">
      <c r="A12205" s="1" t="s">
        <v>61</v>
      </c>
      <c r="B12205" s="1" t="s">
        <v>1126</v>
      </c>
      <c r="C12205" s="1" t="s">
        <v>57</v>
      </c>
      <c r="D12205" s="1" t="s">
        <v>81</v>
      </c>
      <c r="E12205" s="1" t="s">
        <v>5119</v>
      </c>
      <c r="F12205" s="1" t="s">
        <v>17262</v>
      </c>
      <c r="G12205" s="1" t="s">
        <v>36</v>
      </c>
      <c r="H12205" s="1" t="s">
        <v>29</v>
      </c>
      <c r="I12205" s="1" t="str">
        <f ca="1">IFERROR(__xludf.DUMMYFUNCTION("GOOGLETRANSLATE(F12205, ""auto"", ""en"")
"),"Bought for a bread machine. In addition, bonus rubles came in handy. Precise, compact and bowl included. Just what you need")</f>
        <v>Bought for a bread machine. In addition, bonus rubles came in handy. Precise, compact and bowl included. Just what you need</v>
      </c>
    </row>
    <row r="12206" spans="1:9" x14ac:dyDescent="0.3">
      <c r="A12206" s="1" t="s">
        <v>37</v>
      </c>
      <c r="B12206" s="1" t="s">
        <v>38</v>
      </c>
      <c r="C12206" s="1" t="s">
        <v>163</v>
      </c>
      <c r="D12206" s="1" t="s">
        <v>568</v>
      </c>
      <c r="E12206" s="1" t="s">
        <v>1975</v>
      </c>
      <c r="F12206" s="1" t="s">
        <v>17263</v>
      </c>
      <c r="G12206" s="1" t="s">
        <v>36</v>
      </c>
      <c r="H12206" s="1" t="s">
        <v>29</v>
      </c>
      <c r="I12206" s="1" t="str">
        <f ca="1">IFERROR(__xludf.DUMMYFUNCTION("GOOGLETRANSLATE(F12206, ""auto"", ""en"")
"),"I recently purchased it. Before this I had a classic 8800. What can I say: + looks very stylish and expensive + heavy, fits nicely in the hand + very good sound, but at max. the volume wheezes, it’s better to set it to 80-90% + the battery lasts, IMHO, ev"&amp;"en longer than the Sirocco - a little slow (even the calculator doesn’t open right away) - in the sun it’s hard to see what’s on the screen, even with max. backlit - there are few unique themes and melodies, although there are a couple of really good ones"&amp;" = a phone for true connoisseurs of the Nokia 8800 P.S. line. If the toad is choking, you can buy the regular 8800 Arte Black. The difference is in appearance, quality of finish and themes.")</f>
        <v>I recently purchased it. Before this I had a classic 8800. What can I say: + looks very stylish and expensive + heavy, fits nicely in the hand + very good sound, but at max. the volume wheezes, it’s better to set it to 80-90% + the battery lasts, IMHO, even longer than the Sirocco - a little slow (even the calculator doesn’t open right away) - in the sun it’s hard to see what’s on the screen, even with max. backlit - there are few unique themes and melodies, although there are a couple of really good ones = a phone for true connoisseurs of the Nokia 8800 P.S. line. If the toad is choking, you can buy the regular 8800 Arte Black. The difference is in appearance, quality of finish and themes.</v>
      </c>
    </row>
    <row r="12207" spans="1:9" x14ac:dyDescent="0.3">
      <c r="A12207" s="1" t="s">
        <v>732</v>
      </c>
      <c r="B12207" s="1" t="s">
        <v>733</v>
      </c>
      <c r="C12207" s="1" t="s">
        <v>80</v>
      </c>
      <c r="D12207" s="1" t="s">
        <v>305</v>
      </c>
      <c r="E12207" s="1" t="s">
        <v>2383</v>
      </c>
      <c r="F12207" s="1" t="s">
        <v>17264</v>
      </c>
      <c r="G12207" s="1" t="s">
        <v>28</v>
      </c>
      <c r="H12207" s="1" t="s">
        <v>29</v>
      </c>
      <c r="I12207" s="1" t="str">
        <f ca="1">IFERROR(__xludf.DUMMYFUNCTION("GOOGLETRANSLATE(F12207, ""auto"", ""en"")
"),"I bought a monitor last week and have no complaints. I recommend it to everyone, the best!")</f>
        <v>I bought a monitor last week and have no complaints. I recommend it to everyone, the best!</v>
      </c>
    </row>
    <row r="12208" spans="1:9" x14ac:dyDescent="0.3">
      <c r="A12208" s="1" t="s">
        <v>61</v>
      </c>
      <c r="B12208" s="1" t="s">
        <v>224</v>
      </c>
      <c r="C12208" s="1" t="s">
        <v>85</v>
      </c>
      <c r="D12208" s="1" t="s">
        <v>1431</v>
      </c>
      <c r="E12208" s="1" t="s">
        <v>9623</v>
      </c>
      <c r="F12208" s="1" t="s">
        <v>17265</v>
      </c>
      <c r="G12208" s="1" t="s">
        <v>28</v>
      </c>
      <c r="H12208" s="1" t="s">
        <v>29</v>
      </c>
      <c r="I12208" s="1" t="str">
        <f ca="1">IFERROR(__xludf.DUMMYFUNCTION("GOOGLETRANSLATE(F12208, ""auto"", ""en"")
"),"We bought it about two years ago. We enjoy fresh juices every day. In the summer at the dacha it was very quick and easy to prepare juice for canning. After preparing the juice, it can be disassembled and assembled without any problems. The mesh did not h"&amp;"ave to be cleaned often, compared to the old juicer, in which it clogged much faster.")</f>
        <v>We bought it about two years ago. We enjoy fresh juices every day. In the summer at the dacha it was very quick and easy to prepare juice for canning. After preparing the juice, it can be disassembled and assembled without any problems. The mesh did not have to be cleaned often, compared to the old juicer, in which it clogged much faster.</v>
      </c>
    </row>
    <row r="12209" spans="1:9" x14ac:dyDescent="0.3">
      <c r="A12209" s="1" t="s">
        <v>37</v>
      </c>
      <c r="B12209" s="1" t="s">
        <v>536</v>
      </c>
      <c r="C12209" s="1" t="s">
        <v>1419</v>
      </c>
      <c r="D12209" s="1" t="s">
        <v>568</v>
      </c>
      <c r="E12209" s="1" t="s">
        <v>1494</v>
      </c>
      <c r="F12209" s="1" t="s">
        <v>17266</v>
      </c>
      <c r="G12209" s="1" t="s">
        <v>36</v>
      </c>
      <c r="H12209" s="1" t="s">
        <v>29</v>
      </c>
      <c r="I12209" s="1" t="str">
        <f ca="1">IFERROR(__xludf.DUMMYFUNCTION("GOOGLETRANSLATE(F12209, ""auto"", ""en"")
"),"People need to be more careful with the USB output. Otherwise, I lost it after half a year. I contacted the service and they fixed it for me. When I came out of warranty it was covered again. And it cannot be repaired, although the entire system is workin"&amp;"g great.")</f>
        <v>People need to be more careful with the USB output. Otherwise, I lost it after half a year. I contacted the service and they fixed it for me. When I came out of warranty it was covered again. And it cannot be repaired, although the entire system is working great.</v>
      </c>
    </row>
    <row r="12210" spans="1:9" x14ac:dyDescent="0.3">
      <c r="A12210" s="1" t="s">
        <v>30</v>
      </c>
      <c r="B12210" s="1" t="s">
        <v>50</v>
      </c>
      <c r="C12210" s="1" t="s">
        <v>151</v>
      </c>
      <c r="D12210" s="1" t="s">
        <v>17267</v>
      </c>
      <c r="E12210" s="1" t="s">
        <v>2565</v>
      </c>
      <c r="F12210" s="1" t="s">
        <v>17268</v>
      </c>
      <c r="G12210" s="1" t="s">
        <v>36</v>
      </c>
      <c r="H12210" s="1" t="s">
        <v>29</v>
      </c>
      <c r="I12210" s="1" t="str">
        <f ca="1">IFERROR(__xludf.DUMMYFUNCTION("GOOGLETRANSLATE(F12210, ""auto"", ""en"")
"),"This is my favorite... just a wonderful laptop =)) buy it, you won’t regret it... in appearance it will not be inferior to expensive laptops, and in content too..")</f>
        <v>This is my favorite... just a wonderful laptop =)) buy it, you won’t regret it... in appearance it will not be inferior to expensive laptops, and in content too..</v>
      </c>
    </row>
    <row r="12211" spans="1:9" x14ac:dyDescent="0.3">
      <c r="A12211" s="1" t="s">
        <v>211</v>
      </c>
      <c r="B12211" s="1" t="s">
        <v>212</v>
      </c>
      <c r="C12211" s="1" t="s">
        <v>63</v>
      </c>
      <c r="D12211" s="1" t="s">
        <v>474</v>
      </c>
      <c r="E12211" s="1" t="s">
        <v>8194</v>
      </c>
      <c r="F12211" s="1" t="s">
        <v>17269</v>
      </c>
      <c r="G12211" s="1" t="s">
        <v>28</v>
      </c>
      <c r="H12211" s="1" t="s">
        <v>29</v>
      </c>
      <c r="I12211" s="1" t="str">
        <f ca="1">IFERROR(__xludf.DUMMYFUNCTION("GOOGLETRANSLATE(F12211, ""auto"", ""en"")
"),"The hairdryer is about 5 years old, it works, doesn’t overheat, but it’s too weak for proper drying, especially at first speed. I dried my hair with a hairdryer, then styled it with a brush, the hair was thick and curly, it straightened and curled the end"&amp;"s well, but it created almost no volume, the third speed was too hot. The hair dryer is lightweight, the buttons are comfortable, very compact. Now I bought a larger hair dryer brush, but I always take this one with me on trips. I recommend it to those wh"&amp;"o have bob and thick hair.")</f>
        <v>The hairdryer is about 5 years old, it works, doesn’t overheat, but it’s too weak for proper drying, especially at first speed. I dried my hair with a hairdryer, then styled it with a brush, the hair was thick and curly, it straightened and curled the ends well, but it created almost no volume, the third speed was too hot. The hair dryer is lightweight, the buttons are comfortable, very compact. Now I bought a larger hair dryer brush, but I always take this one with me on trips. I recommend it to those who have bob and thick hair.</v>
      </c>
    </row>
    <row r="12212" spans="1:9" x14ac:dyDescent="0.3">
      <c r="A12212" s="1" t="s">
        <v>30</v>
      </c>
      <c r="B12212" s="1" t="s">
        <v>50</v>
      </c>
      <c r="C12212" s="1" t="s">
        <v>189</v>
      </c>
      <c r="D12212" s="1" t="s">
        <v>81</v>
      </c>
      <c r="E12212" s="1" t="s">
        <v>1682</v>
      </c>
      <c r="F12212" s="1" t="s">
        <v>17270</v>
      </c>
      <c r="G12212" s="1" t="s">
        <v>15</v>
      </c>
      <c r="H12212" s="1" t="s">
        <v>16</v>
      </c>
      <c r="I12212" s="1" t="str">
        <f ca="1">IFERROR(__xludf.DUMMYFUNCTION("GOOGLETRANSLATE(F12212, ""auto"", ""en"")
"),"I bought the laptop almost a month ago. Before this, I used ASUS X51R for 2.5 years, which I gave to my son. I selected the new one according to the principle “also ASUS, only with more memory and disk.”  The newcomer looked good, both in appearance and i"&amp;"n parameters. Unfortunately, in reality everything is not so rosy.  Due to the fact that the back panel is occupied by the battery, all the connectors have moved to the side panels, naturally in terrible cramped conditions - the DVD tray, for example, run"&amp;"s the risk of catching a plugged-in USB flash drive, and the wires from the mouse, power cable and network cable sticking out from the sides do not decorate the car.  It’s impossible to open the DVD drive normally - you have to press the button with your "&amp;"fingernail at an angle, and this happens about the fifth time; it’s easier to select “Eject” in Explorer so that it opens on its own.  The ventilation hole on the left panel very “pleasantly” blows very hot air onto everything that is nearby, for example "&amp;"your left hand.  The touchpad sometimes reacts inadequately to an accidental touch and can, for example, throw the cursor in the text being typed God knows where.  You can mention a few more unpleasant little things, but the main nuisance was the Windows "&amp;"“Seven” installed on it. Despite the fact that the performance index showed 6.6 for the latest Core i5 processor (out of a maximum of 7.9), the system noticeably slowed down even just when opening and moving windows! Well, okay, the built-in Intel graphic"&amp;"s are really rather weak (index 4.6), but this doesn’t make it any easier for me, because even disabling all the graphics gadgets and switching the graphics balance to maximum performance did nothing. Or is this a feature of 64-bit systems? I wonder what "&amp;"computer parameters are needed so that it does not slow down?  Well, the attempt to install the licensed game ""Metro-2"" ended with Windows taking it without asking and ""restoring the system"", undoing ALL the changes I had made in 2 weeks and rolling b"&amp;"ack to the state at the time of sale... On the same day I demolished this ""monster number 7"" and installed the usual XP, fortunately the drivers for this model are on the ASUS website, and the slowdown of the laptop in XP is at least not so noticeable ("&amp;"but still there, alas).  Final conclusion: 1) Do not chase a new processor - the built-in Intel graphics reduces its advantages to zero;  2) Think about whether you need such an irrational and inconvenient distribution of connectors and drives;  3) And bu"&amp;"y something better.")</f>
        <v>I bought the laptop almost a month ago. Before this, I used ASUS X51R for 2.5 years, which I gave to my son. I selected the new one according to the principle “also ASUS, only with more memory and disk.”  The newcomer looked good, both in appearance and in parameters. Unfortunately, in reality everything is not so rosy.  Due to the fact that the back panel is occupied by the battery, all the connectors have moved to the side panels, naturally in terrible cramped conditions - the DVD tray, for example, runs the risk of catching a plugged-in USB flash drive, and the wires from the mouse, power cable and network cable sticking out from the sides do not decorate the car.  It’s impossible to open the DVD drive normally - you have to press the button with your fingernail at an angle, and this happens about the fifth time; it’s easier to select “Eject” in Explorer so that it opens on its own.  The ventilation hole on the left panel very “pleasantly” blows very hot air onto everything that is nearby, for example your left hand.  The touchpad sometimes reacts inadequately to an accidental touch and can, for example, throw the cursor in the text being typed God knows where.  You can mention a few more unpleasant little things, but the main nuisance was the Windows “Seven” installed on it. Despite the fact that the performance index showed 6.6 for the latest Core i5 processor (out of a maximum of 7.9), the system noticeably slowed down even just when opening and moving windows! Well, okay, the built-in Intel graphics are really rather weak (index 4.6), but this doesn’t make it any easier for me, because even disabling all the graphics gadgets and switching the graphics balance to maximum performance did nothing. Or is this a feature of 64-bit systems? I wonder what computer parameters are needed so that it does not slow down?  Well, the attempt to install the licensed game "Metro-2" ended with Windows taking it without asking and "restoring the system", undoing ALL the changes I had made in 2 weeks and rolling back to the state at the time of sale... On the same day I demolished this "monster number 7" and installed the usual XP, fortunately the drivers for this model are on the ASUS website, and the slowdown of the laptop in XP is at least not so noticeable (but still there, alas).  Final conclusion: 1) Do not chase a new processor - the built-in Intel graphics reduces its advantages to zero;  2) Think about whether you need such an irrational and inconvenient distribution of connectors and drives;  3) And buy something better.</v>
      </c>
    </row>
    <row r="12213" spans="1:9" x14ac:dyDescent="0.3">
      <c r="A12213" s="1" t="s">
        <v>206</v>
      </c>
      <c r="B12213" s="1" t="s">
        <v>261</v>
      </c>
      <c r="C12213" s="1" t="s">
        <v>257</v>
      </c>
      <c r="D12213" s="1" t="s">
        <v>17271</v>
      </c>
      <c r="E12213" s="1" t="s">
        <v>1290</v>
      </c>
      <c r="F12213" s="1" t="s">
        <v>17272</v>
      </c>
      <c r="G12213" s="1" t="s">
        <v>28</v>
      </c>
      <c r="H12213" s="1" t="s">
        <v>29</v>
      </c>
      <c r="I12213" s="1" t="str">
        <f ca="1">IFERROR(__xludf.DUMMYFUNCTION("GOOGLETRANSLATE(F12213, ""auto"", ""en"")
"),"I bought NFT-207, it turned out to be a good thing.  Let's start with the advantages: stylish design, good sound quality especially low frequencies, volume and equalizer adjustment (several fixed settings) from the remote control, and of course, it can wo"&amp;"rk with flash drives. I have it for 8-gigabytes. Cons: small buttons on the display, weak head rotation lock (when pressing buttons you have to support your head with one finger and press with the other), few fixed frequencies and generally adjustable fro"&amp;"m 80, but when you turn off the power and then turn it on it goes to the nearest fixed one. Not very convenient for Moscow. Almost all frequencies are clogged. A slight clicking of frequencies while waiting for the next song.")</f>
        <v>I bought NFT-207, it turned out to be a good thing.  Let's start with the advantages: stylish design, good sound quality especially low frequencies, volume and equalizer adjustment (several fixed settings) from the remote control, and of course, it can work with flash drives. I have it for 8-gigabytes. Cons: small buttons on the display, weak head rotation lock (when pressing buttons you have to support your head with one finger and press with the other), few fixed frequencies and generally adjustable from 80, but when you turn off the power and then turn it on it goes to the nearest fixed one. Not very convenient for Moscow. Almost all frequencies are clogged. A slight clicking of frequencies while waiting for the next song.</v>
      </c>
    </row>
    <row r="12214" spans="1:9" x14ac:dyDescent="0.3">
      <c r="A12214" s="1" t="s">
        <v>17</v>
      </c>
      <c r="B12214" s="1" t="s">
        <v>18</v>
      </c>
      <c r="C12214" s="1" t="s">
        <v>277</v>
      </c>
      <c r="D12214" s="1" t="s">
        <v>474</v>
      </c>
      <c r="E12214" s="1" t="s">
        <v>5244</v>
      </c>
      <c r="F12214" s="1" t="s">
        <v>17273</v>
      </c>
      <c r="G12214" s="1" t="s">
        <v>28</v>
      </c>
      <c r="H12214" s="1" t="s">
        <v>29</v>
      </c>
      <c r="I12214" s="1" t="str">
        <f ca="1">IFERROR(__xludf.DUMMYFUNCTION("GOOGLETRANSLATE(F12214, ""auto"", ""en"")
"),"Great washing machine! We have been using it since 2008, almost every day. (We already bought 2 machines for two rented apartments, and left them there.) I washed everything in it, a huge blanket that exceeds the permissible norms in kg - it can withstand"&amp;" everything! (pah-pah-pah). Of course, there are drawbacks - the quality of the materials from which it is made, but this does not prevent it from washing well.")</f>
        <v>Great washing machine! We have been using it since 2008, almost every day. (We already bought 2 machines for two rented apartments, and left them there.) I washed everything in it, a huge blanket that exceeds the permissible norms in kg - it can withstand everything! (pah-pah-pah). Of course, there are drawbacks - the quality of the materials from which it is made, but this does not prevent it from washing well.</v>
      </c>
    </row>
    <row r="12215" spans="1:9" x14ac:dyDescent="0.3">
      <c r="A12215" s="1" t="s">
        <v>30</v>
      </c>
      <c r="B12215" s="1" t="s">
        <v>31</v>
      </c>
      <c r="C12215" s="1" t="s">
        <v>365</v>
      </c>
      <c r="D12215" s="1" t="s">
        <v>305</v>
      </c>
      <c r="E12215" s="1" t="s">
        <v>849</v>
      </c>
      <c r="F12215" s="1" t="s">
        <v>17274</v>
      </c>
      <c r="G12215" s="1" t="s">
        <v>49</v>
      </c>
      <c r="H12215" s="1" t="s">
        <v>16</v>
      </c>
      <c r="I12215" s="1" t="str">
        <f ca="1">IFERROR(__xludf.DUMMYFUNCTION("GOOGLETRANSLATE(F12215, ""auto"", ""en"")
"),"The processor is powerful, and there is a lot of RAM, BUT there is not enough memory, 384 in total, and it’s internal, you can forget about new games, so whoever buys this computer, buy it for work, not for games!")</f>
        <v>The processor is powerful, and there is a lot of RAM, BUT there is not enough memory, 384 in total, and it’s internal, you can forget about new games, so whoever buys this computer, buy it for work, not for games!</v>
      </c>
    </row>
    <row r="12216" spans="1:9" x14ac:dyDescent="0.3">
      <c r="A12216" s="1" t="s">
        <v>557</v>
      </c>
      <c r="B12216" s="1" t="s">
        <v>558</v>
      </c>
      <c r="C12216" s="1" t="s">
        <v>122</v>
      </c>
      <c r="D12216" s="1" t="s">
        <v>308</v>
      </c>
      <c r="E12216" s="1" t="s">
        <v>9037</v>
      </c>
      <c r="F12216" s="1" t="s">
        <v>17275</v>
      </c>
      <c r="G12216" s="1" t="s">
        <v>36</v>
      </c>
      <c r="H12216" s="1" t="s">
        <v>29</v>
      </c>
      <c r="I12216" s="1" t="str">
        <f ca="1">IFERROR(__xludf.DUMMYFUNCTION("GOOGLETRANSLATE(F12216, ""auto"", ""en"")
"),"Recently bought this phone.  Very happy with the purchase.")</f>
        <v>Recently bought this phone.  Very happy with the purchase.</v>
      </c>
    </row>
    <row r="12217" spans="1:9" x14ac:dyDescent="0.3">
      <c r="A12217" s="1" t="s">
        <v>17</v>
      </c>
      <c r="B12217" s="1" t="s">
        <v>18</v>
      </c>
      <c r="C12217" s="1" t="s">
        <v>63</v>
      </c>
      <c r="D12217" s="1" t="s">
        <v>378</v>
      </c>
      <c r="E12217" s="1" t="s">
        <v>1330</v>
      </c>
      <c r="F12217" s="1" t="s">
        <v>17276</v>
      </c>
      <c r="G12217" s="1" t="s">
        <v>36</v>
      </c>
      <c r="H12217" s="1" t="s">
        <v>29</v>
      </c>
      <c r="I12217" s="1" t="str">
        <f ca="1">IFERROR(__xludf.DUMMYFUNCTION("GOOGLETRANSLATE(F12217, ""auto"", ""en"")
"),"3 years ago I very carefully selected a machine for myself based on various criteria and settled on a Bosch top-loading machine. That machine served faithfully, I was happy with everything. But unfortunately, my husband and I moved to a small apartment an"&amp;"d had to part with that machine (leave it with our parents), because... The dimensions of the apartment did not allow it to be placed anywhere. We chose a new machine only from the Bosch model range, respectively, with front loading, so that it could be b"&amp;"uilt into a closet in the hallway. I liked the machine because of the ability to adjust the water temperature and speed, it’s very convenient. Indication of the remaining time (albeit approximately) too. I tried almost all programs - cotton, synthetics, m"&amp;"ixed fabrics, delicate, fast, super fast. All programs were satisfied. A quick wash really doesn’t really clean it out, I came to the conclusion that with this model it’s an option to renew something that’s been worn a couple of times. Draining, spinning "&amp;"and rinsing also work flawlessly. What I like about Bosch machines is that there are no unnecessary functions. The only drawback I found is the capacity. I was able to put, say, a double blanket into it, but it was close to the touch :-)).")</f>
        <v>3 years ago I very carefully selected a machine for myself based on various criteria and settled on a Bosch top-loading machine. That machine served faithfully, I was happy with everything. But unfortunately, my husband and I moved to a small apartment and had to part with that machine (leave it with our parents), because... The dimensions of the apartment did not allow it to be placed anywhere. We chose a new machine only from the Bosch model range, respectively, with front loading, so that it could be built into a closet in the hallway. I liked the machine because of the ability to adjust the water temperature and speed, it’s very convenient. Indication of the remaining time (albeit approximately) too. I tried almost all programs - cotton, synthetics, mixed fabrics, delicate, fast, super fast. All programs were satisfied. A quick wash really doesn’t really clean it out, I came to the conclusion that with this model it’s an option to renew something that’s been worn a couple of times. Draining, spinning and rinsing also work flawlessly. What I like about Bosch machines is that there are no unnecessary functions. The only drawback I found is the capacity. I was able to put, say, a double blanket into it, but it was close to the touch :-)).</v>
      </c>
    </row>
    <row r="12218" spans="1:9" x14ac:dyDescent="0.3">
      <c r="A12218" s="1" t="s">
        <v>211</v>
      </c>
      <c r="B12218" s="1" t="s">
        <v>212</v>
      </c>
      <c r="C12218" s="1" t="s">
        <v>381</v>
      </c>
      <c r="D12218" s="1" t="s">
        <v>32</v>
      </c>
      <c r="E12218" s="1" t="s">
        <v>3642</v>
      </c>
      <c r="F12218" s="1" t="s">
        <v>17277</v>
      </c>
      <c r="G12218" s="1" t="s">
        <v>36</v>
      </c>
      <c r="H12218" s="1" t="s">
        <v>29</v>
      </c>
      <c r="I12218" s="1" t="str">
        <f ca="1">IFERROR(__xludf.DUMMYFUNCTION("GOOGLETRANSLATE(F12218, ""auto"", ""en"")
"),"I bought this styler yesterday, I like everything, the straightener works like a charm, despite the fact that I straightened my long hair after braids with a bang, I curled my child’s long hair with a small curling iron, everything is fine, it heats up in"&amp;" a minute, I don’t think it takes a long time, and the strands curl quickly, and not like a regular curling iron, in general, girls, take it, you won’t regret it.")</f>
        <v>I bought this styler yesterday, I like everything, the straightener works like a charm, despite the fact that I straightened my long hair after braids with a bang, I curled my child’s long hair with a small curling iron, everything is fine, it heats up in a minute, I don’t think it takes a long time, and the strands curl quickly, and not like a regular curling iron, in general, girls, take it, you won’t regret it.</v>
      </c>
    </row>
    <row r="12219" spans="1:9" x14ac:dyDescent="0.3">
      <c r="A12219" s="1" t="s">
        <v>2087</v>
      </c>
      <c r="B12219" s="1" t="s">
        <v>2088</v>
      </c>
      <c r="C12219" s="1" t="s">
        <v>151</v>
      </c>
      <c r="D12219" s="1" t="s">
        <v>86</v>
      </c>
      <c r="E12219" s="1" t="s">
        <v>2008</v>
      </c>
      <c r="F12219" s="1" t="s">
        <v>17278</v>
      </c>
      <c r="G12219" s="1" t="s">
        <v>28</v>
      </c>
      <c r="H12219" s="1" t="s">
        <v>29</v>
      </c>
      <c r="I12219" s="1" t="str">
        <f ca="1">IFERROR(__xludf.DUMMYFUNCTION("GOOGLETRANSLATE(F12219, ""auto"", ""en"")
"),"I can’t figure out how to implement the following - “Another feature of the Samsung BD-P1600 is the ability to broadcast data in real time from a PC to a TV screen.”    *.mkv - it doesn’t play everything; it doesn’t open some files at all, and on others t"&amp;"he picture jerks.    Blu-ray plays great.")</f>
        <v>I can’t figure out how to implement the following - “Another feature of the Samsung BD-P1600 is the ability to broadcast data in real time from a PC to a TV screen.”    *.mkv - it doesn’t play everything; it doesn’t open some files at all, and on others the picture jerks.    Blu-ray plays great.</v>
      </c>
    </row>
    <row r="12220" spans="1:9" x14ac:dyDescent="0.3">
      <c r="A12220" s="1" t="s">
        <v>206</v>
      </c>
      <c r="B12220" s="1" t="s">
        <v>1253</v>
      </c>
      <c r="C12220" s="1" t="s">
        <v>4464</v>
      </c>
      <c r="D12220" s="1" t="s">
        <v>171</v>
      </c>
      <c r="E12220" s="1" t="s">
        <v>6170</v>
      </c>
      <c r="F12220" s="1" t="s">
        <v>17279</v>
      </c>
      <c r="G12220" s="1" t="s">
        <v>36</v>
      </c>
      <c r="H12220" s="1" t="s">
        <v>29</v>
      </c>
      <c r="I12220" s="1" t="str">
        <f ca="1">IFERROR(__xludf.DUMMYFUNCTION("GOOGLETRANSLATE(F12220, ""auto"", ""en"")
"),"I have more than 2 years of experience using these stations! I took it as soon as it appeared for a summer vacation. Pros - approved for use at all popular resorts in Europe. Therefore, communication within the hotel, airport, beach, etc. and 300 meters a"&amp;"round it is secured. That's enough! The main advantage is compactness and low weight. Disadvantages - holes in the case under the clip and in the battery compartment. Splash protection only. A year ago, one was filled with tanning oil and dried, but there"&amp;" were no consequences. This summer, another was drowned in the sea - it died a couple of days later, along with a Canon camera. I came home, took it apart, washed it with alcohol, it worked, but I lost the communication range. I went to the store and boug"&amp;"ht another set of the same ones! I really liked it! Of course, there are better stations, but they are inferior in size and weight - they are uncomfortable for children! Therefore, I consider G55XT optimal! By the way, the Canon camera dried out and start"&amp;"ed working on its own without any repairs, but at first it constantly showed an inscription on the display - lens error! Like this!")</f>
        <v>I have more than 2 years of experience using these stations! I took it as soon as it appeared for a summer vacation. Pros - approved for use at all popular resorts in Europe. Therefore, communication within the hotel, airport, beach, etc. and 300 meters around it is secured. That's enough! The main advantage is compactness and low weight. Disadvantages - holes in the case under the clip and in the battery compartment. Splash protection only. A year ago, one was filled with tanning oil and dried, but there were no consequences. This summer, another was drowned in the sea - it died a couple of days later, along with a Canon camera. I came home, took it apart, washed it with alcohol, it worked, but I lost the communication range. I went to the store and bought another set of the same ones! I really liked it! Of course, there are better stations, but they are inferior in size and weight - they are uncomfortable for children! Therefore, I consider G55XT optimal! By the way, the Canon camera dried out and started working on its own without any repairs, but at first it constantly showed an inscription on the display - lens error! Like this!</v>
      </c>
    </row>
    <row r="12221" spans="1:9" x14ac:dyDescent="0.3">
      <c r="A12221" s="1" t="s">
        <v>624</v>
      </c>
      <c r="B12221" s="1" t="s">
        <v>625</v>
      </c>
      <c r="C12221" s="1" t="s">
        <v>479</v>
      </c>
      <c r="D12221" s="1" t="s">
        <v>152</v>
      </c>
      <c r="E12221" s="1" t="s">
        <v>820</v>
      </c>
      <c r="F12221" s="1" t="s">
        <v>17280</v>
      </c>
      <c r="G12221" s="1" t="s">
        <v>36</v>
      </c>
      <c r="H12221" s="1" t="s">
        <v>29</v>
      </c>
      <c r="I12221" s="1" t="str">
        <f ca="1">IFERROR(__xludf.DUMMYFUNCTION("GOOGLETRANSLATE(F12221, ""auto"", ""en"")
"),"Scary and super game, great graphics")</f>
        <v>Scary and super game, great graphics</v>
      </c>
    </row>
    <row r="12222" spans="1:9" x14ac:dyDescent="0.3">
      <c r="A12222" s="1" t="s">
        <v>17</v>
      </c>
      <c r="B12222" s="1" t="s">
        <v>18</v>
      </c>
      <c r="C12222" s="1" t="s">
        <v>151</v>
      </c>
      <c r="D12222" s="1" t="s">
        <v>152</v>
      </c>
      <c r="E12222" s="1" t="s">
        <v>1245</v>
      </c>
      <c r="F12222" s="1" t="s">
        <v>17281</v>
      </c>
      <c r="G12222" s="1" t="s">
        <v>36</v>
      </c>
      <c r="H12222" s="1" t="s">
        <v>29</v>
      </c>
      <c r="I12222" s="1" t="str">
        <f ca="1">IFERROR(__xludf.DUMMYFUNCTION("GOOGLETRANSLATE(F12222, ""auto"", ""en"")
"),"Excellent machine. Washes great. Quiet.")</f>
        <v>Excellent machine. Washes great. Quiet.</v>
      </c>
    </row>
    <row r="12223" spans="1:9" x14ac:dyDescent="0.3">
      <c r="A12223" s="1" t="s">
        <v>43</v>
      </c>
      <c r="B12223" s="1" t="s">
        <v>334</v>
      </c>
      <c r="C12223" s="1" t="s">
        <v>101</v>
      </c>
      <c r="D12223" s="1" t="s">
        <v>1659</v>
      </c>
      <c r="E12223" s="1" t="s">
        <v>17282</v>
      </c>
      <c r="F12223" s="1" t="s">
        <v>17283</v>
      </c>
      <c r="G12223" s="1" t="s">
        <v>36</v>
      </c>
      <c r="H12223" s="1" t="s">
        <v>29</v>
      </c>
      <c r="I12223" s="1" t="str">
        <f ca="1">IFERROR(__xludf.DUMMYFUNCTION("GOOGLETRANSLATE(F12223, ""auto"", ""en"")
"),"We've been using it for the second week and so far so good. I bought it because it’s compact, very convenient for a small apartment. It is not noisy. The air moves well.  The quality matches the price.")</f>
        <v>We've been using it for the second week and so far so good. I bought it because it’s compact, very convenient for a small apartment. It is not noisy. The air moves well.  The quality matches the price.</v>
      </c>
    </row>
    <row r="12224" spans="1:9" x14ac:dyDescent="0.3">
      <c r="A12224" s="1" t="s">
        <v>211</v>
      </c>
      <c r="B12224" s="1" t="s">
        <v>212</v>
      </c>
      <c r="C12224" s="1" t="s">
        <v>69</v>
      </c>
      <c r="D12224" s="1" t="s">
        <v>1188</v>
      </c>
      <c r="E12224" s="1" t="s">
        <v>4231</v>
      </c>
      <c r="F12224" s="1" t="s">
        <v>17284</v>
      </c>
      <c r="G12224" s="1" t="s">
        <v>36</v>
      </c>
      <c r="H12224" s="1" t="s">
        <v>29</v>
      </c>
      <c r="I12224" s="1" t="str">
        <f ca="1">IFERROR(__xludf.DUMMYFUNCTION("GOOGLETRANSLATE(F12224, ""auto"", ""en"")
"),"I bought a hairdryer a couple of days ago, the price is good, the packaging is convenient when folded, the hairdryer sits very comfortably in the hand, not heavy, powerful, I dried my long hair in 10 minutes.. I needed a hairdryer with a lower power for a"&amp;"bout 30 minutes... I’m very pleased with the purchase... life will tell about longevity")</f>
        <v>I bought a hairdryer a couple of days ago, the price is good, the packaging is convenient when folded, the hairdryer sits very comfortably in the hand, not heavy, powerful, I dried my long hair in 10 minutes.. I needed a hairdryer with a lower power for about 30 minutes... I’m very pleased with the purchase... life will tell about longevity</v>
      </c>
    </row>
    <row r="12225" spans="1:9" x14ac:dyDescent="0.3">
      <c r="A12225" s="1" t="s">
        <v>61</v>
      </c>
      <c r="B12225" s="1" t="s">
        <v>224</v>
      </c>
      <c r="C12225" s="1" t="s">
        <v>213</v>
      </c>
      <c r="D12225" s="1" t="s">
        <v>14443</v>
      </c>
      <c r="E12225" s="1" t="s">
        <v>3975</v>
      </c>
      <c r="F12225" s="1" t="s">
        <v>17285</v>
      </c>
      <c r="G12225" s="1" t="s">
        <v>36</v>
      </c>
      <c r="H12225" s="1" t="s">
        <v>29</v>
      </c>
      <c r="I12225" s="1" t="str">
        <f ca="1">IFERROR(__xludf.DUMMYFUNCTION("GOOGLETRANSLATE(F12225, ""auto"", ""en"")
"),"It works quietly, is easy to clean, plastic does not stink as usual.  Two oranges make 220 ml. juice I am very pleased with the purchase!!!!")</f>
        <v>It works quietly, is easy to clean, plastic does not stink as usual.  Two oranges make 220 ml. juice I am very pleased with the purchase!!!!</v>
      </c>
    </row>
    <row r="12226" spans="1:9" x14ac:dyDescent="0.3">
      <c r="A12226" s="1" t="s">
        <v>17</v>
      </c>
      <c r="B12226" s="1" t="s">
        <v>18</v>
      </c>
      <c r="C12226" s="1" t="s">
        <v>243</v>
      </c>
      <c r="D12226" s="1" t="s">
        <v>12</v>
      </c>
      <c r="E12226" s="1" t="s">
        <v>8166</v>
      </c>
      <c r="F12226" s="1" t="s">
        <v>17286</v>
      </c>
      <c r="G12226" s="1" t="s">
        <v>36</v>
      </c>
      <c r="H12226" s="1" t="s">
        <v>29</v>
      </c>
      <c r="I12226" s="1" t="str">
        <f ca="1">IFERROR(__xludf.DUMMYFUNCTION("GOOGLETRANSLATE(F12226, ""auto"", ""en"")
"),"I bought the machine a month ago, I’m satisfied with everything, it washes well, bleaches, squeezes out very well in general, there is, of course, one drawback that the drum is very narrow, but everything works fine. I am very pleased with this assistant.")</f>
        <v>I bought the machine a month ago, I’m satisfied with everything, it washes well, bleaches, squeezes out very well in general, there is, of course, one drawback that the drum is very narrow, but everything works fine. I am very pleased with this assistant.</v>
      </c>
    </row>
    <row r="12227" spans="1:9" x14ac:dyDescent="0.3">
      <c r="A12227" s="1" t="s">
        <v>211</v>
      </c>
      <c r="B12227" s="1" t="s">
        <v>384</v>
      </c>
      <c r="C12227" s="1" t="s">
        <v>101</v>
      </c>
      <c r="D12227" s="1" t="s">
        <v>13899</v>
      </c>
      <c r="E12227" s="1" t="s">
        <v>2780</v>
      </c>
      <c r="F12227" s="1" t="s">
        <v>17287</v>
      </c>
      <c r="G12227" s="1" t="s">
        <v>36</v>
      </c>
      <c r="H12227" s="1" t="s">
        <v>29</v>
      </c>
      <c r="I12227" s="1" t="str">
        <f ca="1">IFERROR(__xludf.DUMMYFUNCTION("GOOGLETRANSLATE(F12227, ""auto"", ""en"")
"),"I bought it about a month ago from m-video, I’m very pleased.    - the display is good - clear numbers, everything is visible, no need to bend over and look closely.    - they don’t lie - if you weigh yourself, get off the scale, walk around the room and "&amp;"stand on it again - the weight is shown exactly the same.    good scales, I recommend)")</f>
        <v>I bought it about a month ago from m-video, I’m very pleased.    - the display is good - clear numbers, everything is visible, no need to bend over and look closely.    - they don’t lie - if you weigh yourself, get off the scale, walk around the room and stand on it again - the weight is shown exactly the same.    good scales, I recommend)</v>
      </c>
    </row>
    <row r="12228" spans="1:9" x14ac:dyDescent="0.3">
      <c r="A12228" s="1" t="s">
        <v>61</v>
      </c>
      <c r="B12228" s="1" t="s">
        <v>145</v>
      </c>
      <c r="C12228" s="1" t="s">
        <v>85</v>
      </c>
      <c r="D12228" s="1" t="s">
        <v>471</v>
      </c>
      <c r="E12228" s="1" t="s">
        <v>4386</v>
      </c>
      <c r="F12228" s="1" t="s">
        <v>17288</v>
      </c>
      <c r="G12228" s="1" t="s">
        <v>28</v>
      </c>
      <c r="H12228" s="1" t="s">
        <v>29</v>
      </c>
      <c r="I12228" s="1" t="str">
        <f ca="1">IFERROR(__xludf.DUMMYFUNCTION("GOOGLETRANSLATE(F12228, ""auto"", ""en"")
"),"3 independent cooking tanks")</f>
        <v>3 independent cooking tanks</v>
      </c>
    </row>
    <row r="12229" spans="1:9" x14ac:dyDescent="0.3">
      <c r="A12229" s="1" t="s">
        <v>211</v>
      </c>
      <c r="B12229" s="1" t="s">
        <v>212</v>
      </c>
      <c r="C12229" s="1" t="s">
        <v>266</v>
      </c>
      <c r="D12229" s="1" t="s">
        <v>896</v>
      </c>
      <c r="E12229" s="1" t="s">
        <v>883</v>
      </c>
      <c r="F12229" s="1" t="s">
        <v>17289</v>
      </c>
      <c r="G12229" s="1" t="s">
        <v>36</v>
      </c>
      <c r="H12229" s="1" t="s">
        <v>29</v>
      </c>
      <c r="I12229" s="1" t="str">
        <f ca="1">IFERROR(__xludf.DUMMYFUNCTION("GOOGLETRANSLATE(F12229, ""auto"", ""en"")
"),"great multistyler!  Heats up quickly and curls hair well!  I'm happy")</f>
        <v>great multistyler!  Heats up quickly and curls hair well!  I'm happy</v>
      </c>
    </row>
    <row r="12230" spans="1:9" x14ac:dyDescent="0.3">
      <c r="A12230" s="1" t="s">
        <v>624</v>
      </c>
      <c r="B12230" s="1" t="s">
        <v>625</v>
      </c>
      <c r="C12230" s="1" t="s">
        <v>479</v>
      </c>
      <c r="D12230" s="1" t="s">
        <v>6118</v>
      </c>
      <c r="E12230" s="1" t="s">
        <v>947</v>
      </c>
      <c r="F12230" s="1" t="s">
        <v>17290</v>
      </c>
      <c r="G12230" s="1" t="s">
        <v>36</v>
      </c>
      <c r="H12230" s="1" t="s">
        <v>29</v>
      </c>
      <c r="I12230" s="1" t="str">
        <f ca="1">IFERROR(__xludf.DUMMYFUNCTION("GOOGLETRANSLATE(F12230, ""auto"", ""en"")
"),"This game is the best masterpiece on the PS3, incredibly cinematic, a great plot that can turn out any way at any moment, in general, this game is a must buy, and if you don’t have a PS3, then it’s worth buying both at once.")</f>
        <v>This game is the best masterpiece on the PS3, incredibly cinematic, a great plot that can turn out any way at any moment, in general, this game is a must buy, and if you don’t have a PS3, then it’s worth buying both at once.</v>
      </c>
    </row>
    <row r="12231" spans="1:9" x14ac:dyDescent="0.3">
      <c r="A12231" s="1" t="s">
        <v>373</v>
      </c>
      <c r="B12231" s="1" t="s">
        <v>374</v>
      </c>
      <c r="C12231" s="1" t="s">
        <v>24</v>
      </c>
      <c r="D12231" s="1" t="s">
        <v>20</v>
      </c>
      <c r="E12231" s="1" t="s">
        <v>1273</v>
      </c>
      <c r="F12231" s="1" t="s">
        <v>17291</v>
      </c>
      <c r="G12231" s="1" t="s">
        <v>49</v>
      </c>
      <c r="H12231" s="1" t="s">
        <v>16</v>
      </c>
      <c r="I12231" s="1" t="str">
        <f ca="1">IFERROR(__xludf.DUMMYFUNCTION("GOOGLETRANSLATE(F12231, ""auto"", ""en"")
"),"Bought because of the low price. The dishes are washed immediately after eating with a minus 3, if the leftover food has dried out, the dishes are not washed at all. It stood for a month and was safely scrapped. I consider it a waste of money!")</f>
        <v>Bought because of the low price. The dishes are washed immediately after eating with a minus 3, if the leftover food has dried out, the dishes are not washed at all. It stood for a month and was safely scrapped. I consider it a waste of money!</v>
      </c>
    </row>
    <row r="12232" spans="1:9" x14ac:dyDescent="0.3">
      <c r="A12232" s="1" t="s">
        <v>43</v>
      </c>
      <c r="B12232" s="1" t="s">
        <v>334</v>
      </c>
      <c r="C12232" s="1" t="s">
        <v>101</v>
      </c>
      <c r="D12232" s="1" t="s">
        <v>12</v>
      </c>
      <c r="E12232" s="1" t="s">
        <v>3673</v>
      </c>
      <c r="F12232" s="1" t="s">
        <v>17292</v>
      </c>
      <c r="G12232" s="1" t="s">
        <v>36</v>
      </c>
      <c r="H12232" s="1" t="s">
        <v>29</v>
      </c>
      <c r="I12232" s="1" t="str">
        <f ca="1">IFERROR(__xludf.DUMMYFUNCTION("GOOGLETRANSLATE(F12232, ""auto"", ""en"")
"),"We bought this fan 1.5 months ago. Very pleased. It works silently.")</f>
        <v>We bought this fan 1.5 months ago. Very pleased. It works silently.</v>
      </c>
    </row>
    <row r="12233" spans="1:9" x14ac:dyDescent="0.3">
      <c r="A12233" s="1" t="s">
        <v>206</v>
      </c>
      <c r="B12233" s="1" t="s">
        <v>2026</v>
      </c>
      <c r="C12233" s="1" t="s">
        <v>2425</v>
      </c>
      <c r="D12233" s="1" t="s">
        <v>17293</v>
      </c>
      <c r="E12233" s="1" t="s">
        <v>960</v>
      </c>
      <c r="F12233" s="1" t="s">
        <v>17294</v>
      </c>
      <c r="G12233" s="1" t="s">
        <v>28</v>
      </c>
      <c r="H12233" s="1" t="s">
        <v>29</v>
      </c>
      <c r="I12233" s="1" t="str">
        <f ca="1">IFERROR(__xludf.DUMMYFUNCTION("GOOGLETRANSLATE(F12233, ""auto"", ""en"")
"),"I bought it a month ago. I use it often and in general I’m happy, it’s very good for a device of this class! Thanks M.Video!)))")</f>
        <v>I bought it a month ago. I use it often and in general I’m happy, it’s very good for a device of this class! Thanks M.Video!)))</v>
      </c>
    </row>
    <row r="12234" spans="1:9" x14ac:dyDescent="0.3">
      <c r="A12234" s="1" t="s">
        <v>211</v>
      </c>
      <c r="B12234" s="1" t="s">
        <v>856</v>
      </c>
      <c r="C12234" s="1" t="s">
        <v>57</v>
      </c>
      <c r="D12234" s="1" t="s">
        <v>17295</v>
      </c>
      <c r="E12234" s="1" t="s">
        <v>7187</v>
      </c>
      <c r="F12234" s="1" t="s">
        <v>17296</v>
      </c>
      <c r="G12234" s="1" t="s">
        <v>36</v>
      </c>
      <c r="H12234" s="1" t="s">
        <v>29</v>
      </c>
      <c r="I12234" s="1" t="str">
        <f ca="1">IFERROR(__xludf.DUMMYFUNCTION("GOOGLETRANSLATE(F12234, ""auto"", ""en"")
"),"Recently purchased a set). Appearance is great! There are really a lot of attachments, I think it’s suitable for any nails. In general, I’ll go further to deal with this miracle).")</f>
        <v>Recently purchased a set). Appearance is great! There are really a lot of attachments, I think it’s suitable for any nails. In general, I’ll go further to deal with this miracle).</v>
      </c>
    </row>
    <row r="12235" spans="1:9" x14ac:dyDescent="0.3">
      <c r="A12235" s="1" t="s">
        <v>120</v>
      </c>
      <c r="B12235" s="1" t="s">
        <v>256</v>
      </c>
      <c r="C12235" s="1" t="s">
        <v>97</v>
      </c>
      <c r="D12235" s="1" t="s">
        <v>11833</v>
      </c>
      <c r="E12235" s="1" t="s">
        <v>750</v>
      </c>
      <c r="F12235" s="1" t="s">
        <v>17297</v>
      </c>
      <c r="G12235" s="1" t="s">
        <v>36</v>
      </c>
      <c r="H12235" s="1" t="s">
        <v>29</v>
      </c>
      <c r="I12235" s="1" t="str">
        <f ca="1">IFERROR(__xludf.DUMMYFUNCTION("GOOGLETRANSLATE(F12235, ""auto"", ""en"")
"),"I was very pleased with the TV, the picture quality is excellent, the sound is excellent, it’s especially pleasant to watch DVDs and the like, a very convenient remote control compared to Samsung and JVC has teletext - who cares, nice design!!!!")</f>
        <v>I was very pleased with the TV, the picture quality is excellent, the sound is excellent, it’s especially pleasant to watch DVDs and the like, a very convenient remote control compared to Samsung and JVC has teletext - who cares, nice design!!!!</v>
      </c>
    </row>
    <row r="12236" spans="1:9" x14ac:dyDescent="0.3">
      <c r="A12236" s="1" t="s">
        <v>169</v>
      </c>
      <c r="B12236" s="1" t="s">
        <v>170</v>
      </c>
      <c r="C12236" s="1" t="s">
        <v>193</v>
      </c>
      <c r="D12236" s="1" t="s">
        <v>17298</v>
      </c>
      <c r="E12236" s="1" t="s">
        <v>1332</v>
      </c>
      <c r="F12236" s="1" t="s">
        <v>17299</v>
      </c>
      <c r="G12236" s="1" t="s">
        <v>36</v>
      </c>
      <c r="H12236" s="1" t="s">
        <v>29</v>
      </c>
      <c r="I12236" s="1" t="str">
        <f ca="1">IFERROR(__xludf.DUMMYFUNCTION("GOOGLETRANSLATE(F12236, ""auto"", ""en"")
"),"Great headphones! I work every day, at first there was a little pressure but it went away, the sound is excellent, the closed type is of high quality.  After purchase, I advise you to warm it up (at maximum volume for ~2-5 hours) otherwise they may wheeze"&amp;" on the high frequencies, just like any other new headphones!  I'm happy with the purchase, very happy indeed!")</f>
        <v>Great headphones! I work every day, at first there was a little pressure but it went away, the sound is excellent, the closed type is of high quality.  After purchase, I advise you to warm it up (at maximum volume for ~2-5 hours) otherwise they may wheeze on the high frequencies, just like any other new headphones!  I'm happy with the purchase, very happy indeed!</v>
      </c>
    </row>
    <row r="12237" spans="1:9" x14ac:dyDescent="0.3">
      <c r="A12237" s="1" t="s">
        <v>67</v>
      </c>
      <c r="B12237" s="1" t="s">
        <v>68</v>
      </c>
      <c r="C12237" s="1" t="s">
        <v>69</v>
      </c>
      <c r="D12237" s="1" t="s">
        <v>467</v>
      </c>
      <c r="E12237" s="1" t="s">
        <v>2410</v>
      </c>
      <c r="F12237" s="1" t="s">
        <v>17300</v>
      </c>
      <c r="G12237" s="1" t="s">
        <v>36</v>
      </c>
      <c r="H12237" s="1" t="s">
        <v>29</v>
      </c>
      <c r="I12237" s="1" t="str">
        <f ca="1">IFERROR(__xludf.DUMMYFUNCTION("GOOGLETRANSLATE(F12237, ""auto"", ""en"")
"),"I really like the iron. my mom has one and I bought it for myself, it irons just great, Philips is an excellent iron)))")</f>
        <v>I really like the iron. my mom has one and I bought it for myself, it irons just great, Philips is an excellent iron)))</v>
      </c>
    </row>
    <row r="12238" spans="1:9" x14ac:dyDescent="0.3">
      <c r="A12238" s="1" t="s">
        <v>120</v>
      </c>
      <c r="B12238" s="1" t="s">
        <v>256</v>
      </c>
      <c r="C12238" s="1" t="s">
        <v>80</v>
      </c>
      <c r="D12238" s="1" t="s">
        <v>17301</v>
      </c>
      <c r="E12238" s="1" t="s">
        <v>1450</v>
      </c>
      <c r="F12238" s="1" t="s">
        <v>17302</v>
      </c>
      <c r="G12238" s="1" t="s">
        <v>36</v>
      </c>
      <c r="H12238" s="1" t="s">
        <v>29</v>
      </c>
      <c r="I12238" s="1" t="str">
        <f ca="1">IFERROR(__xludf.DUMMYFUNCTION("GOOGLETRANSLATE(F12238, ""auto"", ""en"")
"),"TV is what you need! I liked the picture quality, the size, and the very convenient function of the built-in DVD player. No extra needed. buy equipment. I'm already buying my third one. Convenient for children.")</f>
        <v>TV is what you need! I liked the picture quality, the size, and the very convenient function of the built-in DVD player. No extra needed. buy equipment. I'm already buying my third one. Convenient for children.</v>
      </c>
    </row>
    <row r="12239" spans="1:9" x14ac:dyDescent="0.3">
      <c r="A12239" s="1" t="s">
        <v>211</v>
      </c>
      <c r="B12239" s="1" t="s">
        <v>212</v>
      </c>
      <c r="C12239" s="1" t="s">
        <v>381</v>
      </c>
      <c r="D12239" s="1" t="s">
        <v>247</v>
      </c>
      <c r="E12239" s="1" t="s">
        <v>5013</v>
      </c>
      <c r="F12239" s="1" t="s">
        <v>17303</v>
      </c>
      <c r="G12239" s="1" t="s">
        <v>36</v>
      </c>
      <c r="H12239" s="1" t="s">
        <v>29</v>
      </c>
      <c r="I12239" s="1" t="str">
        <f ca="1">IFERROR(__xludf.DUMMYFUNCTION("GOOGLETRANSLATE(F12239, ""auto"", ""en"")
"),"I have been using this hairdryer for over 3 years! My hair below my shoulders is slightly curly - a hairdryer makes it fuller, smoother, flowing and gives my hair a well-groomed look, slightly curling the ends and individual curls. Mom also used my hairdr"&amp;"yer - she had a bob. I had to give her the same one, because... In the morning we raced to the hairdryer. This summer we left one hairdryer on vacation with my grandmother, so the other day I’m buying this hairdryer again, the third in a row! Of the minus"&amp;"es: - the brush really fluffs up over time, - the brush flies off if you don’t fully click the mount; - one hair dryer began to overheat and turn off (this is the second hair dryer, which was purchased later than the first).")</f>
        <v>I have been using this hairdryer for over 3 years! My hair below my shoulders is slightly curly - a hairdryer makes it fuller, smoother, flowing and gives my hair a well-groomed look, slightly curling the ends and individual curls. Mom also used my hairdryer - she had a bob. I had to give her the same one, because... In the morning we raced to the hairdryer. This summer we left one hairdryer on vacation with my grandmother, so the other day I’m buying this hairdryer again, the third in a row! Of the minuses: - the brush really fluffs up over time, - the brush flies off if you don’t fully click the mount; - one hair dryer began to overheat and turn off (this is the second hair dryer, which was purchased later than the first).</v>
      </c>
    </row>
    <row r="12240" spans="1:9" x14ac:dyDescent="0.3">
      <c r="A12240" s="1" t="s">
        <v>61</v>
      </c>
      <c r="B12240" s="1" t="s">
        <v>73</v>
      </c>
      <c r="C12240" s="1" t="s">
        <v>85</v>
      </c>
      <c r="D12240" s="1" t="s">
        <v>1188</v>
      </c>
      <c r="E12240" s="1" t="s">
        <v>717</v>
      </c>
      <c r="F12240" s="1" t="s">
        <v>17304</v>
      </c>
      <c r="G12240" s="1" t="s">
        <v>49</v>
      </c>
      <c r="H12240" s="1" t="s">
        <v>16</v>
      </c>
      <c r="I12240" s="1" t="str">
        <f ca="1">IFERROR(__xludf.DUMMYFUNCTION("GOOGLETRANSLATE(F12240, ""auto"", ""en"")
"),"I recently bought a BORK MG RNP 1215 WT electric meat grinder - I used it only 2 times, both unsuccessfully - after 5 minutes. the grate is clogged tightly, the end result is not minced meat, but porridge, the knife does not fit tightly to the grate and t"&amp;"he knife itself is somehow crooked, it is completely unclear why this equipment is positioned as a premium class, in fact it is complete garbage, VERY sorry for the money spent (((it’s a pity that I didn’t read the reviews before buying, but fell for adve"&amp;"rtising ((((")</f>
        <v>I recently bought a BORK MG RNP 1215 WT electric meat grinder - I used it only 2 times, both unsuccessfully - after 5 minutes. the grate is clogged tightly, the end result is not minced meat, but porridge, the knife does not fit tightly to the grate and the knife itself is somehow crooked, it is completely unclear why this equipment is positioned as a premium class, in fact it is complete garbage, VERY sorry for the money spent (((it’s a pity that I didn’t read the reviews before buying, but fell for advertising ((((</v>
      </c>
    </row>
    <row r="12241" spans="1:9" x14ac:dyDescent="0.3">
      <c r="A12241" s="1" t="s">
        <v>120</v>
      </c>
      <c r="B12241" s="1" t="s">
        <v>121</v>
      </c>
      <c r="C12241" s="1" t="s">
        <v>69</v>
      </c>
      <c r="D12241" s="1" t="s">
        <v>52</v>
      </c>
      <c r="E12241" s="1" t="s">
        <v>1527</v>
      </c>
      <c r="F12241" s="1" t="s">
        <v>17305</v>
      </c>
      <c r="G12241" s="1" t="s">
        <v>36</v>
      </c>
      <c r="H12241" s="1" t="s">
        <v>29</v>
      </c>
      <c r="I12241" s="1" t="str">
        <f ca="1">IFERROR(__xludf.DUMMYFUNCTION("GOOGLETRANSLATE(F12241, ""auto"", ""en"")
"),"I really liked it, it doesn’t buzz and heats up quite a bit, it doesn’t look like a stove at all, the volume is adjustable when playing from a flash drive, the indicator just doesn’t show a large but tolerable drawback, the lack of Russian letters on the "&amp;"remote control had to write down the names of the channels with the remote control in one hand and with a mobile phone in the other, the computer via VGA works with a resolution of 1200x1600 via HDMI I didn’t connect it, I don’t know a lot of connectors, "&amp;"an excellent choice, bought a month ago, very happy with everything")</f>
        <v>I really liked it, it doesn’t buzz and heats up quite a bit, it doesn’t look like a stove at all, the volume is adjustable when playing from a flash drive, the indicator just doesn’t show a large but tolerable drawback, the lack of Russian letters on the remote control had to write down the names of the channels with the remote control in one hand and with a mobile phone in the other, the computer via VGA works with a resolution of 1200x1600 via HDMI I didn’t connect it, I don’t know a lot of connectors, an excellent choice, bought a month ago, very happy with everything</v>
      </c>
    </row>
    <row r="12242" spans="1:9" x14ac:dyDescent="0.3">
      <c r="A12242" s="1" t="s">
        <v>211</v>
      </c>
      <c r="B12242" s="1" t="s">
        <v>212</v>
      </c>
      <c r="C12242" s="1" t="s">
        <v>453</v>
      </c>
      <c r="D12242" s="1" t="s">
        <v>247</v>
      </c>
      <c r="E12242" s="1" t="s">
        <v>332</v>
      </c>
      <c r="F12242" s="1" t="s">
        <v>17306</v>
      </c>
      <c r="G12242" s="1" t="s">
        <v>36</v>
      </c>
      <c r="H12242" s="1" t="s">
        <v>29</v>
      </c>
      <c r="I12242" s="1" t="str">
        <f ca="1">IFERROR(__xludf.DUMMYFUNCTION("GOOGLETRANSLATE(F12242, ""auto"", ""en"")
"),"I bought it for my niece. She showed me how to handle it so that my hair would be straight. Since I work in a salon, I know all the intricacies. And even very curly and coarse hair, makes it straight. Doesn't dry out, doesn't tug. In general, she is happy"&amp;". But those who write that he can’t pull it off. They just don’t know how to handle such equipment.")</f>
        <v>I bought it for my niece. She showed me how to handle it so that my hair would be straight. Since I work in a salon, I know all the intricacies. And even very curly and coarse hair, makes it straight. Doesn't dry out, doesn't tug. In general, she is happy. But those who write that he can’t pull it off. They just don’t know how to handle such equipment.</v>
      </c>
    </row>
    <row r="12243" spans="1:9" x14ac:dyDescent="0.3">
      <c r="A12243" s="1" t="s">
        <v>61</v>
      </c>
      <c r="B12243" s="1" t="s">
        <v>434</v>
      </c>
      <c r="C12243" s="1" t="s">
        <v>101</v>
      </c>
      <c r="D12243" s="1" t="s">
        <v>565</v>
      </c>
      <c r="E12243" s="1" t="s">
        <v>15449</v>
      </c>
      <c r="F12243" s="1" t="s">
        <v>17307</v>
      </c>
      <c r="G12243" s="1" t="s">
        <v>36</v>
      </c>
      <c r="H12243" s="1" t="s">
        <v>29</v>
      </c>
      <c r="I12243" s="1" t="str">
        <f ca="1">IFERROR(__xludf.DUMMYFUNCTION("GOOGLETRANSLATE(F12243, ""auto"", ""en"")
"),"The oven is super!!!! I’ve been using it for almost a year now. It cooks everything perfectly, I almost stopped cooking with gas. I’m very happy, I recommend it!!!")</f>
        <v>The oven is super!!!! I’ve been using it for almost a year now. It cooks everything perfectly, I almost stopped cooking with gas. I’m very happy, I recommend it!!!</v>
      </c>
    </row>
    <row r="12244" spans="1:9" x14ac:dyDescent="0.3">
      <c r="A12244" s="1" t="s">
        <v>373</v>
      </c>
      <c r="B12244" s="1" t="s">
        <v>374</v>
      </c>
      <c r="C12244" s="1" t="s">
        <v>243</v>
      </c>
      <c r="D12244" s="1" t="s">
        <v>385</v>
      </c>
      <c r="E12244" s="1" t="s">
        <v>2131</v>
      </c>
      <c r="F12244" s="1" t="s">
        <v>17308</v>
      </c>
      <c r="G12244" s="1" t="s">
        <v>36</v>
      </c>
      <c r="H12244" s="1" t="s">
        <v>29</v>
      </c>
      <c r="I12244" s="1" t="str">
        <f ca="1">IFERROR(__xludf.DUMMYFUNCTION("GOOGLETRANSLATE(F12244, ""auto"", ""en"")
"),"We were given a car as a wedding gift. At first I thought, well, why do I need it? But sometimes she helps out so much!! Especially when there are guests))) Easy to use, cleans well, in general I really like it)))")</f>
        <v>We were given a car as a wedding gift. At first I thought, well, why do I need it? But sometimes she helps out so much!! Especially when there are guests))) Easy to use, cleans well, in general I really like it)))</v>
      </c>
    </row>
    <row r="12245" spans="1:9" x14ac:dyDescent="0.3">
      <c r="A12245" s="1" t="s">
        <v>211</v>
      </c>
      <c r="B12245" s="1" t="s">
        <v>212</v>
      </c>
      <c r="C12245" s="1" t="s">
        <v>294</v>
      </c>
      <c r="D12245" s="1" t="s">
        <v>64</v>
      </c>
      <c r="E12245" s="1" t="s">
        <v>2636</v>
      </c>
      <c r="F12245" s="1" t="s">
        <v>17309</v>
      </c>
      <c r="G12245" s="1" t="s">
        <v>28</v>
      </c>
      <c r="H12245" s="1" t="s">
        <v>29</v>
      </c>
      <c r="I12245" s="1" t="str">
        <f ca="1">IFERROR(__xludf.DUMMYFUNCTION("GOOGLETRANSLATE(F12245, ""auto"", ""en"")
"),"The hairdryer is good, I've been using it for more than a year. The only negative for me is that I didn’t notice that the handle doesn’t fold - it takes up a lot of space.")</f>
        <v>The hairdryer is good, I've been using it for more than a year. The only negative for me is that I didn’t notice that the handle doesn’t fold - it takes up a lot of space.</v>
      </c>
    </row>
    <row r="12246" spans="1:9" x14ac:dyDescent="0.3">
      <c r="A12246" s="1" t="s">
        <v>61</v>
      </c>
      <c r="B12246" s="1" t="s">
        <v>318</v>
      </c>
      <c r="C12246" s="1" t="s">
        <v>246</v>
      </c>
      <c r="D12246" s="1" t="s">
        <v>545</v>
      </c>
      <c r="E12246" s="1" t="s">
        <v>1084</v>
      </c>
      <c r="F12246" s="1" t="s">
        <v>17310</v>
      </c>
      <c r="G12246" s="1" t="s">
        <v>36</v>
      </c>
      <c r="H12246" s="1" t="s">
        <v>29</v>
      </c>
      <c r="I12246" s="1" t="str">
        <f ca="1">IFERROR(__xludf.DUMMYFUNCTION("GOOGLETRANSLATE(F12246, ""auto"", ""en"")
"),"We have been using this kettle for 10 years now and are very pleased, it does not make noise like others, it is easily installed on a stand and always turns off when it boils. Buy it, you won’t go wrong!!!")</f>
        <v>We have been using this kettle for 10 years now and are very pleased, it does not make noise like others, it is easily installed on a stand and always turns off when it boils. Buy it, you won’t go wrong!!!</v>
      </c>
    </row>
    <row r="12247" spans="1:9" x14ac:dyDescent="0.3">
      <c r="A12247" s="1" t="s">
        <v>43</v>
      </c>
      <c r="B12247" s="1" t="s">
        <v>502</v>
      </c>
      <c r="C12247" s="1" t="s">
        <v>122</v>
      </c>
      <c r="D12247" s="1" t="s">
        <v>2145</v>
      </c>
      <c r="E12247" s="1" t="s">
        <v>883</v>
      </c>
      <c r="F12247" s="1" t="s">
        <v>17311</v>
      </c>
      <c r="G12247" s="1" t="s">
        <v>36</v>
      </c>
      <c r="H12247" s="1" t="s">
        <v>29</v>
      </c>
      <c r="I12247" s="1" t="str">
        <f ca="1">IFERROR(__xludf.DUMMYFUNCTION("GOOGLETRANSLATE(F12247, ""auto"", ""en"")
"),"Purchased in May, and purposefully Panasonic, installed in June. It copes with its functions, namely cooling, perfectly. It quickly cools not only the room where it is installed, but also the other two (Khrushchev). It works almost silently (the external "&amp;"unit is not audible at all, the internal one makes noise like a floor fan only at maximum speed. Installed by craftsmen from Argo-Service, very professionally. Slowly, but quickly. There are design flaws, but I think they are insignificant.")</f>
        <v>Purchased in May, and purposefully Panasonic, installed in June. It copes with its functions, namely cooling, perfectly. It quickly cools not only the room where it is installed, but also the other two (Khrushchev). It works almost silently (the external unit is not audible at all, the internal one makes noise like a floor fan only at maximum speed. Installed by craftsmen from Argo-Service, very professionally. Slowly, but quickly. There are design flaws, but I think they are insignificant.</v>
      </c>
    </row>
    <row r="12248" spans="1:9" x14ac:dyDescent="0.3">
      <c r="A12248" s="1" t="s">
        <v>105</v>
      </c>
      <c r="B12248" s="1" t="s">
        <v>106</v>
      </c>
      <c r="C12248" s="1" t="s">
        <v>1921</v>
      </c>
      <c r="D12248" s="1" t="s">
        <v>17312</v>
      </c>
      <c r="E12248" s="1" t="s">
        <v>3769</v>
      </c>
      <c r="F12248" s="1" t="s">
        <v>17313</v>
      </c>
      <c r="G12248" s="1" t="s">
        <v>28</v>
      </c>
      <c r="H12248" s="1" t="s">
        <v>29</v>
      </c>
      <c r="I12248" s="1" t="str">
        <f ca="1">IFERROR(__xludf.DUMMYFUNCTION("GOOGLETRANSLATE(F12248, ""auto"", ""en"")
"),"I saw this player in the M-Video store. He caught my attention more than others. I immediately realized: I’m saving money and buying. I went to this site, read the reviews... Now I don’t know. The confusing thing is that the player takes 4 hours to charge"&amp;". I don't have that much time to charge it. But the fact that it works for 4 hours is basically normal, I don’t listen to music all day. And the safety of the product depends on its handling... =\")</f>
        <v>I saw this player in the M-Video store. He caught my attention more than others. I immediately realized: I’m saving money and buying. I went to this site, read the reviews... Now I don’t know. The confusing thing is that the player takes 4 hours to charge. I don't have that much time to charge it. But the fact that it works for 4 hours is basically normal, I don’t listen to music all day. And the safety of the product depends on its handling... =\</v>
      </c>
    </row>
    <row r="12249" spans="1:9" x14ac:dyDescent="0.3">
      <c r="A12249" s="1" t="s">
        <v>477</v>
      </c>
      <c r="B12249" s="1" t="s">
        <v>478</v>
      </c>
      <c r="C12249" s="1" t="s">
        <v>479</v>
      </c>
      <c r="D12249" s="1" t="s">
        <v>172</v>
      </c>
      <c r="E12249" s="1" t="s">
        <v>511</v>
      </c>
      <c r="F12249" s="1" t="s">
        <v>17314</v>
      </c>
      <c r="G12249" s="1" t="s">
        <v>15</v>
      </c>
      <c r="H12249" s="1" t="s">
        <v>16</v>
      </c>
      <c r="I12249" s="1" t="str">
        <f ca="1">IFERROR(__xludf.DUMMYFUNCTION("GOOGLETRANSLATE(F12249, ""auto"", ""en"")
"),"I'll say one thing! The game is not worth the money!!! Nonsense, the missions are the same type, I usually complete new games in one go, but here I had to take a break from the game!!!")</f>
        <v>I'll say one thing! The game is not worth the money!!! Nonsense, the missions are the same type, I usually complete new games in one go, but here I had to take a break from the game!!!</v>
      </c>
    </row>
    <row r="12250" spans="1:9" x14ac:dyDescent="0.3">
      <c r="A12250" s="1" t="s">
        <v>120</v>
      </c>
      <c r="B12250" s="1" t="s">
        <v>121</v>
      </c>
      <c r="C12250" s="1" t="s">
        <v>658</v>
      </c>
      <c r="D12250" s="1" t="s">
        <v>875</v>
      </c>
      <c r="E12250" s="1" t="s">
        <v>2733</v>
      </c>
      <c r="F12250" s="1" t="s">
        <v>17315</v>
      </c>
      <c r="G12250" s="1" t="s">
        <v>28</v>
      </c>
      <c r="H12250" s="1" t="s">
        <v>29</v>
      </c>
      <c r="I12250" s="1" t="str">
        <f ca="1">IFERROR(__xludf.DUMMYFUNCTION("GOOGLETRANSLATE(F12250, ""auto"", ""en"")
"),"excellent TV, I'm happy")</f>
        <v>excellent TV, I'm happy</v>
      </c>
    </row>
    <row r="12251" spans="1:9" x14ac:dyDescent="0.3">
      <c r="A12251" s="1" t="s">
        <v>211</v>
      </c>
      <c r="B12251" s="1" t="s">
        <v>265</v>
      </c>
      <c r="C12251" s="1" t="s">
        <v>266</v>
      </c>
      <c r="D12251" s="1" t="s">
        <v>417</v>
      </c>
      <c r="E12251" s="1" t="s">
        <v>3247</v>
      </c>
      <c r="F12251" s="1" t="s">
        <v>17316</v>
      </c>
      <c r="G12251" s="1" t="s">
        <v>36</v>
      </c>
      <c r="H12251" s="1" t="s">
        <v>29</v>
      </c>
      <c r="I12251" s="1" t="str">
        <f ca="1">IFERROR(__xludf.DUMMYFUNCTION("GOOGLETRANSLATE(F12251, ""auto"", ""en"")
"),"Excellent trimmer, cuts short hairs. I lost the blade from my old one and bought the same one. Very pleased.")</f>
        <v>Excellent trimmer, cuts short hairs. I lost the blade from my old one and bought the same one. Very pleased.</v>
      </c>
    </row>
    <row r="12252" spans="1:9" x14ac:dyDescent="0.3">
      <c r="A12252" s="1" t="s">
        <v>211</v>
      </c>
      <c r="B12252" s="1" t="s">
        <v>212</v>
      </c>
      <c r="C12252" s="1" t="s">
        <v>57</v>
      </c>
      <c r="D12252" s="1" t="s">
        <v>545</v>
      </c>
      <c r="E12252" s="1" t="s">
        <v>8027</v>
      </c>
      <c r="F12252" s="1" t="s">
        <v>17317</v>
      </c>
      <c r="G12252" s="1" t="s">
        <v>36</v>
      </c>
      <c r="H12252" s="1" t="s">
        <v>29</v>
      </c>
      <c r="I12252" s="1" t="str">
        <f ca="1">IFERROR(__xludf.DUMMYFUNCTION("GOOGLETRANSLATE(F12252, ""auto"", ""en"")
"),"Girls, the model is super, take it - you won’t regret it  In this price range there is unlikely to be another equally successful model. Although it costs a little money, I prefer to make any purchases wisely, so I chose the tongs for a long time and care"&amp;"fully, at approximately the same price, I compared the appearance, workmanship, materials, and set of functions.  I chose this particular model because of the comfortable handle, the long cord with a rotating mount (because I know very well how it feels w"&amp;"hen you twist everything in your hand, that it takes longer to untwist the cord instead of twisting the curls) and adjustable heating temperature. Ceramic coating is a priori for me; I don’t even look at models with a metal surface. What else pleased me i"&amp;"s that the model is thought out to every detail, for example, there is even a small stand so that hot tongs can be conveniently placed on the table. The model has a comfortable not only handle, but also the lever itself. The hair is held tightly between t"&amp;"he tongs and the lever, each curl is smooth, elastic - and everything is one to one. Now this is my favorite. They will burn out - I’ll buy the same ones for myself again, I already had such a “love” for a food processor - I bought the same model for almo"&amp;"st 10 years, 2 times, despite the fact that some seemingly newer and more modern ones appeared on sale, but I became attached to a specific one (but here I still hope for a long service life)")</f>
        <v>Girls, the model is super, take it - you won’t regret it  In this price range there is unlikely to be another equally successful model. Although it costs a little money, I prefer to make any purchases wisely, so I chose the tongs for a long time and carefully, at approximately the same price, I compared the appearance, workmanship, materials, and set of functions.  I chose this particular model because of the comfortable handle, the long cord with a rotating mount (because I know very well how it feels when you twist everything in your hand, that it takes longer to untwist the cord instead of twisting the curls) and adjustable heating temperature. Ceramic coating is a priori for me; I don’t even look at models with a metal surface. What else pleased me is that the model is thought out to every detail, for example, there is even a small stand so that hot tongs can be conveniently placed on the table. The model has a comfortable not only handle, but also the lever itself. The hair is held tightly between the tongs and the lever, each curl is smooth, elastic - and everything is one to one. Now this is my favorite. They will burn out - I’ll buy the same ones for myself again, I already had such a “love” for a food processor - I bought the same model for almost 10 years, 2 times, despite the fact that some seemingly newer and more modern ones appeared on sale, but I became attached to a specific one (but here I still hope for a long service life)</v>
      </c>
    </row>
    <row r="12253" spans="1:9" x14ac:dyDescent="0.3">
      <c r="A12253" s="1" t="s">
        <v>61</v>
      </c>
      <c r="B12253" s="1" t="s">
        <v>318</v>
      </c>
      <c r="C12253" s="1" t="s">
        <v>69</v>
      </c>
      <c r="D12253" s="1" t="s">
        <v>280</v>
      </c>
      <c r="E12253" s="1" t="s">
        <v>10664</v>
      </c>
      <c r="F12253" s="1" t="s">
        <v>17318</v>
      </c>
      <c r="G12253" s="1" t="s">
        <v>36</v>
      </c>
      <c r="H12253" s="1" t="s">
        <v>29</v>
      </c>
      <c r="I12253" s="1" t="str">
        <f ca="1">IFERROR(__xludf.DUMMYFUNCTION("GOOGLETRANSLATE(F12253, ""auto"", ""en"")
"),"An excellent teapot, one of the best teapots in the history of the family. The only drawback is the lack of indication of the operation of the kettle, but in principle this is not necessary and it is clear that it works by the noise of boiling water.")</f>
        <v>An excellent teapot, one of the best teapots in the history of the family. The only drawback is the lack of indication of the operation of the kettle, but in principle this is not necessary and it is clear that it works by the noise of boiling water.</v>
      </c>
    </row>
    <row r="12254" spans="1:9" x14ac:dyDescent="0.3">
      <c r="A12254" s="1" t="s">
        <v>149</v>
      </c>
      <c r="B12254" s="1" t="s">
        <v>155</v>
      </c>
      <c r="C12254" s="1" t="s">
        <v>1187</v>
      </c>
      <c r="D12254" s="1" t="s">
        <v>75</v>
      </c>
      <c r="E12254" s="1" t="s">
        <v>2622</v>
      </c>
      <c r="F12254" s="1" t="s">
        <v>17319</v>
      </c>
      <c r="G12254" s="1" t="s">
        <v>15</v>
      </c>
      <c r="H12254" s="1" t="s">
        <v>16</v>
      </c>
      <c r="I12254" s="1" t="str">
        <f ca="1">IFERROR(__xludf.DUMMYFUNCTION("GOOGLETRANSLATE(F12254, ""auto"", ""en"")
"),"The vacuum cleaner broke after a week. Stopped working altogether. Now we are waiting for them to replace it under warranty")</f>
        <v>The vacuum cleaner broke after a week. Stopped working altogether. Now we are waiting for them to replace it under warranty</v>
      </c>
    </row>
    <row r="12255" spans="1:9" x14ac:dyDescent="0.3">
      <c r="A12255" s="1" t="s">
        <v>211</v>
      </c>
      <c r="B12255" s="1" t="s">
        <v>410</v>
      </c>
      <c r="C12255" s="1" t="s">
        <v>122</v>
      </c>
      <c r="D12255" s="1" t="s">
        <v>280</v>
      </c>
      <c r="E12255" s="1" t="s">
        <v>1450</v>
      </c>
      <c r="F12255" s="1" t="s">
        <v>17320</v>
      </c>
      <c r="G12255" s="1" t="s">
        <v>49</v>
      </c>
      <c r="H12255" s="1" t="s">
        <v>16</v>
      </c>
      <c r="I12255" s="1" t="str">
        <f ca="1">IFERROR(__xludf.DUMMYFUNCTION("GOOGLETRANSLATE(F12255, ""auto"", ""en"")
"),"The razor doesn't shave at all. Don't buy a razor.")</f>
        <v>The razor doesn't shave at all. Don't buy a razor.</v>
      </c>
    </row>
    <row r="12256" spans="1:9" x14ac:dyDescent="0.3">
      <c r="A12256" s="1" t="s">
        <v>206</v>
      </c>
      <c r="B12256" s="1" t="s">
        <v>207</v>
      </c>
      <c r="C12256" s="1" t="s">
        <v>262</v>
      </c>
      <c r="D12256" s="1" t="s">
        <v>6640</v>
      </c>
      <c r="E12256" s="1" t="s">
        <v>16049</v>
      </c>
      <c r="F12256" s="1" t="s">
        <v>17321</v>
      </c>
      <c r="G12256" s="1" t="s">
        <v>36</v>
      </c>
      <c r="H12256" s="1" t="s">
        <v>29</v>
      </c>
      <c r="I12256" s="1" t="str">
        <f ca="1">IFERROR(__xludf.DUMMYFUNCTION("GOOGLETRANSLATE(F12256, ""auto"", ""en"")
"),"The combination of price and quality is excellent! I secured the amplifier to the buffer, ran the power and acoustic wires through the interior under the carpets (it’s more convenient if you’re looking for something), and stuck a stand under the tablet in"&amp;" place of the standard radio. Very convenient! Minimum work, minimum costs and very convenient.")</f>
        <v>The combination of price and quality is excellent! I secured the amplifier to the buffer, ran the power and acoustic wires through the interior under the carpets (it’s more convenient if you’re looking for something), and stuck a stand under the tablet in place of the standard radio. Very convenient! Minimum work, minimum costs and very convenient.</v>
      </c>
    </row>
    <row r="12257" spans="1:9" x14ac:dyDescent="0.3">
      <c r="A12257" s="1" t="s">
        <v>105</v>
      </c>
      <c r="B12257" s="1" t="s">
        <v>106</v>
      </c>
      <c r="C12257" s="1" t="s">
        <v>1921</v>
      </c>
      <c r="D12257" s="1" t="s">
        <v>5680</v>
      </c>
      <c r="E12257" s="1" t="s">
        <v>511</v>
      </c>
      <c r="F12257" s="1" t="s">
        <v>17322</v>
      </c>
      <c r="G12257" s="1" t="s">
        <v>28</v>
      </c>
      <c r="H12257" s="1" t="s">
        <v>29</v>
      </c>
      <c r="I12257" s="1" t="str">
        <f ca="1">IFERROR(__xludf.DUMMYFUNCTION("GOOGLETRANSLATE(F12257, ""auto"", ""en"")
"),"After two months, it started to glitch terribly, the songs all get mixed up, and if you switch songs twice, it completely stalls!  Overall a good player!  At first I was happy with everything until it broke down))")</f>
        <v>After two months, it started to glitch terribly, the songs all get mixed up, and if you switch songs twice, it completely stalls!  Overall a good player!  At first I was happy with everything until it broke down))</v>
      </c>
    </row>
    <row r="12258" spans="1:9" x14ac:dyDescent="0.3">
      <c r="A12258" s="1" t="s">
        <v>30</v>
      </c>
      <c r="B12258" s="1" t="s">
        <v>50</v>
      </c>
      <c r="C12258" s="1" t="s">
        <v>51</v>
      </c>
      <c r="D12258" s="1" t="s">
        <v>1329</v>
      </c>
      <c r="E12258" s="1" t="s">
        <v>65</v>
      </c>
      <c r="F12258" s="1" t="s">
        <v>17323</v>
      </c>
      <c r="G12258" s="1" t="s">
        <v>36</v>
      </c>
      <c r="H12258" s="1" t="s">
        <v>29</v>
      </c>
      <c r="I12258" s="1" t="str">
        <f ca="1">IFERROR(__xludf.DUMMYFUNCTION("GOOGLETRANSLATE(F12258, ""auto"", ""en"")
"),"We bought the unit, brought it home, it was said that the first start took half an hour. Well, we wait. The first one is an hour and a half, the second one is generally five. In general, the screen did not work, it turns out to be a manufacturing defect. "&amp;"I'm going to change it now, hope for the best)")</f>
        <v>We bought the unit, brought it home, it was said that the first start took half an hour. Well, we wait. The first one is an hour and a half, the second one is generally five. In general, the screen did not work, it turns out to be a manufacturing defect. I'm going to change it now, hope for the best)</v>
      </c>
    </row>
    <row r="12259" spans="1:9" x14ac:dyDescent="0.3">
      <c r="A12259" s="1" t="s">
        <v>61</v>
      </c>
      <c r="B12259" s="1" t="s">
        <v>224</v>
      </c>
      <c r="C12259" s="1" t="s">
        <v>246</v>
      </c>
      <c r="D12259" s="1" t="s">
        <v>280</v>
      </c>
      <c r="E12259" s="1" t="s">
        <v>1864</v>
      </c>
      <c r="F12259" s="1" t="s">
        <v>17324</v>
      </c>
      <c r="G12259" s="1" t="s">
        <v>36</v>
      </c>
      <c r="H12259" s="1" t="s">
        <v>29</v>
      </c>
      <c r="I12259" s="1" t="str">
        <f ca="1">IFERROR(__xludf.DUMMYFUNCTION("GOOGLETRANSLATE(F12259, ""auto"", ""en"")
"),"I’ve been using it for the second month now, it squeezes juice out of citrus fruits perfectly! The set includes a second attachment for large citrus fruits (grapefruit), which is also used if you want more pulp in the juice. I was very pleased with the pl"&amp;"ace for twisting the cable. Works quietly. Rotation in different directions, not in order, but as she wants)))")</f>
        <v>I’ve been using it for the second month now, it squeezes juice out of citrus fruits perfectly! The set includes a second attachment for large citrus fruits (grapefruit), which is also used if you want more pulp in the juice. I was very pleased with the place for twisting the cable. Works quietly. Rotation in different directions, not in order, but as she wants)))</v>
      </c>
    </row>
    <row r="12260" spans="1:9" x14ac:dyDescent="0.3">
      <c r="A12260" s="1" t="s">
        <v>211</v>
      </c>
      <c r="B12260" s="1" t="s">
        <v>212</v>
      </c>
      <c r="C12260" s="1" t="s">
        <v>453</v>
      </c>
      <c r="D12260" s="1" t="s">
        <v>17325</v>
      </c>
      <c r="E12260" s="1" t="s">
        <v>17326</v>
      </c>
      <c r="F12260" s="1" t="s">
        <v>17327</v>
      </c>
      <c r="G12260" s="1" t="s">
        <v>36</v>
      </c>
      <c r="H12260" s="1" t="s">
        <v>29</v>
      </c>
      <c r="I12260" s="1" t="str">
        <f ca="1">IFERROR(__xludf.DUMMYFUNCTION("GOOGLETRANSLATE(F12260, ""auto"", ""en"")
"),"I bought it the other day for bonuses. I chose this one and it did not disappoint. Heats up quickly, straightens smoothly, like butter, without tearing hair.   It fits comfortably in the hand. Easy.  The only downside is probably that it either gets too h"&amp;"ot and burns my fingers, or I somehow hold it in the wrong place when styling it, but this is a minor thing. The main thing is the result.  Who doubts it - it’s a very good rectifier, even for such a price. In any case, you have 2 weeks to check the quali"&amp;"ty of the product! =)")</f>
        <v>I bought it the other day for bonuses. I chose this one and it did not disappoint. Heats up quickly, straightens smoothly, like butter, without tearing hair.   It fits comfortably in the hand. Easy.  The only downside is probably that it either gets too hot and burns my fingers, or I somehow hold it in the wrong place when styling it, but this is a minor thing. The main thing is the result.  Who doubts it - it’s a very good rectifier, even for such a price. In any case, you have 2 weeks to check the quality of the product! =)</v>
      </c>
    </row>
    <row r="12261" spans="1:9" x14ac:dyDescent="0.3">
      <c r="A12261" s="1" t="s">
        <v>105</v>
      </c>
      <c r="B12261" s="1" t="s">
        <v>106</v>
      </c>
      <c r="C12261" s="1" t="s">
        <v>69</v>
      </c>
      <c r="D12261" s="1" t="s">
        <v>172</v>
      </c>
      <c r="E12261" s="1" t="s">
        <v>4739</v>
      </c>
      <c r="F12261" s="1" t="s">
        <v>17328</v>
      </c>
      <c r="G12261" s="1" t="s">
        <v>28</v>
      </c>
      <c r="H12261" s="1" t="s">
        <v>29</v>
      </c>
      <c r="I12261" s="1" t="str">
        <f ca="1">IFERROR(__xludf.DUMMYFUNCTION("GOOGLETRANSLATE(F12261, ""auto"", ""en"")
"),"I've been using this player for six months now.    The only, but rather unpleasant minus is that before turning it on, it is updated for several (5-20) seconds, regardless of whether new music was recorded or not. That is, instant switching does not work."&amp;" It’s the same with turning off (without seeing the display it’s difficult to understand whether the player has turned off or not, since the sound immediately stops a few seconds after pressing the button).")</f>
        <v>I've been using this player for six months now.    The only, but rather unpleasant minus is that before turning it on, it is updated for several (5-20) seconds, regardless of whether new music was recorded or not. That is, instant switching does not work. It’s the same with turning off (without seeing the display it’s difficult to understand whether the player has turned off or not, since the sound immediately stops a few seconds after pressing the button).</v>
      </c>
    </row>
    <row r="12262" spans="1:9" x14ac:dyDescent="0.3">
      <c r="A12262" s="1" t="s">
        <v>120</v>
      </c>
      <c r="B12262" s="1" t="s">
        <v>256</v>
      </c>
      <c r="C12262" s="1" t="s">
        <v>151</v>
      </c>
      <c r="D12262" s="1" t="s">
        <v>208</v>
      </c>
      <c r="E12262" s="1" t="s">
        <v>173</v>
      </c>
      <c r="F12262" s="1" t="s">
        <v>17329</v>
      </c>
      <c r="G12262" s="1" t="s">
        <v>15</v>
      </c>
      <c r="H12262" s="1" t="s">
        <v>16</v>
      </c>
      <c r="I12262" s="1" t="str">
        <f ca="1">IFERROR(__xludf.DUMMYFUNCTION("GOOGLETRANSLATE(F12262, ""auto"", ""en"")
"),"I bought it today.  Cable at home.  The reception is poor, there is some interference on all channels.  What to do? Maybe I can reflash it somehow?    If I don’t figure it out and find it on the forums, I’ll take it back next week.")</f>
        <v>I bought it today.  Cable at home.  The reception is poor, there is some interference on all channels.  What to do? Maybe I can reflash it somehow?    If I don’t figure it out and find it on the forums, I’ll take it back next week.</v>
      </c>
    </row>
    <row r="12263" spans="1:9" x14ac:dyDescent="0.3">
      <c r="A12263" s="1" t="s">
        <v>105</v>
      </c>
      <c r="B12263" s="1" t="s">
        <v>106</v>
      </c>
      <c r="C12263" s="1" t="s">
        <v>97</v>
      </c>
      <c r="D12263" s="1" t="s">
        <v>17330</v>
      </c>
      <c r="E12263" s="1" t="s">
        <v>1649</v>
      </c>
      <c r="F12263" s="1" t="s">
        <v>17331</v>
      </c>
      <c r="G12263" s="1" t="s">
        <v>15</v>
      </c>
      <c r="H12263" s="1" t="s">
        <v>16</v>
      </c>
      <c r="I12263" s="1" t="str">
        <f ca="1">IFERROR(__xludf.DUMMYFUNCTION("GOOGLETRANSLATE(F12263, ""auto"", ""en"")
"),"Broken loudly, it’s just that the PC doesn’t find it, or rather finds it, but I can’t log into it... when I turn on the player, the walkmen lights up and shows the loading points, no actions until you press the reset button... but in general the player is"&amp;" not bad, maybe I just got a defect... (the sound quality is good, of course not in my own ears.")</f>
        <v>Broken loudly, it’s just that the PC doesn’t find it, or rather finds it, but I can’t log into it... when I turn on the player, the walkmen lights up and shows the loading points, no actions until you press the reset button... but in general the player is not bad, maybe I just got a defect... (the sound quality is good, of course not in my own ears.</v>
      </c>
    </row>
    <row r="12264" spans="1:9" x14ac:dyDescent="0.3">
      <c r="A12264" s="1" t="s">
        <v>206</v>
      </c>
      <c r="B12264" s="1" t="s">
        <v>1349</v>
      </c>
      <c r="C12264" s="1" t="s">
        <v>1771</v>
      </c>
      <c r="D12264" s="1" t="s">
        <v>17332</v>
      </c>
      <c r="E12264" s="1" t="s">
        <v>2059</v>
      </c>
      <c r="F12264" s="1" t="s">
        <v>17333</v>
      </c>
      <c r="G12264" s="1" t="s">
        <v>36</v>
      </c>
      <c r="H12264" s="1" t="s">
        <v>29</v>
      </c>
      <c r="I12264" s="1" t="str">
        <f ca="1">IFERROR(__xludf.DUMMYFUNCTION("GOOGLETRANSLATE(F12264, ""auto"", ""en"")
"),"Excellent radio tape recorder + high-quality sound + high-quality video + harmonious design with lighting options will fit into any interior - the entrance for a flash drive is inconveniently located - no remote control")</f>
        <v>Excellent radio tape recorder + high-quality sound + high-quality video + harmonious design with lighting options will fit into any interior - the entrance for a flash drive is inconveniently located - no remote control</v>
      </c>
    </row>
    <row r="12265" spans="1:9" x14ac:dyDescent="0.3">
      <c r="A12265" s="1" t="s">
        <v>120</v>
      </c>
      <c r="B12265" s="1" t="s">
        <v>256</v>
      </c>
      <c r="C12265" s="1" t="s">
        <v>151</v>
      </c>
      <c r="D12265" s="1" t="s">
        <v>295</v>
      </c>
      <c r="E12265" s="1" t="s">
        <v>415</v>
      </c>
      <c r="F12265" s="1" t="s">
        <v>17334</v>
      </c>
      <c r="G12265" s="1" t="s">
        <v>36</v>
      </c>
      <c r="H12265" s="1" t="s">
        <v>29</v>
      </c>
      <c r="I12265" s="1" t="str">
        <f ca="1">IFERROR(__xludf.DUMMYFUNCTION("GOOGLETRANSLATE(F12265, ""auto"", ""en"")
"),"I bought it today and am very pleased with the purchase, the TV is very easy to set up, I’ve been dreaming about this for a long time. I’m very happy with the appearance and quality of the TV, and there was a promotion on it, so I don’t regret spending th"&amp;"e money at all.")</f>
        <v>I bought it today and am very pleased with the purchase, the TV is very easy to set up, I’ve been dreaming about this for a long time. I’m very happy with the appearance and quality of the TV, and there was a promotion on it, so I don’t regret spending the money at all.</v>
      </c>
    </row>
    <row r="12266" spans="1:9" x14ac:dyDescent="0.3">
      <c r="A12266" s="1" t="s">
        <v>61</v>
      </c>
      <c r="B12266" s="1" t="s">
        <v>318</v>
      </c>
      <c r="C12266" s="1" t="s">
        <v>57</v>
      </c>
      <c r="D12266" s="1" t="s">
        <v>295</v>
      </c>
      <c r="E12266" s="1" t="s">
        <v>17177</v>
      </c>
      <c r="F12266" s="1" t="s">
        <v>17335</v>
      </c>
      <c r="G12266" s="1" t="s">
        <v>36</v>
      </c>
      <c r="H12266" s="1" t="s">
        <v>29</v>
      </c>
      <c r="I12266" s="1" t="str">
        <f ca="1">IFERROR(__xludf.DUMMYFUNCTION("GOOGLETRANSLATE(F12266, ""auto"", ""en"")
"),"Thermopot is just super, we are very pleased! There is always hot water in the house! There is no need to constantly click the kettle. Consumes less electricity than a kettle (in our case)")</f>
        <v>Thermopot is just super, we are very pleased! There is always hot water in the house! There is no need to constantly click the kettle. Consumes less electricity than a kettle (in our case)</v>
      </c>
    </row>
    <row r="12267" spans="1:9" x14ac:dyDescent="0.3">
      <c r="A12267" s="1" t="s">
        <v>30</v>
      </c>
      <c r="B12267" s="1" t="s">
        <v>50</v>
      </c>
      <c r="C12267" s="1" t="s">
        <v>32</v>
      </c>
      <c r="D12267" s="1" t="s">
        <v>17336</v>
      </c>
      <c r="E12267" s="1" t="s">
        <v>1452</v>
      </c>
      <c r="F12267" s="1" t="s">
        <v>17337</v>
      </c>
      <c r="G12267" s="1" t="s">
        <v>36</v>
      </c>
      <c r="H12267" s="1" t="s">
        <v>29</v>
      </c>
      <c r="I12267" s="1" t="str">
        <f ca="1">IFERROR(__xludf.DUMMYFUNCTION("GOOGLETRANSLATE(F12267, ""auto"", ""en"")
"),"To make it clearer, I’ll write it down like this: Pros: Lots of hard disk space (for a laptop), 8 local processors in 3D rendering make you smile with their digging, each finger can have its own function, reads well and without glitches, the drive is not "&amp;"very noisy, the sound fully met expectations, the memory also lived up to expectations.  Cons: GLOSSY! I want to wipe every touch with the cloth that comes with it. It holds a charge very little, look at the monitor no closer than a meter, otherwise the e"&amp;"dges will disappear. The screw is slow. 11 direct on the video card is not needed, since there is not enough power.  In general, like this: For those who expect gaming capabilities from it, for example, running it on all settings with 11 direct - Metro 20"&amp;"33, I can disappoint, 2-3 frames per second.  If you are a designer, take it without hesitation, there is enough space on the screws, and enough brains to keep several serious programs open, and the processor processes at high speed.  P.S. To be honest, w"&amp;"hen I launched the game Assassin Creeds 2, I was surprised, 1920x1080 and at maximum settings it produces 22-28 FPS... Just remember to update immediately after purchasing the video driver, install the latest direct, and mess around with the ATI settings "&amp;"a little... Result in points: Processor - 7.1 Memory - 7.3 Graphics - 6.8 Hard drive - 5.9")</f>
        <v>To make it clearer, I’ll write it down like this: Pros: Lots of hard disk space (for a laptop), 8 local processors in 3D rendering make you smile with their digging, each finger can have its own function, reads well and without glitches, the drive is not very noisy, the sound fully met expectations, the memory also lived up to expectations.  Cons: GLOSSY! I want to wipe every touch with the cloth that comes with it. It holds a charge very little, look at the monitor no closer than a meter, otherwise the edges will disappear. The screw is slow. 11 direct on the video card is not needed, since there is not enough power.  In general, like this: For those who expect gaming capabilities from it, for example, running it on all settings with 11 direct - Metro 2033, I can disappoint, 2-3 frames per second.  If you are a designer, take it without hesitation, there is enough space on the screws, and enough brains to keep several serious programs open, and the processor processes at high speed.  P.S. To be honest, when I launched the game Assassin Creeds 2, I was surprised, 1920x1080 and at maximum settings it produces 22-28 FPS... Just remember to update immediately after purchasing the video driver, install the latest direct, and mess around with the ATI settings a little... Result in points: Processor - 7.1 Memory - 7.3 Graphics - 6.8 Hard drive - 5.9</v>
      </c>
    </row>
    <row r="12268" spans="1:9" x14ac:dyDescent="0.3">
      <c r="A12268" s="1" t="s">
        <v>169</v>
      </c>
      <c r="B12268" s="1" t="s">
        <v>170</v>
      </c>
      <c r="C12268" s="1" t="s">
        <v>2545</v>
      </c>
      <c r="D12268" s="1" t="s">
        <v>81</v>
      </c>
      <c r="E12268" s="1" t="s">
        <v>717</v>
      </c>
      <c r="F12268" s="1" t="s">
        <v>17338</v>
      </c>
      <c r="G12268" s="1" t="s">
        <v>36</v>
      </c>
      <c r="H12268" s="1" t="s">
        <v>29</v>
      </c>
      <c r="I12268" s="1" t="str">
        <f ca="1">IFERROR(__xludf.DUMMYFUNCTION("GOOGLETRANSLATE(F12268, ""auto"", ""en"")
"),"The correct rating is between 4 and 5. In general, the thing is cool. But the sound is not entirely honest. Features see above.")</f>
        <v>The correct rating is between 4 and 5. In general, the thing is cool. But the sound is not entirely honest. Features see above.</v>
      </c>
    </row>
    <row r="12269" spans="1:9" x14ac:dyDescent="0.3">
      <c r="A12269" s="1" t="s">
        <v>61</v>
      </c>
      <c r="B12269" s="1" t="s">
        <v>726</v>
      </c>
      <c r="C12269" s="1" t="s">
        <v>74</v>
      </c>
      <c r="D12269" s="1" t="s">
        <v>4222</v>
      </c>
      <c r="E12269" s="1" t="s">
        <v>3775</v>
      </c>
      <c r="F12269" s="1" t="s">
        <v>17339</v>
      </c>
      <c r="G12269" s="1" t="s">
        <v>28</v>
      </c>
      <c r="H12269" s="1" t="s">
        <v>29</v>
      </c>
      <c r="I12269" s="1" t="str">
        <f ca="1">IFERROR(__xludf.DUMMYFUNCTION("GOOGLETRANSLATE(F12269, ""auto"", ""en"")
"),"We bought it 9 days ago. We bake it every day. There is a separate program for the crust. 12. We’re still getting used to it.")</f>
        <v>We bought it 9 days ago. We bake it every day. There is a separate program for the crust. 12. We’re still getting used to it.</v>
      </c>
    </row>
    <row r="12270" spans="1:9" x14ac:dyDescent="0.3">
      <c r="A12270" s="1" t="s">
        <v>149</v>
      </c>
      <c r="B12270" s="1" t="s">
        <v>155</v>
      </c>
      <c r="C12270" s="1" t="s">
        <v>63</v>
      </c>
      <c r="D12270" s="1" t="s">
        <v>39</v>
      </c>
      <c r="E12270" s="1" t="s">
        <v>13653</v>
      </c>
      <c r="F12270" s="1" t="s">
        <v>4489</v>
      </c>
      <c r="G12270" s="1" t="s">
        <v>36</v>
      </c>
      <c r="H12270" s="1" t="s">
        <v>29</v>
      </c>
      <c r="I12270" s="1" t="str">
        <f ca="1">IFERROR(__xludf.DUMMYFUNCTION("GOOGLETRANSLATE(F12270, ""auto"", ""en"")
"),"Appearance")</f>
        <v>Appearance</v>
      </c>
    </row>
    <row r="12271" spans="1:9" x14ac:dyDescent="0.3">
      <c r="A12271" s="1" t="s">
        <v>149</v>
      </c>
      <c r="B12271" s="1" t="s">
        <v>150</v>
      </c>
      <c r="C12271" s="1" t="s">
        <v>6732</v>
      </c>
      <c r="D12271" s="1" t="s">
        <v>385</v>
      </c>
      <c r="E12271" s="1" t="s">
        <v>3694</v>
      </c>
      <c r="F12271" s="1" t="s">
        <v>17340</v>
      </c>
      <c r="G12271" s="1" t="s">
        <v>36</v>
      </c>
      <c r="H12271" s="1" t="s">
        <v>29</v>
      </c>
      <c r="I12271" s="1" t="str">
        <f ca="1">IFERROR(__xludf.DUMMYFUNCTION("GOOGLETRANSLATE(F12271, ""auto"", ""en"")
"),"&amp;nbsp;After some shopping and reading on the Internet, my husband and I bought such a vacuum cleaner. It is very convenient, although it makes a lot of noise (cats get scared), but this does not spoil it at all. The filtration system is excellent and easy"&amp;" to clean, which is important for me. High suction power. Another very pleasing fact is that you don’t need to bother with consumables. I recommend it.")</f>
        <v>&amp;nbsp;After some shopping and reading on the Internet, my husband and I bought such a vacuum cleaner. It is very convenient, although it makes a lot of noise (cats get scared), but this does not spoil it at all. The filtration system is excellent and easy to clean, which is important for me. High suction power. Another very pleasing fact is that you don’t need to bother with consumables. I recommend it.</v>
      </c>
    </row>
    <row r="12272" spans="1:9" x14ac:dyDescent="0.3">
      <c r="A12272" s="1" t="s">
        <v>37</v>
      </c>
      <c r="B12272" s="1" t="s">
        <v>536</v>
      </c>
      <c r="C12272" s="1" t="s">
        <v>537</v>
      </c>
      <c r="D12272" s="1" t="s">
        <v>17341</v>
      </c>
      <c r="E12272" s="1" t="s">
        <v>397</v>
      </c>
      <c r="F12272" s="1" t="s">
        <v>17342</v>
      </c>
      <c r="G12272" s="1" t="s">
        <v>28</v>
      </c>
      <c r="H12272" s="1" t="s">
        <v>29</v>
      </c>
      <c r="I12272" s="1" t="str">
        <f ca="1">IFERROR(__xludf.DUMMYFUNCTION("GOOGLETRANSLATE(F12272, ""auto"", ""en"")
"),"Not a bad device, but HD seems better to me IMHO.")</f>
        <v>Not a bad device, but HD seems better to me IMHO.</v>
      </c>
    </row>
    <row r="12273" spans="1:9" x14ac:dyDescent="0.3">
      <c r="A12273" s="1" t="s">
        <v>78</v>
      </c>
      <c r="B12273" s="1" t="s">
        <v>79</v>
      </c>
      <c r="C12273" s="1" t="s">
        <v>80</v>
      </c>
      <c r="D12273" s="1" t="s">
        <v>17343</v>
      </c>
      <c r="E12273" s="1" t="s">
        <v>1336</v>
      </c>
      <c r="F12273" s="1" t="s">
        <v>17344</v>
      </c>
      <c r="G12273" s="1" t="s">
        <v>36</v>
      </c>
      <c r="H12273" s="1" t="s">
        <v>29</v>
      </c>
      <c r="I12273" s="1" t="str">
        <f ca="1">IFERROR(__xludf.DUMMYFUNCTION("GOOGLETRANSLATE(F12273, ""auto"", ""en"")
"),"I've been using it for 3 years now and it has never let me down. Grill, defrost and microwave function work great. I don’t know why I need a cook or whatever it’s called, I don’t use it. What they have done to simplify life only makes it more difficult. T"&amp;"he only negative point is the door lock, apparently it is not very reliable. After 3 years, sometimes the door opens only the second time, it is quite possible that it will soon stop opening and the device will have to be disassembled. But this does not c"&amp;"hange things - the device is good and beautiful!")</f>
        <v>I've been using it for 3 years now and it has never let me down. Grill, defrost and microwave function work great. I don’t know why I need a cook or whatever it’s called, I don’t use it. What they have done to simplify life only makes it more difficult. The only negative point is the door lock, apparently it is not very reliable. After 3 years, sometimes the door opens only the second time, it is quite possible that it will soon stop opening and the device will have to be disassembled. But this does not change things - the device is good and beautiful!</v>
      </c>
    </row>
    <row r="12274" spans="1:9" x14ac:dyDescent="0.3">
      <c r="A12274" s="1" t="s">
        <v>61</v>
      </c>
      <c r="B12274" s="1" t="s">
        <v>318</v>
      </c>
      <c r="C12274" s="1" t="s">
        <v>63</v>
      </c>
      <c r="D12274" s="1" t="s">
        <v>305</v>
      </c>
      <c r="E12274" s="1" t="s">
        <v>1494</v>
      </c>
      <c r="F12274" s="1" t="s">
        <v>17345</v>
      </c>
      <c r="G12274" s="1" t="s">
        <v>49</v>
      </c>
      <c r="H12274" s="1" t="s">
        <v>16</v>
      </c>
      <c r="I12274" s="1" t="str">
        <f ca="1">IFERROR(__xludf.DUMMYFUNCTION("GOOGLETRANSLATE(F12274, ""auto"", ""en"")
"),"after 1 year the plastic on the body crumbles and begins to leak")</f>
        <v>after 1 year the plastic on the body crumbles and begins to leak</v>
      </c>
    </row>
    <row r="12275" spans="1:9" x14ac:dyDescent="0.3">
      <c r="A12275" s="1" t="s">
        <v>105</v>
      </c>
      <c r="B12275" s="1" t="s">
        <v>106</v>
      </c>
      <c r="C12275" s="1" t="s">
        <v>69</v>
      </c>
      <c r="D12275" s="1" t="s">
        <v>17346</v>
      </c>
      <c r="E12275" s="1" t="s">
        <v>800</v>
      </c>
      <c r="F12275" s="1" t="s">
        <v>17347</v>
      </c>
      <c r="G12275" s="1" t="s">
        <v>28</v>
      </c>
      <c r="H12275" s="1" t="s">
        <v>29</v>
      </c>
      <c r="I12275" s="1" t="str">
        <f ca="1">IFERROR(__xludf.DUMMYFUNCTION("GOOGLETRANSLATE(F12275, ""auto"", ""en"")
"),"a) Fast forward and backward: using a combination of 2 buttons UP or DOWN and PLAY-STOP.  b) When connected to a computer, you can select modes: charging + pumping or charging + music, in this case the computer does not see the player.")</f>
        <v>a) Fast forward and backward: using a combination of 2 buttons UP or DOWN and PLAY-STOP.  b) When connected to a computer, you can select modes: charging + pumping or charging + music, in this case the computer does not see the player.</v>
      </c>
    </row>
    <row r="12276" spans="1:9" x14ac:dyDescent="0.3">
      <c r="A12276" s="1" t="s">
        <v>61</v>
      </c>
      <c r="B12276" s="1" t="s">
        <v>145</v>
      </c>
      <c r="C12276" s="1" t="s">
        <v>74</v>
      </c>
      <c r="D12276" s="1" t="s">
        <v>247</v>
      </c>
      <c r="E12276" s="1" t="s">
        <v>12202</v>
      </c>
      <c r="F12276" s="1" t="s">
        <v>17348</v>
      </c>
      <c r="G12276" s="1" t="s">
        <v>36</v>
      </c>
      <c r="H12276" s="1" t="s">
        <v>29</v>
      </c>
      <c r="I12276" s="1" t="str">
        <f ca="1">IFERROR(__xludf.DUMMYFUNCTION("GOOGLETRANSLATE(F12276, ""auto"", ""en"")
"),"Super, I've been using it for three months now. Take starters: natural Activia (yogurt), Greek yogurt. For 1 l + 150 ml one jar of these yoghurts.")</f>
        <v>Super, I've been using it for three months now. Take starters: natural Activia (yogurt), Greek yogurt. For 1 l + 150 ml one jar of these yoghurts.</v>
      </c>
    </row>
    <row r="12277" spans="1:9" x14ac:dyDescent="0.3">
      <c r="A12277" s="1" t="s">
        <v>61</v>
      </c>
      <c r="B12277" s="1" t="s">
        <v>318</v>
      </c>
      <c r="C12277" s="1" t="s">
        <v>101</v>
      </c>
      <c r="D12277" s="1" t="s">
        <v>1055</v>
      </c>
      <c r="E12277" s="1" t="s">
        <v>1745</v>
      </c>
      <c r="F12277" s="1" t="s">
        <v>17349</v>
      </c>
      <c r="G12277" s="1" t="s">
        <v>36</v>
      </c>
      <c r="H12277" s="1" t="s">
        <v>29</v>
      </c>
      <c r="I12277" s="1" t="str">
        <f ca="1">IFERROR(__xludf.DUMMYFUNCTION("GOOGLETRANSLATE(F12277, ""auto"", ""en"")
"),"I bought a kettle a week ago. I liked the kettle, the smell of plastic disappeared after the second boiling, the lighting is original, it does not make much noise. Comfortable in hand. In general, I recommend it.")</f>
        <v>I bought a kettle a week ago. I liked the kettle, the smell of plastic disappeared after the second boiling, the lighting is original, it does not make much noise. Comfortable in hand. In general, I recommend it.</v>
      </c>
    </row>
    <row r="12278" spans="1:9" x14ac:dyDescent="0.3">
      <c r="A12278" s="1" t="s">
        <v>67</v>
      </c>
      <c r="B12278" s="1" t="s">
        <v>340</v>
      </c>
      <c r="C12278" s="1" t="s">
        <v>341</v>
      </c>
      <c r="D12278" s="1" t="s">
        <v>64</v>
      </c>
      <c r="E12278" s="1" t="s">
        <v>6141</v>
      </c>
      <c r="F12278" s="1" t="s">
        <v>17350</v>
      </c>
      <c r="G12278" s="1" t="s">
        <v>28</v>
      </c>
      <c r="H12278" s="1" t="s">
        <v>29</v>
      </c>
      <c r="I12278" s="1" t="str">
        <f ca="1">IFERROR(__xludf.DUMMYFUNCTION("GOOGLETRANSLATE(F12278, ""auto"", ""en"")
"),"Very simple, sews smoothly. Problem - where to get replacement needles? in a specialized store they said that needles are not sold for these machines. There are no needles in the catalog on the Astralux website either.")</f>
        <v>Very simple, sews smoothly. Problem - where to get replacement needles? in a specialized store they said that needles are not sold for these machines. There are no needles in the catalog on the Astralux website either.</v>
      </c>
    </row>
    <row r="12279" spans="1:9" x14ac:dyDescent="0.3">
      <c r="A12279" s="1" t="s">
        <v>89</v>
      </c>
      <c r="B12279" s="1" t="s">
        <v>1106</v>
      </c>
      <c r="C12279" s="1" t="s">
        <v>246</v>
      </c>
      <c r="D12279" s="1" t="s">
        <v>742</v>
      </c>
      <c r="E12279" s="1" t="s">
        <v>661</v>
      </c>
      <c r="F12279" s="1" t="s">
        <v>17351</v>
      </c>
      <c r="G12279" s="1" t="s">
        <v>36</v>
      </c>
      <c r="H12279" s="1" t="s">
        <v>29</v>
      </c>
      <c r="I12279" s="1" t="str">
        <f ca="1">IFERROR(__xludf.DUMMYFUNCTION("GOOGLETRANSLATE(F12279, ""auto"", ""en"")
"),"The coffee maker is simply awesome! It’s high-quality, cooks with a bang, and keeps brewed coffee and tea (thanks to the previous comment) warm, and if you forget, it boils after an hour and a half, right in the flask. In short, I don’t regret the purchas"&amp;"e, tefal is tefal, the quality is excellent. The plastic is high quality and has no foreign odors. And the coffee it brews is superb, with adjustable strength.")</f>
        <v>The coffee maker is simply awesome! It’s high-quality, cooks with a bang, and keeps brewed coffee and tea (thanks to the previous comment) warm, and if you forget, it boils after an hour and a half, right in the flask. In short, I don’t regret the purchase, tefal is tefal, the quality is excellent. The plastic is high quality and has no foreign odors. And the coffee it brews is superb, with adjustable strength.</v>
      </c>
    </row>
    <row r="12280" spans="1:9" x14ac:dyDescent="0.3">
      <c r="A12280" s="1" t="s">
        <v>61</v>
      </c>
      <c r="B12280" s="1" t="s">
        <v>224</v>
      </c>
      <c r="C12280" s="1" t="s">
        <v>74</v>
      </c>
      <c r="D12280" s="1" t="s">
        <v>565</v>
      </c>
      <c r="E12280" s="1" t="s">
        <v>4428</v>
      </c>
      <c r="F12280" s="1" t="s">
        <v>17352</v>
      </c>
      <c r="G12280" s="1" t="s">
        <v>36</v>
      </c>
      <c r="H12280" s="1" t="s">
        <v>29</v>
      </c>
      <c r="I12280" s="1" t="str">
        <f ca="1">IFERROR(__xludf.DUMMYFUNCTION("GOOGLETRANSLATE(F12280, ""auto"", ""en"")
"),"You read a lot of reviews and everyone is really dissatisfied.  It’s good that I didn’t read all of this when I went to buy it.  It squeezes everything out perfectly. It’s impossible to squeeze out a drop more from the pulp. It takes me 2 large carrots or"&amp;" 2 medium apples for a glass of juice. Quite in my opinion!  In general, I'm happy with everything!  Beautiful, comfortable, functional, washes well, wrings out well and quickly. What else do you need?")</f>
        <v>You read a lot of reviews and everyone is really dissatisfied.  It’s good that I didn’t read all of this when I went to buy it.  It squeezes everything out perfectly. It’s impossible to squeeze out a drop more from the pulp. It takes me 2 large carrots or 2 medium apples for a glass of juice. Quite in my opinion!  In general, I'm happy with everything!  Beautiful, comfortable, functional, washes well, wrings out well and quickly. What else do you need?</v>
      </c>
    </row>
    <row r="12281" spans="1:9" x14ac:dyDescent="0.3">
      <c r="A12281" s="1" t="s">
        <v>169</v>
      </c>
      <c r="B12281" s="1" t="s">
        <v>170</v>
      </c>
      <c r="C12281" s="1" t="s">
        <v>193</v>
      </c>
      <c r="D12281" s="1" t="s">
        <v>1851</v>
      </c>
      <c r="E12281" s="1" t="s">
        <v>109</v>
      </c>
      <c r="F12281" s="1" t="s">
        <v>17353</v>
      </c>
      <c r="G12281" s="1" t="s">
        <v>36</v>
      </c>
      <c r="H12281" s="1" t="s">
        <v>29</v>
      </c>
      <c r="I12281" s="1" t="str">
        <f ca="1">IFERROR(__xludf.DUMMYFUNCTION("GOOGLETRANSLATE(F12281, ""auto"", ""en"")
"),"Excellent headphones. Excellent, loud, bass sound and very comfortable")</f>
        <v>Excellent headphones. Excellent, loud, bass sound and very comfortable</v>
      </c>
    </row>
    <row r="12282" spans="1:9" x14ac:dyDescent="0.3">
      <c r="A12282" s="1" t="s">
        <v>17</v>
      </c>
      <c r="B12282" s="1" t="s">
        <v>18</v>
      </c>
      <c r="C12282" s="1" t="s">
        <v>290</v>
      </c>
      <c r="D12282" s="1" t="s">
        <v>521</v>
      </c>
      <c r="E12282" s="1" t="s">
        <v>2733</v>
      </c>
      <c r="F12282" s="1" t="s">
        <v>17354</v>
      </c>
      <c r="G12282" s="1" t="s">
        <v>28</v>
      </c>
      <c r="H12282" s="1" t="s">
        <v>29</v>
      </c>
      <c r="I12282" s="1" t="str">
        <f ca="1">IFERROR(__xludf.DUMMYFUNCTION("GOOGLETRANSLATE(F12282, ""auto"", ""en"")
"),"It washes perfectly, has convenient functions, but it is very noisy when spinning and draining the water. Should I call a professional?")</f>
        <v>It washes perfectly, has convenient functions, but it is very noisy when spinning and draining the water. Should I call a professional?</v>
      </c>
    </row>
    <row r="12283" spans="1:9" x14ac:dyDescent="0.3">
      <c r="A12283" s="1" t="s">
        <v>67</v>
      </c>
      <c r="B12283" s="1" t="s">
        <v>68</v>
      </c>
      <c r="C12283" s="1" t="s">
        <v>246</v>
      </c>
      <c r="D12283" s="1" t="s">
        <v>5252</v>
      </c>
      <c r="E12283" s="1" t="s">
        <v>1565</v>
      </c>
      <c r="F12283" s="1" t="s">
        <v>17355</v>
      </c>
      <c r="G12283" s="1" t="s">
        <v>36</v>
      </c>
      <c r="H12283" s="1" t="s">
        <v>29</v>
      </c>
      <c r="I12283" s="1" t="str">
        <f ca="1">IFERROR(__xludf.DUMMYFUNCTION("GOOGLETRANSLATE(F12283, ""auto"", ""en"")
"),"I bought the iron in August. The iron is excellent. Big hit of steam. Large tank volume. Excellent sole. The main thing is that there is a safety system - shutdown in the lying and vertical positions. The jeans came from a catalog and the folds were heavy"&amp;" from improper packaging and the jeans mode smoothed out the folds in a second with steam. Cord 2m. Comfortable. The wife and daughter are ironing and not praising. I recommend")</f>
        <v>I bought the iron in August. The iron is excellent. Big hit of steam. Large tank volume. Excellent sole. The main thing is that there is a safety system - shutdown in the lying and vertical positions. The jeans came from a catalog and the folds were heavy from improper packaging and the jeans mode smoothed out the folds in a second with steam. Cord 2m. Comfortable. The wife and daughter are ironing and not praising. I recommend</v>
      </c>
    </row>
    <row r="12284" spans="1:9" x14ac:dyDescent="0.3">
      <c r="A12284" s="1" t="s">
        <v>43</v>
      </c>
      <c r="B12284" s="1" t="s">
        <v>303</v>
      </c>
      <c r="C12284" s="1" t="s">
        <v>220</v>
      </c>
      <c r="D12284" s="1" t="s">
        <v>1121</v>
      </c>
      <c r="E12284" s="1" t="s">
        <v>15169</v>
      </c>
      <c r="F12284" s="1" t="s">
        <v>17356</v>
      </c>
      <c r="G12284" s="1" t="s">
        <v>28</v>
      </c>
      <c r="H12284" s="1" t="s">
        <v>29</v>
      </c>
      <c r="I12284" s="1" t="str">
        <f ca="1">IFERROR(__xludf.DUMMYFUNCTION("GOOGLETRANSLATE(F12284, ""auto"", ""en"")
"),"Design, heating speed, day after switching off the water is warm. ")</f>
        <v xml:space="preserve">Design, heating speed, day after switching off the water is warm. </v>
      </c>
    </row>
    <row r="12285" spans="1:9" x14ac:dyDescent="0.3">
      <c r="A12285" s="1" t="s">
        <v>1823</v>
      </c>
      <c r="B12285" s="1" t="s">
        <v>1824</v>
      </c>
      <c r="C12285" s="1" t="s">
        <v>4148</v>
      </c>
      <c r="D12285" s="1" t="s">
        <v>75</v>
      </c>
      <c r="E12285" s="1" t="s">
        <v>6618</v>
      </c>
      <c r="F12285" s="1" t="s">
        <v>17357</v>
      </c>
      <c r="G12285" s="1" t="s">
        <v>36</v>
      </c>
      <c r="H12285" s="1" t="s">
        <v>29</v>
      </c>
      <c r="I12285" s="1" t="str">
        <f ca="1">IFERROR(__xludf.DUMMYFUNCTION("GOOGLETRANSLATE(F12285, ""auto"", ""en"")
"),"An excellent ironing board, finely adjustable height (for almost any height), very stable due to the successful design of the support, a mobile stand for the iron, a wide and fairly dense working surface, original colors - for the first time in recent yea"&amp;"rs I ironed with pleasure, although in my life I hate ironing! By the way, I was afraid to buy, having read not very flattering reviews of cheap models from the same company!")</f>
        <v>An excellent ironing board, finely adjustable height (for almost any height), very stable due to the successful design of the support, a mobile stand for the iron, a wide and fairly dense working surface, original colors - for the first time in recent years I ironed with pleasure, although in my life I hate ironing! By the way, I was afraid to buy, having read not very flattering reviews of cheap models from the same company!</v>
      </c>
    </row>
    <row r="12286" spans="1:9" x14ac:dyDescent="0.3">
      <c r="A12286" s="1" t="s">
        <v>557</v>
      </c>
      <c r="B12286" s="1" t="s">
        <v>558</v>
      </c>
      <c r="C12286" s="1" t="s">
        <v>122</v>
      </c>
      <c r="D12286" s="1" t="s">
        <v>589</v>
      </c>
      <c r="E12286" s="1" t="s">
        <v>2288</v>
      </c>
      <c r="F12286" s="1" t="s">
        <v>17358</v>
      </c>
      <c r="G12286" s="1" t="s">
        <v>36</v>
      </c>
      <c r="H12286" s="1" t="s">
        <v>29</v>
      </c>
      <c r="I12286" s="1" t="str">
        <f ca="1">IFERROR(__xludf.DUMMYFUNCTION("GOOGLETRANSLATE(F12286, ""auto"", ""en"")
"),"I bought it with my mother three years ago. A very convenient phone, easy to use, no glitches observed. You can transfer a call from one handset to another, which is very convenient, for example, when working in different offices with a paired number. Alt"&amp;"hough this function may also be useful at home)))) good phone")</f>
        <v>I bought it with my mother three years ago. A very convenient phone, easy to use, no glitches observed. You can transfer a call from one handset to another, which is very convenient, for example, when working in different offices with a paired number. Although this function may also be useful at home)))) good phone</v>
      </c>
    </row>
    <row r="12287" spans="1:9" x14ac:dyDescent="0.3">
      <c r="A12287" s="1" t="s">
        <v>169</v>
      </c>
      <c r="B12287" s="1" t="s">
        <v>170</v>
      </c>
      <c r="C12287" s="1" t="s">
        <v>171</v>
      </c>
      <c r="D12287" s="1" t="s">
        <v>17359</v>
      </c>
      <c r="E12287" s="1" t="s">
        <v>543</v>
      </c>
      <c r="F12287" s="1" t="s">
        <v>17360</v>
      </c>
      <c r="G12287" s="1" t="s">
        <v>36</v>
      </c>
      <c r="H12287" s="1" t="s">
        <v>29</v>
      </c>
      <c r="I12287" s="1" t="str">
        <f ca="1">IFERROR(__xludf.DUMMYFUNCTION("GOOGLETRANSLATE(F12287, ""auto"", ""en"")
"),"I've been using it for 2 days.  Pros: excellent noise insulation, high-quality bass and highs, fits in the ear like a glove, very comfortable even when playing sports! Durable cord, solid volume reserve. The ears do not get tired when worn for a long time"&amp;". I compared it with Philips and the second version of Sigma, in the category up to 1000 rubles. These headphones are perhaps the best choice for the money, I recommend them! And be sure to take a certificate of additional service, you never know :)")</f>
        <v>I've been using it for 2 days.  Pros: excellent noise insulation, high-quality bass and highs, fits in the ear like a glove, very comfortable even when playing sports! Durable cord, solid volume reserve. The ears do not get tired when worn for a long time. I compared it with Philips and the second version of Sigma, in the category up to 1000 rubles. These headphones are perhaps the best choice for the money, I recommend them! And be sure to take a certificate of additional service, you never know :)</v>
      </c>
    </row>
    <row r="12288" spans="1:9" x14ac:dyDescent="0.3">
      <c r="A12288" s="1" t="s">
        <v>732</v>
      </c>
      <c r="B12288" s="1" t="s">
        <v>733</v>
      </c>
      <c r="C12288" s="1" t="s">
        <v>1680</v>
      </c>
      <c r="D12288" s="1" t="s">
        <v>17361</v>
      </c>
      <c r="E12288" s="1" t="s">
        <v>2265</v>
      </c>
      <c r="F12288" s="1" t="s">
        <v>17362</v>
      </c>
      <c r="G12288" s="1" t="s">
        <v>36</v>
      </c>
      <c r="H12288" s="1" t="s">
        <v>29</v>
      </c>
      <c r="I12288" s="1" t="str">
        <f ca="1">IFERROR(__xludf.DUMMYFUNCTION("GOOGLETRANSLATE(F12288, ""auto"", ""en"")
"),"I bought this monitor a week ago. Very pleased. Brightness is normal, color reproduction is excellent. Of course, there are small highlights on the black screen, but where would we be without them :) The price is also excellent. Before this I had a Philip"&amp;"s 17"". In general, I recommend it, the price/quality ratio is excellent!")</f>
        <v>I bought this monitor a week ago. Very pleased. Brightness is normal, color reproduction is excellent. Of course, there are small highlights on the black screen, but where would we be without them :) The price is also excellent. Before this I had a Philips 17". In general, I recommend it, the price/quality ratio is excellent!</v>
      </c>
    </row>
    <row r="12289" spans="1:9" x14ac:dyDescent="0.3">
      <c r="A12289" s="1" t="s">
        <v>211</v>
      </c>
      <c r="B12289" s="1" t="s">
        <v>384</v>
      </c>
      <c r="C12289" s="1" t="s">
        <v>63</v>
      </c>
      <c r="D12289" s="1" t="s">
        <v>114</v>
      </c>
      <c r="E12289" s="1" t="s">
        <v>2900</v>
      </c>
      <c r="F12289" s="1" t="s">
        <v>17363</v>
      </c>
      <c r="G12289" s="1" t="s">
        <v>15</v>
      </c>
      <c r="H12289" s="1" t="s">
        <v>16</v>
      </c>
      <c r="I12289" s="1" t="str">
        <f ca="1">IFERROR(__xludf.DUMMYFUNCTION("GOOGLETRANSLATE(F12289, ""auto"", ""en"")
"),"The scales were purchased based on design, and everything is fine here at BOSCH. They look great! But when weighing, the weight is constantly different, and on different surfaces and with different people. Just in shock.. Here's BOSCH for you")</f>
        <v>The scales were purchased based on design, and everything is fine here at BOSCH. They look great! But when weighing, the weight is constantly different, and on different surfaces and with different people. Just in shock.. Here's BOSCH for you</v>
      </c>
    </row>
    <row r="12290" spans="1:9" x14ac:dyDescent="0.3">
      <c r="A12290" s="1" t="s">
        <v>149</v>
      </c>
      <c r="B12290" s="1" t="s">
        <v>155</v>
      </c>
      <c r="C12290" s="1" t="s">
        <v>63</v>
      </c>
      <c r="D12290" s="1" t="s">
        <v>1042</v>
      </c>
      <c r="E12290" s="1" t="s">
        <v>3730</v>
      </c>
      <c r="F12290" s="1" t="s">
        <v>17364</v>
      </c>
      <c r="G12290" s="1" t="s">
        <v>15</v>
      </c>
      <c r="H12290" s="1" t="s">
        <v>16</v>
      </c>
      <c r="I12290" s="1" t="str">
        <f ca="1">IFERROR(__xludf.DUMMYFUNCTION("GOOGLETRANSLATE(F12290, ""auto"", ""en"")
"),"When we bought it, we were glad that there were not only bags, but also a container. However, in reality it turned out that after 2-3 cleanings the container breaks down - the lid begins to open and all the debris ends up inside the housing (okay, at leas"&amp;"t there is another filter in front of the engine). I took it to a warranty workshop, and after 3 weeks I received a new container - the story is the same. In general, now we use bags (no complaints, everything is fine). However, they wanted to use the con"&amp;"tainer. Moreover, it turned out (this was when I was in the workshop) that I was not the only one with this problem!")</f>
        <v>When we bought it, we were glad that there were not only bags, but also a container. However, in reality it turned out that after 2-3 cleanings the container breaks down - the lid begins to open and all the debris ends up inside the housing (okay, at least there is another filter in front of the engine). I took it to a warranty workshop, and after 3 weeks I received a new container - the story is the same. In general, now we use bags (no complaints, everything is fine). However, they wanted to use the container. Moreover, it turned out (this was when I was in the workshop) that I was not the only one with this problem!</v>
      </c>
    </row>
    <row r="12291" spans="1:9" x14ac:dyDescent="0.3">
      <c r="A12291" s="1" t="s">
        <v>211</v>
      </c>
      <c r="B12291" s="1" t="s">
        <v>515</v>
      </c>
      <c r="C12291" s="1" t="s">
        <v>213</v>
      </c>
      <c r="D12291" s="1" t="s">
        <v>2560</v>
      </c>
      <c r="E12291" s="1" t="s">
        <v>1332</v>
      </c>
      <c r="F12291" s="1" t="s">
        <v>17365</v>
      </c>
      <c r="G12291" s="1" t="s">
        <v>36</v>
      </c>
      <c r="H12291" s="1" t="s">
        <v>29</v>
      </c>
      <c r="I12291" s="1" t="str">
        <f ca="1">IFERROR(__xludf.DUMMYFUNCTION("GOOGLETRANSLATE(F12291, ""auto"", ""en"")
"),"I've been using it for a year now. I like it, although it is not suitable for sensitive areas, but that’s why the price is appropriate. At first it was painful to epilate my legs and armpits, but I got used to it. An epilator is much more convenient than "&amp;"a razor (hair grows back much slower).")</f>
        <v>I've been using it for a year now. I like it, although it is not suitable for sensitive areas, but that’s why the price is appropriate. At first it was painful to epilate my legs and armpits, but I got used to it. An epilator is much more convenient than a razor (hair grows back much slower).</v>
      </c>
    </row>
    <row r="12292" spans="1:9" x14ac:dyDescent="0.3">
      <c r="A12292" s="1" t="s">
        <v>61</v>
      </c>
      <c r="B12292" s="1" t="s">
        <v>62</v>
      </c>
      <c r="C12292" s="1" t="s">
        <v>63</v>
      </c>
      <c r="D12292" s="1" t="s">
        <v>474</v>
      </c>
      <c r="E12292" s="1" t="s">
        <v>7270</v>
      </c>
      <c r="F12292" s="1" t="s">
        <v>17366</v>
      </c>
      <c r="G12292" s="1" t="s">
        <v>28</v>
      </c>
      <c r="H12292" s="1" t="s">
        <v>29</v>
      </c>
      <c r="I12292" s="1" t="str">
        <f ca="1">IFERROR(__xludf.DUMMYFUNCTION("GOOGLETRANSLATE(F12292, ""auto"", ""en"")
"),"We bought a combine harvester a month ago. In principle, not bad, but it lacks a medium grater and an attachment for cutting into cubes. Otherwise everything works great. It cuts cabbage and onions and the blender works great. The combination of price and"&amp;" quality is optimal.")</f>
        <v>We bought a combine harvester a month ago. In principle, not bad, but it lacks a medium grater and an attachment for cutting into cubes. Otherwise everything works great. It cuts cabbage and onions and the blender works great. The combination of price and quality is optimal.</v>
      </c>
    </row>
    <row r="12293" spans="1:9" x14ac:dyDescent="0.3">
      <c r="A12293" s="1" t="s">
        <v>61</v>
      </c>
      <c r="B12293" s="1" t="s">
        <v>224</v>
      </c>
      <c r="C12293" s="1" t="s">
        <v>74</v>
      </c>
      <c r="D12293" s="1" t="s">
        <v>3253</v>
      </c>
      <c r="E12293" s="1" t="s">
        <v>883</v>
      </c>
      <c r="F12293" s="1" t="s">
        <v>17367</v>
      </c>
      <c r="G12293" s="1" t="s">
        <v>15</v>
      </c>
      <c r="H12293" s="1" t="s">
        <v>16</v>
      </c>
      <c r="I12293" s="1" t="str">
        <f ca="1">IFERROR(__xludf.DUMMYFUNCTION("GOOGLETRANSLATE(F12293, ""auto"", ""en"")
"),"Today we purchased this juicer, relying on the above good reviews, but unfortunately it did not live up to our expectations. We really wanted to get freshly squeezed juice without much hassle, but the pulp is wet, and even I would say wet, you can eat mas"&amp;"hed potatoes with a spoon, it vibrates strongly on the table, but the most unpleasant thing is that after use we had to wash a simply unrealistic amount of spare parts, in general, in order to drink a glass in the morning some juice quickly, it’s not suit"&amp;"able, we took it for a child, but you can suffer from it just for one apple. Tomorrow we’ll try to return it.")</f>
        <v>Today we purchased this juicer, relying on the above good reviews, but unfortunately it did not live up to our expectations. We really wanted to get freshly squeezed juice without much hassle, but the pulp is wet, and even I would say wet, you can eat mashed potatoes with a spoon, it vibrates strongly on the table, but the most unpleasant thing is that after use we had to wash a simply unrealistic amount of spare parts, in general, in order to drink a glass in the morning some juice quickly, it’s not suitable, we took it for a child, but you can suffer from it just for one apple. Tomorrow we’ll try to return it.</v>
      </c>
    </row>
    <row r="12294" spans="1:9" x14ac:dyDescent="0.3">
      <c r="A12294" s="1" t="s">
        <v>206</v>
      </c>
      <c r="B12294" s="1" t="s">
        <v>207</v>
      </c>
      <c r="C12294" s="1" t="s">
        <v>97</v>
      </c>
      <c r="D12294" s="1" t="s">
        <v>280</v>
      </c>
      <c r="E12294" s="1" t="s">
        <v>937</v>
      </c>
      <c r="F12294" s="1" t="s">
        <v>17368</v>
      </c>
      <c r="G12294" s="1" t="s">
        <v>36</v>
      </c>
      <c r="H12294" s="1" t="s">
        <v>29</v>
      </c>
      <c r="I12294" s="1" t="str">
        <f ca="1">IFERROR(__xludf.DUMMYFUNCTION("GOOGLETRANSLATE(F12294, ""auto"", ""en"")
"),"Body: sedan, rides great. I placed it with the speaker towards the interior at the end of the trunk right next to the rooms))) (I recommend it). Amplifier Kix K-27 (800 watts, bridge rating 300). Satisfied!!")</f>
        <v>Body: sedan, rides great. I placed it with the speaker towards the interior at the end of the trunk right next to the rooms))) (I recommend it). Amplifier Kix K-27 (800 watts, bridge rating 300). Satisfied!!</v>
      </c>
    </row>
    <row r="12295" spans="1:9" x14ac:dyDescent="0.3">
      <c r="A12295" s="1" t="s">
        <v>67</v>
      </c>
      <c r="B12295" s="1" t="s">
        <v>68</v>
      </c>
      <c r="C12295" s="1" t="s">
        <v>185</v>
      </c>
      <c r="D12295" s="1" t="s">
        <v>483</v>
      </c>
      <c r="E12295" s="1" t="s">
        <v>3757</v>
      </c>
      <c r="F12295" s="1" t="s">
        <v>17369</v>
      </c>
      <c r="G12295" s="1" t="s">
        <v>28</v>
      </c>
      <c r="H12295" s="1" t="s">
        <v>29</v>
      </c>
      <c r="I12295" s="1" t="str">
        <f ca="1">IFERROR(__xludf.DUMMYFUNCTION("GOOGLETRANSLATE(F12295, ""auto"", ""en"")
"),"Good iron, I don’t know all the intricacies and don’t want to know. The main thing is that the wife is happy! The steam is powerful, I checked it myself, the water lasts for a long time. What else do you need from him? Good, I recommend it!")</f>
        <v>Good iron, I don’t know all the intricacies and don’t want to know. The main thing is that the wife is happy! The steam is powerful, I checked it myself, the water lasts for a long time. What else do you need from him? Good, I recommend it!</v>
      </c>
    </row>
    <row r="12296" spans="1:9" x14ac:dyDescent="0.3">
      <c r="A12296" s="1" t="s">
        <v>361</v>
      </c>
      <c r="B12296" s="1" t="s">
        <v>2555</v>
      </c>
      <c r="C12296" s="1" t="s">
        <v>875</v>
      </c>
      <c r="D12296" s="1" t="s">
        <v>240</v>
      </c>
      <c r="E12296" s="1" t="s">
        <v>2669</v>
      </c>
      <c r="F12296" s="1" t="s">
        <v>17370</v>
      </c>
      <c r="G12296" s="1" t="s">
        <v>36</v>
      </c>
      <c r="H12296" s="1" t="s">
        <v>29</v>
      </c>
      <c r="I12296" s="1" t="str">
        <f ca="1">IFERROR(__xludf.DUMMYFUNCTION("GOOGLETRANSLATE(F12296, ""auto"", ""en"")
"),"Great thermos! It holds the temperature very well, but I’m generally silent about the design and color. I recommend it to everyone! Down with the greyness!")</f>
        <v>Great thermos! It holds the temperature very well, but I’m generally silent about the design and color. I recommend it to everyone! Down with the greyness!</v>
      </c>
    </row>
    <row r="12297" spans="1:9" x14ac:dyDescent="0.3">
      <c r="A12297" s="1" t="s">
        <v>624</v>
      </c>
      <c r="B12297" s="1" t="s">
        <v>625</v>
      </c>
      <c r="C12297" s="1" t="s">
        <v>479</v>
      </c>
      <c r="D12297" s="1" t="s">
        <v>52</v>
      </c>
      <c r="E12297" s="1" t="s">
        <v>1922</v>
      </c>
      <c r="F12297" s="1" t="s">
        <v>17371</v>
      </c>
      <c r="G12297" s="1" t="s">
        <v>28</v>
      </c>
      <c r="H12297" s="1" t="s">
        <v>29</v>
      </c>
      <c r="I12297" s="1" t="str">
        <f ca="1">IFERROR(__xludf.DUMMYFUNCTION("GOOGLETRANSLATE(F12297, ""auto"", ""en"")
"),"A normal version of the game based on the plot of the film ""Clash of the Titans"", the big disadvantage is that it is in English. The graphics of the surrounding world are rather weak.")</f>
        <v>A normal version of the game based on the plot of the film "Clash of the Titans", the big disadvantage is that it is in English. The graphics of the surrounding world are rather weak.</v>
      </c>
    </row>
    <row r="12298" spans="1:9" x14ac:dyDescent="0.3">
      <c r="A12298" s="1" t="s">
        <v>211</v>
      </c>
      <c r="B12298" s="1" t="s">
        <v>856</v>
      </c>
      <c r="C12298" s="1" t="s">
        <v>57</v>
      </c>
      <c r="D12298" s="1" t="s">
        <v>1499</v>
      </c>
      <c r="E12298" s="1" t="s">
        <v>15848</v>
      </c>
      <c r="F12298" s="1" t="s">
        <v>17372</v>
      </c>
      <c r="G12298" s="1" t="s">
        <v>49</v>
      </c>
      <c r="H12298" s="1" t="s">
        <v>16</v>
      </c>
      <c r="I12298" s="1" t="str">
        <f ca="1">IFERROR(__xludf.DUMMYFUNCTION("GOOGLETRANSLATE(F12298, ""auto"", ""en"")
"),"Received it as a gift!!! I was disappointed! I would never buy it for myself, and I never even wanted to receive it as a gift!!! And it’s not a matter of the pros and cons of the model, it’s a matter of uselessness!!! Men!!! You don't need to give your la"&amp;"dies such things!!! This is not what women dream about!!! As a result, I only use it when the person who gave it sees it, so as not to upset him!!!")</f>
        <v>Received it as a gift!!! I was disappointed! I would never buy it for myself, and I never even wanted to receive it as a gift!!! And it’s not a matter of the pros and cons of the model, it’s a matter of uselessness!!! Men!!! You don't need to give your ladies such things!!! This is not what women dream about!!! As a result, I only use it when the person who gave it sees it, so as not to upset him!!!</v>
      </c>
    </row>
    <row r="12299" spans="1:9" x14ac:dyDescent="0.3">
      <c r="A12299" s="1" t="s">
        <v>624</v>
      </c>
      <c r="B12299" s="1" t="s">
        <v>625</v>
      </c>
      <c r="C12299" s="1" t="s">
        <v>479</v>
      </c>
      <c r="D12299" s="1" t="s">
        <v>172</v>
      </c>
      <c r="E12299" s="1" t="s">
        <v>792</v>
      </c>
      <c r="F12299" s="1" t="s">
        <v>17373</v>
      </c>
      <c r="G12299" s="1" t="s">
        <v>36</v>
      </c>
      <c r="H12299" s="1" t="s">
        <v>29</v>
      </c>
      <c r="I12299" s="1" t="str">
        <f ca="1">IFERROR(__xludf.DUMMYFUNCTION("GOOGLETRANSLATE(F12299, ""auto"", ""en"")
"),"According to reviews, the game is excellent and it is in my city, but still, when will the controller be brought to Nyagan?")</f>
        <v>According to reviews, the game is excellent and it is in my city, but still, when will the controller be brought to Nyagan?</v>
      </c>
    </row>
    <row r="12300" spans="1:9" x14ac:dyDescent="0.3">
      <c r="A12300" s="1" t="s">
        <v>149</v>
      </c>
      <c r="B12300" s="1" t="s">
        <v>155</v>
      </c>
      <c r="C12300" s="1" t="s">
        <v>159</v>
      </c>
      <c r="D12300" s="1" t="s">
        <v>366</v>
      </c>
      <c r="E12300" s="1" t="s">
        <v>1553</v>
      </c>
      <c r="F12300" s="1" t="s">
        <v>17374</v>
      </c>
      <c r="G12300" s="1" t="s">
        <v>36</v>
      </c>
      <c r="H12300" s="1" t="s">
        <v>29</v>
      </c>
      <c r="I12300" s="1" t="str">
        <f ca="1">IFERROR(__xludf.DUMMYFUNCTION("GOOGLETRANSLATE(F12300, ""auto"", ""en"")
"),"I've been using this vacuum cleaner for 2 years and I'm quite happy with it...")</f>
        <v>I've been using this vacuum cleaner for 2 years and I'm quite happy with it...</v>
      </c>
    </row>
    <row r="12301" spans="1:9" x14ac:dyDescent="0.3">
      <c r="A12301" s="1" t="s">
        <v>169</v>
      </c>
      <c r="B12301" s="1" t="s">
        <v>170</v>
      </c>
      <c r="C12301" s="1" t="s">
        <v>122</v>
      </c>
      <c r="D12301" s="1" t="s">
        <v>305</v>
      </c>
      <c r="E12301" s="1" t="s">
        <v>1929</v>
      </c>
      <c r="F12301" s="1" t="s">
        <v>17375</v>
      </c>
      <c r="G12301" s="1" t="s">
        <v>36</v>
      </c>
      <c r="H12301" s="1" t="s">
        <v>29</v>
      </c>
      <c r="I12301" s="1" t="str">
        <f ca="1">IFERROR(__xludf.DUMMYFUNCTION("GOOGLETRANSLATE(F12301, ""auto"", ""en"")
"),"I was pleasantly surprised by the availability of high-quality and inexpensive things nowadays. After the untimely death (the wire at the speaker input broke) RP-HT 30, which served faithfully for 8 years, I bought these. The sound turned out to be even b"&amp;"etter and richer. I even have enough bass. For these, it seems to me that it won’t be better, if such a thing is even possible :)")</f>
        <v>I was pleasantly surprised by the availability of high-quality and inexpensive things nowadays. After the untimely death (the wire at the speaker input broke) RP-HT 30, which served faithfully for 8 years, I bought these. The sound turned out to be even better and richer. I even have enough bass. For these, it seems to me that it won’t be better, if such a thing is even possible :)</v>
      </c>
    </row>
    <row r="12302" spans="1:9" x14ac:dyDescent="0.3">
      <c r="A12302" s="1" t="s">
        <v>43</v>
      </c>
      <c r="B12302" s="1" t="s">
        <v>502</v>
      </c>
      <c r="C12302" s="1" t="s">
        <v>1627</v>
      </c>
      <c r="D12302" s="1" t="s">
        <v>305</v>
      </c>
      <c r="E12302" s="1" t="s">
        <v>3424</v>
      </c>
      <c r="F12302" s="1" t="s">
        <v>17376</v>
      </c>
      <c r="G12302" s="1" t="s">
        <v>36</v>
      </c>
      <c r="H12302" s="1" t="s">
        <v>29</v>
      </c>
      <c r="I12302" s="1" t="str">
        <f ca="1">IFERROR(__xludf.DUMMYFUNCTION("GOOGLETRANSLATE(F12302, ""auto"", ""en"")
"),"The price is free, the quality is at the highest level, the design is moderate, I recommend it to everyone!")</f>
        <v>The price is free, the quality is at the highest level, the design is moderate, I recommend it to everyone!</v>
      </c>
    </row>
    <row r="12303" spans="1:9" x14ac:dyDescent="0.3">
      <c r="A12303" s="1" t="s">
        <v>37</v>
      </c>
      <c r="B12303" s="1" t="s">
        <v>38</v>
      </c>
      <c r="C12303" s="1" t="s">
        <v>39</v>
      </c>
      <c r="D12303" s="1" t="s">
        <v>1188</v>
      </c>
      <c r="E12303" s="1" t="s">
        <v>594</v>
      </c>
      <c r="F12303" s="1" t="s">
        <v>17377</v>
      </c>
      <c r="G12303" s="1" t="s">
        <v>36</v>
      </c>
      <c r="H12303" s="1" t="s">
        <v>29</v>
      </c>
      <c r="I12303" s="1" t="str">
        <f ca="1">IFERROR(__xludf.DUMMYFUNCTION("GOOGLETRANSLATE(F12303, ""auto"", ""en"")
"),"I've been using the phone for almost a year. he is undoubtedly the best of all of them that I have had before.   I chose it mainly based on the battery capacity, since I constantly use Asya, and the phone rarely lies in place. Of course, it’s not the same"&amp;" as they say, but it’s big enough, I was satisfied.  We already wrote above about problems with the SIM card, perhaps yes, but this appeared after several serious falls, so it’s my own fault.  Otherwise, there are no arguments, a beautiful phone, good spe"&amp;"akers, high-quality photos, almost no scratches or wear. It’s very convenient that applications are minimized.   Unfortunately, I managed to lose it, but I’m going to buy the same model soon.")</f>
        <v>I've been using the phone for almost a year. he is undoubtedly the best of all of them that I have had before.   I chose it mainly based on the battery capacity, since I constantly use Asya, and the phone rarely lies in place. Of course, it’s not the same as they say, but it’s big enough, I was satisfied.  We already wrote above about problems with the SIM card, perhaps yes, but this appeared after several serious falls, so it’s my own fault.  Otherwise, there are no arguments, a beautiful phone, good speakers, high-quality photos, almost no scratches or wear. It’s very convenient that applications are minimized.   Unfortunately, I managed to lose it, but I’m going to buy the same model soon.</v>
      </c>
    </row>
    <row r="12304" spans="1:9" x14ac:dyDescent="0.3">
      <c r="A12304" s="1" t="s">
        <v>149</v>
      </c>
      <c r="B12304" s="1" t="s">
        <v>576</v>
      </c>
      <c r="C12304" s="1" t="s">
        <v>80</v>
      </c>
      <c r="D12304" s="1" t="s">
        <v>52</v>
      </c>
      <c r="E12304" s="1" t="s">
        <v>661</v>
      </c>
      <c r="F12304" s="1" t="s">
        <v>17378</v>
      </c>
      <c r="G12304" s="1" t="s">
        <v>28</v>
      </c>
      <c r="H12304" s="1" t="s">
        <v>29</v>
      </c>
      <c r="I12304" s="1" t="str">
        <f ca="1">IFERROR(__xludf.DUMMYFUNCTION("GOOGLETRANSLATE(F12304, ""auto"", ""en"")
"),"I bought it for repairs and have been using it for 2 weeks.  Advantages: lightweight, compact, sufficient power, several attachments included.  Disadvantages: small volume of the dust collector compartment, sharp parts of the body and lid immediately tear"&amp;" the paper bag - so I recommend immediately cutting off all the sharp corners inside (they are easily cut with a knife or metal file, then you need to clean it with a file or sandpaper).  Otherwise (for the price) it performs its functions normally.")</f>
        <v>I bought it for repairs and have been using it for 2 weeks.  Advantages: lightweight, compact, sufficient power, several attachments included.  Disadvantages: small volume of the dust collector compartment, sharp parts of the body and lid immediately tear the paper bag - so I recommend immediately cutting off all the sharp corners inside (they are easily cut with a knife or metal file, then you need to clean it with a file or sandpaper).  Otherwise (for the price) it performs its functions normally.</v>
      </c>
    </row>
    <row r="12305" spans="1:9" x14ac:dyDescent="0.3">
      <c r="A12305" s="1" t="s">
        <v>211</v>
      </c>
      <c r="B12305" s="1" t="s">
        <v>1818</v>
      </c>
      <c r="C12305" s="1" t="s">
        <v>213</v>
      </c>
      <c r="D12305" s="1" t="s">
        <v>308</v>
      </c>
      <c r="E12305" s="1" t="s">
        <v>17379</v>
      </c>
      <c r="F12305" s="1" t="s">
        <v>17380</v>
      </c>
      <c r="G12305" s="1" t="s">
        <v>36</v>
      </c>
      <c r="H12305" s="1" t="s">
        <v>29</v>
      </c>
      <c r="I12305" s="1" t="str">
        <f ca="1">IFERROR(__xludf.DUMMYFUNCTION("GOOGLETRANSLATE(F12305, ""auto"", ""en"")
"),"The device is simply superb. After using it, from the very first time, the hair becomes smooth (in normal conditions it is terribly frizzy, but with humidity it is generally so), silky and very shiny (the hair is not dyed). Just a great thing.")</f>
        <v>The device is simply superb. After using it, from the very first time, the hair becomes smooth (in normal conditions it is terribly frizzy, but with humidity it is generally so), silky and very shiny (the hair is not dyed). Just a great thing.</v>
      </c>
    </row>
    <row r="12306" spans="1:9" x14ac:dyDescent="0.3">
      <c r="A12306" s="1" t="s">
        <v>61</v>
      </c>
      <c r="B12306" s="1" t="s">
        <v>180</v>
      </c>
      <c r="C12306" s="1" t="s">
        <v>74</v>
      </c>
      <c r="D12306" s="1" t="s">
        <v>565</v>
      </c>
      <c r="E12306" s="1" t="s">
        <v>5187</v>
      </c>
      <c r="F12306" s="1" t="s">
        <v>17381</v>
      </c>
      <c r="G12306" s="1" t="s">
        <v>36</v>
      </c>
      <c r="H12306" s="1" t="s">
        <v>29</v>
      </c>
      <c r="I12306" s="1" t="str">
        <f ca="1">IFERROR(__xludf.DUMMYFUNCTION("GOOGLETRANSLATE(F12306, ""auto"", ""en"")
"),"Let's enjoy the sandwiches!!! There is NO limit to cooking fantasies!!! You get small mini-pizzas!!!!!!")</f>
        <v>Let's enjoy the sandwiches!!! There is NO limit to cooking fantasies!!! You get small mini-pizzas!!!!!!</v>
      </c>
    </row>
    <row r="12307" spans="1:9" x14ac:dyDescent="0.3">
      <c r="A12307" s="1" t="s">
        <v>89</v>
      </c>
      <c r="B12307" s="1" t="s">
        <v>1106</v>
      </c>
      <c r="C12307" s="1" t="s">
        <v>74</v>
      </c>
      <c r="D12307" s="1" t="s">
        <v>9412</v>
      </c>
      <c r="E12307" s="1" t="s">
        <v>5823</v>
      </c>
      <c r="F12307" s="1" t="s">
        <v>17382</v>
      </c>
      <c r="G12307" s="1" t="s">
        <v>36</v>
      </c>
      <c r="H12307" s="1" t="s">
        <v>29</v>
      </c>
      <c r="I12307" s="1" t="str">
        <f ca="1">IFERROR(__xludf.DUMMYFUNCTION("GOOGLETRANSLATE(F12307, ""auto"", ""en"")
"),"We bought it recently, we are using it, everything is fine.  Conclusion - it's a good thing.")</f>
        <v>We bought it recently, we are using it, everything is fine.  Conclusion - it's a good thing.</v>
      </c>
    </row>
    <row r="12308" spans="1:9" x14ac:dyDescent="0.3">
      <c r="A12308" s="1" t="s">
        <v>61</v>
      </c>
      <c r="B12308" s="1" t="s">
        <v>318</v>
      </c>
      <c r="C12308" s="1" t="s">
        <v>122</v>
      </c>
      <c r="D12308" s="1" t="s">
        <v>127</v>
      </c>
      <c r="E12308" s="1" t="s">
        <v>5307</v>
      </c>
      <c r="F12308" s="1" t="s">
        <v>17383</v>
      </c>
      <c r="G12308" s="1" t="s">
        <v>36</v>
      </c>
      <c r="H12308" s="1" t="s">
        <v>29</v>
      </c>
      <c r="I12308" s="1" t="str">
        <f ca="1">IFERROR(__xludf.DUMMYFUNCTION("GOOGLETRANSLATE(F12308, ""auto"", ""en"")
"),"It's been in service for about 2 years now, no complaints. Much more convenient than constantly putting on the kettle, any time you want to drink tea or coffee. Among the disadvantages, I can note that the water heats up for about 10-15 minutes, so it is "&amp;"better to pour water in advance. In our family we fill it up at night, and the next day we have enough, the main consumption is of course in the morning. We only have to top it up if we have a lot of guests. Convenient temperature conditions when boiling "&amp;"water is needed (for example, to disinfect baby bottles), or the wife brewed porridge for the child at 60 degrees so that it cools down faster. But basically at the moment it is constantly 90 degrees. I personally am pleased with the child lock; those who"&amp;" have inquisitive children from 1 to 2 years old should understand me. Regarding water, we live almost outside the city, the water is very hard, scale appears periodically, my wife easily solves the problem by adding a tablespoon of citric acid to clean i"&amp;"t. Very convenient thing, I recommend it.")</f>
        <v>It's been in service for about 2 years now, no complaints. Much more convenient than constantly putting on the kettle, any time you want to drink tea or coffee. Among the disadvantages, I can note that the water heats up for about 10-15 minutes, so it is better to pour water in advance. In our family we fill it up at night, and the next day we have enough, the main consumption is of course in the morning. We only have to top it up if we have a lot of guests. Convenient temperature conditions when boiling water is needed (for example, to disinfect baby bottles), or the wife brewed porridge for the child at 60 degrees so that it cools down faster. But basically at the moment it is constantly 90 degrees. I personally am pleased with the child lock; those who have inquisitive children from 1 to 2 years old should understand me. Regarding water, we live almost outside the city, the water is very hard, scale appears periodically, my wife easily solves the problem by adding a tablespoon of citric acid to clean it. Very convenient thing, I recommend it.</v>
      </c>
    </row>
    <row r="12309" spans="1:9" x14ac:dyDescent="0.3">
      <c r="A12309" s="1" t="s">
        <v>211</v>
      </c>
      <c r="B12309" s="1" t="s">
        <v>856</v>
      </c>
      <c r="C12309" s="1" t="s">
        <v>381</v>
      </c>
      <c r="D12309" s="1" t="s">
        <v>295</v>
      </c>
      <c r="E12309" s="1" t="s">
        <v>1387</v>
      </c>
      <c r="F12309" s="1" t="s">
        <v>17384</v>
      </c>
      <c r="G12309" s="1" t="s">
        <v>28</v>
      </c>
      <c r="H12309" s="1" t="s">
        <v>29</v>
      </c>
      <c r="I12309" s="1" t="str">
        <f ca="1">IFERROR(__xludf.DUMMYFUNCTION("GOOGLETRANSLATE(F12309, ""auto"", ""en"")
"),"Cons: on the M-video website it is indicated that this mirror operates from the network. This is not true! The mirror only runs on 4 AA batteries.  It’s a pity that we found out about this only after the purchase, if it weren’t for the information on the "&amp;"site, we would have bought the same mirror, but at a higher cost - it probably still works from the network, too. Another disadvantage is that the backlight is only from below and is very weak, in fact it is not functional and is not needed in this versio"&amp;"n, probably the male developers could not take this fact into account :)) Pros: otherwise, an excellent mirror, it’s convenient to have two sides, the reflection quality is good")</f>
        <v>Cons: on the M-video website it is indicated that this mirror operates from the network. This is not true! The mirror only runs on 4 AA batteries.  It’s a pity that we found out about this only after the purchase, if it weren’t for the information on the site, we would have bought the same mirror, but at a higher cost - it probably still works from the network, too. Another disadvantage is that the backlight is only from below and is very weak, in fact it is not functional and is not needed in this version, probably the male developers could not take this fact into account :)) Pros: otherwise, an excellent mirror, it’s convenient to have two sides, the reflection quality is good</v>
      </c>
    </row>
    <row r="12310" spans="1:9" x14ac:dyDescent="0.3">
      <c r="A12310" s="1" t="s">
        <v>37</v>
      </c>
      <c r="B12310" s="1" t="s">
        <v>38</v>
      </c>
      <c r="C12310" s="1" t="s">
        <v>163</v>
      </c>
      <c r="D12310" s="1" t="s">
        <v>378</v>
      </c>
      <c r="E12310" s="1" t="s">
        <v>443</v>
      </c>
      <c r="F12310" s="1" t="s">
        <v>17385</v>
      </c>
      <c r="G12310" s="1" t="s">
        <v>36</v>
      </c>
      <c r="H12310" s="1" t="s">
        <v>29</v>
      </c>
      <c r="I12310" s="1" t="str">
        <f ca="1">IFERROR(__xludf.DUMMYFUNCTION("GOOGLETRANSLATE(F12310, ""auto"", ""en"")
"),"Includes a 1 GB flash drive, at least for me))) I’m very pleased with the phone))) I’ve been using it for over a year now and have no complaints)))")</f>
        <v>Includes a 1 GB flash drive, at least for me))) I’m very pleased with the phone))) I’ve been using it for over a year now and have no complaints)))</v>
      </c>
    </row>
    <row r="12311" spans="1:9" x14ac:dyDescent="0.3">
      <c r="A12311" s="1" t="s">
        <v>37</v>
      </c>
      <c r="B12311" s="1" t="s">
        <v>536</v>
      </c>
      <c r="C12311" s="1" t="s">
        <v>151</v>
      </c>
      <c r="D12311" s="1" t="s">
        <v>17386</v>
      </c>
      <c r="E12311" s="1" t="s">
        <v>6250</v>
      </c>
      <c r="F12311" s="1" t="s">
        <v>17387</v>
      </c>
      <c r="G12311" s="1" t="s">
        <v>36</v>
      </c>
      <c r="H12311" s="1" t="s">
        <v>29</v>
      </c>
      <c r="I12311" s="1" t="str">
        <f ca="1">IFERROR(__xludf.DUMMYFUNCTION("GOOGLETRANSLATE(F12311, ""auto"", ""en"")
"),"cool smart")</f>
        <v>cool smart</v>
      </c>
    </row>
    <row r="12312" spans="1:9" x14ac:dyDescent="0.3">
      <c r="A12312" s="1" t="s">
        <v>61</v>
      </c>
      <c r="B12312" s="1" t="s">
        <v>73</v>
      </c>
      <c r="C12312" s="1" t="s">
        <v>146</v>
      </c>
      <c r="D12312" s="1" t="s">
        <v>589</v>
      </c>
      <c r="E12312" s="1" t="s">
        <v>17388</v>
      </c>
      <c r="F12312" s="1" t="s">
        <v>17389</v>
      </c>
      <c r="G12312" s="1" t="s">
        <v>94</v>
      </c>
      <c r="H12312" s="1" t="s">
        <v>29</v>
      </c>
      <c r="I12312" s="1" t="str">
        <f ca="1">IFERROR(__xludf.DUMMYFUNCTION("GOOGLETRANSLATE(F12312, ""auto"", ""en"")
"),"fast, convenient")</f>
        <v>fast, convenient</v>
      </c>
    </row>
    <row r="12313" spans="1:9" x14ac:dyDescent="0.3">
      <c r="A12313" s="1" t="s">
        <v>43</v>
      </c>
      <c r="B12313" s="1" t="s">
        <v>303</v>
      </c>
      <c r="C12313" s="1" t="s">
        <v>304</v>
      </c>
      <c r="D12313" s="1" t="s">
        <v>5208</v>
      </c>
      <c r="E12313" s="1" t="s">
        <v>3563</v>
      </c>
      <c r="F12313" s="1" t="s">
        <v>17390</v>
      </c>
      <c r="G12313" s="1" t="s">
        <v>36</v>
      </c>
      <c r="H12313" s="1" t="s">
        <v>29</v>
      </c>
      <c r="I12313" s="1" t="str">
        <f ca="1">IFERROR(__xludf.DUMMYFUNCTION("GOOGLETRANSLATE(F12313, ""auto"", ""en"")
"),"Reliable, price")</f>
        <v>Reliable, price</v>
      </c>
    </row>
    <row r="12314" spans="1:9" x14ac:dyDescent="0.3">
      <c r="A12314" s="1" t="s">
        <v>61</v>
      </c>
      <c r="B12314" s="1" t="s">
        <v>726</v>
      </c>
      <c r="C12314" s="1" t="s">
        <v>74</v>
      </c>
      <c r="D12314" s="1" t="s">
        <v>943</v>
      </c>
      <c r="E12314" s="1" t="s">
        <v>2533</v>
      </c>
      <c r="F12314" s="1" t="s">
        <v>17391</v>
      </c>
      <c r="G12314" s="1" t="s">
        <v>28</v>
      </c>
      <c r="H12314" s="1" t="s">
        <v>29</v>
      </c>
      <c r="I12314" s="1" t="str">
        <f ca="1">IFERROR(__xludf.DUMMYFUNCTION("GOOGLETRANSLATE(F12314, ""auto"", ""en"")
"),"They gave me a bread maker, the first time everything turned out great, although the crust was a little pale, and it didn’t turn out like a rich bread with raisins; I had to add time.")</f>
        <v>They gave me a bread maker, the first time everything turned out great, although the crust was a little pale, and it didn’t turn out like a rich bread with raisins; I had to add time.</v>
      </c>
    </row>
    <row r="12315" spans="1:9" x14ac:dyDescent="0.3">
      <c r="A12315" s="1" t="s">
        <v>37</v>
      </c>
      <c r="B12315" s="1" t="s">
        <v>536</v>
      </c>
      <c r="C12315" s="1" t="s">
        <v>1419</v>
      </c>
      <c r="D12315" s="1" t="s">
        <v>17392</v>
      </c>
      <c r="E12315" s="1" t="s">
        <v>1553</v>
      </c>
      <c r="F12315" s="1" t="s">
        <v>17393</v>
      </c>
      <c r="G12315" s="1" t="s">
        <v>15</v>
      </c>
      <c r="H12315" s="1" t="s">
        <v>16</v>
      </c>
      <c r="I12315" s="1" t="str">
        <f ca="1">IFERROR(__xludf.DUMMYFUNCTION("GOOGLETRANSLATE(F12315, ""auto"", ""en"")
"),"1 The phone gets boring quickly (it’s very difficult to figure it out) 2 the biggest problem for me is No. 1 - the phone dies very quickly 3-4 music and that’s it 3 the biggest problem No. 2 - the phone does not have the function of transferring informati"&amp;"on via Bluetooth directly to the card 4 there are very few interesting applications on the Internet 5 standard headphones are very uncomfortable and lasted only 3 weeks, I can’t find new ones anywhere")</f>
        <v>1 The phone gets boring quickly (it’s very difficult to figure it out) 2 the biggest problem for me is No. 1 - the phone dies very quickly 3-4 music and that’s it 3 the biggest problem No. 2 - the phone does not have the function of transferring information via Bluetooth directly to the card 4 there are very few interesting applications on the Internet 5 standard headphones are very uncomfortable and lasted only 3 weeks, I can’t find new ones anywhere</v>
      </c>
    </row>
    <row r="12316" spans="1:9" x14ac:dyDescent="0.3">
      <c r="A12316" s="1" t="s">
        <v>61</v>
      </c>
      <c r="B12316" s="1" t="s">
        <v>224</v>
      </c>
      <c r="C12316" s="1" t="s">
        <v>246</v>
      </c>
      <c r="D12316" s="1" t="s">
        <v>64</v>
      </c>
      <c r="E12316" s="1" t="s">
        <v>2557</v>
      </c>
      <c r="F12316" s="1" t="s">
        <v>17394</v>
      </c>
      <c r="G12316" s="1" t="s">
        <v>36</v>
      </c>
      <c r="H12316" s="1" t="s">
        <v>29</v>
      </c>
      <c r="I12316" s="1" t="str">
        <f ca="1">IFERROR(__xludf.DUMMYFUNCTION("GOOGLETRANSLATE(F12316, ""auto"", ""en"")
"),"Before purchasing it, we had no doubts about whether we needed a juicer. But now in our family, even those who didn’t drink it out of the packets loved orange juice. It’s a silent, nimble assistant in our kitchen. Thanks to the previous reviews, they help"&amp;"ed us make a choice.")</f>
        <v>Before purchasing it, we had no doubts about whether we needed a juicer. But now in our family, even those who didn’t drink it out of the packets loved orange juice. It’s a silent, nimble assistant in our kitchen. Thanks to the previous reviews, they helped us make a choice.</v>
      </c>
    </row>
    <row r="12317" spans="1:9" x14ac:dyDescent="0.3">
      <c r="A12317" s="1" t="s">
        <v>206</v>
      </c>
      <c r="B12317" s="1" t="s">
        <v>261</v>
      </c>
      <c r="C12317" s="1" t="s">
        <v>262</v>
      </c>
      <c r="D12317" s="1" t="s">
        <v>17395</v>
      </c>
      <c r="E12317" s="1" t="s">
        <v>7190</v>
      </c>
      <c r="F12317" s="1" t="s">
        <v>17396</v>
      </c>
      <c r="G12317" s="1" t="s">
        <v>36</v>
      </c>
      <c r="H12317" s="1" t="s">
        <v>29</v>
      </c>
      <c r="I12317" s="1" t="str">
        <f ca="1">IFERROR(__xludf.DUMMYFUNCTION("GOOGLETRANSLATE(F12317, ""auto"", ""en"")
"),"A normal antenna, I didn’t even hope to buy a quality thing for such a price, but then I came across this one quite by accident - after three months of use, the flight is normal)) It is securely attached to the windshield, there is an installation kit rig"&amp;"ht away, according to the instructions, everything is easy to assemble without the help of Google) It picks up the most problematic stations in terms of signal, interference only happens sometimes if you are driving through some outlying areas, but in the"&amp;" city no problems with the radio have appeared yet. The domestic manufacturer really pleased me in this case)")</f>
        <v>A normal antenna, I didn’t even hope to buy a quality thing for such a price, but then I came across this one quite by accident - after three months of use, the flight is normal)) It is securely attached to the windshield, there is an installation kit right away, according to the instructions, everything is easy to assemble without the help of Google) It picks up the most problematic stations in terms of signal, interference only happens sometimes if you are driving through some outlying areas, but in the city no problems with the radio have appeared yet. The domestic manufacturer really pleased me in this case)</v>
      </c>
    </row>
    <row r="12318" spans="1:9" x14ac:dyDescent="0.3">
      <c r="A12318" s="1" t="s">
        <v>67</v>
      </c>
      <c r="B12318" s="1" t="s">
        <v>68</v>
      </c>
      <c r="C12318" s="1" t="s">
        <v>246</v>
      </c>
      <c r="D12318" s="1" t="s">
        <v>12</v>
      </c>
      <c r="E12318" s="1" t="s">
        <v>2984</v>
      </c>
      <c r="F12318" s="1" t="s">
        <v>17397</v>
      </c>
      <c r="G12318" s="1" t="s">
        <v>36</v>
      </c>
      <c r="H12318" s="1" t="s">
        <v>29</v>
      </c>
      <c r="I12318" s="1" t="str">
        <f ca="1">IFERROR(__xludf.DUMMYFUNCTION("GOOGLETRANSLATE(F12318, ""auto"", ""en"")
"),"The iron is good. Irons well. I'm glad I bought it. I recommend it.")</f>
        <v>The iron is good. Irons well. I'm glad I bought it. I recommend it.</v>
      </c>
    </row>
    <row r="12319" spans="1:9" x14ac:dyDescent="0.3">
      <c r="A12319" s="1" t="s">
        <v>120</v>
      </c>
      <c r="B12319" s="1" t="s">
        <v>121</v>
      </c>
      <c r="C12319" s="1" t="s">
        <v>80</v>
      </c>
      <c r="D12319" s="1" t="s">
        <v>114</v>
      </c>
      <c r="E12319" s="1" t="s">
        <v>128</v>
      </c>
      <c r="F12319" s="1" t="s">
        <v>17398</v>
      </c>
      <c r="G12319" s="1" t="s">
        <v>36</v>
      </c>
      <c r="H12319" s="1" t="s">
        <v>29</v>
      </c>
      <c r="I12319" s="1" t="str">
        <f ca="1">IFERROR(__xludf.DUMMYFUNCTION("GOOGLETRANSLATE(F12319, ""auto"", ""en"")
"),"Reads dozens of video formats from hard drives up to 1TB and flash drives. I bought it six months ago. Very pleased. Convenient controls and plenty of video and audio inputs. It would take a long time to list the advantages, download the passport here and"&amp;" you will understand everything.")</f>
        <v>Reads dozens of video formats from hard drives up to 1TB and flash drives. I bought it six months ago. Very pleased. Convenient controls and plenty of video and audio inputs. It would take a long time to list the advantages, download the passport here and you will understand everything.</v>
      </c>
    </row>
    <row r="12320" spans="1:9" x14ac:dyDescent="0.3">
      <c r="A12320" s="1" t="s">
        <v>30</v>
      </c>
      <c r="B12320" s="1" t="s">
        <v>31</v>
      </c>
      <c r="C12320" s="1" t="s">
        <v>5122</v>
      </c>
      <c r="D12320" s="1" t="s">
        <v>17399</v>
      </c>
      <c r="E12320" s="1" t="s">
        <v>491</v>
      </c>
      <c r="F12320" s="1" t="s">
        <v>17400</v>
      </c>
      <c r="G12320" s="1" t="s">
        <v>36</v>
      </c>
      <c r="H12320" s="1" t="s">
        <v>29</v>
      </c>
      <c r="I12320" s="1" t="str">
        <f ca="1">IFERROR(__xludf.DUMMYFUNCTION("GOOGLETRANSLATE(F12320, ""auto"", ""en"")
"),"A good computer, a powerful processor, what else do you need for work and play?!")</f>
        <v>A good computer, a powerful processor, what else do you need for work and play?!</v>
      </c>
    </row>
    <row r="12321" spans="1:9" x14ac:dyDescent="0.3">
      <c r="A12321" s="1" t="s">
        <v>95</v>
      </c>
      <c r="B12321" s="1" t="s">
        <v>486</v>
      </c>
      <c r="C12321" s="1" t="s">
        <v>487</v>
      </c>
      <c r="D12321" s="1" t="s">
        <v>17401</v>
      </c>
      <c r="E12321" s="1" t="s">
        <v>1497</v>
      </c>
      <c r="F12321" s="1" t="s">
        <v>17402</v>
      </c>
      <c r="G12321" s="1" t="s">
        <v>36</v>
      </c>
      <c r="H12321" s="1" t="s">
        <v>29</v>
      </c>
      <c r="I12321" s="1" t="str">
        <f ca="1">IFERROR(__xludf.DUMMYFUNCTION("GOOGLETRANSLATE(F12321, ""auto"", ""en"")
"),"Lowest price in the city. Thank you very much, I bought the Arcade of the latest modification of Jasper. There is simply no cheaper place anywhere! :)")</f>
        <v>Lowest price in the city. Thank you very much, I bought the Arcade of the latest modification of Jasper. There is simply no cheaper place anywhere! :)</v>
      </c>
    </row>
    <row r="12322" spans="1:9" x14ac:dyDescent="0.3">
      <c r="A12322" s="1" t="s">
        <v>61</v>
      </c>
      <c r="B12322" s="1" t="s">
        <v>180</v>
      </c>
      <c r="C12322" s="1" t="s">
        <v>85</v>
      </c>
      <c r="D12322" s="1" t="s">
        <v>695</v>
      </c>
      <c r="E12322" s="1" t="s">
        <v>8488</v>
      </c>
      <c r="F12322" s="1" t="s">
        <v>17403</v>
      </c>
      <c r="G12322" s="1" t="s">
        <v>36</v>
      </c>
      <c r="H12322" s="1" t="s">
        <v>29</v>
      </c>
      <c r="I12322" s="1" t="str">
        <f ca="1">IFERROR(__xludf.DUMMYFUNCTION("GOOGLETRANSLATE(F12322, ""auto"", ""en"")
"),"I've been using it for over a year and the equipment has never let me down. With the toasting function on one side, excellent sandwiches are obtained. Stylish, beautiful. I recommend it to everyone.")</f>
        <v>I've been using it for over a year and the equipment has never let me down. With the toasting function on one side, excellent sandwiches are obtained. Stylish, beautiful. I recommend it to everyone.</v>
      </c>
    </row>
    <row r="12323" spans="1:9" x14ac:dyDescent="0.3">
      <c r="A12323" s="1" t="s">
        <v>67</v>
      </c>
      <c r="B12323" s="1" t="s">
        <v>68</v>
      </c>
      <c r="C12323" s="1" t="s">
        <v>69</v>
      </c>
      <c r="D12323" s="1" t="s">
        <v>13867</v>
      </c>
      <c r="E12323" s="1" t="s">
        <v>886</v>
      </c>
      <c r="F12323" s="1" t="s">
        <v>17404</v>
      </c>
      <c r="G12323" s="1" t="s">
        <v>15</v>
      </c>
      <c r="H12323" s="1" t="s">
        <v>16</v>
      </c>
      <c r="I12323" s="1" t="str">
        <f ca="1">IFERROR(__xludf.DUMMYFUNCTION("GOOGLETRANSLATE(F12323, ""auto"", ""en"")
"),"Be careful!!! I know very well that Teflon does not tolerate contact with metal, I put it on a special stand that is included in the kit, ironed a couple of shirts that also did not have metal parts, scratches appeared on the Teflon coating, I’m afraid to"&amp;" imagine what will happen in a year! Gave my mom a “gift”...")</f>
        <v>Be careful!!! I know very well that Teflon does not tolerate contact with metal, I put it on a special stand that is included in the kit, ironed a couple of shirts that also did not have metal parts, scratches appeared on the Teflon coating, I’m afraid to imagine what will happen in a year! Gave my mom a “gift”...</v>
      </c>
    </row>
    <row r="12324" spans="1:9" x14ac:dyDescent="0.3">
      <c r="A12324" s="1" t="s">
        <v>282</v>
      </c>
      <c r="B12324" s="1" t="s">
        <v>806</v>
      </c>
      <c r="C12324" s="1" t="s">
        <v>284</v>
      </c>
      <c r="D12324" s="1" t="s">
        <v>186</v>
      </c>
      <c r="E12324" s="1" t="s">
        <v>529</v>
      </c>
      <c r="F12324" s="1" t="s">
        <v>17405</v>
      </c>
      <c r="G12324" s="1" t="s">
        <v>36</v>
      </c>
      <c r="H12324" s="1" t="s">
        <v>29</v>
      </c>
      <c r="I12324" s="1" t="str">
        <f ca="1">IFERROR(__xludf.DUMMYFUNCTION("GOOGLETRANSLATE(F12324, ""auto"", ""en"")
"),"The film makes the viewer think about how natural resources should not be used, that today’s human activities, aimed at extracting as much money as possible from nature, and not taking measures to minimize damage, are destructive both for nature and for h"&amp;"imself.  Filmed very beautifully.  I bought it on 04/03/2011, I watched it in the evening without stopping...")</f>
        <v>The film makes the viewer think about how natural resources should not be used, that today’s human activities, aimed at extracting as much money as possible from nature, and not taking measures to minimize damage, are destructive both for nature and for himself.  Filmed very beautifully.  I bought it on 04/03/2011, I watched it in the evening without stopping...</v>
      </c>
    </row>
    <row r="12325" spans="1:9" x14ac:dyDescent="0.3">
      <c r="A12325" s="1" t="s">
        <v>61</v>
      </c>
      <c r="B12325" s="1" t="s">
        <v>318</v>
      </c>
      <c r="C12325" s="1" t="s">
        <v>57</v>
      </c>
      <c r="D12325" s="1" t="s">
        <v>17406</v>
      </c>
      <c r="E12325" s="1" t="s">
        <v>3494</v>
      </c>
      <c r="F12325" s="1" t="s">
        <v>17407</v>
      </c>
      <c r="G12325" s="1" t="s">
        <v>28</v>
      </c>
      <c r="H12325" s="1" t="s">
        <v>29</v>
      </c>
      <c r="I12325" s="1" t="str">
        <f ca="1">IFERROR(__xludf.DUMMYFUNCTION("GOOGLETRANSLATE(F12325, ""auto"", ""en"")
"),"Oh, and a felt boot... You don’t need to turn it off, it’s not a kettle. Naturally it works differently. It should be constantly on..ala an electric thermos. If you don't know how to use it, don't buy it.")</f>
        <v>Oh, and a felt boot... You don’t need to turn it off, it’s not a kettle. Naturally it works differently. It should be constantly on..ala an electric thermos. If you don't know how to use it, don't buy it.</v>
      </c>
    </row>
    <row r="12326" spans="1:9" x14ac:dyDescent="0.3">
      <c r="A12326" s="1" t="s">
        <v>89</v>
      </c>
      <c r="B12326" s="1" t="s">
        <v>90</v>
      </c>
      <c r="C12326" s="1" t="s">
        <v>63</v>
      </c>
      <c r="D12326" s="1" t="s">
        <v>893</v>
      </c>
      <c r="E12326" s="1" t="s">
        <v>17408</v>
      </c>
      <c r="F12326" s="1" t="s">
        <v>17409</v>
      </c>
      <c r="G12326" s="1" t="s">
        <v>28</v>
      </c>
      <c r="H12326" s="1" t="s">
        <v>29</v>
      </c>
      <c r="I12326" s="1" t="str">
        <f ca="1">IFERROR(__xludf.DUMMYFUNCTION("GOOGLETRANSLATE(F12326, ""auto"", ""en"")
"),"Good, practical and inexpensive product!")</f>
        <v>Good, practical and inexpensive product!</v>
      </c>
    </row>
    <row r="12327" spans="1:9" x14ac:dyDescent="0.3">
      <c r="A12327" s="1" t="s">
        <v>9</v>
      </c>
      <c r="B12327" s="1" t="s">
        <v>10</v>
      </c>
      <c r="C12327" s="1" t="s">
        <v>3091</v>
      </c>
      <c r="D12327" s="1" t="s">
        <v>172</v>
      </c>
      <c r="E12327" s="1" t="s">
        <v>932</v>
      </c>
      <c r="F12327" s="1" t="s">
        <v>17410</v>
      </c>
      <c r="G12327" s="1" t="s">
        <v>28</v>
      </c>
      <c r="H12327" s="1" t="s">
        <v>29</v>
      </c>
      <c r="I12327" s="1" t="str">
        <f ca="1">IFERROR(__xludf.DUMMYFUNCTION("GOOGLETRANSLATE(F12327, ""auto"", ""en"")
"),"I was pleased with the hood, it works quietly at 2 speeds, it moves like a vacuum cleaner, Spain rules.")</f>
        <v>I was pleased with the hood, it works quietly at 2 speeds, it moves like a vacuum cleaner, Spain rules.</v>
      </c>
    </row>
    <row r="12328" spans="1:9" x14ac:dyDescent="0.3">
      <c r="A12328" s="1" t="s">
        <v>30</v>
      </c>
      <c r="B12328" s="1" t="s">
        <v>31</v>
      </c>
      <c r="C12328" s="1" t="s">
        <v>32</v>
      </c>
      <c r="D12328" s="1" t="s">
        <v>171</v>
      </c>
      <c r="E12328" s="1" t="s">
        <v>1871</v>
      </c>
      <c r="F12328" s="1" t="s">
        <v>17411</v>
      </c>
      <c r="G12328" s="1" t="s">
        <v>36</v>
      </c>
      <c r="H12328" s="1" t="s">
        <v>29</v>
      </c>
      <c r="I12328" s="1" t="str">
        <f ca="1">IFERROR(__xludf.DUMMYFUNCTION("GOOGLETRANSLATE(F12328, ""auto"", ""en"")
"),"An excellent system unit, but only one screw is noisy, otherwise it’s just super... p.s. Win 7 32 bit also didn’t please me, you need to set it to 64 &gt;_")</f>
        <v>An excellent system unit, but only one screw is noisy, otherwise it’s just super... p.s. Win 7 32 bit also didn’t please me, you need to set it to 64 &gt;_</v>
      </c>
    </row>
    <row r="12329" spans="1:9" x14ac:dyDescent="0.3">
      <c r="A12329" s="1" t="s">
        <v>89</v>
      </c>
      <c r="B12329" s="1" t="s">
        <v>231</v>
      </c>
      <c r="C12329" s="1" t="s">
        <v>185</v>
      </c>
      <c r="D12329" s="1" t="s">
        <v>75</v>
      </c>
      <c r="E12329" s="1" t="s">
        <v>475</v>
      </c>
      <c r="F12329" s="1" t="s">
        <v>17412</v>
      </c>
      <c r="G12329" s="1" t="s">
        <v>1580</v>
      </c>
      <c r="H12329" s="1" t="s">
        <v>29</v>
      </c>
      <c r="I12329" s="1" t="str">
        <f ca="1">IFERROR(__xludf.DUMMYFUNCTION("GOOGLETRANSLATE(F12329, ""auto"", ""en"")
"),"Delicious and aromatic coffee")</f>
        <v>Delicious and aromatic coffee</v>
      </c>
    </row>
    <row r="12330" spans="1:9" x14ac:dyDescent="0.3">
      <c r="A12330" s="1" t="s">
        <v>149</v>
      </c>
      <c r="B12330" s="1" t="s">
        <v>423</v>
      </c>
      <c r="C12330" s="1" t="s">
        <v>548</v>
      </c>
      <c r="D12330" s="1" t="s">
        <v>12</v>
      </c>
      <c r="E12330" s="1" t="s">
        <v>1257</v>
      </c>
      <c r="F12330" s="1" t="s">
        <v>17413</v>
      </c>
      <c r="G12330" s="1" t="s">
        <v>36</v>
      </c>
      <c r="H12330" s="1" t="s">
        <v>29</v>
      </c>
      <c r="I12330" s="1" t="str">
        <f ca="1">IFERROR(__xludf.DUMMYFUNCTION("GOOGLETRANSLATE(F12330, ""auto"", ""en"")
"),"Super vacuum cleaner")</f>
        <v>Super vacuum cleaner</v>
      </c>
    </row>
    <row r="12331" spans="1:9" x14ac:dyDescent="0.3">
      <c r="A12331" s="1" t="s">
        <v>89</v>
      </c>
      <c r="B12331" s="1" t="s">
        <v>231</v>
      </c>
      <c r="C12331" s="1" t="s">
        <v>185</v>
      </c>
      <c r="D12331" s="1" t="s">
        <v>1662</v>
      </c>
      <c r="E12331" s="1" t="s">
        <v>2495</v>
      </c>
      <c r="F12331" s="1" t="s">
        <v>17414</v>
      </c>
      <c r="G12331" s="1" t="s">
        <v>36</v>
      </c>
      <c r="H12331" s="1" t="s">
        <v>29</v>
      </c>
      <c r="I12331" s="1" t="str">
        <f ca="1">IFERROR(__xludf.DUMMYFUNCTION("GOOGLETRANSLATE(F12331, ""auto"", ""en"")
"),"The coffee machine is excellent! a little noisy, but not critical. The coffee brews wonderfully, quickly, tasty! The downside is water consumption, but it automatically flushes the system. I’ve been using it for almost six months now, no complaints.")</f>
        <v>The coffee machine is excellent! a little noisy, but not critical. The coffee brews wonderfully, quickly, tasty! The downside is water consumption, but it automatically flushes the system. I’ve been using it for almost six months now, no complaints.</v>
      </c>
    </row>
    <row r="12332" spans="1:9" x14ac:dyDescent="0.3">
      <c r="A12332" s="1" t="s">
        <v>211</v>
      </c>
      <c r="B12332" s="1" t="s">
        <v>856</v>
      </c>
      <c r="C12332" s="1" t="s">
        <v>57</v>
      </c>
      <c r="D12332" s="1" t="s">
        <v>653</v>
      </c>
      <c r="E12332" s="1" t="s">
        <v>1843</v>
      </c>
      <c r="F12332" s="1" t="s">
        <v>17415</v>
      </c>
      <c r="G12332" s="1" t="s">
        <v>36</v>
      </c>
      <c r="H12332" s="1" t="s">
        <v>29</v>
      </c>
      <c r="I12332" s="1" t="str">
        <f ca="1">IFERROR(__xludf.DUMMYFUNCTION("GOOGLETRANSLATE(F12332, ""auto"", ""en"")
"),"I already bought a second one for my mother. This is the best manicure set, powerful and multifunctional, I have been using it myself for 3 years. Absolutely indispensable if you don’t have time to visit salons for this. + Nothing has become loose over ti"&amp;"me, unlike sets from other brands; my mother has already thrown out 2 sets from other brands.")</f>
        <v>I already bought a second one for my mother. This is the best manicure set, powerful and multifunctional, I have been using it myself for 3 years. Absolutely indispensable if you don’t have time to visit salons for this. + Nothing has become loose over time, unlike sets from other brands; my mother has already thrown out 2 sets from other brands.</v>
      </c>
    </row>
    <row r="12333" spans="1:9" x14ac:dyDescent="0.3">
      <c r="A12333" s="1" t="s">
        <v>78</v>
      </c>
      <c r="B12333" s="1" t="s">
        <v>493</v>
      </c>
      <c r="C12333" s="1" t="s">
        <v>80</v>
      </c>
      <c r="D12333" s="1" t="s">
        <v>17416</v>
      </c>
      <c r="E12333" s="1" t="s">
        <v>5819</v>
      </c>
      <c r="F12333" s="1" t="s">
        <v>17417</v>
      </c>
      <c r="G12333" s="1" t="s">
        <v>36</v>
      </c>
      <c r="H12333" s="1" t="s">
        <v>29</v>
      </c>
      <c r="I12333" s="1" t="str">
        <f ca="1">IFERROR(__xludf.DUMMYFUNCTION("GOOGLETRANSLATE(F12333, ""auto"", ""en"")
"),"good stove, grill, volume 28 liters, enough for a family. The buttons are touch sensitive and have not let us down yet. management is simple. happy with her.")</f>
        <v>good stove, grill, volume 28 liters, enough for a family. The buttons are touch sensitive and have not let us down yet. management is simple. happy with her.</v>
      </c>
    </row>
    <row r="12334" spans="1:9" x14ac:dyDescent="0.3">
      <c r="A12334" s="1" t="s">
        <v>206</v>
      </c>
      <c r="B12334" s="1" t="s">
        <v>1253</v>
      </c>
      <c r="C12334" s="1" t="s">
        <v>1254</v>
      </c>
      <c r="D12334" s="1" t="s">
        <v>411</v>
      </c>
      <c r="E12334" s="1" t="s">
        <v>1586</v>
      </c>
      <c r="F12334" s="1" t="s">
        <v>17418</v>
      </c>
      <c r="G12334" s="1" t="s">
        <v>28</v>
      </c>
      <c r="H12334" s="1" t="s">
        <v>29</v>
      </c>
      <c r="I12334" s="1" t="str">
        <f ca="1">IFERROR(__xludf.DUMMYFUNCTION("GOOGLETRANSLATE(F12334, ""auto"", ""en"")
"),"I bought it in an online store - the headset was there. All the equipment is shown on the box - you need to check it. Each walkie-talkie has its own warranty card with the serial numbers of the walkie-talkies - you need to make sure they match.  Standard "&amp;"AAA 1.2V batteries, 4 pieces for each radio - easy to find and replace. There are several warranty workshops in Moscow, the feedback from the developers on the website (before the purchase there was a question about the configuration) is silent - perhaps "&amp;"these are their last walkie-talkies. Bought for communication over short distances. In Auchan, communication between the radios was normal.")</f>
        <v>I bought it in an online store - the headset was there. All the equipment is shown on the box - you need to check it. Each walkie-talkie has its own warranty card with the serial numbers of the walkie-talkies - you need to make sure they match.  Standard AAA 1.2V batteries, 4 pieces for each radio - easy to find and replace. There are several warranty workshops in Moscow, the feedback from the developers on the website (before the purchase there was a question about the configuration) is silent - perhaps these are their last walkie-talkies. Bought for communication over short distances. In Auchan, communication between the radios was normal.</v>
      </c>
    </row>
    <row r="12335" spans="1:9" x14ac:dyDescent="0.3">
      <c r="A12335" s="1" t="s">
        <v>206</v>
      </c>
      <c r="B12335" s="1" t="s">
        <v>1253</v>
      </c>
      <c r="C12335" s="1" t="s">
        <v>4464</v>
      </c>
      <c r="D12335" s="1" t="s">
        <v>172</v>
      </c>
      <c r="E12335" s="1" t="s">
        <v>225</v>
      </c>
      <c r="F12335" s="1" t="s">
        <v>17419</v>
      </c>
      <c r="G12335" s="1" t="s">
        <v>28</v>
      </c>
      <c r="H12335" s="1" t="s">
        <v>29</v>
      </c>
      <c r="I12335" s="1" t="str">
        <f ca="1">IFERROR(__xludf.DUMMYFUNCTION("GOOGLETRANSLATE(F12335, ""auto"", ""en"")
"),"The test switch-on puzzled me.  One radio works. It is audible and transmits clearly. On the second, when the transmission starts, there is a terrible crash and nothing can be heard. Then I turned down the volume and it seemed to be normal both here and t"&amp;"here. And I was already getting ready to take it back to the store.  Today we are going to nature for 2 nights with a couple of cars. I will conduct field tests both in a car and in rough terrain.  Conclusion - read the instructions before starting operat"&amp;"ion.  And the walkie-talkies are nice. I will write additionally about the communication range.")</f>
        <v>The test switch-on puzzled me.  One radio works. It is audible and transmits clearly. On the second, when the transmission starts, there is a terrible crash and nothing can be heard. Then I turned down the volume and it seemed to be normal both here and there. And I was already getting ready to take it back to the store.  Today we are going to nature for 2 nights with a couple of cars. I will conduct field tests both in a car and in rough terrain.  Conclusion - read the instructions before starting operation.  And the walkie-talkies are nice. I will write additionally about the communication range.</v>
      </c>
    </row>
    <row r="12336" spans="1:9" x14ac:dyDescent="0.3">
      <c r="A12336" s="1" t="s">
        <v>211</v>
      </c>
      <c r="B12336" s="1" t="s">
        <v>265</v>
      </c>
      <c r="C12336" s="1" t="s">
        <v>122</v>
      </c>
      <c r="D12336" s="1" t="s">
        <v>203</v>
      </c>
      <c r="E12336" s="1" t="s">
        <v>4122</v>
      </c>
      <c r="F12336" s="1" t="s">
        <v>17420</v>
      </c>
      <c r="G12336" s="1" t="s">
        <v>49</v>
      </c>
      <c r="H12336" s="1" t="s">
        <v>16</v>
      </c>
      <c r="I12336" s="1" t="str">
        <f ca="1">IFERROR(__xludf.DUMMYFUNCTION("GOOGLETRANSLATE(F12336, ""auto"", ""en"")
"),"can be washed with water")</f>
        <v>can be washed with water</v>
      </c>
    </row>
    <row r="12337" spans="1:9" x14ac:dyDescent="0.3">
      <c r="A12337" s="1" t="s">
        <v>43</v>
      </c>
      <c r="B12337" s="1" t="s">
        <v>1616</v>
      </c>
      <c r="C12337" s="1" t="s">
        <v>185</v>
      </c>
      <c r="D12337" s="1" t="s">
        <v>280</v>
      </c>
      <c r="E12337" s="1" t="s">
        <v>1756</v>
      </c>
      <c r="F12337" s="1" t="s">
        <v>17421</v>
      </c>
      <c r="G12337" s="1" t="s">
        <v>28</v>
      </c>
      <c r="H12337" s="1" t="s">
        <v>29</v>
      </c>
      <c r="I12337" s="1" t="str">
        <f ca="1">IFERROR(__xludf.DUMMYFUNCTION("GOOGLETRANSLATE(F12337, ""auto"", ""en"")
"),"Hi all! Today I purchased this miracle of technology.  My opinion: 1. Price.  Not cheap. For 25 thousand you can buy a good split system. I was in a hopeless situation, split was not suitable for me. I had to choose a good mobile air conditioner. I chose "&amp;"the power solely based on considerations: an area of ​​23 meters with a standard ceiling + the presence of a TV and laptop. We could have chosen the N110 model, but I needed an extremely high cooling speed, so we increased the power and took the N120.    "&amp;"2. Noisy. At high speeds it is quite noisy. Having paid tribute to 3.5 kW of power, I took it for granted. At night you will have to reduce the propeller speed to a minimum.     3. There is no declared “Breeze” mode. There is not even a word about this in"&amp;" the technical passport.     4. Problems with fastening and exiting the corrugated pipe. (Easily solved if you have hands and a head). Personally, I inserted the corrugation into the cardboard, and the cardboard into the window, thereby avoiding the influ"&amp;"x of hot air from the street.    5. The dimensions are not small, but they fit into the Ford Mondeo like a charm! Be careful in confined spaces. Provided that 50 cm from each wall of the air conditioner is required for normal air flow, count on the occupi"&amp;"ed space in the room to be around 2-2.5 sq.m.     6. There is no way to direct the air flow to the right place. Cold air blows exclusively upward. Directing it straight, down or to the side will not work.       Trouble: when unpacking, the rear locking ba"&amp;"ttery and the cover on the remote control were found to be broken. It will no longer be possible to “present” this breakdown to sellers. Problem solved with tape. Be careful when checking in the store!    In general, if for some reason it is not possible "&amp;"to install a split system, N120 is a worthy solution to the problem. Personally, my rating is a confident 4 points out of 5.")</f>
        <v>Hi all! Today I purchased this miracle of technology.  My opinion: 1. Price.  Not cheap. For 25 thousand you can buy a good split system. I was in a hopeless situation, split was not suitable for me. I had to choose a good mobile air conditioner. I chose the power solely based on considerations: an area of ​​23 meters with a standard ceiling + the presence of a TV and laptop. We could have chosen the N110 model, but I needed an extremely high cooling speed, so we increased the power and took the N120.    2. Noisy. At high speeds it is quite noisy. Having paid tribute to 3.5 kW of power, I took it for granted. At night you will have to reduce the propeller speed to a minimum.     3. There is no declared “Breeze” mode. There is not even a word about this in the technical passport.     4. Problems with fastening and exiting the corrugated pipe. (Easily solved if you have hands and a head). Personally, I inserted the corrugation into the cardboard, and the cardboard into the window, thereby avoiding the influx of hot air from the street.    5. The dimensions are not small, but they fit into the Ford Mondeo like a charm! Be careful in confined spaces. Provided that 50 cm from each wall of the air conditioner is required for normal air flow, count on the occupied space in the room to be around 2-2.5 sq.m.     6. There is no way to direct the air flow to the right place. Cold air blows exclusively upward. Directing it straight, down or to the side will not work.       Trouble: when unpacking, the rear locking battery and the cover on the remote control were found to be broken. It will no longer be possible to “present” this breakdown to sellers. Problem solved with tape. Be careful when checking in the store!    In general, if for some reason it is not possible to install a split system, N120 is a worthy solution to the problem. Personally, my rating is a confident 4 points out of 5.</v>
      </c>
    </row>
    <row r="12338" spans="1:9" x14ac:dyDescent="0.3">
      <c r="A12338" s="1" t="s">
        <v>1119</v>
      </c>
      <c r="B12338" s="1" t="s">
        <v>1120</v>
      </c>
      <c r="C12338" s="1" t="s">
        <v>97</v>
      </c>
      <c r="D12338" s="1" t="s">
        <v>17422</v>
      </c>
      <c r="E12338" s="1" t="s">
        <v>2769</v>
      </c>
      <c r="F12338" s="1" t="s">
        <v>17423</v>
      </c>
      <c r="G12338" s="1" t="s">
        <v>36</v>
      </c>
      <c r="H12338" s="1" t="s">
        <v>29</v>
      </c>
      <c r="I12338" s="1" t="str">
        <f ca="1">IFERROR(__xludf.DUMMYFUNCTION("GOOGLETRANSLATE(F12338, ""auto"", ""en"")
"),"The camera exceeded my expectations. The sound is very good, clear, color rendition is simply excellent!")</f>
        <v>The camera exceeded my expectations. The sound is very good, clear, color rendition is simply excellent!</v>
      </c>
    </row>
    <row r="12339" spans="1:9" x14ac:dyDescent="0.3">
      <c r="A12339" s="1" t="s">
        <v>43</v>
      </c>
      <c r="B12339" s="1" t="s">
        <v>1382</v>
      </c>
      <c r="C12339" s="1" t="s">
        <v>57</v>
      </c>
      <c r="D12339" s="1" t="s">
        <v>335</v>
      </c>
      <c r="E12339" s="1" t="s">
        <v>14473</v>
      </c>
      <c r="F12339" s="1" t="s">
        <v>17424</v>
      </c>
      <c r="G12339" s="1" t="s">
        <v>36</v>
      </c>
      <c r="H12339" s="1" t="s">
        <v>29</v>
      </c>
      <c r="I12339" s="1" t="str">
        <f ca="1">IFERROR(__xludf.DUMMYFUNCTION("GOOGLETRANSLATE(F12339, ""auto"", ""en"")
"),"Wonderful thing! Very powerful. Just in love with him. Four modes. Three of them are like winds, and one is like a sea breeze. During the peak heat of these days, the first or second windy mode was used. It's enough for the eyes! The only thing in the des"&amp;"cription about this model is written incorrectly - it does not have a built-in ionizer! This is in a completely different model. It is not found either in the instructions or in the description on the manufacturer’s website. Well, as if this point is not "&amp;"our first necessity. The fan performs everything else with a plus!")</f>
        <v>Wonderful thing! Very powerful. Just in love with him. Four modes. Three of them are like winds, and one is like a sea breeze. During the peak heat of these days, the first or second windy mode was used. It's enough for the eyes! The only thing in the description about this model is written incorrectly - it does not have a built-in ionizer! This is in a completely different model. It is not found either in the instructions or in the description on the manufacturer’s website. Well, as if this point is not our first necessity. The fan performs everything else with a plus!</v>
      </c>
    </row>
    <row r="12340" spans="1:9" x14ac:dyDescent="0.3">
      <c r="A12340" s="1" t="s">
        <v>43</v>
      </c>
      <c r="B12340" s="1" t="s">
        <v>303</v>
      </c>
      <c r="C12340" s="1" t="s">
        <v>220</v>
      </c>
      <c r="D12340" s="1" t="s">
        <v>327</v>
      </c>
      <c r="E12340" s="1" t="s">
        <v>15360</v>
      </c>
      <c r="F12340" s="1" t="s">
        <v>17425</v>
      </c>
      <c r="G12340" s="1" t="s">
        <v>36</v>
      </c>
      <c r="H12340" s="1" t="s">
        <v>29</v>
      </c>
      <c r="I12340" s="1" t="str">
        <f ca="1">IFERROR(__xludf.DUMMYFUNCTION("GOOGLETRANSLATE(F12340, ""auto"", ""en"")
"),"I bought it 2 months ago. Works great. There are no leaks. Heats up quickly. There is a clock and a heating timer, which is very convenient. You can turn it off at night and turn it on in the morning. The only thing is that there is a remote control for i"&amp;"t, I think this is an extra option. Hope for a long service life!")</f>
        <v>I bought it 2 months ago. Works great. There are no leaks. Heats up quickly. There is a clock and a heating timer, which is very convenient. You can turn it off at night and turn it on in the morning. The only thing is that there is a remote control for it, I think this is an extra option. Hope for a long service life!</v>
      </c>
    </row>
    <row r="12341" spans="1:9" x14ac:dyDescent="0.3">
      <c r="A12341" s="1" t="s">
        <v>105</v>
      </c>
      <c r="B12341" s="1" t="s">
        <v>106</v>
      </c>
      <c r="C12341" s="1" t="s">
        <v>151</v>
      </c>
      <c r="D12341" s="1" t="s">
        <v>390</v>
      </c>
      <c r="E12341" s="1" t="s">
        <v>1139</v>
      </c>
      <c r="F12341" s="1" t="s">
        <v>17426</v>
      </c>
      <c r="G12341" s="1" t="s">
        <v>28</v>
      </c>
      <c r="H12341" s="1" t="s">
        <v>29</v>
      </c>
      <c r="I12341" s="1" t="str">
        <f ca="1">IFERROR(__xludf.DUMMYFUNCTION("GOOGLETRANSLATE(F12341, ""auto"", ""en"")
"),"I bought this cool player and the sound is normal, but my friend and I decided to switch to the touch r1. I just like the touch one better and the newer one.")</f>
        <v>I bought this cool player and the sound is normal, but my friend and I decided to switch to the touch r1. I just like the touch one better and the newer one.</v>
      </c>
    </row>
    <row r="12342" spans="1:9" x14ac:dyDescent="0.3">
      <c r="A12342" s="1" t="s">
        <v>149</v>
      </c>
      <c r="B12342" s="1" t="s">
        <v>150</v>
      </c>
      <c r="C12342" s="1" t="s">
        <v>982</v>
      </c>
      <c r="D12342" s="1" t="s">
        <v>940</v>
      </c>
      <c r="E12342" s="1" t="s">
        <v>8922</v>
      </c>
      <c r="F12342" s="1" t="s">
        <v>17427</v>
      </c>
      <c r="G12342" s="1" t="s">
        <v>15</v>
      </c>
      <c r="H12342" s="1" t="s">
        <v>16</v>
      </c>
      <c r="I12342" s="1" t="str">
        <f ca="1">IFERROR(__xludf.DUMMYFUNCTION("GOOGLETRANSLATE(F12342, ""auto"", ""en"")
"),"Immediately after the warranty period expired, the engine brushes burned out, which affected the performance of the engine. Replacing a new one costs 7,800 rubles, almost the cost of a new unit. The washing quality is poor, I advise you not to buy this mo"&amp;"del.")</f>
        <v>Immediately after the warranty period expired, the engine brushes burned out, which affected the performance of the engine. Replacing a new one costs 7,800 rubles, almost the cost of a new unit. The washing quality is poor, I advise you not to buy this model.</v>
      </c>
    </row>
    <row r="12343" spans="1:9" x14ac:dyDescent="0.3">
      <c r="A12343" s="1" t="s">
        <v>17</v>
      </c>
      <c r="B12343" s="1" t="s">
        <v>18</v>
      </c>
      <c r="C12343" s="1" t="s">
        <v>159</v>
      </c>
      <c r="D12343" s="1" t="s">
        <v>545</v>
      </c>
      <c r="E12343" s="1" t="s">
        <v>323</v>
      </c>
      <c r="F12343" s="1" t="s">
        <v>17428</v>
      </c>
      <c r="G12343" s="1" t="s">
        <v>28</v>
      </c>
      <c r="H12343" s="1" t="s">
        <v>29</v>
      </c>
      <c r="I12343" s="1" t="str">
        <f ca="1">IFERROR(__xludf.DUMMYFUNCTION("GOOGLETRANSLATE(F12343, ""auto"", ""en"")
"),"Top-loading washing machine Electrolux 1062 TDW Review of “Electrolux” When the question of washing has become serious, That’s a reason to think, friends.   The “washing machine” should be very convenient. We must not forget about this.   Fourteen program"&amp;"s, friends, quite a lot, a clear menu and a Swedish brand.   Vertical loading - what you need - Space saving, no secret!   The powder compartment is easily disassembled, it is convenient to disassemble and wash.   Analogues are much more expensive in pric"&amp;"e. There is a reason to buy this equipment.   The load is also very good - six kilograms is a very decent weight, in the “spin” mode it does not make noise, dear, and it looks quite nice.   The balancing is also quite good, the washing quality is quite hi"&amp;"gh.   “Electronic” saves resources, at a price that is, in principle, adequate.   There is a delayed start, which is generally convenient.   When completed, the signals are sound and light.   There are a lot of advantages in it, friends, I won’t hide it f"&amp;"rom you.   But I'll tell you a little secret.   In addition to all the positive aspects, there is still a fly in the ointment.   The washing modes are very long, there is no countdown timer.   And there is no quick wash cycle either, There is no drum park"&amp;"ing, And the maximum spin is eight hundred. I don’t understand how to wash jackets.   Modes of speeds, temperatures - I would like there to be more spread... Washing modes are not indicated, it’s so difficult... How to report things is a big question!   A"&amp;"las, when washing above forty, a strange smell appears... You can’t put anything in there. When washing, the lid regularly opens.   On a positive note, there is this moment: And I’ll tell you about it honestly.   There is no more beautiful place for my ki"&amp;"ttens to sleep. A more comfortable and joyful place.")</f>
        <v>Top-loading washing machine Electrolux 1062 TDW Review of “Electrolux” When the question of washing has become serious, That’s a reason to think, friends.   The “washing machine” should be very convenient. We must not forget about this.   Fourteen programs, friends, quite a lot, a clear menu and a Swedish brand.   Vertical loading - what you need - Space saving, no secret!   The powder compartment is easily disassembled, it is convenient to disassemble and wash.   Analogues are much more expensive in price. There is a reason to buy this equipment.   The load is also very good - six kilograms is a very decent weight, in the “spin” mode it does not make noise, dear, and it looks quite nice.   The balancing is also quite good, the washing quality is quite high.   “Electronic” saves resources, at a price that is, in principle, adequate.   There is a delayed start, which is generally convenient.   When completed, the signals are sound and light.   There are a lot of advantages in it, friends, I won’t hide it from you.   But I'll tell you a little secret.   In addition to all the positive aspects, there is still a fly in the ointment.   The washing modes are very long, there is no countdown timer.   And there is no quick wash cycle either, There is no drum parking, And the maximum spin is eight hundred. I don’t understand how to wash jackets.   Modes of speeds, temperatures - I would like there to be more spread... Washing modes are not indicated, it’s so difficult... How to report things is a big question!   Alas, when washing above forty, a strange smell appears... You can’t put anything in there. When washing, the lid regularly opens.   On a positive note, there is this moment: And I’ll tell you about it honestly.   There is no more beautiful place for my kittens to sleep. A more comfortable and joyful place.</v>
      </c>
    </row>
    <row r="12344" spans="1:9" x14ac:dyDescent="0.3">
      <c r="A12344" s="1" t="s">
        <v>61</v>
      </c>
      <c r="B12344" s="1" t="s">
        <v>318</v>
      </c>
      <c r="C12344" s="1" t="s">
        <v>246</v>
      </c>
      <c r="D12344" s="1" t="s">
        <v>2764</v>
      </c>
      <c r="E12344" s="1" t="s">
        <v>2942</v>
      </c>
      <c r="F12344" s="1" t="s">
        <v>17429</v>
      </c>
      <c r="G12344" s="1" t="s">
        <v>36</v>
      </c>
      <c r="H12344" s="1" t="s">
        <v>29</v>
      </c>
      <c r="I12344" s="1" t="str">
        <f ca="1">IFERROR(__xludf.DUMMYFUNCTION("GOOGLETRANSLATE(F12344, ""auto"", ""en"")
"),"My kettle (beige) lasted 6 years. It began to leak in the place where the transparent scale was and water collected in the pan. I'm thinking about which one to choose now. I'm afraid that the current ones are not of the same quality as before...")</f>
        <v>My kettle (beige) lasted 6 years. It began to leak in the place where the transparent scale was and water collected in the pan. I'm thinking about which one to choose now. I'm afraid that the current ones are not of the same quality as before...</v>
      </c>
    </row>
    <row r="12345" spans="1:9" x14ac:dyDescent="0.3">
      <c r="A12345" s="1" t="s">
        <v>17</v>
      </c>
      <c r="B12345" s="1" t="s">
        <v>18</v>
      </c>
      <c r="C12345" s="1" t="s">
        <v>151</v>
      </c>
      <c r="D12345" s="1" t="s">
        <v>305</v>
      </c>
      <c r="E12345" s="1" t="s">
        <v>2280</v>
      </c>
      <c r="F12345" s="1" t="s">
        <v>17430</v>
      </c>
      <c r="G12345" s="1" t="s">
        <v>36</v>
      </c>
      <c r="H12345" s="1" t="s">
        <v>29</v>
      </c>
      <c r="I12345" s="1" t="str">
        <f ca="1">IFERROR(__xludf.DUMMYFUNCTION("GOOGLETRANSLATE(F12345, ""auto"", ""en"")
"),"Good day, the machine is super. It works very well, the main thing is that it sets the mode itself... but there is one drawback that is not particularly significant... there is no 1000 rpm... but immediately 1200... 400-800-1200, that’s probably the only "&amp;"negative")</f>
        <v>Good day, the machine is super. It works very well, the main thing is that it sets the mode itself... but there is one drawback that is not particularly significant... there is no 1000 rpm... but immediately 1200... 400-800-1200, that’s probably the only negative</v>
      </c>
    </row>
    <row r="12346" spans="1:9" x14ac:dyDescent="0.3">
      <c r="A12346" s="1" t="s">
        <v>120</v>
      </c>
      <c r="B12346" s="1" t="s">
        <v>196</v>
      </c>
      <c r="C12346" s="1" t="s">
        <v>80</v>
      </c>
      <c r="D12346" s="1" t="s">
        <v>568</v>
      </c>
      <c r="E12346" s="1" t="s">
        <v>2896</v>
      </c>
      <c r="F12346" s="1" t="s">
        <v>17431</v>
      </c>
      <c r="G12346" s="1" t="s">
        <v>36</v>
      </c>
      <c r="H12346" s="1" t="s">
        <v>29</v>
      </c>
      <c r="I12346" s="1" t="str">
        <f ca="1">IFERROR(__xludf.DUMMYFUNCTION("GOOGLETRANSLATE(F12346, ""auto"", ""en"")
"),"Cool TV! Picture quality is 5+. Only a lot of things are not clear about the settings and the use of USB. Someone explain!")</f>
        <v>Cool TV! Picture quality is 5+. Only a lot of things are not clear about the settings and the use of USB. Someone explain!</v>
      </c>
    </row>
    <row r="12347" spans="1:9" x14ac:dyDescent="0.3">
      <c r="A12347" s="1" t="s">
        <v>37</v>
      </c>
      <c r="B12347" s="1" t="s">
        <v>38</v>
      </c>
      <c r="C12347" s="1" t="s">
        <v>39</v>
      </c>
      <c r="D12347" s="1" t="s">
        <v>589</v>
      </c>
      <c r="E12347" s="1" t="s">
        <v>3359</v>
      </c>
      <c r="F12347" s="1" t="s">
        <v>17432</v>
      </c>
      <c r="G12347" s="1" t="s">
        <v>28</v>
      </c>
      <c r="H12347" s="1" t="s">
        <v>29</v>
      </c>
      <c r="I12347" s="1" t="str">
        <f ca="1">IFERROR(__xludf.DUMMYFUNCTION("GOOGLETRANSLATE(F12347, ""auto"", ""en"")
"),"I've had it for a whole year and during this time it has never glitched, the camera is very good and the phone itself is not bad, in general I really like it, its only big minus is its quiet sound.")</f>
        <v>I've had it for a whole year and during this time it has never glitched, the camera is very good and the phone itself is not bad, in general I really like it, its only big minus is its quiet sound.</v>
      </c>
    </row>
    <row r="12348" spans="1:9" x14ac:dyDescent="0.3">
      <c r="A12348" s="1" t="s">
        <v>211</v>
      </c>
      <c r="B12348" s="1" t="s">
        <v>212</v>
      </c>
      <c r="C12348" s="1" t="s">
        <v>266</v>
      </c>
      <c r="D12348" s="1" t="s">
        <v>295</v>
      </c>
      <c r="E12348" s="1" t="s">
        <v>1649</v>
      </c>
      <c r="F12348" s="1" t="s">
        <v>17433</v>
      </c>
      <c r="G12348" s="1" t="s">
        <v>49</v>
      </c>
      <c r="H12348" s="1" t="s">
        <v>16</v>
      </c>
      <c r="I12348" s="1" t="str">
        <f ca="1">IFERROR(__xludf.DUMMYFUNCTION("GOOGLETRANSLATE(F12348, ""auto"", ""en"")
"),"I bought it, when I checked it, it turned out that the heating was very weak, the parts were flimsy, it was scary to even change the attachments, I was very disappointed.")</f>
        <v>I bought it, when I checked it, it turned out that the heating was very weak, the parts were flimsy, it was scary to even change the attachments, I was very disappointed.</v>
      </c>
    </row>
    <row r="12349" spans="1:9" x14ac:dyDescent="0.3">
      <c r="A12349" s="1" t="s">
        <v>211</v>
      </c>
      <c r="B12349" s="1" t="s">
        <v>212</v>
      </c>
      <c r="C12349" s="1" t="s">
        <v>381</v>
      </c>
      <c r="D12349" s="1" t="s">
        <v>2250</v>
      </c>
      <c r="E12349" s="1" t="s">
        <v>393</v>
      </c>
      <c r="F12349" s="1" t="s">
        <v>17434</v>
      </c>
      <c r="G12349" s="1" t="s">
        <v>36</v>
      </c>
      <c r="H12349" s="1" t="s">
        <v>29</v>
      </c>
      <c r="I12349" s="1" t="str">
        <f ca="1">IFERROR(__xludf.DUMMYFUNCTION("GOOGLETRANSLATE(F12349, ""auto"", ""en"")
"),"I bought it six months ago and don’t regret it, it’s comfortable, light and powerful. Over time, it’s true that the level designations have been erased, but everything is clear there even without them. No complaints so far :)")</f>
        <v>I bought it six months ago and don’t regret it, it’s comfortable, light and powerful. Over time, it’s true that the level designations have been erased, but everything is clear there even without them. No complaints so far :)</v>
      </c>
    </row>
    <row r="12350" spans="1:9" x14ac:dyDescent="0.3">
      <c r="A12350" s="1" t="s">
        <v>55</v>
      </c>
      <c r="B12350" s="1" t="s">
        <v>56</v>
      </c>
      <c r="C12350" s="1" t="s">
        <v>159</v>
      </c>
      <c r="D12350" s="1" t="s">
        <v>280</v>
      </c>
      <c r="E12350" s="1" t="s">
        <v>11988</v>
      </c>
      <c r="F12350" s="1" t="s">
        <v>17435</v>
      </c>
      <c r="G12350" s="1" t="s">
        <v>49</v>
      </c>
      <c r="H12350" s="1" t="s">
        <v>16</v>
      </c>
      <c r="I12350" s="1" t="str">
        <f ca="1">IFERROR(__xludf.DUMMYFUNCTION("GOOGLETRANSLATE(F12350, ""auto"", ""en"")
"),"So you write that it is a good moisturizer. In what place? It’s a pain in the ass, not only did they replace it several times with a new one, it leaves a terrible residue on the furniture, puddles form near it, the membrane gets clogged and a coating form"&amp;"s on it, which is why it starts spitting. What about the filter? Where can I find them??? The service says that it is made to order and the cost is 2790, I think this is not justified, because it does not fulfill its functions,,,, (cry from the heart) I h"&amp;"ad to take the Bork, several friends have it, there were no problems.")</f>
        <v>So you write that it is a good moisturizer. In what place? It’s a pain in the ass, not only did they replace it several times with a new one, it leaves a terrible residue on the furniture, puddles form near it, the membrane gets clogged and a coating forms on it, which is why it starts spitting. What about the filter? Where can I find them??? The service says that it is made to order and the cost is 2790, I think this is not justified, because it does not fulfill its functions,,,, (cry from the heart) I had to take the Bork, several friends have it, there were no problems.</v>
      </c>
    </row>
    <row r="12351" spans="1:9" x14ac:dyDescent="0.3">
      <c r="A12351" s="1" t="s">
        <v>211</v>
      </c>
      <c r="B12351" s="1" t="s">
        <v>384</v>
      </c>
      <c r="C12351" s="1" t="s">
        <v>246</v>
      </c>
      <c r="D12351" s="1" t="s">
        <v>64</v>
      </c>
      <c r="E12351" s="1" t="s">
        <v>5736</v>
      </c>
      <c r="F12351" s="1" t="s">
        <v>17436</v>
      </c>
      <c r="G12351" s="1" t="s">
        <v>49</v>
      </c>
      <c r="H12351" s="1" t="s">
        <v>16</v>
      </c>
      <c r="I12351" s="1" t="str">
        <f ca="1">IFERROR(__xludf.DUMMYFUNCTION("GOOGLETRANSLATE(F12351, ""auto"", ""en"")
"),"The scales show weight loss every day, it turns out that weight loss is 1-2 kg every day. My husband actually immediately lost 10 kg, which you can’t tell from the outside. ""Miracle"", not scales. The main thing is that there is no setup or adjustment. W"&amp;"asted money. I do not advise anyone to buy these scales.")</f>
        <v>The scales show weight loss every day, it turns out that weight loss is 1-2 kg every day. My husband actually immediately lost 10 kg, which you can’t tell from the outside. "Miracle", not scales. The main thing is that there is no setup or adjustment. Wasted money. I do not advise anyone to buy these scales.</v>
      </c>
    </row>
    <row r="12352" spans="1:9" x14ac:dyDescent="0.3">
      <c r="A12352" s="1" t="s">
        <v>120</v>
      </c>
      <c r="B12352" s="1" t="s">
        <v>196</v>
      </c>
      <c r="C12352" s="1" t="s">
        <v>69</v>
      </c>
      <c r="D12352" s="1" t="s">
        <v>152</v>
      </c>
      <c r="E12352" s="1" t="s">
        <v>1065</v>
      </c>
      <c r="F12352" s="1" t="s">
        <v>17437</v>
      </c>
      <c r="G12352" s="1" t="s">
        <v>28</v>
      </c>
      <c r="H12352" s="1" t="s">
        <v>29</v>
      </c>
      <c r="I12352" s="1" t="str">
        <f ca="1">IFERROR(__xludf.DUMMYFUNCTION("GOOGLETRANSLATE(F12352, ""auto"", ""en"")
"),"equalizer 3 bands, no on timer. Dynamic contrast when compared with Samsung is about 3000, viewing angle is also about 100 degrees, not suitable for viewing blurred images, very long delays. advice! Phil buy no lower than the seventh series, Samsung from "&amp;"the fifth. refers to people who are demanding in terms of images! The v5604/60 is basically the stuffing from series 3, the USB doesn’t read videos, but it does have a turn-on timer")</f>
        <v>equalizer 3 bands, no on timer. Dynamic contrast when compared with Samsung is about 3000, viewing angle is also about 100 degrees, not suitable for viewing blurred images, very long delays. advice! Phil buy no lower than the seventh series, Samsung from the fifth. refers to people who are demanding in terms of images! The v5604/60 is basically the stuffing from series 3, the USB doesn’t read videos, but it does have a turn-on timer</v>
      </c>
    </row>
    <row r="12353" spans="1:9" x14ac:dyDescent="0.3">
      <c r="A12353" s="1" t="s">
        <v>30</v>
      </c>
      <c r="B12353" s="1" t="s">
        <v>31</v>
      </c>
      <c r="C12353" s="1" t="s">
        <v>365</v>
      </c>
      <c r="D12353" s="1" t="s">
        <v>17438</v>
      </c>
      <c r="E12353" s="1" t="s">
        <v>3542</v>
      </c>
      <c r="F12353" s="1" t="s">
        <v>17439</v>
      </c>
      <c r="G12353" s="1" t="s">
        <v>49</v>
      </c>
      <c r="H12353" s="1" t="s">
        <v>16</v>
      </c>
      <c r="I12353" s="1" t="str">
        <f ca="1">IFERROR(__xludf.DUMMYFUNCTION("GOOGLETRANSLATE(F12353, ""auto"", ""en"")
"),"A meaningless configuration, on a powerful processor, 4Gb of RAM and such a weak video card! And few people need the fact that it supports CUDA! The question is - WHY and WHO needs such a system unit!!!???")</f>
        <v>A meaningless configuration, on a powerful processor, 4Gb of RAM and such a weak video card! And few people need the fact that it supports CUDA! The question is - WHY and WHO needs such a system unit!!!???</v>
      </c>
    </row>
    <row r="12354" spans="1:9" x14ac:dyDescent="0.3">
      <c r="A12354" s="1" t="s">
        <v>30</v>
      </c>
      <c r="B12354" s="1" t="s">
        <v>50</v>
      </c>
      <c r="C12354" s="1" t="s">
        <v>694</v>
      </c>
      <c r="D12354" s="1" t="s">
        <v>172</v>
      </c>
      <c r="E12354" s="1" t="s">
        <v>2518</v>
      </c>
      <c r="F12354" s="1" t="s">
        <v>17440</v>
      </c>
      <c r="G12354" s="1" t="s">
        <v>36</v>
      </c>
      <c r="H12354" s="1" t="s">
        <v>29</v>
      </c>
      <c r="I12354" s="1" t="str">
        <f ca="1">IFERROR(__xludf.DUMMYFUNCTION("GOOGLETRANSLATE(F12354, ""auto"", ""en"")
"),"I liked the laptop, everything was great, but I had one question, how to flash the BIOS, please explain")</f>
        <v>I liked the laptop, everything was great, but I had one question, how to flash the BIOS, please explain</v>
      </c>
    </row>
    <row r="12355" spans="1:9" x14ac:dyDescent="0.3">
      <c r="A12355" s="1" t="s">
        <v>61</v>
      </c>
      <c r="B12355" s="1" t="s">
        <v>318</v>
      </c>
      <c r="C12355" s="1" t="s">
        <v>57</v>
      </c>
      <c r="D12355" s="1" t="s">
        <v>1942</v>
      </c>
      <c r="E12355" s="1" t="s">
        <v>3854</v>
      </c>
      <c r="F12355" s="1" t="s">
        <v>17441</v>
      </c>
      <c r="G12355" s="1" t="s">
        <v>36</v>
      </c>
      <c r="H12355" s="1" t="s">
        <v>29</v>
      </c>
      <c r="I12355" s="1" t="str">
        <f ca="1">IFERROR(__xludf.DUMMYFUNCTION("GOOGLETRANSLATE(F12355, ""auto"", ""en"")
"),"We bought it for work in order to save money as one of the most budget options. Overall we were pleased with the purchase. Heats up water quickly, despite the decent volume, it takes up little space. And in general it’s convenient to use. I read different"&amp;" reviews on the forums - there were complaints about the pump and the flimsy lid. However, everything is going well for us so far (7 months). The pump works perfectly (if it idles a couple of times, I don’t consider it a drawback, because this is the case"&amp;" with almost all thermopots). During use, nothing crumbled, fell off or leaked. Functions normally. And in general the model does not give a feeling of “flimsy”.")</f>
        <v>We bought it for work in order to save money as one of the most budget options. Overall we were pleased with the purchase. Heats up water quickly, despite the decent volume, it takes up little space. And in general it’s convenient to use. I read different reviews on the forums - there were complaints about the pump and the flimsy lid. However, everything is going well for us so far (7 months). The pump works perfectly (if it idles a couple of times, I don’t consider it a drawback, because this is the case with almost all thermopots). During use, nothing crumbled, fell off or leaked. Functions normally. And in general the model does not give a feeling of “flimsy”.</v>
      </c>
    </row>
    <row r="12356" spans="1:9" x14ac:dyDescent="0.3">
      <c r="A12356" s="1" t="s">
        <v>89</v>
      </c>
      <c r="B12356" s="1" t="s">
        <v>231</v>
      </c>
      <c r="C12356" s="1" t="s">
        <v>185</v>
      </c>
      <c r="D12356" s="1" t="s">
        <v>152</v>
      </c>
      <c r="E12356" s="1" t="s">
        <v>980</v>
      </c>
      <c r="F12356" s="1" t="s">
        <v>17442</v>
      </c>
      <c r="G12356" s="1" t="s">
        <v>36</v>
      </c>
      <c r="H12356" s="1" t="s">
        <v>29</v>
      </c>
      <c r="I12356" s="1" t="str">
        <f ca="1">IFERROR(__xludf.DUMMYFUNCTION("GOOGLETRANSLATE(F12356, ""auto"", ""en"")
"),"I’ve been using the Delonghi BAR 14 coffee maker for a long time, and now I’ve grown into a coffee machine. Expensive models are not affordable, and there is no need for them. I checked the coffee is brewed the same! Why did you choose Delongi? ESAM 2200."&amp;" The first factor was that I had already used the delonga technique, so I trust it, I also read reviews on the Internet, most of them were positive. They also explained in the store that the delonga, unlike all coffee machines, has a removable brewing uni"&amp;"t, it can be easily cleaned, while other coffee machines need to be purchased specially. cleaning product every month. I was not ready to waste money.")</f>
        <v>I’ve been using the Delonghi BAR 14 coffee maker for a long time, and now I’ve grown into a coffee machine. Expensive models are not affordable, and there is no need for them. I checked the coffee is brewed the same! Why did you choose Delongi? ESAM 2200. The first factor was that I had already used the delonga technique, so I trust it, I also read reviews on the Internet, most of them were positive. They also explained in the store that the delonga, unlike all coffee machines, has a removable brewing unit, it can be easily cleaned, while other coffee machines need to be purchased specially. cleaning product every month. I was not ready to waste money.</v>
      </c>
    </row>
    <row r="12357" spans="1:9" x14ac:dyDescent="0.3">
      <c r="A12357" s="1" t="s">
        <v>206</v>
      </c>
      <c r="B12357" s="1" t="s">
        <v>1349</v>
      </c>
      <c r="C12357" s="1" t="s">
        <v>2425</v>
      </c>
      <c r="D12357" s="1" t="s">
        <v>17443</v>
      </c>
      <c r="E12357" s="1" t="s">
        <v>1450</v>
      </c>
      <c r="F12357" s="1" t="s">
        <v>17444</v>
      </c>
      <c r="G12357" s="1" t="s">
        <v>36</v>
      </c>
      <c r="H12357" s="1" t="s">
        <v>29</v>
      </c>
      <c r="I12357" s="1" t="str">
        <f ca="1">IFERROR(__xludf.DUMMYFUNCTION("GOOGLETRANSLATE(F12357, ""auto"", ""en"")
"),"I bought it from M.video, so far everything is working, I hope for all the best. Plays any discs and most importantly blue tooth. But as for breakdowns, sorry, nothing lasts forever, there is a guarantee for this, the main thing is not a lot of patience. "&amp;"Happy shopping everyone.")</f>
        <v>I bought it from M.video, so far everything is working, I hope for all the best. Plays any discs and most importantly blue tooth. But as for breakdowns, sorry, nothing lasts forever, there is a guarantee for this, the main thing is not a lot of patience. Happy shopping everyone.</v>
      </c>
    </row>
    <row r="12358" spans="1:9" x14ac:dyDescent="0.3">
      <c r="A12358" s="1" t="s">
        <v>4415</v>
      </c>
      <c r="B12358" s="1" t="s">
        <v>4416</v>
      </c>
      <c r="C12358" s="1" t="s">
        <v>479</v>
      </c>
      <c r="D12358" s="1" t="s">
        <v>17445</v>
      </c>
      <c r="E12358" s="1" t="s">
        <v>2131</v>
      </c>
      <c r="F12358" s="1" t="s">
        <v>17446</v>
      </c>
      <c r="G12358" s="1" t="s">
        <v>49</v>
      </c>
      <c r="H12358" s="1" t="s">
        <v>16</v>
      </c>
      <c r="I12358" s="1" t="str">
        <f ca="1">IFERROR(__xludf.DUMMYFUNCTION("GOOGLETRANSLATE(F12358, ""auto"", ""en"")
"),"Today I bought this disc, listened to it and threw it in the corner, not music, but just hammering!  In general, I didn’t like it and I don’t recommend it to you! Although I myself am a big fan of Techno!  I just wasted my money!")</f>
        <v>Today I bought this disc, listened to it and threw it in the corner, not music, but just hammering!  In general, I didn’t like it and I don’t recommend it to you! Although I myself am a big fan of Techno!  I just wasted my money!</v>
      </c>
    </row>
    <row r="12359" spans="1:9" x14ac:dyDescent="0.3">
      <c r="A12359" s="1" t="s">
        <v>120</v>
      </c>
      <c r="B12359" s="1" t="s">
        <v>256</v>
      </c>
      <c r="C12359" s="1" t="s">
        <v>658</v>
      </c>
      <c r="D12359" s="1" t="s">
        <v>39</v>
      </c>
      <c r="E12359" s="1" t="s">
        <v>1273</v>
      </c>
      <c r="F12359" s="1" t="s">
        <v>17447</v>
      </c>
      <c r="G12359" s="1" t="s">
        <v>36</v>
      </c>
      <c r="H12359" s="1" t="s">
        <v>29</v>
      </c>
      <c r="I12359" s="1" t="str">
        <f ca="1">IFERROR(__xludf.DUMMYFUNCTION("GOOGLETRANSLATE(F12359, ""auto"", ""en"")
"),"LCD TV is very good!  The image quality is very good, the sound is loud, the design is simple and stylish!  I didn’t find any cons!  I recommend it to everyone!!!")</f>
        <v>LCD TV is very good!  The image quality is very good, the sound is loud, the design is simple and stylish!  I didn’t find any cons!  I recommend it to everyone!!!</v>
      </c>
    </row>
    <row r="12360" spans="1:9" x14ac:dyDescent="0.3">
      <c r="A12360" s="1" t="s">
        <v>61</v>
      </c>
      <c r="B12360" s="1" t="s">
        <v>318</v>
      </c>
      <c r="C12360" s="1" t="s">
        <v>57</v>
      </c>
      <c r="D12360" s="1" t="s">
        <v>280</v>
      </c>
      <c r="E12360" s="1" t="s">
        <v>5923</v>
      </c>
      <c r="F12360" s="1" t="s">
        <v>17448</v>
      </c>
      <c r="G12360" s="1" t="s">
        <v>36</v>
      </c>
      <c r="H12360" s="1" t="s">
        <v>29</v>
      </c>
      <c r="I12360" s="1" t="str">
        <f ca="1">IFERROR(__xludf.DUMMYFUNCTION("GOOGLETRANSLATE(F12360, ""auto"", ""en"")
"),"I’ve been using it for the second week and haven’t noticed any smell as in some reviews. I turn it on before going into the bath and when I come out it’s already boiling water, so I don’t have to wait specifically for the water to boil. At lunchtime the s"&amp;"ame day, the water is still hot even without using the keep warm function.   I didn't find any shortcomings.")</f>
        <v>I’ve been using it for the second week and haven’t noticed any smell as in some reviews. I turn it on before going into the bath and when I come out it’s already boiling water, so I don’t have to wait specifically for the water to boil. At lunchtime the same day, the water is still hot even without using the keep warm function.   I didn't find any shortcomings.</v>
      </c>
    </row>
    <row r="12361" spans="1:9" x14ac:dyDescent="0.3">
      <c r="A12361" s="1" t="s">
        <v>361</v>
      </c>
      <c r="B12361" s="1" t="s">
        <v>362</v>
      </c>
      <c r="C12361" s="1" t="s">
        <v>561</v>
      </c>
      <c r="D12361" s="1" t="s">
        <v>39</v>
      </c>
      <c r="E12361" s="1" t="s">
        <v>1376</v>
      </c>
      <c r="F12361" s="1" t="s">
        <v>17449</v>
      </c>
      <c r="G12361" s="1" t="s">
        <v>49</v>
      </c>
      <c r="H12361" s="1" t="s">
        <v>16</v>
      </c>
      <c r="I12361" s="1" t="str">
        <f ca="1">IFERROR(__xludf.DUMMYFUNCTION("GOOGLETRANSLATE(F12361, ""auto"", ""en"")
"),"Rubbish grater! the knives are crooked, horribly sharpened, they don’t chop the potatoes completely, and the ones that do crumble come across whole circles, the vertical ones don’t cut through (((")</f>
        <v>Rubbish grater! the knives are crooked, horribly sharpened, they don’t chop the potatoes completely, and the ones that do crumble come across whole circles, the vertical ones don’t cut through (((</v>
      </c>
    </row>
    <row r="12362" spans="1:9" x14ac:dyDescent="0.3">
      <c r="A12362" s="1" t="s">
        <v>37</v>
      </c>
      <c r="B12362" s="1" t="s">
        <v>38</v>
      </c>
      <c r="C12362" s="1" t="s">
        <v>163</v>
      </c>
      <c r="D12362" s="1" t="s">
        <v>186</v>
      </c>
      <c r="E12362" s="1" t="s">
        <v>251</v>
      </c>
      <c r="F12362" s="1" t="s">
        <v>17450</v>
      </c>
      <c r="G12362" s="1" t="s">
        <v>36</v>
      </c>
      <c r="H12362" s="1" t="s">
        <v>29</v>
      </c>
      <c r="I12362" s="1" t="str">
        <f ca="1">IFERROR(__xludf.DUMMYFUNCTION("GOOGLETRANSLATE(F12362, ""auto"", ""en"")
"),"For this money the phone is very excellent! I bought it at the end of summer and have never been disappointed. There are of course a couple of minor flaws, but they are minor.  P.S The phone reads all major formats! And if you, Christina, he doesn’t read "&amp;"something, then first just check the format of the song. I have never had him not read a song! If he doesn’t read the song, then transfer it to mp3 and that’s it.")</f>
        <v>For this money the phone is very excellent! I bought it at the end of summer and have never been disappointed. There are of course a couple of minor flaws, but they are minor.  P.S The phone reads all major formats! And if you, Christina, he doesn’t read something, then first just check the format of the song. I have never had him not read a song! If he doesn’t read the song, then transfer it to mp3 and that’s it.</v>
      </c>
    </row>
    <row r="12363" spans="1:9" x14ac:dyDescent="0.3">
      <c r="A12363" s="1" t="s">
        <v>149</v>
      </c>
      <c r="B12363" s="1" t="s">
        <v>155</v>
      </c>
      <c r="C12363" s="1" t="s">
        <v>151</v>
      </c>
      <c r="D12363" s="1" t="s">
        <v>305</v>
      </c>
      <c r="E12363" s="1" t="s">
        <v>4875</v>
      </c>
      <c r="F12363" s="1" t="s">
        <v>17451</v>
      </c>
      <c r="G12363" s="1" t="s">
        <v>36</v>
      </c>
      <c r="H12363" s="1" t="s">
        <v>29</v>
      </c>
      <c r="I12363" s="1" t="str">
        <f ca="1">IFERROR(__xludf.DUMMYFUNCTION("GOOGLETRANSLATE(F12363, ""auto"", ""en"")
"),"Great vacuum cleaner! 5+!!!!")</f>
        <v>Great vacuum cleaner! 5+!!!!</v>
      </c>
    </row>
    <row r="12364" spans="1:9" x14ac:dyDescent="0.3">
      <c r="A12364" s="1" t="s">
        <v>37</v>
      </c>
      <c r="B12364" s="1" t="s">
        <v>38</v>
      </c>
      <c r="C12364" s="1" t="s">
        <v>151</v>
      </c>
      <c r="D12364" s="1" t="s">
        <v>64</v>
      </c>
      <c r="E12364" s="1" t="s">
        <v>1352</v>
      </c>
      <c r="F12364" s="1" t="s">
        <v>17452</v>
      </c>
      <c r="G12364" s="1" t="s">
        <v>36</v>
      </c>
      <c r="H12364" s="1" t="s">
        <v>29</v>
      </c>
      <c r="I12364" s="1" t="str">
        <f ca="1">IFERROR(__xludf.DUMMYFUNCTION("GOOGLETRANSLATE(F12364, ""auto"", ""en"")
"),"I bought the phone a week ago. Overall I like everything, but there is one “but”, it’s rare, but it happens that when you unlock it and click on the menu, the screen turns red and the menu never appears...")</f>
        <v>I bought the phone a week ago. Overall I like everything, but there is one “but”, it’s rare, but it happens that when you unlock it and click on the menu, the screen turns red and the menu never appears...</v>
      </c>
    </row>
    <row r="12365" spans="1:9" x14ac:dyDescent="0.3">
      <c r="A12365" s="1" t="s">
        <v>30</v>
      </c>
      <c r="B12365" s="1" t="s">
        <v>50</v>
      </c>
      <c r="C12365" s="1" t="s">
        <v>32</v>
      </c>
      <c r="D12365" s="1" t="s">
        <v>11959</v>
      </c>
      <c r="E12365" s="1" t="s">
        <v>2735</v>
      </c>
      <c r="F12365" s="1" t="s">
        <v>17453</v>
      </c>
      <c r="G12365" s="1" t="s">
        <v>36</v>
      </c>
      <c r="H12365" s="1" t="s">
        <v>29</v>
      </c>
      <c r="I12365" s="1" t="str">
        <f ca="1">IFERROR(__xludf.DUMMYFUNCTION("GOOGLETRANSLATE(F12365, ""auto"", ""en"")
"),"I saw it, read the tests and reviews, bought it - I’m happy! For that kind of money, to get a fairly powerful and sophisticated laptop, they would have said before - I would never have believed it, but I bought it myself and had to believe it. Excellent p"&amp;"rocessor and video card, the screen is not the worst, 4 GB of RAM, 320 GB hard drive (you can install an additional one - there is a free compartment). Yes, and it looks great. By the way, it works not bad either. I installed a second Win 7 Ultimate X64 s"&amp;"ystem - everything is great! A little heavy - “art requires sacrifice”! In general, a very profitable and successful purchase in terms of price-power-quality ratio.")</f>
        <v>I saw it, read the tests and reviews, bought it - I’m happy! For that kind of money, to get a fairly powerful and sophisticated laptop, they would have said before - I would never have believed it, but I bought it myself and had to believe it. Excellent processor and video card, the screen is not the worst, 4 GB of RAM, 320 GB hard drive (you can install an additional one - there is a free compartment). Yes, and it looks great. By the way, it works not bad either. I installed a second Win 7 Ultimate X64 system - everything is great! A little heavy - “art requires sacrifice”! In general, a very profitable and successful purchase in terms of price-power-quality ratio.</v>
      </c>
    </row>
    <row r="12366" spans="1:9" x14ac:dyDescent="0.3">
      <c r="A12366" s="1" t="s">
        <v>61</v>
      </c>
      <c r="B12366" s="1" t="s">
        <v>224</v>
      </c>
      <c r="C12366" s="1" t="s">
        <v>85</v>
      </c>
      <c r="D12366" s="1" t="s">
        <v>247</v>
      </c>
      <c r="E12366" s="1" t="s">
        <v>6264</v>
      </c>
      <c r="F12366" s="1" t="s">
        <v>17454</v>
      </c>
      <c r="G12366" s="1" t="s">
        <v>15</v>
      </c>
      <c r="H12366" s="1" t="s">
        <v>16</v>
      </c>
      <c r="I12366" s="1" t="str">
        <f ca="1">IFERROR(__xludf.DUMMYFUNCTION("GOOGLETRANSLATE(F12366, ""auto"", ""en"")
"),"I purchased this model on September 6, 2013. The price does not correspond to the quality. I collected 2 buckets of chokeberry to prepare concentrated juice. I assembled a juicer, yes, I like the design, the power is also silent, but when 1 liter of juice"&amp;" comes out of the pulp (the full capacity is 3 liters), I have to squeeze the juice out with my hands through gauze. As a result, another 1.5 liters of juice and all hands are black. The cake turns out very raw. I'm shocked. I haven’t tried other fruits a"&amp;"nd vegetables yet, I’m afraid I’ll be disappointed. I would like the information when purchasing to be reliable.")</f>
        <v>I purchased this model on September 6, 2013. The price does not correspond to the quality. I collected 2 buckets of chokeberry to prepare concentrated juice. I assembled a juicer, yes, I like the design, the power is also silent, but when 1 liter of juice comes out of the pulp (the full capacity is 3 liters), I have to squeeze the juice out with my hands through gauze. As a result, another 1.5 liters of juice and all hands are black. The cake turns out very raw. I'm shocked. I haven’t tried other fruits and vegetables yet, I’m afraid I’ll be disappointed. I would like the information when purchasing to be reliable.</v>
      </c>
    </row>
    <row r="12367" spans="1:9" x14ac:dyDescent="0.3">
      <c r="A12367" s="1" t="s">
        <v>211</v>
      </c>
      <c r="B12367" s="1" t="s">
        <v>265</v>
      </c>
      <c r="C12367" s="1" t="s">
        <v>294</v>
      </c>
      <c r="D12367" s="1" t="s">
        <v>4329</v>
      </c>
      <c r="E12367" s="1" t="s">
        <v>5332</v>
      </c>
      <c r="F12367" s="1" t="s">
        <v>17455</v>
      </c>
      <c r="G12367" s="1" t="s">
        <v>36</v>
      </c>
      <c r="H12367" s="1" t="s">
        <v>29</v>
      </c>
      <c r="I12367" s="1" t="str">
        <f ca="1">IFERROR(__xludf.DUMMYFUNCTION("GOOGLETRANSLATE(F12367, ""auto"", ""en"")
"),"Can be used away from a power outlet, adjustable up to 4cm hair length")</f>
        <v>Can be used away from a power outlet, adjustable up to 4cm hair length</v>
      </c>
    </row>
    <row r="12368" spans="1:9" x14ac:dyDescent="0.3">
      <c r="A12368" s="1" t="s">
        <v>95</v>
      </c>
      <c r="B12368" s="1" t="s">
        <v>227</v>
      </c>
      <c r="C12368" s="1" t="s">
        <v>97</v>
      </c>
      <c r="D12368" s="1" t="s">
        <v>4546</v>
      </c>
      <c r="E12368" s="1" t="s">
        <v>9813</v>
      </c>
      <c r="F12368" s="1" t="s">
        <v>17456</v>
      </c>
      <c r="G12368" s="1" t="s">
        <v>36</v>
      </c>
      <c r="H12368" s="1" t="s">
        <v>29</v>
      </c>
      <c r="I12368" s="1" t="str">
        <f ca="1">IFERROR(__xludf.DUMMYFUNCTION("GOOGLETRANSLATE(F12368, ""auto"", ""en"")
"),"The console is wonderful. True, there are not as many worthy games as we would like.")</f>
        <v>The console is wonderful. True, there are not as many worthy games as we would like.</v>
      </c>
    </row>
    <row r="12369" spans="1:9" x14ac:dyDescent="0.3">
      <c r="A12369" s="1" t="s">
        <v>624</v>
      </c>
      <c r="B12369" s="1" t="s">
        <v>625</v>
      </c>
      <c r="C12369" s="1" t="s">
        <v>479</v>
      </c>
      <c r="D12369" s="1" t="s">
        <v>17457</v>
      </c>
      <c r="E12369" s="1" t="s">
        <v>960</v>
      </c>
      <c r="F12369" s="1" t="s">
        <v>17458</v>
      </c>
      <c r="G12369" s="1" t="s">
        <v>36</v>
      </c>
      <c r="H12369" s="1" t="s">
        <v>29</v>
      </c>
      <c r="I12369" s="1" t="str">
        <f ca="1">IFERROR(__xludf.DUMMYFUNCTION("GOOGLETRANSLATE(F12369, ""auto"", ""en"")
"),"I've been playing it for a month now, the game is truly a MUST HAVE!!! I started playing just with English sound, I didn’t understand everything, but then I figured out how to turn on subtitles. In general, although I can’t say that I know the language ve"&amp;"ry well, with subs everything is more or less clear and the absence of a Russian translation, in my opinion, does not spoil the game.")</f>
        <v>I've been playing it for a month now, the game is truly a MUST HAVE!!! I started playing just with English sound, I didn’t understand everything, but then I figured out how to turn on subtitles. In general, although I can’t say that I know the language very well, with subs everything is more or less clear and the absence of a Russian translation, in my opinion, does not spoil the game.</v>
      </c>
    </row>
    <row r="12370" spans="1:9" x14ac:dyDescent="0.3">
      <c r="A12370" s="1" t="s">
        <v>67</v>
      </c>
      <c r="B12370" s="1" t="s">
        <v>68</v>
      </c>
      <c r="C12370" s="1" t="s">
        <v>101</v>
      </c>
      <c r="D12370" s="1" t="s">
        <v>17459</v>
      </c>
      <c r="E12370" s="1" t="s">
        <v>4363</v>
      </c>
      <c r="F12370" s="1" t="s">
        <v>17460</v>
      </c>
      <c r="G12370" s="1" t="s">
        <v>36</v>
      </c>
      <c r="H12370" s="1" t="s">
        <v>29</v>
      </c>
      <c r="I12370" s="1" t="str">
        <f ca="1">IFERROR(__xludf.DUMMYFUNCTION("GOOGLETRANSLATE(F12370, ""auto"", ""en"")
"),"The iron is lightweight, glides well, irons well, excellent steam supply, incl. Even the vertical steaming function is not empty words. Completely satisfied with the length of the cord. The iron is stable, the wire does not get in the way when ironing (th"&amp;"e ball is a hinge at the point where it is attached to the iron). There is a tiny drawback: there is no lid to cover the water compartment, incl. sudden movements lead to splashes, but for me these are minor things.")</f>
        <v>The iron is lightweight, glides well, irons well, excellent steam supply, incl. Even the vertical steaming function is not empty words. Completely satisfied with the length of the cord. The iron is stable, the wire does not get in the way when ironing (the ball is a hinge at the point where it is attached to the iron). There is a tiny drawback: there is no lid to cover the water compartment, incl. sudden movements lead to splashes, but for me these are minor things.</v>
      </c>
    </row>
    <row r="12371" spans="1:9" x14ac:dyDescent="0.3">
      <c r="A12371" s="1" t="s">
        <v>9</v>
      </c>
      <c r="B12371" s="1" t="s">
        <v>137</v>
      </c>
      <c r="C12371" s="1" t="s">
        <v>466</v>
      </c>
      <c r="D12371" s="1" t="s">
        <v>589</v>
      </c>
      <c r="E12371" s="1" t="s">
        <v>4424</v>
      </c>
      <c r="F12371" s="1" t="s">
        <v>17461</v>
      </c>
      <c r="G12371" s="1" t="s">
        <v>28</v>
      </c>
      <c r="H12371" s="1" t="s">
        <v>29</v>
      </c>
      <c r="I12371" s="1" t="str">
        <f ca="1">IFERROR(__xludf.DUMMYFUNCTION("GOOGLETRANSLATE(F12371, ""auto"", ""en"")
"),"We bought this panel and connected it. It immediately became clear that electric ignition was a problem for this model. I wanted to contact the service center, but now I see that this apparently does not make sense. I'm upset.")</f>
        <v>We bought this panel and connected it. It immediately became clear that electric ignition was a problem for this model. I wanted to contact the service center, but now I see that this apparently does not make sense. I'm upset.</v>
      </c>
    </row>
    <row r="12372" spans="1:9" x14ac:dyDescent="0.3">
      <c r="A12372" s="1" t="s">
        <v>61</v>
      </c>
      <c r="B12372" s="1" t="s">
        <v>318</v>
      </c>
      <c r="C12372" s="1" t="s">
        <v>74</v>
      </c>
      <c r="D12372" s="1" t="s">
        <v>17462</v>
      </c>
      <c r="E12372" s="1" t="s">
        <v>2176</v>
      </c>
      <c r="F12372" s="1" t="s">
        <v>17463</v>
      </c>
      <c r="G12372" s="1" t="s">
        <v>49</v>
      </c>
      <c r="H12372" s="1" t="s">
        <v>16</v>
      </c>
      <c r="I12372" s="1" t="str">
        <f ca="1">IFERROR(__xludf.DUMMYFUNCTION("GOOGLETRANSLATE(F12372, ""auto"", ""en"")
"),"Terrible kettle!!! We suffered with it...after two years it leaked, it’s not worth taking!!!!!")</f>
        <v>Terrible kettle!!! We suffered with it...after two years it leaked, it’s not worth taking!!!!!</v>
      </c>
    </row>
    <row r="12373" spans="1:9" x14ac:dyDescent="0.3">
      <c r="A12373" s="1" t="s">
        <v>30</v>
      </c>
      <c r="B12373" s="1" t="s">
        <v>31</v>
      </c>
      <c r="C12373" s="1" t="s">
        <v>32</v>
      </c>
      <c r="D12373" s="1" t="s">
        <v>13567</v>
      </c>
      <c r="E12373" s="1" t="s">
        <v>251</v>
      </c>
      <c r="F12373" s="1" t="s">
        <v>17464</v>
      </c>
      <c r="G12373" s="1" t="s">
        <v>49</v>
      </c>
      <c r="H12373" s="1" t="s">
        <v>16</v>
      </c>
      <c r="I12373" s="1" t="str">
        <f ca="1">IFERROR(__xludf.DUMMYFUNCTION("GOOGLETRANSLATE(F12373, ""auto"", ""en"")
"),"does not perform its functions, this is a hundred percent crude version, I took it because of the HD content and to work on Wi-Fi, I did not see a Wi-Fi card in the pre-installed Linux Linux and the resolution was 1024*768, it strained my eyes, after whic"&amp;"h Linux was demolished and the Original was installed!!! WIN7, lo and behold... Wi-Fi and even SPDIF appeared!!! the joy did not last long, when viewing content from the network, the hard drive clicked terribly loudly, as if it was going to rip! the probl"&amp;"em has still not been resolved, and the Aserovites themselves are silent. CONCLUSION: YOU DO NOT NEED IT, but if you need it, I can sell mine")</f>
        <v>does not perform its functions, this is a hundred percent crude version, I took it because of the HD content and to work on Wi-Fi, I did not see a Wi-Fi card in the pre-installed Linux Linux and the resolution was 1024*768, it strained my eyes, after which Linux was demolished and the Original was installed!!! WIN7, lo and behold... Wi-Fi and even SPDIF appeared!!! the joy did not last long, when viewing content from the network, the hard drive clicked terribly loudly, as if it was going to rip! the problem has still not been resolved, and the Aserovites themselves are silent. CONCLUSION: YOU DO NOT NEED IT, but if you need it, I can sell mine</v>
      </c>
    </row>
    <row r="12374" spans="1:9" x14ac:dyDescent="0.3">
      <c r="A12374" s="1" t="s">
        <v>211</v>
      </c>
      <c r="B12374" s="1" t="s">
        <v>515</v>
      </c>
      <c r="C12374" s="1" t="s">
        <v>213</v>
      </c>
      <c r="D12374" s="1" t="s">
        <v>896</v>
      </c>
      <c r="E12374" s="1" t="s">
        <v>92</v>
      </c>
      <c r="F12374" s="1" t="s">
        <v>17465</v>
      </c>
      <c r="G12374" s="1" t="s">
        <v>36</v>
      </c>
      <c r="H12374" s="1" t="s">
        <v>29</v>
      </c>
      <c r="I12374" s="1" t="str">
        <f ca="1">IFERROR(__xludf.DUMMYFUNCTION("GOOGLETRANSLATE(F12374, ""auto"", ""en"")
"),"easy to use, removes even short hairs, compact, low cost, no irritation")</f>
        <v>easy to use, removes even short hairs, compact, low cost, no irritation</v>
      </c>
    </row>
    <row r="12375" spans="1:9" x14ac:dyDescent="0.3">
      <c r="A12375" s="1" t="s">
        <v>17</v>
      </c>
      <c r="B12375" s="1" t="s">
        <v>18</v>
      </c>
      <c r="C12375" s="1" t="s">
        <v>243</v>
      </c>
      <c r="D12375" s="1" t="s">
        <v>474</v>
      </c>
      <c r="E12375" s="1" t="s">
        <v>1767</v>
      </c>
      <c r="F12375" s="1" t="s">
        <v>17466</v>
      </c>
      <c r="G12375" s="1" t="s">
        <v>36</v>
      </c>
      <c r="H12375" s="1" t="s">
        <v>29</v>
      </c>
      <c r="I12375" s="1" t="str">
        <f ca="1">IFERROR(__xludf.DUMMYFUNCTION("GOOGLETRANSLATE(F12375, ""auto"", ""en"")
"),"I have had this little girl for 4 years now and she is an irreplaceable assistant. There are no problems.   I have a small child, so sometimes I do laundry 5 times a day.  And so far she has endured everything with a bang. I washed it on all modes. I'm ha"&amp;"ppy with everything. The linen is washed and rinsed well. For me, she is all one big compact plus!")</f>
        <v>I have had this little girl for 4 years now and she is an irreplaceable assistant. There are no problems.   I have a small child, so sometimes I do laundry 5 times a day.  And so far she has endured everything with a bang. I washed it on all modes. I'm happy with everything. The linen is washed and rinsed well. For me, she is all one big compact plus!</v>
      </c>
    </row>
    <row r="12376" spans="1:9" x14ac:dyDescent="0.3">
      <c r="A12376" s="1" t="s">
        <v>169</v>
      </c>
      <c r="B12376" s="1" t="s">
        <v>170</v>
      </c>
      <c r="C12376" s="1" t="s">
        <v>97</v>
      </c>
      <c r="D12376" s="1" t="s">
        <v>327</v>
      </c>
      <c r="E12376" s="1" t="s">
        <v>1571</v>
      </c>
      <c r="F12376" s="1" t="s">
        <v>17467</v>
      </c>
      <c r="G12376" s="1" t="s">
        <v>28</v>
      </c>
      <c r="H12376" s="1" t="s">
        <v>29</v>
      </c>
      <c r="I12376" s="1" t="str">
        <f ca="1">IFERROR(__xludf.DUMMYFUNCTION("GOOGLETRANSLATE(F12376, ""auto"", ""en"")
"),"Good headphones, after the purchase I was happy for a little over a year, the sound is clear, I didn’t like the sound insulation a bit, but this is purely my subjective point of view. The wire becomes like stone in the cold and there is a possibility of d"&amp;"amaging it, but in general it is quite flexible.  After about a year, one of the speakers suddenly broke, and for no apparent reason. This is where the experience of using these headphones ended.")</f>
        <v>Good headphones, after the purchase I was happy for a little over a year, the sound is clear, I didn’t like the sound insulation a bit, but this is purely my subjective point of view. The wire becomes like stone in the cold and there is a possibility of damaging it, but in general it is quite flexible.  After about a year, one of the speakers suddenly broke, and for no apparent reason. This is where the experience of using these headphones ended.</v>
      </c>
    </row>
    <row r="12377" spans="1:9" x14ac:dyDescent="0.3">
      <c r="A12377" s="1" t="s">
        <v>67</v>
      </c>
      <c r="B12377" s="1" t="s">
        <v>340</v>
      </c>
      <c r="C12377" s="1" t="s">
        <v>341</v>
      </c>
      <c r="D12377" s="1" t="s">
        <v>17468</v>
      </c>
      <c r="E12377" s="1" t="s">
        <v>5461</v>
      </c>
      <c r="F12377" s="1" t="s">
        <v>17469</v>
      </c>
      <c r="G12377" s="1" t="s">
        <v>49</v>
      </c>
      <c r="H12377" s="1" t="s">
        <v>16</v>
      </c>
      <c r="I12377" s="1" t="str">
        <f ca="1">IFERROR(__xludf.DUMMYFUNCTION("GOOGLETRANSLATE(F12377, ""auto"", ""en"")
"),"I sewed it properly a couple of times, and then I stopped picking up the thread from the needle and put a seam on top, but didn’t sew the bottom...maybe I’m doing something wrong, but one way or another I realized that the bobbin case simply doesn’t pick "&amp;"up the thread from the needle from below...it’s gathering dust, they take up to 45 days to look into the problem at service...")</f>
        <v>I sewed it properly a couple of times, and then I stopped picking up the thread from the needle and put a seam on top, but didn’t sew the bottom...maybe I’m doing something wrong, but one way or another I realized that the bobbin case simply doesn’t pick up the thread from the needle from below...it’s gathering dust, they take up to 45 days to look into the problem at service...</v>
      </c>
    </row>
    <row r="12378" spans="1:9" x14ac:dyDescent="0.3">
      <c r="A12378" s="1" t="s">
        <v>43</v>
      </c>
      <c r="B12378" s="1" t="s">
        <v>303</v>
      </c>
      <c r="C12378" s="1" t="s">
        <v>665</v>
      </c>
      <c r="D12378" s="1" t="s">
        <v>171</v>
      </c>
      <c r="E12378" s="1" t="s">
        <v>3941</v>
      </c>
      <c r="F12378" s="1" t="s">
        <v>17470</v>
      </c>
      <c r="G12378" s="1" t="s">
        <v>36</v>
      </c>
      <c r="H12378" s="1" t="s">
        <v>29</v>
      </c>
      <c r="I12378" s="1" t="str">
        <f ca="1">IFERROR(__xludf.DUMMYFUNCTION("GOOGLETRANSLATE(F12378, ""auto"", ""en"")
"),"We thought about choosing a water heater for a long time, because today there is simply a huge choice. But no other company provides such a long warranty (on the tank and magnesium anode). We quickly decided on the displacement; there are four of us and 5"&amp;"0 liters is enough. They hung it themselves. It looks solid and looks quite organic in the bathroom. The tank is narrow in shape and doesn’t take up much space, so we were looking for just such a tank. The water heats up in just over an hour, there is a m"&amp;"emory function and a built-in timer, so the water can be heated at a certain time. Very convenient)")</f>
        <v>We thought about choosing a water heater for a long time, because today there is simply a huge choice. But no other company provides such a long warranty (on the tank and magnesium anode). We quickly decided on the displacement; there are four of us and 50 liters is enough. They hung it themselves. It looks solid and looks quite organic in the bathroom. The tank is narrow in shape and doesn’t take up much space, so we were looking for just such a tank. The water heats up in just over an hour, there is a memory function and a built-in timer, so the water can be heated at a certain time. Very convenient)</v>
      </c>
    </row>
    <row r="12379" spans="1:9" x14ac:dyDescent="0.3">
      <c r="A12379" s="1" t="s">
        <v>61</v>
      </c>
      <c r="B12379" s="1" t="s">
        <v>318</v>
      </c>
      <c r="C12379" s="1" t="s">
        <v>246</v>
      </c>
      <c r="D12379" s="1" t="s">
        <v>52</v>
      </c>
      <c r="E12379" s="1" t="s">
        <v>680</v>
      </c>
      <c r="F12379" s="1" t="s">
        <v>17471</v>
      </c>
      <c r="G12379" s="1" t="s">
        <v>15</v>
      </c>
      <c r="H12379" s="1" t="s">
        <v>16</v>
      </c>
      <c r="I12379" s="1" t="str">
        <f ca="1">IFERROR(__xludf.DUMMYFUNCTION("GOOGLETRANSLATE(F12379, ""auto"", ""en"")
"),"I used the kettle for 3 months.  I chose a kettle from models with a metal body, and with a level indicator located in the handle, because... In previous kettles, the indicator glass cracked.  Of the advantages of this model, one can note its design, and."&amp;".. perhaps that’s all.  But the disadvantages are: very noisy when heated, poor-quality plastic cover, after two months of operation the cover began to jam, and soon cracked and fell into pieces.  I do not recommend buying this model.  The kettle did not "&amp;"live up to expectations.")</f>
        <v>I used the kettle for 3 months.  I chose a kettle from models with a metal body, and with a level indicator located in the handle, because... In previous kettles, the indicator glass cracked.  Of the advantages of this model, one can note its design, and... perhaps that’s all.  But the disadvantages are: very noisy when heated, poor-quality plastic cover, after two months of operation the cover began to jam, and soon cracked and fell into pieces.  I do not recommend buying this model.  The kettle did not live up to expectations.</v>
      </c>
    </row>
    <row r="12380" spans="1:9" x14ac:dyDescent="0.3">
      <c r="A12380" s="1" t="s">
        <v>30</v>
      </c>
      <c r="B12380" s="1" t="s">
        <v>50</v>
      </c>
      <c r="C12380" s="1" t="s">
        <v>1386</v>
      </c>
      <c r="D12380" s="1" t="s">
        <v>102</v>
      </c>
      <c r="E12380" s="1" t="s">
        <v>201</v>
      </c>
      <c r="F12380" s="1" t="s">
        <v>17472</v>
      </c>
      <c r="G12380" s="1" t="s">
        <v>28</v>
      </c>
      <c r="H12380" s="1" t="s">
        <v>29</v>
      </c>
      <c r="I12380" s="1" t="str">
        <f ca="1">IFERROR(__xludf.DUMMYFUNCTION("GOOGLETRANSLATE(F12380, ""auto"", ""en"")
"),"The netbook copes with its role (working with documents, the Internet, etc.) quite well... One big minus - it gets very hot! It seems that the fan is not working... I don’t know, maybe this is how it should be in this model, but it’s very strange...")</f>
        <v>The netbook copes with its role (working with documents, the Internet, etc.) quite well... One big minus - it gets very hot! It seems that the fan is not working... I don’t know, maybe this is how it should be in this model, but it’s very strange...</v>
      </c>
    </row>
    <row r="12381" spans="1:9" x14ac:dyDescent="0.3">
      <c r="A12381" s="1" t="s">
        <v>61</v>
      </c>
      <c r="B12381" s="1" t="s">
        <v>318</v>
      </c>
      <c r="C12381" s="1" t="s">
        <v>246</v>
      </c>
      <c r="D12381" s="1" t="s">
        <v>280</v>
      </c>
      <c r="E12381" s="1" t="s">
        <v>1315</v>
      </c>
      <c r="F12381" s="1" t="s">
        <v>17473</v>
      </c>
      <c r="G12381" s="1" t="s">
        <v>49</v>
      </c>
      <c r="H12381" s="1" t="s">
        <v>16</v>
      </c>
      <c r="I12381" s="1" t="str">
        <f ca="1">IFERROR(__xludf.DUMMYFUNCTION("GOOGLETRANSLATE(F12381, ""auto"", ""en"")
"),"After the purchase, on the third day, the tefal inscriptions disappeared from the sides of this miracle, leaving behind a black blot.   It’s impossible to accurately see the water level (the windows near the handle are small and made of cloudy plastic) wh"&amp;"en pouring you have to hold the lid because it’s loose.  It is better to refuse the Chinese “miracle” and buy another model, although with the large assortment of Chinese teapots available today, it is almost impossible to do this.")</f>
        <v>After the purchase, on the third day, the tefal inscriptions disappeared from the sides of this miracle, leaving behind a black blot.   It’s impossible to accurately see the water level (the windows near the handle are small and made of cloudy plastic) when pouring you have to hold the lid because it’s loose.  It is better to refuse the Chinese “miracle” and buy another model, although with the large assortment of Chinese teapots available today, it is almost impossible to do this.</v>
      </c>
    </row>
    <row r="12382" spans="1:9" x14ac:dyDescent="0.3">
      <c r="A12382" s="1" t="s">
        <v>37</v>
      </c>
      <c r="B12382" s="1" t="s">
        <v>536</v>
      </c>
      <c r="C12382" s="1" t="s">
        <v>163</v>
      </c>
      <c r="D12382" s="1" t="s">
        <v>1091</v>
      </c>
      <c r="E12382" s="1" t="s">
        <v>1005</v>
      </c>
      <c r="F12382" s="1" t="s">
        <v>17474</v>
      </c>
      <c r="G12382" s="1" t="s">
        <v>36</v>
      </c>
      <c r="H12382" s="1" t="s">
        <v>29</v>
      </c>
      <c r="I12382" s="1" t="str">
        <f ca="1">IFERROR(__xludf.DUMMYFUNCTION("GOOGLETRANSLATE(F12382, ""auto"", ""en"")
"),"I bought the phone in May, I have nothing to complain about. awesome. Now I can’t even imagine how push-button phones can be used, the sensor is much more convenient.")</f>
        <v>I bought the phone in May, I have nothing to complain about. awesome. Now I can’t even imagine how push-button phones can be used, the sensor is much more convenient.</v>
      </c>
    </row>
    <row r="12383" spans="1:9" x14ac:dyDescent="0.3">
      <c r="A12383" s="1" t="s">
        <v>61</v>
      </c>
      <c r="B12383" s="1" t="s">
        <v>318</v>
      </c>
      <c r="C12383" s="1" t="s">
        <v>213</v>
      </c>
      <c r="D12383" s="1" t="s">
        <v>565</v>
      </c>
      <c r="E12383" s="1" t="s">
        <v>1345</v>
      </c>
      <c r="F12383" s="1" t="s">
        <v>17475</v>
      </c>
      <c r="G12383" s="1" t="s">
        <v>36</v>
      </c>
      <c r="H12383" s="1" t="s">
        <v>29</v>
      </c>
      <c r="I12383" s="1" t="str">
        <f ca="1">IFERROR(__xludf.DUMMYFUNCTION("GOOGLETRANSLATE(F12383, ""auto"", ""en"")
"),"We recently gave this kettle as a gift, I was afraid of repeating the story of a year ago... We then bought this Brown, but in beige color (the blue ones were also from the same opera), we came home, warmed the water.....then again and again, and with lem"&amp;"on, in general, the poisonous fumes did not disappear, and the water acquired the same poisonous taste. The smell was terrible, the fumes were clearly not healthy. After probably boiling it 15 times, we got this happiness back. And we bought this model, b"&amp;"ecause before that we also had a Brown one from 2003, only German-made and it served safely for 6 years. In general, the white teapot that my husband and I gave as a gift, after boiling 5 times, we can say that it completely got rid of the smell of plasti"&amp;"c. We hope that there will be no other problems)))")</f>
        <v>We recently gave this kettle as a gift, I was afraid of repeating the story of a year ago... We then bought this Brown, but in beige color (the blue ones were also from the same opera), we came home, warmed the water.....then again and again, and with lemon, in general, the poisonous fumes did not disappear, and the water acquired the same poisonous taste. The smell was terrible, the fumes were clearly not healthy. After probably boiling it 15 times, we got this happiness back. And we bought this model, because before that we also had a Brown one from 2003, only German-made and it served safely for 6 years. In general, the white teapot that my husband and I gave as a gift, after boiling 5 times, we can say that it completely got rid of the smell of plastic. We hope that there will be no other problems)))</v>
      </c>
    </row>
    <row r="12384" spans="1:9" x14ac:dyDescent="0.3">
      <c r="A12384" s="1" t="s">
        <v>37</v>
      </c>
      <c r="B12384" s="1" t="s">
        <v>355</v>
      </c>
      <c r="C12384" s="1" t="s">
        <v>356</v>
      </c>
      <c r="D12384" s="1" t="s">
        <v>305</v>
      </c>
      <c r="E12384" s="1" t="s">
        <v>1172</v>
      </c>
      <c r="F12384" s="1" t="s">
        <v>17476</v>
      </c>
      <c r="G12384" s="1" t="s">
        <v>36</v>
      </c>
      <c r="H12384" s="1" t="s">
        <v>29</v>
      </c>
      <c r="I12384" s="1" t="str">
        <f ca="1">IFERROR(__xludf.DUMMYFUNCTION("GOOGLETRANSLATE(F12384, ""auto"", ""en"")
"),"In July, Apple will introduce a new generation iPhone - but as usual in the USA! The same garbage with the iPad - they introduced it in the USA in April - it will appear in Europe in June - and in Russia they say before the end of the year - well, that is"&amp;", by the new year. + at these prices, our operators will sell them for a long time and until they sell them all, new ones will not be allowed on the market - so the iPhone 4G will appear in Russia no earlier than the summer of 2011.   So I’ll have to take"&amp;" this one for now) p.s. I used it, I got infected - besides, I was a strong opponent - only Nokia and everyone - iPhone people are suckers - and then I started looking at what my friends were taking out of their pockets - reading reviews - comparing with "&amp;"their business models - and now at meetings I’m ashamed to put my bodies on the table - in general, I got into the flow - I’m buying) M.Video - let’s go for another promotion - well, now you can not at 10 - but let’s say at 20 sell! Like in California, I "&amp;"would drive up to you in 24 hours with a blanket and a thermos)))")</f>
        <v>In July, Apple will introduce a new generation iPhone - but as usual in the USA! The same garbage with the iPad - they introduced it in the USA in April - it will appear in Europe in June - and in Russia they say before the end of the year - well, that is, by the new year. + at these prices, our operators will sell them for a long time and until they sell them all, new ones will not be allowed on the market - so the iPhone 4G will appear in Russia no earlier than the summer of 2011.   So I’ll have to take this one for now) p.s. I used it, I got infected - besides, I was a strong opponent - only Nokia and everyone - iPhone people are suckers - and then I started looking at what my friends were taking out of their pockets - reading reviews - comparing with their business models - and now at meetings I’m ashamed to put my bodies on the table - in general, I got into the flow - I’m buying) M.Video - let’s go for another promotion - well, now you can not at 10 - but let’s say at 20 sell! Like in California, I would drive up to you in 24 hours with a blanket and a thermos)))</v>
      </c>
    </row>
    <row r="12385" spans="1:9" x14ac:dyDescent="0.3">
      <c r="A12385" s="1" t="s">
        <v>9</v>
      </c>
      <c r="B12385" s="1" t="s">
        <v>23</v>
      </c>
      <c r="C12385" s="1" t="s">
        <v>63</v>
      </c>
      <c r="D12385" s="1" t="s">
        <v>1854</v>
      </c>
      <c r="E12385" s="1" t="s">
        <v>3690</v>
      </c>
      <c r="F12385" s="1" t="s">
        <v>17477</v>
      </c>
      <c r="G12385" s="1" t="s">
        <v>36</v>
      </c>
      <c r="H12385" s="1" t="s">
        <v>29</v>
      </c>
      <c r="I12385" s="1" t="str">
        <f ca="1">IFERROR(__xludf.DUMMYFUNCTION("GOOGLETRANSLATE(F12385, ""auto"", ""en"")
"),"Great dishwasher!  Quiet, cleans clean. We are very pleased! We recommend. We don’t know how we lived without it before; children 4 and 8 years old load and unload on their own. Let's give it a 5!")</f>
        <v>Great dishwasher!  Quiet, cleans clean. We are very pleased! We recommend. We don’t know how we lived without it before; children 4 and 8 years old load and unload on their own. Let's give it a 5!</v>
      </c>
    </row>
    <row r="12386" spans="1:9" x14ac:dyDescent="0.3">
      <c r="A12386" s="1" t="s">
        <v>557</v>
      </c>
      <c r="B12386" s="1" t="s">
        <v>558</v>
      </c>
      <c r="C12386" s="1" t="s">
        <v>816</v>
      </c>
      <c r="D12386" s="1" t="s">
        <v>232</v>
      </c>
      <c r="E12386" s="1" t="s">
        <v>1765</v>
      </c>
      <c r="F12386" s="1" t="s">
        <v>17478</v>
      </c>
      <c r="G12386" s="1" t="s">
        <v>28</v>
      </c>
      <c r="H12386" s="1" t="s">
        <v>29</v>
      </c>
      <c r="I12386" s="1" t="str">
        <f ca="1">IFERROR(__xludf.DUMMYFUNCTION("GOOGLETRANSLATE(F12386, ""auto"", ""en"")
"),"I've been using a Motorola phone for 2 weeks now, the device is very good... I liked the remote base (separate from the phone charging), it can be hung on the wall or simply placed next to the computer. The truth is that it’s not very convenient that you "&amp;"have to use two power outlets.   The connection is powerful - it picks up throughout the apartment without any problems, I even tried to go out into the stairwell.   There is no interference or whistles (the previous DECT phone was just terrible). I reall"&amp;"y like the white color and modern (modern) design, I haven’t tried Caller ID, I’m sure there won’t be any problems... Motorola phones are “timeless” and reliable. And finally, the main task of this phone... Skype)) works great, you don’t have to sit near "&amp;"the computer, which parents (children) can occupy at this moment, but calmly move around the whole house.   At the same time, to make or receive a call you do not need a computer when connecting to Skype, contacts are loaded automatically (the list shows "&amp;"who is currently online, and you can even send messages).   No glitches were found, but for me there is still one drawback... two standard 750mAh batteries are enough for a MAXIMUM of three hours of talk time and there is no promised 100 hours of standby "&amp;"time. It will last for two days... maybe bad batteries, I haven’t compared it.")</f>
        <v>I've been using a Motorola phone for 2 weeks now, the device is very good... I liked the remote base (separate from the phone charging), it can be hung on the wall or simply placed next to the computer. The truth is that it’s not very convenient that you have to use two power outlets.   The connection is powerful - it picks up throughout the apartment without any problems, I even tried to go out into the stairwell.   There is no interference or whistles (the previous DECT phone was just terrible). I really like the white color and modern (modern) design, I haven’t tried Caller ID, I’m sure there won’t be any problems... Motorola phones are “timeless” and reliable. And finally, the main task of this phone... Skype)) works great, you don’t have to sit near the computer, which parents (children) can occupy at this moment, but calmly move around the whole house.   At the same time, to make or receive a call you do not need a computer when connecting to Skype, contacts are loaded automatically (the list shows who is currently online, and you can even send messages).   No glitches were found, but for me there is still one drawback... two standard 750mAh batteries are enough for a MAXIMUM of three hours of talk time and there is no promised 100 hours of standby time. It will last for two days... maybe bad batteries, I haven’t compared it.</v>
      </c>
    </row>
    <row r="12387" spans="1:9" x14ac:dyDescent="0.3">
      <c r="A12387" s="1" t="s">
        <v>211</v>
      </c>
      <c r="B12387" s="1" t="s">
        <v>212</v>
      </c>
      <c r="C12387" s="1" t="s">
        <v>1591</v>
      </c>
      <c r="D12387" s="1" t="s">
        <v>75</v>
      </c>
      <c r="E12387" s="1" t="s">
        <v>12119</v>
      </c>
      <c r="F12387" s="1" t="s">
        <v>17479</v>
      </c>
      <c r="G12387" s="1" t="s">
        <v>36</v>
      </c>
      <c r="H12387" s="1" t="s">
        <v>29</v>
      </c>
      <c r="I12387" s="1" t="str">
        <f ca="1">IFERROR(__xludf.DUMMYFUNCTION("GOOGLETRANSLATE(F12387, ""auto"", ""en"")
"),"I bought this hair dryer and immediately decided to try it. I have curly hair and it gets very frizzy, after using the hair dryer and attachments, my hair becomes smooth, there is no need to additionally straighten it with an iron, the styling holds well "&amp;"even in windy weather. I recommend this hair dryer.")</f>
        <v>I bought this hair dryer and immediately decided to try it. I have curly hair and it gets very frizzy, after using the hair dryer and attachments, my hair becomes smooth, there is no need to additionally straighten it with an iron, the styling holds well even in windy weather. I recommend this hair dryer.</v>
      </c>
    </row>
    <row r="12388" spans="1:9" x14ac:dyDescent="0.3">
      <c r="A12388" s="1" t="s">
        <v>30</v>
      </c>
      <c r="B12388" s="1" t="s">
        <v>31</v>
      </c>
      <c r="C12388" s="1" t="s">
        <v>365</v>
      </c>
      <c r="D12388" s="1" t="s">
        <v>3110</v>
      </c>
      <c r="E12388" s="1" t="s">
        <v>2341</v>
      </c>
      <c r="F12388" s="1" t="s">
        <v>17480</v>
      </c>
      <c r="G12388" s="1" t="s">
        <v>36</v>
      </c>
      <c r="H12388" s="1" t="s">
        <v>29</v>
      </c>
      <c r="I12388" s="1" t="str">
        <f ca="1">IFERROR(__xludf.DUMMYFUNCTION("GOOGLETRANSLATE(F12388, ""auto"", ""en"")
"),"I bought it today. Super powerful) I was pleased that the system on board was not a 32x system, as it is written here, but a 64x system. Thus, all 6 GB of RAM are available) so the lack of window transparency is not upsetting) average performance index: 5"&amp;".1")</f>
        <v>I bought it today. Super powerful) I was pleased that the system on board was not a 32x system, as it is written here, but a 64x system. Thus, all 6 GB of RAM are available) so the lack of window transparency is not upsetting) average performance index: 5.1</v>
      </c>
    </row>
    <row r="12389" spans="1:9" x14ac:dyDescent="0.3">
      <c r="A12389" s="1" t="s">
        <v>30</v>
      </c>
      <c r="B12389" s="1" t="s">
        <v>50</v>
      </c>
      <c r="C12389" s="1" t="s">
        <v>51</v>
      </c>
      <c r="D12389" s="1" t="s">
        <v>17481</v>
      </c>
      <c r="E12389" s="1" t="s">
        <v>1005</v>
      </c>
      <c r="F12389" s="1" t="s">
        <v>17482</v>
      </c>
      <c r="G12389" s="1" t="s">
        <v>36</v>
      </c>
      <c r="H12389" s="1" t="s">
        <v>29</v>
      </c>
      <c r="I12389" s="1" t="str">
        <f ca="1">IFERROR(__xludf.DUMMYFUNCTION("GOOGLETRANSLATE(F12389, ""auto"", ""en"")
"),"This feature is not available in BIOS.  I installed the second screw and installed FreeBSD on it.  Boot selection - by F12 The ULE scheduler in FreeBSD is quite well done, so I need to disable the HT feature.")</f>
        <v>This feature is not available in BIOS.  I installed the second screw and installed FreeBSD on it.  Boot selection - by F12 The ULE scheduler in FreeBSD is quite well done, so I need to disable the HT feature.</v>
      </c>
    </row>
    <row r="12390" spans="1:9" x14ac:dyDescent="0.3">
      <c r="A12390" s="1" t="s">
        <v>9</v>
      </c>
      <c r="B12390" s="1" t="s">
        <v>133</v>
      </c>
      <c r="C12390" s="1" t="s">
        <v>290</v>
      </c>
      <c r="D12390" s="1" t="s">
        <v>653</v>
      </c>
      <c r="E12390" s="1" t="s">
        <v>10772</v>
      </c>
      <c r="F12390" s="1" t="s">
        <v>17483</v>
      </c>
      <c r="G12390" s="1" t="s">
        <v>36</v>
      </c>
      <c r="H12390" s="1" t="s">
        <v>29</v>
      </c>
      <c r="I12390" s="1" t="str">
        <f ca="1">IFERROR(__xludf.DUMMYFUNCTION("GOOGLETRANSLATE(F12390, ""auto"", ""en"")
"),"We bought it a year ago. There is a wire rack and three baking trays, one of which is glass. I bake often. I really like it. The main thing is to turn on the ventilation (cooling) mode after the oven is running, otherwise I somehow forgot to do it at the "&amp;"beginning and because of this the menu panel got hot and it “glitched”. Now I always refrigerate after baking. There is no noise or vibration during operation. I'm happy with the choice.")</f>
        <v>We bought it a year ago. There is a wire rack and three baking trays, one of which is glass. I bake often. I really like it. The main thing is to turn on the ventilation (cooling) mode after the oven is running, otherwise I somehow forgot to do it at the beginning and because of this the menu panel got hot and it “glitched”. Now I always refrigerate after baking. There is no noise or vibration during operation. I'm happy with the choice.</v>
      </c>
    </row>
    <row r="12391" spans="1:9" x14ac:dyDescent="0.3">
      <c r="A12391" s="1" t="s">
        <v>211</v>
      </c>
      <c r="B12391" s="1" t="s">
        <v>265</v>
      </c>
      <c r="C12391" s="1" t="s">
        <v>69</v>
      </c>
      <c r="D12391" s="1" t="s">
        <v>1092</v>
      </c>
      <c r="E12391" s="1" t="s">
        <v>5585</v>
      </c>
      <c r="F12391" s="1" t="s">
        <v>17484</v>
      </c>
      <c r="G12391" s="1" t="s">
        <v>36</v>
      </c>
      <c r="H12391" s="1" t="s">
        <v>29</v>
      </c>
      <c r="I12391" s="1" t="str">
        <f ca="1">IFERROR(__xludf.DUMMYFUNCTION("GOOGLETRANSLATE(F12391, ""auto"", ""en"")
"),"I bought the clipper today, I can’t say anything about its service life yet, but I really liked the quality of the haircut. The device itself looks very good and fits comfortably in the hand. The only negative is the loud buzzing, but it depends on your m"&amp;"ood: it can be annoying, but it can also be fun.")</f>
        <v>I bought the clipper today, I can’t say anything about its service life yet, but I really liked the quality of the haircut. The device itself looks very good and fits comfortably in the hand. The only negative is the loud buzzing, but it depends on your mood: it can be annoying, but it can also be fun.</v>
      </c>
    </row>
    <row r="12392" spans="1:9" x14ac:dyDescent="0.3">
      <c r="A12392" s="1" t="s">
        <v>89</v>
      </c>
      <c r="B12392" s="1" t="s">
        <v>90</v>
      </c>
      <c r="C12392" s="1" t="s">
        <v>185</v>
      </c>
      <c r="D12392" s="1" t="s">
        <v>474</v>
      </c>
      <c r="E12392" s="1" t="s">
        <v>4690</v>
      </c>
      <c r="F12392" s="1" t="s">
        <v>17485</v>
      </c>
      <c r="G12392" s="1" t="s">
        <v>36</v>
      </c>
      <c r="H12392" s="1" t="s">
        <v>29</v>
      </c>
      <c r="I12392" s="1" t="str">
        <f ca="1">IFERROR(__xludf.DUMMYFUNCTION("GOOGLETRANSLATE(F12392, ""auto"", ""en"")
"),"Great model. We bought it not only for coffee, but also for cereals. The grinding result is perfect. Very easy to use. It is convenient to pour out the contents from behind the removable bowl. The cord can be wound from the bottom so that it doesn’t dangl"&amp;"e around the kitchen (we don’t use it every day).")</f>
        <v>Great model. We bought it not only for coffee, but also for cereals. The grinding result is perfect. Very easy to use. It is convenient to pour out the contents from behind the removable bowl. The cord can be wound from the bottom so that it doesn’t dangle around the kitchen (we don’t use it every day).</v>
      </c>
    </row>
    <row r="12393" spans="1:9" x14ac:dyDescent="0.3">
      <c r="A12393" s="1" t="s">
        <v>37</v>
      </c>
      <c r="B12393" s="1" t="s">
        <v>38</v>
      </c>
      <c r="C12393" s="1" t="s">
        <v>69</v>
      </c>
      <c r="D12393" s="1" t="s">
        <v>280</v>
      </c>
      <c r="E12393" s="1" t="s">
        <v>4500</v>
      </c>
      <c r="F12393" s="1" t="s">
        <v>17486</v>
      </c>
      <c r="G12393" s="1" t="s">
        <v>28</v>
      </c>
      <c r="H12393" s="1" t="s">
        <v>29</v>
      </c>
      <c r="I12393" s="1" t="str">
        <f ca="1">IFERROR(__xludf.DUMMYFUNCTION("GOOGLETRANSLATE(F12393, ""auto"", ""en"")
"),"-Stylish design -Charging from the network and computer via USB -There is a book reader -Good quality of photo and video shooting for a phone -The battery lasts (when talking for 2 minutes a day) for a maximum of 4 days -Weak headphones -Intuitive menu is"&amp;" a bit complicated Overall, the device is good.  Solid four")</f>
        <v>-Stylish design -Charging from the network and computer via USB -There is a book reader -Good quality of photo and video shooting for a phone -The battery lasts (when talking for 2 minutes a day) for a maximum of 4 days -Weak headphones -Intuitive menu is a bit complicated Overall, the device is good.  Solid four</v>
      </c>
    </row>
    <row r="12394" spans="1:9" x14ac:dyDescent="0.3">
      <c r="A12394" s="1" t="s">
        <v>477</v>
      </c>
      <c r="B12394" s="1" t="s">
        <v>478</v>
      </c>
      <c r="C12394" s="1" t="s">
        <v>479</v>
      </c>
      <c r="D12394" s="1" t="s">
        <v>1329</v>
      </c>
      <c r="E12394" s="1" t="s">
        <v>3390</v>
      </c>
      <c r="F12394" s="1" t="s">
        <v>17487</v>
      </c>
      <c r="G12394" s="1" t="s">
        <v>36</v>
      </c>
      <c r="H12394" s="1" t="s">
        <v>29</v>
      </c>
      <c r="I12394" s="1" t="str">
        <f ca="1">IFERROR(__xludf.DUMMYFUNCTION("GOOGLETRANSLATE(F12394, ""auto"", ""en"")
"),"great thing... the graphics in the game are good, the roar of the engines is exciting, plus the exact composition of the teams for the 2010 season, interesting gameplay, and generally very playable... but I would like to warn you right away - this toy is "&amp;"only for fans of this genre! all help settings + set the difficulty to maximum)... just a great game for its genre!")</f>
        <v>great thing... the graphics in the game are good, the roar of the engines is exciting, plus the exact composition of the teams for the 2010 season, interesting gameplay, and generally very playable... but I would like to warn you right away - this toy is only for fans of this genre! all help settings + set the difficulty to maximum)... just a great game for its genre!</v>
      </c>
    </row>
    <row r="12395" spans="1:9" x14ac:dyDescent="0.3">
      <c r="A12395" s="1" t="s">
        <v>169</v>
      </c>
      <c r="B12395" s="1" t="s">
        <v>170</v>
      </c>
      <c r="C12395" s="1" t="s">
        <v>171</v>
      </c>
      <c r="D12395" s="1" t="s">
        <v>13687</v>
      </c>
      <c r="E12395" s="1" t="s">
        <v>460</v>
      </c>
      <c r="F12395" s="1" t="s">
        <v>17488</v>
      </c>
      <c r="G12395" s="1" t="s">
        <v>15</v>
      </c>
      <c r="H12395" s="1" t="s">
        <v>16</v>
      </c>
      <c r="I12395" s="1" t="str">
        <f ca="1">IFERROR(__xludf.DUMMYFUNCTION("GOOGLETRANSLATE(F12395, ""auto"", ""en"")
"),"I bought these headphones, walked about 20 meters away from the store, inserted them into the phone, and was horrified that there was almost no bass, the sound was like ordinary droplets, although it could be because of the frost, but I still went and cha"&amp;"nged them to SIGMAs with an additional charge (they changed them without problems), the sound was completely different, I rode back on the bus enjoying the music and not hearing anyone.")</f>
        <v>I bought these headphones, walked about 20 meters away from the store, inserted them into the phone, and was horrified that there was almost no bass, the sound was like ordinary droplets, although it could be because of the frost, but I still went and changed them to SIGMAs with an additional charge (they changed them without problems), the sound was completely different, I rode back on the bus enjoying the music and not hearing anyone.</v>
      </c>
    </row>
    <row r="12396" spans="1:9" x14ac:dyDescent="0.3">
      <c r="A12396" s="1" t="s">
        <v>17</v>
      </c>
      <c r="B12396" s="1" t="s">
        <v>18</v>
      </c>
      <c r="C12396" s="1" t="s">
        <v>19</v>
      </c>
      <c r="D12396" s="1" t="s">
        <v>16364</v>
      </c>
      <c r="E12396" s="1" t="s">
        <v>3527</v>
      </c>
      <c r="F12396" s="1" t="s">
        <v>17489</v>
      </c>
      <c r="G12396" s="1" t="s">
        <v>28</v>
      </c>
      <c r="H12396" s="1" t="s">
        <v>29</v>
      </c>
      <c r="I12396" s="1" t="str">
        <f ca="1">IFERROR(__xludf.DUMMYFUNCTION("GOOGLETRANSLATE(F12396, ""auto"", ""en"")
"),"We have been using the machine for more than six months. It showed its good side: the silent motor, thanks to the absence of brushes (you can only hear the splashing of water and the rolling of laundry), in my opinion, washes very cleanly. The only drawba"&amp;"ck is excessive noise when the sump pump operates. Vibration control: an indispensable item. When you look at the car, pay attention that the rotary switch knobs are positioned clearly.  It's a good machine, we're going to buy another one for our mother-i"&amp;"n-law.")</f>
        <v>We have been using the machine for more than six months. It showed its good side: the silent motor, thanks to the absence of brushes (you can only hear the splashing of water and the rolling of laundry), in my opinion, washes very cleanly. The only drawback is excessive noise when the sump pump operates. Vibration control: an indispensable item. When you look at the car, pay attention that the rotary switch knobs are positioned clearly.  It's a good machine, we're going to buy another one for our mother-in-law.</v>
      </c>
    </row>
    <row r="12397" spans="1:9" x14ac:dyDescent="0.3">
      <c r="A12397" s="1" t="s">
        <v>120</v>
      </c>
      <c r="B12397" s="1" t="s">
        <v>126</v>
      </c>
      <c r="C12397" s="1" t="s">
        <v>122</v>
      </c>
      <c r="D12397" s="1" t="s">
        <v>86</v>
      </c>
      <c r="E12397" s="1" t="s">
        <v>3469</v>
      </c>
      <c r="F12397" s="1" t="s">
        <v>17490</v>
      </c>
      <c r="G12397" s="1" t="s">
        <v>28</v>
      </c>
      <c r="H12397" s="1" t="s">
        <v>29</v>
      </c>
      <c r="I12397" s="1" t="str">
        <f ca="1">IFERROR(__xludf.DUMMYFUNCTION("GOOGLETRANSLATE(F12397, ""auto"", ""en"")
"),"An excellent model in terms of price/quality ratio, shelling out 40-50 grand for a TV is very expensive, but the C 10 turned out to be just the thing. The price is right, it has a large screen and an excellent picture, the menu is simple and pleasant. Pas"&amp;"sable.")</f>
        <v>An excellent model in terms of price/quality ratio, shelling out 40-50 grand for a TV is very expensive, but the C 10 turned out to be just the thing. The price is right, it has a large screen and an excellent picture, the menu is simple and pleasant. Passable.</v>
      </c>
    </row>
    <row r="12398" spans="1:9" x14ac:dyDescent="0.3">
      <c r="A12398" s="1" t="s">
        <v>55</v>
      </c>
      <c r="B12398" s="1" t="s">
        <v>56</v>
      </c>
      <c r="C12398" s="1" t="s">
        <v>159</v>
      </c>
      <c r="D12398" s="1" t="s">
        <v>565</v>
      </c>
      <c r="E12398" s="1" t="s">
        <v>421</v>
      </c>
      <c r="F12398" s="1" t="s">
        <v>17491</v>
      </c>
      <c r="G12398" s="1" t="s">
        <v>36</v>
      </c>
      <c r="H12398" s="1" t="s">
        <v>29</v>
      </c>
      <c r="I12398" s="1" t="str">
        <f ca="1">IFERROR(__xludf.DUMMYFUNCTION("GOOGLETRANSLATE(F12398, ""auto"", ""en"")
"),"We bought one almost a year ago; to be honest, we chose it at random. It consumes a lot of water, but apparently due to this it quickly raises the humidity, which is not bad. It doesn't make noise, it gurgles from time to time. The instructions are abstru"&amp;"se, although everything is clear without it, the device is simple.")</f>
        <v>We bought one almost a year ago; to be honest, we chose it at random. It consumes a lot of water, but apparently due to this it quickly raises the humidity, which is not bad. It doesn't make noise, it gurgles from time to time. The instructions are abstruse, although everything is clear without it, the device is simple.</v>
      </c>
    </row>
    <row r="12399" spans="1:9" x14ac:dyDescent="0.3">
      <c r="A12399" s="1" t="s">
        <v>624</v>
      </c>
      <c r="B12399" s="1" t="s">
        <v>625</v>
      </c>
      <c r="C12399" s="1" t="s">
        <v>479</v>
      </c>
      <c r="D12399" s="1" t="s">
        <v>2296</v>
      </c>
      <c r="E12399" s="1" t="s">
        <v>772</v>
      </c>
      <c r="F12399" s="1" t="s">
        <v>17492</v>
      </c>
      <c r="G12399" s="1" t="s">
        <v>28</v>
      </c>
      <c r="H12399" s="1" t="s">
        <v>29</v>
      </c>
      <c r="I12399" s="1" t="str">
        <f ca="1">IFERROR(__xludf.DUMMYFUNCTION("GOOGLETRANSLATE(F12399, ""auto"", ""en"")
"),"The game is fun, family, children's, emotional, sociable, physical!   We play with family, friends and relatives (from 3 to 50 years old). Everyone is delighted.   Disadvantage: all tasks were completed in 2 months, but there are no new updates.")</f>
        <v>The game is fun, family, children's, emotional, sociable, physical!   We play with family, friends and relatives (from 3 to 50 years old). Everyone is delighted.   Disadvantage: all tasks were completed in 2 months, but there are no new updates.</v>
      </c>
    </row>
    <row r="12400" spans="1:9" x14ac:dyDescent="0.3">
      <c r="A12400" s="1" t="s">
        <v>373</v>
      </c>
      <c r="B12400" s="1" t="s">
        <v>374</v>
      </c>
      <c r="C12400" s="1" t="s">
        <v>159</v>
      </c>
      <c r="D12400" s="1" t="s">
        <v>2400</v>
      </c>
      <c r="E12400" s="1" t="s">
        <v>71</v>
      </c>
      <c r="F12400" s="1" t="s">
        <v>17493</v>
      </c>
      <c r="G12400" s="1" t="s">
        <v>36</v>
      </c>
      <c r="H12400" s="1" t="s">
        <v>29</v>
      </c>
      <c r="I12400" s="1" t="str">
        <f ca="1">IFERROR(__xludf.DUMMYFUNCTION("GOOGLETRANSLATE(F12400, ""auto"", ""en"")
"),"We recently purchased PMS as a gift for my mother and were very pleased. The dishes came out clean and hot. On C60, washing time is 28 minutes, consumption is 1.1 kW, 8 liters of water (tested personally), one rinse with hot water (PMS is connected to col"&amp;"d water) and no drying, which is not a problem, because... the dishes are almost dry. All other programs have two rinses and drying. For those who are particularly picky, there is a separate rinsing program - 11 minutes. Plus, for each program the dishwas"&amp;"hing temperature is indicated. Easy to use. Good dishwasher at a good price. I recommend it.")</f>
        <v>We recently purchased PMS as a gift for my mother and were very pleased. The dishes came out clean and hot. On C60, washing time is 28 minutes, consumption is 1.1 kW, 8 liters of water (tested personally), one rinse with hot water (PMS is connected to cold water) and no drying, which is not a problem, because... the dishes are almost dry. All other programs have two rinses and drying. For those who are particularly picky, there is a separate rinsing program - 11 minutes. Plus, for each program the dishwashing temperature is indicated. Easy to use. Good dishwasher at a good price. I recommend it.</v>
      </c>
    </row>
    <row r="12401" spans="1:9" x14ac:dyDescent="0.3">
      <c r="A12401" s="1" t="s">
        <v>206</v>
      </c>
      <c r="B12401" s="1" t="s">
        <v>2026</v>
      </c>
      <c r="C12401" s="1" t="s">
        <v>262</v>
      </c>
      <c r="D12401" s="1" t="s">
        <v>2462</v>
      </c>
      <c r="E12401" s="1" t="s">
        <v>4187</v>
      </c>
      <c r="F12401" s="1" t="s">
        <v>17494</v>
      </c>
      <c r="G12401" s="1" t="s">
        <v>28</v>
      </c>
      <c r="H12401" s="1" t="s">
        <v>29</v>
      </c>
      <c r="I12401" s="1" t="str">
        <f ca="1">IFERROR(__xludf.DUMMYFUNCTION("GOOGLETRANSLATE(F12401, ""auto"", ""en"")
"),"I’ve been using two of these TVs for 3 years now, both in cars, although mainly as a monitor for DVDs, there are no complaints, the only thing is that the quality of the manufacturing of the mount-stand on the car panel could be better (burrs, slight dist"&amp;"ortion), but all this can be corrected with a small file and bending the structural elements)))")</f>
        <v>I’ve been using two of these TVs for 3 years now, both in cars, although mainly as a monitor for DVDs, there are no complaints, the only thing is that the quality of the manufacturing of the mount-stand on the car panel could be better (burrs, slight distortion), but all this can be corrected with a small file and bending the structural elements)))</v>
      </c>
    </row>
    <row r="12402" spans="1:9" x14ac:dyDescent="0.3">
      <c r="A12402" s="1" t="s">
        <v>43</v>
      </c>
      <c r="B12402" s="1" t="s">
        <v>334</v>
      </c>
      <c r="C12402" s="1" t="s">
        <v>101</v>
      </c>
      <c r="D12402" s="1" t="s">
        <v>295</v>
      </c>
      <c r="E12402" s="1" t="s">
        <v>559</v>
      </c>
      <c r="F12402" s="1" t="s">
        <v>17495</v>
      </c>
      <c r="G12402" s="1" t="s">
        <v>36</v>
      </c>
      <c r="H12402" s="1" t="s">
        <v>29</v>
      </c>
      <c r="I12402" s="1" t="str">
        <f ca="1">IFERROR(__xludf.DUMMYFUNCTION("GOOGLETRANSLATE(F12402, ""auto"", ""en"")
"),"I bought it today.  I chose it by size. Very original and compact.  Externally it is also original.  Low noise. Small, but decent inflation.  I am very pleased, I bought it for work.  I recommend it to those who do not have air conditioning in their offic"&amp;"e.")</f>
        <v>I bought it today.  I chose it by size. Very original and compact.  Externally it is also original.  Low noise. Small, but decent inflation.  I am very pleased, I bought it for work.  I recommend it to those who do not have air conditioning in their office.</v>
      </c>
    </row>
    <row r="12403" spans="1:9" x14ac:dyDescent="0.3">
      <c r="A12403" s="1" t="s">
        <v>61</v>
      </c>
      <c r="B12403" s="1" t="s">
        <v>224</v>
      </c>
      <c r="C12403" s="1" t="s">
        <v>246</v>
      </c>
      <c r="D12403" s="1" t="s">
        <v>75</v>
      </c>
      <c r="E12403" s="1" t="s">
        <v>285</v>
      </c>
      <c r="F12403" s="1" t="s">
        <v>17496</v>
      </c>
      <c r="G12403" s="1" t="s">
        <v>28</v>
      </c>
      <c r="H12403" s="1" t="s">
        <v>29</v>
      </c>
      <c r="I12403" s="1" t="str">
        <f ca="1">IFERROR(__xludf.DUMMYFUNCTION("GOOGLETRANSLATE(F12403, ""auto"", ""en"")
"),"With very frequent use it's not even bad. Convenient to use, quick and easy to clean! But the plastic fasteners securing the main container are not reliable; one of them broke after a month. And also with strong pressure from the fruit and repeated rotati"&amp;"on of the citrus nozzle, you feel a very faint burnt smell - apparently due to the overheating of the mechanism. Ideal for hard fruits, but no more than 1.5-2 cups at a time; you have to remove the pulp.")</f>
        <v>With very frequent use it's not even bad. Convenient to use, quick and easy to clean! But the plastic fasteners securing the main container are not reliable; one of them broke after a month. And also with strong pressure from the fruit and repeated rotation of the citrus nozzle, you feel a very faint burnt smell - apparently due to the overheating of the mechanism. Ideal for hard fruits, but no more than 1.5-2 cups at a time; you have to remove the pulp.</v>
      </c>
    </row>
    <row r="12404" spans="1:9" x14ac:dyDescent="0.3">
      <c r="A12404" s="1" t="s">
        <v>811</v>
      </c>
      <c r="B12404" s="1" t="s">
        <v>812</v>
      </c>
      <c r="C12404" s="1" t="s">
        <v>813</v>
      </c>
      <c r="D12404" s="1" t="s">
        <v>171</v>
      </c>
      <c r="E12404" s="1" t="s">
        <v>17497</v>
      </c>
      <c r="F12404" s="1" t="s">
        <v>17498</v>
      </c>
      <c r="G12404" s="1" t="s">
        <v>28</v>
      </c>
      <c r="H12404" s="1" t="s">
        <v>29</v>
      </c>
      <c r="I12404" s="1" t="str">
        <f ca="1">IFERROR(__xludf.DUMMYFUNCTION("GOOGLETRANSLATE(F12404, ""auto"", ""en"")
"),"I bought such a tripod 5 years ago, it served faithfully, but I lost it, I went to get a new one, the last one was left in the store, apparently they take it apart well, but the clamps were broken, I bought it in another store, where the clamps also turn "&amp;"tightly, I’m afraid they will also break over time, they probably did it better before... But the tripod is excellent, very compact and light, suitable for a regular DSLR")</f>
        <v>I bought such a tripod 5 years ago, it served faithfully, but I lost it, I went to get a new one, the last one was left in the store, apparently they take it apart well, but the clamps were broken, I bought it in another store, where the clamps also turn tightly, I’m afraid they will also break over time, they probably did it better before... But the tripod is excellent, very compact and light, suitable for a regular DSLR</v>
      </c>
    </row>
    <row r="12405" spans="1:9" x14ac:dyDescent="0.3">
      <c r="A12405" s="1" t="s">
        <v>1443</v>
      </c>
      <c r="B12405" s="1" t="s">
        <v>1444</v>
      </c>
      <c r="C12405" s="1" t="s">
        <v>97</v>
      </c>
      <c r="D12405" s="1" t="s">
        <v>4546</v>
      </c>
      <c r="E12405" s="1" t="s">
        <v>1586</v>
      </c>
      <c r="F12405" s="1" t="s">
        <v>17499</v>
      </c>
      <c r="G12405" s="1" t="s">
        <v>36</v>
      </c>
      <c r="H12405" s="1" t="s">
        <v>29</v>
      </c>
      <c r="I12405" s="1" t="str">
        <f ca="1">IFERROR(__xludf.DUMMYFUNCTION("GOOGLETRANSLATE(F12405, ""auto"", ""en"")
"),"The speed (when writing large files) in real life is much higher than that announced by the manufacturer: writing &gt; 12 MB/s reading &gt; 30 MB/s File system for working under Windows - NTFS.")</f>
        <v>The speed (when writing large files) in real life is much higher than that announced by the manufacturer: writing &gt; 12 MB/s reading &gt; 30 MB/s File system for working under Windows - NTFS.</v>
      </c>
    </row>
    <row r="12406" spans="1:9" x14ac:dyDescent="0.3">
      <c r="A12406" s="1" t="s">
        <v>17</v>
      </c>
      <c r="B12406" s="1" t="s">
        <v>18</v>
      </c>
      <c r="C12406" s="1" t="s">
        <v>243</v>
      </c>
      <c r="D12406" s="1" t="s">
        <v>474</v>
      </c>
      <c r="E12406" s="1" t="s">
        <v>4860</v>
      </c>
      <c r="F12406" s="1" t="s">
        <v>17500</v>
      </c>
      <c r="G12406" s="1" t="s">
        <v>36</v>
      </c>
      <c r="H12406" s="1" t="s">
        <v>29</v>
      </c>
      <c r="I12406" s="1" t="str">
        <f ca="1">IFERROR(__xludf.DUMMYFUNCTION("GOOGLETRANSLATE(F12406, ""auto"", ""en"")
"),"We bought it three and a half years ago and have no complaints until it still works. For that amount of money, it justified itself quite well. We bought a lot of clothes for the birth of our son and everything was fine.")</f>
        <v>We bought it three and a half years ago and have no complaints until it still works. For that amount of money, it justified itself quite well. We bought a lot of clothes for the birth of our son and everything was fine.</v>
      </c>
    </row>
    <row r="12407" spans="1:9" x14ac:dyDescent="0.3">
      <c r="A12407" s="1" t="s">
        <v>61</v>
      </c>
      <c r="B12407" s="1" t="s">
        <v>180</v>
      </c>
      <c r="C12407" s="1" t="s">
        <v>101</v>
      </c>
      <c r="D12407" s="1" t="s">
        <v>1681</v>
      </c>
      <c r="E12407" s="1" t="s">
        <v>3712</v>
      </c>
      <c r="F12407" s="1" t="s">
        <v>17501</v>
      </c>
      <c r="G12407" s="1" t="s">
        <v>36</v>
      </c>
      <c r="H12407" s="1" t="s">
        <v>29</v>
      </c>
      <c r="I12407" s="1" t="str">
        <f ca="1">IFERROR(__xludf.DUMMYFUNCTION("GOOGLETRANSLATE(F12407, ""auto"", ""en"")
"),"Well, what a wonderful sandwich maker)) the sandwiches turn out delicious - they don’t burn, they cook evenly. And how the cheese melts - mmm! I highly recommend it!")</f>
        <v>Well, what a wonderful sandwich maker)) the sandwiches turn out delicious - they don’t burn, they cook evenly. And how the cheese melts - mmm! I highly recommend it!</v>
      </c>
    </row>
    <row r="12408" spans="1:9" x14ac:dyDescent="0.3">
      <c r="A12408" s="1" t="s">
        <v>206</v>
      </c>
      <c r="B12408" s="1" t="s">
        <v>207</v>
      </c>
      <c r="C12408" s="1" t="s">
        <v>97</v>
      </c>
      <c r="D12408" s="1" t="s">
        <v>152</v>
      </c>
      <c r="E12408" s="1" t="s">
        <v>375</v>
      </c>
      <c r="F12408" s="1" t="s">
        <v>17502</v>
      </c>
      <c r="G12408" s="1" t="s">
        <v>36</v>
      </c>
      <c r="H12408" s="1" t="s">
        <v>29</v>
      </c>
      <c r="I12408" s="1" t="str">
        <f ca="1">IFERROR(__xludf.DUMMYFUNCTION("GOOGLETRANSLATE(F12408, ""auto"", ""en"")
"),"I bought a sub in December 2011. I am completely satisfied with the purchase.  I installed it together with the DLS MA 23 amplifier (bridge). The amplifier is set to minimum, but the subwoofer is already pumping noticeably.  Pros: Deep bass, good pressure"&amp;", you can feel it with your whole body (of course, if you use a good amp)!  The compact dimensions do not eat up the trunk and can be easily moved if necessary.  Of the minuses: I don’t know if this can be called a minus, but due to the large diameter, th"&amp;"e bass turns out to be somewhat inaccurate. The problem can be solved with good speakers in the cabin and the correct settings. Or buying a subwoofer with a smaller speaker.  In general, for this money, an excellent sub for lovers of deep soft bass.")</f>
        <v>I bought a sub in December 2011. I am completely satisfied with the purchase.  I installed it together with the DLS MA 23 amplifier (bridge). The amplifier is set to minimum, but the subwoofer is already pumping noticeably.  Pros: Deep bass, good pressure, you can feel it with your whole body (of course, if you use a good amp)!  The compact dimensions do not eat up the trunk and can be easily moved if necessary.  Of the minuses: I don’t know if this can be called a minus, but due to the large diameter, the bass turns out to be somewhat inaccurate. The problem can be solved with good speakers in the cabin and the correct settings. Or buying a subwoofer with a smaller speaker.  In general, for this money, an excellent sub for lovers of deep soft bass.</v>
      </c>
    </row>
    <row r="12409" spans="1:9" x14ac:dyDescent="0.3">
      <c r="A12409" s="1" t="s">
        <v>30</v>
      </c>
      <c r="B12409" s="1" t="s">
        <v>31</v>
      </c>
      <c r="C12409" s="1" t="s">
        <v>32</v>
      </c>
      <c r="D12409" s="1" t="s">
        <v>200</v>
      </c>
      <c r="E12409" s="1" t="s">
        <v>2176</v>
      </c>
      <c r="F12409" s="1" t="s">
        <v>17503</v>
      </c>
      <c r="G12409" s="1" t="s">
        <v>36</v>
      </c>
      <c r="H12409" s="1" t="s">
        <v>29</v>
      </c>
      <c r="I12409" s="1" t="str">
        <f ca="1">IFERROR(__xludf.DUMMYFUNCTION("GOOGLETRANSLATE(F12409, ""auto"", ""en"")
"),"great car..very happy!")</f>
        <v>great car..very happy!</v>
      </c>
    </row>
    <row r="12410" spans="1:9" x14ac:dyDescent="0.3">
      <c r="A12410" s="1" t="s">
        <v>30</v>
      </c>
      <c r="B12410" s="1" t="s">
        <v>50</v>
      </c>
      <c r="C12410" s="1" t="s">
        <v>189</v>
      </c>
      <c r="D12410" s="1" t="s">
        <v>52</v>
      </c>
      <c r="E12410" s="1" t="s">
        <v>2305</v>
      </c>
      <c r="F12410" s="1" t="s">
        <v>17504</v>
      </c>
      <c r="G12410" s="1" t="s">
        <v>36</v>
      </c>
      <c r="H12410" s="1" t="s">
        <v>29</v>
      </c>
      <c r="I12410" s="1" t="str">
        <f ca="1">IFERROR(__xludf.DUMMYFUNCTION("GOOGLETRANSLATE(F12410, ""auto"", ""en"")
"),"This laptop produces average parameters, which is not bad at all for its size and weight. Photo processing goes smoothly, which is why I took it. It is also possible to install games on it... The video card works quite well, without lags or slowdowns. If "&amp;"you take it for a typewriter, then it will be more than enough! Very convenient and compact and the system is not bad. Just right for work!    Of course, the sound is a problem because the speakers in it are not very good, but if you connect it... The sou"&amp;"nd is excellent! accordingly, in headphones too.")</f>
        <v>This laptop produces average parameters, which is not bad at all for its size and weight. Photo processing goes smoothly, which is why I took it. It is also possible to install games on it... The video card works quite well, without lags or slowdowns. If you take it for a typewriter, then it will be more than enough! Very convenient and compact and the system is not bad. Just right for work!    Of course, the sound is a problem because the speakers in it are not very good, but if you connect it... The sound is excellent! accordingly, in headphones too.</v>
      </c>
    </row>
    <row r="12411" spans="1:9" x14ac:dyDescent="0.3">
      <c r="A12411" s="1" t="s">
        <v>965</v>
      </c>
      <c r="B12411" s="1" t="s">
        <v>966</v>
      </c>
      <c r="C12411" s="1" t="s">
        <v>967</v>
      </c>
      <c r="D12411" s="1" t="s">
        <v>2233</v>
      </c>
      <c r="E12411" s="1" t="s">
        <v>11999</v>
      </c>
      <c r="F12411" s="1" t="s">
        <v>17505</v>
      </c>
      <c r="G12411" s="1" t="s">
        <v>36</v>
      </c>
      <c r="H12411" s="1" t="s">
        <v>29</v>
      </c>
      <c r="I12411" s="1" t="str">
        <f ca="1">IFERROR(__xludf.DUMMYFUNCTION("GOOGLETRANSLATE(F12411, ""auto"", ""en"")
"),"I bought the speakers as a gift. I brought it home and unpacked it to check. I was immediately pleased with the sound. The speakers were connected to a laptop, tablet and smartphone. Everywhere the music sounded quite decent. By the way, they were purchas"&amp;"ed specifically for listening to music on a computer. I am especially pleased with the price for a very decent product. In short, I recommend it to everyone. I'm planning to buy one for myself.")</f>
        <v>I bought the speakers as a gift. I brought it home and unpacked it to check. I was immediately pleased with the sound. The speakers were connected to a laptop, tablet and smartphone. Everywhere the music sounded quite decent. By the way, they were purchased specifically for listening to music on a computer. I am especially pleased with the price for a very decent product. In short, I recommend it to everyone. I'm planning to buy one for myself.</v>
      </c>
    </row>
    <row r="12412" spans="1:9" x14ac:dyDescent="0.3">
      <c r="A12412" s="1" t="s">
        <v>9</v>
      </c>
      <c r="B12412" s="1" t="s">
        <v>10</v>
      </c>
      <c r="C12412" s="1" t="s">
        <v>407</v>
      </c>
      <c r="D12412" s="1" t="s">
        <v>114</v>
      </c>
      <c r="E12412" s="1" t="s">
        <v>4394</v>
      </c>
      <c r="F12412" s="1" t="s">
        <v>17506</v>
      </c>
      <c r="G12412" s="1" t="s">
        <v>28</v>
      </c>
      <c r="H12412" s="1" t="s">
        <v>29</v>
      </c>
      <c r="I12412" s="1" t="str">
        <f ca="1">IFERROR(__xludf.DUMMYFUNCTION("GOOGLETRANSLATE(F12412, ""auto"", ""en"")
"),"The hood fully copes with its functions. Steam and fumes are sucked in like a vacuum cleaner. Convenient lighting, convenient removable grilles. I didn’t check about the clock (whether they are in a hurry or not) for one simple reason: the clock numbers a"&amp;"re blue on a blue background: they merge already at a short distance. At max. At high speeds, the hood is of course noisy, but with such power this is understandable. It's not the noise that's important to me, it's the efficiency. And she's on top. Now ab"&amp;"out the shortcomings: 1. Strange fastening of the corrugated casing - more precisely, there is no fastening there. The casing simply fits onto the adapter from the hood and then goes into the hole in the wall. 2. An equally strange cover that hides the ca"&amp;"sing, corrugation and the upper part of the hood. The lid consists of 2 parts - upper and lower. According to the instructions, the upper one is put on the lower one - but I couldn’t put it on, since the upper one turned out to be trite lower and shorter "&amp;"than the lower one. And besides, she scratched the bottom one badly. As a result, I simply threw out the top one and left only the bottom one. 3. The adapter from the hood to the corrugation is equipped with blades that open upward. According to the manuf"&amp;"acturer's idea, they (the blades) open when you turn on the hood (the air flow from the hood opens the blades and the air flows along the corrugation into the hole in the wall). But there is one nuance: when you turn off the hood, these blades lower (no, "&amp;"better fall) with a clearly audible roar. But the most important thing is that in case of a strong draft, these blades rise/fall even without turning on the hood. With corresponding sounds, that is, there is a rumble in the kitchen. It's incredibly pleasa"&amp;"nt to sleep with it at night.")</f>
        <v>The hood fully copes with its functions. Steam and fumes are sucked in like a vacuum cleaner. Convenient lighting, convenient removable grilles. I didn’t check about the clock (whether they are in a hurry or not) for one simple reason: the clock numbers are blue on a blue background: they merge already at a short distance. At max. At high speeds, the hood is of course noisy, but with such power this is understandable. It's not the noise that's important to me, it's the efficiency. And she's on top. Now about the shortcomings: 1. Strange fastening of the corrugated casing - more precisely, there is no fastening there. The casing simply fits onto the adapter from the hood and then goes into the hole in the wall. 2. An equally strange cover that hides the casing, corrugation and the upper part of the hood. The lid consists of 2 parts - upper and lower. According to the instructions, the upper one is put on the lower one - but I couldn’t put it on, since the upper one turned out to be trite lower and shorter than the lower one. And besides, she scratched the bottom one badly. As a result, I simply threw out the top one and left only the bottom one. 3. The adapter from the hood to the corrugation is equipped with blades that open upward. According to the manufacturer's idea, they (the blades) open when you turn on the hood (the air flow from the hood opens the blades and the air flows along the corrugation into the hole in the wall). But there is one nuance: when you turn off the hood, these blades lower (no, better fall) with a clearly audible roar. But the most important thing is that in case of a strong draft, these blades rise/fall even without turning on the hood. With corresponding sounds, that is, there is a rumble in the kitchen. It's incredibly pleasant to sleep with it at night.</v>
      </c>
    </row>
    <row r="12413" spans="1:9" x14ac:dyDescent="0.3">
      <c r="A12413" s="1" t="s">
        <v>37</v>
      </c>
      <c r="B12413" s="1" t="s">
        <v>38</v>
      </c>
      <c r="C12413" s="1" t="s">
        <v>39</v>
      </c>
      <c r="D12413" s="1" t="s">
        <v>17507</v>
      </c>
      <c r="E12413" s="1" t="s">
        <v>1788</v>
      </c>
      <c r="F12413" s="1" t="s">
        <v>17508</v>
      </c>
      <c r="G12413" s="1" t="s">
        <v>36</v>
      </c>
      <c r="H12413" s="1" t="s">
        <v>29</v>
      </c>
      <c r="I12413" s="1" t="str">
        <f ca="1">IFERROR(__xludf.DUMMYFUNCTION("GOOGLETRANSLATE(F12413, ""auto"", ""en"")
"),"Hi all! Last year, my husband gave me this phone. The sound was excellent, but when loading melodies, it began to freeze. They took it back, it wasn’t the same, they returned the money! So we didn’t buy it later! And now I’m looking for a phone again, I’m"&amp;" thinking about buying one, but now I don’t know! It turns out that this model is boring for everyone!")</f>
        <v>Hi all! Last year, my husband gave me this phone. The sound was excellent, but when loading melodies, it began to freeze. They took it back, it wasn’t the same, they returned the money! So we didn’t buy it later! And now I’m looking for a phone again, I’m thinking about buying one, but now I don’t know! It turns out that this model is boring for everyone!</v>
      </c>
    </row>
    <row r="12414" spans="1:9" x14ac:dyDescent="0.3">
      <c r="A12414" s="1" t="s">
        <v>1031</v>
      </c>
      <c r="B12414" s="1" t="s">
        <v>3488</v>
      </c>
      <c r="C12414" s="1" t="s">
        <v>710</v>
      </c>
      <c r="D12414" s="1" t="s">
        <v>64</v>
      </c>
      <c r="E12414" s="1" t="s">
        <v>10504</v>
      </c>
      <c r="F12414" s="1" t="s">
        <v>17509</v>
      </c>
      <c r="G12414" s="1" t="s">
        <v>36</v>
      </c>
      <c r="H12414" s="1" t="s">
        <v>29</v>
      </c>
      <c r="I12414" s="1" t="str">
        <f ca="1">IFERROR(__xludf.DUMMYFUNCTION("GOOGLETRANSLATE(F12414, ""auto"", ""en"")
"),"I bought an odor absorber when purchasing a refrigerator. When the refrigerator was delivered, there was a plastic aroma coming from it. I put this box in it right away. After 12 hours there was almost no smell. A day later he completely disappeared. I re"&amp;"commend it.")</f>
        <v>I bought an odor absorber when purchasing a refrigerator. When the refrigerator was delivered, there was a plastic aroma coming from it. I put this box in it right away. After 12 hours there was almost no smell. A day later he completely disappeared. I recommend it.</v>
      </c>
    </row>
    <row r="12415" spans="1:9" x14ac:dyDescent="0.3">
      <c r="A12415" s="1" t="s">
        <v>67</v>
      </c>
      <c r="B12415" s="1" t="s">
        <v>68</v>
      </c>
      <c r="C12415" s="1" t="s">
        <v>74</v>
      </c>
      <c r="D12415" s="1" t="s">
        <v>142</v>
      </c>
      <c r="E12415" s="1" t="s">
        <v>460</v>
      </c>
      <c r="F12415" s="1" t="s">
        <v>17510</v>
      </c>
      <c r="G12415" s="1" t="s">
        <v>36</v>
      </c>
      <c r="H12415" s="1" t="s">
        <v>29</v>
      </c>
      <c r="I12415" s="1" t="str">
        <f ca="1">IFERROR(__xludf.DUMMYFUNCTION("GOOGLETRANSLATE(F12415, ""auto"", ""en"")
"),"I bought the iron last year and am very pleased. Irons great and the price is reasonable. Thanks to the sellers of M Video for the advice)))")</f>
        <v>I bought the iron last year and am very pleased. Irons great and the price is reasonable. Thanks to the sellers of M Video for the advice)))</v>
      </c>
    </row>
    <row r="12416" spans="1:9" x14ac:dyDescent="0.3">
      <c r="A12416" s="1" t="s">
        <v>120</v>
      </c>
      <c r="B12416" s="1" t="s">
        <v>121</v>
      </c>
      <c r="C12416" s="1" t="s">
        <v>69</v>
      </c>
      <c r="D12416" s="1" t="s">
        <v>2893</v>
      </c>
      <c r="E12416" s="1" t="s">
        <v>469</v>
      </c>
      <c r="F12416" s="1" t="s">
        <v>17511</v>
      </c>
      <c r="G12416" s="1" t="s">
        <v>36</v>
      </c>
      <c r="H12416" s="1" t="s">
        <v>29</v>
      </c>
      <c r="I12416" s="1" t="str">
        <f ca="1">IFERROR(__xludf.DUMMYFUNCTION("GOOGLETRANSLATE(F12416, ""auto"", ""en"")
"),"The TV is excellent! Powerful sound. Very bright, rich colors (even though I set the brightness, colors, etc. to average). Beautiful design")</f>
        <v>The TV is excellent! Powerful sound. Very bright, rich colors (even though I set the brightness, colors, etc. to average). Beautiful design</v>
      </c>
    </row>
    <row r="12417" spans="1:9" x14ac:dyDescent="0.3">
      <c r="A12417" s="1" t="s">
        <v>17</v>
      </c>
      <c r="B12417" s="1" t="s">
        <v>18</v>
      </c>
      <c r="C12417" s="1" t="s">
        <v>290</v>
      </c>
      <c r="D12417" s="1" t="s">
        <v>589</v>
      </c>
      <c r="E12417" s="1" t="s">
        <v>1245</v>
      </c>
      <c r="F12417" s="1" t="s">
        <v>17512</v>
      </c>
      <c r="G12417" s="1" t="s">
        <v>36</v>
      </c>
      <c r="H12417" s="1" t="s">
        <v>29</v>
      </c>
      <c r="I12417" s="1" t="str">
        <f ca="1">IFERROR(__xludf.DUMMYFUNCTION("GOOGLETRANSLATE(F12417, ""auto"", ""en"")
"),"We've been using it for 1 month now, it's beautiful, narrow, very convenient functions and controls, it washes perfectly. Not noisy, doesn't vibrate even without footrests. It’s just a pity that they didn’t wait for the shares, but bought them at the old "&amp;"price.")</f>
        <v>We've been using it for 1 month now, it's beautiful, narrow, very convenient functions and controls, it washes perfectly. Not noisy, doesn't vibrate even without footrests. It’s just a pity that they didn’t wait for the shares, but bought them at the old price.</v>
      </c>
    </row>
    <row r="12418" spans="1:9" x14ac:dyDescent="0.3">
      <c r="A12418" s="1" t="s">
        <v>61</v>
      </c>
      <c r="B12418" s="1" t="s">
        <v>145</v>
      </c>
      <c r="C12418" s="1" t="s">
        <v>69</v>
      </c>
      <c r="D12418" s="1" t="s">
        <v>1610</v>
      </c>
      <c r="E12418" s="1" t="s">
        <v>1962</v>
      </c>
      <c r="F12418" s="1" t="s">
        <v>17513</v>
      </c>
      <c r="G12418" s="1" t="s">
        <v>28</v>
      </c>
      <c r="H12418" s="1" t="s">
        <v>29</v>
      </c>
      <c r="I12418" s="1" t="str">
        <f ca="1">IFERROR(__xludf.DUMMYFUNCTION("GOOGLETRANSLATE(F12418, ""auto"", ""en"")
"),"We gave this model of steamer as a gift. I started to figure it out, should the XL bowl fit tightly into the 3 bowl? I still have a gap, it feels like it's from a different model.")</f>
        <v>We gave this model of steamer as a gift. I started to figure it out, should the XL bowl fit tightly into the 3 bowl? I still have a gap, it feels like it's from a different model.</v>
      </c>
    </row>
    <row r="12419" spans="1:9" x14ac:dyDescent="0.3">
      <c r="A12419" s="1" t="s">
        <v>30</v>
      </c>
      <c r="B12419" s="1" t="s">
        <v>50</v>
      </c>
      <c r="C12419" s="1" t="s">
        <v>151</v>
      </c>
      <c r="D12419" s="1" t="s">
        <v>12</v>
      </c>
      <c r="E12419" s="1" t="s">
        <v>969</v>
      </c>
      <c r="F12419" s="1" t="s">
        <v>17514</v>
      </c>
      <c r="G12419" s="1" t="s">
        <v>36</v>
      </c>
      <c r="H12419" s="1" t="s">
        <v>29</v>
      </c>
      <c r="I12419" s="1" t="str">
        <f ca="1">IFERROR(__xludf.DUMMYFUNCTION("GOOGLETRANSLATE(F12419, ""auto"", ""en"")
"),"I bought it more than 1.5 years ago! :) I'm still happy with it :) I study at the university, the thing is simply irreplaceable! It works for me almost 24/7 and nothing is done to it. It doesn't make any noise at all, you can't hear it even late at night,"&amp;" it doesn't disturb your sleep! :) The charge lasts about 1.5 hours. And what they said, it doesn't read DVDs, just download a normal player KMPlayer or GOM player - these eat up everything indiscriminately :)) There was a minus that it was Windows 7, so "&amp;"many games did not work, but it is very easy to fix - just install the Daemon Tools program, everything goes through it :) In general, an excellent laptop for its price :)")</f>
        <v>I bought it more than 1.5 years ago! :) I'm still happy with it :) I study at the university, the thing is simply irreplaceable! It works for me almost 24/7 and nothing is done to it. It doesn't make any noise at all, you can't hear it even late at night, it doesn't disturb your sleep! :) The charge lasts about 1.5 hours. And what they said, it doesn't read DVDs, just download a normal player KMPlayer or GOM player - these eat up everything indiscriminately :)) There was a minus that it was Windows 7, so many games did not work, but it is very easy to fix - just install the Daemon Tools program, everything goes through it :) In general, an excellent laptop for its price :)</v>
      </c>
    </row>
    <row r="12420" spans="1:9" x14ac:dyDescent="0.3">
      <c r="A12420" s="1" t="s">
        <v>369</v>
      </c>
      <c r="B12420" s="1" t="s">
        <v>587</v>
      </c>
      <c r="C12420" s="1" t="s">
        <v>63</v>
      </c>
      <c r="D12420" s="1" t="s">
        <v>81</v>
      </c>
      <c r="E12420" s="1" t="s">
        <v>7541</v>
      </c>
      <c r="F12420" s="1" t="s">
        <v>17515</v>
      </c>
      <c r="G12420" s="1" t="s">
        <v>28</v>
      </c>
      <c r="H12420" s="1" t="s">
        <v>29</v>
      </c>
      <c r="I12420" s="1" t="str">
        <f ca="1">IFERROR(__xludf.DUMMYFUNCTION("GOOGLETRANSLATE(F12420, ""auto"", ""en"")
"),"Excellent model. Electric ignition works instantly. Convenient to clean the surface. But there are a couple of comments. The control knobs are painted with fragile gray paint and quickly fly off when cleaning with detergents. It is also recommended to pur"&amp;"chase an additional accessory from Bosch to make it easier to clean the inside of the oven, which is not included in the kit. Otherwise, cleaning the oven will be very difficult.")</f>
        <v>Excellent model. Electric ignition works instantly. Convenient to clean the surface. But there are a couple of comments. The control knobs are painted with fragile gray paint and quickly fly off when cleaning with detergents. It is also recommended to purchase an additional accessory from Bosch to make it easier to clean the inside of the oven, which is not included in the kit. Otherwise, cleaning the oven will be very difficult.</v>
      </c>
    </row>
    <row r="12421" spans="1:9" x14ac:dyDescent="0.3">
      <c r="A12421" s="1" t="s">
        <v>37</v>
      </c>
      <c r="B12421" s="1" t="s">
        <v>355</v>
      </c>
      <c r="C12421" s="1" t="s">
        <v>356</v>
      </c>
      <c r="D12421" s="1" t="s">
        <v>17516</v>
      </c>
      <c r="E12421" s="1" t="s">
        <v>3259</v>
      </c>
      <c r="F12421" s="1" t="s">
        <v>17517</v>
      </c>
      <c r="G12421" s="1" t="s">
        <v>36</v>
      </c>
      <c r="H12421" s="1" t="s">
        <v>29</v>
      </c>
      <c r="I12421" s="1" t="str">
        <f ca="1">IFERROR(__xludf.DUMMYFUNCTION("GOOGLETRANSLATE(F12421, ""auto"", ""en"")
"),"Telephone ....!    And I’m especially pleased with the significant discount in this store on iPhone 3g. I myself use a similar model, only with eight gigabytes of memory.    The iPhone has 2 unique advantages: 1. An impeccable interface (my 3-year-old son"&amp;" plays toys on it himself, independently unlocking it and choosing a game, and no one showed how to do this).    Driving it is a pleasure. And using email, SIP telephony, navigator, etc. is very, very convenient.    2. Large bright beautiful display.    N"&amp;"ow about the “glitches” and “freezes”. Until I hacked the software, everything worked stably :) Now, however, it’s not particularly annoying either. It freezes just like any other phone with its own operating system, even less often.    P.S. A comrade sai"&amp;"d that in winter it’s an ass with him. I haven't checked it myself yet. And I don’t stress too much about this either, because it’s quite warm in the car :)")</f>
        <v>Telephone ....!    And I’m especially pleased with the significant discount in this store on iPhone 3g. I myself use a similar model, only with eight gigabytes of memory.    The iPhone has 2 unique advantages: 1. An impeccable interface (my 3-year-old son plays toys on it himself, independently unlocking it and choosing a game, and no one showed how to do this).    Driving it is a pleasure. And using email, SIP telephony, navigator, etc. is very, very convenient.    2. Large bright beautiful display.    Now about the “glitches” and “freezes”. Until I hacked the software, everything worked stably :) Now, however, it’s not particularly annoying either. It freezes just like any other phone with its own operating system, even less often.    P.S. A comrade said that in winter it’s an ass with him. I haven't checked it myself yet. And I don’t stress too much about this either, because it’s quite warm in the car :)</v>
      </c>
    </row>
    <row r="12422" spans="1:9" x14ac:dyDescent="0.3">
      <c r="A12422" s="1" t="s">
        <v>105</v>
      </c>
      <c r="B12422" s="1" t="s">
        <v>106</v>
      </c>
      <c r="C12422" s="1" t="s">
        <v>151</v>
      </c>
      <c r="D12422" s="1" t="s">
        <v>17518</v>
      </c>
      <c r="E12422" s="1" t="s">
        <v>1290</v>
      </c>
      <c r="F12422" s="1" t="s">
        <v>17519</v>
      </c>
      <c r="G12422" s="1" t="s">
        <v>36</v>
      </c>
      <c r="H12422" s="1" t="s">
        <v>29</v>
      </c>
      <c r="I12422" s="1" t="str">
        <f ca="1">IFERROR(__xludf.DUMMYFUNCTION("GOOGLETRANSLATE(F12422, ""auto"", ""en"")
"),"I've been using the player for about a month. The impressions are positive. Classic push-button controls, no touch screens. Plays video perfectly. .avi files &gt; 1Gb in size go smoothly. I'm not a music lover, but I like the audio for the purity and richnes"&amp;"s of the sound. Good headphones are included. There is no charger from the outlet, so I use the charger from my cell phone. FM radio works great, but RDS does not :(. There is a bug - the current system date jumps. I hope this will be fixed in the next fi"&amp;"rmware. There is a slot for microSD cards - 2 GB reads. In general, a decent, strong average device. I recommend it to ordinary users without high demands.")</f>
        <v>I've been using the player for about a month. The impressions are positive. Classic push-button controls, no touch screens. Plays video perfectly. .avi files &gt; 1Gb in size go smoothly. I'm not a music lover, but I like the audio for the purity and richness of the sound. Good headphones are included. There is no charger from the outlet, so I use the charger from my cell phone. FM radio works great, but RDS does not :(. There is a bug - the current system date jumps. I hope this will be fixed in the next firmware. There is a slot for microSD cards - 2 GB reads. In general, a decent, strong average device. I recommend it to ordinary users without high demands.</v>
      </c>
    </row>
    <row r="12423" spans="1:9" x14ac:dyDescent="0.3">
      <c r="A12423" s="1" t="s">
        <v>120</v>
      </c>
      <c r="B12423" s="1" t="s">
        <v>256</v>
      </c>
      <c r="C12423" s="1" t="s">
        <v>257</v>
      </c>
      <c r="D12423" s="1" t="s">
        <v>919</v>
      </c>
      <c r="E12423" s="1" t="s">
        <v>1290</v>
      </c>
      <c r="F12423" s="1" t="s">
        <v>17520</v>
      </c>
      <c r="G12423" s="1" t="s">
        <v>28</v>
      </c>
      <c r="H12423" s="1" t="s">
        <v>29</v>
      </c>
      <c r="I12423" s="1" t="str">
        <f ca="1">IFERROR(__xludf.DUMMYFUNCTION("GOOGLETRANSLATE(F12423, ""auto"", ""en"")
"),"Again, I want to write a few lines about the high definition of this TV... Before that, I connected a DVD through a regular video output, and was dissatisfied with the image - the picture was quite blurry. Today I tried to connect it to a computer via RCA"&amp;" and was pleasantly surprised - the picture is normal!  I have an old DVD player and there is no component video output, that’s why I was guilty of the image, I didn’t know what could be better. All that remains is to come to terms with the image transmit"&amp;"ted through the TV antenna and enjoy watching video through a player or cinema that has a component video output!  I give it a solid 4 and buy a micro center with DVD in your store to make eating in the kitchen even more enjoyable)))")</f>
        <v>Again, I want to write a few lines about the high definition of this TV... Before that, I connected a DVD through a regular video output, and was dissatisfied with the image - the picture was quite blurry. Today I tried to connect it to a computer via RCA and was pleasantly surprised - the picture is normal!  I have an old DVD player and there is no component video output, that’s why I was guilty of the image, I didn’t know what could be better. All that remains is to come to terms with the image transmitted through the TV antenna and enjoy watching video through a player or cinema that has a component video output!  I give it a solid 4 and buy a micro center with DVD in your store to make eating in the kitchen even more enjoyable)))</v>
      </c>
    </row>
    <row r="12424" spans="1:9" x14ac:dyDescent="0.3">
      <c r="A12424" s="1" t="s">
        <v>211</v>
      </c>
      <c r="B12424" s="1" t="s">
        <v>410</v>
      </c>
      <c r="C12424" s="1" t="s">
        <v>213</v>
      </c>
      <c r="D12424" s="1" t="s">
        <v>17521</v>
      </c>
      <c r="E12424" s="1" t="s">
        <v>6641</v>
      </c>
      <c r="F12424" s="1" t="s">
        <v>17522</v>
      </c>
      <c r="G12424" s="1" t="s">
        <v>94</v>
      </c>
      <c r="H12424" s="1" t="s">
        <v>29</v>
      </c>
      <c r="I12424" s="1" t="str">
        <f ca="1">IFERROR(__xludf.DUMMYFUNCTION("GOOGLETRANSLATE(F12424, ""auto"", ""en"")
"),"Excellent shaving quality")</f>
        <v>Excellent shaving quality</v>
      </c>
    </row>
    <row r="12425" spans="1:9" x14ac:dyDescent="0.3">
      <c r="A12425" s="1" t="s">
        <v>211</v>
      </c>
      <c r="B12425" s="1" t="s">
        <v>410</v>
      </c>
      <c r="C12425" s="1" t="s">
        <v>213</v>
      </c>
      <c r="D12425" s="1" t="s">
        <v>1659</v>
      </c>
      <c r="E12425" s="1" t="s">
        <v>5131</v>
      </c>
      <c r="F12425" s="1" t="s">
        <v>17523</v>
      </c>
      <c r="G12425" s="1" t="s">
        <v>36</v>
      </c>
      <c r="H12425" s="1" t="s">
        <v>29</v>
      </c>
      <c r="I12425" s="1" t="str">
        <f ca="1">IFERROR(__xludf.DUMMYFUNCTION("GOOGLETRANSLATE(F12425, ""auto"", ""en"")
"),"shaves well, comfortable to hold, can be washed under running water")</f>
        <v>shaves well, comfortable to hold, can be washed under running water</v>
      </c>
    </row>
    <row r="12426" spans="1:9" x14ac:dyDescent="0.3">
      <c r="A12426" s="1" t="s">
        <v>149</v>
      </c>
      <c r="B12426" s="1" t="s">
        <v>150</v>
      </c>
      <c r="C12426" s="1" t="s">
        <v>314</v>
      </c>
      <c r="D12426" s="1" t="s">
        <v>3923</v>
      </c>
      <c r="E12426" s="1" t="s">
        <v>191</v>
      </c>
      <c r="F12426" s="1" t="s">
        <v>17524</v>
      </c>
      <c r="G12426" s="1" t="s">
        <v>15</v>
      </c>
      <c r="H12426" s="1" t="s">
        <v>16</v>
      </c>
      <c r="I12426" s="1" t="str">
        <f ca="1">IFERROR(__xludf.DUMMYFUNCTION("GOOGLETRANSLATE(F12426, ""auto"", ""en"")
"),"In January 2010, I purchased a Zelmer 819.0 SK vacuum cleaner with a water filter. Unfortunately, the vacuum cleaner did not live up to expectations; it doesn’t suck up dust and small debris well, and I won’t say anything about animal hair at all. If you "&amp;"have animals and carpets with rugs on the floor, then this vacuum cleaner is not for you. It's a shame it can't be returned to the store.")</f>
        <v>In January 2010, I purchased a Zelmer 819.0 SK vacuum cleaner with a water filter. Unfortunately, the vacuum cleaner did not live up to expectations; it doesn’t suck up dust and small debris well, and I won’t say anything about animal hair at all. If you have animals and carpets with rugs on the floor, then this vacuum cleaner is not for you. It's a shame it can't be returned to the store.</v>
      </c>
    </row>
    <row r="12427" spans="1:9" x14ac:dyDescent="0.3">
      <c r="A12427" s="1" t="s">
        <v>477</v>
      </c>
      <c r="B12427" s="1" t="s">
        <v>478</v>
      </c>
      <c r="C12427" s="1" t="s">
        <v>479</v>
      </c>
      <c r="D12427" s="1" t="s">
        <v>411</v>
      </c>
      <c r="E12427" s="1" t="s">
        <v>3169</v>
      </c>
      <c r="F12427" s="1" t="s">
        <v>17525</v>
      </c>
      <c r="G12427" s="1" t="s">
        <v>36</v>
      </c>
      <c r="H12427" s="1" t="s">
        <v>29</v>
      </c>
      <c r="I12427" s="1" t="str">
        <f ca="1">IFERROR(__xludf.DUMMYFUNCTION("GOOGLETRANSLATE(F12427, ""auto"", ""en"")
"),"The game is very good, the graphics are at the highest level, some may have problems with lags (which I didn’t experience), but Treyarch has already released a patch, so you can safely buy the game, it’s worth it. In my opinion, this is the best game in t"&amp;"he Call of Duty series!!!")</f>
        <v>The game is very good, the graphics are at the highest level, some may have problems with lags (which I didn’t experience), but Treyarch has already released a patch, so you can safely buy the game, it’s worth it. In my opinion, this is the best game in the Call of Duty series!!!</v>
      </c>
    </row>
    <row r="12428" spans="1:9" x14ac:dyDescent="0.3">
      <c r="A12428" s="1" t="s">
        <v>30</v>
      </c>
      <c r="B12428" s="1" t="s">
        <v>50</v>
      </c>
      <c r="C12428" s="1" t="s">
        <v>694</v>
      </c>
      <c r="D12428" s="1" t="s">
        <v>280</v>
      </c>
      <c r="E12428" s="1" t="s">
        <v>1273</v>
      </c>
      <c r="F12428" s="1" t="s">
        <v>17526</v>
      </c>
      <c r="G12428" s="1" t="s">
        <v>36</v>
      </c>
      <c r="H12428" s="1" t="s">
        <v>29</v>
      </c>
      <c r="I12428" s="1" t="str">
        <f ca="1">IFERROR(__xludf.DUMMYFUNCTION("GOOGLETRANSLATE(F12428, ""auto"", ""en"")
"),"I am very pleased with this device. I spent a long time choosing, but settled on this because: - excellent keyboard - excellent display - has bluetooth - you can use Skype, listen to music, look at photos and much more without starting Windows, which exte"&amp;"nds battery life - suitable for home use - fast I recommend it to everyone!!!")</f>
        <v>I am very pleased with this device. I spent a long time choosing, but settled on this because: - excellent keyboard - excellent display - has bluetooth - you can use Skype, listen to music, look at photos and much more without starting Windows, which extends battery life - suitable for home use - fast I recommend it to everyone!!!</v>
      </c>
    </row>
    <row r="12429" spans="1:9" x14ac:dyDescent="0.3">
      <c r="A12429" s="1" t="s">
        <v>9</v>
      </c>
      <c r="B12429" s="1" t="s">
        <v>137</v>
      </c>
      <c r="C12429" s="1" t="s">
        <v>151</v>
      </c>
      <c r="D12429" s="1" t="s">
        <v>891</v>
      </c>
      <c r="E12429" s="1" t="s">
        <v>1986</v>
      </c>
      <c r="F12429" s="1" t="s">
        <v>17527</v>
      </c>
      <c r="G12429" s="1" t="s">
        <v>36</v>
      </c>
      <c r="H12429" s="1" t="s">
        <v>29</v>
      </c>
      <c r="I12429" s="1" t="str">
        <f ca="1">IFERROR(__xludf.DUMMYFUNCTION("GOOGLETRANSLATE(F12429, ""auto"", ""en"")
"),"I've been using it for 2 years, the price/quality ratio is perfect! There are no complaints about the stove, it works without jambs, the timer and child lock are very convenient) I also took a Samsung BF3ON3T011 oven for the hob. I don't regret the purcha"&amp;"se!")</f>
        <v>I've been using it for 2 years, the price/quality ratio is perfect! There are no complaints about the stove, it works without jambs, the timer and child lock are very convenient) I also took a Samsung BF3ON3T011 oven for the hob. I don't regret the purchase!</v>
      </c>
    </row>
    <row r="12430" spans="1:9" x14ac:dyDescent="0.3">
      <c r="A12430" s="1" t="s">
        <v>1443</v>
      </c>
      <c r="B12430" s="1" t="s">
        <v>1444</v>
      </c>
      <c r="C12430" s="1" t="s">
        <v>1489</v>
      </c>
      <c r="D12430" s="1" t="s">
        <v>916</v>
      </c>
      <c r="E12430" s="1" t="s">
        <v>5879</v>
      </c>
      <c r="F12430" s="1" t="s">
        <v>17528</v>
      </c>
      <c r="G12430" s="1" t="s">
        <v>49</v>
      </c>
      <c r="H12430" s="1" t="s">
        <v>16</v>
      </c>
      <c r="I12430" s="1" t="str">
        <f ca="1">IFERROR(__xludf.DUMMYFUNCTION("GOOGLETRANSLATE(F12430, ""auto"", ""en"")
"),"The flash drive lived for 2.5 years, then data began to disappear from it selectively, I had to urgently copy it to another medium, I don’t know how long 2.5 years is for a flash drive or not, but I won’t store anything important on it anymore")</f>
        <v>The flash drive lived for 2.5 years, then data began to disappear from it selectively, I had to urgently copy it to another medium, I don’t know how long 2.5 years is for a flash drive or not, but I won’t store anything important on it anymore</v>
      </c>
    </row>
    <row r="12431" spans="1:9" x14ac:dyDescent="0.3">
      <c r="A12431" s="1" t="s">
        <v>9</v>
      </c>
      <c r="B12431" s="1" t="s">
        <v>10</v>
      </c>
      <c r="C12431" s="1" t="s">
        <v>4314</v>
      </c>
      <c r="D12431" s="1" t="s">
        <v>1092</v>
      </c>
      <c r="E12431" s="1" t="s">
        <v>763</v>
      </c>
      <c r="F12431" s="1" t="s">
        <v>17529</v>
      </c>
      <c r="G12431" s="1" t="s">
        <v>28</v>
      </c>
      <c r="H12431" s="1" t="s">
        <v>29</v>
      </c>
      <c r="I12431" s="1" t="str">
        <f ca="1">IFERROR(__xludf.DUMMYFUNCTION("GOOGLETRANSLATE(F12431, ""auto"", ""en"")
"),"It pulls as stated and does its job.  The noise is average, at third speed it is loud. It resonates, you need to look for crickets and seal it with silicone and epoxy glue in some places, there is no check valve included, there are a couple of air leaks ("&amp;"it can be treated with silicone in a minute). In general, to make it work more quietly, a small modification with silicone and glue is required, which takes half an hour and completely removes resonances and leaks. Stupid sliders for turning on speeds and"&amp;" lights, why do they even make them like that, buttons are 10 times more convenient.  For the price it costs, it's a good choice. It doesn’t look very scary and performs its main function well.")</f>
        <v>It pulls as stated and does its job.  The noise is average, at third speed it is loud. It resonates, you need to look for crickets and seal it with silicone and epoxy glue in some places, there is no check valve included, there are a couple of air leaks (it can be treated with silicone in a minute). In general, to make it work more quietly, a small modification with silicone and glue is required, which takes half an hour and completely removes resonances and leaks. Stupid sliders for turning on speeds and lights, why do they even make them like that, buttons are 10 times more convenient.  For the price it costs, it's a good choice. It doesn’t look very scary and performs its main function well.</v>
      </c>
    </row>
    <row r="12432" spans="1:9" x14ac:dyDescent="0.3">
      <c r="A12432" s="1" t="s">
        <v>211</v>
      </c>
      <c r="B12432" s="1" t="s">
        <v>212</v>
      </c>
      <c r="C12432" s="1" t="s">
        <v>381</v>
      </c>
      <c r="D12432" s="1" t="s">
        <v>8069</v>
      </c>
      <c r="E12432" s="1" t="s">
        <v>3928</v>
      </c>
      <c r="F12432" s="1" t="s">
        <v>17530</v>
      </c>
      <c r="G12432" s="1" t="s">
        <v>36</v>
      </c>
      <c r="H12432" s="1" t="s">
        <v>29</v>
      </c>
      <c r="I12432" s="1" t="str">
        <f ca="1">IFERROR(__xludf.DUMMYFUNCTION("GOOGLETRANSLATE(F12432, ""auto"", ""en"")
"),"I bought this wonderful styler about six months ago, during this period it has never let me down. Fast heating, nozzles are specially adjusted to the handle. The set includes 8 accessories, you can create incredible hairstyles and styles with it. It has b"&amp;"ecome an indispensable thing for me.")</f>
        <v>I bought this wonderful styler about six months ago, during this period it has never let me down. Fast heating, nozzles are specially adjusted to the handle. The set includes 8 accessories, you can create incredible hairstyles and styles with it. It has become an indispensable thing for me.</v>
      </c>
    </row>
    <row r="12433" spans="1:9" x14ac:dyDescent="0.3">
      <c r="A12433" s="1" t="s">
        <v>67</v>
      </c>
      <c r="B12433" s="1" t="s">
        <v>340</v>
      </c>
      <c r="C12433" s="1" t="s">
        <v>341</v>
      </c>
      <c r="D12433" s="1" t="s">
        <v>565</v>
      </c>
      <c r="E12433" s="1" t="s">
        <v>5369</v>
      </c>
      <c r="F12433" s="1" t="s">
        <v>17531</v>
      </c>
      <c r="G12433" s="1" t="s">
        <v>36</v>
      </c>
      <c r="H12433" s="1" t="s">
        <v>29</v>
      </c>
      <c r="I12433" s="1" t="str">
        <f ca="1">IFERROR(__xludf.DUMMYFUNCTION("GOOGLETRANSLATE(F12433, ""auto"", ""en"")
"),"Martin)))")</f>
        <v>Martin)))</v>
      </c>
    </row>
    <row r="12434" spans="1:9" x14ac:dyDescent="0.3">
      <c r="A12434" s="1" t="s">
        <v>61</v>
      </c>
      <c r="B12434" s="1" t="s">
        <v>224</v>
      </c>
      <c r="C12434" s="1" t="s">
        <v>314</v>
      </c>
      <c r="D12434" s="1" t="s">
        <v>474</v>
      </c>
      <c r="E12434" s="1" t="s">
        <v>680</v>
      </c>
      <c r="F12434" s="1" t="s">
        <v>17532</v>
      </c>
      <c r="G12434" s="1" t="s">
        <v>36</v>
      </c>
      <c r="H12434" s="1" t="s">
        <v>29</v>
      </c>
      <c r="I12434" s="1" t="str">
        <f ca="1">IFERROR(__xludf.DUMMYFUNCTION("GOOGLETRANSLATE(F12434, ""auto"", ""en"")
"),"I bought it a few days ago for my daughter. What can I say - it’s just perfect for small volumes. Miniature, cute, easy to use, not very noisy machine. My daughter is very happy, and so am I! :-)")</f>
        <v>I bought it a few days ago for my daughter. What can I say - it’s just perfect for small volumes. Miniature, cute, easy to use, not very noisy machine. My daughter is very happy, and so am I! :-)</v>
      </c>
    </row>
    <row r="12435" spans="1:9" x14ac:dyDescent="0.3">
      <c r="A12435" s="1" t="s">
        <v>30</v>
      </c>
      <c r="B12435" s="1" t="s">
        <v>50</v>
      </c>
      <c r="C12435" s="1" t="s">
        <v>51</v>
      </c>
      <c r="D12435" s="1" t="s">
        <v>295</v>
      </c>
      <c r="E12435" s="1" t="s">
        <v>3626</v>
      </c>
      <c r="F12435" s="1" t="s">
        <v>17533</v>
      </c>
      <c r="G12435" s="1" t="s">
        <v>36</v>
      </c>
      <c r="H12435" s="1" t="s">
        <v>29</v>
      </c>
      <c r="I12435" s="1" t="str">
        <f ca="1">IFERROR(__xludf.DUMMYFUNCTION("GOOGLETRANSLATE(F12435, ""auto"", ""en"")
"),"This is a very good external and technical gift. I am looking for a gift for my daughter for the New Year. It is impossible to resist such a KNOW!!!!!!!Packard Bell EasyNote TR 82.")</f>
        <v>This is a very good external and technical gift. I am looking for a gift for my daughter for the New Year. It is impossible to resist such a KNOW!!!!!!!Packard Bell EasyNote TR 82.</v>
      </c>
    </row>
    <row r="12436" spans="1:9" x14ac:dyDescent="0.3">
      <c r="A12436" s="1" t="s">
        <v>89</v>
      </c>
      <c r="B12436" s="1" t="s">
        <v>231</v>
      </c>
      <c r="C12436" s="1" t="s">
        <v>1072</v>
      </c>
      <c r="D12436" s="1" t="s">
        <v>589</v>
      </c>
      <c r="E12436" s="1" t="s">
        <v>4530</v>
      </c>
      <c r="F12436" s="1" t="s">
        <v>17534</v>
      </c>
      <c r="G12436" s="1" t="s">
        <v>28</v>
      </c>
      <c r="H12436" s="1" t="s">
        <v>29</v>
      </c>
      <c r="I12436" s="1" t="str">
        <f ca="1">IFERROR(__xludf.DUMMYFUNCTION("GOOGLETRANSLATE(F12436, ""auto"", ""en"")
"),"I bought it a couple of weeks ago. According to the information on the website, and according to the seller, the coffee machine has a counter for prepared cups. For me, this was the decisive factor for the purchase. As a result, this function is missing i"&amp;"n the machine!!! That is, I could buy the machine cheaper... As for the coffee, it’s excellent!!! The menu is not the most clear, but I'll figure it out over time.")</f>
        <v>I bought it a couple of weeks ago. According to the information on the website, and according to the seller, the coffee machine has a counter for prepared cups. For me, this was the decisive factor for the purchase. As a result, this function is missing in the machine!!! That is, I could buy the machine cheaper... As for the coffee, it’s excellent!!! The menu is not the most clear, but I'll figure it out over time.</v>
      </c>
    </row>
    <row r="12437" spans="1:9" x14ac:dyDescent="0.3">
      <c r="A12437" s="1" t="s">
        <v>61</v>
      </c>
      <c r="B12437" s="1" t="s">
        <v>62</v>
      </c>
      <c r="C12437" s="1" t="s">
        <v>63</v>
      </c>
      <c r="D12437" s="1" t="s">
        <v>17535</v>
      </c>
      <c r="E12437" s="1" t="s">
        <v>8865</v>
      </c>
      <c r="F12437" s="1" t="s">
        <v>17536</v>
      </c>
      <c r="G12437" s="1" t="s">
        <v>1580</v>
      </c>
      <c r="H12437" s="1" t="s">
        <v>29</v>
      </c>
      <c r="I12437" s="1" t="str">
        <f ca="1">IFERROR(__xludf.DUMMYFUNCTION("GOOGLETRANSLATE(F12437, ""auto"", ""en"")
"),"He does all the work with a bang, quickly and efficiently. It has been working properly for about 5 years (although it is not used very intensively, once or twice a week).")</f>
        <v>He does all the work with a bang, quickly and efficiently. It has been working properly for about 5 years (although it is not used very intensively, once or twice a week).</v>
      </c>
    </row>
    <row r="12438" spans="1:9" x14ac:dyDescent="0.3">
      <c r="A12438" s="1" t="s">
        <v>9</v>
      </c>
      <c r="B12438" s="1" t="s">
        <v>10</v>
      </c>
      <c r="C12438" s="1" t="s">
        <v>407</v>
      </c>
      <c r="D12438" s="1" t="s">
        <v>139</v>
      </c>
      <c r="E12438" s="1" t="s">
        <v>17537</v>
      </c>
      <c r="F12438" s="1" t="s">
        <v>17538</v>
      </c>
      <c r="G12438" s="1" t="s">
        <v>15</v>
      </c>
      <c r="H12438" s="1" t="s">
        <v>16</v>
      </c>
      <c r="I12438" s="1" t="str">
        <f ca="1">IFERROR(__xludf.DUMMYFUNCTION("GOOGLETRANSLATE(F12438, ""auto"", ""en"")
"),"Stylish design, watch included.")</f>
        <v>Stylish design, watch included.</v>
      </c>
    </row>
    <row r="12439" spans="1:9" x14ac:dyDescent="0.3">
      <c r="A12439" s="1" t="s">
        <v>67</v>
      </c>
      <c r="B12439" s="1" t="s">
        <v>68</v>
      </c>
      <c r="C12439" s="1" t="s">
        <v>69</v>
      </c>
      <c r="D12439" s="1" t="s">
        <v>3375</v>
      </c>
      <c r="E12439" s="1" t="s">
        <v>12894</v>
      </c>
      <c r="F12439" s="1" t="s">
        <v>17539</v>
      </c>
      <c r="G12439" s="1" t="s">
        <v>36</v>
      </c>
      <c r="H12439" s="1" t="s">
        <v>29</v>
      </c>
      <c r="I12439" s="1" t="str">
        <f ca="1">IFERROR(__xludf.DUMMYFUNCTION("GOOGLETRANSLATE(F12439, ""auto"", ""en"")
"),"I really like the iron, it’s been working for three and a half years, we have a big family, someone irons something every day. It steams well, I like the soleplate of the iron, it rarely burns anything. Steams well. It’s not very convenient to pour water "&amp;"into it, but in general you can do it, the spout is comfortable and long, and it goes well through small, hard-to-reach areas on clothing. The cord is long - good for those who have an outlet far away, for us - next to the ironing iron, the cord is even s"&amp;"uperfluous. No more cons have been found so far, I hope it will last just as long and even more.")</f>
        <v>I really like the iron, it’s been working for three and a half years, we have a big family, someone irons something every day. It steams well, I like the soleplate of the iron, it rarely burns anything. Steams well. It’s not very convenient to pour water into it, but in general you can do it, the spout is comfortable and long, and it goes well through small, hard-to-reach areas on clothing. The cord is long - good for those who have an outlet far away, for us - next to the ironing iron, the cord is even superfluous. No more cons have been found so far, I hope it will last just as long and even more.</v>
      </c>
    </row>
    <row r="12440" spans="1:9" x14ac:dyDescent="0.3">
      <c r="A12440" s="1" t="s">
        <v>43</v>
      </c>
      <c r="B12440" s="1" t="s">
        <v>502</v>
      </c>
      <c r="C12440" s="1" t="s">
        <v>151</v>
      </c>
      <c r="D12440" s="1" t="s">
        <v>39</v>
      </c>
      <c r="E12440" s="1" t="s">
        <v>3903</v>
      </c>
      <c r="F12440" s="1" t="s">
        <v>17540</v>
      </c>
      <c r="G12440" s="1" t="s">
        <v>36</v>
      </c>
      <c r="H12440" s="1" t="s">
        <v>29</v>
      </c>
      <c r="I12440" s="1" t="str">
        <f ca="1">IFERROR(__xludf.DUMMYFUNCTION("GOOGLETRANSLATE(F12440, ""auto"", ""en"")
"),"I bought it more than a month ago, the installation was done by guys I know, everything works great!!!")</f>
        <v>I bought it more than a month ago, the installation was done by guys I know, everything works great!!!</v>
      </c>
    </row>
    <row r="12441" spans="1:9" x14ac:dyDescent="0.3">
      <c r="A12441" s="1" t="s">
        <v>37</v>
      </c>
      <c r="B12441" s="1" t="s">
        <v>355</v>
      </c>
      <c r="C12441" s="1" t="s">
        <v>356</v>
      </c>
      <c r="D12441" s="1" t="s">
        <v>411</v>
      </c>
      <c r="E12441" s="1" t="s">
        <v>191</v>
      </c>
      <c r="F12441" s="1" t="s">
        <v>17541</v>
      </c>
      <c r="G12441" s="1" t="s">
        <v>28</v>
      </c>
      <c r="H12441" s="1" t="s">
        <v>29</v>
      </c>
      <c r="I12441" s="1" t="str">
        <f ca="1">IFERROR(__xludf.DUMMYFUNCTION("GOOGLETRANSLATE(F12441, ""auto"", ""en"")
"),"Excellent media phone. To use the maximum capabilities, you need to surf forums on the Internet for more than one week and jailbreak. I give four for the closed file system, memory, blue tooth, lack of an FM receiver and the material of the back cover. If"&amp;" your hands grow out of a normal place, take them, you won’t regret it.")</f>
        <v>Excellent media phone. To use the maximum capabilities, you need to surf forums on the Internet for more than one week and jailbreak. I give four for the closed file system, memory, blue tooth, lack of an FM receiver and the material of the back cover. If your hands grow out of a normal place, take them, you won’t regret it.</v>
      </c>
    </row>
    <row r="12442" spans="1:9" x14ac:dyDescent="0.3">
      <c r="A12442" s="1" t="s">
        <v>67</v>
      </c>
      <c r="B12442" s="1" t="s">
        <v>340</v>
      </c>
      <c r="C12442" s="1" t="s">
        <v>341</v>
      </c>
      <c r="D12442" s="1" t="s">
        <v>295</v>
      </c>
      <c r="E12442" s="1" t="s">
        <v>7530</v>
      </c>
      <c r="F12442" s="1" t="s">
        <v>17542</v>
      </c>
      <c r="G12442" s="1" t="s">
        <v>36</v>
      </c>
      <c r="H12442" s="1" t="s">
        <v>29</v>
      </c>
      <c r="I12442" s="1" t="str">
        <f ca="1">IFERROR(__xludf.DUMMYFUNCTION("GOOGLETRANSLATE(F12442, ""auto"", ""en"")
"),"Wonderful machine! After 2 months of use, no complaints. All stitches are as in the picture, very convenient and easy to use. I’m not a professional seamstress, but it’s more than enough for sewing small items for the home and soft toys for children. I re"&amp;"commend it. Both the price and quality are excellent))) And special thanks to the store! I purchased this item from an online store and was pleased with the service and efficiency. Thank you!!!")</f>
        <v>Wonderful machine! After 2 months of use, no complaints. All stitches are as in the picture, very convenient and easy to use. I’m not a professional seamstress, but it’s more than enough for sewing small items for the home and soft toys for children. I recommend it. Both the price and quality are excellent))) And special thanks to the store! I purchased this item from an online store and was pleased with the service and efficiency. Thank you!!!</v>
      </c>
    </row>
    <row r="12443" spans="1:9" x14ac:dyDescent="0.3">
      <c r="A12443" s="1" t="s">
        <v>43</v>
      </c>
      <c r="B12443" s="1" t="s">
        <v>303</v>
      </c>
      <c r="C12443" s="1" t="s">
        <v>665</v>
      </c>
      <c r="D12443" s="1" t="s">
        <v>1147</v>
      </c>
      <c r="E12443" s="1" t="s">
        <v>16289</v>
      </c>
      <c r="F12443" s="1" t="s">
        <v>17543</v>
      </c>
      <c r="G12443" s="1" t="s">
        <v>36</v>
      </c>
      <c r="H12443" s="1" t="s">
        <v>29</v>
      </c>
      <c r="I12443" s="1" t="str">
        <f ca="1">IFERROR(__xludf.DUMMYFUNCTION("GOOGLETRANSLATE(F12443, ""auto"", ""en"")
"),"Reliable, safe, efficient and inexpensive")</f>
        <v>Reliable, safe, efficient and inexpensive</v>
      </c>
    </row>
    <row r="12444" spans="1:9" x14ac:dyDescent="0.3">
      <c r="A12444" s="1" t="s">
        <v>111</v>
      </c>
      <c r="B12444" s="1" t="s">
        <v>636</v>
      </c>
      <c r="C12444" s="1" t="s">
        <v>257</v>
      </c>
      <c r="D12444" s="1" t="s">
        <v>729</v>
      </c>
      <c r="E12444" s="1" t="s">
        <v>798</v>
      </c>
      <c r="F12444" s="1" t="s">
        <v>17544</v>
      </c>
      <c r="G12444" s="1" t="s">
        <v>36</v>
      </c>
      <c r="H12444" s="1" t="s">
        <v>29</v>
      </c>
      <c r="I12444" s="1" t="str">
        <f ca="1">IFERROR(__xludf.DUMMYFUNCTION("GOOGLETRANSLATE(F12444, ""auto"", ""en"")
"),"Has been working for over a year. It copes with its functions as an alarm clock, I thought in the store that such a signal would not wake you up, I was wrong, such a quiet signal wakes you up very comfortably no worse than a loud alarm clock.")</f>
        <v>Has been working for over a year. It copes with its functions as an alarm clock, I thought in the store that such a signal would not wake you up, I was wrong, such a quiet signal wakes you up very comfortably no worse than a loud alarm clock.</v>
      </c>
    </row>
    <row r="12445" spans="1:9" x14ac:dyDescent="0.3">
      <c r="A12445" s="1" t="s">
        <v>37</v>
      </c>
      <c r="B12445" s="1" t="s">
        <v>38</v>
      </c>
      <c r="C12445" s="1" t="s">
        <v>69</v>
      </c>
      <c r="D12445" s="1" t="s">
        <v>749</v>
      </c>
      <c r="E12445" s="1" t="s">
        <v>395</v>
      </c>
      <c r="F12445" s="1" t="s">
        <v>17545</v>
      </c>
      <c r="G12445" s="1" t="s">
        <v>49</v>
      </c>
      <c r="H12445" s="1" t="s">
        <v>16</v>
      </c>
      <c r="I12445" s="1" t="str">
        <f ca="1">IFERROR(__xludf.DUMMYFUNCTION("GOOGLETRANSLATE(F12445, ""auto"", ""en"")
"),"I bought it... before that there was a device from another manufacturer. So, where he always caught and without any problems he didn’t catch at all.  very disappointed. If I caught it normally I would give it a 4+.")</f>
        <v>I bought it... before that there was a device from another manufacturer. So, where he always caught and without any problems he didn’t catch at all.  very disappointed. If I caught it normally I would give it a 4+.</v>
      </c>
    </row>
    <row r="12446" spans="1:9" x14ac:dyDescent="0.3">
      <c r="A12446" s="1" t="s">
        <v>61</v>
      </c>
      <c r="B12446" s="1" t="s">
        <v>224</v>
      </c>
      <c r="C12446" s="1" t="s">
        <v>85</v>
      </c>
      <c r="D12446" s="1" t="s">
        <v>1662</v>
      </c>
      <c r="E12446" s="1" t="s">
        <v>4486</v>
      </c>
      <c r="F12446" s="1" t="s">
        <v>17546</v>
      </c>
      <c r="G12446" s="1" t="s">
        <v>49</v>
      </c>
      <c r="H12446" s="1" t="s">
        <v>16</v>
      </c>
      <c r="I12446" s="1" t="str">
        <f ca="1">IFERROR(__xludf.DUMMYFUNCTION("GOOGLETRANSLATE(F12446, ""auto"", ""en"")
"),"I have never seen worse technology! My mother’s Bork meat grinder makes mash instead of minced meat, but here... The juice flows from the cake just by picking it up. Large pieces of fruits and vegetables fly out into the pulp. In general, I do not recomme"&amp;"nd it to anyone!!!!!!")</f>
        <v>I have never seen worse technology! My mother’s Bork meat grinder makes mash instead of minced meat, but here... The juice flows from the cake just by picking it up. Large pieces of fruits and vegetables fly out into the pulp. In general, I do not recommend it to anyone!!!!!!</v>
      </c>
    </row>
    <row r="12447" spans="1:9" x14ac:dyDescent="0.3">
      <c r="A12447" s="1" t="s">
        <v>55</v>
      </c>
      <c r="B12447" s="1" t="s">
        <v>752</v>
      </c>
      <c r="C12447" s="1" t="s">
        <v>185</v>
      </c>
      <c r="D12447" s="1" t="s">
        <v>208</v>
      </c>
      <c r="E12447" s="1" t="s">
        <v>5985</v>
      </c>
      <c r="F12447" s="1" t="s">
        <v>17547</v>
      </c>
      <c r="G12447" s="1" t="s">
        <v>36</v>
      </c>
      <c r="H12447" s="1" t="s">
        <v>29</v>
      </c>
      <c r="I12447" s="1" t="str">
        <f ca="1">IFERROR(__xludf.DUMMYFUNCTION("GOOGLETRANSLATE(F12447, ""auto"", ""en"")
"),"I’ve been using it for 2 months, when I first turned it on, as the instructions were written, I set it to the maximum mode so that it would stink, but the smell from it was still there for 3-4 days, but not as strong as when I first turned it on. It warms"&amp;" up a room of 18 square meters with ceilings of 3.20 m from 18 to 24 degrees in 1.5-2 hours, from 16 to 22 in 3-4 hours. There is no central heating, only a heater is used for heating! When turned on, it makes light crackling noises from heating and expan"&amp;"sion of the metal for about 5-7 minutes, the same thing when turned off, when it cools down. I am completely satisfied with the purchase, I hope it will last a long time.")</f>
        <v>I’ve been using it for 2 months, when I first turned it on, as the instructions were written, I set it to the maximum mode so that it would stink, but the smell from it was still there for 3-4 days, but not as strong as when I first turned it on. It warms up a room of 18 square meters with ceilings of 3.20 m from 18 to 24 degrees in 1.5-2 hours, from 16 to 22 in 3-4 hours. There is no central heating, only a heater is used for heating! When turned on, it makes light crackling noises from heating and expansion of the metal for about 5-7 minutes, the same thing when turned off, when it cools down. I am completely satisfied with the purchase, I hope it will last a long time.</v>
      </c>
    </row>
    <row r="12448" spans="1:9" x14ac:dyDescent="0.3">
      <c r="A12448" s="1" t="s">
        <v>61</v>
      </c>
      <c r="B12448" s="1" t="s">
        <v>977</v>
      </c>
      <c r="C12448" s="1" t="s">
        <v>85</v>
      </c>
      <c r="D12448" s="1" t="s">
        <v>280</v>
      </c>
      <c r="E12448" s="1" t="s">
        <v>4080</v>
      </c>
      <c r="F12448" s="1" t="s">
        <v>17548</v>
      </c>
      <c r="G12448" s="1" t="s">
        <v>36</v>
      </c>
      <c r="H12448" s="1" t="s">
        <v>29</v>
      </c>
      <c r="I12448" s="1" t="str">
        <f ca="1">IFERROR(__xludf.DUMMYFUNCTION("GOOGLETRANSLATE(F12448, ""auto"", ""en"")
"),"I bought a Bork blender, the seller advised that it could make minced meat from the beginning, I didn’t really believe it, but when I tried it, I actually twisted the beef like a meat grinder quickly. Now I don’t even use a meat grinder. By the way, the i"&amp;"ce crushes super well for cocktails.")</f>
        <v>I bought a Bork blender, the seller advised that it could make minced meat from the beginning, I didn’t really believe it, but when I tried it, I actually twisted the beef like a meat grinder quickly. Now I don’t even use a meat grinder. By the way, the ice crushes super well for cocktails.</v>
      </c>
    </row>
    <row r="12449" spans="1:9" x14ac:dyDescent="0.3">
      <c r="A12449" s="1" t="s">
        <v>9</v>
      </c>
      <c r="B12449" s="1" t="s">
        <v>10</v>
      </c>
      <c r="C12449" s="1" t="s">
        <v>466</v>
      </c>
      <c r="D12449" s="1" t="s">
        <v>232</v>
      </c>
      <c r="E12449" s="1" t="s">
        <v>14233</v>
      </c>
      <c r="F12449" s="1" t="s">
        <v>17549</v>
      </c>
      <c r="G12449" s="1" t="s">
        <v>49</v>
      </c>
      <c r="H12449" s="1" t="s">
        <v>16</v>
      </c>
      <c r="I12449" s="1" t="str">
        <f ca="1">IFERROR(__xludf.DUMMYFUNCTION("GOOGLETRANSLATE(F12449, ""auto"", ""en"")
"),"I bought it two days ago. Complete garbage (made in Turkey)!!!!! The motor rattles, the body is a thin tin (like a tin can) weighs 6 kg!!! I have already set the air duct to 125 mm and wrapped the entire hood body with foam - nothing helps")</f>
        <v>I bought it two days ago. Complete garbage (made in Turkey)!!!!! The motor rattles, the body is a thin tin (like a tin can) weighs 6 kg!!! I have already set the air duct to 125 mm and wrapped the entire hood body with foam - nothing helps</v>
      </c>
    </row>
    <row r="12450" spans="1:9" x14ac:dyDescent="0.3">
      <c r="A12450" s="1" t="s">
        <v>37</v>
      </c>
      <c r="B12450" s="1" t="s">
        <v>536</v>
      </c>
      <c r="C12450" s="1" t="s">
        <v>32</v>
      </c>
      <c r="D12450" s="1" t="s">
        <v>17550</v>
      </c>
      <c r="E12450" s="1" t="s">
        <v>1517</v>
      </c>
      <c r="F12450" s="1" t="s">
        <v>17551</v>
      </c>
      <c r="G12450" s="1" t="s">
        <v>36</v>
      </c>
      <c r="H12450" s="1" t="s">
        <v>29</v>
      </c>
      <c r="I12450" s="1" t="str">
        <f ca="1">IFERROR(__xludf.DUMMYFUNCTION("GOOGLETRANSLATE(F12450, ""auto"", ""en"")
"),"The communicator is cool, as already written, wi-fi is not so important, that’s why I don’t worry about it, I like it.")</f>
        <v>The communicator is cool, as already written, wi-fi is not so important, that’s why I don’t worry about it, I like it.</v>
      </c>
    </row>
    <row r="12451" spans="1:9" x14ac:dyDescent="0.3">
      <c r="A12451" s="1" t="s">
        <v>67</v>
      </c>
      <c r="B12451" s="1" t="s">
        <v>340</v>
      </c>
      <c r="C12451" s="1" t="s">
        <v>1634</v>
      </c>
      <c r="D12451" s="1" t="s">
        <v>2771</v>
      </c>
      <c r="E12451" s="1" t="s">
        <v>8237</v>
      </c>
      <c r="F12451" s="1" t="s">
        <v>17552</v>
      </c>
      <c r="G12451" s="1" t="s">
        <v>36</v>
      </c>
      <c r="H12451" s="1" t="s">
        <v>29</v>
      </c>
      <c r="I12451" s="1" t="str">
        <f ca="1">IFERROR(__xludf.DUMMYFUNCTION("GOOGLETRANSLATE(F12451, ""auto"", ""en"")
"),"Very happy with the car. Excellent functionality of the machine itself, all the necessary stitches. Having purchased a set of patchwork feet, also sold in M.video, I sewed a beautiful blanket myself. I recommend it to anyone just starting to sew.")</f>
        <v>Very happy with the car. Excellent functionality of the machine itself, all the necessary stitches. Having purchased a set of patchwork feet, also sold in M.video, I sewed a beautiful blanket myself. I recommend it to anyone just starting to sew.</v>
      </c>
    </row>
    <row r="12452" spans="1:9" x14ac:dyDescent="0.3">
      <c r="A12452" s="1" t="s">
        <v>811</v>
      </c>
      <c r="B12452" s="1" t="s">
        <v>1599</v>
      </c>
      <c r="C12452" s="1" t="s">
        <v>1851</v>
      </c>
      <c r="D12452" s="1" t="s">
        <v>568</v>
      </c>
      <c r="E12452" s="1" t="s">
        <v>2593</v>
      </c>
      <c r="F12452" s="1" t="s">
        <v>17553</v>
      </c>
      <c r="G12452" s="1" t="s">
        <v>36</v>
      </c>
      <c r="H12452" s="1" t="s">
        <v>29</v>
      </c>
      <c r="I12452" s="1" t="str">
        <f ca="1">IFERROR(__xludf.DUMMYFUNCTION("GOOGLETRANSLATE(F12452, ""auto"", ""en"")
"),"Hi all!  Maybe someone will be interested in this review.  I purchased a Lowepro SlingShot 202AW Black backpack for a Canon 7D camera.  The thing is just cool! The camera fit like it belonged to me. A huge presence of all kinds of pockets and compartments"&amp;". There is also a rain cover, which has saved my handsome boy from water more than once!!!   Fits everything: camera, flash, extra. lens, charging, a bunch of wires, there is a mount for a tripod on the outside and so much free space.  It sits very comfor"&amp;"tably on the back, the lock on the chest so that there is no shaking, you can turn it from the back to the chest and easily pull out the camera for shooting.  In general, I recommend!!!  Happy shopping!  Bye.")</f>
        <v>Hi all!  Maybe someone will be interested in this review.  I purchased a Lowepro SlingShot 202AW Black backpack for a Canon 7D camera.  The thing is just cool! The camera fit like it belonged to me. A huge presence of all kinds of pockets and compartments. There is also a rain cover, which has saved my handsome boy from water more than once!!!   Fits everything: camera, flash, extra. lens, charging, a bunch of wires, there is a mount for a tripod on the outside and so much free space.  It sits very comfortably on the back, the lock on the chest so that there is no shaking, you can turn it from the back to the chest and easily pull out the camera for shooting.  In general, I recommend!!!  Happy shopping!  Bye.</v>
      </c>
    </row>
    <row r="12453" spans="1:9" x14ac:dyDescent="0.3">
      <c r="A12453" s="1" t="s">
        <v>206</v>
      </c>
      <c r="B12453" s="1" t="s">
        <v>1349</v>
      </c>
      <c r="C12453" s="1" t="s">
        <v>351</v>
      </c>
      <c r="D12453" s="1" t="s">
        <v>4551</v>
      </c>
      <c r="E12453" s="1" t="s">
        <v>3454</v>
      </c>
      <c r="F12453" s="1" t="s">
        <v>17554</v>
      </c>
      <c r="G12453" s="1" t="s">
        <v>28</v>
      </c>
      <c r="H12453" s="1" t="s">
        <v>29</v>
      </c>
      <c r="I12453" s="1" t="str">
        <f ca="1">IFERROR(__xludf.DUMMYFUNCTION("GOOGLETRANSLATE(F12453, ""auto"", ""en"")
"),"I installed the radio yesterday, the sound is normal, but there is a strange clattering sound at low volume. and don’t forget to unscrew the two screws on top of the radio when installing.")</f>
        <v>I installed the radio yesterday, the sound is normal, but there is a strange clattering sound at low volume. and don’t forget to unscrew the two screws on top of the radio when installing.</v>
      </c>
    </row>
    <row r="12454" spans="1:9" x14ac:dyDescent="0.3">
      <c r="A12454" s="1" t="s">
        <v>61</v>
      </c>
      <c r="B12454" s="1" t="s">
        <v>145</v>
      </c>
      <c r="C12454" s="1" t="s">
        <v>246</v>
      </c>
      <c r="D12454" s="1" t="s">
        <v>592</v>
      </c>
      <c r="E12454" s="1" t="s">
        <v>983</v>
      </c>
      <c r="F12454" s="1" t="s">
        <v>17555</v>
      </c>
      <c r="G12454" s="1" t="s">
        <v>36</v>
      </c>
      <c r="H12454" s="1" t="s">
        <v>29</v>
      </c>
      <c r="I12454" s="1" t="str">
        <f ca="1">IFERROR(__xludf.DUMMYFUNCTION("GOOGLETRANSLATE(F12454, ""auto"", ""en"")
"),"I hate baking pancakes, but here everything is simple - I put it on the table, sat on a chair and sit and watch TV and turn it over. The child is delighted with the small pancakes. Regarding washing, take Fairy on a sponge, yes, you will have to rub it a "&amp;"little, but the main thing is immediately after it has cooled down. In terms of storage, this is a minus. I have space outside the kitchen to store it sideways. But also, only one surface is attached, and the second is simply put on the heating coil. But "&amp;"now I make pancakes so often that I don’t move the pancake maker far away. Another option is to store it in the refrigerator. So, for those who have children and who do not need to go on a diet, I RECOMMEND!!!")</f>
        <v>I hate baking pancakes, but here everything is simple - I put it on the table, sat on a chair and sit and watch TV and turn it over. The child is delighted with the small pancakes. Regarding washing, take Fairy on a sponge, yes, you will have to rub it a little, but the main thing is immediately after it has cooled down. In terms of storage, this is a minus. I have space outside the kitchen to store it sideways. But also, only one surface is attached, and the second is simply put on the heating coil. But now I make pancakes so often that I don’t move the pancake maker far away. Another option is to store it in the refrigerator. So, for those who have children and who do not need to go on a diet, I RECOMMEND!!!</v>
      </c>
    </row>
    <row r="12455" spans="1:9" x14ac:dyDescent="0.3">
      <c r="A12455" s="1" t="s">
        <v>43</v>
      </c>
      <c r="B12455" s="1" t="s">
        <v>303</v>
      </c>
      <c r="C12455" s="1" t="s">
        <v>220</v>
      </c>
      <c r="D12455" s="1" t="s">
        <v>20</v>
      </c>
      <c r="E12455" s="1" t="s">
        <v>201</v>
      </c>
      <c r="F12455" s="1" t="s">
        <v>17556</v>
      </c>
      <c r="G12455" s="1" t="s">
        <v>49</v>
      </c>
      <c r="H12455" s="1" t="s">
        <v>16</v>
      </c>
      <c r="I12455" s="1" t="str">
        <f ca="1">IFERROR(__xludf.DUMMYFUNCTION("GOOGLETRANSLATE(F12455, ""auto"", ""en"")
"),"hung it on the wall, filled with water and flowed from all the cracks. and I'm not the only one.")</f>
        <v>hung it on the wall, filled with water and flowed from all the cracks. and I'm not the only one.</v>
      </c>
    </row>
    <row r="12456" spans="1:9" x14ac:dyDescent="0.3">
      <c r="A12456" s="1" t="s">
        <v>211</v>
      </c>
      <c r="B12456" s="1" t="s">
        <v>212</v>
      </c>
      <c r="C12456" s="1" t="s">
        <v>381</v>
      </c>
      <c r="D12456" s="1" t="s">
        <v>295</v>
      </c>
      <c r="E12456" s="1" t="s">
        <v>214</v>
      </c>
      <c r="F12456" s="1" t="s">
        <v>17557</v>
      </c>
      <c r="G12456" s="1" t="s">
        <v>36</v>
      </c>
      <c r="H12456" s="1" t="s">
        <v>29</v>
      </c>
      <c r="I12456" s="1" t="str">
        <f ca="1">IFERROR(__xludf.DUMMYFUNCTION("GOOGLETRANSLATE(F12456, ""auto"", ""en"")
"),"Excellent device, light and easy to use. Despite the low price, it straightens hair much better than even more expensive models. At the same time, the hair remains smooth for a long time, even in humid weather. I'm very pleased with them!")</f>
        <v>Excellent device, light and easy to use. Despite the low price, it straightens hair much better than even more expensive models. At the same time, the hair remains smooth for a long time, even in humid weather. I'm very pleased with them!</v>
      </c>
    </row>
    <row r="12457" spans="1:9" x14ac:dyDescent="0.3">
      <c r="A12457" s="1" t="s">
        <v>211</v>
      </c>
      <c r="B12457" s="1" t="s">
        <v>265</v>
      </c>
      <c r="C12457" s="1" t="s">
        <v>266</v>
      </c>
      <c r="D12457" s="1" t="s">
        <v>17558</v>
      </c>
      <c r="E12457" s="1" t="s">
        <v>1463</v>
      </c>
      <c r="F12457" s="1" t="s">
        <v>17559</v>
      </c>
      <c r="G12457" s="1" t="s">
        <v>36</v>
      </c>
      <c r="H12457" s="1" t="s">
        <v>29</v>
      </c>
      <c r="I12457" s="1" t="str">
        <f ca="1">IFERROR(__xludf.DUMMYFUNCTION("GOOGLETRANSLATE(F12457, ""auto"", ""en"")
"),"An excellent product, it performs its functions efficiently and safely. Take it, you won't regret it.")</f>
        <v>An excellent product, it performs its functions efficiently and safely. Take it, you won't regret it.</v>
      </c>
    </row>
    <row r="12458" spans="1:9" x14ac:dyDescent="0.3">
      <c r="A12458" s="1" t="s">
        <v>61</v>
      </c>
      <c r="B12458" s="1" t="s">
        <v>434</v>
      </c>
      <c r="C12458" s="1" t="s">
        <v>101</v>
      </c>
      <c r="D12458" s="1" t="s">
        <v>295</v>
      </c>
      <c r="E12458" s="1" t="s">
        <v>1601</v>
      </c>
      <c r="F12458" s="1" t="s">
        <v>17560</v>
      </c>
      <c r="G12458" s="1" t="s">
        <v>36</v>
      </c>
      <c r="H12458" s="1" t="s">
        <v>29</v>
      </c>
      <c r="I12458" s="1" t="str">
        <f ca="1">IFERROR(__xludf.DUMMYFUNCTION("GOOGLETRANSLATE(F12458, ""auto"", ""en"")
"),"I would say that this is more likely not a “mini-oven”, but a roaster. However, due to the price and size, it is clear that chicken or duck cannot be baked there. But for breakfast it’s simply a great option. You can very quickly make a batch of hot sandw"&amp;"iches or hot cheese, for example. It’s also very tasty to heat croissants in it - they turn out so crispy, it’s simply a delight.")</f>
        <v>I would say that this is more likely not a “mini-oven”, but a roaster. However, due to the price and size, it is clear that chicken or duck cannot be baked there. But for breakfast it’s simply a great option. You can very quickly make a batch of hot sandwiches or hot cheese, for example. It’s also very tasty to heat croissants in it - they turn out so crispy, it’s simply a delight.</v>
      </c>
    </row>
    <row r="12459" spans="1:9" x14ac:dyDescent="0.3">
      <c r="A12459" s="1" t="s">
        <v>30</v>
      </c>
      <c r="B12459" s="1" t="s">
        <v>31</v>
      </c>
      <c r="C12459" s="1" t="s">
        <v>32</v>
      </c>
      <c r="D12459" s="1" t="s">
        <v>200</v>
      </c>
      <c r="E12459" s="1" t="s">
        <v>500</v>
      </c>
      <c r="F12459" s="1" t="s">
        <v>17561</v>
      </c>
      <c r="G12459" s="1" t="s">
        <v>49</v>
      </c>
      <c r="H12459" s="1" t="s">
        <v>16</v>
      </c>
      <c r="I12459" s="1" t="str">
        <f ca="1">IFERROR(__xludf.DUMMYFUNCTION("GOOGLETRANSLATE(F12459, ""auto"", ""en"")
"),"It hasn't been working for another month, and already it says that the hard drive is not working well! Damaged!")</f>
        <v>It hasn't been working for another month, and already it says that the hard drive is not working well! Damaged!</v>
      </c>
    </row>
    <row r="12460" spans="1:9" x14ac:dyDescent="0.3">
      <c r="A12460" s="1" t="s">
        <v>61</v>
      </c>
      <c r="B12460" s="1" t="s">
        <v>318</v>
      </c>
      <c r="C12460" s="1" t="s">
        <v>246</v>
      </c>
      <c r="D12460" s="1" t="s">
        <v>39</v>
      </c>
      <c r="E12460" s="1" t="s">
        <v>7460</v>
      </c>
      <c r="F12460" s="1" t="s">
        <v>17562</v>
      </c>
      <c r="G12460" s="1" t="s">
        <v>28</v>
      </c>
      <c r="H12460" s="1" t="s">
        <v>29</v>
      </c>
      <c r="I12460" s="1" t="str">
        <f ca="1">IFERROR(__xludf.DUMMYFUNCTION("GOOGLETRANSLATE(F12460, ""auto"", ""en"")
"),"No plastic smell.")</f>
        <v>No plastic smell.</v>
      </c>
    </row>
    <row r="12461" spans="1:9" x14ac:dyDescent="0.3">
      <c r="A12461" s="1" t="s">
        <v>78</v>
      </c>
      <c r="B12461" s="1" t="s">
        <v>79</v>
      </c>
      <c r="C12461" s="1" t="s">
        <v>80</v>
      </c>
      <c r="D12461" s="1" t="s">
        <v>33</v>
      </c>
      <c r="E12461" s="1" t="s">
        <v>2110</v>
      </c>
      <c r="F12461" s="1" t="s">
        <v>17563</v>
      </c>
      <c r="G12461" s="1" t="s">
        <v>49</v>
      </c>
      <c r="H12461" s="1" t="s">
        <v>16</v>
      </c>
      <c r="I12461" s="1" t="str">
        <f ca="1">IFERROR(__xludf.DUMMYFUNCTION("GOOGLETRANSLATE(F12461, ""auto"", ""en"")
"),"We bought this stove over a year ago. We took it because of its volume. We actually used it for a couple of months. And the number of inclusions can be counted on one hand. The rest of the time the microwave was under repair. As soon as you press the butt"&amp;"on to open the door, it burns out. The service department said that the fuse was blowing. But I won’t have to take the stove to service all over Moscow every time because of the fuse (by the way, it’s 15A! That means the current there is not sour and blow"&amp;"s it out). In short, this bedside table is a dead weight. I think that if I head towards the LG representative office, I’ll take it and throw it in front of their door. I don't need that quality.")</f>
        <v>We bought this stove over a year ago. We took it because of its volume. We actually used it for a couple of months. And the number of inclusions can be counted on one hand. The rest of the time the microwave was under repair. As soon as you press the button to open the door, it burns out. The service department said that the fuse was blowing. But I won’t have to take the stove to service all over Moscow every time because of the fuse (by the way, it’s 15A! That means the current there is not sour and blows it out). In short, this bedside table is a dead weight. I think that if I head towards the LG representative office, I’ll take it and throw it in front of their door. I don't need that quality.</v>
      </c>
    </row>
    <row r="12462" spans="1:9" x14ac:dyDescent="0.3">
      <c r="A12462" s="1" t="s">
        <v>95</v>
      </c>
      <c r="B12462" s="1" t="s">
        <v>486</v>
      </c>
      <c r="C12462" s="1" t="s">
        <v>487</v>
      </c>
      <c r="D12462" s="1" t="s">
        <v>232</v>
      </c>
      <c r="E12462" s="1" t="s">
        <v>320</v>
      </c>
      <c r="F12462" s="1" t="s">
        <v>17564</v>
      </c>
      <c r="G12462" s="1" t="s">
        <v>36</v>
      </c>
      <c r="H12462" s="1" t="s">
        <v>29</v>
      </c>
      <c r="I12462" s="1" t="str">
        <f ca="1">IFERROR(__xludf.DUMMYFUNCTION("GOOGLETRANSLATE(F12462, ""auto"", ""en"")
"),"I bought it today! I’m very pleased with this set! I'm especially pleased with the kinect! Now with the xbox connection it has become a real family console!")</f>
        <v>I bought it today! I’m very pleased with this set! I'm especially pleased with the kinect! Now with the xbox connection it has become a real family console!</v>
      </c>
    </row>
    <row r="12463" spans="1:9" x14ac:dyDescent="0.3">
      <c r="A12463" s="1" t="s">
        <v>206</v>
      </c>
      <c r="B12463" s="1" t="s">
        <v>207</v>
      </c>
      <c r="C12463" s="1" t="s">
        <v>152</v>
      </c>
      <c r="D12463" s="1" t="s">
        <v>152</v>
      </c>
      <c r="E12463" s="1" t="s">
        <v>1553</v>
      </c>
      <c r="F12463" s="1" t="s">
        <v>17565</v>
      </c>
      <c r="G12463" s="1" t="s">
        <v>36</v>
      </c>
      <c r="H12463" s="1" t="s">
        <v>29</v>
      </c>
      <c r="I12463" s="1" t="str">
        <f ca="1">IFERROR(__xludf.DUMMYFUNCTION("GOOGLETRANSLATE(F12463, ""auto"", ""en"")
"),"The village is a super test for him!!!! The front speakers are powered and the sub axle pumps so much that it tears the car apart! +5")</f>
        <v>The village is a super test for him!!!! The front speakers are powered and the sub axle pumps so much that it tears the car apart! +5</v>
      </c>
    </row>
    <row r="12464" spans="1:9" x14ac:dyDescent="0.3">
      <c r="A12464" s="1" t="s">
        <v>149</v>
      </c>
      <c r="B12464" s="1" t="s">
        <v>576</v>
      </c>
      <c r="C12464" s="1" t="s">
        <v>69</v>
      </c>
      <c r="D12464" s="1" t="s">
        <v>345</v>
      </c>
      <c r="E12464" s="1" t="s">
        <v>16781</v>
      </c>
      <c r="F12464" s="1" t="s">
        <v>17566</v>
      </c>
      <c r="G12464" s="1" t="s">
        <v>36</v>
      </c>
      <c r="H12464" s="1" t="s">
        <v>29</v>
      </c>
      <c r="I12464" s="1" t="str">
        <f ca="1">IFERROR(__xludf.DUMMYFUNCTION("GOOGLETRANSLATE(F12464, ""auto"", ""en"")
"),"There is no better vacuum cleaner! thanks to the store consultants! 500 aero-watts is the Maximum suction power and at the same time it is very QUIET, although I didn’t think that vacuum cleaners were QUIET.")</f>
        <v>There is no better vacuum cleaner! thanks to the store consultants! 500 aero-watts is the Maximum suction power and at the same time it is very QUIET, although I didn’t think that vacuum cleaners were QUIET.</v>
      </c>
    </row>
    <row r="12465" spans="1:9" x14ac:dyDescent="0.3">
      <c r="A12465" s="1" t="s">
        <v>43</v>
      </c>
      <c r="B12465" s="1" t="s">
        <v>1616</v>
      </c>
      <c r="C12465" s="1" t="s">
        <v>85</v>
      </c>
      <c r="D12465" s="1" t="s">
        <v>305</v>
      </c>
      <c r="E12465" s="1" t="s">
        <v>17567</v>
      </c>
      <c r="F12465" s="1" t="s">
        <v>17568</v>
      </c>
      <c r="G12465" s="1" t="s">
        <v>36</v>
      </c>
      <c r="H12465" s="1" t="s">
        <v>29</v>
      </c>
      <c r="I12465" s="1" t="str">
        <f ca="1">IFERROR(__xludf.DUMMYFUNCTION("GOOGLETRANSLATE(F12465, ""auto"", ""en"")
"),"Compact, transportable, convenient remote control, memory function")</f>
        <v>Compact, transportable, convenient remote control, memory function</v>
      </c>
    </row>
    <row r="12466" spans="1:9" x14ac:dyDescent="0.3">
      <c r="A12466" s="1" t="s">
        <v>120</v>
      </c>
      <c r="B12466" s="1" t="s">
        <v>121</v>
      </c>
      <c r="C12466" s="1" t="s">
        <v>122</v>
      </c>
      <c r="D12466" s="1" t="s">
        <v>52</v>
      </c>
      <c r="E12466" s="1" t="s">
        <v>508</v>
      </c>
      <c r="F12466" s="1" t="s">
        <v>17569</v>
      </c>
      <c r="G12466" s="1" t="s">
        <v>28</v>
      </c>
      <c r="H12466" s="1" t="s">
        <v>29</v>
      </c>
      <c r="I12466" s="1" t="str">
        <f ca="1">IFERROR(__xludf.DUMMYFUNCTION("GOOGLETRANSLATE(F12466, ""auto"", ""en"")
"),"In operation since January 2011. As a TV it is excellent, but as an additional device for watching videos of various formats via USB it is very weak.")</f>
        <v>In operation since January 2011. As a TV it is excellent, but as an additional device for watching videos of various formats via USB it is very weak.</v>
      </c>
    </row>
    <row r="12467" spans="1:9" x14ac:dyDescent="0.3">
      <c r="A12467" s="1" t="s">
        <v>211</v>
      </c>
      <c r="B12467" s="1" t="s">
        <v>212</v>
      </c>
      <c r="C12467" s="1" t="s">
        <v>57</v>
      </c>
      <c r="D12467" s="1" t="s">
        <v>64</v>
      </c>
      <c r="E12467" s="1" t="s">
        <v>1463</v>
      </c>
      <c r="F12467" s="1" t="s">
        <v>17570</v>
      </c>
      <c r="G12467" s="1" t="s">
        <v>49</v>
      </c>
      <c r="H12467" s="1" t="s">
        <v>16</v>
      </c>
      <c r="I12467" s="1" t="str">
        <f ca="1">IFERROR(__xludf.DUMMYFUNCTION("GOOGLETRANSLATE(F12467, ""auto"", ""en"")
"),"One time is enough! On the second, the hairdryer heats up, but the air does not blow. I had to return it.")</f>
        <v>One time is enough! On the second, the hairdryer heats up, but the air does not blow. I had to return it.</v>
      </c>
    </row>
    <row r="12468" spans="1:9" x14ac:dyDescent="0.3">
      <c r="A12468" s="1" t="s">
        <v>211</v>
      </c>
      <c r="B12468" s="1" t="s">
        <v>265</v>
      </c>
      <c r="C12468" s="1" t="s">
        <v>122</v>
      </c>
      <c r="D12468" s="1" t="s">
        <v>295</v>
      </c>
      <c r="E12468" s="1" t="s">
        <v>3361</v>
      </c>
      <c r="F12468" s="1" t="s">
        <v>17571</v>
      </c>
      <c r="G12468" s="1" t="s">
        <v>36</v>
      </c>
      <c r="H12468" s="1" t="s">
        <v>29</v>
      </c>
      <c r="I12468" s="1" t="str">
        <f ca="1">IFERROR(__xludf.DUMMYFUNCTION("GOOGLETRANSLATE(F12468, ""auto"", ""en"")
"),"I bought it in March 2016 for my husband as a gift. Approved. Uses it every week. The trimmer works great. We recommend.")</f>
        <v>I bought it in March 2016 for my husband as a gift. Approved. Uses it every week. The trimmer works great. We recommend.</v>
      </c>
    </row>
    <row r="12469" spans="1:9" x14ac:dyDescent="0.3">
      <c r="A12469" s="1" t="s">
        <v>61</v>
      </c>
      <c r="B12469" s="1" t="s">
        <v>318</v>
      </c>
      <c r="C12469" s="1" t="s">
        <v>246</v>
      </c>
      <c r="D12469" s="1" t="s">
        <v>81</v>
      </c>
      <c r="E12469" s="1" t="s">
        <v>11483</v>
      </c>
      <c r="F12469" s="1" t="s">
        <v>17572</v>
      </c>
      <c r="G12469" s="1" t="s">
        <v>28</v>
      </c>
      <c r="H12469" s="1" t="s">
        <v>29</v>
      </c>
      <c r="I12469" s="1" t="str">
        <f ca="1">IFERROR(__xludf.DUMMYFUNCTION("GOOGLETRANSLATE(F12469, ""auto"", ""en"")
"),"This kettle worked for about 6 years. But today, before that I had not paid attention to one of the sides of the kettle, the plastic indicator insert became cloudy. When I tried to clean it, the plastic began to crumble.")</f>
        <v>This kettle worked for about 6 years. But today, before that I had not paid attention to one of the sides of the kettle, the plastic indicator insert became cloudy. When I tried to clean it, the plastic began to crumble.</v>
      </c>
    </row>
    <row r="12470" spans="1:9" x14ac:dyDescent="0.3">
      <c r="A12470" s="1" t="s">
        <v>9</v>
      </c>
      <c r="B12470" s="1" t="s">
        <v>23</v>
      </c>
      <c r="C12470" s="1" t="s">
        <v>63</v>
      </c>
      <c r="D12470" s="1" t="s">
        <v>1942</v>
      </c>
      <c r="E12470" s="1" t="s">
        <v>1826</v>
      </c>
      <c r="F12470" s="1" t="s">
        <v>17573</v>
      </c>
      <c r="G12470" s="1" t="s">
        <v>36</v>
      </c>
      <c r="H12470" s="1" t="s">
        <v>29</v>
      </c>
      <c r="I12470" s="1" t="str">
        <f ca="1">IFERROR(__xludf.DUMMYFUNCTION("GOOGLETRANSLATE(F12470, ""auto"", ""en"")
"),"The car exceeded my expectations! Cleans great, no problem. I am simply delighted, and I wish the same for you.")</f>
        <v>The car exceeded my expectations! Cleans great, no problem. I am simply delighted, and I wish the same for you.</v>
      </c>
    </row>
    <row r="12471" spans="1:9" x14ac:dyDescent="0.3">
      <c r="A12471" s="1" t="s">
        <v>30</v>
      </c>
      <c r="B12471" s="1" t="s">
        <v>50</v>
      </c>
      <c r="C12471" s="1" t="s">
        <v>694</v>
      </c>
      <c r="D12471" s="1" t="s">
        <v>1431</v>
      </c>
      <c r="E12471" s="1" t="s">
        <v>1063</v>
      </c>
      <c r="F12471" s="1" t="s">
        <v>17574</v>
      </c>
      <c r="G12471" s="1" t="s">
        <v>36</v>
      </c>
      <c r="H12471" s="1" t="s">
        <v>29</v>
      </c>
      <c r="I12471" s="1" t="str">
        <f ca="1">IFERROR(__xludf.DUMMYFUNCTION("GOOGLETRANSLATE(F12471, ""auto"", ""en"")
"),"I was looking for a laptop/netbook option that would be simply cute, compact, and without any lag, would handle the little frills of the Aero interface in Win7, which I was already accustomed to when working on a desktop computer.    I had experience usin"&amp;"g a netbook with an Atom n270 and built-in Intel graphics - in principle, this configuration works with Aero, but very sluggishly!    After scouring the forums and trying out everything on display that had a price tag of less than 16 kilo rubles, I settle"&amp;"d on the Lenovo S12 VIA Nano.    Before installing the operating system, an additional memory module of two gigabytes was installed (detailed instructions are in the netbook manual).    Installing Win7 was done from an external DVD drive, the process take"&amp;"s about thirty minutes.  Almost all of the drivers were detected and installed automatically, with the exception of the video card and power management system (they are easy to find on the official Lenovo website).    As expected, faster graphics and proc"&amp;"essor (compared to the Atom n270 platform) allow you to work comfortably on a computer with all the visual frills.    The lifespan from a standard 3-cell battery, with WiFi turned on and average screen brightness, is 1.5 hours or more.   (If you need more"&amp;" autonomy, you can buy a 9-cell battery for ~50 USD with delivery).    An additional two-gigabyte memory module takes up one and a half watts, but it also ensures less frequent access to the hard drive and also allows you to do without a swap file.    Off"&amp;"ice, mail and other non-game software work fine.   That's what was required :) To sum it up: + Excellent screen (size, brightness and contrast) + Very decent keyboard + Excellent (for netbooks) performance in Win7 Aero + Decent appearance + Availability o"&amp;"f an Express Card slot (for example, for a 3G modem or SSD) + Reasonable price +- Little-known processor and video card +- Moderate noise of the cooling system under load - Longer operating time is desirable battery")</f>
        <v>I was looking for a laptop/netbook option that would be simply cute, compact, and without any lag, would handle the little frills of the Aero interface in Win7, which I was already accustomed to when working on a desktop computer.    I had experience using a netbook with an Atom n270 and built-in Intel graphics - in principle, this configuration works with Aero, but very sluggishly!    After scouring the forums and trying out everything on display that had a price tag of less than 16 kilo rubles, I settled on the Lenovo S12 VIA Nano.    Before installing the operating system, an additional memory module of two gigabytes was installed (detailed instructions are in the netbook manual).    Installing Win7 was done from an external DVD drive, the process takes about thirty minutes.  Almost all of the drivers were detected and installed automatically, with the exception of the video card and power management system (they are easy to find on the official Lenovo website).    As expected, faster graphics and processor (compared to the Atom n270 platform) allow you to work comfortably on a computer with all the visual frills.    The lifespan from a standard 3-cell battery, with WiFi turned on and average screen brightness, is 1.5 hours or more.   (If you need more autonomy, you can buy a 9-cell battery for ~50 USD with delivery).    An additional two-gigabyte memory module takes up one and a half watts, but it also ensures less frequent access to the hard drive and also allows you to do without a swap file.    Office, mail and other non-game software work fine.   That's what was required :) To sum it up: + Excellent screen (size, brightness and contrast) + Very decent keyboard + Excellent (for netbooks) performance in Win7 Aero + Decent appearance + Availability of an Express Card slot (for example, for a 3G modem or SSD) + Reasonable price +- Little-known processor and video card +- Moderate noise of the cooling system under load - Longer operating time is desirable battery</v>
      </c>
    </row>
    <row r="12472" spans="1:9" x14ac:dyDescent="0.3">
      <c r="A12472" s="1" t="s">
        <v>120</v>
      </c>
      <c r="B12472" s="1" t="s">
        <v>121</v>
      </c>
      <c r="C12472" s="1" t="s">
        <v>151</v>
      </c>
      <c r="D12472" s="1" t="s">
        <v>568</v>
      </c>
      <c r="E12472" s="1" t="s">
        <v>3537</v>
      </c>
      <c r="F12472" s="1" t="s">
        <v>17575</v>
      </c>
      <c r="G12472" s="1" t="s">
        <v>15</v>
      </c>
      <c r="H12472" s="1" t="s">
        <v>16</v>
      </c>
      <c r="I12472" s="1" t="str">
        <f ca="1">IFERROR(__xludf.DUMMYFUNCTION("GOOGLETRANSLATE(F12472, ""auto"", ""en"")
"),"I bought it a week ago. After 2-3 hours of operating the TV, the picture deteriorates, interference appears, and colors change. I turn it off, turn it on again - everything is fine. It may be a single defect, of course, but the unpleasant aftertaste remai"&amp;"ns. In short, made in Russia, it paid off :-)")</f>
        <v>I bought it a week ago. After 2-3 hours of operating the TV, the picture deteriorates, interference appears, and colors change. I turn it off, turn it on again - everything is fine. It may be a single defect, of course, but the unpleasant aftertaste remains. In short, made in Russia, it paid off :-)</v>
      </c>
    </row>
    <row r="12473" spans="1:9" x14ac:dyDescent="0.3">
      <c r="A12473" s="1" t="s">
        <v>206</v>
      </c>
      <c r="B12473" s="1" t="s">
        <v>207</v>
      </c>
      <c r="C12473" s="1" t="s">
        <v>1143</v>
      </c>
      <c r="D12473" s="1" t="s">
        <v>1391</v>
      </c>
      <c r="E12473" s="1" t="s">
        <v>418</v>
      </c>
      <c r="F12473" s="1" t="s">
        <v>17576</v>
      </c>
      <c r="G12473" s="1" t="s">
        <v>36</v>
      </c>
      <c r="H12473" s="1" t="s">
        <v>29</v>
      </c>
      <c r="I12473" s="1" t="str">
        <f ca="1">IFERROR(__xludf.DUMMYFUNCTION("GOOGLETRANSLATE(F12473, ""auto"", ""en"")
"),"The sub is just a beast, I heard the hair on my head move in the store, in a car with a small volume of gas, the 3110 is just pleasant and I don’t want to go out, the bass can be heard 10 meters away, I want to improve the sound insulation for more effect"&amp;"ive listening. =)")</f>
        <v>The sub is just a beast, I heard the hair on my head move in the store, in a car with a small volume of gas, the 3110 is just pleasant and I don’t want to go out, the bass can be heard 10 meters away, I want to improve the sound insulation for more effective listening. =)</v>
      </c>
    </row>
    <row r="12474" spans="1:9" x14ac:dyDescent="0.3">
      <c r="A12474" s="1" t="s">
        <v>67</v>
      </c>
      <c r="B12474" s="1" t="s">
        <v>68</v>
      </c>
      <c r="C12474" s="1" t="s">
        <v>246</v>
      </c>
      <c r="D12474" s="1" t="s">
        <v>5491</v>
      </c>
      <c r="E12474" s="1" t="s">
        <v>17577</v>
      </c>
      <c r="F12474" s="1" t="s">
        <v>17578</v>
      </c>
      <c r="G12474" s="1" t="s">
        <v>94</v>
      </c>
      <c r="H12474" s="1" t="s">
        <v>29</v>
      </c>
      <c r="I12474" s="1" t="str">
        <f ca="1">IFERROR(__xludf.DUMMYFUNCTION("GOOGLETRANSLATE(F12474, ""auto"", ""en"")
"),"1. Heats up quickly")</f>
        <v>1. Heats up quickly</v>
      </c>
    </row>
    <row r="12475" spans="1:9" x14ac:dyDescent="0.3">
      <c r="A12475" s="1" t="s">
        <v>30</v>
      </c>
      <c r="B12475" s="1" t="s">
        <v>50</v>
      </c>
      <c r="C12475" s="1" t="s">
        <v>51</v>
      </c>
      <c r="D12475" s="1" t="s">
        <v>139</v>
      </c>
      <c r="E12475" s="1" t="s">
        <v>357</v>
      </c>
      <c r="F12475" s="1" t="s">
        <v>17579</v>
      </c>
      <c r="G12475" s="1" t="s">
        <v>36</v>
      </c>
      <c r="H12475" s="1" t="s">
        <v>29</v>
      </c>
      <c r="I12475" s="1" t="str">
        <f ca="1">IFERROR(__xludf.DUMMYFUNCTION("GOOGLETRANSLATE(F12475, ""auto"", ""en"")
"),"The device is good, very nice design, quite fast, no overheating. It won’t work for cool games, but it’s good for FIFA and NHL! In general, 14"" is not bought for games. I give it a solid 5, it satisfied my needs for that kind of money. Buy with confidenc"&amp;"e.")</f>
        <v>The device is good, very nice design, quite fast, no overheating. It won’t work for cool games, but it’s good for FIFA and NHL! In general, 14" is not bought for games. I give it a solid 5, it satisfied my needs for that kind of money. Buy with confidence.</v>
      </c>
    </row>
    <row r="12476" spans="1:9" x14ac:dyDescent="0.3">
      <c r="A12476" s="1" t="s">
        <v>17</v>
      </c>
      <c r="B12476" s="1" t="s">
        <v>18</v>
      </c>
      <c r="C12476" s="1" t="s">
        <v>277</v>
      </c>
      <c r="D12476" s="1" t="s">
        <v>52</v>
      </c>
      <c r="E12476" s="1" t="s">
        <v>128</v>
      </c>
      <c r="F12476" s="1" t="s">
        <v>17580</v>
      </c>
      <c r="G12476" s="1" t="s">
        <v>28</v>
      </c>
      <c r="H12476" s="1" t="s">
        <v>29</v>
      </c>
      <c r="I12476" s="1" t="str">
        <f ca="1">IFERROR(__xludf.DUMMYFUNCTION("GOOGLETRANSLATE(F12476, ""auto"", ""en"")
"),"Just bought the machine today, it’s worth the money, so far the only complaints are few, these are the temperature and spin knobs without a clear position")</f>
        <v>Just bought the machine today, it’s worth the money, so far the only complaints are few, these are the temperature and spin knobs without a clear position</v>
      </c>
    </row>
    <row r="12477" spans="1:9" x14ac:dyDescent="0.3">
      <c r="A12477" s="1" t="s">
        <v>17</v>
      </c>
      <c r="B12477" s="1" t="s">
        <v>18</v>
      </c>
      <c r="C12477" s="1" t="s">
        <v>19</v>
      </c>
      <c r="D12477" s="1" t="s">
        <v>1176</v>
      </c>
      <c r="E12477" s="1" t="s">
        <v>5011</v>
      </c>
      <c r="F12477" s="1" t="s">
        <v>17581</v>
      </c>
      <c r="G12477" s="1" t="s">
        <v>49</v>
      </c>
      <c r="H12477" s="1" t="s">
        <v>16</v>
      </c>
      <c r="I12477" s="1" t="str">
        <f ca="1">IFERROR(__xludf.DUMMYFUNCTION("GOOGLETRANSLATE(F12477, ""auto"", ""en"")
"),"After three months of use, programs begin to reset!!! Or freezes in the middle of the process!!! A complete shutdown temporarily eliminates the problem!!! As a result, she simply opened the water in spin mode at 1000 rpm, opened the door lock and drowned "&amp;"the entire apartment!!! I already choked on my tea!!!!!!")</f>
        <v>After three months of use, programs begin to reset!!! Or freezes in the middle of the process!!! A complete shutdown temporarily eliminates the problem!!! As a result, she simply opened the water in spin mode at 1000 rpm, opened the door lock and drowned the entire apartment!!! I already choked on my tea!!!!!!</v>
      </c>
    </row>
    <row r="12478" spans="1:9" x14ac:dyDescent="0.3">
      <c r="A12478" s="1" t="s">
        <v>78</v>
      </c>
      <c r="B12478" s="1" t="s">
        <v>493</v>
      </c>
      <c r="C12478" s="1" t="s">
        <v>80</v>
      </c>
      <c r="D12478" s="1" t="s">
        <v>896</v>
      </c>
      <c r="E12478" s="1" t="s">
        <v>3004</v>
      </c>
      <c r="F12478" s="1" t="s">
        <v>17582</v>
      </c>
      <c r="G12478" s="1" t="s">
        <v>36</v>
      </c>
      <c r="H12478" s="1" t="s">
        <v>29</v>
      </c>
      <c r="I12478" s="1" t="str">
        <f ca="1">IFERROR(__xludf.DUMMYFUNCTION("GOOGLETRANSLATE(F12478, ""auto"", ""en"")
"),"Great working microwave! It has been serving for quite a long time - no complaints! It heats evenly, and the food, not the plate) I tried cooking on different modes - it turns out delicious, it doesn’t dry out or burn) It’s easy and understandable to oper"&amp;"ate, both young and old will learn without any problems)))")</f>
        <v>Great working microwave! It has been serving for quite a long time - no complaints! It heats evenly, and the food, not the plate) I tried cooking on different modes - it turns out delicious, it doesn’t dry out or burn) It’s easy and understandable to operate, both young and old will learn without any problems)))</v>
      </c>
    </row>
    <row r="12479" spans="1:9" x14ac:dyDescent="0.3">
      <c r="A12479" s="1" t="s">
        <v>1823</v>
      </c>
      <c r="B12479" s="1" t="s">
        <v>1824</v>
      </c>
      <c r="C12479" s="1" t="s">
        <v>1825</v>
      </c>
      <c r="D12479" s="1" t="s">
        <v>203</v>
      </c>
      <c r="E12479" s="1" t="s">
        <v>3616</v>
      </c>
      <c r="F12479" s="1" t="s">
        <v>17583</v>
      </c>
      <c r="G12479" s="1" t="s">
        <v>15</v>
      </c>
      <c r="H12479" s="1" t="s">
        <v>16</v>
      </c>
      <c r="I12479" s="1" t="str">
        <f ca="1">IFERROR(__xludf.DUMMYFUNCTION("GOOGLETRANSLATE(F12479, ""auto"", ""en"")
"),"I bought this board today as the largest one in the store. We brought it home and had to think about how to lay it out. It wobbles a little when ironing. The retractable side shelf bends as soon as you press on it a little. In general, this shelf is not n"&amp;"eeded at all. I’m thinking about going to return it to the store tomorrow.")</f>
        <v>I bought this board today as the largest one in the store. We brought it home and had to think about how to lay it out. It wobbles a little when ironing. The retractable side shelf bends as soon as you press on it a little. In general, this shelf is not needed at all. I’m thinking about going to return it to the store tomorrow.</v>
      </c>
    </row>
    <row r="12480" spans="1:9" x14ac:dyDescent="0.3">
      <c r="A12480" s="1" t="s">
        <v>17</v>
      </c>
      <c r="B12480" s="1" t="s">
        <v>18</v>
      </c>
      <c r="C12480" s="1" t="s">
        <v>243</v>
      </c>
      <c r="D12480" s="1" t="s">
        <v>17584</v>
      </c>
      <c r="E12480" s="1" t="s">
        <v>17585</v>
      </c>
      <c r="F12480" s="1" t="s">
        <v>17586</v>
      </c>
      <c r="G12480" s="1" t="s">
        <v>15</v>
      </c>
      <c r="H12480" s="1" t="s">
        <v>16</v>
      </c>
      <c r="I12480" s="1" t="str">
        <f ca="1">IFERROR(__xludf.DUMMYFUNCTION("GOOGLETRANSLATE(F12480, ""auto"", ""en"")
"),"We bought a car and regretted it. A week later, when washing, error F 06 was displayed, then F 01. We sent it in for repair - the same story. At the end of the wash, F 1 lights up, starts sparkling, blinking, and the door does not open until you unplug it"&amp;".&amp;nbsp;")</f>
        <v>We bought a car and regretted it. A week later, when washing, error F 06 was displayed, then F 01. We sent it in for repair - the same story. At the end of the wash, F 1 lights up, starts sparkling, blinking, and the door does not open until you unplug it.&amp;nbsp;</v>
      </c>
    </row>
    <row r="12481" spans="1:9" x14ac:dyDescent="0.3">
      <c r="A12481" s="1" t="s">
        <v>37</v>
      </c>
      <c r="B12481" s="1" t="s">
        <v>38</v>
      </c>
      <c r="C12481" s="1" t="s">
        <v>39</v>
      </c>
      <c r="D12481" s="1" t="s">
        <v>17587</v>
      </c>
      <c r="E12481" s="1" t="s">
        <v>346</v>
      </c>
      <c r="F12481" s="1" t="s">
        <v>17588</v>
      </c>
      <c r="G12481" s="1" t="s">
        <v>36</v>
      </c>
      <c r="H12481" s="1" t="s">
        <v>29</v>
      </c>
      <c r="I12481" s="1" t="str">
        <f ca="1">IFERROR(__xludf.DUMMYFUNCTION("GOOGLETRANSLATE(F12481, ""auto"", ""en"")
"),"I've been using the phone for almost 3 months and I'm delighted with it. I had my eye on it for a long time, bought it and was not disappointed!    Design - stylish, very beautiful;  The buttons are comfortable, there is no joystick!  The screen is large,"&amp;" you can see everything;  The sound is loud;  Glitches - there are none;  Camera and video are of excellent quality.  --------------------------------------- The only thing that can arise is tiny and simply not significant glitches in his mood :) But we a"&amp;"re still people!   But it doesn't matter! Select these settings again (even if it says that they are already selected), turn off and turn on the phone again.    Happy use and good luck to you Sony Ericsson C510 Black.")</f>
        <v>I've been using the phone for almost 3 months and I'm delighted with it. I had my eye on it for a long time, bought it and was not disappointed!    Design - stylish, very beautiful;  The buttons are comfortable, there is no joystick!  The screen is large, you can see everything;  The sound is loud;  Glitches - there are none;  Camera and video are of excellent quality.  --------------------------------------- The only thing that can arise is tiny and simply not significant glitches in his mood :) But we are still people!   But it doesn't matter! Select these settings again (even if it says that they are already selected), turn off and turn on the phone again.    Happy use and good luck to you Sony Ericsson C510 Black.</v>
      </c>
    </row>
    <row r="12482" spans="1:9" x14ac:dyDescent="0.3">
      <c r="A12482" s="1" t="s">
        <v>369</v>
      </c>
      <c r="B12482" s="1" t="s">
        <v>587</v>
      </c>
      <c r="C12482" s="1" t="s">
        <v>138</v>
      </c>
      <c r="D12482" s="1" t="s">
        <v>474</v>
      </c>
      <c r="E12482" s="1" t="s">
        <v>2162</v>
      </c>
      <c r="F12482" s="1" t="s">
        <v>17589</v>
      </c>
      <c r="G12482" s="1" t="s">
        <v>36</v>
      </c>
      <c r="H12482" s="1" t="s">
        <v>29</v>
      </c>
      <c r="I12482" s="1" t="str">
        <f ca="1">IFERROR(__xludf.DUMMYFUNCTION("GOOGLETRANSLATE(F12482, ""auto"", ""en"")
"),"Hello, Igor!  Regarding not securing the second glass (or rather, securing it with two screws!) and dirt flowing between the glasses.  The inner glass is not fixed intentionally, so that during general cleaning of your stove you can carefully remove this "&amp;"glass and wash everything so that no dirt remains. I usually take the glass to the bath, soak it, and calmly wash the stove. Then I just wipe it with a dry towel and collect it. Like new.")</f>
        <v>Hello, Igor!  Regarding not securing the second glass (or rather, securing it with two screws!) and dirt flowing between the glasses.  The inner glass is not fixed intentionally, so that during general cleaning of your stove you can carefully remove this glass and wash everything so that no dirt remains. I usually take the glass to the bath, soak it, and calmly wash the stove. Then I just wipe it with a dry towel and collect it. Like new.</v>
      </c>
    </row>
    <row r="12483" spans="1:9" x14ac:dyDescent="0.3">
      <c r="A12483" s="1" t="s">
        <v>211</v>
      </c>
      <c r="B12483" s="1" t="s">
        <v>212</v>
      </c>
      <c r="C12483" s="1" t="s">
        <v>69</v>
      </c>
      <c r="D12483" s="1" t="s">
        <v>17590</v>
      </c>
      <c r="E12483" s="1" t="s">
        <v>2916</v>
      </c>
      <c r="F12483" s="1" t="s">
        <v>17591</v>
      </c>
      <c r="G12483" s="1" t="s">
        <v>36</v>
      </c>
      <c r="H12483" s="1" t="s">
        <v>29</v>
      </c>
      <c r="I12483" s="1" t="str">
        <f ca="1">IFERROR(__xludf.DUMMYFUNCTION("GOOGLETRANSLATE(F12483, ""auto"", ""en"")
"),"I liked it. Two very comfortable brushes, the thermal brush removes the bristles and does not get stuck in the hair. It may not be very convenient for very short hair, because... The volume of the brushes is large, and for medium length, I think it’s idea"&amp;"l. I was specifically looking for low power for styling. Cold airflow - yes.")</f>
        <v>I liked it. Two very comfortable brushes, the thermal brush removes the bristles and does not get stuck in the hair. It may not be very convenient for very short hair, because... The volume of the brushes is large, and for medium length, I think it’s ideal. I was specifically looking for low power for styling. Cold airflow - yes.</v>
      </c>
    </row>
    <row r="12484" spans="1:9" x14ac:dyDescent="0.3">
      <c r="A12484" s="1" t="s">
        <v>373</v>
      </c>
      <c r="B12484" s="1" t="s">
        <v>374</v>
      </c>
      <c r="C12484" s="1" t="s">
        <v>134</v>
      </c>
      <c r="D12484" s="1" t="s">
        <v>896</v>
      </c>
      <c r="E12484" s="1" t="s">
        <v>2254</v>
      </c>
      <c r="F12484" s="1" t="s">
        <v>17592</v>
      </c>
      <c r="G12484" s="1" t="s">
        <v>36</v>
      </c>
      <c r="H12484" s="1" t="s">
        <v>29</v>
      </c>
      <c r="I12484" s="1" t="str">
        <f ca="1">IFERROR(__xludf.DUMMYFUNCTION("GOOGLETRANSLATE(F12484, ""auto"", ""en"")
"),"The machine is good, quiet, washes well. It dries the dishes this way, because the type of drying is condensation. But the dishes are still practically dry. And it’s a very good and necessary thing in the house. And it wastes little water.")</f>
        <v>The machine is good, quiet, washes well. It dries the dishes this way, because the type of drying is condensation. But the dishes are still practically dry. And it’s a very good and necessary thing in the house. And it wastes little water.</v>
      </c>
    </row>
    <row r="12485" spans="1:9" x14ac:dyDescent="0.3">
      <c r="A12485" s="1" t="s">
        <v>211</v>
      </c>
      <c r="B12485" s="1" t="s">
        <v>515</v>
      </c>
      <c r="C12485" s="1" t="s">
        <v>69</v>
      </c>
      <c r="D12485" s="1" t="s">
        <v>385</v>
      </c>
      <c r="E12485" s="1" t="s">
        <v>2360</v>
      </c>
      <c r="F12485" s="1" t="s">
        <v>17593</v>
      </c>
      <c r="G12485" s="1" t="s">
        <v>36</v>
      </c>
      <c r="H12485" s="1" t="s">
        <v>29</v>
      </c>
      <c r="I12485" s="1" t="str">
        <f ca="1">IFERROR(__xludf.DUMMYFUNCTION("GOOGLETRANSLATE(F12485, ""auto"", ""en"")
"),"I really liked the epilator, it captures almost all the hairs.")</f>
        <v>I really liked the epilator, it captures almost all the hairs.</v>
      </c>
    </row>
    <row r="12486" spans="1:9" x14ac:dyDescent="0.3">
      <c r="A12486" s="1" t="s">
        <v>67</v>
      </c>
      <c r="B12486" s="1" t="s">
        <v>68</v>
      </c>
      <c r="C12486" s="1" t="s">
        <v>69</v>
      </c>
      <c r="D12486" s="1" t="s">
        <v>545</v>
      </c>
      <c r="E12486" s="1" t="s">
        <v>1321</v>
      </c>
      <c r="F12486" s="1" t="s">
        <v>17594</v>
      </c>
      <c r="G12486" s="1" t="s">
        <v>49</v>
      </c>
      <c r="H12486" s="1" t="s">
        <v>16</v>
      </c>
      <c r="I12486" s="1" t="str">
        <f ca="1">IFERROR(__xludf.DUMMYFUNCTION("GOOGLETRANSLATE(F12486, ""auto"", ""en"")
"),"I purchased the iron a year ago from M-Video in Orel, I was simply shocked. It's a nightmare. The ""Steam"" button no longer works, despite the fact that I fill ONLY filtered water and carry out self-cleaning from scale. I iron both silk and chintz only o"&amp;"n the hottest setting. I never change the temperature mode. I'm horrified by the quality.")</f>
        <v>I purchased the iron a year ago from M-Video in Orel, I was simply shocked. It's a nightmare. The "Steam" button no longer works, despite the fact that I fill ONLY filtered water and carry out self-cleaning from scale. I iron both silk and chintz only on the hottest setting. I never change the temperature mode. I'm horrified by the quality.</v>
      </c>
    </row>
    <row r="12487" spans="1:9" x14ac:dyDescent="0.3">
      <c r="A12487" s="1" t="s">
        <v>105</v>
      </c>
      <c r="B12487" s="1" t="s">
        <v>106</v>
      </c>
      <c r="C12487" s="1" t="s">
        <v>107</v>
      </c>
      <c r="D12487" s="1" t="s">
        <v>589</v>
      </c>
      <c r="E12487" s="1" t="s">
        <v>1799</v>
      </c>
      <c r="F12487" s="1" t="s">
        <v>17595</v>
      </c>
      <c r="G12487" s="1" t="s">
        <v>36</v>
      </c>
      <c r="H12487" s="1" t="s">
        <v>29</v>
      </c>
      <c r="I12487" s="1" t="str">
        <f ca="1">IFERROR(__xludf.DUMMYFUNCTION("GOOGLETRANSLATE(F12487, ""auto"", ""en"")
"),"Advantages: Multi-functionality and multi-format, good sound and volume reserve for a similar price niche. Interesting design, good materials, high-quality assembly, nice display and form factor.  Disadvantages: Not very intuitive controls. Asceticly desi"&amp;"gned menu.  Comment: Not perfect, but a very good device for the money. Provided you purchase decent headphones separately, the device is very good!")</f>
        <v>Advantages: Multi-functionality and multi-format, good sound and volume reserve for a similar price niche. Interesting design, good materials, high-quality assembly, nice display and form factor.  Disadvantages: Not very intuitive controls. Asceticly designed menu.  Comment: Not perfect, but a very good device for the money. Provided you purchase decent headphones separately, the device is very good!</v>
      </c>
    </row>
    <row r="12488" spans="1:9" x14ac:dyDescent="0.3">
      <c r="A12488" s="1" t="s">
        <v>9</v>
      </c>
      <c r="B12488" s="1" t="s">
        <v>10</v>
      </c>
      <c r="C12488" s="1" t="s">
        <v>407</v>
      </c>
      <c r="D12488" s="1" t="s">
        <v>17596</v>
      </c>
      <c r="E12488" s="1" t="s">
        <v>8494</v>
      </c>
      <c r="F12488" s="1" t="s">
        <v>17597</v>
      </c>
      <c r="G12488" s="1" t="s">
        <v>36</v>
      </c>
      <c r="H12488" s="1" t="s">
        <v>29</v>
      </c>
      <c r="I12488" s="1" t="str">
        <f ca="1">IFERROR(__xludf.DUMMYFUNCTION("GOOGLETRANSLATE(F12488, ""auto"", ""en"")
"),"I bought this hood 4 months ago. From the first days of use until now I have never regretted the purchase. The design is chic, the backlight color pleases the eye, unlike the usual red. We mostly work on speed 2, speed 3 when frying fish. No smell! Yes, i"&amp;"t is noisy, but with such power it is forgivable. Turns on with one touch. The presence of a timer is also nice. Here they write that the backlight blinks and the clock goes wrong, I don’t know how it works for you, but I’ve never had anything like this h"&amp;"appen. Yes, when the dampers are closed, you can hear them - one small minus, during installation you can glue foam pieces on them, we did this and you can’t hear them. The hood is great!")</f>
        <v>I bought this hood 4 months ago. From the first days of use until now I have never regretted the purchase. The design is chic, the backlight color pleases the eye, unlike the usual red. We mostly work on speed 2, speed 3 when frying fish. No smell! Yes, it is noisy, but with such power it is forgivable. Turns on with one touch. The presence of a timer is also nice. Here they write that the backlight blinks and the clock goes wrong, I don’t know how it works for you, but I’ve never had anything like this happen. Yes, when the dampers are closed, you can hear them - one small minus, during installation you can glue foam pieces on them, we did this and you can’t hear them. The hood is great!</v>
      </c>
    </row>
    <row r="12489" spans="1:9" x14ac:dyDescent="0.3">
      <c r="A12489" s="1" t="s">
        <v>757</v>
      </c>
      <c r="B12489" s="1" t="s">
        <v>758</v>
      </c>
      <c r="C12489" s="1" t="s">
        <v>160</v>
      </c>
      <c r="D12489" s="1" t="s">
        <v>171</v>
      </c>
      <c r="E12489" s="1" t="s">
        <v>5156</v>
      </c>
      <c r="F12489" s="1" t="s">
        <v>17598</v>
      </c>
      <c r="G12489" s="1" t="s">
        <v>49</v>
      </c>
      <c r="H12489" s="1" t="s">
        <v>16</v>
      </c>
      <c r="I12489" s="1" t="str">
        <f ca="1">IFERROR(__xludf.DUMMYFUNCTION("GOOGLETRANSLATE(F12489, ""auto"", ""en"")
"),"The design is cool. The dimensions are nice. Light weight (rather a minus for a woofer) I bought it, but I never heard it. the lower diffuser is glued to the body (strange design). in general, it came unglued... I came to change it - on the display case t"&amp;"here is exactly the same one, with the diffuser unstuck... In short, the design does not inspire confidence. I took an audio monitor - it’s twice as heavy. and plays well.")</f>
        <v>The design is cool. The dimensions are nice. Light weight (rather a minus for a woofer) I bought it, but I never heard it. the lower diffuser is glued to the body (strange design). in general, it came unglued... I came to change it - on the display case there is exactly the same one, with the diffuser unstuck... In short, the design does not inspire confidence. I took an audio monitor - it’s twice as heavy. and plays well.</v>
      </c>
    </row>
    <row r="12490" spans="1:9" x14ac:dyDescent="0.3">
      <c r="A12490" s="1" t="s">
        <v>169</v>
      </c>
      <c r="B12490" s="1" t="s">
        <v>170</v>
      </c>
      <c r="C12490" s="1" t="s">
        <v>97</v>
      </c>
      <c r="D12490" s="1" t="s">
        <v>896</v>
      </c>
      <c r="E12490" s="1" t="s">
        <v>3811</v>
      </c>
      <c r="F12490" s="1" t="s">
        <v>17599</v>
      </c>
      <c r="G12490" s="1" t="s">
        <v>36</v>
      </c>
      <c r="H12490" s="1" t="s">
        <v>29</v>
      </c>
      <c r="I12490" s="1" t="str">
        <f ca="1">IFERROR(__xludf.DUMMYFUNCTION("GOOGLETRANSLATE(F12490, ""auto"", ""en"")
"),"I had a lot of different headphones, from the most expensive ones to Chinese fakes. I can only say one thing about these - the best in their price category. True, they broke after a year, but for such a price it’s normal.")</f>
        <v>I had a lot of different headphones, from the most expensive ones to Chinese fakes. I can only say one thing about these - the best in their price category. True, they broke after a year, but for such a price it’s normal.</v>
      </c>
    </row>
    <row r="12491" spans="1:9" x14ac:dyDescent="0.3">
      <c r="A12491" s="1" t="s">
        <v>120</v>
      </c>
      <c r="B12491" s="1" t="s">
        <v>256</v>
      </c>
      <c r="C12491" s="1" t="s">
        <v>80</v>
      </c>
      <c r="D12491" s="1" t="s">
        <v>5927</v>
      </c>
      <c r="E12491" s="1" t="s">
        <v>12335</v>
      </c>
      <c r="F12491" s="1" t="s">
        <v>17600</v>
      </c>
      <c r="G12491" s="1" t="s">
        <v>36</v>
      </c>
      <c r="H12491" s="1" t="s">
        <v>29</v>
      </c>
      <c r="I12491" s="1" t="str">
        <f ca="1">IFERROR(__xludf.DUMMYFUNCTION("GOOGLETRANSLATE(F12491, ""auto"", ""en"")
"),"Excellent TV, everything works perfectly!!! I advise everyone to buy it, you won’t regret it. Convenient menu, good colors!!!")</f>
        <v>Excellent TV, everything works perfectly!!! I advise everyone to buy it, you won’t regret it. Convenient menu, good colors!!!</v>
      </c>
    </row>
    <row r="12492" spans="1:9" x14ac:dyDescent="0.3">
      <c r="A12492" s="1" t="s">
        <v>149</v>
      </c>
      <c r="B12492" s="1" t="s">
        <v>423</v>
      </c>
      <c r="C12492" s="1" t="s">
        <v>314</v>
      </c>
      <c r="D12492" s="1" t="s">
        <v>152</v>
      </c>
      <c r="E12492" s="1" t="s">
        <v>543</v>
      </c>
      <c r="F12492" s="1" t="s">
        <v>17601</v>
      </c>
      <c r="G12492" s="1" t="s">
        <v>15</v>
      </c>
      <c r="H12492" s="1" t="s">
        <v>16</v>
      </c>
      <c r="I12492" s="1" t="str">
        <f ca="1">IFERROR(__xludf.DUMMYFUNCTION("GOOGLETRANSLATE(F12492, ""auto"", ""en"")
"),"For dry cleaning, this is an ideal option. As a detergent, the rating is clearly 2. The large washing attachment does not work.")</f>
        <v>For dry cleaning, this is an ideal option. As a detergent, the rating is clearly 2. The large washing attachment does not work.</v>
      </c>
    </row>
    <row r="12493" spans="1:9" x14ac:dyDescent="0.3">
      <c r="A12493" s="1" t="s">
        <v>55</v>
      </c>
      <c r="B12493" s="1" t="s">
        <v>752</v>
      </c>
      <c r="C12493" s="1" t="s">
        <v>185</v>
      </c>
      <c r="D12493" s="1" t="s">
        <v>742</v>
      </c>
      <c r="E12493" s="1" t="s">
        <v>5346</v>
      </c>
      <c r="F12493" s="1" t="s">
        <v>17602</v>
      </c>
      <c r="G12493" s="1" t="s">
        <v>36</v>
      </c>
      <c r="H12493" s="1" t="s">
        <v>29</v>
      </c>
      <c r="I12493" s="1" t="str">
        <f ca="1">IFERROR(__xludf.DUMMYFUNCTION("GOOGLETRANSLATE(F12493, ""auto"", ""en"")
"),"Advantages: Reliability. Very high efficiency due to the configuration of the fins. It is very convenient to set the required temperature using a slide switch. Disadvantages: Not noticed. Comment: Highly recommend. It heats up very quickly and, which is v"&amp;"ery important in a country house in a 10-meter room blown by the winds, at the second power it makes a comfortable temperature. On the third one they practically didn’t use it at all, because... it gets very hot.")</f>
        <v>Advantages: Reliability. Very high efficiency due to the configuration of the fins. It is very convenient to set the required temperature using a slide switch. Disadvantages: Not noticed. Comment: Highly recommend. It heats up very quickly and, which is very important in a country house in a 10-meter room blown by the winds, at the second power it makes a comfortable temperature. On the third one they practically didn’t use it at all, because... it gets very hot.</v>
      </c>
    </row>
    <row r="12494" spans="1:9" x14ac:dyDescent="0.3">
      <c r="A12494" s="1" t="s">
        <v>61</v>
      </c>
      <c r="B12494" s="1" t="s">
        <v>318</v>
      </c>
      <c r="C12494" s="1" t="s">
        <v>57</v>
      </c>
      <c r="D12494" s="1" t="s">
        <v>537</v>
      </c>
      <c r="E12494" s="1" t="s">
        <v>2533</v>
      </c>
      <c r="F12494" s="1" t="s">
        <v>17603</v>
      </c>
      <c r="G12494" s="1" t="s">
        <v>15</v>
      </c>
      <c r="H12494" s="1" t="s">
        <v>16</v>
      </c>
      <c r="I12494" s="1" t="str">
        <f ca="1">IFERROR(__xludf.DUMMYFUNCTION("GOOGLETRANSLATE(F12494, ""auto"", ""en"")
"),"But for me it’s the other way around, from time to time the water supply stops, and already on the second copy (the first one was successfully replaced with the same problem), tomorrow I’ll go change it to a five-liter supru, so far it’s working well.")</f>
        <v>But for me it’s the other way around, from time to time the water supply stops, and already on the second copy (the first one was successfully replaced with the same problem), tomorrow I’ll go change it to a five-liter supru, so far it’s working well.</v>
      </c>
    </row>
    <row r="12495" spans="1:9" x14ac:dyDescent="0.3">
      <c r="A12495" s="1" t="s">
        <v>211</v>
      </c>
      <c r="B12495" s="1" t="s">
        <v>212</v>
      </c>
      <c r="C12495" s="1" t="s">
        <v>294</v>
      </c>
      <c r="D12495" s="1" t="s">
        <v>2233</v>
      </c>
      <c r="E12495" s="1" t="s">
        <v>2153</v>
      </c>
      <c r="F12495" s="1" t="s">
        <v>17604</v>
      </c>
      <c r="G12495" s="1" t="s">
        <v>36</v>
      </c>
      <c r="H12495" s="1" t="s">
        <v>29</v>
      </c>
      <c r="I12495" s="1" t="str">
        <f ca="1">IFERROR(__xludf.DUMMYFUNCTION("GOOGLETRANSLATE(F12495, ""auto"", ""en"")
"),"I really like it. The straightener is easy to use. Styling long hair takes about 10 minutes. The hair is smooth and shiny, as if it had just come from the salon. I highly recommend it.")</f>
        <v>I really like it. The straightener is easy to use. Styling long hair takes about 10 minutes. The hair is smooth and shiny, as if it had just come from the salon. I highly recommend it.</v>
      </c>
    </row>
    <row r="12496" spans="1:9" x14ac:dyDescent="0.3">
      <c r="A12496" s="1" t="s">
        <v>211</v>
      </c>
      <c r="B12496" s="1" t="s">
        <v>856</v>
      </c>
      <c r="C12496" s="1" t="s">
        <v>57</v>
      </c>
      <c r="D12496" s="1" t="s">
        <v>385</v>
      </c>
      <c r="E12496" s="1" t="s">
        <v>5879</v>
      </c>
      <c r="F12496" s="1" t="s">
        <v>17605</v>
      </c>
      <c r="G12496" s="1" t="s">
        <v>15</v>
      </c>
      <c r="H12496" s="1" t="s">
        <v>16</v>
      </c>
      <c r="I12496" s="1" t="str">
        <f ca="1">IFERROR(__xludf.DUMMYFUNCTION("GOOGLETRANSLATE(F12496, ""auto"", ""en"")
"),"My husband gave it to me for New Year. Low-power device. All the round attachments (on the left) are useless. A pedicure is out of the question; the engine doesn't work. It just stops and won't turn.  A conical nozzle is suitable for manicure, and that’s "&amp;"what I use. The price is not great, I would buy it for the conical nozzle))) The cord is long, it works from the mains and at this time the battery is charged, you can use it.")</f>
        <v>My husband gave it to me for New Year. Low-power device. All the round attachments (on the left) are useless. A pedicure is out of the question; the engine doesn't work. It just stops and won't turn.  A conical nozzle is suitable for manicure, and that’s what I use. The price is not great, I would buy it for the conical nozzle))) The cord is long, it works from the mains and at this time the battery is charged, you can use it.</v>
      </c>
    </row>
    <row r="12497" spans="1:9" x14ac:dyDescent="0.3">
      <c r="A12497" s="1" t="s">
        <v>206</v>
      </c>
      <c r="B12497" s="1" t="s">
        <v>207</v>
      </c>
      <c r="C12497" s="1" t="s">
        <v>152</v>
      </c>
      <c r="D12497" s="1" t="s">
        <v>139</v>
      </c>
      <c r="E12497" s="1" t="s">
        <v>3089</v>
      </c>
      <c r="F12497" s="1" t="s">
        <v>17606</v>
      </c>
      <c r="G12497" s="1" t="s">
        <v>28</v>
      </c>
      <c r="H12497" s="1" t="s">
        <v>29</v>
      </c>
      <c r="I12497" s="1" t="str">
        <f ca="1">IFERROR(__xludf.DUMMYFUNCTION("GOOGLETRANSLATE(F12497, ""auto"", ""en"")
"),"A normal amplifier for the money, paired with the Kicx ICQ-300B it sounds fine.")</f>
        <v>A normal amplifier for the money, paired with the Kicx ICQ-300B it sounds fine.</v>
      </c>
    </row>
    <row r="12498" spans="1:9" x14ac:dyDescent="0.3">
      <c r="A12498" s="1" t="s">
        <v>2087</v>
      </c>
      <c r="B12498" s="1" t="s">
        <v>2088</v>
      </c>
      <c r="C12498" s="1" t="s">
        <v>69</v>
      </c>
      <c r="D12498" s="1" t="s">
        <v>1619</v>
      </c>
      <c r="E12498" s="1" t="s">
        <v>2887</v>
      </c>
      <c r="F12498" s="1" t="s">
        <v>17607</v>
      </c>
      <c r="G12498" s="1" t="s">
        <v>36</v>
      </c>
      <c r="H12498" s="1" t="s">
        <v>29</v>
      </c>
      <c r="I12498" s="1" t="str">
        <f ca="1">IFERROR(__xludf.DUMMYFUNCTION("GOOGLETRANSLATE(F12498, ""auto"", ""en"")
"),"I specially came to the store and brought an external screw. connected to usb/result. ntfs reads.!")</f>
        <v>I specially came to the store and brought an external screw. connected to usb/result. ntfs reads.!</v>
      </c>
    </row>
    <row r="12499" spans="1:9" x14ac:dyDescent="0.3">
      <c r="A12499" s="1" t="s">
        <v>120</v>
      </c>
      <c r="B12499" s="1" t="s">
        <v>126</v>
      </c>
      <c r="C12499" s="1" t="s">
        <v>80</v>
      </c>
      <c r="D12499" s="1" t="s">
        <v>39</v>
      </c>
      <c r="E12499" s="1" t="s">
        <v>1517</v>
      </c>
      <c r="F12499" s="1" t="s">
        <v>17608</v>
      </c>
      <c r="G12499" s="1" t="s">
        <v>36</v>
      </c>
      <c r="H12499" s="1" t="s">
        <v>29</v>
      </c>
      <c r="I12499" s="1" t="str">
        <f ca="1">IFERROR(__xludf.DUMMYFUNCTION("GOOGLETRANSLATE(F12499, ""auto"", ""en"")
"),"The picture from broadcast TV is somewhat blurry. There is no Picture in Picture feature. Some other glitches with teletext: strange symbols instead. The quality of video from media is excellent, even avi can be stretched and it will be fine. Overall, a d"&amp;"ecent item, although there may be a chance to find a similar model cheaper.")</f>
        <v>The picture from broadcast TV is somewhat blurry. There is no Picture in Picture feature. Some other glitches with teletext: strange symbols instead. The quality of video from media is excellent, even avi can be stretched and it will be fine. Overall, a decent item, although there may be a chance to find a similar model cheaper.</v>
      </c>
    </row>
    <row r="12500" spans="1:9" x14ac:dyDescent="0.3">
      <c r="A12500" s="1" t="s">
        <v>30</v>
      </c>
      <c r="B12500" s="1" t="s">
        <v>50</v>
      </c>
      <c r="C12500" s="1" t="s">
        <v>32</v>
      </c>
      <c r="D12500" s="1" t="s">
        <v>5447</v>
      </c>
      <c r="E12500" s="1" t="s">
        <v>109</v>
      </c>
      <c r="F12500" s="1" t="s">
        <v>17609</v>
      </c>
      <c r="G12500" s="1" t="s">
        <v>36</v>
      </c>
      <c r="H12500" s="1" t="s">
        <v>29</v>
      </c>
      <c r="I12500" s="1" t="str">
        <f ca="1">IFERROR(__xludf.DUMMYFUNCTION("GOOGLETRANSLATE(F12500, ""auto"", ""en"")
"),"I bought this laptop yesterday, I haven’t been able to unstick it for two days)) I like it, it’s terrible! :) Just a question - it was stated as 320GB, but it showed 288GB on the disk.. Where is the rest? Than SO much under Windows? O_O")</f>
        <v>I bought this laptop yesterday, I haven’t been able to unstick it for two days)) I like it, it’s terrible! :) Just a question - it was stated as 320GB, but it showed 288GB on the disk.. Where is the rest? Than SO much under Windows? O_O</v>
      </c>
    </row>
    <row r="12501" spans="1:9" x14ac:dyDescent="0.3">
      <c r="A12501" s="1" t="s">
        <v>149</v>
      </c>
      <c r="B12501" s="1" t="s">
        <v>576</v>
      </c>
      <c r="C12501" s="1" t="s">
        <v>151</v>
      </c>
      <c r="D12501" s="1" t="s">
        <v>39</v>
      </c>
      <c r="E12501" s="1" t="s">
        <v>1548</v>
      </c>
      <c r="F12501" s="1" t="s">
        <v>17610</v>
      </c>
      <c r="G12501" s="1" t="s">
        <v>36</v>
      </c>
      <c r="H12501" s="1" t="s">
        <v>29</v>
      </c>
      <c r="I12501" s="1" t="str">
        <f ca="1">IFERROR(__xludf.DUMMYFUNCTION("GOOGLETRANSLATE(F12501, ""auto"", ""en"")
"),"Guys! I bought it the other day! The power is amazing! You won’t find any analogues for such a price! Definitely take it!!!! Before this I had a glass (simply terrible).")</f>
        <v>Guys! I bought it the other day! The power is amazing! You won’t find any analogues for such a price! Definitely take it!!!! Before this I had a glass (simply terrible).</v>
      </c>
    </row>
    <row r="12502" spans="1:9" x14ac:dyDescent="0.3">
      <c r="A12502" s="1" t="s">
        <v>105</v>
      </c>
      <c r="B12502" s="1" t="s">
        <v>106</v>
      </c>
      <c r="C12502" s="1" t="s">
        <v>107</v>
      </c>
      <c r="D12502" s="1" t="s">
        <v>152</v>
      </c>
      <c r="E12502" s="1" t="s">
        <v>4972</v>
      </c>
      <c r="F12502" s="1" t="s">
        <v>17611</v>
      </c>
      <c r="G12502" s="1" t="s">
        <v>36</v>
      </c>
      <c r="H12502" s="1" t="s">
        <v>29</v>
      </c>
      <c r="I12502" s="1" t="str">
        <f ca="1">IFERROR(__xludf.DUMMYFUNCTION("GOOGLETRANSLATE(F12502, ""auto"", ""en"")
"),"The player is good, I really liked it. Very convenient interface, excellent sound quality, holds charge as promised, 8 hours. But after 4 months it broke down (the battery does not hold a charge) came to replace it, it wasn’t in stock, agreed to wait, the"&amp;"y showed up after a month and a half. I came to exchange, they said I had to pay extra, because part of it was paid for with coupons, and now they are no longer valid...")</f>
        <v>The player is good, I really liked it. Very convenient interface, excellent sound quality, holds charge as promised, 8 hours. But after 4 months it broke down (the battery does not hold a charge) came to replace it, it wasn’t in stock, agreed to wait, they showed up after a month and a half. I came to exchange, they said I had to pay extra, because part of it was paid for with coupons, and now they are no longer valid...</v>
      </c>
    </row>
    <row r="12503" spans="1:9" x14ac:dyDescent="0.3">
      <c r="A12503" s="1" t="s">
        <v>169</v>
      </c>
      <c r="B12503" s="1" t="s">
        <v>170</v>
      </c>
      <c r="C12503" s="1" t="s">
        <v>97</v>
      </c>
      <c r="D12503" s="1" t="s">
        <v>81</v>
      </c>
      <c r="E12503" s="1" t="s">
        <v>7655</v>
      </c>
      <c r="F12503" s="1" t="s">
        <v>17612</v>
      </c>
      <c r="G12503" s="1" t="s">
        <v>36</v>
      </c>
      <c r="H12503" s="1" t="s">
        <v>29</v>
      </c>
      <c r="I12503" s="1" t="str">
        <f ca="1">IFERROR(__xludf.DUMMYFUNCTION("GOOGLETRANSLATE(F12503, ""auto"", ""en"")
"),"The headphones are super, they work for 6 months without problems, just check when you buy them, one ear may not work well, and if the headphones are without defects they are just super, the bass is good and the headphones work for at least 6 months.")</f>
        <v>The headphones are super, they work for 6 months without problems, just check when you buy them, one ear may not work well, and if the headphones are without defects they are just super, the bass is good and the headphones work for at least 6 months.</v>
      </c>
    </row>
    <row r="12504" spans="1:9" x14ac:dyDescent="0.3">
      <c r="A12504" s="1" t="s">
        <v>451</v>
      </c>
      <c r="B12504" s="1" t="s">
        <v>452</v>
      </c>
      <c r="C12504" s="1" t="s">
        <v>710</v>
      </c>
      <c r="D12504" s="1" t="s">
        <v>471</v>
      </c>
      <c r="E12504" s="1" t="s">
        <v>10841</v>
      </c>
      <c r="F12504" s="1" t="s">
        <v>17613</v>
      </c>
      <c r="G12504" s="1" t="s">
        <v>36</v>
      </c>
      <c r="H12504" s="1" t="s">
        <v>29</v>
      </c>
      <c r="I12504" s="1" t="str">
        <f ca="1">IFERROR(__xludf.DUMMYFUNCTION("GOOGLETRANSLATE(F12504, ""auto"", ""en"")
"),"The car is great. Things look amazing after it. Almost all things have already been put in order")</f>
        <v>The car is great. Things look amazing after it. Almost all things have already been put in order</v>
      </c>
    </row>
    <row r="12505" spans="1:9" x14ac:dyDescent="0.3">
      <c r="A12505" s="1" t="s">
        <v>1031</v>
      </c>
      <c r="B12505" s="1" t="s">
        <v>1032</v>
      </c>
      <c r="C12505" s="1" t="s">
        <v>6206</v>
      </c>
      <c r="D12505" s="1" t="s">
        <v>152</v>
      </c>
      <c r="E12505" s="1" t="s">
        <v>1718</v>
      </c>
      <c r="F12505" s="1" t="s">
        <v>17614</v>
      </c>
      <c r="G12505" s="1" t="s">
        <v>28</v>
      </c>
      <c r="H12505" s="1" t="s">
        <v>29</v>
      </c>
      <c r="I12505" s="1" t="str">
        <f ca="1">IFERROR(__xludf.DUMMYFUNCTION("GOOGLETRANSLATE(F12505, ""auto"", ""en"")
"),"The number of on/off switches is insufficient - only 8. Therefore, if you program 10 minutes of operation and 20 minutes off, then it will be enough for 4 hours, then program again.")</f>
        <v>The number of on/off switches is insufficient - only 8. Therefore, if you program 10 minutes of operation and 20 minutes off, then it will be enough for 4 hours, then program again.</v>
      </c>
    </row>
    <row r="12506" spans="1:9" x14ac:dyDescent="0.3">
      <c r="A12506" s="1" t="s">
        <v>9</v>
      </c>
      <c r="B12506" s="1" t="s">
        <v>23</v>
      </c>
      <c r="C12506" s="1" t="s">
        <v>885</v>
      </c>
      <c r="D12506" s="1" t="s">
        <v>17615</v>
      </c>
      <c r="E12506" s="1" t="s">
        <v>8242</v>
      </c>
      <c r="F12506" s="1" t="s">
        <v>17616</v>
      </c>
      <c r="G12506" s="1" t="s">
        <v>28</v>
      </c>
      <c r="H12506" s="1" t="s">
        <v>29</v>
      </c>
      <c r="I12506" s="1" t="str">
        <f ca="1">IFERROR(__xludf.DUMMYFUNCTION("GOOGLETRANSLATE(F12506, ""auto"", ""en"")
"),"We bought a dishwasher for the first time, before choosing it, I read a lot of reviews, went shopping and actually went to buy from another company, but the seller convinced me to take this one. What can we say, of course, at first there was no limit to t"&amp;"he joy that finally I didn’t have to wash dishes with my hands in the sink. Among the advantages over the others, I’ll note the reason why they took it, and not something else: in the lower tray, the guides for plates fold, which is actually convenient. W"&amp;"ashing\\drying\\energy consumption class is all A, that seems to be all the advantages. It also washes well, it all depends on how you lay out the dishes, if everything is even, then the dishes will be clean. Very dirty dishes with dried pieces of food ar"&amp;"e sometimes not completely washed. For some reason, our plastic containers always remain wet, the plates with rinse aid are dry, without it, drops of water still remain. What I didn’t like from the very beginning and is still a little annoying (although I"&amp;"’ve already gotten used to it) is that it’s sooooo noisy, really. Once, due to the fact that the salt ran out (no other reasons were found), the water stopped draining and then the washing stopped, that is, it started, took in water, rinsed one cycle, and"&amp;" when it was time to drain the water, it simply gave an error and that’s it. Despite the fact that there was no garbage, scraps or other nasty stuff there, that is, it couldn’t get clogged. I open it, full of water. I tried to turn it on again, she repeat"&amp;"ed the same thing and after another mistake, the water naturally became even larger. I had to take it out and pour it out myself. Added salt and everything worked. There is a diode there that signals when the salt and rinse aid are running low. In general"&amp;", we are satisfied, the programs are selected optimally, most often I wash dishes for 1 hour or not very dirty. I've been washing it every day for over a year now. If I were asked for advice on which dishwasher to buy, I would not recommend it just becaus"&amp;"e of the noise.")</f>
        <v>We bought a dishwasher for the first time, before choosing it, I read a lot of reviews, went shopping and actually went to buy from another company, but the seller convinced me to take this one. What can we say, of course, at first there was no limit to the joy that finally I didn’t have to wash dishes with my hands in the sink. Among the advantages over the others, I’ll note the reason why they took it, and not something else: in the lower tray, the guides for plates fold, which is actually convenient. Washing\\drying\\energy consumption class is all A, that seems to be all the advantages. It also washes well, it all depends on how you lay out the dishes, if everything is even, then the dishes will be clean. Very dirty dishes with dried pieces of food are sometimes not completely washed. For some reason, our plastic containers always remain wet, the plates with rinse aid are dry, without it, drops of water still remain. What I didn’t like from the very beginning and is still a little annoying (although I’ve already gotten used to it) is that it’s sooooo noisy, really. Once, due to the fact that the salt ran out (no other reasons were found), the water stopped draining and then the washing stopped, that is, it started, took in water, rinsed one cycle, and when it was time to drain the water, it simply gave an error and that’s it. Despite the fact that there was no garbage, scraps or other nasty stuff there, that is, it couldn’t get clogged. I open it, full of water. I tried to turn it on again, she repeated the same thing and after another mistake, the water naturally became even larger. I had to take it out and pour it out myself. Added salt and everything worked. There is a diode there that signals when the salt and rinse aid are running low. In general, we are satisfied, the programs are selected optimally, most often I wash dishes for 1 hour or not very dirty. I've been washing it every day for over a year now. If I were asked for advice on which dishwasher to buy, I would not recommend it just because of the noise.</v>
      </c>
    </row>
    <row r="12507" spans="1:9" x14ac:dyDescent="0.3">
      <c r="A12507" s="1" t="s">
        <v>211</v>
      </c>
      <c r="B12507" s="1" t="s">
        <v>212</v>
      </c>
      <c r="C12507" s="1" t="s">
        <v>69</v>
      </c>
      <c r="D12507" s="1" t="s">
        <v>17617</v>
      </c>
      <c r="E12507" s="1" t="s">
        <v>10696</v>
      </c>
      <c r="F12507" s="1" t="s">
        <v>17618</v>
      </c>
      <c r="G12507" s="1" t="s">
        <v>36</v>
      </c>
      <c r="H12507" s="1" t="s">
        <v>29</v>
      </c>
      <c r="I12507" s="1" t="str">
        <f ca="1">IFERROR(__xludf.DUMMYFUNCTION("GOOGLETRANSLATE(F12507, ""auto"", ""en"")
"),"Compact, not heavy. Powerful. There is cold airflow.")</f>
        <v>Compact, not heavy. Powerful. There is cold airflow.</v>
      </c>
    </row>
    <row r="12508" spans="1:9" x14ac:dyDescent="0.3">
      <c r="A12508" s="1" t="s">
        <v>811</v>
      </c>
      <c r="B12508" s="1" t="s">
        <v>812</v>
      </c>
      <c r="C12508" s="1" t="s">
        <v>813</v>
      </c>
      <c r="D12508" s="1" t="s">
        <v>17619</v>
      </c>
      <c r="E12508" s="1" t="s">
        <v>1841</v>
      </c>
      <c r="F12508" s="1" t="s">
        <v>17620</v>
      </c>
      <c r="G12508" s="1" t="s">
        <v>36</v>
      </c>
      <c r="H12508" s="1" t="s">
        <v>29</v>
      </c>
      <c r="I12508" s="1" t="str">
        <f ca="1">IFERROR(__xludf.DUMMYFUNCTION("GOOGLETRANSLATE(F12508, ""auto"", ""en"")
"),"Good.Easy to wear, and most importantly tall!")</f>
        <v>Good.Easy to wear, and most importantly tall!</v>
      </c>
    </row>
    <row r="12509" spans="1:9" x14ac:dyDescent="0.3">
      <c r="A12509" s="1" t="s">
        <v>149</v>
      </c>
      <c r="B12509" s="1" t="s">
        <v>150</v>
      </c>
      <c r="C12509" s="1" t="s">
        <v>151</v>
      </c>
      <c r="D12509" s="1" t="s">
        <v>1747</v>
      </c>
      <c r="E12509" s="1" t="s">
        <v>2693</v>
      </c>
      <c r="F12509" s="1" t="s">
        <v>17621</v>
      </c>
      <c r="G12509" s="1" t="s">
        <v>36</v>
      </c>
      <c r="H12509" s="1" t="s">
        <v>29</v>
      </c>
      <c r="I12509" s="1" t="str">
        <f ca="1">IFERROR(__xludf.DUMMYFUNCTION("GOOGLETRANSLATE(F12509, ""auto"", ""en"")
"),"The vacuum cleaner is great!!! Cleans perfectly, very easy to clean, easy to use. The only drawback is a little heavy, but I recommend this very good vacuum cleaner to everyone.")</f>
        <v>The vacuum cleaner is great!!! Cleans perfectly, very easy to clean, easy to use. The only drawback is a little heavy, but I recommend this very good vacuum cleaner to everyone.</v>
      </c>
    </row>
    <row r="12510" spans="1:9" x14ac:dyDescent="0.3">
      <c r="A12510" s="1" t="s">
        <v>17</v>
      </c>
      <c r="B12510" s="1" t="s">
        <v>18</v>
      </c>
      <c r="C12510" s="1" t="s">
        <v>870</v>
      </c>
      <c r="D12510" s="1" t="s">
        <v>565</v>
      </c>
      <c r="E12510" s="1" t="s">
        <v>1507</v>
      </c>
      <c r="F12510" s="1" t="s">
        <v>17622</v>
      </c>
      <c r="G12510" s="1" t="s">
        <v>36</v>
      </c>
      <c r="H12510" s="1" t="s">
        <v>29</v>
      </c>
      <c r="I12510" s="1" t="str">
        <f ca="1">IFERROR(__xludf.DUMMYFUNCTION("GOOGLETRANSLATE(F12510, ""auto"", ""en"")
"),"I bought it 10 days ago. I was pleased with the first wash. The machine vibrates during the spin cycle, but washes at 5+ (white laundry is boiling white even at 40 degrees). Comparing with another front loading machine, it has been washing for 10 years. O"&amp;"ne problem: they couldn’t turn the legs out and adjust them to the level. I advise you to buy it.")</f>
        <v>I bought it 10 days ago. I was pleased with the first wash. The machine vibrates during the spin cycle, but washes at 5+ (white laundry is boiling white even at 40 degrees). Comparing with another front loading machine, it has been washing for 10 years. One problem: they couldn’t turn the legs out and adjust them to the level. I advise you to buy it.</v>
      </c>
    </row>
    <row r="12511" spans="1:9" x14ac:dyDescent="0.3">
      <c r="A12511" s="1" t="s">
        <v>17</v>
      </c>
      <c r="B12511" s="1" t="s">
        <v>18</v>
      </c>
      <c r="C12511" s="1" t="s">
        <v>134</v>
      </c>
      <c r="D12511" s="1" t="s">
        <v>3486</v>
      </c>
      <c r="E12511" s="1" t="s">
        <v>5032</v>
      </c>
      <c r="F12511" s="1" t="s">
        <v>17623</v>
      </c>
      <c r="G12511" s="1" t="s">
        <v>36</v>
      </c>
      <c r="H12511" s="1" t="s">
        <v>29</v>
      </c>
      <c r="I12511" s="1" t="str">
        <f ca="1">IFERROR(__xludf.DUMMYFUNCTION("GOOGLETRANSLATE(F12511, ""auto"", ""en"")
"),"I had my doubts about choosing a car for a long time, but I chose this one. In general, I'm satisfied. I won’t say that it erases silently. But it’s not the engine that makes the most noise, but the laundry, which squishes and hits the drum. When spinning"&amp;" (especially at high speeds), the engine is already humming. But it doesn’t last long and you can’t hear it with the bathroom door closed. But it washes very well. Powder consumption has decreased - that's for sure. There is one short program - for 15 min"&amp;"utes (30 degrees, 800 revolutions). The only obvious disadvantage: a lot of water remains in the powder tray and sometimes after washing this water pours out of the hose above the door, from where the powder flows into the drum.")</f>
        <v>I had my doubts about choosing a car for a long time, but I chose this one. In general, I'm satisfied. I won’t say that it erases silently. But it’s not the engine that makes the most noise, but the laundry, which squishes and hits the drum. When spinning (especially at high speeds), the engine is already humming. But it doesn’t last long and you can’t hear it with the bathroom door closed. But it washes very well. Powder consumption has decreased - that's for sure. There is one short program - for 15 minutes (30 degrees, 800 revolutions). The only obvious disadvantage: a lot of water remains in the powder tray and sometimes after washing this water pours out of the hose above the door, from where the powder flows into the drum.</v>
      </c>
    </row>
    <row r="12512" spans="1:9" x14ac:dyDescent="0.3">
      <c r="A12512" s="1" t="s">
        <v>169</v>
      </c>
      <c r="B12512" s="1" t="s">
        <v>170</v>
      </c>
      <c r="C12512" s="1" t="s">
        <v>193</v>
      </c>
      <c r="D12512" s="1" t="s">
        <v>17624</v>
      </c>
      <c r="E12512" s="1" t="s">
        <v>6357</v>
      </c>
      <c r="F12512" s="1" t="s">
        <v>17625</v>
      </c>
      <c r="G12512" s="1" t="s">
        <v>94</v>
      </c>
      <c r="H12512" s="1" t="s">
        <v>29</v>
      </c>
      <c r="I12512" s="1" t="str">
        <f ca="1">IFERROR(__xludf.DUMMYFUNCTION("GOOGLETRANSLATE(F12512, ""auto"", ""en"")
"),"Just cool")</f>
        <v>Just cool</v>
      </c>
    </row>
    <row r="12513" spans="1:9" x14ac:dyDescent="0.3">
      <c r="A12513" s="1" t="s">
        <v>111</v>
      </c>
      <c r="B12513" s="1" t="s">
        <v>636</v>
      </c>
      <c r="C12513" s="1" t="s">
        <v>57</v>
      </c>
      <c r="D12513" s="1" t="s">
        <v>17626</v>
      </c>
      <c r="E12513" s="1" t="s">
        <v>233</v>
      </c>
      <c r="F12513" s="1" t="s">
        <v>17627</v>
      </c>
      <c r="G12513" s="1" t="s">
        <v>36</v>
      </c>
      <c r="H12513" s="1" t="s">
        <v>29</v>
      </c>
      <c r="I12513" s="1" t="str">
        <f ca="1">IFERROR(__xludf.DUMMYFUNCTION("GOOGLETRANSLATE(F12513, ""auto"", ""en"")
"),"Excellent device. I'm pleased with everything. Especially the design.")</f>
        <v>Excellent device. I'm pleased with everything. Especially the design.</v>
      </c>
    </row>
    <row r="12514" spans="1:9" x14ac:dyDescent="0.3">
      <c r="A12514" s="1" t="s">
        <v>206</v>
      </c>
      <c r="B12514" s="1" t="s">
        <v>207</v>
      </c>
      <c r="C12514" s="1" t="s">
        <v>152</v>
      </c>
      <c r="D12514" s="1" t="s">
        <v>568</v>
      </c>
      <c r="E12514" s="1" t="s">
        <v>7418</v>
      </c>
      <c r="F12514" s="1" t="s">
        <v>17628</v>
      </c>
      <c r="G12514" s="1" t="s">
        <v>15</v>
      </c>
      <c r="H12514" s="1" t="s">
        <v>16</v>
      </c>
      <c r="I12514" s="1" t="str">
        <f ca="1">IFERROR(__xludf.DUMMYFUNCTION("GOOGLETRANSLATE(F12514, ""auto"", ""en"")
"),"I installed the Nexia in the Daewoo and had to cut off almost half the panel. I took it because of the low, reasonable price. After working for about a month they began to wheeze. The money is small, but still unpleasant.")</f>
        <v>I installed the Nexia in the Daewoo and had to cut off almost half the panel. I took it because of the low, reasonable price. After working for about a month they began to wheeze. The money is small, but still unpleasant.</v>
      </c>
    </row>
    <row r="12515" spans="1:9" x14ac:dyDescent="0.3">
      <c r="A12515" s="1" t="s">
        <v>732</v>
      </c>
      <c r="B12515" s="1" t="s">
        <v>733</v>
      </c>
      <c r="C12515" s="1" t="s">
        <v>1680</v>
      </c>
      <c r="D12515" s="1" t="s">
        <v>152</v>
      </c>
      <c r="E12515" s="1" t="s">
        <v>4603</v>
      </c>
      <c r="F12515" s="1" t="s">
        <v>17629</v>
      </c>
      <c r="G12515" s="1" t="s">
        <v>28</v>
      </c>
      <c r="H12515" s="1" t="s">
        <v>29</v>
      </c>
      <c r="I12515" s="1" t="str">
        <f ca="1">IFERROR(__xludf.DUMMYFUNCTION("GOOGLETRANSLATE(F12515, ""auto"", ""en"")
"),"I bought this monitor from M-Video about a week ago, in general I want to say that the price is 8990 rubles. it looks very good, even according to Yandex there is no cheaper price, and in general it looks very good, stylish and beautiful!  But the only th"&amp;"ing I didn’t like, and this is quite significant, you can’t sit at it for a long time, the contrast is very large and puts pressure on your eyes, and the adjustments don’t help, and in the dark it’s like that in general, before that I had a BenQ 17 inches"&amp;", there were no problems at all, I could sit for a very long time without straining my eyes!   In general, if I were buying now, it would be better to overpay and buy another monitor, but the eyes are more important!!!   Good luck!")</f>
        <v>I bought this monitor from M-Video about a week ago, in general I want to say that the price is 8990 rubles. it looks very good, even according to Yandex there is no cheaper price, and in general it looks very good, stylish and beautiful!  But the only thing I didn’t like, and this is quite significant, you can’t sit at it for a long time, the contrast is very large and puts pressure on your eyes, and the adjustments don’t help, and in the dark it’s like that in general, before that I had a BenQ 17 inches, there were no problems at all, I could sit for a very long time without straining my eyes!   In general, if I were buying now, it would be better to overpay and buy another monitor, but the eyes are more important!!!   Good luck!</v>
      </c>
    </row>
    <row r="12516" spans="1:9" x14ac:dyDescent="0.3">
      <c r="A12516" s="1" t="s">
        <v>30</v>
      </c>
      <c r="B12516" s="1" t="s">
        <v>50</v>
      </c>
      <c r="C12516" s="1" t="s">
        <v>32</v>
      </c>
      <c r="D12516" s="1" t="s">
        <v>2217</v>
      </c>
      <c r="E12516" s="1" t="s">
        <v>2702</v>
      </c>
      <c r="F12516" s="1" t="s">
        <v>17630</v>
      </c>
      <c r="G12516" s="1" t="s">
        <v>36</v>
      </c>
      <c r="H12516" s="1" t="s">
        <v>29</v>
      </c>
      <c r="I12516" s="1" t="str">
        <f ca="1">IFERROR(__xludf.DUMMYFUNCTION("GOOGLETRANSLATE(F12516, ""auto"", ""en"")
"),"I bought the laptop in early January and tested everything fine, but the webcam just stopped working. I surfed the net and found out that for ACER it is quite natural that after one or two weeks of use the camera breaks down")</f>
        <v>I bought the laptop in early January and tested everything fine, but the webcam just stopped working. I surfed the net and found out that for ACER it is quite natural that after one or two weeks of use the camera breaks down</v>
      </c>
    </row>
    <row r="12517" spans="1:9" x14ac:dyDescent="0.3">
      <c r="A12517" s="1" t="s">
        <v>211</v>
      </c>
      <c r="B12517" s="1" t="s">
        <v>410</v>
      </c>
      <c r="C12517" s="1" t="s">
        <v>213</v>
      </c>
      <c r="D12517" s="1" t="s">
        <v>280</v>
      </c>
      <c r="E12517" s="1" t="s">
        <v>395</v>
      </c>
      <c r="F12517" s="1" t="s">
        <v>17631</v>
      </c>
      <c r="G12517" s="1" t="s">
        <v>36</v>
      </c>
      <c r="H12517" s="1" t="s">
        <v>29</v>
      </c>
      <c r="I12517" s="1" t="str">
        <f ca="1">IFERROR(__xludf.DUMMYFUNCTION("GOOGLETRANSLATE(F12517, ""auto"", ""en"")
"),"This is MY first razor, I'm delighted!!! The shave is amazing, very clean, saves difficult areas of the neck, no skin irritation. I recommend it to everyone!!!")</f>
        <v>This is MY first razor, I'm delighted!!! The shave is amazing, very clean, saves difficult areas of the neck, no skin irritation. I recommend it to everyone!!!</v>
      </c>
    </row>
    <row r="12518" spans="1:9" x14ac:dyDescent="0.3">
      <c r="A12518" s="1" t="s">
        <v>37</v>
      </c>
      <c r="B12518" s="1" t="s">
        <v>536</v>
      </c>
      <c r="C12518" s="1" t="s">
        <v>163</v>
      </c>
      <c r="D12518" s="1" t="s">
        <v>3108</v>
      </c>
      <c r="E12518" s="1" t="s">
        <v>532</v>
      </c>
      <c r="F12518" s="1" t="s">
        <v>17632</v>
      </c>
      <c r="G12518" s="1" t="s">
        <v>36</v>
      </c>
      <c r="H12518" s="1" t="s">
        <v>29</v>
      </c>
      <c r="I12518" s="1" t="str">
        <f ca="1">IFERROR(__xludf.DUMMYFUNCTION("GOOGLETRANSLATE(F12518, ""auto"", ""en"")
"),"The battery lasts a long time. The camera is average. The steel case will not fall painfully. It's nice to talk on this phone.")</f>
        <v>The battery lasts a long time. The camera is average. The steel case will not fall painfully. It's nice to talk on this phone.</v>
      </c>
    </row>
    <row r="12519" spans="1:9" x14ac:dyDescent="0.3">
      <c r="A12519" s="1" t="s">
        <v>361</v>
      </c>
      <c r="B12519" s="1" t="s">
        <v>462</v>
      </c>
      <c r="C12519" s="1" t="s">
        <v>463</v>
      </c>
      <c r="D12519" s="1" t="s">
        <v>17633</v>
      </c>
      <c r="E12519" s="1" t="s">
        <v>9574</v>
      </c>
      <c r="F12519" s="1" t="s">
        <v>17634</v>
      </c>
      <c r="G12519" s="1" t="s">
        <v>36</v>
      </c>
      <c r="H12519" s="1" t="s">
        <v>29</v>
      </c>
      <c r="I12519" s="1" t="str">
        <f ca="1">IFERROR(__xludf.DUMMYFUNCTION("GOOGLETRANSLATE(F12519, ""auto"", ""en"")
"),"Volume")</f>
        <v>Volume</v>
      </c>
    </row>
    <row r="12520" spans="1:9" x14ac:dyDescent="0.3">
      <c r="A12520" s="1" t="s">
        <v>37</v>
      </c>
      <c r="B12520" s="1" t="s">
        <v>38</v>
      </c>
      <c r="C12520" s="1" t="s">
        <v>163</v>
      </c>
      <c r="D12520" s="1" t="s">
        <v>589</v>
      </c>
      <c r="E12520" s="1" t="s">
        <v>17635</v>
      </c>
      <c r="F12520" s="1" t="s">
        <v>17636</v>
      </c>
      <c r="G12520" s="1" t="s">
        <v>36</v>
      </c>
      <c r="H12520" s="1" t="s">
        <v>29</v>
      </c>
      <c r="I12520" s="1" t="str">
        <f ca="1">IFERROR(__xludf.DUMMYFUNCTION("GOOGLETRANSLATE(F12520, ""auto"", ""en"")
"),"I've had this phone (although I have a red one) for a couple of months.  I was looking for an inexpensive music phone, relatively light and thin, cute. I looked at different models, but there was really no alternative to this phone at this price.  As for "&amp;"the advantages, this is a full-fledged music phone, the controls are convenient, the speakers are loud, there is a radio and a player. The kit comes with a gigabyte memory card, which of course is not enough. But there is a slot for microsidi cards, which"&amp;" can be replaced with a larger one. The battery lasts for about three days. And the main advantage is the price.  There is a camera, but it is of the “to be” variety: 2 megapixels, but without flash. While this isn't a drawback for me, I'm not a fan of ta"&amp;"king pictures with my phone camera.   I haven't noticed any specific shortcomings yet.   I recommend it.")</f>
        <v>I've had this phone (although I have a red one) for a couple of months.  I was looking for an inexpensive music phone, relatively light and thin, cute. I looked at different models, but there was really no alternative to this phone at this price.  As for the advantages, this is a full-fledged music phone, the controls are convenient, the speakers are loud, there is a radio and a player. The kit comes with a gigabyte memory card, which of course is not enough. But there is a slot for microsidi cards, which can be replaced with a larger one. The battery lasts for about three days. And the main advantage is the price.  There is a camera, but it is of the “to be” variety: 2 megapixels, but without flash. While this isn't a drawback for me, I'm not a fan of taking pictures with my phone camera.   I haven't noticed any specific shortcomings yet.   I recommend it.</v>
      </c>
    </row>
    <row r="12521" spans="1:9" x14ac:dyDescent="0.3">
      <c r="A12521" s="1" t="s">
        <v>43</v>
      </c>
      <c r="B12521" s="1" t="s">
        <v>219</v>
      </c>
      <c r="C12521" s="1" t="s">
        <v>665</v>
      </c>
      <c r="D12521" s="1" t="s">
        <v>152</v>
      </c>
      <c r="E12521" s="1" t="s">
        <v>8386</v>
      </c>
      <c r="F12521" s="1" t="s">
        <v>17637</v>
      </c>
      <c r="G12521" s="1" t="s">
        <v>36</v>
      </c>
      <c r="H12521" s="1" t="s">
        <v>29</v>
      </c>
      <c r="I12521" s="1" t="str">
        <f ca="1">IFERROR(__xludf.DUMMYFUNCTION("GOOGLETRANSLATE(F12521, ""auto"", ""en"")
"),"I use it for a week in the absence of mountains. water. Before that it was flow-through. Advantages of this particular model: 1.Water pressure - as normal. tap. But: to prevent water from being consumed too quickly, the shower head must be turned on in th"&amp;"e economical micro-spray mode (available from Grohe and other companies).  2. Supplied water from the shower pipe. To do this, you need to buy a regular flexible supply hose, and the original hose with a watering can to the heater outlet. But! At the outl"&amp;"et of the heater you need to install a valve (buy) and use it to turn on the shower, and leave the water from the supply on all the time.  3.Water up to 35 degrees. Heats up in 5 minutes. I wash directly with it, without a mixer. The temperature is select"&amp;"ed by the regulator. Enough to rinse with soap after the heat. While you are drying yourself and getting dressed, the water has already heated up for the next consumer.  4.Easy to hang in the bathroom. Two noticeable hooks remain on the wall (I bought it "&amp;"myself, smaller than the standard ones).  With the beginning of the supply of mountains. I’ll put the water in the closet (luckily it won’t take up much space). If necessary, I can put everything back together in half an hour.  Happy with the purchase.")</f>
        <v>I use it for a week in the absence of mountains. water. Before that it was flow-through. Advantages of this particular model: 1.Water pressure - as normal. tap. But: to prevent water from being consumed too quickly, the shower head must be turned on in the economical micro-spray mode (available from Grohe and other companies).  2. Supplied water from the shower pipe. To do this, you need to buy a regular flexible supply hose, and the original hose with a watering can to the heater outlet. But! At the outlet of the heater you need to install a valve (buy) and use it to turn on the shower, and leave the water from the supply on all the time.  3.Water up to 35 degrees. Heats up in 5 minutes. I wash directly with it, without a mixer. The temperature is selected by the regulator. Enough to rinse with soap after the heat. While you are drying yourself and getting dressed, the water has already heated up for the next consumer.  4.Easy to hang in the bathroom. Two noticeable hooks remain on the wall (I bought it myself, smaller than the standard ones).  With the beginning of the supply of mountains. I’ll put the water in the closet (luckily it won’t take up much space). If necessary, I can put everything back together in half an hour.  Happy with the purchase.</v>
      </c>
    </row>
    <row r="12522" spans="1:9" x14ac:dyDescent="0.3">
      <c r="A12522" s="1" t="s">
        <v>557</v>
      </c>
      <c r="B12522" s="1" t="s">
        <v>1977</v>
      </c>
      <c r="C12522" s="1" t="s">
        <v>122</v>
      </c>
      <c r="D12522" s="1" t="s">
        <v>52</v>
      </c>
      <c r="E12522" s="1" t="s">
        <v>4295</v>
      </c>
      <c r="F12522" s="1" t="s">
        <v>17638</v>
      </c>
      <c r="G12522" s="1" t="s">
        <v>36</v>
      </c>
      <c r="H12522" s="1" t="s">
        <v>29</v>
      </c>
      <c r="I12522" s="1" t="str">
        <f ca="1">IFERROR(__xludf.DUMMYFUNCTION("GOOGLETRANSLATE(F12522, ""auto"", ""en"")
"),"Reliable, price, excellent quality.")</f>
        <v>Reliable, price, excellent quality.</v>
      </c>
    </row>
    <row r="12523" spans="1:9" x14ac:dyDescent="0.3">
      <c r="A12523" s="1" t="s">
        <v>37</v>
      </c>
      <c r="B12523" s="1" t="s">
        <v>38</v>
      </c>
      <c r="C12523" s="1" t="s">
        <v>163</v>
      </c>
      <c r="D12523" s="1" t="s">
        <v>17639</v>
      </c>
      <c r="E12523" s="1" t="s">
        <v>628</v>
      </c>
      <c r="F12523" s="1" t="s">
        <v>17640</v>
      </c>
      <c r="G12523" s="1" t="s">
        <v>36</v>
      </c>
      <c r="H12523" s="1" t="s">
        <v>29</v>
      </c>
      <c r="I12523" s="1" t="str">
        <f ca="1">IFERROR(__xludf.DUMMYFUNCTION("GOOGLETRANSLATE(F12523, ""auto"", ""en"")
"),"This is not a camera phone, but a music phone, the sound quality (although you need to take the original headset) is 5+")</f>
        <v>This is not a camera phone, but a music phone, the sound quality (although you need to take the original headset) is 5+</v>
      </c>
    </row>
    <row r="12524" spans="1:9" x14ac:dyDescent="0.3">
      <c r="A12524" s="1" t="s">
        <v>811</v>
      </c>
      <c r="B12524" s="1" t="s">
        <v>812</v>
      </c>
      <c r="C12524" s="1" t="s">
        <v>813</v>
      </c>
      <c r="D12524" s="1" t="s">
        <v>17641</v>
      </c>
      <c r="E12524" s="1" t="s">
        <v>3145</v>
      </c>
      <c r="F12524" s="1" t="s">
        <v>17642</v>
      </c>
      <c r="G12524" s="1" t="s">
        <v>36</v>
      </c>
      <c r="H12524" s="1" t="s">
        <v>29</v>
      </c>
      <c r="I12524" s="1" t="str">
        <f ca="1">IFERROR(__xludf.DUMMYFUNCTION("GOOGLETRANSLATE(F12524, ""auto"", ""en"")
"),"Mobility")</f>
        <v>Mobility</v>
      </c>
    </row>
    <row r="12525" spans="1:9" x14ac:dyDescent="0.3">
      <c r="A12525" s="1" t="s">
        <v>61</v>
      </c>
      <c r="B12525" s="1" t="s">
        <v>726</v>
      </c>
      <c r="C12525" s="1" t="s">
        <v>85</v>
      </c>
      <c r="D12525" s="1" t="s">
        <v>52</v>
      </c>
      <c r="E12525" s="1" t="s">
        <v>13591</v>
      </c>
      <c r="F12525" s="1" t="s">
        <v>17643</v>
      </c>
      <c r="G12525" s="1" t="s">
        <v>36</v>
      </c>
      <c r="H12525" s="1" t="s">
        <v>29</v>
      </c>
      <c r="I12525" s="1" t="str">
        <f ca="1">IFERROR(__xludf.DUMMYFUNCTION("GOOGLETRANSLATE(F12525, ""auto"", ""en"")
"),"We tried quite a lot of recipes and we can say for sure that the recipes from the book that comes with the stove are very inaccurate. After the first loaf, we adjusted each recipe a little. But there are no complaints about the stove itself.   Of the minu"&amp;"ses, perhaps, there is only one - the constantly opening dispenser for additives. Regardless of the selected recipe and the presence of additives in the dispenser, it still opens and, quite loudly.  Otherwise there are only positives and very tasty bread."&amp;"   Just before the New Year, my parents were given the same one.")</f>
        <v>We tried quite a lot of recipes and we can say for sure that the recipes from the book that comes with the stove are very inaccurate. After the first loaf, we adjusted each recipe a little. But there are no complaints about the stove itself.   Of the minuses, perhaps, there is only one - the constantly opening dispenser for additives. Regardless of the selected recipe and the presence of additives in the dispenser, it still opens and, quite loudly.  Otherwise there are only positives and very tasty bread.   Just before the New Year, my parents were given the same one.</v>
      </c>
    </row>
    <row r="12526" spans="1:9" x14ac:dyDescent="0.3">
      <c r="A12526" s="1" t="s">
        <v>9</v>
      </c>
      <c r="B12526" s="1" t="s">
        <v>23</v>
      </c>
      <c r="C12526" s="1" t="s">
        <v>134</v>
      </c>
      <c r="D12526" s="1" t="s">
        <v>139</v>
      </c>
      <c r="E12526" s="1" t="s">
        <v>937</v>
      </c>
      <c r="F12526" s="1" t="s">
        <v>17644</v>
      </c>
      <c r="G12526" s="1" t="s">
        <v>49</v>
      </c>
      <c r="H12526" s="1" t="s">
        <v>16</v>
      </c>
      <c r="I12526" s="1" t="str">
        <f ca="1">IFERROR(__xludf.DUMMYFUNCTION("GOOGLETRANSLATE(F12526, ""auto"", ""en"")
"),"Siemens sf 64 t354 dishwasher broke after 2 years. Repairs cost half the cost of this unit. Draw conclusions.")</f>
        <v>Siemens sf 64 t354 dishwasher broke after 2 years. Repairs cost half the cost of this unit. Draw conclusions.</v>
      </c>
    </row>
    <row r="12527" spans="1:9" x14ac:dyDescent="0.3">
      <c r="A12527" s="1" t="s">
        <v>30</v>
      </c>
      <c r="B12527" s="1" t="s">
        <v>31</v>
      </c>
      <c r="C12527" s="1" t="s">
        <v>32</v>
      </c>
      <c r="D12527" s="1" t="s">
        <v>7118</v>
      </c>
      <c r="E12527" s="1" t="s">
        <v>2094</v>
      </c>
      <c r="F12527" s="1" t="s">
        <v>17645</v>
      </c>
      <c r="G12527" s="1" t="s">
        <v>36</v>
      </c>
      <c r="H12527" s="1" t="s">
        <v>29</v>
      </c>
      <c r="I12527" s="1" t="str">
        <f ca="1">IFERROR(__xludf.DUMMYFUNCTION("GOOGLETRANSLATE(F12527, ""auto"", ""en"")
"),"The computer is excellent, judging by the characteristics, although I surfed the sites and some of them said that the frequency is 2.50, not 2.93")</f>
        <v>The computer is excellent, judging by the characteristics, although I surfed the sites and some of them said that the frequency is 2.50, not 2.93</v>
      </c>
    </row>
    <row r="12528" spans="1:9" x14ac:dyDescent="0.3">
      <c r="A12528" s="1" t="s">
        <v>61</v>
      </c>
      <c r="B12528" s="1" t="s">
        <v>318</v>
      </c>
      <c r="C12528" s="1" t="s">
        <v>246</v>
      </c>
      <c r="D12528" s="1" t="s">
        <v>152</v>
      </c>
      <c r="E12528" s="1" t="s">
        <v>2994</v>
      </c>
      <c r="F12528" s="1" t="s">
        <v>17646</v>
      </c>
      <c r="G12528" s="1" t="s">
        <v>28</v>
      </c>
      <c r="H12528" s="1" t="s">
        <v>29</v>
      </c>
      <c r="I12528" s="1" t="str">
        <f ca="1">IFERROR(__xludf.DUMMYFUNCTION("GOOGLETRANSLATE(F12528, ""auto"", ""en"")
"),"It worked for about 2 years without any complaints and water began to leak out from under the glass, although it was used carefully and did not break.  The regulator is very convenient. A bit noisy.")</f>
        <v>It worked for about 2 years without any complaints and water began to leak out from under the glass, although it was used carefully and did not break.  The regulator is very convenient. A bit noisy.</v>
      </c>
    </row>
    <row r="12529" spans="1:9" x14ac:dyDescent="0.3">
      <c r="A12529" s="1" t="s">
        <v>61</v>
      </c>
      <c r="B12529" s="1" t="s">
        <v>5714</v>
      </c>
      <c r="C12529" s="1" t="s">
        <v>146</v>
      </c>
      <c r="D12529" s="1" t="s">
        <v>17647</v>
      </c>
      <c r="E12529" s="1" t="s">
        <v>3975</v>
      </c>
      <c r="F12529" s="1" t="s">
        <v>17648</v>
      </c>
      <c r="G12529" s="1" t="s">
        <v>36</v>
      </c>
      <c r="H12529" s="1" t="s">
        <v>29</v>
      </c>
      <c r="I12529" s="1" t="str">
        <f ca="1">IFERROR(__xludf.DUMMYFUNCTION("GOOGLETRANSLATE(F12529, ""auto"", ""en"")
"),"Nothing to complain about! The knives are very sharp, the pasta is cut without much effort and the dough does not remain on the knives afterwards, the roller smoothly moves the layer of dough, but it is important to knead it to the desired consistency, it"&amp;" will stick too loosely even if the roller is generously sprinkled with flour. But I’ve already gotten the hang of it and the trenette turns out no worse than the options from the supermarket))) In general, it’s useful in any kitchen, I don’t regret that "&amp;"I got this attachment!")</f>
        <v>Nothing to complain about! The knives are very sharp, the pasta is cut without much effort and the dough does not remain on the knives afterwards, the roller smoothly moves the layer of dough, but it is important to knead it to the desired consistency, it will stick too loosely even if the roller is generously sprinkled with flour. But I’ve already gotten the hang of it and the trenette turns out no worse than the options from the supermarket))) In general, it’s useful in any kitchen, I don’t regret that I got this attachment!</v>
      </c>
    </row>
    <row r="12530" spans="1:9" x14ac:dyDescent="0.3">
      <c r="A12530" s="1" t="s">
        <v>105</v>
      </c>
      <c r="B12530" s="1" t="s">
        <v>106</v>
      </c>
      <c r="C12530" s="1" t="s">
        <v>107</v>
      </c>
      <c r="D12530" s="1" t="s">
        <v>3205</v>
      </c>
      <c r="E12530" s="1" t="s">
        <v>3002</v>
      </c>
      <c r="F12530" s="1" t="s">
        <v>17649</v>
      </c>
      <c r="G12530" s="1" t="s">
        <v>49</v>
      </c>
      <c r="H12530" s="1" t="s">
        <v>16</v>
      </c>
      <c r="I12530" s="1" t="str">
        <f ca="1">IFERROR(__xludf.DUMMYFUNCTION("GOOGLETRANSLATE(F12530, ""auto"", ""en"")
"),"I bought the player two months ago, at first I was happy to listen, the sound was good, everything was fine, but after two months the player crashed, stopped turning on and didn’t respond to anything, I brought it in for repair, they said that this couldn"&amp;"’t happen, and they refused to fix it (((")</f>
        <v>I bought the player two months ago, at first I was happy to listen, the sound was good, everything was fine, but after two months the player crashed, stopped turning on and didn’t respond to anything, I brought it in for repair, they said that this couldn’t happen, and they refused to fix it (((</v>
      </c>
    </row>
    <row r="12531" spans="1:9" x14ac:dyDescent="0.3">
      <c r="A12531" s="1" t="s">
        <v>1119</v>
      </c>
      <c r="B12531" s="1" t="s">
        <v>1120</v>
      </c>
      <c r="C12531" s="1" t="s">
        <v>122</v>
      </c>
      <c r="D12531" s="1" t="s">
        <v>1329</v>
      </c>
      <c r="E12531" s="1" t="s">
        <v>109</v>
      </c>
      <c r="F12531" s="1" t="s">
        <v>17650</v>
      </c>
      <c r="G12531" s="1" t="s">
        <v>36</v>
      </c>
      <c r="H12531" s="1" t="s">
        <v>29</v>
      </c>
      <c r="I12531" s="1" t="str">
        <f ca="1">IFERROR(__xludf.DUMMYFUNCTION("GOOGLETRANSLATE(F12531, ""auto"", ""en"")
"),"amazing camera. Just don’t forget to buy a tripod for long-distance shooting, with about 35x magnification. Otherwise, shaking in your hands won’t give you a clear picture.")</f>
        <v>amazing camera. Just don’t forget to buy a tripod for long-distance shooting, with about 35x magnification. Otherwise, shaking in your hands won’t give you a clear picture.</v>
      </c>
    </row>
    <row r="12532" spans="1:9" x14ac:dyDescent="0.3">
      <c r="A12532" s="1" t="s">
        <v>89</v>
      </c>
      <c r="B12532" s="1" t="s">
        <v>90</v>
      </c>
      <c r="C12532" s="1" t="s">
        <v>101</v>
      </c>
      <c r="D12532" s="1" t="s">
        <v>52</v>
      </c>
      <c r="E12532" s="1" t="s">
        <v>614</v>
      </c>
      <c r="F12532" s="1" t="s">
        <v>17651</v>
      </c>
      <c r="G12532" s="1" t="s">
        <v>36</v>
      </c>
      <c r="H12532" s="1" t="s">
        <v>29</v>
      </c>
      <c r="I12532" s="1" t="str">
        <f ca="1">IFERROR(__xludf.DUMMYFUNCTION("GOOGLETRANSLATE(F12532, ""auto"", ""en"")
"),"For a period of use of just over 3 years, no complaints, simple, reliable and convenient. Grinding depends on the time you hold the button. Affordable and affordable.")</f>
        <v>For a period of use of just over 3 years, no complaints, simple, reliable and convenient. Grinding depends on the time you hold the button. Affordable and affordable.</v>
      </c>
    </row>
    <row r="12533" spans="1:9" x14ac:dyDescent="0.3">
      <c r="A12533" s="1" t="s">
        <v>120</v>
      </c>
      <c r="B12533" s="1" t="s">
        <v>196</v>
      </c>
      <c r="C12533" s="1" t="s">
        <v>69</v>
      </c>
      <c r="D12533" s="1" t="s">
        <v>3438</v>
      </c>
      <c r="E12533" s="1" t="s">
        <v>3794</v>
      </c>
      <c r="F12533" s="1" t="s">
        <v>17652</v>
      </c>
      <c r="G12533" s="1" t="s">
        <v>36</v>
      </c>
      <c r="H12533" s="1" t="s">
        <v>29</v>
      </c>
      <c r="I12533" s="1" t="str">
        <f ca="1">IFERROR(__xludf.DUMMYFUNCTION("GOOGLETRANSLATE(F12533, ""auto"", ""en"")
"),"I bought this TV today and couldn’t be happier, the picture quality is excellent! Moreover, you won’t find FULL HD with a 42"" diagonal for this price anywhere! M-VIDEO you are the best!!!")</f>
        <v>I bought this TV today and couldn’t be happier, the picture quality is excellent! Moreover, you won’t find FULL HD with a 42" diagonal for this price anywhere! M-VIDEO you are the best!!!</v>
      </c>
    </row>
    <row r="12534" spans="1:9" x14ac:dyDescent="0.3">
      <c r="A12534" s="1" t="s">
        <v>9</v>
      </c>
      <c r="B12534" s="1" t="s">
        <v>133</v>
      </c>
      <c r="C12534" s="1" t="s">
        <v>159</v>
      </c>
      <c r="D12534" s="1" t="s">
        <v>1940</v>
      </c>
      <c r="E12534" s="1" t="s">
        <v>1657</v>
      </c>
      <c r="F12534" s="1" t="s">
        <v>17653</v>
      </c>
      <c r="G12534" s="1" t="s">
        <v>36</v>
      </c>
      <c r="H12534" s="1" t="s">
        <v>29</v>
      </c>
      <c r="I12534" s="1" t="str">
        <f ca="1">IFERROR(__xludf.DUMMYFUNCTION("GOOGLETRANSLATE(F12534, ""auto"", ""en"")
"),"the cabinet is simply a miracle, it works and cooks perfectly, only here’s the problem: everywhere in the information about the configuration it is indicated that there is a grease filter, in Omsk for some reason it is not available, although Moscow confi"&amp;"rms the presence of the filter, you will have to fight again (((((")</f>
        <v>the cabinet is simply a miracle, it works and cooks perfectly, only here’s the problem: everywhere in the information about the configuration it is indicated that there is a grease filter, in Omsk for some reason it is not available, although Moscow confirms the presence of the filter, you will have to fight again (((((</v>
      </c>
    </row>
    <row r="12535" spans="1:9" x14ac:dyDescent="0.3">
      <c r="A12535" s="1" t="s">
        <v>37</v>
      </c>
      <c r="B12535" s="1" t="s">
        <v>38</v>
      </c>
      <c r="C12535" s="1" t="s">
        <v>151</v>
      </c>
      <c r="D12535" s="1" t="s">
        <v>17654</v>
      </c>
      <c r="E12535" s="1" t="s">
        <v>950</v>
      </c>
      <c r="F12535" s="1" t="s">
        <v>17655</v>
      </c>
      <c r="G12535" s="1" t="s">
        <v>36</v>
      </c>
      <c r="H12535" s="1" t="s">
        <v>29</v>
      </c>
      <c r="I12535" s="1" t="str">
        <f ca="1">IFERROR(__xludf.DUMMYFUNCTION("GOOGLETRANSLATE(F12535, ""auto"", ""en"")
"),"I bought the phone about 2 years ago. No complaints. Very convenient model. Both the design and features are very suitable for women. Everything is simple, accessible, not complicated. It crashed, but didn't crash. The charge holds for a long time. It rai"&amp;"ned at the dacha, everything was fine. In general, not killable. It's a pity that you can't set a melody for ringtones and alarms. Otherwise the phone is excellent. I really regret that I lost it... Now I’m looking for a new phone on the Internet, but app"&amp;"arently I’ll buy this model again. Of all the ones I've had, this one worked the best.")</f>
        <v>I bought the phone about 2 years ago. No complaints. Very convenient model. Both the design and features are very suitable for women. Everything is simple, accessible, not complicated. It crashed, but didn't crash. The charge holds for a long time. It rained at the dacha, everything was fine. In general, not killable. It's a pity that you can't set a melody for ringtones and alarms. Otherwise the phone is excellent. I really regret that I lost it... Now I’m looking for a new phone on the Internet, but apparently I’ll buy this model again. Of all the ones I've had, this one worked the best.</v>
      </c>
    </row>
    <row r="12536" spans="1:9" x14ac:dyDescent="0.3">
      <c r="A12536" s="1" t="s">
        <v>477</v>
      </c>
      <c r="B12536" s="1" t="s">
        <v>478</v>
      </c>
      <c r="C12536" s="1" t="s">
        <v>479</v>
      </c>
      <c r="D12536" s="1" t="s">
        <v>17656</v>
      </c>
      <c r="E12536" s="1" t="s">
        <v>1565</v>
      </c>
      <c r="F12536" s="1" t="s">
        <v>17657</v>
      </c>
      <c r="G12536" s="1" t="s">
        <v>36</v>
      </c>
      <c r="H12536" s="1" t="s">
        <v>29</v>
      </c>
      <c r="I12536" s="1" t="str">
        <f ca="1">IFERROR(__xludf.DUMMYFUNCTION("GOOGLETRANSLATE(F12536, ""auto"", ""en"")
"),"As a super-moderator of one of the leading gaming sports sites in Russia, I say that this year FIFA has stepped up head and shoulders above PES")</f>
        <v>As a super-moderator of one of the leading gaming sports sites in Russia, I say that this year FIFA has stepped up head and shoulders above PES</v>
      </c>
    </row>
    <row r="12537" spans="1:9" x14ac:dyDescent="0.3">
      <c r="A12537" s="1" t="s">
        <v>30</v>
      </c>
      <c r="B12537" s="1" t="s">
        <v>50</v>
      </c>
      <c r="C12537" s="1" t="s">
        <v>32</v>
      </c>
      <c r="D12537" s="1" t="s">
        <v>17658</v>
      </c>
      <c r="E12537" s="1" t="s">
        <v>346</v>
      </c>
      <c r="F12537" s="1" t="s">
        <v>17659</v>
      </c>
      <c r="G12537" s="1" t="s">
        <v>36</v>
      </c>
      <c r="H12537" s="1" t="s">
        <v>29</v>
      </c>
      <c r="I12537" s="1" t="str">
        <f ca="1">IFERROR(__xludf.DUMMYFUNCTION("GOOGLETRANSLATE(F12537, ""auto"", ""en"")
"),"An excellent laptop (I bought it for 34t, but it only stood that way at the beginning, now it’s no longer) Everything is excellent for the money, even better than excellent))) Regarding the display (flickering from the bottom 90 degrees), I can reassure y"&amp;"ou that this is not a defect, but the specifics of the new ACER technology, this is the 1st laptop on which we tested ACER CineBoost Color Engine V2 (by the way, it can be turned off, there is a touch button under the matrix) the flickering is significant"&amp;" will disappear, but the picture quality will become worse.   I’ve been using it for 1 month - there are no complaints (or rather, there are, but you have to remember that you paid 34+ for it, and not 60-70t.r., in order to strictly find fault)")</f>
        <v>An excellent laptop (I bought it for 34t, but it only stood that way at the beginning, now it’s no longer) Everything is excellent for the money, even better than excellent))) Regarding the display (flickering from the bottom 90 degrees), I can reassure you that this is not a defect, but the specifics of the new ACER technology, this is the 1st laptop on which we tested ACER CineBoost Color Engine V2 (by the way, it can be turned off, there is a touch button under the matrix) the flickering is significant will disappear, but the picture quality will become worse.   I’ve been using it for 1 month - there are no complaints (or rather, there are, but you have to remember that you paid 34+ for it, and not 60-70t.r., in order to strictly find fault)</v>
      </c>
    </row>
    <row r="12538" spans="1:9" x14ac:dyDescent="0.3">
      <c r="A12538" s="1" t="s">
        <v>43</v>
      </c>
      <c r="B12538" s="1" t="s">
        <v>44</v>
      </c>
      <c r="C12538" s="1" t="s">
        <v>101</v>
      </c>
      <c r="D12538" s="1" t="s">
        <v>1152</v>
      </c>
      <c r="E12538" s="1" t="s">
        <v>9560</v>
      </c>
      <c r="F12538" s="1" t="s">
        <v>17660</v>
      </c>
      <c r="G12538" s="1" t="s">
        <v>36</v>
      </c>
      <c r="H12538" s="1" t="s">
        <v>29</v>
      </c>
      <c r="I12538" s="1" t="str">
        <f ca="1">IFERROR(__xludf.DUMMYFUNCTION("GOOGLETRANSLATE(F12538, ""auto"", ""en"")
"),"Works fine. not noisy, light. It spins, blows, what else is needed. Plus this is the price. After purchasing, we found the same company at a local supermarket a little cheaper, we were a little upset! The fan itself is ok")</f>
        <v>Works fine. not noisy, light. It spins, blows, what else is needed. Plus this is the price. After purchasing, we found the same company at a local supermarket a little cheaper, we were a little upset! The fan itself is ok</v>
      </c>
    </row>
    <row r="12539" spans="1:9" x14ac:dyDescent="0.3">
      <c r="A12539" s="1" t="s">
        <v>149</v>
      </c>
      <c r="B12539" s="1" t="s">
        <v>423</v>
      </c>
      <c r="C12539" s="1" t="s">
        <v>314</v>
      </c>
      <c r="D12539" s="1" t="s">
        <v>46</v>
      </c>
      <c r="E12539" s="1" t="s">
        <v>17661</v>
      </c>
      <c r="F12539" s="1" t="s">
        <v>17662</v>
      </c>
      <c r="G12539" s="1" t="s">
        <v>36</v>
      </c>
      <c r="H12539" s="1" t="s">
        <v>29</v>
      </c>
      <c r="I12539" s="1" t="str">
        <f ca="1">IFERROR(__xludf.DUMMYFUNCTION("GOOGLETRANSLATE(F12539, ""auto"", ""en"")
"),"Initially we bought it for our parents for their home, but after trying it we decided to get it for ourselves, for our apartment, we have small children and a cat! Taking, taking and taking again is an irreplaceable thing, at least for me!")</f>
        <v>Initially we bought it for our parents for their home, but after trying it we decided to get it for ourselves, for our apartment, we have small children and a cat! Taking, taking and taking again is an irreplaceable thing, at least for me!</v>
      </c>
    </row>
    <row r="12540" spans="1:9" x14ac:dyDescent="0.3">
      <c r="A12540" s="1" t="s">
        <v>149</v>
      </c>
      <c r="B12540" s="1" t="s">
        <v>150</v>
      </c>
      <c r="C12540" s="1" t="s">
        <v>151</v>
      </c>
      <c r="D12540" s="1" t="s">
        <v>2527</v>
      </c>
      <c r="E12540" s="1" t="s">
        <v>2004</v>
      </c>
      <c r="F12540" s="1" t="s">
        <v>17663</v>
      </c>
      <c r="G12540" s="1" t="s">
        <v>36</v>
      </c>
      <c r="H12540" s="1" t="s">
        <v>29</v>
      </c>
      <c r="I12540" s="1" t="str">
        <f ca="1">IFERROR(__xludf.DUMMYFUNCTION("GOOGLETRANSLATE(F12540, ""auto"", ""en"")
"),"I was very pleased with the purchase. Of the minuses, well, not for me, but for my mother and cats - it is noisy. The length of the cord is enough to vacuum the entire house from the outlet in the middle of the apartment without switching. The presence of"&amp;" slotted brushes is a good thing, and the small turbo brush is quite handy; if someone doesn’t have enough, there is the opportunity to buy a larger standard one. After a week of standard use, I decided to do a crash test. I wet the washed floor again and"&amp;" collected the water with a vacuum cleaner!!!! ATTENTION DO NOT REPEAT!!!! Manufacturers do not recommend. The iron handle gave me a slight electric shock (since my hands and feet were wet, I immediately grabbed the plastic handle) and collected water fro"&amp;"m the floor with a bang, as if I had just wiped it with a damp rag. I was shocked by what I saw, I don’t know where all this came from in the filter, I seem to be a good housewife and meticulous in terms of cleanliness, but I repeat that what I saw was ve"&amp;"ry surprising. In general, I haven’t regretted the purchase even once, it’s powerful with a normal number of comfortable, durable attachments, it doesn’t spit out dust into the air, it stays in the water and on the filters. I hope it will please you for a"&amp;" long time.")</f>
        <v>I was very pleased with the purchase. Of the minuses, well, not for me, but for my mother and cats - it is noisy. The length of the cord is enough to vacuum the entire house from the outlet in the middle of the apartment without switching. The presence of slotted brushes is a good thing, and the small turbo brush is quite handy; if someone doesn’t have enough, there is the opportunity to buy a larger standard one. After a week of standard use, I decided to do a crash test. I wet the washed floor again and collected the water with a vacuum cleaner!!!! ATTENTION DO NOT REPEAT!!!! Manufacturers do not recommend. The iron handle gave me a slight electric shock (since my hands and feet were wet, I immediately grabbed the plastic handle) and collected water from the floor with a bang, as if I had just wiped it with a damp rag. I was shocked by what I saw, I don’t know where all this came from in the filter, I seem to be a good housewife and meticulous in terms of cleanliness, but I repeat that what I saw was very surprising. In general, I haven’t regretted the purchase even once, it’s powerful with a normal number of comfortable, durable attachments, it doesn’t spit out dust into the air, it stays in the water and on the filters. I hope it will please you for a long time.</v>
      </c>
    </row>
    <row r="12541" spans="1:9" x14ac:dyDescent="0.3">
      <c r="A12541" s="1" t="s">
        <v>624</v>
      </c>
      <c r="B12541" s="1" t="s">
        <v>881</v>
      </c>
      <c r="C12541" s="1" t="s">
        <v>479</v>
      </c>
      <c r="D12541" s="1" t="s">
        <v>17664</v>
      </c>
      <c r="E12541" s="1" t="s">
        <v>661</v>
      </c>
      <c r="F12541" s="1" t="s">
        <v>17665</v>
      </c>
      <c r="G12541" s="1" t="s">
        <v>36</v>
      </c>
      <c r="H12541" s="1" t="s">
        <v>29</v>
      </c>
      <c r="I12541" s="1" t="str">
        <f ca="1">IFERROR(__xludf.DUMMYFUNCTION("GOOGLETRANSLATE(F12541, ""auto"", ""en"")
"),"The game is very cool, especially for those who play PSP a lot at home, running around the house looking for monsters is very exciting! but there are too many hints and they are not missed! I liked it when I was 13!")</f>
        <v>The game is very cool, especially for those who play PSP a lot at home, running around the house looking for monsters is very exciting! but there are too many hints and they are not missed! I liked it when I was 13!</v>
      </c>
    </row>
    <row r="12542" spans="1:9" x14ac:dyDescent="0.3">
      <c r="A12542" s="1" t="s">
        <v>9</v>
      </c>
      <c r="B12542" s="1" t="s">
        <v>133</v>
      </c>
      <c r="C12542" s="1" t="s">
        <v>159</v>
      </c>
      <c r="D12542" s="1" t="s">
        <v>565</v>
      </c>
      <c r="E12542" s="1" t="s">
        <v>2721</v>
      </c>
      <c r="F12542" s="1" t="s">
        <v>17666</v>
      </c>
      <c r="G12542" s="1" t="s">
        <v>36</v>
      </c>
      <c r="H12542" s="1" t="s">
        <v>29</v>
      </c>
      <c r="I12542" s="1" t="str">
        <f ca="1">IFERROR(__xludf.DUMMYFUNCTION("GOOGLETRANSLATE(F12542, ""auto"", ""en"")
"),"I bought it not long ago, I chose it myself, I’m delighted, the oven is super!!!")</f>
        <v>I bought it not long ago, I chose it myself, I’m delighted, the oven is super!!!</v>
      </c>
    </row>
    <row r="12543" spans="1:9" x14ac:dyDescent="0.3">
      <c r="A12543" s="1" t="s">
        <v>149</v>
      </c>
      <c r="B12543" s="1" t="s">
        <v>150</v>
      </c>
      <c r="C12543" s="1" t="s">
        <v>6732</v>
      </c>
      <c r="D12543" s="1" t="s">
        <v>152</v>
      </c>
      <c r="E12543" s="1" t="s">
        <v>1044</v>
      </c>
      <c r="F12543" s="1" t="s">
        <v>17667</v>
      </c>
      <c r="G12543" s="1" t="s">
        <v>36</v>
      </c>
      <c r="H12543" s="1" t="s">
        <v>29</v>
      </c>
      <c r="I12543" s="1" t="str">
        <f ca="1">IFERROR(__xludf.DUMMYFUNCTION("GOOGLETRANSLATE(F12543, ""auto"", ""en"")
"),"Very good vacuum cleaner!!! Very good suction power due to the aquafilter. The container is washed instantly and, most importantly, practically no consumables are needed!!! Very quiet and most importantly the quality of the material and the vacuum cleaner"&amp;" itself is excellent!!! I recommend it!!!")</f>
        <v>Very good vacuum cleaner!!! Very good suction power due to the aquafilter. The container is washed instantly and, most importantly, practically no consumables are needed!!! Very quiet and most importantly the quality of the material and the vacuum cleaner itself is excellent!!! I recommend it!!!</v>
      </c>
    </row>
    <row r="12544" spans="1:9" x14ac:dyDescent="0.3">
      <c r="A12544" s="1" t="s">
        <v>120</v>
      </c>
      <c r="B12544" s="1" t="s">
        <v>126</v>
      </c>
      <c r="C12544" s="1" t="s">
        <v>151</v>
      </c>
      <c r="D12544" s="1" t="s">
        <v>152</v>
      </c>
      <c r="E12544" s="1" t="s">
        <v>17668</v>
      </c>
      <c r="F12544" s="1" t="s">
        <v>17669</v>
      </c>
      <c r="G12544" s="1" t="s">
        <v>28</v>
      </c>
      <c r="H12544" s="1" t="s">
        <v>29</v>
      </c>
      <c r="I12544" s="1" t="str">
        <f ca="1">IFERROR(__xludf.DUMMYFUNCTION("GOOGLETRANSLATE(F12544, ""auto"", ""en"")
"),"I purchased it on August 2nd. Installed and turned on. The whole family is delighted!!! There are 2 LCDs, one is 20 inches, the second is 32. The new plasma has a much better picture at home. On-air TV can be tuned quite efficiently using an interference "&amp;"suppressor. but bad luck, when I went to bed, the TV turned on by itself!! the matrix lit up, and after 2 seconds everything went out. I thought - everything is screwed. but no - it works :) but the strange glitch remains - it turns on itself 45 minutes a"&amp;"fter turning off and immediately goes out. I called Samsung and they said there was a software failure and I needed to reflash it. Today I took it to the technical department. took me for a test. I’ll write as soon as I find out (up to 20 days).")</f>
        <v>I purchased it on August 2nd. Installed and turned on. The whole family is delighted!!! There are 2 LCDs, one is 20 inches, the second is 32. The new plasma has a much better picture at home. On-air TV can be tuned quite efficiently using an interference suppressor. but bad luck, when I went to bed, the TV turned on by itself!! the matrix lit up, and after 2 seconds everything went out. I thought - everything is screwed. but no - it works :) but the strange glitch remains - it turns on itself 45 minutes after turning off and immediately goes out. I called Samsung and they said there was a software failure and I needed to reflash it. Today I took it to the technical department. took me for a test. I’ll write as soon as I find out (up to 20 days).</v>
      </c>
    </row>
    <row r="12545" spans="1:9" x14ac:dyDescent="0.3">
      <c r="A12545" s="1" t="s">
        <v>238</v>
      </c>
      <c r="B12545" s="1" t="s">
        <v>276</v>
      </c>
      <c r="C12545" s="1" t="s">
        <v>1677</v>
      </c>
      <c r="D12545" s="1" t="s">
        <v>565</v>
      </c>
      <c r="E12545" s="1" t="s">
        <v>4303</v>
      </c>
      <c r="F12545" s="1" t="s">
        <v>17670</v>
      </c>
      <c r="G12545" s="1" t="s">
        <v>36</v>
      </c>
      <c r="H12545" s="1" t="s">
        <v>29</v>
      </c>
      <c r="I12545" s="1" t="str">
        <f ca="1">IFERROR(__xludf.DUMMYFUNCTION("GOOGLETRANSLATE(F12545, ""auto"", ""en"")
"),"Great refrigerator. Spacious, ergonomic, silent and stylish!!!")</f>
        <v>Great refrigerator. Spacious, ergonomic, silent and stylish!!!</v>
      </c>
    </row>
    <row r="12546" spans="1:9" x14ac:dyDescent="0.3">
      <c r="A12546" s="1" t="s">
        <v>496</v>
      </c>
      <c r="B12546" s="1" t="s">
        <v>497</v>
      </c>
      <c r="C12546" s="1" t="s">
        <v>487</v>
      </c>
      <c r="D12546" s="1" t="s">
        <v>17671</v>
      </c>
      <c r="E12546" s="1" t="s">
        <v>5800</v>
      </c>
      <c r="F12546" s="1" t="s">
        <v>17672</v>
      </c>
      <c r="G12546" s="1" t="s">
        <v>36</v>
      </c>
      <c r="H12546" s="1" t="s">
        <v>29</v>
      </c>
      <c r="I12546" s="1" t="str">
        <f ca="1">IFERROR(__xludf.DUMMYFUNCTION("GOOGLETRANSLATE(F12546, ""auto"", ""en"")
"),"The best operating system is Windows 7 Ultimate. But these games will have to wait until 2010 - 2012, which will be played in parallel. I waited until the service package SP-1 for Windows 7 was updated!")</f>
        <v>The best operating system is Windows 7 Ultimate. But these games will have to wait until 2010 - 2012, which will be played in parallel. I waited until the service package SP-1 for Windows 7 was updated!</v>
      </c>
    </row>
    <row r="12547" spans="1:9" x14ac:dyDescent="0.3">
      <c r="A12547" s="1" t="s">
        <v>105</v>
      </c>
      <c r="B12547" s="1" t="s">
        <v>106</v>
      </c>
      <c r="C12547" s="1" t="s">
        <v>1209</v>
      </c>
      <c r="D12547" s="1" t="s">
        <v>17673</v>
      </c>
      <c r="E12547" s="1" t="s">
        <v>886</v>
      </c>
      <c r="F12547" s="1" t="s">
        <v>17674</v>
      </c>
      <c r="G12547" s="1" t="s">
        <v>28</v>
      </c>
      <c r="H12547" s="1" t="s">
        <v>29</v>
      </c>
      <c r="I12547" s="1" t="str">
        <f ca="1">IFERROR(__xludf.DUMMYFUNCTION("GOOGLETRANSLATE(F12547, ""auto"", ""en"")
"),"I'll start with the advantages: 1) Comfortable to hold in your hand 2) Bright and colorful display 3) Beautiful menu 4) Naturally good memory 5) Excellent design (a bit like an Ipod) 6) Good sound and video quality 7) You can read books 8) You can delete "&amp;"files from the player itself, without connecting. to the computer.  And now the disadvantages 1) Headphone jack (it fell apart after 2 months after purchase) 2) It often freezes 3) The reset button is very inconvenient, you can only get there with a needl"&amp;"e or a paper clip 4) Display! I dropped it from a small height of about 40/45 cm and the glass cracked right diagonally.  5) The buttons began to stick in the second week. Overall, the player is not bad, it corresponds to its price, but its quality is a l"&amp;"ittle let down! And so stylish and beautiful! Lasted me half a year.")</f>
        <v>I'll start with the advantages: 1) Comfortable to hold in your hand 2) Bright and colorful display 3) Beautiful menu 4) Naturally good memory 5) Excellent design (a bit like an Ipod) 6) Good sound and video quality 7) You can read books 8) You can delete files from the player itself, without connecting. to the computer.  And now the disadvantages 1) Headphone jack (it fell apart after 2 months after purchase) 2) It often freezes 3) The reset button is very inconvenient, you can only get there with a needle or a paper clip 4) Display! I dropped it from a small height of about 40/45 cm and the glass cracked right diagonally.  5) The buttons began to stick in the second week. Overall, the player is not bad, it corresponds to its price, but its quality is a little let down! And so stylish and beautiful! Lasted me half a year.</v>
      </c>
    </row>
    <row r="12548" spans="1:9" x14ac:dyDescent="0.3">
      <c r="A12548" s="1" t="s">
        <v>211</v>
      </c>
      <c r="B12548" s="1" t="s">
        <v>384</v>
      </c>
      <c r="C12548" s="1" t="s">
        <v>351</v>
      </c>
      <c r="D12548" s="1" t="s">
        <v>152</v>
      </c>
      <c r="E12548" s="1" t="s">
        <v>2754</v>
      </c>
      <c r="F12548" s="1" t="s">
        <v>17675</v>
      </c>
      <c r="G12548" s="1" t="s">
        <v>36</v>
      </c>
      <c r="H12548" s="1" t="s">
        <v>29</v>
      </c>
      <c r="I12548" s="1" t="str">
        <f ca="1">IFERROR(__xludf.DUMMYFUNCTION("GOOGLETRANSLATE(F12548, ""auto"", ""en"")
"),"It happens that I weigh myself twice a day, sometimes I’m upset, but more often I’m happy. The scales themselves are accurate and lightweight, and beautifully designed. During all the time of use they did not even get dirty, they did not stain at all. Pri"&amp;"ce/quality is just five stars.")</f>
        <v>It happens that I weigh myself twice a day, sometimes I’m upset, but more often I’m happy. The scales themselves are accurate and lightweight, and beautifully designed. During all the time of use they did not even get dirty, they did not stain at all. Price/quality is just five stars.</v>
      </c>
    </row>
    <row r="12549" spans="1:9" x14ac:dyDescent="0.3">
      <c r="A12549" s="1" t="s">
        <v>120</v>
      </c>
      <c r="B12549" s="1" t="s">
        <v>196</v>
      </c>
      <c r="C12549" s="1" t="s">
        <v>80</v>
      </c>
      <c r="D12549" s="1" t="s">
        <v>695</v>
      </c>
      <c r="E12549" s="1" t="s">
        <v>3872</v>
      </c>
      <c r="F12549" s="1" t="s">
        <v>17676</v>
      </c>
      <c r="G12549" s="1" t="s">
        <v>36</v>
      </c>
      <c r="H12549" s="1" t="s">
        <v>29</v>
      </c>
      <c r="I12549" s="1" t="str">
        <f ca="1">IFERROR(__xludf.DUMMYFUNCTION("GOOGLETRANSLATE(F12549, ""auto"", ""en"")
"),"The panel for that kind of money is simply a miracle + in addition, after a simple operation with firmware and configuration, you get an omnivorous player that easily reads h264 encoded video and in an MKV container, which is a huge plus for me")</f>
        <v>The panel for that kind of money is simply a miracle + in addition, after a simple operation with firmware and configuration, you get an omnivorous player that easily reads h264 encoded video and in an MKV container, which is a huge plus for me</v>
      </c>
    </row>
    <row r="12550" spans="1:9" x14ac:dyDescent="0.3">
      <c r="A12550" s="1" t="s">
        <v>206</v>
      </c>
      <c r="B12550" s="1" t="s">
        <v>2026</v>
      </c>
      <c r="C12550" s="1" t="s">
        <v>4219</v>
      </c>
      <c r="D12550" s="1" t="s">
        <v>280</v>
      </c>
      <c r="E12550" s="1" t="s">
        <v>259</v>
      </c>
      <c r="F12550" s="1" t="s">
        <v>17677</v>
      </c>
      <c r="G12550" s="1" t="s">
        <v>28</v>
      </c>
      <c r="H12550" s="1" t="s">
        <v>29</v>
      </c>
      <c r="I12550" s="1" t="str">
        <f ca="1">IFERROR(__xludf.DUMMYFUNCTION("GOOGLETRANSLATE(F12550, ""auto"", ""en"")
"),"TV is not bad. I connected an active antenna to it (I use it on... the balcony) and it catches almost everything. Reads files via USB - no problem. The downside, of course, is that the connectors are located at the bottom, which is not entirely convenient"&amp;". I haven’t used it in a car, but judging by the antenna and outdoor reception (which is included), it won’t pick up many channels.")</f>
        <v>TV is not bad. I connected an active antenna to it (I use it on... the balcony) and it catches almost everything. Reads files via USB - no problem. The downside, of course, is that the connectors are located at the bottom, which is not entirely convenient. I haven’t used it in a car, but judging by the antenna and outdoor reception (which is included), it won’t pick up many channels.</v>
      </c>
    </row>
    <row r="12551" spans="1:9" x14ac:dyDescent="0.3">
      <c r="A12551" s="1" t="s">
        <v>17</v>
      </c>
      <c r="B12551" s="1" t="s">
        <v>18</v>
      </c>
      <c r="C12551" s="1" t="s">
        <v>243</v>
      </c>
      <c r="D12551" s="1" t="s">
        <v>456</v>
      </c>
      <c r="E12551" s="1" t="s">
        <v>17577</v>
      </c>
      <c r="F12551" s="1" t="s">
        <v>17678</v>
      </c>
      <c r="G12551" s="1" t="s">
        <v>36</v>
      </c>
      <c r="H12551" s="1" t="s">
        <v>29</v>
      </c>
      <c r="I12551" s="1" t="str">
        <f ca="1">IFERROR(__xludf.DUMMYFUNCTION("GOOGLETRANSLATE(F12551, ""auto"", ""en"")
"),"spin speed 1000 rpm, load 4kg. Powerful and reliable machine.")</f>
        <v>spin speed 1000 rpm, load 4kg. Powerful and reliable machine.</v>
      </c>
    </row>
    <row r="12552" spans="1:9" x14ac:dyDescent="0.3">
      <c r="A12552" s="1" t="s">
        <v>9</v>
      </c>
      <c r="B12552" s="1" t="s">
        <v>137</v>
      </c>
      <c r="C12552" s="1" t="s">
        <v>870</v>
      </c>
      <c r="D12552" s="1" t="s">
        <v>17679</v>
      </c>
      <c r="E12552" s="1" t="s">
        <v>603</v>
      </c>
      <c r="F12552" s="1" t="s">
        <v>17680</v>
      </c>
      <c r="G12552" s="1" t="s">
        <v>36</v>
      </c>
      <c r="H12552" s="1" t="s">
        <v>29</v>
      </c>
      <c r="I12552" s="1" t="str">
        <f ca="1">IFERROR(__xludf.DUMMYFUNCTION("GOOGLETRANSLATE(F12552, ""auto"", ""en"")
"),"Nice design, quite roomy size, comfortable burners and switch knobs. Electric ignition works instantly. The size of the flame changes very smoothly, without jerking. The grates are made of enamel and are not heavy at all, they are easy to clean. The surfa"&amp;"ce itself is also not particularly easily soiled and can be easily washed with any detergent! Very pleased with the purchase!")</f>
        <v>Nice design, quite roomy size, comfortable burners and switch knobs. Electric ignition works instantly. The size of the flame changes very smoothly, without jerking. The grates are made of enamel and are not heavy at all, they are easy to clean. The surface itself is also not particularly easily soiled and can be easily washed with any detergent! Very pleased with the purchase!</v>
      </c>
    </row>
    <row r="12553" spans="1:9" x14ac:dyDescent="0.3">
      <c r="A12553" s="1" t="s">
        <v>61</v>
      </c>
      <c r="B12553" s="1" t="s">
        <v>318</v>
      </c>
      <c r="C12553" s="1" t="s">
        <v>101</v>
      </c>
      <c r="D12553" s="1" t="s">
        <v>1431</v>
      </c>
      <c r="E12553" s="1" t="s">
        <v>1203</v>
      </c>
      <c r="F12553" s="1" t="s">
        <v>17681</v>
      </c>
      <c r="G12553" s="1" t="s">
        <v>49</v>
      </c>
      <c r="H12553" s="1" t="s">
        <v>16</v>
      </c>
      <c r="I12553" s="1" t="str">
        <f ca="1">IFERROR(__xludf.DUMMYFUNCTION("GOOGLETRANSLATE(F12553, ""auto"", ""en"")
"),"I don't understand why so many people give this kettle good ratings. I’ve been trying to use it for two weeks now, but the smell of plastic still doesn’t go away. The description says that it only requires a few boils, but I can’t do that. What the Chines"&amp;"e made such stinking plastic from will remain a mystery")</f>
        <v>I don't understand why so many people give this kettle good ratings. I’ve been trying to use it for two weeks now, but the smell of plastic still doesn’t go away. The description says that it only requires a few boils, but I can’t do that. What the Chinese made such stinking plastic from will remain a mystery</v>
      </c>
    </row>
    <row r="12554" spans="1:9" x14ac:dyDescent="0.3">
      <c r="A12554" s="1" t="s">
        <v>61</v>
      </c>
      <c r="B12554" s="1" t="s">
        <v>145</v>
      </c>
      <c r="C12554" s="1" t="s">
        <v>1981</v>
      </c>
      <c r="D12554" s="1" t="s">
        <v>12</v>
      </c>
      <c r="E12554" s="1" t="s">
        <v>5955</v>
      </c>
      <c r="F12554" s="1" t="s">
        <v>17682</v>
      </c>
      <c r="G12554" s="1" t="s">
        <v>36</v>
      </c>
      <c r="H12554" s="1" t="s">
        <v>29</v>
      </c>
      <c r="I12554" s="1" t="str">
        <f ca="1">IFERROR(__xludf.DUMMYFUNCTION("GOOGLETRANSLATE(F12554, ""auto"", ""en"")
"),"I really can't imagine how people live without this thing! I loaded the eggs, poured in as much water as needed and left. and there is no need to keep watch, keep track of time or set a timer. Everyone laughs at this thing, but in reality it makes life ea"&amp;"sier for us women. And probably not only women!")</f>
        <v>I really can't imagine how people live without this thing! I loaded the eggs, poured in as much water as needed and left. and there is no need to keep watch, keep track of time or set a timer. Everyone laughs at this thing, but in reality it makes life easier for us women. And probably not only women!</v>
      </c>
    </row>
    <row r="12555" spans="1:9" x14ac:dyDescent="0.3">
      <c r="A12555" s="1" t="s">
        <v>61</v>
      </c>
      <c r="B12555" s="1" t="s">
        <v>318</v>
      </c>
      <c r="C12555" s="1" t="s">
        <v>69</v>
      </c>
      <c r="D12555" s="1" t="s">
        <v>308</v>
      </c>
      <c r="E12555" s="1" t="s">
        <v>12202</v>
      </c>
      <c r="F12555" s="1" t="s">
        <v>17683</v>
      </c>
      <c r="G12555" s="1" t="s">
        <v>36</v>
      </c>
      <c r="H12555" s="1" t="s">
        <v>29</v>
      </c>
      <c r="I12555" s="1" t="str">
        <f ca="1">IFERROR(__xludf.DUMMYFUNCTION("GOOGLETRANSLATE(F12555, ""auto"", ""en"")
"),"I have been using the kettle for 6 years now and there is no sign of any breakdown. I'm happy with everything, especially for the money!")</f>
        <v>I have been using the kettle for 6 years now and there is no sign of any breakdown. I'm happy with everything, especially for the money!</v>
      </c>
    </row>
    <row r="12556" spans="1:9" x14ac:dyDescent="0.3">
      <c r="A12556" s="1" t="s">
        <v>37</v>
      </c>
      <c r="B12556" s="1" t="s">
        <v>38</v>
      </c>
      <c r="C12556" s="1" t="s">
        <v>163</v>
      </c>
      <c r="D12556" s="1" t="s">
        <v>11872</v>
      </c>
      <c r="E12556" s="1" t="s">
        <v>2280</v>
      </c>
      <c r="F12556" s="1" t="s">
        <v>17684</v>
      </c>
      <c r="G12556" s="1" t="s">
        <v>36</v>
      </c>
      <c r="H12556" s="1" t="s">
        <v>29</v>
      </c>
      <c r="I12556" s="1" t="str">
        <f ca="1">IFERROR(__xludf.DUMMYFUNCTION("GOOGLETRANSLATE(F12556, ""auto"", ""en"")
"),"I bought this phone for the second time))) I lost the first one. There was an opportunity to buy something newer, but my choice fell again on it. A very convenient headphone jack, we take the speakers to the dacha, connect them to the phone - the music is"&amp;" ready!!!! I drop the phone all the time... no matter what. I LOVE YOU!!!")</f>
        <v>I bought this phone for the second time))) I lost the first one. There was an opportunity to buy something newer, but my choice fell again on it. A very convenient headphone jack, we take the speakers to the dacha, connect them to the phone - the music is ready!!!! I drop the phone all the time... no matter what. I LOVE YOU!!!</v>
      </c>
    </row>
    <row r="12557" spans="1:9" x14ac:dyDescent="0.3">
      <c r="A12557" s="1" t="s">
        <v>624</v>
      </c>
      <c r="B12557" s="1" t="s">
        <v>625</v>
      </c>
      <c r="C12557" s="1" t="s">
        <v>479</v>
      </c>
      <c r="D12557" s="1" t="s">
        <v>208</v>
      </c>
      <c r="E12557" s="1" t="s">
        <v>449</v>
      </c>
      <c r="F12557" s="1" t="s">
        <v>17685</v>
      </c>
      <c r="G12557" s="1" t="s">
        <v>36</v>
      </c>
      <c r="H12557" s="1" t="s">
        <v>29</v>
      </c>
      <c r="I12557" s="1" t="str">
        <f ca="1">IFERROR(__xludf.DUMMYFUNCTION("GOOGLETRANSLATE(F12557, ""auto"", ""en"")
"),"Finally made up my mind and bought heavy rain. At the beginning I was a little afraid that I wouldn’t understand anything (this was thanks to one of the magazines). But as it turned out, the game is very easy to master, and even at a very difficult diffic"&amp;"ulty level you can easily press the buttons in time!) As for the plot, there are no complaints here. The plot is at the highest level!) The game keeps you in suspense until the very end!) I can assure you that when you find out who the killer is, you will"&amp;" be shocked!) As for the combat system, everything is beautiful and impressive!) In general, I advise everyone to master this game!) If you don’t have a PS3, no problem, buy both, you won’t regret it!)))))))")</f>
        <v>Finally made up my mind and bought heavy rain. At the beginning I was a little afraid that I wouldn’t understand anything (this was thanks to one of the magazines). But as it turned out, the game is very easy to master, and even at a very difficult difficulty level you can easily press the buttons in time!) As for the plot, there are no complaints here. The plot is at the highest level!) The game keeps you in suspense until the very end!) I can assure you that when you find out who the killer is, you will be shocked!) As for the combat system, everything is beautiful and impressive!) In general, I advise everyone to master this game!) If you don’t have a PS3, no problem, buy both, you won’t regret it!)))))))</v>
      </c>
    </row>
    <row r="12558" spans="1:9" x14ac:dyDescent="0.3">
      <c r="A12558" s="1" t="s">
        <v>43</v>
      </c>
      <c r="B12558" s="1" t="s">
        <v>502</v>
      </c>
      <c r="C12558" s="1" t="s">
        <v>151</v>
      </c>
      <c r="D12558" s="1" t="s">
        <v>280</v>
      </c>
      <c r="E12558" s="1" t="s">
        <v>17686</v>
      </c>
      <c r="F12558" s="1" t="s">
        <v>17687</v>
      </c>
      <c r="G12558" s="1" t="s">
        <v>36</v>
      </c>
      <c r="H12558" s="1" t="s">
        <v>29</v>
      </c>
      <c r="I12558" s="1" t="str">
        <f ca="1">IFERROR(__xludf.DUMMYFUNCTION("GOOGLETRANSLATE(F12558, ""auto"", ""en"")
"),"I bought it a year ago. There were no problems. Works like a charm, I recommend it")</f>
        <v>I bought it a year ago. There were no problems. Works like a charm, I recommend it</v>
      </c>
    </row>
    <row r="12559" spans="1:9" x14ac:dyDescent="0.3">
      <c r="A12559" s="1" t="s">
        <v>211</v>
      </c>
      <c r="B12559" s="1" t="s">
        <v>410</v>
      </c>
      <c r="C12559" s="1" t="s">
        <v>122</v>
      </c>
      <c r="D12559" s="1" t="s">
        <v>17688</v>
      </c>
      <c r="E12559" s="1" t="s">
        <v>1871</v>
      </c>
      <c r="F12559" s="1" t="s">
        <v>17689</v>
      </c>
      <c r="G12559" s="1" t="s">
        <v>36</v>
      </c>
      <c r="H12559" s="1" t="s">
        <v>29</v>
      </c>
      <c r="I12559" s="1" t="str">
        <f ca="1">IFERROR(__xludf.DUMMYFUNCTION("GOOGLETRANSLATE(F12559, ""auto"", ""en"")
"),"I’ve been using the factory sample for 2 years, I bought it in Moscow on a hump.  I can say that the razor is completely worth the money.  For two years, the quality of the device has not decreased in any way. Still shaves everything clean!  I recommend i"&amp;"t.   Before this, I only used Masn 3, since nothing else took my stubble.  It turned out that shaving with such a razor with foam is much better and cheaper than with razors.")</f>
        <v>I’ve been using the factory sample for 2 years, I bought it in Moscow on a hump.  I can say that the razor is completely worth the money.  For two years, the quality of the device has not decreased in any way. Still shaves everything clean!  I recommend it.   Before this, I only used Masn 3, since nothing else took my stubble.  It turned out that shaving with such a razor with foam is much better and cheaper than with razors.</v>
      </c>
    </row>
    <row r="12560" spans="1:9" x14ac:dyDescent="0.3">
      <c r="A12560" s="1" t="s">
        <v>37</v>
      </c>
      <c r="B12560" s="1" t="s">
        <v>536</v>
      </c>
      <c r="C12560" s="1" t="s">
        <v>189</v>
      </c>
      <c r="D12560" s="1" t="s">
        <v>940</v>
      </c>
      <c r="E12560" s="1" t="s">
        <v>1975</v>
      </c>
      <c r="F12560" s="1" t="s">
        <v>17690</v>
      </c>
      <c r="G12560" s="1" t="s">
        <v>36</v>
      </c>
      <c r="H12560" s="1" t="s">
        <v>29</v>
      </c>
      <c r="I12560" s="1" t="str">
        <f ca="1">IFERROR(__xludf.DUMMYFUNCTION("GOOGLETRANSLATE(F12560, ""auto"", ""en"")
"),"This is the best communicator. It works very quickly.")</f>
        <v>This is the best communicator. It works very quickly.</v>
      </c>
    </row>
    <row r="12561" spans="1:9" x14ac:dyDescent="0.3">
      <c r="A12561" s="1" t="s">
        <v>30</v>
      </c>
      <c r="B12561" s="1" t="s">
        <v>50</v>
      </c>
      <c r="C12561" s="1" t="s">
        <v>377</v>
      </c>
      <c r="D12561" s="1" t="s">
        <v>280</v>
      </c>
      <c r="E12561" s="1" t="s">
        <v>1086</v>
      </c>
      <c r="F12561" s="1" t="s">
        <v>17691</v>
      </c>
      <c r="G12561" s="1" t="s">
        <v>36</v>
      </c>
      <c r="H12561" s="1" t="s">
        <v>29</v>
      </c>
      <c r="I12561" s="1" t="str">
        <f ca="1">IFERROR(__xludf.DUMMYFUNCTION("GOOGLETRANSLATE(F12561, ""auto"", ""en"")
"),"You won't find a better option in this price category! A huge plus is that the manufacturer’s website has all the wood and Vista is demolished with a bang!")</f>
        <v>You won't find a better option in this price category! A huge plus is that the manufacturer’s website has all the wood and Vista is demolished with a bang!</v>
      </c>
    </row>
    <row r="12562" spans="1:9" x14ac:dyDescent="0.3">
      <c r="A12562" s="1" t="s">
        <v>17</v>
      </c>
      <c r="B12562" s="1" t="s">
        <v>18</v>
      </c>
      <c r="C12562" s="1" t="s">
        <v>151</v>
      </c>
      <c r="D12562" s="1" t="s">
        <v>565</v>
      </c>
      <c r="E12562" s="1" t="s">
        <v>3730</v>
      </c>
      <c r="F12562" s="1" t="s">
        <v>17692</v>
      </c>
      <c r="G12562" s="1" t="s">
        <v>15</v>
      </c>
      <c r="H12562" s="1" t="s">
        <v>16</v>
      </c>
      <c r="I12562" s="1" t="str">
        <f ca="1">IFERROR(__xludf.DUMMYFUNCTION("GOOGLETRANSLATE(F12562, ""auto"", ""en"")
"),"Today we bought the machine. It looks beautiful. During the first run without underwear, everything was OK. Then we started washing the underwear and then it started. She was jumping around the bathroom!!! Two people held her! She almost “ran away” into t"&amp;"he living room. I don't recommend it.  Very good. upset((( P.S.: I want to exchange.")</f>
        <v>Today we bought the machine. It looks beautiful. During the first run without underwear, everything was OK. Then we started washing the underwear and then it started. She was jumping around the bathroom!!! Two people held her! She almost “ran away” into the living room. I don't recommend it.  Very good. upset((( P.S.: I want to exchange.</v>
      </c>
    </row>
    <row r="12563" spans="1:9" x14ac:dyDescent="0.3">
      <c r="A12563" s="1" t="s">
        <v>61</v>
      </c>
      <c r="B12563" s="1" t="s">
        <v>180</v>
      </c>
      <c r="C12563" s="1" t="s">
        <v>74</v>
      </c>
      <c r="D12563" s="1" t="s">
        <v>589</v>
      </c>
      <c r="E12563" s="1" t="s">
        <v>4760</v>
      </c>
      <c r="F12563" s="1" t="s">
        <v>17693</v>
      </c>
      <c r="G12563" s="1" t="s">
        <v>36</v>
      </c>
      <c r="H12563" s="1" t="s">
        <v>29</v>
      </c>
      <c r="I12563" s="1" t="str">
        <f ca="1">IFERROR(__xludf.DUMMYFUNCTION("GOOGLETRANSLATE(F12563, ""auto"", ""en"")
"),"Great toaster. We've been using it for 4 years and it works well. The sandwiches are great, everyone loves them. After us, several friends already bought. We recommend.")</f>
        <v>Great toaster. We've been using it for 4 years and it works well. The sandwiches are great, everyone loves them. After us, several friends already bought. We recommend.</v>
      </c>
    </row>
    <row r="12564" spans="1:9" x14ac:dyDescent="0.3">
      <c r="A12564" s="1" t="s">
        <v>206</v>
      </c>
      <c r="B12564" s="1" t="s">
        <v>207</v>
      </c>
      <c r="C12564" s="1" t="s">
        <v>45</v>
      </c>
      <c r="D12564" s="1" t="s">
        <v>411</v>
      </c>
      <c r="E12564" s="1" t="s">
        <v>285</v>
      </c>
      <c r="F12564" s="1" t="s">
        <v>17694</v>
      </c>
      <c r="G12564" s="1" t="s">
        <v>36</v>
      </c>
      <c r="H12564" s="1" t="s">
        <v>29</v>
      </c>
      <c r="I12564" s="1" t="str">
        <f ca="1">IFERROR(__xludf.DUMMYFUNCTION("GOOGLETRANSLATE(F12564, ""auto"", ""en"")
"),"I installed it in an hour, all the wires are included, I’m happy! Great for that amount!")</f>
        <v>I installed it in an hour, all the wires are included, I’m happy! Great for that amount!</v>
      </c>
    </row>
    <row r="12565" spans="1:9" x14ac:dyDescent="0.3">
      <c r="A12565" s="1" t="s">
        <v>361</v>
      </c>
      <c r="B12565" s="1" t="s">
        <v>462</v>
      </c>
      <c r="C12565" s="1" t="s">
        <v>463</v>
      </c>
      <c r="D12565" s="1" t="s">
        <v>75</v>
      </c>
      <c r="E12565" s="1" t="s">
        <v>11674</v>
      </c>
      <c r="F12565" s="1" t="s">
        <v>17695</v>
      </c>
      <c r="G12565" s="1" t="s">
        <v>36</v>
      </c>
      <c r="H12565" s="1" t="s">
        <v>29</v>
      </c>
      <c r="I12565" s="1" t="str">
        <f ca="1">IFERROR(__xludf.DUMMYFUNCTION("GOOGLETRANSLATE(F12565, ""auto"", ""en"")
"),"quality, price")</f>
        <v>quality, price</v>
      </c>
    </row>
    <row r="12566" spans="1:9" x14ac:dyDescent="0.3">
      <c r="A12566" s="1" t="s">
        <v>9</v>
      </c>
      <c r="B12566" s="1" t="s">
        <v>137</v>
      </c>
      <c r="C12566" s="1" t="s">
        <v>151</v>
      </c>
      <c r="D12566" s="1" t="s">
        <v>545</v>
      </c>
      <c r="E12566" s="1" t="s">
        <v>7566</v>
      </c>
      <c r="F12566" s="1" t="s">
        <v>17696</v>
      </c>
      <c r="G12566" s="1" t="s">
        <v>49</v>
      </c>
      <c r="H12566" s="1" t="s">
        <v>16</v>
      </c>
      <c r="I12566" s="1" t="str">
        <f ca="1">IFERROR(__xludf.DUMMYFUNCTION("GOOGLETRANSLATE(F12566, ""auto"", ""en"")
"),"It’s not even worth buying, installed and 2 burners are not working")</f>
        <v>It’s not even worth buying, installed and 2 burners are not working</v>
      </c>
    </row>
    <row r="12567" spans="1:9" x14ac:dyDescent="0.3">
      <c r="A12567" s="1" t="s">
        <v>211</v>
      </c>
      <c r="B12567" s="1" t="s">
        <v>265</v>
      </c>
      <c r="C12567" s="1" t="s">
        <v>69</v>
      </c>
      <c r="D12567" s="1" t="s">
        <v>1004</v>
      </c>
      <c r="E12567" s="1" t="s">
        <v>960</v>
      </c>
      <c r="F12567" s="1" t="s">
        <v>17697</v>
      </c>
      <c r="G12567" s="1" t="s">
        <v>49</v>
      </c>
      <c r="H12567" s="1" t="s">
        <v>16</v>
      </c>
      <c r="I12567" s="1" t="str">
        <f ca="1">IFERROR(__xludf.DUMMYFUNCTION("GOOGLETRANSLATE(F12567, ""auto"", ""en"")
"),"I didn’t like the machine because it’s impossible to make a haircut of the same length, it gets clogged quickly, maybe we don’t have the skills, but it’s not written that it’s intended for professionals!!!")</f>
        <v>I didn’t like the machine because it’s impossible to make a haircut of the same length, it gets clogged quickly, maybe we don’t have the skills, but it’s not written that it’s intended for professionals!!!</v>
      </c>
    </row>
    <row r="12568" spans="1:9" x14ac:dyDescent="0.3">
      <c r="A12568" s="1" t="s">
        <v>149</v>
      </c>
      <c r="B12568" s="1" t="s">
        <v>155</v>
      </c>
      <c r="C12568" s="1" t="s">
        <v>1187</v>
      </c>
      <c r="D12568" s="1" t="s">
        <v>64</v>
      </c>
      <c r="E12568" s="1" t="s">
        <v>1682</v>
      </c>
      <c r="F12568" s="1" t="s">
        <v>17698</v>
      </c>
      <c r="G12568" s="1" t="s">
        <v>36</v>
      </c>
      <c r="H12568" s="1" t="s">
        <v>29</v>
      </c>
      <c r="I12568" s="1" t="str">
        <f ca="1">IFERROR(__xludf.DUMMYFUNCTION("GOOGLETRANSLATE(F12568, ""auto"", ""en"")
"),"I have been using the vacuum cleaner for 2 months. Thanks to him, cleaning has become a pleasure and takes just a few minutes!  There are no disadvantages at all!   I recommend it to everyone, you won’t regret it!")</f>
        <v>I have been using the vacuum cleaner for 2 months. Thanks to him, cleaning has become a pleasure and takes just a few minutes!  There are no disadvantages at all!   I recommend it to everyone, you won’t regret it!</v>
      </c>
    </row>
    <row r="12569" spans="1:9" x14ac:dyDescent="0.3">
      <c r="A12569" s="1" t="s">
        <v>149</v>
      </c>
      <c r="B12569" s="1" t="s">
        <v>155</v>
      </c>
      <c r="C12569" s="1" t="s">
        <v>151</v>
      </c>
      <c r="D12569" s="1" t="s">
        <v>17699</v>
      </c>
      <c r="E12569" s="1" t="s">
        <v>784</v>
      </c>
      <c r="F12569" s="1" t="s">
        <v>17700</v>
      </c>
      <c r="G12569" s="1" t="s">
        <v>49</v>
      </c>
      <c r="H12569" s="1" t="s">
        <v>16</v>
      </c>
      <c r="I12569" s="1" t="str">
        <f ca="1">IFERROR(__xludf.DUMMYFUNCTION("GOOGLETRANSLATE(F12569, ""auto"", ""en"")
"),"I’ve been using this vacuum cleaner for a month. The main disadvantage of this device is that the filters quickly become clogged, as a result of which the traction of the vacuum cleaner drops and not a trace remains of the vaunted power. It happens that t"&amp;"he cyclone filter gets clogged after cleaning one room. I have to stop cleaning and clean it. This has never happened with a bagged vacuum cleaner. In general, I do not recommend this vacuum cleaner.")</f>
        <v>I’ve been using this vacuum cleaner for a month. The main disadvantage of this device is that the filters quickly become clogged, as a result of which the traction of the vacuum cleaner drops and not a trace remains of the vaunted power. It happens that the cyclone filter gets clogged after cleaning one room. I have to stop cleaning and clean it. This has never happened with a bagged vacuum cleaner. In general, I do not recommend this vacuum cleaner.</v>
      </c>
    </row>
    <row r="12570" spans="1:9" x14ac:dyDescent="0.3">
      <c r="A12570" s="1" t="s">
        <v>17</v>
      </c>
      <c r="B12570" s="1" t="s">
        <v>18</v>
      </c>
      <c r="C12570" s="1" t="s">
        <v>665</v>
      </c>
      <c r="D12570" s="1" t="s">
        <v>545</v>
      </c>
      <c r="E12570" s="1" t="s">
        <v>7342</v>
      </c>
      <c r="F12570" s="1" t="s">
        <v>17701</v>
      </c>
      <c r="G12570" s="1" t="s">
        <v>28</v>
      </c>
      <c r="H12570" s="1" t="s">
        <v>29</v>
      </c>
      <c r="I12570" s="1" t="str">
        <f ca="1">IFERROR(__xludf.DUMMYFUNCTION("GOOGLETRANSLATE(F12570, ""auto"", ""en"")
"),"We bought the car a year ago, so far so good. The only negative for me is that you can’t set the temperature to 70, 80 degrees, after 60 it’s immediately 90")</f>
        <v>We bought the car a year ago, so far so good. The only negative for me is that you can’t set the temperature to 70, 80 degrees, after 60 it’s immediately 90</v>
      </c>
    </row>
    <row r="12571" spans="1:9" x14ac:dyDescent="0.3">
      <c r="A12571" s="1" t="s">
        <v>78</v>
      </c>
      <c r="B12571" s="1" t="s">
        <v>79</v>
      </c>
      <c r="C12571" s="1" t="s">
        <v>122</v>
      </c>
      <c r="D12571" s="1" t="s">
        <v>2336</v>
      </c>
      <c r="E12571" s="1" t="s">
        <v>1922</v>
      </c>
      <c r="F12571" s="1" t="s">
        <v>17702</v>
      </c>
      <c r="G12571" s="1" t="s">
        <v>49</v>
      </c>
      <c r="H12571" s="1" t="s">
        <v>16</v>
      </c>
      <c r="I12571" s="1" t="str">
        <f ca="1">IFERROR(__xludf.DUMMYFUNCTION("GOOGLETRANSLATE(F12571, ""auto"", ""en"")
"),"The microwave oven is weak, takes a long time to heat, there is no lighting at all, the combi and grill are simply silent. I don’t recommend buying this model))) I’ve had it for 3 months, I’m regretting my choice.")</f>
        <v>The microwave oven is weak, takes a long time to heat, there is no lighting at all, the combi and grill are simply silent. I don’t recommend buying this model))) I’ve had it for 3 months, I’m regretting my choice.</v>
      </c>
    </row>
    <row r="12572" spans="1:9" x14ac:dyDescent="0.3">
      <c r="A12572" s="1" t="s">
        <v>169</v>
      </c>
      <c r="B12572" s="1" t="s">
        <v>170</v>
      </c>
      <c r="C12572" s="1" t="s">
        <v>122</v>
      </c>
      <c r="D12572" s="1" t="s">
        <v>1894</v>
      </c>
      <c r="E12572" s="1" t="s">
        <v>10302</v>
      </c>
      <c r="F12572" s="1" t="s">
        <v>17703</v>
      </c>
      <c r="G12572" s="1" t="s">
        <v>15</v>
      </c>
      <c r="H12572" s="1" t="s">
        <v>16</v>
      </c>
      <c r="I12572" s="1" t="str">
        <f ca="1">IFERROR(__xludf.DUMMYFUNCTION("GOOGLETRANSLATE(F12572, ""auto"", ""en"")
"),"Ordinary Chinese cheap headphones, I read the reviews, hoped it would be better, but no - miracles don’t happen. It's definitely not worth buying for music.")</f>
        <v>Ordinary Chinese cheap headphones, I read the reviews, hoped it would be better, but no - miracles don’t happen. It's definitely not worth buying for music.</v>
      </c>
    </row>
    <row r="12573" spans="1:9" x14ac:dyDescent="0.3">
      <c r="A12573" s="1" t="s">
        <v>9</v>
      </c>
      <c r="B12573" s="1" t="s">
        <v>10</v>
      </c>
      <c r="C12573" s="1" t="s">
        <v>466</v>
      </c>
      <c r="D12573" s="1" t="s">
        <v>568</v>
      </c>
      <c r="E12573" s="1" t="s">
        <v>9674</v>
      </c>
      <c r="F12573" s="1" t="s">
        <v>17704</v>
      </c>
      <c r="G12573" s="1" t="s">
        <v>36</v>
      </c>
      <c r="H12573" s="1" t="s">
        <v>29</v>
      </c>
      <c r="I12573" s="1" t="str">
        <f ca="1">IFERROR(__xludf.DUMMYFUNCTION("GOOGLETRANSLATE(F12573, ""auto"", ""en"")
"),"A good hood for the money. High power. Of course there is noise, but at high power this is the norm, except perhaps for premium models. Fits perfectly into the white set (cabinet, panel, hood). I connected it through a filter, fortunately you can always b"&amp;"uy original consumables (that’s why I love M.Video), one filter (the original one) lasts for a long time (theoretically a non-native one will last less). I turn it on when frying, when the oven is running (especially useful when taking out baked meat). It"&amp;" will also come in handy when cooking. Disadvantage: once the soup boiled over and until it started to burn strongly, we didn’t feel anything (it filters well). Conclusion: a convenient thing for those who cook, but for those who rely on the smell to dete"&amp;"rmine the degree of cooking :). Do you want noticeably better? Take an inclined model made of white glass three times more expensive and it will be better (quieter, probably, and more powerful and more noticeable).")</f>
        <v>A good hood for the money. High power. Of course there is noise, but at high power this is the norm, except perhaps for premium models. Fits perfectly into the white set (cabinet, panel, hood). I connected it through a filter, fortunately you can always buy original consumables (that’s why I love M.Video), one filter (the original one) lasts for a long time (theoretically a non-native one will last less). I turn it on when frying, when the oven is running (especially useful when taking out baked meat). It will also come in handy when cooking. Disadvantage: once the soup boiled over and until it started to burn strongly, we didn’t feel anything (it filters well). Conclusion: a convenient thing for those who cook, but for those who rely on the smell to determine the degree of cooking :). Do you want noticeably better? Take an inclined model made of white glass three times more expensive and it will be better (quieter, probably, and more powerful and more noticeable).</v>
      </c>
    </row>
    <row r="12574" spans="1:9" x14ac:dyDescent="0.3">
      <c r="A12574" s="1" t="s">
        <v>67</v>
      </c>
      <c r="B12574" s="1" t="s">
        <v>68</v>
      </c>
      <c r="C12574" s="1" t="s">
        <v>1461</v>
      </c>
      <c r="D12574" s="1" t="s">
        <v>308</v>
      </c>
      <c r="E12574" s="1" t="s">
        <v>727</v>
      </c>
      <c r="F12574" s="1" t="s">
        <v>17705</v>
      </c>
      <c r="G12574" s="1" t="s">
        <v>15</v>
      </c>
      <c r="H12574" s="1" t="s">
        <v>16</v>
      </c>
      <c r="I12574" s="1" t="str">
        <f ca="1">IFERROR(__xludf.DUMMYFUNCTION("GOOGLETRANSLATE(F12574, ""auto"", ""en"")
"),"Very weak iron. I don't recommend buying it.")</f>
        <v>Very weak iron. I don't recommend buying it.</v>
      </c>
    </row>
    <row r="12575" spans="1:9" x14ac:dyDescent="0.3">
      <c r="A12575" s="1" t="s">
        <v>105</v>
      </c>
      <c r="B12575" s="1" t="s">
        <v>106</v>
      </c>
      <c r="C12575" s="1" t="s">
        <v>1526</v>
      </c>
      <c r="D12575" s="1" t="s">
        <v>596</v>
      </c>
      <c r="E12575" s="1" t="s">
        <v>597</v>
      </c>
      <c r="F12575" s="1" t="s">
        <v>17706</v>
      </c>
      <c r="G12575" s="1" t="s">
        <v>49</v>
      </c>
      <c r="H12575" s="1" t="s">
        <v>16</v>
      </c>
      <c r="I12575" s="1" t="str">
        <f ca="1">IFERROR(__xludf.DUMMYFUNCTION("GOOGLETRANSLATE(F12575, ""auto"", ""en"")
"),"I bought and returned 1. No matter how hard I tried, I couldn’t write anything to it. I connected it to the back of the computer and it immediately showed a USB connection error. I plugged it into the card reader in front - it was detected, but when I tri"&amp;"ed to write something onto it, the computer froze and later gave a hardware error, and a stub of the first file that they tried to transfer appeared on the player, and the file was mixed with a proprietary song about Airiver :) in short, it's a complete m"&amp;"ess... My motherboard is 2.5 years old, the power supply is absolutely new, and this is the first time such a glitch. On a neighbor's computer, which is not even a year old, it worked on the first try.  I scoured the Internet and found out that I was not "&amp;"alone in my suffering. A lot of people fell for this faux pas.  2. About sound. I'm just shocked!!! I have an old ST-Lab flash player, so crappy, crappy, AND IT PLAYS COOLER! The sound is clear, but dull, flat and synthetic, it makes you want to throw up!"&amp;"  3. Management. Not for everyone. It seemed to me that the buttons were spaced too far from each other, it turned out to be very inconvenient, and the drawings on the nickname were hard to see.  4. the rest pales in comparison to what is listed.  5. Big "&amp;"plus! - 52 hours of play, it lasts a really long time.  6. Understands a bunch of formats.  VERDICT - DO NOT TAKE!!!!!!!!!!!    If you want to buy a cool player for such a price, then I took the Ritmix RF-8900 (8Gb) as an alternative and I don’t regret it"&amp;". Of course, it’s not 52 hours and I don’t know how long it will last, but it’s done well, it turned out that it understands the non-declared OGG, and there are no problems with the rest, the video plays like a charm, the SOUND - I-RIVER wasn’t even lying"&amp;" around, honestly. I'm shocked - for such a price the device is simply superb, God forbid it doesn't die.")</f>
        <v>I bought and returned 1. No matter how hard I tried, I couldn’t write anything to it. I connected it to the back of the computer and it immediately showed a USB connection error. I plugged it into the card reader in front - it was detected, but when I tried to write something onto it, the computer froze and later gave a hardware error, and a stub of the first file that they tried to transfer appeared on the player, and the file was mixed with a proprietary song about Airiver :) in short, it's a complete mess... My motherboard is 2.5 years old, the power supply is absolutely new, and this is the first time such a glitch. On a neighbor's computer, which is not even a year old, it worked on the first try.  I scoured the Internet and found out that I was not alone in my suffering. A lot of people fell for this faux pas.  2. About sound. I'm just shocked!!! I have an old ST-Lab flash player, so crappy, crappy, AND IT PLAYS COOLER! The sound is clear, but dull, flat and synthetic, it makes you want to throw up!  3. Management. Not for everyone. It seemed to me that the buttons were spaced too far from each other, it turned out to be very inconvenient, and the drawings on the nickname were hard to see.  4. the rest pales in comparison to what is listed.  5. Big plus! - 52 hours of play, it lasts a really long time.  6. Understands a bunch of formats.  VERDICT - DO NOT TAKE!!!!!!!!!!!    If you want to buy a cool player for such a price, then I took the Ritmix RF-8900 (8Gb) as an alternative and I don’t regret it. Of course, it’s not 52 hours and I don’t know how long it will last, but it’s done well, it turned out that it understands the non-declared OGG, and there are no problems with the rest, the video plays like a charm, the SOUND - I-RIVER wasn’t even lying around, honestly. I'm shocked - for such a price the device is simply superb, God forbid it doesn't die.</v>
      </c>
    </row>
    <row r="12576" spans="1:9" x14ac:dyDescent="0.3">
      <c r="A12576" s="1" t="s">
        <v>2087</v>
      </c>
      <c r="B12576" s="1" t="s">
        <v>2088</v>
      </c>
      <c r="C12576" s="1" t="s">
        <v>80</v>
      </c>
      <c r="D12576" s="1" t="s">
        <v>305</v>
      </c>
      <c r="E12576" s="1" t="s">
        <v>1682</v>
      </c>
      <c r="F12576" s="1" t="s">
        <v>17707</v>
      </c>
      <c r="G12576" s="1" t="s">
        <v>36</v>
      </c>
      <c r="H12576" s="1" t="s">
        <v>29</v>
      </c>
      <c r="I12576" s="1" t="str">
        <f ca="1">IFERROR(__xludf.DUMMYFUNCTION("GOOGLETRANSLATE(F12576, ""auto"", ""en"")
"),"The device was purchased in March 2010. To all that has been said, I will add that .ts and Divx HD files are not supported. Unreliable drive. I had to send it in for repairs after a month of use. Drive replacement.")</f>
        <v>The device was purchased in March 2010. To all that has been said, I will add that .ts and Divx HD files are not supported. Unreliable drive. I had to send it in for repairs after a month of use. Drive replacement.</v>
      </c>
    </row>
    <row r="12577" spans="1:9" x14ac:dyDescent="0.3">
      <c r="A12577" s="1" t="s">
        <v>43</v>
      </c>
      <c r="B12577" s="1" t="s">
        <v>502</v>
      </c>
      <c r="C12577" s="1" t="s">
        <v>80</v>
      </c>
      <c r="D12577" s="1" t="s">
        <v>17708</v>
      </c>
      <c r="E12577" s="1" t="s">
        <v>173</v>
      </c>
      <c r="F12577" s="1" t="s">
        <v>17709</v>
      </c>
      <c r="G12577" s="1" t="s">
        <v>49</v>
      </c>
      <c r="H12577" s="1" t="s">
        <v>16</v>
      </c>
      <c r="I12577" s="1" t="str">
        <f ca="1">IFERROR(__xludf.DUMMYFUNCTION("GOOGLETRANSLATE(F12577, ""auto"", ""en"")
"),"The external unit is very noisy, the internal one is made of cheap plastic - it crackles and rattles when the temperature changes. I don't recommend it.")</f>
        <v>The external unit is very noisy, the internal one is made of cheap plastic - it crackles and rattles when the temperature changes. I don't recommend it.</v>
      </c>
    </row>
    <row r="12578" spans="1:9" x14ac:dyDescent="0.3">
      <c r="A12578" s="1" t="s">
        <v>211</v>
      </c>
      <c r="B12578" s="1" t="s">
        <v>899</v>
      </c>
      <c r="C12578" s="1" t="s">
        <v>213</v>
      </c>
      <c r="D12578" s="1" t="s">
        <v>1894</v>
      </c>
      <c r="E12578" s="1" t="s">
        <v>1792</v>
      </c>
      <c r="F12578" s="1" t="s">
        <v>17710</v>
      </c>
      <c r="G12578" s="1" t="s">
        <v>36</v>
      </c>
      <c r="H12578" s="1" t="s">
        <v>29</v>
      </c>
      <c r="I12578" s="1" t="str">
        <f ca="1">IFERROR(__xludf.DUMMYFUNCTION("GOOGLETRANSLATE(F12578, ""auto"", ""en"")
"),"I drive exclusively BMWs, so I’m not indifferent to German quality. Very demanding about cleanliness and health. I think this brush is an excellent tool for properly caring for your teeth. If you love yourself, love your smile!")</f>
        <v>I drive exclusively BMWs, so I’m not indifferent to German quality. Very demanding about cleanliness and health. I think this brush is an excellent tool for properly caring for your teeth. If you love yourself, love your smile!</v>
      </c>
    </row>
    <row r="12579" spans="1:9" x14ac:dyDescent="0.3">
      <c r="A12579" s="1" t="s">
        <v>1443</v>
      </c>
      <c r="B12579" s="1" t="s">
        <v>1444</v>
      </c>
      <c r="C12579" s="1" t="s">
        <v>1489</v>
      </c>
      <c r="D12579" s="1" t="s">
        <v>152</v>
      </c>
      <c r="E12579" s="1" t="s">
        <v>917</v>
      </c>
      <c r="F12579" s="1" t="s">
        <v>17711</v>
      </c>
      <c r="G12579" s="1" t="s">
        <v>36</v>
      </c>
      <c r="H12579" s="1" t="s">
        <v>29</v>
      </c>
      <c r="I12579" s="1" t="str">
        <f ca="1">IFERROR(__xludf.DUMMYFUNCTION("GOOGLETRANSLATE(F12579, ""auto"", ""en"")
"),"Very cool flash drive. Excellent recording speed, and besides, unlike other Kingston models, they have a very beautiful design with an illuminated logo.")</f>
        <v>Very cool flash drive. Excellent recording speed, and besides, unlike other Kingston models, they have a very beautiful design with an illuminated logo.</v>
      </c>
    </row>
    <row r="12580" spans="1:9" x14ac:dyDescent="0.3">
      <c r="A12580" s="1" t="s">
        <v>105</v>
      </c>
      <c r="B12580" s="1" t="s">
        <v>106</v>
      </c>
      <c r="C12580" s="1" t="s">
        <v>97</v>
      </c>
      <c r="D12580" s="1" t="s">
        <v>17712</v>
      </c>
      <c r="E12580" s="1" t="s">
        <v>1448</v>
      </c>
      <c r="F12580" s="1" t="s">
        <v>17713</v>
      </c>
      <c r="G12580" s="1" t="s">
        <v>36</v>
      </c>
      <c r="H12580" s="1" t="s">
        <v>29</v>
      </c>
      <c r="I12580" s="1" t="str">
        <f ca="1">IFERROR(__xludf.DUMMYFUNCTION("GOOGLETRANSLATE(F12580, ""auto"", ""en"")
"),"I bought a SONY on Thursday, I’m very pleased, the sound is excellent. Easy to use, bright colors, I couldn’t find a function where you can download books, it doesn’t seem to exist at all, it doesn’t support avi video format. Otherwise, a super player, th"&amp;"e headphones included are not very good - get new ones right away.")</f>
        <v>I bought a SONY on Thursday, I’m very pleased, the sound is excellent. Easy to use, bright colors, I couldn’t find a function where you can download books, it doesn’t seem to exist at all, it doesn’t support avi video format. Otherwise, a super player, the headphones included are not very good - get new ones right away.</v>
      </c>
    </row>
    <row r="12581" spans="1:9" x14ac:dyDescent="0.3">
      <c r="A12581" s="1" t="s">
        <v>43</v>
      </c>
      <c r="B12581" s="1" t="s">
        <v>502</v>
      </c>
      <c r="C12581" s="1" t="s">
        <v>459</v>
      </c>
      <c r="D12581" s="1" t="s">
        <v>17714</v>
      </c>
      <c r="E12581" s="1" t="s">
        <v>1742</v>
      </c>
      <c r="F12581" s="1" t="s">
        <v>17715</v>
      </c>
      <c r="G12581" s="1" t="s">
        <v>36</v>
      </c>
      <c r="H12581" s="1" t="s">
        <v>29</v>
      </c>
      <c r="I12581" s="1" t="str">
        <f ca="1">IFERROR(__xludf.DUMMYFUNCTION("GOOGLETRANSLATE(F12581, ""auto"", ""en"")
"),"A year ago I bought this air conditioner on sale, I am very pleased with the price/quality ratio;  programmable, ex. design, the color of baked milk (doesn’t turn yellow and doesn’t hurt your eyes), + heating function - very comfortable (when the batterie"&amp;"s haven’t been turned on yet), now I’m thinking of buying it for another room, compared it with a mitsubishi... is it worth paying more than 3 times more expensive?! although in terms of reliability it is much superior... Well, we don’t live on the equato"&amp;"r, at most, it will work for 2-4 weeks a year. Let's see if there are any refusals, I'll write.")</f>
        <v>A year ago I bought this air conditioner on sale, I am very pleased with the price/quality ratio;  programmable, ex. design, the color of baked milk (doesn’t turn yellow and doesn’t hurt your eyes), + heating function - very comfortable (when the batteries haven’t been turned on yet), now I’m thinking of buying it for another room, compared it with a mitsubishi... is it worth paying more than 3 times more expensive?! although in terms of reliability it is much superior... Well, we don’t live on the equator, at most, it will work for 2-4 weeks a year. Let's see if there are any refusals, I'll write.</v>
      </c>
    </row>
    <row r="12582" spans="1:9" x14ac:dyDescent="0.3">
      <c r="A12582" s="1" t="s">
        <v>61</v>
      </c>
      <c r="B12582" s="1" t="s">
        <v>318</v>
      </c>
      <c r="C12582" s="1" t="s">
        <v>246</v>
      </c>
      <c r="D12582" s="1" t="s">
        <v>113</v>
      </c>
      <c r="E12582" s="1" t="s">
        <v>11942</v>
      </c>
      <c r="F12582" s="1" t="s">
        <v>17716</v>
      </c>
      <c r="G12582" s="1" t="s">
        <v>49</v>
      </c>
      <c r="H12582" s="1" t="s">
        <v>16</v>
      </c>
      <c r="I12582" s="1" t="str">
        <f ca="1">IFERROR(__xludf.DUMMYFUNCTION("GOOGLETRANSLATE(F12582, ""auto"", ""en"")
"),"The kettle smells terrible of plastic and the water from it. I tried boiling and removing but nothing helps. I'll try to return it. Don't drink water that tastes like plastic.")</f>
        <v>The kettle smells terrible of plastic and the water from it. I tried boiling and removing but nothing helps. I'll try to return it. Don't drink water that tastes like plastic.</v>
      </c>
    </row>
    <row r="12583" spans="1:9" x14ac:dyDescent="0.3">
      <c r="A12583" s="1" t="s">
        <v>30</v>
      </c>
      <c r="B12583" s="1" t="s">
        <v>50</v>
      </c>
      <c r="C12583" s="1" t="s">
        <v>51</v>
      </c>
      <c r="D12583" s="1" t="s">
        <v>117</v>
      </c>
      <c r="E12583" s="1" t="s">
        <v>1063</v>
      </c>
      <c r="F12583" s="1" t="s">
        <v>17717</v>
      </c>
      <c r="G12583" s="1" t="s">
        <v>36</v>
      </c>
      <c r="H12583" s="1" t="s">
        <v>29</v>
      </c>
      <c r="I12583" s="1" t="str">
        <f ca="1">IFERROR(__xludf.DUMMYFUNCTION("GOOGLETRANSLATE(F12583, ""auto"", ""en"")
"),"The laptop is awesome, very happy with the purchase!!!  True, at first I took the HP dv6, came home, started using it and became more and more upset every minute (it was noisy, it was getting hot, everything in the camera was rippling and orange, the scre"&amp;"en was dim, etc.), after 40 minutes I couldn’t stand it and ran back to the store to change it, I thought for a long time about what to choose so as not to get into trouble again and settled on this model Packard Bell TJ65-021. It’s been the 3rd day since"&amp;" I’ve had it and so far no complaints, I’m happy with everything. It works very quietly and quickly, all the games I have installed run at maximum speed, very comfortable and ergonomic, the display is excellent.   I give it 5+")</f>
        <v>The laptop is awesome, very happy with the purchase!!!  True, at first I took the HP dv6, came home, started using it and became more and more upset every minute (it was noisy, it was getting hot, everything in the camera was rippling and orange, the screen was dim, etc.), after 40 minutes I couldn’t stand it and ran back to the store to change it, I thought for a long time about what to choose so as not to get into trouble again and settled on this model Packard Bell TJ65-021. It’s been the 3rd day since I’ve had it and so far no complaints, I’m happy with everything. It works very quietly and quickly, all the games I have installed run at maximum speed, very comfortable and ergonomic, the display is excellent.   I give it 5+</v>
      </c>
    </row>
    <row r="12584" spans="1:9" x14ac:dyDescent="0.3">
      <c r="A12584" s="1" t="s">
        <v>37</v>
      </c>
      <c r="B12584" s="1" t="s">
        <v>38</v>
      </c>
      <c r="C12584" s="1" t="s">
        <v>163</v>
      </c>
      <c r="D12584" s="1" t="s">
        <v>17718</v>
      </c>
      <c r="E12584" s="1" t="s">
        <v>460</v>
      </c>
      <c r="F12584" s="1" t="s">
        <v>17719</v>
      </c>
      <c r="G12584" s="1" t="s">
        <v>36</v>
      </c>
      <c r="H12584" s="1" t="s">
        <v>29</v>
      </c>
      <c r="I12584" s="1" t="str">
        <f ca="1">IFERROR(__xludf.DUMMYFUNCTION("GOOGLETRANSLATE(F12584, ""auto"", ""en"")
"),"Nice phone! Unlike the author of the previous review, there is nothing to complain about!  You can hear it well, the buttons are normal... No need to be nervous and press hard on them so that they don’t stick! =) Thanks for your attention!")</f>
        <v>Nice phone! Unlike the author of the previous review, there is nothing to complain about!  You can hear it well, the buttons are normal... No need to be nervous and press hard on them so that they don’t stick! =) Thanks for your attention!</v>
      </c>
    </row>
    <row r="12585" spans="1:9" x14ac:dyDescent="0.3">
      <c r="A12585" s="1" t="s">
        <v>61</v>
      </c>
      <c r="B12585" s="1" t="s">
        <v>224</v>
      </c>
      <c r="C12585" s="1" t="s">
        <v>85</v>
      </c>
      <c r="D12585" s="1" t="s">
        <v>295</v>
      </c>
      <c r="E12585" s="1" t="s">
        <v>1759</v>
      </c>
      <c r="F12585" s="1" t="s">
        <v>17720</v>
      </c>
      <c r="G12585" s="1" t="s">
        <v>36</v>
      </c>
      <c r="H12585" s="1" t="s">
        <v>29</v>
      </c>
      <c r="I12585" s="1" t="str">
        <f ca="1">IFERROR(__xludf.DUMMYFUNCTION("GOOGLETRANSLATE(F12585, ""auto"", ""en"")
"),"Many thanks to the sales consultant M-Video for recommending this model. Squeezes 1 kg of apples in 20 seconds. I like everything about it, it’s a cool thing.")</f>
        <v>Many thanks to the sales consultant M-Video for recommending this model. Squeezes 1 kg of apples in 20 seconds. I like everything about it, it’s a cool thing.</v>
      </c>
    </row>
    <row r="12586" spans="1:9" x14ac:dyDescent="0.3">
      <c r="A12586" s="1" t="s">
        <v>61</v>
      </c>
      <c r="B12586" s="1" t="s">
        <v>977</v>
      </c>
      <c r="C12586" s="1" t="s">
        <v>85</v>
      </c>
      <c r="D12586" s="1" t="s">
        <v>1055</v>
      </c>
      <c r="E12586" s="1" t="s">
        <v>1467</v>
      </c>
      <c r="F12586" s="1" t="s">
        <v>17721</v>
      </c>
      <c r="G12586" s="1" t="s">
        <v>49</v>
      </c>
      <c r="H12586" s="1" t="s">
        <v>16</v>
      </c>
      <c r="I12586" s="1" t="str">
        <f ca="1">IFERROR(__xludf.DUMMYFUNCTION("GOOGLETRANSLATE(F12586, ""auto"", ""en"")
"),"We also thought the same thing when we bought the product.  They brought it, two days later they decided to use it - it didn’t work. They called the phone number listed in the book - they advised me to contact the store where they bought it.")</f>
        <v>We also thought the same thing when we bought the product.  They brought it, two days later they decided to use it - it didn’t work. They called the phone number listed in the book - they advised me to contact the store where they bought it.</v>
      </c>
    </row>
    <row r="12587" spans="1:9" x14ac:dyDescent="0.3">
      <c r="A12587" s="1" t="s">
        <v>61</v>
      </c>
      <c r="B12587" s="1" t="s">
        <v>145</v>
      </c>
      <c r="C12587" s="1" t="s">
        <v>69</v>
      </c>
      <c r="D12587" s="1" t="s">
        <v>295</v>
      </c>
      <c r="E12587" s="1" t="s">
        <v>2360</v>
      </c>
      <c r="F12587" s="1" t="s">
        <v>17722</v>
      </c>
      <c r="G12587" s="1" t="s">
        <v>28</v>
      </c>
      <c r="H12587" s="1" t="s">
        <v>29</v>
      </c>
      <c r="I12587" s="1" t="str">
        <f ca="1">IFERROR(__xludf.DUMMYFUNCTION("GOOGLETRANSLATE(F12587, ""auto"", ""en"")
"),"At first it worked well, now when turned on, the REFILL LED constantly blinks and the sound signal beeps intermittently, while the steamer itself works, that is, the steam heats up and the programs function.")</f>
        <v>At first it worked well, now when turned on, the REFILL LED constantly blinks and the sound signal beeps intermittently, while the steamer itself works, that is, the steam heats up and the programs function.</v>
      </c>
    </row>
    <row r="12588" spans="1:9" x14ac:dyDescent="0.3">
      <c r="A12588" s="1" t="s">
        <v>43</v>
      </c>
      <c r="B12588" s="1" t="s">
        <v>303</v>
      </c>
      <c r="C12588" s="1" t="s">
        <v>304</v>
      </c>
      <c r="D12588" s="1" t="s">
        <v>64</v>
      </c>
      <c r="E12588" s="1" t="s">
        <v>440</v>
      </c>
      <c r="F12588" s="1" t="s">
        <v>17723</v>
      </c>
      <c r="G12588" s="1" t="s">
        <v>36</v>
      </c>
      <c r="H12588" s="1" t="s">
        <v>29</v>
      </c>
      <c r="I12588" s="1" t="str">
        <f ca="1">IFERROR(__xludf.DUMMYFUNCTION("GOOGLETRANSLATE(F12588, ""auto"", ""en"")
"),"An excellent heater for the price. After six months of use, only good impressions. Heats water very quickly, enough for a family of 4 people. I would like to note the convenience of making a purchase online.  I advise you to take")</f>
        <v>An excellent heater for the price. After six months of use, only good impressions. Heats water very quickly, enough for a family of 4 people. I would like to note the convenience of making a purchase online.  I advise you to take</v>
      </c>
    </row>
    <row r="12589" spans="1:9" x14ac:dyDescent="0.3">
      <c r="A12589" s="1" t="s">
        <v>1119</v>
      </c>
      <c r="B12589" s="1" t="s">
        <v>1120</v>
      </c>
      <c r="C12589" s="1" t="s">
        <v>97</v>
      </c>
      <c r="D12589" s="1" t="s">
        <v>152</v>
      </c>
      <c r="E12589" s="1" t="s">
        <v>3184</v>
      </c>
      <c r="F12589" s="1" t="s">
        <v>17724</v>
      </c>
      <c r="G12589" s="1" t="s">
        <v>36</v>
      </c>
      <c r="H12589" s="1" t="s">
        <v>29</v>
      </c>
      <c r="I12589" s="1" t="str">
        <f ca="1">IFERROR(__xludf.DUMMYFUNCTION("GOOGLETRANSLATE(F12589, ""auto"", ""en"")
"),"Camera just great!!!  SUPER quality!")</f>
        <v>Camera just great!!!  SUPER quality!</v>
      </c>
    </row>
    <row r="12590" spans="1:9" x14ac:dyDescent="0.3">
      <c r="A12590" s="1" t="s">
        <v>37</v>
      </c>
      <c r="B12590" s="1" t="s">
        <v>38</v>
      </c>
      <c r="C12590" s="1" t="s">
        <v>163</v>
      </c>
      <c r="D12590" s="1" t="s">
        <v>172</v>
      </c>
      <c r="E12590" s="1" t="s">
        <v>4739</v>
      </c>
      <c r="F12590" s="1" t="s">
        <v>17725</v>
      </c>
      <c r="G12590" s="1" t="s">
        <v>36</v>
      </c>
      <c r="H12590" s="1" t="s">
        <v>29</v>
      </c>
      <c r="I12590" s="1" t="str">
        <f ca="1">IFERROR(__xludf.DUMMYFUNCTION("GOOGLETRANSLATE(F12590, ""auto"", ""en"")
"),"great phone. I'll buy one today)")</f>
        <v>great phone. I'll buy one today)</v>
      </c>
    </row>
    <row r="12591" spans="1:9" x14ac:dyDescent="0.3">
      <c r="A12591" s="1" t="s">
        <v>149</v>
      </c>
      <c r="B12591" s="1" t="s">
        <v>576</v>
      </c>
      <c r="C12591" s="1" t="s">
        <v>151</v>
      </c>
      <c r="D12591" s="1" t="s">
        <v>75</v>
      </c>
      <c r="E12591" s="1" t="s">
        <v>1414</v>
      </c>
      <c r="F12591" s="1" t="s">
        <v>17726</v>
      </c>
      <c r="G12591" s="1" t="s">
        <v>36</v>
      </c>
      <c r="H12591" s="1" t="s">
        <v>29</v>
      </c>
      <c r="I12591" s="1" t="str">
        <f ca="1">IFERROR(__xludf.DUMMYFUNCTION("GOOGLETRANSLATE(F12591, ""auto"", ""en"")
"),"I really liked it! Beautiful, light, comfortable. Made a wonderful gift for yourself!")</f>
        <v>I really liked it! Beautiful, light, comfortable. Made a wonderful gift for yourself!</v>
      </c>
    </row>
    <row r="12592" spans="1:9" x14ac:dyDescent="0.3">
      <c r="A12592" s="1" t="s">
        <v>369</v>
      </c>
      <c r="B12592" s="1" t="s">
        <v>587</v>
      </c>
      <c r="C12592" s="1" t="s">
        <v>290</v>
      </c>
      <c r="D12592" s="1" t="s">
        <v>52</v>
      </c>
      <c r="E12592" s="1" t="s">
        <v>1310</v>
      </c>
      <c r="F12592" s="1" t="s">
        <v>17727</v>
      </c>
      <c r="G12592" s="1" t="s">
        <v>28</v>
      </c>
      <c r="H12592" s="1" t="s">
        <v>29</v>
      </c>
      <c r="I12592" s="1" t="str">
        <f ca="1">IFERROR(__xludf.DUMMYFUNCTION("GOOGLETRANSLATE(F12592, ""auto"", ""en"")
"),"We just installed (01/06/2010) a Gorenje GI 438 W gas stove. If you turn off all the appliances in the kitchen (you can’t hear the TV, receiver, refrigerator - it’s in the hallway), you can hear a hum - apparently the transformer that powers the display a"&amp;"nd auto-ignition is humming. For a small kitchen (6.5 sq.m.) this is critical. Before purchasing, you should have asked to connect the stove to the mains and put your ear to it (so as not to be disturbed by the noise in the store) to assess the noise leve"&amp;"l. We encountered a similar problem when buying a Samsung microwave with a grill and a display - we replaced it twice, but ended up buying a Panasonic - there is no such problem.")</f>
        <v>We just installed (01/06/2010) a Gorenje GI 438 W gas stove. If you turn off all the appliances in the kitchen (you can’t hear the TV, receiver, refrigerator - it’s in the hallway), you can hear a hum - apparently the transformer that powers the display and auto-ignition is humming. For a small kitchen (6.5 sq.m.) this is critical. Before purchasing, you should have asked to connect the stove to the mains and put your ear to it (so as not to be disturbed by the noise in the store) to assess the noise level. We encountered a similar problem when buying a Samsung microwave with a grill and a display - we replaced it twice, but ended up buying a Panasonic - there is no such problem.</v>
      </c>
    </row>
    <row r="12593" spans="1:9" x14ac:dyDescent="0.3">
      <c r="A12593" s="1" t="s">
        <v>30</v>
      </c>
      <c r="B12593" s="1" t="s">
        <v>50</v>
      </c>
      <c r="C12593" s="1" t="s">
        <v>189</v>
      </c>
      <c r="D12593" s="1" t="s">
        <v>152</v>
      </c>
      <c r="E12593" s="1" t="s">
        <v>1651</v>
      </c>
      <c r="F12593" s="1" t="s">
        <v>17728</v>
      </c>
      <c r="G12593" s="1" t="s">
        <v>36</v>
      </c>
      <c r="H12593" s="1" t="s">
        <v>29</v>
      </c>
      <c r="I12593" s="1" t="str">
        <f ca="1">IFERROR(__xludf.DUMMYFUNCTION("GOOGLETRANSLATE(F12593, ""auto"", ""en"")
"),"I’ll add to my previous review: - The RAM consists of two modules, of course, of different sizes - 2 GB and 1 GB, and the manufacturers are different (Nanya and Samsung). This negatively affected the overall performance of the RAM.  - Again about the vide"&amp;"o. This is an analogue of the GF9600GT with DDR2. The video was supposed to be made in accordance with the 40 nm process technology, but for some reason Asus stuffed a video card made using the 65 nm process into the laptop, which also had a negative impa"&amp;"ct on performance. Nevertheless, the video camera shows good results in tests. TurboCache technology allows the GF GT220M to use up to 2303 MB of video memory using its own 1024 MB and 1279 MB from the system one. An interesting feature of the new video c"&amp;"ards is support for CUDA technology. In short - you can use the GPU for non-graphical calculations.   - Display. The response is 8 ms, LED backlighting is used, which gives even colors, high brightness and battery saving.  - Cooling system. It's called Ic"&amp;"eCool. The surface of the wrist rest remains cool even when using the laptop for a long time.  - Battery. With active use, it lasts for a maximum of an hour and a couple of minutes. In energy saving mode, more than two hours.    I won’t describe the avail"&amp;"able ports of the laptop, everyone can do their own reading here. I wrote this review based on testing the laptop by one well-known site.")</f>
        <v>I’ll add to my previous review: - The RAM consists of two modules, of course, of different sizes - 2 GB and 1 GB, and the manufacturers are different (Nanya and Samsung). This negatively affected the overall performance of the RAM.  - Again about the video. This is an analogue of the GF9600GT with DDR2. The video was supposed to be made in accordance with the 40 nm process technology, but for some reason Asus stuffed a video card made using the 65 nm process into the laptop, which also had a negative impact on performance. Nevertheless, the video camera shows good results in tests. TurboCache technology allows the GF GT220M to use up to 2303 MB of video memory using its own 1024 MB and 1279 MB from the system one. An interesting feature of the new video cards is support for CUDA technology. In short - you can use the GPU for non-graphical calculations.   - Display. The response is 8 ms, LED backlighting is used, which gives even colors, high brightness and battery saving.  - Cooling system. It's called IceCool. The surface of the wrist rest remains cool even when using the laptop for a long time.  - Battery. With active use, it lasts for a maximum of an hour and a couple of minutes. In energy saving mode, more than two hours.    I won’t describe the available ports of the laptop, everyone can do their own reading here. I wrote this review based on testing the laptop by one well-known site.</v>
      </c>
    </row>
    <row r="12594" spans="1:9" x14ac:dyDescent="0.3">
      <c r="A12594" s="1" t="s">
        <v>369</v>
      </c>
      <c r="B12594" s="1" t="s">
        <v>587</v>
      </c>
      <c r="C12594" s="1" t="s">
        <v>290</v>
      </c>
      <c r="D12594" s="1" t="s">
        <v>172</v>
      </c>
      <c r="E12594" s="1" t="s">
        <v>1660</v>
      </c>
      <c r="F12594" s="1" t="s">
        <v>17729</v>
      </c>
      <c r="G12594" s="1" t="s">
        <v>15</v>
      </c>
      <c r="H12594" s="1" t="s">
        <v>16</v>
      </c>
      <c r="I12594" s="1" t="str">
        <f ca="1">IFERROR(__xludf.DUMMYFUNCTION("GOOGLETRANSLATE(F12594, ""auto"", ""en"")
"),"I liked the stove with its unusual design, and there were more bells and whistles than my old (37 years old) stove ;)) I was choosing between Bosch, Hansa and this one... At first I liked everything. The only inconvenience is that the oven burner goes out"&amp;" spontaneously after 1-2 minutes. after ignition. Well, okay, we adjusted: we preheat the oven for 5-10 minutes. with the door open. Then you can close the oven, the burner will not go out. It seems that there are problems with the gas control of the oven"&amp;". After about three months, the electric ignition completely failed. According to the additional service program, I contacted the service. As a result, I’ve been waiting for a month for the spare parts ordered from the manufacturer to arrive (apparently o"&amp;"n foot).")</f>
        <v>I liked the stove with its unusual design, and there were more bells and whistles than my old (37 years old) stove ;)) I was choosing between Bosch, Hansa and this one... At first I liked everything. The only inconvenience is that the oven burner goes out spontaneously after 1-2 minutes. after ignition. Well, okay, we adjusted: we preheat the oven for 5-10 minutes. with the door open. Then you can close the oven, the burner will not go out. It seems that there are problems with the gas control of the oven. After about three months, the electric ignition completely failed. According to the additional service program, I contacted the service. As a result, I’ve been waiting for a month for the spare parts ordered from the manufacturer to arrive (apparently on foot).</v>
      </c>
    </row>
    <row r="12595" spans="1:9" x14ac:dyDescent="0.3">
      <c r="A12595" s="1" t="s">
        <v>105</v>
      </c>
      <c r="B12595" s="1" t="s">
        <v>106</v>
      </c>
      <c r="C12595" s="1" t="s">
        <v>69</v>
      </c>
      <c r="D12595" s="1" t="s">
        <v>39</v>
      </c>
      <c r="E12595" s="1" t="s">
        <v>201</v>
      </c>
      <c r="F12595" s="1" t="s">
        <v>17730</v>
      </c>
      <c r="G12595" s="1" t="s">
        <v>28</v>
      </c>
      <c r="H12595" s="1" t="s">
        <v>29</v>
      </c>
      <c r="I12595" s="1" t="str">
        <f ca="1">IFERROR(__xludf.DUMMYFUNCTION("GOOGLETRANSLATE(F12595, ""auto"", ""en"")
"),"I purchased this miracle today for my son, having first read the reviews here. I liked the player, it’s easy to use, understands FLAC, Ape, but what was very disappointing was one track. So I had to split the recording into tracks, and luckily it all work"&amp;"ed, but I really had to change the headphones. For the money this is not a bad player.")</f>
        <v>I purchased this miracle today for my son, having first read the reviews here. I liked the player, it’s easy to use, understands FLAC, Ape, but what was very disappointing was one track. So I had to split the recording into tracks, and luckily it all worked, but I really had to change the headphones. For the money this is not a bad player.</v>
      </c>
    </row>
    <row r="12596" spans="1:9" x14ac:dyDescent="0.3">
      <c r="A12596" s="1" t="s">
        <v>37</v>
      </c>
      <c r="B12596" s="1" t="s">
        <v>536</v>
      </c>
      <c r="C12596" s="1" t="s">
        <v>163</v>
      </c>
      <c r="D12596" s="1" t="s">
        <v>1681</v>
      </c>
      <c r="E12596" s="1" t="s">
        <v>6232</v>
      </c>
      <c r="F12596" s="1" t="s">
        <v>17731</v>
      </c>
      <c r="G12596" s="1" t="s">
        <v>36</v>
      </c>
      <c r="H12596" s="1" t="s">
        <v>29</v>
      </c>
      <c r="I12596" s="1" t="str">
        <f ca="1">IFERROR(__xludf.DUMMYFUNCTION("GOOGLETRANSLATE(F12596, ""auto"", ""en"")
"),"I like my smartphone. Thin, light, many functions. Convenient to download from Ovi. Lots of free stuff.")</f>
        <v>I like my smartphone. Thin, light, many functions. Convenient to download from Ovi. Lots of free stuff.</v>
      </c>
    </row>
    <row r="12597" spans="1:9" x14ac:dyDescent="0.3">
      <c r="A12597" s="1" t="s">
        <v>120</v>
      </c>
      <c r="B12597" s="1" t="s">
        <v>196</v>
      </c>
      <c r="C12597" s="1" t="s">
        <v>1677</v>
      </c>
      <c r="D12597" s="1" t="s">
        <v>1124</v>
      </c>
      <c r="E12597" s="1" t="s">
        <v>3805</v>
      </c>
      <c r="F12597" s="1" t="s">
        <v>17732</v>
      </c>
      <c r="G12597" s="1" t="s">
        <v>36</v>
      </c>
      <c r="H12597" s="1" t="s">
        <v>29</v>
      </c>
      <c r="I12597" s="1" t="str">
        <f ca="1">IFERROR(__xludf.DUMMYFUNCTION("GOOGLETRANSLATE(F12597, ""auto"", ""en"")
"),"To be honest, the Sharp LCD TV is excellent. 3 years warranty. It looks great with the plate. Toys to play SP3 the picture is super. Everyone thinks they bought an LCD and here’s the quality. Here the wire for connection plays the role. For example, a nor"&amp;"mal HD wire costs 2t and above. Dish + plus receiver. And the sound from the LCD is weak. but this can be fixed if there is normal acoustics.")</f>
        <v>To be honest, the Sharp LCD TV is excellent. 3 years warranty. It looks great with the plate. Toys to play SP3 the picture is super. Everyone thinks they bought an LCD and here’s the quality. Here the wire for connection plays the role. For example, a normal HD wire costs 2t and above. Dish + plus receiver. And the sound from the LCD is weak. but this can be fixed if there is normal acoustics.</v>
      </c>
    </row>
    <row r="12598" spans="1:9" x14ac:dyDescent="0.3">
      <c r="A12598" s="1" t="s">
        <v>17</v>
      </c>
      <c r="B12598" s="1" t="s">
        <v>18</v>
      </c>
      <c r="C12598" s="1" t="s">
        <v>63</v>
      </c>
      <c r="D12598" s="1" t="s">
        <v>1940</v>
      </c>
      <c r="E12598" s="1" t="s">
        <v>1732</v>
      </c>
      <c r="F12598" s="1" t="s">
        <v>17733</v>
      </c>
      <c r="G12598" s="1" t="s">
        <v>36</v>
      </c>
      <c r="H12598" s="1" t="s">
        <v>29</v>
      </c>
      <c r="I12598" s="1" t="str">
        <f ca="1">IFERROR(__xludf.DUMMYFUNCTION("GOOGLETRANSLATE(F12598, ""auto"", ""en"")
"),"SUPER!!!!!!!!!!!!!!!!!")</f>
        <v>SUPER!!!!!!!!!!!!!!!!!</v>
      </c>
    </row>
    <row r="12599" spans="1:9" x14ac:dyDescent="0.3">
      <c r="A12599" s="1" t="s">
        <v>149</v>
      </c>
      <c r="B12599" s="1" t="s">
        <v>155</v>
      </c>
      <c r="C12599" s="1" t="s">
        <v>80</v>
      </c>
      <c r="D12599" s="1" t="s">
        <v>327</v>
      </c>
      <c r="E12599" s="1" t="s">
        <v>800</v>
      </c>
      <c r="F12599" s="1" t="s">
        <v>17734</v>
      </c>
      <c r="G12599" s="1" t="s">
        <v>49</v>
      </c>
      <c r="H12599" s="1" t="s">
        <v>16</v>
      </c>
      <c r="I12599" s="1" t="str">
        <f ca="1">IFERROR(__xludf.DUMMYFUNCTION("GOOGLETRANSLATE(F12599, ""auto"", ""en"")
"),"This is the worst vacuum cleaner!!! It quickly clogs, overheats and begins to generate dust. The filter needs to be washed after every cleaning and the container is not enough even for 1 cleaning!!!")</f>
        <v>This is the worst vacuum cleaner!!! It quickly clogs, overheats and begins to generate dust. The filter needs to be washed after every cleaning and the container is not enough even for 1 cleaning!!!</v>
      </c>
    </row>
    <row r="12600" spans="1:9" x14ac:dyDescent="0.3">
      <c r="A12600" s="1" t="s">
        <v>9</v>
      </c>
      <c r="B12600" s="1" t="s">
        <v>133</v>
      </c>
      <c r="C12600" s="1" t="s">
        <v>63</v>
      </c>
      <c r="D12600" s="1" t="s">
        <v>2764</v>
      </c>
      <c r="E12600" s="1" t="s">
        <v>5800</v>
      </c>
      <c r="F12600" s="1" t="s">
        <v>17735</v>
      </c>
      <c r="G12600" s="1" t="s">
        <v>36</v>
      </c>
      <c r="H12600" s="1" t="s">
        <v>29</v>
      </c>
      <c r="I12600" s="1" t="str">
        <f ca="1">IFERROR(__xludf.DUMMYFUNCTION("GOOGLETRANSLATE(F12600, ""auto"", ""en"")
"),"Everything is excellent, both design and functions. Even my roommates appreciated the cooking process and smelled the aroma :) It bakes beautifully. Even puff pastry with a “wet” filling is baked completely dry and fluffy. One can say about yeast dough - "&amp;"a song!!!! The guides help out in the most unimaginable “position” of the baking sheet: it doesn’t fall, doesn’t tilt, and holds tightly. The only inconvenience that always forces you to be on guard is that when you open the oven, hot air flies out and yo"&amp;"u must tilt your head away. The first time I burned my forehead. But this doesn't happen again. I recommend it to all craftswomen.")</f>
        <v>Everything is excellent, both design and functions. Even my roommates appreciated the cooking process and smelled the aroma :) It bakes beautifully. Even puff pastry with a “wet” filling is baked completely dry and fluffy. One can say about yeast dough - a song!!!! The guides help out in the most unimaginable “position” of the baking sheet: it doesn’t fall, doesn’t tilt, and holds tightly. The only inconvenience that always forces you to be on guard is that when you open the oven, hot air flies out and you must tilt your head away. The first time I burned my forehead. But this doesn't happen again. I recommend it to all craftswomen.</v>
      </c>
    </row>
    <row r="12601" spans="1:9" x14ac:dyDescent="0.3">
      <c r="A12601" s="1" t="s">
        <v>55</v>
      </c>
      <c r="B12601" s="1" t="s">
        <v>184</v>
      </c>
      <c r="C12601" s="1" t="s">
        <v>85</v>
      </c>
      <c r="D12601" s="1" t="s">
        <v>52</v>
      </c>
      <c r="E12601" s="1" t="s">
        <v>236</v>
      </c>
      <c r="F12601" s="1" t="s">
        <v>17736</v>
      </c>
      <c r="G12601" s="1" t="s">
        <v>49</v>
      </c>
      <c r="H12601" s="1" t="s">
        <v>16</v>
      </c>
      <c r="I12601" s="1" t="str">
        <f ca="1">IFERROR(__xludf.DUMMYFUNCTION("GOOGLETRANSLATE(F12601, ""auto"", ""en"")
"),"Bad heater!!! don't take it. First, warm air blows, after 2-3 minutes cold air blows. You can freeze")</f>
        <v>Bad heater!!! don't take it. First, warm air blows, after 2-3 minutes cold air blows. You can freeze</v>
      </c>
    </row>
    <row r="12602" spans="1:9" x14ac:dyDescent="0.3">
      <c r="A12602" s="1" t="s">
        <v>206</v>
      </c>
      <c r="B12602" s="1" t="s">
        <v>207</v>
      </c>
      <c r="C12602" s="1" t="s">
        <v>152</v>
      </c>
      <c r="D12602" s="1" t="s">
        <v>86</v>
      </c>
      <c r="E12602" s="1" t="s">
        <v>868</v>
      </c>
      <c r="F12602" s="1" t="s">
        <v>17737</v>
      </c>
      <c r="G12602" s="1" t="s">
        <v>49</v>
      </c>
      <c r="H12602" s="1" t="s">
        <v>16</v>
      </c>
      <c r="I12602" s="1" t="str">
        <f ca="1">IFERROR(__xludf.DUMMYFUNCTION("GOOGLETRANSLATE(F12602, ""auto"", ""en"")
"),"Good day everyone. I bought these tweeters yesterday because one in my car broke down, I thought they were normal, it turned out to be complete nonsense, they sound quiet, there is no point in them.")</f>
        <v>Good day everyone. I bought these tweeters yesterday because one in my car broke down, I thought they were normal, it turned out to be complete nonsense, they sound quiet, there is no point in them.</v>
      </c>
    </row>
    <row r="12603" spans="1:9" x14ac:dyDescent="0.3">
      <c r="A12603" s="1" t="s">
        <v>55</v>
      </c>
      <c r="B12603" s="1" t="s">
        <v>752</v>
      </c>
      <c r="C12603" s="1" t="s">
        <v>185</v>
      </c>
      <c r="D12603" s="1" t="s">
        <v>308</v>
      </c>
      <c r="E12603" s="1" t="s">
        <v>701</v>
      </c>
      <c r="F12603" s="1" t="s">
        <v>17738</v>
      </c>
      <c r="G12603" s="1" t="s">
        <v>15</v>
      </c>
      <c r="H12603" s="1" t="s">
        <v>16</v>
      </c>
      <c r="I12603" s="1" t="str">
        <f ca="1">IFERROR(__xludf.DUMMYFUNCTION("GOOGLETRANSLATE(F12603, ""auto"", ""en"")
"),"We've been using it for 4 years now. Heats well, even large rooms.   But a year ago the oil started leaking (there were no knocks, it was flowing from below), apparently we were out of luck, we thought that for that kind of money the thing would work for "&amp;"at least 10 years.")</f>
        <v>We've been using it for 4 years now. Heats well, even large rooms.   But a year ago the oil started leaking (there were no knocks, it was flowing from below), apparently we were out of luck, we thought that for that kind of money the thing would work for at least 10 years.</v>
      </c>
    </row>
    <row r="12604" spans="1:9" x14ac:dyDescent="0.3">
      <c r="A12604" s="1" t="s">
        <v>9</v>
      </c>
      <c r="B12604" s="1" t="s">
        <v>10</v>
      </c>
      <c r="C12604" s="1" t="s">
        <v>3091</v>
      </c>
      <c r="D12604" s="1" t="s">
        <v>1894</v>
      </c>
      <c r="E12604" s="1" t="s">
        <v>932</v>
      </c>
      <c r="F12604" s="1" t="s">
        <v>17739</v>
      </c>
      <c r="G12604" s="1" t="s">
        <v>28</v>
      </c>
      <c r="H12604" s="1" t="s">
        <v>29</v>
      </c>
      <c r="I12604" s="1" t="str">
        <f ca="1">IFERROR(__xludf.DUMMYFUNCTION("GOOGLETRANSLATE(F12604, ""auto"", ""en"")
"),"The hood is simple and reliable, it works very well, 2 speeds are enough, we don’t even use the 3rd, we connected it directly to the ventilation, everything works out, the best price-quality ratio.")</f>
        <v>The hood is simple and reliable, it works very well, 2 speeds are enough, we don’t even use the 3rd, we connected it directly to the ventilation, everything works out, the best price-quality ratio.</v>
      </c>
    </row>
    <row r="12605" spans="1:9" x14ac:dyDescent="0.3">
      <c r="A12605" s="1" t="s">
        <v>105</v>
      </c>
      <c r="B12605" s="1" t="s">
        <v>106</v>
      </c>
      <c r="C12605" s="1" t="s">
        <v>97</v>
      </c>
      <c r="D12605" s="1" t="s">
        <v>19</v>
      </c>
      <c r="E12605" s="1" t="s">
        <v>131</v>
      </c>
      <c r="F12605" s="1" t="s">
        <v>17740</v>
      </c>
      <c r="G12605" s="1" t="s">
        <v>28</v>
      </c>
      <c r="H12605" s="1" t="s">
        <v>29</v>
      </c>
      <c r="I12605" s="1" t="str">
        <f ca="1">IFERROR(__xludf.DUMMYFUNCTION("GOOGLETRANSLATE(F12605, ""auto"", ""en"")
"),"I took this device and doubted it for a long time.   I don’t know why they say that the headphones in the kit are complete, the headphones are very good, just a little bass.  The screen is bright, the video plays smoothly and very clearly. The battery las"&amp;"ted 23 hours out of the stated 40 hours. The screen gets scratched very quickly, even from a napkin. The sound is not bad, but I didn’t notice the sound so vastly different from the telephone sound, perhaps a bear stepped on my ear as a child. I won’t say"&amp;" that the speakers are loud, but they are of high quality. I didn’t like that the player didn’t work with sp3, so I had to install sp2.   As a result, there are two main drawbacks: Connection to a PC and the screen gets scratched quickly. If you want to b"&amp;"uy high-quality music, take an iPod, but for Sony fans, the player is quite good. It's up to you again)")</f>
        <v>I took this device and doubted it for a long time.   I don’t know why they say that the headphones in the kit are complete, the headphones are very good, just a little bass.  The screen is bright, the video plays smoothly and very clearly. The battery lasted 23 hours out of the stated 40 hours. The screen gets scratched very quickly, even from a napkin. The sound is not bad, but I didn’t notice the sound so vastly different from the telephone sound, perhaps a bear stepped on my ear as a child. I won’t say that the speakers are loud, but they are of high quality. I didn’t like that the player didn’t work with sp3, so I had to install sp2.   As a result, there are two main drawbacks: Connection to a PC and the screen gets scratched quickly. If you want to buy high-quality music, take an iPod, but for Sony fans, the player is quite good. It's up to you again)</v>
      </c>
    </row>
    <row r="12606" spans="1:9" x14ac:dyDescent="0.3">
      <c r="A12606" s="1" t="s">
        <v>451</v>
      </c>
      <c r="B12606" s="1" t="s">
        <v>452</v>
      </c>
      <c r="C12606" s="1" t="s">
        <v>453</v>
      </c>
      <c r="D12606" s="1" t="s">
        <v>474</v>
      </c>
      <c r="E12606" s="1" t="s">
        <v>17741</v>
      </c>
      <c r="F12606" s="1" t="s">
        <v>17742</v>
      </c>
      <c r="G12606" s="1" t="s">
        <v>36</v>
      </c>
      <c r="H12606" s="1" t="s">
        <v>29</v>
      </c>
      <c r="I12606" s="1" t="str">
        <f ca="1">IFERROR(__xludf.DUMMYFUNCTION("GOOGLETRANSLATE(F12606, ""auto"", ""en"")
"),"Copes with the task with a bang! After treatment, warm clothes are like new! The only thing is to be careful when handling delicate things, as they can 'suck' into the fabric. I recommend purchasing!!")</f>
        <v>Copes with the task with a bang! After treatment, warm clothes are like new! The only thing is to be careful when handling delicate things, as they can 'suck' into the fabric. I recommend purchasing!!</v>
      </c>
    </row>
    <row r="12607" spans="1:9" x14ac:dyDescent="0.3">
      <c r="A12607" s="1" t="s">
        <v>206</v>
      </c>
      <c r="B12607" s="1" t="s">
        <v>2026</v>
      </c>
      <c r="C12607" s="1" t="s">
        <v>262</v>
      </c>
      <c r="D12607" s="1" t="s">
        <v>86</v>
      </c>
      <c r="E12607" s="1" t="s">
        <v>1315</v>
      </c>
      <c r="F12607" s="1" t="s">
        <v>17743</v>
      </c>
      <c r="G12607" s="1" t="s">
        <v>28</v>
      </c>
      <c r="H12607" s="1" t="s">
        <v>29</v>
      </c>
      <c r="I12607" s="1" t="str">
        <f ca="1">IFERROR(__xludf.DUMMYFUNCTION("GOOGLETRANSLATE(F12607, ""auto"", ""en"")
"),"Normal mayfun. But for some reason it doesn’t want to read an 8 GB flash drive. Who knows what the reason is?")</f>
        <v>Normal mayfun. But for some reason it doesn’t want to read an 8 GB flash drive. Who knows what the reason is?</v>
      </c>
    </row>
    <row r="12608" spans="1:9" x14ac:dyDescent="0.3">
      <c r="A12608" s="1" t="s">
        <v>9</v>
      </c>
      <c r="B12608" s="1" t="s">
        <v>133</v>
      </c>
      <c r="C12608" s="1" t="s">
        <v>151</v>
      </c>
      <c r="D12608" s="1" t="s">
        <v>280</v>
      </c>
      <c r="E12608" s="1" t="s">
        <v>1484</v>
      </c>
      <c r="F12608" s="1" t="s">
        <v>17744</v>
      </c>
      <c r="G12608" s="1" t="s">
        <v>28</v>
      </c>
      <c r="H12608" s="1" t="s">
        <v>29</v>
      </c>
      <c r="I12608" s="1" t="str">
        <f ca="1">IFERROR(__xludf.DUMMYFUNCTION("GOOGLETRANSLATE(F12608, ""auto"", ""en"")
"),"the first turn on and behold: in mode 0 (when only the clock works), you can hear such a background hum of the transformer from the oven control unit! and the sound changes when you press the keys. In the nightstand the sound intensifies. Not much during "&amp;"the day, but at night it can be heard throughout the entire kitchen, at least. Over the phone, the service technicians explained that the features of the power supply network at home! I brought it to the service center, they turned it on - there was almos"&amp;"t no sound! Therefore, I didn’t change one board for the same one - since that’s how everything works. I put the most ordinary switch separately on the oven - it doesn’t buzz! when the system's power is turned off))) Otherwise: for now the device is worki"&amp;"ng normally (1 month), heating and ventilating... and not very quietly) Advantages + seem to be reliable mode and temperature switches (there is no impression that I'm about to break off this piece of plastic); + control buttons are mechanical, but pleasa"&amp;"nt (and touch buttons can be triggered by clothing or accidental touches); + nice appearance. Disadvantages - there is no self-cleaning system, but we will survive this trouble with some kind of bioceramics); - noise, modern technology could be quieter.")</f>
        <v>the first turn on and behold: in mode 0 (when only the clock works), you can hear such a background hum of the transformer from the oven control unit! and the sound changes when you press the keys. In the nightstand the sound intensifies. Not much during the day, but at night it can be heard throughout the entire kitchen, at least. Over the phone, the service technicians explained that the features of the power supply network at home! I brought it to the service center, they turned it on - there was almost no sound! Therefore, I didn’t change one board for the same one - since that’s how everything works. I put the most ordinary switch separately on the oven - it doesn’t buzz! when the system's power is turned off))) Otherwise: for now the device is working normally (1 month), heating and ventilating... and not very quietly) Advantages + seem to be reliable mode and temperature switches (there is no impression that I'm about to break off this piece of plastic); + control buttons are mechanical, but pleasant (and touch buttons can be triggered by clothing or accidental touches); + nice appearance. Disadvantages - there is no self-cleaning system, but we will survive this trouble with some kind of bioceramics); - noise, modern technology could be quieter.</v>
      </c>
    </row>
    <row r="12609" spans="1:9" x14ac:dyDescent="0.3">
      <c r="A12609" s="1" t="s">
        <v>5066</v>
      </c>
      <c r="B12609" s="1" t="s">
        <v>5067</v>
      </c>
      <c r="C12609" s="1" t="s">
        <v>911</v>
      </c>
      <c r="D12609" s="1" t="s">
        <v>305</v>
      </c>
      <c r="E12609" s="1" t="s">
        <v>16501</v>
      </c>
      <c r="F12609" s="1" t="s">
        <v>17745</v>
      </c>
      <c r="G12609" s="1" t="s">
        <v>36</v>
      </c>
      <c r="H12609" s="1" t="s">
        <v>29</v>
      </c>
      <c r="I12609" s="1" t="str">
        <f ca="1">IFERROR(__xludf.DUMMYFUNCTION("GOOGLETRANSLATE(F12609, ""auto"", ""en"")
"),"1. Pros.  I've been shopping for years now. Bonuses are pouring in, I’ll use them on the next product.  By quick service, literally in 15 minutes, I exchanged it with an additional payment under a certificate for a newer e-reader r657 for a Digma r659, wh"&amp;"ich added a clock in the firmware and a soft touch coating on the case. (The old one had streaks on the screen, and there was simply no time to wait for repairs under the usual guarantee.) I’ll write right here in the pros that when purchasing, I took the"&amp;" following additional certificate, before I issued it, I asked the seller if I crushed the screen, would they replace the book for me and having received a positive answer (the main thing is that no water gets into the book), I went to pay for the purchas"&amp;"e and get quick service.  The screen on the new book cracked (I don’t know how) the book is always in a case.  2. Cons. It all depends on my trip to the store and the result of replacing the book. And the fact that the power button sometimes sticks, the f"&amp;"aint flickering of the screen backlight is a trifle.   3. General impressions. Service life is about four months. When choosing, I paid attention to books with built-in backlighting. Reads everything. The coating does not slip. It suited everyone.")</f>
        <v>1. Pros.  I've been shopping for years now. Bonuses are pouring in, I’ll use them on the next product.  By quick service, literally in 15 minutes, I exchanged it with an additional payment under a certificate for a newer e-reader r657 for a Digma r659, which added a clock in the firmware and a soft touch coating on the case. (The old one had streaks on the screen, and there was simply no time to wait for repairs under the usual guarantee.) I’ll write right here in the pros that when purchasing, I took the following additional certificate, before I issued it, I asked the seller if I crushed the screen, would they replace the book for me and having received a positive answer (the main thing is that no water gets into the book), I went to pay for the purchase and get quick service.  The screen on the new book cracked (I don’t know how) the book is always in a case.  2. Cons. It all depends on my trip to the store and the result of replacing the book. And the fact that the power button sometimes sticks, the faint flickering of the screen backlight is a trifle.   3. General impressions. Service life is about four months. When choosing, I paid attention to books with built-in backlighting. Reads everything. The coating does not slip. It suited everyone.</v>
      </c>
    </row>
    <row r="12610" spans="1:9" x14ac:dyDescent="0.3">
      <c r="A12610" s="1" t="s">
        <v>61</v>
      </c>
      <c r="B12610" s="1" t="s">
        <v>318</v>
      </c>
      <c r="C12610" s="1" t="s">
        <v>101</v>
      </c>
      <c r="D12610" s="1" t="s">
        <v>152</v>
      </c>
      <c r="E12610" s="1" t="s">
        <v>9859</v>
      </c>
      <c r="F12610" s="1" t="s">
        <v>17746</v>
      </c>
      <c r="G12610" s="1" t="s">
        <v>15</v>
      </c>
      <c r="H12610" s="1" t="s">
        <v>16</v>
      </c>
      <c r="I12610" s="1" t="str">
        <f ca="1">IFERROR(__xludf.DUMMYFUNCTION("GOOGLETRANSLATE(F12610, ""auto"", ""en"")
"),"After 2 months, the seam of the flask and the perimeter of the lid junction rusted.  I will return it.")</f>
        <v>After 2 months, the seam of the flask and the perimeter of the lid junction rusted.  I will return it.</v>
      </c>
    </row>
    <row r="12611" spans="1:9" x14ac:dyDescent="0.3">
      <c r="A12611" s="1" t="s">
        <v>211</v>
      </c>
      <c r="B12611" s="1" t="s">
        <v>212</v>
      </c>
      <c r="C12611" s="1" t="s">
        <v>381</v>
      </c>
      <c r="D12611" s="1" t="s">
        <v>17747</v>
      </c>
      <c r="E12611" s="1" t="s">
        <v>594</v>
      </c>
      <c r="F12611" s="1" t="s">
        <v>17748</v>
      </c>
      <c r="G12611" s="1" t="s">
        <v>36</v>
      </c>
      <c r="H12611" s="1" t="s">
        <v>29</v>
      </c>
      <c r="I12611" s="1" t="str">
        <f ca="1">IFERROR(__xludf.DUMMYFUNCTION("GOOGLETRANSLATE(F12611, ""auto"", ""en"")
"),"My beloved gave me such a straightener for my birthday, I asked for a cheaper one, but he decided that I deserved the best and was not mistaken, because this is exactly what I dreamed of when I saw it in an advertisement. I straighten it at 170 degrees, m"&amp;"y hair is thin, so I don’t need to set the temperature higher, my hair is perfectly smooth, like after a salon, shiny and not electrified! It’s a bomb, not a thing, I’m very pleased, there really are no shortcomings, and it heats up instantly, which is in"&amp;"credibly pleasing when you’re short on time! Men, give your loved ones the best!!! Don't skimp on our beauty!!")</f>
        <v>My beloved gave me such a straightener for my birthday, I asked for a cheaper one, but he decided that I deserved the best and was not mistaken, because this is exactly what I dreamed of when I saw it in an advertisement. I straighten it at 170 degrees, my hair is thin, so I don’t need to set the temperature higher, my hair is perfectly smooth, like after a salon, shiny and not electrified! It’s a bomb, not a thing, I’m very pleased, there really are no shortcomings, and it heats up instantly, which is incredibly pleasing when you’re short on time! Men, give your loved ones the best!!! Don't skimp on our beauty!!</v>
      </c>
    </row>
    <row r="12612" spans="1:9" x14ac:dyDescent="0.3">
      <c r="A12612" s="1" t="s">
        <v>149</v>
      </c>
      <c r="B12612" s="1" t="s">
        <v>423</v>
      </c>
      <c r="C12612" s="1" t="s">
        <v>548</v>
      </c>
      <c r="D12612" s="1" t="s">
        <v>39</v>
      </c>
      <c r="E12612" s="1" t="s">
        <v>7141</v>
      </c>
      <c r="F12612" s="1" t="s">
        <v>17749</v>
      </c>
      <c r="G12612" s="1" t="s">
        <v>49</v>
      </c>
      <c r="H12612" s="1" t="s">
        <v>16</v>
      </c>
      <c r="I12612" s="1" t="str">
        <f ca="1">IFERROR(__xludf.DUMMYFUNCTION("GOOGLETRANSLATE(F12612, ""auto"", ""en"")
"),"We purchased this space product a year ago. First of all, we washed the laminate flooring. It's good that it's in the same room. Since there was clearly not enough power, it was very wet and because of this, the laminate was deformed in some places at the"&amp;" joints. Then the family complained that it didn’t absorb anything dry at all. I actually tried it... With such a roar and appearance, and for such and such money, the carpets should be sucked in. In short, I really feel sorry for the money. My patience h"&amp;"as run out. I'll try to exchange the certificate for something else. In a year (I don’t want to call it a vacuum cleaner) the price has risen by 8,000.")</f>
        <v>We purchased this space product a year ago. First of all, we washed the laminate flooring. It's good that it's in the same room. Since there was clearly not enough power, it was very wet and because of this, the laminate was deformed in some places at the joints. Then the family complained that it didn’t absorb anything dry at all. I actually tried it... With such a roar and appearance, and for such and such money, the carpets should be sucked in. In short, I really feel sorry for the money. My patience has run out. I'll try to exchange the certificate for something else. In a year (I don’t want to call it a vacuum cleaner) the price has risen by 8,000.</v>
      </c>
    </row>
    <row r="12613" spans="1:9" x14ac:dyDescent="0.3">
      <c r="A12613" s="1" t="s">
        <v>149</v>
      </c>
      <c r="B12613" s="1" t="s">
        <v>576</v>
      </c>
      <c r="C12613" s="1" t="s">
        <v>80</v>
      </c>
      <c r="D12613" s="1" t="s">
        <v>139</v>
      </c>
      <c r="E12613" s="1" t="s">
        <v>1273</v>
      </c>
      <c r="F12613" s="1" t="s">
        <v>17750</v>
      </c>
      <c r="G12613" s="1" t="s">
        <v>36</v>
      </c>
      <c r="H12613" s="1" t="s">
        <v>29</v>
      </c>
      <c r="I12613" s="1" t="str">
        <f ca="1">IFERROR(__xludf.DUMMYFUNCTION("GOOGLETRANSLATE(F12613, ""auto"", ""en"")
"),"Service life - 3 months. I took it for repairs, with the thought of throwing it away later. But... This model turned out to be much more durable than I expected. All this time he worked regularly, sucked cement, construction dust, small pebbles, he didn’t"&amp;" care about anything. In this case, the absence of HEPA filters turned out to be an advantage. because without them, the suction power is greater. The repair is completed, the vacuum cleaner is washed, the filters are replaced, and the vacuum cleaner rema"&amp;"ins to live in the apartment. So, an excellent product for the money.  Of the minuses, the most obvious one is the difficulty in purchasing dust collection bags; they are not always available for this model...")</f>
        <v>Service life - 3 months. I took it for repairs, with the thought of throwing it away later. But... This model turned out to be much more durable than I expected. All this time he worked regularly, sucked cement, construction dust, small pebbles, he didn’t care about anything. In this case, the absence of HEPA filters turned out to be an advantage. because without them, the suction power is greater. The repair is completed, the vacuum cleaner is washed, the filters are replaced, and the vacuum cleaner remains to live in the apartment. So, an excellent product for the money.  Of the minuses, the most obvious one is the difficulty in purchasing dust collection bags; they are not always available for this model...</v>
      </c>
    </row>
    <row r="12614" spans="1:9" x14ac:dyDescent="0.3">
      <c r="A12614" s="1" t="s">
        <v>37</v>
      </c>
      <c r="B12614" s="1" t="s">
        <v>38</v>
      </c>
      <c r="C12614" s="1" t="s">
        <v>151</v>
      </c>
      <c r="D12614" s="1" t="s">
        <v>305</v>
      </c>
      <c r="E12614" s="1" t="s">
        <v>4697</v>
      </c>
      <c r="F12614" s="1" t="s">
        <v>17751</v>
      </c>
      <c r="G12614" s="1" t="s">
        <v>36</v>
      </c>
      <c r="H12614" s="1" t="s">
        <v>29</v>
      </c>
      <c r="I12614" s="1" t="str">
        <f ca="1">IFERROR(__xludf.DUMMYFUNCTION("GOOGLETRANSLATE(F12614, ""auto"", ""en"")
"),"Truly one of the best S-line phones. Exquisite design + functionality. What else do you need?")</f>
        <v>Truly one of the best S-line phones. Exquisite design + functionality. What else do you need?</v>
      </c>
    </row>
    <row r="12615" spans="1:9" x14ac:dyDescent="0.3">
      <c r="A12615" s="1" t="s">
        <v>37</v>
      </c>
      <c r="B12615" s="1" t="s">
        <v>536</v>
      </c>
      <c r="C12615" s="1" t="s">
        <v>163</v>
      </c>
      <c r="D12615" s="1" t="s">
        <v>996</v>
      </c>
      <c r="E12615" s="1" t="s">
        <v>1875</v>
      </c>
      <c r="F12615" s="1" t="s">
        <v>17752</v>
      </c>
      <c r="G12615" s="1" t="s">
        <v>36</v>
      </c>
      <c r="H12615" s="1" t="s">
        <v>29</v>
      </c>
      <c r="I12615" s="1" t="str">
        <f ca="1">IFERROR(__xludf.DUMMYFUNCTION("GOOGLETRANSLATE(F12615, ""auto"", ""en"")
"),"The phone is excellent, not far removed from the Nokia 5800, but it’s hard to find GPS maps for it")</f>
        <v>The phone is excellent, not far removed from the Nokia 5800, but it’s hard to find GPS maps for it</v>
      </c>
    </row>
    <row r="12616" spans="1:9" x14ac:dyDescent="0.3">
      <c r="A12616" s="1" t="s">
        <v>624</v>
      </c>
      <c r="B12616" s="1" t="s">
        <v>625</v>
      </c>
      <c r="C12616" s="1" t="s">
        <v>479</v>
      </c>
      <c r="D12616" s="1" t="s">
        <v>11138</v>
      </c>
      <c r="E12616" s="1" t="s">
        <v>1387</v>
      </c>
      <c r="F12616" s="1" t="s">
        <v>17753</v>
      </c>
      <c r="G12616" s="1" t="s">
        <v>36</v>
      </c>
      <c r="H12616" s="1" t="s">
        <v>29</v>
      </c>
      <c r="I12616" s="1" t="str">
        <f ca="1">IFERROR(__xludf.DUMMYFUNCTION("GOOGLETRANSLATE(F12616, ""auto"", ""en"")
"),"For starters, additional content consisting of six new Challenge Maps.    But the most interesting thing is this: the console versions of the game (for PS3 and Xbox 360) will include the ability to activate the TriOviz 3D mode on most standard TVs (both s"&amp;"tandard definition and HDTV).    The game will come with a pair of special glasses, with which you can see a three-dimensional picture on a regular TV. According to the developers, the picture quality when using TriOviz 3D is much better than that of comm"&amp;"on red-blue anaglyphs, and the eyes do not experience any discomfort, fatigue, etc.")</f>
        <v>For starters, additional content consisting of six new Challenge Maps.    But the most interesting thing is this: the console versions of the game (for PS3 and Xbox 360) will include the ability to activate the TriOviz 3D mode on most standard TVs (both standard definition and HDTV).    The game will come with a pair of special glasses, with which you can see a three-dimensional picture on a regular TV. According to the developers, the picture quality when using TriOviz 3D is much better than that of common red-blue anaglyphs, and the eyes do not experience any discomfort, fatigue, etc.</v>
      </c>
    </row>
    <row r="12617" spans="1:9" x14ac:dyDescent="0.3">
      <c r="A12617" s="1" t="s">
        <v>169</v>
      </c>
      <c r="B12617" s="1" t="s">
        <v>170</v>
      </c>
      <c r="C12617" s="1" t="s">
        <v>122</v>
      </c>
      <c r="D12617" s="1" t="s">
        <v>17754</v>
      </c>
      <c r="E12617" s="1" t="s">
        <v>2769</v>
      </c>
      <c r="F12617" s="1" t="s">
        <v>17755</v>
      </c>
      <c r="G12617" s="1" t="s">
        <v>36</v>
      </c>
      <c r="H12617" s="1" t="s">
        <v>29</v>
      </c>
      <c r="I12617" s="1" t="str">
        <f ca="1">IFERROR(__xludf.DUMMYFUNCTION("GOOGLETRANSLATE(F12617, ""auto"", ""en"")
"),"I expected more bass, but it will do just fine, movies look great with them, unless of course you downloaded/purchased the movie in normal quality (BDRip / Blue-Ray).")</f>
        <v>I expected more bass, but it will do just fine, movies look great with them, unless of course you downloaded/purchased the movie in normal quality (BDRip / Blue-Ray).</v>
      </c>
    </row>
    <row r="12618" spans="1:9" x14ac:dyDescent="0.3">
      <c r="A12618" s="1" t="s">
        <v>17</v>
      </c>
      <c r="B12618" s="1" t="s">
        <v>325</v>
      </c>
      <c r="C12618" s="1" t="s">
        <v>326</v>
      </c>
      <c r="D12618" s="1" t="s">
        <v>247</v>
      </c>
      <c r="E12618" s="1" t="s">
        <v>17756</v>
      </c>
      <c r="F12618" s="1" t="s">
        <v>17757</v>
      </c>
      <c r="G12618" s="1" t="s">
        <v>36</v>
      </c>
      <c r="H12618" s="1" t="s">
        <v>29</v>
      </c>
      <c r="I12618" s="1" t="str">
        <f ca="1">IFERROR(__xludf.DUMMYFUNCTION("GOOGLETRANSLATE(F12618, ""auto"", ""en"")
"),"Compact and not noisy! Bought this for grandma as a gift!")</f>
        <v>Compact and not noisy! Bought this for grandma as a gift!</v>
      </c>
    </row>
    <row r="12619" spans="1:9" x14ac:dyDescent="0.3">
      <c r="A12619" s="1" t="s">
        <v>373</v>
      </c>
      <c r="B12619" s="1" t="s">
        <v>374</v>
      </c>
      <c r="C12619" s="1" t="s">
        <v>19</v>
      </c>
      <c r="D12619" s="1" t="s">
        <v>172</v>
      </c>
      <c r="E12619" s="1" t="s">
        <v>8999</v>
      </c>
      <c r="F12619" s="1" t="s">
        <v>17758</v>
      </c>
      <c r="G12619" s="1" t="s">
        <v>36</v>
      </c>
      <c r="H12619" s="1" t="s">
        <v>29</v>
      </c>
      <c r="I12619" s="1" t="str">
        <f ca="1">IFERROR(__xludf.DUMMYFUNCTION("GOOGLETRANSLATE(F12619, ""auto"", ""en"")
"),"I installed it myself, right into the kitchen wall. I removed the lid and placed it under the countertop instead of a regular cabinet of the same width, next to the sink - so there were no problems connecting the drain and water. I connected it directly t"&amp;"o hot water, it’s more economical and doesn’t contradict the instructions - our water is up to 70 degrees. And it’s more economical because it’s hot for the price of cold (in-house heat exchanger), and the heating element will turn on less often. There ar"&amp;"e no complaints about the quality of washing if you arrange the dishes correctly. Drying of large items is rather weak, but after washing by hand you no longer pay attention to this. It works very quietly. In terms of price-quality ratio, you really can’t"&amp;" complain, considering the Polish assembly. Don't forget that it is painted metallic. We have it next to the built-in oven of the same color, it looks much better than if it were white.")</f>
        <v>I installed it myself, right into the kitchen wall. I removed the lid and placed it under the countertop instead of a regular cabinet of the same width, next to the sink - so there were no problems connecting the drain and water. I connected it directly to hot water, it’s more economical and doesn’t contradict the instructions - our water is up to 70 degrees. And it’s more economical because it’s hot for the price of cold (in-house heat exchanger), and the heating element will turn on less often. There are no complaints about the quality of washing if you arrange the dishes correctly. Drying of large items is rather weak, but after washing by hand you no longer pay attention to this. It works very quietly. In terms of price-quality ratio, you really can’t complain, considering the Polish assembly. Don't forget that it is painted metallic. We have it next to the built-in oven of the same color, it looks much better than if it were white.</v>
      </c>
    </row>
    <row r="12620" spans="1:9" x14ac:dyDescent="0.3">
      <c r="A12620" s="1" t="s">
        <v>61</v>
      </c>
      <c r="B12620" s="1" t="s">
        <v>434</v>
      </c>
      <c r="C12620" s="1" t="s">
        <v>101</v>
      </c>
      <c r="D12620" s="1" t="s">
        <v>411</v>
      </c>
      <c r="E12620" s="1" t="s">
        <v>395</v>
      </c>
      <c r="F12620" s="1" t="s">
        <v>17759</v>
      </c>
      <c r="G12620" s="1" t="s">
        <v>36</v>
      </c>
      <c r="H12620" s="1" t="s">
        <v>29</v>
      </c>
      <c r="I12620" s="1" t="str">
        <f ca="1">IFERROR(__xludf.DUMMYFUNCTION("GOOGLETRANSLATE(F12620, ""auto"", ""en"")
"),"The oven is great! cooks faster than any oven due to its small volume! I bought myself a black one!")</f>
        <v>The oven is great! cooks faster than any oven due to its small volume! I bought myself a black one!</v>
      </c>
    </row>
    <row r="12621" spans="1:9" x14ac:dyDescent="0.3">
      <c r="A12621" s="1" t="s">
        <v>17</v>
      </c>
      <c r="B12621" s="1" t="s">
        <v>18</v>
      </c>
      <c r="C12621" s="1" t="s">
        <v>151</v>
      </c>
      <c r="D12621" s="1" t="s">
        <v>545</v>
      </c>
      <c r="E12621" s="1" t="s">
        <v>7954</v>
      </c>
      <c r="F12621" s="1" t="s">
        <v>17760</v>
      </c>
      <c r="G12621" s="1" t="s">
        <v>15</v>
      </c>
      <c r="H12621" s="1" t="s">
        <v>16</v>
      </c>
      <c r="I12621" s="1" t="str">
        <f ca="1">IFERROR(__xludf.DUMMYFUNCTION("GOOGLETRANSLATE(F12621, ""auto"", ""en"")
"),"It makes noise, whistles, leaves hair and fur in the drum and on the glass. I put it in the kitchen, next to the kitchen cabinet, the dishes on the cabinet rattle a lot when the machine spins")</f>
        <v>It makes noise, whistles, leaves hair and fur in the drum and on the glass. I put it in the kitchen, next to the kitchen cabinet, the dishes on the cabinet rattle a lot when the machine spins</v>
      </c>
    </row>
    <row r="12622" spans="1:9" x14ac:dyDescent="0.3">
      <c r="A12622" s="1" t="s">
        <v>149</v>
      </c>
      <c r="B12622" s="1" t="s">
        <v>150</v>
      </c>
      <c r="C12622" s="1" t="s">
        <v>2016</v>
      </c>
      <c r="D12622" s="1" t="s">
        <v>152</v>
      </c>
      <c r="E12622" s="1" t="s">
        <v>711</v>
      </c>
      <c r="F12622" s="1" t="s">
        <v>17761</v>
      </c>
      <c r="G12622" s="1" t="s">
        <v>49</v>
      </c>
      <c r="H12622" s="1" t="s">
        <v>16</v>
      </c>
      <c r="I12622" s="1" t="str">
        <f ca="1">IFERROR(__xludf.DUMMYFUNCTION("GOOGLETRANSLATE(F12622, ""auto"", ""en"")
"),"Very low suction power, only maybe for ash on the carpet. I didn’t expect such a frankly useless thing from a renowned manufacturer. Many cheap analogues have much more power. Even well-thought-out ergonomics can’t help.")</f>
        <v>Very low suction power, only maybe for ash on the carpet. I didn’t expect such a frankly useless thing from a renowned manufacturer. Many cheap analogues have much more power. Even well-thought-out ergonomics can’t help.</v>
      </c>
    </row>
    <row r="12623" spans="1:9" x14ac:dyDescent="0.3">
      <c r="A12623" s="1" t="s">
        <v>120</v>
      </c>
      <c r="B12623" s="1" t="s">
        <v>126</v>
      </c>
      <c r="C12623" s="1" t="s">
        <v>122</v>
      </c>
      <c r="D12623" s="1" t="s">
        <v>139</v>
      </c>
      <c r="E12623" s="1" t="s">
        <v>817</v>
      </c>
      <c r="F12623" s="1" t="s">
        <v>17762</v>
      </c>
      <c r="G12623" s="1" t="s">
        <v>36</v>
      </c>
      <c r="H12623" s="1" t="s">
        <v>29</v>
      </c>
      <c r="I12623" s="1" t="str">
        <f ca="1">IFERROR(__xludf.DUMMYFUNCTION("GOOGLETRANSLATE(F12623, ""auto"", ""en"")
"),"I was originally going to buy the residential complex ""32"" Philips (Filipok). I spent a very long time choosing and comparing, after 3 hours spent in the store, the choice fell on this model. Why?! It really showed the picture better than others (in thi"&amp;"s and a little higher price range, on an analog signal), the absence of coolers (quiet operation), the latest technologies in the screen, and what is very important for me, the glass of the screen, unlike the LCD, (it’s more difficult to damage a child)! "&amp;" Great viewing of photos from a CD memory card. I liked the TV, I recommend it!")</f>
        <v>I was originally going to buy the residential complex "32" Philips (Filipok). I spent a very long time choosing and comparing, after 3 hours spent in the store, the choice fell on this model. Why?! It really showed the picture better than others (in this and a little higher price range, on an analog signal), the absence of coolers (quiet operation), the latest technologies in the screen, and what is very important for me, the glass of the screen, unlike the LCD, (it’s more difficult to damage a child)!  Great viewing of photos from a CD memory card. I liked the TV, I recommend it!</v>
      </c>
    </row>
    <row r="12624" spans="1:9" x14ac:dyDescent="0.3">
      <c r="A12624" s="1" t="s">
        <v>120</v>
      </c>
      <c r="B12624" s="1" t="s">
        <v>126</v>
      </c>
      <c r="C12624" s="1" t="s">
        <v>151</v>
      </c>
      <c r="D12624" s="1" t="s">
        <v>17763</v>
      </c>
      <c r="E12624" s="1" t="s">
        <v>405</v>
      </c>
      <c r="F12624" s="1" t="s">
        <v>17764</v>
      </c>
      <c r="G12624" s="1" t="s">
        <v>36</v>
      </c>
      <c r="H12624" s="1" t="s">
        <v>29</v>
      </c>
      <c r="I12624" s="1" t="str">
        <f ca="1">IFERROR(__xludf.DUMMYFUNCTION("GOOGLETRANSLATE(F12624, ""auto"", ""en"")
"),"We bought a 50"" Samsung PS-50 C6500 Plasma TV and are very pleased!! Simply super!!! Works just fine with the Internet and computer! The Blu-ray quality is excellent - I recommend it to everyone!!")</f>
        <v>We bought a 50" Samsung PS-50 C6500 Plasma TV and are very pleased!! Simply super!!! Works just fine with the Internet and computer! The Blu-ray quality is excellent - I recommend it to everyone!!</v>
      </c>
    </row>
    <row r="12625" spans="1:9" x14ac:dyDescent="0.3">
      <c r="A12625" s="1" t="s">
        <v>9</v>
      </c>
      <c r="B12625" s="1" t="s">
        <v>137</v>
      </c>
      <c r="C12625" s="1" t="s">
        <v>290</v>
      </c>
      <c r="D12625" s="1" t="s">
        <v>327</v>
      </c>
      <c r="E12625" s="1" t="s">
        <v>3151</v>
      </c>
      <c r="F12625" s="1" t="s">
        <v>17765</v>
      </c>
      <c r="G12625" s="1" t="s">
        <v>36</v>
      </c>
      <c r="H12625" s="1" t="s">
        <v>29</v>
      </c>
      <c r="I12625" s="1" t="str">
        <f ca="1">IFERROR(__xludf.DUMMYFUNCTION("GOOGLETRANSLATE(F12625, ""auto"", ""en"")
"),"The first glass-ceramic panel is absolutely satisfactory so far. It heats up instantly, there are no complaints about the operation :) It beeps if you leave a foreign object on the switched-on surface, a little unusual. Perhaps the best brand of kitchen a"&amp;"ppliances today.")</f>
        <v>The first glass-ceramic panel is absolutely satisfactory so far. It heats up instantly, there are no complaints about the operation :) It beeps if you leave a foreign object on the switched-on surface, a little unusual. Perhaps the best brand of kitchen appliances today.</v>
      </c>
    </row>
    <row r="12626" spans="1:9" x14ac:dyDescent="0.3">
      <c r="A12626" s="1" t="s">
        <v>169</v>
      </c>
      <c r="B12626" s="1" t="s">
        <v>170</v>
      </c>
      <c r="C12626" s="1" t="s">
        <v>97</v>
      </c>
      <c r="D12626" s="1" t="s">
        <v>17766</v>
      </c>
      <c r="E12626" s="1" t="s">
        <v>814</v>
      </c>
      <c r="F12626" s="1" t="s">
        <v>17767</v>
      </c>
      <c r="G12626" s="1" t="s">
        <v>36</v>
      </c>
      <c r="H12626" s="1" t="s">
        <v>29</v>
      </c>
      <c r="I12626" s="1" t="str">
        <f ca="1">IFERROR(__xludf.DUMMYFUNCTION("GOOGLETRANSLATE(F12626, ""auto"", ""en"")
"),"and I personally really like them.  The bass is excellent, the sound is excellent.  still happy)")</f>
        <v>and I personally really like them.  The bass is excellent, the sound is excellent.  still happy)</v>
      </c>
    </row>
    <row r="12627" spans="1:9" x14ac:dyDescent="0.3">
      <c r="A12627" s="1" t="s">
        <v>37</v>
      </c>
      <c r="B12627" s="1" t="s">
        <v>38</v>
      </c>
      <c r="C12627" s="1" t="s">
        <v>163</v>
      </c>
      <c r="D12627" s="1" t="s">
        <v>6471</v>
      </c>
      <c r="E12627" s="1" t="s">
        <v>3073</v>
      </c>
      <c r="F12627" s="1" t="s">
        <v>17768</v>
      </c>
      <c r="G12627" s="1" t="s">
        <v>49</v>
      </c>
      <c r="H12627" s="1" t="s">
        <v>16</v>
      </c>
      <c r="I12627" s="1" t="str">
        <f ca="1">IFERROR(__xludf.DUMMYFUNCTION("GOOGLETRANSLATE(F12627, ""auto"", ""en"")
"),"There is a GLITCH in this phone - when connected to a PC, the phone is not detected... or is detected every other time, when the phone is turned off, the PC sees it as a flash card (.., after 6 months the speaker died..., one connector for both power and "&amp;"headset... economical, but not reliable... I advise DO NOT BUY!!!")</f>
        <v>There is a GLITCH in this phone - when connected to a PC, the phone is not detected... or is detected every other time, when the phone is turned off, the PC sees it as a flash card (.., after 6 months the speaker died..., one connector for both power and headset... economical, but not reliable... I advise DO NOT BUY!!!</v>
      </c>
    </row>
    <row r="12628" spans="1:9" x14ac:dyDescent="0.3">
      <c r="A12628" s="1" t="s">
        <v>120</v>
      </c>
      <c r="B12628" s="1" t="s">
        <v>121</v>
      </c>
      <c r="C12628" s="1" t="s">
        <v>80</v>
      </c>
      <c r="D12628" s="1" t="s">
        <v>127</v>
      </c>
      <c r="E12628" s="1" t="s">
        <v>7372</v>
      </c>
      <c r="F12628" s="1" t="s">
        <v>17769</v>
      </c>
      <c r="G12628" s="1" t="s">
        <v>36</v>
      </c>
      <c r="H12628" s="1" t="s">
        <v>29</v>
      </c>
      <c r="I12628" s="1" t="str">
        <f ca="1">IFERROR(__xludf.DUMMYFUNCTION("GOOGLETRANSLATE(F12628, ""auto"", ""en"")
"),"I bought it the other day... The first impression is simply great! Functional and high quality. I was especially pleased with the presence of blue ace and flush, and the presence of additional expert settings in the picture settings.  Honestly, I’ve been "&amp;"a big fan of LG for a long time (since the days of GoldStar).  I think the optimal PRICE-QUALITY ratio!  I thank M-Video for the opportunity to purchase a TV.")</f>
        <v>I bought it the other day... The first impression is simply great! Functional and high quality. I was especially pleased with the presence of blue ace and flush, and the presence of additional expert settings in the picture settings.  Honestly, I’ve been a big fan of LG for a long time (since the days of GoldStar).  I think the optimal PRICE-QUALITY ratio!  I thank M-Video for the opportunity to purchase a TV.</v>
      </c>
    </row>
    <row r="12629" spans="1:9" x14ac:dyDescent="0.3">
      <c r="A12629" s="1" t="s">
        <v>965</v>
      </c>
      <c r="B12629" s="1" t="s">
        <v>966</v>
      </c>
      <c r="C12629" s="1" t="s">
        <v>2149</v>
      </c>
      <c r="D12629" s="1" t="s">
        <v>3675</v>
      </c>
      <c r="E12629" s="1" t="s">
        <v>956</v>
      </c>
      <c r="F12629" s="1" t="s">
        <v>17770</v>
      </c>
      <c r="G12629" s="1" t="s">
        <v>28</v>
      </c>
      <c r="H12629" s="1" t="s">
        <v>29</v>
      </c>
      <c r="I12629" s="1" t="str">
        <f ca="1">IFERROR(__xludf.DUMMYFUNCTION("GOOGLETRANSLATE(F12629, ""auto"", ""en"")
"),"great speakers!!! I've been using it for 2 years, so far only the remote control is stupid, but I can't use it.")</f>
        <v>great speakers!!! I've been using it for 2 years, so far only the remote control is stupid, but I can't use it.</v>
      </c>
    </row>
    <row r="12630" spans="1:9" x14ac:dyDescent="0.3">
      <c r="A12630" s="1" t="s">
        <v>30</v>
      </c>
      <c r="B12630" s="1" t="s">
        <v>50</v>
      </c>
      <c r="C12630" s="1" t="s">
        <v>2550</v>
      </c>
      <c r="D12630" s="1" t="s">
        <v>10401</v>
      </c>
      <c r="E12630" s="1" t="s">
        <v>1056</v>
      </c>
      <c r="F12630" s="1" t="s">
        <v>17771</v>
      </c>
      <c r="G12630" s="1" t="s">
        <v>36</v>
      </c>
      <c r="H12630" s="1" t="s">
        <v>29</v>
      </c>
      <c r="I12630" s="1" t="str">
        <f ca="1">IFERROR(__xludf.DUMMYFUNCTION("GOOGLETRANSLATE(F12630, ""auto"", ""en"")
"),"I took this one a month ago. A clear laptop finally. for this money with such a filling - awesome. everything flies. The games are all rushing. Completed CoD: MW2 on maximum settings without a single lag. in GTA4 it was cut on medium. I didn’t have time t"&amp;"o try the maximum speed. deleted. sad pirate, doesn’t save) movies are generally cool to watch, full screen without black bars. only some movies have stripes. but there is only 1-2cm. I quickly got used to Fn and Ctrl. the first 2 days it was unusual at 1"&amp;"5.6"" after 22""))) it does not heat up much. on all day. The battery lasts 2.5 hours (played GTA: SAMP). The webcam is not bad, the quality is not even bad. I don’t consider the lack of hdmi a minus) I somehow don’t need it) the only thing is that when I"&amp;" bought it, I tried everything. I didn’t figure out how to open the slot for the express card)) and didn’t bother with it anymore)) it’s still a mystery to me :D")</f>
        <v>I took this one a month ago. A clear laptop finally. for this money with such a filling - awesome. everything flies. The games are all rushing. Completed CoD: MW2 on maximum settings without a single lag. in GTA4 it was cut on medium. I didn’t have time to try the maximum speed. deleted. sad pirate, doesn’t save) movies are generally cool to watch, full screen without black bars. only some movies have stripes. but there is only 1-2cm. I quickly got used to Fn and Ctrl. the first 2 days it was unusual at 15.6" after 22"))) it does not heat up much. on all day. The battery lasts 2.5 hours (played GTA: SAMP). The webcam is not bad, the quality is not even bad. I don’t consider the lack of hdmi a minus) I somehow don’t need it) the only thing is that when I bought it, I tried everything. I didn’t figure out how to open the slot for the express card)) and didn’t bother with it anymore)) it’s still a mystery to me :D</v>
      </c>
    </row>
    <row r="12631" spans="1:9" x14ac:dyDescent="0.3">
      <c r="A12631" s="1" t="s">
        <v>206</v>
      </c>
      <c r="B12631" s="1" t="s">
        <v>207</v>
      </c>
      <c r="C12631" s="1" t="s">
        <v>152</v>
      </c>
      <c r="D12631" s="1" t="s">
        <v>39</v>
      </c>
      <c r="E12631" s="1" t="s">
        <v>1051</v>
      </c>
      <c r="F12631" s="1" t="s">
        <v>17772</v>
      </c>
      <c r="G12631" s="1" t="s">
        <v>36</v>
      </c>
      <c r="H12631" s="1" t="s">
        <v>29</v>
      </c>
      <c r="I12631" s="1" t="str">
        <f ca="1">IFERROR(__xludf.DUMMYFUNCTION("GOOGLETRANSLATE(F12631, ""auto"", ""en"")
"),"Good tweeters. Before them there were cheap ones with a plastic diffuser, the sound hurt the ears. These sound much softer and more pleasant. I like it.")</f>
        <v>Good tweeters. Before them there were cheap ones with a plastic diffuser, the sound hurt the ears. These sound much softer and more pleasant. I like it.</v>
      </c>
    </row>
    <row r="12632" spans="1:9" x14ac:dyDescent="0.3">
      <c r="A12632" s="1" t="s">
        <v>30</v>
      </c>
      <c r="B12632" s="1" t="s">
        <v>31</v>
      </c>
      <c r="C12632" s="1" t="s">
        <v>32</v>
      </c>
      <c r="D12632" s="1" t="s">
        <v>33</v>
      </c>
      <c r="E12632" s="1" t="s">
        <v>3914</v>
      </c>
      <c r="F12632" s="1" t="s">
        <v>17773</v>
      </c>
      <c r="G12632" s="1" t="s">
        <v>36</v>
      </c>
      <c r="H12632" s="1" t="s">
        <v>29</v>
      </c>
      <c r="I12632" s="1" t="str">
        <f ca="1">IFERROR(__xludf.DUMMYFUNCTION("GOOGLETRANSLATE(F12632, ""auto"", ""en"")
"),"This PC is suitable for playing cs go on medium settings")</f>
        <v>This PC is suitable for playing cs go on medium settings</v>
      </c>
    </row>
    <row r="12633" spans="1:9" x14ac:dyDescent="0.3">
      <c r="A12633" s="1" t="s">
        <v>105</v>
      </c>
      <c r="B12633" s="1" t="s">
        <v>106</v>
      </c>
      <c r="C12633" s="1" t="s">
        <v>1209</v>
      </c>
      <c r="D12633" s="1" t="s">
        <v>280</v>
      </c>
      <c r="E12633" s="1" t="s">
        <v>225</v>
      </c>
      <c r="F12633" s="1" t="s">
        <v>17774</v>
      </c>
      <c r="G12633" s="1" t="s">
        <v>36</v>
      </c>
      <c r="H12633" s="1" t="s">
        <v>29</v>
      </c>
      <c r="I12633" s="1" t="str">
        <f ca="1">IFERROR(__xludf.DUMMYFUNCTION("GOOGLETRANSLATE(F12633, ""auto"", ""en"")
"),"I've been using the player for 8 months, almost constantly. There were no serious problems. Although for the TV the antenna signal amplifier could be better connected (it’s rather weak). There was one case where while watching TV it froze and did not rebo"&amp;"ot until the battery died, but now everything is “OK”. There is one more “-”, that toys cannot be downloaded, but otherwise it makes me happy.  The headphones sound great, the battery lasts, but the original speakers are a little weak.   In general, I rat"&amp;"e the player ""5+"".")</f>
        <v>I've been using the player for 8 months, almost constantly. There were no serious problems. Although for the TV the antenna signal amplifier could be better connected (it’s rather weak). There was one case where while watching TV it froze and did not reboot until the battery died, but now everything is “OK”. There is one more “-”, that toys cannot be downloaded, but otherwise it makes me happy.  The headphones sound great, the battery lasts, but the original speakers are a little weak.   In general, I rate the player "5+".</v>
      </c>
    </row>
    <row r="12634" spans="1:9" x14ac:dyDescent="0.3">
      <c r="A12634" s="1" t="s">
        <v>9</v>
      </c>
      <c r="B12634" s="1" t="s">
        <v>137</v>
      </c>
      <c r="C12634" s="1" t="s">
        <v>466</v>
      </c>
      <c r="D12634" s="1" t="s">
        <v>471</v>
      </c>
      <c r="E12634" s="1" t="s">
        <v>6752</v>
      </c>
      <c r="F12634" s="1" t="s">
        <v>17775</v>
      </c>
      <c r="G12634" s="1" t="s">
        <v>28</v>
      </c>
      <c r="H12634" s="1" t="s">
        <v>29</v>
      </c>
      <c r="I12634" s="1" t="str">
        <f ca="1">IFERROR(__xludf.DUMMYFUNCTION("GOOGLETRANSLATE(F12634, ""auto"", ""en"")
"),"I myself am a user of this panel. I read the reviews about her and was horrified. People buy gas on glass in BLACK color (!!!!!!) and at the same time they want: easy cleaning, cleaning and so that stains and scratches are not visible!!! This is impossibl"&amp;"e and unrealistic in principle!!!! I can say for myself that I really like this panel! It’s easy to use and care for, the handles don’t melt, the burners are powerful, the location of these burners is very convenient - you can put a wide frying pan and a "&amp;"medium-diameter pan at the same time, everything fits in and doesn’t interfere with each other. Once again I repeat - I really like it!!! In terms of care, I agree that you have to wash it every three days - not because it is greasy and stained, but becau"&amp;"se dust is very visible on the black panel, which naturally settles on the furniture in three days. And as for the scratches under the cast iron grates - I also disagree! When using a stove, they cannot form, because... stand tightly and do not jump. They"&amp;" appear during cleaning, or rather, when you wash the stove and put the grate back in place, out of habit you can scratch it! But how is it possible to not love your equipment for which you paid a lot of money, in order to then treat it so dismissively! A"&amp;"nd yet, water does not flow under my burners, because I paid close attention to this when purchasing it. And before buying from the store from the warehouse, they brought me four identical models from which I chose the best. The reason for the meticulous "&amp;"inspection was a poor-quality connection, the very screws that fasten the metal burner to the glass. Just watch what you buy and what you pay for!! Gas control may be slow at the beginning, but then it is developed and everything works quickly! Bottom lin"&amp;"e: The panel is excellent. It takes a little more time to maintain than a regular stove. Buy a product that is silicone based, it gives a protective film and the fat comes off easily in the future. Oh, and if you have a choice in color and it’s not import"&amp;"ant, then take exactly the same model, but white. And then you will protect yourself from these terrible reviews and doubts! I wish you good luck!")</f>
        <v>I myself am a user of this panel. I read the reviews about her and was horrified. People buy gas on glass in BLACK color (!!!!!!) and at the same time they want: easy cleaning, cleaning and so that stains and scratches are not visible!!! This is impossible and unrealistic in principle!!!! I can say for myself that I really like this panel! It’s easy to use and care for, the handles don’t melt, the burners are powerful, the location of these burners is very convenient - you can put a wide frying pan and a medium-diameter pan at the same time, everything fits in and doesn’t interfere with each other. Once again I repeat - I really like it!!! In terms of care, I agree that you have to wash it every three days - not because it is greasy and stained, but because dust is very visible on the black panel, which naturally settles on the furniture in three days. And as for the scratches under the cast iron grates - I also disagree! When using a stove, they cannot form, because... stand tightly and do not jump. They appear during cleaning, or rather, when you wash the stove and put the grate back in place, out of habit you can scratch it! But how is it possible to not love your equipment for which you paid a lot of money, in order to then treat it so dismissively! And yet, water does not flow under my burners, because I paid close attention to this when purchasing it. And before buying from the store from the warehouse, they brought me four identical models from which I chose the best. The reason for the meticulous inspection was a poor-quality connection, the very screws that fasten the metal burner to the glass. Just watch what you buy and what you pay for!! Gas control may be slow at the beginning, but then it is developed and everything works quickly! Bottom line: The panel is excellent. It takes a little more time to maintain than a regular stove. Buy a product that is silicone based, it gives a protective film and the fat comes off easily in the future. Oh, and if you have a choice in color and it’s not important, then take exactly the same model, but white. And then you will protect yourself from these terrible reviews and doubts! I wish you good luck!</v>
      </c>
    </row>
    <row r="12635" spans="1:9" x14ac:dyDescent="0.3">
      <c r="A12635" s="1" t="s">
        <v>169</v>
      </c>
      <c r="B12635" s="1" t="s">
        <v>170</v>
      </c>
      <c r="C12635" s="1" t="s">
        <v>193</v>
      </c>
      <c r="D12635" s="1" t="s">
        <v>17776</v>
      </c>
      <c r="E12635" s="1" t="s">
        <v>1221</v>
      </c>
      <c r="F12635" s="1" t="s">
        <v>17777</v>
      </c>
      <c r="G12635" s="1" t="s">
        <v>36</v>
      </c>
      <c r="H12635" s="1" t="s">
        <v>29</v>
      </c>
      <c r="I12635" s="1" t="str">
        <f ca="1">IFERROR(__xludf.DUMMYFUNCTION("GOOGLETRANSLATE(F12635, ""auto"", ""en"")
"),"Rock, metal - very high quality (uses a good amplifier). From TV and music. the center is worse, they do not provide full power.  Excellent quality headphones. We buy and enjoy.")</f>
        <v>Rock, metal - very high quality (uses a good amplifier). From TV and music. the center is worse, they do not provide full power.  Excellent quality headphones. We buy and enjoy.</v>
      </c>
    </row>
    <row r="12636" spans="1:9" x14ac:dyDescent="0.3">
      <c r="A12636" s="1" t="s">
        <v>206</v>
      </c>
      <c r="B12636" s="1" t="s">
        <v>1253</v>
      </c>
      <c r="C12636" s="1" t="s">
        <v>1254</v>
      </c>
      <c r="D12636" s="1" t="s">
        <v>81</v>
      </c>
      <c r="E12636" s="1" t="s">
        <v>585</v>
      </c>
      <c r="F12636" s="1" t="s">
        <v>17778</v>
      </c>
      <c r="G12636" s="1" t="s">
        <v>28</v>
      </c>
      <c r="H12636" s="1" t="s">
        <v>29</v>
      </c>
      <c r="I12636" s="1" t="str">
        <f ca="1">IFERROR(__xludf.DUMMYFUNCTION("GOOGLETRANSLATE(F12636, ""auto"", ""en"")
"),"By wrapping the button with electrical tape... this is a test drive (how many minutes will it last before the output resistor burns out) in no case should this be done, there will be no warranty repairs of course. Secondly, the walkie-talkie is a soap dis"&amp;"h, just like all the others, unless of course there is something to burn there because the power is so low that it won’t even penetrate 200 meters through a monolithic house, rather than taking a toy, save up for a real thing, for example a Kenwood TK-480"&amp;", you can even bathe it, what can we say here... completely different things.")</f>
        <v>By wrapping the button with electrical tape... this is a test drive (how many minutes will it last before the output resistor burns out) in no case should this be done, there will be no warranty repairs of course. Secondly, the walkie-talkie is a soap dish, just like all the others, unless of course there is something to burn there because the power is so low that it won’t even penetrate 200 meters through a monolithic house, rather than taking a toy, save up for a real thing, for example a Kenwood TK-480, you can even bathe it, what can we say here... completely different things.</v>
      </c>
    </row>
    <row r="12637" spans="1:9" x14ac:dyDescent="0.3">
      <c r="A12637" s="1" t="s">
        <v>78</v>
      </c>
      <c r="B12637" s="1" t="s">
        <v>79</v>
      </c>
      <c r="C12637" s="1" t="s">
        <v>122</v>
      </c>
      <c r="D12637" s="1" t="s">
        <v>75</v>
      </c>
      <c r="E12637" s="1" t="s">
        <v>3313</v>
      </c>
      <c r="F12637" s="1" t="s">
        <v>17779</v>
      </c>
      <c r="G12637" s="1" t="s">
        <v>36</v>
      </c>
      <c r="H12637" s="1" t="s">
        <v>29</v>
      </c>
      <c r="I12637" s="1" t="str">
        <f ca="1">IFERROR(__xludf.DUMMYFUNCTION("GOOGLETRANSLATE(F12637, ""auto"", ""en"")
"),"Bought on 12/30/10. Works great, family really likes it.")</f>
        <v>Bought on 12/30/10. Works great, family really likes it.</v>
      </c>
    </row>
    <row r="12638" spans="1:9" x14ac:dyDescent="0.3">
      <c r="A12638" s="1" t="s">
        <v>169</v>
      </c>
      <c r="B12638" s="1" t="s">
        <v>170</v>
      </c>
      <c r="C12638" s="1" t="s">
        <v>122</v>
      </c>
      <c r="D12638" s="1" t="s">
        <v>127</v>
      </c>
      <c r="E12638" s="1" t="s">
        <v>1636</v>
      </c>
      <c r="F12638" s="1" t="s">
        <v>17780</v>
      </c>
      <c r="G12638" s="1" t="s">
        <v>15</v>
      </c>
      <c r="H12638" s="1" t="s">
        <v>16</v>
      </c>
      <c r="I12638" s="1" t="str">
        <f ca="1">IFERROR(__xludf.DUMMYFUNCTION("GOOGLETRANSLATE(F12638, ""auto"", ""en"")
"),"I took these headphones in order to watch TV in the evening and not disturb anyone. Five meters of wire is more than enough. The sound of these headphones is average, but it’s fine for a TV. But what I didn’t expect from Panasonic was that after a month t"&amp;"he left speaker stopped working. I thought that the wire at the plug had broken off, but no. I took the left earcup apart, checked it with a tester and realized that the speaker had given up its life. model, I do not recommend buying.")</f>
        <v>I took these headphones in order to watch TV in the evening and not disturb anyone. Five meters of wire is more than enough. The sound of these headphones is average, but it’s fine for a TV. But what I didn’t expect from Panasonic was that after a month the left speaker stopped working. I thought that the wire at the plug had broken off, but no. I took the left earcup apart, checked it with a tester and realized that the speaker had given up its life. model, I do not recommend buying.</v>
      </c>
    </row>
    <row r="12639" spans="1:9" x14ac:dyDescent="0.3">
      <c r="A12639" s="1" t="s">
        <v>9</v>
      </c>
      <c r="B12639" s="1" t="s">
        <v>133</v>
      </c>
      <c r="C12639" s="1" t="s">
        <v>870</v>
      </c>
      <c r="D12639" s="1" t="s">
        <v>127</v>
      </c>
      <c r="E12639" s="1" t="s">
        <v>17781</v>
      </c>
      <c r="F12639" s="1" t="s">
        <v>17782</v>
      </c>
      <c r="G12639" s="1" t="s">
        <v>28</v>
      </c>
      <c r="H12639" s="1" t="s">
        <v>29</v>
      </c>
      <c r="I12639" s="1" t="str">
        <f ca="1">IFERROR(__xludf.DUMMYFUNCTION("GOOGLETRANSLATE(F12639, ""auto"", ""en"")
"),"After 3 years the watch began to malfunction.  Controlling the timer using knobs is not very convenient.  And the oven bakes great.")</f>
        <v>After 3 years the watch began to malfunction.  Controlling the timer using knobs is not very convenient.  And the oven bakes great.</v>
      </c>
    </row>
    <row r="12640" spans="1:9" x14ac:dyDescent="0.3">
      <c r="A12640" s="1" t="s">
        <v>37</v>
      </c>
      <c r="B12640" s="1" t="s">
        <v>1829</v>
      </c>
      <c r="C12640" s="1" t="s">
        <v>151</v>
      </c>
      <c r="D12640" s="1" t="s">
        <v>545</v>
      </c>
      <c r="E12640" s="1" t="s">
        <v>10474</v>
      </c>
      <c r="F12640" s="1" t="s">
        <v>17783</v>
      </c>
      <c r="G12640" s="1" t="s">
        <v>36</v>
      </c>
      <c r="H12640" s="1" t="s">
        <v>29</v>
      </c>
      <c r="I12640" s="1" t="str">
        <f ca="1">IFERROR(__xludf.DUMMYFUNCTION("GOOGLETRANSLATE(F12640, ""auto"", ""en"")
"),"I'll start with the design: the phone is thin, light, fits comfortably in the hand, although its size is quite large. The build quality of the phone does not raise any complaints; the back cover fits tightly to the body and is easy to remove.   The screen"&amp;" is large, bright, and the colors are rich. Plus, the “Optimize display” option has appeared, this is a very convenient setting, since the device analyzes the level of lighting around and, depending on the conditions, sets the contrast, brightness, and ad"&amp;"justs the colors on the screen. It's a good camera, however, the S3 shoots just as well, although it has fewer stated megapixels. There are many new features in the software, including gesture and gaze control, which is quite convenient in the cold season"&amp;" when you use the phone with gloves. The phone comes with fairly decent white vacuum headphones.  Among the minuses, we can note the plastic case, as in all Samsungs, the large volume occupied by the system (with 16 GB of internal memory, only 8.8 is avai"&amp;"lable) and perhaps the refusal of FM radio, which I personally do not consider a critical drawback.  I think this device is very worthy")</f>
        <v>I'll start with the design: the phone is thin, light, fits comfortably in the hand, although its size is quite large. The build quality of the phone does not raise any complaints; the back cover fits tightly to the body and is easy to remove.   The screen is large, bright, and the colors are rich. Plus, the “Optimize display” option has appeared, this is a very convenient setting, since the device analyzes the level of lighting around and, depending on the conditions, sets the contrast, brightness, and adjusts the colors on the screen. It's a good camera, however, the S3 shoots just as well, although it has fewer stated megapixels. There are many new features in the software, including gesture and gaze control, which is quite convenient in the cold season when you use the phone with gloves. The phone comes with fairly decent white vacuum headphones.  Among the minuses, we can note the plastic case, as in all Samsungs, the large volume occupied by the system (with 16 GB of internal memory, only 8.8 is available) and perhaps the refusal of FM radio, which I personally do not consider a critical drawback.  I think this device is very worthy</v>
      </c>
    </row>
    <row r="12641" spans="1:9" x14ac:dyDescent="0.3">
      <c r="A12641" s="1" t="s">
        <v>89</v>
      </c>
      <c r="B12641" s="1" t="s">
        <v>231</v>
      </c>
      <c r="C12641" s="1" t="s">
        <v>185</v>
      </c>
      <c r="D12641" s="1" t="s">
        <v>17784</v>
      </c>
      <c r="E12641" s="1" t="s">
        <v>10504</v>
      </c>
      <c r="F12641" s="1" t="s">
        <v>17785</v>
      </c>
      <c r="G12641" s="1" t="s">
        <v>36</v>
      </c>
      <c r="H12641" s="1" t="s">
        <v>29</v>
      </c>
      <c r="I12641" s="1" t="str">
        <f ca="1">IFERROR(__xludf.DUMMYFUNCTION("GOOGLETRANSLATE(F12641, ""auto"", ""en"")
"),"An excellent coffee machine, the coffee brews deliciously aromatic, the cappuccino maker perfectly froths milk of any fat content, in general, take it, you won’t regret it.")</f>
        <v>An excellent coffee machine, the coffee brews deliciously aromatic, the cappuccino maker perfectly froths milk of any fat content, in general, take it, you won’t regret it.</v>
      </c>
    </row>
    <row r="12642" spans="1:9" x14ac:dyDescent="0.3">
      <c r="A12642" s="1" t="s">
        <v>55</v>
      </c>
      <c r="B12642" s="1" t="s">
        <v>56</v>
      </c>
      <c r="C12642" s="1" t="s">
        <v>57</v>
      </c>
      <c r="D12642" s="1" t="s">
        <v>568</v>
      </c>
      <c r="E12642" s="1" t="s">
        <v>4196</v>
      </c>
      <c r="F12642" s="1" t="s">
        <v>17786</v>
      </c>
      <c r="G12642" s="1" t="s">
        <v>36</v>
      </c>
      <c r="H12642" s="1" t="s">
        <v>29</v>
      </c>
      <c r="I12642" s="1" t="str">
        <f ca="1">IFERROR(__xludf.DUMMYFUNCTION("GOOGLETRANSLATE(F12642, ""auto"", ""en"")
"),"The market is oversaturated, thousands of models, a lot of manufacturers. But the principle is basically the same. Ultrasonic water spray and cold steam supply by fan. This model does not look quite boring in appearance, and its price, compared to others,"&amp;" puts it in a leading position. A spacious water tank and high performance allow it to be used in a fairly large studio throughout the day or night. As for the fan noise, yes. Regarding tank leaks, there was such a problem. The sealing rubber of the lid w"&amp;"as crooked - a minute of training for the brain and the leak was eliminated. The gurgling sound during operation is not terrible. There are much bigger problems around in terms of a peaceful evening or night. So I recommend it)")</f>
        <v>The market is oversaturated, thousands of models, a lot of manufacturers. But the principle is basically the same. Ultrasonic water spray and cold steam supply by fan. This model does not look quite boring in appearance, and its price, compared to others, puts it in a leading position. A spacious water tank and high performance allow it to be used in a fairly large studio throughout the day or night. As for the fan noise, yes. Regarding tank leaks, there was such a problem. The sealing rubber of the lid was crooked - a minute of training for the brain and the leak was eliminated. The gurgling sound during operation is not terrible. There are much bigger problems around in terms of a peaceful evening or night. So I recommend it)</v>
      </c>
    </row>
    <row r="12643" spans="1:9" x14ac:dyDescent="0.3">
      <c r="A12643" s="1" t="s">
        <v>9</v>
      </c>
      <c r="B12643" s="1" t="s">
        <v>137</v>
      </c>
      <c r="C12643" s="1" t="s">
        <v>63</v>
      </c>
      <c r="D12643" s="1" t="s">
        <v>12</v>
      </c>
      <c r="E12643" s="1" t="s">
        <v>2256</v>
      </c>
      <c r="F12643" s="1" t="s">
        <v>17787</v>
      </c>
      <c r="G12643" s="1" t="s">
        <v>36</v>
      </c>
      <c r="H12643" s="1" t="s">
        <v>29</v>
      </c>
      <c r="I12643" s="1" t="str">
        <f ca="1">IFERROR(__xludf.DUMMYFUNCTION("GOOGLETRANSLATE(F12643, ""auto"", ""en"")
"),"Bought it because... When we moved, we didn’t have enough money for a full-fledged stove. But I don’t think I’ll change it! Great stuff! I highly recommend it! For a family of three, the panel is quite enough. It washes well and looks stylish in the inter"&amp;"ior! There are no disadvantages at all! We ourselves made a mistake - we placed it close to the wall, but this is not particularly annoying. We believe that this set of functions is optimal for this price!")</f>
        <v>Bought it because... When we moved, we didn’t have enough money for a full-fledged stove. But I don’t think I’ll change it! Great stuff! I highly recommend it! For a family of three, the panel is quite enough. It washes well and looks stylish in the interior! There are no disadvantages at all! We ourselves made a mistake - we placed it close to the wall, but this is not particularly annoying. We believe that this set of functions is optimal for this price!</v>
      </c>
    </row>
    <row r="12644" spans="1:9" x14ac:dyDescent="0.3">
      <c r="A12644" s="1" t="s">
        <v>61</v>
      </c>
      <c r="B12644" s="1" t="s">
        <v>180</v>
      </c>
      <c r="C12644" s="1" t="s">
        <v>246</v>
      </c>
      <c r="D12644" s="1" t="s">
        <v>3273</v>
      </c>
      <c r="E12644" s="1" t="s">
        <v>704</v>
      </c>
      <c r="F12644" s="1" t="s">
        <v>17788</v>
      </c>
      <c r="G12644" s="1" t="s">
        <v>36</v>
      </c>
      <c r="H12644" s="1" t="s">
        <v>29</v>
      </c>
      <c r="I12644" s="1" t="str">
        <f ca="1">IFERROR(__xludf.DUMMYFUNCTION("GOOGLETRANSLATE(F12644, ""auto"", ""en"")
"),"My husband gave me this toaster on March 8th, because... We celebrated the holiday with his mother, so we decided to try it with her. It's been 2 years since he stayed there!!! :) Now I’m thinking about buying one for home! His parents use it every day! T"&amp;"hey even presented it to their first-grader grandson on September 1st! In general, I recommend it! Easy to clean, bread toasts evenly! 5+")</f>
        <v>My husband gave me this toaster on March 8th, because... We celebrated the holiday with his mother, so we decided to try it with her. It's been 2 years since he stayed there!!! :) Now I’m thinking about buying one for home! His parents use it every day! They even presented it to their first-grader grandson on September 1st! In general, I recommend it! Easy to clean, bread toasts evenly! 5+</v>
      </c>
    </row>
    <row r="12645" spans="1:9" x14ac:dyDescent="0.3">
      <c r="A12645" s="1" t="s">
        <v>211</v>
      </c>
      <c r="B12645" s="1" t="s">
        <v>212</v>
      </c>
      <c r="C12645" s="1" t="s">
        <v>1591</v>
      </c>
      <c r="D12645" s="1" t="s">
        <v>64</v>
      </c>
      <c r="E12645" s="1" t="s">
        <v>978</v>
      </c>
      <c r="F12645" s="1" t="s">
        <v>17789</v>
      </c>
      <c r="G12645" s="1" t="s">
        <v>36</v>
      </c>
      <c r="H12645" s="1" t="s">
        <v>29</v>
      </c>
      <c r="I12645" s="1" t="str">
        <f ca="1">IFERROR(__xludf.DUMMYFUNCTION("GOOGLETRANSLATE(F12645, ""auto"", ""en"")
"),"The hairdryer is simply amazing!   I have long, thin and curly hair, which is completely impossible to straighten on my own with a brush and a hair dryer. I tried many styling devices and products, but nothing except a straightening iron that harms my hai"&amp;"r brought the desired effect. I decided to try a hair dryer brush. I had my doubts about the choice for a long time; I was also confused in the store by the actual absence of a “cold air” mode")</f>
        <v>The hairdryer is simply amazing!   I have long, thin and curly hair, which is completely impossible to straighten on my own with a brush and a hair dryer. I tried many styling devices and products, but nothing except a straightening iron that harms my hair brought the desired effect. I decided to try a hair dryer brush. I had my doubts about the choice for a long time; I was also confused in the store by the actual absence of a “cold air” mode</v>
      </c>
    </row>
    <row r="12646" spans="1:9" x14ac:dyDescent="0.3">
      <c r="A12646" s="1" t="s">
        <v>43</v>
      </c>
      <c r="B12646" s="1" t="s">
        <v>1382</v>
      </c>
      <c r="C12646" s="1" t="s">
        <v>381</v>
      </c>
      <c r="D12646" s="1" t="s">
        <v>411</v>
      </c>
      <c r="E12646" s="1" t="s">
        <v>5798</v>
      </c>
      <c r="F12646" s="1" t="s">
        <v>17790</v>
      </c>
      <c r="G12646" s="1" t="s">
        <v>49</v>
      </c>
      <c r="H12646" s="1" t="s">
        <v>16</v>
      </c>
      <c r="I12646" s="1" t="str">
        <f ca="1">IFERROR(__xludf.DUMMYFUNCTION("GOOGLETRANSLATE(F12646, ""auto"", ""en"")
"),"Bad fan.  Everything rattles and shakes.  They use pitchforks to unload them or something.  Returned it to the store.")</f>
        <v>Bad fan.  Everything rattles and shakes.  They use pitchforks to unload them or something.  Returned it to the store.</v>
      </c>
    </row>
    <row r="12647" spans="1:9" x14ac:dyDescent="0.3">
      <c r="A12647" s="1" t="s">
        <v>43</v>
      </c>
      <c r="B12647" s="1" t="s">
        <v>502</v>
      </c>
      <c r="C12647" s="1" t="s">
        <v>151</v>
      </c>
      <c r="D12647" s="1" t="s">
        <v>327</v>
      </c>
      <c r="E12647" s="1" t="s">
        <v>1219</v>
      </c>
      <c r="F12647" s="1" t="s">
        <v>17791</v>
      </c>
      <c r="G12647" s="1" t="s">
        <v>28</v>
      </c>
      <c r="H12647" s="1" t="s">
        <v>29</v>
      </c>
      <c r="I12647" s="1" t="str">
        <f ca="1">IFERROR(__xludf.DUMMYFUNCTION("GOOGLETRANSLATE(F12647, ""auto"", ""en"")
"),"Installed in 2009 NO special complaints! It cools a room of 15 sq.m quickly. And this despite the 50 degree heat!")</f>
        <v>Installed in 2009 NO special complaints! It cools a room of 15 sq.m quickly. And this despite the 50 degree heat!</v>
      </c>
    </row>
    <row r="12648" spans="1:9" x14ac:dyDescent="0.3">
      <c r="A12648" s="1" t="s">
        <v>149</v>
      </c>
      <c r="B12648" s="1" t="s">
        <v>150</v>
      </c>
      <c r="C12648" s="1" t="s">
        <v>57</v>
      </c>
      <c r="D12648" s="1" t="s">
        <v>17792</v>
      </c>
      <c r="E12648" s="1" t="s">
        <v>8601</v>
      </c>
      <c r="F12648" s="1" t="s">
        <v>17793</v>
      </c>
      <c r="G12648" s="1" t="s">
        <v>36</v>
      </c>
      <c r="H12648" s="1" t="s">
        <v>29</v>
      </c>
      <c r="I12648" s="1" t="str">
        <f ca="1">IFERROR(__xludf.DUMMYFUNCTION("GOOGLETRANSLATE(F12648, ""auto"", ""en"")
"),"A car vacuum cleaner is still a necessary thing, especially if children often get into the car. Something always gets dirty, especially if they also eat while traveling... A vacuum cleaner helps me a lot to quickly get rid of all the dirt and unnecessary "&amp;"debris. In principle, it is powerful and not so noisy, you can hold it comfortably in your hand, and the weight does not complicate the cleaning process at all. Fortunately, the equipment here is good, they gave you several attachments, you can even remov"&amp;"e accumulated debris in any crevice. They also took care of storing this vacuum cleaner - they included a special case in the kit, which is the only thing I use to store this model.")</f>
        <v>A car vacuum cleaner is still a necessary thing, especially if children often get into the car. Something always gets dirty, especially if they also eat while traveling... A vacuum cleaner helps me a lot to quickly get rid of all the dirt and unnecessary debris. In principle, it is powerful and not so noisy, you can hold it comfortably in your hand, and the weight does not complicate the cleaning process at all. Fortunately, the equipment here is good, they gave you several attachments, you can even remove accumulated debris in any crevice. They also took care of storing this vacuum cleaner - they included a special case in the kit, which is the only thing I use to store this model.</v>
      </c>
    </row>
    <row r="12649" spans="1:9" x14ac:dyDescent="0.3">
      <c r="A12649" s="1" t="s">
        <v>732</v>
      </c>
      <c r="B12649" s="1" t="s">
        <v>733</v>
      </c>
      <c r="C12649" s="1" t="s">
        <v>80</v>
      </c>
      <c r="D12649" s="1" t="s">
        <v>1996</v>
      </c>
      <c r="E12649" s="1" t="s">
        <v>905</v>
      </c>
      <c r="F12649" s="1" t="s">
        <v>17794</v>
      </c>
      <c r="G12649" s="1" t="s">
        <v>36</v>
      </c>
      <c r="H12649" s="1" t="s">
        <v>29</v>
      </c>
      <c r="I12649" s="1" t="str">
        <f ca="1">IFERROR(__xludf.DUMMYFUNCTION("GOOGLETRANSLATE(F12649, ""auto"", ""en"")
"),"Correction: the ForteManager program is available on the installation disk with drivers that comes with the monitor....... I apologize for the false information earlier (I was just stupid......) The monitor is super!!!")</f>
        <v>Correction: the ForteManager program is available on the installation disk with drivers that comes with the monitor....... I apologize for the false information earlier (I was just stupid......) The monitor is super!!!</v>
      </c>
    </row>
    <row r="12650" spans="1:9" x14ac:dyDescent="0.3">
      <c r="A12650" s="1" t="s">
        <v>37</v>
      </c>
      <c r="B12650" s="1" t="s">
        <v>536</v>
      </c>
      <c r="C12650" s="1" t="s">
        <v>32</v>
      </c>
      <c r="D12650" s="1" t="s">
        <v>139</v>
      </c>
      <c r="E12650" s="1" t="s">
        <v>9482</v>
      </c>
      <c r="F12650" s="1" t="s">
        <v>17795</v>
      </c>
      <c r="G12650" s="1" t="s">
        <v>28</v>
      </c>
      <c r="H12650" s="1" t="s">
        <v>29</v>
      </c>
      <c r="I12650" s="1" t="str">
        <f ca="1">IFERROR(__xludf.DUMMYFUNCTION("GOOGLETRANSLATE(F12650, ""auto"", ""en"")
"),"I bought this phone and am satisfied, the disadvantages are that the music does not play loudly and the player does not work when the display is turned off, but this can be fixed.   I've been using it for three months now and I'm happy with it.")</f>
        <v>I bought this phone and am satisfied, the disadvantages are that the music does not play loudly and the player does not work when the display is turned off, but this can be fixed.   I've been using it for three months now and I'm happy with it.</v>
      </c>
    </row>
    <row r="12651" spans="1:9" x14ac:dyDescent="0.3">
      <c r="A12651" s="1" t="s">
        <v>477</v>
      </c>
      <c r="B12651" s="1" t="s">
        <v>478</v>
      </c>
      <c r="C12651" s="1" t="s">
        <v>479</v>
      </c>
      <c r="D12651" s="1" t="s">
        <v>417</v>
      </c>
      <c r="E12651" s="1" t="s">
        <v>1000</v>
      </c>
      <c r="F12651" s="1" t="s">
        <v>17796</v>
      </c>
      <c r="G12651" s="1" t="s">
        <v>36</v>
      </c>
      <c r="H12651" s="1" t="s">
        <v>29</v>
      </c>
      <c r="I12651" s="1" t="str">
        <f ca="1">IFERROR(__xludf.DUMMYFUNCTION("GOOGLETRANSLATE(F12651, ""auto"", ""en"")
"),"The best (in my opinion) game in the last 2 years.")</f>
        <v>The best (in my opinion) game in the last 2 years.</v>
      </c>
    </row>
    <row r="12652" spans="1:9" x14ac:dyDescent="0.3">
      <c r="A12652" s="1" t="s">
        <v>37</v>
      </c>
      <c r="B12652" s="1" t="s">
        <v>536</v>
      </c>
      <c r="C12652" s="1" t="s">
        <v>537</v>
      </c>
      <c r="D12652" s="1" t="s">
        <v>232</v>
      </c>
      <c r="E12652" s="1" t="s">
        <v>1909</v>
      </c>
      <c r="F12652" s="1" t="s">
        <v>17797</v>
      </c>
      <c r="G12652" s="1" t="s">
        <v>36</v>
      </c>
      <c r="H12652" s="1" t="s">
        <v>29</v>
      </c>
      <c r="I12652" s="1" t="str">
        <f ca="1">IFERROR(__xludf.DUMMYFUNCTION("GOOGLETRANSLATE(F12652, ""auto"", ""en"")
"),"mine is almost a year old 1-I was very afraid of dust under the screen. But it didn’t appear 2-due to the excellent backlight and the huge resolution of the screen, I almost don’t notice scratches on the screen 3-yes, the back cover is scratched, but stil"&amp;"l you hardly notice it 4-not a single glitch 5-put the SPB menu on it, gorgeous 3D interface, easy to use 6-yes, the battery is probably a bit weak, but in the evening I connected the network and don’t care 7-loud, the speakers work perfectly 8-easy to wr"&amp;"ite SMS 9-can be unlocked in your pocket, but if you put it in your pocket correctly it won’t happen + you can turn on an additional lock Overall, the device is excellent, I recommend it to everyone!")</f>
        <v>mine is almost a year old 1-I was very afraid of dust under the screen. But it didn’t appear 2-due to the excellent backlight and the huge resolution of the screen, I almost don’t notice scratches on the screen 3-yes, the back cover is scratched, but still you hardly notice it 4-not a single glitch 5-put the SPB menu on it, gorgeous 3D interface, easy to use 6-yes, the battery is probably a bit weak, but in the evening I connected the network and don’t care 7-loud, the speakers work perfectly 8-easy to write SMS 9-can be unlocked in your pocket, but if you put it in your pocket correctly it won’t happen + you can turn on an additional lock Overall, the device is excellent, I recommend it to everyone!</v>
      </c>
    </row>
    <row r="12653" spans="1:9" x14ac:dyDescent="0.3">
      <c r="A12653" s="1" t="s">
        <v>55</v>
      </c>
      <c r="B12653" s="1" t="s">
        <v>184</v>
      </c>
      <c r="C12653" s="1" t="s">
        <v>45</v>
      </c>
      <c r="D12653" s="1" t="s">
        <v>295</v>
      </c>
      <c r="E12653" s="1" t="s">
        <v>5648</v>
      </c>
      <c r="F12653" s="1" t="s">
        <v>17798</v>
      </c>
      <c r="G12653" s="1" t="s">
        <v>36</v>
      </c>
      <c r="H12653" s="1" t="s">
        <v>29</v>
      </c>
      <c r="I12653" s="1" t="str">
        <f ca="1">IFERROR(__xludf.DUMMYFUNCTION("GOOGLETRANSLATE(F12653, ""auto"", ""en"")
"),"We bought this fan heater a few months ago, we use it regularly and are very pleased: it heats the room quickly, it’s easy to use, there’s no loud noise or unpleasant smell, + it’s inexpensive. Just what is called technology for real life. I recommend it "&amp;"to everyone, it’s a good device!")</f>
        <v>We bought this fan heater a few months ago, we use it regularly and are very pleased: it heats the room quickly, it’s easy to use, there’s no loud noise or unpleasant smell, + it’s inexpensive. Just what is called technology for real life. I recommend it to everyone, it’s a good device!</v>
      </c>
    </row>
    <row r="12654" spans="1:9" x14ac:dyDescent="0.3">
      <c r="A12654" s="1" t="s">
        <v>61</v>
      </c>
      <c r="B12654" s="1" t="s">
        <v>73</v>
      </c>
      <c r="C12654" s="1" t="s">
        <v>146</v>
      </c>
      <c r="D12654" s="1" t="s">
        <v>305</v>
      </c>
      <c r="E12654" s="1" t="s">
        <v>1104</v>
      </c>
      <c r="F12654" s="1" t="s">
        <v>17799</v>
      </c>
      <c r="G12654" s="1" t="s">
        <v>49</v>
      </c>
      <c r="H12654" s="1" t="s">
        <v>16</v>
      </c>
      <c r="I12654" s="1" t="str">
        <f ca="1">IFERROR(__xludf.DUMMYFUNCTION("GOOGLETRANSLATE(F12654, ""auto"", ""en"")
"),"Horror, this is the second one that has broken in just half a year. Today I’ll go to my favorite M.Video to hand over this trash. I use it once a week for 30 minutes, but even in this mode this device managed to break down.")</f>
        <v>Horror, this is the second one that has broken in just half a year. Today I’ll go to my favorite M.Video to hand over this trash. I use it once a week for 30 minutes, but even in this mode this device managed to break down.</v>
      </c>
    </row>
    <row r="12655" spans="1:9" x14ac:dyDescent="0.3">
      <c r="A12655" s="1" t="s">
        <v>30</v>
      </c>
      <c r="B12655" s="1" t="s">
        <v>50</v>
      </c>
      <c r="C12655" s="1" t="s">
        <v>189</v>
      </c>
      <c r="D12655" s="1" t="s">
        <v>327</v>
      </c>
      <c r="E12655" s="1" t="s">
        <v>2120</v>
      </c>
      <c r="F12655" s="1" t="s">
        <v>17800</v>
      </c>
      <c r="G12655" s="1" t="s">
        <v>36</v>
      </c>
      <c r="H12655" s="1" t="s">
        <v>29</v>
      </c>
      <c r="I12655" s="1" t="str">
        <f ca="1">IFERROR(__xludf.DUMMYFUNCTION("GOOGLETRANSLATE(F12655, ""auto"", ""en"")
"),"A wonderful laptop, the sound is certainly bad, but there are many other advantages, in general an excellent price-quality ratio")</f>
        <v>A wonderful laptop, the sound is certainly bad, but there are many other advantages, in general an excellent price-quality ratio</v>
      </c>
    </row>
    <row r="12656" spans="1:9" x14ac:dyDescent="0.3">
      <c r="A12656" s="1" t="s">
        <v>211</v>
      </c>
      <c r="B12656" s="1" t="s">
        <v>384</v>
      </c>
      <c r="C12656" s="1" t="s">
        <v>63</v>
      </c>
      <c r="D12656" s="1" t="s">
        <v>589</v>
      </c>
      <c r="E12656" s="1" t="s">
        <v>772</v>
      </c>
      <c r="F12656" s="1" t="s">
        <v>17801</v>
      </c>
      <c r="G12656" s="1" t="s">
        <v>15</v>
      </c>
      <c r="H12656" s="1" t="s">
        <v>16</v>
      </c>
      <c r="I12656" s="1" t="str">
        <f ca="1">IFERROR(__xludf.DUMMYFUNCTION("GOOGLETRANSLATE(F12656, ""auto"", ""en"")
"),"I’m happy with the design, but after a year the numbers stopped showing; at first they were hard to see, and then they stopped showing. Changing the battery didn't help.")</f>
        <v>I’m happy with the design, but after a year the numbers stopped showing; at first they were hard to see, and then they stopped showing. Changing the battery didn't help.</v>
      </c>
    </row>
    <row r="12657" spans="1:9" x14ac:dyDescent="0.3">
      <c r="A12657" s="1" t="s">
        <v>61</v>
      </c>
      <c r="B12657" s="1" t="s">
        <v>318</v>
      </c>
      <c r="C12657" s="1" t="s">
        <v>2840</v>
      </c>
      <c r="D12657" s="1" t="s">
        <v>658</v>
      </c>
      <c r="E12657" s="1" t="s">
        <v>6862</v>
      </c>
      <c r="F12657" s="1" t="s">
        <v>17802</v>
      </c>
      <c r="G12657" s="1" t="s">
        <v>15</v>
      </c>
      <c r="H12657" s="1" t="s">
        <v>16</v>
      </c>
      <c r="I12657" s="1" t="str">
        <f ca="1">IFERROR(__xludf.DUMMYFUNCTION("GOOGLETRANSLATE(F12657, ""auto"", ""en"")
"),"Beautiful kettle, glows beautifully when boiling")</f>
        <v>Beautiful kettle, glows beautifully when boiling</v>
      </c>
    </row>
    <row r="12658" spans="1:9" x14ac:dyDescent="0.3">
      <c r="A12658" s="1" t="s">
        <v>211</v>
      </c>
      <c r="B12658" s="1" t="s">
        <v>410</v>
      </c>
      <c r="C12658" s="1" t="s">
        <v>213</v>
      </c>
      <c r="D12658" s="1" t="s">
        <v>117</v>
      </c>
      <c r="E12658" s="1" t="s">
        <v>278</v>
      </c>
      <c r="F12658" s="1" t="s">
        <v>17803</v>
      </c>
      <c r="G12658" s="1" t="s">
        <v>36</v>
      </c>
      <c r="H12658" s="1" t="s">
        <v>29</v>
      </c>
      <c r="I12658" s="1" t="str">
        <f ca="1">IFERROR(__xludf.DUMMYFUNCTION("GOOGLETRANSLATE(F12658, ""auto"", ""en"")
"),"I've been using this razor for almost a month and the quality of the shave is excellent. The shave is clean, without necessarily having water or shaving foam and everything else. Separately about the cleaning system: When installing the razor on the stati"&amp;"on, it itself determines what degree of cleaning the razor needs and all you have to do is press a button to start the cleaning process. One capsule of liquid is enough for 30 cleaning cycles. Also on the razor itself there is a convenient display showing"&amp;" the remaining battery charge and the degree of contamination of the razor. As a result, the razor copes with its duties perfectly, is very convenient for transportation, the battery holds a charge well, and I did not find any shortcomings during use.")</f>
        <v>I've been using this razor for almost a month and the quality of the shave is excellent. The shave is clean, without necessarily having water or shaving foam and everything else. Separately about the cleaning system: When installing the razor on the station, it itself determines what degree of cleaning the razor needs and all you have to do is press a button to start the cleaning process. One capsule of liquid is enough for 30 cleaning cycles. Also on the razor itself there is a convenient display showing the remaining battery charge and the degree of contamination of the razor. As a result, the razor copes with its duties perfectly, is very convenient for transportation, the battery holds a charge well, and I did not find any shortcomings during use.</v>
      </c>
    </row>
    <row r="12659" spans="1:9" x14ac:dyDescent="0.3">
      <c r="A12659" s="1" t="s">
        <v>373</v>
      </c>
      <c r="B12659" s="1" t="s">
        <v>374</v>
      </c>
      <c r="C12659" s="1" t="s">
        <v>159</v>
      </c>
      <c r="D12659" s="1" t="s">
        <v>474</v>
      </c>
      <c r="E12659" s="1" t="s">
        <v>2354</v>
      </c>
      <c r="F12659" s="1" t="s">
        <v>17804</v>
      </c>
      <c r="G12659" s="1" t="s">
        <v>36</v>
      </c>
      <c r="H12659" s="1" t="s">
        <v>29</v>
      </c>
      <c r="I12659" s="1" t="str">
        <f ca="1">IFERROR(__xludf.DUMMYFUNCTION("GOOGLETRANSLATE(F12659, ""auto"", ""en"")
"),"We bought this dishwasher 2 weeks ago. I’m very pleased with the clean dishes (I use calgonite powder for a half load, and 3 in 1 tablets for a full load and it washes well in both cases) there is one drawback with the 30 minute program, sometimes it does"&amp;"n’t rinse, I have to put it on extra. Rinsing. On program A it washes very well, we accumulate dishes all day long, family of 3, and start it in the evening. Includes pots and pans and a baking sheet, I chose between the German Bosch and this one, and I w"&amp;"as not mistaken in size or quality! I recommend!")</f>
        <v>We bought this dishwasher 2 weeks ago. I’m very pleased with the clean dishes (I use calgonite powder for a half load, and 3 in 1 tablets for a full load and it washes well in both cases) there is one drawback with the 30 minute program, sometimes it doesn’t rinse, I have to put it on extra. Rinsing. On program A it washes very well, we accumulate dishes all day long, family of 3, and start it in the evening. Includes pots and pans and a baking sheet, I chose between the German Bosch and this one, and I was not mistaken in size or quality! I recommend!</v>
      </c>
    </row>
    <row r="12660" spans="1:9" x14ac:dyDescent="0.3">
      <c r="A12660" s="1" t="s">
        <v>61</v>
      </c>
      <c r="B12660" s="1" t="s">
        <v>318</v>
      </c>
      <c r="C12660" s="1" t="s">
        <v>57</v>
      </c>
      <c r="D12660" s="1" t="s">
        <v>17805</v>
      </c>
      <c r="E12660" s="1" t="s">
        <v>1654</v>
      </c>
      <c r="F12660" s="1" t="s">
        <v>17806</v>
      </c>
      <c r="G12660" s="1" t="s">
        <v>49</v>
      </c>
      <c r="H12660" s="1" t="s">
        <v>16</v>
      </c>
      <c r="I12660" s="1" t="str">
        <f ca="1">IFERROR(__xludf.DUMMYFUNCTION("GOOGLETRANSLATE(F12660, ""auto"", ""en"")
"),"terrible model Disadvantages: During the warranty period we contacted the service 3 times! The power is too high for this volume of water! The smell lasts for a very long time! It boils very noisily and boils for a very long time, until it turns off, boil"&amp;"ing water splashes out! Immediately after boiling, do not touch it - the kettle itself and the cord are hot! If you suddenly need to boil some more water, you won’t be able to do it right away; you’ll have to wait until the kettle cools down (about 20 min"&amp;"utes). So they’ve screwed up the price!")</f>
        <v>terrible model Disadvantages: During the warranty period we contacted the service 3 times! The power is too high for this volume of water! The smell lasts for a very long time! It boils very noisily and boils for a very long time, until it turns off, boiling water splashes out! Immediately after boiling, do not touch it - the kettle itself and the cord are hot! If you suddenly need to boil some more water, you won’t be able to do it right away; you’ll have to wait until the kettle cools down (about 20 minutes). So they’ve screwed up the price!</v>
      </c>
    </row>
    <row r="12661" spans="1:9" x14ac:dyDescent="0.3">
      <c r="A12661" s="1" t="s">
        <v>61</v>
      </c>
      <c r="B12661" s="1" t="s">
        <v>318</v>
      </c>
      <c r="C12661" s="1" t="s">
        <v>63</v>
      </c>
      <c r="D12661" s="1" t="s">
        <v>152</v>
      </c>
      <c r="E12661" s="1" t="s">
        <v>838</v>
      </c>
      <c r="F12661" s="1" t="s">
        <v>17807</v>
      </c>
      <c r="G12661" s="1" t="s">
        <v>49</v>
      </c>
      <c r="H12661" s="1" t="s">
        <v>16</v>
      </c>
      <c r="I12661" s="1" t="str">
        <f ca="1">IFERROR(__xludf.DUMMYFUNCTION("GOOGLETRANSLATE(F12661, ""auto"", ""en"")
"),"I see that I’m not the only one with a leak. It started leaking after three years, with scale stains on the outside. I wanted to buy exactly the same one to go with a coffee maker of this design, but since this defect is organic, I will have to buy anothe"&amp;"r model.")</f>
        <v>I see that I’m not the only one with a leak. It started leaking after three years, with scale stains on the outside. I wanted to buy exactly the same one to go with a coffee maker of this design, but since this defect is organic, I will have to buy another model.</v>
      </c>
    </row>
    <row r="12662" spans="1:9" x14ac:dyDescent="0.3">
      <c r="A12662" s="1" t="s">
        <v>120</v>
      </c>
      <c r="B12662" s="1" t="s">
        <v>126</v>
      </c>
      <c r="C12662" s="1" t="s">
        <v>80</v>
      </c>
      <c r="D12662" s="1" t="s">
        <v>17808</v>
      </c>
      <c r="E12662" s="1" t="s">
        <v>4864</v>
      </c>
      <c r="F12662" s="1" t="s">
        <v>17809</v>
      </c>
      <c r="G12662" s="1" t="s">
        <v>36</v>
      </c>
      <c r="H12662" s="1" t="s">
        <v>29</v>
      </c>
      <c r="I12662" s="1" t="str">
        <f ca="1">IFERROR(__xludf.DUMMYFUNCTION("GOOGLETRANSLATE(F12662, ""auto"", ""en"")
"),"Plasma is great for the money!!! Cable TV shows very well, movies from DVDs and Blue-Ray discs also look great (the colors are saturated and the brightness is normal), despite the low resolution at 50 inches. My personal rating is 5+.")</f>
        <v>Plasma is great for the money!!! Cable TV shows very well, movies from DVDs and Blue-Ray discs also look great (the colors are saturated and the brightness is normal), despite the low resolution at 50 inches. My personal rating is 5+.</v>
      </c>
    </row>
    <row r="12663" spans="1:9" x14ac:dyDescent="0.3">
      <c r="A12663" s="1" t="s">
        <v>211</v>
      </c>
      <c r="B12663" s="1" t="s">
        <v>212</v>
      </c>
      <c r="C12663" s="1" t="s">
        <v>1591</v>
      </c>
      <c r="D12663" s="1" t="s">
        <v>474</v>
      </c>
      <c r="E12663" s="1" t="s">
        <v>3269</v>
      </c>
      <c r="F12663" s="1" t="s">
        <v>17810</v>
      </c>
      <c r="G12663" s="1" t="s">
        <v>36</v>
      </c>
      <c r="H12663" s="1" t="s">
        <v>29</v>
      </c>
      <c r="I12663" s="1" t="str">
        <f ca="1">IFERROR(__xludf.DUMMYFUNCTION("GOOGLETRANSLATE(F12663, ""auto"", ""en"")
"),"I have been using this hair dryer for three years now. I really like the quality; previously I had to buy such devices every year due to frequent breakdowns. The soft bristles and ceric coating don't damage my hair at all. The bristles did not deteriorate"&amp;" during all the time of use, they just fluffed up and it’s even more convenient :) so I recommend it! :)")</f>
        <v>I have been using this hair dryer for three years now. I really like the quality; previously I had to buy such devices every year due to frequent breakdowns. The soft bristles and ceric coating don't damage my hair at all. The bristles did not deteriorate during all the time of use, they just fluffed up and it’s even more convenient :) so I recommend it! :)</v>
      </c>
    </row>
    <row r="12664" spans="1:9" x14ac:dyDescent="0.3">
      <c r="A12664" s="1" t="s">
        <v>43</v>
      </c>
      <c r="B12664" s="1" t="s">
        <v>502</v>
      </c>
      <c r="C12664" s="1" t="s">
        <v>151</v>
      </c>
      <c r="D12664" s="1" t="s">
        <v>152</v>
      </c>
      <c r="E12664" s="1" t="s">
        <v>17811</v>
      </c>
      <c r="F12664" s="1" t="s">
        <v>17812</v>
      </c>
      <c r="G12664" s="1" t="s">
        <v>36</v>
      </c>
      <c r="H12664" s="1" t="s">
        <v>29</v>
      </c>
      <c r="I12664" s="1" t="str">
        <f ca="1">IFERROR(__xludf.DUMMYFUNCTION("GOOGLETRANSLATE(F12664, ""auto"", ""en"")
"),"The house is panel, no pillows were placed under the external unit. It works quietly, both indoor and outdoor units. Installed by a familiar air conditioner.")</f>
        <v>The house is panel, no pillows were placed under the external unit. It works quietly, both indoor and outdoor units. Installed by a familiar air conditioner.</v>
      </c>
    </row>
    <row r="12665" spans="1:9" x14ac:dyDescent="0.3">
      <c r="A12665" s="1" t="s">
        <v>211</v>
      </c>
      <c r="B12665" s="1" t="s">
        <v>212</v>
      </c>
      <c r="C12665" s="1" t="s">
        <v>381</v>
      </c>
      <c r="D12665" s="1" t="s">
        <v>247</v>
      </c>
      <c r="E12665" s="1" t="s">
        <v>4739</v>
      </c>
      <c r="F12665" s="1" t="s">
        <v>17813</v>
      </c>
      <c r="G12665" s="1" t="s">
        <v>36</v>
      </c>
      <c r="H12665" s="1" t="s">
        <v>29</v>
      </c>
      <c r="I12665" s="1" t="str">
        <f ca="1">IFERROR(__xludf.DUMMYFUNCTION("GOOGLETRANSLATE(F12665, ""auto"", ""en"")
"),"The hair dryer makes my hair smooth and manageable even though I have fine hair. The main advantage is gentle blowing of hot air onto your hair! There is no effect of dryness and brittleness. This is the second time I’ve bought this hair dryer: the first "&amp;"hair dryer lasted about 2.5 years and I was very happy with it! I tried hair dryers with a different brush - there was always a brittle effect!")</f>
        <v>The hair dryer makes my hair smooth and manageable even though I have fine hair. The main advantage is gentle blowing of hot air onto your hair! There is no effect of dryness and brittleness. This is the second time I’ve bought this hair dryer: the first hair dryer lasted about 2.5 years and I was very happy with it! I tried hair dryers with a different brush - there was always a brittle effect!</v>
      </c>
    </row>
    <row r="12666" spans="1:9" x14ac:dyDescent="0.3">
      <c r="A12666" s="1" t="s">
        <v>211</v>
      </c>
      <c r="B12666" s="1" t="s">
        <v>212</v>
      </c>
      <c r="C12666" s="1" t="s">
        <v>57</v>
      </c>
      <c r="D12666" s="1" t="s">
        <v>2250</v>
      </c>
      <c r="E12666" s="1" t="s">
        <v>8027</v>
      </c>
      <c r="F12666" s="1" t="s">
        <v>17814</v>
      </c>
      <c r="G12666" s="1" t="s">
        <v>36</v>
      </c>
      <c r="H12666" s="1" t="s">
        <v>29</v>
      </c>
      <c r="I12666" s="1" t="str">
        <f ca="1">IFERROR(__xludf.DUMMYFUNCTION("GOOGLETRANSLATE(F12666, ""auto"", ""en"")
"),"I had to buy the tongs in a hurry, because just before the holiday my trusted ones, which I had been using for 5 years, burned out. I had never used VITEK before, but I decided to take a risk because I really liked both the model itself and its price. The"&amp;" purchase was 100% worth it - the curling iron is comfortable, compact, and has excellent curling quality. Ceramic coating seems to be standard now, but sometimes I still see metal. But having tried ceramics once, I am sure that no one will use metal ones"&amp;" again. Other advantages include the thoughtful shape of the handle, nice design and convenient diameter of the tongs.  I was pleased with the presence of two heating modes. Overall, the model is very worthy. Based on my own experience, I can say that thi"&amp;"s is both a home and a travel model - I took it with me on vacation, takes up minimal space in my suitcase and weighs almost nothing. Treats hair very carefully. We haven't found any cons yet. And in 4 months it’s unlikely that they will be found. The mai"&amp;"n thing is that they work for a long time and reliably.")</f>
        <v>I had to buy the tongs in a hurry, because just before the holiday my trusted ones, which I had been using for 5 years, burned out. I had never used VITEK before, but I decided to take a risk because I really liked both the model itself and its price. The purchase was 100% worth it - the curling iron is comfortable, compact, and has excellent curling quality. Ceramic coating seems to be standard now, but sometimes I still see metal. But having tried ceramics once, I am sure that no one will use metal ones again. Other advantages include the thoughtful shape of the handle, nice design and convenient diameter of the tongs.  I was pleased with the presence of two heating modes. Overall, the model is very worthy. Based on my own experience, I can say that this is both a home and a travel model - I took it with me on vacation, takes up minimal space in my suitcase and weighs almost nothing. Treats hair very carefully. We haven't found any cons yet. And in 4 months it’s unlikely that they will be found. The main thing is that they work for a long time and reliably.</v>
      </c>
    </row>
    <row r="12667" spans="1:9" x14ac:dyDescent="0.3">
      <c r="A12667" s="1" t="s">
        <v>37</v>
      </c>
      <c r="B12667" s="1" t="s">
        <v>38</v>
      </c>
      <c r="C12667" s="1" t="s">
        <v>163</v>
      </c>
      <c r="D12667" s="1" t="s">
        <v>139</v>
      </c>
      <c r="E12667" s="1" t="s">
        <v>131</v>
      </c>
      <c r="F12667" s="1" t="s">
        <v>17815</v>
      </c>
      <c r="G12667" s="1" t="s">
        <v>36</v>
      </c>
      <c r="H12667" s="1" t="s">
        <v>29</v>
      </c>
      <c r="I12667" s="1" t="str">
        <f ca="1">IFERROR(__xludf.DUMMYFUNCTION("GOOGLETRANSLATE(F12667, ""auto"", ""en"")
"),"Overall, a very good phone, I’m completely delighted with it, although I bought it without any particular mood, since I didn’t have enough money for a more expensive device, and I needed the phone urgently, since the old one was dying.   I like the fact t"&amp;"hat it is made of iron and is heavy, although there is plastic (battery cover).  The screen, although a little dark in my opinion, is very clear (apparently the resolution helps.) The sound is excellent, applications and the Internet work at five.  Beside"&amp;"s, I didn’t think that I would say this about a phone with a plastic cover and without a connected concierge, but this phone is stylish! At least it looks natural in the office and restaurant.  I’ll also give you some practical advice: buy original things"&amp;". I’m exhausted with all sorts of Chinese and copies, I can’t bear it, but here it’s just some kind of relaxation and sheer joy from the thing.")</f>
        <v>Overall, a very good phone, I’m completely delighted with it, although I bought it without any particular mood, since I didn’t have enough money for a more expensive device, and I needed the phone urgently, since the old one was dying.   I like the fact that it is made of iron and is heavy, although there is plastic (battery cover).  The screen, although a little dark in my opinion, is very clear (apparently the resolution helps.) The sound is excellent, applications and the Internet work at five.  Besides, I didn’t think that I would say this about a phone with a plastic cover and without a connected concierge, but this phone is stylish! At least it looks natural in the office and restaurant.  I’ll also give you some practical advice: buy original things. I’m exhausted with all sorts of Chinese and copies, I can’t bear it, but here it’s just some kind of relaxation and sheer joy from the thing.</v>
      </c>
    </row>
    <row r="12668" spans="1:9" x14ac:dyDescent="0.3">
      <c r="A12668" s="1" t="s">
        <v>120</v>
      </c>
      <c r="B12668" s="1" t="s">
        <v>121</v>
      </c>
      <c r="C12668" s="1" t="s">
        <v>151</v>
      </c>
      <c r="D12668" s="1" t="s">
        <v>17816</v>
      </c>
      <c r="E12668" s="1" t="s">
        <v>357</v>
      </c>
      <c r="F12668" s="1" t="s">
        <v>17817</v>
      </c>
      <c r="G12668" s="1" t="s">
        <v>36</v>
      </c>
      <c r="H12668" s="1" t="s">
        <v>29</v>
      </c>
      <c r="I12668" s="1" t="str">
        <f ca="1">IFERROR(__xludf.DUMMYFUNCTION("GOOGLETRANSLATE(F12668, ""auto"", ""en"")
"),"TV is great! All the advantages have already been written! But the fact that the picture does not stretch from the external HDD to the entire screen is a MINUS! The inputs on the side panel are not quite well located yet. But overall the rating is a solid"&amp;" 5+")</f>
        <v>TV is great! All the advantages have already been written! But the fact that the picture does not stretch from the external HDD to the entire screen is a MINUS! The inputs on the side panel are not quite well located yet. But overall the rating is a solid 5+</v>
      </c>
    </row>
    <row r="12669" spans="1:9" x14ac:dyDescent="0.3">
      <c r="A12669" s="1" t="s">
        <v>30</v>
      </c>
      <c r="B12669" s="1" t="s">
        <v>50</v>
      </c>
      <c r="C12669" s="1" t="s">
        <v>51</v>
      </c>
      <c r="D12669" s="1" t="s">
        <v>8885</v>
      </c>
      <c r="E12669" s="1" t="s">
        <v>784</v>
      </c>
      <c r="F12669" s="1" t="s">
        <v>17818</v>
      </c>
      <c r="G12669" s="1" t="s">
        <v>36</v>
      </c>
      <c r="H12669" s="1" t="s">
        <v>29</v>
      </c>
      <c r="I12669" s="1" t="str">
        <f ca="1">IFERROR(__xludf.DUMMYFUNCTION("GOOGLETRANSLATE(F12669, ""auto"", ""en"")
"),"Great laptop. I've been using it for 2 months. No problem. Powerful device.  The only minor drawback I can highlight is the keyboard. Some keys are very small (namely the arrow keys). After some time of use, the keys sag and are visible when comparing the"&amp;" levels of less used ones. Well, the viewing angle of the screen is small. But these are all minor disadvantages.    If you can't find firewood, go to the component developers' websites!!! Those. no need to look for firewood on the Packard-Bella and Acera"&amp;" website! Everything there is old and crap. Go to the manufacturers' websites: AMD, Intel, Realtek.... and download everything fresh there!")</f>
        <v>Great laptop. I've been using it for 2 months. No problem. Powerful device.  The only minor drawback I can highlight is the keyboard. Some keys are very small (namely the arrow keys). After some time of use, the keys sag and are visible when comparing the levels of less used ones. Well, the viewing angle of the screen is small. But these are all minor disadvantages.    If you can't find firewood, go to the component developers' websites!!! Those. no need to look for firewood on the Packard-Bella and Acera website! Everything there is old and crap. Go to the manufacturers' websites: AMD, Intel, Realtek.... and download everything fresh there!</v>
      </c>
    </row>
    <row r="12670" spans="1:9" x14ac:dyDescent="0.3">
      <c r="A12670" s="1" t="s">
        <v>211</v>
      </c>
      <c r="B12670" s="1" t="s">
        <v>384</v>
      </c>
      <c r="C12670" s="1" t="s">
        <v>101</v>
      </c>
      <c r="D12670" s="1" t="s">
        <v>64</v>
      </c>
      <c r="E12670" s="1" t="s">
        <v>1586</v>
      </c>
      <c r="F12670" s="1" t="s">
        <v>17819</v>
      </c>
      <c r="G12670" s="1" t="s">
        <v>15</v>
      </c>
      <c r="H12670" s="1" t="s">
        <v>16</v>
      </c>
      <c r="I12670" s="1" t="str">
        <f ca="1">IFERROR(__xludf.DUMMYFUNCTION("GOOGLETRANSLATE(F12670, ""auto"", ""en"")
"),"They broke the next month, replacing the battery did not help. The scales were good but they broke very quickly.")</f>
        <v>They broke the next month, replacing the battery did not help. The scales were good but they broke very quickly.</v>
      </c>
    </row>
    <row r="12671" spans="1:9" x14ac:dyDescent="0.3">
      <c r="A12671" s="1" t="s">
        <v>17</v>
      </c>
      <c r="B12671" s="1" t="s">
        <v>18</v>
      </c>
      <c r="C12671" s="1" t="s">
        <v>63</v>
      </c>
      <c r="D12671" s="1" t="s">
        <v>81</v>
      </c>
      <c r="E12671" s="1" t="s">
        <v>727</v>
      </c>
      <c r="F12671" s="1" t="s">
        <v>17820</v>
      </c>
      <c r="G12671" s="1" t="s">
        <v>36</v>
      </c>
      <c r="H12671" s="1" t="s">
        <v>29</v>
      </c>
      <c r="I12671" s="1" t="str">
        <f ca="1">IFERROR(__xludf.DUMMYFUNCTION("GOOGLETRANSLATE(F12671, ""auto"", ""en"")
"),"This is our first automatic car, we bought it mainly because it was made in Germany and without unnecessary bells and whistles. It washes well, quietly, consumes energy unnoticed, does not give any signals (but it could). Overall satisfied, we recommend.")</f>
        <v>This is our first automatic car, we bought it mainly because it was made in Germany and without unnecessary bells and whistles. It washes well, quietly, consumes energy unnoticed, does not give any signals (but it could). Overall satisfied, we recommend.</v>
      </c>
    </row>
    <row r="12672" spans="1:9" x14ac:dyDescent="0.3">
      <c r="A12672" s="1" t="s">
        <v>120</v>
      </c>
      <c r="B12672" s="1" t="s">
        <v>121</v>
      </c>
      <c r="C12672" s="1" t="s">
        <v>151</v>
      </c>
      <c r="D12672" s="1" t="s">
        <v>305</v>
      </c>
      <c r="E12672" s="1" t="s">
        <v>427</v>
      </c>
      <c r="F12672" s="1" t="s">
        <v>17821</v>
      </c>
      <c r="G12672" s="1" t="s">
        <v>36</v>
      </c>
      <c r="H12672" s="1" t="s">
        <v>29</v>
      </c>
      <c r="I12672" s="1" t="str">
        <f ca="1">IFERROR(__xludf.DUMMYFUNCTION("GOOGLETRANSLATE(F12672, ""auto"", ""en"")
"),"Briefly: among the advantages: - uniform illumination, as a result, a very decent black depth - excellent color rendition - multimedia player (via USB) - price-quality ratio of the disadvantages: - analog picture, just like on any LCD TV. But on a regular"&amp;" TV, HD doesn’t even shine. Conclusion: if you watch only “from an antenna” - picture tube boxes are for you, if digital is the best, then take it - you won’t regret it. There is still no universal “recipe”")</f>
        <v>Briefly: among the advantages: - uniform illumination, as a result, a very decent black depth - excellent color rendition - multimedia player (via USB) - price-quality ratio of the disadvantages: - analog picture, just like on any LCD TV. But on a regular TV, HD doesn’t even shine. Conclusion: if you watch only “from an antenna” - picture tube boxes are for you, if digital is the best, then take it - you won’t regret it. There is still no universal “recipe”</v>
      </c>
    </row>
    <row r="12673" spans="1:9" x14ac:dyDescent="0.3">
      <c r="A12673" s="1" t="s">
        <v>78</v>
      </c>
      <c r="B12673" s="1" t="s">
        <v>79</v>
      </c>
      <c r="C12673" s="1" t="s">
        <v>80</v>
      </c>
      <c r="D12673" s="1" t="s">
        <v>545</v>
      </c>
      <c r="E12673" s="1" t="s">
        <v>2955</v>
      </c>
      <c r="F12673" s="1" t="s">
        <v>17822</v>
      </c>
      <c r="G12673" s="1" t="s">
        <v>15</v>
      </c>
      <c r="H12673" s="1" t="s">
        <v>16</v>
      </c>
      <c r="I12673" s="1" t="str">
        <f ca="1">IFERROR(__xludf.DUMMYFUNCTION("GOOGLETRANSLATE(F12673, ""auto"", ""en"")
"),"We bought it on 01/22/2011, well, I really liked the design, it’s very roomy, there are a lot of functions, and I was also “very” happy with it until it broke (((and only 17 days passed from the date of purchase, and we used it not every day and only 2 ti"&amp;"mes a day, when we needed to quickly warm up a meal - in the morning and in the evening. But it simply broke, when we warmed up the breakfast, everything went out (both the digital display and the light inside) after which it no longer turns on at all. An"&amp;"d there was also a drawback: when we pressed the buttons on the panel, they shocked, maybe this is due to the breakdown. So I’m sitting there upset, they told me to take it to the service center.")</f>
        <v>We bought it on 01/22/2011, well, I really liked the design, it’s very roomy, there are a lot of functions, and I was also “very” happy with it until it broke (((and only 17 days passed from the date of purchase, and we used it not every day and only 2 times a day, when we needed to quickly warm up a meal - in the morning and in the evening. But it simply broke, when we warmed up the breakfast, everything went out (both the digital display and the light inside) after which it no longer turns on at all. And there was also a drawback: when we pressed the buttons on the panel, they shocked, maybe this is due to the breakdown. So I’m sitting there upset, they told me to take it to the service center.</v>
      </c>
    </row>
    <row r="12674" spans="1:9" x14ac:dyDescent="0.3">
      <c r="A12674" s="1" t="s">
        <v>30</v>
      </c>
      <c r="B12674" s="1" t="s">
        <v>50</v>
      </c>
      <c r="C12674" s="1" t="s">
        <v>1003</v>
      </c>
      <c r="D12674" s="1" t="s">
        <v>12184</v>
      </c>
      <c r="E12674" s="1" t="s">
        <v>7995</v>
      </c>
      <c r="F12674" s="1" t="s">
        <v>17823</v>
      </c>
      <c r="G12674" s="1" t="s">
        <v>36</v>
      </c>
      <c r="H12674" s="1" t="s">
        <v>29</v>
      </c>
      <c r="I12674" s="1" t="str">
        <f ca="1">IFERROR(__xludf.DUMMYFUNCTION("GOOGLETRANSLATE(F12674, ""auto"", ""en"")
"),"Quite a very good laptop, or rather a netbook, it is quite compact, does not slow down, works quickly, everything suits 100%.")</f>
        <v>Quite a very good laptop, or rather a netbook, it is quite compact, does not slow down, works quickly, everything suits 100%.</v>
      </c>
    </row>
    <row r="12675" spans="1:9" x14ac:dyDescent="0.3">
      <c r="A12675" s="1" t="s">
        <v>149</v>
      </c>
      <c r="B12675" s="1" t="s">
        <v>576</v>
      </c>
      <c r="C12675" s="1" t="s">
        <v>69</v>
      </c>
      <c r="D12675" s="1" t="s">
        <v>52</v>
      </c>
      <c r="E12675" s="1" t="s">
        <v>259</v>
      </c>
      <c r="F12675" s="1" t="s">
        <v>17824</v>
      </c>
      <c r="G12675" s="1" t="s">
        <v>36</v>
      </c>
      <c r="H12675" s="1" t="s">
        <v>29</v>
      </c>
      <c r="I12675" s="1" t="str">
        <f ca="1">IFERROR(__xludf.DUMMYFUNCTION("GOOGLETRANSLATE(F12675, ""auto"", ""en"")
"),"Cool device. I've had it for a year and a half now. Power is a beast. I recommend it.")</f>
        <v>Cool device. I've had it for a year and a half now. Power is a beast. I recommend it.</v>
      </c>
    </row>
    <row r="12676" spans="1:9" x14ac:dyDescent="0.3">
      <c r="A12676" s="1" t="s">
        <v>30</v>
      </c>
      <c r="B12676" s="1" t="s">
        <v>50</v>
      </c>
      <c r="C12676" s="1" t="s">
        <v>1003</v>
      </c>
      <c r="D12676" s="1" t="s">
        <v>139</v>
      </c>
      <c r="E12676" s="1" t="s">
        <v>1275</v>
      </c>
      <c r="F12676" s="1" t="s">
        <v>17825</v>
      </c>
      <c r="G12676" s="1" t="s">
        <v>36</v>
      </c>
      <c r="H12676" s="1" t="s">
        <v>29</v>
      </c>
      <c r="I12676" s="1" t="str">
        <f ca="1">IFERROR(__xludf.DUMMYFUNCTION("GOOGLETRANSLATE(F12676, ""auto"", ""en"")
"),"The laptop is excellent. The video is above average, the performance is excellent.  Deleted whist and installed Windows 7, normal flight.  One problem was in the driver, because the hard drive protection driver was called ""HP ProtectSmart Hard Drive Prot"&amp;"ection Software"" and placed in the ""Software - Multimedia"" section.  Here is a link to the drivers http://h10025.www1.hp.com/ewfrf/wc/softwareList?os=4062&amp;lc=ru&amp;dlc=ru&amp;cc=ru&amp;product=3996575&amp;#9001;=ru")</f>
        <v>The laptop is excellent. The video is above average, the performance is excellent.  Deleted whist and installed Windows 7, normal flight.  One problem was in the driver, because the hard drive protection driver was called "HP ProtectSmart Hard Drive Protection Software" and placed in the "Software - Multimedia" section.  Here is a link to the drivers http://h10025.www1.hp.com/ewfrf/wc/softwareList?os=4062&amp;lc=ru&amp;dlc=ru&amp;cc=ru&amp;product=3996575&amp;#9001;=ru</v>
      </c>
    </row>
    <row r="12677" spans="1:9" x14ac:dyDescent="0.3">
      <c r="A12677" s="1" t="s">
        <v>61</v>
      </c>
      <c r="B12677" s="1" t="s">
        <v>977</v>
      </c>
      <c r="C12677" s="1" t="s">
        <v>122</v>
      </c>
      <c r="D12677" s="1" t="s">
        <v>17826</v>
      </c>
      <c r="E12677" s="1" t="s">
        <v>6661</v>
      </c>
      <c r="F12677" s="1" t="s">
        <v>17827</v>
      </c>
      <c r="G12677" s="1" t="s">
        <v>15</v>
      </c>
      <c r="H12677" s="1" t="s">
        <v>16</v>
      </c>
      <c r="I12677" s="1" t="str">
        <f ca="1">IFERROR(__xludf.DUMMYFUNCTION("GOOGLETRANSLATE(F12677, ""auto"", ""en"")
"),"Blender is disgusting.   I recently exchanged it back for money. Terrible engine noise, incorrect operation of the buttons (they get stuck and the unit does not turn off).")</f>
        <v>Blender is disgusting.   I recently exchanged it back for money. Terrible engine noise, incorrect operation of the buttons (they get stuck and the unit does not turn off).</v>
      </c>
    </row>
    <row r="12678" spans="1:9" x14ac:dyDescent="0.3">
      <c r="A12678" s="1" t="s">
        <v>17</v>
      </c>
      <c r="B12678" s="1" t="s">
        <v>18</v>
      </c>
      <c r="C12678" s="1" t="s">
        <v>290</v>
      </c>
      <c r="D12678" s="1" t="s">
        <v>1431</v>
      </c>
      <c r="E12678" s="1" t="s">
        <v>269</v>
      </c>
      <c r="F12678" s="1" t="s">
        <v>17828</v>
      </c>
      <c r="G12678" s="1" t="s">
        <v>28</v>
      </c>
      <c r="H12678" s="1" t="s">
        <v>29</v>
      </c>
      <c r="I12678" s="1" t="str">
        <f ca="1">IFERROR(__xludf.DUMMYFUNCTION("GOOGLETRANSLATE(F12678, ""auto"", ""en"")
"),"I just bought the wash today and didn’t have time to try it out, but I’m happy with the appearance.")</f>
        <v>I just bought the wash today and didn’t have time to try it out, but I’m happy with the appearance.</v>
      </c>
    </row>
    <row r="12679" spans="1:9" x14ac:dyDescent="0.3">
      <c r="A12679" s="1" t="s">
        <v>105</v>
      </c>
      <c r="B12679" s="1" t="s">
        <v>106</v>
      </c>
      <c r="C12679" s="1" t="s">
        <v>1921</v>
      </c>
      <c r="D12679" s="1" t="s">
        <v>305</v>
      </c>
      <c r="E12679" s="1" t="s">
        <v>3313</v>
      </c>
      <c r="F12679" s="1" t="s">
        <v>17829</v>
      </c>
      <c r="G12679" s="1" t="s">
        <v>28</v>
      </c>
      <c r="H12679" s="1" t="s">
        <v>29</v>
      </c>
      <c r="I12679" s="1" t="str">
        <f ca="1">IFERROR(__xludf.DUMMYFUNCTION("GOOGLETRANSLATE(F12679, ""auto"", ""en"")
"),"I've been using the player for a month, and my impressions are somewhat contradictory. On the second day the player malfunctioned, and I had to immediately change the firmware. Apparently due to improper disconnection from the computer. Now I always wait "&amp;"for the shutdown message to appear. The rest of the shortcomings are minor, for example, in the radio settings, mono-stereo is mixed up, and stereo works on mono. Otherwise there are only advantages. I was surprised that the memory card supports up to 16G"&amp;"B, so together with the built-in one you get 24GB (although the instructions say 8GB). The battery lasts a long time, the sound is not bad, the radio is not bad, the computer recognizes the player as a flash drive. It would be nice to improve it a little."&amp;" If you handle it carefully, and if you are familiar with your computer, I recommend it to everyone. If this makes it difficult for you and you don’t want unnecessary hassle, I don’t recommend it.")</f>
        <v>I've been using the player for a month, and my impressions are somewhat contradictory. On the second day the player malfunctioned, and I had to immediately change the firmware. Apparently due to improper disconnection from the computer. Now I always wait for the shutdown message to appear. The rest of the shortcomings are minor, for example, in the radio settings, mono-stereo is mixed up, and stereo works on mono. Otherwise there are only advantages. I was surprised that the memory card supports up to 16GB, so together with the built-in one you get 24GB (although the instructions say 8GB). The battery lasts a long time, the sound is not bad, the radio is not bad, the computer recognizes the player as a flash drive. It would be nice to improve it a little. If you handle it carefully, and if you are familiar with your computer, I recommend it to everyone. If this makes it difficult for you and you don’t want unnecessary hassle, I don’t recommend it.</v>
      </c>
    </row>
    <row r="12680" spans="1:9" x14ac:dyDescent="0.3">
      <c r="A12680" s="1" t="s">
        <v>9</v>
      </c>
      <c r="B12680" s="1" t="s">
        <v>137</v>
      </c>
      <c r="C12680" s="1" t="s">
        <v>63</v>
      </c>
      <c r="D12680" s="1" t="s">
        <v>8908</v>
      </c>
      <c r="E12680" s="1" t="s">
        <v>3835</v>
      </c>
      <c r="F12680" s="1" t="s">
        <v>17830</v>
      </c>
      <c r="G12680" s="1" t="s">
        <v>36</v>
      </c>
      <c r="H12680" s="1" t="s">
        <v>29</v>
      </c>
      <c r="I12680" s="1" t="str">
        <f ca="1">IFERROR(__xludf.DUMMYFUNCTION("GOOGLETRANSLATE(F12680, ""auto"", ""en"")
"),"I’ve been using the panel for half a year and I can’t imagine how I ever managed without it? The model is very well thought out and easy to use. I’m not talking about the fact that everything boils down on it instantly. I prefer such features as boiling c"&amp;"ontrol, control of the presence of moisture on the surface (it’s convenient if something escapes, the stove will turn off), child protection and very precise temperature settings. The stove has two expandable burners. On the farthest one it is convenient "&amp;"to cook in a roasting pan or a wide baking sheet with sides. Maintenance is simple - just wipe with a cloth after cooking.")</f>
        <v>I’ve been using the panel for half a year and I can’t imagine how I ever managed without it? The model is very well thought out and easy to use. I’m not talking about the fact that everything boils down on it instantly. I prefer such features as boiling control, control of the presence of moisture on the surface (it’s convenient if something escapes, the stove will turn off), child protection and very precise temperature settings. The stove has two expandable burners. On the farthest one it is convenient to cook in a roasting pan or a wide baking sheet with sides. Maintenance is simple - just wipe with a cloth after cooking.</v>
      </c>
    </row>
    <row r="12681" spans="1:9" x14ac:dyDescent="0.3">
      <c r="A12681" s="1" t="s">
        <v>211</v>
      </c>
      <c r="B12681" s="1" t="s">
        <v>856</v>
      </c>
      <c r="C12681" s="1" t="s">
        <v>381</v>
      </c>
      <c r="D12681" s="1" t="s">
        <v>589</v>
      </c>
      <c r="E12681" s="1" t="s">
        <v>3726</v>
      </c>
      <c r="F12681" s="1" t="s">
        <v>17831</v>
      </c>
      <c r="G12681" s="1" t="s">
        <v>49</v>
      </c>
      <c r="H12681" s="1" t="s">
        <v>16</v>
      </c>
      <c r="I12681" s="1" t="str">
        <f ca="1">IFERROR(__xludf.DUMMYFUNCTION("GOOGLETRANSLATE(F12681, ""auto"", ""en"")
"),"It’s short, you can only look into it while bending over.  The lighting is terrible - there is one light bulb at the bottom of a nasty dark yellow color, completely meaningless. So the new Energizer batteries were enough to turn on this light bulb exactly"&amp;" 3 times.   And at the same time it does not work from the network.  I didn’t expect this from Rowent. It would be better if I bought another one in Auchan for 1000 rubles")</f>
        <v>It’s short, you can only look into it while bending over.  The lighting is terrible - there is one light bulb at the bottom of a nasty dark yellow color, completely meaningless. So the new Energizer batteries were enough to turn on this light bulb exactly 3 times.   And at the same time it does not work from the network.  I didn’t expect this from Rowent. It would be better if I bought another one in Auchan for 1000 rubles</v>
      </c>
    </row>
    <row r="12682" spans="1:9" x14ac:dyDescent="0.3">
      <c r="A12682" s="1" t="s">
        <v>30</v>
      </c>
      <c r="B12682" s="1" t="s">
        <v>50</v>
      </c>
      <c r="C12682" s="1" t="s">
        <v>694</v>
      </c>
      <c r="D12682" s="1" t="s">
        <v>39</v>
      </c>
      <c r="E12682" s="1" t="s">
        <v>2990</v>
      </c>
      <c r="F12682" s="1" t="s">
        <v>17832</v>
      </c>
      <c r="G12682" s="1" t="s">
        <v>36</v>
      </c>
      <c r="H12682" s="1" t="s">
        <v>29</v>
      </c>
      <c r="I12682" s="1" t="str">
        <f ca="1">IFERROR(__xludf.DUMMYFUNCTION("GOOGLETRANSLATE(F12682, ""auto"", ""en"")
"),"After briefly studying the laptop market, I found this model in M-Video. I was pleased with the price and decided to buy it. I sold my computer for quite a long time to raise some money, so when I sold it, I discovered that these beeches in Yaroslavl had "&amp;"all sold out, so I had to go to the neighboring region to get it.   I would like to note a very good filling for this price. Everything works great. The games run great. The sound works great, I didn’t even expect such small speakers to play so well. We w"&amp;"ere pleased with the proprietary utilities that came with the software. But sometimes the running scale of the switch at the top of the keyboard does not work correctly, it sometimes “sticks”, this is most likely the management utility not working correct"&amp;"ly after reinstalling WIN7.   Some may think that the HDD is small, the problem is solved by purchasing an external one, I bought one with eSATA support, but the difference in speed with USB 2.0 is insignificant.   The main disadvantage of this beech is t"&amp;"he screen, the maximum resolution is 1366x768. But for the price and size of this laptop this is normal, besides, you can connect an external monitor, the video card can work with almost any resolution. So this minus doesn’t really bother me.   The build "&amp;"quality is normal, no cracks were noticed. The plastic does get dirty, but a soft cloth fixes everything.  If you reinstall the operating system on WIN7 x64, do not forget to download ALL drivers and utilities from the office. sites for x64, even if they "&amp;"were originally written in beech. Universal drivers are not suitable for all, I had a problem that not all devices started working when reinstalled.   In general, I am 100% satisfied with the laptop; with such a configuration, you won’t find it cheaper th"&amp;"an 30 tons. And Lenovo is the same IBM, they released a beech under their own brand.    Z.Y.: There is NO BlueRay drive on the laptop, this is misinformation.")</f>
        <v>After briefly studying the laptop market, I found this model in M-Video. I was pleased with the price and decided to buy it. I sold my computer for quite a long time to raise some money, so when I sold it, I discovered that these beeches in Yaroslavl had all sold out, so I had to go to the neighboring region to get it.   I would like to note a very good filling for this price. Everything works great. The games run great. The sound works great, I didn’t even expect such small speakers to play so well. We were pleased with the proprietary utilities that came with the software. But sometimes the running scale of the switch at the top of the keyboard does not work correctly, it sometimes “sticks”, this is most likely the management utility not working correctly after reinstalling WIN7.   Some may think that the HDD is small, the problem is solved by purchasing an external one, I bought one with eSATA support, but the difference in speed with USB 2.0 is insignificant.   The main disadvantage of this beech is the screen, the maximum resolution is 1366x768. But for the price and size of this laptop this is normal, besides, you can connect an external monitor, the video card can work with almost any resolution. So this minus doesn’t really bother me.   The build quality is normal, no cracks were noticed. The plastic does get dirty, but a soft cloth fixes everything.  If you reinstall the operating system on WIN7 x64, do not forget to download ALL drivers and utilities from the office. sites for x64, even if they were originally written in beech. Universal drivers are not suitable for all, I had a problem that not all devices started working when reinstalled.   In general, I am 100% satisfied with the laptop; with such a configuration, you won’t find it cheaper than 30 tons. And Lenovo is the same IBM, they released a beech under their own brand.    Z.Y.: There is NO BlueRay drive on the laptop, this is misinformation.</v>
      </c>
    </row>
    <row r="12683" spans="1:9" x14ac:dyDescent="0.3">
      <c r="A12683" s="1" t="s">
        <v>61</v>
      </c>
      <c r="B12683" s="1" t="s">
        <v>73</v>
      </c>
      <c r="C12683" s="1" t="s">
        <v>101</v>
      </c>
      <c r="D12683" s="1" t="s">
        <v>2873</v>
      </c>
      <c r="E12683" s="1" t="s">
        <v>182</v>
      </c>
      <c r="F12683" s="1" t="s">
        <v>17833</v>
      </c>
      <c r="G12683" s="1" t="s">
        <v>15</v>
      </c>
      <c r="H12683" s="1" t="s">
        <v>16</v>
      </c>
      <c r="I12683" s="1" t="str">
        <f ca="1">IFERROR(__xludf.DUMMYFUNCTION("GOOGLETRANSLATE(F12683, ""auto"", ""en"")
"),"Invited the boys for dumplings on the weekend. I bought meat, started the garbage grinder, and on the second piece of kilogram of meat I decided to make steaks :) with such speed you can twist the minced meat until Monday. I'll try to change it to a more "&amp;"powerful model.")</f>
        <v>Invited the boys for dumplings on the weekend. I bought meat, started the garbage grinder, and on the second piece of kilogram of meat I decided to make steaks :) with such speed you can twist the minced meat until Monday. I'll try to change it to a more powerful model.</v>
      </c>
    </row>
    <row r="12684" spans="1:9" x14ac:dyDescent="0.3">
      <c r="A12684" s="1" t="s">
        <v>211</v>
      </c>
      <c r="B12684" s="1" t="s">
        <v>212</v>
      </c>
      <c r="C12684" s="1" t="s">
        <v>381</v>
      </c>
      <c r="D12684" s="1" t="s">
        <v>17834</v>
      </c>
      <c r="E12684" s="1" t="s">
        <v>1084</v>
      </c>
      <c r="F12684" s="1" t="s">
        <v>17835</v>
      </c>
      <c r="G12684" s="1" t="s">
        <v>36</v>
      </c>
      <c r="H12684" s="1" t="s">
        <v>29</v>
      </c>
      <c r="I12684" s="1" t="str">
        <f ca="1">IFERROR(__xludf.DUMMYFUNCTION("GOOGLETRANSLATE(F12684, ""auto"", ""en"")
"),"just a super straightener!!!! and the ionization works just fine, I’ve had it for over a year now, it’s in working order every day, just wonderful styling!!! I recommend it to everyone, my hair looks great after using it! I know what I paid the money for,"&amp;" and I don’t regret it at all!!!")</f>
        <v>just a super straightener!!!! and the ionization works just fine, I’ve had it for over a year now, it’s in working order every day, just wonderful styling!!! I recommend it to everyone, my hair looks great after using it! I know what I paid the money for, and I don’t regret it at all!!!</v>
      </c>
    </row>
    <row r="12685" spans="1:9" x14ac:dyDescent="0.3">
      <c r="A12685" s="1" t="s">
        <v>149</v>
      </c>
      <c r="B12685" s="1" t="s">
        <v>155</v>
      </c>
      <c r="C12685" s="1" t="s">
        <v>63</v>
      </c>
      <c r="D12685" s="1" t="s">
        <v>17836</v>
      </c>
      <c r="E12685" s="1" t="s">
        <v>4029</v>
      </c>
      <c r="F12685" s="1" t="s">
        <v>17837</v>
      </c>
      <c r="G12685" s="1" t="s">
        <v>36</v>
      </c>
      <c r="H12685" s="1" t="s">
        <v>29</v>
      </c>
      <c r="I12685" s="1" t="str">
        <f ca="1">IFERROR(__xludf.DUMMYFUNCTION("GOOGLETRANSLATE(F12685, ""auto"", ""en"")
"),"I really want to praise this vacuum cleaner. It does not create any problems in operation. Powerful, not noisy, made very high quality and stylish. It maneuvers well around rooms, it’s compact, the cord doesn’t get tangled, and the automatic rewinding is "&amp;"very helpful. And with a washable HEPA filter, cleaning becomes a pleasure, the air in the house remains fresh and you don’t have to collect dust from the furniture after cleaning (as was the case with my old vacuum cleaner).")</f>
        <v>I really want to praise this vacuum cleaner. It does not create any problems in operation. Powerful, not noisy, made very high quality and stylish. It maneuvers well around rooms, it’s compact, the cord doesn’t get tangled, and the automatic rewinding is very helpful. And with a washable HEPA filter, cleaning becomes a pleasure, the air in the house remains fresh and you don’t have to collect dust from the furniture after cleaning (as was the case with my old vacuum cleaner).</v>
      </c>
    </row>
    <row r="12686" spans="1:9" x14ac:dyDescent="0.3">
      <c r="A12686" s="1" t="s">
        <v>43</v>
      </c>
      <c r="B12686" s="1" t="s">
        <v>303</v>
      </c>
      <c r="C12686" s="1" t="s">
        <v>220</v>
      </c>
      <c r="D12686" s="1" t="s">
        <v>565</v>
      </c>
      <c r="E12686" s="1" t="s">
        <v>5819</v>
      </c>
      <c r="F12686" s="1" t="s">
        <v>17838</v>
      </c>
      <c r="G12686" s="1" t="s">
        <v>36</v>
      </c>
      <c r="H12686" s="1" t="s">
        <v>29</v>
      </c>
      <c r="I12686" s="1" t="str">
        <f ca="1">IFERROR(__xludf.DUMMYFUNCTION("GOOGLETRANSLATE(F12686, ""auto"", ""en"")
"),"In our family, there are 3 Thermex water heaters and now 06.2016. we bought 4 (all are installed in different apartments and have different volumes and were purchased in different stores at different times).  The main decision to purchase 4 Thermex water "&amp;"heaters for a new apartment was to use the previous ones. The oldest one is more than 7 years old. For all the time, there was not a single breakdown. All Thermex work flawlessly. One of Thermex is installed in a private house where there is no hot water,"&amp;" so it is in operation almost all the time. It is worth noting that over 5 years of use in a private house there have not been a single breakdown or other complaints. It is worth noting that in a private house there is still a water heater installed from "&amp;"another manufacturer and a small volume (in the kitchen), and so it recently burned out!!! and Thermex works!!!!!! Therefore, when purchasing the next water heater, there was no doubt which one to choose, only Thermex.   We did not find any disadvantages "&amp;"with Thermex.")</f>
        <v>In our family, there are 3 Thermex water heaters and now 06.2016. we bought 4 (all are installed in different apartments and have different volumes and were purchased in different stores at different times).  The main decision to purchase 4 Thermex water heaters for a new apartment was to use the previous ones. The oldest one is more than 7 years old. For all the time, there was not a single breakdown. All Thermex work flawlessly. One of Thermex is installed in a private house where there is no hot water, so it is in operation almost all the time. It is worth noting that over 5 years of use in a private house there have not been a single breakdown or other complaints. It is worth noting that in a private house there is still a water heater installed from another manufacturer and a small volume (in the kitchen), and so it recently burned out!!! and Thermex works!!!!!! Therefore, when purchasing the next water heater, there was no doubt which one to choose, only Thermex.   We did not find any disadvantages with Thermex.</v>
      </c>
    </row>
    <row r="12687" spans="1:9" x14ac:dyDescent="0.3">
      <c r="A12687" s="1" t="s">
        <v>211</v>
      </c>
      <c r="B12687" s="1" t="s">
        <v>212</v>
      </c>
      <c r="C12687" s="1" t="s">
        <v>213</v>
      </c>
      <c r="D12687" s="1" t="s">
        <v>1188</v>
      </c>
      <c r="E12687" s="1" t="s">
        <v>1115</v>
      </c>
      <c r="F12687" s="1" t="s">
        <v>17839</v>
      </c>
      <c r="G12687" s="1" t="s">
        <v>28</v>
      </c>
      <c r="H12687" s="1" t="s">
        <v>29</v>
      </c>
      <c r="I12687" s="1" t="str">
        <f ca="1">IFERROR(__xludf.DUMMYFUNCTION("GOOGLETRANSLATE(F12687, ""auto"", ""en"")
"),"in use for 1.5 years already. Recently the teeth on the volume attachment broke. It was a very good attachment and my hair felt very smooth after using it. I probably wouldn’t have bought it a second time, knowing about the breakdowns that everyone has.")</f>
        <v>in use for 1.5 years already. Recently the teeth on the volume attachment broke. It was a very good attachment and my hair felt very smooth after using it. I probably wouldn’t have bought it a second time, knowing about the breakdowns that everyone has.</v>
      </c>
    </row>
    <row r="12688" spans="1:9" x14ac:dyDescent="0.3">
      <c r="A12688" s="1" t="s">
        <v>17</v>
      </c>
      <c r="B12688" s="1" t="s">
        <v>18</v>
      </c>
      <c r="C12688" s="1" t="s">
        <v>243</v>
      </c>
      <c r="D12688" s="1" t="s">
        <v>64</v>
      </c>
      <c r="E12688" s="1" t="s">
        <v>3750</v>
      </c>
      <c r="F12688" s="1" t="s">
        <v>17840</v>
      </c>
      <c r="G12688" s="1" t="s">
        <v>28</v>
      </c>
      <c r="H12688" s="1" t="s">
        <v>29</v>
      </c>
      <c r="I12688" s="1" t="str">
        <f ca="1">IFERROR(__xludf.DUMMYFUNCTION("GOOGLETRANSLATE(F12688, ""auto"", ""en"")
"),"Purchased in 2014. Ideal for small bathrooms. Convenient washing modes. I really liked the presence of a sports mode, it’s convenient to wash shoes. Easy to use. One minus - there were software glitches a couple of times and instead of the required 40 min"&amp;"utes of washing, it took 2.5 hours. We called a technician, launched it, and with the technician the program started working on its own)) Now everything works great, we wash it often (more than seven times a week)")</f>
        <v>Purchased in 2014. Ideal for small bathrooms. Convenient washing modes. I really liked the presence of a sports mode, it’s convenient to wash shoes. Easy to use. One minus - there were software glitches a couple of times and instead of the required 40 minutes of washing, it took 2.5 hours. We called a technician, launched it, and with the technician the program started working on its own)) Now everything works great, we wash it often (more than seven times a week)</v>
      </c>
    </row>
    <row r="12689" spans="1:9" x14ac:dyDescent="0.3">
      <c r="A12689" s="1" t="s">
        <v>149</v>
      </c>
      <c r="B12689" s="1" t="s">
        <v>155</v>
      </c>
      <c r="C12689" s="1" t="s">
        <v>151</v>
      </c>
      <c r="D12689" s="1" t="s">
        <v>308</v>
      </c>
      <c r="E12689" s="1" t="s">
        <v>1423</v>
      </c>
      <c r="F12689" s="1" t="s">
        <v>17841</v>
      </c>
      <c r="G12689" s="1" t="s">
        <v>36</v>
      </c>
      <c r="H12689" s="1" t="s">
        <v>29</v>
      </c>
      <c r="I12689" s="1" t="str">
        <f ca="1">IFERROR(__xludf.DUMMYFUNCTION("GOOGLETRANSLATE(F12689, ""auto"", ""en"")
"),"maneuverable, compact, powerful, neat design")</f>
        <v>maneuverable, compact, powerful, neat design</v>
      </c>
    </row>
    <row r="12690" spans="1:9" x14ac:dyDescent="0.3">
      <c r="A12690" s="1" t="s">
        <v>37</v>
      </c>
      <c r="B12690" s="1" t="s">
        <v>1829</v>
      </c>
      <c r="C12690" s="1" t="s">
        <v>151</v>
      </c>
      <c r="D12690" s="1" t="s">
        <v>17842</v>
      </c>
      <c r="E12690" s="1" t="s">
        <v>1428</v>
      </c>
      <c r="F12690" s="1" t="s">
        <v>17843</v>
      </c>
      <c r="G12690" s="1" t="s">
        <v>36</v>
      </c>
      <c r="H12690" s="1" t="s">
        <v>29</v>
      </c>
      <c r="I12690" s="1" t="str">
        <f ca="1">IFERROR(__xludf.DUMMYFUNCTION("GOOGLETRANSLATE(F12690, ""auto"", ""en"")
"),"Great phone. I've been using it for a year. Fast, efficient. The battery, with active use, lasts a little more than 6-7 hours. BUT! Charging to 100% is carried out instantly, half an hour is enough. My super aircraft behaves wonderfully, I dropped it thre"&amp;"e times, I carry it in my jeans pocket, the child regularly plays with it... pah-pah... The camera is excellent, though under excellent environmental conditions (light, etc..) In low light, the pictures are averagely lousy.  Of course, not without a fly i"&amp;"n the ointment. It happens to freeze. If you use some application regularly and do not clear the cache, it will freeze. A couple of times I had to overload it in the most barbaric way, remove the battery... There is one more thing that infuriates me. NOT "&amp;"REQUIRED APPLICATIONS! And they cannot be deleted. Or rather, you can delete it, but in order to delete one application you need to install another, and even this is not enough, you have to install another one, which gives the rights to delete. Buying a p"&amp;"hone for cash will not give you such rights)))) only fake applications. In short, it’s easier to disable them rather than delete them. Although TF still offers to update them.  But to sum it up, I don’t regret the purchase at all. There are also many adva"&amp;"ntages, it’s impossible to list them all. But I didn’t see any more shortcomings. Nothing breaks, cracks or swells...")</f>
        <v>Great phone. I've been using it for a year. Fast, efficient. The battery, with active use, lasts a little more than 6-7 hours. BUT! Charging to 100% is carried out instantly, half an hour is enough. My super aircraft behaves wonderfully, I dropped it three times, I carry it in my jeans pocket, the child regularly plays with it... pah-pah... The camera is excellent, though under excellent environmental conditions (light, etc..) In low light, the pictures are averagely lousy.  Of course, not without a fly in the ointment. It happens to freeze. If you use some application regularly and do not clear the cache, it will freeze. A couple of times I had to overload it in the most barbaric way, remove the battery... There is one more thing that infuriates me. NOT REQUIRED APPLICATIONS! And they cannot be deleted. Or rather, you can delete it, but in order to delete one application you need to install another, and even this is not enough, you have to install another one, which gives the rights to delete. Buying a phone for cash will not give you such rights)))) only fake applications. In short, it’s easier to disable them rather than delete them. Although TF still offers to update them.  But to sum it up, I don’t regret the purchase at all. There are also many advantages, it’s impossible to list them all. But I didn’t see any more shortcomings. Nothing breaks, cracks or swells...</v>
      </c>
    </row>
    <row r="12691" spans="1:9" x14ac:dyDescent="0.3">
      <c r="A12691" s="1" t="s">
        <v>61</v>
      </c>
      <c r="B12691" s="1" t="s">
        <v>180</v>
      </c>
      <c r="C12691" s="1" t="s">
        <v>63</v>
      </c>
      <c r="D12691" s="1" t="s">
        <v>247</v>
      </c>
      <c r="E12691" s="1" t="s">
        <v>1330</v>
      </c>
      <c r="F12691" s="1" t="s">
        <v>17844</v>
      </c>
      <c r="G12691" s="1" t="s">
        <v>36</v>
      </c>
      <c r="H12691" s="1" t="s">
        <v>29</v>
      </c>
      <c r="I12691" s="1" t="str">
        <f ca="1">IFERROR(__xludf.DUMMYFUNCTION("GOOGLETRANSLATE(F12691, ""auto"", ""en"")
"),"We really like this model. We have been using it for more than 3 months. It toasts well, defrosts just fine, and reheating buns is absolutely amazing! And most importantly, the toasts do not jump out suddenly, as often happens, they serve very smoothly! T"&amp;"his is a huge plus.")</f>
        <v>We really like this model. We have been using it for more than 3 months. It toasts well, defrosts just fine, and reheating buns is absolutely amazing! And most importantly, the toasts do not jump out suddenly, as often happens, they serve very smoothly! This is a huge plus.</v>
      </c>
    </row>
    <row r="12692" spans="1:9" x14ac:dyDescent="0.3">
      <c r="A12692" s="1" t="s">
        <v>17</v>
      </c>
      <c r="B12692" s="1" t="s">
        <v>18</v>
      </c>
      <c r="C12692" s="1" t="s">
        <v>243</v>
      </c>
      <c r="D12692" s="1" t="s">
        <v>247</v>
      </c>
      <c r="E12692" s="1" t="s">
        <v>8161</v>
      </c>
      <c r="F12692" s="1" t="s">
        <v>17845</v>
      </c>
      <c r="G12692" s="1" t="s">
        <v>28</v>
      </c>
      <c r="H12692" s="1" t="s">
        <v>29</v>
      </c>
      <c r="I12692" s="1" t="str">
        <f ca="1">IFERROR(__xludf.DUMMYFUNCTION("GOOGLETRANSLATE(F12692, ""auto"", ""en"")
"),"The machine was purchased in 2009. Pros: it served for 6 years without breakdowns. Disadvantages: when replacing bearings you have to cut the tank, it is very noisy during the spin cycle, the load for washing the blanket is small. After replacing the bear"&amp;"ings, it served for another year and my brains flew. In general, all the repairmen said that 7 years is very good for Indians. Sellers in stores immediately warn that, regardless of the brand and price, the service life of the machines is from 5 to 8 year"&amp;"s. In general, whoever is lucky.")</f>
        <v>The machine was purchased in 2009. Pros: it served for 6 years without breakdowns. Disadvantages: when replacing bearings you have to cut the tank, it is very noisy during the spin cycle, the load for washing the blanket is small. After replacing the bearings, it served for another year and my brains flew. In general, all the repairmen said that 7 years is very good for Indians. Sellers in stores immediately warn that, regardless of the brand and price, the service life of the machines is from 5 to 8 years. In general, whoever is lucky.</v>
      </c>
    </row>
    <row r="12693" spans="1:9" x14ac:dyDescent="0.3">
      <c r="A12693" s="1" t="s">
        <v>105</v>
      </c>
      <c r="B12693" s="1" t="s">
        <v>106</v>
      </c>
      <c r="C12693" s="1" t="s">
        <v>1921</v>
      </c>
      <c r="D12693" s="1" t="s">
        <v>246</v>
      </c>
      <c r="E12693" s="1" t="s">
        <v>2994</v>
      </c>
      <c r="F12693" s="1" t="s">
        <v>17846</v>
      </c>
      <c r="G12693" s="1" t="s">
        <v>36</v>
      </c>
      <c r="H12693" s="1" t="s">
        <v>29</v>
      </c>
      <c r="I12693" s="1" t="str">
        <f ca="1">IFERROR(__xludf.DUMMYFUNCTION("GOOGLETRANSLATE(F12693, ""auto"", ""en"")
"),"I bought the player 3 months ago. Very satisfied. It has everything a good MP3 needs: great music playback, great video quality. I immediately deleted the games so that it wouldn’t freeze. Otherwise there were no problems with it, although it froze 2-3 ti"&amp;"mes, but this is fixable and happens with all MP3 players. I also really like the design, this is not unimportant. Pleasant to the touch, beautiful, small. (It’s just that the screen gets scratched, but that’s nonsense).   Large selection of different the"&amp;"mes, ability to create folders, medallists. The sound is simply amazing!) But I replaced the headphones immediately, the ones that come with the set are very bad. So I advise everyone to immediately change them to others. The best option is Philips or Exp"&amp;"lay. Charging calls for 10-12 hours. The battery lasts very well.  Take this player, it's great!!!!!")</f>
        <v>I bought the player 3 months ago. Very satisfied. It has everything a good MP3 needs: great music playback, great video quality. I immediately deleted the games so that it wouldn’t freeze. Otherwise there were no problems with it, although it froze 2-3 times, but this is fixable and happens with all MP3 players. I also really like the design, this is not unimportant. Pleasant to the touch, beautiful, small. (It’s just that the screen gets scratched, but that’s nonsense).   Large selection of different themes, ability to create folders, medallists. The sound is simply amazing!) But I replaced the headphones immediately, the ones that come with the set are very bad. So I advise everyone to immediately change them to others. The best option is Philips or Explay. Charging calls for 10-12 hours. The battery lasts very well.  Take this player, it's great!!!!!</v>
      </c>
    </row>
    <row r="12694" spans="1:9" x14ac:dyDescent="0.3">
      <c r="A12694" s="1" t="s">
        <v>111</v>
      </c>
      <c r="B12694" s="1" t="s">
        <v>1090</v>
      </c>
      <c r="C12694" s="1" t="s">
        <v>1091</v>
      </c>
      <c r="D12694" s="1" t="s">
        <v>17847</v>
      </c>
      <c r="E12694" s="1" t="s">
        <v>6754</v>
      </c>
      <c r="F12694" s="1" t="s">
        <v>17848</v>
      </c>
      <c r="G12694" s="1" t="s">
        <v>49</v>
      </c>
      <c r="H12694" s="1" t="s">
        <v>16</v>
      </c>
      <c r="I12694" s="1" t="str">
        <f ca="1">IFERROR(__xludf.DUMMYFUNCTION("GOOGLETRANSLATE(F12694, ""auto"", ""en"")
"),"The lamp is comfortable, but the lamp burned out after 2 weeks.")</f>
        <v>The lamp is comfortable, but the lamp burned out after 2 weeks.</v>
      </c>
    </row>
    <row r="12695" spans="1:9" x14ac:dyDescent="0.3">
      <c r="A12695" s="1" t="s">
        <v>9</v>
      </c>
      <c r="B12695" s="1" t="s">
        <v>23</v>
      </c>
      <c r="C12695" s="1" t="s">
        <v>159</v>
      </c>
      <c r="D12695" s="1" t="s">
        <v>1506</v>
      </c>
      <c r="E12695" s="1" t="s">
        <v>3454</v>
      </c>
      <c r="F12695" s="1" t="s">
        <v>17849</v>
      </c>
      <c r="G12695" s="1" t="s">
        <v>36</v>
      </c>
      <c r="H12695" s="1" t="s">
        <v>29</v>
      </c>
      <c r="I12695" s="1" t="str">
        <f ca="1">IFERROR(__xludf.DUMMYFUNCTION("GOOGLETRANSLATE(F12695, ""auto"", ""en"")
"),"I bought it in October 2009 and I still can’t get enough of it. There is no noise at all; I always leave the main sinks on at night. In the morning I have crystal clean dishes.  + quiet during operation + perfectly washes away any dirt + ease of operation"&amp;", everything is clear even to a child - the tablet compartment is always open after washing")</f>
        <v>I bought it in October 2009 and I still can’t get enough of it. There is no noise at all; I always leave the main sinks on at night. In the morning I have crystal clean dishes.  + quiet during operation + perfectly washes away any dirt + ease of operation, everything is clear even to a child - the tablet compartment is always open after washing</v>
      </c>
    </row>
    <row r="12696" spans="1:9" x14ac:dyDescent="0.3">
      <c r="A12696" s="1" t="s">
        <v>211</v>
      </c>
      <c r="B12696" s="1" t="s">
        <v>899</v>
      </c>
      <c r="C12696" s="1" t="s">
        <v>213</v>
      </c>
      <c r="D12696" s="1" t="s">
        <v>471</v>
      </c>
      <c r="E12696" s="1" t="s">
        <v>4681</v>
      </c>
      <c r="F12696" s="1" t="s">
        <v>17850</v>
      </c>
      <c r="G12696" s="1" t="s">
        <v>36</v>
      </c>
      <c r="H12696" s="1" t="s">
        <v>29</v>
      </c>
      <c r="I12696" s="1" t="str">
        <f ca="1">IFERROR(__xludf.DUMMYFUNCTION("GOOGLETRANSLATE(F12696, ""auto"", ""en"")
"),"Easy to use, feels good in the hand, cleans teeth well")</f>
        <v>Easy to use, feels good in the hand, cleans teeth well</v>
      </c>
    </row>
    <row r="12697" spans="1:9" x14ac:dyDescent="0.3">
      <c r="A12697" s="1" t="s">
        <v>37</v>
      </c>
      <c r="B12697" s="1" t="s">
        <v>38</v>
      </c>
      <c r="C12697" s="1" t="s">
        <v>151</v>
      </c>
      <c r="D12697" s="1" t="s">
        <v>52</v>
      </c>
      <c r="E12697" s="1" t="s">
        <v>1852</v>
      </c>
      <c r="F12697" s="1" t="s">
        <v>17851</v>
      </c>
      <c r="G12697" s="1" t="s">
        <v>36</v>
      </c>
      <c r="H12697" s="1" t="s">
        <v>29</v>
      </c>
      <c r="I12697" s="1" t="str">
        <f ca="1">IFERROR(__xludf.DUMMYFUNCTION("GOOGLETRANSLATE(F12697, ""auto"", ""en"")
"),"I'll be honest, the phone is cool!!! Before this I had a Nokia 1202. It's NOT a bad phone, but these holes on the back cover finished me off!!!! In short, I bought it and I'm very pleased!!!!!!")</f>
        <v>I'll be honest, the phone is cool!!! Before this I had a Nokia 1202. It's NOT a bad phone, but these holes on the back cover finished me off!!!! In short, I bought it and I'm very pleased!!!!!!</v>
      </c>
    </row>
    <row r="12698" spans="1:9" x14ac:dyDescent="0.3">
      <c r="A12698" s="1" t="s">
        <v>373</v>
      </c>
      <c r="B12698" s="1" t="s">
        <v>374</v>
      </c>
      <c r="C12698" s="1" t="s">
        <v>159</v>
      </c>
      <c r="D12698" s="1" t="s">
        <v>64</v>
      </c>
      <c r="E12698" s="1" t="s">
        <v>176</v>
      </c>
      <c r="F12698" s="1" t="s">
        <v>17852</v>
      </c>
      <c r="G12698" s="1" t="s">
        <v>49</v>
      </c>
      <c r="H12698" s="1" t="s">
        <v>16</v>
      </c>
      <c r="I12698" s="1" t="str">
        <f ca="1">IFERROR(__xludf.DUMMYFUNCTION("GOOGLETRANSLATE(F12698, ""auto"", ""en"")
"),"A nightmare purchase. Firstly, we were essentially deceived by a store seller in Balashikha, saying that the washing class was A. We did not check this and only at home we discovered that it was C. There was no limit to our dissatisfaction... Further. She"&amp;" washes dishes - DISGUSTING. It's just disgusting. We've had it for a year now and we're still dissatisfied... It would be better if we bought a Bosch for the same money!!! Sometimes you just have to wash all the dishes. (the dishes are stacked correctly "&amp;"and all the ingredients are added - liquid and salt and a tablet, so there is no mistake here). We regularly clean the nozzles with it. For a long time I didn’t want to write a bad review - but I don’t have the strength anymore. You can’t even take it to "&amp;"the dacha - you have to take it to the trash heap. She's useless. One more “little touch” - there is so much noise from it that you can’t turn it on at night - it will motivate the whole people!!! VERY noisy!!! During the day you can’t really turn it on e"&amp;"ither - you can really only hear her and no one and nothing else. In short - Mr. Sorry for the money.")</f>
        <v>A nightmare purchase. Firstly, we were essentially deceived by a store seller in Balashikha, saying that the washing class was A. We did not check this and only at home we discovered that it was C. There was no limit to our dissatisfaction... Further. She washes dishes - DISGUSTING. It's just disgusting. We've had it for a year now and we're still dissatisfied... It would be better if we bought a Bosch for the same money!!! Sometimes you just have to wash all the dishes. (the dishes are stacked correctly and all the ingredients are added - liquid and salt and a tablet, so there is no mistake here). We regularly clean the nozzles with it. For a long time I didn’t want to write a bad review - but I don’t have the strength anymore. You can’t even take it to the dacha - you have to take it to the trash heap. She's useless. One more “little touch” - there is so much noise from it that you can’t turn it on at night - it will motivate the whole people!!! VERY noisy!!! During the day you can’t really turn it on either - you can really only hear her and no one and nothing else. In short - Mr. Sorry for the money.</v>
      </c>
    </row>
    <row r="12699" spans="1:9" x14ac:dyDescent="0.3">
      <c r="A12699" s="1" t="s">
        <v>120</v>
      </c>
      <c r="B12699" s="1" t="s">
        <v>256</v>
      </c>
      <c r="C12699" s="1" t="s">
        <v>32</v>
      </c>
      <c r="D12699" s="1" t="s">
        <v>139</v>
      </c>
      <c r="E12699" s="1" t="s">
        <v>3169</v>
      </c>
      <c r="F12699" s="1" t="s">
        <v>17853</v>
      </c>
      <c r="G12699" s="1" t="s">
        <v>36</v>
      </c>
      <c r="H12699" s="1" t="s">
        <v>29</v>
      </c>
      <c r="I12699" s="1" t="str">
        <f ca="1">IFERROR(__xludf.DUMMYFUNCTION("GOOGLETRANSLATE(F12699, ""auto"", ""en"")
"),"Simply an excellent TV for this amount! The image quality is at the highest level, even the image of a regular TV improves significantly. Excellent TV! Bright and subtle. I recommend it.")</f>
        <v>Simply an excellent TV for this amount! The image quality is at the highest level, even the image of a regular TV improves significantly. Excellent TV! Bright and subtle. I recommend it.</v>
      </c>
    </row>
    <row r="12700" spans="1:9" x14ac:dyDescent="0.3">
      <c r="A12700" s="1" t="s">
        <v>211</v>
      </c>
      <c r="B12700" s="1" t="s">
        <v>789</v>
      </c>
      <c r="C12700" s="1" t="s">
        <v>69</v>
      </c>
      <c r="D12700" s="1" t="s">
        <v>308</v>
      </c>
      <c r="E12700" s="1" t="s">
        <v>6007</v>
      </c>
      <c r="F12700" s="1" t="s">
        <v>17854</v>
      </c>
      <c r="G12700" s="1" t="s">
        <v>28</v>
      </c>
      <c r="H12700" s="1" t="s">
        <v>29</v>
      </c>
      <c r="I12700" s="1" t="str">
        <f ca="1">IFERROR(__xludf.DUMMYFUNCTION("GOOGLETRANSLATE(F12700, ""auto"", ""en"")
"),"They gave me just such a baby monitor. We've been using it for 9.5 months now. Everything works well. It happens that the connection disappears for 2-3 seconds and then the parent unit signals this. The model is good. I'm happy. My friend has exactly the "&amp;"same one. Have been using it for 2.7 years now. No complaints.")</f>
        <v>They gave me just such a baby monitor. We've been using it for 9.5 months now. Everything works well. It happens that the connection disappears for 2-3 seconds and then the parent unit signals this. The model is good. I'm happy. My friend has exactly the same one. Have been using it for 2.7 years now. No complaints.</v>
      </c>
    </row>
    <row r="12701" spans="1:9" x14ac:dyDescent="0.3">
      <c r="A12701" s="1" t="s">
        <v>149</v>
      </c>
      <c r="B12701" s="1" t="s">
        <v>576</v>
      </c>
      <c r="C12701" s="1" t="s">
        <v>1835</v>
      </c>
      <c r="D12701" s="1" t="s">
        <v>17855</v>
      </c>
      <c r="E12701" s="1" t="s">
        <v>5307</v>
      </c>
      <c r="F12701" s="1" t="s">
        <v>17856</v>
      </c>
      <c r="G12701" s="1" t="s">
        <v>28</v>
      </c>
      <c r="H12701" s="1" t="s">
        <v>29</v>
      </c>
      <c r="I12701" s="1" t="str">
        <f ca="1">IFERROR(__xludf.DUMMYFUNCTION("GOOGLETRANSLATE(F12701, ""auto"", ""en"")
"),"Used for a couple of weeks. I chose a vacuum cleaner for allergy sufferers. It fully meets these requirements - you can even stick your nose into the exhaust. Sucks well. Since everything flies into the bag, it is impossible to visually verify the volume "&amp;"of sucked dirt and be morally satisfied with the quality of the work - only by touch. But even to the touch there is somehow unrealistically a lot of it - I didn’t think that I lived in such dirt. I noticed this unpleasant oddity: if the pipe is disconnec"&amp;"ted, the valve does not close the hole and the bag is open. Very good. the flimsy lid of the personal belongings, and some kind of Chinese-Chinese plastic - in the very first hour I managed to peel the vacuum cleaner all over the Ikea wooden furniture - t"&amp;"he scratches are not so frail. But the main functions of the vacuum cleaner: sucking and not releasing - 5+.")</f>
        <v>Used for a couple of weeks. I chose a vacuum cleaner for allergy sufferers. It fully meets these requirements - you can even stick your nose into the exhaust. Sucks well. Since everything flies into the bag, it is impossible to visually verify the volume of sucked dirt and be morally satisfied with the quality of the work - only by touch. But even to the touch there is somehow unrealistically a lot of it - I didn’t think that I lived in such dirt. I noticed this unpleasant oddity: if the pipe is disconnected, the valve does not close the hole and the bag is open. Very good. the flimsy lid of the personal belongings, and some kind of Chinese-Chinese plastic - in the very first hour I managed to peel the vacuum cleaner all over the Ikea wooden furniture - the scratches are not so frail. But the main functions of the vacuum cleaner: sucking and not releasing - 5+.</v>
      </c>
    </row>
    <row r="12702" spans="1:9" x14ac:dyDescent="0.3">
      <c r="A12702" s="1" t="s">
        <v>17</v>
      </c>
      <c r="B12702" s="1" t="s">
        <v>18</v>
      </c>
      <c r="C12702" s="1" t="s">
        <v>885</v>
      </c>
      <c r="D12702" s="1" t="s">
        <v>17857</v>
      </c>
      <c r="E12702" s="1" t="s">
        <v>6875</v>
      </c>
      <c r="F12702" s="1" t="s">
        <v>17858</v>
      </c>
      <c r="G12702" s="1" t="s">
        <v>36</v>
      </c>
      <c r="H12702" s="1" t="s">
        <v>29</v>
      </c>
      <c r="I12702" s="1" t="str">
        <f ca="1">IFERROR(__xludf.DUMMYFUNCTION("GOOGLETRANSLATE(F12702, ""auto"", ""en"")
"),"We bought this machine. We installed it ourselves without reading the instructions. While doing laundry, she started jumping around the kitchen. We called a technician and it turned out that we had not removed the bolts holding the drum. Now she washes an"&amp;"d spins with almost no vibration. We are pleased with her work.")</f>
        <v>We bought this machine. We installed it ourselves without reading the instructions. While doing laundry, she started jumping around the kitchen. We called a technician and it turned out that we had not removed the bolts holding the drum. Now she washes and spins with almost no vibration. We are pleased with her work.</v>
      </c>
    </row>
    <row r="12703" spans="1:9" x14ac:dyDescent="0.3">
      <c r="A12703" s="1" t="s">
        <v>30</v>
      </c>
      <c r="B12703" s="1" t="s">
        <v>31</v>
      </c>
      <c r="C12703" s="1" t="s">
        <v>5122</v>
      </c>
      <c r="D12703" s="1" t="s">
        <v>305</v>
      </c>
      <c r="E12703" s="1" t="s">
        <v>903</v>
      </c>
      <c r="F12703" s="1" t="s">
        <v>17859</v>
      </c>
      <c r="G12703" s="1" t="s">
        <v>28</v>
      </c>
      <c r="H12703" s="1" t="s">
        <v>29</v>
      </c>
      <c r="I12703" s="1" t="str">
        <f ca="1">IFERROR(__xludf.DUMMYFUNCTION("GOOGLETRANSLATE(F12703, ""auto"", ""en"")
"),"512MB memory is not suitable for such a processor. The minimum that should be is 1024 MB for this model")</f>
        <v>512MB memory is not suitable for such a processor. The minimum that should be is 1024 MB for this model</v>
      </c>
    </row>
    <row r="12704" spans="1:9" x14ac:dyDescent="0.3">
      <c r="A12704" s="1" t="s">
        <v>43</v>
      </c>
      <c r="B12704" s="1" t="s">
        <v>303</v>
      </c>
      <c r="C12704" s="1" t="s">
        <v>304</v>
      </c>
      <c r="D12704" s="1" t="s">
        <v>11148</v>
      </c>
      <c r="E12704" s="1" t="s">
        <v>10272</v>
      </c>
      <c r="F12704" s="1" t="s">
        <v>17860</v>
      </c>
      <c r="G12704" s="1" t="s">
        <v>28</v>
      </c>
      <c r="H12704" s="1" t="s">
        <v>29</v>
      </c>
      <c r="I12704" s="1" t="str">
        <f ca="1">IFERROR(__xludf.DUMMYFUNCTION("GOOGLETRANSLATE(F12704, ""auto"", ""en"")
"),"Simple")</f>
        <v>Simple</v>
      </c>
    </row>
    <row r="12705" spans="1:9" x14ac:dyDescent="0.3">
      <c r="A12705" s="1" t="s">
        <v>211</v>
      </c>
      <c r="B12705" s="1" t="s">
        <v>212</v>
      </c>
      <c r="C12705" s="1" t="s">
        <v>381</v>
      </c>
      <c r="D12705" s="1" t="s">
        <v>589</v>
      </c>
      <c r="E12705" s="1" t="s">
        <v>7587</v>
      </c>
      <c r="F12705" s="1" t="s">
        <v>17861</v>
      </c>
      <c r="G12705" s="1" t="s">
        <v>49</v>
      </c>
      <c r="H12705" s="1" t="s">
        <v>16</v>
      </c>
      <c r="I12705" s="1" t="str">
        <f ca="1">IFERROR(__xludf.DUMMYFUNCTION("GOOGLETRANSLATE(F12705, ""auto"", ""en"")
"),"I bought these tongs today and am very pleased. Doesn't frizz at all.")</f>
        <v>I bought these tongs today and am very pleased. Doesn't frizz at all.</v>
      </c>
    </row>
    <row r="12706" spans="1:9" x14ac:dyDescent="0.3">
      <c r="A12706" s="1" t="s">
        <v>37</v>
      </c>
      <c r="B12706" s="1" t="s">
        <v>536</v>
      </c>
      <c r="C12706" s="1" t="s">
        <v>163</v>
      </c>
      <c r="D12706" s="1" t="s">
        <v>17862</v>
      </c>
      <c r="E12706" s="1" t="s">
        <v>2593</v>
      </c>
      <c r="F12706" s="1" t="s">
        <v>17863</v>
      </c>
      <c r="G12706" s="1" t="s">
        <v>36</v>
      </c>
      <c r="H12706" s="1" t="s">
        <v>29</v>
      </c>
      <c r="I12706" s="1" t="str">
        <f ca="1">IFERROR(__xludf.DUMMYFUNCTION("GOOGLETRANSLATE(F12706, ""auto"", ""en"")
"),"Yesterday I purchased this model. I noticed it a long time ago, a friend has the same one, she is quite happy.   Everything is fine. Doesn't slow down. It's not buggy. The sensor responds instantly. The headphones are comfortable.   The downside is the ba"&amp;"ck cover (it moves a little to the sides) and the lock button rattles a little, but THIS IS NOT SIGNIFICANT, in my opinion.   It works, we'll see!!!))))) Rating 5!!!")</f>
        <v>Yesterday I purchased this model. I noticed it a long time ago, a friend has the same one, she is quite happy.   Everything is fine. Doesn't slow down. It's not buggy. The sensor responds instantly. The headphones are comfortable.   The downside is the back cover (it moves a little to the sides) and the lock button rattles a little, but THIS IS NOT SIGNIFICANT, in my opinion.   It works, we'll see!!!))))) Rating 5!!!</v>
      </c>
    </row>
    <row r="12707" spans="1:9" x14ac:dyDescent="0.3">
      <c r="A12707" s="1" t="s">
        <v>120</v>
      </c>
      <c r="B12707" s="1" t="s">
        <v>121</v>
      </c>
      <c r="C12707" s="1" t="s">
        <v>151</v>
      </c>
      <c r="D12707" s="1" t="s">
        <v>12</v>
      </c>
      <c r="E12707" s="1" t="s">
        <v>41</v>
      </c>
      <c r="F12707" s="1" t="s">
        <v>17864</v>
      </c>
      <c r="G12707" s="1" t="s">
        <v>28</v>
      </c>
      <c r="H12707" s="1" t="s">
        <v>29</v>
      </c>
      <c r="I12707" s="1" t="str">
        <f ca="1">IFERROR(__xludf.DUMMYFUNCTION("GOOGLETRANSLATE(F12707, ""auto"", ""en"")
"),"Not a bad TV, good value for money. For a very long time we were choosing between Sony and Samsung; Samsung was confused by the Russian assembly. It's only been working for a month, so far no major complaints. The only thing I advise is to look at the spe"&amp;"cifications on the manufacturer’s website, because... The presence of the “picture-in-picture” and “picture-and-picture” functions is indicated here, but in reality it is not there and this is a minus.  http://www.samsung.com/ru/consumer/televisions/telev"&amp;"isions/tv-lcd/LE37B530P7WXRU/index.idx?pagetype=prd_detail&amp;tab=spec&amp;fullspec=F")</f>
        <v>Not a bad TV, good value for money. For a very long time we were choosing between Sony and Samsung; Samsung was confused by the Russian assembly. It's only been working for a month, so far no major complaints. The only thing I advise is to look at the specifications on the manufacturer’s website, because... The presence of the “picture-in-picture” and “picture-and-picture” functions is indicated here, but in reality it is not there and this is a minus.  http://www.samsung.com/ru/consumer/televisions/televisions/tv-lcd/LE37B530P7WXRU/index.idx?pagetype=prd_detail&amp;tab=spec&amp;fullspec=F</v>
      </c>
    </row>
    <row r="12708" spans="1:9" x14ac:dyDescent="0.3">
      <c r="A12708" s="1" t="s">
        <v>30</v>
      </c>
      <c r="B12708" s="1" t="s">
        <v>31</v>
      </c>
      <c r="C12708" s="1" t="s">
        <v>32</v>
      </c>
      <c r="D12708" s="1" t="s">
        <v>208</v>
      </c>
      <c r="E12708" s="1" t="s">
        <v>3805</v>
      </c>
      <c r="F12708" s="1" t="s">
        <v>17865</v>
      </c>
      <c r="G12708" s="1" t="s">
        <v>49</v>
      </c>
      <c r="H12708" s="1" t="s">
        <v>16</v>
      </c>
      <c r="I12708" s="1" t="str">
        <f ca="1">IFERROR(__xludf.DUMMYFUNCTION("GOOGLETRANSLATE(F12708, ""auto"", ""en"")
"),"I bought this device and regret it from the first day. When starting a more or less modern game, it constantly freezes, reboots, and displays Windows error messages. This miracle of Chinese technology is only suitable for listening to music and printed wo"&amp;"rks. In 3 years, my budget-spec Samsung has not produced as many errors as this “gaming computer” has in a month. People! Before purchasing Acer products, I advise you to think carefully.")</f>
        <v>I bought this device and regret it from the first day. When starting a more or less modern game, it constantly freezes, reboots, and displays Windows error messages. This miracle of Chinese technology is only suitable for listening to music and printed works. In 3 years, my budget-spec Samsung has not produced as many errors as this “gaming computer” has in a month. People! Before purchasing Acer products, I advise you to think carefully.</v>
      </c>
    </row>
    <row r="12709" spans="1:9" x14ac:dyDescent="0.3">
      <c r="A12709" s="1" t="s">
        <v>61</v>
      </c>
      <c r="B12709" s="1" t="s">
        <v>145</v>
      </c>
      <c r="C12709" s="1" t="s">
        <v>246</v>
      </c>
      <c r="D12709" s="1" t="s">
        <v>295</v>
      </c>
      <c r="E12709" s="1" t="s">
        <v>1745</v>
      </c>
      <c r="F12709" s="1" t="s">
        <v>17866</v>
      </c>
      <c r="G12709" s="1" t="s">
        <v>36</v>
      </c>
      <c r="H12709" s="1" t="s">
        <v>29</v>
      </c>
      <c r="I12709" s="1" t="str">
        <f ca="1">IFERROR(__xludf.DUMMYFUNCTION("GOOGLETRANSLATE(F12709, ""auto"", ""en"")
"),"I'm tired of buying different types of manual openers and twisting my arms and fingers. I didn’t even notice how you opened a can of condensed milk for the first time. There was no limit to my delight. Thanks to the opener!!! And sharpening for knives is "&amp;"not particularly necessary. We got used to the other one.")</f>
        <v>I'm tired of buying different types of manual openers and twisting my arms and fingers. I didn’t even notice how you opened a can of condensed milk for the first time. There was no limit to my delight. Thanks to the opener!!! And sharpening for knives is not particularly necessary. We got used to the other one.</v>
      </c>
    </row>
    <row r="12710" spans="1:9" x14ac:dyDescent="0.3">
      <c r="A12710" s="1" t="s">
        <v>211</v>
      </c>
      <c r="B12710" s="1" t="s">
        <v>899</v>
      </c>
      <c r="C12710" s="1" t="s">
        <v>213</v>
      </c>
      <c r="D12710" s="1" t="s">
        <v>724</v>
      </c>
      <c r="E12710" s="1" t="s">
        <v>15483</v>
      </c>
      <c r="F12710" s="1" t="s">
        <v>17867</v>
      </c>
      <c r="G12710" s="1" t="s">
        <v>36</v>
      </c>
      <c r="H12710" s="1" t="s">
        <v>29</v>
      </c>
      <c r="I12710" s="1" t="str">
        <f ca="1">IFERROR(__xludf.DUMMYFUNCTION("GOOGLETRANSLATE(F12710, ""auto"", ""en"")
"),"An excellent brush that removes and protects from plaque! I'm happy, not overjoyed!")</f>
        <v>An excellent brush that removes and protects from plaque! I'm happy, not overjoyed!</v>
      </c>
    </row>
    <row r="12711" spans="1:9" x14ac:dyDescent="0.3">
      <c r="A12711" s="1" t="s">
        <v>78</v>
      </c>
      <c r="B12711" s="1" t="s">
        <v>79</v>
      </c>
      <c r="C12711" s="1" t="s">
        <v>1224</v>
      </c>
      <c r="D12711" s="1" t="s">
        <v>6106</v>
      </c>
      <c r="E12711" s="1" t="s">
        <v>1352</v>
      </c>
      <c r="F12711" s="1" t="s">
        <v>17868</v>
      </c>
      <c r="G12711" s="1" t="s">
        <v>36</v>
      </c>
      <c r="H12711" s="1" t="s">
        <v>29</v>
      </c>
      <c r="I12711" s="1" t="str">
        <f ca="1">IFERROR(__xludf.DUMMYFUNCTION("GOOGLETRANSLATE(F12711, ""auto"", ""en"")
"),"I liked it, great design, at first it seems complicated, but there is nothing complicated, it will decorate any kitchen, I recommend it.")</f>
        <v>I liked it, great design, at first it seems complicated, but there is nothing complicated, it will decorate any kitchen, I recommend it.</v>
      </c>
    </row>
    <row r="12712" spans="1:9" x14ac:dyDescent="0.3">
      <c r="A12712" s="1" t="s">
        <v>149</v>
      </c>
      <c r="B12712" s="1" t="s">
        <v>423</v>
      </c>
      <c r="C12712" s="1" t="s">
        <v>424</v>
      </c>
      <c r="D12712" s="1" t="s">
        <v>438</v>
      </c>
      <c r="E12712" s="1" t="s">
        <v>3269</v>
      </c>
      <c r="F12712" s="1" t="s">
        <v>17869</v>
      </c>
      <c r="G12712" s="1" t="s">
        <v>36</v>
      </c>
      <c r="H12712" s="1" t="s">
        <v>29</v>
      </c>
      <c r="I12712" s="1" t="str">
        <f ca="1">IFERROR(__xludf.DUMMYFUNCTION("GOOGLETRANSLATE(F12712, ""auto"", ""en"")
"),"I have been using this vacuum cleaner for a year now and am very pleased. The only unpleasant moment was that the mopping nozzle broke, but I purchased it with insurance, so they replaced it without problems within two weeks. So I recommend it to everyone"&amp;"; in terms of price-quality ratio, the vacuum cleaner is simply excellent, and for those with small children, it is simply irreplaceable!!!")</f>
        <v>I have been using this vacuum cleaner for a year now and am very pleased. The only unpleasant moment was that the mopping nozzle broke, but I purchased it with insurance, so they replaced it without problems within two weeks. So I recommend it to everyone; in terms of price-quality ratio, the vacuum cleaner is simply excellent, and for those with small children, it is simply irreplaceable!!!</v>
      </c>
    </row>
    <row r="12713" spans="1:9" x14ac:dyDescent="0.3">
      <c r="A12713" s="1" t="s">
        <v>206</v>
      </c>
      <c r="B12713" s="1" t="s">
        <v>261</v>
      </c>
      <c r="C12713" s="1" t="s">
        <v>262</v>
      </c>
      <c r="D12713" s="1" t="s">
        <v>2873</v>
      </c>
      <c r="E12713" s="1" t="s">
        <v>11102</v>
      </c>
      <c r="F12713" s="1" t="s">
        <v>17870</v>
      </c>
      <c r="G12713" s="1" t="s">
        <v>15</v>
      </c>
      <c r="H12713" s="1" t="s">
        <v>16</v>
      </c>
      <c r="I12713" s="1" t="str">
        <f ca="1">IFERROR(__xludf.DUMMYFUNCTION("GOOGLETRANSLATE(F12713, ""auto"", ""en"")
"),"It's bad in the city, even worse outside the city...")</f>
        <v>It's bad in the city, even worse outside the city...</v>
      </c>
    </row>
    <row r="12714" spans="1:9" x14ac:dyDescent="0.3">
      <c r="A12714" s="1" t="s">
        <v>67</v>
      </c>
      <c r="B12714" s="1" t="s">
        <v>68</v>
      </c>
      <c r="C12714" s="1" t="s">
        <v>246</v>
      </c>
      <c r="D12714" s="1" t="s">
        <v>17871</v>
      </c>
      <c r="E12714" s="1" t="s">
        <v>3337</v>
      </c>
      <c r="F12714" s="1" t="s">
        <v>17872</v>
      </c>
      <c r="G12714" s="1" t="s">
        <v>36</v>
      </c>
      <c r="H12714" s="1" t="s">
        <v>29</v>
      </c>
      <c r="I12714" s="1" t="str">
        <f ca="1">IFERROR(__xludf.DUMMYFUNCTION("GOOGLETRANSLATE(F12714, ""auto"", ""en"")
"),"I purchased the Tefal FV 3300E0 iron half a year ago and I still can’t get enough of it, despite the fact that I have never liked the ironing procedure. The iron is very simple and easy to use. Irons things perfectly without damaging them, and leaves no s"&amp;"hine on clothes. I recommend purchasing a reliable assistant).")</f>
        <v>I purchased the Tefal FV 3300E0 iron half a year ago and I still can’t get enough of it, despite the fact that I have never liked the ironing procedure. The iron is very simple and easy to use. Irons things perfectly without damaging them, and leaves no shine on clothes. I recommend purchasing a reliable assistant).</v>
      </c>
    </row>
    <row r="12715" spans="1:9" x14ac:dyDescent="0.3">
      <c r="A12715" s="1" t="s">
        <v>373</v>
      </c>
      <c r="B12715" s="1" t="s">
        <v>374</v>
      </c>
      <c r="C12715" s="1" t="s">
        <v>24</v>
      </c>
      <c r="D12715" s="1" t="s">
        <v>280</v>
      </c>
      <c r="E12715" s="1" t="s">
        <v>1657</v>
      </c>
      <c r="F12715" s="1" t="s">
        <v>17873</v>
      </c>
      <c r="G12715" s="1" t="s">
        <v>36</v>
      </c>
      <c r="H12715" s="1" t="s">
        <v>29</v>
      </c>
      <c r="I12715" s="1" t="str">
        <f ca="1">IFERROR(__xludf.DUMMYFUNCTION("GOOGLETRANSLATE(F12715, ""auto"", ""en"")
"),"that for those who did not have a dishwasher at all, this is generally just a gift. I bought this for my mother, and for myself an eyelid. To say that dishes cannot be washed and to claim that the item itself is bad is wrong... If dishes sit in the sink f"&amp;"or a long time, this is an indicator of uncleanliness. I advise you to put the dishes straight into the machine on the rinse cycle, without skimping on detergents. And say thank you that this even appeared in Russia. 20 years ago it was simply impossible "&amp;"to find a compact dishwasher!")</f>
        <v>that for those who did not have a dishwasher at all, this is generally just a gift. I bought this for my mother, and for myself an eyelid. To say that dishes cannot be washed and to claim that the item itself is bad is wrong... If dishes sit in the sink for a long time, this is an indicator of uncleanliness. I advise you to put the dishes straight into the machine on the rinse cycle, without skimping on detergents. And say thank you that this even appeared in Russia. 20 years ago it was simply impossible to find a compact dishwasher!</v>
      </c>
    </row>
    <row r="12716" spans="1:9" x14ac:dyDescent="0.3">
      <c r="A12716" s="1" t="s">
        <v>105</v>
      </c>
      <c r="B12716" s="1" t="s">
        <v>106</v>
      </c>
      <c r="C12716" s="1" t="s">
        <v>107</v>
      </c>
      <c r="D12716" s="1" t="s">
        <v>9203</v>
      </c>
      <c r="E12716" s="1" t="s">
        <v>859</v>
      </c>
      <c r="F12716" s="1" t="s">
        <v>17874</v>
      </c>
      <c r="G12716" s="1" t="s">
        <v>28</v>
      </c>
      <c r="H12716" s="1" t="s">
        <v>29</v>
      </c>
      <c r="I12716" s="1" t="str">
        <f ca="1">IFERROR(__xludf.DUMMYFUNCTION("GOOGLETRANSLATE(F12716, ""auto"", ""en"")
"),"Let's start with the shortcomings.       1. The body is painted, so expect the paint to peel off after 3 days.     2. The camera inside the housing is not fixed and, depending on the force of impact on the housing, can take different positions. As a resul"&amp;"t of photographing, the details that you wanted to see end up in the frame.     3. The audio connector is poorly fixed and quickly becomes loose; three days of using the player is enough for the sound to bounce in the headphones.      4. The sound is not "&amp;"loud enough in the headphones and from the external speaker.     5. The e-book is useless due to poorly chosen background and font. Although by experiment it is possible to find a certain angle with an accuracy of plus or minus 1-2 degrees, when the text "&amp;"becomes readable.     6. Small battery capacity, presumably no more than 450 mA per hour, so for video playback it lasts no more than 2 hours 10 minutes, and when listening to the radio for 4 hours.    Advantages: 1. Sensitive receiver, memory for 30 stat"&amp;"ions, which is enough for the Moscow densely populated FM range.     2. High clarity LCD display. Even on such a small 2.4 'screen it is quite possible to watch feature films and documentaries.     3. It is possible to make a bookmark while playing a vide"&amp;"o.     4. There is an auto-save mode in case of emergency shutdown due to reduced power.     5. The E-book reads not only files in txt format, but also html. It is possible to create up to 10 bookmarks in each document.")</f>
        <v>Let's start with the shortcomings.       1. The body is painted, so expect the paint to peel off after 3 days.     2. The camera inside the housing is not fixed and, depending on the force of impact on the housing, can take different positions. As a result of photographing, the details that you wanted to see end up in the frame.     3. The audio connector is poorly fixed and quickly becomes loose; three days of using the player is enough for the sound to bounce in the headphones.      4. The sound is not loud enough in the headphones and from the external speaker.     5. The e-book is useless due to poorly chosen background and font. Although by experiment it is possible to find a certain angle with an accuracy of plus or minus 1-2 degrees, when the text becomes readable.     6. Small battery capacity, presumably no more than 450 mA per hour, so for video playback it lasts no more than 2 hours 10 minutes, and when listening to the radio for 4 hours.    Advantages: 1. Sensitive receiver, memory for 30 stations, which is enough for the Moscow densely populated FM range.     2. High clarity LCD display. Even on such a small 2.4 'screen it is quite possible to watch feature films and documentaries.     3. It is possible to make a bookmark while playing a video.     4. There is an auto-save mode in case of emergency shutdown due to reduced power.     5. The E-book reads not only files in txt format, but also html. It is possible to create up to 10 bookmarks in each document.</v>
      </c>
    </row>
    <row r="12717" spans="1:9" x14ac:dyDescent="0.3">
      <c r="A12717" s="1" t="s">
        <v>30</v>
      </c>
      <c r="B12717" s="1" t="s">
        <v>50</v>
      </c>
      <c r="C12717" s="1" t="s">
        <v>2550</v>
      </c>
      <c r="D12717" s="1" t="s">
        <v>295</v>
      </c>
      <c r="E12717" s="1" t="s">
        <v>191</v>
      </c>
      <c r="F12717" s="1" t="s">
        <v>17875</v>
      </c>
      <c r="G12717" s="1" t="s">
        <v>28</v>
      </c>
      <c r="H12717" s="1" t="s">
        <v>29</v>
      </c>
      <c r="I12717" s="1" t="str">
        <f ca="1">IFERROR(__xludf.DUMMYFUNCTION("GOOGLETRANSLATE(F12717, ""auto"", ""en"")
"),"A fast laptop, practically no different from an asus k52j or k70ic - except that the video card is weaker! In general, the speed is very good, all programs run with a bang, many games run without any brakes, I’m very pleased with the monitor. The matrix i"&amp;"s ​​brighter than that of Asus, on par with Toshiba. For this price it's a pretty good laptop! I recommend!")</f>
        <v>A fast laptop, practically no different from an asus k52j or k70ic - except that the video card is weaker! In general, the speed is very good, all programs run with a bang, many games run without any brakes, I’m very pleased with the monitor. The matrix is ​​brighter than that of Asus, on par with Toshiba. For this price it's a pretty good laptop! I recommend!</v>
      </c>
    </row>
    <row r="12718" spans="1:9" x14ac:dyDescent="0.3">
      <c r="A12718" s="1" t="s">
        <v>30</v>
      </c>
      <c r="B12718" s="1" t="s">
        <v>50</v>
      </c>
      <c r="C12718" s="1" t="s">
        <v>1386</v>
      </c>
      <c r="D12718" s="1" t="s">
        <v>488</v>
      </c>
      <c r="E12718" s="1" t="s">
        <v>1762</v>
      </c>
      <c r="F12718" s="1" t="s">
        <v>17876</v>
      </c>
      <c r="G12718" s="1" t="s">
        <v>36</v>
      </c>
      <c r="H12718" s="1" t="s">
        <v>29</v>
      </c>
      <c r="I12718" s="1" t="str">
        <f ca="1">IFERROR(__xludf.DUMMYFUNCTION("GOOGLETRANSLATE(F12718, ""auto"", ""en"")
"),"The computer is excellent, I spend all day on the net via Wi-Fi, everything flies, I played some games also not bad, such as GTA, Postal, you can. Movies in HD seem great, and by the way, as they write that it has 160 GB, it’s not 120 GB. I’ve even reinst"&amp;"alled it once already, it’s convenient that VISTA is built in, but oh well, what can I say, buy it yourself........ rating 5++++++")</f>
        <v>The computer is excellent, I spend all day on the net via Wi-Fi, everything flies, I played some games also not bad, such as GTA, Postal, you can. Movies in HD seem great, and by the way, as they write that it has 160 GB, it’s not 120 GB. I’ve even reinstalled it once already, it’s convenient that VISTA is built in, but oh well, what can I say, buy it yourself........ rating 5++++++</v>
      </c>
    </row>
    <row r="12719" spans="1:9" x14ac:dyDescent="0.3">
      <c r="A12719" s="1" t="s">
        <v>120</v>
      </c>
      <c r="B12719" s="1" t="s">
        <v>196</v>
      </c>
      <c r="C12719" s="1" t="s">
        <v>80</v>
      </c>
      <c r="D12719" s="1" t="s">
        <v>17877</v>
      </c>
      <c r="E12719" s="1" t="s">
        <v>2231</v>
      </c>
      <c r="F12719" s="1" t="s">
        <v>17878</v>
      </c>
      <c r="G12719" s="1" t="s">
        <v>36</v>
      </c>
      <c r="H12719" s="1" t="s">
        <v>29</v>
      </c>
      <c r="I12719" s="1" t="str">
        <f ca="1">IFERROR(__xludf.DUMMYFUNCTION("GOOGLETRANSLATE(F12719, ""auto"", ""en"")
"),"I bought this Miracle about a month ago, I’m happy as an elephant, I compare the picture with the one my friends have (other TV models) - all the time in my favor... I unlocked the player as Ilya advised - everything works great, although in one place I s"&amp;"topped it myself and found a more detailed description of the actions... In a word - I recommend it!")</f>
        <v>I bought this Miracle about a month ago, I’m happy as an elephant, I compare the picture with the one my friends have (other TV models) - all the time in my favor... I unlocked the player as Ilya advised - everything works great, although in one place I stopped it myself and found a more detailed description of the actions... In a word - I recommend it!</v>
      </c>
    </row>
    <row r="12720" spans="1:9" x14ac:dyDescent="0.3">
      <c r="A12720" s="1" t="s">
        <v>169</v>
      </c>
      <c r="B12720" s="1" t="s">
        <v>170</v>
      </c>
      <c r="C12720" s="1" t="s">
        <v>171</v>
      </c>
      <c r="D12720" s="1" t="s">
        <v>695</v>
      </c>
      <c r="E12720" s="1" t="s">
        <v>859</v>
      </c>
      <c r="F12720" s="1" t="s">
        <v>17879</v>
      </c>
      <c r="G12720" s="1" t="s">
        <v>36</v>
      </c>
      <c r="H12720" s="1" t="s">
        <v>29</v>
      </c>
      <c r="I12720" s="1" t="str">
        <f ca="1">IFERROR(__xludf.DUMMYFUNCTION("GOOGLETRANSLATE(F12720, ""auto"", ""en"")
"),"The headphones are just great! I listen mainly to progressive dance music, the bass is simply stunning!   You won't regret it if you decide to buy!")</f>
        <v>The headphones are just great! I listen mainly to progressive dance music, the bass is simply stunning!   You won't regret it if you decide to buy!</v>
      </c>
    </row>
    <row r="12721" spans="1:9" x14ac:dyDescent="0.3">
      <c r="A12721" s="1" t="s">
        <v>361</v>
      </c>
      <c r="B12721" s="1" t="s">
        <v>2555</v>
      </c>
      <c r="C12721" s="1" t="s">
        <v>875</v>
      </c>
      <c r="D12721" s="1" t="s">
        <v>7408</v>
      </c>
      <c r="E12721" s="1" t="s">
        <v>3527</v>
      </c>
      <c r="F12721" s="1" t="s">
        <v>17880</v>
      </c>
      <c r="G12721" s="1" t="s">
        <v>36</v>
      </c>
      <c r="H12721" s="1" t="s">
        <v>29</v>
      </c>
      <c r="I12721" s="1" t="str">
        <f ca="1">IFERROR(__xludf.DUMMYFUNCTION("GOOGLETRANSLATE(F12721, ""auto"", ""en"")
"),"It holds up great, the mugs will come in handy too.")</f>
        <v>It holds up great, the mugs will come in handy too.</v>
      </c>
    </row>
    <row r="12722" spans="1:9" x14ac:dyDescent="0.3">
      <c r="A12722" s="1" t="s">
        <v>211</v>
      </c>
      <c r="B12722" s="1" t="s">
        <v>515</v>
      </c>
      <c r="C12722" s="1" t="s">
        <v>213</v>
      </c>
      <c r="D12722" s="1" t="s">
        <v>456</v>
      </c>
      <c r="E12722" s="1" t="s">
        <v>475</v>
      </c>
      <c r="F12722" s="1" t="s">
        <v>17881</v>
      </c>
      <c r="G12722" s="1" t="s">
        <v>36</v>
      </c>
      <c r="H12722" s="1" t="s">
        <v>29</v>
      </c>
      <c r="I12722" s="1" t="str">
        <f ca="1">IFERROR(__xludf.DUMMYFUNCTION("GOOGLETRANSLATE(F12722, ""auto"", ""en"")
"),"Easy to use, good epilation quality")</f>
        <v>Easy to use, good epilation quality</v>
      </c>
    </row>
    <row r="12723" spans="1:9" x14ac:dyDescent="0.3">
      <c r="A12723" s="1" t="s">
        <v>149</v>
      </c>
      <c r="B12723" s="1" t="s">
        <v>155</v>
      </c>
      <c r="C12723" s="1" t="s">
        <v>1187</v>
      </c>
      <c r="D12723" s="1" t="s">
        <v>474</v>
      </c>
      <c r="E12723" s="1" t="s">
        <v>1871</v>
      </c>
      <c r="F12723" s="1" t="s">
        <v>17882</v>
      </c>
      <c r="G12723" s="1" t="s">
        <v>36</v>
      </c>
      <c r="H12723" s="1" t="s">
        <v>29</v>
      </c>
      <c r="I12723" s="1" t="str">
        <f ca="1">IFERROR(__xludf.DUMMYFUNCTION("GOOGLETRANSLATE(F12723, ""auto"", ""en"")
"),"We have been using this vacuum cleaner for 2 years now. Very pleased. The selection criteria were: power and lack of dust bags. Everything was justified, it perfectly collects both fine dust (in comparison with the previous ones) until the very end, and h"&amp;"air, for example, which is sometimes quite difficult to remove from carpets. And cleaning it is a pleasure!!!! I poured it into the trash and rinsed the filter. I recommend this great vacuum cleaner to everyone!!!! Don't hesitate! You can't go wrong!")</f>
        <v>We have been using this vacuum cleaner for 2 years now. Very pleased. The selection criteria were: power and lack of dust bags. Everything was justified, it perfectly collects both fine dust (in comparison with the previous ones) until the very end, and hair, for example, which is sometimes quite difficult to remove from carpets. And cleaning it is a pleasure!!!! I poured it into the trash and rinsed the filter. I recommend this great vacuum cleaner to everyone!!!! Don't hesitate! You can't go wrong!</v>
      </c>
    </row>
    <row r="12724" spans="1:9" x14ac:dyDescent="0.3">
      <c r="A12724" s="1" t="s">
        <v>9</v>
      </c>
      <c r="B12724" s="1" t="s">
        <v>10</v>
      </c>
      <c r="C12724" s="1" t="s">
        <v>466</v>
      </c>
      <c r="D12724" s="1" t="s">
        <v>171</v>
      </c>
      <c r="E12724" s="1" t="s">
        <v>2533</v>
      </c>
      <c r="F12724" s="1" t="s">
        <v>17883</v>
      </c>
      <c r="G12724" s="1" t="s">
        <v>28</v>
      </c>
      <c r="H12724" s="1" t="s">
        <v>29</v>
      </c>
      <c r="I12724" s="1" t="str">
        <f ca="1">IFERROR(__xludf.DUMMYFUNCTION("GOOGLETRANSLATE(F12724, ""auto"", ""en"")
"),"The hood is not bad, I’ve been using it for about a year. Minus: noisy.")</f>
        <v>The hood is not bad, I’ve been using it for about a year. Minus: noisy.</v>
      </c>
    </row>
    <row r="12725" spans="1:9" x14ac:dyDescent="0.3">
      <c r="A12725" s="1" t="s">
        <v>120</v>
      </c>
      <c r="B12725" s="1" t="s">
        <v>121</v>
      </c>
      <c r="C12725" s="1" t="s">
        <v>80</v>
      </c>
      <c r="D12725" s="1" t="s">
        <v>295</v>
      </c>
      <c r="E12725" s="1" t="s">
        <v>1345</v>
      </c>
      <c r="F12725" s="1" t="s">
        <v>17884</v>
      </c>
      <c r="G12725" s="1" t="s">
        <v>36</v>
      </c>
      <c r="H12725" s="1" t="s">
        <v>29</v>
      </c>
      <c r="I12725" s="1" t="str">
        <f ca="1">IFERROR(__xludf.DUMMYFUNCTION("GOOGLETRANSLATE(F12725, ""auto"", ""en"")
"),"I followed the instructions of Vladimir from Novosibirsk, downloaded the firmware, formatted it, downloaded the folder and deleted one firmware. But when I inserted it into the TV, I waited for 10 seconds and there was nothing, I pressed the FAV button 7 "&amp;"times, nothing happened, I tried the same action again, the result was the same. Transcend 4GB flash drive.")</f>
        <v>I followed the instructions of Vladimir from Novosibirsk, downloaded the firmware, formatted it, downloaded the folder and deleted one firmware. But when I inserted it into the TV, I waited for 10 seconds and there was nothing, I pressed the FAV button 7 times, nothing happened, I tried the same action again, the result was the same. Transcend 4GB flash drive.</v>
      </c>
    </row>
    <row r="12726" spans="1:9" x14ac:dyDescent="0.3">
      <c r="A12726" s="1" t="s">
        <v>369</v>
      </c>
      <c r="B12726" s="1" t="s">
        <v>370</v>
      </c>
      <c r="C12726" s="1" t="s">
        <v>290</v>
      </c>
      <c r="D12726" s="1" t="s">
        <v>1894</v>
      </c>
      <c r="E12726" s="1" t="s">
        <v>5369</v>
      </c>
      <c r="F12726" s="1" t="s">
        <v>17885</v>
      </c>
      <c r="G12726" s="1" t="s">
        <v>36</v>
      </c>
      <c r="H12726" s="1" t="s">
        <v>29</v>
      </c>
      <c r="I12726" s="1" t="str">
        <f ca="1">IFERROR(__xludf.DUMMYFUNCTION("GOOGLETRANSLATE(F12726, ""auto"", ""en"")
"),"Golden Mistress")</f>
        <v>Golden Mistress</v>
      </c>
    </row>
    <row r="12727" spans="1:9" x14ac:dyDescent="0.3">
      <c r="A12727" s="1" t="s">
        <v>105</v>
      </c>
      <c r="B12727" s="1" t="s">
        <v>106</v>
      </c>
      <c r="C12727" s="1" t="s">
        <v>1209</v>
      </c>
      <c r="D12727" s="1" t="s">
        <v>445</v>
      </c>
      <c r="E12727" s="1" t="s">
        <v>225</v>
      </c>
      <c r="F12727" s="1" t="s">
        <v>17886</v>
      </c>
      <c r="G12727" s="1" t="s">
        <v>36</v>
      </c>
      <c r="H12727" s="1" t="s">
        <v>29</v>
      </c>
      <c r="I12727" s="1" t="str">
        <f ca="1">IFERROR(__xludf.DUMMYFUNCTION("GOOGLETRANSLATE(F12727, ""auto"", ""en"")
"),"I bought it yesterday and I love it. I liked it. The sound, as they say, does not hiss with my original ears, but I’m still going to replace them, because... the wires are thin.  I won’t say anything about the radio (there is no radio in the place where I"&amp;" live now).")</f>
        <v>I bought it yesterday and I love it. I liked it. The sound, as they say, does not hiss with my original ears, but I’m still going to replace them, because... the wires are thin.  I won’t say anything about the radio (there is no radio in the place where I live now).</v>
      </c>
    </row>
    <row r="12728" spans="1:9" x14ac:dyDescent="0.3">
      <c r="A12728" s="1" t="s">
        <v>30</v>
      </c>
      <c r="B12728" s="1" t="s">
        <v>31</v>
      </c>
      <c r="C12728" s="1" t="s">
        <v>32</v>
      </c>
      <c r="D12728" s="1" t="s">
        <v>308</v>
      </c>
      <c r="E12728" s="1" t="s">
        <v>2380</v>
      </c>
      <c r="F12728" s="1" t="s">
        <v>17887</v>
      </c>
      <c r="G12728" s="1" t="s">
        <v>36</v>
      </c>
      <c r="H12728" s="1" t="s">
        <v>29</v>
      </c>
      <c r="I12728" s="1" t="str">
        <f ca="1">IFERROR(__xludf.DUMMYFUNCTION("GOOGLETRANSLATE(F12728, ""auto"", ""en"")
"),"I really like it. works great without any brakes. very compact thing. The white mouse and keyboard included was a very pleasant surprise.")</f>
        <v>I really like it. works great without any brakes. very compact thing. The white mouse and keyboard included was a very pleasant surprise.</v>
      </c>
    </row>
    <row r="12729" spans="1:9" x14ac:dyDescent="0.3">
      <c r="A12729" s="1" t="s">
        <v>37</v>
      </c>
      <c r="B12729" s="1" t="s">
        <v>38</v>
      </c>
      <c r="C12729" s="1" t="s">
        <v>151</v>
      </c>
      <c r="D12729" s="1" t="s">
        <v>8321</v>
      </c>
      <c r="E12729" s="1" t="s">
        <v>2348</v>
      </c>
      <c r="F12729" s="1" t="s">
        <v>17888</v>
      </c>
      <c r="G12729" s="1" t="s">
        <v>36</v>
      </c>
      <c r="H12729" s="1" t="s">
        <v>29</v>
      </c>
      <c r="I12729" s="1" t="str">
        <f ca="1">IFERROR(__xludf.DUMMYFUNCTION("GOOGLETRANSLATE(F12729, ""auto"", ""en"")
"),"My husband bought me a phone, I was simply delighted, the design was super, I figured it out quickly, music, radio everything I needed was excellent for me. There is only one minus - these are headphones, you need others, otherwise they don’t stay in your"&amp;" ears.")</f>
        <v>My husband bought me a phone, I was simply delighted, the design was super, I figured it out quickly, music, radio everything I needed was excellent for me. There is only one minus - these are headphones, you need others, otherwise they don’t stay in your ears.</v>
      </c>
    </row>
    <row r="12730" spans="1:9" x14ac:dyDescent="0.3">
      <c r="A12730" s="1" t="s">
        <v>111</v>
      </c>
      <c r="B12730" s="1" t="s">
        <v>112</v>
      </c>
      <c r="C12730" s="1" t="s">
        <v>113</v>
      </c>
      <c r="D12730" s="1" t="s">
        <v>9386</v>
      </c>
      <c r="E12730" s="1" t="s">
        <v>1529</v>
      </c>
      <c r="F12730" s="1" t="s">
        <v>17889</v>
      </c>
      <c r="G12730" s="1" t="s">
        <v>28</v>
      </c>
      <c r="H12730" s="1" t="s">
        <v>29</v>
      </c>
      <c r="I12730" s="1" t="str">
        <f ca="1">IFERROR(__xludf.DUMMYFUNCTION("GOOGLETRANSLATE(F12730, ""auto"", ""en"")
"),"Please note that the filters on sale here are from 2009/release. Those. No master socket function, higher power consumption. Sometimes it glitches for me and turns off when the network is normal (the light blinks yellow, voltage is 218).")</f>
        <v>Please note that the filters on sale here are from 2009/release. Those. No master socket function, higher power consumption. Sometimes it glitches for me and turns off when the network is normal (the light blinks yellow, voltage is 218).</v>
      </c>
    </row>
    <row r="12731" spans="1:9" x14ac:dyDescent="0.3">
      <c r="A12731" s="1" t="s">
        <v>55</v>
      </c>
      <c r="B12731" s="1" t="s">
        <v>752</v>
      </c>
      <c r="C12731" s="1" t="s">
        <v>57</v>
      </c>
      <c r="D12731" s="1" t="s">
        <v>345</v>
      </c>
      <c r="E12731" s="1" t="s">
        <v>5947</v>
      </c>
      <c r="F12731" s="1" t="s">
        <v>17890</v>
      </c>
      <c r="G12731" s="1" t="s">
        <v>36</v>
      </c>
      <c r="H12731" s="1" t="s">
        <v>29</v>
      </c>
      <c r="I12731" s="1" t="str">
        <f ca="1">IFERROR(__xludf.DUMMYFUNCTION("GOOGLETRANSLATE(F12731, ""auto"", ""en"")
"),"Excellent heater, quickly warms up the room. Great price!")</f>
        <v>Excellent heater, quickly warms up the room. Great price!</v>
      </c>
    </row>
    <row r="12732" spans="1:9" x14ac:dyDescent="0.3">
      <c r="A12732" s="1" t="s">
        <v>61</v>
      </c>
      <c r="B12732" s="1" t="s">
        <v>977</v>
      </c>
      <c r="C12732" s="1" t="s">
        <v>85</v>
      </c>
      <c r="D12732" s="1" t="s">
        <v>75</v>
      </c>
      <c r="E12732" s="1" t="s">
        <v>932</v>
      </c>
      <c r="F12732" s="1" t="s">
        <v>17891</v>
      </c>
      <c r="G12732" s="1" t="s">
        <v>36</v>
      </c>
      <c r="H12732" s="1" t="s">
        <v>29</v>
      </c>
      <c r="I12732" s="1" t="str">
        <f ca="1">IFERROR(__xludf.DUMMYFUNCTION("GOOGLETRANSLATE(F12732, ""auto"", ""en"")
"),"It does everything 5+ that a blender should, it makes cocktails from frozen berries or ice especially well, there are no pieces of berries that usually had to be picked out, I was especially pleased with both the ice crushing and smoothie programs, as wel"&amp;"l as the 5 speeds, I tried making minced meat, it worked, before this device I only got pate with pieces of meat. I recommend it to those who like to surprise friends and please themselves.")</f>
        <v>It does everything 5+ that a blender should, it makes cocktails from frozen berries or ice especially well, there are no pieces of berries that usually had to be picked out, I was especially pleased with both the ice crushing and smoothie programs, as well as the 5 speeds, I tried making minced meat, it worked, before this device I only got pate with pieces of meat. I recommend it to those who like to surprise friends and please themselves.</v>
      </c>
    </row>
    <row r="12733" spans="1:9" x14ac:dyDescent="0.3">
      <c r="A12733" s="1" t="s">
        <v>17</v>
      </c>
      <c r="B12733" s="1" t="s">
        <v>18</v>
      </c>
      <c r="C12733" s="1" t="s">
        <v>80</v>
      </c>
      <c r="D12733" s="1" t="s">
        <v>471</v>
      </c>
      <c r="E12733" s="1" t="s">
        <v>222</v>
      </c>
      <c r="F12733" s="1" t="s">
        <v>17892</v>
      </c>
      <c r="G12733" s="1" t="s">
        <v>94</v>
      </c>
      <c r="H12733" s="1" t="s">
        <v>29</v>
      </c>
      <c r="I12733" s="1" t="str">
        <f ca="1">IFERROR(__xludf.DUMMYFUNCTION("GOOGLETRANSLATE(F12733, ""auto"", ""en"")
"),"narrow, silent, does not vibrate")</f>
        <v>narrow, silent, does not vibrate</v>
      </c>
    </row>
    <row r="12734" spans="1:9" x14ac:dyDescent="0.3">
      <c r="A12734" s="1" t="s">
        <v>211</v>
      </c>
      <c r="B12734" s="1" t="s">
        <v>212</v>
      </c>
      <c r="C12734" s="1" t="s">
        <v>381</v>
      </c>
      <c r="D12734" s="1" t="s">
        <v>658</v>
      </c>
      <c r="E12734" s="1" t="s">
        <v>375</v>
      </c>
      <c r="F12734" s="1" t="s">
        <v>17893</v>
      </c>
      <c r="G12734" s="1" t="s">
        <v>28</v>
      </c>
      <c r="H12734" s="1" t="s">
        <v>29</v>
      </c>
      <c r="I12734" s="1" t="str">
        <f ca="1">IFERROR(__xludf.DUMMYFUNCTION("GOOGLETRANSLATE(F12734, ""auto"", ""en"")
"),"I bought it 6 years ago, when I still had long hair, a very convenient thing! And if I got burned a couple of times, it was only due to my own negligence. I used all the attachments, everything was great, it gets very hot, but that’s what I needed, it was"&amp;" impossible to style my hair any other way. The only thing is that the hair straightening attachment is very bad, I couldn’t straighten it at all, I had to buy a straightener separately. That's why I give it 4.")</f>
        <v>I bought it 6 years ago, when I still had long hair, a very convenient thing! And if I got burned a couple of times, it was only due to my own negligence. I used all the attachments, everything was great, it gets very hot, but that’s what I needed, it was impossible to style my hair any other way. The only thing is that the hair straightening attachment is very bad, I couldn’t straighten it at all, I had to buy a straightener separately. That's why I give it 4.</v>
      </c>
    </row>
    <row r="12735" spans="1:9" x14ac:dyDescent="0.3">
      <c r="A12735" s="1" t="s">
        <v>37</v>
      </c>
      <c r="B12735" s="1" t="s">
        <v>38</v>
      </c>
      <c r="C12735" s="1" t="s">
        <v>69</v>
      </c>
      <c r="D12735" s="1" t="s">
        <v>1036</v>
      </c>
      <c r="E12735" s="1" t="s">
        <v>1267</v>
      </c>
      <c r="F12735" s="1" t="s">
        <v>17894</v>
      </c>
      <c r="G12735" s="1" t="s">
        <v>36</v>
      </c>
      <c r="H12735" s="1" t="s">
        <v>29</v>
      </c>
      <c r="I12735" s="1" t="str">
        <f ca="1">IFERROR(__xludf.DUMMYFUNCTION("GOOGLETRANSLATE(F12735, ""auto"", ""en"")
"),"I’ve been wanting to buy myself such a phone for a long time; a powerful battery is especially important to me, but we don’t have it in the nearest M. Video. Unfair =(")</f>
        <v>I’ve been wanting to buy myself such a phone for a long time; a powerful battery is especially important to me, but we don’t have it in the nearest M. Video. Unfair =(</v>
      </c>
    </row>
    <row r="12736" spans="1:9" x14ac:dyDescent="0.3">
      <c r="A12736" s="1" t="s">
        <v>105</v>
      </c>
      <c r="B12736" s="1" t="s">
        <v>106</v>
      </c>
      <c r="C12736" s="1" t="s">
        <v>107</v>
      </c>
      <c r="D12736" s="1" t="s">
        <v>186</v>
      </c>
      <c r="E12736" s="1" t="s">
        <v>730</v>
      </c>
      <c r="F12736" s="1" t="s">
        <v>17895</v>
      </c>
      <c r="G12736" s="1" t="s">
        <v>28</v>
      </c>
      <c r="H12736" s="1" t="s">
        <v>29</v>
      </c>
      <c r="I12736" s="1" t="str">
        <f ca="1">IFERROR(__xludf.DUMMYFUNCTION("GOOGLETRANSLATE(F12736, ""auto"", ""en"")
"),"I bought this player today, I immediately noticed the poor sensor response (you’ll have to buy a stylus), but overall it’s a four out of five.")</f>
        <v>I bought this player today, I immediately noticed the poor sensor response (you’ll have to buy a stylus), but overall it’s a four out of five.</v>
      </c>
    </row>
    <row r="12737" spans="1:9" x14ac:dyDescent="0.3">
      <c r="A12737" s="1" t="s">
        <v>37</v>
      </c>
      <c r="B12737" s="1" t="s">
        <v>355</v>
      </c>
      <c r="C12737" s="1" t="s">
        <v>356</v>
      </c>
      <c r="D12737" s="1" t="s">
        <v>17896</v>
      </c>
      <c r="E12737" s="1" t="s">
        <v>552</v>
      </c>
      <c r="F12737" s="1" t="s">
        <v>17897</v>
      </c>
      <c r="G12737" s="1" t="s">
        <v>15</v>
      </c>
      <c r="H12737" s="1" t="s">
        <v>16</v>
      </c>
      <c r="I12737" s="1" t="str">
        <f ca="1">IFERROR(__xludf.DUMMYFUNCTION("GOOGLETRANSLATE(F12737, ""auto"", ""en"")
"),"Stop admiring him already! It wasn't even close to the Nokia N97. I can’t say anything good about the Iphone 3G, because it simply doesn’t have it. A separate torment is transferring data from the PC to it, I don’t use a camera, but I will say that it tak"&amp;"es terrible photographs, there is no focus.   P.s. I can afford to change phones quite often. Before the iPhone I had the 8800 sapphire art, the phone was so-so... I decided to buy myself an iPhone, as soon as the N97 came out I immediately ran to buy it,"&amp;" finally found what I needed. And it’s convenient to receive mail, thanks to the full qwerty keyboard, and it’s convenient to talk, although sometimes it freezes")</f>
        <v>Stop admiring him already! It wasn't even close to the Nokia N97. I can’t say anything good about the Iphone 3G, because it simply doesn’t have it. A separate torment is transferring data from the PC to it, I don’t use a camera, but I will say that it takes terrible photographs, there is no focus.   P.s. I can afford to change phones quite often. Before the iPhone I had the 8800 sapphire art, the phone was so-so... I decided to buy myself an iPhone, as soon as the N97 came out I immediately ran to buy it, finally found what I needed. And it’s convenient to receive mail, thanks to the full qwerty keyboard, and it’s convenient to talk, although sometimes it freezes</v>
      </c>
    </row>
    <row r="12738" spans="1:9" x14ac:dyDescent="0.3">
      <c r="A12738" s="1" t="s">
        <v>61</v>
      </c>
      <c r="B12738" s="1" t="s">
        <v>318</v>
      </c>
      <c r="C12738" s="1" t="s">
        <v>74</v>
      </c>
      <c r="D12738" s="1" t="s">
        <v>247</v>
      </c>
      <c r="E12738" s="1" t="s">
        <v>1063</v>
      </c>
      <c r="F12738" s="1" t="s">
        <v>17898</v>
      </c>
      <c r="G12738" s="1" t="s">
        <v>36</v>
      </c>
      <c r="H12738" s="1" t="s">
        <v>29</v>
      </c>
      <c r="I12738" s="1" t="str">
        <f ca="1">IFERROR(__xludf.DUMMYFUNCTION("GOOGLETRANSLATE(F12738, ""auto"", ""en"")
"),"A wonderful kettle, boils quickly, durable, almost indestructible. I’m writing this almost because I had to replace it a year later; a child tore off the lid, and without it, you know, the steam burns. But I can assure you that we bought exactly the same "&amp;"one and for the second year now we have been pleased with it, and my mother-in-law has had this model working flawlessly for 3 years now. Overall I recommend it to everyone")</f>
        <v>A wonderful kettle, boils quickly, durable, almost indestructible. I’m writing this almost because I had to replace it a year later; a child tore off the lid, and without it, you know, the steam burns. But I can assure you that we bought exactly the same one and for the second year now we have been pleased with it, and my mother-in-law has had this model working flawlessly for 3 years now. Overall I recommend it to everyone</v>
      </c>
    </row>
    <row r="12739" spans="1:9" x14ac:dyDescent="0.3">
      <c r="A12739" s="1" t="s">
        <v>206</v>
      </c>
      <c r="B12739" s="1" t="s">
        <v>261</v>
      </c>
      <c r="C12739" s="1" t="s">
        <v>351</v>
      </c>
      <c r="D12739" s="1" t="s">
        <v>152</v>
      </c>
      <c r="E12739" s="1" t="s">
        <v>393</v>
      </c>
      <c r="F12739" s="1" t="s">
        <v>17899</v>
      </c>
      <c r="G12739" s="1" t="s">
        <v>36</v>
      </c>
      <c r="H12739" s="1" t="s">
        <v>29</v>
      </c>
      <c r="I12739" s="1" t="str">
        <f ca="1">IFERROR(__xludf.DUMMYFUNCTION("GOOGLETRANSLATE(F12739, ""auto"", ""en"")
"),"very good wires, thick wires, it is almost impossible to bend them, I put them in a Lada 7 and they last all the way to the trunk, the most important thing is the wires are 25mm, that is, the positive wire, it has a good cross-section, the negative one wi"&amp;"ll have a good weight, I recommend buying such a product")</f>
        <v>very good wires, thick wires, it is almost impossible to bend them, I put them in a Lada 7 and they last all the way to the trunk, the most important thing is the wires are 25mm, that is, the positive wire, it has a good cross-section, the negative one will have a good weight, I recommend buying such a product</v>
      </c>
    </row>
    <row r="12740" spans="1:9" x14ac:dyDescent="0.3">
      <c r="A12740" s="1" t="s">
        <v>477</v>
      </c>
      <c r="B12740" s="1" t="s">
        <v>478</v>
      </c>
      <c r="C12740" s="1" t="s">
        <v>479</v>
      </c>
      <c r="D12740" s="1" t="s">
        <v>5509</v>
      </c>
      <c r="E12740" s="1" t="s">
        <v>3664</v>
      </c>
      <c r="F12740" s="1" t="s">
        <v>17900</v>
      </c>
      <c r="G12740" s="1" t="s">
        <v>28</v>
      </c>
      <c r="H12740" s="1" t="s">
        <v>29</v>
      </c>
      <c r="I12740" s="1" t="str">
        <f ca="1">IFERROR(__xludf.DUMMYFUNCTION("GOOGLETRANSLATE(F12740, ""auto"", ""en"")
"),"Here you can ride in Martian sports cars, trucks and garbage trucks. You can pick up a sledgehammer and destroy all the buildings, the main thing is that they don’t collapse. At the same time, the plot of the game itself is not particularly interesting, i"&amp;"t just goes on and on in a straight line, like a steam locomotive. The Martian wastelands begin to become boring somewhere in the middle of the game, so you try not to explore the last 2 areas. and go purely through story missions. But watching a building"&amp;" collapse from a hammer or explosive blow is cool!")</f>
        <v>Here you can ride in Martian sports cars, trucks and garbage trucks. You can pick up a sledgehammer and destroy all the buildings, the main thing is that they don’t collapse. At the same time, the plot of the game itself is not particularly interesting, it just goes on and on in a straight line, like a steam locomotive. The Martian wastelands begin to become boring somewhere in the middle of the game, so you try not to explore the last 2 areas. and go purely through story missions. But watching a building collapse from a hammer or explosive blow is cool!</v>
      </c>
    </row>
    <row r="12741" spans="1:9" x14ac:dyDescent="0.3">
      <c r="A12741" s="1" t="s">
        <v>37</v>
      </c>
      <c r="B12741" s="1" t="s">
        <v>536</v>
      </c>
      <c r="C12741" s="1" t="s">
        <v>1419</v>
      </c>
      <c r="D12741" s="1" t="s">
        <v>4835</v>
      </c>
      <c r="E12741" s="1" t="s">
        <v>1207</v>
      </c>
      <c r="F12741" s="1" t="s">
        <v>17901</v>
      </c>
      <c r="G12741" s="1" t="s">
        <v>36</v>
      </c>
      <c r="H12741" s="1" t="s">
        <v>29</v>
      </c>
      <c r="I12741" s="1" t="str">
        <f ca="1">IFERROR(__xludf.DUMMYFUNCTION("GOOGLETRANSLATE(F12741, ""auto"", ""en"")
"),"A very good phone, those who want to take it, take it, you won’t regret it! Very fast, the battery is normal (I couldn’t discharge it for 2 days, you need to pump it up, completely discharge it and fully charge it, and don’t load it in the first days. Int"&amp;"ernet speed reached 40 kb/s))))")</f>
        <v>A very good phone, those who want to take it, take it, you won’t regret it! Very fast, the battery is normal (I couldn’t discharge it for 2 days, you need to pump it up, completely discharge it and fully charge it, and don’t load it in the first days. Internet speed reached 40 kb/s))))</v>
      </c>
    </row>
    <row r="12742" spans="1:9" x14ac:dyDescent="0.3">
      <c r="A12742" s="1" t="s">
        <v>211</v>
      </c>
      <c r="B12742" s="1" t="s">
        <v>384</v>
      </c>
      <c r="C12742" s="1" t="s">
        <v>351</v>
      </c>
      <c r="D12742" s="1" t="s">
        <v>152</v>
      </c>
      <c r="E12742" s="1" t="s">
        <v>4215</v>
      </c>
      <c r="F12742" s="1" t="s">
        <v>17902</v>
      </c>
      <c r="G12742" s="1" t="s">
        <v>15</v>
      </c>
      <c r="H12742" s="1" t="s">
        <v>16</v>
      </c>
      <c r="I12742" s="1" t="str">
        <f ca="1">IFERROR(__xludf.DUMMYFUNCTION("GOOGLETRANSLATE(F12742, ""auto"", ""en"")
"),"Error 15%! With a weight of 69 they show 80! If it doesn't matter to you, take it. Although if you know exactly your weight, they can be adjusted.")</f>
        <v>Error 15%! With a weight of 69 they show 80! If it doesn't matter to you, take it. Although if you know exactly your weight, they can be adjusted.</v>
      </c>
    </row>
    <row r="12743" spans="1:9" x14ac:dyDescent="0.3">
      <c r="A12743" s="1" t="s">
        <v>111</v>
      </c>
      <c r="B12743" s="1" t="s">
        <v>112</v>
      </c>
      <c r="C12743" s="1" t="s">
        <v>1230</v>
      </c>
      <c r="D12743" s="1" t="s">
        <v>17903</v>
      </c>
      <c r="E12743" s="1" t="s">
        <v>2226</v>
      </c>
      <c r="F12743" s="1" t="s">
        <v>17904</v>
      </c>
      <c r="G12743" s="1" t="s">
        <v>36</v>
      </c>
      <c r="H12743" s="1" t="s">
        <v>29</v>
      </c>
      <c r="I12743" s="1" t="str">
        <f ca="1">IFERROR(__xludf.DUMMYFUNCTION("GOOGLETRANSLATE(F12743, ""auto"", ""en"")
"),"I bought this filter 5 years ago and it has never let me down. There were jumps in bad weather and short circuits, during repairs it always worked perfectly. The price is a little steep, but thanks to it, the LED TV, humidifier, clock and chargers are sti"&amp;"ll working. Take it, you won’t regret it (if you value your equipment).")</f>
        <v>I bought this filter 5 years ago and it has never let me down. There were jumps in bad weather and short circuits, during repairs it always worked perfectly. The price is a little steep, but thanks to it, the LED TV, humidifier, clock and chargers are still working. Take it, you won’t regret it (if you value your equipment).</v>
      </c>
    </row>
    <row r="12744" spans="1:9" x14ac:dyDescent="0.3">
      <c r="A12744" s="1" t="s">
        <v>30</v>
      </c>
      <c r="B12744" s="1" t="s">
        <v>31</v>
      </c>
      <c r="C12744" s="1" t="s">
        <v>32</v>
      </c>
      <c r="D12744" s="1" t="s">
        <v>1605</v>
      </c>
      <c r="E12744" s="1" t="s">
        <v>1481</v>
      </c>
      <c r="F12744" s="1" t="s">
        <v>17905</v>
      </c>
      <c r="G12744" s="1" t="s">
        <v>36</v>
      </c>
      <c r="H12744" s="1" t="s">
        <v>29</v>
      </c>
      <c r="I12744" s="1" t="str">
        <f ca="1">IFERROR(__xludf.DUMMYFUNCTION("GOOGLETRANSLATE(F12744, ""auto"", ""en"")
"),"gmg78 (Almetyevsk), I installed it, the problem remains, it’s a hardware conflict... but what is it?")</f>
        <v>gmg78 (Almetyevsk), I installed it, the problem remains, it’s a hardware conflict... but what is it?</v>
      </c>
    </row>
    <row r="12745" spans="1:9" x14ac:dyDescent="0.3">
      <c r="A12745" s="1" t="s">
        <v>61</v>
      </c>
      <c r="B12745" s="1" t="s">
        <v>318</v>
      </c>
      <c r="C12745" s="1" t="s">
        <v>246</v>
      </c>
      <c r="D12745" s="1" t="s">
        <v>896</v>
      </c>
      <c r="E12745" s="1" t="s">
        <v>2614</v>
      </c>
      <c r="F12745" s="1" t="s">
        <v>17906</v>
      </c>
      <c r="G12745" s="1" t="s">
        <v>36</v>
      </c>
      <c r="H12745" s="1" t="s">
        <v>29</v>
      </c>
      <c r="I12745" s="1" t="str">
        <f ca="1">IFERROR(__xludf.DUMMYFUNCTION("GOOGLETRANSLATE(F12745, ""auto"", ""en"")
"),"Time-tested manufacturer. Plastic and all parts are of high quality.")</f>
        <v>Time-tested manufacturer. Plastic and all parts are of high quality.</v>
      </c>
    </row>
    <row r="12746" spans="1:9" x14ac:dyDescent="0.3">
      <c r="A12746" s="1" t="s">
        <v>61</v>
      </c>
      <c r="B12746" s="1" t="s">
        <v>318</v>
      </c>
      <c r="C12746" s="1" t="s">
        <v>85</v>
      </c>
      <c r="D12746" s="1" t="s">
        <v>922</v>
      </c>
      <c r="E12746" s="1" t="s">
        <v>4240</v>
      </c>
      <c r="F12746" s="1" t="s">
        <v>17907</v>
      </c>
      <c r="G12746" s="1" t="s">
        <v>49</v>
      </c>
      <c r="H12746" s="1" t="s">
        <v>16</v>
      </c>
      <c r="I12746" s="1" t="str">
        <f ca="1">IFERROR(__xludf.DUMMYFUNCTION("GOOGLETRANSLATE(F12746, ""auto"", ""en"")
"),"It’s pleasant to use, there’s no smell inside, unlike cheap kettles, I personally like the design.")</f>
        <v>It’s pleasant to use, there’s no smell inside, unlike cheap kettles, I personally like the design.</v>
      </c>
    </row>
    <row r="12747" spans="1:9" x14ac:dyDescent="0.3">
      <c r="A12747" s="1" t="s">
        <v>732</v>
      </c>
      <c r="B12747" s="1" t="s">
        <v>733</v>
      </c>
      <c r="C12747" s="1" t="s">
        <v>80</v>
      </c>
      <c r="D12747" s="1" t="s">
        <v>695</v>
      </c>
      <c r="E12747" s="1" t="s">
        <v>13796</v>
      </c>
      <c r="F12747" s="1" t="s">
        <v>17908</v>
      </c>
      <c r="G12747" s="1" t="s">
        <v>36</v>
      </c>
      <c r="H12747" s="1" t="s">
        <v>29</v>
      </c>
      <c r="I12747" s="1" t="str">
        <f ca="1">IFERROR(__xludf.DUMMYFUNCTION("GOOGLETRANSLATE(F12747, ""auto"", ""en"")
"),"The most normal monitor of all 22"" especially for such a ridiculous price!!! I got it yesterday and couldn’t be more pleased. Bright and clear! FULL HD super!")</f>
        <v>The most normal monitor of all 22" especially for such a ridiculous price!!! I got it yesterday and couldn’t be more pleased. Bright and clear! FULL HD super!</v>
      </c>
    </row>
    <row r="12748" spans="1:9" x14ac:dyDescent="0.3">
      <c r="A12748" s="1" t="s">
        <v>149</v>
      </c>
      <c r="B12748" s="1" t="s">
        <v>155</v>
      </c>
      <c r="C12748" s="1" t="s">
        <v>151</v>
      </c>
      <c r="D12748" s="1" t="s">
        <v>114</v>
      </c>
      <c r="E12748" s="1" t="s">
        <v>1164</v>
      </c>
      <c r="F12748" s="1" t="s">
        <v>17909</v>
      </c>
      <c r="G12748" s="1" t="s">
        <v>36</v>
      </c>
      <c r="H12748" s="1" t="s">
        <v>29</v>
      </c>
      <c r="I12748" s="1" t="str">
        <f ca="1">IFERROR(__xludf.DUMMYFUNCTION("GOOGLETRANSLATE(F12748, ""auto"", ""en"")
"),"I don’t know why the reviews are so bad, I personally give it a 5. The vacuum cleaner has been working for 4 years now. It works like a charm, without problems or complaints. I wanted to buy a new vacuum cleaner, then I thought about it. I bought new filt"&amp;"ers for it, took it apart, washed it, blew it out, now everything is drying.  The vacuum cleaner is quite powerful, especially when clean. Overall I'm happy with it.  Among the shortcomings, I think that it is not convenient with the container. more conve"&amp;"nient with bags. The bag was full - threw it out, inserted a new one. No need to shake out or wash containers. I also read the review above, saying that because of the static you have to wipe it with a rag is also not good, but maybe I’m just lazy. As for"&amp;" the bags and container, this is not a minus of this model, it’s a minus of such vacuum cleaners in general, but for some, the container is a plus.    Overall a good vacuum cleaner")</f>
        <v>I don’t know why the reviews are so bad, I personally give it a 5. The vacuum cleaner has been working for 4 years now. It works like a charm, without problems or complaints. I wanted to buy a new vacuum cleaner, then I thought about it. I bought new filters for it, took it apart, washed it, blew it out, now everything is drying.  The vacuum cleaner is quite powerful, especially when clean. Overall I'm happy with it.  Among the shortcomings, I think that it is not convenient with the container. more convenient with bags. The bag was full - threw it out, inserted a new one. No need to shake out or wash containers. I also read the review above, saying that because of the static you have to wipe it with a rag is also not good, but maybe I’m just lazy. As for the bags and container, this is not a minus of this model, it’s a minus of such vacuum cleaners in general, but for some, the container is a plus.    Overall a good vacuum cleaner</v>
      </c>
    </row>
    <row r="12749" spans="1:9" x14ac:dyDescent="0.3">
      <c r="A12749" s="1" t="s">
        <v>61</v>
      </c>
      <c r="B12749" s="1" t="s">
        <v>977</v>
      </c>
      <c r="C12749" s="1" t="s">
        <v>69</v>
      </c>
      <c r="D12749" s="1" t="s">
        <v>308</v>
      </c>
      <c r="E12749" s="1" t="s">
        <v>3676</v>
      </c>
      <c r="F12749" s="1" t="s">
        <v>17910</v>
      </c>
      <c r="G12749" s="1" t="s">
        <v>36</v>
      </c>
      <c r="H12749" s="1" t="s">
        <v>29</v>
      </c>
      <c r="I12749" s="1" t="str">
        <f ca="1">IFERROR(__xludf.DUMMYFUNCTION("GOOGLETRANSLATE(F12749, ""auto"", ""en"")
"),"I bought it last year and am very happy. It makes great purees for children and chops food. I'm happy!!!")</f>
        <v>I bought it last year and am very happy. It makes great purees for children and chops food. I'm happy!!!</v>
      </c>
    </row>
    <row r="12750" spans="1:9" x14ac:dyDescent="0.3">
      <c r="A12750" s="1" t="s">
        <v>67</v>
      </c>
      <c r="B12750" s="1" t="s">
        <v>68</v>
      </c>
      <c r="C12750" s="1" t="s">
        <v>1461</v>
      </c>
      <c r="D12750" s="1" t="s">
        <v>327</v>
      </c>
      <c r="E12750" s="1" t="s">
        <v>1129</v>
      </c>
      <c r="F12750" s="1" t="s">
        <v>17911</v>
      </c>
      <c r="G12750" s="1" t="s">
        <v>36</v>
      </c>
      <c r="H12750" s="1" t="s">
        <v>29</v>
      </c>
      <c r="I12750" s="1" t="str">
        <f ca="1">IFERROR(__xludf.DUMMYFUNCTION("GOOGLETRANSLATE(F12750, ""auto"", ""en"")
"),"An excellent iron for the money.   Irons/steams perfectly.  Due to the fact that I have a large number of shirts in my wardrobe, the steaming and steam boost functions are very useful. And these functions work properly in this iron.")</f>
        <v>An excellent iron for the money.   Irons/steams perfectly.  Due to the fact that I have a large number of shirts in my wardrobe, the steaming and steam boost functions are very useful. And these functions work properly in this iron.</v>
      </c>
    </row>
    <row r="12751" spans="1:9" x14ac:dyDescent="0.3">
      <c r="A12751" s="1" t="s">
        <v>211</v>
      </c>
      <c r="B12751" s="1" t="s">
        <v>212</v>
      </c>
      <c r="C12751" s="1" t="s">
        <v>294</v>
      </c>
      <c r="D12751" s="1" t="s">
        <v>75</v>
      </c>
      <c r="E12751" s="1" t="s">
        <v>3494</v>
      </c>
      <c r="F12751" s="1" t="s">
        <v>17912</v>
      </c>
      <c r="G12751" s="1" t="s">
        <v>36</v>
      </c>
      <c r="H12751" s="1" t="s">
        <v>29</v>
      </c>
      <c r="I12751" s="1" t="str">
        <f ca="1">IFERROR(__xludf.DUMMYFUNCTION("GOOGLETRANSLATE(F12751, ""auto"", ""en"")
"),"I bought this straightener for my sister as a gift. Straightens perfectly, hair shines. The box is beautiful! I also liked the set of brushes. But the eyelash curler doesn't work:((This was disappointing:(")</f>
        <v>I bought this straightener for my sister as a gift. Straightens perfectly, hair shines. The box is beautiful! I also liked the set of brushes. But the eyelash curler doesn't work:((This was disappointing:(</v>
      </c>
    </row>
    <row r="12752" spans="1:9" x14ac:dyDescent="0.3">
      <c r="A12752" s="1" t="s">
        <v>37</v>
      </c>
      <c r="B12752" s="1" t="s">
        <v>1829</v>
      </c>
      <c r="C12752" s="1" t="s">
        <v>151</v>
      </c>
      <c r="D12752" s="1" t="s">
        <v>1008</v>
      </c>
      <c r="E12752" s="1" t="s">
        <v>5112</v>
      </c>
      <c r="F12752" s="1" t="s">
        <v>17913</v>
      </c>
      <c r="G12752" s="1" t="s">
        <v>36</v>
      </c>
      <c r="H12752" s="1" t="s">
        <v>29</v>
      </c>
      <c r="I12752" s="1" t="str">
        <f ca="1">IFERROR(__xludf.DUMMYFUNCTION("GOOGLETRANSLATE(F12752, ""auto"", ""en"")
"),"This is the best thing on the smartphone market today (my personal opinion). At the moment I have not found any cons. The advantages are design, functionality, speed. The screen is top notch. Let's see how the battery holds up. But everything else is exce"&amp;"llent.")</f>
        <v>This is the best thing on the smartphone market today (my personal opinion). At the moment I have not found any cons. The advantages are design, functionality, speed. The screen is top notch. Let's see how the battery holds up. But everything else is excellent.</v>
      </c>
    </row>
    <row r="12753" spans="1:9" x14ac:dyDescent="0.3">
      <c r="A12753" s="1" t="s">
        <v>17</v>
      </c>
      <c r="B12753" s="1" t="s">
        <v>18</v>
      </c>
      <c r="C12753" s="1" t="s">
        <v>24</v>
      </c>
      <c r="D12753" s="1" t="s">
        <v>33</v>
      </c>
      <c r="E12753" s="1" t="s">
        <v>1362</v>
      </c>
      <c r="F12753" s="1" t="s">
        <v>17914</v>
      </c>
      <c r="G12753" s="1" t="s">
        <v>36</v>
      </c>
      <c r="H12753" s="1" t="s">
        <v>29</v>
      </c>
      <c r="I12753" s="1" t="str">
        <f ca="1">IFERROR(__xludf.DUMMYFUNCTION("GOOGLETRANSLATE(F12753, ""auto"", ""en"")
"),"It washes well and wrings out too. It’s really noisy")</f>
        <v>It washes well and wrings out too. It’s really noisy</v>
      </c>
    </row>
    <row r="12754" spans="1:9" x14ac:dyDescent="0.3">
      <c r="A12754" s="1" t="s">
        <v>30</v>
      </c>
      <c r="B12754" s="1" t="s">
        <v>31</v>
      </c>
      <c r="C12754" s="1" t="s">
        <v>32</v>
      </c>
      <c r="D12754" s="1" t="s">
        <v>280</v>
      </c>
      <c r="E12754" s="1" t="s">
        <v>1401</v>
      </c>
      <c r="F12754" s="1" t="s">
        <v>17915</v>
      </c>
      <c r="G12754" s="1" t="s">
        <v>36</v>
      </c>
      <c r="H12754" s="1" t="s">
        <v>29</v>
      </c>
      <c r="I12754" s="1" t="str">
        <f ca="1">IFERROR(__xludf.DUMMYFUNCTION("GOOGLETRANSLATE(F12754, ""auto"", ""en"")
"),"FullHD video without brakes on 42' LCD.  Sufficient characteristics to work normally in Photoshop, surf the net, and do other crap. NOT SUITABLE for games (except for very old ones). I knew what I was buying and I am 100% satisfied. For 12 grand I got a t"&amp;"orrent downloader, a full-HD media center and all this without Linux, but with Windows. IMHO very cool. And the girl is delighted. Now it is up and running 24/7. It hardly gets hot. There is almost no noise either")</f>
        <v>FullHD video without brakes on 42' LCD.  Sufficient characteristics to work normally in Photoshop, surf the net, and do other crap. NOT SUITABLE for games (except for very old ones). I knew what I was buying and I am 100% satisfied. For 12 grand I got a torrent downloader, a full-HD media center and all this without Linux, but with Windows. IMHO very cool. And the girl is delighted. Now it is up and running 24/7. It hardly gets hot. There is almost no noise either</v>
      </c>
    </row>
    <row r="12755" spans="1:9" x14ac:dyDescent="0.3">
      <c r="A12755" s="1" t="s">
        <v>95</v>
      </c>
      <c r="B12755" s="1" t="s">
        <v>958</v>
      </c>
      <c r="C12755" s="1" t="s">
        <v>403</v>
      </c>
      <c r="D12755" s="1" t="s">
        <v>152</v>
      </c>
      <c r="E12755" s="1" t="s">
        <v>883</v>
      </c>
      <c r="F12755" s="1" t="s">
        <v>17916</v>
      </c>
      <c r="G12755" s="1" t="s">
        <v>36</v>
      </c>
      <c r="H12755" s="1" t="s">
        <v>29</v>
      </c>
      <c r="I12755" s="1" t="str">
        <f ca="1">IFERROR(__xludf.DUMMYFUNCTION("GOOGLETRANSLATE(F12755, ""auto"", ""en"")
"),"The console is very cool, it’s boring to play alone, but if you have company, it becomes interesting to play, and if you buy additional accessories, such as a steering wheel, then the game becomes even more interesting, if you have the opportunity to buy "&amp;"it, you won’t regret it. One downside is that the graphics are not very good.")</f>
        <v>The console is very cool, it’s boring to play alone, but if you have company, it becomes interesting to play, and if you buy additional accessories, such as a steering wheel, then the game becomes even more interesting, if you have the opportunity to buy it, you won’t regret it. One downside is that the graphics are not very good.</v>
      </c>
    </row>
    <row r="12756" spans="1:9" x14ac:dyDescent="0.3">
      <c r="A12756" s="1" t="s">
        <v>149</v>
      </c>
      <c r="B12756" s="1" t="s">
        <v>155</v>
      </c>
      <c r="C12756" s="1" t="s">
        <v>24</v>
      </c>
      <c r="D12756" s="1" t="s">
        <v>17917</v>
      </c>
      <c r="E12756" s="1" t="s">
        <v>6638</v>
      </c>
      <c r="F12756" s="1" t="s">
        <v>17918</v>
      </c>
      <c r="G12756" s="1" t="s">
        <v>36</v>
      </c>
      <c r="H12756" s="1" t="s">
        <v>29</v>
      </c>
      <c r="I12756" s="1" t="str">
        <f ca="1">IFERROR(__xludf.DUMMYFUNCTION("GOOGLETRANSLATE(F12756, ""auto"", ""en"")
"),"What joy I have in my home! They gave me this wonderful, good suction unit! The cleanliness is perfect. I’m even thinking about leaving the fur on a long-haired cat that I wanted to cut until recently.")</f>
        <v>What joy I have in my home! They gave me this wonderful, good suction unit! The cleanliness is perfect. I’m even thinking about leaving the fur on a long-haired cat that I wanted to cut until recently.</v>
      </c>
    </row>
    <row r="12757" spans="1:9" x14ac:dyDescent="0.3">
      <c r="A12757" s="1" t="s">
        <v>61</v>
      </c>
      <c r="B12757" s="1" t="s">
        <v>318</v>
      </c>
      <c r="C12757" s="1" t="s">
        <v>101</v>
      </c>
      <c r="D12757" s="1" t="s">
        <v>658</v>
      </c>
      <c r="E12757" s="1" t="s">
        <v>10073</v>
      </c>
      <c r="F12757" s="1" t="s">
        <v>17919</v>
      </c>
      <c r="G12757" s="1" t="s">
        <v>49</v>
      </c>
      <c r="H12757" s="1" t="s">
        <v>16</v>
      </c>
      <c r="I12757" s="1" t="str">
        <f ca="1">IFERROR(__xludf.DUMMYFUNCTION("GOOGLETRANSLATE(F12757, ""auto"", ""en"")
"),"The first disadvantage of the model when heated is that the entire body heats up like an iron. We got burned more than once. Soon the lid began to stick. As a result, it fell off completely and the auto shutdown broke. In general, we are disappointed, we "&amp;"will not buy any more equipment from this company.")</f>
        <v>The first disadvantage of the model when heated is that the entire body heats up like an iron. We got burned more than once. Soon the lid began to stick. As a result, it fell off completely and the auto shutdown broke. In general, we are disappointed, we will not buy any more equipment from this company.</v>
      </c>
    </row>
    <row r="12758" spans="1:9" x14ac:dyDescent="0.3">
      <c r="A12758" s="1" t="s">
        <v>105</v>
      </c>
      <c r="B12758" s="1" t="s">
        <v>106</v>
      </c>
      <c r="C12758" s="1" t="s">
        <v>1921</v>
      </c>
      <c r="D12758" s="1" t="s">
        <v>52</v>
      </c>
      <c r="E12758" s="1" t="s">
        <v>2348</v>
      </c>
      <c r="F12758" s="1" t="s">
        <v>17920</v>
      </c>
      <c r="G12758" s="1" t="s">
        <v>36</v>
      </c>
      <c r="H12758" s="1" t="s">
        <v>29</v>
      </c>
      <c r="I12758" s="1" t="str">
        <f ca="1">IFERROR(__xludf.DUMMYFUNCTION("GOOGLETRANSLATE(F12758, ""auto"", ""en"")
"),"The player is excellent! The charge lasts a very long time, there is a lot of music, the player reads tags, you can select an individual artist\album\folder to play. Standard headphones are of average quality, enough for the first week of use, but it’s st"&amp;"ill better to change them. The player controls are very convenient, you quickly get used to it. The player itself is very light and looks great! It's a pity that there is no button lock, but otherwise the player is excellent! And besides, this is the chea"&amp;"pest 8 GB MP3 player in M-video! The player is made of very high quality, there are no glitches in the firmware!")</f>
        <v>The player is excellent! The charge lasts a very long time, there is a lot of music, the player reads tags, you can select an individual artist\album\folder to play. Standard headphones are of average quality, enough for the first week of use, but it’s still better to change them. The player controls are very convenient, you quickly get used to it. The player itself is very light and looks great! It's a pity that there is no button lock, but otherwise the player is excellent! And besides, this is the cheapest 8 GB MP3 player in M-video! The player is made of very high quality, there are no glitches in the firmware!</v>
      </c>
    </row>
    <row r="12759" spans="1:9" x14ac:dyDescent="0.3">
      <c r="A12759" s="1" t="s">
        <v>149</v>
      </c>
      <c r="B12759" s="1" t="s">
        <v>150</v>
      </c>
      <c r="C12759" s="1" t="s">
        <v>57</v>
      </c>
      <c r="D12759" s="1" t="s">
        <v>335</v>
      </c>
      <c r="E12759" s="1" t="s">
        <v>4386</v>
      </c>
      <c r="F12759" s="1" t="s">
        <v>1693</v>
      </c>
      <c r="G12759" s="1" t="s">
        <v>49</v>
      </c>
      <c r="H12759" s="1" t="s">
        <v>16</v>
      </c>
      <c r="I12759" s="1" t="str">
        <f ca="1">IFERROR(__xludf.DUMMYFUNCTION("GOOGLETRANSLATE(F12759, ""auto"", ""en"")
"),"Price")</f>
        <v>Price</v>
      </c>
    </row>
    <row r="12760" spans="1:9" x14ac:dyDescent="0.3">
      <c r="A12760" s="1" t="s">
        <v>211</v>
      </c>
      <c r="B12760" s="1" t="s">
        <v>212</v>
      </c>
      <c r="C12760" s="1" t="s">
        <v>381</v>
      </c>
      <c r="D12760" s="1" t="s">
        <v>17921</v>
      </c>
      <c r="E12760" s="1" t="s">
        <v>1875</v>
      </c>
      <c r="F12760" s="1" t="s">
        <v>17922</v>
      </c>
      <c r="G12760" s="1" t="s">
        <v>36</v>
      </c>
      <c r="H12760" s="1" t="s">
        <v>29</v>
      </c>
      <c r="I12760" s="1" t="str">
        <f ca="1">IFERROR(__xludf.DUMMYFUNCTION("GOOGLETRANSLATE(F12760, ""auto"", ""en"")
"),"I agree that the buttons are not very conveniently located; sometimes you accidentally switch them. But overall, an excellent hairdryer - lightweight, beautiful in appearance!")</f>
        <v>I agree that the buttons are not very conveniently located; sometimes you accidentally switch them. But overall, an excellent hairdryer - lightweight, beautiful in appearance!</v>
      </c>
    </row>
    <row r="12761" spans="1:9" x14ac:dyDescent="0.3">
      <c r="A12761" s="1" t="s">
        <v>206</v>
      </c>
      <c r="B12761" s="1" t="s">
        <v>207</v>
      </c>
      <c r="C12761" s="1" t="s">
        <v>262</v>
      </c>
      <c r="D12761" s="1" t="s">
        <v>102</v>
      </c>
      <c r="E12761" s="1" t="s">
        <v>2495</v>
      </c>
      <c r="F12761" s="1" t="s">
        <v>17923</v>
      </c>
      <c r="G12761" s="1" t="s">
        <v>36</v>
      </c>
      <c r="H12761" s="1" t="s">
        <v>29</v>
      </c>
      <c r="I12761" s="1" t="str">
        <f ca="1">IFERROR(__xludf.DUMMYFUNCTION("GOOGLETRANSLATE(F12761, ""auto"", ""en"")
"),"I liked this sub...for the money. I installed the KICX 2.60 amplifier, no words... it sounds great)))")</f>
        <v>I liked this sub...for the money. I installed the KICX 2.60 amplifier, no words... it sounds great)))</v>
      </c>
    </row>
    <row r="12762" spans="1:9" x14ac:dyDescent="0.3">
      <c r="A12762" s="1" t="s">
        <v>211</v>
      </c>
      <c r="B12762" s="1" t="s">
        <v>212</v>
      </c>
      <c r="C12762" s="1" t="s">
        <v>57</v>
      </c>
      <c r="D12762" s="1" t="s">
        <v>46</v>
      </c>
      <c r="E12762" s="1" t="s">
        <v>17924</v>
      </c>
      <c r="F12762" s="1" t="s">
        <v>17925</v>
      </c>
      <c r="G12762" s="1" t="s">
        <v>36</v>
      </c>
      <c r="H12762" s="1" t="s">
        <v>29</v>
      </c>
      <c r="I12762" s="1" t="str">
        <f ca="1">IFERROR(__xludf.DUMMYFUNCTION("GOOGLETRANSLATE(F12762, ""auto"", ""en"")
"),"They heat up quickly, the cord is 2 meters, a pretty good length. The curl holds well throughout the day.  Consumes little. Low cost.")</f>
        <v>They heat up quickly, the cord is 2 meters, a pretty good length. The curl holds well throughout the day.  Consumes little. Low cost.</v>
      </c>
    </row>
    <row r="12763" spans="1:9" x14ac:dyDescent="0.3">
      <c r="A12763" s="1" t="s">
        <v>67</v>
      </c>
      <c r="B12763" s="1" t="s">
        <v>68</v>
      </c>
      <c r="C12763" s="1" t="s">
        <v>381</v>
      </c>
      <c r="D12763" s="1" t="s">
        <v>1506</v>
      </c>
      <c r="E12763" s="1" t="s">
        <v>926</v>
      </c>
      <c r="F12763" s="1" t="s">
        <v>17926</v>
      </c>
      <c r="G12763" s="1" t="s">
        <v>15</v>
      </c>
      <c r="H12763" s="1" t="s">
        <v>16</v>
      </c>
      <c r="I12763" s="1" t="str">
        <f ca="1">IFERROR(__xludf.DUMMYFUNCTION("GOOGLETRANSLATE(F12763, ""auto"", ""en"")
"),"I bought the iron in the spring. I liked it so much, I ironed it 3 times and the steam stopped, the water in the handle did not leave, but I liked it so much. I don’t know what to do, it’s not convenient to spray it separately with a spray bottle and iron"&amp;" it. And it can’t be repaired; it’s soldered plastic ((")</f>
        <v>I bought the iron in the spring. I liked it so much, I ironed it 3 times and the steam stopped, the water in the handle did not leave, but I liked it so much. I don’t know what to do, it’s not convenient to spray it separately with a spray bottle and iron it. And it can’t be repaired; it’s soldered plastic ((</v>
      </c>
    </row>
    <row r="12764" spans="1:9" x14ac:dyDescent="0.3">
      <c r="A12764" s="1" t="s">
        <v>169</v>
      </c>
      <c r="B12764" s="1" t="s">
        <v>170</v>
      </c>
      <c r="C12764" s="1" t="s">
        <v>97</v>
      </c>
      <c r="D12764" s="1" t="s">
        <v>152</v>
      </c>
      <c r="E12764" s="1" t="s">
        <v>2684</v>
      </c>
      <c r="F12764" s="1" t="s">
        <v>17927</v>
      </c>
      <c r="G12764" s="1" t="s">
        <v>36</v>
      </c>
      <c r="H12764" s="1" t="s">
        <v>29</v>
      </c>
      <c r="I12764" s="1" t="str">
        <f ca="1">IFERROR(__xludf.DUMMYFUNCTION("GOOGLETRANSLATE(F12764, ""auto"", ""en"")
"),"I bought them recently, excellent ears in my opinion, comfortable sound, good bass, class... and most importantly for me, the sound insulation is cool!")</f>
        <v>I bought them recently, excellent ears in my opinion, comfortable sound, good bass, class... and most importantly for me, the sound insulation is cool!</v>
      </c>
    </row>
    <row r="12765" spans="1:9" x14ac:dyDescent="0.3">
      <c r="A12765" s="1" t="s">
        <v>105</v>
      </c>
      <c r="B12765" s="1" t="s">
        <v>106</v>
      </c>
      <c r="C12765" s="1" t="s">
        <v>1921</v>
      </c>
      <c r="D12765" s="1" t="s">
        <v>7384</v>
      </c>
      <c r="E12765" s="1" t="s">
        <v>4739</v>
      </c>
      <c r="F12765" s="1" t="s">
        <v>17928</v>
      </c>
      <c r="G12765" s="1" t="s">
        <v>36</v>
      </c>
      <c r="H12765" s="1" t="s">
        <v>29</v>
      </c>
      <c r="I12765" s="1" t="str">
        <f ca="1">IFERROR(__xludf.DUMMYFUNCTION("GOOGLETRANSLATE(F12765, ""auto"", ""en"")
"),"I bought the player for 2790. For such a price the player is simply garbage! It works great, well, it froze a couple of times - I pressed the buttons too quickly - I tested it, and there was a RESET button and everything was fine! Sounds great! The organi"&amp;"zer is wonderful! The video reproduces a clear image and high-quality sound without any problems, although to view it you need to convert the video to avi format. For this you need an AVI converter. Better AVIConverter 5.1.6 can be downloaded on the inter"&amp;"net.   There are games, but you just have to get used to the controls. The radio picks up pretty well, you can record music from the radio and you also have a voice recorder - the sound recording is clear.  The battery lasts well. The video is enough for "&amp;"3 hours. And you can also listen to music!   I bought it for my father for his birthday, and my wife liked it so much that she gave it to her for the New Year (I bought it on December 27, 2009). You can also write text files there, but I haven’t tried it."&amp;" I can’t even say any downsides, there simply aren’t any. One is minor - when you lock the buttons the screen does not go dark, i.e. The battery drains faster and the viewing angle of the screen is from 80 to 100 degrees, if visibility is poor. The player"&amp;" is wonderful and my wife is happy, and I’m happy!!!))) P.S: I gave my father another one, I found out that he wanted one with built-in speakers. MP3 Flash player 8 GB Sony NWZ-S544 (8Gb) Black. Very good player although the price is high. I liked him too"&amp;".")</f>
        <v>I bought the player for 2790. For such a price the player is simply garbage! It works great, well, it froze a couple of times - I pressed the buttons too quickly - I tested it, and there was a RESET button and everything was fine! Sounds great! The organizer is wonderful! The video reproduces a clear image and high-quality sound without any problems, although to view it you need to convert the video to avi format. For this you need an AVI converter. Better AVIConverter 5.1.6 can be downloaded on the internet.   There are games, but you just have to get used to the controls. The radio picks up pretty well, you can record music from the radio and you also have a voice recorder - the sound recording is clear.  The battery lasts well. The video is enough for 3 hours. And you can also listen to music!   I bought it for my father for his birthday, and my wife liked it so much that she gave it to her for the New Year (I bought it on December 27, 2009). You can also write text files there, but I haven’t tried it. I can’t even say any downsides, there simply aren’t any. One is minor - when you lock the buttons the screen does not go dark, i.e. The battery drains faster and the viewing angle of the screen is from 80 to 100 degrees, if visibility is poor. The player is wonderful and my wife is happy, and I’m happy!!!))) P.S: I gave my father another one, I found out that he wanted one with built-in speakers. MP3 Flash player 8 GB Sony NWZ-S544 (8Gb) Black. Very good player although the price is high. I liked him too.</v>
      </c>
    </row>
    <row r="12766" spans="1:9" x14ac:dyDescent="0.3">
      <c r="A12766" s="1" t="s">
        <v>30</v>
      </c>
      <c r="B12766" s="1" t="s">
        <v>50</v>
      </c>
      <c r="C12766" s="1" t="s">
        <v>32</v>
      </c>
      <c r="D12766" s="1" t="s">
        <v>4937</v>
      </c>
      <c r="E12766" s="1" t="s">
        <v>3782</v>
      </c>
      <c r="F12766" s="1" t="s">
        <v>17929</v>
      </c>
      <c r="G12766" s="1" t="s">
        <v>36</v>
      </c>
      <c r="H12766" s="1" t="s">
        <v>29</v>
      </c>
      <c r="I12766" s="1" t="str">
        <f ca="1">IFERROR(__xludf.DUMMYFUNCTION("GOOGLETRANSLATE(F12766, ""auto"", ""en"")
"),"for the price it’s a very good laptop, as soon as I saw it, I immediately went for it, I’m delighted with it, it’s true that the screen could be made larger than 14 inches, well, for example, there are 15-16, I’d give it a 5, I’d put it at 10 if it was po"&amp;"ssible")</f>
        <v>for the price it’s a very good laptop, as soon as I saw it, I immediately went for it, I’m delighted with it, it’s true that the screen could be made larger than 14 inches, well, for example, there are 15-16, I’d give it a 5, I’d put it at 10 if it was possible</v>
      </c>
    </row>
    <row r="12767" spans="1:9" x14ac:dyDescent="0.3">
      <c r="A12767" s="1" t="s">
        <v>120</v>
      </c>
      <c r="B12767" s="1" t="s">
        <v>121</v>
      </c>
      <c r="C12767" s="1" t="s">
        <v>122</v>
      </c>
      <c r="D12767" s="1" t="s">
        <v>1416</v>
      </c>
      <c r="E12767" s="1" t="s">
        <v>1225</v>
      </c>
      <c r="F12767" s="1" t="s">
        <v>17930</v>
      </c>
      <c r="G12767" s="1" t="s">
        <v>15</v>
      </c>
      <c r="H12767" s="1" t="s">
        <v>16</v>
      </c>
      <c r="I12767" s="1" t="str">
        <f ca="1">IFERROR(__xludf.DUMMYFUNCTION("GOOGLETRANSLATE(F12767, ""auto"", ""en"")
"),"This TV does not have a Digital TV tuner, i.e. in a couple of years it will turn into furniture, because television will be digital, so enjoy for now)))))))))) so apparently the price tag is like this")</f>
        <v>This TV does not have a Digital TV tuner, i.e. in a couple of years it will turn into furniture, because television will be digital, so enjoy for now)))))))))) so apparently the price tag is like this</v>
      </c>
    </row>
    <row r="12768" spans="1:9" x14ac:dyDescent="0.3">
      <c r="A12768" s="1" t="s">
        <v>61</v>
      </c>
      <c r="B12768" s="1" t="s">
        <v>145</v>
      </c>
      <c r="C12768" s="1" t="s">
        <v>146</v>
      </c>
      <c r="D12768" s="1" t="s">
        <v>17931</v>
      </c>
      <c r="E12768" s="1" t="s">
        <v>7190</v>
      </c>
      <c r="F12768" s="1" t="s">
        <v>17932</v>
      </c>
      <c r="G12768" s="1" t="s">
        <v>36</v>
      </c>
      <c r="H12768" s="1" t="s">
        <v>29</v>
      </c>
      <c r="I12768" s="1" t="str">
        <f ca="1">IFERROR(__xludf.DUMMYFUNCTION("GOOGLETRANSLATE(F12768, ""auto"", ""en"")
"),"I was recently given this opener - a great thing to quickly open canned food without getting dirty! The lid cuts smoothly, it then does not fall into the contents of the jar, and the jar itself is attached securely, in general, everything takes a couple o"&amp;"f minutes! And it’s difficult to cut fingers with it, I always managed to get hurt with a hand knife, but neither I nor my husband were ever hurt)) By the way, opening bottles is also no less convenient. The only thing is that the rubber foot caps at the "&amp;"bottom of the case do not seem very stable to me; if you pull the jar hard, the opener moves immediately, you need to watch. But overall, I’m glad we got it, it really helps out in the kitchen!")</f>
        <v>I was recently given this opener - a great thing to quickly open canned food without getting dirty! The lid cuts smoothly, it then does not fall into the contents of the jar, and the jar itself is attached securely, in general, everything takes a couple of minutes! And it’s difficult to cut fingers with it, I always managed to get hurt with a hand knife, but neither I nor my husband were ever hurt)) By the way, opening bottles is also no less convenient. The only thing is that the rubber foot caps at the bottom of the case do not seem very stable to me; if you pull the jar hard, the opener moves immediately, you need to watch. But overall, I’m glad we got it, it really helps out in the kitchen!</v>
      </c>
    </row>
    <row r="12769" spans="1:9" x14ac:dyDescent="0.3">
      <c r="A12769" s="1" t="s">
        <v>211</v>
      </c>
      <c r="B12769" s="1" t="s">
        <v>856</v>
      </c>
      <c r="C12769" s="1" t="s">
        <v>101</v>
      </c>
      <c r="D12769" s="1" t="s">
        <v>39</v>
      </c>
      <c r="E12769" s="1" t="s">
        <v>4335</v>
      </c>
      <c r="F12769" s="1" t="s">
        <v>17933</v>
      </c>
      <c r="G12769" s="1" t="s">
        <v>36</v>
      </c>
      <c r="H12769" s="1" t="s">
        <v>29</v>
      </c>
      <c r="I12769" s="1" t="str">
        <f ca="1">IFERROR(__xludf.DUMMYFUNCTION("GOOGLETRANSLATE(F12769, ""auto"", ""en"")
"),"Today I bought it as a gift for my mother. I came home, checked it and was delighted! For about 10-15 minutes I felt very relaxed. I hope for mother’s pleasant emotions and the longevity of the bath)")</f>
        <v>Today I bought it as a gift for my mother. I came home, checked it and was delighted! For about 10-15 minutes I felt very relaxed. I hope for mother’s pleasant emotions and the longevity of the bath)</v>
      </c>
    </row>
    <row r="12770" spans="1:9" x14ac:dyDescent="0.3">
      <c r="A12770" s="1" t="s">
        <v>120</v>
      </c>
      <c r="B12770" s="1" t="s">
        <v>1205</v>
      </c>
      <c r="C12770" s="1" t="s">
        <v>1430</v>
      </c>
      <c r="D12770" s="1" t="s">
        <v>2145</v>
      </c>
      <c r="E12770" s="1" t="s">
        <v>1742</v>
      </c>
      <c r="F12770" s="1" t="s">
        <v>17934</v>
      </c>
      <c r="G12770" s="1" t="s">
        <v>36</v>
      </c>
      <c r="H12770" s="1" t="s">
        <v>29</v>
      </c>
      <c r="I12770" s="1" t="str">
        <f ca="1">IFERROR(__xludf.DUMMYFUNCTION("GOOGLETRANSLATE(F12770, ""auto"", ""en"")
"),"The television is really of excellent quality. Whoever buys it will not only be happy. I have been using NTV+ for a long time and it cannot be compared with tricolor and other satellites, but you have to pay for quality, but what in this world is for noth"&amp;"ing. We are purchasing the second HD set and recommend it to everyone. It’s just a different look at the world of television.")</f>
        <v>The television is really of excellent quality. Whoever buys it will not only be happy. I have been using NTV+ for a long time and it cannot be compared with tricolor and other satellites, but you have to pay for quality, but what in this world is for nothing. We are purchasing the second HD set and recommend it to everyone. It’s just a different look at the world of television.</v>
      </c>
    </row>
    <row r="12771" spans="1:9" x14ac:dyDescent="0.3">
      <c r="A12771" s="1" t="s">
        <v>211</v>
      </c>
      <c r="B12771" s="1" t="s">
        <v>212</v>
      </c>
      <c r="C12771" s="1" t="s">
        <v>294</v>
      </c>
      <c r="D12771" s="1" t="s">
        <v>934</v>
      </c>
      <c r="E12771" s="1" t="s">
        <v>5119</v>
      </c>
      <c r="F12771" s="1" t="s">
        <v>17935</v>
      </c>
      <c r="G12771" s="1" t="s">
        <v>36</v>
      </c>
      <c r="H12771" s="1" t="s">
        <v>29</v>
      </c>
      <c r="I12771" s="1" t="str">
        <f ca="1">IFERROR(__xludf.DUMMYFUNCTION("GOOGLETRANSLATE(F12771, ""auto"", ""en"")
"),"I’ve been using the curling iron for a month now, and in dry weather my curls last for three days, that’s a record! My unruly hair has never held curls this long.  It is very convenient to use and does not take much time to install.  I recommend it, it's "&amp;"a necessary item.")</f>
        <v>I’ve been using the curling iron for a month now, and in dry weather my curls last for three days, that’s a record! My unruly hair has never held curls this long.  It is very convenient to use and does not take much time to install.  I recommend it, it's a necessary item.</v>
      </c>
    </row>
    <row r="12772" spans="1:9" x14ac:dyDescent="0.3">
      <c r="A12772" s="1" t="s">
        <v>451</v>
      </c>
      <c r="B12772" s="1" t="s">
        <v>452</v>
      </c>
      <c r="C12772" s="1" t="s">
        <v>453</v>
      </c>
      <c r="D12772" s="1" t="s">
        <v>474</v>
      </c>
      <c r="E12772" s="1" t="s">
        <v>3159</v>
      </c>
      <c r="F12772" s="1" t="s">
        <v>17936</v>
      </c>
      <c r="G12772" s="1" t="s">
        <v>36</v>
      </c>
      <c r="H12772" s="1" t="s">
        <v>29</v>
      </c>
      <c r="I12772" s="1" t="str">
        <f ca="1">IFERROR(__xludf.DUMMYFUNCTION("GOOGLETRANSLATE(F12772, ""auto"", ""en"")
"),"An amazing thing, a must have in every home. Lazy girl! I restored a child's school uniform and a husband's sweater carefully and quickly. How did I manage without her before? :)")</f>
        <v>An amazing thing, a must have in every home. Lazy girl! I restored a child's school uniform and a husband's sweater carefully and quickly. How did I manage without her before? :)</v>
      </c>
    </row>
    <row r="12773" spans="1:9" x14ac:dyDescent="0.3">
      <c r="A12773" s="1" t="s">
        <v>17</v>
      </c>
      <c r="B12773" s="1" t="s">
        <v>18</v>
      </c>
      <c r="C12773" s="1" t="s">
        <v>290</v>
      </c>
      <c r="D12773" s="1" t="s">
        <v>1329</v>
      </c>
      <c r="E12773" s="1" t="s">
        <v>26</v>
      </c>
      <c r="F12773" s="1" t="s">
        <v>17937</v>
      </c>
      <c r="G12773" s="1" t="s">
        <v>15</v>
      </c>
      <c r="H12773" s="1" t="s">
        <v>16</v>
      </c>
      <c r="I12773" s="1" t="str">
        <f ca="1">IFERROR(__xludf.DUMMYFUNCTION("GOOGLETRANSLATE(F12773, ""auto"", ""en"")
"),"The machine is normal, only for some reason the washing time constantly changes itself during the spin cycle, as soon as it reaches 8, it shows 9 again and again and again the same thing. then halfway through the wash it shows f3, which means there is no "&amp;"water, although there is water. I’m trying to set another program to 60 degrees and again the same, only if I set the normal one to 40, everything is fine, although the machine is only a week old, I don’t know what to do, I have to call the store and let "&amp;"them sort it out.")</f>
        <v>The machine is normal, only for some reason the washing time constantly changes itself during the spin cycle, as soon as it reaches 8, it shows 9 again and again and again the same thing. then halfway through the wash it shows f3, which means there is no water, although there is water. I’m trying to set another program to 60 degrees and again the same, only if I set the normal one to 40, everything is fine, although the machine is only a week old, I don’t know what to do, I have to call the store and let them sort it out.</v>
      </c>
    </row>
    <row r="12774" spans="1:9" x14ac:dyDescent="0.3">
      <c r="A12774" s="1" t="s">
        <v>30</v>
      </c>
      <c r="B12774" s="1" t="s">
        <v>50</v>
      </c>
      <c r="C12774" s="1" t="s">
        <v>32</v>
      </c>
      <c r="D12774" s="1" t="s">
        <v>152</v>
      </c>
      <c r="E12774" s="1" t="s">
        <v>631</v>
      </c>
      <c r="F12774" s="1" t="s">
        <v>17938</v>
      </c>
      <c r="G12774" s="1" t="s">
        <v>36</v>
      </c>
      <c r="H12774" s="1" t="s">
        <v>29</v>
      </c>
      <c r="I12774" s="1" t="str">
        <f ca="1">IFERROR(__xludf.DUMMYFUNCTION("GOOGLETRANSLATE(F12774, ""auto"", ""en"")
"),"5 months ago I bought a laptop and tested it on GTA4 - Need for speed-undercover - GRID and much more in general Ned for speed ran at maximum settings and anti-aliasing 6 = the game behaves quickly without ""brakes"" And GTA4 slowed down a little on this "&amp;"issue - install 8 gigs of RAM (RAM) And after that the GTA ran great without brakes and at medium and high settings!! only I paid 7,000 rubles for RAM and installed Windows Vista because everything runs on it.  I recommend that anyone who wants to play co"&amp;"ol games put 8 gigs (ram) and everything will go well!! Only it costs a lot - 7000 rubles plus windows vista 5500 rubles Total - 12500 rubles&gt; but it's worth it!!!!  I recommend it to gamers!!!")</f>
        <v>5 months ago I bought a laptop and tested it on GTA4 - Need for speed-undercover - GRID and much more in general Ned for speed ran at maximum settings and anti-aliasing 6 = the game behaves quickly without "brakes" And GTA4 slowed down a little on this issue - install 8 gigs of RAM (RAM) And after that the GTA ran great without brakes and at medium and high settings!! only I paid 7,000 rubles for RAM and installed Windows Vista because everything runs on it.  I recommend that anyone who wants to play cool games put 8 gigs (ram) and everything will go well!! Only it costs a lot - 7000 rubles plus windows vista 5500 rubles Total - 12500 rubles&gt; but it's worth it!!!!  I recommend it to gamers!!!</v>
      </c>
    </row>
    <row r="12775" spans="1:9" x14ac:dyDescent="0.3">
      <c r="A12775" s="1" t="s">
        <v>55</v>
      </c>
      <c r="B12775" s="1" t="s">
        <v>56</v>
      </c>
      <c r="C12775" s="1" t="s">
        <v>3651</v>
      </c>
      <c r="D12775" s="1" t="s">
        <v>335</v>
      </c>
      <c r="E12775" s="1" t="s">
        <v>6012</v>
      </c>
      <c r="F12775" s="1" t="s">
        <v>17939</v>
      </c>
      <c r="G12775" s="1" t="s">
        <v>36</v>
      </c>
      <c r="H12775" s="1" t="s">
        <v>29</v>
      </c>
      <c r="I12775" s="1" t="str">
        <f ca="1">IFERROR(__xludf.DUMMYFUNCTION("GOOGLETRANSLATE(F12775, ""auto"", ""en"")
"),"The humidifier is really excellent and is not harmful like an ultrasonic one, which interferes with the development of the lungs in children and adults. We used it in a room with a baby and an allergic dad. Helped me stop taking anti-allergy pills. Now th"&amp;"e problem of buying a filter has also arisen, and many stores told me that “there were no filters in Moscow and there are none.” This is not entirely true. If you go to the Boneco company website, you will find the addresses of two stores in Moscow. When "&amp;"we contacted the first one, we found these filters. LLC ""RusClimat"" Moscow, st. Narvskaya, 21. But from M-video’s point of view, it is not entirely correct not to have spare filters for sale for the equipment they sell and to mislead buyers by saying th"&amp;"at “they are not on sale yet, but they will be.”")</f>
        <v>The humidifier is really excellent and is not harmful like an ultrasonic one, which interferes with the development of the lungs in children and adults. We used it in a room with a baby and an allergic dad. Helped me stop taking anti-allergy pills. Now the problem of buying a filter has also arisen, and many stores told me that “there were no filters in Moscow and there are none.” This is not entirely true. If you go to the Boneco company website, you will find the addresses of two stores in Moscow. When we contacted the first one, we found these filters. LLC "RusClimat" Moscow, st. Narvskaya, 21. But from M-video’s point of view, it is not entirely correct not to have spare filters for sale for the equipment they sell and to mislead buyers by saying that “they are not on sale yet, but they will be.”</v>
      </c>
    </row>
    <row r="12776" spans="1:9" x14ac:dyDescent="0.3">
      <c r="A12776" s="1" t="s">
        <v>89</v>
      </c>
      <c r="B12776" s="1" t="s">
        <v>90</v>
      </c>
      <c r="C12776" s="1" t="s">
        <v>185</v>
      </c>
      <c r="D12776" s="1" t="s">
        <v>1008</v>
      </c>
      <c r="E12776" s="1" t="s">
        <v>17408</v>
      </c>
      <c r="F12776" s="1" t="s">
        <v>17940</v>
      </c>
      <c r="G12776" s="1" t="s">
        <v>36</v>
      </c>
      <c r="H12776" s="1" t="s">
        <v>29</v>
      </c>
      <c r="I12776" s="1" t="str">
        <f ca="1">IFERROR(__xludf.DUMMYFUNCTION("GOOGLETRANSLATE(F12776, ""auto"", ""en"")
"),"Coffee grinder is great. Ceramic millstones. Cool, stylish look. Convenient adjustment of the number of cups and grind size. Automatically stops grinding. Convenient to use. The container is easy to clean. You can store ground coffee in a container withou"&amp;"t harming the coffee. In short, super, I recommend it.")</f>
        <v>Coffee grinder is great. Ceramic millstones. Cool, stylish look. Convenient adjustment of the number of cups and grind size. Automatically stops grinding. Convenient to use. The container is easy to clean. You can store ground coffee in a container without harming the coffee. In short, super, I recommend it.</v>
      </c>
    </row>
    <row r="12777" spans="1:9" x14ac:dyDescent="0.3">
      <c r="A12777" s="1" t="s">
        <v>30</v>
      </c>
      <c r="B12777" s="1" t="s">
        <v>50</v>
      </c>
      <c r="C12777" s="1" t="s">
        <v>51</v>
      </c>
      <c r="D12777" s="1" t="s">
        <v>345</v>
      </c>
      <c r="E12777" s="1" t="s">
        <v>498</v>
      </c>
      <c r="F12777" s="1" t="s">
        <v>17941</v>
      </c>
      <c r="G12777" s="1" t="s">
        <v>36</v>
      </c>
      <c r="H12777" s="1" t="s">
        <v>29</v>
      </c>
      <c r="I12777" s="1" t="str">
        <f ca="1">IFERROR(__xludf.DUMMYFUNCTION("GOOGLETRANSLATE(F12777, ""auto"", ""en"")
"),"I bought it a week ago, everything is fine...really, for this price it’s better not to find...only one problem is that it doesn’t connect to the Internet at all, neither via wi-fi nor via wired...it finds access points and connects only to the grid, witho"&amp;"ut access to the Internet...maybe the firewood is not the same...(who knows the reason, please tell me!?")</f>
        <v>I bought it a week ago, everything is fine...really, for this price it’s better not to find...only one problem is that it doesn’t connect to the Internet at all, neither via wi-fi nor via wired...it finds access points and connects only to the grid, without access to the Internet...maybe the firewood is not the same...(who knows the reason, please tell me!?</v>
      </c>
    </row>
    <row r="12778" spans="1:9" x14ac:dyDescent="0.3">
      <c r="A12778" s="1" t="s">
        <v>37</v>
      </c>
      <c r="B12778" s="1" t="s">
        <v>38</v>
      </c>
      <c r="C12778" s="1" t="s">
        <v>163</v>
      </c>
      <c r="D12778" s="1" t="s">
        <v>653</v>
      </c>
      <c r="E12778" s="1" t="s">
        <v>5517</v>
      </c>
      <c r="F12778" s="1" t="s">
        <v>17942</v>
      </c>
      <c r="G12778" s="1" t="s">
        <v>36</v>
      </c>
      <c r="H12778" s="1" t="s">
        <v>29</v>
      </c>
      <c r="I12778" s="1" t="str">
        <f ca="1">IFERROR(__xludf.DUMMYFUNCTION("GOOGLETRANSLATE(F12778, ""auto"", ""en"")
"),"very practical and high quality, easy to use, good sound, many functions, display brightness is excellent. In general, not a phone, but a godsend!!!!")</f>
        <v>very practical and high quality, easy to use, good sound, many functions, display brightness is excellent. In general, not a phone, but a godsend!!!!</v>
      </c>
    </row>
    <row r="12779" spans="1:9" x14ac:dyDescent="0.3">
      <c r="A12779" s="1" t="s">
        <v>211</v>
      </c>
      <c r="B12779" s="1" t="s">
        <v>212</v>
      </c>
      <c r="C12779" s="1" t="s">
        <v>381</v>
      </c>
      <c r="D12779" s="1" t="s">
        <v>12</v>
      </c>
      <c r="E12779" s="1" t="s">
        <v>5011</v>
      </c>
      <c r="F12779" s="1" t="s">
        <v>17943</v>
      </c>
      <c r="G12779" s="1" t="s">
        <v>28</v>
      </c>
      <c r="H12779" s="1" t="s">
        <v>29</v>
      </c>
      <c r="I12779" s="1" t="str">
        <f ca="1">IFERROR(__xludf.DUMMYFUNCTION("GOOGLETRANSLATE(F12779, ""auto"", ""en"")
"),"The hairdryer is generally okay: it straightens really well. I also have the very first model, it’s been around for many years, but only now has it started to overheat.")</f>
        <v>The hairdryer is generally okay: it straightens really well. I also have the very first model, it’s been around for many years, but only now has it started to overheat.</v>
      </c>
    </row>
    <row r="12780" spans="1:9" x14ac:dyDescent="0.3">
      <c r="A12780" s="1" t="s">
        <v>369</v>
      </c>
      <c r="B12780" s="1" t="s">
        <v>2480</v>
      </c>
      <c r="C12780" s="1" t="s">
        <v>453</v>
      </c>
      <c r="D12780" s="1" t="s">
        <v>3937</v>
      </c>
      <c r="E12780" s="1" t="s">
        <v>9313</v>
      </c>
      <c r="F12780" s="1" t="s">
        <v>17944</v>
      </c>
      <c r="G12780" s="1" t="s">
        <v>49</v>
      </c>
      <c r="H12780" s="1" t="s">
        <v>16</v>
      </c>
      <c r="I12780" s="1" t="str">
        <f ca="1">IFERROR(__xludf.DUMMYFUNCTION("GOOGLETRANSLATE(F12780, ""auto"", ""en"")
"),"We purchased it for daily use: at first the numbers around the knobs (heat controls) were erased, you turn it at random and don’t know whether it’s turned off or not.... it doesn’t fit two dishes on the stove at once... and when a pan fell from it almost "&amp;"on my child’s foot (due to the fact that the manufacturers made rubber feet, and what’s more, they fly out of the socket....) Do not buy it under any circumstances! I recommend removing this model from sale altogether.")</f>
        <v>We purchased it for daily use: at first the numbers around the knobs (heat controls) were erased, you turn it at random and don’t know whether it’s turned off or not.... it doesn’t fit two dishes on the stove at once... and when a pan fell from it almost on my child’s foot (due to the fact that the manufacturers made rubber feet, and what’s more, they fly out of the socket....) Do not buy it under any circumstances! I recommend removing this model from sale altogether.</v>
      </c>
    </row>
    <row r="12781" spans="1:9" x14ac:dyDescent="0.3">
      <c r="A12781" s="1" t="s">
        <v>95</v>
      </c>
      <c r="B12781" s="1" t="s">
        <v>648</v>
      </c>
      <c r="C12781" s="1" t="s">
        <v>97</v>
      </c>
      <c r="D12781" s="1" t="s">
        <v>17945</v>
      </c>
      <c r="E12781" s="1" t="s">
        <v>285</v>
      </c>
      <c r="F12781" s="1" t="s">
        <v>17946</v>
      </c>
      <c r="G12781" s="1" t="s">
        <v>36</v>
      </c>
      <c r="H12781" s="1" t="s">
        <v>29</v>
      </c>
      <c r="I12781" s="1" t="str">
        <f ca="1">IFERROR(__xludf.DUMMYFUNCTION("GOOGLETRANSLATE(F12781, ""auto"", ""en"")
"),"I bought a super console ;-)))))")</f>
        <v>I bought a super console ;-)))))</v>
      </c>
    </row>
    <row r="12782" spans="1:9" x14ac:dyDescent="0.3">
      <c r="A12782" s="1" t="s">
        <v>120</v>
      </c>
      <c r="B12782" s="1" t="s">
        <v>121</v>
      </c>
      <c r="C12782" s="1" t="s">
        <v>80</v>
      </c>
      <c r="D12782" s="1" t="s">
        <v>17947</v>
      </c>
      <c r="E12782" s="1" t="s">
        <v>3637</v>
      </c>
      <c r="F12782" s="1" t="s">
        <v>17948</v>
      </c>
      <c r="G12782" s="1" t="s">
        <v>36</v>
      </c>
      <c r="H12782" s="1" t="s">
        <v>29</v>
      </c>
      <c r="I12782" s="1" t="str">
        <f ca="1">IFERROR(__xludf.DUMMYFUNCTION("GOOGLETRANSLATE(F12782, ""auto"", ""en"")
"),"Great TV!!! I didn’t regret taking it at all!")</f>
        <v>Great TV!!! I didn’t regret taking it at all!</v>
      </c>
    </row>
    <row r="12783" spans="1:9" x14ac:dyDescent="0.3">
      <c r="A12783" s="1" t="s">
        <v>61</v>
      </c>
      <c r="B12783" s="1" t="s">
        <v>73</v>
      </c>
      <c r="C12783" s="1" t="s">
        <v>63</v>
      </c>
      <c r="D12783" s="1" t="s">
        <v>1917</v>
      </c>
      <c r="E12783" s="1" t="s">
        <v>17949</v>
      </c>
      <c r="F12783" s="1" t="s">
        <v>17950</v>
      </c>
      <c r="G12783" s="1" t="s">
        <v>28</v>
      </c>
      <c r="H12783" s="1" t="s">
        <v>29</v>
      </c>
      <c r="I12783" s="1" t="str">
        <f ca="1">IFERROR(__xludf.DUMMYFUNCTION("GOOGLETRANSLATE(F12783, ""auto"", ""en"")
"),"I bought this model of meat grinder a year ago. Over the past few years I have used it several times. The meat grinder is good. Among the minuses, I will only note that the meat grinder knife and the minced meat grid are made of metal that is subject to c"&amp;"orrosion; the instructions say that after washing these parts they must be lubricated with vegetable oil. Yes, in this case there really are no traces of rust, but after several weeks the vegetable oil begins to emit a bitter odor (I use odorless oil), to"&amp;" remove it it is very difficult to wash off the remaining oil from the parts even using special detergents. Therefore, I personally prefer to dry these parts on the battery. And the model is very functional.")</f>
        <v>I bought this model of meat grinder a year ago. Over the past few years I have used it several times. The meat grinder is good. Among the minuses, I will only note that the meat grinder knife and the minced meat grid are made of metal that is subject to corrosion; the instructions say that after washing these parts they must be lubricated with vegetable oil. Yes, in this case there really are no traces of rust, but after several weeks the vegetable oil begins to emit a bitter odor (I use odorless oil), to remove it it is very difficult to wash off the remaining oil from the parts even using special detergents. Therefore, I personally prefer to dry these parts on the battery. And the model is very functional.</v>
      </c>
    </row>
    <row r="12784" spans="1:9" x14ac:dyDescent="0.3">
      <c r="A12784" s="1" t="s">
        <v>105</v>
      </c>
      <c r="B12784" s="1" t="s">
        <v>106</v>
      </c>
      <c r="C12784" s="1" t="s">
        <v>107</v>
      </c>
      <c r="D12784" s="1" t="s">
        <v>17951</v>
      </c>
      <c r="E12784" s="1" t="s">
        <v>917</v>
      </c>
      <c r="F12784" s="1" t="s">
        <v>17952</v>
      </c>
      <c r="G12784" s="1" t="s">
        <v>49</v>
      </c>
      <c r="H12784" s="1" t="s">
        <v>16</v>
      </c>
      <c r="I12784" s="1" t="str">
        <f ca="1">IFERROR(__xludf.DUMMYFUNCTION("GOOGLETRANSLATE(F12784, ""auto"", ""en"")
"),"It looks beautiful, cheap and even touch sensitive. It’s convenient to transfer music, without prog and any nonsense. But there are many more disadvantages: it’s not a very sensitive sensor, but you quickly get used to it. The sound is disgusting, very dr"&amp;"y and you can’t feel the bass at all. Poor assembly. It's easy to squeeze a memory card between the slot and the case. They barely got her out of there. The screen is loose. The touch screen is terrible. Flipping through the albums one item at a time is a"&amp;" piece of jewelry. Peeling off the film helped, but not much. ""Stylus"" from RF 9700. Eliminated some problems. When discharged, time flies. The translation is terrible. ""With restoration."" Timer shutdown does not work.")</f>
        <v>It looks beautiful, cheap and even touch sensitive. It’s convenient to transfer music, without prog and any nonsense. But there are many more disadvantages: it’s not a very sensitive sensor, but you quickly get used to it. The sound is disgusting, very dry and you can’t feel the bass at all. Poor assembly. It's easy to squeeze a memory card between the slot and the case. They barely got her out of there. The screen is loose. The touch screen is terrible. Flipping through the albums one item at a time is a piece of jewelry. Peeling off the film helped, but not much. "Stylus" from RF 9700. Eliminated some problems. When discharged, time flies. The translation is terrible. "With restoration." Timer shutdown does not work.</v>
      </c>
    </row>
    <row r="12785" spans="1:9" x14ac:dyDescent="0.3">
      <c r="A12785" s="1" t="s">
        <v>120</v>
      </c>
      <c r="B12785" s="1" t="s">
        <v>121</v>
      </c>
      <c r="C12785" s="1" t="s">
        <v>97</v>
      </c>
      <c r="D12785" s="1" t="s">
        <v>385</v>
      </c>
      <c r="E12785" s="1" t="s">
        <v>2298</v>
      </c>
      <c r="F12785" s="1" t="s">
        <v>17953</v>
      </c>
      <c r="G12785" s="1" t="s">
        <v>49</v>
      </c>
      <c r="H12785" s="1" t="s">
        <v>16</v>
      </c>
      <c r="I12785" s="1" t="str">
        <f ca="1">IFERROR(__xludf.DUMMYFUNCTION("GOOGLETRANSLATE(F12785, ""auto"", ""en"")
"),"We bought a 32"" LCD TV Sony KLV-32 BX301, it worked for exactly 1 day and broke down! In all the time we have been buying TVs, starting with black and white Tempos, we have never had anything like this before! So we can judge only by the beauty of the ca"&amp;"se - it sits in the room, decorates it. The sales consultant convinced us that SONY is the standard of quality, but how can we now trust the manufacturers?")</f>
        <v>We bought a 32" LCD TV Sony KLV-32 BX301, it worked for exactly 1 day and broke down! In all the time we have been buying TVs, starting with black and white Tempos, we have never had anything like this before! So we can judge only by the beauty of the case - it sits in the room, decorates it. The sales consultant convinced us that SONY is the standard of quality, but how can we now trust the manufacturers?</v>
      </c>
    </row>
    <row r="12786" spans="1:9" x14ac:dyDescent="0.3">
      <c r="A12786" s="1" t="s">
        <v>55</v>
      </c>
      <c r="B12786" s="1" t="s">
        <v>184</v>
      </c>
      <c r="C12786" s="1" t="s">
        <v>101</v>
      </c>
      <c r="D12786" s="1" t="s">
        <v>64</v>
      </c>
      <c r="E12786" s="1" t="s">
        <v>7967</v>
      </c>
      <c r="F12786" s="1" t="s">
        <v>17954</v>
      </c>
      <c r="G12786" s="1" t="s">
        <v>28</v>
      </c>
      <c r="H12786" s="1" t="s">
        <v>29</v>
      </c>
      <c r="I12786" s="1" t="str">
        <f ca="1">IFERROR(__xludf.DUMMYFUNCTION("GOOGLETRANSLATE(F12786, ""auto"", ""en"")
"),"We took it to warm up a very cold apartment. For the first 10 minutes, yes, there was a smell of plastic, but then it disappeared. It does not heat up with lightning speed, but the effect is there - a fact!!! It's warm ))) Price - quality = warm) And you "&amp;"don't need more)")</f>
        <v>We took it to warm up a very cold apartment. For the first 10 minutes, yes, there was a smell of plastic, but then it disappeared. It does not heat up with lightning speed, but the effect is there - a fact!!! It's warm ))) Price - quality = warm) And you don't need more)</v>
      </c>
    </row>
    <row r="12787" spans="1:9" x14ac:dyDescent="0.3">
      <c r="A12787" s="1" t="s">
        <v>624</v>
      </c>
      <c r="B12787" s="1" t="s">
        <v>625</v>
      </c>
      <c r="C12787" s="1" t="s">
        <v>479</v>
      </c>
      <c r="D12787" s="1" t="s">
        <v>152</v>
      </c>
      <c r="E12787" s="1" t="s">
        <v>1639</v>
      </c>
      <c r="F12787" s="1" t="s">
        <v>17955</v>
      </c>
      <c r="G12787" s="1" t="s">
        <v>36</v>
      </c>
      <c r="H12787" s="1" t="s">
        <v>29</v>
      </c>
      <c r="I12787" s="1" t="str">
        <f ca="1">IFERROR(__xludf.DUMMYFUNCTION("GOOGLETRANSLATE(F12787, ""auto"", ""en"")
"),"Overall a great game!!!!!!")</f>
        <v>Overall a great game!!!!!!</v>
      </c>
    </row>
    <row r="12788" spans="1:9" x14ac:dyDescent="0.3">
      <c r="A12788" s="1" t="s">
        <v>9</v>
      </c>
      <c r="B12788" s="1" t="s">
        <v>23</v>
      </c>
      <c r="C12788" s="1" t="s">
        <v>466</v>
      </c>
      <c r="D12788" s="1" t="s">
        <v>17956</v>
      </c>
      <c r="E12788" s="1" t="s">
        <v>6215</v>
      </c>
      <c r="F12788" s="1" t="s">
        <v>17957</v>
      </c>
      <c r="G12788" s="1" t="s">
        <v>15</v>
      </c>
      <c r="H12788" s="1" t="s">
        <v>16</v>
      </c>
      <c r="I12788" s="1" t="str">
        <f ca="1">IFERROR(__xludf.DUMMYFUNCTION("GOOGLETRANSLATE(F12788, ""auto"", ""en"")
"),"7 years ago I decided to please myself. From the very beginning, the machine washed through one plate (the plate is dirty, the plate is clean). Then it started giving some errors E1..E4.. I washed it very poorly even after soaking! Now the sprinkler has b"&amp;"roken, which turned out to be plastic (in normal cases, iron).")</f>
        <v>7 years ago I decided to please myself. From the very beginning, the machine washed through one plate (the plate is dirty, the plate is clean). Then it started giving some errors E1..E4.. I washed it very poorly even after soaking! Now the sprinkler has broken, which turned out to be plastic (in normal cases, iron).</v>
      </c>
    </row>
    <row r="12789" spans="1:9" x14ac:dyDescent="0.3">
      <c r="A12789" s="1" t="s">
        <v>30</v>
      </c>
      <c r="B12789" s="1" t="s">
        <v>50</v>
      </c>
      <c r="C12789" s="1" t="s">
        <v>32</v>
      </c>
      <c r="D12789" s="1" t="s">
        <v>114</v>
      </c>
      <c r="E12789" s="1" t="s">
        <v>367</v>
      </c>
      <c r="F12789" s="1" t="s">
        <v>17958</v>
      </c>
      <c r="G12789" s="1" t="s">
        <v>36</v>
      </c>
      <c r="H12789" s="1" t="s">
        <v>29</v>
      </c>
      <c r="I12789" s="1" t="str">
        <f ca="1">IFERROR(__xludf.DUMMYFUNCTION("GOOGLETRANSLATE(F12789, ""auto"", ""en"")
"),"If you want Bluetooth and Wi-Max, buy additionally, it’s better to read when purchasing! Supports, but does not have!  There is a module, not Bluetooth!  These are different things!")</f>
        <v>If you want Bluetooth and Wi-Max, buy additionally, it’s better to read when purchasing! Supports, but does not have!  There is a module, not Bluetooth!  These are different things!</v>
      </c>
    </row>
    <row r="12790" spans="1:9" x14ac:dyDescent="0.3">
      <c r="A12790" s="1" t="s">
        <v>43</v>
      </c>
      <c r="B12790" s="1" t="s">
        <v>1370</v>
      </c>
      <c r="C12790" s="1" t="s">
        <v>2137</v>
      </c>
      <c r="D12790" s="1" t="s">
        <v>589</v>
      </c>
      <c r="E12790" s="1" t="s">
        <v>7961</v>
      </c>
      <c r="F12790" s="1" t="s">
        <v>17959</v>
      </c>
      <c r="G12790" s="1" t="s">
        <v>28</v>
      </c>
      <c r="H12790" s="1" t="s">
        <v>29</v>
      </c>
      <c r="I12790" s="1" t="str">
        <f ca="1">IFERROR(__xludf.DUMMYFUNCTION("GOOGLETRANSLATE(F12790, ""auto"", ""en"")
"),"August 10..Siberia...+10 outside the window..and here comes the planned two-week shutdown of hot water. I had enough nerves to buy teapots and basins for 3 days, then searched on the Internet and.... this miracle of technology is in my home. The connectio"&amp;"n is intuitive, the instructions are written in accessible language. To avoid making holes in the wall, we attached a plastic clamp to the hood. Everywhere it is written about grounding, I don’t have such an outlet in the bathroom, I bought an additional "&amp;"adapter with grounding. We connected it...the indicator lamp did not turn on, increased the pressure, and it worked. The water is 40 degrees, we adjusted the pressure and here it is, hot water. I didn’t regret paying 2000.")</f>
        <v>August 10..Siberia...+10 outside the window..and here comes the planned two-week shutdown of hot water. I had enough nerves to buy teapots and basins for 3 days, then searched on the Internet and.... this miracle of technology is in my home. The connection is intuitive, the instructions are written in accessible language. To avoid making holes in the wall, we attached a plastic clamp to the hood. Everywhere it is written about grounding, I don’t have such an outlet in the bathroom, I bought an additional adapter with grounding. We connected it...the indicator lamp did not turn on, increased the pressure, and it worked. The water is 40 degrees, we adjusted the pressure and here it is, hot water. I didn’t regret paying 2000.</v>
      </c>
    </row>
    <row r="12791" spans="1:9" x14ac:dyDescent="0.3">
      <c r="A12791" s="1" t="s">
        <v>61</v>
      </c>
      <c r="B12791" s="1" t="s">
        <v>62</v>
      </c>
      <c r="C12791" s="1" t="s">
        <v>63</v>
      </c>
      <c r="D12791" s="1" t="s">
        <v>589</v>
      </c>
      <c r="E12791" s="1" t="s">
        <v>9418</v>
      </c>
      <c r="F12791" s="1" t="s">
        <v>17960</v>
      </c>
      <c r="G12791" s="1" t="s">
        <v>28</v>
      </c>
      <c r="H12791" s="1" t="s">
        <v>29</v>
      </c>
      <c r="I12791" s="1" t="str">
        <f ca="1">IFERROR(__xludf.DUMMYFUNCTION("GOOGLETRANSLATE(F12791, ""auto"", ""en"")
"),"I’ve been using it since June 2012. I read about a meat grinder here, I have the same problem - the coupling broke. This is a very good thing, I really like it.")</f>
        <v>I’ve been using it since June 2012. I read about a meat grinder here, I have the same problem - the coupling broke. This is a very good thing, I really like it.</v>
      </c>
    </row>
    <row r="12792" spans="1:9" x14ac:dyDescent="0.3">
      <c r="A12792" s="1" t="s">
        <v>149</v>
      </c>
      <c r="B12792" s="1" t="s">
        <v>150</v>
      </c>
      <c r="C12792" s="1" t="s">
        <v>57</v>
      </c>
      <c r="D12792" s="1" t="s">
        <v>152</v>
      </c>
      <c r="E12792" s="1" t="s">
        <v>2186</v>
      </c>
      <c r="F12792" s="1" t="s">
        <v>17961</v>
      </c>
      <c r="G12792" s="1" t="s">
        <v>49</v>
      </c>
      <c r="H12792" s="1" t="s">
        <v>16</v>
      </c>
      <c r="I12792" s="1" t="str">
        <f ca="1">IFERROR(__xludf.DUMMYFUNCTION("GOOGLETRANSLATE(F12792, ""auto"", ""en"")
"),"I bought it, it makes a lot of noise, there is zero traction, washing it every time is very inconvenient, for example, you spilled sugar, you need to vacuum it a little and then you have to wash it, because... the water then begins to bloom and stink, aft"&amp;"er half a year he began to reset it to the minimum power, repaired it, a month later it was repaired again, it lasted for another month, now it’s lying on the balcony.")</f>
        <v>I bought it, it makes a lot of noise, there is zero traction, washing it every time is very inconvenient, for example, you spilled sugar, you need to vacuum it a little and then you have to wash it, because... the water then begins to bloom and stink, after half a year he began to reset it to the minimum power, repaired it, a month later it was repaired again, it lasted for another month, now it’s lying on the balcony.</v>
      </c>
    </row>
    <row r="12793" spans="1:9" x14ac:dyDescent="0.3">
      <c r="A12793" s="1" t="s">
        <v>211</v>
      </c>
      <c r="B12793" s="1" t="s">
        <v>212</v>
      </c>
      <c r="C12793" s="1" t="s">
        <v>381</v>
      </c>
      <c r="D12793" s="1" t="s">
        <v>1744</v>
      </c>
      <c r="E12793" s="1" t="s">
        <v>7749</v>
      </c>
      <c r="F12793" s="1" t="s">
        <v>17962</v>
      </c>
      <c r="G12793" s="1" t="s">
        <v>49</v>
      </c>
      <c r="H12793" s="1" t="s">
        <v>16</v>
      </c>
      <c r="I12793" s="1" t="str">
        <f ca="1">IFERROR(__xludf.DUMMYFUNCTION("GOOGLETRANSLATE(F12793, ""auto"", ""en"")
"),"I bought it the other day, tried it once - light waves, after an hour my hair was straight")</f>
        <v>I bought it the other day, tried it once - light waves, after an hour my hair was straight</v>
      </c>
    </row>
    <row r="12794" spans="1:9" x14ac:dyDescent="0.3">
      <c r="A12794" s="1" t="s">
        <v>206</v>
      </c>
      <c r="B12794" s="1" t="s">
        <v>261</v>
      </c>
      <c r="C12794" s="1" t="s">
        <v>257</v>
      </c>
      <c r="D12794" s="1" t="s">
        <v>411</v>
      </c>
      <c r="E12794" s="1" t="s">
        <v>1742</v>
      </c>
      <c r="F12794" s="1" t="s">
        <v>17963</v>
      </c>
      <c r="G12794" s="1" t="s">
        <v>36</v>
      </c>
      <c r="H12794" s="1" t="s">
        <v>29</v>
      </c>
      <c r="I12794" s="1" t="str">
        <f ca="1">IFERROR(__xludf.DUMMYFUNCTION("GOOGLETRANSLATE(F12794, ""auto"", ""en"")
"),"An excellent modulator, you can’t get something like that for that kind of money... very easy to use!!! I recommend it.")</f>
        <v>An excellent modulator, you can’t get something like that for that kind of money... very easy to use!!! I recommend it.</v>
      </c>
    </row>
    <row r="12795" spans="1:9" x14ac:dyDescent="0.3">
      <c r="A12795" s="1" t="s">
        <v>43</v>
      </c>
      <c r="B12795" s="1" t="s">
        <v>1616</v>
      </c>
      <c r="C12795" s="1" t="s">
        <v>185</v>
      </c>
      <c r="D12795" s="1" t="s">
        <v>658</v>
      </c>
      <c r="E12795" s="1" t="s">
        <v>8386</v>
      </c>
      <c r="F12795" s="1" t="s">
        <v>17964</v>
      </c>
      <c r="G12795" s="1" t="s">
        <v>36</v>
      </c>
      <c r="H12795" s="1" t="s">
        <v>29</v>
      </c>
      <c r="I12795" s="1" t="str">
        <f ca="1">IFERROR(__xludf.DUMMYFUNCTION("GOOGLETRANSLATE(F12795, ""auto"", ""en"")
"),"I am very pleased with the performance of this air conditioner. I took the “display” look. This didn’t bother me at all, but on the contrary, it encouraged me, because... I decided that it had already gone through the process of active “breaking in” and t"&amp;"esting its functionality. The second summer is plowing. Moreover, the noise is not annoying at all and does not interfere with normal sleep and work at the computer at home. I can’t imagine being in an apartment in such heat without it. There are no probl"&amp;"ems with installation and drainage: the corrugation is in the window, there is no need to think about condensation and its removal - I have never looked at it in a year. I worked July, August and September last year and almost without a break from May 201"&amp;"2 until now. No comments.")</f>
        <v>I am very pleased with the performance of this air conditioner. I took the “display” look. This didn’t bother me at all, but on the contrary, it encouraged me, because... I decided that it had already gone through the process of active “breaking in” and testing its functionality. The second summer is plowing. Moreover, the noise is not annoying at all and does not interfere with normal sleep and work at the computer at home. I can’t imagine being in an apartment in such heat without it. There are no problems with installation and drainage: the corrugation is in the window, there is no need to think about condensation and its removal - I have never looked at it in a year. I worked July, August and September last year and almost without a break from May 2012 until now. No comments.</v>
      </c>
    </row>
    <row r="12796" spans="1:9" x14ac:dyDescent="0.3">
      <c r="A12796" s="1" t="s">
        <v>149</v>
      </c>
      <c r="B12796" s="1" t="s">
        <v>155</v>
      </c>
      <c r="C12796" s="1" t="s">
        <v>159</v>
      </c>
      <c r="D12796" s="1" t="s">
        <v>521</v>
      </c>
      <c r="E12796" s="1" t="s">
        <v>3454</v>
      </c>
      <c r="F12796" s="1" t="s">
        <v>17965</v>
      </c>
      <c r="G12796" s="1" t="s">
        <v>36</v>
      </c>
      <c r="H12796" s="1" t="s">
        <v>29</v>
      </c>
      <c r="I12796" s="1" t="str">
        <f ca="1">IFERROR(__xludf.DUMMYFUNCTION("GOOGLETRANSLATE(F12796, ""auto"", ""en"")
"),"Excellent combination of price and quality. We purchased it almost a year ago and have never regretted it.")</f>
        <v>Excellent combination of price and quality. We purchased it almost a year ago and have never regretted it.</v>
      </c>
    </row>
    <row r="12797" spans="1:9" x14ac:dyDescent="0.3">
      <c r="A12797" s="1" t="s">
        <v>120</v>
      </c>
      <c r="B12797" s="1" t="s">
        <v>196</v>
      </c>
      <c r="C12797" s="1" t="s">
        <v>80</v>
      </c>
      <c r="D12797" s="1" t="s">
        <v>420</v>
      </c>
      <c r="E12797" s="1" t="s">
        <v>128</v>
      </c>
      <c r="F12797" s="1" t="s">
        <v>17966</v>
      </c>
      <c r="G12797" s="1" t="s">
        <v>36</v>
      </c>
      <c r="H12797" s="1" t="s">
        <v>29</v>
      </c>
      <c r="I12797" s="1" t="str">
        <f ca="1">IFERROR(__xludf.DUMMYFUNCTION("GOOGLETRANSLATE(F12797, ""auto"", ""en"")
"),"I work as a salesperson in a tech market, I’ve passed through a lot of TVs in three years. This one of all the LCDs turned out to be the best. I bought it for myself, I just couldn’t be happier! USB reads almost everything, 100hz, the picture is simply am"&amp;"azing and there’s also an excellent 3D filter. It’s literally a gram away from the LED.")</f>
        <v>I work as a salesperson in a tech market, I’ve passed through a lot of TVs in three years. This one of all the LCDs turned out to be the best. I bought it for myself, I just couldn’t be happier! USB reads almost everything, 100hz, the picture is simply amazing and there’s also an excellent 3D filter. It’s literally a gram away from the LED.</v>
      </c>
    </row>
    <row r="12798" spans="1:9" x14ac:dyDescent="0.3">
      <c r="A12798" s="1" t="s">
        <v>238</v>
      </c>
      <c r="B12798" s="1" t="s">
        <v>239</v>
      </c>
      <c r="C12798" s="1" t="s">
        <v>240</v>
      </c>
      <c r="D12798" s="1" t="s">
        <v>17967</v>
      </c>
      <c r="E12798" s="1" t="s">
        <v>2796</v>
      </c>
      <c r="F12798" s="1" t="s">
        <v>17968</v>
      </c>
      <c r="G12798" s="1" t="s">
        <v>36</v>
      </c>
      <c r="H12798" s="1" t="s">
        <v>29</v>
      </c>
      <c r="I12798" s="1" t="str">
        <f ca="1">IFERROR(__xludf.DUMMYFUNCTION("GOOGLETRANSLATE(F12798, ""auto"", ""en"")
"),"I really liked the refrigerator! Large, spacious freezer! Quality of material (glass + plastic 5), very satisfied with the purchase")</f>
        <v>I really liked the refrigerator! Large, spacious freezer! Quality of material (glass + plastic 5), very satisfied with the purchase</v>
      </c>
    </row>
    <row r="12799" spans="1:9" x14ac:dyDescent="0.3">
      <c r="A12799" s="1" t="s">
        <v>369</v>
      </c>
      <c r="B12799" s="1" t="s">
        <v>370</v>
      </c>
      <c r="C12799" s="1" t="s">
        <v>138</v>
      </c>
      <c r="D12799" s="1" t="s">
        <v>1188</v>
      </c>
      <c r="E12799" s="1" t="s">
        <v>379</v>
      </c>
      <c r="F12799" s="1" t="s">
        <v>17969</v>
      </c>
      <c r="G12799" s="1" t="s">
        <v>28</v>
      </c>
      <c r="H12799" s="1" t="s">
        <v>29</v>
      </c>
      <c r="I12799" s="1" t="str">
        <f ca="1">IFERROR(__xludf.DUMMYFUNCTION("GOOGLETRANSLATE(F12799, ""auto"", ""en"")
"),"I’ve been using it for a little over a year, I’m happy with everything, but I noticed that the white paint near the hob is cracked, naturally this is reflected in the appearance. I'm worried about what will happen to her next, because she's only 1 year ol"&amp;"d...")</f>
        <v>I’ve been using it for a little over a year, I’m happy with everything, but I noticed that the white paint near the hob is cracked, naturally this is reflected in the appearance. I'm worried about what will happen to her next, because she's only 1 year old...</v>
      </c>
    </row>
    <row r="12800" spans="1:9" x14ac:dyDescent="0.3">
      <c r="A12800" s="1" t="s">
        <v>55</v>
      </c>
      <c r="B12800" s="1" t="s">
        <v>752</v>
      </c>
      <c r="C12800" s="1" t="s">
        <v>185</v>
      </c>
      <c r="D12800" s="1" t="s">
        <v>10015</v>
      </c>
      <c r="E12800" s="1" t="s">
        <v>2622</v>
      </c>
      <c r="F12800" s="1" t="s">
        <v>17970</v>
      </c>
      <c r="G12800" s="1" t="s">
        <v>36</v>
      </c>
      <c r="H12800" s="1" t="s">
        <v>29</v>
      </c>
      <c r="I12800" s="1" t="str">
        <f ca="1">IFERROR(__xludf.DUMMYFUNCTION("GOOGLETRANSLATE(F12800, ""auto"", ""en"")
"),"Super radiator, I advise everyone, heats up the room in 15 minutes")</f>
        <v>Super radiator, I advise everyone, heats up the room in 15 minutes</v>
      </c>
    </row>
    <row r="12801" spans="1:9" x14ac:dyDescent="0.3">
      <c r="A12801" s="1" t="s">
        <v>30</v>
      </c>
      <c r="B12801" s="1" t="s">
        <v>31</v>
      </c>
      <c r="C12801" s="1" t="s">
        <v>32</v>
      </c>
      <c r="D12801" s="1" t="s">
        <v>1509</v>
      </c>
      <c r="E12801" s="1" t="s">
        <v>1450</v>
      </c>
      <c r="F12801" s="1" t="s">
        <v>17971</v>
      </c>
      <c r="G12801" s="1" t="s">
        <v>36</v>
      </c>
      <c r="H12801" s="1" t="s">
        <v>29</v>
      </c>
      <c r="I12801" s="1" t="str">
        <f ca="1">IFERROR(__xludf.DUMMYFUNCTION("GOOGLETRANSLATE(F12801, ""auto"", ""en"")
"),"powerful computer! everything works perfectly! nothing is buggy! I recommend it to everyone!")</f>
        <v>powerful computer! everything works perfectly! nothing is buggy! I recommend it to everyone!</v>
      </c>
    </row>
    <row r="12802" spans="1:9" x14ac:dyDescent="0.3">
      <c r="A12802" s="1" t="s">
        <v>965</v>
      </c>
      <c r="B12802" s="1" t="s">
        <v>966</v>
      </c>
      <c r="C12802" s="1" t="s">
        <v>2149</v>
      </c>
      <c r="D12802" s="1" t="s">
        <v>1431</v>
      </c>
      <c r="E12802" s="1" t="s">
        <v>1756</v>
      </c>
      <c r="F12802" s="1" t="s">
        <v>17972</v>
      </c>
      <c r="G12802" s="1" t="s">
        <v>36</v>
      </c>
      <c r="H12802" s="1" t="s">
        <v>29</v>
      </c>
      <c r="I12802" s="1" t="str">
        <f ca="1">IFERROR(__xludf.DUMMYFUNCTION("GOOGLETRANSLATE(F12802, ""auto"", ""en"")
"),"The speakers would be a little more sparkling, but the sub is simply gorgeous, the power is quite enough to fray the nerves of the neighbors.")</f>
        <v>The speakers would be a little more sparkling, but the sub is simply gorgeous, the power is quite enough to fray the nerves of the neighbors.</v>
      </c>
    </row>
    <row r="12803" spans="1:9" x14ac:dyDescent="0.3">
      <c r="A12803" s="1" t="s">
        <v>9</v>
      </c>
      <c r="B12803" s="1" t="s">
        <v>137</v>
      </c>
      <c r="C12803" s="1" t="s">
        <v>134</v>
      </c>
      <c r="D12803" s="1" t="s">
        <v>17973</v>
      </c>
      <c r="E12803" s="1" t="s">
        <v>760</v>
      </c>
      <c r="F12803" s="1" t="s">
        <v>17974</v>
      </c>
      <c r="G12803" s="1" t="s">
        <v>36</v>
      </c>
      <c r="H12803" s="1" t="s">
        <v>29</v>
      </c>
      <c r="I12803" s="1" t="str">
        <f ca="1">IFERROR(__xludf.DUMMYFUNCTION("GOOGLETRANSLATE(F12803, ""auto"", ""en"")
"),"The panel is simply superb, my husband brought one of these to our house, I was just so happy, seriously))) My great happiness was that it was not only convenient to cook on, but also extremely easy to clean!! This was absolutely stunning))) Regulating th"&amp;"e fire here is as easy as shelling pears, and cooking is now such a pleasure!! Everything is adjustable as easily as possible, plus the material here is stainless steel!! Which is super awesome)) I like it!!")</f>
        <v>The panel is simply superb, my husband brought one of these to our house, I was just so happy, seriously))) My great happiness was that it was not only convenient to cook on, but also extremely easy to clean!! This was absolutely stunning))) Regulating the fire here is as easy as shelling pears, and cooking is now such a pleasure!! Everything is adjustable as easily as possible, plus the material here is stainless steel!! Which is super awesome)) I like it!!</v>
      </c>
    </row>
    <row r="12804" spans="1:9" x14ac:dyDescent="0.3">
      <c r="A12804" s="1" t="s">
        <v>78</v>
      </c>
      <c r="B12804" s="1" t="s">
        <v>493</v>
      </c>
      <c r="C12804" s="1" t="s">
        <v>80</v>
      </c>
      <c r="D12804" s="1" t="s">
        <v>12</v>
      </c>
      <c r="E12804" s="1" t="s">
        <v>692</v>
      </c>
      <c r="F12804" s="1" t="s">
        <v>17975</v>
      </c>
      <c r="G12804" s="1" t="s">
        <v>36</v>
      </c>
      <c r="H12804" s="1" t="s">
        <v>29</v>
      </c>
      <c r="I12804" s="1" t="str">
        <f ca="1">IFERROR(__xludf.DUMMYFUNCTION("GOOGLETRANSLATE(F12804, ""auto"", ""en"")
"),"Wonderful microwave oven. It works well, heats well too, there have been no breakdowns, I’ve been using it for a very long time.")</f>
        <v>Wonderful microwave oven. It works well, heats well too, there have been no breakdowns, I’ve been using it for a very long time.</v>
      </c>
    </row>
    <row r="12805" spans="1:9" x14ac:dyDescent="0.3">
      <c r="A12805" s="1" t="s">
        <v>30</v>
      </c>
      <c r="B12805" s="1" t="s">
        <v>31</v>
      </c>
      <c r="C12805" s="1" t="s">
        <v>377</v>
      </c>
      <c r="D12805" s="1" t="s">
        <v>172</v>
      </c>
      <c r="E12805" s="1" t="s">
        <v>53</v>
      </c>
      <c r="F12805" s="1" t="s">
        <v>17976</v>
      </c>
      <c r="G12805" s="1" t="s">
        <v>28</v>
      </c>
      <c r="H12805" s="1" t="s">
        <v>29</v>
      </c>
      <c r="I12805" s="1" t="str">
        <f ca="1">IFERROR(__xludf.DUMMYFUNCTION("GOOGLETRANSLATE(F12805, ""auto"", ""en"")
"),"I've had the computer for a month, and the noise of the cooling system or whatever is starting to irritate me... it turns on periodically. I'm glad it's a quad-core processor! There was a problem with finding drivers for the motherboard, after identifying"&amp;" the model (nforce 430 chipset MCP61), I found the latest drivers for it, nvidia nforce driver 15.50 whql. Glad the RAM is DDR3! The video card is weak; at high resolutions, top games are very slow. Overall the system unit is good, just replace the video "&amp;"card!")</f>
        <v>I've had the computer for a month, and the noise of the cooling system or whatever is starting to irritate me... it turns on periodically. I'm glad it's a quad-core processor! There was a problem with finding drivers for the motherboard, after identifying the model (nforce 430 chipset MCP61), I found the latest drivers for it, nvidia nforce driver 15.50 whql. Glad the RAM is DDR3! The video card is weak; at high resolutions, top games are very slow. Overall the system unit is good, just replace the video card!</v>
      </c>
    </row>
    <row r="12806" spans="1:9" x14ac:dyDescent="0.3">
      <c r="A12806" s="1" t="s">
        <v>9</v>
      </c>
      <c r="B12806" s="1" t="s">
        <v>10</v>
      </c>
      <c r="C12806" s="1" t="s">
        <v>466</v>
      </c>
      <c r="D12806" s="1" t="s">
        <v>189</v>
      </c>
      <c r="E12806" s="1" t="s">
        <v>4483</v>
      </c>
      <c r="F12806" s="1" t="s">
        <v>17977</v>
      </c>
      <c r="G12806" s="1" t="s">
        <v>36</v>
      </c>
      <c r="H12806" s="1" t="s">
        <v>29</v>
      </c>
      <c r="I12806" s="1" t="str">
        <f ca="1">IFERROR(__xludf.DUMMYFUNCTION("GOOGLETRANSLATE(F12806, ""auto"", ""en"")
"),"Very good hood! I’ve been using it for 2 years now, I like everything about it, nice top design made of Swarovski stones. Now I want to buy another one for my country house!")</f>
        <v>Very good hood! I’ve been using it for 2 years now, I like everything about it, nice top design made of Swarovski stones. Now I want to buy another one for my country house!</v>
      </c>
    </row>
    <row r="12807" spans="1:9" x14ac:dyDescent="0.3">
      <c r="A12807" s="1" t="s">
        <v>206</v>
      </c>
      <c r="B12807" s="1" t="s">
        <v>207</v>
      </c>
      <c r="C12807" s="1" t="s">
        <v>152</v>
      </c>
      <c r="D12807" s="1" t="s">
        <v>10177</v>
      </c>
      <c r="E12807" s="1" t="s">
        <v>17978</v>
      </c>
      <c r="F12807" s="1" t="s">
        <v>17979</v>
      </c>
      <c r="G12807" s="1" t="s">
        <v>36</v>
      </c>
      <c r="H12807" s="1" t="s">
        <v>29</v>
      </c>
      <c r="I12807" s="1" t="str">
        <f ca="1">IFERROR(__xludf.DUMMYFUNCTION("GOOGLETRANSLATE(F12807, ""auto"", ""en"")
"),"They sound great, but the condenser inside is set to kill everything below 8500 Hz. That is, to achieve the effect, you need to tinker with the conder inside. The native one is polar at 4.7 microfarads. To get the cutoff frequency as written 3 kHz, you ne"&amp;"ed to sculpt 16 microfarads. Not having what I needed, I temporarily plugged in 100 microfarads, and the next day the speaker wheezed.")</f>
        <v>They sound great, but the condenser inside is set to kill everything below 8500 Hz. That is, to achieve the effect, you need to tinker with the conder inside. The native one is polar at 4.7 microfarads. To get the cutoff frequency as written 3 kHz, you need to sculpt 16 microfarads. Not having what I needed, I temporarily plugged in 100 microfarads, and the next day the speaker wheezed.</v>
      </c>
    </row>
    <row r="12808" spans="1:9" x14ac:dyDescent="0.3">
      <c r="A12808" s="1" t="s">
        <v>30</v>
      </c>
      <c r="B12808" s="1" t="s">
        <v>31</v>
      </c>
      <c r="C12808" s="1" t="s">
        <v>32</v>
      </c>
      <c r="D12808" s="1" t="s">
        <v>17980</v>
      </c>
      <c r="E12808" s="1" t="s">
        <v>225</v>
      </c>
      <c r="F12808" s="1" t="s">
        <v>17981</v>
      </c>
      <c r="G12808" s="1" t="s">
        <v>49</v>
      </c>
      <c r="H12808" s="1" t="s">
        <v>16</v>
      </c>
      <c r="I12808" s="1" t="str">
        <f ca="1">IFERROR(__xludf.DUMMYFUNCTION("GOOGLETRANSLATE(F12808, ""auto"", ""en"")
"),"gts240 let you know, this is a 9800gt with higher frequencies... the overall case for 30t is bullshit. For that kind of money, you can install a 5850 with peace of mind + something 4-core and 4 gig, better than ddr3, in a well-ventilated case. and so on a"&amp;"nd so forth.")</f>
        <v>gts240 let you know, this is a 9800gt with higher frequencies... the overall case for 30t is bullshit. For that kind of money, you can install a 5850 with peace of mind + something 4-core and 4 gig, better than ddr3, in a well-ventilated case. and so on and so forth.</v>
      </c>
    </row>
    <row r="12809" spans="1:9" x14ac:dyDescent="0.3">
      <c r="A12809" s="1" t="s">
        <v>78</v>
      </c>
      <c r="B12809" s="1" t="s">
        <v>493</v>
      </c>
      <c r="C12809" s="1" t="s">
        <v>122</v>
      </c>
      <c r="D12809" s="1" t="s">
        <v>64</v>
      </c>
      <c r="E12809" s="1" t="s">
        <v>1481</v>
      </c>
      <c r="F12809" s="1" t="s">
        <v>17982</v>
      </c>
      <c r="G12809" s="1" t="s">
        <v>36</v>
      </c>
      <c r="H12809" s="1" t="s">
        <v>29</v>
      </c>
      <c r="I12809" s="1" t="str">
        <f ca="1">IFERROR(__xludf.DUMMYFUNCTION("GOOGLETRANSLATE(F12809, ""auto"", ""en"")
"),"This is not a device, but just some kind of holiday. It is the simplest to operate, everything is prepared in it quickly and wonderfully. All the functions are there, you just don’t need others.")</f>
        <v>This is not a device, but just some kind of holiday. It is the simplest to operate, everything is prepared in it quickly and wonderfully. All the functions are there, you just don’t need others.</v>
      </c>
    </row>
    <row r="12810" spans="1:9" x14ac:dyDescent="0.3">
      <c r="A12810" s="1" t="s">
        <v>169</v>
      </c>
      <c r="B12810" s="1" t="s">
        <v>170</v>
      </c>
      <c r="C12810" s="1" t="s">
        <v>122</v>
      </c>
      <c r="D12810" s="1" t="s">
        <v>17983</v>
      </c>
      <c r="E12810" s="1" t="s">
        <v>1075</v>
      </c>
      <c r="F12810" s="1" t="s">
        <v>17984</v>
      </c>
      <c r="G12810" s="1" t="s">
        <v>36</v>
      </c>
      <c r="H12810" s="1" t="s">
        <v>29</v>
      </c>
      <c r="I12810" s="1" t="str">
        <f ca="1">IFERROR(__xludf.DUMMYFUNCTION("GOOGLETRANSLATE(F12810, ""auto"", ""en"")
"),"I really like these headphones, they bought me a long time ago, maybe 5 years ago and they still work, one just started to act up not long ago, and the headphones are awesome, the best of which I have ever owned))))")</f>
        <v>I really like these headphones, they bought me a long time ago, maybe 5 years ago and they still work, one just started to act up not long ago, and the headphones are awesome, the best of which I have ever owned))))</v>
      </c>
    </row>
    <row r="12811" spans="1:9" x14ac:dyDescent="0.3">
      <c r="A12811" s="1" t="s">
        <v>149</v>
      </c>
      <c r="B12811" s="1" t="s">
        <v>155</v>
      </c>
      <c r="C12811" s="1" t="s">
        <v>63</v>
      </c>
      <c r="D12811" s="1" t="s">
        <v>729</v>
      </c>
      <c r="E12811" s="1" t="s">
        <v>4530</v>
      </c>
      <c r="F12811" s="1" t="s">
        <v>17985</v>
      </c>
      <c r="G12811" s="1" t="s">
        <v>15</v>
      </c>
      <c r="H12811" s="1" t="s">
        <v>16</v>
      </c>
      <c r="I12811" s="1" t="str">
        <f ca="1">IFERROR(__xludf.DUMMYFUNCTION("GOOGLETRANSLATE(F12811, ""auto"", ""en"")
"),"A transparent bowl through which all the dirt can be seen, a power regulator is not needed, after 7 minutes of working at maximum power it drops to minimum, the tube becomes electrified and shocks when cleaning carpets, the kit only comes with a small, si"&amp;"mple brush and a nozzle for crannies, the plastic smells very strongly at first when working. In general, the price is very high.")</f>
        <v>A transparent bowl through which all the dirt can be seen, a power regulator is not needed, after 7 minutes of working at maximum power it drops to minimum, the tube becomes electrified and shocks when cleaning carpets, the kit only comes with a small, simple brush and a nozzle for crannies, the plastic smells very strongly at first when working. In general, the price is very high.</v>
      </c>
    </row>
    <row r="12812" spans="1:9" x14ac:dyDescent="0.3">
      <c r="A12812" s="1" t="s">
        <v>17</v>
      </c>
      <c r="B12812" s="1" t="s">
        <v>18</v>
      </c>
      <c r="C12812" s="1" t="s">
        <v>243</v>
      </c>
      <c r="D12812" s="1" t="s">
        <v>385</v>
      </c>
      <c r="E12812" s="1" t="s">
        <v>10358</v>
      </c>
      <c r="F12812" s="1" t="s">
        <v>17986</v>
      </c>
      <c r="G12812" s="1" t="s">
        <v>36</v>
      </c>
      <c r="H12812" s="1" t="s">
        <v>29</v>
      </c>
      <c r="I12812" s="1" t="str">
        <f ca="1">IFERROR(__xludf.DUMMYFUNCTION("GOOGLETRANSLATE(F12812, ""auto"", ""en"")
"),"Excellent model in the Indesit line")</f>
        <v>Excellent model in the Indesit line</v>
      </c>
    </row>
    <row r="12813" spans="1:9" x14ac:dyDescent="0.3">
      <c r="A12813" s="1" t="s">
        <v>211</v>
      </c>
      <c r="B12813" s="1" t="s">
        <v>212</v>
      </c>
      <c r="C12813" s="1" t="s">
        <v>63</v>
      </c>
      <c r="D12813" s="1" t="s">
        <v>565</v>
      </c>
      <c r="E12813" s="1" t="s">
        <v>2354</v>
      </c>
      <c r="F12813" s="1" t="s">
        <v>17987</v>
      </c>
      <c r="G12813" s="1" t="s">
        <v>49</v>
      </c>
      <c r="H12813" s="1" t="s">
        <v>16</v>
      </c>
      <c r="I12813" s="1" t="str">
        <f ca="1">IFERROR(__xludf.DUMMYFUNCTION("GOOGLETRANSLATE(F12813, ""auto"", ""en"")
"),"2 years ago I asked my husband for a birthday. The store praised him, and he was happy with the money. I only used it 5 times. Then it just stopped heating, the button is on, but it’s just cold. I lost my guarantee. I took it to a paid repair facility. Th"&amp;"ey said that such heating elements simply do not exist and do not exist. I was very upset! &amp;nbsp;Spare money on a good one.")</f>
        <v>2 years ago I asked my husband for a birthday. The store praised him, and he was happy with the money. I only used it 5 times. Then it just stopped heating, the button is on, but it’s just cold. I lost my guarantee. I took it to a paid repair facility. They said that such heating elements simply do not exist and do not exist. I was very upset! &amp;nbsp;Spare money on a good one.</v>
      </c>
    </row>
    <row r="12814" spans="1:9" x14ac:dyDescent="0.3">
      <c r="A12814" s="1" t="s">
        <v>30</v>
      </c>
      <c r="B12814" s="1" t="s">
        <v>50</v>
      </c>
      <c r="C12814" s="1" t="s">
        <v>32</v>
      </c>
      <c r="D12814" s="1" t="s">
        <v>17988</v>
      </c>
      <c r="E12814" s="1" t="s">
        <v>854</v>
      </c>
      <c r="F12814" s="1" t="s">
        <v>17989</v>
      </c>
      <c r="G12814" s="1" t="s">
        <v>28</v>
      </c>
      <c r="H12814" s="1" t="s">
        <v>29</v>
      </c>
      <c r="I12814" s="1" t="str">
        <f ca="1">IFERROR(__xludf.DUMMYFUNCTION("GOOGLETRANSLATE(F12814, ""auto"", ""en"")
"),"An excellent laptop, if it had 320GB it would be great. The video card is large and runs for 9 hours. Great, there is only one drawback - small memory.")</f>
        <v>An excellent laptop, if it had 320GB it would be great. The video card is large and runs for 9 hours. Great, there is only one drawback - small memory.</v>
      </c>
    </row>
    <row r="12815" spans="1:9" x14ac:dyDescent="0.3">
      <c r="A12815" s="1" t="s">
        <v>9</v>
      </c>
      <c r="B12815" s="1" t="s">
        <v>10</v>
      </c>
      <c r="C12815" s="1" t="s">
        <v>407</v>
      </c>
      <c r="D12815" s="1" t="s">
        <v>17990</v>
      </c>
      <c r="E12815" s="1" t="s">
        <v>17991</v>
      </c>
      <c r="F12815" s="1" t="s">
        <v>17992</v>
      </c>
      <c r="G12815" s="1" t="s">
        <v>28</v>
      </c>
      <c r="H12815" s="1" t="s">
        <v>29</v>
      </c>
      <c r="I12815" s="1" t="str">
        <f ca="1">IFERROR(__xludf.DUMMYFUNCTION("GOOGLETRANSLATE(F12815, ""auto"", ""en"")
"),"For the money this is a very, very decent hood. Quiet, creates very noticeable traction at maximum speed. The motor is really truly quiet. The kit includes carbon filters and this is very convenient, I didn’t have to look for them anywhere. I installed it"&amp;" myself, there are no difficulties in installing it, and besides, it is very light. The lighting consists of one 40-watt bulb, which we think is not enough, but our old hood had even darker lighting. The grease filter in this model is quite difficult to c"&amp;"lean.")</f>
        <v>For the money this is a very, very decent hood. Quiet, creates very noticeable traction at maximum speed. The motor is really truly quiet. The kit includes carbon filters and this is very convenient, I didn’t have to look for them anywhere. I installed it myself, there are no difficulties in installing it, and besides, it is very light. The lighting consists of one 40-watt bulb, which we think is not enough, but our old hood had even darker lighting. The grease filter in this model is quite difficult to clean.</v>
      </c>
    </row>
    <row r="12816" spans="1:9" x14ac:dyDescent="0.3">
      <c r="A12816" s="1" t="s">
        <v>55</v>
      </c>
      <c r="B12816" s="1" t="s">
        <v>84</v>
      </c>
      <c r="C12816" s="1" t="s">
        <v>85</v>
      </c>
      <c r="D12816" s="1" t="s">
        <v>52</v>
      </c>
      <c r="E12816" s="1" t="s">
        <v>2557</v>
      </c>
      <c r="F12816" s="1" t="s">
        <v>17993</v>
      </c>
      <c r="G12816" s="1" t="s">
        <v>36</v>
      </c>
      <c r="H12816" s="1" t="s">
        <v>29</v>
      </c>
      <c r="I12816" s="1" t="str">
        <f ca="1">IFERROR(__xludf.DUMMYFUNCTION("GOOGLETRANSLATE(F12816, ""auto"", ""en"")
"),"I am very pleased with the device! I purchased a Bork Q700 air washer about 6 months ago, I use it in my bedroom - 17 sq.m. I fall asleep peacefully under the night mode. Works without interruptions - during the day on the ""health"" mode")</f>
        <v>I am very pleased with the device! I purchased a Bork Q700 air washer about 6 months ago, I use it in my bedroom - 17 sq.m. I fall asleep peacefully under the night mode. Works without interruptions - during the day on the "health" mode</v>
      </c>
    </row>
    <row r="12817" spans="1:9" x14ac:dyDescent="0.3">
      <c r="A12817" s="1" t="s">
        <v>149</v>
      </c>
      <c r="B12817" s="1" t="s">
        <v>576</v>
      </c>
      <c r="C12817" s="1" t="s">
        <v>80</v>
      </c>
      <c r="D12817" s="1" t="s">
        <v>521</v>
      </c>
      <c r="E12817" s="1" t="s">
        <v>17994</v>
      </c>
      <c r="F12817" s="1" t="s">
        <v>17995</v>
      </c>
      <c r="G12817" s="1" t="s">
        <v>49</v>
      </c>
      <c r="H12817" s="1" t="s">
        <v>16</v>
      </c>
      <c r="I12817" s="1" t="str">
        <f ca="1">IFERROR(__xludf.DUMMYFUNCTION("GOOGLETRANSLATE(F12817, ""auto"", ""en"")
"),"Vacuum cleaner with dust collector LG V-C3245 RT - I didn’t like it. The compartment where the bag is located always opens, it smells, the cord is short, the brush always jumps off the handle, and the biggest -------------- minus collects dust very poorly"&amp;". You can say - the stingy pays twice!!!!!")</f>
        <v>Vacuum cleaner with dust collector LG V-C3245 RT - I didn’t like it. The compartment where the bag is located always opens, it smells, the cord is short, the brush always jumps off the handle, and the biggest -------------- minus collects dust very poorly. You can say - the stingy pays twice!!!!!</v>
      </c>
    </row>
    <row r="12818" spans="1:9" x14ac:dyDescent="0.3">
      <c r="A12818" s="1" t="s">
        <v>9</v>
      </c>
      <c r="B12818" s="1" t="s">
        <v>137</v>
      </c>
      <c r="C12818" s="1" t="s">
        <v>63</v>
      </c>
      <c r="D12818" s="1" t="s">
        <v>81</v>
      </c>
      <c r="E12818" s="1" t="s">
        <v>3928</v>
      </c>
      <c r="F12818" s="1" t="s">
        <v>17996</v>
      </c>
      <c r="G12818" s="1" t="s">
        <v>36</v>
      </c>
      <c r="H12818" s="1" t="s">
        <v>29</v>
      </c>
      <c r="I12818" s="1" t="str">
        <f ca="1">IFERROR(__xludf.DUMMYFUNCTION("GOOGLETRANSLATE(F12818, ""auto"", ""en"")
"),"We are happy with the stove. Easy to wash, non-staining. We chose this model (handles on the side) to place the microwave oven on the right (with the handle in front, the side wall would be heated).")</f>
        <v>We are happy with the stove. Easy to wash, non-staining. We chose this model (handles on the side) to place the microwave oven on the right (with the handle in front, the side wall would be heated).</v>
      </c>
    </row>
    <row r="12819" spans="1:9" x14ac:dyDescent="0.3">
      <c r="A12819" s="1" t="s">
        <v>149</v>
      </c>
      <c r="B12819" s="1" t="s">
        <v>150</v>
      </c>
      <c r="C12819" s="1" t="s">
        <v>57</v>
      </c>
      <c r="D12819" s="1" t="s">
        <v>545</v>
      </c>
      <c r="E12819" s="1" t="s">
        <v>2702</v>
      </c>
      <c r="F12819" s="1" t="s">
        <v>17997</v>
      </c>
      <c r="G12819" s="1" t="s">
        <v>49</v>
      </c>
      <c r="H12819" s="1" t="s">
        <v>16</v>
      </c>
      <c r="I12819" s="1" t="str">
        <f ca="1">IFERROR(__xludf.DUMMYFUNCTION("GOOGLETRANSLATE(F12819, ""auto"", ""en"")
"),"We bought it more than a year ago. At first we were happy, but after a month it stopped performing its function of sucking up dust. It’s good that they didn’t throw away the old Panasonic, for which the vitek was not a replacement. I am increasingly convi"&amp;"nced that the advertising on television (and from it I learned about the vacuum cleaner) does not correspond to the quality of the advertised product. I do not advise wasting money!")</f>
        <v>We bought it more than a year ago. At first we were happy, but after a month it stopped performing its function of sucking up dust. It’s good that they didn’t throw away the old Panasonic, for which the vitek was not a replacement. I am increasingly convinced that the advertising on television (and from it I learned about the vacuum cleaner) does not correspond to the quality of the advertised product. I do not advise wasting money!</v>
      </c>
    </row>
    <row r="12820" spans="1:9" x14ac:dyDescent="0.3">
      <c r="A12820" s="1" t="s">
        <v>61</v>
      </c>
      <c r="B12820" s="1" t="s">
        <v>224</v>
      </c>
      <c r="C12820" s="1" t="s">
        <v>85</v>
      </c>
      <c r="D12820" s="1" t="s">
        <v>474</v>
      </c>
      <c r="E12820" s="1" t="s">
        <v>646</v>
      </c>
      <c r="F12820" s="1" t="s">
        <v>17998</v>
      </c>
      <c r="G12820" s="1" t="s">
        <v>36</v>
      </c>
      <c r="H12820" s="1" t="s">
        <v>29</v>
      </c>
      <c r="I12820" s="1" t="str">
        <f ca="1">IFERROR(__xludf.DUMMYFUNCTION("GOOGLETRANSLATE(F12820, ""auto"", ""en"")
"),"Super device! Don't hesitate, take it!")</f>
        <v>Super device! Don't hesitate, take it!</v>
      </c>
    </row>
    <row r="12821" spans="1:9" x14ac:dyDescent="0.3">
      <c r="A12821" s="1" t="s">
        <v>624</v>
      </c>
      <c r="B12821" s="1" t="s">
        <v>2107</v>
      </c>
      <c r="C12821" s="1" t="s">
        <v>479</v>
      </c>
      <c r="D12821" s="1" t="s">
        <v>3996</v>
      </c>
      <c r="E12821" s="1" t="s">
        <v>3219</v>
      </c>
      <c r="F12821" s="1" t="s">
        <v>17999</v>
      </c>
      <c r="G12821" s="1" t="s">
        <v>36</v>
      </c>
      <c r="H12821" s="1" t="s">
        <v>29</v>
      </c>
      <c r="I12821" s="1" t="str">
        <f ca="1">IFERROR(__xludf.DUMMYFUNCTION("GOOGLETRANSLATE(F12821, ""auto"", ""en"")
"),"A worthy continuation of the famous series, the single player is super, keeps you going from start to finish. The multiplayer for me is better than in Modern Warfare2, more balanced. Overall the game is super. All fans of the Call of Duty series should bu"&amp;"y it!")</f>
        <v>A worthy continuation of the famous series, the single player is super, keeps you going from start to finish. The multiplayer for me is better than in Modern Warfare2, more balanced. Overall the game is super. All fans of the Call of Duty series should buy it!</v>
      </c>
    </row>
    <row r="12822" spans="1:9" x14ac:dyDescent="0.3">
      <c r="A12822" s="1" t="s">
        <v>89</v>
      </c>
      <c r="B12822" s="1" t="s">
        <v>231</v>
      </c>
      <c r="C12822" s="1" t="s">
        <v>185</v>
      </c>
      <c r="D12822" s="1" t="s">
        <v>228</v>
      </c>
      <c r="E12822" s="1" t="s">
        <v>13653</v>
      </c>
      <c r="F12822" s="1" t="s">
        <v>18000</v>
      </c>
      <c r="G12822" s="1" t="s">
        <v>36</v>
      </c>
      <c r="H12822" s="1" t="s">
        <v>29</v>
      </c>
      <c r="I12822" s="1" t="str">
        <f ca="1">IFERROR(__xludf.DUMMYFUNCTION("GOOGLETRANSLATE(F12822, ""auto"", ""en"")
"),"The quality of coffee prepared using this machine is beyond praise!!!")</f>
        <v>The quality of coffee prepared using this machine is beyond praise!!!</v>
      </c>
    </row>
    <row r="12823" spans="1:9" x14ac:dyDescent="0.3">
      <c r="A12823" s="1" t="s">
        <v>17</v>
      </c>
      <c r="B12823" s="1" t="s">
        <v>18</v>
      </c>
      <c r="C12823" s="1" t="s">
        <v>243</v>
      </c>
      <c r="D12823" s="1" t="s">
        <v>621</v>
      </c>
      <c r="E12823" s="1" t="s">
        <v>2611</v>
      </c>
      <c r="F12823" s="1" t="s">
        <v>18001</v>
      </c>
      <c r="G12823" s="1" t="s">
        <v>15</v>
      </c>
      <c r="H12823" s="1" t="s">
        <v>16</v>
      </c>
      <c r="I12823" s="1" t="str">
        <f ca="1">IFERROR(__xludf.DUMMYFUNCTION("GOOGLETRANSLATE(F12823, ""auto"", ""en"")
"),"We bought it about four months ago and were immediately disappointed, we have a small child and he constantly gets dirty, but this machine doesn’t wash anything at all, it only washes fresh dirt from the top, the dirt that has penetrated into the fibers c"&amp;"an’t be washed, you have to wash it twice, and this is a waste of time and money. Very upset with this car")</f>
        <v>We bought it about four months ago and were immediately disappointed, we have a small child and he constantly gets dirty, but this machine doesn’t wash anything at all, it only washes fresh dirt from the top, the dirt that has penetrated into the fibers can’t be washed, you have to wash it twice, and this is a waste of time and money. Very upset with this car</v>
      </c>
    </row>
    <row r="12824" spans="1:9" x14ac:dyDescent="0.3">
      <c r="A12824" s="1" t="s">
        <v>211</v>
      </c>
      <c r="B12824" s="1" t="s">
        <v>515</v>
      </c>
      <c r="C12824" s="1" t="s">
        <v>213</v>
      </c>
      <c r="D12824" s="1" t="s">
        <v>1890</v>
      </c>
      <c r="E12824" s="1" t="s">
        <v>6641</v>
      </c>
      <c r="F12824" s="1" t="s">
        <v>18002</v>
      </c>
      <c r="G12824" s="1" t="s">
        <v>36</v>
      </c>
      <c r="H12824" s="1" t="s">
        <v>29</v>
      </c>
      <c r="I12824" s="1" t="str">
        <f ca="1">IFERROR(__xludf.DUMMYFUNCTION("GOOGLETRANSLATE(F12824, ""auto"", ""en"")
"),"compact, easy to use, additional attachment for the bikini area, long-lasting effect of the procedure")</f>
        <v>compact, easy to use, additional attachment for the bikini area, long-lasting effect of the procedure</v>
      </c>
    </row>
    <row r="12825" spans="1:9" x14ac:dyDescent="0.3">
      <c r="A12825" s="1" t="s">
        <v>61</v>
      </c>
      <c r="B12825" s="1" t="s">
        <v>62</v>
      </c>
      <c r="C12825" s="1" t="s">
        <v>63</v>
      </c>
      <c r="D12825" s="1" t="s">
        <v>64</v>
      </c>
      <c r="E12825" s="1" t="s">
        <v>2294</v>
      </c>
      <c r="F12825" s="1" t="s">
        <v>18003</v>
      </c>
      <c r="G12825" s="1" t="s">
        <v>28</v>
      </c>
      <c r="H12825" s="1" t="s">
        <v>29</v>
      </c>
      <c r="I12825" s="1" t="str">
        <f ca="1">IFERROR(__xludf.DUMMYFUNCTION("GOOGLETRANSLATE(F12825, ""auto"", ""en"")
"),"The combine is excellent, very satisfied. But there is no middle grater!!!! And this is a big minus, since you can only chop it in huge chunks or almost puree.")</f>
        <v>The combine is excellent, very satisfied. But there is no middle grater!!!! And this is a big minus, since you can only chop it in huge chunks or almost puree.</v>
      </c>
    </row>
    <row r="12826" spans="1:9" x14ac:dyDescent="0.3">
      <c r="A12826" s="1" t="s">
        <v>17</v>
      </c>
      <c r="B12826" s="1" t="s">
        <v>18</v>
      </c>
      <c r="C12826" s="1" t="s">
        <v>243</v>
      </c>
      <c r="D12826" s="1" t="s">
        <v>695</v>
      </c>
      <c r="E12826" s="1" t="s">
        <v>18004</v>
      </c>
      <c r="F12826" s="1" t="s">
        <v>18005</v>
      </c>
      <c r="G12826" s="1" t="s">
        <v>36</v>
      </c>
      <c r="H12826" s="1" t="s">
        <v>29</v>
      </c>
      <c r="I12826" s="1" t="str">
        <f ca="1">IFERROR(__xludf.DUMMYFUNCTION("GOOGLETRANSLATE(F12826, ""auto"", ""en"")
"),"The car is just cool! !Served faithfully for all 5 years of student life and never let me down, although almost the entire dorm did the laundry!) ​​By the end of the 5th year, the bearing began to hum, but this is not surprising, it almost never turned of"&amp;"f ((The trouble is that you can’t change it like that, you have to change the whole drum with it, and that’s half the cost of the machine. Otherwise, it’s just FIRE))")</f>
        <v>The car is just cool! !Served faithfully for all 5 years of student life and never let me down, although almost the entire dorm did the laundry!) ​​By the end of the 5th year, the bearing began to hum, but this is not surprising, it almost never turned off ((The trouble is that you can’t change it like that, you have to change the whole drum with it, and that’s half the cost of the machine. Otherwise, it’s just FIRE))</v>
      </c>
    </row>
    <row r="12827" spans="1:9" x14ac:dyDescent="0.3">
      <c r="A12827" s="1" t="s">
        <v>1119</v>
      </c>
      <c r="B12827" s="1" t="s">
        <v>1120</v>
      </c>
      <c r="C12827" s="1" t="s">
        <v>97</v>
      </c>
      <c r="D12827" s="1" t="s">
        <v>9386</v>
      </c>
      <c r="E12827" s="1" t="s">
        <v>18006</v>
      </c>
      <c r="F12827" s="1" t="s">
        <v>18007</v>
      </c>
      <c r="G12827" s="1" t="s">
        <v>1580</v>
      </c>
      <c r="H12827" s="1" t="s">
        <v>29</v>
      </c>
      <c r="I12827" s="1" t="str">
        <f ca="1">IFERROR(__xludf.DUMMYFUNCTION("GOOGLETRANSLATE(F12827, ""auto"", ""en"")
"),"Zoom is good.")</f>
        <v>Zoom is good.</v>
      </c>
    </row>
    <row r="12828" spans="1:9" x14ac:dyDescent="0.3">
      <c r="A12828" s="1" t="s">
        <v>149</v>
      </c>
      <c r="B12828" s="1" t="s">
        <v>576</v>
      </c>
      <c r="C12828" s="1" t="s">
        <v>151</v>
      </c>
      <c r="D12828" s="1" t="s">
        <v>1188</v>
      </c>
      <c r="E12828" s="1" t="s">
        <v>971</v>
      </c>
      <c r="F12828" s="1" t="s">
        <v>18008</v>
      </c>
      <c r="G12828" s="1" t="s">
        <v>36</v>
      </c>
      <c r="H12828" s="1" t="s">
        <v>29</v>
      </c>
      <c r="I12828" s="1" t="str">
        <f ca="1">IFERROR(__xludf.DUMMYFUNCTION("GOOGLETRANSLATE(F12828, ""auto"", ""en"")
"),"I liked it, and it moves comfortably, I clean the laminate flooring, and my husband cleans the computer, he really liked it!)))))")</f>
        <v>I liked it, and it moves comfortably, I clean the laminate flooring, and my husband cleans the computer, he really liked it!)))))</v>
      </c>
    </row>
    <row r="12829" spans="1:9" x14ac:dyDescent="0.3">
      <c r="A12829" s="1" t="s">
        <v>149</v>
      </c>
      <c r="B12829" s="1" t="s">
        <v>155</v>
      </c>
      <c r="C12829" s="1" t="s">
        <v>159</v>
      </c>
      <c r="D12829" s="1" t="s">
        <v>39</v>
      </c>
      <c r="E12829" s="1" t="s">
        <v>1695</v>
      </c>
      <c r="F12829" s="1" t="s">
        <v>18009</v>
      </c>
      <c r="G12829" s="1" t="s">
        <v>36</v>
      </c>
      <c r="H12829" s="1" t="s">
        <v>29</v>
      </c>
      <c r="I12829" s="1" t="str">
        <f ca="1">IFERROR(__xludf.DUMMYFUNCTION("GOOGLETRANSLATE(F12829, ""auto"", ""en"")
"),"Excellent vacuum cleaner. I was pleased with the air filtration system. When the vacuum cleaner is operating, you can see how the air flow with dust twists in a spiral in the container. No glass-type filters that clog after five minutes of running the vac"&amp;"uum cleaner. Easy to maintain.  At the outlet of the container there is a filter - a foam sponge, which is easy to wash, and there are two of them in the set.")</f>
        <v>Excellent vacuum cleaner. I was pleased with the air filtration system. When the vacuum cleaner is operating, you can see how the air flow with dust twists in a spiral in the container. No glass-type filters that clog after five minutes of running the vacuum cleaner. Easy to maintain.  At the outlet of the container there is a filter - a foam sponge, which is easy to wash, and there are two of them in the set.</v>
      </c>
    </row>
    <row r="12830" spans="1:9" x14ac:dyDescent="0.3">
      <c r="A12830" s="1" t="s">
        <v>37</v>
      </c>
      <c r="B12830" s="1" t="s">
        <v>536</v>
      </c>
      <c r="C12830" s="1" t="s">
        <v>32</v>
      </c>
      <c r="D12830" s="1" t="s">
        <v>940</v>
      </c>
      <c r="E12830" s="1" t="s">
        <v>717</v>
      </c>
      <c r="F12830" s="1" t="s">
        <v>18010</v>
      </c>
      <c r="G12830" s="1" t="s">
        <v>36</v>
      </c>
      <c r="H12830" s="1" t="s">
        <v>29</v>
      </c>
      <c r="I12830" s="1" t="str">
        <f ca="1">IFERROR(__xludf.DUMMYFUNCTION("GOOGLETRANSLATE(F12830, ""auto"", ""en"")
"),"Good budget Communicator. I've had it for 2 weeks and haven't noticed any shortcomings. The programs installed quickly, the video reading was excellent, the GPS worked for me through the GPS API, and not through com 7 and 4. It took me a long time to set "&amp;"it up, I already wanted to take it back to the store. GSM reception - rating 4.")</f>
        <v>Good budget Communicator. I've had it for 2 weeks and haven't noticed any shortcomings. The programs installed quickly, the video reading was excellent, the GPS worked for me through the GPS API, and not through com 7 and 4. It took me a long time to set it up, I already wanted to take it back to the store. GSM reception - rating 4.</v>
      </c>
    </row>
    <row r="12831" spans="1:9" x14ac:dyDescent="0.3">
      <c r="A12831" s="1" t="s">
        <v>30</v>
      </c>
      <c r="B12831" s="1" t="s">
        <v>50</v>
      </c>
      <c r="C12831" s="1" t="s">
        <v>189</v>
      </c>
      <c r="D12831" s="1" t="s">
        <v>18011</v>
      </c>
      <c r="E12831" s="1" t="s">
        <v>3002</v>
      </c>
      <c r="F12831" s="1" t="s">
        <v>18012</v>
      </c>
      <c r="G12831" s="1" t="s">
        <v>28</v>
      </c>
      <c r="H12831" s="1" t="s">
        <v>29</v>
      </c>
      <c r="I12831" s="1" t="str">
        <f ca="1">IFERROR(__xludf.DUMMYFUNCTION("GOOGLETRANSLATE(F12831, ""auto"", ""en"")
"),"I thought about taking it, but it’s a very weak processor. Well, at least the M500!")</f>
        <v>I thought about taking it, but it’s a very weak processor. Well, at least the M500!</v>
      </c>
    </row>
    <row r="12832" spans="1:9" x14ac:dyDescent="0.3">
      <c r="A12832" s="1" t="s">
        <v>149</v>
      </c>
      <c r="B12832" s="1" t="s">
        <v>155</v>
      </c>
      <c r="C12832" s="1" t="s">
        <v>80</v>
      </c>
      <c r="D12832" s="1" t="s">
        <v>335</v>
      </c>
      <c r="E12832" s="1" t="s">
        <v>16961</v>
      </c>
      <c r="F12832" s="1" t="s">
        <v>18013</v>
      </c>
      <c r="G12832" s="1" t="s">
        <v>36</v>
      </c>
      <c r="H12832" s="1" t="s">
        <v>29</v>
      </c>
      <c r="I12832" s="1" t="str">
        <f ca="1">IFERROR(__xludf.DUMMYFUNCTION("GOOGLETRANSLATE(F12832, ""auto"", ""en"")
"),"Good vacuum cleaner. Very powerful, I use it every day. Everything works great. I haven't found any cons yet. Very convenient.")</f>
        <v>Good vacuum cleaner. Very powerful, I use it every day. Everything works great. I haven't found any cons yet. Very convenient.</v>
      </c>
    </row>
    <row r="12833" spans="1:9" x14ac:dyDescent="0.3">
      <c r="A12833" s="1" t="s">
        <v>477</v>
      </c>
      <c r="B12833" s="1" t="s">
        <v>478</v>
      </c>
      <c r="C12833" s="1" t="s">
        <v>479</v>
      </c>
      <c r="D12833" s="1" t="s">
        <v>3962</v>
      </c>
      <c r="E12833" s="1" t="s">
        <v>1225</v>
      </c>
      <c r="F12833" s="1" t="s">
        <v>18014</v>
      </c>
      <c r="G12833" s="1" t="s">
        <v>28</v>
      </c>
      <c r="H12833" s="1" t="s">
        <v>29</v>
      </c>
      <c r="I12833" s="1" t="str">
        <f ca="1">IFERROR(__xludf.DUMMYFUNCTION("GOOGLETRANSLATE(F12833, ""auto"", ""en"")
"),"the count is wretched - this is -.  An interesting plot is a +.  3 campaigns are also cool (I liked it for someone else's).  The controls are inconvenient, complete crap, but otherwise everything is fine, in short, don’t be afraid to buy!!!")</f>
        <v>the count is wretched - this is -.  An interesting plot is a +.  3 campaigns are also cool (I liked it for someone else's).  The controls are inconvenient, complete crap, but otherwise everything is fine, in short, don’t be afraid to buy!!!</v>
      </c>
    </row>
    <row r="12834" spans="1:9" x14ac:dyDescent="0.3">
      <c r="A12834" s="1" t="s">
        <v>61</v>
      </c>
      <c r="B12834" s="1" t="s">
        <v>318</v>
      </c>
      <c r="C12834" s="1" t="s">
        <v>146</v>
      </c>
      <c r="D12834" s="1" t="s">
        <v>305</v>
      </c>
      <c r="E12834" s="1" t="s">
        <v>1586</v>
      </c>
      <c r="F12834" s="1" t="s">
        <v>18015</v>
      </c>
      <c r="G12834" s="1" t="s">
        <v>36</v>
      </c>
      <c r="H12834" s="1" t="s">
        <v>29</v>
      </c>
      <c r="I12834" s="1" t="str">
        <f ca="1">IFERROR(__xludf.DUMMYFUNCTION("GOOGLETRANSLATE(F12834, ""auto"", ""en"")
"),"The main advantage compared to analogues is that you can turn it off with the same on-off key. The rest have to wait until the water boils (and another at least 20 seconds) until it turns off.")</f>
        <v>The main advantage compared to analogues is that you can turn it off with the same on-off key. The rest have to wait until the water boils (and another at least 20 seconds) until it turns off.</v>
      </c>
    </row>
    <row r="12835" spans="1:9" x14ac:dyDescent="0.3">
      <c r="A12835" s="1" t="s">
        <v>30</v>
      </c>
      <c r="B12835" s="1" t="s">
        <v>50</v>
      </c>
      <c r="C12835" s="1" t="s">
        <v>694</v>
      </c>
      <c r="D12835" s="1" t="s">
        <v>166</v>
      </c>
      <c r="E12835" s="1" t="s">
        <v>41</v>
      </c>
      <c r="F12835" s="1" t="s">
        <v>18016</v>
      </c>
      <c r="G12835" s="1" t="s">
        <v>28</v>
      </c>
      <c r="H12835" s="1" t="s">
        <v>29</v>
      </c>
      <c r="I12835" s="1" t="str">
        <f ca="1">IFERROR(__xludf.DUMMYFUNCTION("GOOGLETRANSLATE(F12835, ""auto"", ""en"")
"),"I’m wondering what to choose when choosing a laptop... I need a compact one, but on which I can work in Photoshop, I understand that 12"" is not enough for graphics, but maybe those who bought this machine have experience in Photoshop, Corel... Share your"&amp;" impressions..")</f>
        <v>I’m wondering what to choose when choosing a laptop... I need a compact one, but on which I can work in Photoshop, I understand that 12" is not enough for graphics, but maybe those who bought this machine have experience in Photoshop, Corel... Share your impressions..</v>
      </c>
    </row>
    <row r="12836" spans="1:9" x14ac:dyDescent="0.3">
      <c r="A12836" s="1" t="s">
        <v>211</v>
      </c>
      <c r="B12836" s="1" t="s">
        <v>265</v>
      </c>
      <c r="C12836" s="1" t="s">
        <v>122</v>
      </c>
      <c r="D12836" s="1" t="s">
        <v>139</v>
      </c>
      <c r="E12836" s="1" t="s">
        <v>5173</v>
      </c>
      <c r="F12836" s="1" t="s">
        <v>18017</v>
      </c>
      <c r="G12836" s="1" t="s">
        <v>36</v>
      </c>
      <c r="H12836" s="1" t="s">
        <v>29</v>
      </c>
      <c r="I12836" s="1" t="str">
        <f ca="1">IFERROR(__xludf.DUMMYFUNCTION("GOOGLETRANSLATE(F12836, ""auto"", ""en"")
"),"The only omission of the developers is that they should have simply clarified that the machine is for a BEARD, and not just hair. And it’s a very decent machine for stubble. Electric razors give me irritation, but this one is a pleasure and is quite short"&amp;" and even. As for the hair on your head, buy a network one (220V) and you will be happy, look in the wrong place!")</f>
        <v>The only omission of the developers is that they should have simply clarified that the machine is for a BEARD, and not just hair. And it’s a very decent machine for stubble. Electric razors give me irritation, but this one is a pleasure and is quite short and even. As for the hair on your head, buy a network one (220V) and you will be happy, look in the wrong place!</v>
      </c>
    </row>
    <row r="12837" spans="1:9" x14ac:dyDescent="0.3">
      <c r="A12837" s="1" t="s">
        <v>61</v>
      </c>
      <c r="B12837" s="1" t="s">
        <v>318</v>
      </c>
      <c r="C12837" s="1" t="s">
        <v>57</v>
      </c>
      <c r="D12837" s="1" t="s">
        <v>327</v>
      </c>
      <c r="E12837" s="1" t="s">
        <v>16029</v>
      </c>
      <c r="F12837" s="1" t="s">
        <v>18018</v>
      </c>
      <c r="G12837" s="1" t="s">
        <v>28</v>
      </c>
      <c r="H12837" s="1" t="s">
        <v>29</v>
      </c>
      <c r="I12837" s="1" t="str">
        <f ca="1">IFERROR(__xludf.DUMMYFUNCTION("GOOGLETRANSLATE(F12837, ""auto"", ""en"")
"),"Compact, convenient. Nice design. ")</f>
        <v xml:space="preserve">Compact, convenient. Nice design. </v>
      </c>
    </row>
    <row r="12838" spans="1:9" x14ac:dyDescent="0.3">
      <c r="A12838" s="1" t="s">
        <v>477</v>
      </c>
      <c r="B12838" s="1" t="s">
        <v>478</v>
      </c>
      <c r="C12838" s="1" t="s">
        <v>479</v>
      </c>
      <c r="D12838" s="1" t="s">
        <v>18019</v>
      </c>
      <c r="E12838" s="1" t="s">
        <v>201</v>
      </c>
      <c r="F12838" s="1" t="s">
        <v>18020</v>
      </c>
      <c r="G12838" s="1" t="s">
        <v>28</v>
      </c>
      <c r="H12838" s="1" t="s">
        <v>29</v>
      </c>
      <c r="I12838" s="1" t="str">
        <f ca="1">IFERROR(__xludf.DUMMYFUNCTION("GOOGLETRANSLATE(F12838, ""auto"", ""en"")
"),"In general, everything is top notch compared to GTA IV: graphics, physics, etc. There are one bugs: the most difficult one is Live, which stubbornly does not want to connect to an account, I had to create a local account so that I could somehow save (but "&amp;"there’s a problem here too - I was looking for a button to create a local account for a day, in the end, Microsoft hid it in a link at the end of the text of the instructions for creating an online account). In short, here's a day. There is a bug with phy"&amp;"sics; when you shoot at someone, they sometimes fly up. In the Maisonette 9 club there is a “hole” behind the sofa where people disappear! :D Because of this I give it ""good"". And the price in Novosibirsk is the lowest. In 1C-Interest and 1C-Magadisk th"&amp;"e game costs 9 rubles more.")</f>
        <v>In general, everything is top notch compared to GTA IV: graphics, physics, etc. There are one bugs: the most difficult one is Live, which stubbornly does not want to connect to an account, I had to create a local account so that I could somehow save (but there’s a problem here too - I was looking for a button to create a local account for a day, in the end, Microsoft hid it in a link at the end of the text of the instructions for creating an online account). In short, here's a day. There is a bug with physics; when you shoot at someone, they sometimes fly up. In the Maisonette 9 club there is a “hole” behind the sofa where people disappear! :D Because of this I give it "good". And the price in Novosibirsk is the lowest. In 1C-Interest and 1C-Magadisk the game costs 9 rubles more.</v>
      </c>
    </row>
    <row r="12839" spans="1:9" x14ac:dyDescent="0.3">
      <c r="A12839" s="1" t="s">
        <v>120</v>
      </c>
      <c r="B12839" s="1" t="s">
        <v>121</v>
      </c>
      <c r="C12839" s="1" t="s">
        <v>1677</v>
      </c>
      <c r="D12839" s="1" t="s">
        <v>18021</v>
      </c>
      <c r="E12839" s="1" t="s">
        <v>956</v>
      </c>
      <c r="F12839" s="1" t="s">
        <v>18022</v>
      </c>
      <c r="G12839" s="1" t="s">
        <v>28</v>
      </c>
      <c r="H12839" s="1" t="s">
        <v>29</v>
      </c>
      <c r="I12839" s="1" t="str">
        <f ca="1">IFERROR(__xludf.DUMMYFUNCTION("GOOGLETRANSLATE(F12839, ""auto"", ""en"")
"),"The TV is not bad, I would even say good for such a price (RUB 20,990). The picture is not very faded (although the contrast is 25000).   The menu suits without pomp.  When connecting to analogue cable TV, a slight graininess is visible (although other mo"&amp;"dels have the same... compared in the store) DVD movies - excellent!   The question is raised by the fact that the TV indicates assembly in Spain, but the website and stores indicate Poland...?  And I don’t know about other users, but the remote control i"&amp;"sn’t very good for me... well, the designers haven’t finalized it. Maybe you can find a remote control (more convenient) from other models?  My rating is a solid 4!")</f>
        <v>The TV is not bad, I would even say good for such a price (RUB 20,990). The picture is not very faded (although the contrast is 25000).   The menu suits without pomp.  When connecting to analogue cable TV, a slight graininess is visible (although other models have the same... compared in the store) DVD movies - excellent!   The question is raised by the fact that the TV indicates assembly in Spain, but the website and stores indicate Poland...?  And I don’t know about other users, but the remote control isn’t very good for me... well, the designers haven’t finalized it. Maybe you can find a remote control (more convenient) from other models?  My rating is a solid 4!</v>
      </c>
    </row>
    <row r="12840" spans="1:9" x14ac:dyDescent="0.3">
      <c r="A12840" s="1" t="s">
        <v>105</v>
      </c>
      <c r="B12840" s="1" t="s">
        <v>106</v>
      </c>
      <c r="C12840" s="1" t="s">
        <v>69</v>
      </c>
      <c r="D12840" s="1" t="s">
        <v>8615</v>
      </c>
      <c r="E12840" s="1" t="s">
        <v>3259</v>
      </c>
      <c r="F12840" s="1" t="s">
        <v>18023</v>
      </c>
      <c r="G12840" s="1" t="s">
        <v>36</v>
      </c>
      <c r="H12840" s="1" t="s">
        <v>29</v>
      </c>
      <c r="I12840" s="1" t="str">
        <f ca="1">IFERROR(__xludf.DUMMYFUNCTION("GOOGLETRANSLATE(F12840, ""auto"", ""en"")
"),"The sound is very good. qualitative! I set the equalizer setting to ""Rock"" and that's it. The interface is also very good. comfortable. The battery lasts for an unrealistically long period. The only negative is that the kit does not come with a charger."&amp;".. (You need to buy it separately) And I recommend it to everyone!")</f>
        <v>The sound is very good. qualitative! I set the equalizer setting to "Rock" and that's it. The interface is also very good. comfortable. The battery lasts for an unrealistically long period. The only negative is that the kit does not come with a charger... (You need to buy it separately) And I recommend it to everyone!</v>
      </c>
    </row>
    <row r="12841" spans="1:9" x14ac:dyDescent="0.3">
      <c r="A12841" s="1" t="s">
        <v>55</v>
      </c>
      <c r="B12841" s="1" t="s">
        <v>56</v>
      </c>
      <c r="C12841" s="1" t="s">
        <v>3651</v>
      </c>
      <c r="D12841" s="1" t="s">
        <v>1295</v>
      </c>
      <c r="E12841" s="1" t="s">
        <v>2153</v>
      </c>
      <c r="F12841" s="1" t="s">
        <v>18024</v>
      </c>
      <c r="G12841" s="1" t="s">
        <v>36</v>
      </c>
      <c r="H12841" s="1" t="s">
        <v>29</v>
      </c>
      <c r="I12841" s="1" t="str">
        <f ca="1">IFERROR(__xludf.DUMMYFUNCTION("GOOGLETRANSLATE(F12841, ""auto"", ""en"")
"),"We were looking for a New Year's gift for friends and saw this humidifier in M ​​Video. The color is bright green, the device is so cute and miniature.  We tested it, it works very quietly. We also liked that it is enough to take a simple plastic bottle u"&amp;"p to 500 ml as a water container. There is no need to pour anything in anywhere, and when the water in the bottle runs out, a signal will sound, or it will automatically turn off.")</f>
        <v>We were looking for a New Year's gift for friends and saw this humidifier in M ​​Video. The color is bright green, the device is so cute and miniature.  We tested it, it works very quietly. We also liked that it is enough to take a simple plastic bottle up to 500 ml as a water container. There is no need to pour anything in anywhere, and when the water in the bottle runs out, a signal will sound, or it will automatically turn off.</v>
      </c>
    </row>
    <row r="12842" spans="1:9" x14ac:dyDescent="0.3">
      <c r="A12842" s="1" t="s">
        <v>43</v>
      </c>
      <c r="B12842" s="1" t="s">
        <v>303</v>
      </c>
      <c r="C12842" s="1" t="s">
        <v>1721</v>
      </c>
      <c r="D12842" s="1" t="s">
        <v>203</v>
      </c>
      <c r="E12842" s="1" t="s">
        <v>1548</v>
      </c>
      <c r="F12842" s="1" t="s">
        <v>18025</v>
      </c>
      <c r="G12842" s="1" t="s">
        <v>15</v>
      </c>
      <c r="H12842" s="1" t="s">
        <v>16</v>
      </c>
      <c r="I12842" s="1" t="str">
        <f ca="1">IFERROR(__xludf.DUMMYFUNCTION("GOOGLETRANSLATE(F12842, ""auto"", ""en"")
"),"The first tank I bought was 100 liters, it was enough for 3 years, the second was enough for 2 years, and everyone’s tank depressurized and I will change it.")</f>
        <v>The first tank I bought was 100 liters, it was enough for 3 years, the second was enough for 2 years, and everyone’s tank depressurized and I will change it.</v>
      </c>
    </row>
    <row r="12843" spans="1:9" x14ac:dyDescent="0.3">
      <c r="A12843" s="1" t="s">
        <v>37</v>
      </c>
      <c r="B12843" s="1" t="s">
        <v>38</v>
      </c>
      <c r="C12843" s="1" t="s">
        <v>151</v>
      </c>
      <c r="D12843" s="1" t="s">
        <v>18026</v>
      </c>
      <c r="E12843" s="1" t="s">
        <v>5126</v>
      </c>
      <c r="F12843" s="1" t="s">
        <v>18027</v>
      </c>
      <c r="G12843" s="1" t="s">
        <v>36</v>
      </c>
      <c r="H12843" s="1" t="s">
        <v>29</v>
      </c>
      <c r="I12843" s="1" t="str">
        <f ca="1">IFERROR(__xludf.DUMMYFUNCTION("GOOGLETRANSLATE(F12843, ""auto"", ""en"")
"),"...I bought a phone on December 21, I’m very pleased, for that kind of money you can’t find such functions, it’s very convenient and easy to use))... when you connect a headset (player, radio) everything works, Ksenia, maybe you forgot to remove the lock)"&amp;"))... the only negative is that you can’t delete the factory music or move it to a separate folder!!!!... and so folders are created and throw whatever you want into them)))... it’s a pity that it’s not included in the package there is a flash drive and t"&amp;"he headphones are really not comfortable.... it’s good that the jack is 3.5 mm, so you can insert any... this is good)))... now about the battery - where they say up to 400 hours, where up to 650 hours... in general, in a day of getting to know it... list"&amp;"ening to Mouzon, talking and for every press I have a vibrator - only one stick out of 5 has decreased... I think a day It will last 3-4...and maybe more)))...doesn’t glitch at all and doesn’t slow down...WIDGETS scroll through easily without delays)))..."&amp;"in general, I ADVISE EVERYONE....- this is the best purchase for the NEW YEAR))))... HAPPY UPCOMING ALL))))")</f>
        <v>...I bought a phone on December 21, I’m very pleased, for that kind of money you can’t find such functions, it’s very convenient and easy to use))... when you connect a headset (player, radio) everything works, Ksenia, maybe you forgot to remove the lock)))... the only negative is that you can’t delete the factory music or move it to a separate folder!!!!... and so folders are created and throw whatever you want into them)))... it’s a pity that it’s not included in the package there is a flash drive and the headphones are really not comfortable.... it’s good that the jack is 3.5 mm, so you can insert any... this is good)))... now about the battery - where they say up to 400 hours, where up to 650 hours... in general, in a day of getting to know it... listening to Mouzon, talking and for every press I have a vibrator - only one stick out of 5 has decreased... I think a day It will last 3-4...and maybe more)))...doesn’t glitch at all and doesn’t slow down...WIDGETS scroll through easily without delays)))...in general, I ADVISE EVERYONE....- this is the best purchase for the NEW YEAR))))... HAPPY UPCOMING ALL))))</v>
      </c>
    </row>
    <row r="12844" spans="1:9" x14ac:dyDescent="0.3">
      <c r="A12844" s="1" t="s">
        <v>33</v>
      </c>
      <c r="B12844" s="1" t="s">
        <v>12865</v>
      </c>
      <c r="C12844" s="1" t="s">
        <v>11191</v>
      </c>
      <c r="D12844" s="1" t="s">
        <v>46</v>
      </c>
      <c r="E12844" s="1" t="s">
        <v>18028</v>
      </c>
      <c r="F12844" s="1" t="s">
        <v>18029</v>
      </c>
      <c r="G12844" s="1" t="s">
        <v>36</v>
      </c>
      <c r="H12844" s="1" t="s">
        <v>29</v>
      </c>
      <c r="I12844" s="1" t="str">
        <f ca="1">IFERROR(__xludf.DUMMYFUNCTION("GOOGLETRANSLATE(F12844, ""auto"", ""en"")
"),"A great gift for those who care about their health! It motivates me very much and my husband bought it for himself, let’s compete!")</f>
        <v>A great gift for those who care about their health! It motivates me very much and my husband bought it for himself, let’s compete!</v>
      </c>
    </row>
    <row r="12845" spans="1:9" x14ac:dyDescent="0.3">
      <c r="A12845" s="1" t="s">
        <v>211</v>
      </c>
      <c r="B12845" s="1" t="s">
        <v>212</v>
      </c>
      <c r="C12845" s="1" t="s">
        <v>381</v>
      </c>
      <c r="D12845" s="1" t="s">
        <v>46</v>
      </c>
      <c r="E12845" s="1" t="s">
        <v>1350</v>
      </c>
      <c r="F12845" s="1" t="s">
        <v>18030</v>
      </c>
      <c r="G12845" s="1" t="s">
        <v>36</v>
      </c>
      <c r="H12845" s="1" t="s">
        <v>29</v>
      </c>
      <c r="I12845" s="1" t="str">
        <f ca="1">IFERROR(__xludf.DUMMYFUNCTION("GOOGLETRANSLATE(F12845, ""auto"", ""en"")
"),"The hair dryer is great! It dries hair quickly (quite powerful), is light in the hand and is convenient because it has a rubberized body - it does not slip out of your hands. I have been using it daily for 3 years now and have not experienced any problems"&amp;". It doesn’t buzz, doesn’t squeak, and nothing has fallen off, although I always take it with me on trips.")</f>
        <v>The hair dryer is great! It dries hair quickly (quite powerful), is light in the hand and is convenient because it has a rubberized body - it does not slip out of your hands. I have been using it daily for 3 years now and have not experienced any problems. It doesn’t buzz, doesn’t squeak, and nothing has fallen off, although I always take it with me on trips.</v>
      </c>
    </row>
    <row r="12846" spans="1:9" x14ac:dyDescent="0.3">
      <c r="A12846" s="1" t="s">
        <v>89</v>
      </c>
      <c r="B12846" s="1" t="s">
        <v>90</v>
      </c>
      <c r="C12846" s="1" t="s">
        <v>57</v>
      </c>
      <c r="D12846" s="1" t="s">
        <v>5825</v>
      </c>
      <c r="E12846" s="1" t="s">
        <v>7307</v>
      </c>
      <c r="F12846" s="1" t="s">
        <v>18031</v>
      </c>
      <c r="G12846" s="1" t="s">
        <v>36</v>
      </c>
      <c r="H12846" s="1" t="s">
        <v>29</v>
      </c>
      <c r="I12846" s="1" t="str">
        <f ca="1">IFERROR(__xludf.DUMMYFUNCTION("GOOGLETRANSLATE(F12846, ""auto"", ""en"")
"),"The best product of 2016 for me is the coffee grinder. It copes with its responsibility perfectly and is also very easy to control. Moreover, if I closed something wrong, it won’t turn on. When working, you do not need to hold the lid on top, which you al"&amp;"most always have to do with cheap coffee grinders.   The design is modern, perfect for a hi-tech kitchen.   By the way, it’s better not to grind baby cereal in it; all coffee grinders don’t like it, but for some reason all young mothers really like it.")</f>
        <v>The best product of 2016 for me is the coffee grinder. It copes with its responsibility perfectly and is also very easy to control. Moreover, if I closed something wrong, it won’t turn on. When working, you do not need to hold the lid on top, which you almost always have to do with cheap coffee grinders.   The design is modern, perfect for a hi-tech kitchen.   By the way, it’s better not to grind baby cereal in it; all coffee grinders don’t like it, but for some reason all young mothers really like it.</v>
      </c>
    </row>
    <row r="12847" spans="1:9" x14ac:dyDescent="0.3">
      <c r="A12847" s="1" t="s">
        <v>211</v>
      </c>
      <c r="B12847" s="1" t="s">
        <v>265</v>
      </c>
      <c r="C12847" s="1" t="s">
        <v>294</v>
      </c>
      <c r="D12847" s="1" t="s">
        <v>186</v>
      </c>
      <c r="E12847" s="1" t="s">
        <v>359</v>
      </c>
      <c r="F12847" s="1" t="s">
        <v>18032</v>
      </c>
      <c r="G12847" s="1" t="s">
        <v>94</v>
      </c>
      <c r="H12847" s="1" t="s">
        <v>29</v>
      </c>
      <c r="I12847" s="1" t="str">
        <f ca="1">IFERROR(__xludf.DUMMYFUNCTION("GOOGLETRANSLATE(F12847, ""auto"", ""en"")
"),"Nozzles and their length, cutting quality, reliability and durability")</f>
        <v>Nozzles and their length, cutting quality, reliability and durability</v>
      </c>
    </row>
    <row r="12848" spans="1:9" x14ac:dyDescent="0.3">
      <c r="A12848" s="1" t="s">
        <v>89</v>
      </c>
      <c r="B12848" s="1" t="s">
        <v>90</v>
      </c>
      <c r="C12848" s="1" t="s">
        <v>57</v>
      </c>
      <c r="D12848" s="1" t="s">
        <v>742</v>
      </c>
      <c r="E12848" s="1" t="s">
        <v>2165</v>
      </c>
      <c r="F12848" s="1" t="s">
        <v>18033</v>
      </c>
      <c r="G12848" s="1" t="s">
        <v>49</v>
      </c>
      <c r="H12848" s="1" t="s">
        <v>16</v>
      </c>
      <c r="I12848" s="1" t="str">
        <f ca="1">IFERROR(__xludf.DUMMYFUNCTION("GOOGLETRANSLATE(F12848, ""auto"", ""en"")
"),"The coffee grinder is BAD. The cord does not wrap. The grind is VERY coarse.")</f>
        <v>The coffee grinder is BAD. The cord does not wrap. The grind is VERY coarse.</v>
      </c>
    </row>
    <row r="12849" spans="1:9" x14ac:dyDescent="0.3">
      <c r="A12849" s="1" t="s">
        <v>37</v>
      </c>
      <c r="B12849" s="1" t="s">
        <v>536</v>
      </c>
      <c r="C12849" s="1" t="s">
        <v>163</v>
      </c>
      <c r="D12849" s="1" t="s">
        <v>171</v>
      </c>
      <c r="E12849" s="1" t="s">
        <v>708</v>
      </c>
      <c r="F12849" s="1" t="s">
        <v>18034</v>
      </c>
      <c r="G12849" s="1" t="s">
        <v>15</v>
      </c>
      <c r="H12849" s="1" t="s">
        <v>16</v>
      </c>
      <c r="I12849" s="1" t="str">
        <f ca="1">IFERROR(__xludf.DUMMYFUNCTION("GOOGLETRANSLATE(F12849, ""auto"", ""en"")
"),"Very boring phone! Small symbols, it slows down terribly, some hints constantly pop up out of topic. GLIGGY! It reboots itself or just turns off. I have to take out the battery. By the way, it comes out easily, you just need to shake the phone and the bac"&amp;"k cover falls off on its own and the battery along with it. By the way, the stylus also falls out on its own... And it’s also hard to hear the interlocutor during a conversation.  I always want to destroy him!")</f>
        <v>Very boring phone! Small symbols, it slows down terribly, some hints constantly pop up out of topic. GLIGGY! It reboots itself or just turns off. I have to take out the battery. By the way, it comes out easily, you just need to shake the phone and the back cover falls off on its own and the battery along with it. By the way, the stylus also falls out on its own... And it’s also hard to hear the interlocutor during a conversation.  I always want to destroy him!</v>
      </c>
    </row>
    <row r="12850" spans="1:9" x14ac:dyDescent="0.3">
      <c r="A12850" s="1" t="s">
        <v>624</v>
      </c>
      <c r="B12850" s="1" t="s">
        <v>625</v>
      </c>
      <c r="C12850" s="1" t="s">
        <v>479</v>
      </c>
      <c r="D12850" s="1" t="s">
        <v>18035</v>
      </c>
      <c r="E12850" s="1" t="s">
        <v>3089</v>
      </c>
      <c r="F12850" s="1" t="s">
        <v>18036</v>
      </c>
      <c r="G12850" s="1" t="s">
        <v>36</v>
      </c>
      <c r="H12850" s="1" t="s">
        <v>29</v>
      </c>
      <c r="I12850" s="1" t="str">
        <f ca="1">IFERROR(__xludf.DUMMYFUNCTION("GOOGLETRANSLATE(F12850, ""auto"", ""en"")
"),"The game is normal. The plot is well thought out.")</f>
        <v>The game is normal. The plot is well thought out.</v>
      </c>
    </row>
    <row r="12851" spans="1:9" x14ac:dyDescent="0.3">
      <c r="A12851" s="1" t="s">
        <v>211</v>
      </c>
      <c r="B12851" s="1" t="s">
        <v>899</v>
      </c>
      <c r="C12851" s="1" t="s">
        <v>69</v>
      </c>
      <c r="D12851" s="1" t="s">
        <v>3253</v>
      </c>
      <c r="E12851" s="1" t="s">
        <v>3254</v>
      </c>
      <c r="F12851" s="1" t="s">
        <v>18037</v>
      </c>
      <c r="G12851" s="1" t="s">
        <v>28</v>
      </c>
      <c r="H12851" s="1" t="s">
        <v>29</v>
      </c>
      <c r="I12851" s="1" t="str">
        <f ca="1">IFERROR(__xludf.DUMMYFUNCTION("GOOGLETRANSLATE(F12851, ""auto"", ""en"")
"),"I made myself a gift for the New Year. I was very pleased. There are a couple of disadvantages, but it's tolerable. Minus 1: I personally really miss the charging indicator. Minus 2: maybe this is my flaw, but I didn’t really understand how and when to ch"&amp;"arge it. Either it needs to be completely discharged, or it’s not necessary. Whatever it is, everything is described in the instructions. It cleans well. It fits comfortably in the hand. The attachments are not expensive (two for 420 rubles). Price and qu"&amp;"ality are perfectly matched.")</f>
        <v>I made myself a gift for the New Year. I was very pleased. There are a couple of disadvantages, but it's tolerable. Minus 1: I personally really miss the charging indicator. Minus 2: maybe this is my flaw, but I didn’t really understand how and when to charge it. Either it needs to be completely discharged, or it’s not necessary. Whatever it is, everything is described in the instructions. It cleans well. It fits comfortably in the hand. The attachments are not expensive (two for 420 rubles). Price and quality are perfectly matched.</v>
      </c>
    </row>
    <row r="12852" spans="1:9" x14ac:dyDescent="0.3">
      <c r="A12852" s="1" t="s">
        <v>369</v>
      </c>
      <c r="B12852" s="1" t="s">
        <v>370</v>
      </c>
      <c r="C12852" s="1" t="s">
        <v>63</v>
      </c>
      <c r="D12852" s="1" t="s">
        <v>305</v>
      </c>
      <c r="E12852" s="1" t="s">
        <v>932</v>
      </c>
      <c r="F12852" s="1" t="s">
        <v>18038</v>
      </c>
      <c r="G12852" s="1" t="s">
        <v>36</v>
      </c>
      <c r="H12852" s="1" t="s">
        <v>29</v>
      </c>
      <c r="I12852" s="1" t="str">
        <f ca="1">IFERROR(__xludf.DUMMYFUNCTION("GOOGLETRANSLATE(F12852, ""auto"", ""en"")
"),"We have been using it for a relatively short time, about a month, but during this time the stove has shown itself to be simply wonderful! You can say the oven bakes itself, you just need to put it in and take it away without thinking about what will burn "&amp;"or not, or whether it will burn or not! The burners heat up instantly and cooking does not take much time. Overall, an excellent stove - I recommend it to everyone!")</f>
        <v>We have been using it for a relatively short time, about a month, but during this time the stove has shown itself to be simply wonderful! You can say the oven bakes itself, you just need to put it in and take it away without thinking about what will burn or not, or whether it will burn or not! The burners heat up instantly and cooking does not take much time. Overall, an excellent stove - I recommend it to everyone!</v>
      </c>
    </row>
    <row r="12853" spans="1:9" x14ac:dyDescent="0.3">
      <c r="A12853" s="1" t="s">
        <v>149</v>
      </c>
      <c r="B12853" s="1" t="s">
        <v>423</v>
      </c>
      <c r="C12853" s="1" t="s">
        <v>531</v>
      </c>
      <c r="D12853" s="1" t="s">
        <v>18039</v>
      </c>
      <c r="E12853" s="1" t="s">
        <v>1978</v>
      </c>
      <c r="F12853" s="1" t="s">
        <v>18040</v>
      </c>
      <c r="G12853" s="1" t="s">
        <v>36</v>
      </c>
      <c r="H12853" s="1" t="s">
        <v>29</v>
      </c>
      <c r="I12853" s="1" t="str">
        <f ca="1">IFERROR(__xludf.DUMMYFUNCTION("GOOGLETRANSLATE(F12853, ""auto"", ""en"")
"),"I also spent a long time choosing a vacuum cleaner brand, reading reviews on the Internet. I chose this particular model! The vacuum cleaner is excellent! I have a small child, so cleanliness of the floors is a very pressing issue! Very powerful, maneuver"&amp;"able, quickly assembled, easy to move around the apartment (I had to vacuum a couple of times with a child in my arms). The only thing is that it takes a long time to wash, but this is a matter of habit. As for storage, it fits in my pantry under the bott"&amp;"om shelf, and I just twist the hose on top like a bagel, it’s very convenient, you roll it out and go to work!")</f>
        <v>I also spent a long time choosing a vacuum cleaner brand, reading reviews on the Internet. I chose this particular model! The vacuum cleaner is excellent! I have a small child, so cleanliness of the floors is a very pressing issue! Very powerful, maneuverable, quickly assembled, easy to move around the apartment (I had to vacuum a couple of times with a child in my arms). The only thing is that it takes a long time to wash, but this is a matter of habit. As for storage, it fits in my pantry under the bottom shelf, and I just twist the hose on top like a bagel, it’s very convenient, you roll it out and go to work!</v>
      </c>
    </row>
    <row r="12854" spans="1:9" x14ac:dyDescent="0.3">
      <c r="A12854" s="1" t="s">
        <v>149</v>
      </c>
      <c r="B12854" s="1" t="s">
        <v>576</v>
      </c>
      <c r="C12854" s="1" t="s">
        <v>159</v>
      </c>
      <c r="D12854" s="1" t="s">
        <v>8321</v>
      </c>
      <c r="E12854" s="1" t="s">
        <v>3233</v>
      </c>
      <c r="F12854" s="1" t="s">
        <v>18041</v>
      </c>
      <c r="G12854" s="1" t="s">
        <v>36</v>
      </c>
      <c r="H12854" s="1" t="s">
        <v>29</v>
      </c>
      <c r="I12854" s="1" t="str">
        <f ca="1">IFERROR(__xludf.DUMMYFUNCTION("GOOGLETRANSLATE(F12854, ""auto"", ""en"")
"),"very good vacuum cleaner, I'm satisfied.")</f>
        <v>very good vacuum cleaner, I'm satisfied.</v>
      </c>
    </row>
    <row r="12855" spans="1:9" x14ac:dyDescent="0.3">
      <c r="A12855" s="1" t="s">
        <v>61</v>
      </c>
      <c r="B12855" s="1" t="s">
        <v>318</v>
      </c>
      <c r="C12855" s="1" t="s">
        <v>57</v>
      </c>
      <c r="D12855" s="1" t="s">
        <v>1506</v>
      </c>
      <c r="E12855" s="1" t="s">
        <v>4896</v>
      </c>
      <c r="F12855" s="1" t="s">
        <v>18042</v>
      </c>
      <c r="G12855" s="1" t="s">
        <v>28</v>
      </c>
      <c r="H12855" s="1" t="s">
        <v>29</v>
      </c>
      <c r="I12855" s="1" t="str">
        <f ca="1">IFERROR(__xludf.DUMMYFUNCTION("GOOGLETRANSLATE(F12855, ""auto"", ""en"")
"),"We bought this kettle because of its unusual design.     Cons: When boiling, the noise drowns out the sound of the TV.  After half a year, the lid stopped closing completely, you have to pry the button with a knife to close it, otherwise it won’t turn off"&amp;" when it boils. After 1.5 years, it suddenly turned off when boiling, when it was turned on again it did not boil, while the red backlight was on, and when turned off the blue backlight did not light up.     Pros: Beautiful design Fast boiling")</f>
        <v>We bought this kettle because of its unusual design.     Cons: When boiling, the noise drowns out the sound of the TV.  After half a year, the lid stopped closing completely, you have to pry the button with a knife to close it, otherwise it won’t turn off when it boils. After 1.5 years, it suddenly turned off when boiling, when it was turned on again it did not boil, while the red backlight was on, and when turned off the blue backlight did not light up.     Pros: Beautiful design Fast boiling</v>
      </c>
    </row>
    <row r="12856" spans="1:9" x14ac:dyDescent="0.3">
      <c r="A12856" s="1" t="s">
        <v>17</v>
      </c>
      <c r="B12856" s="1" t="s">
        <v>325</v>
      </c>
      <c r="C12856" s="1" t="s">
        <v>326</v>
      </c>
      <c r="D12856" s="1" t="s">
        <v>2527</v>
      </c>
      <c r="E12856" s="1" t="s">
        <v>17177</v>
      </c>
      <c r="F12856" s="1" t="s">
        <v>18043</v>
      </c>
      <c r="G12856" s="1" t="s">
        <v>36</v>
      </c>
      <c r="H12856" s="1" t="s">
        <v>29</v>
      </c>
      <c r="I12856" s="1" t="str">
        <f ca="1">IFERROR(__xludf.DUMMYFUNCTION("GOOGLETRANSLATE(F12856, ""auto"", ""en"")
"),"Does this machine have a spin???  ▶▶▶EXPERT ANSWER “M.VIDEO”◀◀◀ This model does not have a spin function")</f>
        <v>Does this machine have a spin???  ▶▶▶EXPERT ANSWER “M.VIDEO”◀◀◀ This model does not have a spin function</v>
      </c>
    </row>
    <row r="12857" spans="1:9" x14ac:dyDescent="0.3">
      <c r="A12857" s="1" t="s">
        <v>61</v>
      </c>
      <c r="B12857" s="1" t="s">
        <v>73</v>
      </c>
      <c r="C12857" s="1" t="s">
        <v>146</v>
      </c>
      <c r="D12857" s="1" t="s">
        <v>280</v>
      </c>
      <c r="E12857" s="1" t="s">
        <v>1929</v>
      </c>
      <c r="F12857" s="1" t="s">
        <v>18044</v>
      </c>
      <c r="G12857" s="1" t="s">
        <v>36</v>
      </c>
      <c r="H12857" s="1" t="s">
        <v>29</v>
      </c>
      <c r="I12857" s="1" t="str">
        <f ca="1">IFERROR(__xludf.DUMMYFUNCTION("GOOGLETRANSLATE(F12857, ""auto"", ""en"")
"),"I bought it for a small dining room, the cook is happy. I’m going for one more (two dining rooms)")</f>
        <v>I bought it for a small dining room, the cook is happy. I’m going for one more (two dining rooms)</v>
      </c>
    </row>
    <row r="12858" spans="1:9" x14ac:dyDescent="0.3">
      <c r="A12858" s="1" t="s">
        <v>624</v>
      </c>
      <c r="B12858" s="1" t="s">
        <v>625</v>
      </c>
      <c r="C12858" s="1" t="s">
        <v>479</v>
      </c>
      <c r="D12858" s="1" t="s">
        <v>13305</v>
      </c>
      <c r="E12858" s="1" t="s">
        <v>1403</v>
      </c>
      <c r="F12858" s="1" t="s">
        <v>18045</v>
      </c>
      <c r="G12858" s="1" t="s">
        <v>36</v>
      </c>
      <c r="H12858" s="1" t="s">
        <v>29</v>
      </c>
      <c r="I12858" s="1" t="str">
        <f ca="1">IFERROR(__xludf.DUMMYFUNCTION("GOOGLETRANSLATE(F12858, ""auto"", ""en"")
"),"The game is excellent, I recommend it to all fans of this genre, by the way, I really liked the short film!!!")</f>
        <v>The game is excellent, I recommend it to all fans of this genre, by the way, I really liked the short film!!!</v>
      </c>
    </row>
    <row r="12859" spans="1:9" x14ac:dyDescent="0.3">
      <c r="A12859" s="1" t="s">
        <v>169</v>
      </c>
      <c r="B12859" s="1" t="s">
        <v>170</v>
      </c>
      <c r="C12859" s="1" t="s">
        <v>97</v>
      </c>
      <c r="D12859" s="1" t="s">
        <v>4776</v>
      </c>
      <c r="E12859" s="1" t="s">
        <v>6937</v>
      </c>
      <c r="F12859" s="1" t="s">
        <v>18046</v>
      </c>
      <c r="G12859" s="1" t="s">
        <v>36</v>
      </c>
      <c r="H12859" s="1" t="s">
        <v>29</v>
      </c>
      <c r="I12859" s="1" t="str">
        <f ca="1">IFERROR(__xludf.DUMMYFUNCTION("GOOGLETRANSLATE(F12859, ""auto"", ""en"")
"),"I bought this model of headphones for music programs as a novice DJ. I listened to many in the range up to 2000r. I compared cheap Philips and Senheizer for 2000. To my surprise, they sounded equally bad in terms of quality, and they didn’t fit well on my"&amp;" head. After listening to several more versions I settled on these. They fit simply gorgeous on your head, the plastic is soft, the speakers are movable, and the volume is one and a half times higher than the same senheizer. Excellent clean sound.    Now "&amp;"the cons. If you don’t have an amplifier or a separate sound card for headphones (fortunately, I do) and you choose headphones for a player or computer, the Sony MDR-XD100 without an amplifier is unlikely to handle even half the power... it has a resistan"&amp;"ce of 70 ohms.    And if you don’t skimp and add a couple more thousand, the best choice is the Sony MDR-XB500 Black. Soft, spacious, but at the same time powerful bass and clear sound throughout the entire track) you certainly don’t need anything else! m"&amp;"y ears won't stand it))) I'm happy with the purchase! I've been wearing headphones for 24 hours now and I can't stop listening =)")</f>
        <v>I bought this model of headphones for music programs as a novice DJ. I listened to many in the range up to 2000r. I compared cheap Philips and Senheizer for 2000. To my surprise, they sounded equally bad in terms of quality, and they didn’t fit well on my head. After listening to several more versions I settled on these. They fit simply gorgeous on your head, the plastic is soft, the speakers are movable, and the volume is one and a half times higher than the same senheizer. Excellent clean sound.    Now the cons. If you don’t have an amplifier or a separate sound card for headphones (fortunately, I do) and you choose headphones for a player or computer, the Sony MDR-XD100 without an amplifier is unlikely to handle even half the power... it has a resistance of 70 ohms.    And if you don’t skimp and add a couple more thousand, the best choice is the Sony MDR-XB500 Black. Soft, spacious, but at the same time powerful bass and clear sound throughout the entire track) you certainly don’t need anything else! my ears won't stand it))) I'm happy with the purchase! I've been wearing headphones for 24 hours now and I can't stop listening =)</v>
      </c>
    </row>
    <row r="12860" spans="1:9" x14ac:dyDescent="0.3">
      <c r="A12860" s="1" t="s">
        <v>61</v>
      </c>
      <c r="B12860" s="1" t="s">
        <v>224</v>
      </c>
      <c r="C12860" s="1" t="s">
        <v>74</v>
      </c>
      <c r="D12860" s="1" t="s">
        <v>1383</v>
      </c>
      <c r="E12860" s="1" t="s">
        <v>6098</v>
      </c>
      <c r="F12860" s="1" t="s">
        <v>18047</v>
      </c>
      <c r="G12860" s="1" t="s">
        <v>49</v>
      </c>
      <c r="H12860" s="1" t="s">
        <v>16</v>
      </c>
      <c r="I12860" s="1" t="str">
        <f ca="1">IFERROR(__xludf.DUMMYFUNCTION("GOOGLETRANSLATE(F12860, ""auto"", ""en"")
"),"Instead of juice, I get puree, I’m not happy, and after preparing carrot juice, the machine stopped working altogether (3 carrots per glass). Now I’m going to take it in for warranty repair, it worked for two days.")</f>
        <v>Instead of juice, I get puree, I’m not happy, and after preparing carrot juice, the machine stopped working altogether (3 carrots per glass). Now I’m going to take it in for warranty repair, it worked for two days.</v>
      </c>
    </row>
    <row r="12861" spans="1:9" x14ac:dyDescent="0.3">
      <c r="A12861" s="1" t="s">
        <v>206</v>
      </c>
      <c r="B12861" s="1" t="s">
        <v>261</v>
      </c>
      <c r="C12861" s="1" t="s">
        <v>45</v>
      </c>
      <c r="D12861" s="1" t="s">
        <v>81</v>
      </c>
      <c r="E12861" s="1" t="s">
        <v>1387</v>
      </c>
      <c r="F12861" s="1" t="s">
        <v>18048</v>
      </c>
      <c r="G12861" s="1" t="s">
        <v>49</v>
      </c>
      <c r="H12861" s="1" t="s">
        <v>16</v>
      </c>
      <c r="I12861" s="1" t="str">
        <f ca="1">IFERROR(__xludf.DUMMYFUNCTION("GOOGLETRANSLATE(F12861, ""auto"", ""en"")
"),"Compared to others, it only reads mp3, there is no talk of any wma, it does not support usb flash drives less than 1gb. Inconvenient buttons, no support for subfolders - everything is a mess. No RDS....And so on.....")</f>
        <v>Compared to others, it only reads mp3, there is no talk of any wma, it does not support usb flash drives less than 1gb. Inconvenient buttons, no support for subfolders - everything is a mess. No RDS....And so on.....</v>
      </c>
    </row>
    <row r="12862" spans="1:9" x14ac:dyDescent="0.3">
      <c r="A12862" s="1" t="s">
        <v>9</v>
      </c>
      <c r="B12862" s="1" t="s">
        <v>133</v>
      </c>
      <c r="C12862" s="1" t="s">
        <v>24</v>
      </c>
      <c r="D12862" s="1" t="s">
        <v>934</v>
      </c>
      <c r="E12862" s="1" t="s">
        <v>395</v>
      </c>
      <c r="F12862" s="1" t="s">
        <v>18049</v>
      </c>
      <c r="G12862" s="1" t="s">
        <v>36</v>
      </c>
      <c r="H12862" s="1" t="s">
        <v>29</v>
      </c>
      <c r="I12862" s="1" t="str">
        <f ca="1">IFERROR(__xludf.DUMMYFUNCTION("GOOGLETRANSLATE(F12862, ""auto"", ""en"")
"),"This is not a gas control problem. A simple security system to prevent a child from starting an arson)))")</f>
        <v>This is not a gas control problem. A simple security system to prevent a child from starting an arson)))</v>
      </c>
    </row>
    <row r="12863" spans="1:9" x14ac:dyDescent="0.3">
      <c r="A12863" s="1" t="s">
        <v>149</v>
      </c>
      <c r="B12863" s="1" t="s">
        <v>576</v>
      </c>
      <c r="C12863" s="1" t="s">
        <v>80</v>
      </c>
      <c r="D12863" s="1" t="s">
        <v>64</v>
      </c>
      <c r="E12863" s="1" t="s">
        <v>8648</v>
      </c>
      <c r="F12863" s="1" t="s">
        <v>18050</v>
      </c>
      <c r="G12863" s="1" t="s">
        <v>49</v>
      </c>
      <c r="H12863" s="1" t="s">
        <v>16</v>
      </c>
      <c r="I12863" s="1" t="str">
        <f ca="1">IFERROR(__xludf.DUMMYFUNCTION("GOOGLETRANSLATE(F12863, ""auto"", ""en"")
"),"We’ve been using it for two years now, but in the first month the brush under the brush fell off. The main brush constantly gets clogged. It turns off for a long time, you can’t really vacuum it calmly. The cord is short. The tube on which the brush is at"&amp;"tached has also fallen off since new. It smells strongly, makes noise. Doesn’t suck up dirt well.")</f>
        <v>We’ve been using it for two years now, but in the first month the brush under the brush fell off. The main brush constantly gets clogged. It turns off for a long time, you can’t really vacuum it calmly. The cord is short. The tube on which the brush is attached has also fallen off since new. It smells strongly, makes noise. Doesn’t suck up dirt well.</v>
      </c>
    </row>
    <row r="12864" spans="1:9" x14ac:dyDescent="0.3">
      <c r="A12864" s="1" t="s">
        <v>451</v>
      </c>
      <c r="B12864" s="1" t="s">
        <v>452</v>
      </c>
      <c r="C12864" s="1" t="s">
        <v>710</v>
      </c>
      <c r="D12864" s="1" t="s">
        <v>58</v>
      </c>
      <c r="E12864" s="1" t="s">
        <v>6074</v>
      </c>
      <c r="F12864" s="1" t="s">
        <v>18051</v>
      </c>
      <c r="G12864" s="1" t="s">
        <v>49</v>
      </c>
      <c r="H12864" s="1" t="s">
        <v>16</v>
      </c>
      <c r="I12864" s="1" t="str">
        <f ca="1">IFERROR(__xludf.DUMMYFUNCTION("GOOGLETRANSLATE(F12864, ""auto"", ""en"")
"),"No comment ")</f>
        <v xml:space="preserve">No comment </v>
      </c>
    </row>
    <row r="12865" spans="1:9" x14ac:dyDescent="0.3">
      <c r="A12865" s="1" t="s">
        <v>37</v>
      </c>
      <c r="B12865" s="1" t="s">
        <v>536</v>
      </c>
      <c r="C12865" s="1" t="s">
        <v>1419</v>
      </c>
      <c r="D12865" s="1" t="s">
        <v>305</v>
      </c>
      <c r="E12865" s="1" t="s">
        <v>115</v>
      </c>
      <c r="F12865" s="1" t="s">
        <v>18052</v>
      </c>
      <c r="G12865" s="1" t="s">
        <v>36</v>
      </c>
      <c r="H12865" s="1" t="s">
        <v>29</v>
      </c>
      <c r="I12865" s="1" t="str">
        <f ca="1">IFERROR(__xludf.DUMMYFUNCTION("GOOGLETRANSLATE(F12865, ""auto"", ""en"")
"),"Excellent device. Powerful processor, works great with any program. Navitel is an excellent navigation program, updated every 3 months. Depending on your needs, you can install any software.  Unlike ROVER X7, it works well in the area of ​​​​uncertain rec"&amp;"eption. About the build quality, I read previous reviews, Dmitry is right, when purchasing, carefully inspect the device, I have no complaints. It is surprising and pleasantly pleasing that it was made in Russia. As a result, if you take into account the "&amp;"price, quality and functionality, you will get an excellent device.")</f>
        <v>Excellent device. Powerful processor, works great with any program. Navitel is an excellent navigation program, updated every 3 months. Depending on your needs, you can install any software.  Unlike ROVER X7, it works well in the area of ​​​​uncertain reception. About the build quality, I read previous reviews, Dmitry is right, when purchasing, carefully inspect the device, I have no complaints. It is surprising and pleasantly pleasing that it was made in Russia. As a result, if you take into account the price, quality and functionality, you will get an excellent device.</v>
      </c>
    </row>
    <row r="12866" spans="1:9" x14ac:dyDescent="0.3">
      <c r="A12866" s="1" t="s">
        <v>30</v>
      </c>
      <c r="B12866" s="1" t="s">
        <v>31</v>
      </c>
      <c r="C12866" s="1" t="s">
        <v>365</v>
      </c>
      <c r="D12866" s="1" t="s">
        <v>18053</v>
      </c>
      <c r="E12866" s="1" t="s">
        <v>2298</v>
      </c>
      <c r="F12866" s="1" t="s">
        <v>18054</v>
      </c>
      <c r="G12866" s="1" t="s">
        <v>49</v>
      </c>
      <c r="H12866" s="1" t="s">
        <v>16</v>
      </c>
      <c r="I12866" s="1" t="str">
        <f ca="1">IFERROR(__xludf.DUMMYFUNCTION("GOOGLETRANSLATE(F12866, ""auto"", ""en"")
"),"For that kind of money you can assemble a much better system unit. Recently, a friend built a system unit on a core i3, it came out to about the same price, and in terms of performance it makes this computer like a hot water bottle.")</f>
        <v>For that kind of money you can assemble a much better system unit. Recently, a friend built a system unit on a core i3, it came out to about the same price, and in terms of performance it makes this computer like a hot water bottle.</v>
      </c>
    </row>
    <row r="12867" spans="1:9" x14ac:dyDescent="0.3">
      <c r="A12867" s="1" t="s">
        <v>149</v>
      </c>
      <c r="B12867" s="1" t="s">
        <v>150</v>
      </c>
      <c r="C12867" s="1" t="s">
        <v>2016</v>
      </c>
      <c r="D12867" s="1" t="s">
        <v>280</v>
      </c>
      <c r="E12867" s="1" t="s">
        <v>386</v>
      </c>
      <c r="F12867" s="1" t="s">
        <v>18055</v>
      </c>
      <c r="G12867" s="1" t="s">
        <v>36</v>
      </c>
      <c r="H12867" s="1" t="s">
        <v>29</v>
      </c>
      <c r="I12867" s="1" t="str">
        <f ca="1">IFERROR(__xludf.DUMMYFUNCTION("GOOGLETRANSLATE(F12867, ""auto"", ""en"")
"),"( + ) 1. Well-thought-out attachments: a very comfortable handle, a flexible rubber hose, a compact crevice brush that flips up, which is always lost in other models.      2. A long cord, enough to go everywhere and to the trunk. It winds up neatly and sn"&amp;"aps into place at the bottom.      3. Plastic mesh glass, well retains large debris, wool and hair.      4.Washing filter, which, if heavily soiled, can be removed, washed and dried at home.      5.Excellent power met all my expectations!!!     ( - ) 1. T"&amp;"hey are not there, except for the price!!!")</f>
        <v>( + ) 1. Well-thought-out attachments: a very comfortable handle, a flexible rubber hose, a compact crevice brush that flips up, which is always lost in other models.      2. A long cord, enough to go everywhere and to the trunk. It winds up neatly and snaps into place at the bottom.      3. Plastic mesh glass, well retains large debris, wool and hair.      4.Washing filter, which, if heavily soiled, can be removed, washed and dried at home.      5.Excellent power met all my expectations!!!     ( - ) 1. They are not there, except for the price!!!</v>
      </c>
    </row>
    <row r="12868" spans="1:9" x14ac:dyDescent="0.3">
      <c r="A12868" s="1" t="s">
        <v>30</v>
      </c>
      <c r="B12868" s="1" t="s">
        <v>50</v>
      </c>
      <c r="C12868" s="1" t="s">
        <v>189</v>
      </c>
      <c r="D12868" s="1" t="s">
        <v>749</v>
      </c>
      <c r="E12868" s="1" t="s">
        <v>2265</v>
      </c>
      <c r="F12868" s="1" t="s">
        <v>18056</v>
      </c>
      <c r="G12868" s="1" t="s">
        <v>36</v>
      </c>
      <c r="H12868" s="1" t="s">
        <v>29</v>
      </c>
      <c r="I12868" s="1" t="str">
        <f ca="1">IFERROR(__xludf.DUMMYFUNCTION("GOOGLETRANSLATE(F12868, ""auto"", ""en"")
"),"bought today!! o4 good 6uk o4 happy with everything now 6ud check how it works in games)))) for 30k the best option")</f>
        <v>bought today!! o4 good 6uk o4 happy with everything now 6ud check how it works in games)))) for 30k the best option</v>
      </c>
    </row>
    <row r="12869" spans="1:9" x14ac:dyDescent="0.3">
      <c r="A12869" s="1" t="s">
        <v>43</v>
      </c>
      <c r="B12869" s="1" t="s">
        <v>219</v>
      </c>
      <c r="C12869" s="1" t="s">
        <v>220</v>
      </c>
      <c r="D12869" s="1" t="s">
        <v>568</v>
      </c>
      <c r="E12869" s="1" t="s">
        <v>7855</v>
      </c>
      <c r="F12869" s="1" t="s">
        <v>18057</v>
      </c>
      <c r="G12869" s="1" t="s">
        <v>28</v>
      </c>
      <c r="H12869" s="1" t="s">
        <v>29</v>
      </c>
      <c r="I12869" s="1" t="str">
        <f ca="1">IFERROR(__xludf.DUMMYFUNCTION("GOOGLETRANSLATE(F12869, ""auto"", ""en"")
"),"The water heater copes with its functions.  Among the shortcomings, we can note the absence of a separate indicator for on/off power supply (there is only a heating indicator). By the position of the power on/off button, you cannot determine whether the d"&amp;"evice is on or not until you touch the key. The kit does not include a tube for the safety valve. Overall a good water heater.")</f>
        <v>The water heater copes with its functions.  Among the shortcomings, we can note the absence of a separate indicator for on/off power supply (there is only a heating indicator). By the position of the power on/off button, you cannot determine whether the device is on or not until you touch the key. The kit does not include a tube for the safety valve. Overall a good water heater.</v>
      </c>
    </row>
    <row r="12870" spans="1:9" x14ac:dyDescent="0.3">
      <c r="A12870" s="1" t="s">
        <v>43</v>
      </c>
      <c r="B12870" s="1" t="s">
        <v>1616</v>
      </c>
      <c r="C12870" s="1" t="s">
        <v>85</v>
      </c>
      <c r="D12870" s="1" t="s">
        <v>456</v>
      </c>
      <c r="E12870" s="1" t="s">
        <v>1332</v>
      </c>
      <c r="F12870" s="1" t="s">
        <v>18058</v>
      </c>
      <c r="G12870" s="1" t="s">
        <v>49</v>
      </c>
      <c r="H12870" s="1" t="s">
        <v>16</v>
      </c>
      <c r="I12870" s="1" t="str">
        <f ca="1">IFERROR(__xludf.DUMMYFUNCTION("GOOGLETRANSLATE(F12870, ""auto"", ""en"")
"),"07/31/2010 we bought a floor-standing air conditioner BORK AC MHR 25080 SI, it worked for one night, and in the morning we discovered that there was a wet carpet under the air conditioner. The store could not explain to us why this was happening. We get i"&amp;"t. that the product was defective or had already been returned.")</f>
        <v>07/31/2010 we bought a floor-standing air conditioner BORK AC MHR 25080 SI, it worked for one night, and in the morning we discovered that there was a wet carpet under the air conditioner. The store could not explain to us why this was happening. We get it. that the product was defective or had already been returned.</v>
      </c>
    </row>
    <row r="12871" spans="1:9" x14ac:dyDescent="0.3">
      <c r="A12871" s="1" t="s">
        <v>55</v>
      </c>
      <c r="B12871" s="1" t="s">
        <v>56</v>
      </c>
      <c r="C12871" s="1" t="s">
        <v>57</v>
      </c>
      <c r="D12871" s="1" t="s">
        <v>565</v>
      </c>
      <c r="E12871" s="1" t="s">
        <v>2548</v>
      </c>
      <c r="F12871" s="1" t="s">
        <v>18059</v>
      </c>
      <c r="G12871" s="1" t="s">
        <v>28</v>
      </c>
      <c r="H12871" s="1" t="s">
        <v>29</v>
      </c>
      <c r="I12871" s="1" t="str">
        <f ca="1">IFERROR(__xludf.DUMMYFUNCTION("GOOGLETRANSLATE(F12871, ""auto"", ""en"")
"),"Appearance, built-in thermometer and hygrometer, large water tank, almost inaudible during operation, panel in Russian, not complicated controls. ")</f>
        <v xml:space="preserve">Appearance, built-in thermometer and hygrometer, large water tank, almost inaudible during operation, panel in Russian, not complicated controls. </v>
      </c>
    </row>
    <row r="12872" spans="1:9" x14ac:dyDescent="0.3">
      <c r="A12872" s="1" t="s">
        <v>1174</v>
      </c>
      <c r="B12872" s="1" t="s">
        <v>1175</v>
      </c>
      <c r="C12872" s="1" t="s">
        <v>356</v>
      </c>
      <c r="D12872" s="1" t="s">
        <v>1036</v>
      </c>
      <c r="E12872" s="1" t="s">
        <v>65</v>
      </c>
      <c r="F12872" s="1" t="s">
        <v>18060</v>
      </c>
      <c r="G12872" s="1" t="s">
        <v>49</v>
      </c>
      <c r="H12872" s="1" t="s">
        <v>16</v>
      </c>
      <c r="I12872" s="1" t="str">
        <f ca="1">IFERROR(__xludf.DUMMYFUNCTION("GOOGLETRANSLATE(F12872, ""auto"", ""en"")
"),"These are not headphones, they are a miserable piece of plastic, it is simply impossible to listen to music with them... 1. The ears hurt very much even after half an hour of use.  2. There are no low frequencies AT ALL 3. There are high frequencies, but "&amp;"this doesn’t make it any better, because they squeak and wheeze terribly.  3. The middle ones are also quite weak... 4. The design is poor and unreliable, after 2 months the wire broke, and if you take into account that I handled the headphones quite care"&amp;"fully, this is a failure... 5. And the price... the price... I don’t yet know a single person who will buy such headphones for 2 thousand.. it’s easier to just buy a Sunhizer and not spoil your hearing with these so-called “headphones”")</f>
        <v>These are not headphones, they are a miserable piece of plastic, it is simply impossible to listen to music with them... 1. The ears hurt very much even after half an hour of use.  2. There are no low frequencies AT ALL 3. There are high frequencies, but this doesn’t make it any better, because they squeak and wheeze terribly.  3. The middle ones are also quite weak... 4. The design is poor and unreliable, after 2 months the wire broke, and if you take into account that I handled the headphones quite carefully, this is a failure... 5. And the price... the price... I don’t yet know a single person who will buy such headphones for 2 thousand.. it’s easier to just buy a Sunhizer and not spoil your hearing with these so-called “headphones”</v>
      </c>
    </row>
    <row r="12873" spans="1:9" x14ac:dyDescent="0.3">
      <c r="A12873" s="1" t="s">
        <v>61</v>
      </c>
      <c r="B12873" s="1" t="s">
        <v>62</v>
      </c>
      <c r="C12873" s="1" t="s">
        <v>63</v>
      </c>
      <c r="D12873" s="1" t="s">
        <v>327</v>
      </c>
      <c r="E12873" s="1" t="s">
        <v>2787</v>
      </c>
      <c r="F12873" s="1" t="s">
        <v>18061</v>
      </c>
      <c r="G12873" s="1" t="s">
        <v>15</v>
      </c>
      <c r="H12873" s="1" t="s">
        <v>16</v>
      </c>
      <c r="I12873" s="1" t="str">
        <f ca="1">IFERROR(__xludf.DUMMYFUNCTION("GOOGLETRANSLATE(F12873, ""auto"", ""en"")
"),"Bosch disappointed. Everything is flimsy, there is noise and vibration, and the latches and fastenings are simply a mockery of the user!")</f>
        <v>Bosch disappointed. Everything is flimsy, there is noise and vibration, and the latches and fastenings are simply a mockery of the user!</v>
      </c>
    </row>
    <row r="12874" spans="1:9" x14ac:dyDescent="0.3">
      <c r="A12874" s="1" t="s">
        <v>211</v>
      </c>
      <c r="B12874" s="1" t="s">
        <v>212</v>
      </c>
      <c r="C12874" s="1" t="s">
        <v>213</v>
      </c>
      <c r="D12874" s="1" t="s">
        <v>13715</v>
      </c>
      <c r="E12874" s="1" t="s">
        <v>2262</v>
      </c>
      <c r="F12874" s="1" t="s">
        <v>18062</v>
      </c>
      <c r="G12874" s="1" t="s">
        <v>36</v>
      </c>
      <c r="H12874" s="1" t="s">
        <v>29</v>
      </c>
      <c r="I12874" s="1" t="str">
        <f ca="1">IFERROR(__xludf.DUMMYFUNCTION("GOOGLETRANSLATE(F12874, ""auto"", ""en"")
"),"I really like it! I've been using it for a year now, I got it for my birthday. It’s clear that there is still harm and it’s not small, but if you use heat-protective products, then at least your hair doesn’t turn into an incomprehensible lump of cotton wo"&amp;"ol, but remains quite alive. It’s not clear, however, why an ionizer is needed... It straightens very well!! VERY LIGHTWEIGHT, small, compact!!! Convenient for regular business trips and trips.")</f>
        <v>I really like it! I've been using it for a year now, I got it for my birthday. It’s clear that there is still harm and it’s not small, but if you use heat-protective products, then at least your hair doesn’t turn into an incomprehensible lump of cotton wool, but remains quite alive. It’s not clear, however, why an ionizer is needed... It straightens very well!! VERY LIGHTWEIGHT, small, compact!!! Convenient for regular business trips and trips.</v>
      </c>
    </row>
    <row r="12875" spans="1:9" x14ac:dyDescent="0.3">
      <c r="A12875" s="1" t="s">
        <v>30</v>
      </c>
      <c r="B12875" s="1" t="s">
        <v>50</v>
      </c>
      <c r="C12875" s="1" t="s">
        <v>1003</v>
      </c>
      <c r="D12875" s="1" t="s">
        <v>52</v>
      </c>
      <c r="E12875" s="1" t="s">
        <v>4875</v>
      </c>
      <c r="F12875" s="1" t="s">
        <v>18063</v>
      </c>
      <c r="G12875" s="1" t="s">
        <v>28</v>
      </c>
      <c r="H12875" s="1" t="s">
        <v>29</v>
      </c>
      <c r="I12875" s="1" t="str">
        <f ca="1">IFERROR(__xludf.DUMMYFUNCTION("GOOGLETRANSLATE(F12875, ""auto"", ""en"")
"),"Excellent car, but there is one minus, after 3 days it died, hardware problem, will have to be covered under warranty =(")</f>
        <v>Excellent car, but there is one minus, after 3 days it died, hardware problem, will have to be covered under warranty =(</v>
      </c>
    </row>
    <row r="12876" spans="1:9" x14ac:dyDescent="0.3">
      <c r="A12876" s="1" t="s">
        <v>89</v>
      </c>
      <c r="B12876" s="1" t="s">
        <v>90</v>
      </c>
      <c r="C12876" s="1" t="s">
        <v>63</v>
      </c>
      <c r="D12876" s="1" t="s">
        <v>52</v>
      </c>
      <c r="E12876" s="1" t="s">
        <v>7115</v>
      </c>
      <c r="F12876" s="1" t="s">
        <v>18064</v>
      </c>
      <c r="G12876" s="1" t="s">
        <v>49</v>
      </c>
      <c r="H12876" s="1" t="s">
        <v>16</v>
      </c>
      <c r="I12876" s="1" t="str">
        <f ca="1">IFERROR(__xludf.DUMMYFUNCTION("GOOGLETRANSLATE(F12876, ""auto"", ""en"")
"),"Produced or assembled in Hungary. It would be better in China... It broke a year after purchase. Used about once a week. After opening it, the following was discovered: the rotor shaft had oxidized and simply jammed. Moreover, how could this happen if the"&amp;" cup was wiped only with a dry cloth?  Perhaps this is from coarse sea salt, which was periodically ground on it. This indicates absolute leakage and disgusting quality of the galvanic coating - it even peeled off the fasteners!!! Before this we used a co"&amp;"ffee grinder made in Lithuania back in Soviet times... It still works that way! And everything flies.")</f>
        <v>Produced or assembled in Hungary. It would be better in China... It broke a year after purchase. Used about once a week. After opening it, the following was discovered: the rotor shaft had oxidized and simply jammed. Moreover, how could this happen if the cup was wiped only with a dry cloth?  Perhaps this is from coarse sea salt, which was periodically ground on it. This indicates absolute leakage and disgusting quality of the galvanic coating - it even peeled off the fasteners!!! Before this we used a coffee grinder made in Lithuania back in Soviet times... It still works that way! And everything flies.</v>
      </c>
    </row>
    <row r="12877" spans="1:9" x14ac:dyDescent="0.3">
      <c r="A12877" s="1" t="s">
        <v>105</v>
      </c>
      <c r="B12877" s="1" t="s">
        <v>106</v>
      </c>
      <c r="C12877" s="1" t="s">
        <v>1209</v>
      </c>
      <c r="D12877" s="1" t="s">
        <v>589</v>
      </c>
      <c r="E12877" s="1" t="s">
        <v>917</v>
      </c>
      <c r="F12877" s="1" t="s">
        <v>18065</v>
      </c>
      <c r="G12877" s="1" t="s">
        <v>49</v>
      </c>
      <c r="H12877" s="1" t="s">
        <v>16</v>
      </c>
      <c r="I12877" s="1" t="str">
        <f ca="1">IFERROR(__xludf.DUMMYFUNCTION("GOOGLETRANSLATE(F12877, ""auto"", ""en"")
"),"Everything is great, both sound and video! BUT it didn’t make me happy for exactly 3 months. I read on the forums about possible problems with the headphone jack, but the price attracted me and I decided to buy it. Now I regret it, because I can’t imagine"&amp;" where I should go and return this player under warranty. Can I get my money back???")</f>
        <v>Everything is great, both sound and video! BUT it didn’t make me happy for exactly 3 months. I read on the forums about possible problems with the headphone jack, but the price attracted me and I decided to buy it. Now I regret it, because I can’t imagine where I should go and return this player under warranty. Can I get my money back???</v>
      </c>
    </row>
    <row r="12878" spans="1:9" x14ac:dyDescent="0.3">
      <c r="A12878" s="1" t="s">
        <v>238</v>
      </c>
      <c r="B12878" s="1" t="s">
        <v>239</v>
      </c>
      <c r="C12878" s="1" t="s">
        <v>240</v>
      </c>
      <c r="D12878" s="1" t="s">
        <v>18066</v>
      </c>
      <c r="E12878" s="1" t="s">
        <v>18067</v>
      </c>
      <c r="F12878" s="1" t="s">
        <v>18068</v>
      </c>
      <c r="G12878" s="1" t="s">
        <v>36</v>
      </c>
      <c r="H12878" s="1" t="s">
        <v>29</v>
      </c>
      <c r="I12878" s="1" t="str">
        <f ca="1">IFERROR(__xludf.DUMMYFUNCTION("GOOGLETRANSLATE(F12878, ""auto"", ""en"")
"),"The refrigerator is just super!!!")</f>
        <v>The refrigerator is just super!!!</v>
      </c>
    </row>
    <row r="12879" spans="1:9" x14ac:dyDescent="0.3">
      <c r="A12879" s="1" t="s">
        <v>105</v>
      </c>
      <c r="B12879" s="1" t="s">
        <v>106</v>
      </c>
      <c r="C12879" s="1" t="s">
        <v>69</v>
      </c>
      <c r="D12879" s="1" t="s">
        <v>13157</v>
      </c>
      <c r="E12879" s="1" t="s">
        <v>1245</v>
      </c>
      <c r="F12879" s="1" t="s">
        <v>18069</v>
      </c>
      <c r="G12879" s="1" t="s">
        <v>36</v>
      </c>
      <c r="H12879" s="1" t="s">
        <v>29</v>
      </c>
      <c r="I12879" s="1" t="str">
        <f ca="1">IFERROR(__xludf.DUMMYFUNCTION("GOOGLETRANSLATE(F12879, ""auto"", ""en"")
"),"I purchased it recently - I’m sooooo happy)) the sound is good))) no problems (at least for now) excellent design, simple controls (I like that I can control it without taking it out of my pocket) and the headphones are surprisingly decent, but I go with "&amp;"others, since I can’t stand earbuds) in general, this player has everything I need))")</f>
        <v>I purchased it recently - I’m sooooo happy)) the sound is good))) no problems (at least for now) excellent design, simple controls (I like that I can control it without taking it out of my pocket) and the headphones are surprisingly decent, but I go with others, since I can’t stand earbuds) in general, this player has everything I need))</v>
      </c>
    </row>
    <row r="12880" spans="1:9" x14ac:dyDescent="0.3">
      <c r="A12880" s="1" t="s">
        <v>120</v>
      </c>
      <c r="B12880" s="1" t="s">
        <v>126</v>
      </c>
      <c r="C12880" s="1" t="s">
        <v>80</v>
      </c>
      <c r="D12880" s="1" t="s">
        <v>127</v>
      </c>
      <c r="E12880" s="1" t="s">
        <v>386</v>
      </c>
      <c r="F12880" s="1" t="s">
        <v>18070</v>
      </c>
      <c r="G12880" s="1" t="s">
        <v>28</v>
      </c>
      <c r="H12880" s="1" t="s">
        <v>29</v>
      </c>
      <c r="I12880" s="1" t="str">
        <f ca="1">IFERROR(__xludf.DUMMYFUNCTION("GOOGLETRANSLATE(F12880, ""auto"", ""en"")
"),"Budget plasma for the money.  Viewing AVI from an external HDD without any questions, MKV does not see, it’s a pity... for this the rating is 4")</f>
        <v>Budget plasma for the money.  Viewing AVI from an external HDD without any questions, MKV does not see, it’s a pity... for this the rating is 4</v>
      </c>
    </row>
    <row r="12881" spans="1:9" x14ac:dyDescent="0.3">
      <c r="A12881" s="1" t="s">
        <v>67</v>
      </c>
      <c r="B12881" s="1" t="s">
        <v>68</v>
      </c>
      <c r="C12881" s="1" t="s">
        <v>85</v>
      </c>
      <c r="D12881" s="1" t="s">
        <v>64</v>
      </c>
      <c r="E12881" s="1" t="s">
        <v>13532</v>
      </c>
      <c r="F12881" s="1" t="s">
        <v>18071</v>
      </c>
      <c r="G12881" s="1" t="s">
        <v>36</v>
      </c>
      <c r="H12881" s="1" t="s">
        <v>29</v>
      </c>
      <c r="I12881" s="1" t="str">
        <f ca="1">IFERROR(__xludf.DUMMYFUNCTION("GOOGLETRANSLATE(F12881, ""auto"", ""en"")
"),"Irons very well, even dry clothes")</f>
        <v>Irons very well, even dry clothes</v>
      </c>
    </row>
    <row r="12882" spans="1:9" x14ac:dyDescent="0.3">
      <c r="A12882" s="1" t="s">
        <v>30</v>
      </c>
      <c r="B12882" s="1" t="s">
        <v>50</v>
      </c>
      <c r="C12882" s="1" t="s">
        <v>32</v>
      </c>
      <c r="D12882" s="1" t="s">
        <v>18072</v>
      </c>
      <c r="E12882" s="1" t="s">
        <v>817</v>
      </c>
      <c r="F12882" s="1" t="s">
        <v>18073</v>
      </c>
      <c r="G12882" s="1" t="s">
        <v>36</v>
      </c>
      <c r="H12882" s="1" t="s">
        <v>29</v>
      </c>
      <c r="I12882" s="1" t="str">
        <f ca="1">IFERROR(__xludf.DUMMYFUNCTION("GOOGLETRANSLATE(F12882, ""auto"", ""en"")
"),"Personally, I’m happy with everything about this laptop (I’ve been using it for a month now), the system is Windows 7, and so far I haven’t had any complaints. I'm completely satisfied with the system, it's a shame that they don't put themes on this versi"&amp;"on (it costs home basic) - it's such a childish insult. But in general, beech is very good in terms of price and quality ratio. The games I installed are running, as are all the programs. In short, this laptop has many more pros than cons. (and all laptop"&amp;"s have disadvantages) :):):)")</f>
        <v>Personally, I’m happy with everything about this laptop (I’ve been using it for a month now), the system is Windows 7, and so far I haven’t had any complaints. I'm completely satisfied with the system, it's a shame that they don't put themes on this version (it costs home basic) - it's such a childish insult. But in general, beech is very good in terms of price and quality ratio. The games I installed are running, as are all the programs. In short, this laptop has many more pros than cons. (and all laptops have disadvantages) :):):)</v>
      </c>
    </row>
    <row r="12883" spans="1:9" x14ac:dyDescent="0.3">
      <c r="A12883" s="1" t="s">
        <v>37</v>
      </c>
      <c r="B12883" s="1" t="s">
        <v>536</v>
      </c>
      <c r="C12883" s="1" t="s">
        <v>163</v>
      </c>
      <c r="D12883" s="1" t="s">
        <v>20</v>
      </c>
      <c r="E12883" s="1" t="s">
        <v>201</v>
      </c>
      <c r="F12883" s="1" t="s">
        <v>18074</v>
      </c>
      <c r="G12883" s="1" t="s">
        <v>36</v>
      </c>
      <c r="H12883" s="1" t="s">
        <v>29</v>
      </c>
      <c r="I12883" s="1" t="str">
        <f ca="1">IFERROR(__xludf.DUMMYFUNCTION("GOOGLETRANSLATE(F12883, ""auto"", ""en"")
"),"Who thinks it's worth buying or not?")</f>
        <v>Who thinks it's worth buying or not?</v>
      </c>
    </row>
    <row r="12884" spans="1:9" x14ac:dyDescent="0.3">
      <c r="A12884" s="1" t="s">
        <v>120</v>
      </c>
      <c r="B12884" s="1" t="s">
        <v>121</v>
      </c>
      <c r="C12884" s="1" t="s">
        <v>69</v>
      </c>
      <c r="D12884" s="1" t="s">
        <v>232</v>
      </c>
      <c r="E12884" s="1" t="s">
        <v>3999</v>
      </c>
      <c r="F12884" s="1" t="s">
        <v>18075</v>
      </c>
      <c r="G12884" s="1" t="s">
        <v>28</v>
      </c>
      <c r="H12884" s="1" t="s">
        <v>29</v>
      </c>
      <c r="I12884" s="1" t="str">
        <f ca="1">IFERROR(__xludf.DUMMYFUNCTION("GOOGLETRANSLATE(F12884, ""auto"", ""en"")
"),"I bought it a week ago, the sound does not stand up to criticism! The picture on BD rips is grainy, but maybe my Ikonbit is to blame for this...")</f>
        <v>I bought it a week ago, the sound does not stand up to criticism! The picture on BD rips is grainy, but maybe my Ikonbit is to blame for this...</v>
      </c>
    </row>
    <row r="12885" spans="1:9" x14ac:dyDescent="0.3">
      <c r="A12885" s="1" t="s">
        <v>373</v>
      </c>
      <c r="B12885" s="1" t="s">
        <v>374</v>
      </c>
      <c r="C12885" s="1" t="s">
        <v>63</v>
      </c>
      <c r="D12885" s="1" t="s">
        <v>916</v>
      </c>
      <c r="E12885" s="1" t="s">
        <v>3890</v>
      </c>
      <c r="F12885" s="1" t="s">
        <v>18076</v>
      </c>
      <c r="G12885" s="1" t="s">
        <v>36</v>
      </c>
      <c r="H12885" s="1" t="s">
        <v>29</v>
      </c>
      <c r="I12885" s="1" t="str">
        <f ca="1">IFERROR(__xludf.DUMMYFUNCTION("GOOGLETRANSLATE(F12885, ""auto"", ""en"")
"),"We've been using it for almost a year. I like everything. wife is happy :)")</f>
        <v>We've been using it for almost a year. I like everything. wife is happy :)</v>
      </c>
    </row>
    <row r="12886" spans="1:9" x14ac:dyDescent="0.3">
      <c r="A12886" s="1" t="s">
        <v>95</v>
      </c>
      <c r="B12886" s="1" t="s">
        <v>96</v>
      </c>
      <c r="C12886" s="1" t="s">
        <v>97</v>
      </c>
      <c r="D12886" s="1" t="s">
        <v>280</v>
      </c>
      <c r="E12886" s="1" t="s">
        <v>849</v>
      </c>
      <c r="F12886" s="1" t="s">
        <v>18077</v>
      </c>
      <c r="G12886" s="1" t="s">
        <v>36</v>
      </c>
      <c r="H12886" s="1" t="s">
        <v>29</v>
      </c>
      <c r="I12886" s="1" t="str">
        <f ca="1">IFERROR(__xludf.DUMMYFUNCTION("GOOGLETRANSLATE(F12886, ""auto"", ""en"")
"),"My son asked for this miracle for the New Year, but I bought it for his sixteenth birthday, he is sooooo happy. It’s a very convenient thing, it connects to wireless networks without any problems, so almost everywhere you have the Internet + the ability t"&amp;"o communicate via Skype, we bought an additional GPS module via the Internet (small as a memory stick), now we take it with us when we go abroad or to a neighboring city - it really helps to get our bearings!  I advise everyone to buy it! If you have chil"&amp;"dren, then even more so.")</f>
        <v>My son asked for this miracle for the New Year, but I bought it for his sixteenth birthday, he is sooooo happy. It’s a very convenient thing, it connects to wireless networks without any problems, so almost everywhere you have the Internet + the ability to communicate via Skype, we bought an additional GPS module via the Internet (small as a memory stick), now we take it with us when we go abroad or to a neighboring city - it really helps to get our bearings!  I advise everyone to buy it! If you have children, then even more so.</v>
      </c>
    </row>
    <row r="12887" spans="1:9" x14ac:dyDescent="0.3">
      <c r="A12887" s="1" t="s">
        <v>67</v>
      </c>
      <c r="B12887" s="1" t="s">
        <v>68</v>
      </c>
      <c r="C12887" s="1" t="s">
        <v>246</v>
      </c>
      <c r="D12887" s="1" t="s">
        <v>6287</v>
      </c>
      <c r="E12887" s="1" t="s">
        <v>6001</v>
      </c>
      <c r="F12887" s="1" t="s">
        <v>18078</v>
      </c>
      <c r="G12887" s="1" t="s">
        <v>28</v>
      </c>
      <c r="H12887" s="1" t="s">
        <v>29</v>
      </c>
      <c r="I12887" s="1" t="str">
        <f ca="1">IFERROR(__xludf.DUMMYFUNCTION("GOOGLETRANSLATE(F12887, ""auto"", ""en"")
"),"the iron is really good. But it broke after 2.5 years on the very day the warranty came out. I don't know if I will buy this again.")</f>
        <v>the iron is really good. But it broke after 2.5 years on the very day the warranty came out. I don't know if I will buy this again.</v>
      </c>
    </row>
    <row r="12888" spans="1:9" x14ac:dyDescent="0.3">
      <c r="A12888" s="1" t="s">
        <v>206</v>
      </c>
      <c r="B12888" s="1" t="s">
        <v>1253</v>
      </c>
      <c r="C12888" s="1" t="s">
        <v>1254</v>
      </c>
      <c r="D12888" s="1" t="s">
        <v>919</v>
      </c>
      <c r="E12888" s="1" t="s">
        <v>1611</v>
      </c>
      <c r="F12888" s="1" t="s">
        <v>18079</v>
      </c>
      <c r="G12888" s="1" t="s">
        <v>36</v>
      </c>
      <c r="H12888" s="1" t="s">
        <v>29</v>
      </c>
      <c r="I12888" s="1" t="str">
        <f ca="1">IFERROR(__xludf.DUMMYFUNCTION("GOOGLETRANSLATE(F12888, ""auto"", ""en"")
"),"Good product.  It's convenient that you can charge it in the car.  Disadvantages: basically minor. You need 4 batteries per device. Headset not included.")</f>
        <v>Good product.  It's convenient that you can charge it in the car.  Disadvantages: basically minor. You need 4 batteries per device. Headset not included.</v>
      </c>
    </row>
    <row r="12889" spans="1:9" x14ac:dyDescent="0.3">
      <c r="A12889" s="1" t="s">
        <v>169</v>
      </c>
      <c r="B12889" s="1" t="s">
        <v>170</v>
      </c>
      <c r="C12889" s="1" t="s">
        <v>97</v>
      </c>
      <c r="D12889" s="1" t="s">
        <v>896</v>
      </c>
      <c r="E12889" s="1" t="s">
        <v>4110</v>
      </c>
      <c r="F12889" s="1" t="s">
        <v>18080</v>
      </c>
      <c r="G12889" s="1" t="s">
        <v>36</v>
      </c>
      <c r="H12889" s="1" t="s">
        <v>29</v>
      </c>
      <c r="I12889" s="1" t="str">
        <f ca="1">IFERROR(__xludf.DUMMYFUNCTION("GOOGLETRANSLATE(F12889, ""auto"", ""en"")
"),"In their price category they are the best (of what they have), quite comfortable, the ears themselves are a little big, at first the mugs hurt, but after half a day they became like family, the sound is good, bass!!! before that there were Sonya earbuds f"&amp;"or 1300 - better of course, and Rovermedia for 500 - not even lying around! Overall great headphones for a great price)))")</f>
        <v>In their price category they are the best (of what they have), quite comfortable, the ears themselves are a little big, at first the mugs hurt, but after half a day they became like family, the sound is good, bass!!! before that there were Sonya earbuds for 1300 - better of course, and Rovermedia for 500 - not even lying around! Overall great headphones for a great price)))</v>
      </c>
    </row>
    <row r="12890" spans="1:9" x14ac:dyDescent="0.3">
      <c r="A12890" s="1" t="s">
        <v>30</v>
      </c>
      <c r="B12890" s="1" t="s">
        <v>31</v>
      </c>
      <c r="C12890" s="1" t="s">
        <v>32</v>
      </c>
      <c r="D12890" s="1" t="s">
        <v>18081</v>
      </c>
      <c r="E12890" s="1" t="s">
        <v>2222</v>
      </c>
      <c r="F12890" s="1" t="s">
        <v>18082</v>
      </c>
      <c r="G12890" s="1" t="s">
        <v>36</v>
      </c>
      <c r="H12890" s="1" t="s">
        <v>29</v>
      </c>
      <c r="I12890" s="1" t="str">
        <f ca="1">IFERROR(__xludf.DUMMYFUNCTION("GOOGLETRANSLATE(F12890, ""auto"", ""en"")
"),"A good system unit, powerful, fast and does not take up much space like others. Processors of the new i3 series, the frequency is not real at all 2.93 GHz, the GeForce GT320 video card is also new and brutal video memory 1024 MB is enough for everything, "&amp;"the game does not glitch, even the last one, but the xbox 360 is better and more powerful and faster, the game installs in 1 minute on the xbox 360, but that’s what it’s designed for. Acer is also pretty good, installs in 7 minutes, in short, it’s good fo"&amp;"r everything. =)")</f>
        <v>A good system unit, powerful, fast and does not take up much space like others. Processors of the new i3 series, the frequency is not real at all 2.93 GHz, the GeForce GT320 video card is also new and brutal video memory 1024 MB is enough for everything, the game does not glitch, even the last one, but the xbox 360 is better and more powerful and faster, the game installs in 1 minute on the xbox 360, but that’s what it’s designed for. Acer is also pretty good, installs in 7 minutes, in short, it’s good for everything. =)</v>
      </c>
    </row>
    <row r="12891" spans="1:9" x14ac:dyDescent="0.3">
      <c r="A12891" s="1" t="s">
        <v>37</v>
      </c>
      <c r="B12891" s="1" t="s">
        <v>536</v>
      </c>
      <c r="C12891" s="1" t="s">
        <v>1419</v>
      </c>
      <c r="D12891" s="1" t="s">
        <v>3852</v>
      </c>
      <c r="E12891" s="1" t="s">
        <v>947</v>
      </c>
      <c r="F12891" s="1" t="s">
        <v>18083</v>
      </c>
      <c r="G12891" s="1" t="s">
        <v>28</v>
      </c>
      <c r="H12891" s="1" t="s">
        <v>29</v>
      </c>
      <c r="I12891" s="1" t="str">
        <f ca="1">IFERROR(__xludf.DUMMYFUNCTION("GOOGLETRANSLATE(F12891, ""auto"", ""en"")
"),"The network connection is poor, the sound is a C grade")</f>
        <v>The network connection is poor, the sound is a C grade</v>
      </c>
    </row>
    <row r="12892" spans="1:9" x14ac:dyDescent="0.3">
      <c r="A12892" s="1" t="s">
        <v>43</v>
      </c>
      <c r="B12892" s="1" t="s">
        <v>303</v>
      </c>
      <c r="C12892" s="1" t="s">
        <v>220</v>
      </c>
      <c r="D12892" s="1" t="s">
        <v>12</v>
      </c>
      <c r="E12892" s="1" t="s">
        <v>7248</v>
      </c>
      <c r="F12892" s="1" t="s">
        <v>18084</v>
      </c>
      <c r="G12892" s="1" t="s">
        <v>36</v>
      </c>
      <c r="H12892" s="1" t="s">
        <v>29</v>
      </c>
      <c r="I12892" s="1" t="str">
        <f ca="1">IFERROR(__xludf.DUMMYFUNCTION("GOOGLETRANSLATE(F12892, ""auto"", ""en"")
"),"Stylish appearance, heats up quickly.")</f>
        <v>Stylish appearance, heats up quickly.</v>
      </c>
    </row>
    <row r="12893" spans="1:9" x14ac:dyDescent="0.3">
      <c r="A12893" s="1" t="s">
        <v>105</v>
      </c>
      <c r="B12893" s="1" t="s">
        <v>106</v>
      </c>
      <c r="C12893" s="1" t="s">
        <v>151</v>
      </c>
      <c r="D12893" s="1" t="s">
        <v>18085</v>
      </c>
      <c r="E12893" s="1" t="s">
        <v>41</v>
      </c>
      <c r="F12893" s="1" t="s">
        <v>18086</v>
      </c>
      <c r="G12893" s="1" t="s">
        <v>36</v>
      </c>
      <c r="H12893" s="1" t="s">
        <v>29</v>
      </c>
      <c r="I12893" s="1" t="str">
        <f ca="1">IFERROR(__xludf.DUMMYFUNCTION("GOOGLETRANSLATE(F12893, ""auto"", ""en"")
"),"I bought it somewhere at the end of January. I really like it: many functions, good equalizer, excellent sound, nice design, doesn’t slow down, the battery seems to hold up well, I’m very pleased with the headphones that were included. I hope it will be e"&amp;"ven better with the new flash drive.")</f>
        <v>I bought it somewhere at the end of January. I really like it: many functions, good equalizer, excellent sound, nice design, doesn’t slow down, the battery seems to hold up well, I’m very pleased with the headphones that were included. I hope it will be even better with the new flash drive.</v>
      </c>
    </row>
    <row r="12894" spans="1:9" x14ac:dyDescent="0.3">
      <c r="A12894" s="1" t="s">
        <v>149</v>
      </c>
      <c r="B12894" s="1" t="s">
        <v>155</v>
      </c>
      <c r="C12894" s="1" t="s">
        <v>101</v>
      </c>
      <c r="D12894" s="1" t="s">
        <v>64</v>
      </c>
      <c r="E12894" s="1" t="s">
        <v>661</v>
      </c>
      <c r="F12894" s="1" t="s">
        <v>18087</v>
      </c>
      <c r="G12894" s="1" t="s">
        <v>28</v>
      </c>
      <c r="H12894" s="1" t="s">
        <v>29</v>
      </c>
      <c r="I12894" s="1" t="str">
        <f ca="1">IFERROR(__xludf.DUMMYFUNCTION("GOOGLETRANSLATE(F12894, ""auto"", ""en"")
"),"I bought a vacuum cleaner today. I tried it. In principle, it’s not bad, the only thing is that the handle is a little short, and you have to bend over, but it’s okay, it sucks well, and it’s inexpensive.")</f>
        <v>I bought a vacuum cleaner today. I tried it. In principle, it’s not bad, the only thing is that the handle is a little short, and you have to bend over, but it’s okay, it sucks well, and it’s inexpensive.</v>
      </c>
    </row>
    <row r="12895" spans="1:9" x14ac:dyDescent="0.3">
      <c r="A12895" s="1" t="s">
        <v>105</v>
      </c>
      <c r="B12895" s="1" t="s">
        <v>106</v>
      </c>
      <c r="C12895" s="1" t="s">
        <v>97</v>
      </c>
      <c r="D12895" s="1" t="s">
        <v>113</v>
      </c>
      <c r="E12895" s="1" t="s">
        <v>2206</v>
      </c>
      <c r="F12895" s="1" t="s">
        <v>18088</v>
      </c>
      <c r="G12895" s="1" t="s">
        <v>28</v>
      </c>
      <c r="H12895" s="1" t="s">
        <v>29</v>
      </c>
      <c r="I12895" s="1" t="str">
        <f ca="1">IFERROR(__xludf.DUMMYFUNCTION("GOOGLETRANSLATE(F12895, ""auto"", ""en"")
"),"cool player!)) and the color makes me tired, tired of black ones) the sound is cool, but it’s better to remove the standard headphones and buy something better! As for charging, that’s enough for me! As for the connection, I have a pirated HP, I don’t kno"&amp;"w and everything works! Someone wrote that I need an 11th media player, why?? He copies music calmly anyway! In general, my rating is 4+)")</f>
        <v>cool player!)) and the color makes me tired, tired of black ones) the sound is cool, but it’s better to remove the standard headphones and buy something better! As for charging, that’s enough for me! As for the connection, I have a pirated HP, I don’t know and everything works! Someone wrote that I need an 11th media player, why?? He copies music calmly anyway! In general, my rating is 4+)</v>
      </c>
    </row>
    <row r="12896" spans="1:9" x14ac:dyDescent="0.3">
      <c r="A12896" s="1" t="s">
        <v>37</v>
      </c>
      <c r="B12896" s="1" t="s">
        <v>355</v>
      </c>
      <c r="C12896" s="1" t="s">
        <v>356</v>
      </c>
      <c r="D12896" s="1" t="s">
        <v>18089</v>
      </c>
      <c r="E12896" s="1" t="s">
        <v>734</v>
      </c>
      <c r="F12896" s="1" t="s">
        <v>18090</v>
      </c>
      <c r="G12896" s="1" t="s">
        <v>36</v>
      </c>
      <c r="H12896" s="1" t="s">
        <v>29</v>
      </c>
      <c r="I12896" s="1" t="str">
        <f ca="1">IFERROR(__xludf.DUMMYFUNCTION("GOOGLETRANSLATE(F12896, ""auto"", ""en"")
"),"The phone is just great! It is radically different from 3g in touch and speed, don’t save money, buy a new one. A phone for those who are not too lazy to understand computer technology (in particular iTunes, jibreaks, updates). This gadget may take a lot "&amp;"of time, but it's worth it. It's a pleasure to use it. There is no more perfect phone... And this is not an advertisement, just very good for everyone else. far from it...)))")</f>
        <v>The phone is just great! It is radically different from 3g in touch and speed, don’t save money, buy a new one. A phone for those who are not too lazy to understand computer technology (in particular iTunes, jibreaks, updates). This gadget may take a lot of time, but it's worth it. It's a pleasure to use it. There is no more perfect phone... And this is not an advertisement, just very good for everyone else. far from it...)))</v>
      </c>
    </row>
    <row r="12897" spans="1:9" x14ac:dyDescent="0.3">
      <c r="A12897" s="1" t="s">
        <v>89</v>
      </c>
      <c r="B12897" s="1" t="s">
        <v>1106</v>
      </c>
      <c r="C12897" s="1" t="s">
        <v>185</v>
      </c>
      <c r="D12897" s="1" t="s">
        <v>232</v>
      </c>
      <c r="E12897" s="1" t="s">
        <v>5803</v>
      </c>
      <c r="F12897" s="1" t="s">
        <v>18091</v>
      </c>
      <c r="G12897" s="1" t="s">
        <v>49</v>
      </c>
      <c r="H12897" s="1" t="s">
        <v>16</v>
      </c>
      <c r="I12897" s="1" t="str">
        <f ca="1">IFERROR(__xludf.DUMMYFUNCTION("GOOGLETRANSLATE(F12897, ""auto"", ""en"")
"),"The coffee maker smells very strongly of plastic. Washing with soda or vinegar did not help. I had to carry it and exchange it for another one.")</f>
        <v>The coffee maker smells very strongly of plastic. Washing with soda or vinegar did not help. I had to carry it and exchange it for another one.</v>
      </c>
    </row>
    <row r="12898" spans="1:9" x14ac:dyDescent="0.3">
      <c r="A12898" s="1" t="s">
        <v>211</v>
      </c>
      <c r="B12898" s="1" t="s">
        <v>856</v>
      </c>
      <c r="C12898" s="1" t="s">
        <v>57</v>
      </c>
      <c r="D12898" s="1" t="s">
        <v>335</v>
      </c>
      <c r="E12898" s="1" t="s">
        <v>2275</v>
      </c>
      <c r="F12898" s="1" t="s">
        <v>18092</v>
      </c>
      <c r="G12898" s="1" t="s">
        <v>49</v>
      </c>
      <c r="H12898" s="1" t="s">
        <v>16</v>
      </c>
      <c r="I12898" s="1" t="str">
        <f ca="1">IFERROR(__xludf.DUMMYFUNCTION("GOOGLETRANSLATE(F12898, ""auto"", ""en"")
"),"Complete bullshit!!!! I read a lot of reviews, of course they write more good things, so my husband and I went and bought them. They opened the house, yes, everything is beautifully neat and full of attachments.... But in reality.... As soon as it comes i"&amp;"nto contact with the skin, it immediately stops, and with the skin on the palm, what can we say about the heels, there is not enough power at all, it discharges quickly and takes a long time to charge, the next day we went back, it’s a pity for the time w"&amp;"asted. I don't recommend buying it. The price is decent, but no different from cheap.")</f>
        <v>Complete bullshit!!!! I read a lot of reviews, of course they write more good things, so my husband and I went and bought them. They opened the house, yes, everything is beautifully neat and full of attachments.... But in reality.... As soon as it comes into contact with the skin, it immediately stops, and with the skin on the palm, what can we say about the heels, there is not enough power at all, it discharges quickly and takes a long time to charge, the next day we went back, it’s a pity for the time wasted. I don't recommend buying it. The price is decent, but no different from cheap.</v>
      </c>
    </row>
    <row r="12899" spans="1:9" x14ac:dyDescent="0.3">
      <c r="A12899" s="1" t="s">
        <v>61</v>
      </c>
      <c r="B12899" s="1" t="s">
        <v>318</v>
      </c>
      <c r="C12899" s="1" t="s">
        <v>101</v>
      </c>
      <c r="D12899" s="1" t="s">
        <v>471</v>
      </c>
      <c r="E12899" s="1" t="s">
        <v>2118</v>
      </c>
      <c r="F12899" s="1" t="s">
        <v>18093</v>
      </c>
      <c r="G12899" s="1" t="s">
        <v>36</v>
      </c>
      <c r="H12899" s="1" t="s">
        <v>29</v>
      </c>
      <c r="I12899" s="1" t="str">
        <f ca="1">IFERROR(__xludf.DUMMYFUNCTION("GOOGLETRANSLATE(F12899, ""auto"", ""en"")
"),"I bought it at a discount. For the money this is the best kettle! The water boils very quickly and stays hot for a long time. The enclosed heating element makes it easy to clean. This kettle has been working for me without any complaints for almost a year"&amp;" now. Nothing runs or leaks. Water from the spout flows directly into the cup. The only downsides are that it is a little noisy and there are small rust spots under the lid, although it is stated that the kettle is made of stainless steel. But in principl"&amp;"e, rust appeared only in one place, perhaps this was some kind of reaction with plastic. P.S. I don’t consider the fact that the kettle body heats up to be a minus. After all, a steel kettle will heat up in any case.")</f>
        <v>I bought it at a discount. For the money this is the best kettle! The water boils very quickly and stays hot for a long time. The enclosed heating element makes it easy to clean. This kettle has been working for me without any complaints for almost a year now. Nothing runs or leaks. Water from the spout flows directly into the cup. The only downsides are that it is a little noisy and there are small rust spots under the lid, although it is stated that the kettle is made of stainless steel. But in principle, rust appeared only in one place, perhaps this was some kind of reaction with plastic. P.S. I don’t consider the fact that the kettle body heats up to be a minus. After all, a steel kettle will heat up in any case.</v>
      </c>
    </row>
    <row r="12900" spans="1:9" x14ac:dyDescent="0.3">
      <c r="A12900" s="1" t="s">
        <v>61</v>
      </c>
      <c r="B12900" s="1" t="s">
        <v>224</v>
      </c>
      <c r="C12900" s="1" t="s">
        <v>101</v>
      </c>
      <c r="D12900" s="1" t="s">
        <v>335</v>
      </c>
      <c r="E12900" s="1" t="s">
        <v>2724</v>
      </c>
      <c r="F12900" s="1" t="s">
        <v>18094</v>
      </c>
      <c r="G12900" s="1" t="s">
        <v>36</v>
      </c>
      <c r="H12900" s="1" t="s">
        <v>29</v>
      </c>
      <c r="I12900" s="1" t="str">
        <f ca="1">IFERROR(__xludf.DUMMYFUNCTION("GOOGLETRANSLATE(F12900, ""auto"", ""en"")
"),"Delicious juices, dry pulp, no plastic taste, easy to disassemble")</f>
        <v>Delicious juices, dry pulp, no plastic taste, easy to disassemble</v>
      </c>
    </row>
    <row r="12901" spans="1:9" x14ac:dyDescent="0.3">
      <c r="A12901" s="1" t="s">
        <v>9</v>
      </c>
      <c r="B12901" s="1" t="s">
        <v>137</v>
      </c>
      <c r="C12901" s="1" t="s">
        <v>63</v>
      </c>
      <c r="D12901" s="1" t="s">
        <v>1506</v>
      </c>
      <c r="E12901" s="1" t="s">
        <v>1410</v>
      </c>
      <c r="F12901" s="1" t="s">
        <v>18095</v>
      </c>
      <c r="G12901" s="1" t="s">
        <v>49</v>
      </c>
      <c r="H12901" s="1" t="s">
        <v>16</v>
      </c>
      <c r="I12901" s="1" t="str">
        <f ca="1">IFERROR(__xludf.DUMMYFUNCTION("GOOGLETRANSLATE(F12901, ""auto"", ""en"")
"),"Terrible panel, not worth buying")</f>
        <v>Terrible panel, not worth buying</v>
      </c>
    </row>
    <row r="12902" spans="1:9" x14ac:dyDescent="0.3">
      <c r="A12902" s="1" t="s">
        <v>206</v>
      </c>
      <c r="B12902" s="1" t="s">
        <v>207</v>
      </c>
      <c r="C12902" s="1" t="s">
        <v>262</v>
      </c>
      <c r="D12902" s="1" t="s">
        <v>1659</v>
      </c>
      <c r="E12902" s="1" t="s">
        <v>18096</v>
      </c>
      <c r="F12902" s="1" t="s">
        <v>18097</v>
      </c>
      <c r="G12902" s="1" t="s">
        <v>36</v>
      </c>
      <c r="H12902" s="1" t="s">
        <v>29</v>
      </c>
      <c r="I12902" s="1" t="str">
        <f ca="1">IFERROR(__xludf.DUMMYFUNCTION("GOOGLETRANSLATE(F12902, ""auto"", ""en"")
"),"It hits like it should! one condition - to configure it correctly!!!")</f>
        <v>It hits like it should! one condition - to configure it correctly!!!</v>
      </c>
    </row>
    <row r="12903" spans="1:9" x14ac:dyDescent="0.3">
      <c r="A12903" s="1" t="s">
        <v>9</v>
      </c>
      <c r="B12903" s="1" t="s">
        <v>4430</v>
      </c>
      <c r="C12903" s="1" t="s">
        <v>63</v>
      </c>
      <c r="D12903" s="1" t="s">
        <v>86</v>
      </c>
      <c r="E12903" s="1" t="s">
        <v>18098</v>
      </c>
      <c r="F12903" s="1" t="s">
        <v>18099</v>
      </c>
      <c r="G12903" s="1" t="s">
        <v>36</v>
      </c>
      <c r="H12903" s="1" t="s">
        <v>29</v>
      </c>
      <c r="I12903" s="1" t="str">
        <f ca="1">IFERROR(__xludf.DUMMYFUNCTION("GOOGLETRANSLATE(F12903, ""auto"", ""en"")
"),"It has been working like a watch for more than six months, and does not vibrate during the spin cycle (I have a rack above it for drying dishes). The drum is spacious, the laundry is very clean, and it beeps after the wash is finished. I chose this bosh, "&amp;"taking into account the size, low noise level, and class A energy consumption.")</f>
        <v>It has been working like a watch for more than six months, and does not vibrate during the spin cycle (I have a rack above it for drying dishes). The drum is spacious, the laundry is very clean, and it beeps after the wash is finished. I chose this bosh, taking into account the size, low noise level, and class A energy consumption.</v>
      </c>
    </row>
    <row r="12904" spans="1:9" x14ac:dyDescent="0.3">
      <c r="A12904" s="1" t="s">
        <v>37</v>
      </c>
      <c r="B12904" s="1" t="s">
        <v>536</v>
      </c>
      <c r="C12904" s="1" t="s">
        <v>32</v>
      </c>
      <c r="D12904" s="1" t="s">
        <v>172</v>
      </c>
      <c r="E12904" s="1" t="s">
        <v>2008</v>
      </c>
      <c r="F12904" s="1" t="s">
        <v>18100</v>
      </c>
      <c r="G12904" s="1" t="s">
        <v>28</v>
      </c>
      <c r="H12904" s="1" t="s">
        <v>29</v>
      </c>
      <c r="I12904" s="1" t="str">
        <f ca="1">IFERROR(__xludf.DUMMYFUNCTION("GOOGLETRANSLATE(F12904, ""auto"", ""en"")
"),"The communicator is good, the price/quality ratio is perfect!!! You can solve the problem of rapid wear of the back cover by sticking a matte black film on it.")</f>
        <v>The communicator is good, the price/quality ratio is perfect!!! You can solve the problem of rapid wear of the back cover by sticking a matte black film on it.</v>
      </c>
    </row>
    <row r="12905" spans="1:9" x14ac:dyDescent="0.3">
      <c r="A12905" s="1" t="s">
        <v>169</v>
      </c>
      <c r="B12905" s="1" t="s">
        <v>170</v>
      </c>
      <c r="C12905" s="1" t="s">
        <v>69</v>
      </c>
      <c r="D12905" s="1" t="s">
        <v>18101</v>
      </c>
      <c r="E12905" s="1" t="s">
        <v>12311</v>
      </c>
      <c r="F12905" s="1" t="s">
        <v>18102</v>
      </c>
      <c r="G12905" s="1" t="s">
        <v>28</v>
      </c>
      <c r="H12905" s="1" t="s">
        <v>29</v>
      </c>
      <c r="I12905" s="1" t="str">
        <f ca="1">IFERROR(__xludf.DUMMYFUNCTION("GOOGLETRANSLATE(F12905, ""auto"", ""en"")
"),"I've been using it for 3 years, good headphones (not enough bass)")</f>
        <v>I've been using it for 3 years, good headphones (not enough bass)</v>
      </c>
    </row>
    <row r="12906" spans="1:9" x14ac:dyDescent="0.3">
      <c r="A12906" s="1" t="s">
        <v>9</v>
      </c>
      <c r="B12906" s="1" t="s">
        <v>133</v>
      </c>
      <c r="C12906" s="1" t="s">
        <v>466</v>
      </c>
      <c r="D12906" s="1" t="s">
        <v>52</v>
      </c>
      <c r="E12906" s="1" t="s">
        <v>2374</v>
      </c>
      <c r="F12906" s="1" t="s">
        <v>18103</v>
      </c>
      <c r="G12906" s="1" t="s">
        <v>36</v>
      </c>
      <c r="H12906" s="1" t="s">
        <v>29</v>
      </c>
      <c r="I12906" s="1" t="str">
        <f ca="1">IFERROR(__xludf.DUMMYFUNCTION("GOOGLETRANSLATE(F12906, ""auto"", ""en"")
"),"Gas grill.")</f>
        <v>Gas grill.</v>
      </c>
    </row>
    <row r="12907" spans="1:9" x14ac:dyDescent="0.3">
      <c r="A12907" s="1" t="s">
        <v>55</v>
      </c>
      <c r="B12907" s="1" t="s">
        <v>184</v>
      </c>
      <c r="C12907" s="1" t="s">
        <v>45</v>
      </c>
      <c r="D12907" s="1" t="s">
        <v>18104</v>
      </c>
      <c r="E12907" s="1" t="s">
        <v>3269</v>
      </c>
      <c r="F12907" s="1" t="s">
        <v>18105</v>
      </c>
      <c r="G12907" s="1" t="s">
        <v>28</v>
      </c>
      <c r="H12907" s="1" t="s">
        <v>29</v>
      </c>
      <c r="I12907" s="1" t="str">
        <f ca="1">IFERROR(__xludf.DUMMYFUNCTION("GOOGLETRANSLATE(F12907, ""auto"", ""en"")
"),"Not a bad heater, it's just noisy!")</f>
        <v>Not a bad heater, it's just noisy!</v>
      </c>
    </row>
    <row r="12908" spans="1:9" x14ac:dyDescent="0.3">
      <c r="A12908" s="1" t="s">
        <v>369</v>
      </c>
      <c r="B12908" s="1" t="s">
        <v>370</v>
      </c>
      <c r="C12908" s="1" t="s">
        <v>159</v>
      </c>
      <c r="D12908" s="1" t="s">
        <v>52</v>
      </c>
      <c r="E12908" s="1" t="s">
        <v>500</v>
      </c>
      <c r="F12908" s="1" t="s">
        <v>18106</v>
      </c>
      <c r="G12908" s="1" t="s">
        <v>36</v>
      </c>
      <c r="H12908" s="1" t="s">
        <v>29</v>
      </c>
      <c r="I12908" s="1" t="str">
        <f ca="1">IFERROR(__xludf.DUMMYFUNCTION("GOOGLETRANSLATE(F12908, ""auto"", ""en"")
"),"I've been using it for a little over a month. Works well. The oven is very convenient, the timer also helps a lot - the signal is loud enough and can be clearly heard throughout the apartment.")</f>
        <v>I've been using it for a little over a month. Works well. The oven is very convenient, the timer also helps a lot - the signal is loud enough and can be clearly heard throughout the apartment.</v>
      </c>
    </row>
    <row r="12909" spans="1:9" x14ac:dyDescent="0.3">
      <c r="A12909" s="1" t="s">
        <v>105</v>
      </c>
      <c r="B12909" s="1" t="s">
        <v>106</v>
      </c>
      <c r="C12909" s="1" t="s">
        <v>1209</v>
      </c>
      <c r="D12909" s="1" t="s">
        <v>5606</v>
      </c>
      <c r="E12909" s="1" t="s">
        <v>634</v>
      </c>
      <c r="F12909" s="1" t="s">
        <v>18107</v>
      </c>
      <c r="G12909" s="1" t="s">
        <v>36</v>
      </c>
      <c r="H12909" s="1" t="s">
        <v>29</v>
      </c>
      <c r="I12909" s="1" t="str">
        <f ca="1">IFERROR(__xludf.DUMMYFUNCTION("GOOGLETRANSLATE(F12909, ""auto"", ""en"")
"),"Please tell me how to make the text go along with the music? Do I need to upload the text in a specific format? I will be very grateful!")</f>
        <v>Please tell me how to make the text go along with the music? Do I need to upload the text in a specific format? I will be very grateful!</v>
      </c>
    </row>
    <row r="12910" spans="1:9" x14ac:dyDescent="0.3">
      <c r="A12910" s="1" t="s">
        <v>30</v>
      </c>
      <c r="B12910" s="1" t="s">
        <v>50</v>
      </c>
      <c r="C12910" s="1" t="s">
        <v>32</v>
      </c>
      <c r="D12910" s="1" t="s">
        <v>18108</v>
      </c>
      <c r="E12910" s="1" t="s">
        <v>500</v>
      </c>
      <c r="F12910" s="1" t="s">
        <v>18109</v>
      </c>
      <c r="G12910" s="1" t="s">
        <v>36</v>
      </c>
      <c r="H12910" s="1" t="s">
        <v>29</v>
      </c>
      <c r="I12910" s="1" t="str">
        <f ca="1">IFERROR(__xludf.DUMMYFUNCTION("GOOGLETRANSLATE(F12910, ""auto"", ""en"")
"),"Yesterday I bought this laptop. Well, just a monster)) I really like it. Haven't played the games yet. Great for watching movies! The audio system is wonderful! only emotions))) buy this laptop! you won't regret it! Peace to all!")</f>
        <v>Yesterday I bought this laptop. Well, just a monster)) I really like it. Haven't played the games yet. Great for watching movies! The audio system is wonderful! only emotions))) buy this laptop! you won't regret it! Peace to all!</v>
      </c>
    </row>
    <row r="12911" spans="1:9" x14ac:dyDescent="0.3">
      <c r="A12911" s="1" t="s">
        <v>55</v>
      </c>
      <c r="B12911" s="1" t="s">
        <v>84</v>
      </c>
      <c r="C12911" s="1" t="s">
        <v>85</v>
      </c>
      <c r="D12911" s="1" t="s">
        <v>4546</v>
      </c>
      <c r="E12911" s="1" t="s">
        <v>559</v>
      </c>
      <c r="F12911" s="1" t="s">
        <v>18110</v>
      </c>
      <c r="G12911" s="1" t="s">
        <v>36</v>
      </c>
      <c r="H12911" s="1" t="s">
        <v>29</v>
      </c>
      <c r="I12911" s="1" t="str">
        <f ca="1">IFERROR(__xludf.DUMMYFUNCTION("GOOGLETRANSLATE(F12911, ""auto"", ""en"")
"),"I was looking for a cleanser with a humidifier and this one was recommended. I've been using it for about a month. The cleaning system is good, it constantly turns on when the air is polluted. I really like it.")</f>
        <v>I was looking for a cleanser with a humidifier and this one was recommended. I've been using it for about a month. The cleaning system is good, it constantly turns on when the air is polluted. I really like it.</v>
      </c>
    </row>
    <row r="12912" spans="1:9" x14ac:dyDescent="0.3">
      <c r="A12912" s="1" t="s">
        <v>9</v>
      </c>
      <c r="B12912" s="1" t="s">
        <v>23</v>
      </c>
      <c r="C12912" s="1" t="s">
        <v>159</v>
      </c>
      <c r="D12912" s="1" t="s">
        <v>81</v>
      </c>
      <c r="E12912" s="1" t="s">
        <v>1886</v>
      </c>
      <c r="F12912" s="1" t="s">
        <v>18111</v>
      </c>
      <c r="G12912" s="1" t="s">
        <v>28</v>
      </c>
      <c r="H12912" s="1" t="s">
        <v>29</v>
      </c>
      <c r="I12912" s="1" t="str">
        <f ca="1">IFERROR(__xludf.DUMMYFUNCTION("GOOGLETRANSLATE(F12912, ""auto"", ""en"")
"),"The consultant pointed out this car to me on the sales floor because it was on sale, but everyone immediately liked it. Before going to the store, I decided on the requirements for the future machine and this model satisfied all of them, some even exceede"&amp;"d them.   It was convenient to install, I was pleased with the adjustable legs, and detailed instructions with a template for drilling holes in the hinged door. However, the manufacturer did not foresee that in order to pull the hoses through the walls of"&amp;" the cabinets, it is necessary to drill too large holes. If this gimp at the end of the supply hose is so necessary, then at least they could make it unscrew from the machine.  Cleans well. For example, I washed a tea strainer, all overgrown with brown pl"&amp;"aque, the first time to its original condition. But drying is not perfect: plastic and Teflon-coated dishes remain wet. Moreover, while you take them out, they manage to drip onto everything else. So when unloading dishes you have to use a towel. However,"&amp;" I'm still very happy with the purchase.")</f>
        <v>The consultant pointed out this car to me on the sales floor because it was on sale, but everyone immediately liked it. Before going to the store, I decided on the requirements for the future machine and this model satisfied all of them, some even exceeded them.   It was convenient to install, I was pleased with the adjustable legs, and detailed instructions with a template for drilling holes in the hinged door. However, the manufacturer did not foresee that in order to pull the hoses through the walls of the cabinets, it is necessary to drill too large holes. If this gimp at the end of the supply hose is so necessary, then at least they could make it unscrew from the machine.  Cleans well. For example, I washed a tea strainer, all overgrown with brown plaque, the first time to its original condition. But drying is not perfect: plastic and Teflon-coated dishes remain wet. Moreover, while you take them out, they manage to drip onto everything else. So when unloading dishes you have to use a towel. However, I'm still very happy with the purchase.</v>
      </c>
    </row>
    <row r="12913" spans="1:9" x14ac:dyDescent="0.3">
      <c r="A12913" s="1" t="s">
        <v>238</v>
      </c>
      <c r="B12913" s="1" t="s">
        <v>276</v>
      </c>
      <c r="C12913" s="1" t="s">
        <v>19</v>
      </c>
      <c r="D12913" s="1" t="s">
        <v>247</v>
      </c>
      <c r="E12913" s="1" t="s">
        <v>559</v>
      </c>
      <c r="F12913" s="1" t="s">
        <v>18112</v>
      </c>
      <c r="G12913" s="1" t="s">
        <v>28</v>
      </c>
      <c r="H12913" s="1" t="s">
        <v>29</v>
      </c>
      <c r="I12913" s="1" t="str">
        <f ca="1">IFERROR(__xludf.DUMMYFUNCTION("GOOGLETRANSLATE(F12913, ""auto"", ""en"")
"),"My old refrigerator suddenly broke down and I had to urgently buy a replacement. It took us a long time to choose; at that moment there weren’t very many options for the money. During operation there were never any problems, the only thing was that ice fo"&amp;"rmed in the freezer. And in general, somehow this freezer is not enough for us. Now I would like to get a bigger refrigerator. But in general everything is ok. I think we can take it")</f>
        <v>My old refrigerator suddenly broke down and I had to urgently buy a replacement. It took us a long time to choose; at that moment there weren’t very many options for the money. During operation there were never any problems, the only thing was that ice formed in the freezer. And in general, somehow this freezer is not enough for us. Now I would like to get a bigger refrigerator. But in general everything is ok. I think we can take it</v>
      </c>
    </row>
    <row r="12914" spans="1:9" x14ac:dyDescent="0.3">
      <c r="A12914" s="1" t="s">
        <v>211</v>
      </c>
      <c r="B12914" s="1" t="s">
        <v>212</v>
      </c>
      <c r="C12914" s="1" t="s">
        <v>453</v>
      </c>
      <c r="D12914" s="1" t="s">
        <v>471</v>
      </c>
      <c r="E12914" s="1" t="s">
        <v>3241</v>
      </c>
      <c r="F12914" s="1" t="s">
        <v>18113</v>
      </c>
      <c r="G12914" s="1" t="s">
        <v>36</v>
      </c>
      <c r="H12914" s="1" t="s">
        <v>29</v>
      </c>
      <c r="I12914" s="1" t="str">
        <f ca="1">IFERROR(__xludf.DUMMYFUNCTION("GOOGLETRANSLATE(F12914, ""auto"", ""en"")
"),"I bought this straightener for myself. At first I was confused by its incredibly low price, but I decided to buy it anyway. Since my hair is straight, I only need it to straighten the ends and “smooth out” any unevenness. Straightens perfectly, does not b"&amp;"urn hair. But for daily use it is better to choose something more expensive and better. So I give it a solid five)")</f>
        <v>I bought this straightener for myself. At first I was confused by its incredibly low price, but I decided to buy it anyway. Since my hair is straight, I only need it to straighten the ends and “smooth out” any unevenness. Straightens perfectly, does not burn hair. But for daily use it is better to choose something more expensive and better. So I give it a solid five)</v>
      </c>
    </row>
    <row r="12915" spans="1:9" x14ac:dyDescent="0.3">
      <c r="A12915" s="1" t="s">
        <v>61</v>
      </c>
      <c r="B12915" s="1" t="s">
        <v>318</v>
      </c>
      <c r="C12915" s="1" t="s">
        <v>2840</v>
      </c>
      <c r="D12915" s="1" t="s">
        <v>2412</v>
      </c>
      <c r="E12915" s="1" t="s">
        <v>3523</v>
      </c>
      <c r="F12915" s="1" t="s">
        <v>18114</v>
      </c>
      <c r="G12915" s="1" t="s">
        <v>15</v>
      </c>
      <c r="H12915" s="1" t="s">
        <v>16</v>
      </c>
      <c r="I12915" s="1" t="str">
        <f ca="1">IFERROR(__xludf.DUMMYFUNCTION("GOOGLETRANSLATE(F12915, ""auto"", ""en"")
"),"+ Aesthetic, beautiful, quiet.    - We were always afraid that the lid would break, it gets very hot, we had to use an oven mitt on top.  - After a month of use, a sharp technical smell appeared in the boiled water and in the kettle itself. A cloudy film "&amp;"forms on the surface of the water.    This is already the second ceramic teapot in 2 months! The first one cost 2700, this one was more expensive + in both cases they took an exchange certificate for 2 years, both teapots worked for exactly a month. As I "&amp;"understand it, either that store on Ryazanka has a specific product, or all ceramic teapots (regardless of the price) last a month. I'm disappointed, I won't buy ceramics again.")</f>
        <v>+ Aesthetic, beautiful, quiet.    - We were always afraid that the lid would break, it gets very hot, we had to use an oven mitt on top.  - After a month of use, a sharp technical smell appeared in the boiled water and in the kettle itself. A cloudy film forms on the surface of the water.    This is already the second ceramic teapot in 2 months! The first one cost 2700, this one was more expensive + in both cases they took an exchange certificate for 2 years, both teapots worked for exactly a month. As I understand it, either that store on Ryazanka has a specific product, or all ceramic teapots (regardless of the price) last a month. I'm disappointed, I won't buy ceramics again.</v>
      </c>
    </row>
    <row r="12916" spans="1:9" x14ac:dyDescent="0.3">
      <c r="A12916" s="1" t="s">
        <v>17</v>
      </c>
      <c r="B12916" s="1" t="s">
        <v>18</v>
      </c>
      <c r="C12916" s="1" t="s">
        <v>243</v>
      </c>
      <c r="D12916" s="1" t="s">
        <v>280</v>
      </c>
      <c r="E12916" s="1" t="s">
        <v>11093</v>
      </c>
      <c r="F12916" s="1" t="s">
        <v>2871</v>
      </c>
      <c r="G12916" s="1" t="s">
        <v>1580</v>
      </c>
      <c r="H12916" s="1" t="s">
        <v>29</v>
      </c>
      <c r="I12916" s="1" t="str">
        <f ca="1">IFERROR(__xludf.DUMMYFUNCTION("GOOGLETRANSLATE(F12916, ""auto"", ""en"")
"),"Cheap and cheerful")</f>
        <v>Cheap and cheerful</v>
      </c>
    </row>
    <row r="12917" spans="1:9" x14ac:dyDescent="0.3">
      <c r="A12917" s="1" t="s">
        <v>30</v>
      </c>
      <c r="B12917" s="1" t="s">
        <v>50</v>
      </c>
      <c r="C12917" s="1" t="s">
        <v>694</v>
      </c>
      <c r="D12917" s="1" t="s">
        <v>18115</v>
      </c>
      <c r="E12917" s="1" t="s">
        <v>2176</v>
      </c>
      <c r="F12917" s="1" t="s">
        <v>18116</v>
      </c>
      <c r="G12917" s="1" t="s">
        <v>36</v>
      </c>
      <c r="H12917" s="1" t="s">
        <v>29</v>
      </c>
      <c r="I12917" s="1" t="str">
        <f ca="1">IFERROR(__xludf.DUMMYFUNCTION("GOOGLETRANSLATE(F12917, ""auto"", ""en"")
"),"I bought it a couple of days ago, so far I’m very happy!  The machine is brutal.)")</f>
        <v>I bought it a couple of days ago, so far I’m very happy!  The machine is brutal.)</v>
      </c>
    </row>
    <row r="12918" spans="1:9" x14ac:dyDescent="0.3">
      <c r="A12918" s="1" t="s">
        <v>111</v>
      </c>
      <c r="B12918" s="1" t="s">
        <v>112</v>
      </c>
      <c r="C12918" s="1" t="s">
        <v>1230</v>
      </c>
      <c r="D12918" s="1" t="s">
        <v>565</v>
      </c>
      <c r="E12918" s="1" t="s">
        <v>6180</v>
      </c>
      <c r="F12918" s="1" t="s">
        <v>18117</v>
      </c>
      <c r="G12918" s="1" t="s">
        <v>49</v>
      </c>
      <c r="H12918" s="1" t="s">
        <v>16</v>
      </c>
      <c r="I12918" s="1" t="str">
        <f ca="1">IFERROR(__xludf.DUMMYFUNCTION("GOOGLETRANSLATE(F12918, ""auto"", ""en"")
"),"Used for the kitchen: 2 kettles, blender and slow cooker. After half a year it burned out!")</f>
        <v>Used for the kitchen: 2 kettles, blender and slow cooker. After half a year it burned out!</v>
      </c>
    </row>
    <row r="12919" spans="1:9" x14ac:dyDescent="0.3">
      <c r="A12919" s="1" t="s">
        <v>9</v>
      </c>
      <c r="B12919" s="1" t="s">
        <v>137</v>
      </c>
      <c r="C12919" s="1" t="s">
        <v>63</v>
      </c>
      <c r="D12919" s="1" t="s">
        <v>18118</v>
      </c>
      <c r="E12919" s="1" t="s">
        <v>1280</v>
      </c>
      <c r="F12919" s="1" t="s">
        <v>18119</v>
      </c>
      <c r="G12919" s="1" t="s">
        <v>36</v>
      </c>
      <c r="H12919" s="1" t="s">
        <v>29</v>
      </c>
      <c r="I12919" s="1" t="str">
        <f ca="1">IFERROR(__xludf.DUMMYFUNCTION("GOOGLETRANSLATE(F12919, ""auto"", ""en"")
"),"The stove is awesome!!!!!!!!!! Now my wife doesn’t leave the stove, she’s always cooking something... well, I’m just glad")</f>
        <v>The stove is awesome!!!!!!!!!! Now my wife doesn’t leave the stove, she’s always cooking something... well, I’m just glad</v>
      </c>
    </row>
    <row r="12920" spans="1:9" x14ac:dyDescent="0.3">
      <c r="A12920" s="1" t="s">
        <v>43</v>
      </c>
      <c r="B12920" s="1" t="s">
        <v>502</v>
      </c>
      <c r="C12920" s="1" t="s">
        <v>459</v>
      </c>
      <c r="D12920" s="1" t="s">
        <v>18120</v>
      </c>
      <c r="E12920" s="1" t="s">
        <v>5596</v>
      </c>
      <c r="F12920" s="1" t="s">
        <v>18121</v>
      </c>
      <c r="G12920" s="1" t="s">
        <v>15</v>
      </c>
      <c r="H12920" s="1" t="s">
        <v>16</v>
      </c>
      <c r="I12920" s="1" t="str">
        <f ca="1">IFERROR(__xludf.DUMMYFUNCTION("GOOGLETRANSLATE(F12920, ""auto"", ""en"")
"),"A week later it broke and I returned it to the store.")</f>
        <v>A week later it broke and I returned it to the store.</v>
      </c>
    </row>
    <row r="12921" spans="1:9" x14ac:dyDescent="0.3">
      <c r="A12921" s="1" t="s">
        <v>95</v>
      </c>
      <c r="B12921" s="1" t="s">
        <v>486</v>
      </c>
      <c r="C12921" s="1" t="s">
        <v>487</v>
      </c>
      <c r="D12921" s="1" t="s">
        <v>1894</v>
      </c>
      <c r="E12921" s="1" t="s">
        <v>2874</v>
      </c>
      <c r="F12921" s="1" t="s">
        <v>18122</v>
      </c>
      <c r="G12921" s="1" t="s">
        <v>36</v>
      </c>
      <c r="H12921" s="1" t="s">
        <v>29</v>
      </c>
      <c r="I12921" s="1" t="str">
        <f ca="1">IFERROR(__xludf.DUMMYFUNCTION("GOOGLETRANSLATE(F12921, ""auto"", ""en"")
"),"Nothing to say, the console turned out great. Of course, you can nitpick and look for flaws for as long as you like, but is it worth it? Better play!")</f>
        <v>Nothing to say, the console turned out great. Of course, you can nitpick and look for flaws for as long as you like, but is it worth it? Better play!</v>
      </c>
    </row>
    <row r="12922" spans="1:9" x14ac:dyDescent="0.3">
      <c r="A12922" s="1" t="s">
        <v>78</v>
      </c>
      <c r="B12922" s="1" t="s">
        <v>79</v>
      </c>
      <c r="C12922" s="1" t="s">
        <v>122</v>
      </c>
      <c r="D12922" s="1" t="s">
        <v>64</v>
      </c>
      <c r="E12922" s="1" t="s">
        <v>8675</v>
      </c>
      <c r="F12922" s="1" t="s">
        <v>18123</v>
      </c>
      <c r="G12922" s="1" t="s">
        <v>36</v>
      </c>
      <c r="H12922" s="1" t="s">
        <v>29</v>
      </c>
      <c r="I12922" s="1" t="str">
        <f ca="1">IFERROR(__xludf.DUMMYFUNCTION("GOOGLETRANSLATE(F12922, ""auto"", ""en"")
"),"Yesterday we purchased this miracle! Stylish design, convenient menu. Of course, we haven’t managed to figure it out yet in such a short time, but overall we’re happy with everything! It’s true that we only managed to make toast on the grill, and bake pot"&amp;"atoes in their jackets. I really liked that in the “Auto” mode the oven itself selects the heating time. I haven’t had any complaints yet (I hope there won’t be any in the future). I recommend it to everyone!")</f>
        <v>Yesterday we purchased this miracle! Stylish design, convenient menu. Of course, we haven’t managed to figure it out yet in such a short time, but overall we’re happy with everything! It’s true that we only managed to make toast on the grill, and bake potatoes in their jackets. I really liked that in the “Auto” mode the oven itself selects the heating time. I haven’t had any complaints yet (I hope there won’t be any in the future). I recommend it to everyone!</v>
      </c>
    </row>
    <row r="12923" spans="1:9" x14ac:dyDescent="0.3">
      <c r="A12923" s="1" t="s">
        <v>30</v>
      </c>
      <c r="B12923" s="1" t="s">
        <v>50</v>
      </c>
      <c r="C12923" s="1" t="s">
        <v>694</v>
      </c>
      <c r="D12923" s="1" t="s">
        <v>305</v>
      </c>
      <c r="E12923" s="1" t="s">
        <v>917</v>
      </c>
      <c r="F12923" s="1" t="s">
        <v>18124</v>
      </c>
      <c r="G12923" s="1" t="s">
        <v>36</v>
      </c>
      <c r="H12923" s="1" t="s">
        <v>29</v>
      </c>
      <c r="I12923" s="1" t="str">
        <f ca="1">IFERROR(__xludf.DUMMYFUNCTION("GOOGLETRANSLATE(F12923, ""auto"", ""en"")
"),"The toy is simply CLASS.  At first I thought about getting myself some kind of netbook with a 10"" diagonal, but when I saw this model, I immediately took it for that kind of money. By the way, without the promotion, it costs about 18,000 rubles and kopec"&amp;"ks. The size, weight, size of the keyboard buttons are the same as on a regular one; in general, there are only advantages. There is everything you need (for example, Wi-Fi, Bluetooth,...). Initially, a hard drive, which by the way is 160Gb divided into 2"&amp;" logical drives (FAT32 - 103GB and NTFS - 30.3Gb). The NTFS partition contains all the necessary programs and firewood if something suddenly crashes. The video immediately takes 256Mb from the RAM. The screen resolution is the same as on 15.4"" beeches - "&amp;"(1280x800). The promotion lasts until September 8 and the number of netbooks is limited.")</f>
        <v>The toy is simply CLASS.  At first I thought about getting myself some kind of netbook with a 10" diagonal, but when I saw this model, I immediately took it for that kind of money. By the way, without the promotion, it costs about 18,000 rubles and kopecks. The size, weight, size of the keyboard buttons are the same as on a regular one; in general, there are only advantages. There is everything you need (for example, Wi-Fi, Bluetooth,...). Initially, a hard drive, which by the way is 160Gb divided into 2 logical drives (FAT32 - 103GB and NTFS - 30.3Gb). The NTFS partition contains all the necessary programs and firewood if something suddenly crashes. The video immediately takes 256Mb from the RAM. The screen resolution is the same as on 15.4" beeches - (1280x800). The promotion lasts until September 8 and the number of netbooks is limited.</v>
      </c>
    </row>
    <row r="12924" spans="1:9" x14ac:dyDescent="0.3">
      <c r="A12924" s="1" t="s">
        <v>211</v>
      </c>
      <c r="B12924" s="1" t="s">
        <v>384</v>
      </c>
      <c r="C12924" s="1" t="s">
        <v>246</v>
      </c>
      <c r="D12924" s="1" t="s">
        <v>1506</v>
      </c>
      <c r="E12924" s="1" t="s">
        <v>2043</v>
      </c>
      <c r="F12924" s="1" t="s">
        <v>18125</v>
      </c>
      <c r="G12924" s="1" t="s">
        <v>36</v>
      </c>
      <c r="H12924" s="1" t="s">
        <v>29</v>
      </c>
      <c r="I12924" s="1" t="str">
        <f ca="1">IFERROR(__xludf.DUMMYFUNCTION("GOOGLETRANSLATE(F12924, ""auto"", ""en"")
"),"The scales are excellent. I'm very pleased. They show accurately. I like that you don’t need to turn it on first, you just get up and the weight is shown")</f>
        <v>The scales are excellent. I'm very pleased. They show accurately. I like that you don’t need to turn it on first, you just get up and the weight is shown</v>
      </c>
    </row>
    <row r="12925" spans="1:9" x14ac:dyDescent="0.3">
      <c r="A12925" s="1" t="s">
        <v>89</v>
      </c>
      <c r="B12925" s="1" t="s">
        <v>231</v>
      </c>
      <c r="C12925" s="1" t="s">
        <v>185</v>
      </c>
      <c r="D12925" s="1" t="s">
        <v>18126</v>
      </c>
      <c r="E12925" s="1" t="s">
        <v>5270</v>
      </c>
      <c r="F12925" s="1" t="s">
        <v>18127</v>
      </c>
      <c r="G12925" s="1" t="s">
        <v>36</v>
      </c>
      <c r="H12925" s="1" t="s">
        <v>29</v>
      </c>
      <c r="I12925" s="1" t="str">
        <f ca="1">IFERROR(__xludf.DUMMYFUNCTION("GOOGLETRANSLATE(F12925, ""auto"", ""en"")
"),"I was choosing between different companies, with a budget of up to 25,000 rubles. I assessed all the pros and cons, consulted with a bunch of friends and in stores. In the end I chose delonghi esam 04.110 s. I must say that I have never made a mistake, I "&amp;"am very pleased with the choice. There are many different adjustments, including as many as 14 degrees of grinding. At first I thought it was unnecessary, but after trying it I realized that the taste is really different. The cappuccino maker of this mode"&amp;"l is much better than that of its analogues, the foam produced is steeper than that of models with an automatic machine. In management everything is simply elementary. The coffee turns out very tasty, everyone can choose what they like best. Overall, I th"&amp;"ink this is the best model at the moment.")</f>
        <v>I was choosing between different companies, with a budget of up to 25,000 rubles. I assessed all the pros and cons, consulted with a bunch of friends and in stores. In the end I chose delonghi esam 04.110 s. I must say that I have never made a mistake, I am very pleased with the choice. There are many different adjustments, including as many as 14 degrees of grinding. At first I thought it was unnecessary, but after trying it I realized that the taste is really different. The cappuccino maker of this model is much better than that of its analogues, the foam produced is steeper than that of models with an automatic machine. In management everything is simply elementary. The coffee turns out very tasty, everyone can choose what they like best. Overall, I think this is the best model at the moment.</v>
      </c>
    </row>
    <row r="12926" spans="1:9" x14ac:dyDescent="0.3">
      <c r="A12926" s="1" t="s">
        <v>30</v>
      </c>
      <c r="B12926" s="1" t="s">
        <v>50</v>
      </c>
      <c r="C12926" s="1" t="s">
        <v>694</v>
      </c>
      <c r="D12926" s="1" t="s">
        <v>305</v>
      </c>
      <c r="E12926" s="1" t="s">
        <v>1065</v>
      </c>
      <c r="F12926" s="1" t="s">
        <v>18128</v>
      </c>
      <c r="G12926" s="1" t="s">
        <v>36</v>
      </c>
      <c r="H12926" s="1" t="s">
        <v>29</v>
      </c>
      <c r="I12926" s="1" t="str">
        <f ca="1">IFERROR(__xludf.DUMMYFUNCTION("GOOGLETRANSLATE(F12926, ""auto"", ""en"")
"),"In October I bought it for my wife here for 12-something thousand rubles. I immediately liked the price. Delivery was free - I liked it again. The courier arrived exactly at 11.00, as he said. Knowledgeable, friendly young man. I unpacked it and showed it"&amp;". The documents for sale are in order. The laptop is working! There’s simply nothing to complain about! Wifi no problem. I added 2 gigs of RAM - no problem again! An external 1.5TB screw rustles and works! In short, after 5 months there are no complaints."&amp;" It is used by my wife at work and at home, and by me on trips to clients and in general for small things all the time. There were no strange illusions like GTA, blue ray or 5-hour battery life initially. I fully agree with the February assessments, espec"&amp;"ially those of Vadim from Chelyabinsk. There is simply nothing to add.")</f>
        <v>In October I bought it for my wife here for 12-something thousand rubles. I immediately liked the price. Delivery was free - I liked it again. The courier arrived exactly at 11.00, as he said. Knowledgeable, friendly young man. I unpacked it and showed it. The documents for sale are in order. The laptop is working! There’s simply nothing to complain about! Wifi no problem. I added 2 gigs of RAM - no problem again! An external 1.5TB screw rustles and works! In short, after 5 months there are no complaints. It is used by my wife at work and at home, and by me on trips to clients and in general for small things all the time. There were no strange illusions like GTA, blue ray or 5-hour battery life initially. I fully agree with the February assessments, especially those of Vadim from Chelyabinsk. There is simply nothing to add.</v>
      </c>
    </row>
    <row r="12927" spans="1:9" x14ac:dyDescent="0.3">
      <c r="A12927" s="1" t="s">
        <v>211</v>
      </c>
      <c r="B12927" s="1" t="s">
        <v>265</v>
      </c>
      <c r="C12927" s="1" t="s">
        <v>122</v>
      </c>
      <c r="D12927" s="1" t="s">
        <v>172</v>
      </c>
      <c r="E12927" s="1" t="s">
        <v>16390</v>
      </c>
      <c r="F12927" s="1" t="s">
        <v>18129</v>
      </c>
      <c r="G12927" s="1" t="s">
        <v>36</v>
      </c>
      <c r="H12927" s="1" t="s">
        <v>29</v>
      </c>
      <c r="I12927" s="1" t="str">
        <f ca="1">IFERROR(__xludf.DUMMYFUNCTION("GOOGLETRANSLATE(F12927, ""auto"", ""en"")
"),"Perhaps the commentators below are right about the inadequacy of this model for cutting the head, but Panasonic itself positions it as a head clipper / trimmer, and as a beard trimmer it is perfect! In a couple of passes, I removed all the excess and did "&amp;"not clog.  Plus, unlike trimmers, this machine can accurately trim the beard from 1 mm to 20 mm, and in trimmers it is usually from 0.5 mm to 10 mm. It also has thinning and can be washed under water.  P.S. read the instructions - the first time you need "&amp;"to charge min. 16 hours")</f>
        <v>Perhaps the commentators below are right about the inadequacy of this model for cutting the head, but Panasonic itself positions it as a head clipper / trimmer, and as a beard trimmer it is perfect! In a couple of passes, I removed all the excess and did not clog.  Plus, unlike trimmers, this machine can accurately trim the beard from 1 mm to 20 mm, and in trimmers it is usually from 0.5 mm to 10 mm. It also has thinning and can be washed under water.  P.S. read the instructions - the first time you need to charge min. 16 hours</v>
      </c>
    </row>
    <row r="12928" spans="1:9" x14ac:dyDescent="0.3">
      <c r="A12928" s="1" t="s">
        <v>9</v>
      </c>
      <c r="B12928" s="1" t="s">
        <v>133</v>
      </c>
      <c r="C12928" s="1" t="s">
        <v>24</v>
      </c>
      <c r="D12928" s="1" t="s">
        <v>545</v>
      </c>
      <c r="E12928" s="1" t="s">
        <v>1056</v>
      </c>
      <c r="F12928" s="1" t="s">
        <v>18130</v>
      </c>
      <c r="G12928" s="1" t="s">
        <v>28</v>
      </c>
      <c r="H12928" s="1" t="s">
        <v>29</v>
      </c>
      <c r="I12928" s="1" t="str">
        <f ca="1">IFERROR(__xludf.DUMMYFUNCTION("GOOGLETRANSLATE(F12928, ""auto"", ""en"")
"),"I’ve been using it for more than a year. In general, I’m happy, it bakes well, convection helps a lot. But a mechanical temperature controller is not convenient - it is impossible to identify a temperature of 180, or 220, or for example 240 degrees (some "&amp;"intermediate temperatures), i.e. very approximately. I also encountered a problem - the set only comes with 1 aluminum baking sheet, I don’t like it at all. Contacted Zanussi service. The answer is: “I can get a native one, on order, according to the pers"&amp;"onal number of my cabinet and only exactly the same baking sheet that is equipped with my oven, and in general after 2, 3 months and no other. Other options - at least enameled or better with a non-stick coating, look in stores. And this is an additional "&amp;"hemorrhoids (would a non-original one fit my guides?) And the cost of these baking sheets is from more than 2 thousand rubles. So decide for yourself about the purchase!")</f>
        <v>I’ve been using it for more than a year. In general, I’m happy, it bakes well, convection helps a lot. But a mechanical temperature controller is not convenient - it is impossible to identify a temperature of 180, or 220, or for example 240 degrees (some intermediate temperatures), i.e. very approximately. I also encountered a problem - the set only comes with 1 aluminum baking sheet, I don’t like it at all. Contacted Zanussi service. The answer is: “I can get a native one, on order, according to the personal number of my cabinet and only exactly the same baking sheet that is equipped with my oven, and in general after 2, 3 months and no other. Other options - at least enameled or better with a non-stick coating, look in stores. And this is an additional hemorrhoids (would a non-original one fit my guides?) And the cost of these baking sheets is from more than 2 thousand rubles. So decide for yourself about the purchase!</v>
      </c>
    </row>
    <row r="12929" spans="1:9" x14ac:dyDescent="0.3">
      <c r="A12929" s="1" t="s">
        <v>30</v>
      </c>
      <c r="B12929" s="1" t="s">
        <v>50</v>
      </c>
      <c r="C12929" s="1" t="s">
        <v>1003</v>
      </c>
      <c r="D12929" s="1" t="s">
        <v>18131</v>
      </c>
      <c r="E12929" s="1" t="s">
        <v>1762</v>
      </c>
      <c r="F12929" s="1" t="s">
        <v>18132</v>
      </c>
      <c r="G12929" s="1" t="s">
        <v>36</v>
      </c>
      <c r="H12929" s="1" t="s">
        <v>29</v>
      </c>
      <c r="I12929" s="1" t="str">
        <f ca="1">IFERROR(__xludf.DUMMYFUNCTION("GOOGLETRANSLATE(F12929, ""auto"", ""en"")
"),"A very good laptop, I’ve had it for more than a month, it’s never glitched once, everything is smooth and clear!  The performance is very good, it can handle both games and drawing programs with complex graphics... Very beautiful design, it immediately st"&amp;"ands out from many of its peers. The WiFi receiver also works very well (in a 4-room apartment there is no loss at all, although the router is decrepit)!    Well, in general, that’s all, take it, you won’t regret it!!!")</f>
        <v>A very good laptop, I’ve had it for more than a month, it’s never glitched once, everything is smooth and clear!  The performance is very good, it can handle both games and drawing programs with complex graphics... Very beautiful design, it immediately stands out from many of its peers. The WiFi receiver also works very well (in a 4-room apartment there is no loss at all, although the router is decrepit)!    Well, in general, that’s all, take it, you won’t regret it!!!</v>
      </c>
    </row>
    <row r="12930" spans="1:9" x14ac:dyDescent="0.3">
      <c r="A12930" s="1" t="s">
        <v>89</v>
      </c>
      <c r="B12930" s="1" t="s">
        <v>90</v>
      </c>
      <c r="C12930" s="1" t="s">
        <v>185</v>
      </c>
      <c r="D12930" s="1" t="s">
        <v>319</v>
      </c>
      <c r="E12930" s="1" t="s">
        <v>2165</v>
      </c>
      <c r="F12930" s="1" t="s">
        <v>18133</v>
      </c>
      <c r="G12930" s="1" t="s">
        <v>36</v>
      </c>
      <c r="H12930" s="1" t="s">
        <v>29</v>
      </c>
      <c r="I12930" s="1" t="str">
        <f ca="1">IFERROR(__xludf.DUMMYFUNCTION("GOOGLETRANSLATE(F12930, ""auto"", ""en"")
"),"I have been using this coffee grinder every day for over a year and it has never let me down, it works like a clock, they say they are installed on expensive coffee machines.  P.S. A little noisy but not critical.")</f>
        <v>I have been using this coffee grinder every day for over a year and it has never let me down, it works like a clock, they say they are installed on expensive coffee machines.  P.S. A little noisy but not critical.</v>
      </c>
    </row>
    <row r="12931" spans="1:9" x14ac:dyDescent="0.3">
      <c r="A12931" s="1" t="s">
        <v>30</v>
      </c>
      <c r="B12931" s="1" t="s">
        <v>50</v>
      </c>
      <c r="C12931" s="1" t="s">
        <v>694</v>
      </c>
      <c r="D12931" s="1" t="s">
        <v>152</v>
      </c>
      <c r="E12931" s="1" t="s">
        <v>820</v>
      </c>
      <c r="F12931" s="1" t="s">
        <v>18134</v>
      </c>
      <c r="G12931" s="1" t="s">
        <v>36</v>
      </c>
      <c r="H12931" s="1" t="s">
        <v>29</v>
      </c>
      <c r="I12931" s="1" t="str">
        <f ca="1">IFERROR(__xludf.DUMMYFUNCTION("GOOGLETRANSLATE(F12931, ""auto"", ""en"")
"),"Works for several months, easily runs modern games. There is no optical output (they lied in the specifications). Windows needs to be reinstalled on x64 immediately, otherwise there will be a blue screen in games")</f>
        <v>Works for several months, easily runs modern games. There is no optical output (they lied in the specifications). Windows needs to be reinstalled on x64 immediately, otherwise there will be a blue screen in games</v>
      </c>
    </row>
    <row r="12932" spans="1:9" x14ac:dyDescent="0.3">
      <c r="A12932" s="1" t="s">
        <v>105</v>
      </c>
      <c r="B12932" s="1" t="s">
        <v>106</v>
      </c>
      <c r="C12932" s="1" t="s">
        <v>151</v>
      </c>
      <c r="D12932" s="1" t="s">
        <v>247</v>
      </c>
      <c r="E12932" s="1" t="s">
        <v>2360</v>
      </c>
      <c r="F12932" s="1" t="s">
        <v>18135</v>
      </c>
      <c r="G12932" s="1" t="s">
        <v>36</v>
      </c>
      <c r="H12932" s="1" t="s">
        <v>29</v>
      </c>
      <c r="I12932" s="1" t="str">
        <f ca="1">IFERROR(__xludf.DUMMYFUNCTION("GOOGLETRANSLATE(F12932, ""auto"", ""en"")
"),"The player came to me as a replacement under warranty teXet T679.  Compared to this, it’s just super! powerful, everything is tightly docked, without backlashes and so on, not like in the texnet... the sound quality is also at the level for such a price, "&amp;"cool software is included :) in general I’m happy) and then... we’ll see) I hope nothing happens")</f>
        <v>The player came to me as a replacement under warranty teXet T679.  Compared to this, it’s just super! powerful, everything is tightly docked, without backlashes and so on, not like in the texnet... the sound quality is also at the level for such a price, cool software is included :) in general I’m happy) and then... we’ll see) I hope nothing happens</v>
      </c>
    </row>
    <row r="12933" spans="1:9" x14ac:dyDescent="0.3">
      <c r="A12933" s="1" t="s">
        <v>105</v>
      </c>
      <c r="B12933" s="1" t="s">
        <v>106</v>
      </c>
      <c r="C12933" s="1" t="s">
        <v>151</v>
      </c>
      <c r="D12933" s="1" t="s">
        <v>18136</v>
      </c>
      <c r="E12933" s="1" t="s">
        <v>2094</v>
      </c>
      <c r="F12933" s="1" t="s">
        <v>18137</v>
      </c>
      <c r="G12933" s="1" t="s">
        <v>36</v>
      </c>
      <c r="H12933" s="1" t="s">
        <v>29</v>
      </c>
      <c r="I12933" s="1" t="str">
        <f ca="1">IFERROR(__xludf.DUMMYFUNCTION("GOOGLETRANSLATE(F12933, ""auto"", ""en"")
"),"I've been using it for 2 years already!!!!  I listened in my own ears, and in Philips for 1.5 tons and the sound is quite satisfactory! the player is wonderful! The battery lasts a very long time, the display is excellent, I’m very pleased with the presen"&amp;"ce of the Bluetooth 2.1 module, so you can use a stereo headset, which is what I’m using now, Nokia BH-503. I recommend!")</f>
        <v>I've been using it for 2 years already!!!!  I listened in my own ears, and in Philips for 1.5 tons and the sound is quite satisfactory! the player is wonderful! The battery lasts a very long time, the display is excellent, I’m very pleased with the presence of the Bluetooth 2.1 module, so you can use a stereo headset, which is what I’m using now, Nokia BH-503. I recommend!</v>
      </c>
    </row>
    <row r="12934" spans="1:9" x14ac:dyDescent="0.3">
      <c r="A12934" s="1" t="s">
        <v>169</v>
      </c>
      <c r="B12934" s="1" t="s">
        <v>170</v>
      </c>
      <c r="C12934" s="1" t="s">
        <v>193</v>
      </c>
      <c r="D12934" s="1" t="s">
        <v>52</v>
      </c>
      <c r="E12934" s="1" t="s">
        <v>708</v>
      </c>
      <c r="F12934" s="1" t="s">
        <v>18138</v>
      </c>
      <c r="G12934" s="1" t="s">
        <v>36</v>
      </c>
      <c r="H12934" s="1" t="s">
        <v>29</v>
      </c>
      <c r="I12934" s="1" t="str">
        <f ca="1">IFERROR(__xludf.DUMMYFUNCTION("GOOGLETRANSLATE(F12934, ""auto"", ""en"")
"),"Very, very, good headphones, probably out of all earbuds!! I listen to the iPod with them and am very pleased! Very cool bass, not overwhelmed by mids and lows. Everything is heard perfectly. And by the way, I’ve been using them for 3 years now! At the sa"&amp;"me time, I always listen to music to the fullest.")</f>
        <v>Very, very, good headphones, probably out of all earbuds!! I listen to the iPod with them and am very pleased! Very cool bass, not overwhelmed by mids and lows. Everything is heard perfectly. And by the way, I’ve been using them for 3 years now! At the same time, I always listen to music to the fullest.</v>
      </c>
    </row>
    <row r="12935" spans="1:9" x14ac:dyDescent="0.3">
      <c r="A12935" s="1" t="s">
        <v>120</v>
      </c>
      <c r="B12935" s="1" t="s">
        <v>126</v>
      </c>
      <c r="C12935" s="1" t="s">
        <v>151</v>
      </c>
      <c r="D12935" s="1" t="s">
        <v>3326</v>
      </c>
      <c r="E12935" s="1" t="s">
        <v>1463</v>
      </c>
      <c r="F12935" s="1" t="s">
        <v>18139</v>
      </c>
      <c r="G12935" s="1" t="s">
        <v>36</v>
      </c>
      <c r="H12935" s="1" t="s">
        <v>29</v>
      </c>
      <c r="I12935" s="1" t="str">
        <f ca="1">IFERROR(__xludf.DUMMYFUNCTION("GOOGLETRANSLATE(F12935, ""auto"", ""en"")
"),"My personal opinion - before the New Year I took 1, I was amazed at the quality..... then a week later I took 1 more to another room.... For Christmas, I gave my mother 1 more - she was also delighted with the clarity and quality!!!! later I’m going to ta"&amp;"ke my mother-in-law.) here....well, judge for yourself")</f>
        <v>My personal opinion - before the New Year I took 1, I was amazed at the quality..... then a week later I took 1 more to another room.... For Christmas, I gave my mother 1 more - she was also delighted with the clarity and quality!!!! later I’m going to take my mother-in-law.) here....well, judge for yourself</v>
      </c>
    </row>
    <row r="12936" spans="1:9" x14ac:dyDescent="0.3">
      <c r="A12936" s="1" t="s">
        <v>61</v>
      </c>
      <c r="B12936" s="1" t="s">
        <v>318</v>
      </c>
      <c r="C12936" s="1" t="s">
        <v>85</v>
      </c>
      <c r="D12936" s="1" t="s">
        <v>5189</v>
      </c>
      <c r="E12936" s="1" t="s">
        <v>2022</v>
      </c>
      <c r="F12936" s="1" t="s">
        <v>18140</v>
      </c>
      <c r="G12936" s="1" t="s">
        <v>36</v>
      </c>
      <c r="H12936" s="1" t="s">
        <v>29</v>
      </c>
      <c r="I12936" s="1" t="str">
        <f ca="1">IFERROR(__xludf.DUMMYFUNCTION("GOOGLETRANSLATE(F12936, ""auto"", ""en"")
"),"The kettle is excellent. Good price for a Borka.")</f>
        <v>The kettle is excellent. Good price for a Borka.</v>
      </c>
    </row>
    <row r="12937" spans="1:9" x14ac:dyDescent="0.3">
      <c r="A12937" s="1" t="s">
        <v>211</v>
      </c>
      <c r="B12937" s="1" t="s">
        <v>212</v>
      </c>
      <c r="C12937" s="1" t="s">
        <v>69</v>
      </c>
      <c r="D12937" s="1" t="s">
        <v>308</v>
      </c>
      <c r="E12937" s="1" t="s">
        <v>6578</v>
      </c>
      <c r="F12937" s="1" t="s">
        <v>18141</v>
      </c>
      <c r="G12937" s="1" t="s">
        <v>49</v>
      </c>
      <c r="H12937" s="1" t="s">
        <v>16</v>
      </c>
      <c r="I12937" s="1" t="str">
        <f ca="1">IFERROR(__xludf.DUMMYFUNCTION("GOOGLETRANSLATE(F12937, ""auto"", ""en"")
"),"Girls, never buy these curlers. Yesterday I bought this product as a gift for my mother in the city of Elektrostal. She had wanted curlers for a very long time. This morning we tried it and realized that it was just terrible. Large curlers did not create "&amp;"beautiful curls. The middle ones don't hold up at all, because...  the pins are much larger than the diameter of the curlers.   The most interesting thing is that we initially wanted to purchase another Remington company, but the girl assured us that they"&amp;" did not have normal fasteners and that these were better. We listened to her. And then we saw on the Internet that Remington curlers not only have a holder for ends, but also 20 “crabs” (which is what we originally wanted) + there are no instructions in "&amp;"Russian in the package. I know English, so reading the instructions was not difficult, but if English is not your strong point, you will have to look for instructions on the Internet. So I don't recommend it.")</f>
        <v>Girls, never buy these curlers. Yesterday I bought this product as a gift for my mother in the city of Elektrostal. She had wanted curlers for a very long time. This morning we tried it and realized that it was just terrible. Large curlers did not create beautiful curls. The middle ones don't hold up at all, because...  the pins are much larger than the diameter of the curlers.   The most interesting thing is that we initially wanted to purchase another Remington company, but the girl assured us that they did not have normal fasteners and that these were better. We listened to her. And then we saw on the Internet that Remington curlers not only have a holder for ends, but also 20 “crabs” (which is what we originally wanted) + there are no instructions in Russian in the package. I know English, so reading the instructions was not difficult, but if English is not your strong point, you will have to look for instructions on the Internet. So I don't recommend it.</v>
      </c>
    </row>
    <row r="12938" spans="1:9" x14ac:dyDescent="0.3">
      <c r="A12938" s="1" t="s">
        <v>9</v>
      </c>
      <c r="B12938" s="1" t="s">
        <v>137</v>
      </c>
      <c r="C12938" s="1" t="s">
        <v>24</v>
      </c>
      <c r="D12938" s="1" t="s">
        <v>1021</v>
      </c>
      <c r="E12938" s="1" t="s">
        <v>2231</v>
      </c>
      <c r="F12938" s="1" t="s">
        <v>18142</v>
      </c>
      <c r="G12938" s="1" t="s">
        <v>36</v>
      </c>
      <c r="H12938" s="1" t="s">
        <v>29</v>
      </c>
      <c r="I12938" s="1" t="str">
        <f ca="1">IFERROR(__xludf.DUMMYFUNCTION("GOOGLETRANSLATE(F12938, ""auto"", ""en"")
"),"We are very pleased with the choice, we have been using it for about six months, it is easy to clean and works properly!")</f>
        <v>We are very pleased with the choice, we have been using it for about six months, it is easy to clean and works properly!</v>
      </c>
    </row>
    <row r="12939" spans="1:9" x14ac:dyDescent="0.3">
      <c r="A12939" s="1" t="s">
        <v>30</v>
      </c>
      <c r="B12939" s="1" t="s">
        <v>50</v>
      </c>
      <c r="C12939" s="1" t="s">
        <v>1386</v>
      </c>
      <c r="D12939" s="1" t="s">
        <v>18143</v>
      </c>
      <c r="E12939" s="1" t="s">
        <v>1181</v>
      </c>
      <c r="F12939" s="1" t="s">
        <v>18144</v>
      </c>
      <c r="G12939" s="1" t="s">
        <v>49</v>
      </c>
      <c r="H12939" s="1" t="s">
        <v>16</v>
      </c>
      <c r="I12939" s="1" t="str">
        <f ca="1">IFERROR(__xludf.DUMMYFUNCTION("GOOGLETRANSLATE(F12939, ""auto"", ""en"")
"),"In Bios, switch the SATA Native option."" And XP will work. No one is transplanting anyone, these operating systems just support the hardware differently.")</f>
        <v>In Bios, switch the SATA Native option." And XP will work. No one is transplanting anyone, these operating systems just support the hardware differently.</v>
      </c>
    </row>
    <row r="12940" spans="1:9" x14ac:dyDescent="0.3">
      <c r="A12940" s="1" t="s">
        <v>451</v>
      </c>
      <c r="B12940" s="1" t="s">
        <v>452</v>
      </c>
      <c r="C12940" s="1" t="s">
        <v>710</v>
      </c>
      <c r="D12940" s="1" t="s">
        <v>308</v>
      </c>
      <c r="E12940" s="1" t="s">
        <v>715</v>
      </c>
      <c r="F12940" s="1" t="s">
        <v>18145</v>
      </c>
      <c r="G12940" s="1" t="s">
        <v>49</v>
      </c>
      <c r="H12940" s="1" t="s">
        <v>16</v>
      </c>
      <c r="I12940" s="1" t="str">
        <f ca="1">IFERROR(__xludf.DUMMYFUNCTION("GOOGLETRANSLATE(F12940, ""auto"", ""en"")
"),"The original bushings lasted for many years, so I had to buy this set. We bought it on 07/26/2013 and the bushing broke on 08/16/2013, despite all this, I used the meat grinder for the second time after purchase, I don’t know what to do now... I don’t rec"&amp;"ommend buying this set.")</f>
        <v>The original bushings lasted for many years, so I had to buy this set. We bought it on 07/26/2013 and the bushing broke on 08/16/2013, despite all this, I used the meat grinder for the second time after purchase, I don’t know what to do now... I don’t recommend buying this set.</v>
      </c>
    </row>
    <row r="12941" spans="1:9" x14ac:dyDescent="0.3">
      <c r="A12941" s="1" t="s">
        <v>37</v>
      </c>
      <c r="B12941" s="1" t="s">
        <v>536</v>
      </c>
      <c r="C12941" s="1" t="s">
        <v>163</v>
      </c>
      <c r="D12941" s="1" t="s">
        <v>172</v>
      </c>
      <c r="E12941" s="1" t="s">
        <v>1773</v>
      </c>
      <c r="F12941" s="1" t="s">
        <v>18146</v>
      </c>
      <c r="G12941" s="1" t="s">
        <v>36</v>
      </c>
      <c r="H12941" s="1" t="s">
        <v>29</v>
      </c>
      <c r="I12941" s="1" t="str">
        <f ca="1">IFERROR(__xludf.DUMMYFUNCTION("GOOGLETRANSLATE(F12941, ""auto"", ""en"")
"),"I bought it a week ago - the impressions are positive.  This is my first smartphone, so I had to understand Symbian.  Among the advantages, I will note: + large screen, with a relatively compact size of the device + nice design + built-in GPS + long-lasti"&amp;"ng battery + nice Symbian interface (everything is simple and convenient, I remember with horror how I set up mms on a friend’s communicator with win mobile) Of the disadvantages, I will note: - lack of wi-fi - the screen is difficult to read in the sun -"&amp;" microUSB - it is more difficult to find a cable and costs more, there is also no recharging - in The navigation version does not have a USB cable and a memory card with a symbolic capacity of 2GB. However, I take into account the price of the device, the"&amp;"se disadvantages of kmk are not significant Z.Y.: -The alarm clock is not glitchy, you don’t have to press the stop button but swipe it with your finger, so that while unconscious you don’t turn off the alarm clock))) -If you often surf the Internet, then"&amp;" you launch Internet services yourself) -Satellite reception is no worse average budget navigator, with A-GPS it catches faster")</f>
        <v>I bought it a week ago - the impressions are positive.  This is my first smartphone, so I had to understand Symbian.  Among the advantages, I will note: + large screen, with a relatively compact size of the device + nice design + built-in GPS + long-lasting battery + nice Symbian interface (everything is simple and convenient, I remember with horror how I set up mms on a friend’s communicator with win mobile) Of the disadvantages, I will note: - lack of wi-fi - the screen is difficult to read in the sun - microUSB - it is more difficult to find a cable and costs more, there is also no recharging - in The navigation version does not have a USB cable and a memory card with a symbolic capacity of 2GB. However, I take into account the price of the device, these disadvantages of kmk are not significant Z.Y.: -The alarm clock is not glitchy, you don’t have to press the stop button but swipe it with your finger, so that while unconscious you don’t turn off the alarm clock))) -If you often surf the Internet, then you launch Internet services yourself) -Satellite reception is no worse average budget navigator, with A-GPS it catches faster</v>
      </c>
    </row>
    <row r="12942" spans="1:9" x14ac:dyDescent="0.3">
      <c r="A12942" s="1" t="s">
        <v>2087</v>
      </c>
      <c r="B12942" s="1" t="s">
        <v>2088</v>
      </c>
      <c r="C12942" s="1" t="s">
        <v>151</v>
      </c>
      <c r="D12942" s="1" t="s">
        <v>5204</v>
      </c>
      <c r="E12942" s="1" t="s">
        <v>8184</v>
      </c>
      <c r="F12942" s="1" t="s">
        <v>18147</v>
      </c>
      <c r="G12942" s="1" t="s">
        <v>28</v>
      </c>
      <c r="H12942" s="1" t="s">
        <v>29</v>
      </c>
      <c r="I12942" s="1" t="str">
        <f ca="1">IFERROR(__xludf.DUMMYFUNCTION("GOOGLETRANSLATE(F12942, ""auto"", ""en"")
"),"Indeed, there is no way to broadcast from a PC, which is very bad.    For video in the mkv container, the following parameters are required: Profile no more than High@L4.1 ReFrames no more than 4 The sound is better in AC3, although DTS understands it, bu"&amp;"t it is slow with it :( These parameters can be viewed using MediaInfo. Unfortunately, most files are encoded with other parameters, and you have to re-encode it yourself in order to watch it on the player.")</f>
        <v>Indeed, there is no way to broadcast from a PC, which is very bad.    For video in the mkv container, the following parameters are required: Profile no more than High@L4.1 ReFrames no more than 4 The sound is better in AC3, although DTS understands it, but it is slow with it :( These parameters can be viewed using MediaInfo. Unfortunately, most files are encoded with other parameters, and you have to re-encode it yourself in order to watch it on the player.</v>
      </c>
    </row>
    <row r="12943" spans="1:9" x14ac:dyDescent="0.3">
      <c r="A12943" s="1" t="s">
        <v>43</v>
      </c>
      <c r="B12943" s="1" t="s">
        <v>44</v>
      </c>
      <c r="C12943" s="1" t="s">
        <v>185</v>
      </c>
      <c r="D12943" s="1" t="s">
        <v>273</v>
      </c>
      <c r="E12943" s="1" t="s">
        <v>1287</v>
      </c>
      <c r="F12943" s="1" t="s">
        <v>18148</v>
      </c>
      <c r="G12943" s="1" t="s">
        <v>36</v>
      </c>
      <c r="H12943" s="1" t="s">
        <v>29</v>
      </c>
      <c r="I12943" s="1" t="str">
        <f ca="1">IFERROR(__xludf.DUMMYFUNCTION("GOOGLETRANSLATE(F12943, ""auto"", ""en"")
"),"The fan is excellent, it works quietly, the air flow at the first speed is sufficient, the 2nd and 3rd are already for those who like to freeze.")</f>
        <v>The fan is excellent, it works quietly, the air flow at the first speed is sufficient, the 2nd and 3rd are already for those who like to freeze.</v>
      </c>
    </row>
    <row r="12944" spans="1:9" x14ac:dyDescent="0.3">
      <c r="A12944" s="1" t="s">
        <v>120</v>
      </c>
      <c r="B12944" s="1" t="s">
        <v>256</v>
      </c>
      <c r="C12944" s="1" t="s">
        <v>97</v>
      </c>
      <c r="D12944" s="1" t="s">
        <v>18149</v>
      </c>
      <c r="E12944" s="1" t="s">
        <v>3664</v>
      </c>
      <c r="F12944" s="1" t="s">
        <v>18150</v>
      </c>
      <c r="G12944" s="1" t="s">
        <v>28</v>
      </c>
      <c r="H12944" s="1" t="s">
        <v>29</v>
      </c>
      <c r="I12944" s="1" t="str">
        <f ca="1">IFERROR(__xludf.DUMMYFUNCTION("GOOGLETRANSLATE(F12944, ""auto"", ""en"")
"),"I chose a 26” TV, as compact as possible. I settled on this model. Overall, I really liked the TV. The picture may not be as bright and contrasty as, for example, LG or Samsung, but the colors are more natural. Viewing angles and clarity are sufficient. T"&amp;"he sensitivity of the tuner was a pleasant surprise - the TV is connected to a regular collective antenna and provides reliable reception even of those channels that my previous (regular, CRT) Samsung TV refused to show.  I liked the controls - everything"&amp;" is logical and convenient. I also really liked the design - strict and stylish, without unnecessary gloss and glamor. The only note is a quiet click in the speakers when switching channels/video inputs and some modes. But this is apparently a feature of "&amp;"this model (and maybe the entire series), because... I specifically checked it on three more of the same TVs (in different stores) - the same thing.")</f>
        <v>I chose a 26” TV, as compact as possible. I settled on this model. Overall, I really liked the TV. The picture may not be as bright and contrasty as, for example, LG or Samsung, but the colors are more natural. Viewing angles and clarity are sufficient. The sensitivity of the tuner was a pleasant surprise - the TV is connected to a regular collective antenna and provides reliable reception even of those channels that my previous (regular, CRT) Samsung TV refused to show.  I liked the controls - everything is logical and convenient. I also really liked the design - strict and stylish, without unnecessary gloss and glamor. The only note is a quiet click in the speakers when switching channels/video inputs and some modes. But this is apparently a feature of this model (and maybe the entire series), because... I specifically checked it on three more of the same TVs (in different stores) - the same thing.</v>
      </c>
    </row>
    <row r="12945" spans="1:9" x14ac:dyDescent="0.3">
      <c r="A12945" s="1" t="s">
        <v>105</v>
      </c>
      <c r="B12945" s="1" t="s">
        <v>106</v>
      </c>
      <c r="C12945" s="1" t="s">
        <v>1209</v>
      </c>
      <c r="D12945" s="1" t="s">
        <v>139</v>
      </c>
      <c r="E12945" s="1" t="s">
        <v>5914</v>
      </c>
      <c r="F12945" s="1" t="s">
        <v>18151</v>
      </c>
      <c r="G12945" s="1" t="s">
        <v>49</v>
      </c>
      <c r="H12945" s="1" t="s">
        <v>16</v>
      </c>
      <c r="I12945" s="1" t="str">
        <f ca="1">IFERROR(__xludf.DUMMYFUNCTION("GOOGLETRANSLATE(F12945, ""auto"", ""en"")
"),"Hi all! Perhaps my experience will be useful to someone. I bought myself an MP3 Flash 8 GB Explay M8 8Gb Player (the same as 4GB only the volume is different), I liked everything, except that I could add a folding stand for convenient video viewing and a "&amp;"stronger case. So, after some time I accidentally crushed the glass. The case is not under warranty. I took it to the official service department for repairs, where I was delighted: “the company is Chinese, they do not supply parts for repairs even for wa"&amp;"rranty cases, despite repeated written requests for Explay equipment in Moscow (and this is a specialized service center indicated in the documentation for the mp3 player), so we cannot help with anything!” The current warranty can be returned or exchange"&amp;"d after 45 days, but I had to buy a film for the phone and glue it instead of glass. Well, if anything happens, it goes in the trash. So think about it: EXPLAY HAS NO SERVICE!!!")</f>
        <v>Hi all! Perhaps my experience will be useful to someone. I bought myself an MP3 Flash 8 GB Explay M8 8Gb Player (the same as 4GB only the volume is different), I liked everything, except that I could add a folding stand for convenient video viewing and a stronger case. So, after some time I accidentally crushed the glass. The case is not under warranty. I took it to the official service department for repairs, where I was delighted: “the company is Chinese, they do not supply parts for repairs even for warranty cases, despite repeated written requests for Explay equipment in Moscow (and this is a specialized service center indicated in the documentation for the mp3 player), so we cannot help with anything!” The current warranty can be returned or exchanged after 45 days, but I had to buy a film for the phone and glue it instead of glass. Well, if anything happens, it goes in the trash. So think about it: EXPLAY HAS NO SERVICE!!!</v>
      </c>
    </row>
    <row r="12946" spans="1:9" x14ac:dyDescent="0.3">
      <c r="A12946" s="1" t="s">
        <v>120</v>
      </c>
      <c r="B12946" s="1" t="s">
        <v>196</v>
      </c>
      <c r="C12946" s="1" t="s">
        <v>80</v>
      </c>
      <c r="D12946" s="1" t="s">
        <v>52</v>
      </c>
      <c r="E12946" s="1" t="s">
        <v>386</v>
      </c>
      <c r="F12946" s="1" t="s">
        <v>18152</v>
      </c>
      <c r="G12946" s="1" t="s">
        <v>36</v>
      </c>
      <c r="H12946" s="1" t="s">
        <v>29</v>
      </c>
      <c r="I12946" s="1" t="str">
        <f ca="1">IFERROR(__xludf.DUMMYFUNCTION("GOOGLETRANSLATE(F12946, ""auto"", ""en"")
"),"In the second month of use. For owners of this, a note. All about Matryoshka. Resolution 1280x720 is easily accepted. 1980x1080 is also good, but it’s better not to experiment with file sizes larger than 11 gigabytes. AVC video format. Audio format AC-3. "&amp;"Don't even try DTS. A picture without sound is not a movie. LCD for five. Of course, there are disadvantages such as highlights in the corners when the screen is black. But this does not affect the speed. Personally, it is incomprehensible to me why the c"&amp;"inematograph plays sound from the analog signal from the Scart connector, but when playing from USB it is blocked. Over time I'll figure out how to deal with this. But the fact that analog is rated three is utter nonsense. I have everything in a bunch. It"&amp;"'s all about the transmitter. The capital rules. Good luck to everyone and long life to your residential complex. P.S. Decent work by M-Video employees.")</f>
        <v>In the second month of use. For owners of this, a note. All about Matryoshka. Resolution 1280x720 is easily accepted. 1980x1080 is also good, but it’s better not to experiment with file sizes larger than 11 gigabytes. AVC video format. Audio format AC-3. Don't even try DTS. A picture without sound is not a movie. LCD for five. Of course, there are disadvantages such as highlights in the corners when the screen is black. But this does not affect the speed. Personally, it is incomprehensible to me why the cinematograph plays sound from the analog signal from the Scart connector, but when playing from USB it is blocked. Over time I'll figure out how to deal with this. But the fact that analog is rated three is utter nonsense. I have everything in a bunch. It's all about the transmitter. The capital rules. Good luck to everyone and long life to your residential complex. P.S. Decent work by M-Video employees.</v>
      </c>
    </row>
    <row r="12947" spans="1:9" x14ac:dyDescent="0.3">
      <c r="A12947" s="1" t="s">
        <v>30</v>
      </c>
      <c r="B12947" s="1" t="s">
        <v>50</v>
      </c>
      <c r="C12947" s="1" t="s">
        <v>51</v>
      </c>
      <c r="D12947" s="1" t="s">
        <v>18153</v>
      </c>
      <c r="E12947" s="1" t="s">
        <v>4984</v>
      </c>
      <c r="F12947" s="1" t="s">
        <v>18154</v>
      </c>
      <c r="G12947" s="1" t="s">
        <v>36</v>
      </c>
      <c r="H12947" s="1" t="s">
        <v>29</v>
      </c>
      <c r="I12947" s="1" t="str">
        <f ca="1">IFERROR(__xludf.DUMMYFUNCTION("GOOGLETRANSLATE(F12947, ""auto"", ""en"")
"),"Guys, there's a problem!!!! Not long ago my laptop didn't start increasing and decreasing the volume of the sound. That is, you know these touch keys.. When I click on increase the sound, it doesn't matter, decrease it doesn't matter!")</f>
        <v>Guys, there's a problem!!!! Not long ago my laptop didn't start increasing and decreasing the volume of the sound. That is, you know these touch keys.. When I click on increase the sound, it doesn't matter, decrease it doesn't matter!</v>
      </c>
    </row>
    <row r="12948" spans="1:9" x14ac:dyDescent="0.3">
      <c r="A12948" s="1" t="s">
        <v>30</v>
      </c>
      <c r="B12948" s="1" t="s">
        <v>31</v>
      </c>
      <c r="C12948" s="1" t="s">
        <v>32</v>
      </c>
      <c r="D12948" s="1" t="s">
        <v>2873</v>
      </c>
      <c r="E12948" s="1" t="s">
        <v>1732</v>
      </c>
      <c r="F12948" s="1" t="s">
        <v>18155</v>
      </c>
      <c r="G12948" s="1" t="s">
        <v>36</v>
      </c>
      <c r="H12948" s="1" t="s">
        <v>29</v>
      </c>
      <c r="I12948" s="1" t="str">
        <f ca="1">IFERROR(__xludf.DUMMYFUNCTION("GOOGLETRANSLATE(F12948, ""auto"", ""en"")
"),"This is a good system unit! I played many high-quality games with it and not a single game slowed down! Even when installing a game, you can play another game without any brakes! And it’s very quiet! I like Windows Vista Home Premium!  At first I wanted t"&amp;"o install Windows 7 Ultimate, but then I changed my mind, I liked Vista!  I didn’t find a single brake! And it looks small! In short, buy it, you won’t regret it! I bought it for 11,111 rubles!")</f>
        <v>This is a good system unit! I played many high-quality games with it and not a single game slowed down! Even when installing a game, you can play another game without any brakes! And it’s very quiet! I like Windows Vista Home Premium!  At first I wanted to install Windows 7 Ultimate, but then I changed my mind, I liked Vista!  I didn’t find a single brake! And it looks small! In short, buy it, you won’t regret it! I bought it for 11,111 rubles!</v>
      </c>
    </row>
    <row r="12949" spans="1:9" x14ac:dyDescent="0.3">
      <c r="A12949" s="1" t="s">
        <v>43</v>
      </c>
      <c r="B12949" s="1" t="s">
        <v>334</v>
      </c>
      <c r="C12949" s="1" t="s">
        <v>101</v>
      </c>
      <c r="D12949" s="1" t="s">
        <v>3253</v>
      </c>
      <c r="E12949" s="1" t="s">
        <v>386</v>
      </c>
      <c r="F12949" s="1" t="s">
        <v>18156</v>
      </c>
      <c r="G12949" s="1" t="s">
        <v>49</v>
      </c>
      <c r="H12949" s="1" t="s">
        <v>16</v>
      </c>
      <c r="I12949" s="1" t="str">
        <f ca="1">IFERROR(__xludf.DUMMYFUNCTION("GOOGLETRANSLATE(F12949, ""auto"", ""en"")
"),"We bought 2 of these fans. One for yourself, the other as a gift for your parents. a month and a half ago. Yesterday we turned it on for the first time overnight. to first speed, and he has 3 of them. We woke up from stuffiness after 3 hours. It turned ou"&amp;"t that the blades stopped spinning, and the fan housing itself got hot like a heater, really hot ((((so now it’s time for service, which is very unpleasant! You also need to call your parents and try to turn it on, otherwise maybe 2 of them will have to b"&amp;"e taken to service at once.")</f>
        <v>We bought 2 of these fans. One for yourself, the other as a gift for your parents. a month and a half ago. Yesterday we turned it on for the first time overnight. to first speed, and he has 3 of them. We woke up from stuffiness after 3 hours. It turned out that the blades stopped spinning, and the fan housing itself got hot like a heater, really hot ((((so now it’s time for service, which is very unpleasant! You also need to call your parents and try to turn it on, otherwise maybe 2 of them will have to be taken to service at once.</v>
      </c>
    </row>
    <row r="12950" spans="1:9" x14ac:dyDescent="0.3">
      <c r="A12950" s="1" t="s">
        <v>361</v>
      </c>
      <c r="B12950" s="1" t="s">
        <v>362</v>
      </c>
      <c r="C12950" s="1" t="s">
        <v>2143</v>
      </c>
      <c r="D12950" s="1" t="s">
        <v>247</v>
      </c>
      <c r="E12950" s="1" t="s">
        <v>971</v>
      </c>
      <c r="F12950" s="1" t="s">
        <v>18157</v>
      </c>
      <c r="G12950" s="1" t="s">
        <v>36</v>
      </c>
      <c r="H12950" s="1" t="s">
        <v>29</v>
      </c>
      <c r="I12950" s="1" t="str">
        <f ca="1">IFERROR(__xludf.DUMMYFUNCTION("GOOGLETRANSLATE(F12950, ""auto"", ""en"")
"),"I absolutely LOVED this dining set! It is really very comfortable, pleasant to hold in your hand, all my guests note this. Cleans up great in the dishwasher, I don't see any scratches. I recommend it to everyone - inexpensive and good quality!")</f>
        <v>I absolutely LOVED this dining set! It is really very comfortable, pleasant to hold in your hand, all my guests note this. Cleans up great in the dishwasher, I don't see any scratches. I recommend it to everyone - inexpensive and good quality!</v>
      </c>
    </row>
    <row r="12951" spans="1:9" x14ac:dyDescent="0.3">
      <c r="A12951" s="1" t="s">
        <v>61</v>
      </c>
      <c r="B12951" s="1" t="s">
        <v>145</v>
      </c>
      <c r="C12951" s="1" t="s">
        <v>246</v>
      </c>
      <c r="D12951" s="1" t="s">
        <v>81</v>
      </c>
      <c r="E12951" s="1" t="s">
        <v>781</v>
      </c>
      <c r="F12951" s="1" t="s">
        <v>18158</v>
      </c>
      <c r="G12951" s="1" t="s">
        <v>36</v>
      </c>
      <c r="H12951" s="1" t="s">
        <v>29</v>
      </c>
      <c r="I12951" s="1" t="str">
        <f ca="1">IFERROR(__xludf.DUMMYFUNCTION("GOOGLETRANSLATE(F12951, ""auto"", ""en"")
"),"Actually it's all in the title. After 4 years of use, we remain delighted with this design. Grinds everything and, most importantly, washes it at least after.")</f>
        <v>Actually it's all in the title. After 4 years of use, we remain delighted with this design. Grinds everything and, most importantly, washes it at least after.</v>
      </c>
    </row>
    <row r="12952" spans="1:9" x14ac:dyDescent="0.3">
      <c r="A12952" s="1" t="s">
        <v>477</v>
      </c>
      <c r="B12952" s="1" t="s">
        <v>478</v>
      </c>
      <c r="C12952" s="1" t="s">
        <v>479</v>
      </c>
      <c r="D12952" s="1" t="s">
        <v>39</v>
      </c>
      <c r="E12952" s="1" t="s">
        <v>1387</v>
      </c>
      <c r="F12952" s="1" t="s">
        <v>18159</v>
      </c>
      <c r="G12952" s="1" t="s">
        <v>36</v>
      </c>
      <c r="H12952" s="1" t="s">
        <v>29</v>
      </c>
      <c r="I12952" s="1" t="str">
        <f ca="1">IFERROR(__xludf.DUMMYFUNCTION("GOOGLETRANSLATE(F12952, ""auto"", ""en"")
"),"One of the best zombie shooters! The Left 4 Dead series can only compete with it. I recommend! ;)")</f>
        <v>One of the best zombie shooters! The Left 4 Dead series can only compete with it. I recommend! ;)</v>
      </c>
    </row>
    <row r="12953" spans="1:9" x14ac:dyDescent="0.3">
      <c r="A12953" s="1" t="s">
        <v>30</v>
      </c>
      <c r="B12953" s="1" t="s">
        <v>31</v>
      </c>
      <c r="C12953" s="1" t="s">
        <v>32</v>
      </c>
      <c r="D12953" s="1" t="s">
        <v>1008</v>
      </c>
      <c r="E12953" s="1" t="s">
        <v>7339</v>
      </c>
      <c r="F12953" s="1" t="s">
        <v>18160</v>
      </c>
      <c r="G12953" s="1" t="s">
        <v>28</v>
      </c>
      <c r="H12953" s="1" t="s">
        <v>29</v>
      </c>
      <c r="I12953" s="1" t="str">
        <f ca="1">IFERROR(__xludf.DUMMYFUNCTION("GOOGLETRANSLATE(F12953, ""auto"", ""en"")
"),"For me, too, after the first launch, it hung, but in the future, freezes appear, it hangs periodically every few days, sometimes on the desktop, then in Opera, but never in games, Acera support wrote that you should take it to the service for diagnostics."&amp;" It looks like the entire batch has some kind of defect, in M-Video alone in Russia there have been 11 returns of this computer, and as I see, not everyone has returned yet, but the batch was small, they delivered it once and it will not be supplied again"&amp;".")</f>
        <v>For me, too, after the first launch, it hung, but in the future, freezes appear, it hangs periodically every few days, sometimes on the desktop, then in Opera, but never in games, Acera support wrote that you should take it to the service for diagnostics. It looks like the entire batch has some kind of defect, in M-Video alone in Russia there have been 11 returns of this computer, and as I see, not everyone has returned yet, but the batch was small, they delivered it once and it will not be supplied again.</v>
      </c>
    </row>
    <row r="12954" spans="1:9" x14ac:dyDescent="0.3">
      <c r="A12954" s="1" t="s">
        <v>496</v>
      </c>
      <c r="B12954" s="1" t="s">
        <v>497</v>
      </c>
      <c r="C12954" s="1" t="s">
        <v>487</v>
      </c>
      <c r="D12954" s="1" t="s">
        <v>18161</v>
      </c>
      <c r="E12954" s="1" t="s">
        <v>1037</v>
      </c>
      <c r="F12954" s="1" t="s">
        <v>18162</v>
      </c>
      <c r="G12954" s="1" t="s">
        <v>49</v>
      </c>
      <c r="H12954" s="1" t="s">
        <v>16</v>
      </c>
      <c r="I12954" s="1" t="str">
        <f ca="1">IFERROR(__xludf.DUMMYFUNCTION("GOOGLETRANSLATE(F12954, ""auto"", ""en"")
"),"How can a Microsoft product be installed on a computer???  It's easier to work in Norton Commander!!!")</f>
        <v>How can a Microsoft product be installed on a computer???  It's easier to work in Norton Commander!!!</v>
      </c>
    </row>
    <row r="12955" spans="1:9" x14ac:dyDescent="0.3">
      <c r="A12955" s="1" t="s">
        <v>61</v>
      </c>
      <c r="B12955" s="1" t="s">
        <v>318</v>
      </c>
      <c r="C12955" s="1" t="s">
        <v>246</v>
      </c>
      <c r="D12955" s="1" t="s">
        <v>474</v>
      </c>
      <c r="E12955" s="1" t="s">
        <v>1586</v>
      </c>
      <c r="F12955" s="1" t="s">
        <v>18163</v>
      </c>
      <c r="G12955" s="1" t="s">
        <v>49</v>
      </c>
      <c r="H12955" s="1" t="s">
        <v>16</v>
      </c>
      <c r="I12955" s="1" t="str">
        <f ca="1">IFERROR(__xludf.DUMMYFUNCTION("GOOGLETRANSLATE(F12955, ""auto"", ""en"")
"),"We bought the kettle on February 11, 2011. I liked the design and was easy to use. But when they brought it home, they turned it on, it made an awfully loud noise, and the lid broke literally after exactly 3 months. So the kettle is not cheap, if you coun"&amp;"t the 3-month service life (((((In fact, we chose the kettle for a very long time and the seller advised us...")</f>
        <v>We bought the kettle on February 11, 2011. I liked the design and was easy to use. But when they brought it home, they turned it on, it made an awfully loud noise, and the lid broke literally after exactly 3 months. So the kettle is not cheap, if you count the 3-month service life (((((In fact, we chose the kettle for a very long time and the seller advised us...</v>
      </c>
    </row>
    <row r="12956" spans="1:9" x14ac:dyDescent="0.3">
      <c r="A12956" s="1" t="s">
        <v>30</v>
      </c>
      <c r="B12956" s="1" t="s">
        <v>50</v>
      </c>
      <c r="C12956" s="1" t="s">
        <v>51</v>
      </c>
      <c r="D12956" s="1" t="s">
        <v>8740</v>
      </c>
      <c r="E12956" s="1" t="s">
        <v>201</v>
      </c>
      <c r="F12956" s="1" t="s">
        <v>18164</v>
      </c>
      <c r="G12956" s="1" t="s">
        <v>36</v>
      </c>
      <c r="H12956" s="1" t="s">
        <v>29</v>
      </c>
      <c r="I12956" s="1" t="str">
        <f ca="1">IFERROR(__xludf.DUMMYFUNCTION("GOOGLETRANSLATE(F12956, ""auto"", ""en"")
"),"The technical specifications are very high for this price. Convenient to use. I took it for calculation work on the road - it showed good performance. The design is top notch. The aluminum panel, stylized as wood, looks decent.")</f>
        <v>The technical specifications are very high for this price. Convenient to use. I took it for calculation work on the road - it showed good performance. The design is top notch. The aluminum panel, stylized as wood, looks decent.</v>
      </c>
    </row>
    <row r="12957" spans="1:9" x14ac:dyDescent="0.3">
      <c r="A12957" s="1" t="s">
        <v>89</v>
      </c>
      <c r="B12957" s="1" t="s">
        <v>231</v>
      </c>
      <c r="C12957" s="1" t="s">
        <v>185</v>
      </c>
      <c r="D12957" s="1" t="s">
        <v>568</v>
      </c>
      <c r="E12957" s="1" t="s">
        <v>3726</v>
      </c>
      <c r="F12957" s="1" t="s">
        <v>18165</v>
      </c>
      <c r="G12957" s="1" t="s">
        <v>36</v>
      </c>
      <c r="H12957" s="1" t="s">
        <v>29</v>
      </c>
      <c r="I12957" s="1" t="str">
        <f ca="1">IFERROR(__xludf.DUMMYFUNCTION("GOOGLETRANSLATE(F12957, ""auto"", ""en"")
"),"For a long time we wanted to buy a coffee machine, because... For a very long time now we have been drinking only natural coffee and using a carob coffee maker.  But there are nuances of a coffee maker that are somewhat inferior to a coffee machine, and t"&amp;"herefore, taking advantage of a good moment at a favorable price and corresponding characteristics, we immediately decided to purchase this product. When unpacking, I immediately decided to read the manual because... I have never used such a system, every"&amp;"thing is clear and simple. I did it according to the instructions and set the temperature for preparing the drink and the shutdown timer, everything was as prescribed and I tested a couple of servings and everything worked like in the best coffee shop. Th"&amp;"e coffee is adjustable both in strength and in serving dosage, which is very cool. And on the weekend, he promised his wife he would make cappuccino, and she was delighted.   As a result, I can recommend this invention to caffeine gourmets.   Bought it la"&amp;"st week. 03/21/2016")</f>
        <v>For a long time we wanted to buy a coffee machine, because... For a very long time now we have been drinking only natural coffee and using a carob coffee maker.  But there are nuances of a coffee maker that are somewhat inferior to a coffee machine, and therefore, taking advantage of a good moment at a favorable price and corresponding characteristics, we immediately decided to purchase this product. When unpacking, I immediately decided to read the manual because... I have never used such a system, everything is clear and simple. I did it according to the instructions and set the temperature for preparing the drink and the shutdown timer, everything was as prescribed and I tested a couple of servings and everything worked like in the best coffee shop. The coffee is adjustable both in strength and in serving dosage, which is very cool. And on the weekend, he promised his wife he would make cappuccino, and she was delighted.   As a result, I can recommend this invention to caffeine gourmets.   Bought it last week. 03/21/2016</v>
      </c>
    </row>
    <row r="12958" spans="1:9" x14ac:dyDescent="0.3">
      <c r="A12958" s="1" t="s">
        <v>61</v>
      </c>
      <c r="B12958" s="1" t="s">
        <v>318</v>
      </c>
      <c r="C12958" s="1" t="s">
        <v>74</v>
      </c>
      <c r="D12958" s="1" t="s">
        <v>411</v>
      </c>
      <c r="E12958" s="1" t="s">
        <v>2853</v>
      </c>
      <c r="F12958" s="1" t="s">
        <v>18166</v>
      </c>
      <c r="G12958" s="1" t="s">
        <v>15</v>
      </c>
      <c r="H12958" s="1" t="s">
        <v>16</v>
      </c>
      <c r="I12958" s="1" t="str">
        <f ca="1">IFERROR(__xludf.DUMMYFUNCTION("GOOGLETRANSLATE(F12958, ""auto"", ""en"")
"),"stopped turning off 2 months after purchase... although I liked it so much. I'm going to change it today...")</f>
        <v>stopped turning off 2 months after purchase... although I liked it so much. I'm going to change it today...</v>
      </c>
    </row>
    <row r="12959" spans="1:9" x14ac:dyDescent="0.3">
      <c r="A12959" s="1" t="s">
        <v>149</v>
      </c>
      <c r="B12959" s="1" t="s">
        <v>423</v>
      </c>
      <c r="C12959" s="1" t="s">
        <v>424</v>
      </c>
      <c r="D12959" s="1" t="s">
        <v>18167</v>
      </c>
      <c r="E12959" s="1" t="s">
        <v>18168</v>
      </c>
      <c r="F12959" s="1" t="s">
        <v>18169</v>
      </c>
      <c r="G12959" s="1" t="s">
        <v>36</v>
      </c>
      <c r="H12959" s="1" t="s">
        <v>29</v>
      </c>
      <c r="I12959" s="1" t="str">
        <f ca="1">IFERROR(__xludf.DUMMYFUNCTION("GOOGLETRANSLATE(F12959, ""auto"", ""en"")
"),"This vacuum cleaner has a wonderful function of collecting water. In a country house, after the children swim in the pool, it will easily collect all the splashed water (and this is very labor-intensive to do with a rag) with a vacuum cleaner - it’s done "&amp;"once and done! 5 minutes and everything is dry.  My vacuum cleaner is more than 10 years old, it’s a model 5150, but in an emergency it really helped me out even after 12 years.  On January 8, 2010, a metal hose from a shower stall burst in the house.  Ge"&amp;"tting up in the morning, everything in the basement was 5-10 cm in water (this is about 150 meters) and in two hours this vacuum cleaner collected all the water, including the parquet, and then after pumping the submersible pump into the basement (under t"&amp;"he pool) when the pump could no longer take water (there was about 5 cm left in the pool) it worked “like a bee” and collected all the water in an area under the pool of about 100 m about 70-80 fillings under the vacuum cleaner. I went to the mvideo websi"&amp;"te to look at the stock of mop attachments for sucking up water (what I used a lot) and would also like to buy bags for the vacuum cleaner (for garbage during normal cleaning). I would like to advise increasing the lower capacity for collecting water, the"&amp;"n it would be absolutely great, it would be nice if it was possible to buy this additionally. I'm the first...")</f>
        <v>This vacuum cleaner has a wonderful function of collecting water. In a country house, after the children swim in the pool, it will easily collect all the splashed water (and this is very labor-intensive to do with a rag) with a vacuum cleaner - it’s done once and done! 5 minutes and everything is dry.  My vacuum cleaner is more than 10 years old, it’s a model 5150, but in an emergency it really helped me out even after 12 years.  On January 8, 2010, a metal hose from a shower stall burst in the house.  Getting up in the morning, everything in the basement was 5-10 cm in water (this is about 150 meters) and in two hours this vacuum cleaner collected all the water, including the parquet, and then after pumping the submersible pump into the basement (under the pool) when the pump could no longer take water (there was about 5 cm left in the pool) it worked “like a bee” and collected all the water in an area under the pool of about 100 m about 70-80 fillings under the vacuum cleaner. I went to the mvideo website to look at the stock of mop attachments for sucking up water (what I used a lot) and would also like to buy bags for the vacuum cleaner (for garbage during normal cleaning). I would like to advise increasing the lower capacity for collecting water, then it would be absolutely great, it would be nice if it was possible to buy this additionally. I'm the first...</v>
      </c>
    </row>
    <row r="12960" spans="1:9" x14ac:dyDescent="0.3">
      <c r="A12960" s="1" t="s">
        <v>43</v>
      </c>
      <c r="B12960" s="1" t="s">
        <v>502</v>
      </c>
      <c r="C12960" s="1" t="s">
        <v>151</v>
      </c>
      <c r="D12960" s="1" t="s">
        <v>742</v>
      </c>
      <c r="E12960" s="1" t="s">
        <v>263</v>
      </c>
      <c r="F12960" s="1" t="s">
        <v>18170</v>
      </c>
      <c r="G12960" s="1" t="s">
        <v>49</v>
      </c>
      <c r="H12960" s="1" t="s">
        <v>16</v>
      </c>
      <c r="I12960" s="1" t="str">
        <f ca="1">IFERROR(__xludf.DUMMYFUNCTION("GOOGLETRANSLATE(F12960, ""auto"", ""en"")
"),"It seems that positive reviews are written to extinguish the negative ones. If you choose an air conditioner, don’t read reviews, look at what your neighbors have, ask for an opinion and think. Sometimes it buzzes, sometimes it doesn’t. Split systems of t"&amp;"he same model are assembled on the same assembly line, so they are all the same, and compressors are never defective, they are all tested before assembly. PS: The level of hum and noise of the external unit depends on the gas pressure in the system. (The "&amp;"higher the pressure, the more difficult it is for the compressor to cope and vibrates) Samsung.")</f>
        <v>It seems that positive reviews are written to extinguish the negative ones. If you choose an air conditioner, don’t read reviews, look at what your neighbors have, ask for an opinion and think. Sometimes it buzzes, sometimes it doesn’t. Split systems of the same model are assembled on the same assembly line, so they are all the same, and compressors are never defective, they are all tested before assembly. PS: The level of hum and noise of the external unit depends on the gas pressure in the system. (The higher the pressure, the more difficult it is for the compressor to cope and vibrates) Samsung.</v>
      </c>
    </row>
    <row r="12961" spans="1:9" x14ac:dyDescent="0.3">
      <c r="A12961" s="1" t="s">
        <v>149</v>
      </c>
      <c r="B12961" s="1" t="s">
        <v>423</v>
      </c>
      <c r="C12961" s="1" t="s">
        <v>424</v>
      </c>
      <c r="D12961" s="1" t="s">
        <v>1744</v>
      </c>
      <c r="E12961" s="1" t="s">
        <v>15587</v>
      </c>
      <c r="F12961" s="1" t="s">
        <v>18171</v>
      </c>
      <c r="G12961" s="1" t="s">
        <v>15</v>
      </c>
      <c r="H12961" s="1" t="s">
        <v>16</v>
      </c>
      <c r="I12961" s="1" t="str">
        <f ca="1">IFERROR(__xludf.DUMMYFUNCTION("GOOGLETRANSLATE(F12961, ""auto"", ""en"")
"),"It feels like it works like 3 vacuum cleaners together, too loud. Not happy with the vacuum cleaner :(")</f>
        <v>It feels like it works like 3 vacuum cleaners together, too loud. Not happy with the vacuum cleaner :(</v>
      </c>
    </row>
    <row r="12962" spans="1:9" x14ac:dyDescent="0.3">
      <c r="A12962" s="1" t="s">
        <v>30</v>
      </c>
      <c r="B12962" s="1" t="s">
        <v>50</v>
      </c>
      <c r="C12962" s="1" t="s">
        <v>1003</v>
      </c>
      <c r="D12962" s="1" t="s">
        <v>2893</v>
      </c>
      <c r="E12962" s="1" t="s">
        <v>484</v>
      </c>
      <c r="F12962" s="1" t="s">
        <v>18172</v>
      </c>
      <c r="G12962" s="1" t="s">
        <v>28</v>
      </c>
      <c r="H12962" s="1" t="s">
        <v>29</v>
      </c>
      <c r="I12962" s="1" t="str">
        <f ca="1">IFERROR(__xludf.DUMMYFUNCTION("GOOGLETRANSLATE(F12962, ""auto"", ""en"")
"),"I bought this laptop in January 2010, the design is certainly good, but there is a small problem with the video card, or rather with defects in games - constant colored highlights and various stripes. People tell me what can be done, it costs WINDOWS 7 UL"&amp;"TIMATE.")</f>
        <v>I bought this laptop in January 2010, the design is certainly good, but there is a small problem with the video card, or rather with defects in games - constant colored highlights and various stripes. People tell me what can be done, it costs WINDOWS 7 ULTIMATE.</v>
      </c>
    </row>
    <row r="12963" spans="1:9" x14ac:dyDescent="0.3">
      <c r="A12963" s="1" t="s">
        <v>17</v>
      </c>
      <c r="B12963" s="1" t="s">
        <v>18</v>
      </c>
      <c r="C12963" s="1" t="s">
        <v>885</v>
      </c>
      <c r="D12963" s="1" t="s">
        <v>273</v>
      </c>
      <c r="E12963" s="1" t="s">
        <v>3080</v>
      </c>
      <c r="F12963" s="1" t="s">
        <v>18173</v>
      </c>
      <c r="G12963" s="1" t="s">
        <v>36</v>
      </c>
      <c r="H12963" s="1" t="s">
        <v>29</v>
      </c>
      <c r="I12963" s="1" t="str">
        <f ca="1">IFERROR(__xludf.DUMMYFUNCTION("GOOGLETRANSLATE(F12963, ""auto"", ""en"")
"),"I had doubts for a long time when choosing a washing machine. As a result, I bought this Candy model on sale. I can say with complete confidence: a very decent machine for the money. I would especially like to note the excellent washing quality, average n"&amp;"oise level and very convenient washing programs (32 minutes / 44 minutes). Very happy with my little one. I recommend it to everyone!!!!!")</f>
        <v>I had doubts for a long time when choosing a washing machine. As a result, I bought this Candy model on sale. I can say with complete confidence: a very decent machine for the money. I would especially like to note the excellent washing quality, average noise level and very convenient washing programs (32 minutes / 44 minutes). Very happy with my little one. I recommend it to everyone!!!!!</v>
      </c>
    </row>
    <row r="12964" spans="1:9" x14ac:dyDescent="0.3">
      <c r="A12964" s="1" t="s">
        <v>61</v>
      </c>
      <c r="B12964" s="1" t="s">
        <v>318</v>
      </c>
      <c r="C12964" s="1" t="s">
        <v>57</v>
      </c>
      <c r="D12964" s="1" t="s">
        <v>232</v>
      </c>
      <c r="E12964" s="1" t="s">
        <v>2030</v>
      </c>
      <c r="F12964" s="1" t="s">
        <v>18174</v>
      </c>
      <c r="G12964" s="1" t="s">
        <v>36</v>
      </c>
      <c r="H12964" s="1" t="s">
        <v>29</v>
      </c>
      <c r="I12964" s="1" t="str">
        <f ca="1">IFERROR(__xludf.DUMMYFUNCTION("GOOGLETRANSLATE(F12964, ""auto"", ""en"")
"),"Excellent teapot, nice modern design for spiral teapots. I've been using it for over a year now with no problems. Take it, you won't regret it, it's worth the money")</f>
        <v>Excellent teapot, nice modern design for spiral teapots. I've been using it for over a year now with no problems. Take it, you won't regret it, it's worth the money</v>
      </c>
    </row>
    <row r="12965" spans="1:9" x14ac:dyDescent="0.3">
      <c r="A12965" s="1" t="s">
        <v>373</v>
      </c>
      <c r="B12965" s="1" t="s">
        <v>374</v>
      </c>
      <c r="C12965" s="1" t="s">
        <v>63</v>
      </c>
      <c r="D12965" s="1" t="s">
        <v>18175</v>
      </c>
      <c r="E12965" s="1" t="s">
        <v>859</v>
      </c>
      <c r="F12965" s="1" t="s">
        <v>18176</v>
      </c>
      <c r="G12965" s="1" t="s">
        <v>36</v>
      </c>
      <c r="H12965" s="1" t="s">
        <v>29</v>
      </c>
      <c r="I12965" s="1" t="str">
        <f ca="1">IFERROR(__xludf.DUMMYFUNCTION("GOOGLETRANSLATE(F12965, ""auto"", ""en"")
"),"I've been using it for three weeks and I'm very pleased!   Cleans and dries perfectly. Sometimes only droplets of water remain on plastic containers and in the recesses of frying pan handles, but this does not bother me.    I use tablets, they are very co"&amp;"nvenient. Just before the first use, you need to add salt, as experts recommend. On the 45 degree program and with a half load I use half a tablet (I don’t want a whole tablet, I leave it on the lid). So it works out economically.    I recommend everyone "&amp;"to buy! How convenient it is, it takes the weight off your shoulders!")</f>
        <v>I've been using it for three weeks and I'm very pleased!   Cleans and dries perfectly. Sometimes only droplets of water remain on plastic containers and in the recesses of frying pan handles, but this does not bother me.    I use tablets, they are very convenient. Just before the first use, you need to add salt, as experts recommend. On the 45 degree program and with a half load I use half a tablet (I don’t want a whole tablet, I leave it on the lid). So it works out economically.    I recommend everyone to buy! How convenient it is, it takes the weight off your shoulders!</v>
      </c>
    </row>
    <row r="12966" spans="1:9" x14ac:dyDescent="0.3">
      <c r="A12966" s="1" t="s">
        <v>61</v>
      </c>
      <c r="B12966" s="1" t="s">
        <v>318</v>
      </c>
      <c r="C12966" s="1" t="s">
        <v>2840</v>
      </c>
      <c r="D12966" s="1" t="s">
        <v>308</v>
      </c>
      <c r="E12966" s="1" t="s">
        <v>18177</v>
      </c>
      <c r="F12966" s="1" t="s">
        <v>18178</v>
      </c>
      <c r="G12966" s="1" t="s">
        <v>28</v>
      </c>
      <c r="H12966" s="1" t="s">
        <v>29</v>
      </c>
      <c r="I12966" s="1" t="str">
        <f ca="1">IFERROR(__xludf.DUMMYFUNCTION("GOOGLETRANSLATE(F12966, ""auto"", ""en"")
"),"Looks very cozy on the table. Does a great job of boiling water!  The display did not work from the first day. The first 2 weeks passed: puddles of water remained on the stand. Then everything resolved itself.")</f>
        <v>Looks very cozy on the table. Does a great job of boiling water!  The display did not work from the first day. The first 2 weeks passed: puddles of water remained on the stand. Then everything resolved itself.</v>
      </c>
    </row>
    <row r="12967" spans="1:9" x14ac:dyDescent="0.3">
      <c r="A12967" s="1" t="s">
        <v>9</v>
      </c>
      <c r="B12967" s="1" t="s">
        <v>137</v>
      </c>
      <c r="C12967" s="1" t="s">
        <v>290</v>
      </c>
      <c r="D12967" s="1" t="s">
        <v>10389</v>
      </c>
      <c r="E12967" s="1" t="s">
        <v>481</v>
      </c>
      <c r="F12967" s="1" t="s">
        <v>18179</v>
      </c>
      <c r="G12967" s="1" t="s">
        <v>36</v>
      </c>
      <c r="H12967" s="1" t="s">
        <v>29</v>
      </c>
      <c r="I12967" s="1" t="str">
        <f ca="1">IFERROR(__xludf.DUMMYFUNCTION("GOOGLETRANSLATE(F12967, ""auto"", ""en"")
"),"Easy to use, burners heat up quickly. This is enough to use the stove at home. And the brand speaks of quality.   M-video thanks for the promotion, it turned out to be cheaper (I bought it in March). I haven’t been using it for long, maybe I’ll find somet"&amp;"hing else to dig into :)")</f>
        <v>Easy to use, burners heat up quickly. This is enough to use the stove at home. And the brand speaks of quality.   M-video thanks for the promotion, it turned out to be cheaper (I bought it in March). I haven’t been using it for long, maybe I’ll find something else to dig into :)</v>
      </c>
    </row>
    <row r="12968" spans="1:9" x14ac:dyDescent="0.3">
      <c r="A12968" s="1" t="s">
        <v>149</v>
      </c>
      <c r="B12968" s="1" t="s">
        <v>423</v>
      </c>
      <c r="C12968" s="1" t="s">
        <v>314</v>
      </c>
      <c r="D12968" s="1" t="s">
        <v>565</v>
      </c>
      <c r="E12968" s="1" t="s">
        <v>5823</v>
      </c>
      <c r="F12968" s="1" t="s">
        <v>18180</v>
      </c>
      <c r="G12968" s="1" t="s">
        <v>36</v>
      </c>
      <c r="H12968" s="1" t="s">
        <v>29</v>
      </c>
      <c r="I12968" s="1" t="str">
        <f ca="1">IFERROR(__xludf.DUMMYFUNCTION("GOOGLETRANSLATE(F12968, ""auto"", ""en"")
"),"Very good vacuum cleaner! take it, you won’t regret it! Powerful, easy to maintain, quite maneuverable, not bulky... it justifies itself 100%! We are very pleased with the vacuum cleaner!")</f>
        <v>Very good vacuum cleaner! take it, you won’t regret it! Powerful, easy to maintain, quite maneuverable, not bulky... it justifies itself 100%! We are very pleased with the vacuum cleaner!</v>
      </c>
    </row>
    <row r="12969" spans="1:9" x14ac:dyDescent="0.3">
      <c r="A12969" s="1" t="s">
        <v>30</v>
      </c>
      <c r="B12969" s="1" t="s">
        <v>50</v>
      </c>
      <c r="C12969" s="1" t="s">
        <v>32</v>
      </c>
      <c r="D12969" s="1" t="s">
        <v>39</v>
      </c>
      <c r="E12969" s="1" t="s">
        <v>1273</v>
      </c>
      <c r="F12969" s="1" t="s">
        <v>18181</v>
      </c>
      <c r="G12969" s="1" t="s">
        <v>36</v>
      </c>
      <c r="H12969" s="1" t="s">
        <v>29</v>
      </c>
      <c r="I12969" s="1" t="str">
        <f ca="1">IFERROR(__xludf.DUMMYFUNCTION("GOOGLETRANSLATE(F12969, ""auto"", ""en"")
"),"The laptop is great for everyone, I took it on September 1... I'm incredibly happy.  Everything about it is super... the only negative I found was the top cover!!!  Fingerprints remain on it all the time. and so the rating is 5+!!! even 10!!!")</f>
        <v>The laptop is great for everyone, I took it on September 1... I'm incredibly happy.  Everything about it is super... the only negative I found was the top cover!!!  Fingerprints remain on it all the time. and so the rating is 5+!!! even 10!!!</v>
      </c>
    </row>
    <row r="12970" spans="1:9" x14ac:dyDescent="0.3">
      <c r="A12970" s="1" t="s">
        <v>89</v>
      </c>
      <c r="B12970" s="1" t="s">
        <v>231</v>
      </c>
      <c r="C12970" s="1" t="s">
        <v>185</v>
      </c>
      <c r="D12970" s="1" t="s">
        <v>18182</v>
      </c>
      <c r="E12970" s="1" t="s">
        <v>2904</v>
      </c>
      <c r="F12970" s="1" t="s">
        <v>2268</v>
      </c>
      <c r="G12970" s="1" t="s">
        <v>49</v>
      </c>
      <c r="H12970" s="1" t="s">
        <v>16</v>
      </c>
      <c r="I12970" s="1" t="str">
        <f ca="1">IFERROR(__xludf.DUMMYFUNCTION("GOOGLETRANSLATE(F12970, ""auto"", ""en"")
"),"No")</f>
        <v>No</v>
      </c>
    </row>
    <row r="12971" spans="1:9" x14ac:dyDescent="0.3">
      <c r="A12971" s="1" t="s">
        <v>17</v>
      </c>
      <c r="B12971" s="1" t="s">
        <v>18</v>
      </c>
      <c r="C12971" s="1" t="s">
        <v>243</v>
      </c>
      <c r="D12971" s="1" t="s">
        <v>471</v>
      </c>
      <c r="E12971" s="1" t="s">
        <v>15816</v>
      </c>
      <c r="F12971" s="1" t="s">
        <v>18183</v>
      </c>
      <c r="G12971" s="1" t="s">
        <v>49</v>
      </c>
      <c r="H12971" s="1" t="s">
        <v>16</v>
      </c>
      <c r="I12971" s="1" t="str">
        <f ca="1">IFERROR(__xludf.DUMMYFUNCTION("GOOGLETRANSLATE(F12971, ""auto"", ""en"")
"),"The machine did not work for even 5 years. They repaired it already 2.5 years from the date of purchase, they paid 3,000 rubles, but after the repair it broke down again. It washes only with cold water and for a very long time, regardless of which mode yo"&amp;"u choose. Quite noisy when spinning. I don't recommend it to anyone.")</f>
        <v>The machine did not work for even 5 years. They repaired it already 2.5 years from the date of purchase, they paid 3,000 rubles, but after the repair it broke down again. It washes only with cold water and for a very long time, regardless of which mode you choose. Quite noisy when spinning. I don't recommend it to anyone.</v>
      </c>
    </row>
    <row r="12972" spans="1:9" x14ac:dyDescent="0.3">
      <c r="A12972" s="1" t="s">
        <v>30</v>
      </c>
      <c r="B12972" s="1" t="s">
        <v>50</v>
      </c>
      <c r="C12972" s="1" t="s">
        <v>694</v>
      </c>
      <c r="D12972" s="1" t="s">
        <v>8321</v>
      </c>
      <c r="E12972" s="1" t="s">
        <v>1517</v>
      </c>
      <c r="F12972" s="1" t="s">
        <v>18184</v>
      </c>
      <c r="G12972" s="1" t="s">
        <v>28</v>
      </c>
      <c r="H12972" s="1" t="s">
        <v>29</v>
      </c>
      <c r="I12972" s="1" t="str">
        <f ca="1">IFERROR(__xludf.DUMMYFUNCTION("GOOGLETRANSLATE(F12972, ""auto"", ""en"")
"),"a very convenient laptop....for example, I use it at the institute, on the way home...I’m just not happy that the webcam is of minimum resolution...but everything is fine)")</f>
        <v>a very convenient laptop....for example, I use it at the institute, on the way home...I’m just not happy that the webcam is of minimum resolution...but everything is fine)</v>
      </c>
    </row>
    <row r="12973" spans="1:9" x14ac:dyDescent="0.3">
      <c r="A12973" s="1" t="s">
        <v>89</v>
      </c>
      <c r="B12973" s="1" t="s">
        <v>231</v>
      </c>
      <c r="C12973" s="1" t="s">
        <v>185</v>
      </c>
      <c r="D12973" s="1" t="s">
        <v>152</v>
      </c>
      <c r="E12973" s="1" t="s">
        <v>2362</v>
      </c>
      <c r="F12973" s="1" t="s">
        <v>18185</v>
      </c>
      <c r="G12973" s="1" t="s">
        <v>36</v>
      </c>
      <c r="H12973" s="1" t="s">
        <v>29</v>
      </c>
      <c r="I12973" s="1" t="str">
        <f ca="1">IFERROR(__xludf.DUMMYFUNCTION("GOOGLETRANSLATE(F12973, ""auto"", ""en"")
"),"A simple and easy-to-use coffee machine that brews coffee quickly and deliciously. I took it and didn’t regret it.")</f>
        <v>A simple and easy-to-use coffee machine that brews coffee quickly and deliciously. I took it and didn’t regret it.</v>
      </c>
    </row>
    <row r="12974" spans="1:9" x14ac:dyDescent="0.3">
      <c r="A12974" s="1" t="s">
        <v>67</v>
      </c>
      <c r="B12974" s="1" t="s">
        <v>68</v>
      </c>
      <c r="C12974" s="1" t="s">
        <v>69</v>
      </c>
      <c r="D12974" s="1" t="s">
        <v>2826</v>
      </c>
      <c r="E12974" s="1" t="s">
        <v>386</v>
      </c>
      <c r="F12974" s="1" t="s">
        <v>18186</v>
      </c>
      <c r="G12974" s="1" t="s">
        <v>36</v>
      </c>
      <c r="H12974" s="1" t="s">
        <v>29</v>
      </c>
      <c r="I12974" s="1" t="str">
        <f ca="1">IFERROR(__xludf.DUMMYFUNCTION("GOOGLETRANSLATE(F12974, ""auto"", ""en"")
"),"Great iron!!!!! Long cord, irons excellently, very comfortable! The self-cleaning system comes in handy! I recommend!")</f>
        <v>Great iron!!!!! Long cord, irons excellently, very comfortable! The self-cleaning system comes in handy! I recommend!</v>
      </c>
    </row>
    <row r="12975" spans="1:9" x14ac:dyDescent="0.3">
      <c r="A12975" s="1" t="s">
        <v>477</v>
      </c>
      <c r="B12975" s="1" t="s">
        <v>478</v>
      </c>
      <c r="C12975" s="1" t="s">
        <v>479</v>
      </c>
      <c r="D12975" s="1" t="s">
        <v>139</v>
      </c>
      <c r="E12975" s="1" t="s">
        <v>1129</v>
      </c>
      <c r="F12975" s="1" t="s">
        <v>18187</v>
      </c>
      <c r="G12975" s="1" t="s">
        <v>36</v>
      </c>
      <c r="H12975" s="1" t="s">
        <v>29</v>
      </c>
      <c r="I12975" s="1" t="str">
        <f ca="1">IFERROR(__xludf.DUMMYFUNCTION("GOOGLETRANSLATE(F12975, ""auto"", ""en"")
"),"I still haven’t stopped playing it, it’s a great game, an analogue could be Red Orchestra 2: HOS. I recommend both to everyone.")</f>
        <v>I still haven’t stopped playing it, it’s a great game, an analogue could be Red Orchestra 2: HOS. I recommend both to everyone.</v>
      </c>
    </row>
    <row r="12976" spans="1:9" x14ac:dyDescent="0.3">
      <c r="A12976" s="1" t="s">
        <v>89</v>
      </c>
      <c r="B12976" s="1" t="s">
        <v>1106</v>
      </c>
      <c r="C12976" s="1" t="s">
        <v>246</v>
      </c>
      <c r="D12976" s="1" t="s">
        <v>64</v>
      </c>
      <c r="E12976" s="1" t="s">
        <v>18188</v>
      </c>
      <c r="F12976" s="1" t="s">
        <v>18189</v>
      </c>
      <c r="G12976" s="1" t="s">
        <v>36</v>
      </c>
      <c r="H12976" s="1" t="s">
        <v>29</v>
      </c>
      <c r="I12976" s="1" t="str">
        <f ca="1">IFERROR(__xludf.DUMMYFUNCTION("GOOGLETRANSLATE(F12976, ""auto"", ""en"")
"),"We have been using this coffee maker for 4 years now. Very pleased. We brew coffee every morning. I recommend it to everyone.)")</f>
        <v>We have been using this coffee maker for 4 years now. Very pleased. We brew coffee every morning. I recommend it to everyone.)</v>
      </c>
    </row>
    <row r="12977" spans="1:9" x14ac:dyDescent="0.3">
      <c r="A12977" s="1" t="s">
        <v>61</v>
      </c>
      <c r="B12977" s="1" t="s">
        <v>318</v>
      </c>
      <c r="C12977" s="1" t="s">
        <v>69</v>
      </c>
      <c r="D12977" s="1" t="s">
        <v>152</v>
      </c>
      <c r="E12977" s="1" t="s">
        <v>2341</v>
      </c>
      <c r="F12977" s="1" t="s">
        <v>18190</v>
      </c>
      <c r="G12977" s="1" t="s">
        <v>15</v>
      </c>
      <c r="H12977" s="1" t="s">
        <v>16</v>
      </c>
      <c r="I12977" s="1" t="str">
        <f ca="1">IFERROR(__xludf.DUMMYFUNCTION("GOOGLETRANSLATE(F12977, ""auto"", ""en"")
"),"After about 5 months from the purchase, in about one case out of ten it did not turn off, apparently the shutdown button was stuck. To put it in order, you had to bring it to a boil and while it was hot, pour out all the water, then it would snap off. I c"&amp;"alled Mvideo - they said that it could be brought under warranty, but the work period would be up to 45 days... Without a kettle for more than a month it’s a little difficult. And somehow I stopped eating for a couple of days. I waited another month, but "&amp;"it had already completely covered the entire kitchen with steam 3 times, so I’ll carry it anyway.")</f>
        <v>After about 5 months from the purchase, in about one case out of ten it did not turn off, apparently the shutdown button was stuck. To put it in order, you had to bring it to a boil and while it was hot, pour out all the water, then it would snap off. I called Mvideo - they said that it could be brought under warranty, but the work period would be up to 45 days... Without a kettle for more than a month it’s a little difficult. And somehow I stopped eating for a couple of days. I waited another month, but it had already completely covered the entire kitchen with steam 3 times, so I’ll carry it anyway.</v>
      </c>
    </row>
    <row r="12978" spans="1:9" x14ac:dyDescent="0.3">
      <c r="A12978" s="1" t="s">
        <v>30</v>
      </c>
      <c r="B12978" s="1" t="s">
        <v>50</v>
      </c>
      <c r="C12978" s="1" t="s">
        <v>694</v>
      </c>
      <c r="D12978" s="1" t="s">
        <v>81</v>
      </c>
      <c r="E12978" s="1" t="s">
        <v>5596</v>
      </c>
      <c r="F12978" s="1" t="s">
        <v>18191</v>
      </c>
      <c r="G12978" s="1" t="s">
        <v>36</v>
      </c>
      <c r="H12978" s="1" t="s">
        <v>29</v>
      </c>
      <c r="I12978" s="1" t="str">
        <f ca="1">IFERROR(__xludf.DUMMYFUNCTION("GOOGLETRANSLATE(F12978, ""auto"", ""en"")
"),"I’ve been using it for a week, switched to it from a 14-inch one and didn’t feel any particular inconvenience, the keyboard is comfortable and of normal size, the wide screen allows you to watch movies in full screen.   From time to time you have to trave"&amp;"l with a computer, but with this model you don’t have to compromise, it’s light, compact and convenient!  p.s. Thanks to everyone who writes here, helps with the choice!")</f>
        <v>I’ve been using it for a week, switched to it from a 14-inch one and didn’t feel any particular inconvenience, the keyboard is comfortable and of normal size, the wide screen allows you to watch movies in full screen.   From time to time you have to travel with a computer, but with this model you don’t have to compromise, it’s light, compact and convenient!  p.s. Thanks to everyone who writes here, helps with the choice!</v>
      </c>
    </row>
    <row r="12979" spans="1:9" x14ac:dyDescent="0.3">
      <c r="A12979" s="1" t="s">
        <v>111</v>
      </c>
      <c r="B12979" s="1" t="s">
        <v>636</v>
      </c>
      <c r="C12979" s="1" t="s">
        <v>637</v>
      </c>
      <c r="D12979" s="1" t="s">
        <v>127</v>
      </c>
      <c r="E12979" s="1" t="s">
        <v>285</v>
      </c>
      <c r="F12979" s="1" t="s">
        <v>18192</v>
      </c>
      <c r="G12979" s="1" t="s">
        <v>36</v>
      </c>
      <c r="H12979" s="1" t="s">
        <v>29</v>
      </c>
      <c r="I12979" s="1" t="str">
        <f ca="1">IFERROR(__xludf.DUMMYFUNCTION("GOOGLETRANSLATE(F12979, ""auto"", ""en"")
"),"Reliable, time-tested manufacturer. Temperature humidity readings show correctly. (compared with a professional thermo-hygrometer).")</f>
        <v>Reliable, time-tested manufacturer. Temperature humidity readings show correctly. (compared with a professional thermo-hygrometer).</v>
      </c>
    </row>
    <row r="12980" spans="1:9" x14ac:dyDescent="0.3">
      <c r="A12980" s="1" t="s">
        <v>17</v>
      </c>
      <c r="B12980" s="1" t="s">
        <v>18</v>
      </c>
      <c r="C12980" s="1" t="s">
        <v>243</v>
      </c>
      <c r="D12980" s="1" t="s">
        <v>52</v>
      </c>
      <c r="E12980" s="1" t="s">
        <v>332</v>
      </c>
      <c r="F12980" s="1" t="s">
        <v>18193</v>
      </c>
      <c r="G12980" s="1" t="s">
        <v>28</v>
      </c>
      <c r="H12980" s="1" t="s">
        <v>29</v>
      </c>
      <c r="I12980" s="1" t="str">
        <f ca="1">IFERROR(__xludf.DUMMYFUNCTION("GOOGLETRANSLATE(F12980, ""auto"", ""en"")
"),"I bought it for my dacha in April 2014. Works great, no complaints. Moreover, the price is below average. Before this, we took the same brand home in 2006, it still works, although last year we had to change the heating element.")</f>
        <v>I bought it for my dacha in April 2014. Works great, no complaints. Moreover, the price is below average. Before this, we took the same brand home in 2006, it still works, although last year we had to change the heating element.</v>
      </c>
    </row>
    <row r="12981" spans="1:9" x14ac:dyDescent="0.3">
      <c r="A12981" s="1" t="s">
        <v>1443</v>
      </c>
      <c r="B12981" s="1" t="s">
        <v>1444</v>
      </c>
      <c r="C12981" s="1" t="s">
        <v>1489</v>
      </c>
      <c r="D12981" s="1" t="s">
        <v>171</v>
      </c>
      <c r="E12981" s="1" t="s">
        <v>6621</v>
      </c>
      <c r="F12981" s="1" t="s">
        <v>18194</v>
      </c>
      <c r="G12981" s="1" t="s">
        <v>28</v>
      </c>
      <c r="H12981" s="1" t="s">
        <v>29</v>
      </c>
      <c r="I12981" s="1" t="str">
        <f ca="1">IFERROR(__xludf.DUMMYFUNCTION("GOOGLETRANSLATE(F12981, ""auto"", ""en"")
"),"Quite a normal flash drive. I listen to music in the car, no problems.")</f>
        <v>Quite a normal flash drive. I listen to music in the car, no problems.</v>
      </c>
    </row>
    <row r="12982" spans="1:9" x14ac:dyDescent="0.3">
      <c r="A12982" s="1" t="s">
        <v>9</v>
      </c>
      <c r="B12982" s="1" t="s">
        <v>137</v>
      </c>
      <c r="C12982" s="1" t="s">
        <v>134</v>
      </c>
      <c r="D12982" s="1" t="s">
        <v>18195</v>
      </c>
      <c r="E12982" s="1" t="s">
        <v>1912</v>
      </c>
      <c r="F12982" s="1" t="s">
        <v>18196</v>
      </c>
      <c r="G12982" s="1" t="s">
        <v>36</v>
      </c>
      <c r="H12982" s="1" t="s">
        <v>29</v>
      </c>
      <c r="I12982" s="1" t="str">
        <f ca="1">IFERROR(__xludf.DUMMYFUNCTION("GOOGLETRANSLATE(F12982, ""auto"", ""en"")
"),"Interesting and high-quality electrical panel! This glass-ceramic surface is simply top class, you can see the quality just by looking at this surface) It’s so easy to clean! Every day I almost wipe it until it shines, I just really like this panel) Thank"&amp;"s to it, I can really cook so that nothing burns and fries and cooks evenly! There are five burners, although of course you can’t use them all at the same time)) But they are all convenient and the right sizes!  There are as many as three expanded heating"&amp;" zones, so there are no problems with quickly heating anything)) Touch control works well and is sensitive!)")</f>
        <v>Interesting and high-quality electrical panel! This glass-ceramic surface is simply top class, you can see the quality just by looking at this surface) It’s so easy to clean! Every day I almost wipe it until it shines, I just really like this panel) Thanks to it, I can really cook so that nothing burns and fries and cooks evenly! There are five burners, although of course you can’t use them all at the same time)) But they are all convenient and the right sizes!  There are as many as three expanded heating zones, so there are no problems with quickly heating anything)) Touch control works well and is sensitive!)</v>
      </c>
    </row>
    <row r="12983" spans="1:9" x14ac:dyDescent="0.3">
      <c r="A12983" s="1" t="s">
        <v>17</v>
      </c>
      <c r="B12983" s="1" t="s">
        <v>18</v>
      </c>
      <c r="C12983" s="1" t="s">
        <v>80</v>
      </c>
      <c r="D12983" s="1" t="s">
        <v>471</v>
      </c>
      <c r="E12983" s="1" t="s">
        <v>5241</v>
      </c>
      <c r="F12983" s="1" t="s">
        <v>18197</v>
      </c>
      <c r="G12983" s="1" t="s">
        <v>28</v>
      </c>
      <c r="H12983" s="1" t="s">
        <v>29</v>
      </c>
      <c r="I12983" s="1" t="str">
        <f ca="1">IFERROR(__xludf.DUMMYFUNCTION("GOOGLETRANSLATE(F12983, ""auto"", ""en"")
"),"Overall I really liked it. All the most basic modes are present. I was pleased with the function when, in some modes, the machine itself sets the washing time by “weighing” the laundry). The only thing is that at 1000 rpm it “jumps” around the bathroom. W"&amp;"ell, basically they say that you need to adjust the legs well, then everything will be ok. In general, I never set such speeds... clothes get spoiled, 800 revolutions is enough. It washes quietly, only when draining the water it is a little noisy, but ove"&amp;"rall I’m pleased with the machine... I don’t know what will happen next, but so far everything is great)")</f>
        <v>Overall I really liked it. All the most basic modes are present. I was pleased with the function when, in some modes, the machine itself sets the washing time by “weighing” the laundry). The only thing is that at 1000 rpm it “jumps” around the bathroom. Well, basically they say that you need to adjust the legs well, then everything will be ok. In general, I never set such speeds... clothes get spoiled, 800 revolutions is enough. It washes quietly, only when draining the water it is a little noisy, but overall I’m pleased with the machine... I don’t know what will happen next, but so far everything is great)</v>
      </c>
    </row>
    <row r="12984" spans="1:9" x14ac:dyDescent="0.3">
      <c r="A12984" s="1" t="s">
        <v>55</v>
      </c>
      <c r="B12984" s="1" t="s">
        <v>235</v>
      </c>
      <c r="C12984" s="1" t="s">
        <v>101</v>
      </c>
      <c r="D12984" s="1" t="s">
        <v>127</v>
      </c>
      <c r="E12984" s="1" t="s">
        <v>201</v>
      </c>
      <c r="F12984" s="1" t="s">
        <v>18198</v>
      </c>
      <c r="G12984" s="1" t="s">
        <v>36</v>
      </c>
      <c r="H12984" s="1" t="s">
        <v>29</v>
      </c>
      <c r="I12984" s="1" t="str">
        <f ca="1">IFERROR(__xludf.DUMMYFUNCTION("GOOGLETRANSLATE(F12984, ""auto"", ""en"")
"),"I used a normal fan heater all winter at work and it didn’t let me down!!!!! Despite its small size, it warmed up the room completely!!! Very pleased!")</f>
        <v>I used a normal fan heater all winter at work and it didn’t let me down!!!!! Despite its small size, it warmed up the room completely!!! Very pleased!</v>
      </c>
    </row>
    <row r="12985" spans="1:9" x14ac:dyDescent="0.3">
      <c r="A12985" s="1" t="s">
        <v>89</v>
      </c>
      <c r="B12985" s="1" t="s">
        <v>231</v>
      </c>
      <c r="C12985" s="1" t="s">
        <v>1072</v>
      </c>
      <c r="D12985" s="1" t="s">
        <v>52</v>
      </c>
      <c r="E12985" s="1" t="s">
        <v>4670</v>
      </c>
      <c r="F12985" s="1" t="s">
        <v>18199</v>
      </c>
      <c r="G12985" s="1" t="s">
        <v>36</v>
      </c>
      <c r="H12985" s="1" t="s">
        <v>29</v>
      </c>
      <c r="I12985" s="1" t="str">
        <f ca="1">IFERROR(__xludf.DUMMYFUNCTION("GOOGLETRANSLATE(F12985, ""auto"", ""en"")
"),"The maximum price I wanted to meet was 20 tr. I purchased Saeco Minuto HD8761/09. I’ll say right away that the design is of course a little angular. It takes some getting used to. One of the advantages is that water and coffee can be poured and poured wit"&amp;"h the lids removed. I bought it 2 weeks before the New Year. If I make 4-6 cups of coffee every day, then I needed the first rinse after exactly 2 and a half weeks. For washing, I bought a product for 400 rubles. Today, January 19, a message about flushin"&amp;"g appeared on the display again. It does not interfere with the operation of the coffee machine - you can simply ignore it by pressing cancel. That's basically all. The coffee is good. I've never made cappuccino - I tried it on this machine. Everything wo"&amp;"rked out the first time and nothing complicated. Everything turned out to be simple and easy. For better foam, the milk should be richer - I came to this experimentally. I'm happy with the purchase. If it works for several years it will be very good. So f"&amp;"ar only positive emotions")</f>
        <v>The maximum price I wanted to meet was 20 tr. I purchased Saeco Minuto HD8761/09. I’ll say right away that the design is of course a little angular. It takes some getting used to. One of the advantages is that water and coffee can be poured and poured with the lids removed. I bought it 2 weeks before the New Year. If I make 4-6 cups of coffee every day, then I needed the first rinse after exactly 2 and a half weeks. For washing, I bought a product for 400 rubles. Today, January 19, a message about flushing appeared on the display again. It does not interfere with the operation of the coffee machine - you can simply ignore it by pressing cancel. That's basically all. The coffee is good. I've never made cappuccino - I tried it on this machine. Everything worked out the first time and nothing complicated. Everything turned out to be simple and easy. For better foam, the milk should be richer - I came to this experimentally. I'm happy with the purchase. If it works for several years it will be very good. So far only positive emotions</v>
      </c>
    </row>
    <row r="12986" spans="1:9" x14ac:dyDescent="0.3">
      <c r="A12986" s="1" t="s">
        <v>61</v>
      </c>
      <c r="B12986" s="1" t="s">
        <v>62</v>
      </c>
      <c r="C12986" s="1" t="s">
        <v>63</v>
      </c>
      <c r="D12986" s="1" t="s">
        <v>456</v>
      </c>
      <c r="E12986" s="1" t="s">
        <v>513</v>
      </c>
      <c r="F12986" s="1" t="s">
        <v>18200</v>
      </c>
      <c r="G12986" s="1" t="s">
        <v>36</v>
      </c>
      <c r="H12986" s="1" t="s">
        <v>29</v>
      </c>
      <c r="I12986" s="1" t="str">
        <f ca="1">IFERROR(__xludf.DUMMYFUNCTION("GOOGLETRANSLATE(F12986, ""auto"", ""en"")
"),"We bought it three weeks ago, the combine is excellent! We make puree for the child; a utility knife can also chop the meat into minced meat. Extracting citrus juice is not bad. On a five-point scale, five points!")</f>
        <v>We bought it three weeks ago, the combine is excellent! We make puree for the child; a utility knife can also chop the meat into minced meat. Extracting citrus juice is not bad. On a five-point scale, five points!</v>
      </c>
    </row>
    <row r="12987" spans="1:9" x14ac:dyDescent="0.3">
      <c r="A12987" s="1" t="s">
        <v>67</v>
      </c>
      <c r="B12987" s="1" t="s">
        <v>68</v>
      </c>
      <c r="C12987" s="1" t="s">
        <v>246</v>
      </c>
      <c r="D12987" s="1" t="s">
        <v>5249</v>
      </c>
      <c r="E12987" s="1" t="s">
        <v>2006</v>
      </c>
      <c r="F12987" s="1" t="s">
        <v>18201</v>
      </c>
      <c r="G12987" s="1" t="s">
        <v>36</v>
      </c>
      <c r="H12987" s="1" t="s">
        <v>29</v>
      </c>
      <c r="I12987" s="1" t="str">
        <f ca="1">IFERROR(__xludf.DUMMYFUNCTION("GOOGLETRANSLATE(F12987, ""auto"", ""en"")
"),"I bought it on May 3, I’m still using it, it’s an excellent iron, I bought another one for my mother-in-law and I want another one for my sister, I recommend it to everyone, it’s just super")</f>
        <v>I bought it on May 3, I’m still using it, it’s an excellent iron, I bought another one for my mother-in-law and I want another one for my sister, I recommend it to everyone, it’s just super</v>
      </c>
    </row>
    <row r="12988" spans="1:9" x14ac:dyDescent="0.3">
      <c r="A12988" s="1" t="s">
        <v>37</v>
      </c>
      <c r="B12988" s="1" t="s">
        <v>536</v>
      </c>
      <c r="C12988" s="1" t="s">
        <v>163</v>
      </c>
      <c r="D12988" s="1" t="s">
        <v>18202</v>
      </c>
      <c r="E12988" s="1" t="s">
        <v>269</v>
      </c>
      <c r="F12988" s="1" t="s">
        <v>18203</v>
      </c>
      <c r="G12988" s="1" t="s">
        <v>36</v>
      </c>
      <c r="H12988" s="1" t="s">
        <v>29</v>
      </c>
      <c r="I12988" s="1" t="str">
        <f ca="1">IFERROR(__xludf.DUMMYFUNCTION("GOOGLETRANSLATE(F12988, ""auto"", ""en"")
"),"The phone is super for me personally. The camera is excellent compared to 8 pixels. camera from the same SE U10i, we photographed an object at a distance of 3-4 meters, the quality seemed the same to me, but when you zoom in, the SE stupidly blurs the pho"&amp;"to, on the X6 everything is fine.")</f>
        <v>The phone is super for me personally. The camera is excellent compared to 8 pixels. camera from the same SE U10i, we photographed an object at a distance of 3-4 meters, the quality seemed the same to me, but when you zoom in, the SE stupidly blurs the photo, on the X6 everything is fine.</v>
      </c>
    </row>
    <row r="12989" spans="1:9" x14ac:dyDescent="0.3">
      <c r="A12989" s="1" t="s">
        <v>61</v>
      </c>
      <c r="B12989" s="1" t="s">
        <v>73</v>
      </c>
      <c r="C12989" s="1" t="s">
        <v>146</v>
      </c>
      <c r="D12989" s="1" t="s">
        <v>565</v>
      </c>
      <c r="E12989" s="1" t="s">
        <v>7009</v>
      </c>
      <c r="F12989" s="1" t="s">
        <v>12476</v>
      </c>
      <c r="G12989" s="1" t="s">
        <v>36</v>
      </c>
      <c r="H12989" s="1" t="s">
        <v>29</v>
      </c>
      <c r="I12989" s="1" t="str">
        <f ca="1">IFERROR(__xludf.DUMMYFUNCTION("GOOGLETRANSLATE(F12989, ""auto"", ""en"")
"),"Some advantages")</f>
        <v>Some advantages</v>
      </c>
    </row>
    <row r="12990" spans="1:9" x14ac:dyDescent="0.3">
      <c r="A12990" s="1" t="s">
        <v>105</v>
      </c>
      <c r="B12990" s="1" t="s">
        <v>106</v>
      </c>
      <c r="C12990" s="1" t="s">
        <v>1209</v>
      </c>
      <c r="D12990" s="1" t="s">
        <v>16834</v>
      </c>
      <c r="E12990" s="1" t="s">
        <v>2341</v>
      </c>
      <c r="F12990" s="1" t="s">
        <v>18204</v>
      </c>
      <c r="G12990" s="1" t="s">
        <v>49</v>
      </c>
      <c r="H12990" s="1" t="s">
        <v>16</v>
      </c>
      <c r="I12990" s="1" t="str">
        <f ca="1">IFERROR(__xludf.DUMMYFUNCTION("GOOGLETRANSLATE(F12990, ""auto"", ""en"")
"),"The headphone jack became loose after a month of use, I took the headphones out at most 10 times. This is where a reasonable person should think about why he needs a player that cannot be listened to normally :(((, even if it is beautiful and ergonomic.")</f>
        <v>The headphone jack became loose after a month of use, I took the headphones out at most 10 times. This is where a reasonable person should think about why he needs a player that cannot be listened to normally :(((, even if it is beautiful and ergonomic.</v>
      </c>
    </row>
    <row r="12991" spans="1:9" x14ac:dyDescent="0.3">
      <c r="A12991" s="1" t="s">
        <v>624</v>
      </c>
      <c r="B12991" s="1" t="s">
        <v>625</v>
      </c>
      <c r="C12991" s="1" t="s">
        <v>479</v>
      </c>
      <c r="D12991" s="1" t="s">
        <v>203</v>
      </c>
      <c r="E12991" s="1" t="s">
        <v>832</v>
      </c>
      <c r="F12991" s="1" t="s">
        <v>18205</v>
      </c>
      <c r="G12991" s="1" t="s">
        <v>36</v>
      </c>
      <c r="H12991" s="1" t="s">
        <v>29</v>
      </c>
      <c r="I12991" s="1" t="str">
        <f ca="1">IFERROR(__xludf.DUMMYFUNCTION("GOOGLETRANSLATE(F12991, ""auto"", ""en"")
"),"Eh, there are so many endings in the game, it’s true that there’s only one really good ending, so that everything would be really good. In general, this confirms that the game is indeed not linear, and the plot can end in completely different ways. Must B"&amp;"uy.")</f>
        <v>Eh, there are so many endings in the game, it’s true that there’s only one really good ending, so that everything would be really good. In general, this confirms that the game is indeed not linear, and the plot can end in completely different ways. Must Buy.</v>
      </c>
    </row>
    <row r="12992" spans="1:9" x14ac:dyDescent="0.3">
      <c r="A12992" s="1" t="s">
        <v>61</v>
      </c>
      <c r="B12992" s="1" t="s">
        <v>145</v>
      </c>
      <c r="C12992" s="1" t="s">
        <v>246</v>
      </c>
      <c r="D12992" s="1" t="s">
        <v>39</v>
      </c>
      <c r="E12992" s="1" t="s">
        <v>1446</v>
      </c>
      <c r="F12992" s="1" t="s">
        <v>18206</v>
      </c>
      <c r="G12992" s="1" t="s">
        <v>49</v>
      </c>
      <c r="H12992" s="1" t="s">
        <v>16</v>
      </c>
      <c r="I12992" s="1" t="str">
        <f ca="1">IFERROR(__xludf.DUMMYFUNCTION("GOOGLETRANSLATE(F12992, ""auto"", ""en"")
"),"I bought it yesterday, i.e. 01/02/2012, there are only one disadvantages, this is not a deep fryer, but an air fryer, it is mainly made for making fries, and so the fries in it are simply disgusting - it just turns out to be baked potatoes, and not the ki"&amp;"nd they cook in a McDuck.")</f>
        <v>I bought it yesterday, i.e. 01/02/2012, there are only one disadvantages, this is not a deep fryer, but an air fryer, it is mainly made for making fries, and so the fries in it are simply disgusting - it just turns out to be baked potatoes, and not the kind they cook in a McDuck.</v>
      </c>
    </row>
    <row r="12993" spans="1:9" x14ac:dyDescent="0.3">
      <c r="A12993" s="1" t="s">
        <v>1443</v>
      </c>
      <c r="B12993" s="1" t="s">
        <v>1444</v>
      </c>
      <c r="C12993" s="1" t="s">
        <v>4886</v>
      </c>
      <c r="D12993" s="1" t="s">
        <v>3646</v>
      </c>
      <c r="E12993" s="1" t="s">
        <v>3359</v>
      </c>
      <c r="F12993" s="1" t="s">
        <v>18207</v>
      </c>
      <c r="G12993" s="1" t="s">
        <v>36</v>
      </c>
      <c r="H12993" s="1" t="s">
        <v>29</v>
      </c>
      <c r="I12993" s="1" t="str">
        <f ca="1">IFERROR(__xludf.DUMMYFUNCTION("GOOGLETRANSLATE(F12993, ""auto"", ""en"")
"),"I've been using it for almost a year now. The speed is super. As stated below, there is only one small minus (which is drowned in the pros) - it is somewhat large in size. In general, I'm pleased.")</f>
        <v>I've been using it for almost a year now. The speed is super. As stated below, there is only one small minus (which is drowned in the pros) - it is somewhat large in size. In general, I'm pleased.</v>
      </c>
    </row>
    <row r="12994" spans="1:9" x14ac:dyDescent="0.3">
      <c r="A12994" s="1" t="s">
        <v>149</v>
      </c>
      <c r="B12994" s="1" t="s">
        <v>423</v>
      </c>
      <c r="C12994" s="1" t="s">
        <v>531</v>
      </c>
      <c r="D12994" s="1" t="s">
        <v>295</v>
      </c>
      <c r="E12994" s="1" t="s">
        <v>1723</v>
      </c>
      <c r="F12994" s="1" t="s">
        <v>18208</v>
      </c>
      <c r="G12994" s="1" t="s">
        <v>36</v>
      </c>
      <c r="H12994" s="1" t="s">
        <v>29</v>
      </c>
      <c r="I12994" s="1" t="str">
        <f ca="1">IFERROR(__xludf.DUMMYFUNCTION("GOOGLETRANSLATE(F12994, ""auto"", ""en"")
"),"I really like this vacuum cleaner! It's easy to use. It will wash away any type of dirt - and very efficiently! And it’s also very easy to wash! Thank you for such inventions :) Buy with confidence!!!")</f>
        <v>I really like this vacuum cleaner! It's easy to use. It will wash away any type of dirt - and very efficiently! And it’s also very easy to wash! Thank you for such inventions :) Buy with confidence!!!</v>
      </c>
    </row>
    <row r="12995" spans="1:9" x14ac:dyDescent="0.3">
      <c r="A12995" s="1" t="s">
        <v>361</v>
      </c>
      <c r="B12995" s="1" t="s">
        <v>362</v>
      </c>
      <c r="C12995" s="1" t="s">
        <v>2143</v>
      </c>
      <c r="D12995" s="1" t="s">
        <v>75</v>
      </c>
      <c r="E12995" s="1" t="s">
        <v>2033</v>
      </c>
      <c r="F12995" s="1" t="s">
        <v>18209</v>
      </c>
      <c r="G12995" s="1" t="s">
        <v>36</v>
      </c>
      <c r="H12995" s="1" t="s">
        <v>29</v>
      </c>
      <c r="I12995" s="1" t="str">
        <f ca="1">IFERROR(__xludf.DUMMYFUNCTION("GOOGLETRANSLATE(F12995, ""auto"", ""en"")
"),"For some reason, the specification does not indicate that the fondue maker also has a separate ceramic bowl for cheese and chocolate. This is very important, because this is exactly what I was looking for. Having visited the site and looked at this option"&amp;", I was not interested in it. And by chance I went into the store and saw this fondue maker with an additional ceramic bowl - I was delighted and bought it. And yet, the instructions do not indicate how to use this ceramic bowl: boiling water is poured in"&amp;"to a stainless steel bowl, it is placed on the wick, and the ceramic bowl is placed on top. It turns out like a water bath, then neither the cheese nor the chocolate will burn))))")</f>
        <v>For some reason, the specification does not indicate that the fondue maker also has a separate ceramic bowl for cheese and chocolate. This is very important, because this is exactly what I was looking for. Having visited the site and looked at this option, I was not interested in it. And by chance I went into the store and saw this fondue maker with an additional ceramic bowl - I was delighted and bought it. And yet, the instructions do not indicate how to use this ceramic bowl: boiling water is poured into a stainless steel bowl, it is placed on the wick, and the ceramic bowl is placed on top. It turns out like a water bath, then neither the cheese nor the chocolate will burn))))</v>
      </c>
    </row>
    <row r="12996" spans="1:9" x14ac:dyDescent="0.3">
      <c r="A12996" s="1" t="s">
        <v>206</v>
      </c>
      <c r="B12996" s="1" t="s">
        <v>207</v>
      </c>
      <c r="C12996" s="1" t="s">
        <v>45</v>
      </c>
      <c r="D12996" s="1" t="s">
        <v>18210</v>
      </c>
      <c r="E12996" s="1" t="s">
        <v>285</v>
      </c>
      <c r="F12996" s="1" t="s">
        <v>18211</v>
      </c>
      <c r="G12996" s="1" t="s">
        <v>36</v>
      </c>
      <c r="H12996" s="1" t="s">
        <v>29</v>
      </c>
      <c r="I12996" s="1" t="str">
        <f ca="1">IFERROR(__xludf.DUMMYFUNCTION("GOOGLETRANSLATE(F12996, ""auto"", ""en"")
"),"not bad for the money")</f>
        <v>not bad for the money</v>
      </c>
    </row>
    <row r="12997" spans="1:9" x14ac:dyDescent="0.3">
      <c r="A12997" s="1" t="s">
        <v>55</v>
      </c>
      <c r="B12997" s="1" t="s">
        <v>56</v>
      </c>
      <c r="C12997" s="1" t="s">
        <v>85</v>
      </c>
      <c r="D12997" s="1" t="s">
        <v>327</v>
      </c>
      <c r="E12997" s="1" t="s">
        <v>17388</v>
      </c>
      <c r="F12997" s="1" t="s">
        <v>18212</v>
      </c>
      <c r="G12997" s="1" t="s">
        <v>28</v>
      </c>
      <c r="H12997" s="1" t="s">
        <v>29</v>
      </c>
      <c r="I12997" s="1" t="str">
        <f ca="1">IFERROR(__xludf.DUMMYFUNCTION("GOOGLETRANSLATE(F12997, ""auto"", ""en"")
"),"effective in a large room, compact, multifunctional")</f>
        <v>effective in a large room, compact, multifunctional</v>
      </c>
    </row>
    <row r="12998" spans="1:9" x14ac:dyDescent="0.3">
      <c r="A12998" s="1" t="s">
        <v>361</v>
      </c>
      <c r="B12998" s="1" t="s">
        <v>462</v>
      </c>
      <c r="C12998" s="1" t="s">
        <v>463</v>
      </c>
      <c r="D12998" s="1" t="s">
        <v>308</v>
      </c>
      <c r="E12998" s="1" t="s">
        <v>14492</v>
      </c>
      <c r="F12998" s="1" t="s">
        <v>18213</v>
      </c>
      <c r="G12998" s="1" t="s">
        <v>36</v>
      </c>
      <c r="H12998" s="1" t="s">
        <v>29</v>
      </c>
      <c r="I12998" s="1" t="str">
        <f ca="1">IFERROR(__xludf.DUMMYFUNCTION("GOOGLETRANSLATE(F12998, ""auto"", ""en"")
"),"I have been using Barrier filters for several years now. At Barrier Grand Neo, the design of the jug has become more convenient (it’s convenient to pour, the lid doesn’t fly off). I am pleased with the large volume of filtered water. There are no comments"&amp;" on the quality of filtration.  A nice bonus was a mechanical “reminder” about the time to replace the cartridge, located on the lid of the jug.")</f>
        <v>I have been using Barrier filters for several years now. At Barrier Grand Neo, the design of the jug has become more convenient (it’s convenient to pour, the lid doesn’t fly off). I am pleased with the large volume of filtered water. There are no comments on the quality of filtration.  A nice bonus was a mechanical “reminder” about the time to replace the cartridge, located on the lid of the jug.</v>
      </c>
    </row>
    <row r="12999" spans="1:9" x14ac:dyDescent="0.3">
      <c r="A12999" s="1" t="s">
        <v>43</v>
      </c>
      <c r="B12999" s="1" t="s">
        <v>334</v>
      </c>
      <c r="C12999" s="1" t="s">
        <v>101</v>
      </c>
      <c r="D12999" s="1" t="s">
        <v>1430</v>
      </c>
      <c r="E12999" s="1" t="s">
        <v>1657</v>
      </c>
      <c r="F12999" s="1" t="s">
        <v>18214</v>
      </c>
      <c r="G12999" s="1" t="s">
        <v>36</v>
      </c>
      <c r="H12999" s="1" t="s">
        <v>29</v>
      </c>
      <c r="I12999" s="1" t="str">
        <f ca="1">IFERROR(__xludf.DUMMYFUNCTION("GOOGLETRANSLATE(F12999, ""auto"", ""en"")
"),"I bought it yesterday, it's a great fan! It sits firmly on the table, does not wobble, blows well, hums slightly. Suitable for those who sit at the computer all day, pleasantly refreshing.")</f>
        <v>I bought it yesterday, it's a great fan! It sits firmly on the table, does not wobble, blows well, hums slightly. Suitable for those who sit at the computer all day, pleasantly refreshing.</v>
      </c>
    </row>
    <row r="13000" spans="1:9" x14ac:dyDescent="0.3">
      <c r="A13000" s="1" t="s">
        <v>17</v>
      </c>
      <c r="B13000" s="1" t="s">
        <v>18</v>
      </c>
      <c r="C13000" s="1" t="s">
        <v>138</v>
      </c>
      <c r="D13000" s="1" t="s">
        <v>3525</v>
      </c>
      <c r="E13000" s="1" t="s">
        <v>2896</v>
      </c>
      <c r="F13000" s="1" t="s">
        <v>18215</v>
      </c>
      <c r="G13000" s="1" t="s">
        <v>28</v>
      </c>
      <c r="H13000" s="1" t="s">
        <v>29</v>
      </c>
      <c r="I13000" s="1" t="str">
        <f ca="1">IFERROR(__xludf.DUMMYFUNCTION("GOOGLETRANSLATE(F13000, ""auto"", ""en"")
"),"The machine is really worthy in this class, for the same price it has no analogues! Easy to use.  The only negative is that at maximum spin, a whistle fills the apartment.  Take it, you won't regret it!")</f>
        <v>The machine is really worthy in this class, for the same price it has no analogues! Easy to use.  The only negative is that at maximum spin, a whistle fills the apartment.  Take it, you won't regret it!</v>
      </c>
    </row>
    <row r="13001" spans="1:9" x14ac:dyDescent="0.3">
      <c r="A13001" s="1" t="s">
        <v>732</v>
      </c>
      <c r="B13001" s="1" t="s">
        <v>733</v>
      </c>
      <c r="C13001" s="1" t="s">
        <v>80</v>
      </c>
      <c r="D13001" s="1" t="s">
        <v>20</v>
      </c>
      <c r="E13001" s="1" t="s">
        <v>1414</v>
      </c>
      <c r="F13001" s="1" t="s">
        <v>18216</v>
      </c>
      <c r="G13001" s="1" t="s">
        <v>36</v>
      </c>
      <c r="H13001" s="1" t="s">
        <v>29</v>
      </c>
      <c r="I13001" s="1" t="str">
        <f ca="1">IFERROR(__xludf.DUMMYFUNCTION("GOOGLETRANSLATE(F13001, ""auto"", ""en"")
"),"An excellent monitor, the quality of the output image has been pleasing for about 2 weeks now, I just can’t get used to it.")</f>
        <v>An excellent monitor, the quality of the output image has been pleasing for about 2 weeks now, I just can’t get used to it.</v>
      </c>
    </row>
    <row r="13002" spans="1:9" x14ac:dyDescent="0.3">
      <c r="A13002" s="1" t="s">
        <v>105</v>
      </c>
      <c r="B13002" s="1" t="s">
        <v>106</v>
      </c>
      <c r="C13002" s="1" t="s">
        <v>151</v>
      </c>
      <c r="D13002" s="1" t="s">
        <v>186</v>
      </c>
      <c r="E13002" s="1" t="s">
        <v>5867</v>
      </c>
      <c r="F13002" s="1" t="s">
        <v>18217</v>
      </c>
      <c r="G13002" s="1" t="s">
        <v>36</v>
      </c>
      <c r="H13002" s="1" t="s">
        <v>29</v>
      </c>
      <c r="I13002" s="1" t="str">
        <f ca="1">IFERROR(__xludf.DUMMYFUNCTION("GOOGLETRANSLATE(F13002, ""auto"", ""en"")
"),"Very light and convenient player. The headphone plug is located where the joystick is, making it convenient to switch music. The kit includes a clip that can be used to attach the player to your pocket. The sound is very good, the player's output power is"&amp;" not low - 18W. I recommend it to those who are actively involved in sports (rollerblading, cycling, running). The player lasts about 8 hours at maximum volume when fully charged.")</f>
        <v>Very light and convenient player. The headphone plug is located where the joystick is, making it convenient to switch music. The kit includes a clip that can be used to attach the player to your pocket. The sound is very good, the player's output power is not low - 18W. I recommend it to those who are actively involved in sports (rollerblading, cycling, running). The player lasts about 8 hours at maximum volume when fully charged.</v>
      </c>
    </row>
    <row r="13003" spans="1:9" x14ac:dyDescent="0.3">
      <c r="A13003" s="1" t="s">
        <v>89</v>
      </c>
      <c r="B13003" s="1" t="s">
        <v>90</v>
      </c>
      <c r="C13003" s="1" t="s">
        <v>101</v>
      </c>
      <c r="D13003" s="1" t="s">
        <v>633</v>
      </c>
      <c r="E13003" s="1" t="s">
        <v>7537</v>
      </c>
      <c r="F13003" s="1" t="s">
        <v>18218</v>
      </c>
      <c r="G13003" s="1" t="s">
        <v>1580</v>
      </c>
      <c r="H13003" s="1" t="s">
        <v>29</v>
      </c>
      <c r="I13003" s="1" t="str">
        <f ca="1">IFERROR(__xludf.DUMMYFUNCTION("GOOGLETRANSLATE(F13003, ""auto"", ""en"")
"),"I didn't really like coffee until I got this coffee grinder. That is, I naively thought that instant consumer goods were the height of coffee joy. And then it turned out that my mother brought coffee beans from Turkey, and my aunt gave me this very coffee"&amp;" grinder, which grinds perfectly, so now I always have good real coffee, well ground and tasty brewed))")</f>
        <v>I didn't really like coffee until I got this coffee grinder. That is, I naively thought that instant consumer goods were the height of coffee joy. And then it turned out that my mother brought coffee beans from Turkey, and my aunt gave me this very coffee grinder, which grinds perfectly, so now I always have good real coffee, well ground and tasty brewed))</v>
      </c>
    </row>
    <row r="13004" spans="1:9" x14ac:dyDescent="0.3">
      <c r="A13004" s="1" t="s">
        <v>149</v>
      </c>
      <c r="B13004" s="1" t="s">
        <v>155</v>
      </c>
      <c r="C13004" s="1" t="s">
        <v>63</v>
      </c>
      <c r="D13004" s="1" t="s">
        <v>5431</v>
      </c>
      <c r="E13004" s="1" t="s">
        <v>41</v>
      </c>
      <c r="F13004" s="1" t="s">
        <v>18219</v>
      </c>
      <c r="G13004" s="1" t="s">
        <v>36</v>
      </c>
      <c r="H13004" s="1" t="s">
        <v>29</v>
      </c>
      <c r="I13004" s="1" t="str">
        <f ca="1">IFERROR(__xludf.DUMMYFUNCTION("GOOGLETRANSLATE(F13004, ""auto"", ""en"")
"),"Quiet, powerful, and I was especially pleased that it came with a glass and a dust bag.")</f>
        <v>Quiet, powerful, and I was especially pleased that it came with a glass and a dust bag.</v>
      </c>
    </row>
    <row r="13005" spans="1:9" x14ac:dyDescent="0.3">
      <c r="A13005" s="1" t="s">
        <v>67</v>
      </c>
      <c r="B13005" s="1" t="s">
        <v>340</v>
      </c>
      <c r="C13005" s="1" t="s">
        <v>341</v>
      </c>
      <c r="D13005" s="1" t="s">
        <v>545</v>
      </c>
      <c r="E13005" s="1" t="s">
        <v>18220</v>
      </c>
      <c r="F13005" s="1" t="s">
        <v>18221</v>
      </c>
      <c r="G13005" s="1" t="s">
        <v>36</v>
      </c>
      <c r="H13005" s="1" t="s">
        <v>29</v>
      </c>
      <c r="I13005" s="1" t="str">
        <f ca="1">IFERROR(__xludf.DUMMYFUNCTION("GOOGLETRANSLATE(F13005, ""auto"", ""en"")
"),"Very good car. Lightweight, easy to handle. In my opinion, the only negative is slow work")</f>
        <v>Very good car. Lightweight, easy to handle. In my opinion, the only negative is slow work</v>
      </c>
    </row>
    <row r="13006" spans="1:9" x14ac:dyDescent="0.3">
      <c r="A13006" s="1" t="s">
        <v>369</v>
      </c>
      <c r="B13006" s="1" t="s">
        <v>587</v>
      </c>
      <c r="C13006" s="1" t="s">
        <v>159</v>
      </c>
      <c r="D13006" s="1" t="s">
        <v>152</v>
      </c>
      <c r="E13006" s="1" t="s">
        <v>229</v>
      </c>
      <c r="F13006" s="1" t="s">
        <v>18222</v>
      </c>
      <c r="G13006" s="1" t="s">
        <v>36</v>
      </c>
      <c r="H13006" s="1" t="s">
        <v>29</v>
      </c>
      <c r="I13006" s="1" t="str">
        <f ca="1">IFERROR(__xludf.DUMMYFUNCTION("GOOGLETRANSLATE(F13006, ""auto"", ""en"")
"),"The stove is SUPER, I recommend it!")</f>
        <v>The stove is SUPER, I recommend it!</v>
      </c>
    </row>
    <row r="13007" spans="1:9" x14ac:dyDescent="0.3">
      <c r="A13007" s="1" t="s">
        <v>965</v>
      </c>
      <c r="B13007" s="1" t="s">
        <v>966</v>
      </c>
      <c r="C13007" s="1" t="s">
        <v>2149</v>
      </c>
      <c r="D13007" s="1" t="s">
        <v>102</v>
      </c>
      <c r="E13007" s="1" t="s">
        <v>886</v>
      </c>
      <c r="F13007" s="1" t="s">
        <v>18223</v>
      </c>
      <c r="G13007" s="1" t="s">
        <v>36</v>
      </c>
      <c r="H13007" s="1" t="s">
        <v>29</v>
      </c>
      <c r="I13007" s="1" t="str">
        <f ca="1">IFERROR(__xludf.DUMMYFUNCTION("GOOGLETRANSLATE(F13007, ""auto"", ""en"")
"),"For such a small size, they play volume and quality at 5+.")</f>
        <v>For such a small size, they play volume and quality at 5+.</v>
      </c>
    </row>
    <row r="13008" spans="1:9" x14ac:dyDescent="0.3">
      <c r="A13008" s="1" t="s">
        <v>37</v>
      </c>
      <c r="B13008" s="1" t="s">
        <v>38</v>
      </c>
      <c r="C13008" s="1" t="s">
        <v>163</v>
      </c>
      <c r="D13008" s="1" t="s">
        <v>172</v>
      </c>
      <c r="E13008" s="1" t="s">
        <v>4864</v>
      </c>
      <c r="F13008" s="1" t="s">
        <v>18224</v>
      </c>
      <c r="G13008" s="1" t="s">
        <v>36</v>
      </c>
      <c r="H13008" s="1" t="s">
        <v>29</v>
      </c>
      <c r="I13008" s="1" t="str">
        <f ca="1">IFERROR(__xludf.DUMMYFUNCTION("GOOGLETRANSLATE(F13008, ""auto"", ""en"")
"),"This phone was created just for conversations, I’ve been looking for a long time for a simple and cheap phone so that I wouldn’t mind losing it or breaking it, I’m buying it for the army, just without a camera and with gprs for ICQ =)")</f>
        <v>This phone was created just for conversations, I’ve been looking for a long time for a simple and cheap phone so that I wouldn’t mind losing it or breaking it, I’m buying it for the army, just without a camera and with gprs for ICQ =)</v>
      </c>
    </row>
    <row r="13009" spans="1:9" x14ac:dyDescent="0.3">
      <c r="A13009" s="1" t="s">
        <v>211</v>
      </c>
      <c r="B13009" s="1" t="s">
        <v>212</v>
      </c>
      <c r="C13009" s="1" t="s">
        <v>381</v>
      </c>
      <c r="D13009" s="1" t="s">
        <v>1188</v>
      </c>
      <c r="E13009" s="1" t="s">
        <v>209</v>
      </c>
      <c r="F13009" s="1" t="s">
        <v>18225</v>
      </c>
      <c r="G13009" s="1" t="s">
        <v>36</v>
      </c>
      <c r="H13009" s="1" t="s">
        <v>29</v>
      </c>
      <c r="I13009" s="1" t="str">
        <f ca="1">IFERROR(__xludf.DUMMYFUNCTION("GOOGLETRANSLATE(F13009, ""auto"", ""en"")
"),"Beyond all praise. I'm incredibly happy! It took me a long time to choose, but I had my eye on this one even before arriving at the store. and there I was already convinced that this is what I need. It’s impeccable..!! It straightens it very well. It does"&amp;"n’t electrify the hair. It shines) I don’t regret at all that I purchased this hair straightener)")</f>
        <v>Beyond all praise. I'm incredibly happy! It took me a long time to choose, but I had my eye on this one even before arriving at the store. and there I was already convinced that this is what I need. It’s impeccable..!! It straightens it very well. It doesn’t electrify the hair. It shines) I don’t regret at all that I purchased this hair straightener)</v>
      </c>
    </row>
    <row r="13010" spans="1:9" x14ac:dyDescent="0.3">
      <c r="A13010" s="1" t="s">
        <v>120</v>
      </c>
      <c r="B13010" s="1" t="s">
        <v>121</v>
      </c>
      <c r="C13010" s="1" t="s">
        <v>80</v>
      </c>
      <c r="D13010" s="1" t="s">
        <v>891</v>
      </c>
      <c r="E13010" s="1" t="s">
        <v>1553</v>
      </c>
      <c r="F13010" s="1" t="s">
        <v>18226</v>
      </c>
      <c r="G13010" s="1" t="s">
        <v>36</v>
      </c>
      <c r="H13010" s="1" t="s">
        <v>29</v>
      </c>
      <c r="I13010" s="1" t="str">
        <f ca="1">IFERROR(__xludf.DUMMYFUNCTION("GOOGLETRANSLATE(F13010, ""auto"", ""en"")
"),"It took me a long time to decide which TV to buy, but I settled on this model. It is worthy of a 5+ rating, the picture is bright and clear, it reads many formats from USB flash drives, in general, for the money you won’t find a better one.")</f>
        <v>It took me a long time to decide which TV to buy, but I settled on this model. It is worthy of a 5+ rating, the picture is bright and clear, it reads many formats from USB flash drives, in general, for the money you won’t find a better one.</v>
      </c>
    </row>
    <row r="13011" spans="1:9" x14ac:dyDescent="0.3">
      <c r="A13011" s="1" t="s">
        <v>61</v>
      </c>
      <c r="B13011" s="1" t="s">
        <v>62</v>
      </c>
      <c r="C13011" s="1" t="s">
        <v>63</v>
      </c>
      <c r="D13011" s="1" t="s">
        <v>308</v>
      </c>
      <c r="E13011" s="1" t="s">
        <v>998</v>
      </c>
      <c r="F13011" s="1" t="s">
        <v>18227</v>
      </c>
      <c r="G13011" s="1" t="s">
        <v>28</v>
      </c>
      <c r="H13011" s="1" t="s">
        <v>29</v>
      </c>
      <c r="I13011" s="1" t="str">
        <f ca="1">IFERROR(__xludf.DUMMYFUNCTION("GOOGLETRANSLATE(F13011, ""auto"", ""en"")
"),"I've been using it for a month, so far I'm happy. I use it almost daily. Either chop the vegetables or chop the greens. The blender for making mayonnaise is good; it’s convenient to pour oil in a thin stream through the built-in watering can.  I was choos"&amp;"ing between this model and the model with a meat grinder. In the end, I don’t regret it. A knife is enough to chop soft meat, but if you need a full-fledged meat grinder, you need to buy it separately, more powerfully.  It’s a pity that I found out about "&amp;"model 5529RU after the purchase. There is cutting into cubes. :) If it were possible, I would change it to 5529. But if cutting into cubes is not of interest, then the model is quite good.")</f>
        <v>I've been using it for a month, so far I'm happy. I use it almost daily. Either chop the vegetables or chop the greens. The blender for making mayonnaise is good; it’s convenient to pour oil in a thin stream through the built-in watering can.  I was choosing between this model and the model with a meat grinder. In the end, I don’t regret it. A knife is enough to chop soft meat, but if you need a full-fledged meat grinder, you need to buy it separately, more powerfully.  It’s a pity that I found out about model 5529RU after the purchase. There is cutting into cubes. :) If it were possible, I would change it to 5529. But if cutting into cubes is not of interest, then the model is quite good.</v>
      </c>
    </row>
    <row r="13012" spans="1:9" x14ac:dyDescent="0.3">
      <c r="A13012" s="1" t="s">
        <v>17</v>
      </c>
      <c r="B13012" s="1" t="s">
        <v>18</v>
      </c>
      <c r="C13012" s="1" t="s">
        <v>243</v>
      </c>
      <c r="D13012" s="1" t="s">
        <v>327</v>
      </c>
      <c r="E13012" s="1" t="s">
        <v>9236</v>
      </c>
      <c r="F13012" s="1" t="s">
        <v>18228</v>
      </c>
      <c r="G13012" s="1" t="s">
        <v>36</v>
      </c>
      <c r="H13012" s="1" t="s">
        <v>29</v>
      </c>
      <c r="I13012" s="1" t="str">
        <f ca="1">IFERROR(__xludf.DUMMYFUNCTION("GOOGLETRANSLATE(F13012, ""auto"", ""en"")
"),"Bought it on sale 2 weeks ago. I installed it myself and leveled it using a building level. My wife uses the machine several times every day. Of course, the drum is too small, and so is the load, but the dimensions of the machine don’t allow for more. Wor"&amp;"ks great. It washes well, doesn’t jump at all during the spin cycle (once again I was convinced of the postulate that it’s all a matter of correct installation), the time until the end of the wash is shown correctly, although it changes the timer readings"&amp;" during the wash process, the loading container for the powder is pulled out as it is written in the instructions, just wisely use a little force for the first pull out. In general, for its price and size, we couldn’t ask for anything better. As they say,"&amp;" I RECOMMEND! -))")</f>
        <v>Bought it on sale 2 weeks ago. I installed it myself and leveled it using a building level. My wife uses the machine several times every day. Of course, the drum is too small, and so is the load, but the dimensions of the machine don’t allow for more. Works great. It washes well, doesn’t jump at all during the spin cycle (once again I was convinced of the postulate that it’s all a matter of correct installation), the time until the end of the wash is shown correctly, although it changes the timer readings during the wash process, the loading container for the powder is pulled out as it is written in the instructions, just wisely use a little force for the first pull out. In general, for its price and size, we couldn’t ask for anything better. As they say, I RECOMMEND! -))</v>
      </c>
    </row>
    <row r="13013" spans="1:9" x14ac:dyDescent="0.3">
      <c r="A13013" s="1" t="s">
        <v>211</v>
      </c>
      <c r="B13013" s="1" t="s">
        <v>515</v>
      </c>
      <c r="C13013" s="1" t="s">
        <v>381</v>
      </c>
      <c r="D13013" s="1" t="s">
        <v>589</v>
      </c>
      <c r="E13013" s="1" t="s">
        <v>2226</v>
      </c>
      <c r="F13013" s="1" t="s">
        <v>18229</v>
      </c>
      <c r="G13013" s="1" t="s">
        <v>36</v>
      </c>
      <c r="H13013" s="1" t="s">
        <v>29</v>
      </c>
      <c r="I13013" s="1" t="str">
        <f ca="1">IFERROR(__xludf.DUMMYFUNCTION("GOOGLETRANSLATE(F13013, ""auto"", ""en"")
"),"This epilator has become my assistant! At first, it still hurts to epilate, but over time you get used to it, and massaging balls and cold air reduce the pain. Works only from the network. I use it once every two weeks, it takes half an hour to treat my f"&amp;"eet. I almost always use it at second speed.")</f>
        <v>This epilator has become my assistant! At first, it still hurts to epilate, but over time you get used to it, and massaging balls and cold air reduce the pain. Works only from the network. I use it once every two weeks, it takes half an hour to treat my feet. I almost always use it at second speed.</v>
      </c>
    </row>
    <row r="13014" spans="1:9" x14ac:dyDescent="0.3">
      <c r="A13014" s="1" t="s">
        <v>169</v>
      </c>
      <c r="B13014" s="1" t="s">
        <v>170</v>
      </c>
      <c r="C13014" s="1" t="s">
        <v>193</v>
      </c>
      <c r="D13014" s="1" t="s">
        <v>18230</v>
      </c>
      <c r="E13014" s="1" t="s">
        <v>1553</v>
      </c>
      <c r="F13014" s="1" t="s">
        <v>18231</v>
      </c>
      <c r="G13014" s="1" t="s">
        <v>28</v>
      </c>
      <c r="H13014" s="1" t="s">
        <v>29</v>
      </c>
      <c r="I13014" s="1" t="str">
        <f ca="1">IFERROR(__xludf.DUMMYFUNCTION("GOOGLETRANSLATE(F13014, ""auto"", ""en"")
"),"I was looking for in-ear headphones to replace the old ones (Sony). I didn’t want to buy something cheap because I’m picky about sound quality. I chose Heizers; there was already a vacuum type model, which I am 100% satisfied with. What can I say about th"&amp;"ese? Pretty good for earbuds... The sound is transparent, the highs and mids are at a high level, it's pleasant to listen to. Compared to Sonya, the sound has become more open and volume has appeared... The sound stage is very wide, sometimes you forget a"&amp;"nd it seems as if you are not wearing headphones in your ears, but acoustics are playing somewhere nearby. Bass??? Well, I wouldn’t compare it with vacuum cleaners, everything is an order of magnitude higher there, and the price is 2.5 times more. I'm not"&amp;" a fan of too thick bass, so I'm happy with the sound of these ears. The bass is soft and velvety. The headphones handle the highs and mid-bass well. I did not expect serious depth from the earbuds, but nevertheless, the sound of these headphones pleased "&amp;"me.  True, they have one feature - if you have a bad, cheap player, it’s better not to buy it, because these ears will reveal to you all its shortcomings... They are created for a high-quality sound source and high bitrates - that’s a fact.")</f>
        <v>I was looking for in-ear headphones to replace the old ones (Sony). I didn’t want to buy something cheap because I’m picky about sound quality. I chose Heizers; there was already a vacuum type model, which I am 100% satisfied with. What can I say about these? Pretty good for earbuds... The sound is transparent, the highs and mids are at a high level, it's pleasant to listen to. Compared to Sonya, the sound has become more open and volume has appeared... The sound stage is very wide, sometimes you forget and it seems as if you are not wearing headphones in your ears, but acoustics are playing somewhere nearby. Bass??? Well, I wouldn’t compare it with vacuum cleaners, everything is an order of magnitude higher there, and the price is 2.5 times more. I'm not a fan of too thick bass, so I'm happy with the sound of these ears. The bass is soft and velvety. The headphones handle the highs and mid-bass well. I did not expect serious depth from the earbuds, but nevertheless, the sound of these headphones pleased me.  True, they have one feature - if you have a bad, cheap player, it’s better not to buy it, because these ears will reveal to you all its shortcomings... They are created for a high-quality sound source and high bitrates - that’s a fact.</v>
      </c>
    </row>
    <row r="13015" spans="1:9" x14ac:dyDescent="0.3">
      <c r="A13015" s="1" t="s">
        <v>211</v>
      </c>
      <c r="B13015" s="1" t="s">
        <v>212</v>
      </c>
      <c r="C13015" s="1" t="s">
        <v>381</v>
      </c>
      <c r="D13015" s="1" t="s">
        <v>2764</v>
      </c>
      <c r="E13015" s="1" t="s">
        <v>3805</v>
      </c>
      <c r="F13015" s="1" t="s">
        <v>18232</v>
      </c>
      <c r="G13015" s="1" t="s">
        <v>36</v>
      </c>
      <c r="H13015" s="1" t="s">
        <v>29</v>
      </c>
      <c r="I13015" s="1" t="str">
        <f ca="1">IFERROR(__xludf.DUMMYFUNCTION("GOOGLETRANSLATE(F13015, ""auto"", ""en"")
"),"I’ve been using this straightening iron since the beginning of the year, when I switched to it, my hair began to split less and dry out at the ends, and I was able to grow the length.   My hair is highlighted, but I straighten it at a maximum of 170 degre"&amp;"es. The lock is a necessary thing... I’m very pleased that I didn’t spare the money, and I recommend it to others")</f>
        <v>I’ve been using this straightening iron since the beginning of the year, when I switched to it, my hair began to split less and dry out at the ends, and I was able to grow the length.   My hair is highlighted, but I straighten it at a maximum of 170 degrees. The lock is a necessary thing... I’m very pleased that I didn’t spare the money, and I recommend it to others</v>
      </c>
    </row>
    <row r="13016" spans="1:9" x14ac:dyDescent="0.3">
      <c r="A13016" s="1" t="s">
        <v>624</v>
      </c>
      <c r="B13016" s="1" t="s">
        <v>625</v>
      </c>
      <c r="C13016" s="1" t="s">
        <v>479</v>
      </c>
      <c r="D13016" s="1" t="s">
        <v>18233</v>
      </c>
      <c r="E13016" s="1" t="s">
        <v>1079</v>
      </c>
      <c r="F13016" s="1" t="s">
        <v>18234</v>
      </c>
      <c r="G13016" s="1" t="s">
        <v>36</v>
      </c>
      <c r="H13016" s="1" t="s">
        <v>29</v>
      </c>
      <c r="I13016" s="1" t="str">
        <f ca="1">IFERROR(__xludf.DUMMYFUNCTION("GOOGLETRANSLATE(F13016, ""auto"", ""en"")
"),"The game has become even faster and more aggressive. The plot is strictly inscribed in history, and it is also more interesting and thoughtful. The game goes by in one breath and does not get boring. It amazes with its monumentality and its data base. Eac"&amp;"h character has a biography and we remember each one. I will describe the game in one word - MASTERPIECE!!!")</f>
        <v>The game has become even faster and more aggressive. The plot is strictly inscribed in history, and it is also more interesting and thoughtful. The game goes by in one breath and does not get boring. It amazes with its monumentality and its data base. Each character has a biography and we remember each one. I will describe the game in one word - MASTERPIECE!!!</v>
      </c>
    </row>
    <row r="13017" spans="1:9" x14ac:dyDescent="0.3">
      <c r="A13017" s="1" t="s">
        <v>369</v>
      </c>
      <c r="B13017" s="1" t="s">
        <v>587</v>
      </c>
      <c r="C13017" s="1" t="s">
        <v>243</v>
      </c>
      <c r="D13017" s="1" t="s">
        <v>308</v>
      </c>
      <c r="E13017" s="1" t="s">
        <v>661</v>
      </c>
      <c r="F13017" s="1" t="s">
        <v>18235</v>
      </c>
      <c r="G13017" s="1" t="s">
        <v>36</v>
      </c>
      <c r="H13017" s="1" t="s">
        <v>29</v>
      </c>
      <c r="I13017" s="1" t="str">
        <f ca="1">IFERROR(__xludf.DUMMYFUNCTION("GOOGLETRANSLATE(F13017, ""auto"", ""en"")
"),"We bought the stove 2 weeks ago, the impressions are only positive, it bakes well, works perfectly, a very spacious drawer at the bottom. I like everything, but I just can’t figure out how to light the oven the first time, I only manage to do it about 15 "&amp;"times.")</f>
        <v>We bought the stove 2 weeks ago, the impressions are only positive, it bakes well, works perfectly, a very spacious drawer at the bottom. I like everything, but I just can’t figure out how to light the oven the first time, I only manage to do it about 15 times.</v>
      </c>
    </row>
    <row r="13018" spans="1:9" x14ac:dyDescent="0.3">
      <c r="A13018" s="1" t="s">
        <v>55</v>
      </c>
      <c r="B13018" s="1" t="s">
        <v>56</v>
      </c>
      <c r="C13018" s="1" t="s">
        <v>85</v>
      </c>
      <c r="D13018" s="1" t="s">
        <v>319</v>
      </c>
      <c r="E13018" s="1" t="s">
        <v>13443</v>
      </c>
      <c r="F13018" s="1" t="s">
        <v>18236</v>
      </c>
      <c r="G13018" s="1" t="s">
        <v>15</v>
      </c>
      <c r="H13018" s="1" t="s">
        <v>16</v>
      </c>
      <c r="I13018" s="1" t="str">
        <f ca="1">IFERROR(__xludf.DUMMYFUNCTION("GOOGLETRANSLATE(F13018, ""auto"", ""en"")
"),"The device works fine, but you can buy a device of similar quality from another manufacturer for half the price. The BORK brand was created by the Russian company \Technopark\ in 2001, is positioned as premium household appliances, and is actively promote"&amp;"d wherever possible, and accordingly, its prices are unrealistically inflated; in fact, the equipment of other really famous foreign companies costs much less and is in no way inferior in quality.")</f>
        <v>The device works fine, but you can buy a device of similar quality from another manufacturer for half the price. The BORK brand was created by the Russian company \Technopark\ in 2001, is positioned as premium household appliances, and is actively promoted wherever possible, and accordingly, its prices are unrealistically inflated; in fact, the equipment of other really famous foreign companies costs much less and is in no way inferior in quality.</v>
      </c>
    </row>
    <row r="13019" spans="1:9" x14ac:dyDescent="0.3">
      <c r="A13019" s="1" t="s">
        <v>61</v>
      </c>
      <c r="B13019" s="1" t="s">
        <v>62</v>
      </c>
      <c r="C13019" s="1" t="s">
        <v>69</v>
      </c>
      <c r="D13019" s="1" t="s">
        <v>589</v>
      </c>
      <c r="E13019" s="1" t="s">
        <v>4984</v>
      </c>
      <c r="F13019" s="1" t="s">
        <v>18237</v>
      </c>
      <c r="G13019" s="1" t="s">
        <v>15</v>
      </c>
      <c r="H13019" s="1" t="s">
        <v>16</v>
      </c>
      <c r="I13019" s="1" t="str">
        <f ca="1">IFERROR(__xludf.DUMMYFUNCTION("GOOGLETRANSLATE(F13019, ""auto"", ""en"")
"),"2 months after the purchase, the shaft began to scroll and could not beat or cut anything, we didn’t even have time to try some of the attachments (I didn’t even beat eggs, not to mention harder products)... so it’s complete garbage... you need to take a "&amp;"metal one so that it doesn’t wear out. P.S. Only the juicer in it is normal (except for citrus fruits)")</f>
        <v>2 months after the purchase, the shaft began to scroll and could not beat or cut anything, we didn’t even have time to try some of the attachments (I didn’t even beat eggs, not to mention harder products)... so it’s complete garbage... you need to take a metal one so that it doesn’t wear out. P.S. Only the juicer in it is normal (except for citrus fruits)</v>
      </c>
    </row>
    <row r="13020" spans="1:9" x14ac:dyDescent="0.3">
      <c r="A13020" s="1" t="s">
        <v>9</v>
      </c>
      <c r="B13020" s="1" t="s">
        <v>874</v>
      </c>
      <c r="C13020" s="1" t="s">
        <v>588</v>
      </c>
      <c r="D13020" s="1" t="s">
        <v>152</v>
      </c>
      <c r="E13020" s="1" t="s">
        <v>18238</v>
      </c>
      <c r="F13020" s="1" t="s">
        <v>18239</v>
      </c>
      <c r="G13020" s="1" t="s">
        <v>36</v>
      </c>
      <c r="H13020" s="1" t="s">
        <v>29</v>
      </c>
      <c r="I13020" s="1" t="str">
        <f ca="1">IFERROR(__xludf.DUMMYFUNCTION("GOOGLETRANSLATE(F13020, ""auto"", ""en"")
"),"I managed to buy this set in December last year before the price increase. I liked the price-quality ratio. After almost a year of work, I can share my impressions.   Pros: 1) Excellent assembly, reliability, no failures or problems.   2) The panel heats "&amp;"up quickly and is easy to clean. Cons: 1) I realized that there was not enough cooking zone. The thing is simply necessary if you have a cauldron of this shape.  2) Compared to the former gas oven, this one takes longer to cook my favorite cake :) Overall"&amp;", the verdict is this: the set is worth the money, it will delight you with delicious treats, if you cook in it, of course :)")</f>
        <v>I managed to buy this set in December last year before the price increase. I liked the price-quality ratio. After almost a year of work, I can share my impressions.   Pros: 1) Excellent assembly, reliability, no failures or problems.   2) The panel heats up quickly and is easy to clean. Cons: 1) I realized that there was not enough cooking zone. The thing is simply necessary if you have a cauldron of this shape.  2) Compared to the former gas oven, this one takes longer to cook my favorite cake :) Overall, the verdict is this: the set is worth the money, it will delight you with delicious treats, if you cook in it, of course :)</v>
      </c>
    </row>
    <row r="13021" spans="1:9" x14ac:dyDescent="0.3">
      <c r="A13021" s="1" t="s">
        <v>369</v>
      </c>
      <c r="B13021" s="1" t="s">
        <v>2480</v>
      </c>
      <c r="C13021" s="1" t="s">
        <v>453</v>
      </c>
      <c r="D13021" s="1" t="s">
        <v>295</v>
      </c>
      <c r="E13021" s="1" t="s">
        <v>3909</v>
      </c>
      <c r="F13021" s="1" t="s">
        <v>18240</v>
      </c>
      <c r="G13021" s="1" t="s">
        <v>36</v>
      </c>
      <c r="H13021" s="1" t="s">
        <v>29</v>
      </c>
      <c r="I13021" s="1" t="str">
        <f ca="1">IFERROR(__xludf.DUMMYFUNCTION("GOOGLETRANSLATE(F13021, ""auto"", ""en"")
"),"Great tile, works well. Heats up quickly. I'm very pleased.")</f>
        <v>Great tile, works well. Heats up quickly. I'm very pleased.</v>
      </c>
    </row>
    <row r="13022" spans="1:9" x14ac:dyDescent="0.3">
      <c r="A13022" s="1" t="s">
        <v>206</v>
      </c>
      <c r="B13022" s="1" t="s">
        <v>207</v>
      </c>
      <c r="C13022" s="1" t="s">
        <v>152</v>
      </c>
      <c r="D13022" s="1" t="s">
        <v>3962</v>
      </c>
      <c r="E13022" s="1" t="s">
        <v>176</v>
      </c>
      <c r="F13022" s="1" t="s">
        <v>18241</v>
      </c>
      <c r="G13022" s="1" t="s">
        <v>36</v>
      </c>
      <c r="H13022" s="1" t="s">
        <v>29</v>
      </c>
      <c r="I13022" s="1" t="str">
        <f ca="1">IFERROR(__xludf.DUMMYFUNCTION("GOOGLETRANSLATE(F13022, ""auto"", ""en"")
"),"At first I thought it was an ordinary VS, but then... I bought kap-43 in m.video, there it turned out to be an order of magnitude cheaper than in other stores throughout the city. I bought it for 4290.   amplifier bomb! What didn’t I do with him! on 2 cha"&amp;"nnels in the bridge I hung 4 single-coil subwoofers - plays, 2-coil subwoofers in the 2nd - plays + 2 channels to the front.  Speakers, I shorted the plus and minus on it by accident - it just turned off (although I was told it was BURNED! - nothing of th"&amp;"e sort, turned it on - everything works OK) Smooth switching on without any clicks (unlike other systems). All the necessary settings, the crossover is excellent. I’m happy with it!")</f>
        <v>At first I thought it was an ordinary VS, but then... I bought kap-43 in m.video, there it turned out to be an order of magnitude cheaper than in other stores throughout the city. I bought it for 4290.   amplifier bomb! What didn’t I do with him! on 2 channels in the bridge I hung 4 single-coil subwoofers - plays, 2-coil subwoofers in the 2nd - plays + 2 channels to the front.  Speakers, I shorted the plus and minus on it by accident - it just turned off (although I was told it was BURNED! - nothing of the sort, turned it on - everything works OK) Smooth switching on without any clicks (unlike other systems). All the necessary settings, the crossover is excellent. I’m happy with it!</v>
      </c>
    </row>
    <row r="13023" spans="1:9" x14ac:dyDescent="0.3">
      <c r="A13023" s="1" t="s">
        <v>61</v>
      </c>
      <c r="B13023" s="1" t="s">
        <v>977</v>
      </c>
      <c r="C13023" s="1" t="s">
        <v>85</v>
      </c>
      <c r="D13023" s="1" t="s">
        <v>139</v>
      </c>
      <c r="E13023" s="1" t="s">
        <v>14452</v>
      </c>
      <c r="F13023" s="1" t="s">
        <v>18242</v>
      </c>
      <c r="G13023" s="1" t="s">
        <v>36</v>
      </c>
      <c r="H13023" s="1" t="s">
        <v>29</v>
      </c>
      <c r="I13023" s="1" t="str">
        <f ca="1">IFERROR(__xludf.DUMMYFUNCTION("GOOGLETRANSLATE(F13023, ""auto"", ""en"")
"),"I thought for a long time that the device was quite expensive, but the first 15 minutes of use showed that the money was not wasted. The family made multi-fruit shakes with ice in 2 minutes. The result was impressive. Very powerful, easy to use, easily wa"&amp;"shable, a little big. I recommend it. Bork rules.")</f>
        <v>I thought for a long time that the device was quite expensive, but the first 15 minutes of use showed that the money was not wasted. The family made multi-fruit shakes with ice in 2 minutes. The result was impressive. Very powerful, easy to use, easily washable, a little big. I recommend it. Bork rules.</v>
      </c>
    </row>
    <row r="13024" spans="1:9" x14ac:dyDescent="0.3">
      <c r="A13024" s="1" t="s">
        <v>149</v>
      </c>
      <c r="B13024" s="1" t="s">
        <v>155</v>
      </c>
      <c r="C13024" s="1" t="s">
        <v>69</v>
      </c>
      <c r="D13024" s="1" t="s">
        <v>152</v>
      </c>
      <c r="E13024" s="1" t="s">
        <v>2350</v>
      </c>
      <c r="F13024" s="1" t="s">
        <v>18243</v>
      </c>
      <c r="G13024" s="1" t="s">
        <v>36</v>
      </c>
      <c r="H13024" s="1" t="s">
        <v>29</v>
      </c>
      <c r="I13024" s="1" t="str">
        <f ca="1">IFERROR(__xludf.DUMMYFUNCTION("GOOGLETRANSLATE(F13024, ""auto"", ""en"")
"),"I bought a vacuum cleaner in the summer, I didn’t find any cons, only pros, with a telescopic handle it’s not cleaning, but relaxing, the dust container is convenient, there are really enough wires and you don’t have to look for another outlet every time,"&amp;" the design is cool and stylish.  The price is super and the company speaks for itself.")</f>
        <v>I bought a vacuum cleaner in the summer, I didn’t find any cons, only pros, with a telescopic handle it’s not cleaning, but relaxing, the dust container is convenient, there are really enough wires and you don’t have to look for another outlet every time, the design is cool and stylish.  The price is super and the company speaks for itself.</v>
      </c>
    </row>
    <row r="13025" spans="1:9" x14ac:dyDescent="0.3">
      <c r="A13025" s="1" t="s">
        <v>211</v>
      </c>
      <c r="B13025" s="1" t="s">
        <v>410</v>
      </c>
      <c r="C13025" s="1" t="s">
        <v>69</v>
      </c>
      <c r="D13025" s="1" t="s">
        <v>152</v>
      </c>
      <c r="E13025" s="1" t="s">
        <v>201</v>
      </c>
      <c r="F13025" s="1" t="s">
        <v>18244</v>
      </c>
      <c r="G13025" s="1" t="s">
        <v>36</v>
      </c>
      <c r="H13025" s="1" t="s">
        <v>29</v>
      </c>
      <c r="I13025" s="1" t="str">
        <f ca="1">IFERROR(__xludf.DUMMYFUNCTION("GOOGLETRANSLATE(F13025, ""auto"", ""en"")
"),"It shaves very well and there is no irritation. The instructions say that adaptation to the Philips shaving system takes 2 weeks, but after 2 days there is no longer any irritation.")</f>
        <v>It shaves very well and there is no irritation. The instructions say that adaptation to the Philips shaving system takes 2 weeks, but after 2 days there is no longer any irritation.</v>
      </c>
    </row>
    <row r="13026" spans="1:9" x14ac:dyDescent="0.3">
      <c r="A13026" s="1" t="s">
        <v>55</v>
      </c>
      <c r="B13026" s="1" t="s">
        <v>184</v>
      </c>
      <c r="C13026" s="1" t="s">
        <v>45</v>
      </c>
      <c r="D13026" s="1" t="s">
        <v>308</v>
      </c>
      <c r="E13026" s="1" t="s">
        <v>2994</v>
      </c>
      <c r="F13026" s="1" t="s">
        <v>18245</v>
      </c>
      <c r="G13026" s="1" t="s">
        <v>49</v>
      </c>
      <c r="H13026" s="1" t="s">
        <v>16</v>
      </c>
      <c r="I13026" s="1" t="str">
        <f ca="1">IFERROR(__xludf.DUMMYFUNCTION("GOOGLETRANSLATE(F13026, ""auto"", ""en"")
"),"Complete disappointment. The design is nice, but as it turned out, there is no thermostat, the air flow is very weak, and there is no adjustment, I warmed up a room of up to 15 sq.m only in the morning, and even then not very well...")</f>
        <v>Complete disappointment. The design is nice, but as it turned out, there is no thermostat, the air flow is very weak, and there is no adjustment, I warmed up a room of up to 15 sq.m only in the morning, and even then not very well...</v>
      </c>
    </row>
    <row r="13027" spans="1:9" x14ac:dyDescent="0.3">
      <c r="A13027" s="1" t="s">
        <v>211</v>
      </c>
      <c r="B13027" s="1" t="s">
        <v>212</v>
      </c>
      <c r="C13027" s="1" t="s">
        <v>381</v>
      </c>
      <c r="D13027" s="1" t="s">
        <v>471</v>
      </c>
      <c r="E13027" s="1" t="s">
        <v>3337</v>
      </c>
      <c r="F13027" s="1" t="s">
        <v>18246</v>
      </c>
      <c r="G13027" s="1" t="s">
        <v>36</v>
      </c>
      <c r="H13027" s="1" t="s">
        <v>29</v>
      </c>
      <c r="I13027" s="1" t="str">
        <f ca="1">IFERROR(__xludf.DUMMYFUNCTION("GOOGLETRANSLATE(F13027, ""auto"", ""en"")
"),"The hairdryer lasted more than 4 years with constant use. I'm very pleased. Only now it broke when I was laying it down, something inside crunched and crackled and everything stopped working. Nevertheless, it served quite a long time. Now I’m ordering the"&amp;" same one for myself, I can’t exchange it for anything else.")</f>
        <v>The hairdryer lasted more than 4 years with constant use. I'm very pleased. Only now it broke when I was laying it down, something inside crunched and crackled and everything stopped working. Nevertheless, it served quite a long time. Now I’m ordering the same one for myself, I can’t exchange it for anything else.</v>
      </c>
    </row>
    <row r="13028" spans="1:9" x14ac:dyDescent="0.3">
      <c r="A13028" s="1" t="s">
        <v>361</v>
      </c>
      <c r="B13028" s="1" t="s">
        <v>362</v>
      </c>
      <c r="C13028" s="1" t="s">
        <v>2143</v>
      </c>
      <c r="D13028" s="1" t="s">
        <v>308</v>
      </c>
      <c r="E13028" s="1" t="s">
        <v>886</v>
      </c>
      <c r="F13028" s="1" t="s">
        <v>18247</v>
      </c>
      <c r="G13028" s="1" t="s">
        <v>15</v>
      </c>
      <c r="H13028" s="1" t="s">
        <v>16</v>
      </c>
      <c r="I13028" s="1" t="str">
        <f ca="1">IFERROR(__xludf.DUMMYFUNCTION("GOOGLETRANSLATE(F13028, ""auto"", ""en"")
"),"After a short use, the plastic cover first cracked all over, then fell apart. I bought an oil can from the same company in the same store and, moreover, it was cheaper, but completely metal. It has been serving faithfully for 5 years now. And I think it w"&amp;"ill last another 25.")</f>
        <v>After a short use, the plastic cover first cracked all over, then fell apart. I bought an oil can from the same company in the same store and, moreover, it was cheaper, but completely metal. It has been serving faithfully for 5 years now. And I think it will last another 25.</v>
      </c>
    </row>
    <row r="13029" spans="1:9" x14ac:dyDescent="0.3">
      <c r="A13029" s="1" t="s">
        <v>624</v>
      </c>
      <c r="B13029" s="1" t="s">
        <v>625</v>
      </c>
      <c r="C13029" s="1" t="s">
        <v>479</v>
      </c>
      <c r="D13029" s="1" t="s">
        <v>152</v>
      </c>
      <c r="E13029" s="1" t="s">
        <v>2684</v>
      </c>
      <c r="F13029" s="1" t="s">
        <v>18248</v>
      </c>
      <c r="G13029" s="1" t="s">
        <v>36</v>
      </c>
      <c r="H13029" s="1" t="s">
        <v>29</v>
      </c>
      <c r="I13029" s="1" t="str">
        <f ca="1">IFERROR(__xludf.DUMMYFUNCTION("GOOGLETRANSLATE(F13029, ""auto"", ""en"")
"),"My favorite game...cool! :)")</f>
        <v>My favorite game...cool! :)</v>
      </c>
    </row>
    <row r="13030" spans="1:9" x14ac:dyDescent="0.3">
      <c r="A13030" s="1" t="s">
        <v>169</v>
      </c>
      <c r="B13030" s="1" t="s">
        <v>170</v>
      </c>
      <c r="C13030" s="1" t="s">
        <v>122</v>
      </c>
      <c r="D13030" s="1" t="s">
        <v>1224</v>
      </c>
      <c r="E13030" s="1" t="s">
        <v>26</v>
      </c>
      <c r="F13030" s="1" t="s">
        <v>18249</v>
      </c>
      <c r="G13030" s="1" t="s">
        <v>36</v>
      </c>
      <c r="H13030" s="1" t="s">
        <v>29</v>
      </c>
      <c r="I13030" s="1" t="str">
        <f ca="1">IFERROR(__xludf.DUMMYFUNCTION("GOOGLETRANSLATE(F13030, ""auto"", ""en"")
"),"ears can listen normally =)")</f>
        <v>ears can listen normally =)</v>
      </c>
    </row>
    <row r="13031" spans="1:9" x14ac:dyDescent="0.3">
      <c r="A13031" s="1" t="s">
        <v>120</v>
      </c>
      <c r="B13031" s="1" t="s">
        <v>256</v>
      </c>
      <c r="C13031" s="1" t="s">
        <v>80</v>
      </c>
      <c r="D13031" s="1" t="s">
        <v>52</v>
      </c>
      <c r="E13031" s="1" t="s">
        <v>4984</v>
      </c>
      <c r="F13031" s="1" t="s">
        <v>18250</v>
      </c>
      <c r="G13031" s="1" t="s">
        <v>28</v>
      </c>
      <c r="H13031" s="1" t="s">
        <v>29</v>
      </c>
      <c r="I13031" s="1" t="str">
        <f ca="1">IFERROR(__xludf.DUMMYFUNCTION("GOOGLETRANSLATE(F13031, ""auto"", ""en"")
"),"The usb port on this TV is only for service")</f>
        <v>The usb port on this TV is only for service</v>
      </c>
    </row>
    <row r="13032" spans="1:9" x14ac:dyDescent="0.3">
      <c r="A13032" s="1" t="s">
        <v>105</v>
      </c>
      <c r="B13032" s="1" t="s">
        <v>106</v>
      </c>
      <c r="C13032" s="1" t="s">
        <v>97</v>
      </c>
      <c r="D13032" s="1" t="s">
        <v>18251</v>
      </c>
      <c r="E13032" s="1" t="s">
        <v>229</v>
      </c>
      <c r="F13032" s="1" t="s">
        <v>18252</v>
      </c>
      <c r="G13032" s="1" t="s">
        <v>36</v>
      </c>
      <c r="H13032" s="1" t="s">
        <v>29</v>
      </c>
      <c r="I13032" s="1" t="str">
        <f ca="1">IFERROR(__xludf.DUMMYFUNCTION("GOOGLETRANSLATE(F13032, ""auto"", ""en"")
"),"The player is excellent, the sound is excellent, for those who love natural sound, I recommend *sennheiser mx 580* headphones.")</f>
        <v>The player is excellent, the sound is excellent, for those who love natural sound, I recommend *sennheiser mx 580* headphones.</v>
      </c>
    </row>
    <row r="13033" spans="1:9" x14ac:dyDescent="0.3">
      <c r="A13033" s="1" t="s">
        <v>61</v>
      </c>
      <c r="B13033" s="1" t="s">
        <v>73</v>
      </c>
      <c r="C13033" s="1" t="s">
        <v>246</v>
      </c>
      <c r="D13033" s="1" t="s">
        <v>18253</v>
      </c>
      <c r="E13033" s="1" t="s">
        <v>628</v>
      </c>
      <c r="F13033" s="1" t="s">
        <v>18254</v>
      </c>
      <c r="G13033" s="1" t="s">
        <v>36</v>
      </c>
      <c r="H13033" s="1" t="s">
        <v>29</v>
      </c>
      <c r="I13033" s="1" t="str">
        <f ca="1">IFERROR(__xludf.DUMMYFUNCTION("GOOGLETRANSLATE(F13033, ""auto"", ""en"")
"),"such a wonderful helper! We bought it and never regretted it. powerful, practical, easy to clean, dries itself, high-quality metal, does not rust - checked. convenient to lay - wide surface of the funnel. We will buy more for our parents, they really like"&amp;"d using it. Easy to assemble and use. Simply super!!!")</f>
        <v>such a wonderful helper! We bought it and never regretted it. powerful, practical, easy to clean, dries itself, high-quality metal, does not rust - checked. convenient to lay - wide surface of the funnel. We will buy more for our parents, they really liked using it. Easy to assemble and use. Simply super!!!</v>
      </c>
    </row>
    <row r="13034" spans="1:9" x14ac:dyDescent="0.3">
      <c r="A13034" s="1" t="s">
        <v>211</v>
      </c>
      <c r="B13034" s="1" t="s">
        <v>899</v>
      </c>
      <c r="C13034" s="1" t="s">
        <v>69</v>
      </c>
      <c r="D13034" s="1" t="s">
        <v>8096</v>
      </c>
      <c r="E13034" s="1" t="s">
        <v>5800</v>
      </c>
      <c r="F13034" s="1" t="s">
        <v>18255</v>
      </c>
      <c r="G13034" s="1" t="s">
        <v>36</v>
      </c>
      <c r="H13034" s="1" t="s">
        <v>29</v>
      </c>
      <c r="I13034" s="1" t="str">
        <f ca="1">IFERROR(__xludf.DUMMYFUNCTION("GOOGLETRANSLATE(F13034, ""auto"", ""en"")
"),"Very good brush.")</f>
        <v>Very good brush.</v>
      </c>
    </row>
    <row r="13035" spans="1:9" x14ac:dyDescent="0.3">
      <c r="A13035" s="1" t="s">
        <v>211</v>
      </c>
      <c r="B13035" s="1" t="s">
        <v>212</v>
      </c>
      <c r="C13035" s="1" t="s">
        <v>69</v>
      </c>
      <c r="D13035" s="1" t="s">
        <v>46</v>
      </c>
      <c r="E13035" s="1" t="s">
        <v>1792</v>
      </c>
      <c r="F13035" s="1" t="s">
        <v>18256</v>
      </c>
      <c r="G13035" s="1" t="s">
        <v>36</v>
      </c>
      <c r="H13035" s="1" t="s">
        <v>29</v>
      </c>
      <c r="I13035" s="1" t="str">
        <f ca="1">IFERROR(__xludf.DUMMYFUNCTION("GOOGLETRANSLATE(F13035, ""auto"", ""en"")
"),"Excellent hair dryer! My husband gave it to me for March 8th. It dries and styles perfectly, has a lot of attachments, doesn’t burn my hair. Stylish design. Very pleased. And the price is good")</f>
        <v>Excellent hair dryer! My husband gave it to me for March 8th. It dries and styles perfectly, has a lot of attachments, doesn’t burn my hair. Stylish design. Very pleased. And the price is good</v>
      </c>
    </row>
    <row r="13036" spans="1:9" x14ac:dyDescent="0.3">
      <c r="A13036" s="1" t="s">
        <v>17</v>
      </c>
      <c r="B13036" s="1" t="s">
        <v>18</v>
      </c>
      <c r="C13036" s="1" t="s">
        <v>80</v>
      </c>
      <c r="D13036" s="1" t="s">
        <v>940</v>
      </c>
      <c r="E13036" s="1" t="s">
        <v>1886</v>
      </c>
      <c r="F13036" s="1" t="s">
        <v>18257</v>
      </c>
      <c r="G13036" s="1" t="s">
        <v>28</v>
      </c>
      <c r="H13036" s="1" t="s">
        <v>29</v>
      </c>
      <c r="I13036" s="1" t="str">
        <f ca="1">IFERROR(__xludf.DUMMYFUNCTION("GOOGLETRANSLATE(F13036, ""auto"", ""en"")
"),"The machine was used every day for 3-4 hours, it lasted for 3 years. It makes noise like an airplane when spinning, although it only has 800 rpm, but it washes acceptable. Today we are going to buy a new one, well, it will definitely not be LG")</f>
        <v>The machine was used every day for 3-4 hours, it lasted for 3 years. It makes noise like an airplane when spinning, although it only has 800 rpm, but it washes acceptable. Today we are going to buy a new one, well, it will definitely not be LG</v>
      </c>
    </row>
    <row r="13037" spans="1:9" x14ac:dyDescent="0.3">
      <c r="A13037" s="1" t="s">
        <v>206</v>
      </c>
      <c r="B13037" s="1" t="s">
        <v>261</v>
      </c>
      <c r="C13037" s="1" t="s">
        <v>152</v>
      </c>
      <c r="D13037" s="1" t="s">
        <v>305</v>
      </c>
      <c r="E13037" s="1" t="s">
        <v>1492</v>
      </c>
      <c r="F13037" s="1" t="s">
        <v>18258</v>
      </c>
      <c r="G13037" s="1" t="s">
        <v>28</v>
      </c>
      <c r="H13037" s="1" t="s">
        <v>29</v>
      </c>
      <c r="I13037" s="1" t="str">
        <f ca="1">IFERROR(__xludf.DUMMYFUNCTION("GOOGLETRANSLATE(F13037, ""auto"", ""en"")
"),"I bought this interconnect today and have been eyeing it for a long time. I took a replacement wire from a radio equipment store, which was picking up a lot of interference. I have two spaced apart amplifiers, so I had to disassemble the wire a little, in"&amp;" general its composition: snake braid, a thick layer of rubber, then aluminum foil and there are 4 fairly thin wires in it (but thicker than mystery, etc.). The tulips are attached to the wires well. I caught some interference in my car, but just a little"&amp;" bit, the tweeters started playing clearer, I didn’t notice anything else. GU peony, ecm dls matador, Hertz speakers.")</f>
        <v>I bought this interconnect today and have been eyeing it for a long time. I took a replacement wire from a radio equipment store, which was picking up a lot of interference. I have two spaced apart amplifiers, so I had to disassemble the wire a little, in general its composition: snake braid, a thick layer of rubber, then aluminum foil and there are 4 fairly thin wires in it (but thicker than mystery, etc.). The tulips are attached to the wires well. I caught some interference in my car, but just a little bit, the tweeters started playing clearer, I didn’t notice anything else. GU peony, ecm dls matador, Hertz speakers.</v>
      </c>
    </row>
    <row r="13038" spans="1:9" x14ac:dyDescent="0.3">
      <c r="A13038" s="1" t="s">
        <v>55</v>
      </c>
      <c r="B13038" s="1" t="s">
        <v>184</v>
      </c>
      <c r="C13038" s="1" t="s">
        <v>57</v>
      </c>
      <c r="D13038" s="1" t="s">
        <v>39</v>
      </c>
      <c r="E13038" s="1" t="s">
        <v>1804</v>
      </c>
      <c r="F13038" s="1" t="s">
        <v>18259</v>
      </c>
      <c r="G13038" s="1" t="s">
        <v>1580</v>
      </c>
      <c r="H13038" s="1" t="s">
        <v>29</v>
      </c>
      <c r="I13038" s="1" t="str">
        <f ca="1">IFERROR(__xludf.DUMMYFUNCTION("GOOGLETRANSLATE(F13038, ""auto"", ""en"")
"),"Quite quiet (not an ordinary fan, but a large cooler is installed), good build quality, a convenient switch, heats well and quickly even at 1000 Watts (low mode), and at half a thousand it generally heats up like a soldering iron.")</f>
        <v>Quite quiet (not an ordinary fan, but a large cooler is installed), good build quality, a convenient switch, heats well and quickly even at 1000 Watts (low mode), and at half a thousand it generally heats up like a soldering iron.</v>
      </c>
    </row>
    <row r="13039" spans="1:9" x14ac:dyDescent="0.3">
      <c r="A13039" s="1" t="s">
        <v>61</v>
      </c>
      <c r="B13039" s="1" t="s">
        <v>180</v>
      </c>
      <c r="C13039" s="1" t="s">
        <v>57</v>
      </c>
      <c r="D13039" s="1" t="s">
        <v>335</v>
      </c>
      <c r="E13039" s="1" t="s">
        <v>3890</v>
      </c>
      <c r="F13039" s="1" t="s">
        <v>18260</v>
      </c>
      <c r="G13039" s="1" t="s">
        <v>36</v>
      </c>
      <c r="H13039" s="1" t="s">
        <v>29</v>
      </c>
      <c r="I13039" s="1" t="str">
        <f ca="1">IFERROR(__xludf.DUMMYFUNCTION("GOOGLETRANSLATE(F13039, ""auto"", ""en"")
"),"Very convenient, we have been using it for 1.5 years now. Compact device, easy to find a place for it in any kitchen. And the price is attractive. And toast the toast to any desired level and warm up the bun/pie. Satisfied, I recommend.")</f>
        <v>Very convenient, we have been using it for 1.5 years now. Compact device, easy to find a place for it in any kitchen. And the price is attractive. And toast the toast to any desired level and warm up the bun/pie. Satisfied, I recommend.</v>
      </c>
    </row>
    <row r="13040" spans="1:9" x14ac:dyDescent="0.3">
      <c r="A13040" s="1" t="s">
        <v>43</v>
      </c>
      <c r="B13040" s="1" t="s">
        <v>303</v>
      </c>
      <c r="C13040" s="1" t="s">
        <v>665</v>
      </c>
      <c r="D13040" s="1" t="s">
        <v>232</v>
      </c>
      <c r="E13040" s="1" t="s">
        <v>8748</v>
      </c>
      <c r="F13040" s="1" t="s">
        <v>18261</v>
      </c>
      <c r="G13040" s="1" t="s">
        <v>49</v>
      </c>
      <c r="H13040" s="1" t="s">
        <v>16</v>
      </c>
      <c r="I13040" s="1" t="str">
        <f ca="1">IFERROR(__xludf.DUMMYFUNCTION("GOOGLETRANSLATE(F13040, ""auto"", ""en"")
"),"narrow")</f>
        <v>narrow</v>
      </c>
    </row>
    <row r="13041" spans="1:9" x14ac:dyDescent="0.3">
      <c r="A13041" s="1" t="s">
        <v>61</v>
      </c>
      <c r="B13041" s="1" t="s">
        <v>224</v>
      </c>
      <c r="C13041" s="1" t="s">
        <v>85</v>
      </c>
      <c r="D13041" s="1" t="s">
        <v>295</v>
      </c>
      <c r="E13041" s="1" t="s">
        <v>13591</v>
      </c>
      <c r="F13041" s="1" t="s">
        <v>18262</v>
      </c>
      <c r="G13041" s="1" t="s">
        <v>36</v>
      </c>
      <c r="H13041" s="1" t="s">
        <v>29</v>
      </c>
      <c r="I13041" s="1" t="str">
        <f ca="1">IFERROR(__xludf.DUMMYFUNCTION("GOOGLETRANSLATE(F13041, ""auto"", ""en"")
"),"Although it is expensive, it is worth it! I can’t say it’s compact, but we found the angle for it just right. Every day we squeeze juice from oranges, carrots and apples. Squeezes everything out in seconds, instantly fills a glass of juice with foam (the "&amp;"jug has a separator that removes foam if necessary, but I love it) There is little leftover. The juice really squeezes out every last drop.  We also tried squeezing juice from celery, cucumbers, tomatoes, pears, mangoes - everything was done instantly. Th"&amp;"e only thing is that it is a little difficult to wash after use and dry. It is easy to disassemble, but it is important to thoroughly wash all the insides immediately after use, otherwise over time the plastic will become dull in color. Convenient simple "&amp;"electronic system for turning on and selecting a program. It is not noisy. I'm happy with the model, but still a huge overpayment is for the brand.")</f>
        <v>Although it is expensive, it is worth it! I can’t say it’s compact, but we found the angle for it just right. Every day we squeeze juice from oranges, carrots and apples. Squeezes everything out in seconds, instantly fills a glass of juice with foam (the jug has a separator that removes foam if necessary, but I love it) There is little leftover. The juice really squeezes out every last drop.  We also tried squeezing juice from celery, cucumbers, tomatoes, pears, mangoes - everything was done instantly. The only thing is that it is a little difficult to wash after use and dry. It is easy to disassemble, but it is important to thoroughly wash all the insides immediately after use, otherwise over time the plastic will become dull in color. Convenient simple electronic system for turning on and selecting a program. It is not noisy. I'm happy with the model, but still a huge overpayment is for the brand.</v>
      </c>
    </row>
    <row r="13042" spans="1:9" x14ac:dyDescent="0.3">
      <c r="A13042" s="1" t="s">
        <v>67</v>
      </c>
      <c r="B13042" s="1" t="s">
        <v>68</v>
      </c>
      <c r="C13042" s="1" t="s">
        <v>63</v>
      </c>
      <c r="D13042" s="1" t="s">
        <v>58</v>
      </c>
      <c r="E13042" s="1" t="s">
        <v>4483</v>
      </c>
      <c r="F13042" s="1" t="s">
        <v>18263</v>
      </c>
      <c r="G13042" s="1" t="s">
        <v>49</v>
      </c>
      <c r="H13042" s="1" t="s">
        <v>16</v>
      </c>
      <c r="I13042" s="1" t="str">
        <f ca="1">IFERROR(__xludf.DUMMYFUNCTION("GOOGLETRANSLATE(F13042, ""auto"", ""en"")
"),"The iron doesn’t heat well, it doesn’t smooth cotton at max, and on medium mode water leaks from the steam holes. I will return it to the store.")</f>
        <v>The iron doesn’t heat well, it doesn’t smooth cotton at max, and on medium mode water leaks from the steam holes. I will return it to the store.</v>
      </c>
    </row>
    <row r="13043" spans="1:9" x14ac:dyDescent="0.3">
      <c r="A13043" s="1" t="s">
        <v>120</v>
      </c>
      <c r="B13043" s="1" t="s">
        <v>121</v>
      </c>
      <c r="C13043" s="1" t="s">
        <v>151</v>
      </c>
      <c r="D13043" s="1" t="s">
        <v>919</v>
      </c>
      <c r="E13043" s="1" t="s">
        <v>2565</v>
      </c>
      <c r="F13043" s="1" t="s">
        <v>18264</v>
      </c>
      <c r="G13043" s="1" t="s">
        <v>28</v>
      </c>
      <c r="H13043" s="1" t="s">
        <v>29</v>
      </c>
      <c r="I13043" s="1" t="str">
        <f ca="1">IFERROR(__xludf.DUMMYFUNCTION("GOOGLETRANSLATE(F13043, ""auto"", ""en"")
"),"Not very high quality sound reproduction.")</f>
        <v>Not very high quality sound reproduction.</v>
      </c>
    </row>
    <row r="13044" spans="1:9" x14ac:dyDescent="0.3">
      <c r="A13044" s="1" t="s">
        <v>169</v>
      </c>
      <c r="B13044" s="1" t="s">
        <v>170</v>
      </c>
      <c r="C13044" s="1" t="s">
        <v>69</v>
      </c>
      <c r="D13044" s="1" t="s">
        <v>39</v>
      </c>
      <c r="E13044" s="1" t="s">
        <v>3673</v>
      </c>
      <c r="F13044" s="1" t="s">
        <v>18265</v>
      </c>
      <c r="G13044" s="1" t="s">
        <v>15</v>
      </c>
      <c r="H13044" s="1" t="s">
        <v>16</v>
      </c>
      <c r="I13044" s="1" t="str">
        <f ca="1">IFERROR(__xludf.DUMMYFUNCTION("GOOGLETRANSLATE(F13044, ""auto"", ""en"")
"),"I bought these headphones today and was disappointed - the sound is very quiet when connected to a computer! Tried it on five different computers at work, same result! The sound is set to maximum! At the same time, on the same computers, my colleagues hav"&amp;"e very loud sound with other headphones!")</f>
        <v>I bought these headphones today and was disappointed - the sound is very quiet when connected to a computer! Tried it on five different computers at work, same result! The sound is set to maximum! At the same time, on the same computers, my colleagues have very loud sound with other headphones!</v>
      </c>
    </row>
    <row r="13045" spans="1:9" x14ac:dyDescent="0.3">
      <c r="A13045" s="1" t="s">
        <v>5066</v>
      </c>
      <c r="B13045" s="1" t="s">
        <v>5067</v>
      </c>
      <c r="C13045" s="1" t="s">
        <v>911</v>
      </c>
      <c r="D13045" s="1" t="s">
        <v>18266</v>
      </c>
      <c r="E13045" s="1" t="s">
        <v>13970</v>
      </c>
      <c r="F13045" s="1" t="s">
        <v>5813</v>
      </c>
      <c r="G13045" s="1" t="s">
        <v>36</v>
      </c>
      <c r="H13045" s="1" t="s">
        <v>29</v>
      </c>
      <c r="I13045" s="1" t="str">
        <f ca="1">IFERROR(__xludf.DUMMYFUNCTION("GOOGLETRANSLATE(F13045, ""auto"", ""en"")
"),"Very convenient")</f>
        <v>Very convenient</v>
      </c>
    </row>
    <row r="13046" spans="1:9" x14ac:dyDescent="0.3">
      <c r="A13046" s="1" t="s">
        <v>211</v>
      </c>
      <c r="B13046" s="1" t="s">
        <v>265</v>
      </c>
      <c r="C13046" s="1" t="s">
        <v>294</v>
      </c>
      <c r="D13046" s="1" t="s">
        <v>8908</v>
      </c>
      <c r="E13046" s="1" t="s">
        <v>1767</v>
      </c>
      <c r="F13046" s="1" t="s">
        <v>18267</v>
      </c>
      <c r="G13046" s="1" t="s">
        <v>28</v>
      </c>
      <c r="H13046" s="1" t="s">
        <v>29</v>
      </c>
      <c r="I13046" s="1" t="str">
        <f ca="1">IFERROR(__xludf.DUMMYFUNCTION("GOOGLETRANSLATE(F13046, ""auto"", ""en"")
"),"+ Holds a charge for a long time, does not jerk.         -We tried to cut our son’s hair under the nozzle... it turned out badly)")</f>
        <v>+ Holds a charge for a long time, does not jerk.         -We tried to cut our son’s hair under the nozzle... it turned out badly)</v>
      </c>
    </row>
    <row r="13047" spans="1:9" x14ac:dyDescent="0.3">
      <c r="A13047" s="1" t="s">
        <v>61</v>
      </c>
      <c r="B13047" s="1" t="s">
        <v>318</v>
      </c>
      <c r="C13047" s="1" t="s">
        <v>745</v>
      </c>
      <c r="D13047" s="1" t="s">
        <v>690</v>
      </c>
      <c r="E13047" s="1" t="s">
        <v>1467</v>
      </c>
      <c r="F13047" s="1" t="s">
        <v>18268</v>
      </c>
      <c r="G13047" s="1" t="s">
        <v>36</v>
      </c>
      <c r="H13047" s="1" t="s">
        <v>29</v>
      </c>
      <c r="I13047" s="1" t="str">
        <f ca="1">IFERROR(__xludf.DUMMYFUNCTION("GOOGLETRANSLATE(F13047, ""auto"", ""en"")
"),"I bought this model about a month ago and have never regretted it. All functions work flawlessly, it is easy to use and there is nothing superfluous.")</f>
        <v>I bought this model about a month ago and have never regretted it. All functions work flawlessly, it is easy to use and there is nothing superfluous.</v>
      </c>
    </row>
    <row r="13048" spans="1:9" x14ac:dyDescent="0.3">
      <c r="A13048" s="1" t="s">
        <v>149</v>
      </c>
      <c r="B13048" s="1" t="s">
        <v>155</v>
      </c>
      <c r="C13048" s="1" t="s">
        <v>63</v>
      </c>
      <c r="D13048" s="1" t="s">
        <v>18269</v>
      </c>
      <c r="E13048" s="1" t="s">
        <v>7644</v>
      </c>
      <c r="F13048" s="1" t="s">
        <v>18270</v>
      </c>
      <c r="G13048" s="1" t="s">
        <v>36</v>
      </c>
      <c r="H13048" s="1" t="s">
        <v>29</v>
      </c>
      <c r="I13048" s="1" t="str">
        <f ca="1">IFERROR(__xludf.DUMMYFUNCTION("GOOGLETRANSLATE(F13048, ""auto"", ""en"")
"),"Pros: compact, lightweight, modern, HEPA filter, container instead of a bag, works quietly, vacuums efficiently. A good vacuum cleaner, not a bit of regret about the money spent")</f>
        <v>Pros: compact, lightweight, modern, HEPA filter, container instead of a bag, works quietly, vacuums efficiently. A good vacuum cleaner, not a bit of regret about the money spent</v>
      </c>
    </row>
    <row r="13049" spans="1:9" x14ac:dyDescent="0.3">
      <c r="A13049" s="1" t="s">
        <v>61</v>
      </c>
      <c r="B13049" s="1" t="s">
        <v>145</v>
      </c>
      <c r="C13049" s="1" t="s">
        <v>1981</v>
      </c>
      <c r="D13049" s="1" t="s">
        <v>1506</v>
      </c>
      <c r="E13049" s="1" t="s">
        <v>11612</v>
      </c>
      <c r="F13049" s="1" t="s">
        <v>18271</v>
      </c>
      <c r="G13049" s="1" t="s">
        <v>36</v>
      </c>
      <c r="H13049" s="1" t="s">
        <v>29</v>
      </c>
      <c r="I13049" s="1" t="str">
        <f ca="1">IFERROR(__xludf.DUMMYFUNCTION("GOOGLETRANSLATE(F13049, ""auto"", ""en"")
"),"100% satisfied! It bakes everything perfectly, nothing sticks. The waffles are simply luxurious!")</f>
        <v>100% satisfied! It bakes everything perfectly, nothing sticks. The waffles are simply luxurious!</v>
      </c>
    </row>
    <row r="13050" spans="1:9" x14ac:dyDescent="0.3">
      <c r="A13050" s="1" t="s">
        <v>1823</v>
      </c>
      <c r="B13050" s="1" t="s">
        <v>1824</v>
      </c>
      <c r="C13050" s="1" t="s">
        <v>69</v>
      </c>
      <c r="D13050" s="1" t="s">
        <v>247</v>
      </c>
      <c r="E13050" s="1" t="s">
        <v>328</v>
      </c>
      <c r="F13050" s="1" t="s">
        <v>18272</v>
      </c>
      <c r="G13050" s="1" t="s">
        <v>36</v>
      </c>
      <c r="H13050" s="1" t="s">
        <v>29</v>
      </c>
      <c r="I13050" s="1" t="str">
        <f ca="1">IFERROR(__xludf.DUMMYFUNCTION("GOOGLETRANSLATE(F13050, ""auto"", ""en"")
"),"Great ironing board! I bought it and couldn’t be happier!)) Functional, wide ironing surface, and the most important criterion by which I chose the board - stable!! Buy it, you won't regret it...it's worth it. It’s very strange that no one has responded t"&amp;"o it before me... I used it with a steam iron, the fabric does not get wet, it gets slightly moisturized, but dries immediately. Super! I have no words, only positive emotions)))))")</f>
        <v>Great ironing board! I bought it and couldn’t be happier!)) Functional, wide ironing surface, and the most important criterion by which I chose the board - stable!! Buy it, you won't regret it...it's worth it. It’s very strange that no one has responded to it before me... I used it with a steam iron, the fabric does not get wet, it gets slightly moisturized, but dries immediately. Super! I have no words, only positive emotions)))))</v>
      </c>
    </row>
    <row r="13051" spans="1:9" x14ac:dyDescent="0.3">
      <c r="A13051" s="1" t="s">
        <v>369</v>
      </c>
      <c r="B13051" s="1" t="s">
        <v>370</v>
      </c>
      <c r="C13051" s="1" t="s">
        <v>290</v>
      </c>
      <c r="D13051" s="1" t="s">
        <v>305</v>
      </c>
      <c r="E13051" s="1" t="s">
        <v>7124</v>
      </c>
      <c r="F13051" s="1" t="s">
        <v>18273</v>
      </c>
      <c r="G13051" s="1" t="s">
        <v>28</v>
      </c>
      <c r="H13051" s="1" t="s">
        <v>29</v>
      </c>
      <c r="I13051" s="1" t="str">
        <f ca="1">IFERROR(__xludf.DUMMYFUNCTION("GOOGLETRANSLATE(F13051, ""auto"", ""en"")
"),"I was looking for this stove for my mom.   If anyone has used it, what do you think - aren’t all these timer-programmers too complicated for a 72-year-old woman?    Well, in general, please share your impressions.")</f>
        <v>I was looking for this stove for my mom.   If anyone has used it, what do you think - aren’t all these timer-programmers too complicated for a 72-year-old woman?    Well, in general, please share your impressions.</v>
      </c>
    </row>
    <row r="13052" spans="1:9" x14ac:dyDescent="0.3">
      <c r="A13052" s="1" t="s">
        <v>169</v>
      </c>
      <c r="B13052" s="1" t="s">
        <v>170</v>
      </c>
      <c r="C13052" s="1" t="s">
        <v>122</v>
      </c>
      <c r="D13052" s="1" t="s">
        <v>280</v>
      </c>
      <c r="E13052" s="1" t="s">
        <v>1446</v>
      </c>
      <c r="F13052" s="1" t="s">
        <v>18274</v>
      </c>
      <c r="G13052" s="1" t="s">
        <v>28</v>
      </c>
      <c r="H13052" s="1" t="s">
        <v>29</v>
      </c>
      <c r="I13052" s="1" t="str">
        <f ca="1">IFERROR(__xludf.DUMMYFUNCTION("GOOGLETRANSLATE(F13052, ""auto"", ""en"")
"),"I switched to them after my family's phone (nokia wh-701) broke down. The wh-701 has excellent bass, high-quality sound, full music control, the wire is easy to untangle, perfect noise insulation, so if you want normal headphones, take the nokia wh-701, w"&amp;"ell, I was only disappointed in the bass with these (although I may not have gotten used to the wh-701 yet) well, in general, that's it, if you don't have enough money for normal ones, take these.")</f>
        <v>I switched to them after my family's phone (nokia wh-701) broke down. The wh-701 has excellent bass, high-quality sound, full music control, the wire is easy to untangle, perfect noise insulation, so if you want normal headphones, take the nokia wh-701, well, I was only disappointed in the bass with these (although I may not have gotten used to the wh-701 yet) well, in general, that's it, if you don't have enough money for normal ones, take these.</v>
      </c>
    </row>
    <row r="13053" spans="1:9" x14ac:dyDescent="0.3">
      <c r="A13053" s="1" t="s">
        <v>30</v>
      </c>
      <c r="B13053" s="1" t="s">
        <v>50</v>
      </c>
      <c r="C13053" s="1" t="s">
        <v>1003</v>
      </c>
      <c r="D13053" s="1" t="s">
        <v>86</v>
      </c>
      <c r="E13053" s="1" t="s">
        <v>7270</v>
      </c>
      <c r="F13053" s="1" t="s">
        <v>18275</v>
      </c>
      <c r="G13053" s="1" t="s">
        <v>28</v>
      </c>
      <c r="H13053" s="1" t="s">
        <v>29</v>
      </c>
      <c r="I13053" s="1" t="str">
        <f ca="1">IFERROR(__xludf.DUMMYFUNCTION("GOOGLETRANSLATE(F13053, ""auto"", ""en"")
"),"the other day I installed Windows 7 Ultimate 32bit (the second system) on this netbook - it works better than with Windows Vista Basic, fortunately all the drivers are on the official HP website - down with Vista from netbooks!!!")</f>
        <v>the other day I installed Windows 7 Ultimate 32bit (the second system) on this netbook - it works better than with Windows Vista Basic, fortunately all the drivers are on the official HP website - down with Vista from netbooks!!!</v>
      </c>
    </row>
    <row r="13054" spans="1:9" x14ac:dyDescent="0.3">
      <c r="A13054" s="1" t="s">
        <v>238</v>
      </c>
      <c r="B13054" s="1" t="s">
        <v>276</v>
      </c>
      <c r="C13054" s="1" t="s">
        <v>1677</v>
      </c>
      <c r="D13054" s="1" t="s">
        <v>64</v>
      </c>
      <c r="E13054" s="1" t="s">
        <v>820</v>
      </c>
      <c r="F13054" s="1" t="s">
        <v>18276</v>
      </c>
      <c r="G13054" s="1" t="s">
        <v>15</v>
      </c>
      <c r="H13054" s="1" t="s">
        <v>16</v>
      </c>
      <c r="I13054" s="1" t="str">
        <f ca="1">IFERROR(__xludf.DUMMYFUNCTION("GOOGLETRANSLATE(F13054, ""auto"", ""en"")
"),"We bought this refrigerator from M-video. We've been using it for 8 months. Terribly noisy, creaks, rattles, sleep only with the door closed. And so roomy and comfortable. But this noise spoils the whole experience. Therefore, think about what is importan"&amp;"t to you, silence and capacity.")</f>
        <v>We bought this refrigerator from M-video. We've been using it for 8 months. Terribly noisy, creaks, rattles, sleep only with the door closed. And so roomy and comfortable. But this noise spoils the whole experience. Therefore, think about what is important to you, silence and capacity.</v>
      </c>
    </row>
    <row r="13055" spans="1:9" x14ac:dyDescent="0.3">
      <c r="A13055" s="1" t="s">
        <v>61</v>
      </c>
      <c r="B13055" s="1" t="s">
        <v>318</v>
      </c>
      <c r="C13055" s="1" t="s">
        <v>57</v>
      </c>
      <c r="D13055" s="1" t="s">
        <v>295</v>
      </c>
      <c r="E13055" s="1" t="s">
        <v>8513</v>
      </c>
      <c r="F13055" s="1" t="s">
        <v>18277</v>
      </c>
      <c r="G13055" s="1" t="s">
        <v>36</v>
      </c>
      <c r="H13055" s="1" t="s">
        <v>29</v>
      </c>
      <c r="I13055" s="1" t="str">
        <f ca="1">IFERROR(__xludf.DUMMYFUNCTION("GOOGLETRANSLATE(F13055, ""auto"", ""en"")
"),"Small, lightweight, convenient for travel or vacation ")</f>
        <v xml:space="preserve">Small, lightweight, convenient for travel or vacation </v>
      </c>
    </row>
    <row r="13056" spans="1:9" x14ac:dyDescent="0.3">
      <c r="A13056" s="1" t="s">
        <v>17</v>
      </c>
      <c r="B13056" s="1" t="s">
        <v>325</v>
      </c>
      <c r="C13056" s="1" t="s">
        <v>326</v>
      </c>
      <c r="D13056" s="1" t="s">
        <v>568</v>
      </c>
      <c r="E13056" s="1" t="s">
        <v>753</v>
      </c>
      <c r="F13056" s="1" t="s">
        <v>18278</v>
      </c>
      <c r="G13056" s="1" t="s">
        <v>36</v>
      </c>
      <c r="H13056" s="1" t="s">
        <v>29</v>
      </c>
      <c r="I13056" s="1" t="str">
        <f ca="1">IFERROR(__xludf.DUMMYFUNCTION("GOOGLETRANSLATE(F13056, ""auto"", ""en"")
"),"A very good option if it is not possible to install an automatic machine. It washes well. There is no drainage or spinning. But it's still better than by hand.")</f>
        <v>A very good option if it is not possible to install an automatic machine. It washes well. There is no drainage or spinning. But it's still better than by hand.</v>
      </c>
    </row>
    <row r="13057" spans="1:9" x14ac:dyDescent="0.3">
      <c r="A13057" s="1" t="s">
        <v>37</v>
      </c>
      <c r="B13057" s="1" t="s">
        <v>38</v>
      </c>
      <c r="C13057" s="1" t="s">
        <v>151</v>
      </c>
      <c r="D13057" s="1" t="s">
        <v>152</v>
      </c>
      <c r="E13057" s="1" t="s">
        <v>3359</v>
      </c>
      <c r="F13057" s="1" t="s">
        <v>18279</v>
      </c>
      <c r="G13057" s="1" t="s">
        <v>28</v>
      </c>
      <c r="H13057" s="1" t="s">
        <v>29</v>
      </c>
      <c r="I13057" s="1" t="str">
        <f ca="1">IFERROR(__xludf.DUMMYFUNCTION("GOOGLETRANSLATE(F13057, ""auto"", ""en"")
"),"A simple and convenient phone. The appearance is 5, but the functions are not enough. The sound from the speaker when listening to music and making a call is at 3, the speaker volume is at 4. There have always been Nokias, but the convenience of one phone"&amp;" with two SIM cards is understandable.  I bought it, use it, and am overall satisfied.")</f>
        <v>A simple and convenient phone. The appearance is 5, but the functions are not enough. The sound from the speaker when listening to music and making a call is at 3, the speaker volume is at 4. There have always been Nokias, but the convenience of one phone with two SIM cards is understandable.  I bought it, use it, and am overall satisfied.</v>
      </c>
    </row>
    <row r="13058" spans="1:9" x14ac:dyDescent="0.3">
      <c r="A13058" s="1" t="s">
        <v>61</v>
      </c>
      <c r="B13058" s="1" t="s">
        <v>318</v>
      </c>
      <c r="C13058" s="1" t="s">
        <v>57</v>
      </c>
      <c r="D13058" s="1" t="s">
        <v>1055</v>
      </c>
      <c r="E13058" s="1" t="s">
        <v>9674</v>
      </c>
      <c r="F13058" s="1" t="s">
        <v>18280</v>
      </c>
      <c r="G13058" s="1" t="s">
        <v>36</v>
      </c>
      <c r="H13058" s="1" t="s">
        <v>29</v>
      </c>
      <c r="I13058" s="1" t="str">
        <f ca="1">IFERROR(__xludf.DUMMYFUNCTION("GOOGLETRANSLATE(F13058, ""auto"", ""en"")
"),"Great design! Not a teapot, but a real decoration for the kitchen, like some kind of tabletop geyser. Looks very stylish. Plus, it has all the necessary functions and even more. Not only is the heating element hidden, but it also has a non-stick coating p"&amp;"lus absolutely no foreign odors or tastes - the water turns out really TASTY, like from a spring or well. It rotates on the stand in all directions, the handle does not heat up, and turns off instantly after boiling. I don’t have the opportunity to talk a"&amp;"bout any shortcomings, because there really simply aren’t any. If, God forbid, it ever breaks or burns out, then the next one will be exactly the same, made of glass.")</f>
        <v>Great design! Not a teapot, but a real decoration for the kitchen, like some kind of tabletop geyser. Looks very stylish. Plus, it has all the necessary functions and even more. Not only is the heating element hidden, but it also has a non-stick coating plus absolutely no foreign odors or tastes - the water turns out really TASTY, like from a spring or well. It rotates on the stand in all directions, the handle does not heat up, and turns off instantly after boiling. I don’t have the opportunity to talk about any shortcomings, because there really simply aren’t any. If, God forbid, it ever breaks or burns out, then the next one will be exactly the same, made of glass.</v>
      </c>
    </row>
    <row r="13059" spans="1:9" x14ac:dyDescent="0.3">
      <c r="A13059" s="1" t="s">
        <v>61</v>
      </c>
      <c r="B13059" s="1" t="s">
        <v>977</v>
      </c>
      <c r="C13059" s="1" t="s">
        <v>69</v>
      </c>
      <c r="D13059" s="1" t="s">
        <v>20</v>
      </c>
      <c r="E13059" s="1" t="s">
        <v>2313</v>
      </c>
      <c r="F13059" s="1" t="s">
        <v>18281</v>
      </c>
      <c r="G13059" s="1" t="s">
        <v>28</v>
      </c>
      <c r="H13059" s="1" t="s">
        <v>29</v>
      </c>
      <c r="I13059" s="1" t="str">
        <f ca="1">IFERROR(__xludf.DUMMYFUNCTION("GOOGLETRANSLATE(F13059, ""auto"", ""en"")
"),"I bought this blender for one single purpose - making milkshakes. Well, you know, you throw ice cream into a bowl, pour in milk and add some toppings, bananas, jam... It copes with cocktails. However, the power of the engine is not great. When the knife s"&amp;"tarts whipping hard ice cream, the poor blender is groaning from the effort. Another alarming warning is that you can only turn it on for 30 seconds. otherwise the engine will overheat. So, read the instructions in full and be more careful and gentle in o"&amp;"peration. In general, as a kitchen appliance, it is only pleasing: it is easy to clean and not very noisy.")</f>
        <v>I bought this blender for one single purpose - making milkshakes. Well, you know, you throw ice cream into a bowl, pour in milk and add some toppings, bananas, jam... It copes with cocktails. However, the power of the engine is not great. When the knife starts whipping hard ice cream, the poor blender is groaning from the effort. Another alarming warning is that you can only turn it on for 30 seconds. otherwise the engine will overheat. So, read the instructions in full and be more careful and gentle in operation. In general, as a kitchen appliance, it is only pleasing: it is easy to clean and not very noisy.</v>
      </c>
    </row>
    <row r="13060" spans="1:9" x14ac:dyDescent="0.3">
      <c r="A13060" s="1" t="s">
        <v>55</v>
      </c>
      <c r="B13060" s="1" t="s">
        <v>752</v>
      </c>
      <c r="C13060" s="1" t="s">
        <v>185</v>
      </c>
      <c r="D13060" s="1" t="s">
        <v>308</v>
      </c>
      <c r="E13060" s="1" t="s">
        <v>18282</v>
      </c>
      <c r="F13060" s="1" t="s">
        <v>18283</v>
      </c>
      <c r="G13060" s="1" t="s">
        <v>49</v>
      </c>
      <c r="H13060" s="1" t="s">
        <v>16</v>
      </c>
      <c r="I13060" s="1" t="str">
        <f ca="1">IFERROR(__xludf.DUMMYFUNCTION("GOOGLETRANSLATE(F13060, ""auto"", ""en"")
"),"We waited a day for the oil to warm up. It got hot, but my hand is tolerating it; the room warmed by 1 degree in 3-4 hours. Turned off every 5-7 minutes. Maybe I got a defective one")</f>
        <v>We waited a day for the oil to warm up. It got hot, but my hand is tolerating it; the room warmed by 1 degree in 3-4 hours. Turned off every 5-7 minutes. Maybe I got a defective one</v>
      </c>
    </row>
    <row r="13061" spans="1:9" x14ac:dyDescent="0.3">
      <c r="A13061" s="1" t="s">
        <v>211</v>
      </c>
      <c r="B13061" s="1" t="s">
        <v>212</v>
      </c>
      <c r="C13061" s="1" t="s">
        <v>63</v>
      </c>
      <c r="D13061" s="1" t="s">
        <v>247</v>
      </c>
      <c r="E13061" s="1" t="s">
        <v>278</v>
      </c>
      <c r="F13061" s="1" t="s">
        <v>18284</v>
      </c>
      <c r="G13061" s="1" t="s">
        <v>36</v>
      </c>
      <c r="H13061" s="1" t="s">
        <v>29</v>
      </c>
      <c r="I13061" s="1" t="str">
        <f ca="1">IFERROR(__xludf.DUMMYFUNCTION("GOOGLETRANSLATE(F13061, ""auto"", ""en"")
"),"I have been using this hairdryer brush every day for about 3-4 years. During this long period of use there was no damage, which indicates excellent quality.   Every morning I style my hair with damp hair (I have short hair) and the style lasts the whole w"&amp;"orking day. Even in winter, under the hats the styling is smoothed out a little, but it still remains.  The brush lifts the hair at the roots and makes it softer (combs it a little). The only attachment of all that I don’t really like is the hair straight"&amp;"ening attachment. It is made from a safety coating and does not actually straighten hair 100%. My daughter has long thick hair and this attachment doesn’t pick it up at all. This is perhaps the only drawback of this attachment.  For this price, I advise y"&amp;"ou to buy just such a hair dryer brush, because it is very high quality and really does its job 100%")</f>
        <v>I have been using this hairdryer brush every day for about 3-4 years. During this long period of use there was no damage, which indicates excellent quality.   Every morning I style my hair with damp hair (I have short hair) and the style lasts the whole working day. Even in winter, under the hats the styling is smoothed out a little, but it still remains.  The brush lifts the hair at the roots and makes it softer (combs it a little). The only attachment of all that I don’t really like is the hair straightening attachment. It is made from a safety coating and does not actually straighten hair 100%. My daughter has long thick hair and this attachment doesn’t pick it up at all. This is perhaps the only drawback of this attachment.  For this price, I advise you to buy just such a hair dryer brush, because it is very high quality and really does its job 100%</v>
      </c>
    </row>
    <row r="13062" spans="1:9" x14ac:dyDescent="0.3">
      <c r="A13062" s="1" t="s">
        <v>211</v>
      </c>
      <c r="B13062" s="1" t="s">
        <v>212</v>
      </c>
      <c r="C13062" s="1" t="s">
        <v>381</v>
      </c>
      <c r="D13062" s="1" t="s">
        <v>64</v>
      </c>
      <c r="E13062" s="1" t="s">
        <v>11093</v>
      </c>
      <c r="F13062" s="1" t="s">
        <v>18285</v>
      </c>
      <c r="G13062" s="1" t="s">
        <v>36</v>
      </c>
      <c r="H13062" s="1" t="s">
        <v>29</v>
      </c>
      <c r="I13062" s="1" t="str">
        <f ca="1">IFERROR(__xludf.DUMMYFUNCTION("GOOGLETRANSLATE(F13062, ""auto"", ""en"")
"),"Convenient hair dryer, works well.")</f>
        <v>Convenient hair dryer, works well.</v>
      </c>
    </row>
    <row r="13063" spans="1:9" x14ac:dyDescent="0.3">
      <c r="A13063" s="1" t="s">
        <v>61</v>
      </c>
      <c r="B13063" s="1" t="s">
        <v>224</v>
      </c>
      <c r="C13063" s="1" t="s">
        <v>74</v>
      </c>
      <c r="D13063" s="1" t="s">
        <v>305</v>
      </c>
      <c r="E13063" s="1" t="s">
        <v>427</v>
      </c>
      <c r="F13063" s="1" t="s">
        <v>18286</v>
      </c>
      <c r="G13063" s="1" t="s">
        <v>15</v>
      </c>
      <c r="H13063" s="1" t="s">
        <v>16</v>
      </c>
      <c r="I13063" s="1" t="str">
        <f ca="1">IFERROR(__xludf.DUMMYFUNCTION("GOOGLETRANSLATE(F13063, ""auto"", ""en"")
"),"I do not advise anyone to buy this model!  Low-power, too wet cake, which means low efficiency.   After the first use, the plastic was painted the color of carrots and could not be washed off. There is no brush for cleaning the mesh - I had to buy it sepa"&amp;"rately.   The juice reservoir is small, two small glasses max.    A year ago, when I was not yet married, I gave my mother a BORK for 9 thousand, this is a cool juicer, dry pulp, all the components are of excellent quality.     SUMMARY: people, don’t buy "&amp;"cheap options for juicers, it’s better to be a little patient, postpone the purchase, and take a loan as a last resort. Since the process of juicing is quite labor-intensive, and you also need to wash the device every time, it is much more convenient and "&amp;"enjoyable to work with good equipment and not cheap plastic. Otherwise, it will be like with bread machines and food processors - you use them once or twice and put them aside for many years. I say this only because I have dealt with more than one juicer."&amp;" All good luck and good health!")</f>
        <v>I do not advise anyone to buy this model!  Low-power, too wet cake, which means low efficiency.   After the first use, the plastic was painted the color of carrots and could not be washed off. There is no brush for cleaning the mesh - I had to buy it separately.   The juice reservoir is small, two small glasses max.    A year ago, when I was not yet married, I gave my mother a BORK for 9 thousand, this is a cool juicer, dry pulp, all the components are of excellent quality.     SUMMARY: people, don’t buy cheap options for juicers, it’s better to be a little patient, postpone the purchase, and take a loan as a last resort. Since the process of juicing is quite labor-intensive, and you also need to wash the device every time, it is much more convenient and enjoyable to work with good equipment and not cheap plastic. Otherwise, it will be like with bread machines and food processors - you use them once or twice and put them aside for many years. I say this only because I have dealt with more than one juicer. All good luck and good health!</v>
      </c>
    </row>
    <row r="13064" spans="1:9" x14ac:dyDescent="0.3">
      <c r="A13064" s="1" t="s">
        <v>55</v>
      </c>
      <c r="B13064" s="1" t="s">
        <v>84</v>
      </c>
      <c r="C13064" s="1" t="s">
        <v>85</v>
      </c>
      <c r="D13064" s="1" t="s">
        <v>18287</v>
      </c>
      <c r="E13064" s="1" t="s">
        <v>3967</v>
      </c>
      <c r="F13064" s="1" t="s">
        <v>18288</v>
      </c>
      <c r="G13064" s="1" t="s">
        <v>28</v>
      </c>
      <c r="H13064" s="1" t="s">
        <v>29</v>
      </c>
      <c r="I13064" s="1" t="str">
        <f ca="1">IFERROR(__xludf.DUMMYFUNCTION("GOOGLETRANSLATE(F13064, ""auto"", ""en"")
"),"I’ve been using it for six months now, it moisturizes well, but it doesn’t collect much dust. There is plaque collecting on the disks, I don’t know how to clean it yet) it gives off a bad smell. Silent, even if not set to night mode, does not interfere wi"&amp;"th sleep. I would like the buttons to glow in the dark, it would be more convenient. Overall satisfied)")</f>
        <v>I’ve been using it for six months now, it moisturizes well, but it doesn’t collect much dust. There is plaque collecting on the disks, I don’t know how to clean it yet) it gives off a bad smell. Silent, even if not set to night mode, does not interfere with sleep. I would like the buttons to glow in the dark, it would be more convenient. Overall satisfied)</v>
      </c>
    </row>
    <row r="13065" spans="1:9" x14ac:dyDescent="0.3">
      <c r="A13065" s="1" t="s">
        <v>105</v>
      </c>
      <c r="B13065" s="1" t="s">
        <v>106</v>
      </c>
      <c r="C13065" s="1" t="s">
        <v>107</v>
      </c>
      <c r="D13065" s="1" t="s">
        <v>18289</v>
      </c>
      <c r="E13065" s="1" t="s">
        <v>734</v>
      </c>
      <c r="F13065" s="1" t="s">
        <v>18290</v>
      </c>
      <c r="G13065" s="1" t="s">
        <v>36</v>
      </c>
      <c r="H13065" s="1" t="s">
        <v>29</v>
      </c>
      <c r="I13065" s="1" t="str">
        <f ca="1">IFERROR(__xludf.DUMMYFUNCTION("GOOGLETRANSLATE(F13065, ""auto"", ""en"")
"),"awesome flash drive, well, I don’t argue that it freezes, but not as you described, it freezes barely, because it has a lot of memory, but the flash drive is ok and looks beautiful, the video reads normally, like music, in general, I don’t know about you,"&amp;" but I like it +5 points")</f>
        <v>awesome flash drive, well, I don’t argue that it freezes, but not as you described, it freezes barely, because it has a lot of memory, but the flash drive is ok and looks beautiful, the video reads normally, like music, in general, I don’t know about you, but I like it +5 points</v>
      </c>
    </row>
    <row r="13066" spans="1:9" x14ac:dyDescent="0.3">
      <c r="A13066" s="1" t="s">
        <v>61</v>
      </c>
      <c r="B13066" s="1" t="s">
        <v>318</v>
      </c>
      <c r="C13066" s="1" t="s">
        <v>45</v>
      </c>
      <c r="D13066" s="1" t="s">
        <v>11047</v>
      </c>
      <c r="E13066" s="1" t="s">
        <v>128</v>
      </c>
      <c r="F13066" s="1" t="s">
        <v>18291</v>
      </c>
      <c r="G13066" s="1" t="s">
        <v>49</v>
      </c>
      <c r="H13066" s="1" t="s">
        <v>16</v>
      </c>
      <c r="I13066" s="1" t="str">
        <f ca="1">IFERROR(__xludf.DUMMYFUNCTION("GOOGLETRANSLATE(F13066, ""auto"", ""en"")
"),"04/02/2011 we bought this kettle, yes it was good, but yesterday it leaked at the junction of the body and the plastic window; the seal is poor, as a result of which leaks occur when boiling. . . . We will exchange it for a similar product.")</f>
        <v>04/02/2011 we bought this kettle, yes it was good, but yesterday it leaked at the junction of the body and the plastic window; the seal is poor, as a result of which leaks occur when boiling. . . . We will exchange it for a similar product.</v>
      </c>
    </row>
    <row r="13067" spans="1:9" x14ac:dyDescent="0.3">
      <c r="A13067" s="1" t="s">
        <v>61</v>
      </c>
      <c r="B13067" s="1" t="s">
        <v>145</v>
      </c>
      <c r="C13067" s="1" t="s">
        <v>314</v>
      </c>
      <c r="D13067" s="1" t="s">
        <v>64</v>
      </c>
      <c r="E13067" s="1" t="s">
        <v>6791</v>
      </c>
      <c r="F13067" s="1" t="s">
        <v>18292</v>
      </c>
      <c r="G13067" s="1" t="s">
        <v>36</v>
      </c>
      <c r="H13067" s="1" t="s">
        <v>29</v>
      </c>
      <c r="I13067" s="1" t="str">
        <f ca="1">IFERROR(__xludf.DUMMYFUNCTION("GOOGLETRANSLATE(F13067, ""auto"", ""en"")
"),"Today my husband bought it as a gift for the New Year, she tried cutting it and really liked it. Stable since it is heavy, almost all metal. Overall a good thing :)")</f>
        <v>Today my husband bought it as a gift for the New Year, she tried cutting it and really liked it. Stable since it is heavy, almost all metal. Overall a good thing :)</v>
      </c>
    </row>
    <row r="13068" spans="1:9" x14ac:dyDescent="0.3">
      <c r="A13068" s="1" t="s">
        <v>120</v>
      </c>
      <c r="B13068" s="1" t="s">
        <v>126</v>
      </c>
      <c r="C13068" s="1" t="s">
        <v>122</v>
      </c>
      <c r="D13068" s="1" t="s">
        <v>228</v>
      </c>
      <c r="E13068" s="1" t="s">
        <v>1649</v>
      </c>
      <c r="F13068" s="1" t="s">
        <v>18293</v>
      </c>
      <c r="G13068" s="1" t="s">
        <v>36</v>
      </c>
      <c r="H13068" s="1" t="s">
        <v>29</v>
      </c>
      <c r="I13068" s="1" t="str">
        <f ca="1">IFERROR(__xludf.DUMMYFUNCTION("GOOGLETRANSLATE(F13068, ""auto"", ""en"")
"),"Extremely surprised at the price of this TV. At first I even doubted it because of this - 50 inches for that kind of money? Something is wrong here... It soon became clear that there is simply no full ash di HA HA what a loss)) I looked at the quality of "&amp;"the films, and it seemed to me that full ash di is not so important in this case. The quality is simply amazing!! It’s good that marketers attach so much importance to full ash di that you can buy SUCH a screen for that money, and it’s good that I did jus"&amp;"t that. good for me.")</f>
        <v>Extremely surprised at the price of this TV. At first I even doubted it because of this - 50 inches for that kind of money? Something is wrong here... It soon became clear that there is simply no full ash di HA HA what a loss)) I looked at the quality of the films, and it seemed to me that full ash di is not so important in this case. The quality is simply amazing!! It’s good that marketers attach so much importance to full ash di that you can buy SUCH a screen for that money, and it’s good that I did just that. good for me.</v>
      </c>
    </row>
    <row r="13069" spans="1:9" x14ac:dyDescent="0.3">
      <c r="A13069" s="1" t="s">
        <v>67</v>
      </c>
      <c r="B13069" s="1" t="s">
        <v>340</v>
      </c>
      <c r="C13069" s="1" t="s">
        <v>341</v>
      </c>
      <c r="D13069" s="1" t="s">
        <v>1506</v>
      </c>
      <c r="E13069" s="1" t="s">
        <v>5046</v>
      </c>
      <c r="F13069" s="1" t="s">
        <v>18294</v>
      </c>
      <c r="G13069" s="1" t="s">
        <v>49</v>
      </c>
      <c r="H13069" s="1" t="s">
        <v>16</v>
      </c>
      <c r="I13069" s="1" t="str">
        <f ca="1">IFERROR(__xludf.DUMMYFUNCTION("GOOGLETRANSLATE(F13069, ""auto"", ""en"")
"),"The machine sewed just fine, we couldn’t be happier, but on the 13th day it just stopped and that’s it. I read in reviews that this often happens with this model. We took it back to the store and got the money back. We will choose another option.")</f>
        <v>The machine sewed just fine, we couldn’t be happier, but on the 13th day it just stopped and that’s it. I read in reviews that this often happens with this model. We took it back to the store and got the money back. We will choose another option.</v>
      </c>
    </row>
    <row r="13070" spans="1:9" x14ac:dyDescent="0.3">
      <c r="A13070" s="1" t="s">
        <v>67</v>
      </c>
      <c r="B13070" s="1" t="s">
        <v>340</v>
      </c>
      <c r="C13070" s="1" t="s">
        <v>1634</v>
      </c>
      <c r="D13070" s="1" t="s">
        <v>172</v>
      </c>
      <c r="E13070" s="1" t="s">
        <v>1527</v>
      </c>
      <c r="F13070" s="1" t="s">
        <v>18295</v>
      </c>
      <c r="G13070" s="1" t="s">
        <v>36</v>
      </c>
      <c r="H13070" s="1" t="s">
        <v>29</v>
      </c>
      <c r="I13070" s="1" t="str">
        <f ca="1">IFERROR(__xludf.DUMMYFUNCTION("GOOGLETRANSLATE(F13070, ""auto"", ""en"")
"),"Inability to handle a product does not make the product bad. Surely the girl was threading a horizontal shuttle for the first time in her life. There's a little trick there, demonstrated clearly in the video on the included CD. I’ve been using this “tail "&amp;"and mane” for over a year now, professionally, and I couldn’t be happier.")</f>
        <v>Inability to handle a product does not make the product bad. Surely the girl was threading a horizontal shuttle for the first time in her life. There's a little trick there, demonstrated clearly in the video on the included CD. I’ve been using this “tail and mane” for over a year now, professionally, and I couldn’t be happier.</v>
      </c>
    </row>
    <row r="13071" spans="1:9" x14ac:dyDescent="0.3">
      <c r="A13071" s="1" t="s">
        <v>211</v>
      </c>
      <c r="B13071" s="1" t="s">
        <v>2818</v>
      </c>
      <c r="C13071" s="1" t="s">
        <v>213</v>
      </c>
      <c r="D13071" s="1" t="s">
        <v>968</v>
      </c>
      <c r="E13071" s="1" t="s">
        <v>11385</v>
      </c>
      <c r="F13071" s="1" t="s">
        <v>18296</v>
      </c>
      <c r="G13071" s="1" t="s">
        <v>36</v>
      </c>
      <c r="H13071" s="1" t="s">
        <v>29</v>
      </c>
      <c r="I13071" s="1" t="str">
        <f ca="1">IFERROR(__xludf.DUMMYFUNCTION("GOOGLETRANSLATE(F13071, ""auto"", ""en"")
"),"I think that the idea is correct when 2 parts are offered in conjunction. You need to understand that the shaving foil and cutting unit are integrated into one part. as they wear out, they seem to adapt to each other. so the best shave is to replace both "&amp;"parts at the same time.")</f>
        <v>I think that the idea is correct when 2 parts are offered in conjunction. You need to understand that the shaving foil and cutting unit are integrated into one part. as they wear out, they seem to adapt to each other. so the best shave is to replace both parts at the same time.</v>
      </c>
    </row>
    <row r="13072" spans="1:9" x14ac:dyDescent="0.3">
      <c r="A13072" s="1" t="s">
        <v>9</v>
      </c>
      <c r="B13072" s="1" t="s">
        <v>133</v>
      </c>
      <c r="C13072" s="1" t="s">
        <v>588</v>
      </c>
      <c r="D13072" s="1" t="s">
        <v>5009</v>
      </c>
      <c r="E13072" s="1" t="s">
        <v>9299</v>
      </c>
      <c r="F13072" s="1" t="s">
        <v>5010</v>
      </c>
      <c r="G13072" s="1" t="s">
        <v>36</v>
      </c>
      <c r="H13072" s="1" t="s">
        <v>29</v>
      </c>
      <c r="I13072" s="1" t="str">
        <f ca="1">IFERROR(__xludf.DUMMYFUNCTION("GOOGLETRANSLATE(F13072, ""auto"", ""en"")
"),"Heating the oven before first use For long-term service and high-quality operation of the oven, you must strictly adhere to the operating rules. Unfortunately, many people forget about the process of calcining the oven before the first use, and the result"&amp;" in the form of an unpleasant smell during cooking is not long in coming. Calcination involves “firing” the oven at a temperature of 250 degrees for an hour. This operation will get rid of the “factory smell” that is present in any oven from any manufactu"&amp;"rer. So, we heat the oven at a temperature of 250 degrees for an hour and a half on the top heat + bottom heat mode. During this process, do not forget to open the window, because the smell will be unpleasant. After calcination, open the oven door 1/4. Yo"&amp;"u can do it completely, but be careful - the temperature of the inner surface is too high. The window must also be open. The smell will dissipate in about 30 minutes. After this, use a cleaner to clean the inside of the oven. You can use it to clean the e"&amp;"namel of any remaining odor. Let the oven air out for another 20 minutes and you can start cooking!")</f>
        <v>Heating the oven before first use For long-term service and high-quality operation of the oven, you must strictly adhere to the operating rules. Unfortunately, many people forget about the process of calcining the oven before the first use, and the result in the form of an unpleasant smell during cooking is not long in coming. Calcination involves “firing” the oven at a temperature of 250 degrees for an hour. This operation will get rid of the “factory smell” that is present in any oven from any manufacturer. So, we heat the oven at a temperature of 250 degrees for an hour and a half on the top heat + bottom heat mode. During this process, do not forget to open the window, because the smell will be unpleasant. After calcination, open the oven door 1/4. You can do it completely, but be careful - the temperature of the inner surface is too high. The window must also be open. The smell will dissipate in about 30 minutes. After this, use a cleaner to clean the inside of the oven. You can use it to clean the enamel of any remaining odor. Let the oven air out for another 20 minutes and you can start cooking!</v>
      </c>
    </row>
    <row r="13073" spans="1:9" x14ac:dyDescent="0.3">
      <c r="A13073" s="1" t="s">
        <v>105</v>
      </c>
      <c r="B13073" s="1" t="s">
        <v>106</v>
      </c>
      <c r="C13073" s="1" t="s">
        <v>151</v>
      </c>
      <c r="D13073" s="1" t="s">
        <v>742</v>
      </c>
      <c r="E13073" s="1" t="s">
        <v>312</v>
      </c>
      <c r="F13073" s="1" t="s">
        <v>18297</v>
      </c>
      <c r="G13073" s="1" t="s">
        <v>28</v>
      </c>
      <c r="H13073" s="1" t="s">
        <v>29</v>
      </c>
      <c r="I13073" s="1" t="str">
        <f ca="1">IFERROR(__xludf.DUMMYFUNCTION("GOOGLETRANSLATE(F13073, ""auto"", ""en"")
"),"Good player. Buttons! The new one with standard headphones worked for 20 hours at maximum volume, at maximum volume with 32 Ohm headphones (bass turned up) it works for about 8 hours.  He fell many times, sometimes from great heights. It is lying around i"&amp;"n a trouser pocket, often with keys, and is scratched, but the screen is not damaged - it is recessed.  Rewind is good, although you can often fly past.  Cons: - The radio rarely picks up in stereo - I don’t know how to delete files from the player, it’s "&amp;"probably impossible, although once I was asked “should I delete yes or no?”  It froze a couple of times, didn’t turn on a couple of times, but came back to life. He died today, until he comes back to life, I’ll take it to the store (11.5 months have passe"&amp;"d)")</f>
        <v>Good player. Buttons! The new one with standard headphones worked for 20 hours at maximum volume, at maximum volume with 32 Ohm headphones (bass turned up) it works for about 8 hours.  He fell many times, sometimes from great heights. It is lying around in a trouser pocket, often with keys, and is scratched, but the screen is not damaged - it is recessed.  Rewind is good, although you can often fly past.  Cons: - The radio rarely picks up in stereo - I don’t know how to delete files from the player, it’s probably impossible, although once I was asked “should I delete yes or no?”  It froze a couple of times, didn’t turn on a couple of times, but came back to life. He died today, until he comes back to life, I’ll take it to the store (11.5 months have passed)</v>
      </c>
    </row>
    <row r="13074" spans="1:9" x14ac:dyDescent="0.3">
      <c r="A13074" s="1" t="s">
        <v>55</v>
      </c>
      <c r="B13074" s="1" t="s">
        <v>56</v>
      </c>
      <c r="C13074" s="1" t="s">
        <v>57</v>
      </c>
      <c r="D13074" s="1" t="s">
        <v>1747</v>
      </c>
      <c r="E13074" s="1" t="s">
        <v>4245</v>
      </c>
      <c r="F13074" s="1" t="s">
        <v>18298</v>
      </c>
      <c r="G13074" s="1" t="s">
        <v>36</v>
      </c>
      <c r="H13074" s="1" t="s">
        <v>29</v>
      </c>
      <c r="I13074" s="1" t="str">
        <f ca="1">IFERROR(__xludf.DUMMYFUNCTION("GOOGLETRANSLATE(F13074, ""auto"", ""en"")
"),"Bought it yesterday. Works great so far. The obvious advantages are low noise level, beautiful design, room temperature indicator on the display. In general, we are happy with the purchase.")</f>
        <v>Bought it yesterday. Works great so far. The obvious advantages are low noise level, beautiful design, room temperature indicator on the display. In general, we are happy with the purchase.</v>
      </c>
    </row>
    <row r="13075" spans="1:9" x14ac:dyDescent="0.3">
      <c r="A13075" s="1" t="s">
        <v>67</v>
      </c>
      <c r="B13075" s="1" t="s">
        <v>68</v>
      </c>
      <c r="C13075" s="1" t="s">
        <v>57</v>
      </c>
      <c r="D13075" s="1" t="s">
        <v>64</v>
      </c>
      <c r="E13075" s="1" t="s">
        <v>1565</v>
      </c>
      <c r="F13075" s="1" t="s">
        <v>18299</v>
      </c>
      <c r="G13075" s="1" t="s">
        <v>15</v>
      </c>
      <c r="H13075" s="1" t="s">
        <v>16</v>
      </c>
      <c r="I13075" s="1" t="str">
        <f ca="1">IFERROR(__xludf.DUMMYFUNCTION("GOOGLETRANSLATE(F13075, ""auto"", ""en"")
"),"We bought an iron that looked normal, without defects. And when ironing it constantly leaks, sometimes it just leaks, but sometimes there is scale, the self-cleaning function does not work well. Mom has Philips, so no problems at all!")</f>
        <v>We bought an iron that looked normal, without defects. And when ironing it constantly leaks, sometimes it just leaks, but sometimes there is scale, the self-cleaning function does not work well. Mom has Philips, so no problems at all!</v>
      </c>
    </row>
    <row r="13076" spans="1:9" x14ac:dyDescent="0.3">
      <c r="A13076" s="1" t="s">
        <v>9</v>
      </c>
      <c r="B13076" s="1" t="s">
        <v>23</v>
      </c>
      <c r="C13076" s="1" t="s">
        <v>466</v>
      </c>
      <c r="D13076" s="1" t="s">
        <v>127</v>
      </c>
      <c r="E13076" s="1" t="s">
        <v>2733</v>
      </c>
      <c r="F13076" s="1" t="s">
        <v>18300</v>
      </c>
      <c r="G13076" s="1" t="s">
        <v>15</v>
      </c>
      <c r="H13076" s="1" t="s">
        <v>16</v>
      </c>
      <c r="I13076" s="1" t="str">
        <f ca="1">IFERROR(__xludf.DUMMYFUNCTION("GOOGLETRANSLATE(F13076, ""auto"", ""en"")
"),"I will say right away that the machine was not installed very well for me, they did not waterproof the machine, and soon the lower surface of the tabletop was deformed under the influence of steam. In general, the machine does not wash very well; you need"&amp;" to accurately calculate the flow of water and its direction so that it hits the dirty side of the dishes. But then there is a possibility that dirt will remain on the back side of it. For some reason, a white residue remains on the dishes (visible only o"&amp;"n black plates), although all the recommended components are used. Another minus is the rather noisy operation.")</f>
        <v>I will say right away that the machine was not installed very well for me, they did not waterproof the machine, and soon the lower surface of the tabletop was deformed under the influence of steam. In general, the machine does not wash very well; you need to accurately calculate the flow of water and its direction so that it hits the dirty side of the dishes. But then there is a possibility that dirt will remain on the back side of it. For some reason, a white residue remains on the dishes (visible only on black plates), although all the recommended components are used. Another minus is the rather noisy operation.</v>
      </c>
    </row>
    <row r="13077" spans="1:9" x14ac:dyDescent="0.3">
      <c r="A13077" s="1" t="s">
        <v>37</v>
      </c>
      <c r="B13077" s="1" t="s">
        <v>38</v>
      </c>
      <c r="C13077" s="1" t="s">
        <v>163</v>
      </c>
      <c r="D13077" s="1" t="s">
        <v>114</v>
      </c>
      <c r="E13077" s="1" t="s">
        <v>3472</v>
      </c>
      <c r="F13077" s="1" t="s">
        <v>18301</v>
      </c>
      <c r="G13077" s="1" t="s">
        <v>28</v>
      </c>
      <c r="H13077" s="1" t="s">
        <v>29</v>
      </c>
      <c r="I13077" s="1" t="str">
        <f ca="1">IFERROR(__xludf.DUMMYFUNCTION("GOOGLETRANSLATE(F13077, ""auto"", ""en"")
"),"In principle, the device is excellent. The camera is normal, it’s very nice that the input is 3.5 mm, it’s convenient to listen in the car if you have aux, the 3 side keys help a lot with this, the only thing missing is an AV cable like the n95")</f>
        <v>In principle, the device is excellent. The camera is normal, it’s very nice that the input is 3.5 mm, it’s convenient to listen in the car if you have aux, the 3 side keys help a lot with this, the only thing missing is an AV cable like the n95</v>
      </c>
    </row>
    <row r="13078" spans="1:9" x14ac:dyDescent="0.3">
      <c r="A13078" s="1" t="s">
        <v>211</v>
      </c>
      <c r="B13078" s="1" t="s">
        <v>212</v>
      </c>
      <c r="C13078" s="1" t="s">
        <v>63</v>
      </c>
      <c r="D13078" s="1" t="s">
        <v>621</v>
      </c>
      <c r="E13078" s="1" t="s">
        <v>8042</v>
      </c>
      <c r="F13078" s="1" t="s">
        <v>18302</v>
      </c>
      <c r="G13078" s="1" t="s">
        <v>36</v>
      </c>
      <c r="H13078" s="1" t="s">
        <v>29</v>
      </c>
      <c r="I13078" s="1" t="str">
        <f ca="1">IFERROR(__xludf.DUMMYFUNCTION("GOOGLETRANSLATE(F13078, ""auto"", ""en"")
"),"The straightener is great! It has been serving me for 6 years now. I want a new one))")</f>
        <v>The straightener is great! It has been serving me for 6 years now. I want a new one))</v>
      </c>
    </row>
    <row r="13079" spans="1:9" x14ac:dyDescent="0.3">
      <c r="A13079" s="1" t="s">
        <v>37</v>
      </c>
      <c r="B13079" s="1" t="s">
        <v>38</v>
      </c>
      <c r="C13079" s="1" t="s">
        <v>163</v>
      </c>
      <c r="D13079" s="1" t="s">
        <v>280</v>
      </c>
      <c r="E13079" s="1" t="s">
        <v>2215</v>
      </c>
      <c r="F13079" s="1" t="s">
        <v>18303</v>
      </c>
      <c r="G13079" s="1" t="s">
        <v>28</v>
      </c>
      <c r="H13079" s="1" t="s">
        <v>29</v>
      </c>
      <c r="I13079" s="1" t="str">
        <f ca="1">IFERROR(__xludf.DUMMYFUNCTION("GOOGLETRANSLATE(F13079, ""auto"", ""en"")
"),"A very good, high-quality device, almost smart. I've been using it for three months. I quickly got used to the small buttons, changed my native maps to Yandex, the connection is excellent, the battery is no worse than others, the multimedia is flawless, b"&amp;"etter than 6233.")</f>
        <v>A very good, high-quality device, almost smart. I've been using it for three months. I quickly got used to the small buttons, changed my native maps to Yandex, the connection is excellent, the battery is no worse than others, the multimedia is flawless, better than 6233.</v>
      </c>
    </row>
    <row r="13080" spans="1:9" x14ac:dyDescent="0.3">
      <c r="A13080" s="1" t="s">
        <v>37</v>
      </c>
      <c r="B13080" s="1" t="s">
        <v>38</v>
      </c>
      <c r="C13080" s="1" t="s">
        <v>163</v>
      </c>
      <c r="D13080" s="1" t="s">
        <v>916</v>
      </c>
      <c r="E13080" s="1" t="s">
        <v>1654</v>
      </c>
      <c r="F13080" s="1" t="s">
        <v>18304</v>
      </c>
      <c r="G13080" s="1" t="s">
        <v>36</v>
      </c>
      <c r="H13080" s="1" t="s">
        <v>29</v>
      </c>
      <c r="I13080" s="1" t="str">
        <f ca="1">IFERROR(__xludf.DUMMYFUNCTION("GOOGLETRANSLATE(F13080, ""auto"", ""en"")
"),"Good phone for the money.  I took this model in the Yellow version (from my point of view, it looks more interesting in this version). It fits well in the hand. The plastic on the back of the cover feels quite reliable, it fits very nicely in the hand. Th"&amp;"ere is a steel strip on the sides of the phone. The side volume buttons are rubberized, which makes them a little tight (over time you get used to it).  The charging, headset (2.5mm), microUSB connectors are tightly closed with a rubber plug, but there is"&amp;" a special hole in it to charge the phone without pulling it out. The display has rich colors and is generally good. The buttons look like rubber, but in fact they are some kind of plastic. All the parts fit very well, there are no backlashes.   In genera"&amp;"l, it confirms the IP54 standard.  If anyone has seen videos from Nokia testing this phone by dipping in water, then I advise you not to really believe them.  The IP54 standard is not designed for being under water, phones of this standard are protected b"&amp;"y SPLASH from any side. If you need resistance to water, then look for phones that have confirmed IP57. After water, the phone may survive, but it is unlikely to live long.  The camera is a standard 2MP, nothing special. The flashlight function is built-i"&amp;"n and can be called up by pressing the * key, which is quite convenient.  The phone's multimedia capabilities are normal: music (mp3, aac,...), video (mp4, 3gp), radio. The sound is good. The output speaker (except for the speaker) is 1, located next to t"&amp;"he camera. The included 1GB flash card is a nice addition to the phone, and a headset is also included. The speed of the phone's OS is normal, but sometimes there are 1-2 freezes seconds.  In general, the model lives up to expectations. Sturdy body, stand"&amp;"ard multimedia capabilities, quite decent battery life. I advise people who are active and just a little clumsy to buy it.")</f>
        <v>Good phone for the money.  I took this model in the Yellow version (from my point of view, it looks more interesting in this version). It fits well in the hand. The plastic on the back of the cover feels quite reliable, it fits very nicely in the hand. There is a steel strip on the sides of the phone. The side volume buttons are rubberized, which makes them a little tight (over time you get used to it).  The charging, headset (2.5mm), microUSB connectors are tightly closed with a rubber plug, but there is a special hole in it to charge the phone without pulling it out. The display has rich colors and is generally good. The buttons look like rubber, but in fact they are some kind of plastic. All the parts fit very well, there are no backlashes.   In general, it confirms the IP54 standard.  If anyone has seen videos from Nokia testing this phone by dipping in water, then I advise you not to really believe them.  The IP54 standard is not designed for being under water, phones of this standard are protected by SPLASH from any side. If you need resistance to water, then look for phones that have confirmed IP57. After water, the phone may survive, but it is unlikely to live long.  The camera is a standard 2MP, nothing special. The flashlight function is built-in and can be called up by pressing the * key, which is quite convenient.  The phone's multimedia capabilities are normal: music (mp3, aac,...), video (mp4, 3gp), radio. The sound is good. The output speaker (except for the speaker) is 1, located next to the camera. The included 1GB flash card is a nice addition to the phone, and a headset is also included. The speed of the phone's OS is normal, but sometimes there are 1-2 freezes seconds.  In general, the model lives up to expectations. Sturdy body, standard multimedia capabilities, quite decent battery life. I advise people who are active and just a little clumsy to buy it.</v>
      </c>
    </row>
    <row r="13081" spans="1:9" x14ac:dyDescent="0.3">
      <c r="A13081" s="1" t="s">
        <v>17</v>
      </c>
      <c r="B13081" s="1" t="s">
        <v>18</v>
      </c>
      <c r="C13081" s="1" t="s">
        <v>134</v>
      </c>
      <c r="D13081" s="1" t="s">
        <v>152</v>
      </c>
      <c r="E13081" s="1" t="s">
        <v>269</v>
      </c>
      <c r="F13081" s="1" t="s">
        <v>18305</v>
      </c>
      <c r="G13081" s="1" t="s">
        <v>36</v>
      </c>
      <c r="H13081" s="1" t="s">
        <v>29</v>
      </c>
      <c r="I13081" s="1" t="str">
        <f ca="1">IFERROR(__xludf.DUMMYFUNCTION("GOOGLETRANSLATE(F13081, ""auto"", ""en"")
"),"I bought Stir. Siemens WS 12 X46 AOE car a week ago, my wife is delighted, the machine is quiet, performs all functions as indicated in the instructions. I chose the car based on the manufacturer and the functions of the machine itself, I was misled by th"&amp;"e barcode on the back of the s/m 489-Hong Kong, but they managed to convince me that these machines are produced only in Germany, which I was convinced of when I brought the s/m home, there is a German barcode on the packaging. The car is good, get it whi"&amp;"le you can!")</f>
        <v>I bought Stir. Siemens WS 12 X46 AOE car a week ago, my wife is delighted, the machine is quiet, performs all functions as indicated in the instructions. I chose the car based on the manufacturer and the functions of the machine itself, I was misled by the barcode on the back of the s/m 489-Hong Kong, but they managed to convince me that these machines are produced only in Germany, which I was convinced of when I brought the s/m home, there is a German barcode on the packaging. The car is good, get it while you can!</v>
      </c>
    </row>
    <row r="13082" spans="1:9" x14ac:dyDescent="0.3">
      <c r="A13082" s="1" t="s">
        <v>211</v>
      </c>
      <c r="B13082" s="1" t="s">
        <v>384</v>
      </c>
      <c r="C13082" s="1" t="s">
        <v>246</v>
      </c>
      <c r="D13082" s="1" t="s">
        <v>12</v>
      </c>
      <c r="E13082" s="1" t="s">
        <v>631</v>
      </c>
      <c r="F13082" s="1" t="s">
        <v>18306</v>
      </c>
      <c r="G13082" s="1" t="s">
        <v>49</v>
      </c>
      <c r="H13082" s="1" t="s">
        <v>16</v>
      </c>
      <c r="I13082" s="1" t="str">
        <f ca="1">IFERROR(__xludf.DUMMYFUNCTION("GOOGLETRANSLATE(F13082, ""auto"", ""en"")
"),"I bought scales 2 days ago, came home, weighed myself, showed one weight, weighed myself a minute later, showed 2 kg more, and the scales remained standing in the same place, moved them to another place, got the 3rd result ((((Now I’m going to take them b"&amp;"ack.")</f>
        <v>I bought scales 2 days ago, came home, weighed myself, showed one weight, weighed myself a minute later, showed 2 kg more, and the scales remained standing in the same place, moved them to another place, got the 3rd result ((((Now I’m going to take them back.</v>
      </c>
    </row>
    <row r="13083" spans="1:9" x14ac:dyDescent="0.3">
      <c r="A13083" s="1" t="s">
        <v>55</v>
      </c>
      <c r="B13083" s="1" t="s">
        <v>84</v>
      </c>
      <c r="C13083" s="1" t="s">
        <v>85</v>
      </c>
      <c r="D13083" s="1" t="s">
        <v>18307</v>
      </c>
      <c r="E13083" s="1" t="s">
        <v>18308</v>
      </c>
      <c r="F13083" s="1" t="s">
        <v>18309</v>
      </c>
      <c r="G13083" s="1" t="s">
        <v>36</v>
      </c>
      <c r="H13083" s="1" t="s">
        <v>29</v>
      </c>
      <c r="I13083" s="1" t="str">
        <f ca="1">IFERROR(__xludf.DUMMYFUNCTION("GOOGLETRANSLATE(F13083, ""auto"", ""en"")
"),"Powerful, stylish, and cleans and moisturizes 5 stars")</f>
        <v>Powerful, stylish, and cleans and moisturizes 5 stars</v>
      </c>
    </row>
    <row r="13084" spans="1:9" x14ac:dyDescent="0.3">
      <c r="A13084" s="1" t="s">
        <v>37</v>
      </c>
      <c r="B13084" s="1" t="s">
        <v>38</v>
      </c>
      <c r="C13084" s="1" t="s">
        <v>151</v>
      </c>
      <c r="D13084" s="1" t="s">
        <v>589</v>
      </c>
      <c r="E13084" s="1" t="s">
        <v>1611</v>
      </c>
      <c r="F13084" s="1" t="s">
        <v>18310</v>
      </c>
      <c r="G13084" s="1" t="s">
        <v>36</v>
      </c>
      <c r="H13084" s="1" t="s">
        <v>29</v>
      </c>
      <c r="I13084" s="1" t="str">
        <f ca="1">IFERROR(__xludf.DUMMYFUNCTION("GOOGLETRANSLATE(F13084, ""auto"", ""en"")
"),"I bought the phone a few days ago and so far I’m very pleased!    I RECOMMEND TO EVERYONE!!!")</f>
        <v>I bought the phone a few days ago and so far I’m very pleased!    I RECOMMEND TO EVERYONE!!!</v>
      </c>
    </row>
    <row r="13085" spans="1:9" x14ac:dyDescent="0.3">
      <c r="A13085" s="1" t="s">
        <v>206</v>
      </c>
      <c r="B13085" s="1" t="s">
        <v>207</v>
      </c>
      <c r="C13085" s="1" t="s">
        <v>351</v>
      </c>
      <c r="D13085" s="1" t="s">
        <v>4065</v>
      </c>
      <c r="E13085" s="1" t="s">
        <v>6631</v>
      </c>
      <c r="F13085" s="1" t="s">
        <v>18311</v>
      </c>
      <c r="G13085" s="1" t="s">
        <v>28</v>
      </c>
      <c r="H13085" s="1" t="s">
        <v>29</v>
      </c>
      <c r="I13085" s="1" t="str">
        <f ca="1">IFERROR(__xludf.DUMMYFUNCTION("GOOGLETRANSLATE(F13085, ""auto"", ""en"")
"),"The kit itself is not bad, especially for the money, it significantly improves the sound quality in the car. But I agree with one of the previous reviews, the phasic switch is clearly superfluous here, too many third-party sounds come out of it when the l"&amp;"oad increases, but all this can be solved by reworking the case.")</f>
        <v>The kit itself is not bad, especially for the money, it significantly improves the sound quality in the car. But I agree with one of the previous reviews, the phasic switch is clearly superfluous here, too many third-party sounds come out of it when the load increases, but all this can be solved by reworking the case.</v>
      </c>
    </row>
    <row r="13086" spans="1:9" x14ac:dyDescent="0.3">
      <c r="A13086" s="1" t="s">
        <v>17</v>
      </c>
      <c r="B13086" s="1" t="s">
        <v>18</v>
      </c>
      <c r="C13086" s="1" t="s">
        <v>243</v>
      </c>
      <c r="D13086" s="1" t="s">
        <v>2412</v>
      </c>
      <c r="E13086" s="1" t="s">
        <v>7640</v>
      </c>
      <c r="F13086" s="1" t="s">
        <v>18312</v>
      </c>
      <c r="G13086" s="1" t="s">
        <v>36</v>
      </c>
      <c r="H13086" s="1" t="s">
        <v>29</v>
      </c>
      <c r="I13086" s="1" t="str">
        <f ca="1">IFERROR(__xludf.DUMMYFUNCTION("GOOGLETRANSLATE(F13086, ""auto"", ""en"")
"),"We bought the car more than a month ago. We had to change our old one after it flooded our bathroom, and our downstairs neighbors to boot! (We chose it from Indesit because we had heard a lot about the quality! We really like it, firstly, the machine is w"&amp;"ell protected from leaks!! Secondly, it can wash much more than our old machine, as much as 6 kilograms - exactly what our family needs! Otherwise we had to do laundry several times a day, but now it’s all at once It fits, and you only do the laundry once"&amp;", and besides, it saves energy!! Another thing I really like is that the machine makes almost no noise at all!")</f>
        <v>We bought the car more than a month ago. We had to change our old one after it flooded our bathroom, and our downstairs neighbors to boot! (We chose it from Indesit because we had heard a lot about the quality! We really like it, firstly, the machine is well protected from leaks!! Secondly, it can wash much more than our old machine, as much as 6 kilograms - exactly what our family needs! Otherwise we had to do laundry several times a day, but now it’s all at once It fits, and you only do the laundry once, and besides, it saves energy!! Another thing I really like is that the machine makes almost no noise at all!</v>
      </c>
    </row>
    <row r="13087" spans="1:9" x14ac:dyDescent="0.3">
      <c r="A13087" s="1" t="s">
        <v>67</v>
      </c>
      <c r="B13087" s="1" t="s">
        <v>68</v>
      </c>
      <c r="C13087" s="1" t="s">
        <v>246</v>
      </c>
      <c r="D13087" s="1" t="s">
        <v>1771</v>
      </c>
      <c r="E13087" s="1" t="s">
        <v>4668</v>
      </c>
      <c r="F13087" s="1" t="s">
        <v>18313</v>
      </c>
      <c r="G13087" s="1" t="s">
        <v>36</v>
      </c>
      <c r="H13087" s="1" t="s">
        <v>29</v>
      </c>
      <c r="I13087" s="1" t="str">
        <f ca="1">IFERROR(__xludf.DUMMYFUNCTION("GOOGLETRANSLATE(F13087, ""auto"", ""en"")
"),"The iron is simply wonderful, I’m very glad that I got such a thing. Steams at 5+, I iron everything. It is very convenient that there is a self-cleaning function. As for the smell, this is a temporary phenomenon because... All new equipment has this prop"&amp;"erty. After a couple of ironings everything will be fine.")</f>
        <v>The iron is simply wonderful, I’m very glad that I got such a thing. Steams at 5+, I iron everything. It is very convenient that there is a self-cleaning function. As for the smell, this is a temporary phenomenon because... All new equipment has this property. After a couple of ironings everything will be fine.</v>
      </c>
    </row>
    <row r="13088" spans="1:9" x14ac:dyDescent="0.3">
      <c r="A13088" s="1" t="s">
        <v>624</v>
      </c>
      <c r="B13088" s="1" t="s">
        <v>2107</v>
      </c>
      <c r="C13088" s="1" t="s">
        <v>479</v>
      </c>
      <c r="D13088" s="1" t="s">
        <v>4460</v>
      </c>
      <c r="E13088" s="1" t="s">
        <v>3169</v>
      </c>
      <c r="F13088" s="1" t="s">
        <v>18314</v>
      </c>
      <c r="G13088" s="1" t="s">
        <v>36</v>
      </c>
      <c r="H13088" s="1" t="s">
        <v>29</v>
      </c>
      <c r="I13088" s="1" t="str">
        <f ca="1">IFERROR(__xludf.DUMMYFUNCTION("GOOGLETRANSLATE(F13088, ""auto"", ""en"")
"),"The game is great! The graphics are also good, the weather changes are well done, completely in Russian. You feel like an F1 pilot))), and what a roar of the engines, well done guys, the game was a success in my opinion)")</f>
        <v>The game is great! The graphics are also good, the weather changes are well done, completely in Russian. You feel like an F1 pilot))), and what a roar of the engines, well done guys, the game was a success in my opinion)</v>
      </c>
    </row>
    <row r="13089" spans="1:9" x14ac:dyDescent="0.3">
      <c r="A13089" s="1" t="s">
        <v>61</v>
      </c>
      <c r="B13089" s="1" t="s">
        <v>318</v>
      </c>
      <c r="C13089" s="1" t="s">
        <v>101</v>
      </c>
      <c r="D13089" s="1" t="s">
        <v>4136</v>
      </c>
      <c r="E13089" s="1" t="s">
        <v>820</v>
      </c>
      <c r="F13089" s="1" t="s">
        <v>18315</v>
      </c>
      <c r="G13089" s="1" t="s">
        <v>36</v>
      </c>
      <c r="H13089" s="1" t="s">
        <v>29</v>
      </c>
      <c r="I13089" s="1" t="str">
        <f ca="1">IFERROR(__xludf.DUMMYFUNCTION("GOOGLETRANSLATE(F13089, ""auto"", ""en"")
"),"We've had this kettle for almost a year. It works quietly, without problems.")</f>
        <v>We've had this kettle for almost a year. It works quietly, without problems.</v>
      </c>
    </row>
    <row r="13090" spans="1:9" x14ac:dyDescent="0.3">
      <c r="A13090" s="1" t="s">
        <v>61</v>
      </c>
      <c r="B13090" s="1" t="s">
        <v>180</v>
      </c>
      <c r="C13090" s="1" t="s">
        <v>74</v>
      </c>
      <c r="D13090" s="1" t="s">
        <v>1506</v>
      </c>
      <c r="E13090" s="1" t="s">
        <v>4089</v>
      </c>
      <c r="F13090" s="1" t="s">
        <v>18316</v>
      </c>
      <c r="G13090" s="1" t="s">
        <v>36</v>
      </c>
      <c r="H13090" s="1" t="s">
        <v>29</v>
      </c>
      <c r="I13090" s="1" t="str">
        <f ca="1">IFERROR(__xludf.DUMMYFUNCTION("GOOGLETRANSLATE(F13090, ""auto"", ""en"")
"),"Magnificent device! I've been using it for a couple of weeks so far. Fries quickly. sandwiches with cheese and meat turn out like small pies if you press hard with a latch. The crust is golden brown and crispy. The filling does not leak out. You can press"&amp;" the lid lightly - then the two sides of the sandwich will be fried, but the bread will not be flattened, which is good for multi-layer sandwiches with fresh herbs.  A great option to prepare sandwiches for your child for school.")</f>
        <v>Magnificent device! I've been using it for a couple of weeks so far. Fries quickly. sandwiches with cheese and meat turn out like small pies if you press hard with a latch. The crust is golden brown and crispy. The filling does not leak out. You can press the lid lightly - then the two sides of the sandwich will be fried, but the bread will not be flattened, which is good for multi-layer sandwiches with fresh herbs.  A great option to prepare sandwiches for your child for school.</v>
      </c>
    </row>
    <row r="13091" spans="1:9" x14ac:dyDescent="0.3">
      <c r="A13091" s="1" t="s">
        <v>61</v>
      </c>
      <c r="B13091" s="1" t="s">
        <v>180</v>
      </c>
      <c r="C13091" s="1" t="s">
        <v>85</v>
      </c>
      <c r="D13091" s="1" t="s">
        <v>327</v>
      </c>
      <c r="E13091" s="1" t="s">
        <v>1794</v>
      </c>
      <c r="F13091" s="1" t="s">
        <v>18317</v>
      </c>
      <c r="G13091" s="1" t="s">
        <v>28</v>
      </c>
      <c r="H13091" s="1" t="s">
        <v>29</v>
      </c>
      <c r="I13091" s="1" t="str">
        <f ca="1">IFERROR(__xludf.DUMMYFUNCTION("GOOGLETRANSLATE(F13091, ""auto"", ""en"")
"),"Stylish and beautiful!")</f>
        <v>Stylish and beautiful!</v>
      </c>
    </row>
    <row r="13092" spans="1:9" x14ac:dyDescent="0.3">
      <c r="A13092" s="1" t="s">
        <v>30</v>
      </c>
      <c r="B13092" s="1" t="s">
        <v>50</v>
      </c>
      <c r="C13092" s="1" t="s">
        <v>1003</v>
      </c>
      <c r="D13092" s="1" t="s">
        <v>749</v>
      </c>
      <c r="E13092" s="1" t="s">
        <v>1401</v>
      </c>
      <c r="F13092" s="1" t="s">
        <v>18318</v>
      </c>
      <c r="G13092" s="1" t="s">
        <v>36</v>
      </c>
      <c r="H13092" s="1" t="s">
        <v>29</v>
      </c>
      <c r="I13092" s="1" t="str">
        <f ca="1">IFERROR(__xludf.DUMMYFUNCTION("GOOGLETRANSLATE(F13092, ""auto"", ""en"")
"),"I bought it in the early days, when there was a promotion on it and it cost 30 thousand rubles. In general, I didn’t regret it, the hardware is good!")</f>
        <v>I bought it in the early days, when there was a promotion on it and it cost 30 thousand rubles. In general, I didn’t regret it, the hardware is good!</v>
      </c>
    </row>
    <row r="13093" spans="1:9" x14ac:dyDescent="0.3">
      <c r="A13093" s="1" t="s">
        <v>105</v>
      </c>
      <c r="B13093" s="1" t="s">
        <v>106</v>
      </c>
      <c r="C13093" s="1" t="s">
        <v>107</v>
      </c>
      <c r="D13093" s="1" t="s">
        <v>75</v>
      </c>
      <c r="E13093" s="1" t="s">
        <v>4284</v>
      </c>
      <c r="F13093" s="1" t="s">
        <v>18319</v>
      </c>
      <c r="G13093" s="1" t="s">
        <v>28</v>
      </c>
      <c r="H13093" s="1" t="s">
        <v>29</v>
      </c>
      <c r="I13093" s="1" t="str">
        <f ca="1">IFERROR(__xludf.DUMMYFUNCTION("GOOGLETRANSLATE(F13093, ""auto"", ""en"")
"),"I’ll say right away that the sensor really slows down, but it’s not scary because you don’t have to wait 10 minutes for a reaction, but the shaker function is, of course, interesting, but please tell me how the player can be blocked because when you walk "&amp;"up the stairs you feel all the disadvantages of the shaker function.")</f>
        <v>I’ll say right away that the sensor really slows down, but it’s not scary because you don’t have to wait 10 minutes for a reaction, but the shaker function is, of course, interesting, but please tell me how the player can be blocked because when you walk up the stairs you feel all the disadvantages of the shaker function.</v>
      </c>
    </row>
    <row r="13094" spans="1:9" x14ac:dyDescent="0.3">
      <c r="A13094" s="1" t="s">
        <v>211</v>
      </c>
      <c r="B13094" s="1" t="s">
        <v>265</v>
      </c>
      <c r="C13094" s="1" t="s">
        <v>122</v>
      </c>
      <c r="D13094" s="1" t="s">
        <v>345</v>
      </c>
      <c r="E13094" s="1" t="s">
        <v>4925</v>
      </c>
      <c r="F13094" s="1" t="s">
        <v>18320</v>
      </c>
      <c r="G13094" s="1" t="s">
        <v>94</v>
      </c>
      <c r="H13094" s="1" t="s">
        <v>29</v>
      </c>
      <c r="I13094" s="1" t="str">
        <f ca="1">IFERROR(__xludf.DUMMYFUNCTION("GOOGLETRANSLATE(F13094, ""auto"", ""en"")
"),"Small, convenient, cuts well")</f>
        <v>Small, convenient, cuts well</v>
      </c>
    </row>
    <row r="13095" spans="1:9" x14ac:dyDescent="0.3">
      <c r="A13095" s="1" t="s">
        <v>120</v>
      </c>
      <c r="B13095" s="1" t="s">
        <v>126</v>
      </c>
      <c r="C13095" s="1" t="s">
        <v>122</v>
      </c>
      <c r="D13095" s="1" t="s">
        <v>745</v>
      </c>
      <c r="E13095" s="1" t="s">
        <v>269</v>
      </c>
      <c r="F13095" s="1" t="s">
        <v>18321</v>
      </c>
      <c r="G13095" s="1" t="s">
        <v>28</v>
      </c>
      <c r="H13095" s="1" t="s">
        <v>29</v>
      </c>
      <c r="I13095" s="1" t="str">
        <f ca="1">IFERROR(__xludf.DUMMYFUNCTION("GOOGLETRANSLATE(F13095, ""auto"", ""en"")
"),"The model won over precisely because of its price and simplicity. Of course, I like plasma panels for at least fifty dollars, but unfortunately it’s not within my means :( But in my opinion, the quality of the picture, despite the low cost and simplicity,"&amp;" is not bad at all, even quite decent. By the way, when I first bought it, it seemed to me that the brightness was not what I would like, but over time it became higher, I overclocked it or something))) Or maybe I just got used to it. I would also like to"&amp;" note a good viewing angle without losing the level of brightness and contrast, which undoubtedly pleased me, my LCD, which is in the bedroom, has such a problem, a little to the side and grayness and unclear outlines appear, this panel is all right with "&amp;"it. In short, I think that if you don’t have a lot of money to buy, then take this plasma, it’s a very good budget model.")</f>
        <v>The model won over precisely because of its price and simplicity. Of course, I like plasma panels for at least fifty dollars, but unfortunately it’s not within my means :( But in my opinion, the quality of the picture, despite the low cost and simplicity, is not bad at all, even quite decent. By the way, when I first bought it, it seemed to me that the brightness was not what I would like, but over time it became higher, I overclocked it or something))) Or maybe I just got used to it. I would also like to note a good viewing angle without losing the level of brightness and contrast, which undoubtedly pleased me, my LCD, which is in the bedroom, has such a problem, a little to the side and grayness and unclear outlines appear, this panel is all right with it. In short, I think that if you don’t have a lot of money to buy, then take this plasma, it’s a very good budget model.</v>
      </c>
    </row>
    <row r="13096" spans="1:9" x14ac:dyDescent="0.3">
      <c r="A13096" s="1" t="s">
        <v>206</v>
      </c>
      <c r="B13096" s="1" t="s">
        <v>1349</v>
      </c>
      <c r="C13096" s="1" t="s">
        <v>45</v>
      </c>
      <c r="D13096" s="1" t="s">
        <v>18322</v>
      </c>
      <c r="E13096" s="1" t="s">
        <v>2677</v>
      </c>
      <c r="F13096" s="1" t="s">
        <v>18323</v>
      </c>
      <c r="G13096" s="1" t="s">
        <v>36</v>
      </c>
      <c r="H13096" s="1" t="s">
        <v>29</v>
      </c>
      <c r="I13096" s="1" t="str">
        <f ca="1">IFERROR(__xludf.DUMMYFUNCTION("GOOGLETRANSLATE(F13096, ""auto"", ""en"")
"),"Cool stuff!! If you have an extra 12 thousand lying around in your wallet and really want to enjoy good movies while driving in your favorite car, then this system is especially for you!!! Only 1 remote control included! The display is wide, but the loss "&amp;"of quality is minimal! The picture quality depends on the DVD!! Do not use discs that are of pirated quality or have many scratches! The laser head is very sensitive and deteriorates quickly!! If you want to enjoy high-quality image and sound, use my advi"&amp;"ce, or read the instructions, everything is there!!! Overall the system is great!! I recommend!! you can't go wrong!!")</f>
        <v>Cool stuff!! If you have an extra 12 thousand lying around in your wallet and really want to enjoy good movies while driving in your favorite car, then this system is especially for you!!! Only 1 remote control included! The display is wide, but the loss of quality is minimal! The picture quality depends on the DVD!! Do not use discs that are of pirated quality or have many scratches! The laser head is very sensitive and deteriorates quickly!! If you want to enjoy high-quality image and sound, use my advice, or read the instructions, everything is there!!! Overall the system is great!! I recommend!! you can't go wrong!!</v>
      </c>
    </row>
    <row r="13097" spans="1:9" x14ac:dyDescent="0.3">
      <c r="A13097" s="1" t="s">
        <v>17</v>
      </c>
      <c r="B13097" s="1" t="s">
        <v>18</v>
      </c>
      <c r="C13097" s="1" t="s">
        <v>159</v>
      </c>
      <c r="D13097" s="1" t="s">
        <v>139</v>
      </c>
      <c r="E13097" s="1" t="s">
        <v>2677</v>
      </c>
      <c r="F13097" s="1" t="s">
        <v>18324</v>
      </c>
      <c r="G13097" s="1" t="s">
        <v>28</v>
      </c>
      <c r="H13097" s="1" t="s">
        <v>29</v>
      </c>
      <c r="I13097" s="1" t="str">
        <f ca="1">IFERROR(__xludf.DUMMYFUNCTION("GOOGLETRANSLATE(F13097, ""auto"", ""en"")
"),"I purchased an Electrolux EWS12612W two days ago. Several washes were carried out in different modes.  First impressions.  Pros: Beautiful. Interesting. Branded.  1. Lots of functions, but everything is intuitively simple. The instructions can be read dia"&amp;"gonally.    2.Large, clear, bright display with a slightly violet-blue backlight. All program parameters are displayed.  3. Cool design and layout of controls. All buttons are ideal sizes and have precise pressing forces.  4. Good drum balancing. Even at "&amp;"1000+ rpm it doesn't go anywhere.  5.Price. With the discount it turned out to be 15999 rubles.  6. The noise from operation at high speeds does not reach 5 out of 5, but you can safely give it a solid 4+.    Cons: Made in Russia... There are inaccuracies"&amp;" in the bending process of the back wall. Insufficient fixation of the washing powder tray. If the machine is tilted slightly forward, this tray comes out during the spin cycle.    P.S. The kit includes only short drain and inlet hoses, so there may be di"&amp;"fficulties with the location relative to the water pipes.  It is also demanding on the quality of the powder due to its water saving.  Cheap powder erases only 4 points.    Sincerely...")</f>
        <v>I purchased an Electrolux EWS12612W two days ago. Several washes were carried out in different modes.  First impressions.  Pros: Beautiful. Interesting. Branded.  1. Lots of functions, but everything is intuitively simple. The instructions can be read diagonally.    2.Large, clear, bright display with a slightly violet-blue backlight. All program parameters are displayed.  3. Cool design and layout of controls. All buttons are ideal sizes and have precise pressing forces.  4. Good drum balancing. Even at 1000+ rpm it doesn't go anywhere.  5.Price. With the discount it turned out to be 15999 rubles.  6. The noise from operation at high speeds does not reach 5 out of 5, but you can safely give it a solid 4+.    Cons: Made in Russia... There are inaccuracies in the bending process of the back wall. Insufficient fixation of the washing powder tray. If the machine is tilted slightly forward, this tray comes out during the spin cycle.    P.S. The kit includes only short drain and inlet hoses, so there may be difficulties with the location relative to the water pipes.  It is also demanding on the quality of the powder due to its water saving.  Cheap powder erases only 4 points.    Sincerely...</v>
      </c>
    </row>
    <row r="13098" spans="1:9" x14ac:dyDescent="0.3">
      <c r="A13098" s="1" t="s">
        <v>211</v>
      </c>
      <c r="B13098" s="1" t="s">
        <v>212</v>
      </c>
      <c r="C13098" s="1" t="s">
        <v>294</v>
      </c>
      <c r="D13098" s="1" t="s">
        <v>64</v>
      </c>
      <c r="E13098" s="1" t="s">
        <v>3458</v>
      </c>
      <c r="F13098" s="1" t="s">
        <v>18325</v>
      </c>
      <c r="G13098" s="1" t="s">
        <v>36</v>
      </c>
      <c r="H13098" s="1" t="s">
        <v>29</v>
      </c>
      <c r="I13098" s="1" t="str">
        <f ca="1">IFERROR(__xludf.DUMMYFUNCTION("GOOGLETRANSLATE(F13098, ""auto"", ""en"")
"),"Durable, convenient and easy to use, dries hair quickly, pleasant to the touch, beautiful, interesting design.")</f>
        <v>Durable, convenient and easy to use, dries hair quickly, pleasant to the touch, beautiful, interesting design.</v>
      </c>
    </row>
    <row r="13099" spans="1:9" x14ac:dyDescent="0.3">
      <c r="A13099" s="1" t="s">
        <v>61</v>
      </c>
      <c r="B13099" s="1" t="s">
        <v>73</v>
      </c>
      <c r="C13099" s="1" t="s">
        <v>146</v>
      </c>
      <c r="D13099" s="1" t="s">
        <v>12</v>
      </c>
      <c r="E13099" s="1" t="s">
        <v>1773</v>
      </c>
      <c r="F13099" s="1" t="s">
        <v>18326</v>
      </c>
      <c r="G13099" s="1" t="s">
        <v>28</v>
      </c>
      <c r="H13099" s="1" t="s">
        <v>29</v>
      </c>
      <c r="I13099" s="1" t="str">
        <f ca="1">IFERROR(__xludf.DUMMYFUNCTION("GOOGLETRANSLATE(F13099, ""auto"", ""en"")
"),"I changed the meat grinder (the old one wound the wires, I had to change it) the power is good, but the wires still wind up. First I pass it through a large nozzle. I bought it only based on reviews. Of course it’s better than it was, but I expected bette"&amp;"r...")</f>
        <v>I changed the meat grinder (the old one wound the wires, I had to change it) the power is good, but the wires still wind up. First I pass it through a large nozzle. I bought it only based on reviews. Of course it’s better than it was, but I expected better...</v>
      </c>
    </row>
    <row r="13100" spans="1:9" x14ac:dyDescent="0.3">
      <c r="A13100" s="1" t="s">
        <v>30</v>
      </c>
      <c r="B13100" s="1" t="s">
        <v>50</v>
      </c>
      <c r="C13100" s="1" t="s">
        <v>32</v>
      </c>
      <c r="D13100" s="1" t="s">
        <v>14917</v>
      </c>
      <c r="E13100" s="1" t="s">
        <v>4578</v>
      </c>
      <c r="F13100" s="1" t="s">
        <v>18327</v>
      </c>
      <c r="G13100" s="1" t="s">
        <v>36</v>
      </c>
      <c r="H13100" s="1" t="s">
        <v>29</v>
      </c>
      <c r="I13100" s="1" t="str">
        <f ca="1">IFERROR(__xludf.DUMMYFUNCTION("GOOGLETRANSLATE(F13100, ""auto"", ""en"")
"),"I bought it a week ago with Windows 7 HB installed, I’m very pleased...")</f>
        <v>I bought it a week ago with Windows 7 HB installed, I’m very pleased...</v>
      </c>
    </row>
    <row r="13101" spans="1:9" x14ac:dyDescent="0.3">
      <c r="A13101" s="1" t="s">
        <v>61</v>
      </c>
      <c r="B13101" s="1" t="s">
        <v>318</v>
      </c>
      <c r="C13101" s="1" t="s">
        <v>57</v>
      </c>
      <c r="D13101" s="1" t="s">
        <v>203</v>
      </c>
      <c r="E13101" s="1" t="s">
        <v>7544</v>
      </c>
      <c r="F13101" s="1" t="s">
        <v>18328</v>
      </c>
      <c r="G13101" s="1" t="s">
        <v>36</v>
      </c>
      <c r="H13101" s="1" t="s">
        <v>29</v>
      </c>
      <c r="I13101" s="1" t="str">
        <f ca="1">IFERROR(__xludf.DUMMYFUNCTION("GOOGLETRANSLATE(F13101, ""auto"", ""en"")
"),"I bought a thermopot for work more than 2 years ago, I didn’t expect it to work for so long!  The thermopot works flawlessly, we use it constantly and for a large number of people.")</f>
        <v>I bought a thermopot for work more than 2 years ago, I didn’t expect it to work for so long!  The thermopot works flawlessly, we use it constantly and for a large number of people.</v>
      </c>
    </row>
    <row r="13102" spans="1:9" x14ac:dyDescent="0.3">
      <c r="A13102" s="1" t="s">
        <v>120</v>
      </c>
      <c r="B13102" s="1" t="s">
        <v>126</v>
      </c>
      <c r="C13102" s="1" t="s">
        <v>80</v>
      </c>
      <c r="D13102" s="1" t="s">
        <v>1152</v>
      </c>
      <c r="E13102" s="1" t="s">
        <v>4692</v>
      </c>
      <c r="F13102" s="1" t="s">
        <v>18329</v>
      </c>
      <c r="G13102" s="1" t="s">
        <v>36</v>
      </c>
      <c r="H13102" s="1" t="s">
        <v>29</v>
      </c>
      <c r="I13102" s="1" t="str">
        <f ca="1">IFERROR(__xludf.DUMMYFUNCTION("GOOGLETRANSLATE(F13102, ""auto"", ""en"")
"),"The TV is great, there are no questions about it. The only thing is that it does not show files in AVI format from USB or external HDD.")</f>
        <v>The TV is great, there are no questions about it. The only thing is that it does not show files in AVI format from USB or external HDD.</v>
      </c>
    </row>
    <row r="13103" spans="1:9" x14ac:dyDescent="0.3">
      <c r="A13103" s="1" t="s">
        <v>30</v>
      </c>
      <c r="B13103" s="1" t="s">
        <v>50</v>
      </c>
      <c r="C13103" s="1" t="s">
        <v>1003</v>
      </c>
      <c r="D13103" s="1" t="s">
        <v>171</v>
      </c>
      <c r="E13103" s="1" t="s">
        <v>680</v>
      </c>
      <c r="F13103" s="1" t="s">
        <v>18330</v>
      </c>
      <c r="G13103" s="1" t="s">
        <v>36</v>
      </c>
      <c r="H13103" s="1" t="s">
        <v>29</v>
      </c>
      <c r="I13103" s="1" t="str">
        <f ca="1">IFERROR(__xludf.DUMMYFUNCTION("GOOGLETRANSLATE(F13103, ""auto"", ""en"")
"),"Experience of use 6 months. Great laptop. The only drawback is that the surface is very easily soiled, but the special cloth included in the kit always helps out. There were no problems with demolishing Vista (I had it, not 7) and installing HP. Absolutel"&amp;"y all drivers (for both Vista and HP) are available on the official HP website. From there I downloaded them - absolutely everything works. True, the manufacturer slightly exaggerated the battery life, but with medium display brightness settings and durin"&amp;"g office work (office applications + Internet), the laptop lasted 3 hours 57 minutes without connecting to the network. When the CPU is under heavy load (I rendered a video), the cooling system begins to make noticeable noise. I think this is due not only"&amp;" to the load, but also to the fact that there is only one hole for air circulation - on the left edge of the laptop. But there's nothing you can do - a dual-core processor must be cooled, that's why it's a NOTEBOOK, not a NETbook.")</f>
        <v>Experience of use 6 months. Great laptop. The only drawback is that the surface is very easily soiled, but the special cloth included in the kit always helps out. There were no problems with demolishing Vista (I had it, not 7) and installing HP. Absolutely all drivers (for both Vista and HP) are available on the official HP website. From there I downloaded them - absolutely everything works. True, the manufacturer slightly exaggerated the battery life, but with medium display brightness settings and during office work (office applications + Internet), the laptop lasted 3 hours 57 minutes without connecting to the network. When the CPU is under heavy load (I rendered a video), the cooling system begins to make noticeable noise. I think this is due not only to the load, but also to the fact that there is only one hole for air circulation - on the left edge of the laptop. But there's nothing you can do - a dual-core processor must be cooled, that's why it's a NOTEBOOK, not a NETbook.</v>
      </c>
    </row>
    <row r="13104" spans="1:9" x14ac:dyDescent="0.3">
      <c r="A13104" s="1" t="s">
        <v>37</v>
      </c>
      <c r="B13104" s="1" t="s">
        <v>38</v>
      </c>
      <c r="C13104" s="1" t="s">
        <v>151</v>
      </c>
      <c r="D13104" s="1" t="s">
        <v>18331</v>
      </c>
      <c r="E13104" s="1" t="s">
        <v>4972</v>
      </c>
      <c r="F13104" s="1" t="s">
        <v>18332</v>
      </c>
      <c r="G13104" s="1" t="s">
        <v>36</v>
      </c>
      <c r="H13104" s="1" t="s">
        <v>29</v>
      </c>
      <c r="I13104" s="1" t="str">
        <f ca="1">IFERROR(__xludf.DUMMYFUNCTION("GOOGLETRANSLATE(F13104, ""auto"", ""en"")
"),"I bought the phone in December 2009. to replace the old Samsung C-200. I prefer Samsung - it's made reliably and conveniently. Overall I'm happy with the new phone. There are many advantages, but there are also disadvantages - a weak 0.3 MP camera, no cab"&amp;"le for connecting to a computer - I had to buy it separately (but the price is not high!), bad instructions. But in general, if you don’t need a camera, then the phone is quite normal - it’s easy to set up and has many useful functions. I even use it to c"&amp;"heck email without turning on the computer. So, what am I for!")</f>
        <v>I bought the phone in December 2009. to replace the old Samsung C-200. I prefer Samsung - it's made reliably and conveniently. Overall I'm happy with the new phone. There are many advantages, but there are also disadvantages - a weak 0.3 MP camera, no cable for connecting to a computer - I had to buy it separately (but the price is not high!), bad instructions. But in general, if you don’t need a camera, then the phone is quite normal - it’s easy to set up and has many useful functions. I even use it to check email without turning on the computer. So, what am I for!</v>
      </c>
    </row>
    <row r="13105" spans="1:9" x14ac:dyDescent="0.3">
      <c r="A13105" s="1" t="s">
        <v>211</v>
      </c>
      <c r="B13105" s="1" t="s">
        <v>515</v>
      </c>
      <c r="C13105" s="1" t="s">
        <v>213</v>
      </c>
      <c r="D13105" s="1" t="s">
        <v>18333</v>
      </c>
      <c r="E13105" s="1" t="s">
        <v>1136</v>
      </c>
      <c r="F13105" s="1" t="s">
        <v>18334</v>
      </c>
      <c r="G13105" s="1" t="s">
        <v>94</v>
      </c>
      <c r="H13105" s="1" t="s">
        <v>29</v>
      </c>
      <c r="I13105" s="1" t="str">
        <f ca="1">IFERROR(__xludf.DUMMYFUNCTION("GOOGLETRANSLATE(F13105, ""auto"", ""en"")
"),"The price is cheap, the device without unnecessary problems, available in stores")</f>
        <v>The price is cheap, the device without unnecessary problems, available in stores</v>
      </c>
    </row>
    <row r="13106" spans="1:9" x14ac:dyDescent="0.3">
      <c r="A13106" s="1" t="s">
        <v>30</v>
      </c>
      <c r="B13106" s="1" t="s">
        <v>50</v>
      </c>
      <c r="C13106" s="1" t="s">
        <v>32</v>
      </c>
      <c r="D13106" s="1" t="s">
        <v>52</v>
      </c>
      <c r="E13106" s="1" t="s">
        <v>571</v>
      </c>
      <c r="F13106" s="1" t="s">
        <v>18335</v>
      </c>
      <c r="G13106" s="1" t="s">
        <v>36</v>
      </c>
      <c r="H13106" s="1" t="s">
        <v>29</v>
      </c>
      <c r="I13106" s="1" t="str">
        <f ca="1">IFERROR(__xludf.DUMMYFUNCTION("GOOGLETRANSLATE(F13106, ""auto"", ""en"")
"),"Galina (Tyumen) 1) most likely not Windows 7 60-day, but Office; 2) a laptop with a built-in network card and Wi-Fi; 3) and the fact that a black square pops up is probably an offer to write files with a Windows image and drivers onto a blank. I hope I an"&amp;"swered correctly. It’s safer to find a programmer.")</f>
        <v>Galina (Tyumen) 1) most likely not Windows 7 60-day, but Office; 2) a laptop with a built-in network card and Wi-Fi; 3) and the fact that a black square pops up is probably an offer to write files with a Windows image and drivers onto a blank. I hope I answered correctly. It’s safer to find a programmer.</v>
      </c>
    </row>
    <row r="13107" spans="1:9" x14ac:dyDescent="0.3">
      <c r="A13107" s="1" t="s">
        <v>149</v>
      </c>
      <c r="B13107" s="1" t="s">
        <v>155</v>
      </c>
      <c r="C13107" s="1" t="s">
        <v>151</v>
      </c>
      <c r="D13107" s="1" t="s">
        <v>4244</v>
      </c>
      <c r="E13107" s="1" t="s">
        <v>622</v>
      </c>
      <c r="F13107" s="1" t="s">
        <v>18336</v>
      </c>
      <c r="G13107" s="1" t="s">
        <v>36</v>
      </c>
      <c r="H13107" s="1" t="s">
        <v>29</v>
      </c>
      <c r="I13107" s="1" t="str">
        <f ca="1">IFERROR(__xludf.DUMMYFUNCTION("GOOGLETRANSLATE(F13107, ""auto"", ""en"")
"),"When choosing a vacuum cleaner, I relied more on reviews. And I was not mistaken. The vacuum cleaner is excellent! I've been using it for a month. It works quieter than the previous one, the absorption (especially of long hair from carpets) was pleasantly"&amp;" pleased. Convenient controls.   Regarding some of the comments below that it is unpleasant to clean the vacuum cleaner after cleaning: it is easy to clean, I pour the dust into a regular bag, and I rinse the brush and container under the tap after each c"&amp;"leaning (takes a couple!!! minutes), I rinse the foam rubber filter under water once so far. And the vacuum cleaner is clean!!!  The only caveat: the cord is shorter than the stated 7 meters. For most people this may not be that important, but I have a lo"&amp;"ng corridor, so I noticed it right away.")</f>
        <v>When choosing a vacuum cleaner, I relied more on reviews. And I was not mistaken. The vacuum cleaner is excellent! I've been using it for a month. It works quieter than the previous one, the absorption (especially of long hair from carpets) was pleasantly pleased. Convenient controls.   Regarding some of the comments below that it is unpleasant to clean the vacuum cleaner after cleaning: it is easy to clean, I pour the dust into a regular bag, and I rinse the brush and container under the tap after each cleaning (takes a couple!!! minutes), I rinse the foam rubber filter under water once so far. And the vacuum cleaner is clean!!!  The only caveat: the cord is shorter than the stated 7 meters. For most people this may not be that important, but I have a long corridor, so I noticed it right away.</v>
      </c>
    </row>
    <row r="13108" spans="1:9" x14ac:dyDescent="0.3">
      <c r="A13108" s="1" t="s">
        <v>61</v>
      </c>
      <c r="B13108" s="1" t="s">
        <v>318</v>
      </c>
      <c r="C13108" s="1" t="s">
        <v>57</v>
      </c>
      <c r="D13108" s="1" t="s">
        <v>18337</v>
      </c>
      <c r="E13108" s="1" t="s">
        <v>3918</v>
      </c>
      <c r="F13108" s="1" t="s">
        <v>18338</v>
      </c>
      <c r="G13108" s="1" t="s">
        <v>15</v>
      </c>
      <c r="H13108" s="1" t="s">
        <v>16</v>
      </c>
      <c r="I13108" s="1" t="str">
        <f ca="1">IFERROR(__xludf.DUMMYFUNCTION("GOOGLETRANSLATE(F13108, ""auto"", ""en"")
"),"I bought the kettle in February 2012. I never cease to be surprised by yet another drawback. 1. The shutdown is only automatic (or pull the plug out of the socket), and the sensor has poor sensitivity, so you have to wait a long time for it to turn itself"&amp;" off, and, without waiting, you reach for the plug (you also got a burn from the steam, the socket is behind the kettle and is tight). 2. It is impossible to open the lid if it is hot, for example, after boiling water has been poured out, and more needs t"&amp;"o be poured into the kettle. My friends pulled the lid and broke it. Taking into account their experience, I arm myself with a knife and pick it out at the spout (it takes skill!). 3. To top it off, for some unknown reason the power button stops working. "&amp;"If you let go of it, it turns off. I sit there, holding the button until it boils. This defect appears and disappears. Sometimes very smooth pressing helps, but only sometimes. The water, after all, boils and there is no foreign smell or taste.")</f>
        <v>I bought the kettle in February 2012. I never cease to be surprised by yet another drawback. 1. The shutdown is only automatic (or pull the plug out of the socket), and the sensor has poor sensitivity, so you have to wait a long time for it to turn itself off, and, without waiting, you reach for the plug (you also got a burn from the steam, the socket is behind the kettle and is tight). 2. It is impossible to open the lid if it is hot, for example, after boiling water has been poured out, and more needs to be poured into the kettle. My friends pulled the lid and broke it. Taking into account their experience, I arm myself with a knife and pick it out at the spout (it takes skill!). 3. To top it off, for some unknown reason the power button stops working. If you let go of it, it turns off. I sit there, holding the button until it boils. This defect appears and disappears. Sometimes very smooth pressing helps, but only sometimes. The water, after all, boils and there is no foreign smell or taste.</v>
      </c>
    </row>
    <row r="13109" spans="1:9" x14ac:dyDescent="0.3">
      <c r="A13109" s="1" t="s">
        <v>111</v>
      </c>
      <c r="B13109" s="1" t="s">
        <v>112</v>
      </c>
      <c r="C13109" s="1" t="s">
        <v>1230</v>
      </c>
      <c r="D13109" s="1" t="s">
        <v>114</v>
      </c>
      <c r="E13109" s="1" t="s">
        <v>796</v>
      </c>
      <c r="F13109" s="1" t="s">
        <v>18339</v>
      </c>
      <c r="G13109" s="1" t="s">
        <v>36</v>
      </c>
      <c r="H13109" s="1" t="s">
        <v>29</v>
      </c>
      <c r="I13109" s="1" t="str">
        <f ca="1">IFERROR(__xludf.DUMMYFUNCTION("GOOGLETRANSLATE(F13109, ""auto"", ""en"")
"),"It’s a good filter, I’ve been using it for 2 years, no complaints.")</f>
        <v>It’s a good filter, I’ve been using it for 2 years, no complaints.</v>
      </c>
    </row>
    <row r="13110" spans="1:9" x14ac:dyDescent="0.3">
      <c r="A13110" s="1" t="s">
        <v>95</v>
      </c>
      <c r="B13110" s="1" t="s">
        <v>486</v>
      </c>
      <c r="C13110" s="1" t="s">
        <v>487</v>
      </c>
      <c r="D13110" s="1" t="s">
        <v>172</v>
      </c>
      <c r="E13110" s="1" t="s">
        <v>4502</v>
      </c>
      <c r="F13110" s="1" t="s">
        <v>18340</v>
      </c>
      <c r="G13110" s="1" t="s">
        <v>36</v>
      </c>
      <c r="H13110" s="1" t="s">
        <v>29</v>
      </c>
      <c r="I13110" s="1" t="str">
        <f ca="1">IFERROR(__xludf.DUMMYFUNCTION("GOOGLETRANSLATE(F13110, ""auto"", ""en"")
"),"A very good attachment. I bought it and I'm happy!")</f>
        <v>A very good attachment. I bought it and I'm happy!</v>
      </c>
    </row>
    <row r="13111" spans="1:9" x14ac:dyDescent="0.3">
      <c r="A13111" s="1" t="s">
        <v>61</v>
      </c>
      <c r="B13111" s="1" t="s">
        <v>318</v>
      </c>
      <c r="C13111" s="1" t="s">
        <v>74</v>
      </c>
      <c r="D13111" s="1" t="s">
        <v>1659</v>
      </c>
      <c r="E13111" s="1" t="s">
        <v>3872</v>
      </c>
      <c r="F13111" s="1" t="s">
        <v>18341</v>
      </c>
      <c r="G13111" s="1" t="s">
        <v>49</v>
      </c>
      <c r="H13111" s="1" t="s">
        <v>16</v>
      </c>
      <c r="I13111" s="1" t="str">
        <f ca="1">IFERROR(__xludf.DUMMYFUNCTION("GOOGLETRANSLATE(F13111, ""auto"", ""en"")
"),"Leaked after 1.5 years. The Chinese do it better than Moulinex")</f>
        <v>Leaked after 1.5 years. The Chinese do it better than Moulinex</v>
      </c>
    </row>
    <row r="13112" spans="1:9" x14ac:dyDescent="0.3">
      <c r="A13112" s="1" t="s">
        <v>9</v>
      </c>
      <c r="B13112" s="1" t="s">
        <v>23</v>
      </c>
      <c r="C13112" s="1" t="s">
        <v>159</v>
      </c>
      <c r="D13112" s="1" t="s">
        <v>1890</v>
      </c>
      <c r="E13112" s="1" t="s">
        <v>3166</v>
      </c>
      <c r="F13112" s="1" t="s">
        <v>18342</v>
      </c>
      <c r="G13112" s="1" t="s">
        <v>36</v>
      </c>
      <c r="H13112" s="1" t="s">
        <v>29</v>
      </c>
      <c r="I13112" s="1" t="str">
        <f ca="1">IFERROR(__xludf.DUMMYFUNCTION("GOOGLETRANSLATE(F13112, ""auto"", ""en"")
"),"The machine is great, washes perfectly, is quiet, dries well. I recommend it to everyone I know.   For me there is one minus, which was discovered during operation: there is no automatic power supply shutdown, you need to press the button yourself, i.e. Y"&amp;"ou put it on at night and it stays on for half the night, but I didn’t look at it myself when I was choosing it. And so cool. I'm very pleased.")</f>
        <v>The machine is great, washes perfectly, is quiet, dries well. I recommend it to everyone I know.   For me there is one minus, which was discovered during operation: there is no automatic power supply shutdown, you need to press the button yourself, i.e. You put it on at night and it stays on for half the night, but I didn’t look at it myself when I was choosing it. And so cool. I'm very pleased.</v>
      </c>
    </row>
    <row r="13113" spans="1:9" x14ac:dyDescent="0.3">
      <c r="A13113" s="1" t="s">
        <v>61</v>
      </c>
      <c r="B13113" s="1" t="s">
        <v>145</v>
      </c>
      <c r="C13113" s="1" t="s">
        <v>69</v>
      </c>
      <c r="D13113" s="1" t="s">
        <v>335</v>
      </c>
      <c r="E13113" s="1" t="s">
        <v>12335</v>
      </c>
      <c r="F13113" s="1" t="s">
        <v>18343</v>
      </c>
      <c r="G13113" s="1" t="s">
        <v>36</v>
      </c>
      <c r="H13113" s="1" t="s">
        <v>29</v>
      </c>
      <c r="I13113" s="1" t="str">
        <f ca="1">IFERROR(__xludf.DUMMYFUNCTION("GOOGLETRANSLATE(F13113, ""auto"", ""en"")
"),"I'm satisfied, I've been using it for six months - no complaints.    By the way, I cooked buckwheat and rice - everything was delicious!")</f>
        <v>I'm satisfied, I've been using it for six months - no complaints.    By the way, I cooked buckwheat and rice - everything was delicious!</v>
      </c>
    </row>
    <row r="13114" spans="1:9" x14ac:dyDescent="0.3">
      <c r="A13114" s="1" t="s">
        <v>37</v>
      </c>
      <c r="B13114" s="1" t="s">
        <v>38</v>
      </c>
      <c r="C13114" s="1" t="s">
        <v>151</v>
      </c>
      <c r="D13114" s="1" t="s">
        <v>308</v>
      </c>
      <c r="E13114" s="1" t="s">
        <v>4245</v>
      </c>
      <c r="F13114" s="1" t="s">
        <v>18344</v>
      </c>
      <c r="G13114" s="1" t="s">
        <v>28</v>
      </c>
      <c r="H13114" s="1" t="s">
        <v>29</v>
      </c>
      <c r="I13114" s="1" t="str">
        <f ca="1">IFERROR(__xludf.DUMMYFUNCTION("GOOGLETRANSLATE(F13114, ""auto"", ""en"")
"),"I bought it this summer while on vacation! I've been wanting a phone with 2 SIM cards for a long time! I really liked it, it looks so solid. Listening to music sounds amazing! Only I took it in Ulan-Ude.")</f>
        <v>I bought it this summer while on vacation! I've been wanting a phone with 2 SIM cards for a long time! I really liked it, it looks so solid. Listening to music sounds amazing! Only I took it in Ulan-Ude.</v>
      </c>
    </row>
    <row r="13115" spans="1:9" x14ac:dyDescent="0.3">
      <c r="A13115" s="1" t="s">
        <v>61</v>
      </c>
      <c r="B13115" s="1" t="s">
        <v>726</v>
      </c>
      <c r="C13115" s="1" t="s">
        <v>85</v>
      </c>
      <c r="D13115" s="1" t="s">
        <v>545</v>
      </c>
      <c r="E13115" s="1" t="s">
        <v>6446</v>
      </c>
      <c r="F13115" s="1" t="s">
        <v>18345</v>
      </c>
      <c r="G13115" s="1" t="s">
        <v>36</v>
      </c>
      <c r="H13115" s="1" t="s">
        <v>29</v>
      </c>
      <c r="I13115" s="1" t="str">
        <f ca="1">IFERROR(__xludf.DUMMYFUNCTION("GOOGLETRANSLATE(F13115, ""auto"", ""en"")
"),"I bought a bread maker almost a year ago.  It works great, we don’t buy bread or buns, I even started making dumplings at home! Simple controls, easy care, two molds, makes dessert, does not make noise! Excellent stove, thanks to the store team for the jo"&amp;"y!")</f>
        <v>I bought a bread maker almost a year ago.  It works great, we don’t buy bread or buns, I even started making dumplings at home! Simple controls, easy care, two molds, makes dessert, does not make noise! Excellent stove, thanks to the store team for the joy!</v>
      </c>
    </row>
    <row r="13116" spans="1:9" x14ac:dyDescent="0.3">
      <c r="A13116" s="1" t="s">
        <v>95</v>
      </c>
      <c r="B13116" s="1" t="s">
        <v>227</v>
      </c>
      <c r="C13116" s="1" t="s">
        <v>97</v>
      </c>
      <c r="D13116" s="1" t="s">
        <v>633</v>
      </c>
      <c r="E13116" s="1" t="s">
        <v>7640</v>
      </c>
      <c r="F13116" s="1" t="s">
        <v>18346</v>
      </c>
      <c r="G13116" s="1" t="s">
        <v>36</v>
      </c>
      <c r="H13116" s="1" t="s">
        <v>29</v>
      </c>
      <c r="I13116" s="1" t="str">
        <f ca="1">IFERROR(__xludf.DUMMYFUNCTION("GOOGLETRANSLATE(F13116, ""auto"", ""en"")
"),"Just super super super I recommend buying it")</f>
        <v>Just super super super I recommend buying it</v>
      </c>
    </row>
    <row r="13117" spans="1:9" x14ac:dyDescent="0.3">
      <c r="A13117" s="1" t="s">
        <v>61</v>
      </c>
      <c r="B13117" s="1" t="s">
        <v>224</v>
      </c>
      <c r="C13117" s="1" t="s">
        <v>85</v>
      </c>
      <c r="D13117" s="1" t="s">
        <v>39</v>
      </c>
      <c r="E13117" s="1" t="s">
        <v>4062</v>
      </c>
      <c r="F13117" s="1" t="s">
        <v>18347</v>
      </c>
      <c r="G13117" s="1" t="s">
        <v>36</v>
      </c>
      <c r="H13117" s="1" t="s">
        <v>29</v>
      </c>
      <c r="I13117" s="1" t="str">
        <f ca="1">IFERROR(__xludf.DUMMYFUNCTION("GOOGLETRANSLATE(F13117, ""auto"", ""en"")
"),"I bought it last year, closer to autumn, when a large harvest of apples was ripe, I tried it on the first day - it works quite effectively, the pulp is dry, the juice is clear. Just for fun, I made juice from everything I had - I was pleased with the resu"&amp;"lts, the best thing was pomegranate juice. The unit looks good in the kitchen in any interior, it is easy to use - you can load whole fruit. The gearshift knob does not stick (there have been incidents with other models). It can work for several hours wit"&amp;"h short breaks and does not overheat. For six months I used the Bork S800 juicer from time to time - after idle time it works fine. Bottom line: it copes with its functionality perfectly, it’s worth the money!")</f>
        <v>I bought it last year, closer to autumn, when a large harvest of apples was ripe, I tried it on the first day - it works quite effectively, the pulp is dry, the juice is clear. Just for fun, I made juice from everything I had - I was pleased with the results, the best thing was pomegranate juice. The unit looks good in the kitchen in any interior, it is easy to use - you can load whole fruit. The gearshift knob does not stick (there have been incidents with other models). It can work for several hours with short breaks and does not overheat. For six months I used the Bork S800 juicer from time to time - after idle time it works fine. Bottom line: it copes with its functionality perfectly, it’s worth the money!</v>
      </c>
    </row>
    <row r="13118" spans="1:9" x14ac:dyDescent="0.3">
      <c r="A13118" s="1" t="s">
        <v>67</v>
      </c>
      <c r="B13118" s="1" t="s">
        <v>68</v>
      </c>
      <c r="C13118" s="1" t="s">
        <v>246</v>
      </c>
      <c r="D13118" s="1" t="s">
        <v>12</v>
      </c>
      <c r="E13118" s="1" t="s">
        <v>1826</v>
      </c>
      <c r="F13118" s="1" t="s">
        <v>18348</v>
      </c>
      <c r="G13118" s="1" t="s">
        <v>36</v>
      </c>
      <c r="H13118" s="1" t="s">
        <v>29</v>
      </c>
      <c r="I13118" s="1" t="str">
        <f ca="1">IFERROR(__xludf.DUMMYFUNCTION("GOOGLETRANSLATE(F13118, ""auto"", ""en"")
"),"The iron is great! Steams well, easy to use. My parents have the same one, I bought it for myself, but there really is no additional attachment, it’s not scary to iron silk things. Probably not all models have it. And so, in general, I'm satisfied.")</f>
        <v>The iron is great! Steams well, easy to use. My parents have the same one, I bought it for myself, but there really is no additional attachment, it’s not scary to iron silk things. Probably not all models have it. And so, in general, I'm satisfied.</v>
      </c>
    </row>
    <row r="13119" spans="1:9" x14ac:dyDescent="0.3">
      <c r="A13119" s="1" t="s">
        <v>9</v>
      </c>
      <c r="B13119" s="1" t="s">
        <v>137</v>
      </c>
      <c r="C13119" s="1" t="s">
        <v>63</v>
      </c>
      <c r="D13119" s="1" t="s">
        <v>280</v>
      </c>
      <c r="E13119" s="1" t="s">
        <v>16281</v>
      </c>
      <c r="F13119" s="1" t="s">
        <v>18349</v>
      </c>
      <c r="G13119" s="1" t="s">
        <v>28</v>
      </c>
      <c r="H13119" s="1" t="s">
        <v>29</v>
      </c>
      <c r="I13119" s="1" t="str">
        <f ca="1">IFERROR(__xludf.DUMMYFUNCTION("GOOGLETRANSLATE(F13119, ""auto"", ""en"")
"),"But the pros outweigh the cons.")</f>
        <v>But the pros outweigh the cons.</v>
      </c>
    </row>
    <row r="13120" spans="1:9" x14ac:dyDescent="0.3">
      <c r="A13120" s="1" t="s">
        <v>1443</v>
      </c>
      <c r="B13120" s="1" t="s">
        <v>1444</v>
      </c>
      <c r="C13120" s="1" t="s">
        <v>1489</v>
      </c>
      <c r="D13120" s="1" t="s">
        <v>127</v>
      </c>
      <c r="E13120" s="1" t="s">
        <v>4780</v>
      </c>
      <c r="F13120" s="1" t="s">
        <v>18350</v>
      </c>
      <c r="G13120" s="1" t="s">
        <v>49</v>
      </c>
      <c r="H13120" s="1" t="s">
        <v>16</v>
      </c>
      <c r="I13120" s="1" t="str">
        <f ca="1">IFERROR(__xludf.DUMMYFUNCTION("GOOGLETRANSLATE(F13120, ""auto"", ""en"")
"),"Recording speed 4 MB/s. Chinese fake for the price of a normal flash drive.")</f>
        <v>Recording speed 4 MB/s. Chinese fake for the price of a normal flash drive.</v>
      </c>
    </row>
    <row r="13121" spans="1:9" x14ac:dyDescent="0.3">
      <c r="A13121" s="1" t="s">
        <v>120</v>
      </c>
      <c r="B13121" s="1" t="s">
        <v>121</v>
      </c>
      <c r="C13121" s="1" t="s">
        <v>97</v>
      </c>
      <c r="D13121" s="1" t="s">
        <v>171</v>
      </c>
      <c r="E13121" s="1" t="s">
        <v>511</v>
      </c>
      <c r="F13121" s="1" t="s">
        <v>18351</v>
      </c>
      <c r="G13121" s="1" t="s">
        <v>28</v>
      </c>
      <c r="H13121" s="1" t="s">
        <v>29</v>
      </c>
      <c r="I13121" s="1" t="str">
        <f ca="1">IFERROR(__xludf.DUMMYFUNCTION("GOOGLETRANSLATE(F13121, ""auto"", ""en"")
"),"bought it a month ago. The TV is good, not to say it’s great, but it will suit people who are not very picky about TVs, especially for such a price. The only depressing thing is that it has a small screen resolution! I hung it on the wall, it looks expens"&amp;"ive, but the screen lining gets very dirty, since it is glossy")</f>
        <v>bought it a month ago. The TV is good, not to say it’s great, but it will suit people who are not very picky about TVs, especially for such a price. The only depressing thing is that it has a small screen resolution! I hung it on the wall, it looks expensive, but the screen lining gets very dirty, since it is glossy</v>
      </c>
    </row>
    <row r="13122" spans="1:9" x14ac:dyDescent="0.3">
      <c r="A13122" s="1" t="s">
        <v>17</v>
      </c>
      <c r="B13122" s="1" t="s">
        <v>18</v>
      </c>
      <c r="C13122" s="1" t="s">
        <v>19</v>
      </c>
      <c r="D13122" s="1" t="s">
        <v>896</v>
      </c>
      <c r="E13122" s="1" t="s">
        <v>2380</v>
      </c>
      <c r="F13122" s="1" t="s">
        <v>18352</v>
      </c>
      <c r="G13122" s="1" t="s">
        <v>36</v>
      </c>
      <c r="H13122" s="1" t="s">
        <v>29</v>
      </c>
      <c r="I13122" s="1" t="str">
        <f ca="1">IFERROR(__xludf.DUMMYFUNCTION("GOOGLETRANSLATE(F13122, ""auto"", ""en"")
"),"Cool car!! Before that there was Indesit and what happened to it!!! And hung and broke!!! Buy this one, it works like a clock)))")</f>
        <v>Cool car!! Before that there was Indesit and what happened to it!!! And hung and broke!!! Buy this one, it works like a clock)))</v>
      </c>
    </row>
    <row r="13123" spans="1:9" x14ac:dyDescent="0.3">
      <c r="A13123" s="1" t="s">
        <v>67</v>
      </c>
      <c r="B13123" s="1" t="s">
        <v>340</v>
      </c>
      <c r="C13123" s="1" t="s">
        <v>1634</v>
      </c>
      <c r="D13123" s="1" t="s">
        <v>592</v>
      </c>
      <c r="E13123" s="1" t="s">
        <v>7819</v>
      </c>
      <c r="F13123" s="1" t="s">
        <v>18353</v>
      </c>
      <c r="G13123" s="1" t="s">
        <v>1580</v>
      </c>
      <c r="H13123" s="1" t="s">
        <v>29</v>
      </c>
      <c r="I13123" s="1" t="str">
        <f ca="1">IFERROR(__xludf.DUMMYFUNCTION("GOOGLETRANSLATE(F13123, ""auto"", ""en"")
"),"I would like to know if this sewing machine has an overlock function?▶▶▶EXPERT ANSWER “M.VIDEO”◀◀◀Lyudmila, this machine does not have such a function.")</f>
        <v>I would like to know if this sewing machine has an overlock function?▶▶▶EXPERT ANSWER “M.VIDEO”◀◀◀Lyudmila, this machine does not have such a function.</v>
      </c>
    </row>
    <row r="13124" spans="1:9" x14ac:dyDescent="0.3">
      <c r="A13124" s="1" t="s">
        <v>496</v>
      </c>
      <c r="B13124" s="1" t="s">
        <v>497</v>
      </c>
      <c r="C13124" s="1" t="s">
        <v>12936</v>
      </c>
      <c r="D13124" s="1" t="s">
        <v>940</v>
      </c>
      <c r="E13124" s="1" t="s">
        <v>5241</v>
      </c>
      <c r="F13124" s="1" t="s">
        <v>18354</v>
      </c>
      <c r="G13124" s="1" t="s">
        <v>36</v>
      </c>
      <c r="H13124" s="1" t="s">
        <v>29</v>
      </c>
      <c r="I13124" s="1" t="str">
        <f ca="1">IFERROR(__xludf.DUMMYFUNCTION("GOOGLETRANSLATE(F13124, ""auto"", ""en"")
"),"I’ve been looking for a good antivirus for a long time for my home. Having a computer and two laptops, one of which is a netbook, having browsed through various forums, I realized that it’s useless to look for which antivirus is better. Everyone likes the"&amp;"ir own. I bought Dr.Web Family Space and am very pleased. It works perfectly on all three of my devices (including a netbook), the system does not load or slow down. Plus, as a gift, there were three Dr.Web licenses for Simbian and Wndowsmobile. So I inst"&amp;"alled protection for your communicator and smartphone. For home use, an excellent product for the whole family. I recommend it.")</f>
        <v>I’ve been looking for a good antivirus for a long time for my home. Having a computer and two laptops, one of which is a netbook, having browsed through various forums, I realized that it’s useless to look for which antivirus is better. Everyone likes their own. I bought Dr.Web Family Space and am very pleased. It works perfectly on all three of my devices (including a netbook), the system does not load or slow down. Plus, as a gift, there were three Dr.Web licenses for Simbian and Wndowsmobile. So I installed protection for your communicator and smartphone. For home use, an excellent product for the whole family. I recommend it.</v>
      </c>
    </row>
    <row r="13125" spans="1:9" x14ac:dyDescent="0.3">
      <c r="A13125" s="1" t="s">
        <v>211</v>
      </c>
      <c r="B13125" s="1" t="s">
        <v>212</v>
      </c>
      <c r="C13125" s="1" t="s">
        <v>213</v>
      </c>
      <c r="D13125" s="1" t="s">
        <v>2764</v>
      </c>
      <c r="E13125" s="1" t="s">
        <v>1553</v>
      </c>
      <c r="F13125" s="1" t="s">
        <v>18355</v>
      </c>
      <c r="G13125" s="1" t="s">
        <v>36</v>
      </c>
      <c r="H13125" s="1" t="s">
        <v>29</v>
      </c>
      <c r="I13125" s="1" t="str">
        <f ca="1">IFERROR(__xludf.DUMMYFUNCTION("GOOGLETRANSLATE(F13125, ""auto"", ""en"")
"),"I really liked it, I haven’t seen anything better than a curling iron! Very comfortable, heats up quickly (Very quickly!), satin ionas are just great! It doesn't burn your hair, gives it elasticity, and the curls are just amazing!")</f>
        <v>I really liked it, I haven’t seen anything better than a curling iron! Very comfortable, heats up quickly (Very quickly!), satin ionas are just great! It doesn't burn your hair, gives it elasticity, and the curls are just amazing!</v>
      </c>
    </row>
    <row r="13126" spans="1:9" x14ac:dyDescent="0.3">
      <c r="A13126" s="1" t="s">
        <v>105</v>
      </c>
      <c r="B13126" s="1" t="s">
        <v>106</v>
      </c>
      <c r="C13126" s="1" t="s">
        <v>1921</v>
      </c>
      <c r="D13126" s="1" t="s">
        <v>127</v>
      </c>
      <c r="E13126" s="1" t="s">
        <v>2222</v>
      </c>
      <c r="F13126" s="1" t="s">
        <v>18356</v>
      </c>
      <c r="G13126" s="1" t="s">
        <v>36</v>
      </c>
      <c r="H13126" s="1" t="s">
        <v>29</v>
      </c>
      <c r="I13126" s="1" t="str">
        <f ca="1">IFERROR(__xludf.DUMMYFUNCTION("GOOGLETRANSLATE(F13126, ""auto"", ""en"")
"),"If you need a simple Mp3 player with radio, then this player will do! The headphones are good, the sound is of high quality, the voice recorder is mediocre... it records conversations well (very sensitive to noise or friction near the microphone), unfortu"&amp;"nately there is a problem with the video. flv files need to be converted first into avi, and then only into MTV (a video in MTV format lasting 15-20 minutes weighs about 100-170MB and this is a big minus, given that there is only 2GB of memory), the radio"&amp;" picks up normally (thanks to the headphones), the controls are not very convenient, you will have to get used to it, there are three games Tetris Snake and Boxes =)")</f>
        <v>If you need a simple Mp3 player with radio, then this player will do! The headphones are good, the sound is of high quality, the voice recorder is mediocre... it records conversations well (very sensitive to noise or friction near the microphone), unfortunately there is a problem with the video. flv files need to be converted first into avi, and then only into MTV (a video in MTV format lasting 15-20 minutes weighs about 100-170MB and this is a big minus, given that there is only 2GB of memory), the radio picks up normally (thanks to the headphones), the controls are not very convenient, you will have to get used to it, there are three games Tetris Snake and Boxes =)</v>
      </c>
    </row>
    <row r="13127" spans="1:9" x14ac:dyDescent="0.3">
      <c r="A13127" s="1" t="s">
        <v>149</v>
      </c>
      <c r="B13127" s="1" t="s">
        <v>423</v>
      </c>
      <c r="C13127" s="1" t="s">
        <v>80</v>
      </c>
      <c r="D13127" s="1" t="s">
        <v>11662</v>
      </c>
      <c r="E13127" s="1" t="s">
        <v>956</v>
      </c>
      <c r="F13127" s="1" t="s">
        <v>18357</v>
      </c>
      <c r="G13127" s="1" t="s">
        <v>15</v>
      </c>
      <c r="H13127" s="1" t="s">
        <v>16</v>
      </c>
      <c r="I13127" s="1" t="str">
        <f ca="1">IFERROR(__xludf.DUMMYFUNCTION("GOOGLETRANSLATE(F13127, ""auto"", ""en"")
"),"Somehow it has always been believed that LG is not a guarantor of any technology from a telephone to a vacuum cleaner. A weak brand technically, they spend more on design.    The vacuum cleaner is ordinary and never cleans 100%. Not worth the money.    It"&amp;" would be better if I bought a mini laptop, but obviously not LG/")</f>
        <v>Somehow it has always been believed that LG is not a guarantor of any technology from a telephone to a vacuum cleaner. A weak brand technically, they spend more on design.    The vacuum cleaner is ordinary and never cleans 100%. Not worth the money.    It would be better if I bought a mini laptop, but obviously not LG/</v>
      </c>
    </row>
    <row r="13128" spans="1:9" x14ac:dyDescent="0.3">
      <c r="A13128" s="1" t="s">
        <v>61</v>
      </c>
      <c r="B13128" s="1" t="s">
        <v>62</v>
      </c>
      <c r="C13128" s="1" t="s">
        <v>146</v>
      </c>
      <c r="D13128" s="1" t="s">
        <v>2096</v>
      </c>
      <c r="E13128" s="1" t="s">
        <v>9041</v>
      </c>
      <c r="F13128" s="1" t="s">
        <v>18358</v>
      </c>
      <c r="G13128" s="1" t="s">
        <v>36</v>
      </c>
      <c r="H13128" s="1" t="s">
        <v>29</v>
      </c>
      <c r="I13128" s="1" t="str">
        <f ca="1">IFERROR(__xludf.DUMMYFUNCTION("GOOGLETRANSLATE(F13128, ""auto"", ""en"")
"),"We bought it almost a year ago and use it often. Excellent combine! Takes up little space, easy to use. All operations are 5+. Our family is happy!")</f>
        <v>We bought it almost a year ago and use it often. Excellent combine! Takes up little space, easy to use. All operations are 5+. Our family is happy!</v>
      </c>
    </row>
    <row r="13129" spans="1:9" x14ac:dyDescent="0.3">
      <c r="A13129" s="1" t="s">
        <v>211</v>
      </c>
      <c r="B13129" s="1" t="s">
        <v>212</v>
      </c>
      <c r="C13129" s="1" t="s">
        <v>381</v>
      </c>
      <c r="D13129" s="1" t="s">
        <v>18359</v>
      </c>
      <c r="E13129" s="1" t="s">
        <v>3771</v>
      </c>
      <c r="F13129" s="1" t="s">
        <v>18360</v>
      </c>
      <c r="G13129" s="1" t="s">
        <v>36</v>
      </c>
      <c r="H13129" s="1" t="s">
        <v>29</v>
      </c>
      <c r="I13129" s="1" t="str">
        <f ca="1">IFERROR(__xludf.DUMMYFUNCTION("GOOGLETRANSLATE(F13129, ""auto"", ""en"")
"),"How convenient are narrow 25 mm curling irons for straightening medium-length hair?")</f>
        <v>How convenient are narrow 25 mm curling irons for straightening medium-length hair?</v>
      </c>
    </row>
    <row r="13130" spans="1:9" x14ac:dyDescent="0.3">
      <c r="A13130" s="1" t="s">
        <v>557</v>
      </c>
      <c r="B13130" s="1" t="s">
        <v>558</v>
      </c>
      <c r="C13130" s="1" t="s">
        <v>816</v>
      </c>
      <c r="D13130" s="1" t="s">
        <v>18361</v>
      </c>
      <c r="E13130" s="1" t="s">
        <v>2565</v>
      </c>
      <c r="F13130" s="1" t="s">
        <v>18362</v>
      </c>
      <c r="G13130" s="1" t="s">
        <v>36</v>
      </c>
      <c r="H13130" s="1" t="s">
        <v>29</v>
      </c>
      <c r="I13130" s="1" t="str">
        <f ca="1">IFERROR(__xludf.DUMMYFUNCTION("GOOGLETRANSLATE(F13130, ""auto"", ""en"")
"),"good phone, not buggy. convenient to hold in your hand, beautiful, convenient, you can dial a number with one hand. If anyone wants to buy, don't hesitate.")</f>
        <v>good phone, not buggy. convenient to hold in your hand, beautiful, convenient, you can dial a number with one hand. If anyone wants to buy, don't hesitate.</v>
      </c>
    </row>
    <row r="13131" spans="1:9" x14ac:dyDescent="0.3">
      <c r="A13131" s="1" t="s">
        <v>169</v>
      </c>
      <c r="B13131" s="1" t="s">
        <v>170</v>
      </c>
      <c r="C13131" s="1" t="s">
        <v>97</v>
      </c>
      <c r="D13131" s="1" t="s">
        <v>18363</v>
      </c>
      <c r="E13131" s="1" t="s">
        <v>187</v>
      </c>
      <c r="F13131" s="1" t="s">
        <v>18364</v>
      </c>
      <c r="G13131" s="1" t="s">
        <v>36</v>
      </c>
      <c r="H13131" s="1" t="s">
        <v>29</v>
      </c>
      <c r="I13131" s="1" t="str">
        <f ca="1">IFERROR(__xludf.DUMMYFUNCTION("GOOGLETRANSLATE(F13131, ""auto"", ""en"")
"),"People buy these headphones, they are super 5+")</f>
        <v>People buy these headphones, they are super 5+</v>
      </c>
    </row>
    <row r="13132" spans="1:9" x14ac:dyDescent="0.3">
      <c r="A13132" s="1" t="s">
        <v>43</v>
      </c>
      <c r="B13132" s="1" t="s">
        <v>44</v>
      </c>
      <c r="C13132" s="1" t="s">
        <v>185</v>
      </c>
      <c r="D13132" s="1" t="s">
        <v>589</v>
      </c>
      <c r="E13132" s="1" t="s">
        <v>460</v>
      </c>
      <c r="F13132" s="1" t="s">
        <v>18365</v>
      </c>
      <c r="G13132" s="1" t="s">
        <v>36</v>
      </c>
      <c r="H13132" s="1" t="s">
        <v>29</v>
      </c>
      <c r="I13132" s="1" t="str">
        <f ca="1">IFERROR(__xludf.DUMMYFUNCTION("GOOGLETRANSLATE(F13132, ""auto"", ""en"")
"),"We bought this fan 2 weeks ago by mistake, but we don’t regret it at all! The fan works flawlessly, almost silently. We were pleased with the purchase!")</f>
        <v>We bought this fan 2 weeks ago by mistake, but we don’t regret it at all! The fan works flawlessly, almost silently. We were pleased with the purchase!</v>
      </c>
    </row>
    <row r="13133" spans="1:9" x14ac:dyDescent="0.3">
      <c r="A13133" s="1" t="s">
        <v>120</v>
      </c>
      <c r="B13133" s="1" t="s">
        <v>121</v>
      </c>
      <c r="C13133" s="1" t="s">
        <v>80</v>
      </c>
      <c r="D13133" s="1" t="s">
        <v>172</v>
      </c>
      <c r="E13133" s="1" t="s">
        <v>1571</v>
      </c>
      <c r="F13133" s="1" t="s">
        <v>18366</v>
      </c>
      <c r="G13133" s="1" t="s">
        <v>36</v>
      </c>
      <c r="H13133" s="1" t="s">
        <v>29</v>
      </c>
      <c r="I13133" s="1" t="str">
        <f ca="1">IFERROR(__xludf.DUMMYFUNCTION("GOOGLETRANSLATE(F13133, ""auto"", ""en"")
"),"I've been watching TV for almost a year now, everything is great! The only thing that raises a question is the brightness setting, I think the standard there is 50 units, but it shows quite dark, especially during the day it’s not very easy to see, I adde"&amp;"d up to 65 brightness units, it seems to be normal!")</f>
        <v>I've been watching TV for almost a year now, everything is great! The only thing that raises a question is the brightness setting, I think the standard there is 50 units, but it shows quite dark, especially during the day it’s not very easy to see, I added up to 65 brightness units, it seems to be normal!</v>
      </c>
    </row>
    <row r="13134" spans="1:9" x14ac:dyDescent="0.3">
      <c r="A13134" s="1" t="s">
        <v>120</v>
      </c>
      <c r="B13134" s="1" t="s">
        <v>256</v>
      </c>
      <c r="C13134" s="1" t="s">
        <v>32</v>
      </c>
      <c r="D13134" s="1" t="s">
        <v>305</v>
      </c>
      <c r="E13134" s="1" t="s">
        <v>2512</v>
      </c>
      <c r="F13134" s="1" t="s">
        <v>18367</v>
      </c>
      <c r="G13134" s="1" t="s">
        <v>36</v>
      </c>
      <c r="H13134" s="1" t="s">
        <v>29</v>
      </c>
      <c r="I13134" s="1" t="str">
        <f ca="1">IFERROR(__xludf.DUMMYFUNCTION("GOOGLETRANSLATE(F13134, ""auto"", ""en"")
"),"I’ve been using this device for the second month, the choice was among 15""-19"" TVs. An excellent TV with many inputs and outputs, which is not unimportant nowadays. In general, I recommend that when choosing a TV set, when choosing a TV, look more at th"&amp;"e back panel and not at the front (you'll see enough), I connected the laptop via HDMI, everything is super!!! In the kitchen, lying down we watch a movie, and not huddled in front of a beech tree. The only good competitor Samsung 19"" the choice was betw"&amp;"een it. I didn’t find any shortcomings. I recommend 5++++")</f>
        <v>I’ve been using this device for the second month, the choice was among 15"-19" TVs. An excellent TV with many inputs and outputs, which is not unimportant nowadays. In general, I recommend that when choosing a TV set, when choosing a TV, look more at the back panel and not at the front (you'll see enough), I connected the laptop via HDMI, everything is super!!! In the kitchen, lying down we watch a movie, and not huddled in front of a beech tree. The only good competitor Samsung 19" the choice was between it. I didn’t find any shortcomings. I recommend 5++++</v>
      </c>
    </row>
    <row r="13135" spans="1:9" x14ac:dyDescent="0.3">
      <c r="A13135" s="1" t="s">
        <v>37</v>
      </c>
      <c r="B13135" s="1" t="s">
        <v>38</v>
      </c>
      <c r="C13135" s="1" t="s">
        <v>39</v>
      </c>
      <c r="D13135" s="1" t="s">
        <v>411</v>
      </c>
      <c r="E13135" s="1" t="s">
        <v>1742</v>
      </c>
      <c r="F13135" s="1" t="s">
        <v>18368</v>
      </c>
      <c r="G13135" s="1" t="s">
        <v>28</v>
      </c>
      <c r="H13135" s="1" t="s">
        <v>29</v>
      </c>
      <c r="I13135" s="1" t="str">
        <f ca="1">IFERROR(__xludf.DUMMYFUNCTION("GOOGLETRANSLATE(F13135, ""auto"", ""en"")
"),"I was looking for a device that would be both a phone and a player. I settled on this SE. I left positive impressions. His player is good and relatively functional. The volume is also good, both from the external speaker and the internal one. At maximum v"&amp;"olume, the call can be heard throughout the room, even if you put a pillow on the phone and cover it with a blanket.  The camera is purely telephone. It differs from quickshares from 1.3 only in that it saves the image in a larger size. However, there are"&amp;" programs for photo and video editing. They don’t have great capabilities, but it’s quite possible to edit a photo and send it to another phone via bluetooth. The latter, by the way, works well on the w580i.  There are disadvantages, but they only appear "&amp;"over time. Firstly. It is NOT suitable for SMS. The keys crack and fall off quite quickly with heavy use.  Over time, the phone sometimes begins to freeze. At first it seemed to me that this depends on the number of running applications (you can launch se"&amp;"veral of them and switch between them, which is very convenient) and the “weight” of the installed theme (it’s worth noting that the phone supports a flash menu and background, this allows you to make it stylish/unique/whatever you want in short. I put a "&amp;"flash clock on the screen. It goes with the phone’s time. Beautiful). But then I realized that this was not so. Fortunately, it doesn't freeze very often.  (I would like to note that the problem is with the phone itself and the next point that I will desc"&amp;"ribe occurs in all SEs of all series... apparently this is a payment for their “intelligence”, equalizers, etc.) The following was very upsetting: I have had the phone for almost 2 years. But the headphones started to malfunction. More precisely, even the"&amp;" connector of the phone itself (headphones have nothing to do with it). The same thing happened to another 5 SE around the same time that I know of. The other 7 from friends are working fine. So maybe it depends on the phone.  But in general terms, the ph"&amp;"one is good. I recently installed 4 GB. It's just like 2. A couple of days ago it showed itself to be shockproof as well. He fell from about 15 meters (onto tiles... tiles... I don’t know what to call it). Alive, safe and sound.  And finally, it has a goo"&amp;"d antenna. However, if there is no network and is not expected, it is better to switch the phone to “airplane mode”, otherwise the battery will run out in a matter of hours. And in general, flight mode can give you 2-3 hours of listening to music. The bat"&amp;"tery itself is also good. I didn’t count how much it was enough. I usually listen to music 6-8 hours a day. At first I charged the phone once every three days. Now it’s once every 1-2 days. But even after the “battery is low” signal, you can listen to mus"&amp;"ic for another 1.5 hours.")</f>
        <v>I was looking for a device that would be both a phone and a player. I settled on this SE. I left positive impressions. His player is good and relatively functional. The volume is also good, both from the external speaker and the internal one. At maximum volume, the call can be heard throughout the room, even if you put a pillow on the phone and cover it with a blanket.  The camera is purely telephone. It differs from quickshares from 1.3 only in that it saves the image in a larger size. However, there are programs for photo and video editing. They don’t have great capabilities, but it’s quite possible to edit a photo and send it to another phone via bluetooth. The latter, by the way, works well on the w580i.  There are disadvantages, but they only appear over time. Firstly. It is NOT suitable for SMS. The keys crack and fall off quite quickly with heavy use.  Over time, the phone sometimes begins to freeze. At first it seemed to me that this depends on the number of running applications (you can launch several of them and switch between them, which is very convenient) and the “weight” of the installed theme (it’s worth noting that the phone supports a flash menu and background, this allows you to make it stylish/unique/whatever you want in short. I put a flash clock on the screen. It goes with the phone’s time. Beautiful). But then I realized that this was not so. Fortunately, it doesn't freeze very often.  (I would like to note that the problem is with the phone itself and the next point that I will describe occurs in all SEs of all series... apparently this is a payment for their “intelligence”, equalizers, etc.) The following was very upsetting: I have had the phone for almost 2 years. But the headphones started to malfunction. More precisely, even the connector of the phone itself (headphones have nothing to do with it). The same thing happened to another 5 SE around the same time that I know of. The other 7 from friends are working fine. So maybe it depends on the phone.  But in general terms, the phone is good. I recently installed 4 GB. It's just like 2. A couple of days ago it showed itself to be shockproof as well. He fell from about 15 meters (onto tiles... tiles... I don’t know what to call it). Alive, safe and sound.  And finally, it has a good antenna. However, if there is no network and is not expected, it is better to switch the phone to “airplane mode”, otherwise the battery will run out in a matter of hours. And in general, flight mode can give you 2-3 hours of listening to music. The battery itself is also good. I didn’t count how much it was enough. I usually listen to music 6-8 hours a day. At first I charged the phone once every three days. Now it’s once every 1-2 days. But even after the “battery is low” signal, you can listen to music for another 1.5 hours.</v>
      </c>
    </row>
    <row r="13136" spans="1:9" x14ac:dyDescent="0.3">
      <c r="A13136" s="1" t="s">
        <v>9</v>
      </c>
      <c r="B13136" s="1" t="s">
        <v>10</v>
      </c>
      <c r="C13136" s="1" t="s">
        <v>466</v>
      </c>
      <c r="D13136" s="1" t="s">
        <v>247</v>
      </c>
      <c r="E13136" s="1" t="s">
        <v>18369</v>
      </c>
      <c r="F13136" s="1" t="s">
        <v>18370</v>
      </c>
      <c r="G13136" s="1" t="s">
        <v>28</v>
      </c>
      <c r="H13136" s="1" t="s">
        <v>29</v>
      </c>
      <c r="I13136" s="1" t="str">
        <f ca="1">IFERROR(__xludf.DUMMYFUNCTION("GOOGLETRANSLATE(F13136, ""auto"", ""en"")
"),"We needed an inexpensive hood under the cabinet. I have heard more than once from friends about the Krona company. I liked the hood I bought - well made, powerful and quiet. I don't regret the purchase.")</f>
        <v>We needed an inexpensive hood under the cabinet. I have heard more than once from friends about the Krona company. I liked the hood I bought - well made, powerful and quiet. I don't regret the purchase.</v>
      </c>
    </row>
    <row r="13137" spans="1:9" x14ac:dyDescent="0.3">
      <c r="A13137" s="1" t="s">
        <v>43</v>
      </c>
      <c r="B13137" s="1" t="s">
        <v>1370</v>
      </c>
      <c r="C13137" s="1" t="s">
        <v>304</v>
      </c>
      <c r="D13137" s="1" t="s">
        <v>18371</v>
      </c>
      <c r="E13137" s="1" t="s">
        <v>1866</v>
      </c>
      <c r="F13137" s="1" t="s">
        <v>18372</v>
      </c>
      <c r="G13137" s="1" t="s">
        <v>15</v>
      </c>
      <c r="H13137" s="1" t="s">
        <v>16</v>
      </c>
      <c r="I13137" s="1" t="str">
        <f ca="1">IFERROR(__xludf.DUMMYFUNCTION("GOOGLETRANSLATE(F13137, ""auto"", ""en"")
"),"The water heater has absolutely EVERYTHING made of plastic, which does not add reliability. In your hands, everything seems very fragile... To fully heat the water, you need to turn it on full, and for 5 kW you need to pull a separate cable from the panel"&amp;" (very desirable), otherwise the old wiring may not withstand it.   My water pressure dropped and the plastic tank on the water heater burst. I soldered it, but ended up throwing it away anyway.")</f>
        <v>The water heater has absolutely EVERYTHING made of plastic, which does not add reliability. In your hands, everything seems very fragile... To fully heat the water, you need to turn it on full, and for 5 kW you need to pull a separate cable from the panel (very desirable), otherwise the old wiring may not withstand it.   My water pressure dropped and the plastic tank on the water heater burst. I soldered it, but ended up throwing it away anyway.</v>
      </c>
    </row>
    <row r="13138" spans="1:9" x14ac:dyDescent="0.3">
      <c r="A13138" s="1" t="s">
        <v>211</v>
      </c>
      <c r="B13138" s="1" t="s">
        <v>899</v>
      </c>
      <c r="C13138" s="1" t="s">
        <v>213</v>
      </c>
      <c r="D13138" s="1" t="s">
        <v>18373</v>
      </c>
      <c r="E13138" s="1" t="s">
        <v>3004</v>
      </c>
      <c r="F13138" s="1" t="s">
        <v>18374</v>
      </c>
      <c r="G13138" s="1" t="s">
        <v>36</v>
      </c>
      <c r="H13138" s="1" t="s">
        <v>29</v>
      </c>
      <c r="I13138" s="1" t="str">
        <f ca="1">IFERROR(__xludf.DUMMYFUNCTION("GOOGLETRANSLATE(F13138, ""auto"", ""en"")
"),"The Oral-B Pro 500 Cross Action Electric Toothbrush is a rechargeable, gentle brush with a brush head that is 3 times better at removing plaque, especially along the gum line, than manual brushes.  The brush's gentle speed mode - 20,000 pulsating and 7,60"&amp;"0 reciprocating movements per minute - makes it an ideal solution for those with sensitive teeth and gums or who are fans of effective yet gentle brushing. Now there is no need to buy a brush with a special mode! The Oral-B Pro 500 electric brush is suita"&amp;"ble not only for adults, but also for young clean people!")</f>
        <v>The Oral-B Pro 500 Cross Action Electric Toothbrush is a rechargeable, gentle brush with a brush head that is 3 times better at removing plaque, especially along the gum line, than manual brushes.  The brush's gentle speed mode - 20,000 pulsating and 7,600 reciprocating movements per minute - makes it an ideal solution for those with sensitive teeth and gums or who are fans of effective yet gentle brushing. Now there is no need to buy a brush with a special mode! The Oral-B Pro 500 electric brush is suitable not only for adults, but also for young clean people!</v>
      </c>
    </row>
    <row r="13139" spans="1:9" x14ac:dyDescent="0.3">
      <c r="A13139" s="1" t="s">
        <v>61</v>
      </c>
      <c r="B13139" s="1" t="s">
        <v>62</v>
      </c>
      <c r="C13139" s="1" t="s">
        <v>146</v>
      </c>
      <c r="D13139" s="1" t="s">
        <v>86</v>
      </c>
      <c r="E13139" s="1" t="s">
        <v>772</v>
      </c>
      <c r="F13139" s="1" t="s">
        <v>18375</v>
      </c>
      <c r="G13139" s="1" t="s">
        <v>36</v>
      </c>
      <c r="H13139" s="1" t="s">
        <v>29</v>
      </c>
      <c r="I13139" s="1" t="str">
        <f ca="1">IFERROR(__xludf.DUMMYFUNCTION("GOOGLETRANSLATE(F13139, ""auto"", ""en"")
"),"An excellent processor for the money, and you can make cocktails in a blender. I really liked the fact that the processor is very compact!")</f>
        <v>An excellent processor for the money, and you can make cocktails in a blender. I really liked the fact that the processor is very compact!</v>
      </c>
    </row>
    <row r="13140" spans="1:9" x14ac:dyDescent="0.3">
      <c r="A13140" s="1" t="s">
        <v>120</v>
      </c>
      <c r="B13140" s="1" t="s">
        <v>196</v>
      </c>
      <c r="C13140" s="1" t="s">
        <v>151</v>
      </c>
      <c r="D13140" s="1" t="s">
        <v>1431</v>
      </c>
      <c r="E13140" s="1" t="s">
        <v>849</v>
      </c>
      <c r="F13140" s="1" t="s">
        <v>18376</v>
      </c>
      <c r="G13140" s="1" t="s">
        <v>36</v>
      </c>
      <c r="H13140" s="1" t="s">
        <v>29</v>
      </c>
      <c r="I13140" s="1" t="str">
        <f ca="1">IFERROR(__xludf.DUMMYFUNCTION("GOOGLETRANSLATE(F13140, ""auto"", ""en"")
"),"Cool device, I liked it.  There are a lot of settings, the picture is good, it’s a pity that video from USB doesn’t work.    works great with a same-brand cinema via HDMI - when you load a disc, the TV turns on/switches on its own IMHO Optimal price/quali"&amp;"ty/brand ratio I recommend")</f>
        <v>Cool device, I liked it.  There are a lot of settings, the picture is good, it’s a pity that video from USB doesn’t work.    works great with a same-brand cinema via HDMI - when you load a disc, the TV turns on/switches on its own IMHO Optimal price/quality/brand ratio I recommend</v>
      </c>
    </row>
    <row r="13141" spans="1:9" x14ac:dyDescent="0.3">
      <c r="A13141" s="1" t="s">
        <v>149</v>
      </c>
      <c r="B13141" s="1" t="s">
        <v>155</v>
      </c>
      <c r="C13141" s="1" t="s">
        <v>63</v>
      </c>
      <c r="D13141" s="1" t="s">
        <v>171</v>
      </c>
      <c r="E13141" s="1" t="s">
        <v>12453</v>
      </c>
      <c r="F13141" s="1" t="s">
        <v>18377</v>
      </c>
      <c r="G13141" s="1" t="s">
        <v>36</v>
      </c>
      <c r="H13141" s="1" t="s">
        <v>29</v>
      </c>
      <c r="I13141" s="1" t="str">
        <f ca="1">IFERROR(__xludf.DUMMYFUNCTION("GOOGLETRANSLATE(F13141, ""auto"", ""en"")
"),"I bought a vacuum cleaner from M Video for a promotion, and I’m very happy, my neighbor works quietly, the container is convenient, I advise everyone, you won’t regret it, it’s worth the money.")</f>
        <v>I bought a vacuum cleaner from M Video for a promotion, and I’m very happy, my neighbor works quietly, the container is convenient, I advise everyone, you won’t regret it, it’s worth the money.</v>
      </c>
    </row>
    <row r="13142" spans="1:9" x14ac:dyDescent="0.3">
      <c r="A13142" s="1" t="s">
        <v>43</v>
      </c>
      <c r="B13142" s="1" t="s">
        <v>44</v>
      </c>
      <c r="C13142" s="1" t="s">
        <v>101</v>
      </c>
      <c r="D13142" s="1" t="s">
        <v>114</v>
      </c>
      <c r="E13142" s="1" t="s">
        <v>555</v>
      </c>
      <c r="F13142" s="1" t="s">
        <v>18378</v>
      </c>
      <c r="G13142" s="1" t="s">
        <v>15</v>
      </c>
      <c r="H13142" s="1" t="s">
        <v>16</v>
      </c>
      <c r="I13142" s="1" t="str">
        <f ca="1">IFERROR(__xludf.DUMMYFUNCTION("GOOGLETRANSLATE(F13142, ""auto"", ""en"")
"),"I bought it yesterday and assembled it (the fact that the crosspiece at the bottom is wrinkled and there is a crack in the mount of the head with the motor is still okay), but after 10 minutes of work the acrid smell of plastic began, it stood on the balc"&amp;"ony all night, the smell did not go away, I’ll go and return it.")</f>
        <v>I bought it yesterday and assembled it (the fact that the crosspiece at the bottom is wrinkled and there is a crack in the mount of the head with the motor is still okay), but after 10 minutes of work the acrid smell of plastic began, it stood on the balcony all night, the smell did not go away, I’ll go and return it.</v>
      </c>
    </row>
    <row r="13143" spans="1:9" x14ac:dyDescent="0.3">
      <c r="A13143" s="1" t="s">
        <v>61</v>
      </c>
      <c r="B13143" s="1" t="s">
        <v>145</v>
      </c>
      <c r="C13143" s="1" t="s">
        <v>246</v>
      </c>
      <c r="D13143" s="1" t="s">
        <v>565</v>
      </c>
      <c r="E13143" s="1" t="s">
        <v>1540</v>
      </c>
      <c r="F13143" s="1" t="s">
        <v>18379</v>
      </c>
      <c r="G13143" s="1" t="s">
        <v>36</v>
      </c>
      <c r="H13143" s="1" t="s">
        <v>29</v>
      </c>
      <c r="I13143" s="1" t="str">
        <f ca="1">IFERROR(__xludf.DUMMYFUNCTION("GOOGLETRANSLATE(F13143, ""auto"", ""en"")
"),"A great gift and kitchen appliance. Easy to clean with schumanite. Only advantages. Buy it, you won’t regret it, especially the lazy ones)))")</f>
        <v>A great gift and kitchen appliance. Easy to clean with schumanite. Only advantages. Buy it, you won’t regret it, especially the lazy ones)))</v>
      </c>
    </row>
    <row r="13144" spans="1:9" x14ac:dyDescent="0.3">
      <c r="A13144" s="1" t="s">
        <v>37</v>
      </c>
      <c r="B13144" s="1" t="s">
        <v>536</v>
      </c>
      <c r="C13144" s="1" t="s">
        <v>163</v>
      </c>
      <c r="D13144" s="1" t="s">
        <v>487</v>
      </c>
      <c r="E13144" s="1" t="s">
        <v>1576</v>
      </c>
      <c r="F13144" s="1" t="s">
        <v>18380</v>
      </c>
      <c r="G13144" s="1" t="s">
        <v>36</v>
      </c>
      <c r="H13144" s="1" t="s">
        <v>29</v>
      </c>
      <c r="I13144" s="1" t="str">
        <f ca="1">IFERROR(__xludf.DUMMYFUNCTION("GOOGLETRANSLATE(F13144, ""auto"", ""en"")
"),"The phone is very good for its price! And don’t say that the 5800 is better than the 5230. They have the same brains and the same screens, I don’t see the point of overpaying for Wi-Fi, a slightly stronger camera, a second speaker and a stylus! My verdict"&amp;": THE PHONE IS A SUCCESS!")</f>
        <v>The phone is very good for its price! And don’t say that the 5800 is better than the 5230. They have the same brains and the same screens, I don’t see the point of overpaying for Wi-Fi, a slightly stronger camera, a second speaker and a stylus! My verdict: THE PHONE IS A SUCCESS!</v>
      </c>
    </row>
    <row r="13145" spans="1:9" x14ac:dyDescent="0.3">
      <c r="A13145" s="1" t="s">
        <v>37</v>
      </c>
      <c r="B13145" s="1" t="s">
        <v>38</v>
      </c>
      <c r="C13145" s="1" t="s">
        <v>151</v>
      </c>
      <c r="D13145" s="1" t="s">
        <v>64</v>
      </c>
      <c r="E13145" s="1" t="s">
        <v>508</v>
      </c>
      <c r="F13145" s="1" t="s">
        <v>18381</v>
      </c>
      <c r="G13145" s="1" t="s">
        <v>36</v>
      </c>
      <c r="H13145" s="1" t="s">
        <v>29</v>
      </c>
      <c r="I13145" s="1" t="str">
        <f ca="1">IFERROR(__xludf.DUMMYFUNCTION("GOOGLETRANSLATE(F13145, ""auto"", ""en"")
"),"The phone is excellent! I’m very pleased with the purchase! Large display, comfortable keyboard, clear sound, even photos in the light are of quite decent quality. The charge lasts for 5 days (which was very pleasing), even with heavy use of the player, r"&amp;"adio, etc. The menu is a little confusing, but you can figure it out quickly. Samsung again pleased me. The device is mainly for girls)) Stylish, pleasant, convenient!")</f>
        <v>The phone is excellent! I’m very pleased with the purchase! Large display, comfortable keyboard, clear sound, even photos in the light are of quite decent quality. The charge lasts for 5 days (which was very pleasing), even with heavy use of the player, radio, etc. The menu is a little confusing, but you can figure it out quickly. Samsung again pleased me. The device is mainly for girls)) Stylish, pleasant, convenient!</v>
      </c>
    </row>
    <row r="13146" spans="1:9" x14ac:dyDescent="0.3">
      <c r="A13146" s="1" t="s">
        <v>61</v>
      </c>
      <c r="B13146" s="1" t="s">
        <v>318</v>
      </c>
      <c r="C13146" s="1" t="s">
        <v>57</v>
      </c>
      <c r="D13146" s="1" t="s">
        <v>565</v>
      </c>
      <c r="E13146" s="1" t="s">
        <v>3262</v>
      </c>
      <c r="F13146" s="1" t="s">
        <v>18382</v>
      </c>
      <c r="G13146" s="1" t="s">
        <v>36</v>
      </c>
      <c r="H13146" s="1" t="s">
        <v>29</v>
      </c>
      <c r="I13146" s="1" t="str">
        <f ca="1">IFERROR(__xludf.DUMMYFUNCTION("GOOGLETRANSLATE(F13146, ""auto"", ""en"")
"),"Before that, I first chose a 2400W kettle, but it knocked out the plugs for us (a private house and old wiring). We chose this 2000W kettle and are very pleased! 1.7 liters boils in 5 minutes, at minimum (0.5 liters) in about 2 minutes, but for us this is"&amp;" not critical. Externally very beautiful, stylish, so small, takes up little space.  The handle is rubberized and does not slip out. It’s not clear why they made the filter - it just dangles like that, I just don’t understand what the manufacturers had in"&amp;" mind when they created a filter for this kettle - the filter is not involved in the process either when pouring water into the kettle or pouring it into a mug.  It’s convenient to pour boiling water into a mug; nothing leaks. In short, if the boiling spe"&amp;"ed is not important, then the ideal choice!")</f>
        <v>Before that, I first chose a 2400W kettle, but it knocked out the plugs for us (a private house and old wiring). We chose this 2000W kettle and are very pleased! 1.7 liters boils in 5 minutes, at minimum (0.5 liters) in about 2 minutes, but for us this is not critical. Externally very beautiful, stylish, so small, takes up little space.  The handle is rubberized and does not slip out. It’s not clear why they made the filter - it just dangles like that, I just don’t understand what the manufacturers had in mind when they created a filter for this kettle - the filter is not involved in the process either when pouring water into the kettle or pouring it into a mug.  It’s convenient to pour boiling water into a mug; nothing leaks. In short, if the boiling speed is not important, then the ideal choice!</v>
      </c>
    </row>
    <row r="13147" spans="1:9" x14ac:dyDescent="0.3">
      <c r="A13147" s="1" t="s">
        <v>211</v>
      </c>
      <c r="B13147" s="1" t="s">
        <v>212</v>
      </c>
      <c r="C13147" s="1" t="s">
        <v>381</v>
      </c>
      <c r="D13147" s="1" t="s">
        <v>545</v>
      </c>
      <c r="E13147" s="1" t="s">
        <v>1745</v>
      </c>
      <c r="F13147" s="1" t="s">
        <v>18383</v>
      </c>
      <c r="G13147" s="1" t="s">
        <v>36</v>
      </c>
      <c r="H13147" s="1" t="s">
        <v>29</v>
      </c>
      <c r="I13147" s="1" t="str">
        <f ca="1">IFERROR(__xludf.DUMMYFUNCTION("GOOGLETRANSLATE(F13147, ""auto"", ""en"")
"),"Thanks to my favorite store!!!! It works almost like a salon one! Normal familiar buttons")</f>
        <v>Thanks to my favorite store!!!! It works almost like a salon one! Normal familiar buttons</v>
      </c>
    </row>
    <row r="13148" spans="1:9" x14ac:dyDescent="0.3">
      <c r="A13148" s="1" t="s">
        <v>149</v>
      </c>
      <c r="B13148" s="1" t="s">
        <v>150</v>
      </c>
      <c r="C13148" s="1" t="s">
        <v>57</v>
      </c>
      <c r="D13148" s="1" t="s">
        <v>327</v>
      </c>
      <c r="E13148" s="1" t="s">
        <v>3448</v>
      </c>
      <c r="F13148" s="1" t="s">
        <v>18384</v>
      </c>
      <c r="G13148" s="1" t="s">
        <v>28</v>
      </c>
      <c r="H13148" s="1" t="s">
        <v>29</v>
      </c>
      <c r="I13148" s="1" t="str">
        <f ca="1">IFERROR(__xludf.DUMMYFUNCTION("GOOGLETRANSLATE(F13148, ""auto"", ""en"")
"),"A normal device for its price, but not enough power. Before this, I bought a vacuum cleaner at the market for 700 rubles with one nozzle with a power of 36 watts, it worked for a year and did not break, also China. In terms of power, they are the same as "&amp;"the new one, although it says 90 watts. I liked the number of attachments included in the set for the chairs; there is also an attachment. For the company Black &amp; Decker, we overpay for the brand, I wanted to order the same one on the Internet, also China")</f>
        <v>A normal device for its price, but not enough power. Before this, I bought a vacuum cleaner at the market for 700 rubles with one nozzle with a power of 36 watts, it worked for a year and did not break, also China. In terms of power, they are the same as the new one, although it says 90 watts. I liked the number of attachments included in the set for the chairs; there is also an attachment. For the company Black &amp; Decker, we overpay for the brand, I wanted to order the same one on the Internet, also China</v>
      </c>
    </row>
    <row r="13149" spans="1:9" x14ac:dyDescent="0.3">
      <c r="A13149" s="1" t="s">
        <v>206</v>
      </c>
      <c r="B13149" s="1" t="s">
        <v>207</v>
      </c>
      <c r="C13149" s="1" t="s">
        <v>1143</v>
      </c>
      <c r="D13149" s="1" t="s">
        <v>18385</v>
      </c>
      <c r="E13149" s="1" t="s">
        <v>10965</v>
      </c>
      <c r="F13149" s="1" t="s">
        <v>18386</v>
      </c>
      <c r="G13149" s="1" t="s">
        <v>28</v>
      </c>
      <c r="H13149" s="1" t="s">
        <v>29</v>
      </c>
      <c r="I13149" s="1" t="str">
        <f ca="1">IFERROR(__xludf.DUMMYFUNCTION("GOOGLETRANSLATE(F13149, ""auto"", ""en"")
"),"The design is excellent, the sub is not very good, it choke, the bottom draw sucks!!!")</f>
        <v>The design is excellent, the sub is not very good, it choke, the bottom draw sucks!!!</v>
      </c>
    </row>
    <row r="13150" spans="1:9" x14ac:dyDescent="0.3">
      <c r="A13150" s="1" t="s">
        <v>732</v>
      </c>
      <c r="B13150" s="1" t="s">
        <v>733</v>
      </c>
      <c r="C13150" s="1" t="s">
        <v>80</v>
      </c>
      <c r="D13150" s="1" t="s">
        <v>695</v>
      </c>
      <c r="E13150" s="1" t="s">
        <v>3169</v>
      </c>
      <c r="F13150" s="1" t="s">
        <v>18387</v>
      </c>
      <c r="G13150" s="1" t="s">
        <v>15</v>
      </c>
      <c r="H13150" s="1" t="s">
        <v>16</v>
      </c>
      <c r="I13150" s="1" t="str">
        <f ca="1">IFERROR(__xludf.DUMMYFUNCTION("GOOGLETRANSLATE(F13150, ""auto"", ""en"")
"),"After a month of use, a pixel appeared, constantly glowing green.   It's a shame, although when I bought it in the store there was no such thing, no one is immune from this, so be careful")</f>
        <v>After a month of use, a pixel appeared, constantly glowing green.   It's a shame, although when I bought it in the store there was no such thing, no one is immune from this, so be careful</v>
      </c>
    </row>
    <row r="13151" spans="1:9" x14ac:dyDescent="0.3">
      <c r="A13151" s="1" t="s">
        <v>169</v>
      </c>
      <c r="B13151" s="1" t="s">
        <v>170</v>
      </c>
      <c r="C13151" s="1" t="s">
        <v>193</v>
      </c>
      <c r="D13151" s="1" t="s">
        <v>2550</v>
      </c>
      <c r="E13151" s="1" t="s">
        <v>1695</v>
      </c>
      <c r="F13151" s="1" t="s">
        <v>18388</v>
      </c>
      <c r="G13151" s="1" t="s">
        <v>28</v>
      </c>
      <c r="H13151" s="1" t="s">
        <v>29</v>
      </c>
      <c r="I13151" s="1" t="str">
        <f ca="1">IFERROR(__xludf.DUMMYFUNCTION("GOOGLETRANSLATE(F13151, ""auto"", ""en"")
"),"The sound is good, dynamic, the high frequencies do not mix, turning into the background and there is no unnecessary noise like in cheap Chinese headphones. In general, the sound is clear kagbe HD. The tonal balance is flat, low-mid-high, high-frequency i"&amp;"s on par, the frequency of the bass is not very low, but it is enough, there is a strong stereo effect. At first they put a lot of pressure on the ears, but they don’t fly off. I'm happy with the purchase, it's worth the price.")</f>
        <v>The sound is good, dynamic, the high frequencies do not mix, turning into the background and there is no unnecessary noise like in cheap Chinese headphones. In general, the sound is clear kagbe HD. The tonal balance is flat, low-mid-high, high-frequency is on par, the frequency of the bass is not very low, but it is enough, there is a strong stereo effect. At first they put a lot of pressure on the ears, but they don’t fly off. I'm happy with the purchase, it's worth the price.</v>
      </c>
    </row>
    <row r="13152" spans="1:9" x14ac:dyDescent="0.3">
      <c r="A13152" s="1" t="s">
        <v>55</v>
      </c>
      <c r="B13152" s="1" t="s">
        <v>235</v>
      </c>
      <c r="C13152" s="1" t="s">
        <v>1341</v>
      </c>
      <c r="D13152" s="1" t="s">
        <v>305</v>
      </c>
      <c r="E13152" s="1" t="s">
        <v>421</v>
      </c>
      <c r="F13152" s="1" t="s">
        <v>18389</v>
      </c>
      <c r="G13152" s="1" t="s">
        <v>28</v>
      </c>
      <c r="H13152" s="1" t="s">
        <v>29</v>
      </c>
      <c r="I13152" s="1" t="str">
        <f ca="1">IFERROR(__xludf.DUMMYFUNCTION("GOOGLETRANSLATE(F13152, ""auto"", ""en"")
"),"I bought this one. Blows hot air. Two blowing powers, there is a thermostat. Great stuff!")</f>
        <v>I bought this one. Blows hot air. Two blowing powers, there is a thermostat. Great stuff!</v>
      </c>
    </row>
    <row r="13153" spans="1:9" x14ac:dyDescent="0.3">
      <c r="A13153" s="1" t="s">
        <v>95</v>
      </c>
      <c r="B13153" s="1" t="s">
        <v>96</v>
      </c>
      <c r="C13153" s="1" t="s">
        <v>97</v>
      </c>
      <c r="D13153" s="1" t="s">
        <v>548</v>
      </c>
      <c r="E13153" s="1" t="s">
        <v>430</v>
      </c>
      <c r="F13153" s="1" t="s">
        <v>18390</v>
      </c>
      <c r="G13153" s="1" t="s">
        <v>36</v>
      </c>
      <c r="H13153" s="1" t="s">
        <v>29</v>
      </c>
      <c r="I13153" s="1" t="str">
        <f ca="1">IFERROR(__xludf.DUMMYFUNCTION("GOOGLETRANSLATE(F13153, ""auto"", ""en"")
"),"I'M DELIGHTED WITH ZYZY, it's super, buy everything for your children and yourself, for everyone!!!")</f>
        <v>I'M DELIGHTED WITH ZYZY, it's super, buy everything for your children and yourself, for everyone!!!</v>
      </c>
    </row>
    <row r="13154" spans="1:9" x14ac:dyDescent="0.3">
      <c r="A13154" s="1" t="s">
        <v>211</v>
      </c>
      <c r="B13154" s="1" t="s">
        <v>265</v>
      </c>
      <c r="C13154" s="1" t="s">
        <v>69</v>
      </c>
      <c r="D13154" s="1" t="s">
        <v>545</v>
      </c>
      <c r="E13154" s="1" t="s">
        <v>3757</v>
      </c>
      <c r="F13154" s="1" t="s">
        <v>18391</v>
      </c>
      <c r="G13154" s="1" t="s">
        <v>36</v>
      </c>
      <c r="H13154" s="1" t="s">
        <v>29</v>
      </c>
      <c r="I13154" s="1" t="str">
        <f ca="1">IFERROR(__xludf.DUMMYFUNCTION("GOOGLETRANSLATE(F13154, ""auto"", ""en"")
"),"An excellent machine, it works flawlessly, it has been in use for more than 3 years and has never failed.")</f>
        <v>An excellent machine, it works flawlessly, it has been in use for more than 3 years and has never failed.</v>
      </c>
    </row>
    <row r="13155" spans="1:9" x14ac:dyDescent="0.3">
      <c r="A13155" s="1" t="s">
        <v>89</v>
      </c>
      <c r="B13155" s="1" t="s">
        <v>231</v>
      </c>
      <c r="C13155" s="1" t="s">
        <v>185</v>
      </c>
      <c r="D13155" s="1" t="s">
        <v>152</v>
      </c>
      <c r="E13155" s="1" t="s">
        <v>15442</v>
      </c>
      <c r="F13155" s="1" t="s">
        <v>18392</v>
      </c>
      <c r="G13155" s="1" t="s">
        <v>36</v>
      </c>
      <c r="H13155" s="1" t="s">
        <v>29</v>
      </c>
      <c r="I13155" s="1" t="str">
        <f ca="1">IFERROR(__xludf.DUMMYFUNCTION("GOOGLETRANSLATE(F13155, ""auto"", ""en"")
"),"An excellent coffee machine in terms of price/quality ratio, the coffee brews is delicious, I use Paulig President coffee beans.")</f>
        <v>An excellent coffee machine in terms of price/quality ratio, the coffee brews is delicious, I use Paulig President coffee beans.</v>
      </c>
    </row>
    <row r="13156" spans="1:9" x14ac:dyDescent="0.3">
      <c r="A13156" s="1" t="s">
        <v>95</v>
      </c>
      <c r="B13156" s="1" t="s">
        <v>486</v>
      </c>
      <c r="C13156" s="1" t="s">
        <v>487</v>
      </c>
      <c r="D13156" s="1" t="s">
        <v>18393</v>
      </c>
      <c r="E13156" s="1" t="s">
        <v>4862</v>
      </c>
      <c r="F13156" s="1" t="s">
        <v>18394</v>
      </c>
      <c r="G13156" s="1" t="s">
        <v>36</v>
      </c>
      <c r="H13156" s="1" t="s">
        <v>29</v>
      </c>
      <c r="I13156" s="1" t="str">
        <f ca="1">IFERROR(__xludf.DUMMYFUNCTION("GOOGLETRANSLATE(F13156, ""auto"", ""en"")
"),"I'm going to buy.  Can anyone tell me how long it takes to charge the joystick.")</f>
        <v>I'm going to buy.  Can anyone tell me how long it takes to charge the joystick.</v>
      </c>
    </row>
    <row r="13157" spans="1:9" x14ac:dyDescent="0.3">
      <c r="A13157" s="1" t="s">
        <v>89</v>
      </c>
      <c r="B13157" s="1" t="s">
        <v>231</v>
      </c>
      <c r="C13157" s="1" t="s">
        <v>185</v>
      </c>
      <c r="D13157" s="1" t="s">
        <v>8127</v>
      </c>
      <c r="E13157" s="1" t="s">
        <v>4490</v>
      </c>
      <c r="F13157" s="1" t="s">
        <v>18395</v>
      </c>
      <c r="G13157" s="1" t="s">
        <v>36</v>
      </c>
      <c r="H13157" s="1" t="s">
        <v>29</v>
      </c>
      <c r="I13157" s="1" t="str">
        <f ca="1">IFERROR(__xludf.DUMMYFUNCTION("GOOGLETRANSLATE(F13157, ""auto"", ""en"")
"),"It works great, the controls are clear, it wouldn’t hurt to increase the volume of the clean water container.")</f>
        <v>It works great, the controls are clear, it wouldn’t hurt to increase the volume of the clean water container.</v>
      </c>
    </row>
    <row r="13158" spans="1:9" x14ac:dyDescent="0.3">
      <c r="A13158" s="1" t="s">
        <v>17</v>
      </c>
      <c r="B13158" s="1" t="s">
        <v>18</v>
      </c>
      <c r="C13158" s="1" t="s">
        <v>63</v>
      </c>
      <c r="D13158" s="1" t="s">
        <v>565</v>
      </c>
      <c r="E13158" s="1" t="s">
        <v>4012</v>
      </c>
      <c r="F13158" s="1" t="s">
        <v>18396</v>
      </c>
      <c r="G13158" s="1" t="s">
        <v>36</v>
      </c>
      <c r="H13158" s="1" t="s">
        <v>29</v>
      </c>
      <c r="I13158" s="1" t="str">
        <f ca="1">IFERROR(__xludf.DUMMYFUNCTION("GOOGLETRANSLATE(F13158, ""auto"", ""en"")
"),"I bought a Bosch WLX20462OE washing machine, took a long time to choose, read a lot of reviews and settled on Bosch. Very pleased, just installed, tested the 15-minute wash, washed for 17 minutes, super! It works very quietly, spins well, I'm happy with t"&amp;"he purchase!")</f>
        <v>I bought a Bosch WLX20462OE washing machine, took a long time to choose, read a lot of reviews and settled on Bosch. Very pleased, just installed, tested the 15-minute wash, washed for 17 minutes, super! It works very quietly, spins well, I'm happy with the purchase!</v>
      </c>
    </row>
    <row r="13159" spans="1:9" x14ac:dyDescent="0.3">
      <c r="A13159" s="1" t="s">
        <v>61</v>
      </c>
      <c r="B13159" s="1" t="s">
        <v>977</v>
      </c>
      <c r="C13159" s="1" t="s">
        <v>122</v>
      </c>
      <c r="D13159" s="1" t="s">
        <v>589</v>
      </c>
      <c r="E13159" s="1" t="s">
        <v>2153</v>
      </c>
      <c r="F13159" s="1" t="s">
        <v>18397</v>
      </c>
      <c r="G13159" s="1" t="s">
        <v>36</v>
      </c>
      <c r="H13159" s="1" t="s">
        <v>29</v>
      </c>
      <c r="I13159" s="1" t="str">
        <f ca="1">IFERROR(__xludf.DUMMYFUNCTION("GOOGLETRANSLATE(F13159, ""auto"", ""en"")
"),"We have been using this blender for a year now and are very pleased! Since the bowl is glass, it looks like new (it has not been painted or scratched during use).  A small mill is convenient for a child to grind cereals.    In general, it’s not for nothin"&amp;"g that the blender is Panasonic. The company has once again confirmed the quality of its products!")</f>
        <v>We have been using this blender for a year now and are very pleased! Since the bowl is glass, it looks like new (it has not been painted or scratched during use).  A small mill is convenient for a child to grind cereals.    In general, it’s not for nothing that the blender is Panasonic. The company has once again confirmed the quality of its products!</v>
      </c>
    </row>
    <row r="13160" spans="1:9" x14ac:dyDescent="0.3">
      <c r="A13160" s="1" t="s">
        <v>9</v>
      </c>
      <c r="B13160" s="1" t="s">
        <v>137</v>
      </c>
      <c r="C13160" s="1" t="s">
        <v>466</v>
      </c>
      <c r="D13160" s="1" t="s">
        <v>139</v>
      </c>
      <c r="E13160" s="1" t="s">
        <v>10664</v>
      </c>
      <c r="F13160" s="1" t="s">
        <v>18398</v>
      </c>
      <c r="G13160" s="1" t="s">
        <v>15</v>
      </c>
      <c r="H13160" s="1" t="s">
        <v>16</v>
      </c>
      <c r="I13160" s="1" t="str">
        <f ca="1">IFERROR(__xludf.DUMMYFUNCTION("GOOGLETRANSLATE(F13160, ""auto"", ""en"")
"),"I changed it under warranty 2 times... fortunately the guys from Mvideo organized it all without any problems! The first time I changed it because of problems with the gas control (after 3 days), the second time because the most needed, large burner simpl"&amp;"y stopped working (a month of operation). Of all the advantages, perhaps only the design. It turned out to be not very easy to clean; the grates really fidget constantly, walking on the surface. To kindle things like that is a whole story...")</f>
        <v>I changed it under warranty 2 times... fortunately the guys from Mvideo organized it all without any problems! The first time I changed it because of problems with the gas control (after 3 days), the second time because the most needed, large burner simply stopped working (a month of operation). Of all the advantages, perhaps only the design. It turned out to be not very easy to clean; the grates really fidget constantly, walking on the surface. To kindle things like that is a whole story...</v>
      </c>
    </row>
    <row r="13161" spans="1:9" x14ac:dyDescent="0.3">
      <c r="A13161" s="1" t="s">
        <v>211</v>
      </c>
      <c r="B13161" s="1" t="s">
        <v>515</v>
      </c>
      <c r="C13161" s="1" t="s">
        <v>213</v>
      </c>
      <c r="D13161" s="1" t="s">
        <v>589</v>
      </c>
      <c r="E13161" s="1" t="s">
        <v>8151</v>
      </c>
      <c r="F13161" s="1" t="s">
        <v>18399</v>
      </c>
      <c r="G13161" s="1" t="s">
        <v>1580</v>
      </c>
      <c r="H13161" s="1" t="s">
        <v>29</v>
      </c>
      <c r="I13161" s="1" t="str">
        <f ca="1">IFERROR(__xludf.DUMMYFUNCTION("GOOGLETRANSLATE(F13161, ""auto"", ""en"")
"),"Removes hair from the root")</f>
        <v>Removes hair from the root</v>
      </c>
    </row>
    <row r="13162" spans="1:9" x14ac:dyDescent="0.3">
      <c r="A13162" s="1" t="s">
        <v>37</v>
      </c>
      <c r="B13162" s="1" t="s">
        <v>38</v>
      </c>
      <c r="C13162" s="1" t="s">
        <v>151</v>
      </c>
      <c r="D13162" s="1" t="s">
        <v>11087</v>
      </c>
      <c r="E13162" s="1" t="s">
        <v>346</v>
      </c>
      <c r="F13162" s="1" t="s">
        <v>18400</v>
      </c>
      <c r="G13162" s="1" t="s">
        <v>36</v>
      </c>
      <c r="H13162" s="1" t="s">
        <v>29</v>
      </c>
      <c r="I13162" s="1" t="str">
        <f ca="1">IFERROR(__xludf.DUMMYFUNCTION("GOOGLETRANSLATE(F13162, ""auto"", ""en"")
"),"For that kind of money: 1640 rub. The phone is just a fairy tale! It has virtually everything! Camera, memory card (installation), radio without headset, player, MMS In short, everything!!! Beautiful and convenient!!!")</f>
        <v>For that kind of money: 1640 rub. The phone is just a fairy tale! It has virtually everything! Camera, memory card (installation), radio without headset, player, MMS In short, everything!!! Beautiful and convenient!!!</v>
      </c>
    </row>
    <row r="13163" spans="1:9" x14ac:dyDescent="0.3">
      <c r="A13163" s="1" t="s">
        <v>169</v>
      </c>
      <c r="B13163" s="1" t="s">
        <v>170</v>
      </c>
      <c r="C13163" s="1" t="s">
        <v>122</v>
      </c>
      <c r="D13163" s="1" t="s">
        <v>280</v>
      </c>
      <c r="E13163" s="1" t="s">
        <v>7948</v>
      </c>
      <c r="F13163" s="1" t="s">
        <v>18401</v>
      </c>
      <c r="G13163" s="1" t="s">
        <v>49</v>
      </c>
      <c r="H13163" s="1" t="s">
        <v>16</v>
      </c>
      <c r="I13163" s="1" t="str">
        <f ca="1">IFERROR(__xludf.DUMMYFUNCTION("GOOGLETRANSLATE(F13163, ""auto"", ""en"")
"),"""+"" Made very carefully. Ergonomic.    ""-"" The sound is simply unbearable. Firstly, they are very deaf, and secondly, they wheeze. I took it for a synthesizer. One note still sounds without wheezing, but 2-3 notes at the same time sound wheezing. In s"&amp;"hort, it cannot stand polyphony.")</f>
        <v>"+" Made very carefully. Ergonomic.    "-" The sound is simply unbearable. Firstly, they are very deaf, and secondly, they wheeze. I took it for a synthesizer. One note still sounds without wheezing, but 2-3 notes at the same time sound wheezing. In short, it cannot stand polyphony.</v>
      </c>
    </row>
    <row r="13164" spans="1:9" x14ac:dyDescent="0.3">
      <c r="A13164" s="1" t="s">
        <v>30</v>
      </c>
      <c r="B13164" s="1" t="s">
        <v>50</v>
      </c>
      <c r="C13164" s="1" t="s">
        <v>1003</v>
      </c>
      <c r="D13164" s="1" t="s">
        <v>139</v>
      </c>
      <c r="E13164" s="1" t="s">
        <v>363</v>
      </c>
      <c r="F13164" s="1" t="s">
        <v>18402</v>
      </c>
      <c r="G13164" s="1" t="s">
        <v>36</v>
      </c>
      <c r="H13164" s="1" t="s">
        <v>29</v>
      </c>
      <c r="I13164" s="1" t="str">
        <f ca="1">IFERROR(__xludf.DUMMYFUNCTION("GOOGLETRANSLATE(F13164, ""auto"", ""en"")
"),"I bought it in mid-March 2010. Vidyukha is powerful - games really run at maximum. Performance is good. I liked Seven.   Of the minuses: the volume control (touch) in the game cannot be used - it throws the table on the slave, or even worse - it hangs. An"&amp;"d the screen - you need to look strictly straight - you look down = up a little and immediately darkens or brightens. Yes, and they sold me a defective one - it doesn’t see the battery - it only works from the network. They wrote a lot about the noise - e"&amp;"verything is wonderful - quiet!!! During the game - a little louder - this is understandable - the game Crisis is at its maximum!!!")</f>
        <v>I bought it in mid-March 2010. Vidyukha is powerful - games really run at maximum. Performance is good. I liked Seven.   Of the minuses: the volume control (touch) in the game cannot be used - it throws the table on the slave, or even worse - it hangs. And the screen - you need to look strictly straight - you look down = up a little and immediately darkens or brightens. Yes, and they sold me a defective one - it doesn’t see the battery - it only works from the network. They wrote a lot about the noise - everything is wonderful - quiet!!! During the game - a little louder - this is understandable - the game Crisis is at its maximum!!!</v>
      </c>
    </row>
    <row r="13165" spans="1:9" x14ac:dyDescent="0.3">
      <c r="A13165" s="1" t="s">
        <v>211</v>
      </c>
      <c r="B13165" s="1" t="s">
        <v>212</v>
      </c>
      <c r="C13165" s="1" t="s">
        <v>69</v>
      </c>
      <c r="D13165" s="1" t="s">
        <v>64</v>
      </c>
      <c r="E13165" s="1" t="s">
        <v>7274</v>
      </c>
      <c r="F13165" s="1" t="s">
        <v>18403</v>
      </c>
      <c r="G13165" s="1" t="s">
        <v>36</v>
      </c>
      <c r="H13165" s="1" t="s">
        <v>29</v>
      </c>
      <c r="I13165" s="1" t="str">
        <f ca="1">IFERROR(__xludf.DUMMYFUNCTION("GOOGLETRANSLATE(F13165, ""auto"", ""en"")
"),"A very convenient hair dryer, powerful, compact - it’s good that it folds up. The slot of the nozzle is too wide, in my opinion :)")</f>
        <v>A very convenient hair dryer, powerful, compact - it’s good that it folds up. The slot of the nozzle is too wide, in my opinion :)</v>
      </c>
    </row>
    <row r="13166" spans="1:9" x14ac:dyDescent="0.3">
      <c r="A13166" s="1" t="s">
        <v>211</v>
      </c>
      <c r="B13166" s="1" t="s">
        <v>856</v>
      </c>
      <c r="C13166" s="1" t="s">
        <v>57</v>
      </c>
      <c r="D13166" s="1" t="s">
        <v>247</v>
      </c>
      <c r="E13166" s="1" t="s">
        <v>4012</v>
      </c>
      <c r="F13166" s="1" t="s">
        <v>18404</v>
      </c>
      <c r="G13166" s="1" t="s">
        <v>36</v>
      </c>
      <c r="H13166" s="1" t="s">
        <v>29</v>
      </c>
      <c r="I13166" s="1" t="str">
        <f ca="1">IFERROR(__xludf.DUMMYFUNCTION("GOOGLETRANSLATE(F13166, ""auto"", ""en"")
"),"Great set!  I’ve been using it for more than two years now and I don’t regret at all that I bought it, I’m even glad that I saved money. And there’s always enough power, unless of course it’s well charged.  The attachment for cuticles is especially nice :"&amp;") It is also very useful for those who like “handmade”, it is convenient for rubbing jeans, etc., and the thin attachment makes wonderful keychains from seashells :)")</f>
        <v>Great set!  I’ve been using it for more than two years now and I don’t regret at all that I bought it, I’m even glad that I saved money. And there’s always enough power, unless of course it’s well charged.  The attachment for cuticles is especially nice :) It is also very useful for those who like “handmade”, it is convenient for rubbing jeans, etc., and the thin attachment makes wonderful keychains from seashells :)</v>
      </c>
    </row>
    <row r="13167" spans="1:9" x14ac:dyDescent="0.3">
      <c r="A13167" s="1" t="s">
        <v>89</v>
      </c>
      <c r="B13167" s="1" t="s">
        <v>90</v>
      </c>
      <c r="C13167" s="1" t="s">
        <v>185</v>
      </c>
      <c r="D13167" s="1" t="s">
        <v>102</v>
      </c>
      <c r="E13167" s="1" t="s">
        <v>4428</v>
      </c>
      <c r="F13167" s="1" t="s">
        <v>18405</v>
      </c>
      <c r="G13167" s="1" t="s">
        <v>28</v>
      </c>
      <c r="H13167" s="1" t="s">
        <v>29</v>
      </c>
      <c r="I13167" s="1" t="str">
        <f ca="1">IFERROR(__xludf.DUMMYFUNCTION("GOOGLETRANSLATE(F13167, ""auto"", ""en"")
"),"I've been using this product for half a year now and it hasn't let me down yet. It just buzzes loudly and the plastic of the glass is very dirty.")</f>
        <v>I've been using this product for half a year now and it hasn't let me down yet. It just buzzes loudly and the plastic of the glass is very dirty.</v>
      </c>
    </row>
    <row r="13168" spans="1:9" x14ac:dyDescent="0.3">
      <c r="A13168" s="1" t="s">
        <v>9</v>
      </c>
      <c r="B13168" s="1" t="s">
        <v>137</v>
      </c>
      <c r="C13168" s="1" t="s">
        <v>151</v>
      </c>
      <c r="D13168" s="1" t="s">
        <v>5680</v>
      </c>
      <c r="E13168" s="1" t="s">
        <v>8466</v>
      </c>
      <c r="F13168" s="1" t="s">
        <v>18406</v>
      </c>
      <c r="G13168" s="1" t="s">
        <v>36</v>
      </c>
      <c r="H13168" s="1" t="s">
        <v>29</v>
      </c>
      <c r="I13168" s="1" t="str">
        <f ca="1">IFERROR(__xludf.DUMMYFUNCTION("GOOGLETRANSLATE(F13168, ""auto"", ""en"")
"),"I’ve been using this Samsung built-in gas panel for two years now, I really like it, the only downside is that the metal itself gets scratched, but otherwise everything is fine.")</f>
        <v>I’ve been using this Samsung built-in gas panel for two years now, I really like it, the only downside is that the metal itself gets scratched, but otherwise everything is fine.</v>
      </c>
    </row>
    <row r="13169" spans="1:9" x14ac:dyDescent="0.3">
      <c r="A13169" s="1" t="s">
        <v>149</v>
      </c>
      <c r="B13169" s="1" t="s">
        <v>155</v>
      </c>
      <c r="C13169" s="1" t="s">
        <v>151</v>
      </c>
      <c r="D13169" s="1" t="s">
        <v>1092</v>
      </c>
      <c r="E13169" s="1" t="s">
        <v>1315</v>
      </c>
      <c r="F13169" s="1" t="s">
        <v>18407</v>
      </c>
      <c r="G13169" s="1" t="s">
        <v>49</v>
      </c>
      <c r="H13169" s="1" t="s">
        <v>16</v>
      </c>
      <c r="I13169" s="1" t="str">
        <f ca="1">IFERROR(__xludf.DUMMYFUNCTION("GOOGLETRANSLATE(F13169, ""auto"", ""en"")
"),"We and our friends have the same model and the same garbage...we vacuum for 20 minutes, rest for 1 hour...together with the vacuum cleaner.")</f>
        <v>We and our friends have the same model and the same garbage...we vacuum for 20 minutes, rest for 1 hour...together with the vacuum cleaner.</v>
      </c>
    </row>
    <row r="13170" spans="1:9" x14ac:dyDescent="0.3">
      <c r="A13170" s="1" t="s">
        <v>61</v>
      </c>
      <c r="B13170" s="1" t="s">
        <v>73</v>
      </c>
      <c r="C13170" s="1" t="s">
        <v>85</v>
      </c>
      <c r="D13170" s="1" t="s">
        <v>1506</v>
      </c>
      <c r="E13170" s="1" t="s">
        <v>872</v>
      </c>
      <c r="F13170" s="1" t="s">
        <v>18408</v>
      </c>
      <c r="G13170" s="1" t="s">
        <v>36</v>
      </c>
      <c r="H13170" s="1" t="s">
        <v>29</v>
      </c>
      <c r="I13170" s="1" t="str">
        <f ca="1">IFERROR(__xludf.DUMMYFUNCTION("GOOGLETRANSLATE(F13170, ""auto"", ""en"")
"),"I bought this meat grinder yesterday on the advice of the seller!!! Very pleased!!! Beautiful, very powerful and very quiet compared to the previous one! Thanks to the qualified sellers of M.Video! I will now buy all the equipment from you!!!)))")</f>
        <v>I bought this meat grinder yesterday on the advice of the seller!!! Very pleased!!! Beautiful, very powerful and very quiet compared to the previous one! Thanks to the qualified sellers of M.Video! I will now buy all the equipment from you!!!)))</v>
      </c>
    </row>
    <row r="13171" spans="1:9" x14ac:dyDescent="0.3">
      <c r="A13171" s="1" t="s">
        <v>557</v>
      </c>
      <c r="B13171" s="1" t="s">
        <v>558</v>
      </c>
      <c r="C13171" s="1" t="s">
        <v>11180</v>
      </c>
      <c r="D13171" s="1" t="s">
        <v>327</v>
      </c>
      <c r="E13171" s="1" t="s">
        <v>18409</v>
      </c>
      <c r="F13171" s="1" t="s">
        <v>18410</v>
      </c>
      <c r="G13171" s="1" t="s">
        <v>36</v>
      </c>
      <c r="H13171" s="1" t="s">
        <v>29</v>
      </c>
      <c r="I13171" s="1" t="str">
        <f ca="1">IFERROR(__xludf.DUMMYFUNCTION("GOOGLETRANSLATE(F13171, ""auto"", ""en"")
"),"Lots of useful applications, notebooks, calendars with event reminders, etc. When there is an incoming call, it synchronizes the time and date with the equipment of the telephony service provider. The downside is that the microphone is a little weak, the "&amp;"other side hears you a little muffled and your voice is a little softened. Screensavers are only static, not animated. Well, in general, a strict, stylish device in a chrome-plated case. On the Internet there are constant software updates and programs for"&amp;" downloading pictures and music (with built-in editors).")</f>
        <v>Lots of useful applications, notebooks, calendars with event reminders, etc. When there is an incoming call, it synchronizes the time and date with the equipment of the telephony service provider. The downside is that the microphone is a little weak, the other side hears you a little muffled and your voice is a little softened. Screensavers are only static, not animated. Well, in general, a strict, stylish device in a chrome-plated case. On the Internet there are constant software updates and programs for downloading pictures and music (with built-in editors).</v>
      </c>
    </row>
    <row r="13172" spans="1:9" x14ac:dyDescent="0.3">
      <c r="A13172" s="1" t="s">
        <v>61</v>
      </c>
      <c r="B13172" s="1" t="s">
        <v>180</v>
      </c>
      <c r="C13172" s="1" t="s">
        <v>85</v>
      </c>
      <c r="D13172" s="1" t="s">
        <v>327</v>
      </c>
      <c r="E13172" s="1" t="s">
        <v>11884</v>
      </c>
      <c r="F13172" s="1" t="s">
        <v>18411</v>
      </c>
      <c r="G13172" s="1" t="s">
        <v>49</v>
      </c>
      <c r="H13172" s="1" t="s">
        <v>16</v>
      </c>
      <c r="I13172" s="1" t="str">
        <f ca="1">IFERROR(__xludf.DUMMYFUNCTION("GOOGLETRANSLATE(F13172, ""auto"", ""en"")
"),"This was my last purchase from this manufacturer. Its only merit is if you are lazy and instead of pressing the lever down with some force, you simply press the button and patiently wait for this item to notify you that the toast is ready, that’s probably"&amp;" all. Because This item is located in the kitchen, fats inevitably settle on it. All the appliances in my kitchen are metallic in tone, simply made of stainless steel. So we used standard detergents, but the toaster just peeled off, that’s not a problem, "&amp;"the cheap plastic showed up treacherously. As it turned out, the manufacturer decided to save money and covered the plastic with paint. In a word, for such money and again a deception.")</f>
        <v>This was my last purchase from this manufacturer. Its only merit is if you are lazy and instead of pressing the lever down with some force, you simply press the button and patiently wait for this item to notify you that the toast is ready, that’s probably all. Because This item is located in the kitchen, fats inevitably settle on it. All the appliances in my kitchen are metallic in tone, simply made of stainless steel. So we used standard detergents, but the toaster just peeled off, that’s not a problem, the cheap plastic showed up treacherously. As it turned out, the manufacturer decided to save money and covered the plastic with paint. In a word, for such money and again a deception.</v>
      </c>
    </row>
    <row r="13173" spans="1:9" x14ac:dyDescent="0.3">
      <c r="A13173" s="1" t="s">
        <v>369</v>
      </c>
      <c r="B13173" s="1" t="s">
        <v>370</v>
      </c>
      <c r="C13173" s="1" t="s">
        <v>588</v>
      </c>
      <c r="D13173" s="1" t="s">
        <v>305</v>
      </c>
      <c r="E13173" s="1" t="s">
        <v>6289</v>
      </c>
      <c r="F13173" s="1" t="s">
        <v>18412</v>
      </c>
      <c r="G13173" s="1" t="s">
        <v>49</v>
      </c>
      <c r="H13173" s="1" t="s">
        <v>16</v>
      </c>
      <c r="I13173" s="1" t="str">
        <f ca="1">IFERROR(__xludf.DUMMYFUNCTION("GOOGLETRANSLATE(F13173, ""auto"", ""en"")
"),"Disgusting example of a slab. It’s assembled, don’t understand how the edges don’t fit together, and to top it all off, I got a defective one after the first turn on, I had to ventilate the apartment for 4 hours! But we’ve been using it (trying) for a wee"&amp;"k now and it still smells the same. The front panel gets so hot that you can get burned on the plastic handles. Now in the process of returning! I don’t recommend it to anyone, although it may very well be that others are fine and we’re the only ones unlu"&amp;"cky.")</f>
        <v>Disgusting example of a slab. It’s assembled, don’t understand how the edges don’t fit together, and to top it all off, I got a defective one after the first turn on, I had to ventilate the apartment for 4 hours! But we’ve been using it (trying) for a week now and it still smells the same. The front panel gets so hot that you can get burned on the plastic handles. Now in the process of returning! I don’t recommend it to anyone, although it may very well be that others are fine and we’re the only ones unlucky.</v>
      </c>
    </row>
    <row r="13174" spans="1:9" x14ac:dyDescent="0.3">
      <c r="A13174" s="1" t="s">
        <v>149</v>
      </c>
      <c r="B13174" s="1" t="s">
        <v>155</v>
      </c>
      <c r="C13174" s="1" t="s">
        <v>80</v>
      </c>
      <c r="D13174" s="1" t="s">
        <v>1188</v>
      </c>
      <c r="E13174" s="1" t="s">
        <v>4235</v>
      </c>
      <c r="F13174" s="1" t="s">
        <v>18413</v>
      </c>
      <c r="G13174" s="1" t="s">
        <v>28</v>
      </c>
      <c r="H13174" s="1" t="s">
        <v>29</v>
      </c>
      <c r="I13174" s="1" t="str">
        <f ca="1">IFERROR(__xludf.DUMMYFUNCTION("GOOGLETRANSLATE(F13174, ""auto"", ""en"")
"),"I have three vacuum cleaners at home, this is the most powerful one and I do general cleaning once a week, which is enough so that I don’t have to burden myself on other days. It cleans carpets, hair and threads from carpets perfectly. Conveniently design"&amp;"ed, the handle is the ideal length for height 170-175, you don’t have to strain your back, there is a control on the handle so you don’t have to bend over. But there is a problem: it heats up quickly, sometimes it’s scary that it will stop working due to "&amp;"overheating, I clean the rooms with breaks. Perhaps this is only the case with us.")</f>
        <v>I have three vacuum cleaners at home, this is the most powerful one and I do general cleaning once a week, which is enough so that I don’t have to burden myself on other days. It cleans carpets, hair and threads from carpets perfectly. Conveniently designed, the handle is the ideal length for height 170-175, you don’t have to strain your back, there is a control on the handle so you don’t have to bend over. But there is a problem: it heats up quickly, sometimes it’s scary that it will stop working due to overheating, I clean the rooms with breaks. Perhaps this is only the case with us.</v>
      </c>
    </row>
    <row r="13175" spans="1:9" x14ac:dyDescent="0.3">
      <c r="A13175" s="1" t="s">
        <v>17</v>
      </c>
      <c r="B13175" s="1" t="s">
        <v>18</v>
      </c>
      <c r="C13175" s="1" t="s">
        <v>885</v>
      </c>
      <c r="D13175" s="1" t="s">
        <v>280</v>
      </c>
      <c r="E13175" s="1" t="s">
        <v>1553</v>
      </c>
      <c r="F13175" s="1" t="s">
        <v>18414</v>
      </c>
      <c r="G13175" s="1" t="s">
        <v>49</v>
      </c>
      <c r="H13175" s="1" t="s">
        <v>16</v>
      </c>
      <c r="I13175" s="1" t="str">
        <f ca="1">IFERROR(__xludf.DUMMYFUNCTION("GOOGLETRANSLATE(F13175, ""auto"", ""en"")
"),"We have been using it for 3 months.  The only plus of this machine is 7kg. There are no more advantages.   Squeezes poorly for 1 minute. Things are like boards, no loosening, compared to Ariston.   He doesn’t know how to wash woolen things, everyone sat d"&amp;"own.   It moves away during the spin cycle, even with rubber feet.")</f>
        <v>We have been using it for 3 months.  The only plus of this machine is 7kg. There are no more advantages.   Squeezes poorly for 1 minute. Things are like boards, no loosening, compared to Ariston.   He doesn’t know how to wash woolen things, everyone sat down.   It moves away during the spin cycle, even with rubber feet.</v>
      </c>
    </row>
    <row r="13176" spans="1:9" x14ac:dyDescent="0.3">
      <c r="A13176" s="1" t="s">
        <v>17</v>
      </c>
      <c r="B13176" s="1" t="s">
        <v>18</v>
      </c>
      <c r="C13176" s="1" t="s">
        <v>885</v>
      </c>
      <c r="D13176" s="1" t="s">
        <v>18415</v>
      </c>
      <c r="E13176" s="1" t="s">
        <v>971</v>
      </c>
      <c r="F13176" s="1" t="s">
        <v>18416</v>
      </c>
      <c r="G13176" s="1" t="s">
        <v>28</v>
      </c>
      <c r="H13176" s="1" t="s">
        <v>29</v>
      </c>
      <c r="I13176" s="1" t="str">
        <f ca="1">IFERROR(__xludf.DUMMYFUNCTION("GOOGLETRANSLATE(F13176, ""auto"", ""en"")
"),"Not a bad machine, compact - smaller than our old Bosch, with a load of 6 kg, convenient programs, an informative display, but Bosch still washed better. We have been using it for more than 2 years.")</f>
        <v>Not a bad machine, compact - smaller than our old Bosch, with a load of 6 kg, convenient programs, an informative display, but Bosch still washed better. We have been using it for more than 2 years.</v>
      </c>
    </row>
    <row r="13177" spans="1:9" x14ac:dyDescent="0.3">
      <c r="A13177" s="1" t="s">
        <v>55</v>
      </c>
      <c r="B13177" s="1" t="s">
        <v>56</v>
      </c>
      <c r="C13177" s="1" t="s">
        <v>1373</v>
      </c>
      <c r="D13177" s="1" t="s">
        <v>152</v>
      </c>
      <c r="E13177" s="1" t="s">
        <v>8683</v>
      </c>
      <c r="F13177" s="1" t="s">
        <v>18417</v>
      </c>
      <c r="G13177" s="1" t="s">
        <v>15</v>
      </c>
      <c r="H13177" s="1" t="s">
        <v>16</v>
      </c>
      <c r="I13177" s="1" t="str">
        <f ca="1">IFERROR(__xludf.DUMMYFUNCTION("GOOGLETRANSLATE(F13177, ""auto"", ""en"")
"),"Broke on the third day. More precisely, it started leaking and performance dropped significantly. Returned without any problems.  And when it worked everything was fine. Most of the house does not have doors, so he essentially worked at maximum in the hal"&amp;"l with a figure of 28%. I put it in a small room and brought it up from 28 to 60 in an hour and a half. Bought for parquet. He didn’t leave any residue. The spout is very comfortable - it throws steam far, due to this I consider the indicators to be quite"&amp;" accurate. I would have taken it again with pleasure, but it was no longer available.")</f>
        <v>Broke on the third day. More precisely, it started leaking and performance dropped significantly. Returned without any problems.  And when it worked everything was fine. Most of the house does not have doors, so he essentially worked at maximum in the hall with a figure of 28%. I put it in a small room and brought it up from 28 to 60 in an hour and a half. Bought for parquet. He didn’t leave any residue. The spout is very comfortable - it throws steam far, due to this I consider the indicators to be quite accurate. I would have taken it again with pleasure, but it was no longer available.</v>
      </c>
    </row>
    <row r="13178" spans="1:9" x14ac:dyDescent="0.3">
      <c r="A13178" s="1" t="s">
        <v>61</v>
      </c>
      <c r="B13178" s="1" t="s">
        <v>62</v>
      </c>
      <c r="C13178" s="1" t="s">
        <v>146</v>
      </c>
      <c r="D13178" s="1" t="s">
        <v>12</v>
      </c>
      <c r="E13178" s="1" t="s">
        <v>217</v>
      </c>
      <c r="F13178" s="1" t="s">
        <v>18418</v>
      </c>
      <c r="G13178" s="1" t="s">
        <v>36</v>
      </c>
      <c r="H13178" s="1" t="s">
        <v>29</v>
      </c>
      <c r="I13178" s="1" t="str">
        <f ca="1">IFERROR(__xludf.DUMMYFUNCTION("GOOGLETRANSLATE(F13178, ""auto"", ""en"")
"),"A wonderful thing that saves both time and effort. I bought it for the shredder; I don’t like shredding cabbage. It shreds everything quickly. I have used all the attachments and everything works well. An irreplaceable thing in the kitchen. Cocktails, sou"&amp;"ps, mayonnaise, even meat turns into minced meat instantly. Yes, the smell of logs appears during operation, you must follow the operating rules; the instructions say to take breaks every minute.")</f>
        <v>A wonderful thing that saves both time and effort. I bought it for the shredder; I don’t like shredding cabbage. It shreds everything quickly. I have used all the attachments and everything works well. An irreplaceable thing in the kitchen. Cocktails, soups, mayonnaise, even meat turns into minced meat instantly. Yes, the smell of logs appears during operation, you must follow the operating rules; the instructions say to take breaks every minute.</v>
      </c>
    </row>
    <row r="13179" spans="1:9" x14ac:dyDescent="0.3">
      <c r="A13179" s="1" t="s">
        <v>238</v>
      </c>
      <c r="B13179" s="1" t="s">
        <v>276</v>
      </c>
      <c r="C13179" s="1" t="s">
        <v>1677</v>
      </c>
      <c r="D13179" s="1" t="s">
        <v>411</v>
      </c>
      <c r="E13179" s="1" t="s">
        <v>18419</v>
      </c>
      <c r="F13179" s="1" t="s">
        <v>18420</v>
      </c>
      <c r="G13179" s="1" t="s">
        <v>36</v>
      </c>
      <c r="H13179" s="1" t="s">
        <v>29</v>
      </c>
      <c r="I13179" s="1" t="str">
        <f ca="1">IFERROR(__xludf.DUMMYFUNCTION("GOOGLETRANSLATE(F13179, ""auto"", ""en"")
"),"I actually bought it on sale at the beginning of 2009. No problems with noise, food storage, etc. after serious festive events, EVERYTHING is included. In terms of dimensions, I agree with the review and also removed the doors when I brought them into the"&amp;" apartment. The zero compartment is very pleasing, I started using ice because it is very convenient. I save time and to this day I receive only positive emotions from the Sharp.")</f>
        <v>I actually bought it on sale at the beginning of 2009. No problems with noise, food storage, etc. after serious festive events, EVERYTHING is included. In terms of dimensions, I agree with the review and also removed the doors when I brought them into the apartment. The zero compartment is very pleasing, I started using ice because it is very convenient. I save time and to this day I receive only positive emotions from the Sharp.</v>
      </c>
    </row>
    <row r="13180" spans="1:9" x14ac:dyDescent="0.3">
      <c r="A13180" s="1" t="s">
        <v>61</v>
      </c>
      <c r="B13180" s="1" t="s">
        <v>318</v>
      </c>
      <c r="C13180" s="1" t="s">
        <v>69</v>
      </c>
      <c r="D13180" s="1" t="s">
        <v>208</v>
      </c>
      <c r="E13180" s="1" t="s">
        <v>182</v>
      </c>
      <c r="F13180" s="1" t="s">
        <v>18421</v>
      </c>
      <c r="G13180" s="1" t="s">
        <v>15</v>
      </c>
      <c r="H13180" s="1" t="s">
        <v>16</v>
      </c>
      <c r="I13180" s="1" t="str">
        <f ca="1">IFERROR(__xludf.DUMMYFUNCTION("GOOGLETRANSLATE(F13180, ""auto"", ""en"")
"),"After 2 years of operation, the kettle's power button cracked. The plastic switching system is very fragile.")</f>
        <v>After 2 years of operation, the kettle's power button cracked. The plastic switching system is very fragile.</v>
      </c>
    </row>
    <row r="13181" spans="1:9" x14ac:dyDescent="0.3">
      <c r="A13181" s="1" t="s">
        <v>238</v>
      </c>
      <c r="B13181" s="1" t="s">
        <v>239</v>
      </c>
      <c r="C13181" s="1" t="s">
        <v>151</v>
      </c>
      <c r="D13181" s="1" t="s">
        <v>18422</v>
      </c>
      <c r="E13181" s="1" t="s">
        <v>1463</v>
      </c>
      <c r="F13181" s="1" t="s">
        <v>18423</v>
      </c>
      <c r="G13181" s="1" t="s">
        <v>36</v>
      </c>
      <c r="H13181" s="1" t="s">
        <v>29</v>
      </c>
      <c r="I13181" s="1" t="str">
        <f ca="1">IFERROR(__xludf.DUMMYFUNCTION("GOOGLETRANSLATE(F13181, ""auto"", ""en"")
"),"Dreams come true!!! The refrigerator is simply AWESOME!!! No cons... Delivered very quickly, we called in advance. Many thanks to the delivery service!!!! Very convenient site. You can view all products by availability. It's a pity that you can't place a "&amp;"request for an item that is out of stock...")</f>
        <v>Dreams come true!!! The refrigerator is simply AWESOME!!! No cons... Delivered very quickly, we called in advance. Many thanks to the delivery service!!!! Very convenient site. You can view all products by availability. It's a pity that you can't place a request for an item that is out of stock...</v>
      </c>
    </row>
    <row r="13182" spans="1:9" x14ac:dyDescent="0.3">
      <c r="A13182" s="1" t="s">
        <v>30</v>
      </c>
      <c r="B13182" s="1" t="s">
        <v>50</v>
      </c>
      <c r="C13182" s="1" t="s">
        <v>189</v>
      </c>
      <c r="D13182" s="1" t="s">
        <v>114</v>
      </c>
      <c r="E13182" s="1" t="s">
        <v>1005</v>
      </c>
      <c r="F13182" s="1" t="s">
        <v>18424</v>
      </c>
      <c r="G13182" s="1" t="s">
        <v>36</v>
      </c>
      <c r="H13182" s="1" t="s">
        <v>29</v>
      </c>
      <c r="I13182" s="1" t="str">
        <f ca="1">IFERROR(__xludf.DUMMYFUNCTION("GOOGLETRANSLATE(F13182, ""auto"", ""en"")
"),"My wife’s gift really inspired me, and when I took it out of the box, I just went crazy. I’ll just say one thing: next to this laptop, no laptop will interest you anymore. I promise you!!!")</f>
        <v>My wife’s gift really inspired me, and when I took it out of the box, I just went crazy. I’ll just say one thing: next to this laptop, no laptop will interest you anymore. I promise you!!!</v>
      </c>
    </row>
    <row r="13183" spans="1:9" x14ac:dyDescent="0.3">
      <c r="A13183" s="1" t="s">
        <v>17</v>
      </c>
      <c r="B13183" s="1" t="s">
        <v>18</v>
      </c>
      <c r="C13183" s="1" t="s">
        <v>290</v>
      </c>
      <c r="D13183" s="1" t="s">
        <v>13860</v>
      </c>
      <c r="E13183" s="1" t="s">
        <v>3652</v>
      </c>
      <c r="F13183" s="1" t="s">
        <v>18425</v>
      </c>
      <c r="G13183" s="1" t="s">
        <v>36</v>
      </c>
      <c r="H13183" s="1" t="s">
        <v>29</v>
      </c>
      <c r="I13183" s="1" t="str">
        <f ca="1">IFERROR(__xludf.DUMMYFUNCTION("GOOGLETRANSLATE(F13183, ""auto"", ""en"")
"),"purchased with a card for 9490, delivered on time.  The washing machine makes everyone happy.  The washing quality is good, it doesn’t make much noise, it doesn’t jump during the spin cycle.")</f>
        <v>purchased with a card for 9490, delivered on time.  The washing machine makes everyone happy.  The washing quality is good, it doesn’t make much noise, it doesn’t jump during the spin cycle.</v>
      </c>
    </row>
    <row r="13184" spans="1:9" x14ac:dyDescent="0.3">
      <c r="A13184" s="1" t="s">
        <v>43</v>
      </c>
      <c r="B13184" s="1" t="s">
        <v>334</v>
      </c>
      <c r="C13184" s="1" t="s">
        <v>101</v>
      </c>
      <c r="D13184" s="1" t="s">
        <v>2944</v>
      </c>
      <c r="E13184" s="1" t="s">
        <v>6916</v>
      </c>
      <c r="F13184" s="1" t="s">
        <v>18426</v>
      </c>
      <c r="G13184" s="1" t="s">
        <v>49</v>
      </c>
      <c r="H13184" s="1" t="s">
        <v>16</v>
      </c>
      <c r="I13184" s="1" t="str">
        <f ca="1">IFERROR(__xludf.DUMMYFUNCTION("GOOGLETRANSLATE(F13184, ""auto"", ""en"")
"),"I bought this fan for my dacha because of its three speeds and a decent brand. There was no product in the store, so I asked to order it and have it brought from the warehouse. I had to wait two weeks. When I came to pick up the fan, the packaging immedia"&amp;"tely aroused suspicion - as if it had been dropped several times and something heavy had been placed on top, and the top was sealed with tape. When examining the fan, there was no visible damage, but all the packages were opened. When I assembled it at ho"&amp;"me and turned it on, I discovered two defects: when turning it began to jam and slow down, and when operating at third speed it began to make a lot of noise. I had to take it to the store for a return.")</f>
        <v>I bought this fan for my dacha because of its three speeds and a decent brand. There was no product in the store, so I asked to order it and have it brought from the warehouse. I had to wait two weeks. When I came to pick up the fan, the packaging immediately aroused suspicion - as if it had been dropped several times and something heavy had been placed on top, and the top was sealed with tape. When examining the fan, there was no visible damage, but all the packages were opened. When I assembled it at home and turned it on, I discovered two defects: when turning it began to jam and slow down, and when operating at third speed it began to make a lot of noise. I had to take it to the store for a return.</v>
      </c>
    </row>
    <row r="13185" spans="1:9" x14ac:dyDescent="0.3">
      <c r="A13185" s="1" t="s">
        <v>9</v>
      </c>
      <c r="B13185" s="1" t="s">
        <v>133</v>
      </c>
      <c r="C13185" s="1" t="s">
        <v>19</v>
      </c>
      <c r="D13185" s="1" t="s">
        <v>411</v>
      </c>
      <c r="E13185" s="1" t="s">
        <v>1576</v>
      </c>
      <c r="F13185" s="1" t="s">
        <v>18427</v>
      </c>
      <c r="G13185" s="1" t="s">
        <v>28</v>
      </c>
      <c r="H13185" s="1" t="s">
        <v>29</v>
      </c>
      <c r="I13185" s="1" t="str">
        <f ca="1">IFERROR(__xludf.DUMMYFUNCTION("GOOGLETRANSLATE(F13185, ""auto"", ""en"")
"),"Bought 04/17/10.  By promotion. It was even cheaper (I think 9490 rubles) than now.  I doubted it... Why is it so cheap?  With such a set of options, I couldn’t find an alternative for that kind of money.  I bought it for my mother (60 years old). I settl"&amp;"ed on the Hotpoint-Ariston FB52C.2IXHA built-in electric oven because it is very easy to operate and has all the necessary options (I like to cook myself, so I understand). Mom mastered the new technique right away and has already tried it in all modes. I"&amp;"'m very pleased.")</f>
        <v>Bought 04/17/10.  By promotion. It was even cheaper (I think 9490 rubles) than now.  I doubted it... Why is it so cheap?  With such a set of options, I couldn’t find an alternative for that kind of money.  I bought it for my mother (60 years old). I settled on the Hotpoint-Ariston FB52C.2IXHA built-in electric oven because it is very easy to operate and has all the necessary options (I like to cook myself, so I understand). Mom mastered the new technique right away and has already tried it in all modes. I'm very pleased.</v>
      </c>
    </row>
    <row r="13186" spans="1:9" x14ac:dyDescent="0.3">
      <c r="A13186" s="1" t="s">
        <v>61</v>
      </c>
      <c r="B13186" s="1" t="s">
        <v>726</v>
      </c>
      <c r="C13186" s="1" t="s">
        <v>74</v>
      </c>
      <c r="D13186" s="1" t="s">
        <v>4360</v>
      </c>
      <c r="E13186" s="1" t="s">
        <v>4898</v>
      </c>
      <c r="F13186" s="1" t="s">
        <v>18428</v>
      </c>
      <c r="G13186" s="1" t="s">
        <v>36</v>
      </c>
      <c r="H13186" s="1" t="s">
        <v>29</v>
      </c>
      <c r="I13186" s="1" t="str">
        <f ca="1">IFERROR(__xludf.DUMMYFUNCTION("GOOGLETRANSLATE(F13186, ""auto"", ""en"")
"),"We bought the stove yesterday. I baked the bread properly, but the crust was not browned. But she does everything herself: kneads and bakes, and you don’t get your hands dirty. Easy to use, you just need to read the instructions and follow the proportions"&amp;", then the bread will be good. And we’ll eat the white crust too, if the middle is tasty!")</f>
        <v>We bought the stove yesterday. I baked the bread properly, but the crust was not browned. But she does everything herself: kneads and bakes, and you don’t get your hands dirty. Easy to use, you just need to read the instructions and follow the proportions, then the bread will be good. And we’ll eat the white crust too, if the middle is tasty!</v>
      </c>
    </row>
    <row r="13187" spans="1:9" x14ac:dyDescent="0.3">
      <c r="A13187" s="1" t="s">
        <v>169</v>
      </c>
      <c r="B13187" s="1" t="s">
        <v>170</v>
      </c>
      <c r="C13187" s="1" t="s">
        <v>122</v>
      </c>
      <c r="D13187" s="1" t="s">
        <v>18429</v>
      </c>
      <c r="E13187" s="1" t="s">
        <v>2622</v>
      </c>
      <c r="F13187" s="1" t="s">
        <v>18430</v>
      </c>
      <c r="G13187" s="1" t="s">
        <v>36</v>
      </c>
      <c r="H13187" s="1" t="s">
        <v>29</v>
      </c>
      <c r="I13187" s="1" t="str">
        <f ca="1">IFERROR(__xludf.DUMMYFUNCTION("GOOGLETRANSLATE(F13187, ""auto"", ""en"")
"),"The headphones are very good, they lasted for 2 years))")</f>
        <v>The headphones are very good, they lasted for 2 years))</v>
      </c>
    </row>
    <row r="13188" spans="1:9" x14ac:dyDescent="0.3">
      <c r="A13188" s="1" t="s">
        <v>61</v>
      </c>
      <c r="B13188" s="1" t="s">
        <v>180</v>
      </c>
      <c r="C13188" s="1" t="s">
        <v>85</v>
      </c>
      <c r="D13188" s="1" t="s">
        <v>2764</v>
      </c>
      <c r="E13188" s="1" t="s">
        <v>2500</v>
      </c>
      <c r="F13188" s="1" t="s">
        <v>18431</v>
      </c>
      <c r="G13188" s="1" t="s">
        <v>36</v>
      </c>
      <c r="H13188" s="1" t="s">
        <v>29</v>
      </c>
      <c r="I13188" s="1" t="str">
        <f ca="1">IFERROR(__xludf.DUMMYFUNCTION("GOOGLETRANSLATE(F13188, ""auto"", ""en"")
"),"beautiful, convenient, electronic control with mechanical elements, many additional functions")</f>
        <v>beautiful, convenient, electronic control with mechanical elements, many additional functions</v>
      </c>
    </row>
    <row r="13189" spans="1:9" x14ac:dyDescent="0.3">
      <c r="A13189" s="1" t="s">
        <v>211</v>
      </c>
      <c r="B13189" s="1" t="s">
        <v>384</v>
      </c>
      <c r="C13189" s="1" t="s">
        <v>351</v>
      </c>
      <c r="D13189" s="1" t="s">
        <v>2771</v>
      </c>
      <c r="E13189" s="1" t="s">
        <v>7418</v>
      </c>
      <c r="F13189" s="1" t="s">
        <v>18432</v>
      </c>
      <c r="G13189" s="1" t="s">
        <v>49</v>
      </c>
      <c r="H13189" s="1" t="s">
        <v>16</v>
      </c>
      <c r="I13189" s="1" t="str">
        <f ca="1">IFERROR(__xludf.DUMMYFUNCTION("GOOGLETRANSLATE(F13189, ""auto"", ""en"")
"),"It's a shame to sell such, to put it mildly, low-quality goods.  The scale needle constantly moves from the zero mark. The weight is shown different each time +/- 5 kg.  Absolutely useless. To the trash heap!")</f>
        <v>It's a shame to sell such, to put it mildly, low-quality goods.  The scale needle constantly moves from the zero mark. The weight is shown different each time +/- 5 kg.  Absolutely useless. To the trash heap!</v>
      </c>
    </row>
    <row r="13190" spans="1:9" x14ac:dyDescent="0.3">
      <c r="A13190" s="1" t="s">
        <v>61</v>
      </c>
      <c r="B13190" s="1" t="s">
        <v>145</v>
      </c>
      <c r="C13190" s="1" t="s">
        <v>314</v>
      </c>
      <c r="D13190" s="1" t="s">
        <v>172</v>
      </c>
      <c r="E13190" s="1" t="s">
        <v>9654</v>
      </c>
      <c r="F13190" s="1" t="s">
        <v>18433</v>
      </c>
      <c r="G13190" s="1" t="s">
        <v>49</v>
      </c>
      <c r="H13190" s="1" t="s">
        <v>16</v>
      </c>
      <c r="I13190" s="1" t="str">
        <f ca="1">IFERROR(__xludf.DUMMYFUNCTION("GOOGLETRANSLATE(F13190, ""auto"", ""en"")
"),"2 years of rare use: the plastic crumbled and many of the screws that secure the stainless steel to the plastic fell out. Apparently bad plastic.")</f>
        <v>2 years of rare use: the plastic crumbled and many of the screws that secure the stainless steel to the plastic fell out. Apparently bad plastic.</v>
      </c>
    </row>
    <row r="13191" spans="1:9" x14ac:dyDescent="0.3">
      <c r="A13191" s="1" t="s">
        <v>37</v>
      </c>
      <c r="B13191" s="1" t="s">
        <v>38</v>
      </c>
      <c r="C13191" s="1" t="s">
        <v>151</v>
      </c>
      <c r="D13191" s="1" t="s">
        <v>228</v>
      </c>
      <c r="E13191" s="1" t="s">
        <v>3755</v>
      </c>
      <c r="F13191" s="1" t="s">
        <v>18434</v>
      </c>
      <c r="G13191" s="1" t="s">
        <v>36</v>
      </c>
      <c r="H13191" s="1" t="s">
        <v>29</v>
      </c>
      <c r="I13191" s="1" t="str">
        <f ca="1">IFERROR(__xludf.DUMMYFUNCTION("GOOGLETRANSLATE(F13191, ""auto"", ""en"")
"),"The phone is quite satisfactory, the only thing that was not convenient was the flash drive, to get it you need to remove the battery, and the battery cover is not so easy to remove, you have to suffer... here, of course, the creators did not think about "&amp;"the fact that some photos are uploaded to the computer. I also agree with the first comment, it slows down a little, I will support the same regarding the kit. Well, for the rest of the phone. great!")</f>
        <v>The phone is quite satisfactory, the only thing that was not convenient was the flash drive, to get it you need to remove the battery, and the battery cover is not so easy to remove, you have to suffer... here, of course, the creators did not think about the fact that some photos are uploaded to the computer. I also agree with the first comment, it slows down a little, I will support the same regarding the kit. Well, for the rest of the phone. great!</v>
      </c>
    </row>
    <row r="13192" spans="1:9" x14ac:dyDescent="0.3">
      <c r="A13192" s="1" t="s">
        <v>282</v>
      </c>
      <c r="B13192" s="1" t="s">
        <v>806</v>
      </c>
      <c r="C13192" s="1" t="s">
        <v>284</v>
      </c>
      <c r="D13192" s="1" t="s">
        <v>605</v>
      </c>
      <c r="E13192" s="1" t="s">
        <v>3084</v>
      </c>
      <c r="F13192" s="1" t="s">
        <v>18435</v>
      </c>
      <c r="G13192" s="1" t="s">
        <v>36</v>
      </c>
      <c r="H13192" s="1" t="s">
        <v>29</v>
      </c>
      <c r="I13192" s="1" t="str">
        <f ca="1">IFERROR(__xludf.DUMMYFUNCTION("GOOGLETRANSLATE(F13192, ""auto"", ""en"")
"),"The film itself, which I watched in a 3D theater, amazed me, so I bought the collector's edition as now - a fan of Avatar, and was not just amazed, but discouraged, such quality in comparison with DvD... it's great! Combined with 24p technology, the film "&amp;"gives a great impression. The box with the discs is made neatly, competently and very colorful. The content of discs 2 and 3 corresponds to what is written! Anyone who cares about the world of Pandora should definitely buy it! Moreover, the circulation is"&amp;" limited, and as a surprise there is the opportunity to get a calendar with Avatar frames for free - a small thing, but nice) Conclusion: I recommend it.")</f>
        <v>The film itself, which I watched in a 3D theater, amazed me, so I bought the collector's edition as now - a fan of Avatar, and was not just amazed, but discouraged, such quality in comparison with DvD... it's great! Combined with 24p technology, the film gives a great impression. The box with the discs is made neatly, competently and very colorful. The content of discs 2 and 3 corresponds to what is written! Anyone who cares about the world of Pandora should definitely buy it! Moreover, the circulation is limited, and as a surprise there is the opportunity to get a calendar with Avatar frames for free - a small thing, but nice) Conclusion: I recommend it.</v>
      </c>
    </row>
    <row r="13193" spans="1:9" x14ac:dyDescent="0.3">
      <c r="A13193" s="1" t="s">
        <v>61</v>
      </c>
      <c r="B13193" s="1" t="s">
        <v>318</v>
      </c>
      <c r="C13193" s="1" t="s">
        <v>213</v>
      </c>
      <c r="D13193" s="1" t="s">
        <v>308</v>
      </c>
      <c r="E13193" s="1" t="s">
        <v>2994</v>
      </c>
      <c r="F13193" s="1" t="s">
        <v>18436</v>
      </c>
      <c r="G13193" s="1" t="s">
        <v>36</v>
      </c>
      <c r="H13193" s="1" t="s">
        <v>29</v>
      </c>
      <c r="I13193" s="1" t="str">
        <f ca="1">IFERROR(__xludf.DUMMYFUNCTION("GOOGLETRANSLATE(F13193, ""auto"", ""en"")
"),"I gave this kettle to my mother about four years ago, if not more, at work we’ve been using the brown one (though it’s beige) for about 2 years now, and I recently got this model for myself. What I want to say... 1) Mom’s kettle still works like a clock. "&amp;"Yes, just like at work. I am sure that mine will last a long time, since the vast majority speak very positively about the kettle.   2) Very high quality plastic, there is no smell at all after the first boiling. Which is very pleasing, since even my firs"&amp;"t electric kettle from a well-known Dutch company, which served me faithfully for 6 years, only got rid of the smell after the 3rd boiling.   3) It’s true that I don’t have much experience in using kettles, but it seems to me that this kettle is quieter i"&amp;"n terms of noise level compared to other models I know.    In general, I didn’t see any downsides. Therefore my rating is 5.")</f>
        <v>I gave this kettle to my mother about four years ago, if not more, at work we’ve been using the brown one (though it’s beige) for about 2 years now, and I recently got this model for myself. What I want to say... 1) Mom’s kettle still works like a clock. Yes, just like at work. I am sure that mine will last a long time, since the vast majority speak very positively about the kettle.   2) Very high quality plastic, there is no smell at all after the first boiling. Which is very pleasing, since even my first electric kettle from a well-known Dutch company, which served me faithfully for 6 years, only got rid of the smell after the 3rd boiling.   3) It’s true that I don’t have much experience in using kettles, but it seems to me that this kettle is quieter in terms of noise level compared to other models I know.    In general, I didn’t see any downsides. Therefore my rating is 5.</v>
      </c>
    </row>
    <row r="13194" spans="1:9" x14ac:dyDescent="0.3">
      <c r="A13194" s="1" t="s">
        <v>9</v>
      </c>
      <c r="B13194" s="1" t="s">
        <v>10</v>
      </c>
      <c r="C13194" s="1" t="s">
        <v>466</v>
      </c>
      <c r="D13194" s="1" t="s">
        <v>18437</v>
      </c>
      <c r="E13194" s="1" t="s">
        <v>7593</v>
      </c>
      <c r="F13194" s="1" t="s">
        <v>18438</v>
      </c>
      <c r="G13194" s="1" t="s">
        <v>36</v>
      </c>
      <c r="H13194" s="1" t="s">
        <v>29</v>
      </c>
      <c r="I13194" s="1" t="str">
        <f ca="1">IFERROR(__xludf.DUMMYFUNCTION("GOOGLETRANSLATE(F13194, ""auto"", ""en"")
"),"Excellent extraction!!! I don’t regret it at all, it perfectly absorbs fat and odor. A friend recommended it and I recommend it to everyone.")</f>
        <v>Excellent extraction!!! I don’t regret it at all, it perfectly absorbs fat and odor. A friend recommended it and I recommend it to everyone.</v>
      </c>
    </row>
    <row r="13195" spans="1:9" x14ac:dyDescent="0.3">
      <c r="A13195" s="1" t="s">
        <v>61</v>
      </c>
      <c r="B13195" s="1" t="s">
        <v>145</v>
      </c>
      <c r="C13195" s="1" t="s">
        <v>74</v>
      </c>
      <c r="D13195" s="1" t="s">
        <v>5491</v>
      </c>
      <c r="E13195" s="1" t="s">
        <v>1891</v>
      </c>
      <c r="F13195" s="1" t="s">
        <v>18439</v>
      </c>
      <c r="G13195" s="1" t="s">
        <v>36</v>
      </c>
      <c r="H13195" s="1" t="s">
        <v>29</v>
      </c>
      <c r="I13195" s="1" t="str">
        <f ca="1">IFERROR(__xludf.DUMMYFUNCTION("GOOGLETRANSLATE(F13195, ""auto"", ""en"")
"),"She gave it to me, I use it, minus that there aren’t enough jars for us, I make it almost every other day, it’s so easy to use, the main thing is to find good yogurt. My recipe is very simple - I heat 6% milk (1.2 l), don’t even boil it, add Laction yogur"&amp;"t (I get it in a fiver, about 25 rubles), add 3-4 tbsp sugar, beat with a blender or just a spoon, pour ready in jars in 3-4 hours, before that I tried dry starters and oygurts, it didn’t work. There are three of us in the family, we all eat every day. We"&amp;" eat for 2 days, and 7 jars for a new portion")</f>
        <v>She gave it to me, I use it, minus that there aren’t enough jars for us, I make it almost every other day, it’s so easy to use, the main thing is to find good yogurt. My recipe is very simple - I heat 6% milk (1.2 l), don’t even boil it, add Laction yogurt (I get it in a fiver, about 25 rubles), add 3-4 tbsp sugar, beat with a blender or just a spoon, pour ready in jars in 3-4 hours, before that I tried dry starters and oygurts, it didn’t work. There are three of us in the family, we all eat every day. We eat for 2 days, and 7 jars for a new portion</v>
      </c>
    </row>
    <row r="13196" spans="1:9" x14ac:dyDescent="0.3">
      <c r="A13196" s="1" t="s">
        <v>361</v>
      </c>
      <c r="B13196" s="1" t="s">
        <v>2555</v>
      </c>
      <c r="C13196" s="1" t="s">
        <v>4871</v>
      </c>
      <c r="D13196" s="1" t="s">
        <v>247</v>
      </c>
      <c r="E13196" s="1" t="s">
        <v>1589</v>
      </c>
      <c r="F13196" s="1" t="s">
        <v>18440</v>
      </c>
      <c r="G13196" s="1" t="s">
        <v>36</v>
      </c>
      <c r="H13196" s="1" t="s">
        <v>29</v>
      </c>
      <c r="I13196" s="1" t="str">
        <f ca="1">IFERROR(__xludf.DUMMYFUNCTION("GOOGLETRANSLATE(F13196, ""auto"", ""en"")
"),"I spent a long time choosing a thermos as a gift for my husband. I read a lot of good things about this thermos on the Internet. Someone not lazy even conducted experiments with hanging a thermos outside the window in winter and regularly measuring the te"&amp;"mperature. In fact, it turned out to be a very high quality item. I travel on the train for at least 20 hours - I drink my hot tea all the way. Easy to clean, no odors, no leaks, easy to pour. In general, I recommend it.")</f>
        <v>I spent a long time choosing a thermos as a gift for my husband. I read a lot of good things about this thermos on the Internet. Someone not lazy even conducted experiments with hanging a thermos outside the window in winter and regularly measuring the temperature. In fact, it turned out to be a very high quality item. I travel on the train for at least 20 hours - I drink my hot tea all the way. Easy to clean, no odors, no leaks, easy to pour. In general, I recommend it.</v>
      </c>
    </row>
    <row r="13197" spans="1:9" x14ac:dyDescent="0.3">
      <c r="A13197" s="1" t="s">
        <v>811</v>
      </c>
      <c r="B13197" s="1" t="s">
        <v>812</v>
      </c>
      <c r="C13197" s="1" t="s">
        <v>813</v>
      </c>
      <c r="D13197" s="1" t="s">
        <v>39</v>
      </c>
      <c r="E13197" s="1" t="s">
        <v>15912</v>
      </c>
      <c r="F13197" s="1" t="s">
        <v>18441</v>
      </c>
      <c r="G13197" s="1" t="s">
        <v>49</v>
      </c>
      <c r="H13197" s="1" t="s">
        <v>16</v>
      </c>
      <c r="I13197" s="1" t="str">
        <f ca="1">IFERROR(__xludf.DUMMYFUNCTION("GOOGLETRANSLATE(F13197, ""auto"", ""en"")
"),"Rare nonsense. I purchased this tripod to mount my pocket projector. Even with a light touch, the ball retainer moves to the side. In addition, the model is very unstable. Don't waste your money, buy the cheaper Rekam DigiPod RT-D1N.")</f>
        <v>Rare nonsense. I purchased this tripod to mount my pocket projector. Even with a light touch, the ball retainer moves to the side. In addition, the model is very unstable. Don't waste your money, buy the cheaper Rekam DigiPod RT-D1N.</v>
      </c>
    </row>
    <row r="13198" spans="1:9" x14ac:dyDescent="0.3">
      <c r="A13198" s="1" t="s">
        <v>169</v>
      </c>
      <c r="B13198" s="1" t="s">
        <v>170</v>
      </c>
      <c r="C13198" s="1" t="s">
        <v>171</v>
      </c>
      <c r="D13198" s="1" t="s">
        <v>18442</v>
      </c>
      <c r="E13198" s="1" t="s">
        <v>3542</v>
      </c>
      <c r="F13198" s="1" t="s">
        <v>18443</v>
      </c>
      <c r="G13198" s="1" t="s">
        <v>36</v>
      </c>
      <c r="H13198" s="1" t="s">
        <v>29</v>
      </c>
      <c r="I13198" s="1" t="str">
        <f ca="1">IFERROR(__xludf.DUMMYFUNCTION("GOOGLETRANSLATE(F13198, ""auto"", ""en"")
"),"The headphones are simply awesome! The sound is excellent, no matter what it holds in your ears!")</f>
        <v>The headphones are simply awesome! The sound is excellent, no matter what it holds in your ears!</v>
      </c>
    </row>
    <row r="13199" spans="1:9" x14ac:dyDescent="0.3">
      <c r="A13199" s="1" t="s">
        <v>496</v>
      </c>
      <c r="B13199" s="1" t="s">
        <v>497</v>
      </c>
      <c r="C13199" s="1" t="s">
        <v>487</v>
      </c>
      <c r="D13199" s="1" t="s">
        <v>11148</v>
      </c>
      <c r="E13199" s="1" t="s">
        <v>2640</v>
      </c>
      <c r="F13199" s="1" t="s">
        <v>18444</v>
      </c>
      <c r="G13199" s="1" t="s">
        <v>36</v>
      </c>
      <c r="H13199" s="1" t="s">
        <v>29</v>
      </c>
      <c r="I13199" s="1" t="str">
        <f ca="1">IFERROR(__xludf.DUMMYFUNCTION("GOOGLETRANSLATE(F13199, ""auto"", ""en"")
"),"I bought this release and don't regret spending money on the OS.  Works much faster than Vista! takes up less free space on drive C!  UAC doesn't bother me at all.  I remember Vista like a bad dream!  So, whoever wants to buy Windows7, don’t hesitate, buy"&amp;" the edition that is more suitable for OS functionality for you.")</f>
        <v>I bought this release and don't regret spending money on the OS.  Works much faster than Vista! takes up less free space on drive C!  UAC doesn't bother me at all.  I remember Vista like a bad dream!  So, whoever wants to buy Windows7, don’t hesitate, buy the edition that is more suitable for OS functionality for you.</v>
      </c>
    </row>
    <row r="13200" spans="1:9" x14ac:dyDescent="0.3">
      <c r="A13200" s="1" t="s">
        <v>282</v>
      </c>
      <c r="B13200" s="1" t="s">
        <v>283</v>
      </c>
      <c r="C13200" s="1" t="s">
        <v>284</v>
      </c>
      <c r="D13200" s="1" t="s">
        <v>18445</v>
      </c>
      <c r="E13200" s="1" t="s">
        <v>484</v>
      </c>
      <c r="F13200" s="1" t="s">
        <v>18446</v>
      </c>
      <c r="G13200" s="1" t="s">
        <v>36</v>
      </c>
      <c r="H13200" s="1" t="s">
        <v>29</v>
      </c>
      <c r="I13200" s="1" t="str">
        <f ca="1">IFERROR(__xludf.DUMMYFUNCTION("GOOGLETRANSLATE(F13200, ""auto"", ""en"")
"),"The movie is amazing. Very correct, kind, pure, sincere, honest and instructive. Exactly the kind we need now, when there is nothing but exclusively negative bullshit pouring in from all sides.    It’s been a while since I’ve seen signs of dried tears on "&amp;"people leaving the hall. This told me a lot after the film. Yes, myself...")</f>
        <v>The movie is amazing. Very correct, kind, pure, sincere, honest and instructive. Exactly the kind we need now, when there is nothing but exclusively negative bullshit pouring in from all sides.    It’s been a while since I’ve seen signs of dried tears on people leaving the hall. This told me a lot after the film. Yes, myself...</v>
      </c>
    </row>
    <row r="13201" spans="1:9" x14ac:dyDescent="0.3">
      <c r="A13201" s="1" t="s">
        <v>211</v>
      </c>
      <c r="B13201" s="1" t="s">
        <v>515</v>
      </c>
      <c r="C13201" s="1" t="s">
        <v>213</v>
      </c>
      <c r="D13201" s="1" t="s">
        <v>3273</v>
      </c>
      <c r="E13201" s="1" t="s">
        <v>1139</v>
      </c>
      <c r="F13201" s="1" t="s">
        <v>18447</v>
      </c>
      <c r="G13201" s="1" t="s">
        <v>49</v>
      </c>
      <c r="H13201" s="1" t="s">
        <v>16</v>
      </c>
      <c r="I13201" s="1" t="str">
        <f ca="1">IFERROR(__xludf.DUMMYFUNCTION("GOOGLETRANSLATE(F13201, ""auto"", ""en"")
"),"It broke after 2 months, although it’s cheap, it’s fundamentally a pity for the money for such garbage!")</f>
        <v>It broke after 2 months, although it’s cheap, it’s fundamentally a pity for the money for such garbage!</v>
      </c>
    </row>
    <row r="13202" spans="1:9" x14ac:dyDescent="0.3">
      <c r="A13202" s="1" t="s">
        <v>95</v>
      </c>
      <c r="B13202" s="1" t="s">
        <v>486</v>
      </c>
      <c r="C13202" s="1" t="s">
        <v>487</v>
      </c>
      <c r="D13202" s="1" t="s">
        <v>18448</v>
      </c>
      <c r="E13202" s="1" t="s">
        <v>4875</v>
      </c>
      <c r="F13202" s="1" t="s">
        <v>18449</v>
      </c>
      <c r="G13202" s="1" t="s">
        <v>36</v>
      </c>
      <c r="H13202" s="1" t="s">
        <v>29</v>
      </c>
      <c r="I13202" s="1" t="str">
        <f ca="1">IFERROR(__xludf.DUMMYFUNCTION("GOOGLETRANSLATE(F13202, ""auto"", ""en"")
"),"1.5 times?  Yes, Sony would outsell Sony by 10 times if the XBOX had not been flashed.")</f>
        <v>1.5 times?  Yes, Sony would outsell Sony by 10 times if the XBOX had not been flashed.</v>
      </c>
    </row>
    <row r="13203" spans="1:9" x14ac:dyDescent="0.3">
      <c r="A13203" s="1" t="s">
        <v>61</v>
      </c>
      <c r="B13203" s="1" t="s">
        <v>318</v>
      </c>
      <c r="C13203" s="1" t="s">
        <v>69</v>
      </c>
      <c r="D13203" s="1" t="s">
        <v>411</v>
      </c>
      <c r="E13203" s="1" t="s">
        <v>4110</v>
      </c>
      <c r="F13203" s="1" t="s">
        <v>18450</v>
      </c>
      <c r="G13203" s="1" t="s">
        <v>36</v>
      </c>
      <c r="H13203" s="1" t="s">
        <v>29</v>
      </c>
      <c r="I13203" s="1" t="str">
        <f ca="1">IFERROR(__xludf.DUMMYFUNCTION("GOOGLETRANSLATE(F13203, ""auto"", ""en"")
"),"Six months in operation - no complaints. Quite simple and nice design.   A good kettle, it boils quickly, the noise is acceptable (it smoothly reaches the maximum, stays there for a couple of minutes and then calms down smoothly).   The water doesn't smel"&amp;"l like anything. A good filter - the washcloth actually collects scale.")</f>
        <v>Six months in operation - no complaints. Quite simple and nice design.   A good kettle, it boils quickly, the noise is acceptable (it smoothly reaches the maximum, stays there for a couple of minutes and then calms down smoothly).   The water doesn't smell like anything. A good filter - the washcloth actually collects scale.</v>
      </c>
    </row>
    <row r="13204" spans="1:9" x14ac:dyDescent="0.3">
      <c r="A13204" s="1" t="s">
        <v>238</v>
      </c>
      <c r="B13204" s="1" t="s">
        <v>239</v>
      </c>
      <c r="C13204" s="1" t="s">
        <v>151</v>
      </c>
      <c r="D13204" s="1" t="s">
        <v>474</v>
      </c>
      <c r="E13204" s="1" t="s">
        <v>1454</v>
      </c>
      <c r="F13204" s="1" t="s">
        <v>18451</v>
      </c>
      <c r="G13204" s="1" t="s">
        <v>28</v>
      </c>
      <c r="H13204" s="1" t="s">
        <v>29</v>
      </c>
      <c r="I13204" s="1" t="str">
        <f ca="1">IFERROR(__xludf.DUMMYFUNCTION("GOOGLETRANSLATE(F13204, ""auto"", ""en"")
"),"We spent a long time choosing a side-by-side refrigerator and decided to go with this one. Unlike many, it has dimensions that are quite acceptable for a small apartment.    There are only 2 minuses. 1. Incomprehensible storage of eggs.  2. The plastic pa"&amp;"rts are made very poorly. For a refrigerator with such a price it’s even strange. Our old Atlas from 10 years ago is much more decent in this sense.    Pros: 1. There are a lot of shelves in the doors, and they are quite wide so that you can place somethi"&amp;"ng not very small.  2. The refrigerator is on wheels, which means you can easily move it wherever you need it.  3. Runs quietly")</f>
        <v>We spent a long time choosing a side-by-side refrigerator and decided to go with this one. Unlike many, it has dimensions that are quite acceptable for a small apartment.    There are only 2 minuses. 1. Incomprehensible storage of eggs.  2. The plastic parts are made very poorly. For a refrigerator with such a price it’s even strange. Our old Atlas from 10 years ago is much more decent in this sense.    Pros: 1. There are a lot of shelves in the doors, and they are quite wide so that you can place something not very small.  2. The refrigerator is on wheels, which means you can easily move it wherever you need it.  3. Runs quietly</v>
      </c>
    </row>
    <row r="13205" spans="1:9" x14ac:dyDescent="0.3">
      <c r="A13205" s="1" t="s">
        <v>169</v>
      </c>
      <c r="B13205" s="1" t="s">
        <v>170</v>
      </c>
      <c r="C13205" s="1" t="s">
        <v>193</v>
      </c>
      <c r="D13205" s="1" t="s">
        <v>172</v>
      </c>
      <c r="E13205" s="1" t="s">
        <v>1669</v>
      </c>
      <c r="F13205" s="1" t="s">
        <v>18452</v>
      </c>
      <c r="G13205" s="1" t="s">
        <v>28</v>
      </c>
      <c r="H13205" s="1" t="s">
        <v>29</v>
      </c>
      <c r="I13205" s="1" t="str">
        <f ca="1">IFERROR(__xludf.DUMMYFUNCTION("GOOGLETRANSLATE(F13205, ""auto"", ""en"")
"),"In general, the headphones are not bad, they play music well and are loud. It’s really heavy and at first they pressed the head hard (there was no point in adjusting it) - I decided to use brute physical force on the arms. Well, the ear pads are still too"&amp;" small (even for my small shells) - so fitting is required.")</f>
        <v>In general, the headphones are not bad, they play music well and are loud. It’s really heavy and at first they pressed the head hard (there was no point in adjusting it) - I decided to use brute physical force on the arms. Well, the ear pads are still too small (even for my small shells) - so fitting is required.</v>
      </c>
    </row>
    <row r="13206" spans="1:9" x14ac:dyDescent="0.3">
      <c r="A13206" s="1" t="s">
        <v>61</v>
      </c>
      <c r="B13206" s="1" t="s">
        <v>318</v>
      </c>
      <c r="C13206" s="1" t="s">
        <v>2840</v>
      </c>
      <c r="D13206" s="1" t="s">
        <v>2826</v>
      </c>
      <c r="E13206" s="1" t="s">
        <v>2921</v>
      </c>
      <c r="F13206" s="1" t="s">
        <v>18453</v>
      </c>
      <c r="G13206" s="1" t="s">
        <v>15</v>
      </c>
      <c r="H13206" s="1" t="s">
        <v>16</v>
      </c>
      <c r="I13206" s="1" t="str">
        <f ca="1">IFERROR(__xludf.DUMMYFUNCTION("GOOGLETRANSLATE(F13206, ""auto"", ""en"")
"),"The kettle is nice, quiet and boils water fairly quickly. And if it worked normally, the rating would be higher, but two weeks after the purchase it began to turn off spontaneously without boiling the water, cold and with a sufficient level of water in th"&amp;"e kettle, scalding steam comes out of the power button hole under the kettle handle, i.e. pouring is not only unpleasant, but dangerous. Perhaps we came across a defective copy, and all this is not typical for other teapots, but the impression is spoiled "&amp;"and I don’t want to buy the same one again...")</f>
        <v>The kettle is nice, quiet and boils water fairly quickly. And if it worked normally, the rating would be higher, but two weeks after the purchase it began to turn off spontaneously without boiling the water, cold and with a sufficient level of water in the kettle, scalding steam comes out of the power button hole under the kettle handle, i.e. pouring is not only unpleasant, but dangerous. Perhaps we came across a defective copy, and all this is not typical for other teapots, but the impression is spoiled and I don’t want to buy the same one again...</v>
      </c>
    </row>
    <row r="13207" spans="1:9" x14ac:dyDescent="0.3">
      <c r="A13207" s="1" t="s">
        <v>211</v>
      </c>
      <c r="B13207" s="1" t="s">
        <v>212</v>
      </c>
      <c r="C13207" s="1" t="s">
        <v>101</v>
      </c>
      <c r="D13207" s="1" t="s">
        <v>142</v>
      </c>
      <c r="E13207" s="1" t="s">
        <v>3775</v>
      </c>
      <c r="F13207" s="1" t="s">
        <v>18454</v>
      </c>
      <c r="G13207" s="1" t="s">
        <v>36</v>
      </c>
      <c r="H13207" s="1" t="s">
        <v>29</v>
      </c>
      <c r="I13207" s="1" t="str">
        <f ca="1">IFERROR(__xludf.DUMMYFUNCTION("GOOGLETRANSLATE(F13207, ""auto"", ""en"")
"),"Today they bought me a straightener. I can't say anything bad. I really liked it!!!")</f>
        <v>Today they bought me a straightener. I can't say anything bad. I really liked it!!!</v>
      </c>
    </row>
    <row r="13208" spans="1:9" x14ac:dyDescent="0.3">
      <c r="A13208" s="1" t="s">
        <v>105</v>
      </c>
      <c r="B13208" s="1" t="s">
        <v>106</v>
      </c>
      <c r="C13208" s="1" t="s">
        <v>69</v>
      </c>
      <c r="D13208" s="1" t="s">
        <v>4835</v>
      </c>
      <c r="E13208" s="1" t="s">
        <v>5798</v>
      </c>
      <c r="F13208" s="1" t="s">
        <v>18455</v>
      </c>
      <c r="G13208" s="1" t="s">
        <v>36</v>
      </c>
      <c r="H13208" s="1" t="s">
        <v>29</v>
      </c>
      <c r="I13208" s="1" t="str">
        <f ca="1">IFERROR(__xludf.DUMMYFUNCTION("GOOGLETRANSLATE(F13208, ""auto"", ""en"")
"),"The player is super, I want to buy it for my birthday, bring it to Barnaul!")</f>
        <v>The player is super, I want to buy it for my birthday, bring it to Barnaul!</v>
      </c>
    </row>
    <row r="13209" spans="1:9" x14ac:dyDescent="0.3">
      <c r="A13209" s="1" t="s">
        <v>120</v>
      </c>
      <c r="B13209" s="1" t="s">
        <v>126</v>
      </c>
      <c r="C13209" s="1" t="s">
        <v>151</v>
      </c>
      <c r="D13209" s="1" t="s">
        <v>18456</v>
      </c>
      <c r="E13209" s="1" t="s">
        <v>1452</v>
      </c>
      <c r="F13209" s="1" t="s">
        <v>18457</v>
      </c>
      <c r="G13209" s="1" t="s">
        <v>28</v>
      </c>
      <c r="H13209" s="1" t="s">
        <v>29</v>
      </c>
      <c r="I13209" s="1" t="str">
        <f ca="1">IFERROR(__xludf.DUMMYFUNCTION("GOOGLETRANSLATE(F13209, ""auto"", ""en"")
"),"The TV fully satisfied my needs and expectations. This device attracted me with its inexpensive price and quality of picture reproduction from the X-Box 360 game console and when viewing a regular analog signal. This TV has a significant advantage: Built-"&amp;"in multimedia player that plays most modern formats from both flash and HDD devices.")</f>
        <v>The TV fully satisfied my needs and expectations. This device attracted me with its inexpensive price and quality of picture reproduction from the X-Box 360 game console and when viewing a regular analog signal. This TV has a significant advantage: Built-in multimedia player that plays most modern formats from both flash and HDD devices.</v>
      </c>
    </row>
    <row r="13210" spans="1:9" x14ac:dyDescent="0.3">
      <c r="A13210" s="1" t="s">
        <v>78</v>
      </c>
      <c r="B13210" s="1" t="s">
        <v>79</v>
      </c>
      <c r="C13210" s="1" t="s">
        <v>151</v>
      </c>
      <c r="D13210" s="1" t="s">
        <v>52</v>
      </c>
      <c r="E13210" s="1" t="s">
        <v>1190</v>
      </c>
      <c r="F13210" s="1" t="s">
        <v>18458</v>
      </c>
      <c r="G13210" s="1" t="s">
        <v>15</v>
      </c>
      <c r="H13210" s="1" t="s">
        <v>16</v>
      </c>
      <c r="I13210" s="1" t="str">
        <f ca="1">IFERROR(__xludf.DUMMYFUNCTION("GOOGLETRANSLATE(F13210, ""auto"", ""en"")
"),"Positive qualities: good defrosting, good design, handle on the door.    Negative qualities: breaks very quickly. It starts to turn on itself and can only be turned off by unplugging the plug from the socket. Or it’s not possible to turn it on at all. Aft"&amp;"er repair it works for a maximum of 2 weeks. This problem only occurs on this model.")</f>
        <v>Positive qualities: good defrosting, good design, handle on the door.    Negative qualities: breaks very quickly. It starts to turn on itself and can only be turned off by unplugging the plug from the socket. Or it’s not possible to turn it on at all. After repair it works for a maximum of 2 weeks. This problem only occurs on this model.</v>
      </c>
    </row>
    <row r="13211" spans="1:9" x14ac:dyDescent="0.3">
      <c r="A13211" s="1" t="s">
        <v>17</v>
      </c>
      <c r="B13211" s="1" t="s">
        <v>18</v>
      </c>
      <c r="C13211" s="1" t="s">
        <v>24</v>
      </c>
      <c r="D13211" s="1" t="s">
        <v>142</v>
      </c>
      <c r="E13211" s="1" t="s">
        <v>585</v>
      </c>
      <c r="F13211" s="1" t="s">
        <v>18459</v>
      </c>
      <c r="G13211" s="1" t="s">
        <v>28</v>
      </c>
      <c r="H13211" s="1" t="s">
        <v>29</v>
      </c>
      <c r="I13211" s="1" t="str">
        <f ca="1">IFERROR(__xludf.DUMMYFUNCTION("GOOGLETRANSLATE(F13211, ""auto"", ""en"")
"),"We bought the car about a month ago.  During the second wash, water poured out of the powder compartment, but then everything became normal, there was a small hole there, I sealed it.  It shakes quite a bit. We have it built under the countertop, next to "&amp;"the sink, we always hold it, otherwise it will smash everything.  There were difficulties with the transportation bolts, the top two broke, and now you can’t screw them back in. And it washes well.")</f>
        <v>We bought the car about a month ago.  During the second wash, water poured out of the powder compartment, but then everything became normal, there was a small hole there, I sealed it.  It shakes quite a bit. We have it built under the countertop, next to the sink, we always hold it, otherwise it will smash everything.  There were difficulties with the transportation bolts, the top two broke, and now you can’t screw them back in. And it washes well.</v>
      </c>
    </row>
    <row r="13212" spans="1:9" x14ac:dyDescent="0.3">
      <c r="A13212" s="1" t="s">
        <v>105</v>
      </c>
      <c r="B13212" s="1" t="s">
        <v>106</v>
      </c>
      <c r="C13212" s="1" t="s">
        <v>1921</v>
      </c>
      <c r="D13212" s="1" t="s">
        <v>2045</v>
      </c>
      <c r="E13212" s="1" t="s">
        <v>5073</v>
      </c>
      <c r="F13212" s="1" t="s">
        <v>18460</v>
      </c>
      <c r="G13212" s="1" t="s">
        <v>49</v>
      </c>
      <c r="H13212" s="1" t="s">
        <v>16</v>
      </c>
      <c r="I13212" s="1" t="str">
        <f ca="1">IFERROR(__xludf.DUMMYFUNCTION("GOOGLETRANSLATE(F13212, ""auto"", ""en"")
"),"The built-in memory fell off immediately! I'll take it back under warranty and exchange it for something branded, Volkman, for example. And it was a gift for my birthday! :(")</f>
        <v>The built-in memory fell off immediately! I'll take it back under warranty and exchange it for something branded, Volkman, for example. And it was a gift for my birthday! :(</v>
      </c>
    </row>
    <row r="13213" spans="1:9" x14ac:dyDescent="0.3">
      <c r="A13213" s="1" t="s">
        <v>67</v>
      </c>
      <c r="B13213" s="1" t="s">
        <v>68</v>
      </c>
      <c r="C13213" s="1" t="s">
        <v>246</v>
      </c>
      <c r="D13213" s="1" t="s">
        <v>545</v>
      </c>
      <c r="E13213" s="1" t="s">
        <v>820</v>
      </c>
      <c r="F13213" s="1" t="s">
        <v>18461</v>
      </c>
      <c r="G13213" s="1" t="s">
        <v>36</v>
      </c>
      <c r="H13213" s="1" t="s">
        <v>29</v>
      </c>
      <c r="I13213" s="1" t="str">
        <f ca="1">IFERROR(__xludf.DUMMYFUNCTION("GOOGLETRANSLATE(F13213, ""auto"", ""en"")
"),"We have been using it for two months. We chose an inexpensive Tefal brand iron. We have not noticed any shortcomings yet, it irons perfectly, the sole is made of stainless steel with an interesting pattern. =) I recommend it to those who need an inexpensi"&amp;"ve steam iron.")</f>
        <v>We have been using it for two months. We chose an inexpensive Tefal brand iron. We have not noticed any shortcomings yet, it irons perfectly, the sole is made of stainless steel with an interesting pattern. =) I recommend it to those who need an inexpensive steam iron.</v>
      </c>
    </row>
    <row r="13214" spans="1:9" x14ac:dyDescent="0.3">
      <c r="A13214" s="1" t="s">
        <v>149</v>
      </c>
      <c r="B13214" s="1" t="s">
        <v>423</v>
      </c>
      <c r="C13214" s="1" t="s">
        <v>531</v>
      </c>
      <c r="D13214" s="1" t="s">
        <v>589</v>
      </c>
      <c r="E13214" s="1" t="s">
        <v>3303</v>
      </c>
      <c r="F13214" s="1" t="s">
        <v>18462</v>
      </c>
      <c r="G13214" s="1" t="s">
        <v>49</v>
      </c>
      <c r="H13214" s="1" t="s">
        <v>16</v>
      </c>
      <c r="I13214" s="1" t="str">
        <f ca="1">IFERROR(__xludf.DUMMYFUNCTION("GOOGLETRANSLATE(F13214, ""auto"", ""en"")
"),"We bought this vacuum cleaner 1.5 years ago, at first it cleaned well, but after a while the result worsened, it began to stink, although I change the filters once a month (I use it every other day). A month later, the telescopic tube broke (it doesn’t fo"&amp;"ld), over time it began to react poorly to the power button (you need to press harder), the filters and accessories for it are expensive. After cleaning, you need to wash it completely, and not just the bucket, since the dust remains in the bucket tray an"&amp;"d on the lid, as well as inside the hose and tube. I wouldn’t buy the same vacuum cleaner again because the operation is expensive, and the build quality is terrible.")</f>
        <v>We bought this vacuum cleaner 1.5 years ago, at first it cleaned well, but after a while the result worsened, it began to stink, although I change the filters once a month (I use it every other day). A month later, the telescopic tube broke (it doesn’t fold), over time it began to react poorly to the power button (you need to press harder), the filters and accessories for it are expensive. After cleaning, you need to wash it completely, and not just the bucket, since the dust remains in the bucket tray and on the lid, as well as inside the hose and tube. I wouldn’t buy the same vacuum cleaner again because the operation is expensive, and the build quality is terrible.</v>
      </c>
    </row>
    <row r="13215" spans="1:9" x14ac:dyDescent="0.3">
      <c r="A13215" s="1" t="s">
        <v>9</v>
      </c>
      <c r="B13215" s="1" t="s">
        <v>133</v>
      </c>
      <c r="C13215" s="1" t="s">
        <v>63</v>
      </c>
      <c r="D13215" s="1" t="s">
        <v>8831</v>
      </c>
      <c r="E13215" s="1" t="s">
        <v>1155</v>
      </c>
      <c r="F13215" s="1" t="s">
        <v>18463</v>
      </c>
      <c r="G13215" s="1" t="s">
        <v>36</v>
      </c>
      <c r="H13215" s="1" t="s">
        <v>29</v>
      </c>
      <c r="I13215" s="1" t="str">
        <f ca="1">IFERROR(__xludf.DUMMYFUNCTION("GOOGLETRANSLATE(F13215, ""auto"", ""en"")
"),"I never thought about how convenient a thing is - a built-in electric oven, space saving and aesthetic appearance. My husband bought it for our wedding anniversary. The fact is that after completing the renovation, we bought and built a hob into the kitch"&amp;"en unit, abandoning the standard stove, but immediately provided a niche for the oven, and spent a long time looking at different options. There are no words to describe the delight I feel every time I use this oven. Of course, the manufacturer matters, a"&amp;"nd Bosch is not for nothing considered one of the leading brands in the production of household appliances. Firstly, using the oven is very simple and convenient. I’ve never had anything burn, I set the modes intuitively, it works smoothly and reliably! S"&amp;"et the desired temperature, set the time and bake whatever you want. In general, the oven is the bomb. Moreover, it is electric, which means it is safe! IMHO")</f>
        <v>I never thought about how convenient a thing is - a built-in electric oven, space saving and aesthetic appearance. My husband bought it for our wedding anniversary. The fact is that after completing the renovation, we bought and built a hob into the kitchen unit, abandoning the standard stove, but immediately provided a niche for the oven, and spent a long time looking at different options. There are no words to describe the delight I feel every time I use this oven. Of course, the manufacturer matters, and Bosch is not for nothing considered one of the leading brands in the production of household appliances. Firstly, using the oven is very simple and convenient. I’ve never had anything burn, I set the modes intuitively, it works smoothly and reliably! Set the desired temperature, set the time and bake whatever you want. In general, the oven is the bomb. Moreover, it is electric, which means it is safe! IMHO</v>
      </c>
    </row>
    <row r="13216" spans="1:9" x14ac:dyDescent="0.3">
      <c r="A13216" s="1" t="s">
        <v>61</v>
      </c>
      <c r="B13216" s="1" t="s">
        <v>726</v>
      </c>
      <c r="C13216" s="1" t="s">
        <v>314</v>
      </c>
      <c r="D13216" s="1" t="s">
        <v>456</v>
      </c>
      <c r="E13216" s="1" t="s">
        <v>4818</v>
      </c>
      <c r="F13216" s="1" t="s">
        <v>18464</v>
      </c>
      <c r="G13216" s="1" t="s">
        <v>28</v>
      </c>
      <c r="H13216" s="1" t="s">
        <v>29</v>
      </c>
      <c r="I13216" s="1" t="str">
        <f ca="1">IFERROR(__xludf.DUMMYFUNCTION("GOOGLETRANSLATE(F13216, ""auto"", ""en"")
"),"I have nothing to compare with yet - I haven’t used other HPs, but the completely “unreadable” display is very annoying, (even with a magnifying glass) look! The baking result is ambiguous, apparently you need to adapt, but the price is not like Panasonic"&amp;". The forums have tips on all questions Galina. 09/08/2010 Krasnodar")</f>
        <v>I have nothing to compare with yet - I haven’t used other HPs, but the completely “unreadable” display is very annoying, (even with a magnifying glass) look! The baking result is ambiguous, apparently you need to adapt, but the price is not like Panasonic. The forums have tips on all questions Galina. 09/08/2010 Krasnodar</v>
      </c>
    </row>
    <row r="13217" spans="1:9" x14ac:dyDescent="0.3">
      <c r="A13217" s="1" t="s">
        <v>89</v>
      </c>
      <c r="B13217" s="1" t="s">
        <v>90</v>
      </c>
      <c r="C13217" s="1" t="s">
        <v>57</v>
      </c>
      <c r="D13217" s="1" t="s">
        <v>1121</v>
      </c>
      <c r="E13217" s="1" t="s">
        <v>4490</v>
      </c>
      <c r="F13217" s="1" t="s">
        <v>18465</v>
      </c>
      <c r="G13217" s="1" t="s">
        <v>28</v>
      </c>
      <c r="H13217" s="1" t="s">
        <v>29</v>
      </c>
      <c r="I13217" s="1" t="str">
        <f ca="1">IFERROR(__xludf.DUMMYFUNCTION("GOOGLETRANSLATE(F13217, ""auto"", ""en"")
"),"I needed a very ordinary coffee grinder. I bought this one, the same as my mother-in-law’s. It doesn't quite grind into dust, but it's normal for a coffee maker.    An excellent option for your money.")</f>
        <v>I needed a very ordinary coffee grinder. I bought this one, the same as my mother-in-law’s. It doesn't quite grind into dust, but it's normal for a coffee maker.    An excellent option for your money.</v>
      </c>
    </row>
    <row r="13218" spans="1:9" x14ac:dyDescent="0.3">
      <c r="A13218" s="1" t="s">
        <v>95</v>
      </c>
      <c r="B13218" s="1" t="s">
        <v>486</v>
      </c>
      <c r="C13218" s="1" t="s">
        <v>487</v>
      </c>
      <c r="D13218" s="1" t="s">
        <v>232</v>
      </c>
      <c r="E13218" s="1" t="s">
        <v>2887</v>
      </c>
      <c r="F13218" s="1" t="s">
        <v>18466</v>
      </c>
      <c r="G13218" s="1" t="s">
        <v>28</v>
      </c>
      <c r="H13218" s="1" t="s">
        <v>29</v>
      </c>
      <c r="I13218" s="1" t="str">
        <f ca="1">IFERROR(__xludf.DUMMYFUNCTION("GOOGLETRANSLATE(F13218, ""auto"", ""en"")
"),"By law, the consumer has 2 years from the date of purchase of a product or receipt of a service in order to file claims regarding its quality. So it’s worth buying an additional warranty for a period of more than 2 years =)")</f>
        <v>By law, the consumer has 2 years from the date of purchase of a product or receipt of a service in order to file claims regarding its quality. So it’s worth buying an additional warranty for a period of more than 2 years =)</v>
      </c>
    </row>
    <row r="13219" spans="1:9" x14ac:dyDescent="0.3">
      <c r="A13219" s="1" t="s">
        <v>30</v>
      </c>
      <c r="B13219" s="1" t="s">
        <v>31</v>
      </c>
      <c r="C13219" s="1" t="s">
        <v>32</v>
      </c>
      <c r="D13219" s="1" t="s">
        <v>39</v>
      </c>
      <c r="E13219" s="1" t="s">
        <v>436</v>
      </c>
      <c r="F13219" s="1" t="s">
        <v>18467</v>
      </c>
      <c r="G13219" s="1" t="s">
        <v>36</v>
      </c>
      <c r="H13219" s="1" t="s">
        <v>29</v>
      </c>
      <c r="I13219" s="1" t="str">
        <f ca="1">IFERROR(__xludf.DUMMYFUNCTION("GOOGLETRANSLATE(F13219, ""auto"", ""en"")
"),"The computer runs smoothly, it’s just a plane, even despite Vista 32, I doubted it for a long time because of the size, it’s very quiet, I’m happy as an elephant, diagnosis: take it!")</f>
        <v>The computer runs smoothly, it’s just a plane, even despite Vista 32, I doubted it for a long time because of the size, it’s very quiet, I’m happy as an elephant, diagnosis: take it!</v>
      </c>
    </row>
    <row r="13220" spans="1:9" x14ac:dyDescent="0.3">
      <c r="A13220" s="1" t="s">
        <v>61</v>
      </c>
      <c r="B13220" s="1" t="s">
        <v>62</v>
      </c>
      <c r="C13220" s="1" t="s">
        <v>63</v>
      </c>
      <c r="D13220" s="1" t="s">
        <v>18468</v>
      </c>
      <c r="E13220" s="1" t="s">
        <v>9654</v>
      </c>
      <c r="F13220" s="1" t="s">
        <v>18469</v>
      </c>
      <c r="G13220" s="1" t="s">
        <v>15</v>
      </c>
      <c r="H13220" s="1" t="s">
        <v>16</v>
      </c>
      <c r="I13220" s="1" t="str">
        <f ca="1">IFERROR(__xludf.DUMMYFUNCTION("GOOGLETRANSLATE(F13220, ""auto"", ""en"")
"),"I was hooked on this combine and bought it. Now it's gathering dust. The meat grinds only in the center, and the pieces lie on the edges. And if you move it so that everything is ground, you will end up with minced meat like boiled sausage, a kind of baby"&amp;" meat puree. You won't be able to whip up a biscuit or cream with this machine either, because... The blender only grinds. Overall, a waste of money!!! It is better to buy an electric meat grinder, mixer and blender and it will be 100 times better. They t"&amp;"old me to do this, but I didn’t listen and bought a combine. Now I regret it!!!")</f>
        <v>I was hooked on this combine and bought it. Now it's gathering dust. The meat grinds only in the center, and the pieces lie on the edges. And if you move it so that everything is ground, you will end up with minced meat like boiled sausage, a kind of baby meat puree. You won't be able to whip up a biscuit or cream with this machine either, because... The blender only grinds. Overall, a waste of money!!! It is better to buy an electric meat grinder, mixer and blender and it will be 100 times better. They told me to do this, but I didn’t listen and bought a combine. Now I regret it!!!</v>
      </c>
    </row>
    <row r="13221" spans="1:9" x14ac:dyDescent="0.3">
      <c r="A13221" s="1" t="s">
        <v>43</v>
      </c>
      <c r="B13221" s="1" t="s">
        <v>1370</v>
      </c>
      <c r="C13221" s="1" t="s">
        <v>2137</v>
      </c>
      <c r="D13221" s="1" t="s">
        <v>295</v>
      </c>
      <c r="E13221" s="1" t="s">
        <v>559</v>
      </c>
      <c r="F13221" s="1" t="s">
        <v>18470</v>
      </c>
      <c r="G13221" s="1" t="s">
        <v>36</v>
      </c>
      <c r="H13221" s="1" t="s">
        <v>29</v>
      </c>
      <c r="I13221" s="1" t="str">
        <f ca="1">IFERROR(__xludf.DUMMYFUNCTION("GOOGLETRANSLATE(F13221, ""auto"", ""en"")
"),"After installation, we did not notice the hot water being turned off at all. We bought it because the wiring in the house was old and we didn’t regret it.")</f>
        <v>After installation, we did not notice the hot water being turned off at all. We bought it because the wiring in the house was old and we didn’t regret it.</v>
      </c>
    </row>
    <row r="13222" spans="1:9" x14ac:dyDescent="0.3">
      <c r="A13222" s="1" t="s">
        <v>17</v>
      </c>
      <c r="B13222" s="1" t="s">
        <v>18</v>
      </c>
      <c r="C13222" s="1" t="s">
        <v>290</v>
      </c>
      <c r="D13222" s="1" t="s">
        <v>232</v>
      </c>
      <c r="E13222" s="1" t="s">
        <v>1723</v>
      </c>
      <c r="F13222" s="1" t="s">
        <v>18471</v>
      </c>
      <c r="G13222" s="1" t="s">
        <v>36</v>
      </c>
      <c r="H13222" s="1" t="s">
        <v>29</v>
      </c>
      <c r="I13222" s="1" t="str">
        <f ca="1">IFERROR(__xludf.DUMMYFUNCTION("GOOGLETRANSLATE(F13222, ""auto"", ""en"")
"),"Hello! Elena, the situation you described is absolutely normal. The fact is that the Gorenje washing machine is equipped with the Use Logic electronic intelligence system, which, based on information received from sensors, can change the wash cycle time i"&amp;"n one direction or another. The difference can reach +-30%. This is influenced by many factors: the temperature of the incoming water, the type of fabric, the imbalance that occurs during spinning, the quantity and quality of washing powder, etc. In your "&amp;"case, the machine detected a critical level of imbalance during the last spin and attempted to eliminate it by rearranging the laundry in the drum, for which it added 2 minutes. There can be up to 10 such attempts. If the imbalance cannot be eliminated, t"&amp;"he machine will reduce the spin speed. If this does not help, the spin will be turned off completely to avoid damage. This is absolutely normal, there is no malfunction or failure. Regarding vibration: first of all, make sure that the transport fastenings"&amp;" are removed from the machine (on the Gorenje SMA these are 2 brackets on the back side of the machine. You need to unscrew 2 screws on each bracket, and, turning the bracket 90 degrees, pull out the long metal pin). Seal the holes with the supplied plast"&amp;"ic plugs. If the transport supports are removed, make sure the machine is level. This can be done using a level or simply by pressing on top of each corner of the machine - there should be no swaying. Eliminate unevenness by twisting the legs; under no ci"&amp;"rcumstances place anything under them. The floor on which the car stands also matters a lot - on a wooden floor or on thick linoleum with a lining, there will almost always be a certain vibration. Mix large and small items in order to ensure their normal "&amp;"distribution in the drum.   This model does not have a 15-minute wash. I hope it helped. Good luck to you :)")</f>
        <v>Hello! Elena, the situation you described is absolutely normal. The fact is that the Gorenje washing machine is equipped with the Use Logic electronic intelligence system, which, based on information received from sensors, can change the wash cycle time in one direction or another. The difference can reach +-30%. This is influenced by many factors: the temperature of the incoming water, the type of fabric, the imbalance that occurs during spinning, the quantity and quality of washing powder, etc. In your case, the machine detected a critical level of imbalance during the last spin and attempted to eliminate it by rearranging the laundry in the drum, for which it added 2 minutes. There can be up to 10 such attempts. If the imbalance cannot be eliminated, the machine will reduce the spin speed. If this does not help, the spin will be turned off completely to avoid damage. This is absolutely normal, there is no malfunction or failure. Regarding vibration: first of all, make sure that the transport fastenings are removed from the machine (on the Gorenje SMA these are 2 brackets on the back side of the machine. You need to unscrew 2 screws on each bracket, and, turning the bracket 90 degrees, pull out the long metal pin). Seal the holes with the supplied plastic plugs. If the transport supports are removed, make sure the machine is level. This can be done using a level or simply by pressing on top of each corner of the machine - there should be no swaying. Eliminate unevenness by twisting the legs; under no circumstances place anything under them. The floor on which the car stands also matters a lot - on a wooden floor or on thick linoleum with a lining, there will almost always be a certain vibration. Mix large and small items in order to ensure their normal distribution in the drum.   This model does not have a 15-minute wash. I hope it helped. Good luck to you :)</v>
      </c>
    </row>
    <row r="13223" spans="1:9" x14ac:dyDescent="0.3">
      <c r="A13223" s="1" t="s">
        <v>37</v>
      </c>
      <c r="B13223" s="1" t="s">
        <v>38</v>
      </c>
      <c r="C13223" s="1" t="s">
        <v>163</v>
      </c>
      <c r="D13223" s="1" t="s">
        <v>589</v>
      </c>
      <c r="E13223" s="1" t="s">
        <v>164</v>
      </c>
      <c r="F13223" s="1" t="s">
        <v>18472</v>
      </c>
      <c r="G13223" s="1" t="s">
        <v>36</v>
      </c>
      <c r="H13223" s="1" t="s">
        <v>29</v>
      </c>
      <c r="I13223" s="1" t="str">
        <f ca="1">IFERROR(__xludf.DUMMYFUNCTION("GOOGLETRANSLATE(F13223, ""auto"", ""en"")
"),"An excellent phone: good sound quality, easy to use like all Nokias, excellent photo quality. The only negative is that despite its modest size, it has an immodest weight due to the metal body.")</f>
        <v>An excellent phone: good sound quality, easy to use like all Nokias, excellent photo quality. The only negative is that despite its modest size, it has an immodest weight due to the metal body.</v>
      </c>
    </row>
    <row r="13224" spans="1:9" x14ac:dyDescent="0.3">
      <c r="A13224" s="1" t="s">
        <v>149</v>
      </c>
      <c r="B13224" s="1" t="s">
        <v>150</v>
      </c>
      <c r="C13224" s="1" t="s">
        <v>57</v>
      </c>
      <c r="D13224" s="1" t="s">
        <v>335</v>
      </c>
      <c r="E13224" s="1" t="s">
        <v>2829</v>
      </c>
      <c r="F13224" s="1" t="s">
        <v>18473</v>
      </c>
      <c r="G13224" s="1" t="s">
        <v>15</v>
      </c>
      <c r="H13224" s="1" t="s">
        <v>16</v>
      </c>
      <c r="I13224" s="1" t="str">
        <f ca="1">IFERROR(__xludf.DUMMYFUNCTION("GOOGLETRANSLATE(F13224, ""auto"", ""en"")
"),"We bought a vacuum cleaner on 05/08/2010, everything seemed to be fine. When I turned it on at home I didn’t like it: 1. It made a lot of noise, it wasn’t even possible to vacuum; 2. Unpleasant odor during cleaning; 3. The hose and tube, as well as the br"&amp;"ush, are all inconvenient, so there are only negative points. We decided to return it to the store, but they refused to accept it because... has already been used.")</f>
        <v>We bought a vacuum cleaner on 05/08/2010, everything seemed to be fine. When I turned it on at home I didn’t like it: 1. It made a lot of noise, it wasn’t even possible to vacuum; 2. Unpleasant odor during cleaning; 3. The hose and tube, as well as the brush, are all inconvenient, so there are only negative points. We decided to return it to the store, but they refused to accept it because... has already been used.</v>
      </c>
    </row>
    <row r="13225" spans="1:9" x14ac:dyDescent="0.3">
      <c r="A13225" s="1" t="s">
        <v>105</v>
      </c>
      <c r="B13225" s="1" t="s">
        <v>106</v>
      </c>
      <c r="C13225" s="1" t="s">
        <v>1209</v>
      </c>
      <c r="D13225" s="1" t="s">
        <v>52</v>
      </c>
      <c r="E13225" s="1" t="s">
        <v>3676</v>
      </c>
      <c r="F13225" s="1" t="s">
        <v>18474</v>
      </c>
      <c r="G13225" s="1" t="s">
        <v>28</v>
      </c>
      <c r="H13225" s="1" t="s">
        <v>29</v>
      </c>
      <c r="I13225" s="1" t="str">
        <f ca="1">IFERROR(__xludf.DUMMYFUNCTION("GOOGLETRANSLATE(F13225, ""auto"", ""en"")
"),"I bought it yesterday, everything is great, but I can’t pick up TV and Radio very well, and they’re probably superfluous given the quality of the music I play, the external speaker is rather weak, but I also wonder why if I listen to the player in my ears"&amp;".. In general, I’m happy, I recommend it!!")</f>
        <v>I bought it yesterday, everything is great, but I can’t pick up TV and Radio very well, and they’re probably superfluous given the quality of the music I play, the external speaker is rather weak, but I also wonder why if I listen to the player in my ears.. In general, I’m happy, I recommend it!!</v>
      </c>
    </row>
    <row r="13226" spans="1:9" x14ac:dyDescent="0.3">
      <c r="A13226" s="1" t="s">
        <v>78</v>
      </c>
      <c r="B13226" s="1" t="s">
        <v>493</v>
      </c>
      <c r="C13226" s="1" t="s">
        <v>80</v>
      </c>
      <c r="D13226" s="1" t="s">
        <v>247</v>
      </c>
      <c r="E13226" s="1" t="s">
        <v>336</v>
      </c>
      <c r="F13226" s="1" t="s">
        <v>18475</v>
      </c>
      <c r="G13226" s="1" t="s">
        <v>36</v>
      </c>
      <c r="H13226" s="1" t="s">
        <v>29</v>
      </c>
      <c r="I13226" s="1" t="str">
        <f ca="1">IFERROR(__xludf.DUMMYFUNCTION("GOOGLETRANSLATE(F13226, ""auto"", ""en"")
"),"There are so many buttons that you can get lost, but it seems that later I figured out what was what, included child protection, defrosting, cooking, and grilling was delicious and baking was very tasty. It costs ok but it's worth it.")</f>
        <v>There are so many buttons that you can get lost, but it seems that later I figured out what was what, included child protection, defrosting, cooking, and grilling was delicious and baking was very tasty. It costs ok but it's worth it.</v>
      </c>
    </row>
    <row r="13227" spans="1:9" x14ac:dyDescent="0.3">
      <c r="A13227" s="1" t="s">
        <v>37</v>
      </c>
      <c r="B13227" s="1" t="s">
        <v>38</v>
      </c>
      <c r="C13227" s="1" t="s">
        <v>39</v>
      </c>
      <c r="D13227" s="1" t="s">
        <v>18476</v>
      </c>
      <c r="E13227" s="1" t="s">
        <v>500</v>
      </c>
      <c r="F13227" s="1" t="s">
        <v>18477</v>
      </c>
      <c r="G13227" s="1" t="s">
        <v>36</v>
      </c>
      <c r="H13227" s="1" t="s">
        <v>29</v>
      </c>
      <c r="I13227" s="1" t="str">
        <f ca="1">IFERROR(__xludf.DUMMYFUNCTION("GOOGLETRANSLATE(F13227, ""auto"", ""en"")
"),"The phone is very cool - all the functions are super!!!!!!! I'm very glad, take it, you won't regret it!")</f>
        <v>The phone is very cool - all the functions are super!!!!!!! I'm very glad, take it, you won't regret it!</v>
      </c>
    </row>
    <row r="13228" spans="1:9" x14ac:dyDescent="0.3">
      <c r="A13228" s="1" t="s">
        <v>120</v>
      </c>
      <c r="B13228" s="1" t="s">
        <v>121</v>
      </c>
      <c r="C13228" s="1" t="s">
        <v>1677</v>
      </c>
      <c r="D13228" s="1" t="s">
        <v>139</v>
      </c>
      <c r="E13228" s="1" t="s">
        <v>1275</v>
      </c>
      <c r="F13228" s="1" t="s">
        <v>18478</v>
      </c>
      <c r="G13228" s="1" t="s">
        <v>36</v>
      </c>
      <c r="H13228" s="1" t="s">
        <v>29</v>
      </c>
      <c r="I13228" s="1" t="str">
        <f ca="1">IFERROR(__xludf.DUMMYFUNCTION("GOOGLETRANSLATE(F13228, ""auto"", ""en"")
"),"I chose a TV from Philips and Sony models, but in the price category of 20-25 thousand rubles they did not have a USB port and processors were weaker than those of Sharp. I watched a movie from a flash drive, I liked the quality, it doesn’t slow down!!!!,"&amp;" I’m happy with the choice, although I didn’t expect this TV to be so good.")</f>
        <v>I chose a TV from Philips and Sony models, but in the price category of 20-25 thousand rubles they did not have a USB port and processors were weaker than those of Sharp. I watched a movie from a flash drive, I liked the quality, it doesn’t slow down!!!!, I’m happy with the choice, although I didn’t expect this TV to be so good.</v>
      </c>
    </row>
    <row r="13229" spans="1:9" x14ac:dyDescent="0.3">
      <c r="A13229" s="1" t="s">
        <v>120</v>
      </c>
      <c r="B13229" s="1" t="s">
        <v>196</v>
      </c>
      <c r="C13229" s="1" t="s">
        <v>151</v>
      </c>
      <c r="D13229" s="1" t="s">
        <v>280</v>
      </c>
      <c r="E13229" s="1" t="s">
        <v>1037</v>
      </c>
      <c r="F13229" s="1" t="s">
        <v>18479</v>
      </c>
      <c r="G13229" s="1" t="s">
        <v>28</v>
      </c>
      <c r="H13229" s="1" t="s">
        <v>29</v>
      </c>
      <c r="I13229" s="1" t="str">
        <f ca="1">IFERROR(__xludf.DUMMYFUNCTION("GOOGLETRANSLATE(F13229, ""auto"", ""en"")
"),"Great TV!!!    Worth the money!!!    I use it like a monitor, it’s just lovely!!!    well, I’m not talking about blue-ray films))) I don’t regret it one bit!!!")</f>
        <v>Great TV!!!    Worth the money!!!    I use it like a monitor, it’s just lovely!!!    well, I’m not talking about blue-ray films))) I don’t regret it one bit!!!</v>
      </c>
    </row>
    <row r="13230" spans="1:9" x14ac:dyDescent="0.3">
      <c r="A13230" s="1" t="s">
        <v>624</v>
      </c>
      <c r="B13230" s="1" t="s">
        <v>625</v>
      </c>
      <c r="C13230" s="1" t="s">
        <v>479</v>
      </c>
      <c r="D13230" s="1" t="s">
        <v>305</v>
      </c>
      <c r="E13230" s="1" t="s">
        <v>2215</v>
      </c>
      <c r="F13230" s="1" t="s">
        <v>18480</v>
      </c>
      <c r="G13230" s="1" t="s">
        <v>36</v>
      </c>
      <c r="H13230" s="1" t="s">
        <v>29</v>
      </c>
      <c r="I13230" s="1" t="str">
        <f ca="1">IFERROR(__xludf.DUMMYFUNCTION("GOOGLETRANSLATE(F13230, ""auto"", ""en"")
"),"Amazing game, everything is done at the highest level. The game is very scary.")</f>
        <v>Amazing game, everything is done at the highest level. The game is very scary.</v>
      </c>
    </row>
    <row r="13231" spans="1:9" x14ac:dyDescent="0.3">
      <c r="A13231" s="1" t="s">
        <v>9</v>
      </c>
      <c r="B13231" s="1" t="s">
        <v>23</v>
      </c>
      <c r="C13231" s="1" t="s">
        <v>885</v>
      </c>
      <c r="D13231" s="1" t="s">
        <v>64</v>
      </c>
      <c r="E13231" s="1" t="s">
        <v>3269</v>
      </c>
      <c r="F13231" s="1" t="s">
        <v>18481</v>
      </c>
      <c r="G13231" s="1" t="s">
        <v>36</v>
      </c>
      <c r="H13231" s="1" t="s">
        <v>29</v>
      </c>
      <c r="I13231" s="1" t="str">
        <f ca="1">IFERROR(__xludf.DUMMYFUNCTION("GOOGLETRANSLATE(F13231, ""auto"", ""en"")
"),"I bought a dishwasher and I can’t believe my luck. It washes perfectly and is not very noisy. I bought it a month ago and I wash it every day. There are no stains and the dishes are clean. The price and quality are simply super. I recommend it.")</f>
        <v>I bought a dishwasher and I can’t believe my luck. It washes perfectly and is not very noisy. I bought it a month ago and I wash it every day. There are no stains and the dishes are clean. The price and quality are simply super. I recommend it.</v>
      </c>
    </row>
    <row r="13232" spans="1:9" x14ac:dyDescent="0.3">
      <c r="A13232" s="1" t="s">
        <v>30</v>
      </c>
      <c r="B13232" s="1" t="s">
        <v>50</v>
      </c>
      <c r="C13232" s="1" t="s">
        <v>32</v>
      </c>
      <c r="D13232" s="1" t="s">
        <v>694</v>
      </c>
      <c r="E13232" s="1" t="s">
        <v>3550</v>
      </c>
      <c r="F13232" s="1" t="s">
        <v>18482</v>
      </c>
      <c r="G13232" s="1" t="s">
        <v>36</v>
      </c>
      <c r="H13232" s="1" t="s">
        <v>29</v>
      </c>
      <c r="I13232" s="1" t="str">
        <f ca="1">IFERROR(__xludf.DUMMYFUNCTION("GOOGLETRANSLATE(F13232, ""auto"", ""en"")
"),"I bought this beech!!! I’m happy to the point of madness!!!")</f>
        <v>I bought this beech!!! I’m happy to the point of madness!!!</v>
      </c>
    </row>
    <row r="13233" spans="1:9" x14ac:dyDescent="0.3">
      <c r="A13233" s="1" t="s">
        <v>811</v>
      </c>
      <c r="B13233" s="1" t="s">
        <v>1712</v>
      </c>
      <c r="C13233" s="1" t="s">
        <v>97</v>
      </c>
      <c r="D13233" s="1" t="s">
        <v>411</v>
      </c>
      <c r="E13233" s="1" t="s">
        <v>1762</v>
      </c>
      <c r="F13233" s="1" t="s">
        <v>18483</v>
      </c>
      <c r="G13233" s="1" t="s">
        <v>36</v>
      </c>
      <c r="H13233" s="1" t="s">
        <v>29</v>
      </c>
      <c r="I13233" s="1" t="str">
        <f ca="1">IFERROR(__xludf.DUMMYFUNCTION("GOOGLETRANSLATE(F13233, ""auto"", ""en"")
"),"Advantages: Corresponding to the photo size 10x15 TFT screen 800x480, stunning, very clear, with a large margin of brightness. The grain is not visible even at close range. The frame does not slow down when displaying the file on the screen. Various modes"&amp;" when changing frames. Various types of clocks and calendars on the screen. Works with all types of cards, quite intuitive menu (in Russian), which has a large number of functions. 1GB of internal memory is enough to create your own creative (edited) phot"&amp;"os. Auto Touch-up mode does a great job of removing red eyes and blemishes in the original image. Control buttons on the side, not on the front panel, plus full control from the remote control. On/off Sony logo. Well thought out on/off timer. No problem c"&amp;"onnecting via HDMI to Bravia TV. I haven’t tried it on a PC, and there’s no need to. You can hang it on the wall, for me this was an argument when choosing.    Disadvantages: No obvious ones found. There is no video and sound playback - none (only 2 melod"&amp;"ies via HDMI). But this device is called a Photo Frame, not a 13-in-1 Combine. You have to switch between memory cards and internal memory through the menu. This is due to the fact that you will then have to select folders for playback. You can select the"&amp;" all-in-one mode. In fact, it’s better to play from one folder from a specific card, so you’ll find what you want faster. The front panel is glass. It’s better not to touch it with your hands, your fingers are immediately noticeable.     Bottom line: NOT "&amp;"ADVERTISING. Very decent appearance, strict design, intelligently constructed menu and controls, super picture. Don't take it as a gift, it's too good. If you and Sony are inseparable, then the DPF-V800 Digital Photo Frame is for you.")</f>
        <v>Advantages: Corresponding to the photo size 10x15 TFT screen 800x480, stunning, very clear, with a large margin of brightness. The grain is not visible even at close range. The frame does not slow down when displaying the file on the screen. Various modes when changing frames. Various types of clocks and calendars on the screen. Works with all types of cards, quite intuitive menu (in Russian), which has a large number of functions. 1GB of internal memory is enough to create your own creative (edited) photos. Auto Touch-up mode does a great job of removing red eyes and blemishes in the original image. Control buttons on the side, not on the front panel, plus full control from the remote control. On/off Sony logo. Well thought out on/off timer. No problem connecting via HDMI to Bravia TV. I haven’t tried it on a PC, and there’s no need to. You can hang it on the wall, for me this was an argument when choosing.    Disadvantages: No obvious ones found. There is no video and sound playback - none (only 2 melodies via HDMI). But this device is called a Photo Frame, not a 13-in-1 Combine. You have to switch between memory cards and internal memory through the menu. This is due to the fact that you will then have to select folders for playback. You can select the all-in-one mode. In fact, it’s better to play from one folder from a specific card, so you’ll find what you want faster. The front panel is glass. It’s better not to touch it with your hands, your fingers are immediately noticeable.     Bottom line: NOT ADVERTISING. Very decent appearance, strict design, intelligently constructed menu and controls, super picture. Don't take it as a gift, it's too good. If you and Sony are inseparable, then the DPF-V800 Digital Photo Frame is for you.</v>
      </c>
    </row>
    <row r="13234" spans="1:9" x14ac:dyDescent="0.3">
      <c r="A13234" s="1" t="s">
        <v>169</v>
      </c>
      <c r="B13234" s="1" t="s">
        <v>170</v>
      </c>
      <c r="C13234" s="1" t="s">
        <v>193</v>
      </c>
      <c r="D13234" s="1" t="s">
        <v>411</v>
      </c>
      <c r="E13234" s="1" t="s">
        <v>5738</v>
      </c>
      <c r="F13234" s="1" t="s">
        <v>18484</v>
      </c>
      <c r="G13234" s="1" t="s">
        <v>36</v>
      </c>
      <c r="H13234" s="1" t="s">
        <v>29</v>
      </c>
      <c r="I13234" s="1" t="str">
        <f ca="1">IFERROR(__xludf.DUMMYFUNCTION("GOOGLETRANSLATE(F13234, ""auto"", ""en"")
"),"great sound for the money")</f>
        <v>great sound for the money</v>
      </c>
    </row>
    <row r="13235" spans="1:9" x14ac:dyDescent="0.3">
      <c r="A13235" s="1" t="s">
        <v>61</v>
      </c>
      <c r="B13235" s="1" t="s">
        <v>318</v>
      </c>
      <c r="C13235" s="1" t="s">
        <v>101</v>
      </c>
      <c r="D13235" s="1" t="s">
        <v>633</v>
      </c>
      <c r="E13235" s="1" t="s">
        <v>4867</v>
      </c>
      <c r="F13235" s="1" t="s">
        <v>18485</v>
      </c>
      <c r="G13235" s="1" t="s">
        <v>28</v>
      </c>
      <c r="H13235" s="1" t="s">
        <v>29</v>
      </c>
      <c r="I13235" s="1" t="str">
        <f ca="1">IFERROR(__xludf.DUMMYFUNCTION("GOOGLETRANSLATE(F13235, ""auto"", ""en"")
"),"For such a price, more than adequate quality. It feels, of course, that the plastic parts are not made from the best material, but overall they are excellent.")</f>
        <v>For such a price, more than adequate quality. It feels, of course, that the plastic parts are not made from the best material, but overall they are excellent.</v>
      </c>
    </row>
    <row r="13236" spans="1:9" x14ac:dyDescent="0.3">
      <c r="A13236" s="1" t="s">
        <v>61</v>
      </c>
      <c r="B13236" s="1" t="s">
        <v>318</v>
      </c>
      <c r="C13236" s="1" t="s">
        <v>101</v>
      </c>
      <c r="D13236" s="1" t="s">
        <v>18486</v>
      </c>
      <c r="E13236" s="1" t="s">
        <v>10313</v>
      </c>
      <c r="F13236" s="1" t="s">
        <v>18487</v>
      </c>
      <c r="G13236" s="1" t="s">
        <v>36</v>
      </c>
      <c r="H13236" s="1" t="s">
        <v>29</v>
      </c>
      <c r="I13236" s="1" t="str">
        <f ca="1">IFERROR(__xludf.DUMMYFUNCTION("GOOGLETRANSLATE(F13236, ""auto"", ""en"")
"),"Excellent in everything, design, lighting, heats up very quickly. One thing, it really sounds like a rocket. During the day it’s not very noticeable, but when it’s night, silence and everyone at home is asleep, it’s scary to turn it on...")</f>
        <v>Excellent in everything, design, lighting, heats up very quickly. One thing, it really sounds like a rocket. During the day it’s not very noticeable, but when it’s night, silence and everyone at home is asleep, it’s scary to turn it on...</v>
      </c>
    </row>
    <row r="13237" spans="1:9" x14ac:dyDescent="0.3">
      <c r="A13237" s="1" t="s">
        <v>61</v>
      </c>
      <c r="B13237" s="1" t="s">
        <v>977</v>
      </c>
      <c r="C13237" s="1" t="s">
        <v>69</v>
      </c>
      <c r="D13237" s="1" t="s">
        <v>52</v>
      </c>
      <c r="E13237" s="1" t="s">
        <v>1929</v>
      </c>
      <c r="F13237" s="1" t="s">
        <v>18488</v>
      </c>
      <c r="G13237" s="1" t="s">
        <v>15</v>
      </c>
      <c r="H13237" s="1" t="s">
        <v>16</v>
      </c>
      <c r="I13237" s="1" t="str">
        <f ca="1">IFERROR(__xludf.DUMMYFUNCTION("GOOGLETRANSLATE(F13237, ""auto"", ""en"")
"),"I worked for 1.5 years in a very gentle mode. Then it turned off and won't turn on again. It cannot be repaired because the body is not dismountable. It’s doubly offensive because it was a gift for my wife. I don’t think I got my money’s worth. I will buy"&amp;" a blender from another manufacturer since Philips cannot improve the reliability of its products.")</f>
        <v>I worked for 1.5 years in a very gentle mode. Then it turned off and won't turn on again. It cannot be repaired because the body is not dismountable. It’s doubly offensive because it was a gift for my wife. I don’t think I got my money’s worth. I will buy a blender from another manufacturer since Philips cannot improve the reliability of its products.</v>
      </c>
    </row>
    <row r="13238" spans="1:9" x14ac:dyDescent="0.3">
      <c r="A13238" s="1" t="s">
        <v>9</v>
      </c>
      <c r="B13238" s="1" t="s">
        <v>4242</v>
      </c>
      <c r="C13238" s="1" t="s">
        <v>159</v>
      </c>
      <c r="D13238" s="1" t="s">
        <v>20</v>
      </c>
      <c r="E13238" s="1" t="s">
        <v>1994</v>
      </c>
      <c r="F13238" s="1" t="s">
        <v>18489</v>
      </c>
      <c r="G13238" s="1" t="s">
        <v>28</v>
      </c>
      <c r="H13238" s="1" t="s">
        <v>29</v>
      </c>
      <c r="I13238" s="1" t="str">
        <f ca="1">IFERROR(__xludf.DUMMYFUNCTION("GOOGLETRANSLATE(F13238, ""auto"", ""en"")
"),"I recently purchased this model and it was delivered in the evening. The next morning I turned it on and worked for exactly 5 hours. Then it died down forever and the smell appeared. I touched it and the compressor is hot. On the same day I went to the st"&amp;"ore and they exchanged it for me without any problems with the same one. I don't know if it works yet. The service center says that with this company there are very rarely breakdowns. Therefore, for now it’s a solid four, time will tell.")</f>
        <v>I recently purchased this model and it was delivered in the evening. The next morning I turned it on and worked for exactly 5 hours. Then it died down forever and the smell appeared. I touched it and the compressor is hot. On the same day I went to the store and they exchanged it for me without any problems with the same one. I don't know if it works yet. The service center says that with this company there are very rarely breakdowns. Therefore, for now it’s a solid four, time will tell.</v>
      </c>
    </row>
    <row r="13239" spans="1:9" x14ac:dyDescent="0.3">
      <c r="A13239" s="1" t="s">
        <v>120</v>
      </c>
      <c r="B13239" s="1" t="s">
        <v>196</v>
      </c>
      <c r="C13239" s="1" t="s">
        <v>69</v>
      </c>
      <c r="D13239" s="1" t="s">
        <v>442</v>
      </c>
      <c r="E13239" s="1" t="s">
        <v>1481</v>
      </c>
      <c r="F13239" s="1" t="s">
        <v>18490</v>
      </c>
      <c r="G13239" s="1" t="s">
        <v>28</v>
      </c>
      <c r="H13239" s="1" t="s">
        <v>29</v>
      </c>
      <c r="I13239" s="1" t="str">
        <f ca="1">IFERROR(__xludf.DUMMYFUNCTION("GOOGLETRANSLATE(F13239, ""auto"", ""en"")
"),"On the 7th I bought this model at a super price of 21,990!!! very pleased. I connected it to the computer and it’s better not to. Disadvantages: weak standard sound.")</f>
        <v>On the 7th I bought this model at a super price of 21,990!!! very pleased. I connected it to the computer and it’s better not to. Disadvantages: weak standard sound.</v>
      </c>
    </row>
    <row r="13240" spans="1:9" x14ac:dyDescent="0.3">
      <c r="A13240" s="1" t="s">
        <v>61</v>
      </c>
      <c r="B13240" s="1" t="s">
        <v>1126</v>
      </c>
      <c r="C13240" s="1" t="s">
        <v>57</v>
      </c>
      <c r="D13240" s="1" t="s">
        <v>18491</v>
      </c>
      <c r="E13240" s="1" t="s">
        <v>3694</v>
      </c>
      <c r="F13240" s="1" t="s">
        <v>18492</v>
      </c>
      <c r="G13240" s="1" t="s">
        <v>28</v>
      </c>
      <c r="H13240" s="1" t="s">
        <v>29</v>
      </c>
      <c r="I13240" s="1" t="str">
        <f ca="1">IFERROR(__xludf.DUMMYFUNCTION("GOOGLETRANSLATE(F13240, ""auto"", ""en"")
"),"I also bought the first ones I came across for the bread machine. I’m happy, my life has changed, I quickly got used to measuring food without eyeballing, as I had done for the previous 40 years of farming, I even converted family recipes from glasses to "&amp;"grams. The scales are light, compact, stand vertically on my shelf, easy to take, easy to put in place. I've been using it for almost a year, I haven't thought about the battery yet. I immediately put the bowl away, it’s not needed at all, I reset the wei"&amp;"ght of the dish to zero and weigh it in anything, including right in the bucket of the bread machine. Indeed, the energy saving mode is too economical, it happens that the scales turn off right in the process of measuring, when you poured one flour, reach"&amp;"ed into the cupboard for another, you start pouring, but the scales turned off! I turn it on again, weigh it, take away the weight of the bucket and what was weighed correctly, but it’s unpleasant.")</f>
        <v>I also bought the first ones I came across for the bread machine. I’m happy, my life has changed, I quickly got used to measuring food without eyeballing, as I had done for the previous 40 years of farming, I even converted family recipes from glasses to grams. The scales are light, compact, stand vertically on my shelf, easy to take, easy to put in place. I've been using it for almost a year, I haven't thought about the battery yet. I immediately put the bowl away, it’s not needed at all, I reset the weight of the dish to zero and weigh it in anything, including right in the bucket of the bread machine. Indeed, the energy saving mode is too economical, it happens that the scales turn off right in the process of measuring, when you poured one flour, reached into the cupboard for another, you start pouring, but the scales turned off! I turn it on again, weigh it, take away the weight of the bucket and what was weighed correctly, but it’s unpleasant.</v>
      </c>
    </row>
    <row r="13241" spans="1:9" x14ac:dyDescent="0.3">
      <c r="A13241" s="1" t="s">
        <v>120</v>
      </c>
      <c r="B13241" s="1" t="s">
        <v>1205</v>
      </c>
      <c r="C13241" s="1" t="s">
        <v>1206</v>
      </c>
      <c r="D13241" s="1" t="s">
        <v>327</v>
      </c>
      <c r="E13241" s="1" t="s">
        <v>2468</v>
      </c>
      <c r="F13241" s="1" t="s">
        <v>18493</v>
      </c>
      <c r="G13241" s="1" t="s">
        <v>28</v>
      </c>
      <c r="H13241" s="1" t="s">
        <v>29</v>
      </c>
      <c r="I13241" s="1" t="str">
        <f ca="1">IFERROR(__xludf.DUMMYFUNCTION("GOOGLETRANSLATE(F13241, ""auto"", ""en"")
"),"Yes, the receiver is old, but unlike the new ones that support MPEG4, it has a “loop” output, which allows you to connect a second receiver from it, rather than putting a second head on the plate and not pulling a second cable. But I agree that the price "&amp;"with this equipment should be lower")</f>
        <v>Yes, the receiver is old, but unlike the new ones that support MPEG4, it has a “loop” output, which allows you to connect a second receiver from it, rather than putting a second head on the plate and not pulling a second cable. But I agree that the price with this equipment should be lower</v>
      </c>
    </row>
    <row r="13242" spans="1:9" x14ac:dyDescent="0.3">
      <c r="A13242" s="1" t="s">
        <v>89</v>
      </c>
      <c r="B13242" s="1" t="s">
        <v>231</v>
      </c>
      <c r="C13242" s="1" t="s">
        <v>185</v>
      </c>
      <c r="D13242" s="1" t="s">
        <v>280</v>
      </c>
      <c r="E13242" s="1" t="s">
        <v>5951</v>
      </c>
      <c r="F13242" s="1" t="s">
        <v>18494</v>
      </c>
      <c r="G13242" s="1" t="s">
        <v>36</v>
      </c>
      <c r="H13242" s="1" t="s">
        <v>29</v>
      </c>
      <c r="I13242" s="1" t="str">
        <f ca="1">IFERROR(__xludf.DUMMYFUNCTION("GOOGLETRANSLATE(F13242, ""auto"", ""en"")
"),"Solid!!!!!!")</f>
        <v>Solid!!!!!!</v>
      </c>
    </row>
    <row r="13243" spans="1:9" x14ac:dyDescent="0.3">
      <c r="A13243" s="1" t="s">
        <v>61</v>
      </c>
      <c r="B13243" s="1" t="s">
        <v>180</v>
      </c>
      <c r="C13243" s="1" t="s">
        <v>63</v>
      </c>
      <c r="D13243" s="1" t="s">
        <v>762</v>
      </c>
      <c r="E13243" s="1" t="s">
        <v>930</v>
      </c>
      <c r="F13243" s="1" t="s">
        <v>18495</v>
      </c>
      <c r="G13243" s="1" t="s">
        <v>36</v>
      </c>
      <c r="H13243" s="1" t="s">
        <v>29</v>
      </c>
      <c r="I13243" s="1" t="str">
        <f ca="1">IFERROR(__xludf.DUMMYFUNCTION("GOOGLETRANSLATE(F13243, ""auto"", ""en"")
"),"Decent toaster! It has been in service for 2 years already! Price/quality is excellent!")</f>
        <v>Decent toaster! It has been in service for 2 years already! Price/quality is excellent!</v>
      </c>
    </row>
    <row r="13244" spans="1:9" x14ac:dyDescent="0.3">
      <c r="A13244" s="1" t="s">
        <v>61</v>
      </c>
      <c r="B13244" s="1" t="s">
        <v>62</v>
      </c>
      <c r="C13244" s="1" t="s">
        <v>69</v>
      </c>
      <c r="D13244" s="1" t="s">
        <v>2633</v>
      </c>
      <c r="E13244" s="1" t="s">
        <v>6618</v>
      </c>
      <c r="F13244" s="1" t="s">
        <v>18496</v>
      </c>
      <c r="G13244" s="1" t="s">
        <v>36</v>
      </c>
      <c r="H13244" s="1" t="s">
        <v>29</v>
      </c>
      <c r="I13244" s="1" t="str">
        <f ca="1">IFERROR(__xludf.DUMMYFUNCTION("GOOGLETRANSLATE(F13244, ""auto"", ""en"")
"),"I've been using it for 2 months. I couldn't be happier. I made a bunch of preparations for the winter. It is convenient to make dough for liver pancakes, pancakes, charlotte, carrots rub beautifully. I advise everyone for this price, the thing is super.")</f>
        <v>I've been using it for 2 months. I couldn't be happier. I made a bunch of preparations for the winter. It is convenient to make dough for liver pancakes, pancakes, charlotte, carrots rub beautifully. I advise everyone for this price, the thing is super.</v>
      </c>
    </row>
    <row r="13245" spans="1:9" x14ac:dyDescent="0.3">
      <c r="A13245" s="1" t="s">
        <v>120</v>
      </c>
      <c r="B13245" s="1" t="s">
        <v>196</v>
      </c>
      <c r="C13245" s="1" t="s">
        <v>97</v>
      </c>
      <c r="D13245" s="1" t="s">
        <v>228</v>
      </c>
      <c r="E13245" s="1" t="s">
        <v>2531</v>
      </c>
      <c r="F13245" s="1" t="s">
        <v>18497</v>
      </c>
      <c r="G13245" s="1" t="s">
        <v>36</v>
      </c>
      <c r="H13245" s="1" t="s">
        <v>29</v>
      </c>
      <c r="I13245" s="1" t="str">
        <f ca="1">IFERROR(__xludf.DUMMYFUNCTION("GOOGLETRANSLATE(F13245, ""auto"", ""en"")
"),"Take it, you won’t regret it, the TV is worth the money, the other day a friend took the Samsung LE-40 C530 F1W, but the quality is not the same.. it’s only good for games - like a monitor and that’s it, but my Sonya shows any picture with high quality, o"&amp;"f course, when you set it up correctly, and there are many possibilities for additional settings.. built-in radio, quick connection of additional options. devices from Sony, PC... everything is on the level! 5+ out of 5 possible points...")</f>
        <v>Take it, you won’t regret it, the TV is worth the money, the other day a friend took the Samsung LE-40 C530 F1W, but the quality is not the same.. it’s only good for games - like a monitor and that’s it, but my Sonya shows any picture with high quality, of course, when you set it up correctly, and there are many possibilities for additional settings.. built-in radio, quick connection of additional options. devices from Sony, PC... everything is on the level! 5+ out of 5 possible points...</v>
      </c>
    </row>
    <row r="13246" spans="1:9" x14ac:dyDescent="0.3">
      <c r="A13246" s="1" t="s">
        <v>105</v>
      </c>
      <c r="B13246" s="1" t="s">
        <v>106</v>
      </c>
      <c r="C13246" s="1" t="s">
        <v>107</v>
      </c>
      <c r="D13246" s="1" t="s">
        <v>247</v>
      </c>
      <c r="E13246" s="1" t="s">
        <v>4203</v>
      </c>
      <c r="F13246" s="1" t="s">
        <v>18498</v>
      </c>
      <c r="G13246" s="1" t="s">
        <v>28</v>
      </c>
      <c r="H13246" s="1" t="s">
        <v>29</v>
      </c>
      <c r="I13246" s="1" t="str">
        <f ca="1">IFERROR(__xludf.DUMMYFUNCTION("GOOGLETRANSLATE(F13246, ""auto"", ""en"")
"),"To be honest, I didn’t really like the image quality of the photos and videos - it was a bit dark. If you look a little to the left, it will be a little lighter, but looking straight on would be much more convenient. Can anyone tell me how to make the pic"&amp;"ture brighter, or is this some kind of defect? But I’m already used to the rest (I’ve been using it for 4 days).")</f>
        <v>To be honest, I didn’t really like the image quality of the photos and videos - it was a bit dark. If you look a little to the left, it will be a little lighter, but looking straight on would be much more convenient. Can anyone tell me how to make the picture brighter, or is this some kind of defect? But I’m already used to the rest (I’ve been using it for 4 days).</v>
      </c>
    </row>
    <row r="13247" spans="1:9" x14ac:dyDescent="0.3">
      <c r="A13247" s="1" t="s">
        <v>43</v>
      </c>
      <c r="B13247" s="1" t="s">
        <v>44</v>
      </c>
      <c r="C13247" s="1" t="s">
        <v>101</v>
      </c>
      <c r="D13247" s="1" t="s">
        <v>75</v>
      </c>
      <c r="E13247" s="1" t="s">
        <v>8368</v>
      </c>
      <c r="F13247" s="1" t="s">
        <v>18499</v>
      </c>
      <c r="G13247" s="1" t="s">
        <v>36</v>
      </c>
      <c r="H13247" s="1" t="s">
        <v>29</v>
      </c>
      <c r="I13247" s="1" t="str">
        <f ca="1">IFERROR(__xludf.DUMMYFUNCTION("GOOGLETRANSLATE(F13247, ""auto"", ""en"")
"),"It assembles very quickly, is stable and truly silent! It saves you from the heat even at speed 1, we are very happy with the purchase. No cons have been found yet, the quality is excellent, and at a discount :)")</f>
        <v>It assembles very quickly, is stable and truly silent! It saves you from the heat even at speed 1, we are very happy with the purchase. No cons have been found yet, the quality is excellent, and at a discount :)</v>
      </c>
    </row>
    <row r="13248" spans="1:9" x14ac:dyDescent="0.3">
      <c r="A13248" s="1" t="s">
        <v>37</v>
      </c>
      <c r="B13248" s="1" t="s">
        <v>38</v>
      </c>
      <c r="C13248" s="1" t="s">
        <v>163</v>
      </c>
      <c r="D13248" s="1" t="s">
        <v>18500</v>
      </c>
      <c r="E13248" s="1" t="s">
        <v>2038</v>
      </c>
      <c r="F13248" s="1" t="s">
        <v>18501</v>
      </c>
      <c r="G13248" s="1" t="s">
        <v>28</v>
      </c>
      <c r="H13248" s="1" t="s">
        <v>29</v>
      </c>
      <c r="I13248" s="1" t="str">
        <f ca="1">IFERROR(__xludf.DUMMYFUNCTION("GOOGLETRANSLATE(F13248, ""auto"", ""en"")
"),"I was attracted by the interesting design and presence of music. buttons The phone is already a year and a half old, there have been no fatal glitches.  Pros: Design, 3.5mm jack, good music playback through headphones, camera takes very decent pictures fo"&amp;"r 2MP, long-lasting battery (1050 mAh) Cons: Although there are 2 external speakers, they are not very loud.  Overall, I'm not disappointed with the phone.")</f>
        <v>I was attracted by the interesting design and presence of music. buttons The phone is already a year and a half old, there have been no fatal glitches.  Pros: Design, 3.5mm jack, good music playback through headphones, camera takes very decent pictures for 2MP, long-lasting battery (1050 mAh) Cons: Although there are 2 external speakers, they are not very loud.  Overall, I'm not disappointed with the phone.</v>
      </c>
    </row>
    <row r="13249" spans="1:9" x14ac:dyDescent="0.3">
      <c r="A13249" s="1" t="s">
        <v>37</v>
      </c>
      <c r="B13249" s="1" t="s">
        <v>536</v>
      </c>
      <c r="C13249" s="1" t="s">
        <v>1419</v>
      </c>
      <c r="D13249" s="1" t="s">
        <v>568</v>
      </c>
      <c r="E13249" s="1" t="s">
        <v>917</v>
      </c>
      <c r="F13249" s="1" t="s">
        <v>18502</v>
      </c>
      <c r="G13249" s="1" t="s">
        <v>36</v>
      </c>
      <c r="H13249" s="1" t="s">
        <v>29</v>
      </c>
      <c r="I13249" s="1" t="str">
        <f ca="1">IFERROR(__xludf.DUMMYFUNCTION("GOOGLETRANSLATE(F13249, ""auto"", ""en"")
"),"The camera is dumb. You point, make a half-press, the picture is focused, photographed and as a result the image is blurry half the time... Maybe a flaw?  This was not close to the case on the Sony Ericsson :( This may be caused by a poor image stabilizer"&amp;". To ensure that the photo is not blurry, hold the device with both hands when shooting.")</f>
        <v>The camera is dumb. You point, make a half-press, the picture is focused, photographed and as a result the image is blurry half the time... Maybe a flaw?  This was not close to the case on the Sony Ericsson :( This may be caused by a poor image stabilizer. To ensure that the photo is not blurry, hold the device with both hands when shooting.</v>
      </c>
    </row>
    <row r="13250" spans="1:9" x14ac:dyDescent="0.3">
      <c r="A13250" s="1" t="s">
        <v>9</v>
      </c>
      <c r="B13250" s="1" t="s">
        <v>23</v>
      </c>
      <c r="C13250" s="1" t="s">
        <v>466</v>
      </c>
      <c r="D13250" s="1" t="s">
        <v>589</v>
      </c>
      <c r="E13250" s="1" t="s">
        <v>1929</v>
      </c>
      <c r="F13250" s="1" t="s">
        <v>18503</v>
      </c>
      <c r="G13250" s="1" t="s">
        <v>49</v>
      </c>
      <c r="H13250" s="1" t="s">
        <v>16</v>
      </c>
      <c r="I13250" s="1" t="str">
        <f ca="1">IFERROR(__xludf.DUMMYFUNCTION("GOOGLETRANSLATE(F13250, ""auto"", ""en"")
"),"Worked for 2 months, didn't wash very well. Then it gave error E4 and away it went. It’s as if it’s the first time they’ve repaired anything at the service center; I’ve already been waiting for more than six months. At first they said temperature and pres"&amp;"sure sensors, ordered, replaced, nothing. Now they say the heating element, although before this it was fine. I will never buy another crown again, that's for sure.")</f>
        <v>Worked for 2 months, didn't wash very well. Then it gave error E4 and away it went. It’s as if it’s the first time they’ve repaired anything at the service center; I’ve already been waiting for more than six months. At first they said temperature and pressure sensors, ordered, replaced, nothing. Now they say the heating element, although before this it was fine. I will never buy another crown again, that's for sure.</v>
      </c>
    </row>
    <row r="13251" spans="1:9" x14ac:dyDescent="0.3">
      <c r="A13251" s="1" t="s">
        <v>9</v>
      </c>
      <c r="B13251" s="1" t="s">
        <v>23</v>
      </c>
      <c r="C13251" s="1" t="s">
        <v>134</v>
      </c>
      <c r="D13251" s="1" t="s">
        <v>18504</v>
      </c>
      <c r="E13251" s="1" t="s">
        <v>11157</v>
      </c>
      <c r="F13251" s="1" t="s">
        <v>18505</v>
      </c>
      <c r="G13251" s="1" t="s">
        <v>28</v>
      </c>
      <c r="H13251" s="1" t="s">
        <v>29</v>
      </c>
      <c r="I13251" s="1" t="str">
        <f ca="1">IFERROR(__xludf.DUMMYFUNCTION("GOOGLETRANSLATE(F13251, ""auto"", ""en"")
"),"+ washes perfectly, very quiet, saves water - it is capricious when it comes to power supply, but turns off when the voltage is low.    copes with dishes at the dacha perfectly well. I have experience using more expensive Bosch. Siemens quality is similar"&amp;".")</f>
        <v>+ washes perfectly, very quiet, saves water - it is capricious when it comes to power supply, but turns off when the voltage is low.    copes with dishes at the dacha perfectly well. I have experience using more expensive Bosch. Siemens quality is similar.</v>
      </c>
    </row>
    <row r="13252" spans="1:9" x14ac:dyDescent="0.3">
      <c r="A13252" s="1" t="s">
        <v>120</v>
      </c>
      <c r="B13252" s="1" t="s">
        <v>196</v>
      </c>
      <c r="C13252" s="1" t="s">
        <v>97</v>
      </c>
      <c r="D13252" s="1" t="s">
        <v>18506</v>
      </c>
      <c r="E13252" s="1" t="s">
        <v>4311</v>
      </c>
      <c r="F13252" s="1" t="s">
        <v>18507</v>
      </c>
      <c r="G13252" s="1" t="s">
        <v>36</v>
      </c>
      <c r="H13252" s="1" t="s">
        <v>29</v>
      </c>
      <c r="I13252" s="1" t="str">
        <f ca="1">IFERROR(__xludf.DUMMYFUNCTION("GOOGLETRANSLATE(F13252, ""auto"", ""en"")
"),"Pros: + Size 40"" + Resolution 1080 Cons: - No decoder for a digital signal - only 2 HDMI - no digital optical audio output for acoustics We took it to the bedroom, so all these disadvantages were not taken into account. I personally did not notice any di"&amp;"fference in the image from the more sophisticated Sony model standing in the room. I am 100% satisfied with the purchase.")</f>
        <v>Pros: + Size 40" + Resolution 1080 Cons: - No decoder for a digital signal - only 2 HDMI - no digital optical audio output for acoustics We took it to the bedroom, so all these disadvantages were not taken into account. I personally did not notice any difference in the image from the more sophisticated Sony model standing in the room. I am 100% satisfied with the purchase.</v>
      </c>
    </row>
    <row r="13253" spans="1:9" x14ac:dyDescent="0.3">
      <c r="A13253" s="1" t="s">
        <v>17</v>
      </c>
      <c r="B13253" s="1" t="s">
        <v>18</v>
      </c>
      <c r="C13253" s="1" t="s">
        <v>63</v>
      </c>
      <c r="D13253" s="1" t="s">
        <v>1911</v>
      </c>
      <c r="E13253" s="1" t="s">
        <v>2206</v>
      </c>
      <c r="F13253" s="1" t="s">
        <v>18508</v>
      </c>
      <c r="G13253" s="1" t="s">
        <v>36</v>
      </c>
      <c r="H13253" s="1" t="s">
        <v>29</v>
      </c>
      <c r="I13253" s="1" t="str">
        <f ca="1">IFERROR(__xludf.DUMMYFUNCTION("GOOGLETRANSLATE(F13253, ""auto"", ""en"")
"),"I bought it 2 weeks ago. I wash 2-3 times a day. Very pleased, especially with the “easy ironing” mode.")</f>
        <v>I bought it 2 weeks ago. I wash 2-3 times a day. Very pleased, especially with the “easy ironing” mode.</v>
      </c>
    </row>
    <row r="13254" spans="1:9" x14ac:dyDescent="0.3">
      <c r="A13254" s="1" t="s">
        <v>61</v>
      </c>
      <c r="B13254" s="1" t="s">
        <v>73</v>
      </c>
      <c r="C13254" s="1" t="s">
        <v>146</v>
      </c>
      <c r="D13254" s="1" t="s">
        <v>5319</v>
      </c>
      <c r="E13254" s="1" t="s">
        <v>8801</v>
      </c>
      <c r="F13254" s="1" t="s">
        <v>18509</v>
      </c>
      <c r="G13254" s="1" t="s">
        <v>49</v>
      </c>
      <c r="H13254" s="1" t="s">
        <v>16</v>
      </c>
      <c r="I13254" s="1" t="str">
        <f ca="1">IFERROR(__xludf.DUMMYFUNCTION("GOOGLETRANSLATE(F13254, ""auto"", ""en"")
"),"Iron body")</f>
        <v>Iron body</v>
      </c>
    </row>
    <row r="13255" spans="1:9" x14ac:dyDescent="0.3">
      <c r="A13255" s="1" t="s">
        <v>43</v>
      </c>
      <c r="B13255" s="1" t="s">
        <v>303</v>
      </c>
      <c r="C13255" s="1" t="s">
        <v>665</v>
      </c>
      <c r="D13255" s="1" t="s">
        <v>2233</v>
      </c>
      <c r="E13255" s="1" t="s">
        <v>4608</v>
      </c>
      <c r="F13255" s="1" t="s">
        <v>18510</v>
      </c>
      <c r="G13255" s="1" t="s">
        <v>36</v>
      </c>
      <c r="H13255" s="1" t="s">
        <v>29</v>
      </c>
      <c r="I13255" s="1" t="str">
        <f ca="1">IFERROR(__xludf.DUMMYFUNCTION("GOOGLETRANSLATE(F13255, ""auto"", ""en"")
"),"A good water heater that keeps hot water for a very long time, even if it has been turned off for a long time. After half a year of use, no complaints. I recommend it.")</f>
        <v>A good water heater that keeps hot water for a very long time, even if it has been turned off for a long time. After half a year of use, no complaints. I recommend it.</v>
      </c>
    </row>
    <row r="13256" spans="1:9" x14ac:dyDescent="0.3">
      <c r="A13256" s="1" t="s">
        <v>206</v>
      </c>
      <c r="B13256" s="1" t="s">
        <v>1253</v>
      </c>
      <c r="C13256" s="1" t="s">
        <v>1254</v>
      </c>
      <c r="D13256" s="1" t="s">
        <v>18511</v>
      </c>
      <c r="E13256" s="1" t="s">
        <v>21</v>
      </c>
      <c r="F13256" s="1" t="s">
        <v>18512</v>
      </c>
      <c r="G13256" s="1" t="s">
        <v>36</v>
      </c>
      <c r="H13256" s="1" t="s">
        <v>29</v>
      </c>
      <c r="I13256" s="1" t="str">
        <f ca="1">IFERROR(__xludf.DUMMYFUNCTION("GOOGLETRANSLATE(F13256, ""auto"", ""en"")
"),"After purchasing this product, I decided to celebrate this event :))) I left one walkie-talkie at home, wrapping the transmission button with electrical tape and throwing headphones with music on top, took the second one with me and went for a drink :) I "&amp;"didn’t immediately decide on the final destination of my trip (how long the range would be enough).  After 15-20 minutes the music disappeared. BUT! This is 2-3 kilometers in the city (I walked very quickly, almost ran :))) Conclusion: the device is of ve"&amp;"ry high quality, recommended for purchase :)")</f>
        <v>After purchasing this product, I decided to celebrate this event :))) I left one walkie-talkie at home, wrapping the transmission button with electrical tape and throwing headphones with music on top, took the second one with me and went for a drink :) I didn’t immediately decide on the final destination of my trip (how long the range would be enough).  After 15-20 minutes the music disappeared. BUT! This is 2-3 kilometers in the city (I walked very quickly, almost ran :))) Conclusion: the device is of very high quality, recommended for purchase :)</v>
      </c>
    </row>
    <row r="13257" spans="1:9" x14ac:dyDescent="0.3">
      <c r="A13257" s="1" t="s">
        <v>1174</v>
      </c>
      <c r="B13257" s="1" t="s">
        <v>1175</v>
      </c>
      <c r="C13257" s="1" t="s">
        <v>356</v>
      </c>
      <c r="D13257" s="1" t="s">
        <v>114</v>
      </c>
      <c r="E13257" s="1" t="s">
        <v>717</v>
      </c>
      <c r="F13257" s="1" t="s">
        <v>18513</v>
      </c>
      <c r="G13257" s="1" t="s">
        <v>28</v>
      </c>
      <c r="H13257" s="1" t="s">
        <v>29</v>
      </c>
      <c r="I13257" s="1" t="str">
        <f ca="1">IFERROR(__xludf.DUMMYFUNCTION("GOOGLETRANSLATE(F13257, ""auto"", ""en"")
"),"Yes, the headphones are not bad, but I have seen louder ones, especially since in a year I have already replaced two of these headphones that came with the package... perhaps I listened to them a lot and loudly, but the fact remains a fact.")</f>
        <v>Yes, the headphones are not bad, but I have seen louder ones, especially since in a year I have already replaced two of these headphones that came with the package... perhaps I listened to them a lot and loudly, but the fact remains a fact.</v>
      </c>
    </row>
    <row r="13258" spans="1:9" x14ac:dyDescent="0.3">
      <c r="A13258" s="1" t="s">
        <v>55</v>
      </c>
      <c r="B13258" s="1" t="s">
        <v>184</v>
      </c>
      <c r="C13258" s="1" t="s">
        <v>45</v>
      </c>
      <c r="D13258" s="1" t="s">
        <v>589</v>
      </c>
      <c r="E13258" s="1" t="s">
        <v>18514</v>
      </c>
      <c r="F13258" s="1" t="s">
        <v>18515</v>
      </c>
      <c r="G13258" s="1" t="s">
        <v>15</v>
      </c>
      <c r="H13258" s="1" t="s">
        <v>16</v>
      </c>
      <c r="I13258" s="1" t="str">
        <f ca="1">IFERROR(__xludf.DUMMYFUNCTION("GOOGLETRANSLATE(F13258, ""auto"", ""en"")
"),"It is noisy, the timer did not work at all: if the room gets warm, it starts blowing cold air and does not turn off. I don't recommend it.")</f>
        <v>It is noisy, the timer did not work at all: if the room gets warm, it starts blowing cold air and does not turn off. I don't recommend it.</v>
      </c>
    </row>
    <row r="13259" spans="1:9" x14ac:dyDescent="0.3">
      <c r="A13259" s="1" t="s">
        <v>30</v>
      </c>
      <c r="B13259" s="1" t="s">
        <v>31</v>
      </c>
      <c r="C13259" s="1" t="s">
        <v>5122</v>
      </c>
      <c r="D13259" s="1" t="s">
        <v>18516</v>
      </c>
      <c r="E13259" s="1" t="s">
        <v>889</v>
      </c>
      <c r="F13259" s="1" t="s">
        <v>18517</v>
      </c>
      <c r="G13259" s="1" t="s">
        <v>28</v>
      </c>
      <c r="H13259" s="1" t="s">
        <v>29</v>
      </c>
      <c r="I13259" s="1" t="str">
        <f ca="1">IFERROR(__xludf.DUMMYFUNCTION("GOOGLETRANSLATE(F13259, ""auto"", ""en"")
"),"Normal Crysis, Unreal Tournament 3, GTA 4, etc. run smoothly at max settings!!!")</f>
        <v>Normal Crysis, Unreal Tournament 3, GTA 4, etc. run smoothly at max settings!!!</v>
      </c>
    </row>
    <row r="13260" spans="1:9" x14ac:dyDescent="0.3">
      <c r="A13260" s="1" t="s">
        <v>67</v>
      </c>
      <c r="B13260" s="1" t="s">
        <v>340</v>
      </c>
      <c r="C13260" s="1" t="s">
        <v>1634</v>
      </c>
      <c r="D13260" s="1" t="s">
        <v>18518</v>
      </c>
      <c r="E13260" s="1" t="s">
        <v>4303</v>
      </c>
      <c r="F13260" s="1" t="s">
        <v>18519</v>
      </c>
      <c r="G13260" s="1" t="s">
        <v>36</v>
      </c>
      <c r="H13260" s="1" t="s">
        <v>29</v>
      </c>
      <c r="I13260" s="1" t="str">
        <f ca="1">IFERROR(__xludf.DUMMYFUNCTION("GOOGLETRANSLATE(F13260, ""auto"", ""en"")
"),"Girls, I’m 62 and I’ve mastered this device once or twice... I chose what was cheaper, but got a very worthwhile assistant. I was guided only by the description (I couldn’t open the disk on my computer - I don’t have such a program) Buy it, I advise you, "&amp;"you won’t regret it.")</f>
        <v>Girls, I’m 62 and I’ve mastered this device once or twice... I chose what was cheaper, but got a very worthwhile assistant. I was guided only by the description (I couldn’t open the disk on my computer - I don’t have such a program) Buy it, I advise you, you won’t regret it.</v>
      </c>
    </row>
    <row r="13261" spans="1:9" x14ac:dyDescent="0.3">
      <c r="A13261" s="1" t="s">
        <v>37</v>
      </c>
      <c r="B13261" s="1" t="s">
        <v>38</v>
      </c>
      <c r="C13261" s="1" t="s">
        <v>151</v>
      </c>
      <c r="D13261" s="1" t="s">
        <v>521</v>
      </c>
      <c r="E13261" s="1" t="s">
        <v>1177</v>
      </c>
      <c r="F13261" s="1" t="s">
        <v>18520</v>
      </c>
      <c r="G13261" s="1" t="s">
        <v>36</v>
      </c>
      <c r="H13261" s="1" t="s">
        <v>29</v>
      </c>
      <c r="I13261" s="1" t="str">
        <f ca="1">IFERROR(__xludf.DUMMYFUNCTION("GOOGLETRANSLATE(F13261, ""auto"", ""en"")
"),"I was very happy when I bought it. Stylish.")</f>
        <v>I was very happy when I bought it. Stylish.</v>
      </c>
    </row>
    <row r="13262" spans="1:9" x14ac:dyDescent="0.3">
      <c r="A13262" s="1" t="s">
        <v>61</v>
      </c>
      <c r="B13262" s="1" t="s">
        <v>224</v>
      </c>
      <c r="C13262" s="1" t="s">
        <v>85</v>
      </c>
      <c r="D13262" s="1" t="s">
        <v>64</v>
      </c>
      <c r="E13262" s="1" t="s">
        <v>1044</v>
      </c>
      <c r="F13262" s="1" t="s">
        <v>18521</v>
      </c>
      <c r="G13262" s="1" t="s">
        <v>36</v>
      </c>
      <c r="H13262" s="1" t="s">
        <v>29</v>
      </c>
      <c r="I13262" s="1" t="str">
        <f ca="1">IFERROR(__xludf.DUMMYFUNCTION("GOOGLETRANSLATE(F13262, ""auto"", ""en"")
"),"Good juicer. 4 oranges yield 600 ml of juice. Dry cake from apples, oranges, carrots. The beet pulp is wet. Overall satisfied.")</f>
        <v>Good juicer. 4 oranges yield 600 ml of juice. Dry cake from apples, oranges, carrots. The beet pulp is wet. Overall satisfied.</v>
      </c>
    </row>
    <row r="13263" spans="1:9" x14ac:dyDescent="0.3">
      <c r="A13263" s="1" t="s">
        <v>149</v>
      </c>
      <c r="B13263" s="1" t="s">
        <v>155</v>
      </c>
      <c r="C13263" s="1" t="s">
        <v>63</v>
      </c>
      <c r="D13263" s="1" t="s">
        <v>18522</v>
      </c>
      <c r="E13263" s="1" t="s">
        <v>4558</v>
      </c>
      <c r="F13263" s="1" t="s">
        <v>18523</v>
      </c>
      <c r="G13263" s="1" t="s">
        <v>36</v>
      </c>
      <c r="H13263" s="1" t="s">
        <v>29</v>
      </c>
      <c r="I13263" s="1" t="str">
        <f ca="1">IFERROR(__xludf.DUMMYFUNCTION("GOOGLETRANSLATE(F13263, ""auto"", ""en"")
"),"I liked this model of vacuum cleaners for its small dimensions, storing it does not require much space and can be parked both horizontally and vertically; the pipe is fixed with a special hook on the body. It is light in weight + a comfortable large handl"&amp;"e, I can easily hold a vacuum cleaner in one hand and use the pipe with the other. Telescopic tube, easy folding mechanism. The wheels are large, the vacuum cleaner rolls on any floor covering. Large speed regulator with indicators, there is one suitable "&amp;"for any cleaning area. And the main advantage of this model is the absence of a dust collector bag, the container is easy to shake out, dust does not fly in different directions and then simply rinse with water. Filters and other elements are also easy to"&amp;" clean and dry quickly. I'm glad that I was able to buy a good vacuum cleaner for such modest money.")</f>
        <v>I liked this model of vacuum cleaners for its small dimensions, storing it does not require much space and can be parked both horizontally and vertically; the pipe is fixed with a special hook on the body. It is light in weight + a comfortable large handle, I can easily hold a vacuum cleaner in one hand and use the pipe with the other. Telescopic tube, easy folding mechanism. The wheels are large, the vacuum cleaner rolls on any floor covering. Large speed regulator with indicators, there is one suitable for any cleaning area. And the main advantage of this model is the absence of a dust collector bag, the container is easy to shake out, dust does not fly in different directions and then simply rinse with water. Filters and other elements are also easy to clean and dry quickly. I'm glad that I was able to buy a good vacuum cleaner for such modest money.</v>
      </c>
    </row>
    <row r="13264" spans="1:9" x14ac:dyDescent="0.3">
      <c r="A13264" s="1" t="s">
        <v>211</v>
      </c>
      <c r="B13264" s="1" t="s">
        <v>212</v>
      </c>
      <c r="C13264" s="1" t="s">
        <v>69</v>
      </c>
      <c r="D13264" s="1" t="s">
        <v>75</v>
      </c>
      <c r="E13264" s="1" t="s">
        <v>1601</v>
      </c>
      <c r="F13264" s="1" t="s">
        <v>2268</v>
      </c>
      <c r="G13264" s="1" t="s">
        <v>49</v>
      </c>
      <c r="H13264" s="1" t="s">
        <v>16</v>
      </c>
      <c r="I13264" s="1" t="str">
        <f ca="1">IFERROR(__xludf.DUMMYFUNCTION("GOOGLETRANSLATE(F13264, ""auto"", ""en"")
"),"No")</f>
        <v>No</v>
      </c>
    </row>
    <row r="13265" spans="1:9" x14ac:dyDescent="0.3">
      <c r="A13265" s="1" t="s">
        <v>149</v>
      </c>
      <c r="B13265" s="1" t="s">
        <v>155</v>
      </c>
      <c r="C13265" s="1" t="s">
        <v>1187</v>
      </c>
      <c r="D13265" s="1" t="s">
        <v>52</v>
      </c>
      <c r="E13265" s="1" t="s">
        <v>1931</v>
      </c>
      <c r="F13265" s="1" t="s">
        <v>18524</v>
      </c>
      <c r="G13265" s="1" t="s">
        <v>28</v>
      </c>
      <c r="H13265" s="1" t="s">
        <v>29</v>
      </c>
      <c r="I13265" s="1" t="str">
        <f ca="1">IFERROR(__xludf.DUMMYFUNCTION("GOOGLETRANSLATE(F13265, ""auto"", ""en"")
"),"The vacuum cleaner is good. The suction power is excellent. I recommend this particular model, since it has a parking system (the hose is wound around the vacuum cleaner and all the attachments are attached to it, so you don’t have to look for it later). "&amp;"Disadvantages: quite bulky, electrified during operation and collects dust on itself, too, expensive. But you will find out exactly how much dust there really is in your home.")</f>
        <v>The vacuum cleaner is good. The suction power is excellent. I recommend this particular model, since it has a parking system (the hose is wound around the vacuum cleaner and all the attachments are attached to it, so you don’t have to look for it later). Disadvantages: quite bulky, electrified during operation and collects dust on itself, too, expensive. But you will find out exactly how much dust there really is in your home.</v>
      </c>
    </row>
    <row r="13266" spans="1:9" x14ac:dyDescent="0.3">
      <c r="A13266" s="1" t="s">
        <v>30</v>
      </c>
      <c r="B13266" s="1" t="s">
        <v>50</v>
      </c>
      <c r="C13266" s="1" t="s">
        <v>694</v>
      </c>
      <c r="D13266" s="1" t="s">
        <v>420</v>
      </c>
      <c r="E13266" s="1" t="s">
        <v>164</v>
      </c>
      <c r="F13266" s="1" t="s">
        <v>18525</v>
      </c>
      <c r="G13266" s="1" t="s">
        <v>28</v>
      </c>
      <c r="H13266" s="1" t="s">
        <v>29</v>
      </c>
      <c r="I13266" s="1" t="str">
        <f ca="1">IFERROR(__xludf.DUMMYFUNCTION("GOOGLETRANSLATE(F13266, ""auto"", ""en"")
"),"1) Ports are the bare minimum: 3 x USB 2.0, RJ-45, VGA, microphone jack, headphone jack.    2) Minimum quality video camera, noise, at 640*480 no more than 10 frames/s")</f>
        <v>1) Ports are the bare minimum: 3 x USB 2.0, RJ-45, VGA, microphone jack, headphone jack.    2) Minimum quality video camera, noise, at 640*480 no more than 10 frames/s</v>
      </c>
    </row>
    <row r="13267" spans="1:9" x14ac:dyDescent="0.3">
      <c r="A13267" s="1" t="s">
        <v>451</v>
      </c>
      <c r="B13267" s="1" t="s">
        <v>452</v>
      </c>
      <c r="C13267" s="1" t="s">
        <v>710</v>
      </c>
      <c r="D13267" s="1" t="s">
        <v>18526</v>
      </c>
      <c r="E13267" s="1" t="s">
        <v>2688</v>
      </c>
      <c r="F13267" s="1" t="s">
        <v>18527</v>
      </c>
      <c r="G13267" s="1" t="s">
        <v>36</v>
      </c>
      <c r="H13267" s="1" t="s">
        <v>29</v>
      </c>
      <c r="I13267" s="1" t="str">
        <f ca="1">IFERROR(__xludf.DUMMYFUNCTION("GOOGLETRANSLATE(F13267, ""auto"", ""en"")
"),"Great thing, I never thought that for such a price it would work so effectively. I recommend it.")</f>
        <v>Great thing, I never thought that for such a price it would work so effectively. I recommend it.</v>
      </c>
    </row>
    <row r="13268" spans="1:9" x14ac:dyDescent="0.3">
      <c r="A13268" s="1" t="s">
        <v>169</v>
      </c>
      <c r="B13268" s="1" t="s">
        <v>170</v>
      </c>
      <c r="C13268" s="1" t="s">
        <v>97</v>
      </c>
      <c r="D13268" s="1" t="s">
        <v>18528</v>
      </c>
      <c r="E13268" s="1" t="s">
        <v>3771</v>
      </c>
      <c r="F13268" s="1" t="s">
        <v>18529</v>
      </c>
      <c r="G13268" s="1" t="s">
        <v>36</v>
      </c>
      <c r="H13268" s="1" t="s">
        <v>29</v>
      </c>
      <c r="I13268" s="1" t="str">
        <f ca="1">IFERROR(__xludf.DUMMYFUNCTION("GOOGLETRANSLATE(F13268, ""auto"", ""en"")
"),"I bought these in Moscow) Initially I thought that they would last six months, but no! They even lasted for a year and a half) So I’m thinking of fixing it and listening further, it’s very original and the sound is good)")</f>
        <v>I bought these in Moscow) Initially I thought that they would last six months, but no! They even lasted for a year and a half) So I’m thinking of fixing it and listening further, it’s very original and the sound is good)</v>
      </c>
    </row>
    <row r="13269" spans="1:9" x14ac:dyDescent="0.3">
      <c r="A13269" s="1" t="s">
        <v>67</v>
      </c>
      <c r="B13269" s="1" t="s">
        <v>340</v>
      </c>
      <c r="C13269" s="1" t="s">
        <v>1634</v>
      </c>
      <c r="D13269" s="1" t="s">
        <v>18442</v>
      </c>
      <c r="E13269" s="1" t="s">
        <v>5222</v>
      </c>
      <c r="F13269" s="1" t="s">
        <v>18530</v>
      </c>
      <c r="G13269" s="1" t="s">
        <v>36</v>
      </c>
      <c r="H13269" s="1" t="s">
        <v>29</v>
      </c>
      <c r="I13269" s="1" t="str">
        <f ca="1">IFERROR(__xludf.DUMMYFUNCTION("GOOGLETRANSLATE(F13269, ""auto"", ""en"")
"),"My old machine from this company is about 10 years old) It still serves faithfully. The plastic just turned yellow, but everything is fine.")</f>
        <v>My old machine from this company is about 10 years old) It still serves faithfully. The plastic just turned yellow, but everything is fine.</v>
      </c>
    </row>
    <row r="13270" spans="1:9" x14ac:dyDescent="0.3">
      <c r="A13270" s="1" t="s">
        <v>120</v>
      </c>
      <c r="B13270" s="1" t="s">
        <v>121</v>
      </c>
      <c r="C13270" s="1" t="s">
        <v>69</v>
      </c>
      <c r="D13270" s="1" t="s">
        <v>17518</v>
      </c>
      <c r="E13270" s="1" t="s">
        <v>508</v>
      </c>
      <c r="F13270" s="1" t="s">
        <v>18531</v>
      </c>
      <c r="G13270" s="1" t="s">
        <v>28</v>
      </c>
      <c r="H13270" s="1" t="s">
        <v>29</v>
      </c>
      <c r="I13270" s="1" t="str">
        <f ca="1">IFERROR(__xludf.DUMMYFUNCTION("GOOGLETRANSLATE(F13270, ""auto"", ""en"")
"),"I purchased this TV on sale and was extremely pleased. I've been using it for a month now. What I was most pleased with was the quality of the image from the antenna. (-) Not everyone can read the formats. I connected it to my computer via HDMI and watche"&amp;"d movies in all formats. I didn’t feel any pleasure from the backlight - and in my opinion, it’s also just an additional optional element.")</f>
        <v>I purchased this TV on sale and was extremely pleased. I've been using it for a month now. What I was most pleased with was the quality of the image from the antenna. (-) Not everyone can read the formats. I connected it to my computer via HDMI and watched movies in all formats. I didn’t feel any pleasure from the backlight - and in my opinion, it’s also just an additional optional element.</v>
      </c>
    </row>
    <row r="13271" spans="1:9" x14ac:dyDescent="0.3">
      <c r="A13271" s="1" t="s">
        <v>149</v>
      </c>
      <c r="B13271" s="1" t="s">
        <v>423</v>
      </c>
      <c r="C13271" s="1" t="s">
        <v>314</v>
      </c>
      <c r="D13271" s="1" t="s">
        <v>327</v>
      </c>
      <c r="E13271" s="1" t="s">
        <v>1866</v>
      </c>
      <c r="F13271" s="1" t="s">
        <v>18532</v>
      </c>
      <c r="G13271" s="1" t="s">
        <v>49</v>
      </c>
      <c r="H13271" s="1" t="s">
        <v>16</v>
      </c>
      <c r="I13271" s="1" t="str">
        <f ca="1">IFERROR(__xludf.DUMMYFUNCTION("GOOGLETRANSLATE(F13271, ""auto"", ""en"")
"),"I bought it and really regretted it, the water hose hangs on the main one, without a telescopic pipe, I can’t install a washing nozzle, but wash the sofa, windows with a pipe.... sprayers, two sets have already been changed, they pour water anywhere, but "&amp;"they don’t spray properly.  The only plus is that it is easy to clean after cleaning.")</f>
        <v>I bought it and really regretted it, the water hose hangs on the main one, without a telescopic pipe, I can’t install a washing nozzle, but wash the sofa, windows with a pipe.... sprayers, two sets have already been changed, they pour water anywhere, but they don’t spray properly.  The only plus is that it is easy to clean after cleaning.</v>
      </c>
    </row>
    <row r="13272" spans="1:9" x14ac:dyDescent="0.3">
      <c r="A13272" s="1" t="s">
        <v>30</v>
      </c>
      <c r="B13272" s="1" t="s">
        <v>50</v>
      </c>
      <c r="C13272" s="1" t="s">
        <v>2550</v>
      </c>
      <c r="D13272" s="1" t="s">
        <v>17550</v>
      </c>
      <c r="E13272" s="1" t="s">
        <v>201</v>
      </c>
      <c r="F13272" s="1" t="s">
        <v>18533</v>
      </c>
      <c r="G13272" s="1" t="s">
        <v>36</v>
      </c>
      <c r="H13272" s="1" t="s">
        <v>29</v>
      </c>
      <c r="I13272" s="1" t="str">
        <f ca="1">IFERROR(__xludf.DUMMYFUNCTION("GOOGLETRANSLATE(F13272, ""auto"", ""en"")
"),"The laptop is just super doesn’t slow down everything works like a clock not expensive in general take it super don’t wish for it")</f>
        <v>The laptop is just super doesn’t slow down everything works like a clock not expensive in general take it super don’t wish for it</v>
      </c>
    </row>
    <row r="13273" spans="1:9" x14ac:dyDescent="0.3">
      <c r="A13273" s="1" t="s">
        <v>206</v>
      </c>
      <c r="B13273" s="1" t="s">
        <v>207</v>
      </c>
      <c r="C13273" s="1" t="s">
        <v>351</v>
      </c>
      <c r="D13273" s="1" t="s">
        <v>5189</v>
      </c>
      <c r="E13273" s="1" t="s">
        <v>18534</v>
      </c>
      <c r="F13273" s="1" t="s">
        <v>18535</v>
      </c>
      <c r="G13273" s="1" t="s">
        <v>36</v>
      </c>
      <c r="H13273" s="1" t="s">
        <v>29</v>
      </c>
      <c r="I13273" s="1" t="str">
        <f ca="1">IFERROR(__xludf.DUMMYFUNCTION("GOOGLETRANSLATE(F13273, ""auto"", ""en"")
"),"The set plays well, but the sub needs to be improved, (I glued the fazik inside with a Shumka) the bass is deep and clear, it’s not at all clear why the fazik is snorting at the peaks (definitely remove it).")</f>
        <v>The set plays well, but the sub needs to be improved, (I glued the fazik inside with a Shumka) the bass is deep and clear, it’s not at all clear why the fazik is snorting at the peaks (definitely remove it).</v>
      </c>
    </row>
    <row r="13274" spans="1:9" x14ac:dyDescent="0.3">
      <c r="A13274" s="1" t="s">
        <v>37</v>
      </c>
      <c r="B13274" s="1" t="s">
        <v>355</v>
      </c>
      <c r="C13274" s="1" t="s">
        <v>356</v>
      </c>
      <c r="D13274" s="1" t="s">
        <v>18536</v>
      </c>
      <c r="E13274" s="1" t="s">
        <v>7219</v>
      </c>
      <c r="F13274" s="1" t="s">
        <v>18537</v>
      </c>
      <c r="G13274" s="1" t="s">
        <v>36</v>
      </c>
      <c r="H13274" s="1" t="s">
        <v>29</v>
      </c>
      <c r="I13274" s="1" t="str">
        <f ca="1">IFERROR(__xludf.DUMMYFUNCTION("GOOGLETRANSLATE(F13274, ""auto"", ""en"")
"),"I'm not happy with any phone other than the Apple phone)")</f>
        <v>I'm not happy with any phone other than the Apple phone)</v>
      </c>
    </row>
    <row r="13275" spans="1:9" x14ac:dyDescent="0.3">
      <c r="A13275" s="1" t="s">
        <v>624</v>
      </c>
      <c r="B13275" s="1" t="s">
        <v>625</v>
      </c>
      <c r="C13275" s="1" t="s">
        <v>479</v>
      </c>
      <c r="D13275" s="1" t="s">
        <v>280</v>
      </c>
      <c r="E13275" s="1" t="s">
        <v>552</v>
      </c>
      <c r="F13275" s="1" t="s">
        <v>18538</v>
      </c>
      <c r="G13275" s="1" t="s">
        <v>36</v>
      </c>
      <c r="H13275" s="1" t="s">
        <v>29</v>
      </c>
      <c r="I13275" s="1" t="str">
        <f ca="1">IFERROR(__xludf.DUMMYFUNCTION("GOOGLETRANSLATE(F13275, ""auto"", ""en"")
"),"Simply great game! Here somehow you don’t even really want to follow the storyline of the game, although the plot here is very interesting, but you want to ride across the prairies, hunt deer or bears; even when going out to catch the villain again, it’s "&amp;"impossible to miss the deer jumping near you, your hands are reaching for your gun, and 8 bucks from antlers and 5 from meat is a lot of money. My verdict is short - MUST HAVE!  P.S. Watch the movie Australia, there are references to this movie in the gam"&amp;"e.")</f>
        <v>Simply great game! Here somehow you don’t even really want to follow the storyline of the game, although the plot here is very interesting, but you want to ride across the prairies, hunt deer or bears; even when going out to catch the villain again, it’s impossible to miss the deer jumping near you, your hands are reaching for your gun, and 8 bucks from antlers and 5 from meat is a lot of money. My verdict is short - MUST HAVE!  P.S. Watch the movie Australia, there are references to this movie in the game.</v>
      </c>
    </row>
    <row r="13276" spans="1:9" x14ac:dyDescent="0.3">
      <c r="A13276" s="1" t="s">
        <v>211</v>
      </c>
      <c r="B13276" s="1" t="s">
        <v>212</v>
      </c>
      <c r="C13276" s="1" t="s">
        <v>69</v>
      </c>
      <c r="D13276" s="1" t="s">
        <v>565</v>
      </c>
      <c r="E13276" s="1" t="s">
        <v>3918</v>
      </c>
      <c r="F13276" s="1" t="s">
        <v>18539</v>
      </c>
      <c r="G13276" s="1" t="s">
        <v>36</v>
      </c>
      <c r="H13276" s="1" t="s">
        <v>29</v>
      </c>
      <c r="I13276" s="1" t="str">
        <f ca="1">IFERROR(__xludf.DUMMYFUNCTION("GOOGLETRANSLATE(F13276, ""auto"", ""en"")
"),"I’ve been using this device for 2 years now, I’ve used all the attachments, but I always use 2-3, I like the iron, the brushes are also good, it makes waves, but I don’t need it. I recommend it - an excellent product for the money.")</f>
        <v>I’ve been using this device for 2 years now, I’ve used all the attachments, but I always use 2-3, I like the iron, the brushes are also good, it makes waves, but I don’t need it. I recommend it - an excellent product for the money.</v>
      </c>
    </row>
    <row r="13277" spans="1:9" x14ac:dyDescent="0.3">
      <c r="A13277" s="1" t="s">
        <v>37</v>
      </c>
      <c r="B13277" s="1" t="s">
        <v>38</v>
      </c>
      <c r="C13277" s="1" t="s">
        <v>163</v>
      </c>
      <c r="D13277" s="1" t="s">
        <v>18540</v>
      </c>
      <c r="E13277" s="1" t="s">
        <v>1773</v>
      </c>
      <c r="F13277" s="1" t="s">
        <v>18541</v>
      </c>
      <c r="G13277" s="1" t="s">
        <v>36</v>
      </c>
      <c r="H13277" s="1" t="s">
        <v>29</v>
      </c>
      <c r="I13277" s="1" t="str">
        <f ca="1">IFERROR(__xludf.DUMMYFUNCTION("GOOGLETRANSLATE(F13277, ""auto"", ""en"")
"),"I think these are good buttons. Both design and functions. Pretty. I really liked it.")</f>
        <v>I think these are good buttons. Both design and functions. Pretty. I really liked it.</v>
      </c>
    </row>
    <row r="13278" spans="1:9" x14ac:dyDescent="0.3">
      <c r="A13278" s="1" t="s">
        <v>105</v>
      </c>
      <c r="B13278" s="1" t="s">
        <v>106</v>
      </c>
      <c r="C13278" s="1" t="s">
        <v>107</v>
      </c>
      <c r="D13278" s="1" t="s">
        <v>5447</v>
      </c>
      <c r="E13278" s="1" t="s">
        <v>5596</v>
      </c>
      <c r="F13278" s="1" t="s">
        <v>18542</v>
      </c>
      <c r="G13278" s="1" t="s">
        <v>49</v>
      </c>
      <c r="H13278" s="1" t="s">
        <v>16</v>
      </c>
      <c r="I13278" s="1" t="str">
        <f ca="1">IFERROR(__xludf.DUMMYFUNCTION("GOOGLETRANSLATE(F13278, ""auto"", ""en"")
"),"Advantages: Light and thin, low price (although this is a controversial issue for such quality, or rather, lack thereof). The battery holds well Disadvantages: Slow, reboots spontaneously, corrupts files Comment: Nasty. Don't buy this model if you don't w"&amp;"ant to spend money and then nerves on using it. I will change it and will never buy Ritmix again")</f>
        <v>Advantages: Light and thin, low price (although this is a controversial issue for such quality, or rather, lack thereof). The battery holds well Disadvantages: Slow, reboots spontaneously, corrupts files Comment: Nasty. Don't buy this model if you don't want to spend money and then nerves on using it. I will change it and will never buy Ritmix again</v>
      </c>
    </row>
    <row r="13279" spans="1:9" x14ac:dyDescent="0.3">
      <c r="A13279" s="1" t="s">
        <v>30</v>
      </c>
      <c r="B13279" s="1" t="s">
        <v>50</v>
      </c>
      <c r="C13279" s="1" t="s">
        <v>1003</v>
      </c>
      <c r="D13279" s="1" t="s">
        <v>4412</v>
      </c>
      <c r="E13279" s="1" t="s">
        <v>2298</v>
      </c>
      <c r="F13279" s="1" t="s">
        <v>18543</v>
      </c>
      <c r="G13279" s="1" t="s">
        <v>36</v>
      </c>
      <c r="H13279" s="1" t="s">
        <v>29</v>
      </c>
      <c r="I13279" s="1" t="str">
        <f ca="1">IFERROR(__xludf.DUMMYFUNCTION("GOOGLETRANSLATE(F13279, ""auto"", ""en"")
"),"The beech is 2 weeks old, it heats up when the processor is loaded at more than 50%, the operating temperature is 50 degrees, when loaded with games it reached 86, but it doesn’t get dull, the beech is excellent, for games I advise you to buy it together "&amp;"with a cooling platform.")</f>
        <v>The beech is 2 weeks old, it heats up when the processor is loaded at more than 50%, the operating temperature is 50 degrees, when loaded with games it reached 86, but it doesn’t get dull, the beech is excellent, for games I advise you to buy it together with a cooling platform.</v>
      </c>
    </row>
    <row r="13280" spans="1:9" x14ac:dyDescent="0.3">
      <c r="A13280" s="1" t="s">
        <v>361</v>
      </c>
      <c r="B13280" s="1" t="s">
        <v>2555</v>
      </c>
      <c r="C13280" s="1" t="s">
        <v>4871</v>
      </c>
      <c r="D13280" s="1" t="s">
        <v>308</v>
      </c>
      <c r="E13280" s="1" t="s">
        <v>5038</v>
      </c>
      <c r="F13280" s="1" t="s">
        <v>18544</v>
      </c>
      <c r="G13280" s="1" t="s">
        <v>36</v>
      </c>
      <c r="H13280" s="1" t="s">
        <v>29</v>
      </c>
      <c r="I13280" s="1" t="str">
        <f ca="1">IFERROR(__xludf.DUMMYFUNCTION("GOOGLETRANSLATE(F13280, ""auto"", ""en"")
"),"I really liked the thermos: it’s light, it holds heat well, the bottom is rubberized - you won’t scratch it, the handle can be pulled out if necessary, it has a water supply valve - in general, the thing is wonderful in all respects. I recommend it.")</f>
        <v>I really liked the thermos: it’s light, it holds heat well, the bottom is rubberized - you won’t scratch it, the handle can be pulled out if necessary, it has a water supply valve - in general, the thing is wonderful in all respects. I recommend it.</v>
      </c>
    </row>
    <row r="13281" spans="1:9" x14ac:dyDescent="0.3">
      <c r="A13281" s="1" t="s">
        <v>211</v>
      </c>
      <c r="B13281" s="1" t="s">
        <v>410</v>
      </c>
      <c r="C13281" s="1" t="s">
        <v>122</v>
      </c>
      <c r="D13281" s="1" t="s">
        <v>81</v>
      </c>
      <c r="E13281" s="1" t="s">
        <v>4621</v>
      </c>
      <c r="F13281" s="1" t="s">
        <v>18545</v>
      </c>
      <c r="G13281" s="1" t="s">
        <v>49</v>
      </c>
      <c r="H13281" s="1" t="s">
        <v>16</v>
      </c>
      <c r="I13281" s="1" t="str">
        <f ca="1">IFERROR(__xludf.DUMMYFUNCTION("GOOGLETRANSLATE(F13281, ""auto"", ""en"")
"),"Terrible razor. It would be better to take brown! They are much better quality! Panasonic makes bad quality razors. Better not take it. At first I wanted a brown, but my instinct to save money turned out to be stronger. As a result, the razor broke after "&amp;"3 weeks. Upset")</f>
        <v>Terrible razor. It would be better to take brown! They are much better quality! Panasonic makes bad quality razors. Better not take it. At first I wanted a brown, but my instinct to save money turned out to be stronger. As a result, the razor broke after 3 weeks. Upset</v>
      </c>
    </row>
    <row r="13282" spans="1:9" x14ac:dyDescent="0.3">
      <c r="A13282" s="1" t="s">
        <v>211</v>
      </c>
      <c r="B13282" s="1" t="s">
        <v>265</v>
      </c>
      <c r="C13282" s="1" t="s">
        <v>294</v>
      </c>
      <c r="D13282" s="1" t="s">
        <v>1008</v>
      </c>
      <c r="E13282" s="1" t="s">
        <v>2829</v>
      </c>
      <c r="F13282" s="1" t="s">
        <v>18546</v>
      </c>
      <c r="G13282" s="1" t="s">
        <v>36</v>
      </c>
      <c r="H13282" s="1" t="s">
        <v>29</v>
      </c>
      <c r="I13282" s="1" t="str">
        <f ca="1">IFERROR(__xludf.DUMMYFUNCTION("GOOGLETRANSLATE(F13282, ""auto"", ""en"")
"),"Experienced in using it for half a year, I took it as a gift for the New Year, it showed itself to be good, you can shave and cut hair with it, the knives don’t get dull, the charge lasts a long time, it can work directly from the mains, I recommend this "&amp;"model, I really liked it....")</f>
        <v>Experienced in using it for half a year, I took it as a gift for the New Year, it showed itself to be good, you can shave and cut hair with it, the knives don’t get dull, the charge lasts a long time, it can work directly from the mains, I recommend this model, I really liked it....</v>
      </c>
    </row>
    <row r="13283" spans="1:9" x14ac:dyDescent="0.3">
      <c r="A13283" s="1" t="s">
        <v>67</v>
      </c>
      <c r="B13283" s="1" t="s">
        <v>68</v>
      </c>
      <c r="C13283" s="1" t="s">
        <v>69</v>
      </c>
      <c r="D13283" s="1" t="s">
        <v>545</v>
      </c>
      <c r="E13283" s="1" t="s">
        <v>233</v>
      </c>
      <c r="F13283" s="1" t="s">
        <v>18547</v>
      </c>
      <c r="G13283" s="1" t="s">
        <v>36</v>
      </c>
      <c r="H13283" s="1" t="s">
        <v>29</v>
      </c>
      <c r="I13283" s="1" t="str">
        <f ca="1">IFERROR(__xludf.DUMMYFUNCTION("GOOGLETRANSLATE(F13283, ""auto"", ""en"")
"),"The iron is very good, irons great! I spent a long time choosing and was pleased with the purchase. Excellent quality!")</f>
        <v>The iron is very good, irons great! I spent a long time choosing and was pleased with the purchase. Excellent quality!</v>
      </c>
    </row>
    <row r="13284" spans="1:9" x14ac:dyDescent="0.3">
      <c r="A13284" s="1" t="s">
        <v>238</v>
      </c>
      <c r="B13284" s="1" t="s">
        <v>276</v>
      </c>
      <c r="C13284" s="1" t="s">
        <v>277</v>
      </c>
      <c r="D13284" s="1" t="s">
        <v>75</v>
      </c>
      <c r="E13284" s="1" t="s">
        <v>8922</v>
      </c>
      <c r="F13284" s="1" t="s">
        <v>18548</v>
      </c>
      <c r="G13284" s="1" t="s">
        <v>36</v>
      </c>
      <c r="H13284" s="1" t="s">
        <v>29</v>
      </c>
      <c r="I13284" s="1" t="str">
        <f ca="1">IFERROR(__xludf.DUMMYFUNCTION("GOOGLETRANSLATE(F13284, ""auto"", ""en"")
"),"Great stuff! We bought it as a temporary option in May 2013, there is still no particular need to change it, although we love to cook and have a large family - three children. Quiet, freezes well, the freezer is spacious, even with a large amount of food "&amp;"loaded in the summer, they do not go missing.  So no complaints. Quality is higher than expected for this price")</f>
        <v>Great stuff! We bought it as a temporary option in May 2013, there is still no particular need to change it, although we love to cook and have a large family - three children. Quiet, freezes well, the freezer is spacious, even with a large amount of food loaded in the summer, they do not go missing.  So no complaints. Quality is higher than expected for this price</v>
      </c>
    </row>
    <row r="13285" spans="1:9" x14ac:dyDescent="0.3">
      <c r="A13285" s="1" t="s">
        <v>519</v>
      </c>
      <c r="B13285" s="1" t="s">
        <v>3088</v>
      </c>
      <c r="C13285" s="1" t="s">
        <v>246</v>
      </c>
      <c r="D13285" s="1" t="s">
        <v>18549</v>
      </c>
      <c r="E13285" s="1" t="s">
        <v>15861</v>
      </c>
      <c r="F13285" s="1" t="s">
        <v>18550</v>
      </c>
      <c r="G13285" s="1" t="s">
        <v>36</v>
      </c>
      <c r="H13285" s="1" t="s">
        <v>29</v>
      </c>
      <c r="I13285" s="1" t="str">
        <f ca="1">IFERROR(__xludf.DUMMYFUNCTION("GOOGLETRANSLATE(F13285, ""auto"", ""en"")
"),"I bought it a couple of days ago. It is so magnificent that if it lasts only a year, I won’t be offended and buy a new one. It's a pleasure to fry on it, the food glides on without burning, it requires little oil, it's easy to clean, it's heavy, just the "&amp;"way I like it, it's beautiful. And most importantly, food cooked with it is much tastier, I don’t know how this can be - I conducted an experiment, and my family confirmed this fact.")</f>
        <v>I bought it a couple of days ago. It is so magnificent that if it lasts only a year, I won’t be offended and buy a new one. It's a pleasure to fry on it, the food glides on without burning, it requires little oil, it's easy to clean, it's heavy, just the way I like it, it's beautiful. And most importantly, food cooked with it is much tastier, I don’t know how this can be - I conducted an experiment, and my family confirmed this fact.</v>
      </c>
    </row>
    <row r="13286" spans="1:9" x14ac:dyDescent="0.3">
      <c r="A13286" s="1" t="s">
        <v>211</v>
      </c>
      <c r="B13286" s="1" t="s">
        <v>899</v>
      </c>
      <c r="C13286" s="1" t="s">
        <v>69</v>
      </c>
      <c r="D13286" s="1" t="s">
        <v>474</v>
      </c>
      <c r="E13286" s="1" t="s">
        <v>1051</v>
      </c>
      <c r="F13286" s="1" t="s">
        <v>18551</v>
      </c>
      <c r="G13286" s="1" t="s">
        <v>36</v>
      </c>
      <c r="H13286" s="1" t="s">
        <v>29</v>
      </c>
      <c r="I13286" s="1" t="str">
        <f ca="1">IFERROR(__xludf.DUMMYFUNCTION("GOOGLETRANSLATE(F13286, ""auto"", ""en"")
"),"I admit honestly - I am not a fan of new products. I always brushed my teeth with a regular toothbrush and thought that was enough. Sonicare was given to me as a gift. I was skeptical about this gift - just another stupid toy... After the first brushing, "&amp;"I was simply amazed - my teeth were so CLEAN that they even creaked. There was no plaque left at all, even on the far teeth. After this result, all ordinary toothbrushes were thrown into the trash forever.  After a month of use, my gums stopped bleeding. "&amp;"Half a year later, I went to the dentist for ultrasonic cleaning - she said that this time there was no need to clean anything - there was no old plaque.  Just like that.")</f>
        <v>I admit honestly - I am not a fan of new products. I always brushed my teeth with a regular toothbrush and thought that was enough. Sonicare was given to me as a gift. I was skeptical about this gift - just another stupid toy... After the first brushing, I was simply amazed - my teeth were so CLEAN that they even creaked. There was no plaque left at all, even on the far teeth. After this result, all ordinary toothbrushes were thrown into the trash forever.  After a month of use, my gums stopped bleeding. Half a year later, I went to the dentist for ultrasonic cleaning - she said that this time there was no need to clean anything - there was no old plaque.  Just like that.</v>
      </c>
    </row>
    <row r="13287" spans="1:9" x14ac:dyDescent="0.3">
      <c r="A13287" s="1" t="s">
        <v>120</v>
      </c>
      <c r="B13287" s="1" t="s">
        <v>121</v>
      </c>
      <c r="C13287" s="1" t="s">
        <v>97</v>
      </c>
      <c r="D13287" s="1" t="s">
        <v>39</v>
      </c>
      <c r="E13287" s="1" t="s">
        <v>2769</v>
      </c>
      <c r="F13287" s="1" t="s">
        <v>18552</v>
      </c>
      <c r="G13287" s="1" t="s">
        <v>28</v>
      </c>
      <c r="H13287" s="1" t="s">
        <v>29</v>
      </c>
      <c r="I13287" s="1" t="str">
        <f ca="1">IFERROR(__xludf.DUMMYFUNCTION("GOOGLETRANSLATE(F13287, ""auto"", ""en"")
"),"The TV is good, but when playing movies from a flash drive, it does not play the entire movie. for example, a film lasting 1 hour 26 minutes, it plays 1 hour 2 minutes and then breaks off. I can’t understand what’s wrong... It seems to show short video cl"&amp;"ips normally.")</f>
        <v>The TV is good, but when playing movies from a flash drive, it does not play the entire movie. for example, a film lasting 1 hour 26 minutes, it plays 1 hour 2 minutes and then breaks off. I can’t understand what’s wrong... It seems to show short video clips normally.</v>
      </c>
    </row>
    <row r="13288" spans="1:9" x14ac:dyDescent="0.3">
      <c r="A13288" s="1" t="s">
        <v>238</v>
      </c>
      <c r="B13288" s="1" t="s">
        <v>239</v>
      </c>
      <c r="C13288" s="1" t="s">
        <v>240</v>
      </c>
      <c r="D13288" s="1" t="s">
        <v>295</v>
      </c>
      <c r="E13288" s="1" t="s">
        <v>3361</v>
      </c>
      <c r="F13288" s="1" t="s">
        <v>18553</v>
      </c>
      <c r="G13288" s="1" t="s">
        <v>28</v>
      </c>
      <c r="H13288" s="1" t="s">
        <v>29</v>
      </c>
      <c r="I13288" s="1" t="str">
        <f ca="1">IFERROR(__xludf.DUMMYFUNCTION("GOOGLETRANSLATE(F13288, ""auto"", ""en"")
"),"I liked the size of the refrigerator, it’s very roomy! Just right for a large family. The ease of moving the shelves to the desired height was also pleasing. One minus is that there is a large gap in the refrigeration section inside at the top. I would li"&amp;"ke to know if everyone has this or are we the only ones with this defect?")</f>
        <v>I liked the size of the refrigerator, it’s very roomy! Just right for a large family. The ease of moving the shelves to the desired height was also pleasing. One minus is that there is a large gap in the refrigeration section inside at the top. I would like to know if everyone has this or are we the only ones with this defect?</v>
      </c>
    </row>
    <row r="13289" spans="1:9" x14ac:dyDescent="0.3">
      <c r="A13289" s="1" t="s">
        <v>120</v>
      </c>
      <c r="B13289" s="1" t="s">
        <v>196</v>
      </c>
      <c r="C13289" s="1" t="s">
        <v>80</v>
      </c>
      <c r="D13289" s="1" t="s">
        <v>102</v>
      </c>
      <c r="E13289" s="1" t="s">
        <v>1888</v>
      </c>
      <c r="F13289" s="1" t="s">
        <v>18554</v>
      </c>
      <c r="G13289" s="1" t="s">
        <v>36</v>
      </c>
      <c r="H13289" s="1" t="s">
        <v>29</v>
      </c>
      <c r="I13289" s="1" t="str">
        <f ca="1">IFERROR(__xludf.DUMMYFUNCTION("GOOGLETRANSLATE(F13289, ""auto"", ""en"")
"),"You can’t find 42"" full hd for that kind of money. The picture quality is excellent, the built-in sound is no worse than in expensive models. During dynamic scenes, the picture does not slow down, so I don’t see the point of overpaying for 100 Hz. I conn"&amp;"ected it to the computer via vga - it’s fine. There are two hdmi outputs, one of them I use for a media player. I didn’t unlock the usb, since an external media player is more convenient than moving the TV to insert flash drive.")</f>
        <v>You can’t find 42" full hd for that kind of money. The picture quality is excellent, the built-in sound is no worse than in expensive models. During dynamic scenes, the picture does not slow down, so I don’t see the point of overpaying for 100 Hz. I connected it to the computer via vga - it’s fine. There are two hdmi outputs, one of them I use for a media player. I didn’t unlock the usb, since an external media player is more convenient than moving the TV to insert flash drive.</v>
      </c>
    </row>
    <row r="13290" spans="1:9" x14ac:dyDescent="0.3">
      <c r="A13290" s="1" t="s">
        <v>6277</v>
      </c>
      <c r="B13290" s="1" t="s">
        <v>6823</v>
      </c>
      <c r="C13290" s="1" t="s">
        <v>85</v>
      </c>
      <c r="D13290" s="1" t="s">
        <v>18555</v>
      </c>
      <c r="E13290" s="1" t="s">
        <v>11502</v>
      </c>
      <c r="F13290" s="1" t="s">
        <v>18556</v>
      </c>
      <c r="G13290" s="1" t="s">
        <v>36</v>
      </c>
      <c r="H13290" s="1" t="s">
        <v>29</v>
      </c>
      <c r="I13290" s="1" t="str">
        <f ca="1">IFERROR(__xludf.DUMMYFUNCTION("GOOGLETRANSLATE(F13290, ""auto"", ""en"")
"),"I am always very worried about the health of myself and my family. We live in a very cold climate, everyone catches colds all the time, and now there are flu epidemics in the city several times a year.  The children pick it up all the time, in the garden "&amp;"and at school, but my husband and I keep it from them. Somehow there was a period that year when we were just all getting infected from each other in a circle. My husband and I spent a total of a month each on sick leave. They took immuno-boosting and oth"&amp;"er medications - zero effect! It was the air purifier from Bork with a special filter like this that saved us! It combines several air purification options at once, which is why it is the strongest of all filters suitable for this air purifier. It is merc"&amp;"iless against bacteria, flu viruses and other things! Recently, just one child was sick, lying at home with a fever and a wild cough. And everyone else didn't even sneeze! The main thing is not to skimp, not to forget that one filter should not reside in "&amp;"the air purifier forever, but only temporarily! If you change it after the specified expiration date, then everyone will be healthy!")</f>
        <v>I am always very worried about the health of myself and my family. We live in a very cold climate, everyone catches colds all the time, and now there are flu epidemics in the city several times a year.  The children pick it up all the time, in the garden and at school, but my husband and I keep it from them. Somehow there was a period that year when we were just all getting infected from each other in a circle. My husband and I spent a total of a month each on sick leave. They took immuno-boosting and other medications - zero effect! It was the air purifier from Bork with a special filter like this that saved us! It combines several air purification options at once, which is why it is the strongest of all filters suitable for this air purifier. It is merciless against bacteria, flu viruses and other things! Recently, just one child was sick, lying at home with a fever and a wild cough. And everyone else didn't even sneeze! The main thing is not to skimp, not to forget that one filter should not reside in the air purifier forever, but only temporarily! If you change it after the specified expiration date, then everyone will be healthy!</v>
      </c>
    </row>
    <row r="13291" spans="1:9" x14ac:dyDescent="0.3">
      <c r="A13291" s="1" t="s">
        <v>206</v>
      </c>
      <c r="B13291" s="1" t="s">
        <v>207</v>
      </c>
      <c r="C13291" s="1" t="s">
        <v>351</v>
      </c>
      <c r="D13291" s="1" t="s">
        <v>39</v>
      </c>
      <c r="E13291" s="1" t="s">
        <v>1302</v>
      </c>
      <c r="F13291" s="1" t="s">
        <v>18557</v>
      </c>
      <c r="G13291" s="1" t="s">
        <v>36</v>
      </c>
      <c r="H13291" s="1" t="s">
        <v>29</v>
      </c>
      <c r="I13291" s="1" t="str">
        <f ca="1">IFERROR(__xludf.DUMMYFUNCTION("GOOGLETRANSLATE(F13291, ""auto"", ""en"")
"),"He doesn't play badly. Connected to rear speakers and sub.")</f>
        <v>He doesn't play badly. Connected to rear speakers and sub.</v>
      </c>
    </row>
    <row r="13292" spans="1:9" x14ac:dyDescent="0.3">
      <c r="A13292" s="1" t="s">
        <v>169</v>
      </c>
      <c r="B13292" s="1" t="s">
        <v>170</v>
      </c>
      <c r="C13292" s="1" t="s">
        <v>171</v>
      </c>
      <c r="D13292" s="1" t="s">
        <v>25</v>
      </c>
      <c r="E13292" s="1" t="s">
        <v>4146</v>
      </c>
      <c r="F13292" s="1" t="s">
        <v>18558</v>
      </c>
      <c r="G13292" s="1" t="s">
        <v>36</v>
      </c>
      <c r="H13292" s="1" t="s">
        <v>29</v>
      </c>
      <c r="I13292" s="1" t="str">
        <f ca="1">IFERROR(__xludf.DUMMYFUNCTION("GOOGLETRANSLATE(F13292, ""auto"", ""en"")
"),"I bought the headphones a long time ago. They still serve me. the sound is perfect. loud - just what you need.")</f>
        <v>I bought the headphones a long time ago. They still serve me. the sound is perfect. loud - just what you need.</v>
      </c>
    </row>
    <row r="13293" spans="1:9" x14ac:dyDescent="0.3">
      <c r="A13293" s="1" t="s">
        <v>61</v>
      </c>
      <c r="B13293" s="1" t="s">
        <v>977</v>
      </c>
      <c r="C13293" s="1" t="s">
        <v>69</v>
      </c>
      <c r="D13293" s="1" t="s">
        <v>308</v>
      </c>
      <c r="E13293" s="1" t="s">
        <v>594</v>
      </c>
      <c r="F13293" s="1" t="s">
        <v>18559</v>
      </c>
      <c r="G13293" s="1" t="s">
        <v>36</v>
      </c>
      <c r="H13293" s="1" t="s">
        <v>29</v>
      </c>
      <c r="I13293" s="1" t="str">
        <f ca="1">IFERROR(__xludf.DUMMYFUNCTION("GOOGLETRANSLATE(F13293, ""auto"", ""en"")
"),"Great blender, I've been using it for 2 years now! An assistant in preparing any dish. They pureed soups, vegetables and fruits for baby food. They chopped greens, nuts, and made various sauces in it! Great for stirring dough into pancakes and pancakes. W"&amp;"e made berry shakes. In general, we are very pleased, it is an excellent blender, an assistant in preparing any dish! Now we recommend it to everyone!")</f>
        <v>Great blender, I've been using it for 2 years now! An assistant in preparing any dish. They pureed soups, vegetables and fruits for baby food. They chopped greens, nuts, and made various sauces in it! Great for stirring dough into pancakes and pancakes. We made berry shakes. In general, we are very pleased, it is an excellent blender, an assistant in preparing any dish! Now we recommend it to everyone!</v>
      </c>
    </row>
    <row r="13294" spans="1:9" x14ac:dyDescent="0.3">
      <c r="A13294" s="1" t="s">
        <v>67</v>
      </c>
      <c r="B13294" s="1" t="s">
        <v>68</v>
      </c>
      <c r="C13294" s="1" t="s">
        <v>246</v>
      </c>
      <c r="D13294" s="1" t="s">
        <v>982</v>
      </c>
      <c r="E13294" s="1" t="s">
        <v>229</v>
      </c>
      <c r="F13294" s="1" t="s">
        <v>18560</v>
      </c>
      <c r="G13294" s="1" t="s">
        <v>36</v>
      </c>
      <c r="H13294" s="1" t="s">
        <v>29</v>
      </c>
      <c r="I13294" s="1" t="str">
        <f ca="1">IFERROR(__xludf.DUMMYFUNCTION("GOOGLETRANSLATE(F13294, ""auto"", ""en"")
"),"We bought this iron and are very pleased. Nice model, everything is done well. Irons well, steams well, everything is at an excellent level. And it fits comfortably in your hand, thanks to the rubber handle.")</f>
        <v>We bought this iron and are very pleased. Nice model, everything is done well. Irons well, steams well, everything is at an excellent level. And it fits comfortably in your hand, thanks to the rubber handle.</v>
      </c>
    </row>
    <row r="13295" spans="1:9" x14ac:dyDescent="0.3">
      <c r="A13295" s="1" t="s">
        <v>169</v>
      </c>
      <c r="B13295" s="1" t="s">
        <v>170</v>
      </c>
      <c r="C13295" s="1" t="s">
        <v>193</v>
      </c>
      <c r="D13295" s="1" t="s">
        <v>18561</v>
      </c>
      <c r="E13295" s="1" t="s">
        <v>849</v>
      </c>
      <c r="F13295" s="1" t="s">
        <v>18562</v>
      </c>
      <c r="G13295" s="1" t="s">
        <v>28</v>
      </c>
      <c r="H13295" s="1" t="s">
        <v>29</v>
      </c>
      <c r="I13295" s="1" t="str">
        <f ca="1">IFERROR(__xludf.DUMMYFUNCTION("GOOGLETRANSLATE(F13295, ""auto"", ""en"")
"),"Bought Sena eh150? but walking in them in winter is problematic, so I also bought mx560, which came with a headphone holder and a leather bag, and they were cheaper then. After 150 they certainly don’t hold up, but for liners they’re a solid four. Germans"&amp;".")</f>
        <v>Bought Sena eh150? but walking in them in winter is problematic, so I also bought mx560, which came with a headphone holder and a leather bag, and they were cheaper then. After 150 they certainly don’t hold up, but for liners they’re a solid four. Germans.</v>
      </c>
    </row>
    <row r="13296" spans="1:9" x14ac:dyDescent="0.3">
      <c r="A13296" s="1" t="s">
        <v>211</v>
      </c>
      <c r="B13296" s="1" t="s">
        <v>515</v>
      </c>
      <c r="C13296" s="1" t="s">
        <v>213</v>
      </c>
      <c r="D13296" s="1" t="s">
        <v>64</v>
      </c>
      <c r="E13296" s="1" t="s">
        <v>2759</v>
      </c>
      <c r="F13296" s="1" t="s">
        <v>18563</v>
      </c>
      <c r="G13296" s="1" t="s">
        <v>94</v>
      </c>
      <c r="H13296" s="1" t="s">
        <v>29</v>
      </c>
      <c r="I13296" s="1" t="str">
        <f ca="1">IFERROR(__xludf.DUMMYFUNCTION("GOOGLETRANSLATE(F13296, ""auto"", ""en"")
"),"A small epilator, convenient for home use.")</f>
        <v>A small epilator, convenient for home use.</v>
      </c>
    </row>
    <row r="13297" spans="1:9" x14ac:dyDescent="0.3">
      <c r="A13297" s="1" t="s">
        <v>1443</v>
      </c>
      <c r="B13297" s="1" t="s">
        <v>1444</v>
      </c>
      <c r="C13297" s="1" t="s">
        <v>1489</v>
      </c>
      <c r="D13297" s="1" t="s">
        <v>305</v>
      </c>
      <c r="E13297" s="1" t="s">
        <v>1457</v>
      </c>
      <c r="F13297" s="1" t="s">
        <v>18564</v>
      </c>
      <c r="G13297" s="1" t="s">
        <v>36</v>
      </c>
      <c r="H13297" s="1" t="s">
        <v>29</v>
      </c>
      <c r="I13297" s="1" t="str">
        <f ca="1">IFERROR(__xludf.DUMMYFUNCTION("GOOGLETRANSLATE(F13297, ""auto"", ""en"")
"),"I took it a month ago, it works like a charm, according to crystal-mark tests, the recording speed even exceeds the declared one. I recommend it, it's a decent device.")</f>
        <v>I took it a month ago, it works like a charm, according to crystal-mark tests, the recording speed even exceeds the declared one. I recommend it, it's a decent device.</v>
      </c>
    </row>
    <row r="13298" spans="1:9" x14ac:dyDescent="0.3">
      <c r="A13298" s="1" t="s">
        <v>9</v>
      </c>
      <c r="B13298" s="1" t="s">
        <v>137</v>
      </c>
      <c r="C13298" s="1" t="s">
        <v>63</v>
      </c>
      <c r="D13298" s="1" t="s">
        <v>18565</v>
      </c>
      <c r="E13298" s="1" t="s">
        <v>7229</v>
      </c>
      <c r="F13298" s="1" t="s">
        <v>18566</v>
      </c>
      <c r="G13298" s="1" t="s">
        <v>36</v>
      </c>
      <c r="H13298" s="1" t="s">
        <v>29</v>
      </c>
      <c r="I13298" s="1" t="str">
        <f ca="1">IFERROR(__xludf.DUMMYFUNCTION("GOOGLETRANSLATE(F13298, ""auto"", ""en"")
"),"This stove came with our new kitchen set. At first I doubted whether I needed it at all. It took me a long time to get used to touch controls. But in the end, I still appreciated all the advantages of this device. The most important thing for me is the pr"&amp;"esence of a child control lock. It’s very convenient that if you put the pan aside, the stove will turn itself off. When cooking is complete, the panel may beep. It does not require special care, just wipe the surface with a soft cloth every time. You can"&amp;" also buy a special product for ceramics, but I can do without it for now.")</f>
        <v>This stove came with our new kitchen set. At first I doubted whether I needed it at all. It took me a long time to get used to touch controls. But in the end, I still appreciated all the advantages of this device. The most important thing for me is the presence of a child control lock. It’s very convenient that if you put the pan aside, the stove will turn itself off. When cooking is complete, the panel may beep. It does not require special care, just wipe the surface with a soft cloth every time. You can also buy a special product for ceramics, but I can do without it for now.</v>
      </c>
    </row>
    <row r="13299" spans="1:9" x14ac:dyDescent="0.3">
      <c r="A13299" s="1" t="s">
        <v>105</v>
      </c>
      <c r="B13299" s="1" t="s">
        <v>106</v>
      </c>
      <c r="C13299" s="1" t="s">
        <v>107</v>
      </c>
      <c r="D13299" s="1" t="s">
        <v>18567</v>
      </c>
      <c r="E13299" s="1" t="s">
        <v>1841</v>
      </c>
      <c r="F13299" s="1" t="s">
        <v>18568</v>
      </c>
      <c r="G13299" s="1" t="s">
        <v>36</v>
      </c>
      <c r="H13299" s="1" t="s">
        <v>29</v>
      </c>
      <c r="I13299" s="1" t="str">
        <f ca="1">IFERROR(__xludf.DUMMYFUNCTION("GOOGLETRANSLATE(F13299, ""auto"", ""en"")
"),"I spent a long time choosing a player for myself and finally decided to buy this one! An excellent model, modern design and nothing superfluous on the body) The sensor is not bad, even good. The sound is great. I'll download the movie soon and try to watc"&amp;"h it. Decide to buy one - don’t hesitate!)")</f>
        <v>I spent a long time choosing a player for myself and finally decided to buy this one! An excellent model, modern design and nothing superfluous on the body) The sensor is not bad, even good. The sound is great. I'll download the movie soon and try to watch it. Decide to buy one - don’t hesitate!)</v>
      </c>
    </row>
    <row r="13300" spans="1:9" x14ac:dyDescent="0.3">
      <c r="A13300" s="1" t="s">
        <v>211</v>
      </c>
      <c r="B13300" s="1" t="s">
        <v>856</v>
      </c>
      <c r="C13300" s="1" t="s">
        <v>101</v>
      </c>
      <c r="D13300" s="1" t="s">
        <v>32</v>
      </c>
      <c r="E13300" s="1" t="s">
        <v>15442</v>
      </c>
      <c r="F13300" s="1" t="s">
        <v>18569</v>
      </c>
      <c r="G13300" s="1" t="s">
        <v>36</v>
      </c>
      <c r="H13300" s="1" t="s">
        <v>29</v>
      </c>
      <c r="I13300" s="1" t="str">
        <f ca="1">IFERROR(__xludf.DUMMYFUNCTION("GOOGLETRANSLATE(F13300, ""auto"", ""en"")
"),"The price is good, the quality is good. I've been working with him for a long time and have no complaints. My only wish is a charger and corded operation, everything else is great!")</f>
        <v>The price is good, the quality is good. I've been working with him for a long time and have no complaints. My only wish is a charger and corded operation, everything else is great!</v>
      </c>
    </row>
    <row r="13301" spans="1:9" x14ac:dyDescent="0.3">
      <c r="A13301" s="1" t="s">
        <v>61</v>
      </c>
      <c r="B13301" s="1" t="s">
        <v>977</v>
      </c>
      <c r="C13301" s="1" t="s">
        <v>101</v>
      </c>
      <c r="D13301" s="1" t="s">
        <v>172</v>
      </c>
      <c r="E13301" s="1" t="s">
        <v>2254</v>
      </c>
      <c r="F13301" s="1" t="s">
        <v>18570</v>
      </c>
      <c r="G13301" s="1" t="s">
        <v>28</v>
      </c>
      <c r="H13301" s="1" t="s">
        <v>29</v>
      </c>
      <c r="I13301" s="1" t="str">
        <f ca="1">IFERROR(__xludf.DUMMYFUNCTION("GOOGLETRANSLATE(F13301, ""auto"", ""en"")
"),"Normal blender. Only very loud, it’s better not to turn it on in the morning.")</f>
        <v>Normal blender. Only very loud, it’s better not to turn it on in the morning.</v>
      </c>
    </row>
    <row r="13302" spans="1:9" x14ac:dyDescent="0.3">
      <c r="A13302" s="1" t="s">
        <v>30</v>
      </c>
      <c r="B13302" s="1" t="s">
        <v>50</v>
      </c>
      <c r="C13302" s="1" t="s">
        <v>32</v>
      </c>
      <c r="D13302" s="1" t="s">
        <v>891</v>
      </c>
      <c r="E13302" s="1" t="s">
        <v>4984</v>
      </c>
      <c r="F13302" s="1" t="s">
        <v>18571</v>
      </c>
      <c r="G13302" s="1" t="s">
        <v>36</v>
      </c>
      <c r="H13302" s="1" t="s">
        <v>29</v>
      </c>
      <c r="I13302" s="1" t="str">
        <f ca="1">IFERROR(__xludf.DUMMYFUNCTION("GOOGLETRANSLATE(F13302, ""auto"", ""en"")
"),"There are a lot of advantages. but I will also say some disadvantages, it’s VERY heavy, but it’s worth it. the price is not bad, I was pleased. the games are running great. Crysis runs smoothly at maximum, I don’t know who’s talking about the weakness of "&amp;"this computer, but it’s excellent.")</f>
        <v>There are a lot of advantages. but I will also say some disadvantages, it’s VERY heavy, but it’s worth it. the price is not bad, I was pleased. the games are running great. Crysis runs smoothly at maximum, I don’t know who’s talking about the weakness of this computer, but it’s excellent.</v>
      </c>
    </row>
    <row r="13303" spans="1:9" x14ac:dyDescent="0.3">
      <c r="A13303" s="1" t="s">
        <v>61</v>
      </c>
      <c r="B13303" s="1" t="s">
        <v>318</v>
      </c>
      <c r="C13303" s="1" t="s">
        <v>57</v>
      </c>
      <c r="D13303" s="1" t="s">
        <v>172</v>
      </c>
      <c r="E13303" s="1" t="s">
        <v>8027</v>
      </c>
      <c r="F13303" s="1" t="s">
        <v>18572</v>
      </c>
      <c r="G13303" s="1" t="s">
        <v>36</v>
      </c>
      <c r="H13303" s="1" t="s">
        <v>29</v>
      </c>
      <c r="I13303" s="1" t="str">
        <f ca="1">IFERROR(__xludf.DUMMYFUNCTION("GOOGLETRANSLATE(F13303, ""auto"", ""en"")
"),"What progress has come - now even a teapot can be made of glass. The view when the water is boiling inside is truly mesmerizing. I’m embarrassed to admit, but when we bought this kettle, the whole family spent a day standing and watching the water boil in"&amp;" it. It’s like buying your first automatic washing machine - remember, you also immediately came and sat by the window to watch it spin there. So it is here. But seriously, the kettle is beautiful, convenient, and reliable. It heats the water very quickly"&amp;" (you don’t have time to enjoy this spectacle), the heater is disk. Useful additions include a power indicator and a filter. High level of safety - there is a self-shut-off function during dry heating, and the lid is locked in operation. Cons: Nothing to "&amp;"say yet.")</f>
        <v>What progress has come - now even a teapot can be made of glass. The view when the water is boiling inside is truly mesmerizing. I’m embarrassed to admit, but when we bought this kettle, the whole family spent a day standing and watching the water boil in it. It’s like buying your first automatic washing machine - remember, you also immediately came and sat by the window to watch it spin there. So it is here. But seriously, the kettle is beautiful, convenient, and reliable. It heats the water very quickly (you don’t have time to enjoy this spectacle), the heater is disk. Useful additions include a power indicator and a filter. High level of safety - there is a self-shut-off function during dry heating, and the lid is locked in operation. Cons: Nothing to say yet.</v>
      </c>
    </row>
    <row r="13304" spans="1:9" x14ac:dyDescent="0.3">
      <c r="A13304" s="1" t="s">
        <v>37</v>
      </c>
      <c r="B13304" s="1" t="s">
        <v>38</v>
      </c>
      <c r="C13304" s="1" t="s">
        <v>163</v>
      </c>
      <c r="D13304" s="1" t="s">
        <v>308</v>
      </c>
      <c r="E13304" s="1" t="s">
        <v>1448</v>
      </c>
      <c r="F13304" s="1" t="s">
        <v>18573</v>
      </c>
      <c r="G13304" s="1" t="s">
        <v>28</v>
      </c>
      <c r="H13304" s="1" t="s">
        <v>29</v>
      </c>
      <c r="I13304" s="1" t="str">
        <f ca="1">IFERROR(__xludf.DUMMYFUNCTION("GOOGLETRANSLATE(F13304, ""auto"", ""en"")
"),"I gave the phone to my mother a year ago. No complaints, works great. I'm thinking of buying the same one for my son. I recommend it to anyone who needs a regular phone for a direct purpose (communication).")</f>
        <v>I gave the phone to my mother a year ago. No complaints, works great. I'm thinking of buying the same one for my son. I recommend it to anyone who needs a regular phone for a direct purpose (communication).</v>
      </c>
    </row>
    <row r="13305" spans="1:9" x14ac:dyDescent="0.3">
      <c r="A13305" s="1" t="s">
        <v>211</v>
      </c>
      <c r="B13305" s="1" t="s">
        <v>212</v>
      </c>
      <c r="C13305" s="1" t="s">
        <v>69</v>
      </c>
      <c r="D13305" s="1" t="s">
        <v>18574</v>
      </c>
      <c r="E13305" s="1" t="s">
        <v>4892</v>
      </c>
      <c r="F13305" s="1" t="s">
        <v>18575</v>
      </c>
      <c r="G13305" s="1" t="s">
        <v>28</v>
      </c>
      <c r="H13305" s="1" t="s">
        <v>29</v>
      </c>
      <c r="I13305" s="1" t="str">
        <f ca="1">IFERROR(__xludf.DUMMYFUNCTION("GOOGLETRANSLATE(F13305, ""auto"", ""en"")
"),"Curlers are funny. I immediately bought crabs to go with them, I didn’t even try to use hairpins. It’s really hard for your head to hold all this. You need to get used to wrapping it while wearing gloves (it’s impossible to use it with your bare hands). B"&amp;"e sure to use mousse or styling foam, otherwise they will unravel, or straighten them out. It’s better not to turn off the device while winding up, otherwise it will cool down quickly. I like everything else: no need to sleep on curlers, get up in the mor"&amp;"ning, plug in, go to the bath, curl up, have an hour to get ready, go to work. I recommend it.")</f>
        <v>Curlers are funny. I immediately bought crabs to go with them, I didn’t even try to use hairpins. It’s really hard for your head to hold all this. You need to get used to wrapping it while wearing gloves (it’s impossible to use it with your bare hands). Be sure to use mousse or styling foam, otherwise they will unravel, or straighten them out. It’s better not to turn off the device while winding up, otherwise it will cool down quickly. I like everything else: no need to sleep on curlers, get up in the morning, plug in, go to the bath, curl up, have an hour to get ready, go to work. I recommend it.</v>
      </c>
    </row>
    <row r="13306" spans="1:9" x14ac:dyDescent="0.3">
      <c r="A13306" s="1" t="s">
        <v>211</v>
      </c>
      <c r="B13306" s="1" t="s">
        <v>384</v>
      </c>
      <c r="C13306" s="1" t="s">
        <v>246</v>
      </c>
      <c r="D13306" s="1" t="s">
        <v>10719</v>
      </c>
      <c r="E13306" s="1" t="s">
        <v>820</v>
      </c>
      <c r="F13306" s="1" t="s">
        <v>18576</v>
      </c>
      <c r="G13306" s="1" t="s">
        <v>15</v>
      </c>
      <c r="H13306" s="1" t="s">
        <v>16</v>
      </c>
      <c r="I13306" s="1" t="str">
        <f ca="1">IFERROR(__xludf.DUMMYFUNCTION("GOOGLETRANSLATE(F13306, ""auto"", ""en"")
"),"I completely agree with Mikhail, memory for scales is completely useless. Now I don’t press either, and these scales also started to fail after about a year. There is nothing special about these scales, you could buy cheaper and better ones. Memory for sc"&amp;"ales is completely useless.")</f>
        <v>I completely agree with Mikhail, memory for scales is completely useless. Now I don’t press either, and these scales also started to fail after about a year. There is nothing special about these scales, you could buy cheaper and better ones. Memory for scales is completely useless.</v>
      </c>
    </row>
    <row r="13307" spans="1:9" x14ac:dyDescent="0.3">
      <c r="A13307" s="1" t="s">
        <v>61</v>
      </c>
      <c r="B13307" s="1" t="s">
        <v>180</v>
      </c>
      <c r="C13307" s="1" t="s">
        <v>74</v>
      </c>
      <c r="D13307" s="1" t="s">
        <v>521</v>
      </c>
      <c r="E13307" s="1" t="s">
        <v>7655</v>
      </c>
      <c r="F13307" s="1" t="s">
        <v>18577</v>
      </c>
      <c r="G13307" s="1" t="s">
        <v>36</v>
      </c>
      <c r="H13307" s="1" t="s">
        <v>29</v>
      </c>
      <c r="I13307" s="1" t="str">
        <f ca="1">IFERROR(__xludf.DUMMYFUNCTION("GOOGLETRANSLATE(F13307, ""auto"", ""en"")
"),"A good toaster, it’s very nice to have hot sandwiches for breakfast (they even made puff pastries). There was a choice between two models from this manufacturer. Although there were more positive reviews on this one, we took this one because its body look"&amp;"s more solid, the cooking indicator is located more conveniently and is larger in size, easier to look at.")</f>
        <v>A good toaster, it’s very nice to have hot sandwiches for breakfast (they even made puff pastries). There was a choice between two models from this manufacturer. Although there were more positive reviews on this one, we took this one because its body looks more solid, the cooking indicator is located more conveniently and is larger in size, easier to look at.</v>
      </c>
    </row>
    <row r="13308" spans="1:9" x14ac:dyDescent="0.3">
      <c r="A13308" s="1" t="s">
        <v>37</v>
      </c>
      <c r="B13308" s="1" t="s">
        <v>38</v>
      </c>
      <c r="C13308" s="1" t="s">
        <v>39</v>
      </c>
      <c r="D13308" s="1" t="s">
        <v>483</v>
      </c>
      <c r="E13308" s="1" t="s">
        <v>3465</v>
      </c>
      <c r="F13308" s="1" t="s">
        <v>18578</v>
      </c>
      <c r="G13308" s="1" t="s">
        <v>36</v>
      </c>
      <c r="H13308" s="1" t="s">
        <v>29</v>
      </c>
      <c r="I13308" s="1" t="str">
        <f ca="1">IFERROR(__xludf.DUMMYFUNCTION("GOOGLETRANSLATE(F13308, ""auto"", ""en"")
"),"Take it, you won’t regret it... the sound is excellent.. the player is super.. works with several applications at once, no brakes.. it has no cons")</f>
        <v>Take it, you won’t regret it... the sound is excellent.. the player is super.. works with several applications at once, no brakes.. it has no cons</v>
      </c>
    </row>
    <row r="13309" spans="1:9" x14ac:dyDescent="0.3">
      <c r="A13309" s="1" t="s">
        <v>55</v>
      </c>
      <c r="B13309" s="1" t="s">
        <v>56</v>
      </c>
      <c r="C13309" s="1" t="s">
        <v>57</v>
      </c>
      <c r="D13309" s="1" t="s">
        <v>208</v>
      </c>
      <c r="E13309" s="1" t="s">
        <v>11674</v>
      </c>
      <c r="F13309" s="1" t="s">
        <v>18579</v>
      </c>
      <c r="G13309" s="1" t="s">
        <v>49</v>
      </c>
      <c r="H13309" s="1" t="s">
        <v>16</v>
      </c>
      <c r="I13309" s="1" t="str">
        <f ca="1">IFERROR(__xludf.DUMMYFUNCTION("GOOGLETRANSLATE(F13309, ""auto"", ""en"")
"),"Didn't have time to rate it")</f>
        <v>Didn't have time to rate it</v>
      </c>
    </row>
    <row r="13310" spans="1:9" x14ac:dyDescent="0.3">
      <c r="A13310" s="1" t="s">
        <v>149</v>
      </c>
      <c r="B13310" s="1" t="s">
        <v>155</v>
      </c>
      <c r="C13310" s="1" t="s">
        <v>151</v>
      </c>
      <c r="D13310" s="1" t="s">
        <v>483</v>
      </c>
      <c r="E13310" s="1" t="s">
        <v>2735</v>
      </c>
      <c r="F13310" s="1" t="s">
        <v>18580</v>
      </c>
      <c r="G13310" s="1" t="s">
        <v>36</v>
      </c>
      <c r="H13310" s="1" t="s">
        <v>29</v>
      </c>
      <c r="I13310" s="1" t="str">
        <f ca="1">IFERROR(__xludf.DUMMYFUNCTION("GOOGLETRANSLATE(F13310, ""auto"", ""en"")
"),"A very good vacuum cleaner, powerful, lifts the carpet. Easy to wash, always clean, small and light, convenient to carry.")</f>
        <v>A very good vacuum cleaner, powerful, lifts the carpet. Easy to wash, always clean, small and light, convenient to carry.</v>
      </c>
    </row>
    <row r="13311" spans="1:9" x14ac:dyDescent="0.3">
      <c r="A13311" s="1" t="s">
        <v>67</v>
      </c>
      <c r="B13311" s="1" t="s">
        <v>340</v>
      </c>
      <c r="C13311" s="1" t="s">
        <v>341</v>
      </c>
      <c r="D13311" s="1" t="s">
        <v>18581</v>
      </c>
      <c r="E13311" s="1" t="s">
        <v>14995</v>
      </c>
      <c r="F13311" s="1" t="s">
        <v>18582</v>
      </c>
      <c r="G13311" s="1" t="s">
        <v>15</v>
      </c>
      <c r="H13311" s="1" t="s">
        <v>16</v>
      </c>
      <c r="I13311" s="1" t="str">
        <f ca="1">IFERROR(__xludf.DUMMYFUNCTION("GOOGLETRANSLATE(F13311, ""auto"", ""en"")
"),"I used the machine extremely rarely, but out of obligation, in the end a manufacturing defect was revealed, the machine stopped sewing at the most crucial moment, I sewed a custom-made baptismal set (a prehistoric machine saved me, my conclusion: I won’t "&amp;"buy Astralux anymore and I won’t recommend it to anyone, the machine was Astrolux 5100 (there are a lot of operations, but the quality is nowhere lower)")</f>
        <v>I used the machine extremely rarely, but out of obligation, in the end a manufacturing defect was revealed, the machine stopped sewing at the most crucial moment, I sewed a custom-made baptismal set (a prehistoric machine saved me, my conclusion: I won’t buy Astralux anymore and I won’t recommend it to anyone, the machine was Astrolux 5100 (there are a lot of operations, but the quality is nowhere lower)</v>
      </c>
    </row>
    <row r="13312" spans="1:9" x14ac:dyDescent="0.3">
      <c r="A13312" s="1" t="s">
        <v>211</v>
      </c>
      <c r="B13312" s="1" t="s">
        <v>212</v>
      </c>
      <c r="C13312" s="1" t="s">
        <v>381</v>
      </c>
      <c r="D13312" s="1" t="s">
        <v>64</v>
      </c>
      <c r="E13312" s="1" t="s">
        <v>5195</v>
      </c>
      <c r="F13312" s="1" t="s">
        <v>18583</v>
      </c>
      <c r="G13312" s="1" t="s">
        <v>36</v>
      </c>
      <c r="H13312" s="1" t="s">
        <v>29</v>
      </c>
      <c r="I13312" s="1" t="str">
        <f ca="1">IFERROR(__xludf.DUMMYFUNCTION("GOOGLETRANSLATE(F13312, ""auto"", ""en"")
"),"I bought it 3 months ago and am very pleased. I got used to the buttons after the first week of use. I recommend it to everyone.")</f>
        <v>I bought it 3 months ago and am very pleased. I got used to the buttons after the first week of use. I recommend it to everyone.</v>
      </c>
    </row>
    <row r="13313" spans="1:9" x14ac:dyDescent="0.3">
      <c r="A13313" s="1" t="s">
        <v>61</v>
      </c>
      <c r="B13313" s="1" t="s">
        <v>62</v>
      </c>
      <c r="C13313" s="1" t="s">
        <v>146</v>
      </c>
      <c r="D13313" s="1" t="s">
        <v>1147</v>
      </c>
      <c r="E13313" s="1" t="s">
        <v>4972</v>
      </c>
      <c r="F13313" s="1" t="s">
        <v>18584</v>
      </c>
      <c r="G13313" s="1" t="s">
        <v>36</v>
      </c>
      <c r="H13313" s="1" t="s">
        <v>29</v>
      </c>
      <c r="I13313" s="1" t="str">
        <f ca="1">IFERROR(__xludf.DUMMYFUNCTION("GOOGLETRANSLATE(F13313, ""auto"", ""en"")
"),"I spent a long time choosing between buying a food processor or a blender; in general, I doubted whether a food processor was needed at all?! I bought it and don’t regret it. I will say that the shredder, grater, dough are excellent, no complaints!!! I’ve"&amp;" only made orange juice a couple of times, I’m just not a fan, so I can’t say anything about the operation of the juicer. I often make milkshakes with fruits and batter for pancakes for children in a blender, it’s very convenient. An important factor for "&amp;"me is that the combine is very compact and the attachments in it are the most necessary. I am satisfied.")</f>
        <v>I spent a long time choosing between buying a food processor or a blender; in general, I doubted whether a food processor was needed at all?! I bought it and don’t regret it. I will say that the shredder, grater, dough are excellent, no complaints!!! I’ve only made orange juice a couple of times, I’m just not a fan, so I can’t say anything about the operation of the juicer. I often make milkshakes with fruits and batter for pancakes for children in a blender, it’s very convenient. An important factor for me is that the combine is very compact and the attachments in it are the most necessary. I am satisfied.</v>
      </c>
    </row>
    <row r="13314" spans="1:9" x14ac:dyDescent="0.3">
      <c r="A13314" s="1" t="s">
        <v>61</v>
      </c>
      <c r="B13314" s="1" t="s">
        <v>318</v>
      </c>
      <c r="C13314" s="1" t="s">
        <v>1461</v>
      </c>
      <c r="D13314" s="1" t="s">
        <v>95</v>
      </c>
      <c r="E13314" s="1" t="s">
        <v>201</v>
      </c>
      <c r="F13314" s="1" t="s">
        <v>18585</v>
      </c>
      <c r="G13314" s="1" t="s">
        <v>15</v>
      </c>
      <c r="H13314" s="1" t="s">
        <v>16</v>
      </c>
      <c r="I13314" s="1" t="str">
        <f ca="1">IFERROR(__xludf.DUMMYFUNCTION("GOOGLETRANSLATE(F13314, ""auto"", ""en"")
"),"Smells like plastic, don't buy it")</f>
        <v>Smells like plastic, don't buy it</v>
      </c>
    </row>
    <row r="13315" spans="1:9" x14ac:dyDescent="0.3">
      <c r="A13315" s="1" t="s">
        <v>120</v>
      </c>
      <c r="B13315" s="1" t="s">
        <v>121</v>
      </c>
      <c r="C13315" s="1" t="s">
        <v>97</v>
      </c>
      <c r="D13315" s="1" t="s">
        <v>18586</v>
      </c>
      <c r="E13315" s="1" t="s">
        <v>3999</v>
      </c>
      <c r="F13315" s="1" t="s">
        <v>18587</v>
      </c>
      <c r="G13315" s="1" t="s">
        <v>36</v>
      </c>
      <c r="H13315" s="1" t="s">
        <v>29</v>
      </c>
      <c r="I13315" s="1" t="str">
        <f ca="1">IFERROR(__xludf.DUMMYFUNCTION("GOOGLETRANSLATE(F13315, ""auto"", ""en"")
"),"Sony knows how to make excellent technology and this TV is no exception. The image quality is simply phenomenal for TVs costing up to 30 thousand rubles. The colors are very correct, not exaggerated. The picture is smooth and extremely pleasing to the eye"&amp;". The closest competitor in terms of image quality is Sharp, and all sorts of Samosas, skis and other Philips weren’t even close (believe me, I know what I’m talking about). Although it is worth noting that they are 2-4 thousand cheaper, believe me, this "&amp;"small savings is not worth it. Another plus I would like to note is the excellent design, convenient menu, excellent viewing angles. Take it, you won't regret it! Vesch! :-)")</f>
        <v>Sony knows how to make excellent technology and this TV is no exception. The image quality is simply phenomenal for TVs costing up to 30 thousand rubles. The colors are very correct, not exaggerated. The picture is smooth and extremely pleasing to the eye. The closest competitor in terms of image quality is Sharp, and all sorts of Samosas, skis and other Philips weren’t even close (believe me, I know what I’m talking about). Although it is worth noting that they are 2-4 thousand cheaper, believe me, this small savings is not worth it. Another plus I would like to note is the excellent design, convenient menu, excellent viewing angles. Take it, you won't regret it! Vesch! :-)</v>
      </c>
    </row>
    <row r="13316" spans="1:9" x14ac:dyDescent="0.3">
      <c r="A13316" s="1" t="s">
        <v>61</v>
      </c>
      <c r="B13316" s="1" t="s">
        <v>224</v>
      </c>
      <c r="C13316" s="1" t="s">
        <v>101</v>
      </c>
      <c r="D13316" s="1" t="s">
        <v>75</v>
      </c>
      <c r="E13316" s="1" t="s">
        <v>1102</v>
      </c>
      <c r="F13316" s="1" t="s">
        <v>18588</v>
      </c>
      <c r="G13316" s="1" t="s">
        <v>36</v>
      </c>
      <c r="H13316" s="1" t="s">
        <v>29</v>
      </c>
      <c r="I13316" s="1" t="str">
        <f ca="1">IFERROR(__xludf.DUMMYFUNCTION("GOOGLETRANSLATE(F13316, ""auto"", ""en"")
"),"Just lovely! I’m very pleased with the purchase, it’s very easy to use, every drop goes into the juice! I recommend!")</f>
        <v>Just lovely! I’m very pleased with the purchase, it’s very easy to use, every drop goes into the juice! I recommend!</v>
      </c>
    </row>
    <row r="13317" spans="1:9" x14ac:dyDescent="0.3">
      <c r="A13317" s="1" t="s">
        <v>211</v>
      </c>
      <c r="B13317" s="1" t="s">
        <v>212</v>
      </c>
      <c r="C13317" s="1" t="s">
        <v>69</v>
      </c>
      <c r="D13317" s="1" t="s">
        <v>1188</v>
      </c>
      <c r="E13317" s="1" t="s">
        <v>663</v>
      </c>
      <c r="F13317" s="1" t="s">
        <v>18589</v>
      </c>
      <c r="G13317" s="1" t="s">
        <v>36</v>
      </c>
      <c r="H13317" s="1" t="s">
        <v>29</v>
      </c>
      <c r="I13317" s="1" t="str">
        <f ca="1">IFERROR(__xludf.DUMMYFUNCTION("GOOGLETRANSLATE(F13317, ""auto"", ""en"")
"),"I use it every morning. I use 3 types of attachments. I really like it, the power is quite enough for drying and styling short and medium-length hair. Lightweight and convenient hair dryer.")</f>
        <v>I use it every morning. I use 3 types of attachments. I really like it, the power is quite enough for drying and styling short and medium-length hair. Lightweight and convenient hair dryer.</v>
      </c>
    </row>
    <row r="13318" spans="1:9" x14ac:dyDescent="0.3">
      <c r="A13318" s="1" t="s">
        <v>37</v>
      </c>
      <c r="B13318" s="1" t="s">
        <v>38</v>
      </c>
      <c r="C13318" s="1" t="s">
        <v>163</v>
      </c>
      <c r="D13318" s="1" t="s">
        <v>589</v>
      </c>
      <c r="E13318" s="1" t="s">
        <v>1852</v>
      </c>
      <c r="F13318" s="1" t="s">
        <v>18590</v>
      </c>
      <c r="G13318" s="1" t="s">
        <v>36</v>
      </c>
      <c r="H13318" s="1" t="s">
        <v>29</v>
      </c>
      <c r="I13318" s="1" t="str">
        <f ca="1">IFERROR(__xludf.DUMMYFUNCTION("GOOGLETRANSLATE(F13318, ""auto"", ""en"")
"),"The phone is excellent, I bought it, I’m satisfied, I’ve had it for a month now, it’s a very good phone, only the price is a little expensive, but that’s okay, you can save up! I recommend it to everyone! There are no drawbacks!")</f>
        <v>The phone is excellent, I bought it, I’m satisfied, I’ve had it for a month now, it’s a very good phone, only the price is a little expensive, but that’s okay, you can save up! I recommend it to everyone! There are no drawbacks!</v>
      </c>
    </row>
    <row r="13319" spans="1:9" x14ac:dyDescent="0.3">
      <c r="A13319" s="1" t="s">
        <v>105</v>
      </c>
      <c r="B13319" s="1" t="s">
        <v>106</v>
      </c>
      <c r="C13319" s="1" t="s">
        <v>151</v>
      </c>
      <c r="D13319" s="1" t="s">
        <v>3407</v>
      </c>
      <c r="E13319" s="1" t="s">
        <v>1263</v>
      </c>
      <c r="F13319" s="1" t="s">
        <v>18591</v>
      </c>
      <c r="G13319" s="1" t="s">
        <v>36</v>
      </c>
      <c r="H13319" s="1" t="s">
        <v>29</v>
      </c>
      <c r="I13319" s="1" t="str">
        <f ca="1">IFERROR(__xludf.DUMMYFUNCTION("GOOGLETRANSLATE(F13319, ""auto"", ""en"")
"),"Satisfied))) But there was Expley before that - complete garbage!  I like the controls on this player, there is a lot of memory, but the bad thing is that the charger and headphones are nearby!) And it’s great!")</f>
        <v>Satisfied))) But there was Expley before that - complete garbage!  I like the controls on this player, there is a lot of memory, but the bad thing is that the charger and headphones are nearby!) And it’s great!</v>
      </c>
    </row>
    <row r="13320" spans="1:9" x14ac:dyDescent="0.3">
      <c r="A13320" s="1" t="s">
        <v>61</v>
      </c>
      <c r="B13320" s="1" t="s">
        <v>318</v>
      </c>
      <c r="C13320" s="1" t="s">
        <v>57</v>
      </c>
      <c r="D13320" s="1" t="s">
        <v>308</v>
      </c>
      <c r="E13320" s="1" t="s">
        <v>2769</v>
      </c>
      <c r="F13320" s="1" t="s">
        <v>18592</v>
      </c>
      <c r="G13320" s="1" t="s">
        <v>15</v>
      </c>
      <c r="H13320" s="1" t="s">
        <v>16</v>
      </c>
      <c r="I13320" s="1" t="str">
        <f ca="1">IFERROR(__xludf.DUMMYFUNCTION("GOOGLETRANSLATE(F13320, ""auto"", ""en"")
"),"We bought a kettle two days ago. Everything works, the water does not cool down for a long time, but the metal from which it is made caused me a severe allergy. Everything would be fine, when I drink cold boiled water it also causes allergies. I'll go cha"&amp;"nge it to another model. ALLERGICS DO NOT BUY THIS KETTLE.")</f>
        <v>We bought a kettle two days ago. Everything works, the water does not cool down for a long time, but the metal from which it is made caused me a severe allergy. Everything would be fine, when I drink cold boiled water it also causes allergies. I'll go change it to another model. ALLERGICS DO NOT BUY THIS KETTLE.</v>
      </c>
    </row>
    <row r="13321" spans="1:9" x14ac:dyDescent="0.3">
      <c r="A13321" s="1" t="s">
        <v>206</v>
      </c>
      <c r="B13321" s="1" t="s">
        <v>2026</v>
      </c>
      <c r="C13321" s="1" t="s">
        <v>351</v>
      </c>
      <c r="D13321" s="1" t="s">
        <v>3326</v>
      </c>
      <c r="E13321" s="1" t="s">
        <v>661</v>
      </c>
      <c r="F13321" s="1" t="s">
        <v>18593</v>
      </c>
      <c r="G13321" s="1" t="s">
        <v>15</v>
      </c>
      <c r="H13321" s="1" t="s">
        <v>16</v>
      </c>
      <c r="I13321" s="1" t="str">
        <f ca="1">IFERROR(__xludf.DUMMYFUNCTION("GOOGLETRANSLATE(F13321, ""auto"", ""en"")
"),"Shows unclearly hard drive 320 GB did not pull USB 8 GB accepted but the movie one slows down and there is no sound and rewinding does not work this thing is not worth the money bought in the car it is inconvenient to attach the adhesive tape included com"&amp;"es off.")</f>
        <v>Shows unclearly hard drive 320 GB did not pull USB 8 GB accepted but the movie one slows down and there is no sound and rewinding does not work this thing is not worth the money bought in the car it is inconvenient to attach the adhesive tape included comes off.</v>
      </c>
    </row>
    <row r="13322" spans="1:9" x14ac:dyDescent="0.3">
      <c r="A13322" s="1" t="s">
        <v>17</v>
      </c>
      <c r="B13322" s="1" t="s">
        <v>18</v>
      </c>
      <c r="C13322" s="1" t="s">
        <v>80</v>
      </c>
      <c r="D13322" s="1" t="s">
        <v>8827</v>
      </c>
      <c r="E13322" s="1" t="s">
        <v>883</v>
      </c>
      <c r="F13322" s="1" t="s">
        <v>18594</v>
      </c>
      <c r="G13322" s="1" t="s">
        <v>36</v>
      </c>
      <c r="H13322" s="1" t="s">
        <v>29</v>
      </c>
      <c r="I13322" s="1" t="str">
        <f ca="1">IFERROR(__xludf.DUMMYFUNCTION("GOOGLETRANSLATE(F13322, ""auto"", ""en"")
"),"Nice machine. Decent weight and direct drive provide low vibration. My previous machine ran around the bathroom during the spin cycle, but this one is very quiet and calm. Plus, there is an intelligent washing mode, which, as far as I understand, is that "&amp;"the machine pre-estimates the weight of the laundry and then independently sets the washing time.")</f>
        <v>Nice machine. Decent weight and direct drive provide low vibration. My previous machine ran around the bathroom during the spin cycle, but this one is very quiet and calm. Plus, there is an intelligent washing mode, which, as far as I understand, is that the machine pre-estimates the weight of the laundry and then independently sets the washing time.</v>
      </c>
    </row>
    <row r="13323" spans="1:9" x14ac:dyDescent="0.3">
      <c r="A13323" s="1" t="s">
        <v>111</v>
      </c>
      <c r="B13323" s="1" t="s">
        <v>636</v>
      </c>
      <c r="C13323" s="1" t="s">
        <v>637</v>
      </c>
      <c r="D13323" s="1" t="s">
        <v>16733</v>
      </c>
      <c r="E13323" s="1" t="s">
        <v>2358</v>
      </c>
      <c r="F13323" s="1" t="s">
        <v>18595</v>
      </c>
      <c r="G13323" s="1" t="s">
        <v>36</v>
      </c>
      <c r="H13323" s="1" t="s">
        <v>29</v>
      </c>
      <c r="I13323" s="1" t="str">
        <f ca="1">IFERROR(__xludf.DUMMYFUNCTION("GOOGLETRANSLATE(F13323, ""auto"", ""en"")
"),"The device is great. The temperature is shown accurately in comparison even with other thermometers, the forecast is also true. I am very pleased with the purchase. I recommend it.")</f>
        <v>The device is great. The temperature is shown accurately in comparison even with other thermometers, the forecast is also true. I am very pleased with the purchase. I recommend it.</v>
      </c>
    </row>
    <row r="13324" spans="1:9" x14ac:dyDescent="0.3">
      <c r="A13324" s="1" t="s">
        <v>9</v>
      </c>
      <c r="B13324" s="1" t="s">
        <v>10</v>
      </c>
      <c r="C13324" s="1" t="s">
        <v>466</v>
      </c>
      <c r="D13324" s="1" t="s">
        <v>208</v>
      </c>
      <c r="E13324" s="1" t="s">
        <v>13443</v>
      </c>
      <c r="F13324" s="1" t="s">
        <v>18596</v>
      </c>
      <c r="G13324" s="1" t="s">
        <v>36</v>
      </c>
      <c r="H13324" s="1" t="s">
        <v>29</v>
      </c>
      <c r="I13324" s="1" t="str">
        <f ca="1">IFERROR(__xludf.DUMMYFUNCTION("GOOGLETRANSLATE(F13324, ""auto"", ""en"")
"),"Not too loud, I liked that there is a sleep timer, in general I recommend it!")</f>
        <v>Not too loud, I liked that there is a sleep timer, in general I recommend it!</v>
      </c>
    </row>
    <row r="13325" spans="1:9" x14ac:dyDescent="0.3">
      <c r="A13325" s="1" t="s">
        <v>61</v>
      </c>
      <c r="B13325" s="1" t="s">
        <v>180</v>
      </c>
      <c r="C13325" s="1" t="s">
        <v>85</v>
      </c>
      <c r="D13325" s="1" t="s">
        <v>2217</v>
      </c>
      <c r="E13325" s="1" t="s">
        <v>563</v>
      </c>
      <c r="F13325" s="1" t="s">
        <v>18597</v>
      </c>
      <c r="G13325" s="1" t="s">
        <v>36</v>
      </c>
      <c r="H13325" s="1" t="s">
        <v>29</v>
      </c>
      <c r="I13325" s="1" t="str">
        <f ca="1">IFERROR(__xludf.DUMMYFUNCTION("GOOGLETRANSLATE(F13325, ""auto"", ""en"")
"),"The toaster is simply excellent, wonderful :) I have had many toasters but this one is the best!!! one toaster didn’t toast one side, the other toaster didn’t toast the bread at all, but this toaster is simply excellent, now I have something to be proud o"&amp;"f in front of my guests)!")</f>
        <v>The toaster is simply excellent, wonderful :) I have had many toasters but this one is the best!!! one toaster didn’t toast one side, the other toaster didn’t toast the bread at all, but this toaster is simply excellent, now I have something to be proud of in front of my guests)!</v>
      </c>
    </row>
    <row r="13326" spans="1:9" x14ac:dyDescent="0.3">
      <c r="A13326" s="1" t="s">
        <v>211</v>
      </c>
      <c r="B13326" s="1" t="s">
        <v>515</v>
      </c>
      <c r="C13326" s="1" t="s">
        <v>381</v>
      </c>
      <c r="D13326" s="1" t="s">
        <v>545</v>
      </c>
      <c r="E13326" s="1" t="s">
        <v>727</v>
      </c>
      <c r="F13326" s="1" t="s">
        <v>18598</v>
      </c>
      <c r="G13326" s="1" t="s">
        <v>36</v>
      </c>
      <c r="H13326" s="1" t="s">
        <v>29</v>
      </c>
      <c r="I13326" s="1" t="str">
        <f ca="1">IFERROR(__xludf.DUMMYFUNCTION("GOOGLETRANSLATE(F13326, ""auto"", ""en"")
"),"Great epilator!  Well, it hurts a little, but what else can you expect from an epilator? This is understandable. Everything is tolerable.  It removes hair quite cleanly + it comes with an exfoliating attachment (convenient not so much before epilation as "&amp;"after).")</f>
        <v>Great epilator!  Well, it hurts a little, but what else can you expect from an epilator? This is understandable. Everything is tolerable.  It removes hair quite cleanly + it comes with an exfoliating attachment (convenient not so much before epilation as after).</v>
      </c>
    </row>
    <row r="13327" spans="1:9" x14ac:dyDescent="0.3">
      <c r="A13327" s="1" t="s">
        <v>30</v>
      </c>
      <c r="B13327" s="1" t="s">
        <v>50</v>
      </c>
      <c r="C13327" s="1" t="s">
        <v>1003</v>
      </c>
      <c r="D13327" s="1" t="s">
        <v>81</v>
      </c>
      <c r="E13327" s="1" t="s">
        <v>2525</v>
      </c>
      <c r="F13327" s="1" t="s">
        <v>18599</v>
      </c>
      <c r="G13327" s="1" t="s">
        <v>28</v>
      </c>
      <c r="H13327" s="1" t="s">
        <v>29</v>
      </c>
      <c r="I13327" s="1" t="str">
        <f ca="1">IFERROR(__xludf.DUMMYFUNCTION("GOOGLETRANSLATE(F13327, ""auto"", ""en"")
"),"I took it a week ago, everything is fine, everything suits me. But a couple of days ago I noticed that the speakers were wheezing from time to time. I'm probably unlucky, I'll go to the warranty office.")</f>
        <v>I took it a week ago, everything is fine, everything suits me. But a couple of days ago I noticed that the speakers were wheezing from time to time. I'm probably unlucky, I'll go to the warranty office.</v>
      </c>
    </row>
    <row r="13328" spans="1:9" x14ac:dyDescent="0.3">
      <c r="A13328" s="1" t="s">
        <v>55</v>
      </c>
      <c r="B13328" s="1" t="s">
        <v>235</v>
      </c>
      <c r="C13328" s="1" t="s">
        <v>185</v>
      </c>
      <c r="D13328" s="1" t="s">
        <v>568</v>
      </c>
      <c r="E13328" s="1" t="s">
        <v>9058</v>
      </c>
      <c r="F13328" s="1" t="s">
        <v>18600</v>
      </c>
      <c r="G13328" s="1" t="s">
        <v>36</v>
      </c>
      <c r="H13328" s="1" t="s">
        <v>29</v>
      </c>
      <c r="I13328" s="1" t="str">
        <f ca="1">IFERROR(__xludf.DUMMYFUNCTION("GOOGLETRANSLATE(F13328, ""auto"", ""en"")
"),"I've had this for 4 years now. Didn't disappoint. It works very quietly. In autumn, when the central heating is not yet turned on, it works around the clock. It heats a 19-meter room with a bang, even in power position I. If it overheats, it turns itself "&amp;"off. Don't shake it! don't hit! )) This is how it should be... If it waits, it cools down, it will start working on its own. You won't find anything better for that kind of money! I'll buy one for my parents tomorrow. It's good that I came here and came a"&amp;"cross it on sale.")</f>
        <v>I've had this for 4 years now. Didn't disappoint. It works very quietly. In autumn, when the central heating is not yet turned on, it works around the clock. It heats a 19-meter room with a bang, even in power position I. If it overheats, it turns itself off. Don't shake it! don't hit! )) This is how it should be... If it waits, it cools down, it will start working on its own. You won't find anything better for that kind of money! I'll buy one for my parents tomorrow. It's good that I came here and came across it on sale.</v>
      </c>
    </row>
    <row r="13329" spans="1:9" x14ac:dyDescent="0.3">
      <c r="A13329" s="1" t="s">
        <v>9</v>
      </c>
      <c r="B13329" s="1" t="s">
        <v>133</v>
      </c>
      <c r="C13329" s="1" t="s">
        <v>588</v>
      </c>
      <c r="D13329" s="1" t="s">
        <v>52</v>
      </c>
      <c r="E13329" s="1" t="s">
        <v>7640</v>
      </c>
      <c r="F13329" s="1" t="s">
        <v>18601</v>
      </c>
      <c r="G13329" s="1" t="s">
        <v>28</v>
      </c>
      <c r="H13329" s="1" t="s">
        <v>29</v>
      </c>
      <c r="I13329" s="1" t="str">
        <f ca="1">IFERROR(__xludf.DUMMYFUNCTION("GOOGLETRANSLATE(F13329, ""auto"", ""en"")
"),"I chose an oven based on the following criteria: “Hansa” (so that all built-in appliances in the kitchen were from the same manufacturer), appearance (the cabinet handle fit perfectly with the kitchen furniture), price.   Actually, the relative cheapness "&amp;"turned out to have the following unpleasant aspects: 1) the terrible smell from the stove lasted for a couple of months (when you first turned it on, the stench was such that you could put on a gas mask) 2) the surface of the door instantly catches traces"&amp;" of touch 3) the presence of only basic oven modes and the absence of a timer After 1.5 years, I got used to this specificity, so on the whole I am satisfied with the purchase, although initially I was terribly upset because of the smell of the stove.")</f>
        <v>I chose an oven based on the following criteria: “Hansa” (so that all built-in appliances in the kitchen were from the same manufacturer), appearance (the cabinet handle fit perfectly with the kitchen furniture), price.   Actually, the relative cheapness turned out to have the following unpleasant aspects: 1) the terrible smell from the stove lasted for a couple of months (when you first turned it on, the stench was such that you could put on a gas mask) 2) the surface of the door instantly catches traces of touch 3) the presence of only basic oven modes and the absence of a timer After 1.5 years, I got used to this specificity, so on the whole I am satisfied with the purchase, although initially I was terribly upset because of the smell of the stove.</v>
      </c>
    </row>
    <row r="13330" spans="1:9" x14ac:dyDescent="0.3">
      <c r="A13330" s="1" t="s">
        <v>120</v>
      </c>
      <c r="B13330" s="1" t="s">
        <v>121</v>
      </c>
      <c r="C13330" s="1" t="s">
        <v>151</v>
      </c>
      <c r="D13330" s="1" t="s">
        <v>18602</v>
      </c>
      <c r="E13330" s="1" t="s">
        <v>903</v>
      </c>
      <c r="F13330" s="1" t="s">
        <v>18603</v>
      </c>
      <c r="G13330" s="1" t="s">
        <v>36</v>
      </c>
      <c r="H13330" s="1" t="s">
        <v>29</v>
      </c>
      <c r="I13330" s="1" t="str">
        <f ca="1">IFERROR(__xludf.DUMMYFUNCTION("GOOGLETRANSLATE(F13330, ""auto"", ""en"")
"),"We bought it before the New Year, we are very happy!!!  I recommend it to everyone.   In terms of price-quality ratio, in my opinion, you cannot find a better one.")</f>
        <v>We bought it before the New Year, we are very happy!!!  I recommend it to everyone.   In terms of price-quality ratio, in my opinion, you cannot find a better one.</v>
      </c>
    </row>
    <row r="13331" spans="1:9" x14ac:dyDescent="0.3">
      <c r="A13331" s="1" t="s">
        <v>43</v>
      </c>
      <c r="B13331" s="1" t="s">
        <v>44</v>
      </c>
      <c r="C13331" s="1" t="s">
        <v>101</v>
      </c>
      <c r="D13331" s="1" t="s">
        <v>420</v>
      </c>
      <c r="E13331" s="1" t="s">
        <v>7813</v>
      </c>
      <c r="F13331" s="1" t="s">
        <v>18604</v>
      </c>
      <c r="G13331" s="1" t="s">
        <v>28</v>
      </c>
      <c r="H13331" s="1" t="s">
        <v>29</v>
      </c>
      <c r="I13331" s="1" t="str">
        <f ca="1">IFERROR(__xludf.DUMMYFUNCTION("GOOGLETRANSLATE(F13331, ""auto"", ""en"")
"),"A good fan for the money. But I noticed a noticeable vibration during operation. I took off the propeller and put it on again, turning it along the direction (or against the direction, it doesn’t matter) of rotation by 180 degrees. The vibration is gone.")</f>
        <v>A good fan for the money. But I noticed a noticeable vibration during operation. I took off the propeller and put it on again, turning it along the direction (or against the direction, it doesn’t matter) of rotation by 180 degrees. The vibration is gone.</v>
      </c>
    </row>
    <row r="13332" spans="1:9" x14ac:dyDescent="0.3">
      <c r="A13332" s="1" t="s">
        <v>852</v>
      </c>
      <c r="B13332" s="1" t="s">
        <v>853</v>
      </c>
      <c r="C13332" s="1" t="s">
        <v>356</v>
      </c>
      <c r="D13332" s="1" t="s">
        <v>653</v>
      </c>
      <c r="E13332" s="1" t="s">
        <v>1406</v>
      </c>
      <c r="F13332" s="1" t="s">
        <v>18605</v>
      </c>
      <c r="G13332" s="1" t="s">
        <v>36</v>
      </c>
      <c r="H13332" s="1" t="s">
        <v>29</v>
      </c>
      <c r="I13332" s="1" t="str">
        <f ca="1">IFERROR(__xludf.DUMMYFUNCTION("GOOGLETRANSLATE(F13332, ""auto"", ""en"")
"),"Super!")</f>
        <v>Super!</v>
      </c>
    </row>
    <row r="13333" spans="1:9" x14ac:dyDescent="0.3">
      <c r="A13333" s="1" t="s">
        <v>30</v>
      </c>
      <c r="B13333" s="1" t="s">
        <v>50</v>
      </c>
      <c r="C13333" s="1" t="s">
        <v>1003</v>
      </c>
      <c r="D13333" s="1" t="s">
        <v>86</v>
      </c>
      <c r="E13333" s="1" t="s">
        <v>4431</v>
      </c>
      <c r="F13333" s="1" t="s">
        <v>18606</v>
      </c>
      <c r="G13333" s="1" t="s">
        <v>36</v>
      </c>
      <c r="H13333" s="1" t="s">
        <v>29</v>
      </c>
      <c r="I13333" s="1" t="str">
        <f ca="1">IFERROR(__xludf.DUMMYFUNCTION("GOOGLETRANSLATE(F13333, ""auto"", ""en"")
"),"I have owned this laptop for more than two years, I bought it more expensive. Immediately after the purchase, it periodically freezes and writes that the video driver has stopped responding and has been restored. The battery, even at the beginning of oper"&amp;"ation, only lasted for an hour and a half, now it doesn’t last even half an hour. It gets hot and hums. For surfing the net it’s ok, but it doesn’t want good games, it constantly throws it out or freezes.")</f>
        <v>I have owned this laptop for more than two years, I bought it more expensive. Immediately after the purchase, it periodically freezes and writes that the video driver has stopped responding and has been restored. The battery, even at the beginning of operation, only lasted for an hour and a half, now it doesn’t last even half an hour. It gets hot and hums. For surfing the net it’s ok, but it doesn’t want good games, it constantly throws it out or freezes.</v>
      </c>
    </row>
    <row r="13334" spans="1:9" x14ac:dyDescent="0.3">
      <c r="A13334" s="1" t="s">
        <v>37</v>
      </c>
      <c r="B13334" s="1" t="s">
        <v>355</v>
      </c>
      <c r="C13334" s="1" t="s">
        <v>356</v>
      </c>
      <c r="D13334" s="1" t="s">
        <v>8956</v>
      </c>
      <c r="E13334" s="1" t="s">
        <v>1172</v>
      </c>
      <c r="F13334" s="1" t="s">
        <v>18607</v>
      </c>
      <c r="G13334" s="1" t="s">
        <v>36</v>
      </c>
      <c r="H13334" s="1" t="s">
        <v>29</v>
      </c>
      <c r="I13334" s="1" t="str">
        <f ca="1">IFERROR(__xludf.DUMMYFUNCTION("GOOGLETRANSLATE(F13334, ""auto"", ""en"")
"),"I just feel sorry for all the apple haters (for some sad reason) and even more sorry for the boys for whom having 2 SIM cards, transmitting MP3s via Bluetooth (_out of the box_) and other non-kosher things are put at the forefront.  First, I bought an iPh"&amp;"one 2g (after I had a go at a couple of VM communicators, disabling unnecessary processes, services, configuring with a file, custom firmware, and before that - Symbian, about which you can say more good things than about any VM (before the arrival of 9.4"&amp;" and ololo-killer iPhones)) and after 5 days my dad, a Nokia phage by the way, sold his n79 and bought a 3g iPhone. If there was an urgent need (besides cool graphics in toys and much higher operating speed), we would now buy 3gs. But spending 30 thousand"&amp;" (24 for “unofficial”) on toys is not very healthy. This is where the phone changes ended for us, and this can be considered as one of the reasons for buying an iPhone - if you are a normal person, then without a very good reason you will not spend money "&amp;"on a new device, therefore, you save a lot of money. Don’t even look at the wretched Samsungs and Nokia Touches, you will be embarrassed to use them later and will regret such “savings” (like me, after buying a “modern” WM).    (Lyrical digression, for Ru"&amp;"ssian WinMobile developers, etc., who make up 95% of the sales market for poor mobile phones) The iPhone at the time of its release (2007) was better than any other mobile device, this can be judged now - when I play beautiful races and shooters with grap"&amp;"hics on 2G (Imagine, happiness is not in megahertz and RAM, but in the video card/video accelerator - you name it whatever you want, it’s there, and its presence is one of the main aspects of the development of iPhones) and the sound is like on my “tablet"&amp;"” from HP. But the hardware has never changed. And no Samsung, Nokia or VM\Android will catch up with the iPhone, and this is the fault of the manufacturers themselves, who set as their goal the production of obviously defective goods for the quick sale o"&amp;"f new models put on stream. Failure of marketing (And NEVER, you will never get normal toys and programs on your devices, if only because the devices are so different (I felt it especially acutely on a VM) that the developers make it work on most (and the"&amp;" poorest) smartphones, and even then, in some places the control buttons do not work, in some places they are needed, but they are not there (touch), etc.. I won’t say anything at all about games where a video card is used. 3-4 exclusives over the last ye"&amp;"ar and a half, ridiculous), lack of an elementary user-friendly interface, inexpensive programs, weak “budget” hardware, an absolutely inadequate touchscreen, brakes even in the MENU. I just don’t understand how you can say that the iPhone is a terrible d"&amp;"evice, while saying that “I used it, but I couldn’t find a way to get the server up or configure it to respond without unlocking it.”   (end) To a lesser extent, the iPhone is a phone in the classical sense - it can do much more, it is a player, a game co"&amp;"nsole, and a serious operating system, it is a simple perception of the interface, it is full-fledged long-term support from Apple, it is a banal “I want me to turn it on - and it will immediately work fine.” It’s funny to see self-affirming idiots who li"&amp;"ke to pick up your iPhone and tell you why Nokia/Samsung is better (using very old custom anti-adverts for iPhones scattered all over the Internet), although it’s funny, it’s unpleasant to understand that you live in such a society. By the way, I’m lookin"&amp;"g forward to the iPad going on sale in Russia. I'll definitely buy it, the prices for gray ones are too high.")</f>
        <v>I just feel sorry for all the apple haters (for some sad reason) and even more sorry for the boys for whom having 2 SIM cards, transmitting MP3s via Bluetooth (_out of the box_) and other non-kosher things are put at the forefront.  First, I bought an iPhone 2g (after I had a go at a couple of VM communicators, disabling unnecessary processes, services, configuring with a file, custom firmware, and before that - Symbian, about which you can say more good things than about any VM (before the arrival of 9.4 and ololo-killer iPhones)) and after 5 days my dad, a Nokia phage by the way, sold his n79 and bought a 3g iPhone. If there was an urgent need (besides cool graphics in toys and much higher operating speed), we would now buy 3gs. But spending 30 thousand (24 for “unofficial”) on toys is not very healthy. This is where the phone changes ended for us, and this can be considered as one of the reasons for buying an iPhone - if you are a normal person, then without a very good reason you will not spend money on a new device, therefore, you save a lot of money. Don’t even look at the wretched Samsungs and Nokia Touches, you will be embarrassed to use them later and will regret such “savings” (like me, after buying a “modern” WM).    (Lyrical digression, for Russian WinMobile developers, etc., who make up 95% of the sales market for poor mobile phones) The iPhone at the time of its release (2007) was better than any other mobile device, this can be judged now - when I play beautiful races and shooters with graphics on 2G (Imagine, happiness is not in megahertz and RAM, but in the video card/video accelerator - you name it whatever you want, it’s there, and its presence is one of the main aspects of the development of iPhones) and the sound is like on my “tablet” from HP. But the hardware has never changed. And no Samsung, Nokia or VM\Android will catch up with the iPhone, and this is the fault of the manufacturers themselves, who set as their goal the production of obviously defective goods for the quick sale of new models put on stream. Failure of marketing (And NEVER, you will never get normal toys and programs on your devices, if only because the devices are so different (I felt it especially acutely on a VM) that the developers make it work on most (and the poorest) smartphones, and even then, in some places the control buttons do not work, in some places they are needed, but they are not there (touch), etc.. I won’t say anything at all about games where a video card is used. 3-4 exclusives over the last year and a half, ridiculous), lack of an elementary user-friendly interface, inexpensive programs, weak “budget” hardware, an absolutely inadequate touchscreen, brakes even in the MENU. I just don’t understand how you can say that the iPhone is a terrible device, while saying that “I used it, but I couldn’t find a way to get the server up or configure it to respond without unlocking it.”   (end) To a lesser extent, the iPhone is a phone in the classical sense - it can do much more, it is a player, a game console, and a serious operating system, it is a simple perception of the interface, it is full-fledged long-term support from Apple, it is a banal “I want me to turn it on - and it will immediately work fine.” It’s funny to see self-affirming idiots who like to pick up your iPhone and tell you why Nokia/Samsung is better (using very old custom anti-adverts for iPhones scattered all over the Internet), although it’s funny, it’s unpleasant to understand that you live in such a society. By the way, I’m looking forward to the iPad going on sale in Russia. I'll definitely buy it, the prices for gray ones are too high.</v>
      </c>
    </row>
    <row r="13335" spans="1:9" x14ac:dyDescent="0.3">
      <c r="A13335" s="1" t="s">
        <v>61</v>
      </c>
      <c r="B13335" s="1" t="s">
        <v>73</v>
      </c>
      <c r="C13335" s="1" t="s">
        <v>122</v>
      </c>
      <c r="D13335" s="1" t="s">
        <v>10409</v>
      </c>
      <c r="E13335" s="1" t="s">
        <v>1467</v>
      </c>
      <c r="F13335" s="1" t="s">
        <v>18608</v>
      </c>
      <c r="G13335" s="1" t="s">
        <v>36</v>
      </c>
      <c r="H13335" s="1" t="s">
        <v>29</v>
      </c>
      <c r="I13335" s="1" t="str">
        <f ca="1">IFERROR(__xludf.DUMMYFUNCTION("GOOGLETRANSLATE(F13335, ""auto"", ""en"")
"),"Duration of use is 6 years I don’t know how it is now, but mine was actually made in Japan, I took it apart for maintenance and lubrication, the electric motor was made in Japan, We use it for large volumes: fish, meat, tomatoes, horseradish. No complaint"&amp;"s.  The knife is self-sharpening, I immediately bought a spare knife, but the difference between them is not visible even now, i.e. I don’t see any need to edit. The cord is short and not quiet, but this is not critical.")</f>
        <v>Duration of use is 6 years I don’t know how it is now, but mine was actually made in Japan, I took it apart for maintenance and lubrication, the electric motor was made in Japan, We use it for large volumes: fish, meat, tomatoes, horseradish. No complaints.  The knife is self-sharpening, I immediately bought a spare knife, but the difference between them is not visible even now, i.e. I don’t see any need to edit. The cord is short and not quiet, but this is not critical.</v>
      </c>
    </row>
    <row r="13336" spans="1:9" x14ac:dyDescent="0.3">
      <c r="A13336" s="1" t="s">
        <v>61</v>
      </c>
      <c r="B13336" s="1" t="s">
        <v>726</v>
      </c>
      <c r="C13336" s="1" t="s">
        <v>85</v>
      </c>
      <c r="D13336" s="1" t="s">
        <v>139</v>
      </c>
      <c r="E13336" s="1" t="s">
        <v>2298</v>
      </c>
      <c r="F13336" s="1" t="s">
        <v>18609</v>
      </c>
      <c r="G13336" s="1" t="s">
        <v>36</v>
      </c>
      <c r="H13336" s="1" t="s">
        <v>29</v>
      </c>
      <c r="I13336" s="1" t="str">
        <f ca="1">IFERROR(__xludf.DUMMYFUNCTION("GOOGLETRANSLATE(F13336, ""auto"", ""en"")
"),"I bought this bread maker as a gift for my wife. I wanted something functional and fashionable. When I saw the Bork, I realized that this was what I needed. Now I eat fresh bread every day, it works without problems, the bread turns out very tasty. I reco"&amp;"mmend it to everyone.")</f>
        <v>I bought this bread maker as a gift for my wife. I wanted something functional and fashionable. When I saw the Bork, I realized that this was what I needed. Now I eat fresh bread every day, it works without problems, the bread turns out very tasty. I recommend it to everyone.</v>
      </c>
    </row>
    <row r="13337" spans="1:9" x14ac:dyDescent="0.3">
      <c r="A13337" s="1" t="s">
        <v>61</v>
      </c>
      <c r="B13337" s="1" t="s">
        <v>726</v>
      </c>
      <c r="C13337" s="1" t="s">
        <v>74</v>
      </c>
      <c r="D13337" s="1" t="s">
        <v>934</v>
      </c>
      <c r="E13337" s="1" t="s">
        <v>1327</v>
      </c>
      <c r="F13337" s="1" t="s">
        <v>18610</v>
      </c>
      <c r="G13337" s="1" t="s">
        <v>28</v>
      </c>
      <c r="H13337" s="1" t="s">
        <v>29</v>
      </c>
      <c r="I13337" s="1" t="str">
        <f ca="1">IFERROR(__xludf.DUMMYFUNCTION("GOOGLETRANSLATE(F13337, ""auto"", ""en"")
"),"We've been using the stove for a month now. We tried all the cooking options. In general, I like it. Of the minuses: 1. The top crust is very pale (if you put it on a dark crust, it burns a little on the sides and bottom, but the top is still pale) 2. The"&amp;" bread smells like yeast (we put everything carefully weighed according to the recipe) 3. All the bread turns out to be almost the same in consistency (crumbly - like they sell bricks in a store, or similar to Easter cakes).  I prefer bread that is more v"&amp;"iscous, like loaves or baguettes. So far this has not been possible.  4. No cupcake liners.  Pros - 3 hours and the bread is ready - no need to go to the store.")</f>
        <v>We've been using the stove for a month now. We tried all the cooking options. In general, I like it. Of the minuses: 1. The top crust is very pale (if you put it on a dark crust, it burns a little on the sides and bottom, but the top is still pale) 2. The bread smells like yeast (we put everything carefully weighed according to the recipe) 3. All the bread turns out to be almost the same in consistency (crumbly - like they sell bricks in a store, or similar to Easter cakes).  I prefer bread that is more viscous, like loaves or baguettes. So far this has not been possible.  4. No cupcake liners.  Pros - 3 hours and the bread is ready - no need to go to the store.</v>
      </c>
    </row>
    <row r="13338" spans="1:9" x14ac:dyDescent="0.3">
      <c r="A13338" s="1" t="s">
        <v>61</v>
      </c>
      <c r="B13338" s="1" t="s">
        <v>318</v>
      </c>
      <c r="C13338" s="1" t="s">
        <v>246</v>
      </c>
      <c r="D13338" s="1" t="s">
        <v>896</v>
      </c>
      <c r="E13338" s="1" t="s">
        <v>937</v>
      </c>
      <c r="F13338" s="1" t="s">
        <v>18611</v>
      </c>
      <c r="G13338" s="1" t="s">
        <v>49</v>
      </c>
      <c r="H13338" s="1" t="s">
        <v>16</v>
      </c>
      <c r="I13338" s="1" t="str">
        <f ca="1">IFERROR(__xludf.DUMMYFUNCTION("GOOGLETRANSLATE(F13338, ""auto"", ""en"")
"),"If you are going to buy an electric kettle, and you have as much money as this one costs, choose another model!!!!! The design of the kettle is excellent, you can choose from three colors, BUT this is the only advantage of this kettle. When the water boil"&amp;"s, it makes a LOT OF NOISE, it feels like a plane is taking off in your kitchen, and not the water is boiling. My child is terribly afraid of it, even if he sits in another room while the kettle is working. I boiled the water twice after purchasing it. Ex"&amp;"changed for another model")</f>
        <v>If you are going to buy an electric kettle, and you have as much money as this one costs, choose another model!!!!! The design of the kettle is excellent, you can choose from three colors, BUT this is the only advantage of this kettle. When the water boils, it makes a LOT OF NOISE, it feels like a plane is taking off in your kitchen, and not the water is boiling. My child is terribly afraid of it, even if he sits in another room while the kettle is working. I boiled the water twice after purchasing it. Exchanged for another model</v>
      </c>
    </row>
    <row r="13339" spans="1:9" x14ac:dyDescent="0.3">
      <c r="A13339" s="1" t="s">
        <v>61</v>
      </c>
      <c r="B13339" s="1" t="s">
        <v>62</v>
      </c>
      <c r="C13339" s="1" t="s">
        <v>63</v>
      </c>
      <c r="D13339" s="1" t="s">
        <v>52</v>
      </c>
      <c r="E13339" s="1" t="s">
        <v>3320</v>
      </c>
      <c r="F13339" s="1" t="s">
        <v>18612</v>
      </c>
      <c r="G13339" s="1" t="s">
        <v>36</v>
      </c>
      <c r="H13339" s="1" t="s">
        <v>29</v>
      </c>
      <c r="I13339" s="1" t="str">
        <f ca="1">IFERROR(__xludf.DUMMYFUNCTION("GOOGLETRANSLATE(F13339, ""auto"", ""en"")
"),"Truly a breakthrough! If you don’t count the time for boiling the necessary products and peeling the eggs, which will need to be done one way or another, unless you buy a ready-made salad, then a bowl of salad is ready in about 7-10 minutes, just throw ev"&amp;"erything into the processor and, as the bowl fills, pour it into a bowl, in which it is then mixed with mayonnaise. With eggs, to be honest, it’s a little more difficult because you can’t cut the yolk into cubes, but as a last resort, you can try it by ha"&amp;"nd, although I’m not sure that cubes can be made by hand, you’ll have to ask the women. I assume that with okroshka and vinaigrette there will be no problems at all!")</f>
        <v>Truly a breakthrough! If you don’t count the time for boiling the necessary products and peeling the eggs, which will need to be done one way or another, unless you buy a ready-made salad, then a bowl of salad is ready in about 7-10 minutes, just throw everything into the processor and, as the bowl fills, pour it into a bowl, in which it is then mixed with mayonnaise. With eggs, to be honest, it’s a little more difficult because you can’t cut the yolk into cubes, but as a last resort, you can try it by hand, although I’m not sure that cubes can be made by hand, you’ll have to ask the women. I assume that with okroshka and vinaigrette there will be no problems at all!</v>
      </c>
    </row>
    <row r="13340" spans="1:9" x14ac:dyDescent="0.3">
      <c r="A13340" s="1" t="s">
        <v>211</v>
      </c>
      <c r="B13340" s="1" t="s">
        <v>212</v>
      </c>
      <c r="C13340" s="1" t="s">
        <v>294</v>
      </c>
      <c r="D13340" s="1" t="s">
        <v>247</v>
      </c>
      <c r="E13340" s="1" t="s">
        <v>5119</v>
      </c>
      <c r="F13340" s="1" t="s">
        <v>18613</v>
      </c>
      <c r="G13340" s="1" t="s">
        <v>36</v>
      </c>
      <c r="H13340" s="1" t="s">
        <v>29</v>
      </c>
      <c r="I13340" s="1" t="str">
        <f ca="1">IFERROR(__xludf.DUMMYFUNCTION("GOOGLETRANSLATE(F13340, ""auto"", ""en"")
"),"I've been using it for over a year and am very pleased with the purchase.  I straighten my curls at the lowest temperature, the effect is like in a hairdresser. Hairstyle in 10-15 minutes without harm to hair. Doesn't burn hair, adds shine. I use a protec"&amp;"tive hair straightening spray, mousse or foam, which does not affect the coating at all.")</f>
        <v>I've been using it for over a year and am very pleased with the purchase.  I straighten my curls at the lowest temperature, the effect is like in a hairdresser. Hairstyle in 10-15 minutes without harm to hair. Doesn't burn hair, adds shine. I use a protective hair straightening spray, mousse or foam, which does not affect the coating at all.</v>
      </c>
    </row>
    <row r="13341" spans="1:9" x14ac:dyDescent="0.3">
      <c r="A13341" s="1" t="s">
        <v>211</v>
      </c>
      <c r="B13341" s="1" t="s">
        <v>212</v>
      </c>
      <c r="C13341" s="1" t="s">
        <v>453</v>
      </c>
      <c r="D13341" s="1" t="s">
        <v>18614</v>
      </c>
      <c r="E13341" s="1" t="s">
        <v>2880</v>
      </c>
      <c r="F13341" s="1" t="s">
        <v>18615</v>
      </c>
      <c r="G13341" s="1" t="s">
        <v>36</v>
      </c>
      <c r="H13341" s="1" t="s">
        <v>29</v>
      </c>
      <c r="I13341" s="1" t="str">
        <f ca="1">IFERROR(__xludf.DUMMYFUNCTION("GOOGLETRANSLATE(F13341, ""auto"", ""en"")
"),"The straightener suited me very well in terms of its technical characteristics, although I was confused by the low price, I recommend it to everyone. Price and quality are compatible!")</f>
        <v>The straightener suited me very well in terms of its technical characteristics, although I was confused by the low price, I recommend it to everyone. Price and quality are compatible!</v>
      </c>
    </row>
    <row r="13342" spans="1:9" x14ac:dyDescent="0.3">
      <c r="A13342" s="1" t="s">
        <v>30</v>
      </c>
      <c r="B13342" s="1" t="s">
        <v>31</v>
      </c>
      <c r="C13342" s="1" t="s">
        <v>32</v>
      </c>
      <c r="D13342" s="1" t="s">
        <v>114</v>
      </c>
      <c r="E13342" s="1" t="s">
        <v>800</v>
      </c>
      <c r="F13342" s="1" t="s">
        <v>18616</v>
      </c>
      <c r="G13342" s="1" t="s">
        <v>28</v>
      </c>
      <c r="H13342" s="1" t="s">
        <v>29</v>
      </c>
      <c r="I13342" s="1" t="str">
        <f ca="1">IFERROR(__xludf.DUMMYFUNCTION("GOOGLETRANSLATE(F13342, ""auto"", ""en"")
"),"What am I doing wrong? Only the picture goes through HDMI. I bought the cable from you, for about 1900 rubles. The default audio device is HDMI audio. I tried to connect the laptop to the TV with the same cable - there was sound. You have to connect the s"&amp;"ound with a headphone jack - it’s not convenient :(")</f>
        <v>What am I doing wrong? Only the picture goes through HDMI. I bought the cable from you, for about 1900 rubles. The default audio device is HDMI audio. I tried to connect the laptop to the TV with the same cable - there was sound. You have to connect the sound with a headphone jack - it’s not convenient :(</v>
      </c>
    </row>
    <row r="13343" spans="1:9" x14ac:dyDescent="0.3">
      <c r="A13343" s="1" t="s">
        <v>105</v>
      </c>
      <c r="B13343" s="1" t="s">
        <v>106</v>
      </c>
      <c r="C13343" s="1" t="s">
        <v>69</v>
      </c>
      <c r="D13343" s="1" t="s">
        <v>1894</v>
      </c>
      <c r="E13343" s="1" t="s">
        <v>7219</v>
      </c>
      <c r="F13343" s="1" t="s">
        <v>18617</v>
      </c>
      <c r="G13343" s="1" t="s">
        <v>36</v>
      </c>
      <c r="H13343" s="1" t="s">
        <v>29</v>
      </c>
      <c r="I13343" s="1" t="str">
        <f ca="1">IFERROR(__xludf.DUMMYFUNCTION("GOOGLETRANSLATE(F13343, ""auto"", ""en"")
"),"I purchased SA1922/02. An excellent player with a capacious battery. Doesn't take up much space in your pocket =). Convenient “blind” playlist management without removing it from your pocket. The headphones included in the package do not allow you to full"&amp;"y realize the full potential of this wonderful device.")</f>
        <v>I purchased SA1922/02. An excellent player with a capacious battery. Doesn't take up much space in your pocket =). Convenient “blind” playlist management without removing it from your pocket. The headphones included in the package do not allow you to fully realize the full potential of this wonderful device.</v>
      </c>
    </row>
    <row r="13344" spans="1:9" x14ac:dyDescent="0.3">
      <c r="A13344" s="1" t="s">
        <v>78</v>
      </c>
      <c r="B13344" s="1" t="s">
        <v>1163</v>
      </c>
      <c r="C13344" s="1" t="s">
        <v>80</v>
      </c>
      <c r="D13344" s="1" t="s">
        <v>565</v>
      </c>
      <c r="E13344" s="1" t="s">
        <v>285</v>
      </c>
      <c r="F13344" s="1" t="s">
        <v>18618</v>
      </c>
      <c r="G13344" s="1" t="s">
        <v>36</v>
      </c>
      <c r="H13344" s="1" t="s">
        <v>29</v>
      </c>
      <c r="I13344" s="1" t="str">
        <f ca="1">IFERROR(__xludf.DUMMYFUNCTION("GOOGLETRANSLATE(F13344, ""auto"", ""en"")
"),"So far so good. I really like it. Convenient to reheat. Easy to use.")</f>
        <v>So far so good. I really like it. Convenient to reheat. Easy to use.</v>
      </c>
    </row>
    <row r="13345" spans="1:9" x14ac:dyDescent="0.3">
      <c r="A13345" s="1" t="s">
        <v>30</v>
      </c>
      <c r="B13345" s="1" t="s">
        <v>50</v>
      </c>
      <c r="C13345" s="1" t="s">
        <v>32</v>
      </c>
      <c r="D13345" s="1" t="s">
        <v>305</v>
      </c>
      <c r="E13345" s="1" t="s">
        <v>571</v>
      </c>
      <c r="F13345" s="1" t="s">
        <v>18619</v>
      </c>
      <c r="G13345" s="1" t="s">
        <v>36</v>
      </c>
      <c r="H13345" s="1" t="s">
        <v>29</v>
      </c>
      <c r="I13345" s="1" t="str">
        <f ca="1">IFERROR(__xludf.DUMMYFUNCTION("GOOGLETRANSLATE(F13345, ""auto"", ""en"")
"),"The thing is incomparable, it works quickly, the toys pull (though they get warm, but they pull) are different, I play Call of Duty modern Warfare 2, Dragon Age: Origins, Risen, Mass effect 2... That is. the check for the laptop is not weak =))) In genera"&amp;"l, everything is very pleasing, everything is updated, works, and in general, it does almost everything for you))))")</f>
        <v>The thing is incomparable, it works quickly, the toys pull (though they get warm, but they pull) are different, I play Call of Duty modern Warfare 2, Dragon Age: Origins, Risen, Mass effect 2... That is. the check for the laptop is not weak =))) In general, everything is very pleasing, everything is updated, works, and in general, it does almost everything for you))))</v>
      </c>
    </row>
    <row r="13346" spans="1:9" x14ac:dyDescent="0.3">
      <c r="A13346" s="1" t="s">
        <v>17</v>
      </c>
      <c r="B13346" s="1" t="s">
        <v>325</v>
      </c>
      <c r="C13346" s="1" t="s">
        <v>326</v>
      </c>
      <c r="D13346" s="1" t="s">
        <v>1055</v>
      </c>
      <c r="E13346" s="1" t="s">
        <v>8661</v>
      </c>
      <c r="F13346" s="1" t="s">
        <v>18620</v>
      </c>
      <c r="G13346" s="1" t="s">
        <v>15</v>
      </c>
      <c r="H13346" s="1" t="s">
        <v>16</v>
      </c>
      <c r="I13346" s="1" t="str">
        <f ca="1">IFERROR(__xludf.DUMMYFUNCTION("GOOGLETRANSLATE(F13346, ""auto"", ""en"")
"),"Manufacturer VolTek - is it China? Where is the car assembled? Whose production of parts?▶▶▶EXPERT ANSWER “M.VIDEO”◀◀◀ Nadezhda, this model was made in Russia from domestic components.")</f>
        <v>Manufacturer VolTek - is it China? Where is the car assembled? Whose production of parts?▶▶▶EXPERT ANSWER “M.VIDEO”◀◀◀ Nadezhda, this model was made in Russia from domestic components.</v>
      </c>
    </row>
    <row r="13347" spans="1:9" x14ac:dyDescent="0.3">
      <c r="A13347" s="1" t="s">
        <v>61</v>
      </c>
      <c r="B13347" s="1" t="s">
        <v>224</v>
      </c>
      <c r="C13347" s="1" t="s">
        <v>85</v>
      </c>
      <c r="D13347" s="1" t="s">
        <v>1152</v>
      </c>
      <c r="E13347" s="1" t="s">
        <v>2994</v>
      </c>
      <c r="F13347" s="1" t="s">
        <v>18621</v>
      </c>
      <c r="G13347" s="1" t="s">
        <v>36</v>
      </c>
      <c r="H13347" s="1" t="s">
        <v>29</v>
      </c>
      <c r="I13347" s="1" t="str">
        <f ca="1">IFERROR(__xludf.DUMMYFUNCTION("GOOGLETRANSLATE(F13347, ""auto"", ""en"")
"),"The carrot cake comes out dry. A glass of juice can be obtained from three or four winter carrots. Summer, I suspect, will not leave any cake at all :).    One apple (large) - one glass of juice. Pears are the same. Banana - no way, it’s easier to break i"&amp;"t up with a blender.    There is enough power to squeeze without stopping, the spindle does not jam.    A good tip from the manual is to put a bag in the pulp container, and after squeezing, pour out a glass of water to wash the knives.  Cons - how hard i"&amp;"t is to wash the knife every time.....")</f>
        <v>The carrot cake comes out dry. A glass of juice can be obtained from three or four winter carrots. Summer, I suspect, will not leave any cake at all :).    One apple (large) - one glass of juice. Pears are the same. Banana - no way, it’s easier to break it up with a blender.    There is enough power to squeeze without stopping, the spindle does not jam.    A good tip from the manual is to put a bag in the pulp container, and after squeezing, pour out a glass of water to wash the knives.  Cons - how hard it is to wash the knife every time.....</v>
      </c>
    </row>
    <row r="13348" spans="1:9" x14ac:dyDescent="0.3">
      <c r="A13348" s="1" t="s">
        <v>61</v>
      </c>
      <c r="B13348" s="1" t="s">
        <v>318</v>
      </c>
      <c r="C13348" s="1" t="s">
        <v>85</v>
      </c>
      <c r="D13348" s="1" t="s">
        <v>919</v>
      </c>
      <c r="E13348" s="1" t="s">
        <v>4681</v>
      </c>
      <c r="F13348" s="1" t="s">
        <v>18622</v>
      </c>
      <c r="G13348" s="1" t="s">
        <v>36</v>
      </c>
      <c r="H13348" s="1" t="s">
        <v>29</v>
      </c>
      <c r="I13348" s="1" t="str">
        <f ca="1">IFERROR(__xludf.DUMMYFUNCTION("GOOGLETRANSLATE(F13348, ""auto"", ""en"")
"),"Stylish, reliable, not noisy, good volume!")</f>
        <v>Stylish, reliable, not noisy, good volume!</v>
      </c>
    </row>
    <row r="13349" spans="1:9" x14ac:dyDescent="0.3">
      <c r="A13349" s="1" t="s">
        <v>30</v>
      </c>
      <c r="B13349" s="1" t="s">
        <v>50</v>
      </c>
      <c r="C13349" s="1" t="s">
        <v>32</v>
      </c>
      <c r="D13349" s="1" t="s">
        <v>1431</v>
      </c>
      <c r="E13349" s="1" t="s">
        <v>2030</v>
      </c>
      <c r="F13349" s="1" t="s">
        <v>18623</v>
      </c>
      <c r="G13349" s="1" t="s">
        <v>36</v>
      </c>
      <c r="H13349" s="1" t="s">
        <v>29</v>
      </c>
      <c r="I13349" s="1" t="str">
        <f ca="1">IFERROR(__xludf.DUMMYFUNCTION("GOOGLETRANSLATE(F13349, ""auto"", ""en"")
"),"excellent laptop, so far everything is working great, I bought it 6 months ago and the web camera and everything else is still working, nothing broke, nothing flew off, although the email agent began to work poorly on it, when I click on the link, an erro"&amp;"r appears, no matter what I tried, it didn’t help, they told me it was Windows’ fault, but everything is fine))) but the sound clicks only when I listen with headphones, but on 5.1 everything is fine without clicking, all the games I installed flew at max"&amp;"imum)))")</f>
        <v>excellent laptop, so far everything is working great, I bought it 6 months ago and the web camera and everything else is still working, nothing broke, nothing flew off, although the email agent began to work poorly on it, when I click on the link, an error appears, no matter what I tried, it didn’t help, they told me it was Windows’ fault, but everything is fine))) but the sound clicks only when I listen with headphones, but on 5.1 everything is fine without clicking, all the games I installed flew at maximum)))</v>
      </c>
    </row>
    <row r="13350" spans="1:9" x14ac:dyDescent="0.3">
      <c r="A13350" s="1" t="s">
        <v>1119</v>
      </c>
      <c r="B13350" s="1" t="s">
        <v>1120</v>
      </c>
      <c r="C13350" s="1" t="s">
        <v>97</v>
      </c>
      <c r="D13350" s="1" t="s">
        <v>18624</v>
      </c>
      <c r="E13350" s="1" t="s">
        <v>1327</v>
      </c>
      <c r="F13350" s="1" t="s">
        <v>18625</v>
      </c>
      <c r="G13350" s="1" t="s">
        <v>28</v>
      </c>
      <c r="H13350" s="1" t="s">
        <v>29</v>
      </c>
      <c r="I13350" s="1" t="str">
        <f ca="1">IFERROR(__xludf.DUMMYFUNCTION("GOOGLETRANSLATE(F13350, ""auto"", ""en"")
"),"I agree with some posts that the mechanical sound from the zoom is clearly audible on the recordings, the quality is not FullHD, touchscreen (constantly in prints), but ideal for everyday use, compact size, optics from Carl Zeiss, etc. But the choice is s"&amp;"till yours!")</f>
        <v>I agree with some posts that the mechanical sound from the zoom is clearly audible on the recordings, the quality is not FullHD, touchscreen (constantly in prints), but ideal for everyday use, compact size, optics from Carl Zeiss, etc. But the choice is still yours!</v>
      </c>
    </row>
    <row r="13351" spans="1:9" x14ac:dyDescent="0.3">
      <c r="A13351" s="1" t="s">
        <v>61</v>
      </c>
      <c r="B13351" s="1" t="s">
        <v>318</v>
      </c>
      <c r="C13351" s="1" t="s">
        <v>745</v>
      </c>
      <c r="D13351" s="1" t="s">
        <v>33</v>
      </c>
      <c r="E13351" s="1" t="s">
        <v>5826</v>
      </c>
      <c r="F13351" s="1" t="s">
        <v>18626</v>
      </c>
      <c r="G13351" s="1" t="s">
        <v>36</v>
      </c>
      <c r="H13351" s="1" t="s">
        <v>29</v>
      </c>
      <c r="I13351" s="1" t="str">
        <f ca="1">IFERROR(__xludf.DUMMYFUNCTION("GOOGLETRANSLATE(F13351, ""auto"", ""en"")
"),"I recently bought it for my office work. We boil it every day with the whole team and not once in a month have we had any problems. The lid closes tightly, the button is also normal. In appearance, the usual inexpensive model is unpretentious. The water b"&amp;"oils quickly, in just over a minute. A good, solid teapot that knows its stuff. One of the disadvantages is that the cord is short, we always have to rearrange it.")</f>
        <v>I recently bought it for my office work. We boil it every day with the whole team and not once in a month have we had any problems. The lid closes tightly, the button is also normal. In appearance, the usual inexpensive model is unpretentious. The water boils quickly, in just over a minute. A good, solid teapot that knows its stuff. One of the disadvantages is that the cord is short, we always have to rearrange it.</v>
      </c>
    </row>
    <row r="13352" spans="1:9" x14ac:dyDescent="0.3">
      <c r="A13352" s="1" t="s">
        <v>9</v>
      </c>
      <c r="B13352" s="1" t="s">
        <v>10</v>
      </c>
      <c r="C13352" s="1" t="s">
        <v>466</v>
      </c>
      <c r="D13352" s="1" t="s">
        <v>33</v>
      </c>
      <c r="E13352" s="1" t="s">
        <v>820</v>
      </c>
      <c r="F13352" s="1" t="s">
        <v>18627</v>
      </c>
      <c r="G13352" s="1" t="s">
        <v>36</v>
      </c>
      <c r="H13352" s="1" t="s">
        <v>29</v>
      </c>
      <c r="I13352" s="1" t="str">
        <f ca="1">IFERROR(__xludf.DUMMYFUNCTION("GOOGLETRANSLATE(F13352, ""auto"", ""en"")
"),"Super car, take it - you won't regret it! And you can install it yourself - detailed instructions + everything you need is included in the package!")</f>
        <v>Super car, take it - you won't regret it! And you can install it yourself - detailed instructions + everything you need is included in the package!</v>
      </c>
    </row>
    <row r="13353" spans="1:9" x14ac:dyDescent="0.3">
      <c r="A13353" s="1" t="s">
        <v>61</v>
      </c>
      <c r="B13353" s="1" t="s">
        <v>224</v>
      </c>
      <c r="C13353" s="1" t="s">
        <v>85</v>
      </c>
      <c r="D13353" s="1" t="s">
        <v>39</v>
      </c>
      <c r="E13353" s="1" t="s">
        <v>5696</v>
      </c>
      <c r="F13353" s="1" t="s">
        <v>18628</v>
      </c>
      <c r="G13353" s="1" t="s">
        <v>36</v>
      </c>
      <c r="H13353" s="1" t="s">
        <v>29</v>
      </c>
      <c r="I13353" s="1" t="str">
        <f ca="1">IFERROR(__xludf.DUMMYFUNCTION("GOOGLETRANSLATE(F13353, ""auto"", ""en"")
"),"After a year of use, we can say: the squeezer is good, the cake is dry (I checked it several times by squeezing it in my fist - it just comes out like mush through my fingers). Unground pieces are quite rare, and usually a piece of skin already flies off "&amp;"- the main thing according to the instructions is to smoothly push the fruit through, and not to press with all your might in a second. A good foam separator, it allows quite reasonable amounts of foam to pass through. It washes normally, is almost comple"&amp;"tely cleared of cake with a spatula on a brush, nothing leaks or flies out where it shouldn’t.")</f>
        <v>After a year of use, we can say: the squeezer is good, the cake is dry (I checked it several times by squeezing it in my fist - it just comes out like mush through my fingers). Unground pieces are quite rare, and usually a piece of skin already flies off - the main thing according to the instructions is to smoothly push the fruit through, and not to press with all your might in a second. A good foam separator, it allows quite reasonable amounts of foam to pass through. It washes normally, is almost completely cleared of cake with a spatula on a brush, nothing leaks or flies out where it shouldn’t.</v>
      </c>
    </row>
    <row r="13354" spans="1:9" x14ac:dyDescent="0.3">
      <c r="A13354" s="1" t="s">
        <v>37</v>
      </c>
      <c r="B13354" s="1" t="s">
        <v>536</v>
      </c>
      <c r="C13354" s="1" t="s">
        <v>1419</v>
      </c>
      <c r="D13354" s="1" t="s">
        <v>39</v>
      </c>
      <c r="E13354" s="1" t="s">
        <v>26</v>
      </c>
      <c r="F13354" s="1" t="s">
        <v>18629</v>
      </c>
      <c r="G13354" s="1" t="s">
        <v>28</v>
      </c>
      <c r="H13354" s="1" t="s">
        <v>29</v>
      </c>
      <c r="I13354" s="1" t="str">
        <f ca="1">IFERROR(__xludf.DUMMYFUNCTION("GOOGLETRANSLATE(F13354, ""auto"", ""en"")
"),"I took it for a friend! The animal is normal! Of the minuses: it does not pick up satellites well, the OVGA screen is also fast.")</f>
        <v>I took it for a friend! The animal is normal! Of the minuses: it does not pick up satellites well, the OVGA screen is also fast.</v>
      </c>
    </row>
    <row r="13355" spans="1:9" x14ac:dyDescent="0.3">
      <c r="A13355" s="1" t="s">
        <v>149</v>
      </c>
      <c r="B13355" s="1" t="s">
        <v>423</v>
      </c>
      <c r="C13355" s="1" t="s">
        <v>314</v>
      </c>
      <c r="D13355" s="1" t="s">
        <v>690</v>
      </c>
      <c r="E13355" s="1" t="s">
        <v>1273</v>
      </c>
      <c r="F13355" s="1" t="s">
        <v>18630</v>
      </c>
      <c r="G13355" s="1" t="s">
        <v>28</v>
      </c>
      <c r="H13355" s="1" t="s">
        <v>29</v>
      </c>
      <c r="I13355" s="1" t="str">
        <f ca="1">IFERROR(__xludf.DUMMYFUNCTION("GOOGLETRANSLATE(F13355, ""auto"", ""en"")
"),"Let's start with the pleasant things - everything is written correctly about power, especially when working with a turbo brush. The rubberized rug in the hallway lifts at a time. The same turbo brush perfectly removes hair, threads, etc. from the carpet. "&amp;"  It washes well, now (in winter, with the heating on) after half an hour you can safely walk on the carpet without fear of getting wet. Regarding the cleanliness of the sink, there are also only positive emotions (pomegranate stains disappeared without a"&amp;" trace - my little son tried. They didn’t disappear the first time, but no less - all sorts of “manual” products flatly refused to cope with them.) As for the fact that it collects more dirt... well, at least - no less, that’s for sure. It’s just that wit"&amp;"h an aquafilter the presence of dirt is much more obvious. And yet - visually, after regular (non-wet) cleaning with Zelmer, the carpet is cleaner than after a “regular” vacuum cleaner (I won’t mention the brand so as not to create anti-advertising - I ha"&amp;"ve nothing against the model of my “regular” vacuum cleaner).  It disassembles and cleans easily, unlike Thomas (those have really flimsy lids, tested in the store :)), we did not feel any inconvenience in servicing it after cleaning.    Cons: 1. 3 weeks "&amp;"after purchase, the stopper of the telescopic tube “collapsed”. I don’t yet have the opportunity to get to the service, but fortunately the handset is fixed in the unfolded state, so this does not interfere.  2. It’s very difficult to remove the washing a"&amp;"ttachment from this telescopic tube - my wife doesn’t have enough strength, I also manage to remove it in about a minute or a minute and a half. (no, we are not “hammering” it inside with a sledgehammer - it is driven in on its own during the process of w"&amp;"ashing and collecting liquid).  3. The turbo brush, of course, is a powerful thing, but then you have to clean it from wound hair/threads, etc. however, it is problematic.    That seems to be all. Yes - about the air :) Nothing was noticed, both before an"&amp;"d after cleaning - the same, neither cleaner nor dirtier. And in the end - we are not removing dust from the air, but it is in the carpet or in the vacuum cleaner - it still does not interfere with breathing. And the fact that dust from the carpet lingers"&amp;" in the vacuum cleaner and does not fly out through it is only a plus for it :).  In general, the advantages of the vacuum cleaner (power, simplicity and reliability, i.e. “strength”) more than cover its disadvantages (I think the trouble with the telesco"&amp;"pe can be attributed to the disadvantage of a particular instance).  Believe it or not - your right.  Dixi.")</f>
        <v>Let's start with the pleasant things - everything is written correctly about power, especially when working with a turbo brush. The rubberized rug in the hallway lifts at a time. The same turbo brush perfectly removes hair, threads, etc. from the carpet.   It washes well, now (in winter, with the heating on) after half an hour you can safely walk on the carpet without fear of getting wet. Regarding the cleanliness of the sink, there are also only positive emotions (pomegranate stains disappeared without a trace - my little son tried. They didn’t disappear the first time, but no less - all sorts of “manual” products flatly refused to cope with them.) As for the fact that it collects more dirt... well, at least - no less, that’s for sure. It’s just that with an aquafilter the presence of dirt is much more obvious. And yet - visually, after regular (non-wet) cleaning with Zelmer, the carpet is cleaner than after a “regular” vacuum cleaner (I won’t mention the brand so as not to create anti-advertising - I have nothing against the model of my “regular” vacuum cleaner).  It disassembles and cleans easily, unlike Thomas (those have really flimsy lids, tested in the store :)), we did not feel any inconvenience in servicing it after cleaning.    Cons: 1. 3 weeks after purchase, the stopper of the telescopic tube “collapsed”. I don’t yet have the opportunity to get to the service, but fortunately the handset is fixed in the unfolded state, so this does not interfere.  2. It’s very difficult to remove the washing attachment from this telescopic tube - my wife doesn’t have enough strength, I also manage to remove it in about a minute or a minute and a half. (no, we are not “hammering” it inside with a sledgehammer - it is driven in on its own during the process of washing and collecting liquid).  3. The turbo brush, of course, is a powerful thing, but then you have to clean it from wound hair/threads, etc. however, it is problematic.    That seems to be all. Yes - about the air :) Nothing was noticed, both before and after cleaning - the same, neither cleaner nor dirtier. And in the end - we are not removing dust from the air, but it is in the carpet or in the vacuum cleaner - it still does not interfere with breathing. And the fact that dust from the carpet lingers in the vacuum cleaner and does not fly out through it is only a plus for it :).  In general, the advantages of the vacuum cleaner (power, simplicity and reliability, i.e. “strength”) more than cover its disadvantages (I think the trouble with the telescope can be attributed to the disadvantage of a particular instance).  Believe it or not - your right.  Dixi.</v>
      </c>
    </row>
    <row r="13356" spans="1:9" x14ac:dyDescent="0.3">
      <c r="A13356" s="1" t="s">
        <v>37</v>
      </c>
      <c r="B13356" s="1" t="s">
        <v>38</v>
      </c>
      <c r="C13356" s="1" t="s">
        <v>39</v>
      </c>
      <c r="D13356" s="1" t="s">
        <v>18631</v>
      </c>
      <c r="E13356" s="1" t="s">
        <v>917</v>
      </c>
      <c r="F13356" s="1" t="s">
        <v>18632</v>
      </c>
      <c r="G13356" s="1" t="s">
        <v>36</v>
      </c>
      <c r="H13356" s="1" t="s">
        <v>29</v>
      </c>
      <c r="I13356" s="1" t="str">
        <f ca="1">IFERROR(__xludf.DUMMYFUNCTION("GOOGLETRANSLATE(F13356, ""auto"", ""en"")
"),"best phone I've ever had... great sound, design and quality")</f>
        <v>best phone I've ever had... great sound, design and quality</v>
      </c>
    </row>
    <row r="13357" spans="1:9" x14ac:dyDescent="0.3">
      <c r="A13357" s="1" t="s">
        <v>61</v>
      </c>
      <c r="B13357" s="1" t="s">
        <v>1727</v>
      </c>
      <c r="C13357" s="1" t="s">
        <v>122</v>
      </c>
      <c r="D13357" s="1" t="s">
        <v>10889</v>
      </c>
      <c r="E13357" s="1" t="s">
        <v>1228</v>
      </c>
      <c r="F13357" s="1" t="s">
        <v>18633</v>
      </c>
      <c r="G13357" s="1" t="s">
        <v>36</v>
      </c>
      <c r="H13357" s="1" t="s">
        <v>29</v>
      </c>
      <c r="I13357" s="1" t="str">
        <f ca="1">IFERROR(__xludf.DUMMYFUNCTION("GOOGLETRANSLATE(F13357, ""auto"", ""en"")
"),"I really liked it!!! It’s a good product, I recommend it to everyone! We made a purchase through the online store, delivered it yesterday and immediately made pilaf according to the recipe from the included book! We haven’t eaten tastier pilaf! And most i"&amp;"mportantly, it’s fast, easy and healthy!!!:)))")</f>
        <v>I really liked it!!! It’s a good product, I recommend it to everyone! We made a purchase through the online store, delivered it yesterday and immediately made pilaf according to the recipe from the included book! We haven’t eaten tastier pilaf! And most importantly, it’s fast, easy and healthy!!!:)))</v>
      </c>
    </row>
    <row r="13358" spans="1:9" x14ac:dyDescent="0.3">
      <c r="A13358" s="1" t="s">
        <v>61</v>
      </c>
      <c r="B13358" s="1" t="s">
        <v>180</v>
      </c>
      <c r="C13358" s="1" t="s">
        <v>74</v>
      </c>
      <c r="D13358" s="1" t="s">
        <v>3375</v>
      </c>
      <c r="E13358" s="1" t="s">
        <v>3842</v>
      </c>
      <c r="F13358" s="1" t="s">
        <v>18634</v>
      </c>
      <c r="G13358" s="1" t="s">
        <v>28</v>
      </c>
      <c r="H13358" s="1" t="s">
        <v>29</v>
      </c>
      <c r="I13358" s="1" t="str">
        <f ca="1">IFERROR(__xludf.DUMMYFUNCTION("GOOGLETRANSLATE(F13358, ""auto"", ""en"")
"),"I've been using it for quite a long time, I use it constantly. I still haven’t gotten around to making waffles, and someone here was right when they said that you need to find a good recipe, because even the coolest toasters may not make these waffles. Mo"&amp;"st often I heat up sandwiches and homemade shawarma. Everything I expected happens :))) the sausage is hot, the cheese is melting, the bread is toasting. The good news is that there are several replaceable attachments, but I still hope to get the hang of "&amp;"it and make waffles. The downside is that due to constant use (we have a large family), the yellow paint on the handle comes off and it doesn’t look very nice. In general, this is a necessary and pleasant thing in the household - guests came for tea - I m"&amp;"ade quick sandwiches and everyone was happy and full.")</f>
        <v>I've been using it for quite a long time, I use it constantly. I still haven’t gotten around to making waffles, and someone here was right when they said that you need to find a good recipe, because even the coolest toasters may not make these waffles. Most often I heat up sandwiches and homemade shawarma. Everything I expected happens :))) the sausage is hot, the cheese is melting, the bread is toasting. The good news is that there are several replaceable attachments, but I still hope to get the hang of it and make waffles. The downside is that due to constant use (we have a large family), the yellow paint on the handle comes off and it doesn’t look very nice. In general, this is a necessary and pleasant thing in the household - guests came for tea - I made quick sandwiches and everyone was happy and full.</v>
      </c>
    </row>
    <row r="13359" spans="1:9" x14ac:dyDescent="0.3">
      <c r="A13359" s="1" t="s">
        <v>17</v>
      </c>
      <c r="B13359" s="1" t="s">
        <v>18</v>
      </c>
      <c r="C13359" s="1" t="s">
        <v>151</v>
      </c>
      <c r="D13359" s="1" t="s">
        <v>280</v>
      </c>
      <c r="E13359" s="1" t="s">
        <v>3465</v>
      </c>
      <c r="F13359" s="1" t="s">
        <v>18635</v>
      </c>
      <c r="G13359" s="1" t="s">
        <v>36</v>
      </c>
      <c r="H13359" s="1" t="s">
        <v>29</v>
      </c>
      <c r="I13359" s="1" t="str">
        <f ca="1">IFERROR(__xludf.DUMMYFUNCTION("GOOGLETRANSLATE(F13359, ""auto"", ""en"")
"),"just super, washes great, not noisy, just super.")</f>
        <v>just super, washes great, not noisy, just super.</v>
      </c>
    </row>
    <row r="13360" spans="1:9" x14ac:dyDescent="0.3">
      <c r="A13360" s="1" t="s">
        <v>61</v>
      </c>
      <c r="B13360" s="1" t="s">
        <v>224</v>
      </c>
      <c r="C13360" s="1" t="s">
        <v>85</v>
      </c>
      <c r="D13360" s="1" t="s">
        <v>411</v>
      </c>
      <c r="E13360" s="1" t="s">
        <v>1978</v>
      </c>
      <c r="F13360" s="1" t="s">
        <v>18636</v>
      </c>
      <c r="G13360" s="1" t="s">
        <v>36</v>
      </c>
      <c r="H13360" s="1" t="s">
        <v>29</v>
      </c>
      <c r="I13360" s="1" t="str">
        <f ca="1">IFERROR(__xludf.DUMMYFUNCTION("GOOGLETRANSLATE(F13360, ""auto"", ""en"")
"),"It’s easy to use, the amount of juice squeezed out is very large, the filter doesn’t get clogged, I use it and enjoy life.")</f>
        <v>It’s easy to use, the amount of juice squeezed out is very large, the filter doesn’t get clogged, I use it and enjoy life.</v>
      </c>
    </row>
    <row r="13361" spans="1:9" x14ac:dyDescent="0.3">
      <c r="A13361" s="1" t="s">
        <v>105</v>
      </c>
      <c r="B13361" s="1" t="s">
        <v>106</v>
      </c>
      <c r="C13361" s="1" t="s">
        <v>1209</v>
      </c>
      <c r="D13361" s="1" t="s">
        <v>280</v>
      </c>
      <c r="E13361" s="1" t="s">
        <v>2153</v>
      </c>
      <c r="F13361" s="1" t="s">
        <v>18637</v>
      </c>
      <c r="G13361" s="1" t="s">
        <v>36</v>
      </c>
      <c r="H13361" s="1" t="s">
        <v>29</v>
      </c>
      <c r="I13361" s="1" t="str">
        <f ca="1">IFERROR(__xludf.DUMMYFUNCTION("GOOGLETRANSLATE(F13361, ""auto"", ""en"")
"),"I bought it yesterday, I can’t get TV in the apartment at all. Radio is ok.  I downloaded a movie, but it doesn’t watch it, it freezes... This is my first player, and despite the disadvantages, I like it.")</f>
        <v>I bought it yesterday, I can’t get TV in the apartment at all. Radio is ok.  I downloaded a movie, but it doesn’t watch it, it freezes... This is my first player, and despite the disadvantages, I like it.</v>
      </c>
    </row>
    <row r="13362" spans="1:9" x14ac:dyDescent="0.3">
      <c r="A13362" s="1" t="s">
        <v>149</v>
      </c>
      <c r="B13362" s="1" t="s">
        <v>155</v>
      </c>
      <c r="C13362" s="1" t="s">
        <v>151</v>
      </c>
      <c r="D13362" s="1" t="s">
        <v>39</v>
      </c>
      <c r="E13362" s="1" t="s">
        <v>808</v>
      </c>
      <c r="F13362" s="1" t="s">
        <v>18638</v>
      </c>
      <c r="G13362" s="1" t="s">
        <v>49</v>
      </c>
      <c r="H13362" s="1" t="s">
        <v>16</v>
      </c>
      <c r="I13362" s="1" t="str">
        <f ca="1">IFERROR(__xludf.DUMMYFUNCTION("GOOGLETRANSLATE(F13362, ""auto"", ""en"")
"),"Exactly the same situation. It broke down exactly a year later, just as the warranty had expired. the engine sparked and went out. they used and looked after normally... I won’t take this one again, although the controls are convenient on the handle.")</f>
        <v>Exactly the same situation. It broke down exactly a year later, just as the warranty had expired. the engine sparked and went out. they used and looked after normally... I won’t take this one again, although the controls are convenient on the handle.</v>
      </c>
    </row>
    <row r="13363" spans="1:9" x14ac:dyDescent="0.3">
      <c r="A13363" s="1" t="s">
        <v>9</v>
      </c>
      <c r="B13363" s="1" t="s">
        <v>133</v>
      </c>
      <c r="C13363" s="1" t="s">
        <v>588</v>
      </c>
      <c r="D13363" s="1" t="s">
        <v>86</v>
      </c>
      <c r="E13363" s="1" t="s">
        <v>1434</v>
      </c>
      <c r="F13363" s="1" t="s">
        <v>18639</v>
      </c>
      <c r="G13363" s="1" t="s">
        <v>94</v>
      </c>
      <c r="H13363" s="1" t="s">
        <v>29</v>
      </c>
      <c r="I13363" s="1" t="str">
        <f ca="1">IFERROR(__xludf.DUMMYFUNCTION("GOOGLETRANSLATE(F13363, ""auto"", ""en"")
"),"Reliable, reasonable price, very stylish, good handling")</f>
        <v>Reliable, reasonable price, very stylish, good handling</v>
      </c>
    </row>
    <row r="13364" spans="1:9" x14ac:dyDescent="0.3">
      <c r="A13364" s="1" t="s">
        <v>30</v>
      </c>
      <c r="B13364" s="1" t="s">
        <v>50</v>
      </c>
      <c r="C13364" s="1" t="s">
        <v>51</v>
      </c>
      <c r="D13364" s="1" t="s">
        <v>18640</v>
      </c>
      <c r="E13364" s="1" t="s">
        <v>1723</v>
      </c>
      <c r="F13364" s="1" t="s">
        <v>18641</v>
      </c>
      <c r="G13364" s="1" t="s">
        <v>28</v>
      </c>
      <c r="H13364" s="1" t="s">
        <v>29</v>
      </c>
      <c r="I13364" s="1" t="str">
        <f ca="1">IFERROR(__xludf.DUMMYFUNCTION("GOOGLETRANSLATE(F13364, ""auto"", ""en"")
"),"I agree with the message above. The processor is rather weak, but the video card seems to work for the processor when its power is not enough!   + The installed x64 system must be urgently changed to x32!")</f>
        <v>I agree with the message above. The processor is rather weak, but the video card seems to work for the processor when its power is not enough!   + The installed x64 system must be urgently changed to x32!</v>
      </c>
    </row>
    <row r="13365" spans="1:9" x14ac:dyDescent="0.3">
      <c r="A13365" s="1" t="s">
        <v>61</v>
      </c>
      <c r="B13365" s="1" t="s">
        <v>977</v>
      </c>
      <c r="C13365" s="1" t="s">
        <v>63</v>
      </c>
      <c r="D13365" s="1" t="s">
        <v>621</v>
      </c>
      <c r="E13365" s="1" t="s">
        <v>3424</v>
      </c>
      <c r="F13365" s="1" t="s">
        <v>18642</v>
      </c>
      <c r="G13365" s="1" t="s">
        <v>36</v>
      </c>
      <c r="H13365" s="1" t="s">
        <v>29</v>
      </c>
      <c r="I13365" s="1" t="str">
        <f ca="1">IFERROR(__xludf.DUMMYFUNCTION("GOOGLETRANSLATE(F13365, ""auto"", ""en"")
"),"Gorgeous device! The biscuit turned out perfect! It works at maximum speed very, very quietly, softly! Sheer pleasure! The bowl is deep, roomy, and easy to clean. The nozzles are made of good material. I recommend everyone to have such a friend in the kit"&amp;"chen!")</f>
        <v>Gorgeous device! The biscuit turned out perfect! It works at maximum speed very, very quietly, softly! Sheer pleasure! The bowl is deep, roomy, and easy to clean. The nozzles are made of good material. I recommend everyone to have such a friend in the kitchen!</v>
      </c>
    </row>
    <row r="13366" spans="1:9" x14ac:dyDescent="0.3">
      <c r="A13366" s="1" t="s">
        <v>211</v>
      </c>
      <c r="B13366" s="1" t="s">
        <v>212</v>
      </c>
      <c r="C13366" s="1" t="s">
        <v>1591</v>
      </c>
      <c r="D13366" s="1" t="s">
        <v>896</v>
      </c>
      <c r="E13366" s="1" t="s">
        <v>309</v>
      </c>
      <c r="F13366" s="1" t="s">
        <v>18643</v>
      </c>
      <c r="G13366" s="1" t="s">
        <v>36</v>
      </c>
      <c r="H13366" s="1" t="s">
        <v>29</v>
      </c>
      <c r="I13366" s="1" t="str">
        <f ca="1">IFERROR(__xludf.DUMMYFUNCTION("GOOGLETRANSLATE(F13366, ""auto"", ""en"")
"),"Powerful, comfortable. The kit comes with a bunch of attachments, I only use a large brush for styling after drying. Perfectly straightens hair and curls ends. After use, the hair is shiny and well-groomed. I really like it. I can’t imagine my morning wit"&amp;"hout him. I recommend it.")</f>
        <v>Powerful, comfortable. The kit comes with a bunch of attachments, I only use a large brush for styling after drying. Perfectly straightens hair and curls ends. After use, the hair is shiny and well-groomed. I really like it. I can’t imagine my morning without him. I recommend it.</v>
      </c>
    </row>
    <row r="13367" spans="1:9" x14ac:dyDescent="0.3">
      <c r="A13367" s="1" t="s">
        <v>9</v>
      </c>
      <c r="B13367" s="1" t="s">
        <v>10</v>
      </c>
      <c r="C13367" s="1" t="s">
        <v>407</v>
      </c>
      <c r="D13367" s="1" t="s">
        <v>565</v>
      </c>
      <c r="E13367" s="1" t="s">
        <v>6469</v>
      </c>
      <c r="F13367" s="1" t="s">
        <v>18644</v>
      </c>
      <c r="G13367" s="1" t="s">
        <v>36</v>
      </c>
      <c r="H13367" s="1" t="s">
        <v>29</v>
      </c>
      <c r="I13367" s="1" t="str">
        <f ca="1">IFERROR(__xludf.DUMMYFUNCTION("GOOGLETRANSLATE(F13367, ""auto"", ""en"")
"),"I bought this beauty for my parents. There was no limit to the delight! It's been working fine for 1.5 years, the lamp recently burned out - dad changed everything himself according to the instructions and everything continues to work. Quiet, beautiful, m"&amp;"odern, kitchen decoration. We only use speed 1-2 - it’s completely silent. Shindo - well done!")</f>
        <v>I bought this beauty for my parents. There was no limit to the delight! It's been working fine for 1.5 years, the lamp recently burned out - dad changed everything himself according to the instructions and everything continues to work. Quiet, beautiful, modern, kitchen decoration. We only use speed 1-2 - it’s completely silent. Shindo - well done!</v>
      </c>
    </row>
    <row r="13368" spans="1:9" x14ac:dyDescent="0.3">
      <c r="A13368" s="1" t="s">
        <v>61</v>
      </c>
      <c r="B13368" s="1" t="s">
        <v>318</v>
      </c>
      <c r="C13368" s="1" t="s">
        <v>213</v>
      </c>
      <c r="D13368" s="1" t="s">
        <v>896</v>
      </c>
      <c r="E13368" s="1" t="s">
        <v>886</v>
      </c>
      <c r="F13368" s="1" t="s">
        <v>18645</v>
      </c>
      <c r="G13368" s="1" t="s">
        <v>36</v>
      </c>
      <c r="H13368" s="1" t="s">
        <v>29</v>
      </c>
      <c r="I13368" s="1" t="str">
        <f ca="1">IFERROR(__xludf.DUMMYFUNCTION("GOOGLETRANSLATE(F13368, ""auto"", ""en"")
"),"Our kettle is already 7 years old!!! Works great. There is no smell. The only thing is that the lid is difficult to close... But after so many years this is normal! I give it 5+)")</f>
        <v>Our kettle is already 7 years old!!! Works great. There is no smell. The only thing is that the lid is difficult to close... But after so many years this is normal! I give it 5+)</v>
      </c>
    </row>
    <row r="13369" spans="1:9" x14ac:dyDescent="0.3">
      <c r="A13369" s="1" t="s">
        <v>149</v>
      </c>
      <c r="B13369" s="1" t="s">
        <v>155</v>
      </c>
      <c r="C13369" s="1" t="s">
        <v>996</v>
      </c>
      <c r="D13369" s="1" t="s">
        <v>658</v>
      </c>
      <c r="E13369" s="1" t="s">
        <v>346</v>
      </c>
      <c r="F13369" s="1" t="s">
        <v>18646</v>
      </c>
      <c r="G13369" s="1" t="s">
        <v>49</v>
      </c>
      <c r="H13369" s="1" t="s">
        <v>16</v>
      </c>
      <c r="I13369" s="1" t="str">
        <f ca="1">IFERROR(__xludf.DUMMYFUNCTION("GOOGLETRANSLATE(F13369, ""auto"", ""en"")
"),"I bought it a month ago. One day I was “rejoiced”... and cursed everything in the world. The vacuum cleaner just doesn't ""suck"", sorry. It is easier to clean the carpet manually with a brush than with this vacuum cleaner.")</f>
        <v>I bought it a month ago. One day I was “rejoiced”... and cursed everything in the world. The vacuum cleaner just doesn't "suck", sorry. It is easier to clean the carpet manually with a brush than with this vacuum cleaner.</v>
      </c>
    </row>
    <row r="13370" spans="1:9" x14ac:dyDescent="0.3">
      <c r="A13370" s="1" t="s">
        <v>61</v>
      </c>
      <c r="B13370" s="1" t="s">
        <v>977</v>
      </c>
      <c r="C13370" s="1" t="s">
        <v>63</v>
      </c>
      <c r="D13370" s="1" t="s">
        <v>565</v>
      </c>
      <c r="E13370" s="1" t="s">
        <v>17081</v>
      </c>
      <c r="F13370" s="1" t="s">
        <v>18647</v>
      </c>
      <c r="G13370" s="1" t="s">
        <v>36</v>
      </c>
      <c r="H13370" s="1" t="s">
        <v>29</v>
      </c>
      <c r="I13370" s="1" t="str">
        <f ca="1">IFERROR(__xludf.DUMMYFUNCTION("GOOGLETRANSLATE(F13370, ""auto"", ""en"")
"),"Cool mixer. The stand is convenient and practical, thanks to it whipping takes a minimum of effort and time. If necessary, the mixer can be removed from the stand; the handle is very comfortable; in addition, it is unusually light and very comfortable to "&amp;"hold. The corollas are wonderful, the shape is unusual. It beats everything very quickly, kneads the dough well, without any problems, the power is enough even for a fairly tough dough. The assembly is European, and you can also wash the attachments, bowl"&amp;" and stand in the dishwasher. So the mixer is super, worth the money.")</f>
        <v>Cool mixer. The stand is convenient and practical, thanks to it whipping takes a minimum of effort and time. If necessary, the mixer can be removed from the stand; the handle is very comfortable; in addition, it is unusually light and very comfortable to hold. The corollas are wonderful, the shape is unusual. It beats everything very quickly, kneads the dough well, without any problems, the power is enough even for a fairly tough dough. The assembly is European, and you can also wash the attachments, bowl and stand in the dishwasher. So the mixer is super, worth the money.</v>
      </c>
    </row>
    <row r="13371" spans="1:9" x14ac:dyDescent="0.3">
      <c r="A13371" s="1" t="s">
        <v>17</v>
      </c>
      <c r="B13371" s="1" t="s">
        <v>18</v>
      </c>
      <c r="C13371" s="1" t="s">
        <v>63</v>
      </c>
      <c r="D13371" s="1" t="s">
        <v>152</v>
      </c>
      <c r="E13371" s="1" t="s">
        <v>2383</v>
      </c>
      <c r="F13371" s="1" t="s">
        <v>18648</v>
      </c>
      <c r="G13371" s="1" t="s">
        <v>36</v>
      </c>
      <c r="H13371" s="1" t="s">
        <v>29</v>
      </c>
      <c r="I13371" s="1" t="str">
        <f ca="1">IFERROR(__xludf.DUMMYFUNCTION("GOOGLETRANSLATE(F13371, ""auto"", ""en"")
"),"We bought it a month ago to replace the old ARDO (it worked for 9 years and the bearing broke). We spent a long time choosing and thinking about what to buy. The choice fell on BOSCH. We bought model 20162 (made in Germany). For a month of operation, ther"&amp;"e are no complaints or complaints about the operation of this unit. Indeed, it is quite quiet (especially in comparison with ARDO). Erases at 5 plus. The short wash program is really short and corresponds to the stated time (I didn’t specifically use a st"&amp;"opwatch, but the programs really and quickly wash). I bought it and don’t regret the choice.")</f>
        <v>We bought it a month ago to replace the old ARDO (it worked for 9 years and the bearing broke). We spent a long time choosing and thinking about what to buy. The choice fell on BOSCH. We bought model 20162 (made in Germany). For a month of operation, there are no complaints or complaints about the operation of this unit. Indeed, it is quite quiet (especially in comparison with ARDO). Erases at 5 plus. The short wash program is really short and corresponds to the stated time (I didn’t specifically use a stopwatch, but the programs really and quickly wash). I bought it and don’t regret the choice.</v>
      </c>
    </row>
    <row r="13372" spans="1:9" x14ac:dyDescent="0.3">
      <c r="A13372" s="1" t="s">
        <v>149</v>
      </c>
      <c r="B13372" s="1" t="s">
        <v>155</v>
      </c>
      <c r="C13372" s="1" t="s">
        <v>151</v>
      </c>
      <c r="D13372" s="1" t="s">
        <v>18649</v>
      </c>
      <c r="E13372" s="1" t="s">
        <v>566</v>
      </c>
      <c r="F13372" s="1" t="s">
        <v>18650</v>
      </c>
      <c r="G13372" s="1" t="s">
        <v>36</v>
      </c>
      <c r="H13372" s="1" t="s">
        <v>29</v>
      </c>
      <c r="I13372" s="1" t="str">
        <f ca="1">IFERROR(__xludf.DUMMYFUNCTION("GOOGLETRANSLATE(F13372, ""auto"", ""en"")
"),"It was purchased in the fall of 2009. After each use, you need to wash both the filter and the container, then there will be no loss of suction power during the next cleaning) the filter was dried on a battery. The engine was never washed (now it’s clear "&amp;"that it was in vain). No consumables, not even worth comparing with bagged vacuum cleaners. The price is affordable, I hope it will not increase in the future))) in the spring of 2014, the vacuum cleaner sparked and burned out) I think it has already serv"&amp;"ed its purpose. This vacuum cleaner is non-washing, so try not to let water get into it (watch carefully so that nothing spills on the floor), and if it does, turn it off and dry it. Overall, the vacuum cleaner is good, I’ll go buy the same one to replace"&amp;" the burnt one)")</f>
        <v>It was purchased in the fall of 2009. After each use, you need to wash both the filter and the container, then there will be no loss of suction power during the next cleaning) the filter was dried on a battery. The engine was never washed (now it’s clear that it was in vain). No consumables, not even worth comparing with bagged vacuum cleaners. The price is affordable, I hope it will not increase in the future))) in the spring of 2014, the vacuum cleaner sparked and burned out) I think it has already served its purpose. This vacuum cleaner is non-washing, so try not to let water get into it (watch carefully so that nothing spills on the floor), and if it does, turn it off and dry it. Overall, the vacuum cleaner is good, I’ll go buy the same one to replace the burnt one)</v>
      </c>
    </row>
    <row r="13373" spans="1:9" x14ac:dyDescent="0.3">
      <c r="A13373" s="1" t="s">
        <v>61</v>
      </c>
      <c r="B13373" s="1" t="s">
        <v>145</v>
      </c>
      <c r="C13373" s="1" t="s">
        <v>1981</v>
      </c>
      <c r="D13373" s="1" t="s">
        <v>52</v>
      </c>
      <c r="E13373" s="1" t="s">
        <v>1586</v>
      </c>
      <c r="F13373" s="1" t="s">
        <v>18651</v>
      </c>
      <c r="G13373" s="1" t="s">
        <v>28</v>
      </c>
      <c r="H13373" s="1" t="s">
        <v>29</v>
      </c>
      <c r="I13373" s="1" t="str">
        <f ca="1">IFERROR(__xludf.DUMMYFUNCTION("GOOGLETRANSLATE(F13373, ""auto"", ""en"")
"),"It will be useful for those who prepare fruits and vegetables. But not only that. Can be dried bread, meat, fish, etc. One drawback, it takes a very long time from 3 to 6 hours. But it dries well.  It is possible to place the tray either higher or lower. "&amp;"Millet and convenient. We've been using it for a year now - my mother-in-law is delighted.")</f>
        <v>It will be useful for those who prepare fruits and vegetables. But not only that. Can be dried bread, meat, fish, etc. One drawback, it takes a very long time from 3 to 6 hours. But it dries well.  It is possible to place the tray either higher or lower. Millet and convenient. We've been using it for a year now - my mother-in-law is delighted.</v>
      </c>
    </row>
    <row r="13374" spans="1:9" x14ac:dyDescent="0.3">
      <c r="A13374" s="1" t="s">
        <v>211</v>
      </c>
      <c r="B13374" s="1" t="s">
        <v>212</v>
      </c>
      <c r="C13374" s="1" t="s">
        <v>381</v>
      </c>
      <c r="D13374" s="1" t="s">
        <v>142</v>
      </c>
      <c r="E13374" s="1" t="s">
        <v>143</v>
      </c>
      <c r="F13374" s="1" t="s">
        <v>18652</v>
      </c>
      <c r="G13374" s="1" t="s">
        <v>36</v>
      </c>
      <c r="H13374" s="1" t="s">
        <v>29</v>
      </c>
      <c r="I13374" s="1" t="str">
        <f ca="1">IFERROR(__xludf.DUMMYFUNCTION("GOOGLETRANSLATE(F13374, ""auto"", ""en"")
"),"I don't agree with Tatyana. I have very long hair. I've been using it for over a year and I couldn't be happier! Simply a wonderful hairdryer - price:quality ratio. The only thing is that when you turn on the hot air at full power to dry your hair a littl"&amp;"e in 5-7 minutes, if you urgently need to run, it automatically turns off due to overheating (this happened 2 times during the entire period of use). BUT! You unplug it, wait a minute and it works again! I'm happy!")</f>
        <v>I don't agree with Tatyana. I have very long hair. I've been using it for over a year and I couldn't be happier! Simply a wonderful hairdryer - price:quality ratio. The only thing is that when you turn on the hot air at full power to dry your hair a little in 5-7 minutes, if you urgently need to run, it automatically turns off due to overheating (this happened 2 times during the entire period of use). BUT! You unplug it, wait a minute and it works again! I'm happy!</v>
      </c>
    </row>
    <row r="13375" spans="1:9" x14ac:dyDescent="0.3">
      <c r="A13375" s="1" t="s">
        <v>120</v>
      </c>
      <c r="B13375" s="1" t="s">
        <v>121</v>
      </c>
      <c r="C13375" s="1" t="s">
        <v>69</v>
      </c>
      <c r="D13375" s="1" t="s">
        <v>117</v>
      </c>
      <c r="E13375" s="1" t="s">
        <v>3954</v>
      </c>
      <c r="F13375" s="1" t="s">
        <v>18653</v>
      </c>
      <c r="G13375" s="1" t="s">
        <v>28</v>
      </c>
      <c r="H13375" s="1" t="s">
        <v>29</v>
      </c>
      <c r="I13375" s="1" t="str">
        <f ca="1">IFERROR(__xludf.DUMMYFUNCTION("GOOGLETRANSLATE(F13375, ""auto"", ""en"")
"),"My matrix does not fit tightly to the body, and if I shake the TV, you can see how the matrix dangles.")</f>
        <v>My matrix does not fit tightly to the body, and if I shake the TV, you can see how the matrix dangles.</v>
      </c>
    </row>
    <row r="13376" spans="1:9" x14ac:dyDescent="0.3">
      <c r="A13376" s="1" t="s">
        <v>9</v>
      </c>
      <c r="B13376" s="1" t="s">
        <v>137</v>
      </c>
      <c r="C13376" s="1" t="s">
        <v>63</v>
      </c>
      <c r="D13376" s="1" t="s">
        <v>411</v>
      </c>
      <c r="E13376" s="1" t="s">
        <v>1203</v>
      </c>
      <c r="F13376" s="1" t="s">
        <v>18654</v>
      </c>
      <c r="G13376" s="1" t="s">
        <v>36</v>
      </c>
      <c r="H13376" s="1" t="s">
        <v>29</v>
      </c>
      <c r="I13376" s="1" t="str">
        <f ca="1">IFERROR(__xludf.DUMMYFUNCTION("GOOGLETRANSLATE(F13376, ""auto"", ""en"")
"),"The surface is truly amazing! It cooks quickly, you turn it off and it cooks for a long time using the residual heat, which allows you to significantly save energy. I completely disagree with Igor’s review from Novosibirsk. At first I began to notice that"&amp;" the matte black coating of the panel seemed to be wearing off, but it turned out to be contamination from contact with metal utensils, and it was enough to clean it with soda or a special cleaning agent for such panels and they were like new again!!! I'm"&amp;" happy with the purchase.")</f>
        <v>The surface is truly amazing! It cooks quickly, you turn it off and it cooks for a long time using the residual heat, which allows you to significantly save energy. I completely disagree with Igor’s review from Novosibirsk. At first I began to notice that the matte black coating of the panel seemed to be wearing off, but it turned out to be contamination from contact with metal utensils, and it was enough to clean it with soda or a special cleaning agent for such panels and they were like new again!!! I'm happy with the purchase.</v>
      </c>
    </row>
    <row r="13377" spans="1:9" x14ac:dyDescent="0.3">
      <c r="A13377" s="1" t="s">
        <v>61</v>
      </c>
      <c r="B13377" s="1" t="s">
        <v>977</v>
      </c>
      <c r="C13377" s="1" t="s">
        <v>246</v>
      </c>
      <c r="D13377" s="1" t="s">
        <v>335</v>
      </c>
      <c r="E13377" s="1" t="s">
        <v>4245</v>
      </c>
      <c r="F13377" s="1" t="s">
        <v>18655</v>
      </c>
      <c r="G13377" s="1" t="s">
        <v>36</v>
      </c>
      <c r="H13377" s="1" t="s">
        <v>29</v>
      </c>
      <c r="I13377" s="1" t="str">
        <f ca="1">IFERROR(__xludf.DUMMYFUNCTION("GOOGLETRANSLATE(F13377, ""auto"", ""en"")
"),"I'm very pleased with this blender. I bought it for making puree for my son. The blender does an excellent job, and my son is happy with the purees!))")</f>
        <v>I'm very pleased with this blender. I bought it for making puree for my son. The blender does an excellent job, and my son is happy with the purees!))</v>
      </c>
    </row>
    <row r="13378" spans="1:9" x14ac:dyDescent="0.3">
      <c r="A13378" s="1" t="s">
        <v>55</v>
      </c>
      <c r="B13378" s="1" t="s">
        <v>56</v>
      </c>
      <c r="C13378" s="1" t="s">
        <v>159</v>
      </c>
      <c r="D13378" s="1" t="s">
        <v>1605</v>
      </c>
      <c r="E13378" s="1" t="s">
        <v>7566</v>
      </c>
      <c r="F13378" s="1" t="s">
        <v>18656</v>
      </c>
      <c r="G13378" s="1" t="s">
        <v>36</v>
      </c>
      <c r="H13378" s="1" t="s">
        <v>29</v>
      </c>
      <c r="I13378" s="1" t="str">
        <f ca="1">IFERROR(__xludf.DUMMYFUNCTION("GOOGLETRANSLATE(F13378, ""auto"", ""en"")
"),"This humidifier model is sold only in Europe under the Electrolux brand. In fact, this is a humidifier manufactured by Boneco/Air-o-swiss 7144. Accordingly, you should look for filters from Boneco/Air-o-swiss.")</f>
        <v>This humidifier model is sold only in Europe under the Electrolux brand. In fact, this is a humidifier manufactured by Boneco/Air-o-swiss 7144. Accordingly, you should look for filters from Boneco/Air-o-swiss.</v>
      </c>
    </row>
    <row r="13379" spans="1:9" x14ac:dyDescent="0.3">
      <c r="A13379" s="1" t="s">
        <v>61</v>
      </c>
      <c r="B13379" s="1" t="s">
        <v>318</v>
      </c>
      <c r="C13379" s="1" t="s">
        <v>4871</v>
      </c>
      <c r="D13379" s="1" t="s">
        <v>33</v>
      </c>
      <c r="E13379" s="1" t="s">
        <v>1474</v>
      </c>
      <c r="F13379" s="1" t="s">
        <v>18657</v>
      </c>
      <c r="G13379" s="1" t="s">
        <v>36</v>
      </c>
      <c r="H13379" s="1" t="s">
        <v>29</v>
      </c>
      <c r="I13379" s="1" t="str">
        <f ca="1">IFERROR(__xludf.DUMMYFUNCTION("GOOGLETRANSLATE(F13379, ""auto"", ""en"")
"),"This is my first experience with a thermopot, so there is nothing to compare with, but I have impressions of the very concept of a thermopot as an alternative to a regular kettle.  What’s convenient: there is always hot water, no need to pour, boil, or wa"&amp;"it.   What is inconvenient: 5 liters of this thermopot boils for 50 minutes according to the passport :) So if you need something hot and quickly, you will have to uncover the classic.  At the time of ordering, I was hesitant about which displacement to c"&amp;"hoose - 3 or 5 liters. There, you have to take 5 - for a family of 4 people this is barely enough for a day.  Perhaps the only negative of this particular model is its modest customization options. In particular, delayed heating can only last for 7 hours "&amp;"and that’s it. I would, of course, like to choose the time more flexibly.")</f>
        <v>This is my first experience with a thermopot, so there is nothing to compare with, but I have impressions of the very concept of a thermopot as an alternative to a regular kettle.  What’s convenient: there is always hot water, no need to pour, boil, or wait.   What is inconvenient: 5 liters of this thermopot boils for 50 minutes according to the passport :) So if you need something hot and quickly, you will have to uncover the classic.  At the time of ordering, I was hesitant about which displacement to choose - 3 or 5 liters. There, you have to take 5 - for a family of 4 people this is barely enough for a day.  Perhaps the only negative of this particular model is its modest customization options. In particular, delayed heating can only last for 7 hours and that’s it. I would, of course, like to choose the time more flexibly.</v>
      </c>
    </row>
    <row r="13380" spans="1:9" x14ac:dyDescent="0.3">
      <c r="A13380" s="1" t="s">
        <v>67</v>
      </c>
      <c r="B13380" s="1" t="s">
        <v>68</v>
      </c>
      <c r="C13380" s="1" t="s">
        <v>246</v>
      </c>
      <c r="D13380" s="1" t="s">
        <v>247</v>
      </c>
      <c r="E13380" s="1" t="s">
        <v>2887</v>
      </c>
      <c r="F13380" s="1" t="s">
        <v>18658</v>
      </c>
      <c r="G13380" s="1" t="s">
        <v>36</v>
      </c>
      <c r="H13380" s="1" t="s">
        <v>29</v>
      </c>
      <c r="I13380" s="1" t="str">
        <f ca="1">IFERROR(__xludf.DUMMYFUNCTION("GOOGLETRANSLATE(F13380, ""auto"", ""en"")
"),"We bought this steam generator yesterday, I was amazed - it really steams without unnecessary effort. I ironed the bed linen to celebrate. Let's see what happens next :) But there really is no turbo-steam, because this is the most powerful model... I don’"&amp;"t remember about the handle.")</f>
        <v>We bought this steam generator yesterday, I was amazed - it really steams without unnecessary effort. I ironed the bed linen to celebrate. Let's see what happens next :) But there really is no turbo-steam, because this is the most powerful model... I don’t remember about the handle.</v>
      </c>
    </row>
    <row r="13381" spans="1:9" x14ac:dyDescent="0.3">
      <c r="A13381" s="1" t="s">
        <v>43</v>
      </c>
      <c r="B13381" s="1" t="s">
        <v>502</v>
      </c>
      <c r="C13381" s="1" t="s">
        <v>138</v>
      </c>
      <c r="D13381" s="1" t="s">
        <v>18659</v>
      </c>
      <c r="E13381" s="1" t="s">
        <v>960</v>
      </c>
      <c r="F13381" s="1" t="s">
        <v>18660</v>
      </c>
      <c r="G13381" s="1" t="s">
        <v>28</v>
      </c>
      <c r="H13381" s="1" t="s">
        <v>29</v>
      </c>
      <c r="I13381" s="1" t="str">
        <f ca="1">IFERROR(__xludf.DUMMYFUNCTION("GOOGLETRANSLATE(F13381, ""auto"", ""en"")
"),"Works well immediately after installation, no complaints. For such a price it’s quite worthy, 2 years without problems.")</f>
        <v>Works well immediately after installation, no complaints. For such a price it’s quite worthy, 2 years without problems.</v>
      </c>
    </row>
    <row r="13382" spans="1:9" x14ac:dyDescent="0.3">
      <c r="A13382" s="1" t="s">
        <v>211</v>
      </c>
      <c r="B13382" s="1" t="s">
        <v>212</v>
      </c>
      <c r="C13382" s="1" t="s">
        <v>69</v>
      </c>
      <c r="D13382" s="1" t="s">
        <v>18661</v>
      </c>
      <c r="E13382" s="1" t="s">
        <v>2160</v>
      </c>
      <c r="F13382" s="1" t="s">
        <v>18662</v>
      </c>
      <c r="G13382" s="1" t="s">
        <v>36</v>
      </c>
      <c r="H13382" s="1" t="s">
        <v>29</v>
      </c>
      <c r="I13382" s="1" t="str">
        <f ca="1">IFERROR(__xludf.DUMMYFUNCTION("GOOGLETRANSLATE(F13382, ""auto"", ""en"")
"),"Wow... It’s true - there are so many people, so many opinions, and everyone’s hair is different! I have an older model of this hair dryer (2003) and I have always used it with pleasure, and this summer I bought a new model HP8651/00 and I am very pleased "&amp;"with it! The set contains many attachments that are not shown in the photo of the website, and in the store window there is only one attachment, I only found out that there are 5 of them at home. The attachments are excellent, it’s a pity I can’t attach a"&amp;" photo, they do curls and waves with a bang, they add volume, there’s also a flat iron")</f>
        <v>Wow... It’s true - there are so many people, so many opinions, and everyone’s hair is different! I have an older model of this hair dryer (2003) and I have always used it with pleasure, and this summer I bought a new model HP8651/00 and I am very pleased with it! The set contains many attachments that are not shown in the photo of the website, and in the store window there is only one attachment, I only found out that there are 5 of them at home. The attachments are excellent, it’s a pity I can’t attach a photo, they do curls and waves with a bang, they add volume, there’s also a flat iron</v>
      </c>
    </row>
    <row r="13383" spans="1:9" x14ac:dyDescent="0.3">
      <c r="A13383" s="1" t="s">
        <v>17</v>
      </c>
      <c r="B13383" s="1" t="s">
        <v>18</v>
      </c>
      <c r="C13383" s="1" t="s">
        <v>24</v>
      </c>
      <c r="D13383" s="1" t="s">
        <v>589</v>
      </c>
      <c r="E13383" s="1" t="s">
        <v>2518</v>
      </c>
      <c r="F13383" s="1" t="s">
        <v>18663</v>
      </c>
      <c r="G13383" s="1" t="s">
        <v>28</v>
      </c>
      <c r="H13383" s="1" t="s">
        <v>29</v>
      </c>
      <c r="I13383" s="1" t="str">
        <f ca="1">IFERROR(__xludf.DUMMYFUNCTION("GOOGLETRANSLATE(F13383, ""auto"", ""en"")
"),"I bought this machine a month ago, took a long time to choose, good value for money.  There are all washing programs, you can change the speed manually, easy ironing, eco mode, 30 min program for refreshing lightly soiled items. Even with a small load of "&amp;"laundry, I didn’t notice that it was very noisy or jumping during the spin cycle. (I have a machine in the bathroom), an electronic display is also important, you can always see the washing time, how much is left.. or set the delayed wash for a maximum of"&amp;" 24 hours. There have been no breakdowns yet.")</f>
        <v>I bought this machine a month ago, took a long time to choose, good value for money.  There are all washing programs, you can change the speed manually, easy ironing, eco mode, 30 min program for refreshing lightly soiled items. Even with a small load of laundry, I didn’t notice that it was very noisy or jumping during the spin cycle. (I have a machine in the bathroom), an electronic display is also important, you can always see the washing time, how much is left.. or set the delayed wash for a maximum of 24 hours. There have been no breakdowns yet.</v>
      </c>
    </row>
    <row r="13384" spans="1:9" x14ac:dyDescent="0.3">
      <c r="A13384" s="1" t="s">
        <v>61</v>
      </c>
      <c r="B13384" s="1" t="s">
        <v>145</v>
      </c>
      <c r="C13384" s="1" t="s">
        <v>246</v>
      </c>
      <c r="D13384" s="1" t="s">
        <v>18664</v>
      </c>
      <c r="E13384" s="1" t="s">
        <v>2265</v>
      </c>
      <c r="F13384" s="1" t="s">
        <v>18665</v>
      </c>
      <c r="G13384" s="1" t="s">
        <v>36</v>
      </c>
      <c r="H13384" s="1" t="s">
        <v>29</v>
      </c>
      <c r="I13384" s="1" t="str">
        <f ca="1">IFERROR(__xludf.DUMMYFUNCTION("GOOGLETRANSLATE(F13384, ""auto"", ""en"")
"),"HELLO everyone))) This deep fryer is super! simply a FABULOUS INVENTION! If I hadn’t cooked French fries in it myself, I would never have believed that it was possible to cook anything with anything at all without adding oil. I'm telling you honestly! I p"&amp;"ut in the potatoes, seasoned with salt and pepper, set the timer for 20 minutes and that’s it! I read that oil is added as desired, but there is no need for it. That's what I did and the potatoes turned out great and delicious! As they showed us in the pi"&amp;"cture, you can cook meat and fish in it, as well as dessert dishes (recipes are included), but I haven’t tried it yet, since I only purchased it today. I want to share my delight and joy with those who are still thinking: should I take it? or not to take "&amp;"it? don't doubt it! An ordinary deep fryer requires more than one liter of oil, and the taste is disgusting, everything is soaked and greasy. And here, I don’t know what to call it good?!, but this is not a deep fryer, but a miracle oven))))) Take it and "&amp;"see for yourself!")</f>
        <v>HELLO everyone))) This deep fryer is super! simply a FABULOUS INVENTION! If I hadn’t cooked French fries in it myself, I would never have believed that it was possible to cook anything with anything at all without adding oil. I'm telling you honestly! I put in the potatoes, seasoned with salt and pepper, set the timer for 20 minutes and that’s it! I read that oil is added as desired, but there is no need for it. That's what I did and the potatoes turned out great and delicious! As they showed us in the picture, you can cook meat and fish in it, as well as dessert dishes (recipes are included), but I haven’t tried it yet, since I only purchased it today. I want to share my delight and joy with those who are still thinking: should I take it? or not to take it? don't doubt it! An ordinary deep fryer requires more than one liter of oil, and the taste is disgusting, everything is soaked and greasy. And here, I don’t know what to call it good?!, but this is not a deep fryer, but a miracle oven))))) Take it and see for yourself!</v>
      </c>
    </row>
    <row r="13385" spans="1:9" x14ac:dyDescent="0.3">
      <c r="A13385" s="1" t="s">
        <v>61</v>
      </c>
      <c r="B13385" s="1" t="s">
        <v>318</v>
      </c>
      <c r="C13385" s="1" t="s">
        <v>2840</v>
      </c>
      <c r="D13385" s="1" t="s">
        <v>308</v>
      </c>
      <c r="E13385" s="1" t="s">
        <v>1487</v>
      </c>
      <c r="F13385" s="1" t="s">
        <v>18666</v>
      </c>
      <c r="G13385" s="1" t="s">
        <v>49</v>
      </c>
      <c r="H13385" s="1" t="s">
        <v>16</v>
      </c>
      <c r="I13385" s="1" t="str">
        <f ca="1">IFERROR(__xludf.DUMMYFUNCTION("GOOGLETRANSLATE(F13385, ""auto"", ""en"")
"),"In less than a year of operation, the glass cracked, the kettle began to leak heavily")</f>
        <v>In less than a year of operation, the glass cracked, the kettle began to leak heavily</v>
      </c>
    </row>
    <row r="13386" spans="1:9" x14ac:dyDescent="0.3">
      <c r="A13386" s="1" t="s">
        <v>206</v>
      </c>
      <c r="B13386" s="1" t="s">
        <v>2026</v>
      </c>
      <c r="C13386" s="1" t="s">
        <v>2425</v>
      </c>
      <c r="D13386" s="1" t="s">
        <v>18667</v>
      </c>
      <c r="E13386" s="1" t="s">
        <v>3504</v>
      </c>
      <c r="F13386" s="1" t="s">
        <v>18668</v>
      </c>
      <c r="G13386" s="1" t="s">
        <v>36</v>
      </c>
      <c r="H13386" s="1" t="s">
        <v>29</v>
      </c>
      <c r="I13386" s="1" t="str">
        <f ca="1">IFERROR(__xludf.DUMMYFUNCTION("GOOGLETRANSLATE(F13386, ""auto"", ""en"")
"),"Simple, lightweight, budget-friendly, works both from a regular network and from a cigarette lighter. It catches programs well. The menu is Russified.")</f>
        <v>Simple, lightweight, budget-friendly, works both from a regular network and from a cigarette lighter. It catches programs well. The menu is Russified.</v>
      </c>
    </row>
    <row r="13387" spans="1:9" x14ac:dyDescent="0.3">
      <c r="A13387" s="1" t="s">
        <v>30</v>
      </c>
      <c r="B13387" s="1" t="s">
        <v>50</v>
      </c>
      <c r="C13387" s="1" t="s">
        <v>32</v>
      </c>
      <c r="D13387" s="1" t="s">
        <v>39</v>
      </c>
      <c r="E13387" s="1" t="s">
        <v>1899</v>
      </c>
      <c r="F13387" s="1" t="s">
        <v>18669</v>
      </c>
      <c r="G13387" s="1" t="s">
        <v>36</v>
      </c>
      <c r="H13387" s="1" t="s">
        <v>29</v>
      </c>
      <c r="I13387" s="1" t="str">
        <f ca="1">IFERROR(__xludf.DUMMYFUNCTION("GOOGLETRANSLATE(F13387, ""auto"", ""en"")
"),"Tiger, on the Acer AS 8943G-728G1.28TWi Blu-Ray drive, a new touchpad model and no keyboard backlight.  Well, the design is, of course, different.")</f>
        <v>Tiger, on the Acer AS 8943G-728G1.28TWi Blu-Ray drive, a new touchpad model and no keyboard backlight.  Well, the design is, of course, different.</v>
      </c>
    </row>
    <row r="13388" spans="1:9" x14ac:dyDescent="0.3">
      <c r="A13388" s="1" t="s">
        <v>30</v>
      </c>
      <c r="B13388" s="1" t="s">
        <v>50</v>
      </c>
      <c r="C13388" s="1" t="s">
        <v>32</v>
      </c>
      <c r="D13388" s="1" t="s">
        <v>18670</v>
      </c>
      <c r="E13388" s="1" t="s">
        <v>646</v>
      </c>
      <c r="F13388" s="1" t="s">
        <v>18671</v>
      </c>
      <c r="G13388" s="1" t="s">
        <v>36</v>
      </c>
      <c r="H13388" s="1" t="s">
        <v>29</v>
      </c>
      <c r="I13388" s="1" t="str">
        <f ca="1">IFERROR(__xludf.DUMMYFUNCTION("GOOGLETRANSLATE(F13388, ""auto"", ""en"")
"),"Everything is fine with my DVD-rom, it doesn’t hang or break. When loading, it buzzes as if there is a disk there. I think this is normal.    Only now a question arose, it is indicated that the disk is 320 GB, mine is divided into two and shows each 140 G"&amp;"B. Where are the other 60GB?")</f>
        <v>Everything is fine with my DVD-rom, it doesn’t hang or break. When loading, it buzzes as if there is a disk there. I think this is normal.    Only now a question arose, it is indicated that the disk is 320 GB, mine is divided into two and shows each 140 GB. Where are the other 60GB?</v>
      </c>
    </row>
    <row r="13389" spans="1:9" x14ac:dyDescent="0.3">
      <c r="A13389" s="1" t="s">
        <v>30</v>
      </c>
      <c r="B13389" s="1" t="s">
        <v>50</v>
      </c>
      <c r="C13389" s="1" t="s">
        <v>32</v>
      </c>
      <c r="D13389" s="1" t="s">
        <v>335</v>
      </c>
      <c r="E13389" s="1" t="s">
        <v>3169</v>
      </c>
      <c r="F13389" s="1" t="s">
        <v>18672</v>
      </c>
      <c r="G13389" s="1" t="s">
        <v>36</v>
      </c>
      <c r="H13389" s="1" t="s">
        <v>29</v>
      </c>
      <c r="I13389" s="1" t="str">
        <f ca="1">IFERROR(__xludf.DUMMYFUNCTION("GOOGLETRANSLATE(F13389, ""auto"", ""en"")
"),"People, what the dispute is about is generally unclear! wonderful car!  who has problems with xp on it and with video editors - straighten your arms!!!! The car has 7 and there are no problems with it at all! My laptop is already 8 months old and during t"&amp;"his time there have never been any problems with the OS! nimble and stable! There aren’t even any blue screens!  learn to use laptops if everything is bad for you!  yes.no web camera. BUT! Now there is a huge selection of this thing. You can buy a wonderf"&amp;"ul separate webcam with excellent quality.  USB is not enough. yes. this is a minus. but they are still enough to get the job done!    about the fact that the machine is weak... I don’t know what requirements anyone sets for “strong” machines, but almost "&amp;"all modern games play great on this laptop, including Mafia 2, battlefield bad company.    A laptop is not a super machine, but a compact device that has enormous potential.    The built-in antivirus is not very good. Yes.     but these problems are easil"&amp;"y solved! and do not in any way affect the quality of the laptop itself!    the price is great!  the quality is wonderful!")</f>
        <v>People, what the dispute is about is generally unclear! wonderful car!  who has problems with xp on it and with video editors - straighten your arms!!!! The car has 7 and there are no problems with it at all! My laptop is already 8 months old and during this time there have never been any problems with the OS! nimble and stable! There aren’t even any blue screens!  learn to use laptops if everything is bad for you!  yes.no web camera. BUT! Now there is a huge selection of this thing. You can buy a wonderful separate webcam with excellent quality.  USB is not enough. yes. this is a minus. but they are still enough to get the job done!    about the fact that the machine is weak... I don’t know what requirements anyone sets for “strong” machines, but almost all modern games play great on this laptop, including Mafia 2, battlefield bad company.    A laptop is not a super machine, but a compact device that has enormous potential.    The built-in antivirus is not very good. Yes.     but these problems are easily solved! and do not in any way affect the quality of the laptop itself!    the price is great!  the quality is wonderful!</v>
      </c>
    </row>
    <row r="13390" spans="1:9" x14ac:dyDescent="0.3">
      <c r="A13390" s="1" t="s">
        <v>61</v>
      </c>
      <c r="B13390" s="1" t="s">
        <v>224</v>
      </c>
      <c r="C13390" s="1" t="s">
        <v>85</v>
      </c>
      <c r="D13390" s="1" t="s">
        <v>295</v>
      </c>
      <c r="E13390" s="1" t="s">
        <v>9654</v>
      </c>
      <c r="F13390" s="1" t="s">
        <v>18673</v>
      </c>
      <c r="G13390" s="1" t="s">
        <v>36</v>
      </c>
      <c r="H13390" s="1" t="s">
        <v>29</v>
      </c>
      <c r="I13390" s="1" t="str">
        <f ca="1">IFERROR(__xludf.DUMMYFUNCTION("GOOGLETRANSLATE(F13390, ""auto"", ""en"")
"),"The juicer produces juice very well. I didn't expect such a result when I bought it. It resembles the juicers that were made in the USSR in terms of the speed of juice preparation. With its help you can really stock up on juice for the winter! Washing it "&amp;"is quick and easy. The cake is dry. The only drawback was that when we brought the juicer from the store and opened the box, we did not find a juice jug included. I had to go to the store the next day and exchange it for a new one. But this is not a drawb"&amp;"ack of the manufacturer, but of the store selling \""M-Video\"", since it was clear that someone simply took the glass of juice out of the box.")</f>
        <v>The juicer produces juice very well. I didn't expect such a result when I bought it. It resembles the juicers that were made in the USSR in terms of the speed of juice preparation. With its help you can really stock up on juice for the winter! Washing it is quick and easy. The cake is dry. The only drawback was that when we brought the juicer from the store and opened the box, we did not find a juice jug included. I had to go to the store the next day and exchange it for a new one. But this is not a drawback of the manufacturer, but of the store selling \"M-Video\", since it was clear that someone simply took the glass of juice out of the box.</v>
      </c>
    </row>
    <row r="13391" spans="1:9" x14ac:dyDescent="0.3">
      <c r="A13391" s="1" t="s">
        <v>624</v>
      </c>
      <c r="B13391" s="1" t="s">
        <v>2107</v>
      </c>
      <c r="C13391" s="1" t="s">
        <v>479</v>
      </c>
      <c r="D13391" s="1" t="s">
        <v>18674</v>
      </c>
      <c r="E13391" s="1" t="s">
        <v>421</v>
      </c>
      <c r="F13391" s="1" t="s">
        <v>18675</v>
      </c>
      <c r="G13391" s="1" t="s">
        <v>36</v>
      </c>
      <c r="H13391" s="1" t="s">
        <v>29</v>
      </c>
      <c r="I13391" s="1" t="str">
        <f ca="1">IFERROR(__xludf.DUMMYFUNCTION("GOOGLETRANSLATE(F13391, ""auto"", ""en"")
"),"Great game, the graphics were technologically outdated at the time of release, but the game still turned out very good. An interesting storyline, a gloomy and frightening atmosphere, the play of light and shadow is simply gorgeous. The engine is very remi"&amp;"niscent of Max Payne, they just polished it properly... And in the game you also need to collect 500 thermoses, good luck!")</f>
        <v>Great game, the graphics were technologically outdated at the time of release, but the game still turned out very good. An interesting storyline, a gloomy and frightening atmosphere, the play of light and shadow is simply gorgeous. The engine is very reminiscent of Max Payne, they just polished it properly... And in the game you also need to collect 500 thermoses, good luck!</v>
      </c>
    </row>
    <row r="13392" spans="1:9" x14ac:dyDescent="0.3">
      <c r="A13392" s="1" t="s">
        <v>30</v>
      </c>
      <c r="B13392" s="1" t="s">
        <v>50</v>
      </c>
      <c r="C13392" s="1" t="s">
        <v>32</v>
      </c>
      <c r="D13392" s="1" t="s">
        <v>18676</v>
      </c>
      <c r="E13392" s="1" t="s">
        <v>646</v>
      </c>
      <c r="F13392" s="1" t="s">
        <v>18677</v>
      </c>
      <c r="G13392" s="1" t="s">
        <v>36</v>
      </c>
      <c r="H13392" s="1" t="s">
        <v>29</v>
      </c>
      <c r="I13392" s="1" t="str">
        <f ca="1">IFERROR(__xludf.DUMMYFUNCTION("GOOGLETRANSLATE(F13392, ""auto"", ""en"")
"),"I bought this machine for myself!) Great thing, everything suits me, everything is super!!! I recommend it to everyone!!!")</f>
        <v>I bought this machine for myself!) Great thing, everything suits me, everything is super!!! I recommend it to everyone!!!</v>
      </c>
    </row>
    <row r="13393" spans="1:9" x14ac:dyDescent="0.3">
      <c r="A13393" s="1" t="s">
        <v>61</v>
      </c>
      <c r="B13393" s="1" t="s">
        <v>318</v>
      </c>
      <c r="C13393" s="1" t="s">
        <v>57</v>
      </c>
      <c r="D13393" s="1" t="s">
        <v>18678</v>
      </c>
      <c r="E13393" s="1" t="s">
        <v>6357</v>
      </c>
      <c r="F13393" s="1" t="s">
        <v>18679</v>
      </c>
      <c r="G13393" s="1" t="s">
        <v>36</v>
      </c>
      <c r="H13393" s="1" t="s">
        <v>29</v>
      </c>
      <c r="I13393" s="1" t="str">
        <f ca="1">IFERROR(__xludf.DUMMYFUNCTION("GOOGLETRANSLATE(F13393, ""auto"", ""en"")
"),"Unlike other similar ones, it is protected against being turned on without water, and automatically turns off when it boils.")</f>
        <v>Unlike other similar ones, it is protected against being turned on without water, and automatically turns off when it boils.</v>
      </c>
    </row>
    <row r="13394" spans="1:9" x14ac:dyDescent="0.3">
      <c r="A13394" s="1" t="s">
        <v>61</v>
      </c>
      <c r="B13394" s="1" t="s">
        <v>318</v>
      </c>
      <c r="C13394" s="1" t="s">
        <v>213</v>
      </c>
      <c r="D13394" s="1" t="s">
        <v>295</v>
      </c>
      <c r="E13394" s="1" t="s">
        <v>3458</v>
      </c>
      <c r="F13394" s="1" t="s">
        <v>18680</v>
      </c>
      <c r="G13394" s="1" t="s">
        <v>49</v>
      </c>
      <c r="H13394" s="1" t="s">
        <v>16</v>
      </c>
      <c r="I13394" s="1" t="str">
        <f ca="1">IFERROR(__xludf.DUMMYFUNCTION("GOOGLETRANSLATE(F13394, ""auto"", ""en"")
"),"Stylish, looks good")</f>
        <v>Stylish, looks good</v>
      </c>
    </row>
    <row r="13395" spans="1:9" x14ac:dyDescent="0.3">
      <c r="A13395" s="1" t="s">
        <v>61</v>
      </c>
      <c r="B13395" s="1" t="s">
        <v>318</v>
      </c>
      <c r="C13395" s="1" t="s">
        <v>69</v>
      </c>
      <c r="D13395" s="1" t="s">
        <v>240</v>
      </c>
      <c r="E13395" s="1" t="s">
        <v>11942</v>
      </c>
      <c r="F13395" s="1" t="s">
        <v>18681</v>
      </c>
      <c r="G13395" s="1" t="s">
        <v>36</v>
      </c>
      <c r="H13395" s="1" t="s">
        <v>29</v>
      </c>
      <c r="I13395" s="1" t="str">
        <f ca="1">IFERROR(__xludf.DUMMYFUNCTION("GOOGLETRANSLATE(F13395, ""auto"", ""en"")
"),"The kettle is excellent! Very nice, works flawlessly, doesn’t smell like “plastic” like many other kettles.")</f>
        <v>The kettle is excellent! Very nice, works flawlessly, doesn’t smell like “plastic” like many other kettles.</v>
      </c>
    </row>
    <row r="13396" spans="1:9" x14ac:dyDescent="0.3">
      <c r="A13396" s="1" t="s">
        <v>169</v>
      </c>
      <c r="B13396" s="1" t="s">
        <v>170</v>
      </c>
      <c r="C13396" s="1" t="s">
        <v>122</v>
      </c>
      <c r="D13396" s="1" t="s">
        <v>39</v>
      </c>
      <c r="E13396" s="1" t="s">
        <v>4984</v>
      </c>
      <c r="F13396" s="1" t="s">
        <v>18682</v>
      </c>
      <c r="G13396" s="1" t="s">
        <v>28</v>
      </c>
      <c r="H13396" s="1" t="s">
        <v>29</v>
      </c>
      <c r="I13396" s="1" t="str">
        <f ca="1">IFERROR(__xludf.DUMMYFUNCTION("GOOGLETRANSLATE(F13396, ""auto"", ""en"")
"),"Normal headphones. Made with high quality. Quite loud. Comfortable for my ears. But the bass is not enough (in comparison, for example, with the native SonyEricsson W580i). I listen to Samsung YP-U2.")</f>
        <v>Normal headphones. Made with high quality. Quite loud. Comfortable for my ears. But the bass is not enough (in comparison, for example, with the native SonyEricsson W580i). I listen to Samsung YP-U2.</v>
      </c>
    </row>
    <row r="13397" spans="1:9" x14ac:dyDescent="0.3">
      <c r="A13397" s="1" t="s">
        <v>37</v>
      </c>
      <c r="B13397" s="1" t="s">
        <v>1829</v>
      </c>
      <c r="C13397" s="1" t="s">
        <v>151</v>
      </c>
      <c r="D13397" s="1" t="s">
        <v>6172</v>
      </c>
      <c r="E13397" s="1" t="s">
        <v>8865</v>
      </c>
      <c r="F13397" s="1" t="s">
        <v>18683</v>
      </c>
      <c r="G13397" s="1" t="s">
        <v>36</v>
      </c>
      <c r="H13397" s="1" t="s">
        <v>29</v>
      </c>
      <c r="I13397" s="1" t="str">
        <f ca="1">IFERROR(__xludf.DUMMYFUNCTION("GOOGLETRANSLATE(F13397, ""auto"", ""en"")
"),"Power, camera, battery!")</f>
        <v>Power, camera, battery!</v>
      </c>
    </row>
    <row r="13398" spans="1:9" x14ac:dyDescent="0.3">
      <c r="A13398" s="1" t="s">
        <v>30</v>
      </c>
      <c r="B13398" s="1" t="s">
        <v>50</v>
      </c>
      <c r="C13398" s="1" t="s">
        <v>151</v>
      </c>
      <c r="D13398" s="1" t="s">
        <v>33</v>
      </c>
      <c r="E13398" s="1" t="s">
        <v>1646</v>
      </c>
      <c r="F13398" s="1" t="s">
        <v>18684</v>
      </c>
      <c r="G13398" s="1" t="s">
        <v>36</v>
      </c>
      <c r="H13398" s="1" t="s">
        <v>29</v>
      </c>
      <c r="I13398" s="1" t="str">
        <f ca="1">IFERROR(__xludf.DUMMYFUNCTION("GOOGLETRANSLATE(F13398, ""auto"", ""en"")
"),"The Samsung NP-R519-XA02RU laptop looks more expensive than it costs thanks to its classic design, 15.6"" widescreen (it is noticeably wider than other budget laptops) and a magnetic holder. The hardware is decent - for the price of a Celeron - a Pentium "&amp;"dual core, 2 GB of memory is enough. The pre-installed Vista works quite quickly, office and antivirus - for 60 days from Samsung. Wi-Fi works and connects. A small drawback, perhaps of a specific sample, a rattling keyboard. In general, for 16,990 it’s a"&amp;"n ideal laptop.")</f>
        <v>The Samsung NP-R519-XA02RU laptop looks more expensive than it costs thanks to its classic design, 15.6" widescreen (it is noticeably wider than other budget laptops) and a magnetic holder. The hardware is decent - for the price of a Celeron - a Pentium dual core, 2 GB of memory is enough. The pre-installed Vista works quite quickly, office and antivirus - for 60 days from Samsung. Wi-Fi works and connects. A small drawback, perhaps of a specific sample, a rattling keyboard. In general, for 16,990 it’s an ideal laptop.</v>
      </c>
    </row>
    <row r="13399" spans="1:9" x14ac:dyDescent="0.3">
      <c r="A13399" s="1" t="s">
        <v>624</v>
      </c>
      <c r="B13399" s="1" t="s">
        <v>6461</v>
      </c>
      <c r="C13399" s="1" t="s">
        <v>479</v>
      </c>
      <c r="D13399" s="1" t="s">
        <v>75</v>
      </c>
      <c r="E13399" s="1" t="s">
        <v>182</v>
      </c>
      <c r="F13399" s="1" t="s">
        <v>18685</v>
      </c>
      <c r="G13399" s="1" t="s">
        <v>36</v>
      </c>
      <c r="H13399" s="1" t="s">
        <v>29</v>
      </c>
      <c r="I13399" s="1" t="str">
        <f ca="1">IFERROR(__xludf.DUMMYFUNCTION("GOOGLETRANSLATE(F13399, ""auto"", ""en"")
"),"I bought it for my five year old son, we play together with pleasure! Excellent bright graphics, varied levels and the ability to play together made me very happy. And what’s also important for a child is that the game is completely Russified and is perio"&amp;"dically accompanied by short cartoons to get to know the characters better.")</f>
        <v>I bought it for my five year old son, we play together with pleasure! Excellent bright graphics, varied levels and the ability to play together made me very happy. And what’s also important for a child is that the game is completely Russified and is periodically accompanied by short cartoons to get to know the characters better.</v>
      </c>
    </row>
    <row r="13400" spans="1:9" x14ac:dyDescent="0.3">
      <c r="A13400" s="1" t="s">
        <v>61</v>
      </c>
      <c r="B13400" s="1" t="s">
        <v>73</v>
      </c>
      <c r="C13400" s="1" t="s">
        <v>74</v>
      </c>
      <c r="D13400" s="1" t="s">
        <v>12</v>
      </c>
      <c r="E13400" s="1" t="s">
        <v>386</v>
      </c>
      <c r="F13400" s="1" t="s">
        <v>18686</v>
      </c>
      <c r="G13400" s="1" t="s">
        <v>15</v>
      </c>
      <c r="H13400" s="1" t="s">
        <v>16</v>
      </c>
      <c r="I13400" s="1" t="str">
        <f ca="1">IFERROR(__xludf.DUMMYFUNCTION("GOOGLETRANSLATE(F13400, ""auto"", ""en"")
"),"We tried the attachments, we shouldn’t use them, when shredding cabbage, the hole gets clogged, everything flies in different directions, it doesn’t pick up tomatoes at all, the knives are dull, I don’t even have any desire to try using a meat grinder. It"&amp;"'s better not to take it.")</f>
        <v>We tried the attachments, we shouldn’t use them, when shredding cabbage, the hole gets clogged, everything flies in different directions, it doesn’t pick up tomatoes at all, the knives are dull, I don’t even have any desire to try using a meat grinder. It's better not to take it.</v>
      </c>
    </row>
    <row r="13401" spans="1:9" x14ac:dyDescent="0.3">
      <c r="A13401" s="1" t="s">
        <v>211</v>
      </c>
      <c r="B13401" s="1" t="s">
        <v>212</v>
      </c>
      <c r="C13401" s="1" t="s">
        <v>294</v>
      </c>
      <c r="D13401" s="1" t="s">
        <v>295</v>
      </c>
      <c r="E13401" s="1" t="s">
        <v>2305</v>
      </c>
      <c r="F13401" s="1" t="s">
        <v>18687</v>
      </c>
      <c r="G13401" s="1" t="s">
        <v>36</v>
      </c>
      <c r="H13401" s="1" t="s">
        <v>29</v>
      </c>
      <c r="I13401" s="1" t="str">
        <f ca="1">IFERROR(__xludf.DUMMYFUNCTION("GOOGLETRANSLATE(F13401, ""auto"", ""en"")
"),"Very good hair straightener. Heats up quickly. Perfectly straightens even unruly, coarse hair, does not dry out or burn. But it cools down slowly and the effect of ionization is not noticeable.")</f>
        <v>Very good hair straightener. Heats up quickly. Perfectly straightens even unruly, coarse hair, does not dry out or burn. But it cools down slowly and the effect of ionization is not noticeable.</v>
      </c>
    </row>
    <row r="13402" spans="1:9" x14ac:dyDescent="0.3">
      <c r="A13402" s="1" t="s">
        <v>67</v>
      </c>
      <c r="B13402" s="1" t="s">
        <v>340</v>
      </c>
      <c r="C13402" s="1" t="s">
        <v>341</v>
      </c>
      <c r="D13402" s="1" t="s">
        <v>565</v>
      </c>
      <c r="E13402" s="1" t="s">
        <v>13907</v>
      </c>
      <c r="F13402" s="1" t="s">
        <v>18688</v>
      </c>
      <c r="G13402" s="1" t="s">
        <v>36</v>
      </c>
      <c r="H13402" s="1" t="s">
        <v>29</v>
      </c>
      <c r="I13402" s="1" t="str">
        <f ca="1">IFERROR(__xludf.DUMMYFUNCTION("GOOGLETRANSLATE(F13402, ""auto"", ""en"")
"),"I have been actively sewing on it for a year. Sewing any fabric, both thin and thick. When you sew for a very long time, there is a slight smell of grease. She is not capricious, very flexible. The only inconvenience is sewing with thread in large bobbins"&amp;"; the thread holder is not stable and the bobbin clings to the bobbin when winding thread on it.")</f>
        <v>I have been actively sewing on it for a year. Sewing any fabric, both thin and thick. When you sew for a very long time, there is a slight smell of grease. She is not capricious, very flexible. The only inconvenience is sewing with thread in large bobbins; the thread holder is not stable and the bobbin clings to the bobbin when winding thread on it.</v>
      </c>
    </row>
    <row r="13403" spans="1:9" x14ac:dyDescent="0.3">
      <c r="A13403" s="1" t="s">
        <v>9</v>
      </c>
      <c r="B13403" s="1" t="s">
        <v>137</v>
      </c>
      <c r="C13403" s="1" t="s">
        <v>24</v>
      </c>
      <c r="D13403" s="1" t="s">
        <v>568</v>
      </c>
      <c r="E13403" s="1" t="s">
        <v>1950</v>
      </c>
      <c r="F13403" s="1" t="s">
        <v>18689</v>
      </c>
      <c r="G13403" s="1" t="s">
        <v>15</v>
      </c>
      <c r="H13403" s="1" t="s">
        <v>16</v>
      </c>
      <c r="I13403" s="1" t="str">
        <f ca="1">IFERROR(__xludf.DUMMYFUNCTION("GOOGLETRANSLATE(F13403, ""auto"", ""en"")
"),"disgusting panel. The burners are turned off. 5 years of operation - 1 burner and additional zones on the other 2 work. The coating is erased and scratched (I wrote to the manufacturer and manufacturer of the cleaning product, the manufacturer of the prod"&amp;"uct sent a quality certificate, and Electrolux sent it).")</f>
        <v>disgusting panel. The burners are turned off. 5 years of operation - 1 burner and additional zones on the other 2 work. The coating is erased and scratched (I wrote to the manufacturer and manufacturer of the cleaning product, the manufacturer of the product sent a quality certificate, and Electrolux sent it).</v>
      </c>
    </row>
    <row r="13404" spans="1:9" x14ac:dyDescent="0.3">
      <c r="A13404" s="1" t="s">
        <v>373</v>
      </c>
      <c r="B13404" s="1" t="s">
        <v>374</v>
      </c>
      <c r="C13404" s="1" t="s">
        <v>159</v>
      </c>
      <c r="D13404" s="1" t="s">
        <v>52</v>
      </c>
      <c r="E13404" s="1" t="s">
        <v>1263</v>
      </c>
      <c r="F13404" s="1" t="s">
        <v>18690</v>
      </c>
      <c r="G13404" s="1" t="s">
        <v>28</v>
      </c>
      <c r="H13404" s="1" t="s">
        <v>29</v>
      </c>
      <c r="I13404" s="1" t="str">
        <f ca="1">IFERROR(__xludf.DUMMYFUNCTION("GOOGLETRANSLATE(F13404, ""auto"", ""en"")
"),"This machine washes stainless steel pots wonderfully, but from the room behind the wall I can’t hear it at all.    The only drawback of the narrow machine is that the baking sheet does not fit out of the oven, the only thing is that I wash it by hand now."&amp;"    And by the way, it’s not at all annoying to pre-soak a dry pan in hot water for half an hour :) They flushed it into the toilet and into the washing machine.    I tried a bunch of detergents for it, FORSAGE 10 functions is ideal.")</f>
        <v>This machine washes stainless steel pots wonderfully, but from the room behind the wall I can’t hear it at all.    The only drawback of the narrow machine is that the baking sheet does not fit out of the oven, the only thing is that I wash it by hand now.    And by the way, it’s not at all annoying to pre-soak a dry pan in hot water for half an hour :) They flushed it into the toilet and into the washing machine.    I tried a bunch of detergents for it, FORSAGE 10 functions is ideal.</v>
      </c>
    </row>
    <row r="13405" spans="1:9" x14ac:dyDescent="0.3">
      <c r="A13405" s="1" t="s">
        <v>61</v>
      </c>
      <c r="B13405" s="1" t="s">
        <v>1727</v>
      </c>
      <c r="C13405" s="1" t="s">
        <v>122</v>
      </c>
      <c r="D13405" s="1" t="s">
        <v>247</v>
      </c>
      <c r="E13405" s="1" t="s">
        <v>1212</v>
      </c>
      <c r="F13405" s="1" t="s">
        <v>18691</v>
      </c>
      <c r="G13405" s="1" t="s">
        <v>36</v>
      </c>
      <c r="H13405" s="1" t="s">
        <v>29</v>
      </c>
      <c r="I13405" s="1" t="str">
        <f ca="1">IFERROR(__xludf.DUMMYFUNCTION("GOOGLETRANSLATE(F13405, ""auto"", ""en"")
"),"I've been using it for 2 years! My assistant. During this time I had no complaints about anything - everything was just great! I bake bread, cakes - everything is delicious! About extinguishing - turned it on and forgot... went on business - came - everyt"&amp;"hing is ready! The milk porridge is very tasty, the main thing is that nothing burns! Take it - you won't regret it!")</f>
        <v>I've been using it for 2 years! My assistant. During this time I had no complaints about anything - everything was just great! I bake bread, cakes - everything is delicious! About extinguishing - turned it on and forgot... went on business - came - everything is ready! The milk porridge is very tasty, the main thing is that nothing burns! Take it - you won't regret it!</v>
      </c>
    </row>
    <row r="13406" spans="1:9" x14ac:dyDescent="0.3">
      <c r="A13406" s="1" t="s">
        <v>169</v>
      </c>
      <c r="B13406" s="1" t="s">
        <v>170</v>
      </c>
      <c r="C13406" s="1" t="s">
        <v>122</v>
      </c>
      <c r="D13406" s="1" t="s">
        <v>152</v>
      </c>
      <c r="E13406" s="1" t="s">
        <v>2280</v>
      </c>
      <c r="F13406" s="1" t="s">
        <v>18692</v>
      </c>
      <c r="G13406" s="1" t="s">
        <v>36</v>
      </c>
      <c r="H13406" s="1" t="s">
        <v>29</v>
      </c>
      <c r="I13406" s="1" t="str">
        <f ca="1">IFERROR(__xludf.DUMMYFUNCTION("GOOGLETRANSLATE(F13406, ""auto"", ""en"")
"),"I've had these ears for over a year... The bass is excellent, comfortable, closed.")</f>
        <v>I've had these ears for over a year... The bass is excellent, comfortable, closed.</v>
      </c>
    </row>
    <row r="13407" spans="1:9" x14ac:dyDescent="0.3">
      <c r="A13407" s="1" t="s">
        <v>211</v>
      </c>
      <c r="B13407" s="1" t="s">
        <v>265</v>
      </c>
      <c r="C13407" s="1" t="s">
        <v>266</v>
      </c>
      <c r="D13407" s="1" t="s">
        <v>139</v>
      </c>
      <c r="E13407" s="1" t="s">
        <v>4133</v>
      </c>
      <c r="F13407" s="1" t="s">
        <v>18693</v>
      </c>
      <c r="G13407" s="1" t="s">
        <v>49</v>
      </c>
      <c r="H13407" s="1" t="s">
        <v>16</v>
      </c>
      <c r="I13407" s="1" t="str">
        <f ca="1">IFERROR(__xludf.DUMMYFUNCTION("GOOGLETRANSLATE(F13407, ""auto"", ""en"")
"),"Neither trim nor reduce hair length, the attachments are disgusting, bad!!!")</f>
        <v>Neither trim nor reduce hair length, the attachments are disgusting, bad!!!</v>
      </c>
    </row>
    <row r="13408" spans="1:9" x14ac:dyDescent="0.3">
      <c r="A13408" s="1" t="s">
        <v>211</v>
      </c>
      <c r="B13408" s="1" t="s">
        <v>384</v>
      </c>
      <c r="C13408" s="1" t="s">
        <v>246</v>
      </c>
      <c r="D13408" s="1" t="s">
        <v>589</v>
      </c>
      <c r="E13408" s="1" t="s">
        <v>128</v>
      </c>
      <c r="F13408" s="1" t="s">
        <v>18694</v>
      </c>
      <c r="G13408" s="1" t="s">
        <v>15</v>
      </c>
      <c r="H13408" s="1" t="s">
        <v>16</v>
      </c>
      <c r="I13408" s="1" t="str">
        <f ca="1">IFERROR(__xludf.DUMMYFUNCTION("GOOGLETRANSLATE(F13408, ""auto"", ""en"")
"),"The scale broke after a month. Before this, everything seemed to be shown correctly, although I’m not sure - I didn’t check.   then they just stopped working. the batteries are new.   Unfortunately, I threw away the box and warranty, so I just have to thr"&amp;"ow them away.")</f>
        <v>The scale broke after a month. Before this, everything seemed to be shown correctly, although I’m not sure - I didn’t check.   then they just stopped working. the batteries are new.   Unfortunately, I threw away the box and warranty, so I just have to throw them away.</v>
      </c>
    </row>
    <row r="13409" spans="1:9" x14ac:dyDescent="0.3">
      <c r="A13409" s="1" t="s">
        <v>61</v>
      </c>
      <c r="B13409" s="1" t="s">
        <v>62</v>
      </c>
      <c r="C13409" s="1" t="s">
        <v>69</v>
      </c>
      <c r="D13409" s="1" t="s">
        <v>471</v>
      </c>
      <c r="E13409" s="1" t="s">
        <v>157</v>
      </c>
      <c r="F13409" s="1" t="s">
        <v>18695</v>
      </c>
      <c r="G13409" s="1" t="s">
        <v>36</v>
      </c>
      <c r="H13409" s="1" t="s">
        <v>29</v>
      </c>
      <c r="I13409" s="1" t="str">
        <f ca="1">IFERROR(__xludf.DUMMYFUNCTION("GOOGLETRANSLATE(F13409, ""auto"", ""en"")
"),"I bought it about 5 years ago. I'm very pleased. Additionally, I bought a knife for cutting French fries, but it broke a year ago. Not on sale anywhere. Very convenient 2 minutes and the potatoes are ready for frying.")</f>
        <v>I bought it about 5 years ago. I'm very pleased. Additionally, I bought a knife for cutting French fries, but it broke a year ago. Not on sale anywhere. Very convenient 2 minutes and the potatoes are ready for frying.</v>
      </c>
    </row>
    <row r="13410" spans="1:9" x14ac:dyDescent="0.3">
      <c r="A13410" s="1" t="s">
        <v>30</v>
      </c>
      <c r="B13410" s="1" t="s">
        <v>50</v>
      </c>
      <c r="C13410" s="1" t="s">
        <v>32</v>
      </c>
      <c r="D13410" s="1" t="s">
        <v>81</v>
      </c>
      <c r="E13410" s="1" t="s">
        <v>1457</v>
      </c>
      <c r="F13410" s="1" t="s">
        <v>18696</v>
      </c>
      <c r="G13410" s="1" t="s">
        <v>36</v>
      </c>
      <c r="H13410" s="1" t="s">
        <v>29</v>
      </c>
      <c r="I13410" s="1" t="str">
        <f ca="1">IFERROR(__xludf.DUMMYFUNCTION("GOOGLETRANSLATE(F13410, ""auto"", ""en"")
"),"I bought it and I like it so far...what can I say, it’s just an awesome laptop!")</f>
        <v>I bought it and I like it so far...what can I say, it’s just an awesome laptop!</v>
      </c>
    </row>
    <row r="13411" spans="1:9" x14ac:dyDescent="0.3">
      <c r="A13411" s="1" t="s">
        <v>61</v>
      </c>
      <c r="B13411" s="1" t="s">
        <v>977</v>
      </c>
      <c r="C13411" s="1" t="s">
        <v>69</v>
      </c>
      <c r="D13411" s="1" t="s">
        <v>385</v>
      </c>
      <c r="E13411" s="1" t="s">
        <v>6986</v>
      </c>
      <c r="F13411" s="1" t="s">
        <v>18697</v>
      </c>
      <c r="G13411" s="1" t="s">
        <v>36</v>
      </c>
      <c r="H13411" s="1" t="s">
        <v>29</v>
      </c>
      <c r="I13411" s="1" t="str">
        <f ca="1">IFERROR(__xludf.DUMMYFUNCTION("GOOGLETRANSLATE(F13411, ""auto"", ""en"")
"),"I bought this blender a week ago. Turned boiled meat and beans into dust, grandma was satisfied! Very cool model, the knives are sharp (I even cut my finger when I washed them!), everything comes apart, is easy to clean, beautiful design, lightweight, tak"&amp;"es up little space in the kitchen. I recommend it to everyone!")</f>
        <v>I bought this blender a week ago. Turned boiled meat and beans into dust, grandma was satisfied! Very cool model, the knives are sharp (I even cut my finger when I washed them!), everything comes apart, is easy to clean, beautiful design, lightweight, takes up little space in the kitchen. I recommend it to everyone!</v>
      </c>
    </row>
    <row r="13412" spans="1:9" x14ac:dyDescent="0.3">
      <c r="A13412" s="1" t="s">
        <v>30</v>
      </c>
      <c r="B13412" s="1" t="s">
        <v>50</v>
      </c>
      <c r="C13412" s="1" t="s">
        <v>51</v>
      </c>
      <c r="D13412" s="1" t="s">
        <v>18698</v>
      </c>
      <c r="E13412" s="1" t="s">
        <v>1811</v>
      </c>
      <c r="F13412" s="1" t="s">
        <v>18699</v>
      </c>
      <c r="G13412" s="1" t="s">
        <v>36</v>
      </c>
      <c r="H13412" s="1" t="s">
        <v>29</v>
      </c>
      <c r="I13412" s="1" t="str">
        <f ca="1">IFERROR(__xludf.DUMMYFUNCTION("GOOGLETRANSLATE(F13412, ""auto"", ""en"")
"),"I bought it half a year ago. I'm not complaining, the laptop is really super, I spilled beer and it still works. Doesn't get hot like other laptops. The sensor works great. Buy it, you won't regret it.")</f>
        <v>I bought it half a year ago. I'm not complaining, the laptop is really super, I spilled beer and it still works. Doesn't get hot like other laptops. The sensor works great. Buy it, you won't regret it.</v>
      </c>
    </row>
    <row r="13413" spans="1:9" x14ac:dyDescent="0.3">
      <c r="A13413" s="1" t="s">
        <v>206</v>
      </c>
      <c r="B13413" s="1" t="s">
        <v>261</v>
      </c>
      <c r="C13413" s="1" t="s">
        <v>262</v>
      </c>
      <c r="D13413" s="1" t="s">
        <v>305</v>
      </c>
      <c r="E13413" s="1" t="s">
        <v>1161</v>
      </c>
      <c r="F13413" s="1" t="s">
        <v>18700</v>
      </c>
      <c r="G13413" s="1" t="s">
        <v>15</v>
      </c>
      <c r="H13413" s="1" t="s">
        <v>16</v>
      </c>
      <c r="I13413" s="1" t="str">
        <f ca="1">IFERROR(__xludf.DUMMYFUNCTION("GOOGLETRANSLATE(F13413, ""auto"", ""en"")
"),"Used it for about 6 months. It worked well. Smoothes out surges and dips in voltage during bass and starter operation. Especially in the option of installing 4 pieces in parallel. But after some time a problem arose. The battery drained almost completely "&amp;"during 4-5 days of parking. I began to look for the reason. Measurements from a car electrician showed a large current leak in the capacitor. I had to delete it, which is a shame.")</f>
        <v>Used it for about 6 months. It worked well. Smoothes out surges and dips in voltage during bass and starter operation. Especially in the option of installing 4 pieces in parallel. But after some time a problem arose. The battery drained almost completely during 4-5 days of parking. I began to look for the reason. Measurements from a car electrician showed a large current leak in the capacitor. I had to delete it, which is a shame.</v>
      </c>
    </row>
    <row r="13414" spans="1:9" x14ac:dyDescent="0.3">
      <c r="A13414" s="1" t="s">
        <v>37</v>
      </c>
      <c r="B13414" s="1" t="s">
        <v>536</v>
      </c>
      <c r="C13414" s="1" t="s">
        <v>163</v>
      </c>
      <c r="D13414" s="1" t="s">
        <v>18701</v>
      </c>
      <c r="E13414" s="1" t="s">
        <v>1248</v>
      </c>
      <c r="F13414" s="1" t="s">
        <v>18702</v>
      </c>
      <c r="G13414" s="1" t="s">
        <v>15</v>
      </c>
      <c r="H13414" s="1" t="s">
        <v>16</v>
      </c>
      <c r="I13414" s="1" t="str">
        <f ca="1">IFERROR(__xludf.DUMMYFUNCTION("GOOGLETRANSLATE(F13414, ""auto"", ""en"")
"),"never buy this monster, buy 5800, it has a better camera and Wi-Fi, and in general the 5800 is a competitive phone, but the 5230 is a useless invention from Nokia.")</f>
        <v>never buy this monster, buy 5800, it has a better camera and Wi-Fi, and in general the 5800 is a competitive phone, but the 5230 is a useless invention from Nokia.</v>
      </c>
    </row>
    <row r="13415" spans="1:9" x14ac:dyDescent="0.3">
      <c r="A13415" s="1" t="s">
        <v>61</v>
      </c>
      <c r="B13415" s="1" t="s">
        <v>318</v>
      </c>
      <c r="C13415" s="1" t="s">
        <v>69</v>
      </c>
      <c r="D13415" s="1" t="s">
        <v>592</v>
      </c>
      <c r="E13415" s="1" t="s">
        <v>13191</v>
      </c>
      <c r="F13415" s="1" t="s">
        <v>18703</v>
      </c>
      <c r="G13415" s="1" t="s">
        <v>28</v>
      </c>
      <c r="H13415" s="1" t="s">
        <v>29</v>
      </c>
      <c r="I13415" s="1" t="str">
        <f ca="1">IFERROR(__xludf.DUMMYFUNCTION("GOOGLETRANSLATE(F13415, ""auto"", ""en"")
"),"1) A good kettle - I liked the design, it looks expensive - due to the absence of cheap plastic. The water boils quickly. One of the most important advantages for me is the almost complete absence of scale.  2) I didn’t notice any major disadvantages, but"&amp;" sometimes there is a slight “sticking” of the lid - i.e. Simply pressing the button it does not open - you have to help with your hand - but I don’t think this is critical.  3) I’ve been using it since 2015 - everything is great.")</f>
        <v>1) A good kettle - I liked the design, it looks expensive - due to the absence of cheap plastic. The water boils quickly. One of the most important advantages for me is the almost complete absence of scale.  2) I didn’t notice any major disadvantages, but sometimes there is a slight “sticking” of the lid - i.e. Simply pressing the button it does not open - you have to help with your hand - but I don’t think this is critical.  3) I’ve been using it since 2015 - everything is great.</v>
      </c>
    </row>
    <row r="13416" spans="1:9" x14ac:dyDescent="0.3">
      <c r="A13416" s="1" t="s">
        <v>17</v>
      </c>
      <c r="B13416" s="1" t="s">
        <v>18</v>
      </c>
      <c r="C13416" s="1" t="s">
        <v>243</v>
      </c>
      <c r="D13416" s="1" t="s">
        <v>682</v>
      </c>
      <c r="E13416" s="1" t="s">
        <v>375</v>
      </c>
      <c r="F13416" s="1" t="s">
        <v>18704</v>
      </c>
      <c r="G13416" s="1" t="s">
        <v>36</v>
      </c>
      <c r="H13416" s="1" t="s">
        <v>29</v>
      </c>
      <c r="I13416" s="1" t="str">
        <f ca="1">IFERROR(__xludf.DUMMYFUNCTION("GOOGLETRANSLATE(F13416, ""auto"", ""en"")
"),"Excellent washing machine. Bought 5 months. back, no comments at all! It washes quietly, there were no problems with installation, it washes and rinses things very thoroughly! There is a very convenient economy mode, with the correct, small load of things"&amp;", it washes everything much faster and rinses wonderfully! The machine is simply a miracle, we can’t be happier.")</f>
        <v>Excellent washing machine. Bought 5 months. back, no comments at all! It washes quietly, there were no problems with installation, it washes and rinses things very thoroughly! There is a very convenient economy mode, with the correct, small load of things, it washes everything much faster and rinses wonderfully! The machine is simply a miracle, we can’t be happier.</v>
      </c>
    </row>
    <row r="13417" spans="1:9" x14ac:dyDescent="0.3">
      <c r="A13417" s="1" t="s">
        <v>61</v>
      </c>
      <c r="B13417" s="1" t="s">
        <v>318</v>
      </c>
      <c r="C13417" s="1" t="s">
        <v>57</v>
      </c>
      <c r="D13417" s="1" t="s">
        <v>471</v>
      </c>
      <c r="E13417" s="1" t="s">
        <v>4196</v>
      </c>
      <c r="F13417" s="1" t="s">
        <v>18705</v>
      </c>
      <c r="G13417" s="1" t="s">
        <v>36</v>
      </c>
      <c r="H13417" s="1" t="s">
        <v>29</v>
      </c>
      <c r="I13417" s="1" t="str">
        <f ca="1">IFERROR(__xludf.DUMMYFUNCTION("GOOGLETRANSLATE(F13417, ""auto"", ""en"")
"),"This model was purchased around 2012. All this time the kettle served faithfully. Used intensively throughout the day. There were no breakdowns, it worked flawlessly. A huge plus is the absence of a measuring scale (previous kettles began to leak over tim"&amp;"e). Currently (2015) the filter has broken. We are buying the exact same model.")</f>
        <v>This model was purchased around 2012. All this time the kettle served faithfully. Used intensively throughout the day. There were no breakdowns, it worked flawlessly. A huge plus is the absence of a measuring scale (previous kettles began to leak over time). Currently (2015) the filter has broken. We are buying the exact same model.</v>
      </c>
    </row>
    <row r="13418" spans="1:9" x14ac:dyDescent="0.3">
      <c r="A13418" s="1" t="s">
        <v>37</v>
      </c>
      <c r="B13418" s="1" t="s">
        <v>355</v>
      </c>
      <c r="C13418" s="1" t="s">
        <v>356</v>
      </c>
      <c r="D13418" s="1" t="s">
        <v>18706</v>
      </c>
      <c r="E13418" s="1" t="s">
        <v>357</v>
      </c>
      <c r="F13418" s="1" t="s">
        <v>18707</v>
      </c>
      <c r="G13418" s="1" t="s">
        <v>36</v>
      </c>
      <c r="H13418" s="1" t="s">
        <v>29</v>
      </c>
      <c r="I13418" s="1" t="str">
        <f ca="1">IFERROR(__xludf.DUMMYFUNCTION("GOOGLETRANSLATE(F13418, ""auto"", ""en"")
"),"It's worth waiting 3 months and buying the next phone model, which will be much cooler than this one that came out almost a year ago, YOU decide! :)")</f>
        <v>It's worth waiting 3 months and buying the next phone model, which will be much cooler than this one that came out almost a year ago, YOU decide! :)</v>
      </c>
    </row>
    <row r="13419" spans="1:9" x14ac:dyDescent="0.3">
      <c r="A13419" s="1" t="s">
        <v>55</v>
      </c>
      <c r="B13419" s="1" t="s">
        <v>56</v>
      </c>
      <c r="C13419" s="1" t="s">
        <v>57</v>
      </c>
      <c r="D13419" s="1" t="s">
        <v>1431</v>
      </c>
      <c r="E13419" s="1" t="s">
        <v>9037</v>
      </c>
      <c r="F13419" s="1" t="s">
        <v>1693</v>
      </c>
      <c r="G13419" s="1" t="s">
        <v>49</v>
      </c>
      <c r="H13419" s="1" t="s">
        <v>16</v>
      </c>
      <c r="I13419" s="1" t="str">
        <f ca="1">IFERROR(__xludf.DUMMYFUNCTION("GOOGLETRANSLATE(F13419, ""auto"", ""en"")
"),"Price")</f>
        <v>Price</v>
      </c>
    </row>
    <row r="13420" spans="1:9" x14ac:dyDescent="0.3">
      <c r="A13420" s="1" t="s">
        <v>30</v>
      </c>
      <c r="B13420" s="1" t="s">
        <v>50</v>
      </c>
      <c r="C13420" s="1" t="s">
        <v>1003</v>
      </c>
      <c r="D13420" s="1" t="s">
        <v>18708</v>
      </c>
      <c r="E13420" s="1" t="s">
        <v>1481</v>
      </c>
      <c r="F13420" s="1" t="s">
        <v>18709</v>
      </c>
      <c r="G13420" s="1" t="s">
        <v>36</v>
      </c>
      <c r="H13420" s="1" t="s">
        <v>29</v>
      </c>
      <c r="I13420" s="1" t="str">
        <f ca="1">IFERROR(__xludf.DUMMYFUNCTION("GOOGLETRANSLATE(F13420, ""auto"", ""en"")
"),"Like Tanya, who responded below, I am also from Orenburg and bought this laptop 4 days ago on a promotion for 20 thousand rubles. For such a price, the filling and design are very good. If only the video card was more powerful (level 46** would be optimal"&amp;"). From the interfaces, there is everything your heart desires, except for WiMax, which will not be needed in our city any time soon.    The downside would be that the 32-bit version of Windows 7 HB is preinstalled, which does not see all 4 GB of RAM. I t"&amp;"ook down HB and installed Ultimate x64. The case is also easily soiled and comes with a special cloth to remove fingerprints.    This model doesn't really have a bag.    Question: Can I ask HP to send me a disk with Windows 7 HB, otherwise I plan to remov"&amp;"e the recovery partition on the screw to free up 15 GB?")</f>
        <v>Like Tanya, who responded below, I am also from Orenburg and bought this laptop 4 days ago on a promotion for 20 thousand rubles. For such a price, the filling and design are very good. If only the video card was more powerful (level 46** would be optimal). From the interfaces, there is everything your heart desires, except for WiMax, which will not be needed in our city any time soon.    The downside would be that the 32-bit version of Windows 7 HB is preinstalled, which does not see all 4 GB of RAM. I took down HB and installed Ultimate x64. The case is also easily soiled and comes with a special cloth to remove fingerprints.    This model doesn't really have a bag.    Question: Can I ask HP to send me a disk with Windows 7 HB, otherwise I plan to remove the recovery partition on the screw to free up 15 GB?</v>
      </c>
    </row>
    <row r="13421" spans="1:9" x14ac:dyDescent="0.3">
      <c r="A13421" s="1" t="s">
        <v>61</v>
      </c>
      <c r="B13421" s="1" t="s">
        <v>224</v>
      </c>
      <c r="C13421" s="1" t="s">
        <v>85</v>
      </c>
      <c r="D13421" s="1" t="s">
        <v>305</v>
      </c>
      <c r="E13421" s="1" t="s">
        <v>8546</v>
      </c>
      <c r="F13421" s="1" t="s">
        <v>18710</v>
      </c>
      <c r="G13421" s="1" t="s">
        <v>28</v>
      </c>
      <c r="H13421" s="1" t="s">
        <v>29</v>
      </c>
      <c r="I13421" s="1" t="str">
        <f ca="1">IFERROR(__xludf.DUMMYFUNCTION("GOOGLETRANSLATE(F13421, ""auto"", ""en"")
"),"I bought it today and immediately tested it with full load. Carrots first, then apples. The juice yield is good, the cake is dry. I was satisfied :) Price/quality matches. I recommend!!!")</f>
        <v>I bought it today and immediately tested it with full load. Carrots first, then apples. The juice yield is good, the cake is dry. I was satisfied :) Price/quality matches. I recommend!!!</v>
      </c>
    </row>
    <row r="13422" spans="1:9" x14ac:dyDescent="0.3">
      <c r="A13422" s="1" t="s">
        <v>37</v>
      </c>
      <c r="B13422" s="1" t="s">
        <v>38</v>
      </c>
      <c r="C13422" s="1" t="s">
        <v>39</v>
      </c>
      <c r="D13422" s="1" t="s">
        <v>3041</v>
      </c>
      <c r="E13422" s="1" t="s">
        <v>4860</v>
      </c>
      <c r="F13422" s="1" t="s">
        <v>18711</v>
      </c>
      <c r="G13422" s="1" t="s">
        <v>36</v>
      </c>
      <c r="H13422" s="1" t="s">
        <v>29</v>
      </c>
      <c r="I13422" s="1" t="str">
        <f ca="1">IFERROR(__xludf.DUMMYFUNCTION("GOOGLETRANSLATE(F13422, ""auto"", ""en"")
"),"You shouldn’t be scolding it, so I’ve had it for six months, the pluses are the ocean, the camera is super, the design is super, there’s a lot of memory, and it doesn’t eat up the battery much, if you climb in it for days, you need to charge it after 4 da"&amp;"ys (if you can sit at it all day), if you don’t touch it at all, it can go 2 weeks without charging.  I liked the mega-bass equalizer, a cool feature if you listen with headphones.  BUT there are some downsides: the phone can’t keep up with me, I open fol"&amp;"ders so quickly that it starts to slow down and can’t keep up with me.")</f>
        <v>You shouldn’t be scolding it, so I’ve had it for six months, the pluses are the ocean, the camera is super, the design is super, there’s a lot of memory, and it doesn’t eat up the battery much, if you climb in it for days, you need to charge it after 4 days (if you can sit at it all day), if you don’t touch it at all, it can go 2 weeks without charging.  I liked the mega-bass equalizer, a cool feature if you listen with headphones.  BUT there are some downsides: the phone can’t keep up with me, I open folders so quickly that it starts to slow down and can’t keep up with me.</v>
      </c>
    </row>
    <row r="13423" spans="1:9" x14ac:dyDescent="0.3">
      <c r="A13423" s="1" t="s">
        <v>120</v>
      </c>
      <c r="B13423" s="1" t="s">
        <v>834</v>
      </c>
      <c r="C13423" s="1" t="s">
        <v>80</v>
      </c>
      <c r="D13423" s="1" t="s">
        <v>13505</v>
      </c>
      <c r="E13423" s="1" t="s">
        <v>7124</v>
      </c>
      <c r="F13423" s="1" t="s">
        <v>18712</v>
      </c>
      <c r="G13423" s="1" t="s">
        <v>28</v>
      </c>
      <c r="H13423" s="1" t="s">
        <v>29</v>
      </c>
      <c r="I13423" s="1" t="str">
        <f ca="1">IFERROR(__xludf.DUMMYFUNCTION("GOOGLETRANSLATE(F13423, ""auto"", ""en"")
"),"I chose to watch HD movies via HDMI. The choice was between plasma or LCD. Plasma, unfortunately, disappeared immediately in the form of disadvantages of a gray screen during the day, pixel jitter in static (slow) pictures, loss of brightness when the scr"&amp;"een is completely filled with white (becomes gray). Therefore, the choice remains among LCDs (LED backlighting is still an expensive thing). For this TV: +large screen (compared to 42) +low price for such a device +weighs less than plasma -in black scenes"&amp;" the black color is gray (you can watch it not in a dark room, then it will be invisible) Pixar cartoons are shown very well, the delight of viewing is guaranteed (in fullHD quality).  The broadcast shows well, I caught 5 channels of broadcasting after a "&amp;"delay, I did not connect the cable.    In general, an excellent device for this price, who needs a “monitor” with a large diagonal and does not need bells and whistles in the form of a player, 200 Hz, etc.")</f>
        <v>I chose to watch HD movies via HDMI. The choice was between plasma or LCD. Plasma, unfortunately, disappeared immediately in the form of disadvantages of a gray screen during the day, pixel jitter in static (slow) pictures, loss of brightness when the screen is completely filled with white (becomes gray). Therefore, the choice remains among LCDs (LED backlighting is still an expensive thing). For this TV: +large screen (compared to 42) +low price for such a device +weighs less than plasma -in black scenes the black color is gray (you can watch it not in a dark room, then it will be invisible) Pixar cartoons are shown very well, the delight of viewing is guaranteed (in fullHD quality).  The broadcast shows well, I caught 5 channels of broadcasting after a delay, I did not connect the cable.    In general, an excellent device for this price, who needs a “monitor” with a large diagonal and does not need bells and whistles in the form of a player, 200 Hz, etc.</v>
      </c>
    </row>
    <row r="13424" spans="1:9" x14ac:dyDescent="0.3">
      <c r="A13424" s="1" t="s">
        <v>78</v>
      </c>
      <c r="B13424" s="1" t="s">
        <v>1163</v>
      </c>
      <c r="C13424" s="1" t="s">
        <v>351</v>
      </c>
      <c r="D13424" s="1" t="s">
        <v>934</v>
      </c>
      <c r="E13424" s="1" t="s">
        <v>2778</v>
      </c>
      <c r="F13424" s="1" t="s">
        <v>18713</v>
      </c>
      <c r="G13424" s="1" t="s">
        <v>36</v>
      </c>
      <c r="H13424" s="1" t="s">
        <v>29</v>
      </c>
      <c r="I13424" s="1" t="str">
        <f ca="1">IFERROR(__xludf.DUMMYFUNCTION("GOOGLETRANSLATE(F13424, ""auto"", ""en"")
"),"Easy to use, nice looking microwave. I bought it four months ago, my whole family always eats hot sandwiches for breakfast, sometimes I cook pizza or vegetables in it. But more often we just use it to heat up dishes. The food is warm and tasty.")</f>
        <v>Easy to use, nice looking microwave. I bought it four months ago, my whole family always eats hot sandwiches for breakfast, sometimes I cook pizza or vegetables in it. But more often we just use it to heat up dishes. The food is warm and tasty.</v>
      </c>
    </row>
    <row r="13425" spans="1:9" x14ac:dyDescent="0.3">
      <c r="A13425" s="1" t="s">
        <v>519</v>
      </c>
      <c r="B13425" s="1" t="s">
        <v>3088</v>
      </c>
      <c r="C13425" s="1" t="s">
        <v>246</v>
      </c>
      <c r="D13425" s="1" t="s">
        <v>81</v>
      </c>
      <c r="E13425" s="1" t="s">
        <v>5215</v>
      </c>
      <c r="F13425" s="1" t="s">
        <v>18714</v>
      </c>
      <c r="G13425" s="1" t="s">
        <v>36</v>
      </c>
      <c r="H13425" s="1" t="s">
        <v>29</v>
      </c>
      <c r="I13425" s="1" t="str">
        <f ca="1">IFERROR(__xludf.DUMMYFUNCTION("GOOGLETRANSLATE(F13425, ""auto"", ""en"")
"),"I took it 3 years ago. I like everything, even though it is Russian-made. Lightweight, high quality. Today I’ll take the same one, the old one got all dirty and scratched. From good to good...")</f>
        <v>I took it 3 years ago. I like everything, even though it is Russian-made. Lightweight, high quality. Today I’ll take the same one, the old one got all dirty and scratched. From good to good...</v>
      </c>
    </row>
    <row r="13426" spans="1:9" x14ac:dyDescent="0.3">
      <c r="A13426" s="1" t="s">
        <v>211</v>
      </c>
      <c r="B13426" s="1" t="s">
        <v>856</v>
      </c>
      <c r="C13426" s="1" t="s">
        <v>57</v>
      </c>
      <c r="D13426" s="1" t="s">
        <v>326</v>
      </c>
      <c r="E13426" s="1" t="s">
        <v>5882</v>
      </c>
      <c r="F13426" s="1" t="s">
        <v>18715</v>
      </c>
      <c r="G13426" s="1" t="s">
        <v>49</v>
      </c>
      <c r="H13426" s="1" t="s">
        <v>16</v>
      </c>
      <c r="I13426" s="1" t="str">
        <f ca="1">IFERROR(__xludf.DUMMYFUNCTION("GOOGLETRANSLATE(F13426, ""auto"", ""en"")
"),"So I dreamed of giving myself a gift, in the end I received a box of garbage that will be thrown in the trash, it doesn’t cope with what is needed at all, the device stops on the heels with a light touch, it can’t cope with the cuticle at all, it’s very w"&amp;"eak, low-power. And this product cannot be exchanged.")</f>
        <v>So I dreamed of giving myself a gift, in the end I received a box of garbage that will be thrown in the trash, it doesn’t cope with what is needed at all, the device stops on the heels with a light touch, it can’t cope with the cuticle at all, it’s very weak, low-power. And this product cannot be exchanged.</v>
      </c>
    </row>
    <row r="13427" spans="1:9" x14ac:dyDescent="0.3">
      <c r="A13427" s="1" t="s">
        <v>43</v>
      </c>
      <c r="B13427" s="1" t="s">
        <v>502</v>
      </c>
      <c r="C13427" s="1" t="s">
        <v>151</v>
      </c>
      <c r="D13427" s="1" t="s">
        <v>52</v>
      </c>
      <c r="E13427" s="1" t="s">
        <v>5914</v>
      </c>
      <c r="F13427" s="1" t="s">
        <v>18716</v>
      </c>
      <c r="G13427" s="1" t="s">
        <v>36</v>
      </c>
      <c r="H13427" s="1" t="s">
        <v>29</v>
      </c>
      <c r="I13427" s="1" t="str">
        <f ca="1">IFERROR(__xludf.DUMMYFUNCTION("GOOGLETRANSLATE(F13427, ""auto"", ""en"")
"),"They put in a room of 24 sq. m., taking into account cooling, and a kitchen of 18 sq. m. The route goes from the indoor unit in the room, to the kitchen and the kitchen wall to the external unit, the route is 3 meters with a loop, installed by a neighbor "&amp;"with a compressor and a pressure gauge. The external unit is not loud, the route is humming, it is a little audible in the kitchen, in the room the external unit and the route are not audible. It’s convenient to switch modes without turning off the air co"&amp;"nditioner. The remote control is convenient, unlike most remote controls from inexpensive condos. Energy efficiency class A. In the room and without turbo mode, it’s like in a refrigerator in 7 minutes. The temperature seems to be lying, we set it to 24, "&amp;"but it shows something like 20. The lack of a temperature display is inconvenient. The internal block is large, the HD filter thought it would be something more serious, but it turned out to be a small fly screen. It is possible to put something else unde"&amp;"r the HD filter; there are special places, apparently for filters that are not included in the kit. A normal air conditioner has a “smart economy” mode, a sleep mode (divides sleep into three stages) 4++")</f>
        <v>They put in a room of 24 sq. m., taking into account cooling, and a kitchen of 18 sq. m. The route goes from the indoor unit in the room, to the kitchen and the kitchen wall to the external unit, the route is 3 meters with a loop, installed by a neighbor with a compressor and a pressure gauge. The external unit is not loud, the route is humming, it is a little audible in the kitchen, in the room the external unit and the route are not audible. It’s convenient to switch modes without turning off the air conditioner. The remote control is convenient, unlike most remote controls from inexpensive condos. Energy efficiency class A. In the room and without turbo mode, it’s like in a refrigerator in 7 minutes. The temperature seems to be lying, we set it to 24, but it shows something like 20. The lack of a temperature display is inconvenient. The internal block is large, the HD filter thought it would be something more serious, but it turned out to be a small fly screen. It is possible to put something else under the HD filter; there are special places, apparently for filters that are not included in the kit. A normal air conditioner has a “smart economy” mode, a sleep mode (divides sleep into three stages) 4++</v>
      </c>
    </row>
    <row r="13428" spans="1:9" x14ac:dyDescent="0.3">
      <c r="A13428" s="1" t="s">
        <v>61</v>
      </c>
      <c r="B13428" s="1" t="s">
        <v>180</v>
      </c>
      <c r="C13428" s="1" t="s">
        <v>85</v>
      </c>
      <c r="D13428" s="1" t="s">
        <v>18717</v>
      </c>
      <c r="E13428" s="1" t="s">
        <v>3811</v>
      </c>
      <c r="F13428" s="1" t="s">
        <v>18718</v>
      </c>
      <c r="G13428" s="1" t="s">
        <v>36</v>
      </c>
      <c r="H13428" s="1" t="s">
        <v>29</v>
      </c>
      <c r="I13428" s="1" t="str">
        <f ca="1">IFERROR(__xludf.DUMMYFUNCTION("GOOGLETRANSLATE(F13428, ""auto"", ""en"")
"),"When the question of purchasing a new toaster (the third in a row) arose, we decided not to save on the purchase. We considered Bork T800 a worthy option; we’ve been using it for almost two years, it cooks evenly, no burnt crusts. And when my sister invit"&amp;"ed me for her birthday, I didn’t even doubt the gift!")</f>
        <v>When the question of purchasing a new toaster (the third in a row) arose, we decided not to save on the purchase. We considered Bork T800 a worthy option; we’ve been using it for almost two years, it cooks evenly, no burnt crusts. And when my sister invited me for her birthday, I didn’t even doubt the gift!</v>
      </c>
    </row>
    <row r="13429" spans="1:9" x14ac:dyDescent="0.3">
      <c r="A13429" s="1" t="s">
        <v>30</v>
      </c>
      <c r="B13429" s="1" t="s">
        <v>50</v>
      </c>
      <c r="C13429" s="1" t="s">
        <v>51</v>
      </c>
      <c r="D13429" s="1" t="s">
        <v>18719</v>
      </c>
      <c r="E13429" s="1" t="s">
        <v>225</v>
      </c>
      <c r="F13429" s="1" t="s">
        <v>18720</v>
      </c>
      <c r="G13429" s="1" t="s">
        <v>28</v>
      </c>
      <c r="H13429" s="1" t="s">
        <v>29</v>
      </c>
      <c r="I13429" s="1" t="str">
        <f ca="1">IFERROR(__xludf.DUMMYFUNCTION("GOOGLETRANSLATE(F13429, ""auto"", ""en"")
"),"I bought this laptop 2 weeks ago, it was a little scratched, the soft sign was stuck, the games on it were difficult to play or simply froze, I built it, they brought me another one, I turned on the system in 10 minutes right in the store, I brought it ho"&amp;"me, now I don’t suffer with the soft sign, well, a game that didn’t work before is playing in a minute, but I’ll also try others that didn’t work, and this one isn’t scratched and it gets really hot, so if you don’t want the keyboard to swell, set the par"&amp;"ameters smaller output such with any defect, contact within 2 weeks I recommend and set the parameters for games smaller to avoid new defects")</f>
        <v>I bought this laptop 2 weeks ago, it was a little scratched, the soft sign was stuck, the games on it were difficult to play or simply froze, I built it, they brought me another one, I turned on the system in 10 minutes right in the store, I brought it home, now I don’t suffer with the soft sign, well, a game that didn’t work before is playing in a minute, but I’ll also try others that didn’t work, and this one isn’t scratched and it gets really hot, so if you don’t want the keyboard to swell, set the parameters smaller output such with any defect, contact within 2 weeks I recommend and set the parameters for games smaller to avoid new defects</v>
      </c>
    </row>
    <row r="13430" spans="1:9" x14ac:dyDescent="0.3">
      <c r="A13430" s="1" t="s">
        <v>120</v>
      </c>
      <c r="B13430" s="1" t="s">
        <v>121</v>
      </c>
      <c r="C13430" s="1" t="s">
        <v>122</v>
      </c>
      <c r="D13430" s="1" t="s">
        <v>18721</v>
      </c>
      <c r="E13430" s="1" t="s">
        <v>1481</v>
      </c>
      <c r="F13430" s="1" t="s">
        <v>18722</v>
      </c>
      <c r="G13430" s="1" t="s">
        <v>36</v>
      </c>
      <c r="H13430" s="1" t="s">
        <v>29</v>
      </c>
      <c r="I13430" s="1" t="str">
        <f ca="1">IFERROR(__xludf.DUMMYFUNCTION("GOOGLETRANSLATE(F13430, ""auto"", ""en"")
"),"I have had to deal with TVs of this format more than once. Firstly, my brother chose one time and I helped him, so I saw quite a few options. Secondly, my friend works in a store where they sell various equipment, including televisions. So I was well awar"&amp;"e of what might be left out, what might be ignored, and what was really worth buying. Therefore, I was confident in my choice, I knew that Panasonic made excellent plasma, and that the tenth series was all good. I say “knew” because I’ve been enjoying thi"&amp;"s model for two months now and nothing has come into question yet. Great, I give all the points.")</f>
        <v>I have had to deal with TVs of this format more than once. Firstly, my brother chose one time and I helped him, so I saw quite a few options. Secondly, my friend works in a store where they sell various equipment, including televisions. So I was well aware of what might be left out, what might be ignored, and what was really worth buying. Therefore, I was confident in my choice, I knew that Panasonic made excellent plasma, and that the tenth series was all good. I say “knew” because I’ve been enjoying this model for two months now and nothing has come into question yet. Great, I give all the points.</v>
      </c>
    </row>
    <row r="13431" spans="1:9" x14ac:dyDescent="0.3">
      <c r="A13431" s="1" t="s">
        <v>369</v>
      </c>
      <c r="B13431" s="1" t="s">
        <v>587</v>
      </c>
      <c r="C13431" s="1" t="s">
        <v>308</v>
      </c>
      <c r="D13431" s="1" t="s">
        <v>1036</v>
      </c>
      <c r="E13431" s="1" t="s">
        <v>6421</v>
      </c>
      <c r="F13431" s="1" t="s">
        <v>18723</v>
      </c>
      <c r="G13431" s="1" t="s">
        <v>28</v>
      </c>
      <c r="H13431" s="1" t="s">
        <v>29</v>
      </c>
      <c r="I13431" s="1" t="str">
        <f ca="1">IFERROR(__xludf.DUMMYFUNCTION("GOOGLETRANSLATE(F13431, ""auto"", ""en"")
"),"For that kind of money, it’s stupid to hope for wow! The stove is like a stove, I give it a 4, ignition with a button could be added, this gadget is not that expensive")</f>
        <v>For that kind of money, it’s stupid to hope for wow! The stove is like a stove, I give it a 4, ignition with a button could be added, this gadget is not that expensive</v>
      </c>
    </row>
    <row r="13432" spans="1:9" x14ac:dyDescent="0.3">
      <c r="A13432" s="1" t="s">
        <v>17</v>
      </c>
      <c r="B13432" s="1" t="s">
        <v>18</v>
      </c>
      <c r="C13432" s="1" t="s">
        <v>151</v>
      </c>
      <c r="D13432" s="1" t="s">
        <v>474</v>
      </c>
      <c r="E13432" s="1" t="s">
        <v>3567</v>
      </c>
      <c r="F13432" s="1" t="s">
        <v>18724</v>
      </c>
      <c r="G13432" s="1" t="s">
        <v>36</v>
      </c>
      <c r="H13432" s="1" t="s">
        <v>29</v>
      </c>
      <c r="I13432" s="1" t="str">
        <f ca="1">IFERROR(__xludf.DUMMYFUNCTION("GOOGLETRANSLATE(F13432, ""auto"", ""en"")
"),"I've had the car for a month now. Simply wonderful. I recommend it to everyone! The controls are simple; in customized programs, everything changes to suit your taste. The washing time indication is accurate, the laundry is clean (regardless of the powder"&amp;"!). No jumping or unnecessary noise. The light went out while washing - she “remembers” where she stopped. You need to drain the water in an emergency - no problem! The powder from the compartment is rinsed out. I'm delighted with the volume - EVERYTHING "&amp;"fits!    I love M-VIDEO!!! All my equipment is from here and this is not advertising - I will tell you this personally.")</f>
        <v>I've had the car for a month now. Simply wonderful. I recommend it to everyone! The controls are simple; in customized programs, everything changes to suit your taste. The washing time indication is accurate, the laundry is clean (regardless of the powder!). No jumping or unnecessary noise. The light went out while washing - she “remembers” where she stopped. You need to drain the water in an emergency - no problem! The powder from the compartment is rinsed out. I'm delighted with the volume - EVERYTHING fits!    I love M-VIDEO!!! All my equipment is from here and this is not advertising - I will tell you this personally.</v>
      </c>
    </row>
    <row r="13433" spans="1:9" x14ac:dyDescent="0.3">
      <c r="A13433" s="1" t="s">
        <v>111</v>
      </c>
      <c r="B13433" s="1" t="s">
        <v>112</v>
      </c>
      <c r="C13433" s="1" t="s">
        <v>113</v>
      </c>
      <c r="D13433" s="1" t="s">
        <v>545</v>
      </c>
      <c r="E13433" s="1" t="s">
        <v>2118</v>
      </c>
      <c r="F13433" s="1" t="s">
        <v>18725</v>
      </c>
      <c r="G13433" s="1" t="s">
        <v>49</v>
      </c>
      <c r="H13433" s="1" t="s">
        <v>16</v>
      </c>
      <c r="I13433" s="1" t="str">
        <f ca="1">IFERROR(__xludf.DUMMYFUNCTION("GOOGLETRANSLATE(F13433, ""auto"", ""en"")
"),"We bought this filter, put it on a washing machine more than once, two filters burned out, the performance of these devices is disgraceful")</f>
        <v>We bought this filter, put it on a washing machine more than once, two filters burned out, the performance of these devices is disgraceful</v>
      </c>
    </row>
    <row r="13434" spans="1:9" x14ac:dyDescent="0.3">
      <c r="A13434" s="1" t="s">
        <v>120</v>
      </c>
      <c r="B13434" s="1" t="s">
        <v>126</v>
      </c>
      <c r="C13434" s="1" t="s">
        <v>151</v>
      </c>
      <c r="D13434" s="1" t="s">
        <v>152</v>
      </c>
      <c r="E13434" s="1" t="s">
        <v>3313</v>
      </c>
      <c r="F13434" s="1" t="s">
        <v>18726</v>
      </c>
      <c r="G13434" s="1" t="s">
        <v>36</v>
      </c>
      <c r="H13434" s="1" t="s">
        <v>29</v>
      </c>
      <c r="I13434" s="1" t="str">
        <f ca="1">IFERROR(__xludf.DUMMYFUNCTION("GOOGLETRANSLATE(F13434, ""auto"", ""en"")
"),"I bought this on November 15th. Everyone is delighted. The analog signal is reproduced beautifully, and movies from a flash drive 720i, 1080i are SUPER. The difference in image quality compared to LCD TVs is striking in favor of plasma. When watching TV, "&amp;"your eyes just relax. I hung it on a bracket on the wall and it looked like a painting.   There are small children at home and toys and a ball have already flown into the screen a couple of times - not a scratch.  On weekends it works almost all day - it "&amp;"warms up a little in the upper part. Doesn't make noise. It is very convenient to manage. Consumes little energy thanks to energy saving modes and a built-in light sensor.   I recommend it to anyone who is aiming for plasma!!!")</f>
        <v>I bought this on November 15th. Everyone is delighted. The analog signal is reproduced beautifully, and movies from a flash drive 720i, 1080i are SUPER. The difference in image quality compared to LCD TVs is striking in favor of plasma. When watching TV, your eyes just relax. I hung it on a bracket on the wall and it looked like a painting.   There are small children at home and toys and a ball have already flown into the screen a couple of times - not a scratch.  On weekends it works almost all day - it warms up a little in the upper part. Doesn't make noise. It is very convenient to manage. Consumes little energy thanks to energy saving modes and a built-in light sensor.   I recommend it to anyone who is aiming for plasma!!!</v>
      </c>
    </row>
    <row r="13435" spans="1:9" x14ac:dyDescent="0.3">
      <c r="A13435" s="1" t="s">
        <v>477</v>
      </c>
      <c r="B13435" s="1" t="s">
        <v>478</v>
      </c>
      <c r="C13435" s="1" t="s">
        <v>479</v>
      </c>
      <c r="D13435" s="1" t="s">
        <v>232</v>
      </c>
      <c r="E13435" s="1" t="s">
        <v>278</v>
      </c>
      <c r="F13435" s="1" t="s">
        <v>18727</v>
      </c>
      <c r="G13435" s="1" t="s">
        <v>36</v>
      </c>
      <c r="H13435" s="1" t="s">
        <v>29</v>
      </c>
      <c r="I13435" s="1" t="str">
        <f ca="1">IFERROR(__xludf.DUMMYFUNCTION("GOOGLETRANSLATE(F13435, ""auto"", ""en"")
"),"I remember playing it on the old Pentium 4. Worth buying for your home collection. The first and second GTA are primitive, you play like 8-bit games. But starting with the third part (this one), everything changed radically. We have a 3D world, you can ca"&amp;"rry out different thoughts. GTA 3 is generally a breakthrough for the series. Now the main character can “steal” cars, emotionally throwing drivers out of their cars. A small drawback was the lack of a map - but it’s easy to get used to if you have at lea"&amp;"st some memory. Very high-quality localization - the names of streets, shops, etc. are translated. In general, we play everything")</f>
        <v>I remember playing it on the old Pentium 4. Worth buying for your home collection. The first and second GTA are primitive, you play like 8-bit games. But starting with the third part (this one), everything changed radically. We have a 3D world, you can carry out different thoughts. GTA 3 is generally a breakthrough for the series. Now the main character can “steal” cars, emotionally throwing drivers out of their cars. A small drawback was the lack of a map - but it’s easy to get used to if you have at least some memory. Very high-quality localization - the names of streets, shops, etc. are translated. In general, we play everything</v>
      </c>
    </row>
    <row r="13436" spans="1:9" x14ac:dyDescent="0.3">
      <c r="A13436" s="1" t="s">
        <v>211</v>
      </c>
      <c r="B13436" s="1" t="s">
        <v>515</v>
      </c>
      <c r="C13436" s="1" t="s">
        <v>213</v>
      </c>
      <c r="D13436" s="1" t="s">
        <v>12</v>
      </c>
      <c r="E13436" s="1" t="s">
        <v>5867</v>
      </c>
      <c r="F13436" s="1" t="s">
        <v>18728</v>
      </c>
      <c r="G13436" s="1" t="s">
        <v>36</v>
      </c>
      <c r="H13436" s="1" t="s">
        <v>29</v>
      </c>
      <c r="I13436" s="1" t="str">
        <f ca="1">IFERROR(__xludf.DUMMYFUNCTION("GOOGLETRANSLATE(F13436, ""auto"", ""en"")
"),"Great product, I've been using it for a year now, no complaints.")</f>
        <v>Great product, I've been using it for a year now, no complaints.</v>
      </c>
    </row>
    <row r="13437" spans="1:9" x14ac:dyDescent="0.3">
      <c r="A13437" s="1" t="s">
        <v>78</v>
      </c>
      <c r="B13437" s="1" t="s">
        <v>79</v>
      </c>
      <c r="C13437" s="1" t="s">
        <v>1224</v>
      </c>
      <c r="D13437" s="1" t="s">
        <v>385</v>
      </c>
      <c r="E13437" s="1" t="s">
        <v>395</v>
      </c>
      <c r="F13437" s="1" t="s">
        <v>18729</v>
      </c>
      <c r="G13437" s="1" t="s">
        <v>36</v>
      </c>
      <c r="H13437" s="1" t="s">
        <v>29</v>
      </c>
      <c r="I13437" s="1" t="str">
        <f ca="1">IFERROR(__xludf.DUMMYFUNCTION("GOOGLETRANSLATE(F13437, ""auto"", ""en"")
"),"A good microwave, the menu is not as complicated as previously written in reviews, cool design, low price - what more do you need!")</f>
        <v>A good microwave, the menu is not as complicated as previously written in reviews, cool design, low price - what more do you need!</v>
      </c>
    </row>
    <row r="13438" spans="1:9" x14ac:dyDescent="0.3">
      <c r="A13438" s="1" t="s">
        <v>169</v>
      </c>
      <c r="B13438" s="1" t="s">
        <v>170</v>
      </c>
      <c r="C13438" s="1" t="s">
        <v>69</v>
      </c>
      <c r="D13438" s="1" t="s">
        <v>152</v>
      </c>
      <c r="E13438" s="1" t="s">
        <v>680</v>
      </c>
      <c r="F13438" s="1" t="s">
        <v>18730</v>
      </c>
      <c r="G13438" s="1" t="s">
        <v>28</v>
      </c>
      <c r="H13438" s="1" t="s">
        <v>29</v>
      </c>
      <c r="I13438" s="1" t="str">
        <f ca="1">IFERROR(__xludf.DUMMYFUNCTION("GOOGLETRANSLATE(F13438, ""auto"", ""en"")
"),"Good sound for the price.  The only downside is the lack of a volume control on the wire and the volume control of the head does not hold at all.")</f>
        <v>Good sound for the price.  The only downside is the lack of a volume control on the wire and the volume control of the head does not hold at all.</v>
      </c>
    </row>
    <row r="13439" spans="1:9" x14ac:dyDescent="0.3">
      <c r="A13439" s="1" t="s">
        <v>61</v>
      </c>
      <c r="B13439" s="1" t="s">
        <v>1727</v>
      </c>
      <c r="C13439" s="1" t="s">
        <v>122</v>
      </c>
      <c r="D13439" s="1" t="s">
        <v>5437</v>
      </c>
      <c r="E13439" s="1" t="s">
        <v>1730</v>
      </c>
      <c r="F13439" s="1" t="s">
        <v>18731</v>
      </c>
      <c r="G13439" s="1" t="s">
        <v>28</v>
      </c>
      <c r="H13439" s="1" t="s">
        <v>29</v>
      </c>
      <c r="I13439" s="1" t="str">
        <f ca="1">IFERROR(__xludf.DUMMYFUNCTION("GOOGLETRANSLATE(F13439, ""auto"", ""en"")
"),"For me the main drawback is the lack of heating from above! All baked goods must be turned over (extremely inconvenient), otherwise the top remains unbaked. Otherwise everything is fine :)")</f>
        <v>For me the main drawback is the lack of heating from above! All baked goods must be turned over (extremely inconvenient), otherwise the top remains unbaked. Otherwise everything is fine :)</v>
      </c>
    </row>
    <row r="13440" spans="1:9" x14ac:dyDescent="0.3">
      <c r="A13440" s="1" t="s">
        <v>89</v>
      </c>
      <c r="B13440" s="1" t="s">
        <v>1106</v>
      </c>
      <c r="C13440" s="1" t="s">
        <v>185</v>
      </c>
      <c r="D13440" s="1" t="s">
        <v>483</v>
      </c>
      <c r="E13440" s="1" t="s">
        <v>4875</v>
      </c>
      <c r="F13440" s="1" t="s">
        <v>18732</v>
      </c>
      <c r="G13440" s="1" t="s">
        <v>49</v>
      </c>
      <c r="H13440" s="1" t="s">
        <v>16</v>
      </c>
      <c r="I13440" s="1" t="str">
        <f ca="1">IFERROR(__xludf.DUMMYFUNCTION("GOOGLETRANSLATE(F13440, ""auto"", ""en"")
"),"Unfortunately, when I bought it in the store, I didn’t notice that the coffee maker smelled strongly of plastic at home. When I opened it, I immediately felt it, I felt this smell from the coffee that this device gives out, I ran several liters of water i"&amp;"n the coffee preparation mode - the smell remained, generally tormented for several days, I threw this coffee maker on a dusty shelf. I don’t think that equipment that comes into contact with food should smell like chemicals, and especially not sharing th"&amp;"is smell with food, I don’t recommend buying this coffee maker.")</f>
        <v>Unfortunately, when I bought it in the store, I didn’t notice that the coffee maker smelled strongly of plastic at home. When I opened it, I immediately felt it, I felt this smell from the coffee that this device gives out, I ran several liters of water in the coffee preparation mode - the smell remained, generally tormented for several days, I threw this coffee maker on a dusty shelf. I don’t think that equipment that comes into contact with food should smell like chemicals, and especially not sharing this smell with food, I don’t recommend buying this coffee maker.</v>
      </c>
    </row>
    <row r="13441" spans="1:9" x14ac:dyDescent="0.3">
      <c r="A13441" s="1" t="s">
        <v>206</v>
      </c>
      <c r="B13441" s="1" t="s">
        <v>207</v>
      </c>
      <c r="C13441" s="1" t="s">
        <v>1143</v>
      </c>
      <c r="D13441" s="1" t="s">
        <v>442</v>
      </c>
      <c r="E13441" s="1" t="s">
        <v>12829</v>
      </c>
      <c r="F13441" s="1" t="s">
        <v>18733</v>
      </c>
      <c r="G13441" s="1" t="s">
        <v>36</v>
      </c>
      <c r="H13441" s="1" t="s">
        <v>29</v>
      </c>
      <c r="I13441" s="1" t="str">
        <f ca="1">IFERROR(__xludf.DUMMYFUNCTION("GOOGLETRANSLATE(F13441, ""auto"", ""en"")
"),"I took it to Sochi with a discount from Nissan Patrol and it plays great. made with high quality.")</f>
        <v>I took it to Sochi with a discount from Nissan Patrol and it plays great. made with high quality.</v>
      </c>
    </row>
    <row r="13442" spans="1:9" x14ac:dyDescent="0.3">
      <c r="A13442" s="1" t="s">
        <v>30</v>
      </c>
      <c r="B13442" s="1" t="s">
        <v>50</v>
      </c>
      <c r="C13442" s="1" t="s">
        <v>1003</v>
      </c>
      <c r="D13442" s="1" t="s">
        <v>6231</v>
      </c>
      <c r="E13442" s="1" t="s">
        <v>1005</v>
      </c>
      <c r="F13442" s="1" t="s">
        <v>18734</v>
      </c>
      <c r="G13442" s="1" t="s">
        <v>36</v>
      </c>
      <c r="H13442" s="1" t="s">
        <v>29</v>
      </c>
      <c r="I13442" s="1" t="str">
        <f ca="1">IFERROR(__xludf.DUMMYFUNCTION("GOOGLETRANSLATE(F13442, ""auto"", ""en"")
"),"A normal laptop, I bought it back in January 2010) for 25 mowers) Disadvantages, it gets very hot in games), and the laptop is quite powerful, I completed Gtashka 4 on it, the new Juice Kaust, now I’ll try Mafia 2: D, well, actually for games it’s cruel t"&amp;"o take a laptop: D, because it’s cheaper and more reliable to take a PC) or the same xbox-360) and for working in the most once;)")</f>
        <v>A normal laptop, I bought it back in January 2010) for 25 mowers) Disadvantages, it gets very hot in games), and the laptop is quite powerful, I completed Gtashka 4 on it, the new Juice Kaust, now I’ll try Mafia 2: D, well, actually for games it’s cruel to take a laptop: D, because it’s cheaper and more reliable to take a PC) or the same xbox-360) and for working in the most once;)</v>
      </c>
    </row>
    <row r="13443" spans="1:9" x14ac:dyDescent="0.3">
      <c r="A13443" s="1" t="s">
        <v>30</v>
      </c>
      <c r="B13443" s="1" t="s">
        <v>31</v>
      </c>
      <c r="C13443" s="1" t="s">
        <v>5122</v>
      </c>
      <c r="D13443" s="1" t="s">
        <v>411</v>
      </c>
      <c r="E13443" s="1" t="s">
        <v>3147</v>
      </c>
      <c r="F13443" s="1" t="s">
        <v>18735</v>
      </c>
      <c r="G13443" s="1" t="s">
        <v>36</v>
      </c>
      <c r="H13443" s="1" t="s">
        <v>29</v>
      </c>
      <c r="I13443" s="1" t="str">
        <f ca="1">IFERROR(__xludf.DUMMYFUNCTION("GOOGLETRANSLATE(F13443, ""auto"", ""en"")
"),"It's a good computer, although I had to insert some parts from the old one.")</f>
        <v>It's a good computer, although I had to insert some parts from the old one.</v>
      </c>
    </row>
    <row r="13444" spans="1:9" x14ac:dyDescent="0.3">
      <c r="A13444" s="1" t="s">
        <v>17</v>
      </c>
      <c r="B13444" s="1" t="s">
        <v>18</v>
      </c>
      <c r="C13444" s="1" t="s">
        <v>885</v>
      </c>
      <c r="D13444" s="1" t="s">
        <v>345</v>
      </c>
      <c r="E13444" s="1" t="s">
        <v>2310</v>
      </c>
      <c r="F13444" s="1" t="s">
        <v>18736</v>
      </c>
      <c r="G13444" s="1" t="s">
        <v>36</v>
      </c>
      <c r="H13444" s="1" t="s">
        <v>29</v>
      </c>
      <c r="I13444" s="1" t="str">
        <f ca="1">IFERROR(__xludf.DUMMYFUNCTION("GOOGLETRANSLATE(F13444, ""auto"", ""en"")
"),"I bought a Steer. machine Candy COS 105F-07S on the M network Video on sale for only 9900 rubles!!!!! The price without discount is now 14,990 rubles!!! I saved 5000 rubles!!!! The machine is excellent, all my relatives have Candy...I used to have Candy t"&amp;"oo, I gave it to my brother. When the question arose about what I didn’t even think about getting, Candy. They are assembled in Russia, nowhere in China, Italian design, this already says a lot. Everything in the machine is thought out and works like a cl"&amp;"ock.")</f>
        <v>I bought a Steer. machine Candy COS 105F-07S on the M network Video on sale for only 9900 rubles!!!!! The price without discount is now 14,990 rubles!!! I saved 5000 rubles!!!! The machine is excellent, all my relatives have Candy...I used to have Candy too, I gave it to my brother. When the question arose about what I didn’t even think about getting, Candy. They are assembled in Russia, nowhere in China, Italian design, this already says a lot. Everything in the machine is thought out and works like a clock.</v>
      </c>
    </row>
    <row r="13445" spans="1:9" x14ac:dyDescent="0.3">
      <c r="A13445" s="1" t="s">
        <v>9</v>
      </c>
      <c r="B13445" s="1" t="s">
        <v>23</v>
      </c>
      <c r="C13445" s="1" t="s">
        <v>134</v>
      </c>
      <c r="D13445" s="1" t="s">
        <v>75</v>
      </c>
      <c r="E13445" s="1" t="s">
        <v>9101</v>
      </c>
      <c r="F13445" s="1" t="s">
        <v>18737</v>
      </c>
      <c r="G13445" s="1" t="s">
        <v>36</v>
      </c>
      <c r="H13445" s="1" t="s">
        <v>29</v>
      </c>
      <c r="I13445" s="1" t="str">
        <f ca="1">IFERROR(__xludf.DUMMYFUNCTION("GOOGLETRANSLATE(F13445, ""auto"", ""en"")
"),"Quiet, compact, cleans well, and the best manufacturer of dishwashers)))")</f>
        <v>Quiet, compact, cleans well, and the best manufacturer of dishwashers)))</v>
      </c>
    </row>
    <row r="13446" spans="1:9" x14ac:dyDescent="0.3">
      <c r="A13446" s="1" t="s">
        <v>30</v>
      </c>
      <c r="B13446" s="1" t="s">
        <v>50</v>
      </c>
      <c r="C13446" s="1" t="s">
        <v>51</v>
      </c>
      <c r="D13446" s="1" t="s">
        <v>18738</v>
      </c>
      <c r="E13446" s="1" t="s">
        <v>832</v>
      </c>
      <c r="F13446" s="1" t="s">
        <v>18739</v>
      </c>
      <c r="G13446" s="1" t="s">
        <v>36</v>
      </c>
      <c r="H13446" s="1" t="s">
        <v>29</v>
      </c>
      <c r="I13446" s="1" t="str">
        <f ca="1">IFERROR(__xludf.DUMMYFUNCTION("GOOGLETRANSLATE(F13446, ""auto"", ""en"")
"),"I bought this laptop 2 days ago.) Overall I’m happy.  beautiful on the outside, on the inside, he thinks quickly.  but there is one thing - the next day my touchpad also refused to work. And the top panel is touch-sensitive too.  will have to be taken for"&amp;" repairs.((")</f>
        <v>I bought this laptop 2 days ago.) Overall I’m happy.  beautiful on the outside, on the inside, he thinks quickly.  but there is one thing - the next day my touchpad also refused to work. And the top panel is touch-sensitive too.  will have to be taken for repairs.((</v>
      </c>
    </row>
    <row r="13447" spans="1:9" x14ac:dyDescent="0.3">
      <c r="A13447" s="1" t="s">
        <v>811</v>
      </c>
      <c r="B13447" s="1" t="s">
        <v>1599</v>
      </c>
      <c r="C13447" s="1" t="s">
        <v>3051</v>
      </c>
      <c r="D13447" s="1" t="s">
        <v>568</v>
      </c>
      <c r="E13447" s="1" t="s">
        <v>2514</v>
      </c>
      <c r="F13447" s="1" t="s">
        <v>18740</v>
      </c>
      <c r="G13447" s="1" t="s">
        <v>36</v>
      </c>
      <c r="H13447" s="1" t="s">
        <v>29</v>
      </c>
      <c r="I13447" s="1" t="str">
        <f ca="1">IFERROR(__xludf.DUMMYFUNCTION("GOOGLETRANSLATE(F13447, ""auto"", ""en"")
"),"Wonderful, high quality photo backpack. I've been using it for over six months now, with only positive impressions. Considering its dimensions, it is quite light (for people like me who travel often, this is a very significant plus). Accommodates two digi"&amp;"tal cameras with additional lenses and accessories if desired. Equipped with comfortable straps and carrying handles. There is a tripod mount. There is also a separate place to store your laptop. Lots of functional pockets. Partitions have been thought ou"&amp;"t in the backpack itself, which can be transformed to fit the size of any cameras, lenses and flashes. The protection of the bottom of the backpack is well thought out (high-strength plastic or rubber).  The only negative (IMHO) for such a backpack is the"&amp;" lack of a cover to protect it from bad weather.  I recommend it to people with an active lifestyle who need to always have everything at hand!")</f>
        <v>Wonderful, high quality photo backpack. I've been using it for over six months now, with only positive impressions. Considering its dimensions, it is quite light (for people like me who travel often, this is a very significant plus). Accommodates two digital cameras with additional lenses and accessories if desired. Equipped with comfortable straps and carrying handles. There is a tripod mount. There is also a separate place to store your laptop. Lots of functional pockets. Partitions have been thought out in the backpack itself, which can be transformed to fit the size of any cameras, lenses and flashes. The protection of the bottom of the backpack is well thought out (high-strength plastic or rubber).  The only negative (IMHO) for such a backpack is the lack of a cover to protect it from bad weather.  I recommend it to people with an active lifestyle who need to always have everything at hand!</v>
      </c>
    </row>
    <row r="13448" spans="1:9" x14ac:dyDescent="0.3">
      <c r="A13448" s="1" t="s">
        <v>373</v>
      </c>
      <c r="B13448" s="1" t="s">
        <v>374</v>
      </c>
      <c r="C13448" s="1" t="s">
        <v>63</v>
      </c>
      <c r="D13448" s="1" t="s">
        <v>295</v>
      </c>
      <c r="E13448" s="1" t="s">
        <v>2254</v>
      </c>
      <c r="F13448" s="1" t="s">
        <v>18741</v>
      </c>
      <c r="G13448" s="1" t="s">
        <v>36</v>
      </c>
      <c r="H13448" s="1" t="s">
        <v>29</v>
      </c>
      <c r="I13448" s="1" t="str">
        <f ca="1">IFERROR(__xludf.DUMMYFUNCTION("GOOGLETRANSLATE(F13448, ""auto"", ""en"")
"),"I am satisfied with the dishwasher, the dishes are clean and dry after washing, I have never observed any food residues or stains on plates, spoons, glasses. A sore question is: does the burnt bottom of pots, pans, and baking sheets wash off? Don’t flatte"&amp;"r yourself, miracles don’t happen... it won’t wash, but in my opinion this is an excessive demand for an ordinary stream of water. So don’t be lazy to soak it all first and rub the bottom a little with a sponge - then there will definitely be no complaint"&amp;"s, even about soot! Good luck with your choice!")</f>
        <v>I am satisfied with the dishwasher, the dishes are clean and dry after washing, I have never observed any food residues or stains on plates, spoons, glasses. A sore question is: does the burnt bottom of pots, pans, and baking sheets wash off? Don’t flatter yourself, miracles don’t happen... it won’t wash, but in my opinion this is an excessive demand for an ordinary stream of water. So don’t be lazy to soak it all first and rub the bottom a little with a sponge - then there will definitely be no complaints, even about soot! Good luck with your choice!</v>
      </c>
    </row>
    <row r="13449" spans="1:9" x14ac:dyDescent="0.3">
      <c r="A13449" s="1" t="s">
        <v>67</v>
      </c>
      <c r="B13449" s="1" t="s">
        <v>68</v>
      </c>
      <c r="C13449" s="1" t="s">
        <v>246</v>
      </c>
      <c r="D13449" s="1" t="s">
        <v>589</v>
      </c>
      <c r="E13449" s="1" t="s">
        <v>1056</v>
      </c>
      <c r="F13449" s="1" t="s">
        <v>18742</v>
      </c>
      <c r="G13449" s="1" t="s">
        <v>28</v>
      </c>
      <c r="H13449" s="1" t="s">
        <v>29</v>
      </c>
      <c r="I13449" s="1" t="str">
        <f ca="1">IFERROR(__xludf.DUMMYFUNCTION("GOOGLETRANSLATE(F13449, ""auto"", ""en"")
"),"I bought this brand of iron, I like everything, it’s stable, it protects the cord, it works nicely, glides well, doesn’t leak, and is maneuverable. But I came across a low-quality one; the spray bottle does not work even when the container is filled to th"&amp;"e maximum level. I'll go change it and need to check it on site to make sure everything works.")</f>
        <v>I bought this brand of iron, I like everything, it’s stable, it protects the cord, it works nicely, glides well, doesn’t leak, and is maneuverable. But I came across a low-quality one; the spray bottle does not work even when the container is filled to the maximum level. I'll go change it and need to check it on site to make sure everything works.</v>
      </c>
    </row>
    <row r="13450" spans="1:9" x14ac:dyDescent="0.3">
      <c r="A13450" s="1" t="s">
        <v>55</v>
      </c>
      <c r="B13450" s="1" t="s">
        <v>56</v>
      </c>
      <c r="C13450" s="1" t="s">
        <v>3651</v>
      </c>
      <c r="D13450" s="1" t="s">
        <v>172</v>
      </c>
      <c r="E13450" s="1" t="s">
        <v>6469</v>
      </c>
      <c r="F13450" s="1" t="s">
        <v>18743</v>
      </c>
      <c r="G13450" s="1" t="s">
        <v>36</v>
      </c>
      <c r="H13450" s="1" t="s">
        <v>29</v>
      </c>
      <c r="I13450" s="1" t="str">
        <f ca="1">IFERROR(__xludf.DUMMYFUNCTION("GOOGLETRANSLATE(F13450, ""auto"", ""en"")
"),"Great moisturizer! If you pour water from the tap, there will be deposits. If the distiller is EXCELLENT EXCELLENT EXCELLENT! Buy, don't think.")</f>
        <v>Great moisturizer! If you pour water from the tap, there will be deposits. If the distiller is EXCELLENT EXCELLENT EXCELLENT! Buy, don't think.</v>
      </c>
    </row>
    <row r="13451" spans="1:9" x14ac:dyDescent="0.3">
      <c r="A13451" s="1" t="s">
        <v>61</v>
      </c>
      <c r="B13451" s="1" t="s">
        <v>318</v>
      </c>
      <c r="C13451" s="1" t="s">
        <v>63</v>
      </c>
      <c r="D13451" s="1" t="s">
        <v>18744</v>
      </c>
      <c r="E13451" s="1" t="s">
        <v>15137</v>
      </c>
      <c r="F13451" s="1" t="s">
        <v>18745</v>
      </c>
      <c r="G13451" s="1" t="s">
        <v>36</v>
      </c>
      <c r="H13451" s="1" t="s">
        <v>29</v>
      </c>
      <c r="I13451" s="1" t="str">
        <f ca="1">IFERROR(__xludf.DUMMYFUNCTION("GOOGLETRANSLATE(F13451, ""auto"", ""en"")
"),"It’s been working for me for about 4 years now, I drink water from the tap without filters, etc., I haven’t seen any of the listed faults, the only malfunction is that the color has changed to dirty brown, I smoke in the kitchen. And any kettle will start"&amp;" to leak if you turn it on without water...")</f>
        <v>It’s been working for me for about 4 years now, I drink water from the tap without filters, etc., I haven’t seen any of the listed faults, the only malfunction is that the color has changed to dirty brown, I smoke in the kitchen. And any kettle will start to leak if you turn it on without water...</v>
      </c>
    </row>
    <row r="13452" spans="1:9" x14ac:dyDescent="0.3">
      <c r="A13452" s="1" t="s">
        <v>9</v>
      </c>
      <c r="B13452" s="1" t="s">
        <v>10</v>
      </c>
      <c r="C13452" s="1" t="s">
        <v>407</v>
      </c>
      <c r="D13452" s="1" t="s">
        <v>280</v>
      </c>
      <c r="E13452" s="1" t="s">
        <v>3435</v>
      </c>
      <c r="F13452" s="1" t="s">
        <v>18746</v>
      </c>
      <c r="G13452" s="1" t="s">
        <v>36</v>
      </c>
      <c r="H13452" s="1" t="s">
        <v>29</v>
      </c>
      <c r="I13452" s="1" t="str">
        <f ca="1">IFERROR(__xludf.DUMMYFUNCTION("GOOGLETRANSLATE(F13452, ""auto"", ""en"")
"),"We have been using the hood for 1.5 years now, we are very satisfied, it has a timer, which is very convenient, it is moderately noisy, it extracts well, there is a check valve. In general, I recommend it!")</f>
        <v>We have been using the hood for 1.5 years now, we are very satisfied, it has a timer, which is very convenient, it is moderately noisy, it extracts well, there is a check valve. In general, I recommend it!</v>
      </c>
    </row>
    <row r="13453" spans="1:9" x14ac:dyDescent="0.3">
      <c r="A13453" s="1" t="s">
        <v>211</v>
      </c>
      <c r="B13453" s="1" t="s">
        <v>212</v>
      </c>
      <c r="C13453" s="1" t="s">
        <v>57</v>
      </c>
      <c r="D13453" s="1" t="s">
        <v>2250</v>
      </c>
      <c r="E13453" s="1" t="s">
        <v>4528</v>
      </c>
      <c r="F13453" s="1" t="s">
        <v>18747</v>
      </c>
      <c r="G13453" s="1" t="s">
        <v>49</v>
      </c>
      <c r="H13453" s="1" t="s">
        <v>16</v>
      </c>
      <c r="I13453" s="1" t="str">
        <f ca="1">IFERROR(__xludf.DUMMYFUNCTION("GOOGLETRANSLATE(F13453, ""auto"", ""en"")
"),"I bought this curling iron, tried it out and was horrified! The curling iron did not heat up at all, but was only warm - you could hold it with your hand! And naturally she didn’t curl her hair. I went to the store and exchanged it for a curling iron from"&amp;" another company.")</f>
        <v>I bought this curling iron, tried it out and was horrified! The curling iron did not heat up at all, but was only warm - you could hold it with your hand! And naturally she didn’t curl her hair. I went to the store and exchanged it for a curling iron from another company.</v>
      </c>
    </row>
    <row r="13454" spans="1:9" x14ac:dyDescent="0.3">
      <c r="A13454" s="1" t="s">
        <v>120</v>
      </c>
      <c r="B13454" s="1" t="s">
        <v>121</v>
      </c>
      <c r="C13454" s="1" t="s">
        <v>151</v>
      </c>
      <c r="D13454" s="1" t="s">
        <v>139</v>
      </c>
      <c r="E13454" s="1" t="s">
        <v>3594</v>
      </c>
      <c r="F13454" s="1" t="s">
        <v>18748</v>
      </c>
      <c r="G13454" s="1" t="s">
        <v>36</v>
      </c>
      <c r="H13454" s="1" t="s">
        <v>29</v>
      </c>
      <c r="I13454" s="1" t="str">
        <f ca="1">IFERROR(__xludf.DUMMYFUNCTION("GOOGLETRANSLATE(F13454, ""auto"", ""en"")
"),"The TV is really worthy! I bought it two months ago and am completely satisfied. Before this TV, I was an ardent Sony fan, but I bought this one and have no regrets (value for money).   If anyone knows, tell me how to go to the service menu and enable opt"&amp;"ions for playing AVI, VOB, MKV from a flash drive.")</f>
        <v>The TV is really worthy! I bought it two months ago and am completely satisfied. Before this TV, I was an ardent Sony fan, but I bought this one and have no regrets (value for money).   If anyone knows, tell me how to go to the service menu and enable options for playing AVI, VOB, MKV from a flash drive.</v>
      </c>
    </row>
    <row r="13455" spans="1:9" x14ac:dyDescent="0.3">
      <c r="A13455" s="1" t="s">
        <v>30</v>
      </c>
      <c r="B13455" s="1" t="s">
        <v>50</v>
      </c>
      <c r="C13455" s="1" t="s">
        <v>1003</v>
      </c>
      <c r="D13455" s="1" t="s">
        <v>171</v>
      </c>
      <c r="E13455" s="1" t="s">
        <v>2383</v>
      </c>
      <c r="F13455" s="1" t="s">
        <v>18749</v>
      </c>
      <c r="G13455" s="1" t="s">
        <v>28</v>
      </c>
      <c r="H13455" s="1" t="s">
        <v>29</v>
      </c>
      <c r="I13455" s="1" t="str">
        <f ca="1">IFERROR(__xludf.DUMMYFUNCTION("GOOGLETRANSLATE(F13455, ""auto"", ""en"")
"),"It gets very hot, the battery doesn’t sit tightly, but everything is fine)")</f>
        <v>It gets very hot, the battery doesn’t sit tightly, but everything is fine)</v>
      </c>
    </row>
    <row r="13456" spans="1:9" x14ac:dyDescent="0.3">
      <c r="A13456" s="1" t="s">
        <v>120</v>
      </c>
      <c r="B13456" s="1" t="s">
        <v>256</v>
      </c>
      <c r="C13456" s="1" t="s">
        <v>658</v>
      </c>
      <c r="D13456" s="1" t="s">
        <v>305</v>
      </c>
      <c r="E13456" s="1" t="s">
        <v>1886</v>
      </c>
      <c r="F13456" s="1" t="s">
        <v>18750</v>
      </c>
      <c r="G13456" s="1" t="s">
        <v>36</v>
      </c>
      <c r="H13456" s="1" t="s">
        <v>29</v>
      </c>
      <c r="I13456" s="1" t="str">
        <f ca="1">IFERROR(__xludf.DUMMYFUNCTION("GOOGLETRANSLATE(F13456, ""auto"", ""en"")
"),"I'm happy with the purchase. I recommend it.")</f>
        <v>I'm happy with the purchase. I recommend it.</v>
      </c>
    </row>
    <row r="13457" spans="1:9" x14ac:dyDescent="0.3">
      <c r="A13457" s="1" t="s">
        <v>557</v>
      </c>
      <c r="B13457" s="1" t="s">
        <v>1977</v>
      </c>
      <c r="C13457" s="1" t="s">
        <v>122</v>
      </c>
      <c r="D13457" s="1" t="s">
        <v>521</v>
      </c>
      <c r="E13457" s="1" t="s">
        <v>6289</v>
      </c>
      <c r="F13457" s="1" t="s">
        <v>18751</v>
      </c>
      <c r="G13457" s="1" t="s">
        <v>36</v>
      </c>
      <c r="H13457" s="1" t="s">
        <v>29</v>
      </c>
      <c r="I13457" s="1" t="str">
        <f ca="1">IFERROR(__xludf.DUMMYFUNCTION("GOOGLETRANSLATE(F13457, ""auto"", ""en"")
"),"It’s an excellent phone, I have one at work, and I’m planning to buy one for home. Soft keys, solid body.")</f>
        <v>It’s an excellent phone, I have one at work, and I’m planning to buy one for home. Soft keys, solid body.</v>
      </c>
    </row>
    <row r="13458" spans="1:9" x14ac:dyDescent="0.3">
      <c r="A13458" s="1" t="s">
        <v>811</v>
      </c>
      <c r="B13458" s="1" t="s">
        <v>812</v>
      </c>
      <c r="C13458" s="1" t="s">
        <v>949</v>
      </c>
      <c r="D13458" s="1" t="s">
        <v>589</v>
      </c>
      <c r="E13458" s="1" t="s">
        <v>5706</v>
      </c>
      <c r="F13458" s="1" t="s">
        <v>18752</v>
      </c>
      <c r="G13458" s="1" t="s">
        <v>36</v>
      </c>
      <c r="H13458" s="1" t="s">
        <v>29</v>
      </c>
      <c r="I13458" s="1" t="str">
        <f ca="1">IFERROR(__xludf.DUMMYFUNCTION("GOOGLETRANSLATE(F13458, ""auto"", ""en"")
"),"The tripod is simply gorgeous! Stable, comfortable. Very strong and reliable. I'm very pleased with them. It's a shame it was discontinued.")</f>
        <v>The tripod is simply gorgeous! Stable, comfortable. Very strong and reliable. I'm very pleased with them. It's a shame it was discontinued.</v>
      </c>
    </row>
    <row r="13459" spans="1:9" x14ac:dyDescent="0.3">
      <c r="A13459" s="1" t="s">
        <v>61</v>
      </c>
      <c r="B13459" s="1" t="s">
        <v>318</v>
      </c>
      <c r="C13459" s="1" t="s">
        <v>246</v>
      </c>
      <c r="D13459" s="1" t="s">
        <v>39</v>
      </c>
      <c r="E13459" s="1" t="s">
        <v>2432</v>
      </c>
      <c r="F13459" s="1" t="s">
        <v>18753</v>
      </c>
      <c r="G13459" s="1" t="s">
        <v>49</v>
      </c>
      <c r="H13459" s="1" t="s">
        <v>16</v>
      </c>
      <c r="I13459" s="1" t="str">
        <f ca="1">IFERROR(__xludf.DUMMYFUNCTION("GOOGLETRANSLATE(F13459, ""auto"", ""en"")
"),"It makes noise like a steam locomotive, it hasn't even been a year since it started leaking")</f>
        <v>It makes noise like a steam locomotive, it hasn't even been a year since it started leaking</v>
      </c>
    </row>
    <row r="13460" spans="1:9" x14ac:dyDescent="0.3">
      <c r="A13460" s="1" t="s">
        <v>111</v>
      </c>
      <c r="B13460" s="1" t="s">
        <v>112</v>
      </c>
      <c r="C13460" s="1" t="s">
        <v>113</v>
      </c>
      <c r="D13460" s="1" t="s">
        <v>102</v>
      </c>
      <c r="E13460" s="1" t="s">
        <v>2310</v>
      </c>
      <c r="F13460" s="1" t="s">
        <v>18754</v>
      </c>
      <c r="G13460" s="1" t="s">
        <v>36</v>
      </c>
      <c r="H13460" s="1" t="s">
        <v>29</v>
      </c>
      <c r="I13460" s="1" t="str">
        <f ca="1">IFERROR(__xludf.DUMMYFUNCTION("GOOGLETRANSLATE(F13460, ""auto"", ""en"")
"),"Great filter! During a power surge, it saved everything that was connected to it, unlike ordinary cheap filters, whose filling was simply blown apart by an explosion, and 2 power supplies from phones burned out.")</f>
        <v>Great filter! During a power surge, it saved everything that was connected to it, unlike ordinary cheap filters, whose filling was simply blown apart by an explosion, and 2 power supplies from phones burned out.</v>
      </c>
    </row>
    <row r="13461" spans="1:9" x14ac:dyDescent="0.3">
      <c r="A13461" s="1" t="s">
        <v>30</v>
      </c>
      <c r="B13461" s="1" t="s">
        <v>50</v>
      </c>
      <c r="C13461" s="1" t="s">
        <v>1003</v>
      </c>
      <c r="D13461" s="1" t="s">
        <v>18755</v>
      </c>
      <c r="E13461" s="1" t="s">
        <v>1362</v>
      </c>
      <c r="F13461" s="1" t="s">
        <v>18756</v>
      </c>
      <c r="G13461" s="1" t="s">
        <v>36</v>
      </c>
      <c r="H13461" s="1" t="s">
        <v>29</v>
      </c>
      <c r="I13461" s="1" t="str">
        <f ca="1">IFERROR(__xludf.DUMMYFUNCTION("GOOGLETRANSLATE(F13461, ""auto"", ""en"")
"),"This laptop is very good: the design is stylish, the screen size is standard, the clock speed is especially cool. I will definitely buy it as soon as I get to Penza")</f>
        <v>This laptop is very good: the design is stylish, the screen size is standard, the clock speed is especially cool. I will definitely buy it as soon as I get to Penza</v>
      </c>
    </row>
    <row r="13462" spans="1:9" x14ac:dyDescent="0.3">
      <c r="A13462" s="1" t="s">
        <v>30</v>
      </c>
      <c r="B13462" s="1" t="s">
        <v>50</v>
      </c>
      <c r="C13462" s="1" t="s">
        <v>189</v>
      </c>
      <c r="D13462" s="1" t="s">
        <v>18757</v>
      </c>
      <c r="E13462" s="1" t="s">
        <v>750</v>
      </c>
      <c r="F13462" s="1" t="s">
        <v>18758</v>
      </c>
      <c r="G13462" s="1" t="s">
        <v>28</v>
      </c>
      <c r="H13462" s="1" t="s">
        <v>29</v>
      </c>
      <c r="I13462" s="1" t="str">
        <f ca="1">IFERROR(__xludf.DUMMYFUNCTION("GOOGLETRANSLATE(F13462, ""auto"", ""en"")
"),"An excellent model, you install windows7 and don’t know any problems, almost all the main firewood is installed by yourself, only with subtleties such as displaying the battery volume or the operation of the keyboard (hot keys), you need to manually downl"&amp;"oad it from the sites and install it yourself.  A huge plus, unlike the Acer Aspire line, is that the ventilation compartments are located on the side, and when standing on the bed, it does not overheat and does not turn off automatically. The car is wort"&amp;"h paying that kind of money for.")</f>
        <v>An excellent model, you install windows7 and don’t know any problems, almost all the main firewood is installed by yourself, only with subtleties such as displaying the battery volume or the operation of the keyboard (hot keys), you need to manually download it from the sites and install it yourself.  A huge plus, unlike the Acer Aspire line, is that the ventilation compartments are located on the side, and when standing on the bed, it does not overheat and does not turn off automatically. The car is worth paying that kind of money for.</v>
      </c>
    </row>
    <row r="13463" spans="1:9" x14ac:dyDescent="0.3">
      <c r="A13463" s="1" t="s">
        <v>624</v>
      </c>
      <c r="B13463" s="1" t="s">
        <v>625</v>
      </c>
      <c r="C13463" s="1" t="s">
        <v>479</v>
      </c>
      <c r="D13463" s="1" t="s">
        <v>152</v>
      </c>
      <c r="E13463" s="1" t="s">
        <v>2812</v>
      </c>
      <c r="F13463" s="1" t="s">
        <v>18759</v>
      </c>
      <c r="G13463" s="1" t="s">
        <v>36</v>
      </c>
      <c r="H13463" s="1" t="s">
        <v>29</v>
      </c>
      <c r="I13463" s="1" t="str">
        <f ca="1">IFERROR(__xludf.DUMMYFUNCTION("GOOGLETRANSLATE(F13463, ""auto"", ""en"")
"),"The game is exciting, interesting and develops logic! The graphics are simply amazing, the jungle landscapes, the situation in the destroyed cities are amazing! beautiful!!!  - I'm looking forward to the release of part 3!")</f>
        <v>The game is exciting, interesting and develops logic! The graphics are simply amazing, the jungle landscapes, the situation in the destroyed cities are amazing! beautiful!!!  - I'm looking forward to the release of part 3!</v>
      </c>
    </row>
    <row r="13464" spans="1:9" x14ac:dyDescent="0.3">
      <c r="A13464" s="1" t="s">
        <v>211</v>
      </c>
      <c r="B13464" s="1" t="s">
        <v>212</v>
      </c>
      <c r="C13464" s="1" t="s">
        <v>294</v>
      </c>
      <c r="D13464" s="1" t="s">
        <v>308</v>
      </c>
      <c r="E13464" s="1" t="s">
        <v>4027</v>
      </c>
      <c r="F13464" s="1" t="s">
        <v>18760</v>
      </c>
      <c r="G13464" s="1" t="s">
        <v>15</v>
      </c>
      <c r="H13464" s="1" t="s">
        <v>16</v>
      </c>
      <c r="I13464" s="1" t="str">
        <f ca="1">IFERROR(__xludf.DUMMYFUNCTION("GOOGLETRANSLATE(F13464, ""auto"", ""en"")
"),"Dried well, burned out after 1.5 years. During drying, sparks flew and the plugs were knocked out ((")</f>
        <v>Dried well, burned out after 1.5 years. During drying, sparks flew and the plugs were knocked out ((</v>
      </c>
    </row>
    <row r="13465" spans="1:9" x14ac:dyDescent="0.3">
      <c r="A13465" s="1" t="s">
        <v>43</v>
      </c>
      <c r="B13465" s="1" t="s">
        <v>1370</v>
      </c>
      <c r="C13465" s="1" t="s">
        <v>2137</v>
      </c>
      <c r="D13465" s="1" t="s">
        <v>621</v>
      </c>
      <c r="E13465" s="1" t="s">
        <v>3877</v>
      </c>
      <c r="F13465" s="1" t="s">
        <v>18761</v>
      </c>
      <c r="G13465" s="1" t="s">
        <v>28</v>
      </c>
      <c r="H13465" s="1" t="s">
        <v>29</v>
      </c>
      <c r="I13465" s="1" t="str">
        <f ca="1">IFERROR(__xludf.DUMMYFUNCTION("GOOGLETRANSLATE(F13465, ""auto"", ""en"")
"),"We bought a shower a couple of days ago. It is very inconvenient that there is no cable with a plug and hoses to connect, you need to buy it separately. For me, the shower itself is a little short. The water heats normally, a comfortable temperature even "&amp;"for washing a child.")</f>
        <v>We bought a shower a couple of days ago. It is very inconvenient that there is no cable with a plug and hoses to connect, you need to buy it separately. For me, the shower itself is a little short. The water heats normally, a comfortable temperature even for washing a child.</v>
      </c>
    </row>
    <row r="13466" spans="1:9" x14ac:dyDescent="0.3">
      <c r="A13466" s="1" t="s">
        <v>30</v>
      </c>
      <c r="B13466" s="1" t="s">
        <v>50</v>
      </c>
      <c r="C13466" s="1" t="s">
        <v>1386</v>
      </c>
      <c r="D13466" s="1" t="s">
        <v>200</v>
      </c>
      <c r="E13466" s="1" t="s">
        <v>3367</v>
      </c>
      <c r="F13466" s="1" t="s">
        <v>18762</v>
      </c>
      <c r="G13466" s="1" t="s">
        <v>36</v>
      </c>
      <c r="H13466" s="1" t="s">
        <v>29</v>
      </c>
      <c r="I13466" s="1" t="str">
        <f ca="1">IFERROR(__xludf.DUMMYFUNCTION("GOOGLETRANSLATE(F13466, ""auto"", ""en"")
"),"And you yourself think about how you can work on one system without changing themes?  After all, Windows 7 Home Basic does not support themes (even from microSoftA) and the fact that there is no Windows media center is generally a problem. so who needs a "&amp;"beech tree for what?")</f>
        <v>And you yourself think about how you can work on one system without changing themes?  After all, Windows 7 Home Basic does not support themes (even from microSoftA) and the fact that there is no Windows media center is generally a problem. so who needs a beech tree for what?</v>
      </c>
    </row>
    <row r="13467" spans="1:9" x14ac:dyDescent="0.3">
      <c r="A13467" s="1" t="s">
        <v>43</v>
      </c>
      <c r="B13467" s="1" t="s">
        <v>334</v>
      </c>
      <c r="C13467" s="1" t="s">
        <v>101</v>
      </c>
      <c r="D13467" s="1" t="s">
        <v>39</v>
      </c>
      <c r="E13467" s="1" t="s">
        <v>1576</v>
      </c>
      <c r="F13467" s="1" t="s">
        <v>18763</v>
      </c>
      <c r="G13467" s="1" t="s">
        <v>28</v>
      </c>
      <c r="H13467" s="1" t="s">
        <v>29</v>
      </c>
      <c r="I13467" s="1" t="str">
        <f ca="1">IFERROR(__xludf.DUMMYFUNCTION("GOOGLETRANSLATE(F13467, ""auto"", ""en"")
"),"I recently bought this fan - it’s very comfortable, but a little noisy, overall I’m happy!")</f>
        <v>I recently bought this fan - it’s very comfortable, but a little noisy, overall I’m happy!</v>
      </c>
    </row>
    <row r="13468" spans="1:9" x14ac:dyDescent="0.3">
      <c r="A13468" s="1" t="s">
        <v>9</v>
      </c>
      <c r="B13468" s="1" t="s">
        <v>10</v>
      </c>
      <c r="C13468" s="1" t="s">
        <v>407</v>
      </c>
      <c r="D13468" s="1" t="s">
        <v>305</v>
      </c>
      <c r="E13468" s="1" t="s">
        <v>7833</v>
      </c>
      <c r="F13468" s="1" t="s">
        <v>18764</v>
      </c>
      <c r="G13468" s="1" t="s">
        <v>49</v>
      </c>
      <c r="H13468" s="1" t="s">
        <v>16</v>
      </c>
      <c r="I13468" s="1" t="str">
        <f ca="1">IFERROR(__xludf.DUMMYFUNCTION("GOOGLETRANSLATE(F13468, ""auto"", ""en"")
"),"The diameter of the connection fitting is not 120, but 100. Thank you for the “correct” description of the product.  I bought and installed a 120 pipe. Very ""grateful"" to the store.")</f>
        <v>The diameter of the connection fitting is not 120, but 100. Thank you for the “correct” description of the product.  I bought and installed a 120 pipe. Very "grateful" to the store.</v>
      </c>
    </row>
    <row r="13469" spans="1:9" x14ac:dyDescent="0.3">
      <c r="A13469" s="1" t="s">
        <v>43</v>
      </c>
      <c r="B13469" s="1" t="s">
        <v>1616</v>
      </c>
      <c r="C13469" s="1" t="s">
        <v>185</v>
      </c>
      <c r="D13469" s="1" t="s">
        <v>916</v>
      </c>
      <c r="E13469" s="1" t="s">
        <v>1139</v>
      </c>
      <c r="F13469" s="1" t="s">
        <v>18765</v>
      </c>
      <c r="G13469" s="1" t="s">
        <v>28</v>
      </c>
      <c r="H13469" s="1" t="s">
        <v>29</v>
      </c>
      <c r="I13469" s="1" t="str">
        <f ca="1">IFERROR(__xludf.DUMMYFUNCTION("GOOGLETRANSLATE(F13469, ""auto"", ""en"")
"),"We bought this air conditioner yesterday.. It doesn’t cool very well. And it makes a lot of noise. It’s ok")</f>
        <v>We bought this air conditioner yesterday.. It doesn’t cool very well. And it makes a lot of noise. It’s ok</v>
      </c>
    </row>
    <row r="13470" spans="1:9" x14ac:dyDescent="0.3">
      <c r="A13470" s="1" t="s">
        <v>30</v>
      </c>
      <c r="B13470" s="1" t="s">
        <v>31</v>
      </c>
      <c r="C13470" s="1" t="s">
        <v>32</v>
      </c>
      <c r="D13470" s="1" t="s">
        <v>411</v>
      </c>
      <c r="E13470" s="1" t="s">
        <v>363</v>
      </c>
      <c r="F13470" s="1" t="s">
        <v>18766</v>
      </c>
      <c r="G13470" s="1" t="s">
        <v>28</v>
      </c>
      <c r="H13470" s="1" t="s">
        <v>29</v>
      </c>
      <c r="I13470" s="1" t="str">
        <f ca="1">IFERROR(__xludf.DUMMYFUNCTION("GOOGLETRANSLATE(F13470, ""auto"", ""en"")
"),"I will confirm. The computer is very good, but the video driver keeps crashing in games. As already mentioned, this is most likely due to overheating of the video card. Can anyone advise what to do about this?")</f>
        <v>I will confirm. The computer is very good, but the video driver keeps crashing in games. As already mentioned, this is most likely due to overheating of the video card. Can anyone advise what to do about this?</v>
      </c>
    </row>
    <row r="13471" spans="1:9" x14ac:dyDescent="0.3">
      <c r="A13471" s="1" t="s">
        <v>9</v>
      </c>
      <c r="B13471" s="1" t="s">
        <v>10</v>
      </c>
      <c r="C13471" s="1" t="s">
        <v>466</v>
      </c>
      <c r="D13471" s="1" t="s">
        <v>2336</v>
      </c>
      <c r="E13471" s="1" t="s">
        <v>3044</v>
      </c>
      <c r="F13471" s="1" t="s">
        <v>18767</v>
      </c>
      <c r="G13471" s="1" t="s">
        <v>36</v>
      </c>
      <c r="H13471" s="1" t="s">
        <v>29</v>
      </c>
      <c r="I13471" s="1" t="str">
        <f ca="1">IFERROR(__xludf.DUMMYFUNCTION("GOOGLETRANSLATE(F13471, ""auto"", ""en"")
"),"I really liked it! We've been using it for a month now! It makes less noise than other similar models that were presented in the store! You cook, but literally 3 steps away you can no longer smell the food (as before throughout the entire apartment). I re"&amp;"commend!")</f>
        <v>I really liked it! We've been using it for a month now! It makes less noise than other similar models that were presented in the store! You cook, but literally 3 steps away you can no longer smell the food (as before throughout the entire apartment). I recommend!</v>
      </c>
    </row>
    <row r="13472" spans="1:9" x14ac:dyDescent="0.3">
      <c r="A13472" s="1" t="s">
        <v>61</v>
      </c>
      <c r="B13472" s="1" t="s">
        <v>318</v>
      </c>
      <c r="C13472" s="1" t="s">
        <v>101</v>
      </c>
      <c r="D13472" s="1" t="s">
        <v>690</v>
      </c>
      <c r="E13472" s="1" t="s">
        <v>3397</v>
      </c>
      <c r="F13472" s="1" t="s">
        <v>18768</v>
      </c>
      <c r="G13472" s="1" t="s">
        <v>49</v>
      </c>
      <c r="H13472" s="1" t="s">
        <v>16</v>
      </c>
      <c r="I13472" s="1" t="str">
        <f ca="1">IFERROR(__xludf.DUMMYFUNCTION("GOOGLETRANSLATE(F13472, ""auto"", ""en"")
"),"I boiled it for three days and washed it, nothing helps, the smell is still so bad that you can’t drink the water!!!")</f>
        <v>I boiled it for three days and washed it, nothing helps, the smell is still so bad that you can’t drink the water!!!</v>
      </c>
    </row>
    <row r="13473" spans="1:9" x14ac:dyDescent="0.3">
      <c r="A13473" s="1" t="s">
        <v>149</v>
      </c>
      <c r="B13473" s="1" t="s">
        <v>150</v>
      </c>
      <c r="C13473" s="1" t="s">
        <v>2016</v>
      </c>
      <c r="D13473" s="1" t="s">
        <v>305</v>
      </c>
      <c r="E13473" s="1" t="s">
        <v>1203</v>
      </c>
      <c r="F13473" s="1" t="s">
        <v>18769</v>
      </c>
      <c r="G13473" s="1" t="s">
        <v>28</v>
      </c>
      <c r="H13473" s="1" t="s">
        <v>29</v>
      </c>
      <c r="I13473" s="1" t="str">
        <f ca="1">IFERROR(__xludf.DUMMYFUNCTION("GOOGLETRANSLATE(F13473, ""auto"", ""en"")
"),"I bought it and have been using it for a week. The best vacuum cleaner for cleaning your car. Its actual electrical power is approximately 100 W (I did not find this in the specifications), and it is quite enough for cleaning a small area. Moreover, the c"&amp;"yclone system allows this power to be used as efficiently as possible. Adequate noise level. Among the disadvantages, I would include the highly electrified material (perhaps now in frosty and dry air this is especially noticeable), and the problematic cl"&amp;"eaning of the container from debris. It is almost impossible to remove dust and debris so that some of it does not get into the motor and fly out the next time you turn it on, so that dust and hair do not stick to the seals, etc... In short, it is a rathe"&amp;"r dirty procedure, for which you will need a hard brush, and which is better done on the street, and not in the garage... Nevertheless, I recommend this vacuum cleaner to those who need the ability to autonomously clean the interior, as an optimal price c"&amp;"ar vacuum cleaner that actually performs its functions.")</f>
        <v>I bought it and have been using it for a week. The best vacuum cleaner for cleaning your car. Its actual electrical power is approximately 100 W (I did not find this in the specifications), and it is quite enough for cleaning a small area. Moreover, the cyclone system allows this power to be used as efficiently as possible. Adequate noise level. Among the disadvantages, I would include the highly electrified material (perhaps now in frosty and dry air this is especially noticeable), and the problematic cleaning of the container from debris. It is almost impossible to remove dust and debris so that some of it does not get into the motor and fly out the next time you turn it on, so that dust and hair do not stick to the seals, etc... In short, it is a rather dirty procedure, for which you will need a hard brush, and which is better done on the street, and not in the garage... Nevertheless, I recommend this vacuum cleaner to those who need the ability to autonomously clean the interior, as an optimal price car vacuum cleaner that actually performs its functions.</v>
      </c>
    </row>
    <row r="13474" spans="1:9" x14ac:dyDescent="0.3">
      <c r="A13474" s="1" t="s">
        <v>61</v>
      </c>
      <c r="B13474" s="1" t="s">
        <v>318</v>
      </c>
      <c r="C13474" s="1" t="s">
        <v>246</v>
      </c>
      <c r="D13474" s="1" t="s">
        <v>18770</v>
      </c>
      <c r="E13474" s="1" t="s">
        <v>14131</v>
      </c>
      <c r="F13474" s="1" t="s">
        <v>18771</v>
      </c>
      <c r="G13474" s="1" t="s">
        <v>36</v>
      </c>
      <c r="H13474" s="1" t="s">
        <v>29</v>
      </c>
      <c r="I13474" s="1" t="str">
        <f ca="1">IFERROR(__xludf.DUMMYFUNCTION("GOOGLETRANSLATE(F13474, ""auto"", ""en"")
"),"The kettle fully does its job, quietly and quickly, has a shut-off function when raised (if you don’t need to boil completely, lift it, and the kettle turns off itself). The plastic is high quality, you won’t get burned, the strainer fits tightly, the sca"&amp;"le remains inside. Everything is fine, except for one thing: the water measurement scale is a little dark, in my opinion not critical, but I still take off half a point.")</f>
        <v>The kettle fully does its job, quietly and quickly, has a shut-off function when raised (if you don’t need to boil completely, lift it, and the kettle turns off itself). The plastic is high quality, you won’t get burned, the strainer fits tightly, the scale remains inside. Everything is fine, except for one thing: the water measurement scale is a little dark, in my opinion not critical, but I still take off half a point.</v>
      </c>
    </row>
    <row r="13475" spans="1:9" x14ac:dyDescent="0.3">
      <c r="A13475" s="1" t="s">
        <v>282</v>
      </c>
      <c r="B13475" s="1" t="s">
        <v>283</v>
      </c>
      <c r="C13475" s="1" t="s">
        <v>284</v>
      </c>
      <c r="D13475" s="1" t="s">
        <v>18772</v>
      </c>
      <c r="E13475" s="1" t="s">
        <v>191</v>
      </c>
      <c r="F13475" s="1" t="s">
        <v>18773</v>
      </c>
      <c r="G13475" s="1" t="s">
        <v>15</v>
      </c>
      <c r="H13475" s="1" t="s">
        <v>16</v>
      </c>
      <c r="I13475" s="1" t="str">
        <f ca="1">IFERROR(__xludf.DUMMYFUNCTION("GOOGLETRANSLATE(F13475, ""auto"", ""en"")
"),"You can still watch it on a laptop or small TV, but if you watch it on a larger one, then no way - the quality is low, so the picture is sooooo fuzzy, there are versions with 2 discs, these are suitable, so the stingy pays twice =) and for those with a sm"&amp;"all diagonal, take this one, the df is very good")</f>
        <v>You can still watch it on a laptop or small TV, but if you watch it on a larger one, then no way - the quality is low, so the picture is sooooo fuzzy, there are versions with 2 discs, these are suitable, so the stingy pays twice =) and for those with a small diagonal, take this one, the df is very good</v>
      </c>
    </row>
    <row r="13476" spans="1:9" x14ac:dyDescent="0.3">
      <c r="A13476" s="1" t="s">
        <v>5066</v>
      </c>
      <c r="B13476" s="1" t="s">
        <v>5067</v>
      </c>
      <c r="C13476" s="1" t="s">
        <v>911</v>
      </c>
      <c r="D13476" s="1" t="s">
        <v>545</v>
      </c>
      <c r="E13476" s="1" t="s">
        <v>18774</v>
      </c>
      <c r="F13476" s="1" t="s">
        <v>18775</v>
      </c>
      <c r="G13476" s="1" t="s">
        <v>28</v>
      </c>
      <c r="H13476" s="1" t="s">
        <v>29</v>
      </c>
      <c r="I13476" s="1" t="str">
        <f ca="1">IFERROR(__xludf.DUMMYFUNCTION("GOOGLETRANSLATE(F13476, ""auto"", ""en"")
"),"refund if not in demand")</f>
        <v>refund if not in demand</v>
      </c>
    </row>
    <row r="13477" spans="1:9" x14ac:dyDescent="0.3">
      <c r="A13477" s="1" t="s">
        <v>61</v>
      </c>
      <c r="B13477" s="1" t="s">
        <v>318</v>
      </c>
      <c r="C13477" s="1" t="s">
        <v>101</v>
      </c>
      <c r="D13477" s="1" t="s">
        <v>2953</v>
      </c>
      <c r="E13477" s="1" t="s">
        <v>722</v>
      </c>
      <c r="F13477" s="1" t="s">
        <v>18776</v>
      </c>
      <c r="G13477" s="1" t="s">
        <v>28</v>
      </c>
      <c r="H13477" s="1" t="s">
        <v>29</v>
      </c>
      <c r="I13477" s="1" t="str">
        <f ca="1">IFERROR(__xludf.DUMMYFUNCTION("GOOGLETRANSLATE(F13477, ""auto"", ""en"")
"),"A good kettle for the price, the main thing is that it is very quiet and heats the water quickly. Well, the appearance is of course pleasant, it’s always better to have beautiful equipment, although for me this is not the most important thing. The kettle’"&amp;"s handle also doesn’t heat up, so you can easily pour water, unlike in my past.")</f>
        <v>A good kettle for the price, the main thing is that it is very quiet and heats the water quickly. Well, the appearance is of course pleasant, it’s always better to have beautiful equipment, although for me this is not the most important thing. The kettle’s handle also doesn’t heat up, so you can easily pour water, unlike in my past.</v>
      </c>
    </row>
    <row r="13478" spans="1:9" x14ac:dyDescent="0.3">
      <c r="A13478" s="1" t="s">
        <v>211</v>
      </c>
      <c r="B13478" s="1" t="s">
        <v>265</v>
      </c>
      <c r="C13478" s="1" t="s">
        <v>57</v>
      </c>
      <c r="D13478" s="1" t="s">
        <v>280</v>
      </c>
      <c r="E13478" s="1" t="s">
        <v>1228</v>
      </c>
      <c r="F13478" s="1" t="s">
        <v>18777</v>
      </c>
      <c r="G13478" s="1" t="s">
        <v>49</v>
      </c>
      <c r="H13478" s="1" t="s">
        <v>16</v>
      </c>
      <c r="I13478" s="1" t="str">
        <f ca="1">IFERROR(__xludf.DUMMYFUNCTION("GOOGLETRANSLATE(F13478, ""auto"", ""en"")
"),"My hair was tearing out like an epilator...threw it away.")</f>
        <v>My hair was tearing out like an epilator...threw it away.</v>
      </c>
    </row>
    <row r="13479" spans="1:9" x14ac:dyDescent="0.3">
      <c r="A13479" s="1" t="s">
        <v>9</v>
      </c>
      <c r="B13479" s="1" t="s">
        <v>133</v>
      </c>
      <c r="C13479" s="1" t="s">
        <v>151</v>
      </c>
      <c r="D13479" s="1" t="s">
        <v>75</v>
      </c>
      <c r="E13479" s="1" t="s">
        <v>11884</v>
      </c>
      <c r="F13479" s="1" t="s">
        <v>18778</v>
      </c>
      <c r="G13479" s="1" t="s">
        <v>36</v>
      </c>
      <c r="H13479" s="1" t="s">
        <v>29</v>
      </c>
      <c r="I13479" s="1" t="str">
        <f ca="1">IFERROR(__xludf.DUMMYFUNCTION("GOOGLETRANSLATE(F13479, ""auto"", ""en"")
"),"I spent a long time choosing a closet. I liked the 2 cooking zones and, as a result, the opportunity to save energy. What was confusing about Samsung cabinets was the presence of a large number of reviews that the clock was mercilessly running ahead. Fort"&amp;"unately, I was lucky and the clock showed the correct time. The grilled chicken turned out delicious even in its own juice, the manna and charlotte were also baked. It’s not easy to wash grease from the body with your hands (I didn’t use the self-cleaning"&amp;" function) - it’s difficult to climb on all fours and scrub vertical walls. But the baking sheets are easy to clean (although they have the same gray special coating) - moisten the dry burn a little with water and everything comes off perfectly. Even my h"&amp;"usband got into the habit of cooking grilled chicken - the oven is so easy to operate. One problem: no one wants to wash. But this is not a complaint against Samsung, but against our laziness. A very useful child lock feature - a one-year-old child consta"&amp;"ntly pokes all the buttons. And the door does not heat up from the outside during cooking. I’m only worried about one thing - when we’re cooking, the baby tries to open the oven (and it doesn’t lock to open) and the hot steam can burn him. Therefore, whil"&amp;"e cooking you have to hold it in your hands. Delivered quickly. The gift card was counted and the receipt came through. They warned us about a 2-week warranty in the store, so we started actively cooking during these 2 weeks. A local electrician connected"&amp;" the cabinet the next day in a couple of hours, 4 times cheaper than the store.")</f>
        <v>I spent a long time choosing a closet. I liked the 2 cooking zones and, as a result, the opportunity to save energy. What was confusing about Samsung cabinets was the presence of a large number of reviews that the clock was mercilessly running ahead. Fortunately, I was lucky and the clock showed the correct time. The grilled chicken turned out delicious even in its own juice, the manna and charlotte were also baked. It’s not easy to wash grease from the body with your hands (I didn’t use the self-cleaning function) - it’s difficult to climb on all fours and scrub vertical walls. But the baking sheets are easy to clean (although they have the same gray special coating) - moisten the dry burn a little with water and everything comes off perfectly. Even my husband got into the habit of cooking grilled chicken - the oven is so easy to operate. One problem: no one wants to wash. But this is not a complaint against Samsung, but against our laziness. A very useful child lock feature - a one-year-old child constantly pokes all the buttons. And the door does not heat up from the outside during cooking. I’m only worried about one thing - when we’re cooking, the baby tries to open the oven (and it doesn’t lock to open) and the hot steam can burn him. Therefore, while cooking you have to hold it in your hands. Delivered quickly. The gift card was counted and the receipt came through. They warned us about a 2-week warranty in the store, so we started actively cooking during these 2 weeks. A local electrician connected the cabinet the next day in a couple of hours, 4 times cheaper than the store.</v>
      </c>
    </row>
    <row r="13480" spans="1:9" x14ac:dyDescent="0.3">
      <c r="A13480" s="1" t="s">
        <v>61</v>
      </c>
      <c r="B13480" s="1" t="s">
        <v>73</v>
      </c>
      <c r="C13480" s="1" t="s">
        <v>101</v>
      </c>
      <c r="D13480" s="1" t="s">
        <v>86</v>
      </c>
      <c r="E13480" s="1" t="s">
        <v>3771</v>
      </c>
      <c r="F13480" s="1" t="s">
        <v>18779</v>
      </c>
      <c r="G13480" s="1" t="s">
        <v>49</v>
      </c>
      <c r="H13480" s="1" t="s">
        <v>16</v>
      </c>
      <c r="I13480" s="1" t="str">
        <f ca="1">IFERROR(__xludf.DUMMYFUNCTION("GOOGLETRANSLATE(F13480, ""auto"", ""en"")
"),"I completely agree. I have never seen such crap. A disgusting “meat grinder” that only destroys meat, turning it into paste. It takes about forty minutes to grind 1 kg of meat. I advise EVERYONE not to take it.")</f>
        <v>I completely agree. I have never seen such crap. A disgusting “meat grinder” that only destroys meat, turning it into paste. It takes about forty minutes to grind 1 kg of meat. I advise EVERYONE not to take it.</v>
      </c>
    </row>
    <row r="13481" spans="1:9" x14ac:dyDescent="0.3">
      <c r="A13481" s="1" t="s">
        <v>120</v>
      </c>
      <c r="B13481" s="1" t="s">
        <v>126</v>
      </c>
      <c r="C13481" s="1" t="s">
        <v>122</v>
      </c>
      <c r="D13481" s="1" t="s">
        <v>1894</v>
      </c>
      <c r="E13481" s="1" t="s">
        <v>1788</v>
      </c>
      <c r="F13481" s="1" t="s">
        <v>18780</v>
      </c>
      <c r="G13481" s="1" t="s">
        <v>36</v>
      </c>
      <c r="H13481" s="1" t="s">
        <v>29</v>
      </c>
      <c r="I13481" s="1" t="str">
        <f ca="1">IFERROR(__xludf.DUMMYFUNCTION("GOOGLETRANSLATE(F13481, ""auto"", ""en"")
"),"Fifty dollars, oh yes!  I've been saving up for this miracle for a long time) I'm tired of the wretched old, fizzy and hot Samsung.  I’m happy with the picture, the diagonal, I connected my computer and my xbox as soon as I brought it home!  Emotions over"&amp;"whelmed me, this is a thing!  Moreover, TVs are considered to be in the budget segment, but they show superb.  It always seemed to me that TV sets can’t cost almost 40 pieces of 50 inches! so to speak) In short, guys, super-duper! satisfied.  If you want,"&amp;" take a Samsung, and then change it to a Panasonic :)")</f>
        <v>Fifty dollars, oh yes!  I've been saving up for this miracle for a long time) I'm tired of the wretched old, fizzy and hot Samsung.  I’m happy with the picture, the diagonal, I connected my computer and my xbox as soon as I brought it home!  Emotions overwhelmed me, this is a thing!  Moreover, TVs are considered to be in the budget segment, but they show superb.  It always seemed to me that TV sets can’t cost almost 40 pieces of 50 inches! so to speak) In short, guys, super-duper! satisfied.  If you want, take a Samsung, and then change it to a Panasonic :)</v>
      </c>
    </row>
    <row r="13482" spans="1:9" x14ac:dyDescent="0.3">
      <c r="A13482" s="1" t="s">
        <v>211</v>
      </c>
      <c r="B13482" s="1" t="s">
        <v>515</v>
      </c>
      <c r="C13482" s="1" t="s">
        <v>381</v>
      </c>
      <c r="D13482" s="1" t="s">
        <v>308</v>
      </c>
      <c r="E13482" s="1" t="s">
        <v>2575</v>
      </c>
      <c r="F13482" s="1" t="s">
        <v>18781</v>
      </c>
      <c r="G13482" s="1" t="s">
        <v>36</v>
      </c>
      <c r="H13482" s="1" t="s">
        <v>29</v>
      </c>
      <c r="I13482" s="1" t="str">
        <f ca="1">IFERROR(__xludf.DUMMYFUNCTION("GOOGLETRANSLATE(F13482, ""auto"", ""en"")
"),"I bought myself such a contraption, I had never used it before, but I had to try it once, and compared to other epilators, this one is simply a miracle! Almost no pain, everything is visible thanks to the backlight, and it also captures small hairs well, "&amp;"a couple of times in one place and voila) I’m very pleased, and my friends who tried it say that it’s better than theirs! Therefore, I recommend it to everyone!")</f>
        <v>I bought myself such a contraption, I had never used it before, but I had to try it once, and compared to other epilators, this one is simply a miracle! Almost no pain, everything is visible thanks to the backlight, and it also captures small hairs well, a couple of times in one place and voila) I’m very pleased, and my friends who tried it say that it’s better than theirs! Therefore, I recommend it to everyone!</v>
      </c>
    </row>
    <row r="13483" spans="1:9" x14ac:dyDescent="0.3">
      <c r="A13483" s="1" t="s">
        <v>30</v>
      </c>
      <c r="B13483" s="1" t="s">
        <v>31</v>
      </c>
      <c r="C13483" s="1" t="s">
        <v>32</v>
      </c>
      <c r="D13483" s="1" t="s">
        <v>2055</v>
      </c>
      <c r="E13483" s="1" t="s">
        <v>3890</v>
      </c>
      <c r="F13483" s="1" t="s">
        <v>18782</v>
      </c>
      <c r="G13483" s="1" t="s">
        <v>36</v>
      </c>
      <c r="H13483" s="1" t="s">
        <v>29</v>
      </c>
      <c r="I13483" s="1" t="str">
        <f ca="1">IFERROR(__xludf.DUMMYFUNCTION("GOOGLETRANSLATE(F13483, ""auto"", ""en"")
"),"I completely agree with Igor. Good combination of price and quality")</f>
        <v>I completely agree with Igor. Good combination of price and quality</v>
      </c>
    </row>
    <row r="13484" spans="1:9" x14ac:dyDescent="0.3">
      <c r="A13484" s="1" t="s">
        <v>61</v>
      </c>
      <c r="B13484" s="1" t="s">
        <v>318</v>
      </c>
      <c r="C13484" s="1" t="s">
        <v>63</v>
      </c>
      <c r="D13484" s="1" t="s">
        <v>152</v>
      </c>
      <c r="E13484" s="1" t="s">
        <v>4603</v>
      </c>
      <c r="F13484" s="1" t="s">
        <v>18783</v>
      </c>
      <c r="G13484" s="1" t="s">
        <v>49</v>
      </c>
      <c r="H13484" s="1" t="s">
        <v>16</v>
      </c>
      <c r="I13484" s="1" t="str">
        <f ca="1">IFERROR(__xludf.DUMMYFUNCTION("GOOGLETRANSLATE(F13484, ""auto"", ""en"")
"),"After two months of use, the stainless bottom, which hides the heating element, became rusty. This is my first time encountering this. I'm shocked...")</f>
        <v>After two months of use, the stainless bottom, which hides the heating element, became rusty. This is my first time encountering this. I'm shocked...</v>
      </c>
    </row>
    <row r="13485" spans="1:9" x14ac:dyDescent="0.3">
      <c r="A13485" s="1" t="s">
        <v>206</v>
      </c>
      <c r="B13485" s="1" t="s">
        <v>207</v>
      </c>
      <c r="C13485" s="1" t="s">
        <v>152</v>
      </c>
      <c r="D13485" s="1" t="s">
        <v>172</v>
      </c>
      <c r="E13485" s="1" t="s">
        <v>18784</v>
      </c>
      <c r="F13485" s="1" t="s">
        <v>18785</v>
      </c>
      <c r="G13485" s="1" t="s">
        <v>36</v>
      </c>
      <c r="H13485" s="1" t="s">
        <v>29</v>
      </c>
      <c r="I13485" s="1" t="str">
        <f ca="1">IFERROR(__xludf.DUMMYFUNCTION("GOOGLETRANSLATE(F13485, ""auto"", ""en"")
"),"I read the reviews about these tweeters and decided to buy them. I placed the rack panel on the Solaris in the false panel and connected it to the standard head. What can I say, they are audible, but not enough for me, I would like it to be louder. For th"&amp;"is money they play normally. I think they would play louder if the radio was changed to a normal one.")</f>
        <v>I read the reviews about these tweeters and decided to buy them. I placed the rack panel on the Solaris in the false panel and connected it to the standard head. What can I say, they are audible, but not enough for me, I would like it to be louder. For this money they play normally. I think they would play louder if the radio was changed to a normal one.</v>
      </c>
    </row>
    <row r="13486" spans="1:9" x14ac:dyDescent="0.3">
      <c r="A13486" s="1" t="s">
        <v>17</v>
      </c>
      <c r="B13486" s="1" t="s">
        <v>18</v>
      </c>
      <c r="C13486" s="1" t="s">
        <v>19</v>
      </c>
      <c r="D13486" s="1" t="s">
        <v>64</v>
      </c>
      <c r="E13486" s="1" t="s">
        <v>9651</v>
      </c>
      <c r="F13486" s="1" t="s">
        <v>18786</v>
      </c>
      <c r="G13486" s="1" t="s">
        <v>28</v>
      </c>
      <c r="H13486" s="1" t="s">
        <v>29</v>
      </c>
      <c r="I13486" s="1" t="str">
        <f ca="1">IFERROR(__xludf.DUMMYFUNCTION("GOOGLETRANSLATE(F13486, ""auto"", ""en"")
"),"Pros: Inexpensive, large load - 7 kg.  Cons: Bulk, requires repairs every 1 - 1.5 years.  This is an excellent option for budget washing machines. But after 1 year the bearing failed, despite the fact that the drum is not dismountable - expensive repairs "&amp;"are required. After 1.5 years, the tent broke, which we quickly replaced, and a couple of months later we changed the bearing and drum together again.")</f>
        <v>Pros: Inexpensive, large load - 7 kg.  Cons: Bulk, requires repairs every 1 - 1.5 years.  This is an excellent option for budget washing machines. But after 1 year the bearing failed, despite the fact that the drum is not dismountable - expensive repairs are required. After 1.5 years, the tent broke, which we quickly replaced, and a couple of months later we changed the bearing and drum together again.</v>
      </c>
    </row>
    <row r="13487" spans="1:9" x14ac:dyDescent="0.3">
      <c r="A13487" s="1" t="s">
        <v>732</v>
      </c>
      <c r="B13487" s="1" t="s">
        <v>733</v>
      </c>
      <c r="C13487" s="1" t="s">
        <v>80</v>
      </c>
      <c r="D13487" s="1" t="s">
        <v>4776</v>
      </c>
      <c r="E13487" s="1" t="s">
        <v>585</v>
      </c>
      <c r="F13487" s="1" t="s">
        <v>18787</v>
      </c>
      <c r="G13487" s="1" t="s">
        <v>36</v>
      </c>
      <c r="H13487" s="1" t="s">
        <v>29</v>
      </c>
      <c r="I13487" s="1" t="str">
        <f ca="1">IFERROR(__xludf.DUMMYFUNCTION("GOOGLETRANSLATE(F13487, ""auto"", ""en"")
"),"Great monitor!!! I've been using it for a month now, no problems!")</f>
        <v>Great monitor!!! I've been using it for a month now, no problems!</v>
      </c>
    </row>
    <row r="13488" spans="1:9" x14ac:dyDescent="0.3">
      <c r="A13488" s="1" t="s">
        <v>149</v>
      </c>
      <c r="B13488" s="1" t="s">
        <v>155</v>
      </c>
      <c r="C13488" s="1" t="s">
        <v>80</v>
      </c>
      <c r="D13488" s="1" t="s">
        <v>1326</v>
      </c>
      <c r="E13488" s="1" t="s">
        <v>11880</v>
      </c>
      <c r="F13488" s="1" t="s">
        <v>18788</v>
      </c>
      <c r="G13488" s="1" t="s">
        <v>1580</v>
      </c>
      <c r="H13488" s="1" t="s">
        <v>29</v>
      </c>
      <c r="I13488" s="1" t="str">
        <f ca="1">IFERROR(__xludf.DUMMYFUNCTION("GOOGLETRANSLATE(F13488, ""auto"", ""en"")
"),"convenient")</f>
        <v>convenient</v>
      </c>
    </row>
    <row r="13489" spans="1:9" x14ac:dyDescent="0.3">
      <c r="A13489" s="1" t="s">
        <v>17</v>
      </c>
      <c r="B13489" s="1" t="s">
        <v>18</v>
      </c>
      <c r="C13489" s="1" t="s">
        <v>19</v>
      </c>
      <c r="D13489" s="1" t="s">
        <v>695</v>
      </c>
      <c r="E13489" s="1" t="s">
        <v>2298</v>
      </c>
      <c r="F13489" s="1" t="s">
        <v>18789</v>
      </c>
      <c r="G13489" s="1" t="s">
        <v>28</v>
      </c>
      <c r="H13489" s="1" t="s">
        <v>29</v>
      </c>
      <c r="I13489" s="1" t="str">
        <f ca="1">IFERROR(__xludf.DUMMYFUNCTION("GOOGLETRANSLATE(F13489, ""auto"", ""en"")
"),"Good afternoon  They gave me one for a housewarming in March 2010. No problems. Very convenient mode for washing mixed fabrics in 30 minutes. I use it 90% of the time. There was only one problem when water and foam suddenly came out of the hatch. The malf"&amp;"unction is described in the instructions. The hole where you pour the powder can sometimes become clogged; the plastic itself where you pour it needs to be washed and everything is ok. We also wash our shoes using this mode in a special package. Also ever"&amp;"ything was well. Although officially such an option does not exist. There were no problems with power outages - in general, if the price suits you, I recommend it! The only thing, please, keep in mind that 99% of Aristons are assembled in Russia in Lipets"&amp;"k (accordingly, we draw conclusions about the quality of the products), and this model seems to be assembled EXACTLY IN ITALY. That's why I stopped there)")</f>
        <v>Good afternoon  They gave me one for a housewarming in March 2010. No problems. Very convenient mode for washing mixed fabrics in 30 minutes. I use it 90% of the time. There was only one problem when water and foam suddenly came out of the hatch. The malfunction is described in the instructions. The hole where you pour the powder can sometimes become clogged; the plastic itself where you pour it needs to be washed and everything is ok. We also wash our shoes using this mode in a special package. Also everything was well. Although officially such an option does not exist. There were no problems with power outages - in general, if the price suits you, I recommend it! The only thing, please, keep in mind that 99% of Aristons are assembled in Russia in Lipetsk (accordingly, we draw conclusions about the quality of the products), and this model seems to be assembled EXACTLY IN ITALY. That's why I stopped there)</v>
      </c>
    </row>
    <row r="13490" spans="1:9" x14ac:dyDescent="0.3">
      <c r="A13490" s="1" t="s">
        <v>95</v>
      </c>
      <c r="B13490" s="1" t="s">
        <v>227</v>
      </c>
      <c r="C13490" s="1" t="s">
        <v>97</v>
      </c>
      <c r="D13490" s="1" t="s">
        <v>1121</v>
      </c>
      <c r="E13490" s="1" t="s">
        <v>1786</v>
      </c>
      <c r="F13490" s="1" t="s">
        <v>18790</v>
      </c>
      <c r="G13490" s="1" t="s">
        <v>36</v>
      </c>
      <c r="H13490" s="1" t="s">
        <v>29</v>
      </c>
      <c r="I13490" s="1" t="str">
        <f ca="1">IFERROR(__xludf.DUMMYFUNCTION("GOOGLETRANSLATE(F13490, ""auto"", ""en"")
"),"Good quality, games don't slow down, DVD production is very good + if HDMI graphics are just super!!! Camera + move is a very cool thing =)) I play the game Sports Holiday 2 and am very pleased... I was very happy with this purchase and I advise everyone "&amp;"to buy it!!!")</f>
        <v>Good quality, games don't slow down, DVD production is very good + if HDMI graphics are just super!!! Camera + move is a very cool thing =)) I play the game Sports Holiday 2 and am very pleased... I was very happy with this purchase and I advise everyone to buy it!!!</v>
      </c>
    </row>
    <row r="13491" spans="1:9" x14ac:dyDescent="0.3">
      <c r="A13491" s="1" t="s">
        <v>9</v>
      </c>
      <c r="B13491" s="1" t="s">
        <v>23</v>
      </c>
      <c r="C13491" s="1" t="s">
        <v>159</v>
      </c>
      <c r="D13491" s="1" t="s">
        <v>742</v>
      </c>
      <c r="E13491" s="1" t="s">
        <v>2358</v>
      </c>
      <c r="F13491" s="1" t="s">
        <v>18791</v>
      </c>
      <c r="G13491" s="1" t="s">
        <v>36</v>
      </c>
      <c r="H13491" s="1" t="s">
        <v>29</v>
      </c>
      <c r="I13491" s="1" t="str">
        <f ca="1">IFERROR(__xludf.DUMMYFUNCTION("GOOGLETRANSLATE(F13491, ""auto"", ""en"")
"),"It washes well and is quiet, but it doesn't dry very well. But the drying class “B” is also indicated. A very convenient thing. Electrolux, as always, pleased!")</f>
        <v>It washes well and is quiet, but it doesn't dry very well. But the drying class “B” is also indicated. A very convenient thing. Electrolux, as always, pleased!</v>
      </c>
    </row>
    <row r="13492" spans="1:9" x14ac:dyDescent="0.3">
      <c r="A13492" s="1" t="s">
        <v>9</v>
      </c>
      <c r="B13492" s="1" t="s">
        <v>10</v>
      </c>
      <c r="C13492" s="1" t="s">
        <v>407</v>
      </c>
      <c r="D13492" s="1" t="s">
        <v>232</v>
      </c>
      <c r="E13492" s="1" t="s">
        <v>18792</v>
      </c>
      <c r="F13492" s="1" t="s">
        <v>18793</v>
      </c>
      <c r="G13492" s="1" t="s">
        <v>36</v>
      </c>
      <c r="H13492" s="1" t="s">
        <v>29</v>
      </c>
      <c r="I13492" s="1" t="str">
        <f ca="1">IFERROR(__xludf.DUMMYFUNCTION("GOOGLETRANSLATE(F13492, ""auto"", ""en"")
"),"I bought it for my mother's kitchen. Good build quality. I was glad that a carbon filter was included, since my mother uses them. A very neat hood, just what you need if you are not looking for super bells and whistles. It works out its low cost 100%. I r"&amp;"ecommend it.")</f>
        <v>I bought it for my mother's kitchen. Good build quality. I was glad that a carbon filter was included, since my mother uses them. A very neat hood, just what you need if you are not looking for super bells and whistles. It works out its low cost 100%. I recommend it.</v>
      </c>
    </row>
    <row r="13493" spans="1:9" x14ac:dyDescent="0.3">
      <c r="A13493" s="1" t="s">
        <v>89</v>
      </c>
      <c r="B13493" s="1" t="s">
        <v>231</v>
      </c>
      <c r="C13493" s="1" t="s">
        <v>185</v>
      </c>
      <c r="D13493" s="1" t="s">
        <v>18794</v>
      </c>
      <c r="E13493" s="1" t="s">
        <v>16289</v>
      </c>
      <c r="F13493" s="1" t="s">
        <v>18795</v>
      </c>
      <c r="G13493" s="1" t="s">
        <v>36</v>
      </c>
      <c r="H13493" s="1" t="s">
        <v>29</v>
      </c>
      <c r="I13493" s="1" t="str">
        <f ca="1">IFERROR(__xludf.DUMMYFUNCTION("GOOGLETRANSLATE(F13493, ""auto"", ""en"")
"),"Super thing")</f>
        <v>Super thing</v>
      </c>
    </row>
    <row r="13494" spans="1:9" x14ac:dyDescent="0.3">
      <c r="A13494" s="1" t="s">
        <v>282</v>
      </c>
      <c r="B13494" s="1" t="s">
        <v>283</v>
      </c>
      <c r="C13494" s="1" t="s">
        <v>15559</v>
      </c>
      <c r="D13494" s="1" t="s">
        <v>545</v>
      </c>
      <c r="E13494" s="1" t="s">
        <v>285</v>
      </c>
      <c r="F13494" s="1" t="s">
        <v>18796</v>
      </c>
      <c r="G13494" s="1" t="s">
        <v>36</v>
      </c>
      <c r="H13494" s="1" t="s">
        <v>29</v>
      </c>
      <c r="I13494" s="1" t="str">
        <f ca="1">IFERROR(__xludf.DUMMYFUNCTION("GOOGLETRANSLATE(F13494, ""auto"", ""en"")
"),"Just a very interesting film about a girl and the beginning of her career!")</f>
        <v>Just a very interesting film about a girl and the beginning of her career!</v>
      </c>
    </row>
    <row r="13495" spans="1:9" x14ac:dyDescent="0.3">
      <c r="A13495" s="1" t="s">
        <v>120</v>
      </c>
      <c r="B13495" s="1" t="s">
        <v>121</v>
      </c>
      <c r="C13495" s="1" t="s">
        <v>80</v>
      </c>
      <c r="D13495" s="1" t="s">
        <v>305</v>
      </c>
      <c r="E13495" s="1" t="s">
        <v>1219</v>
      </c>
      <c r="F13495" s="1" t="s">
        <v>18797</v>
      </c>
      <c r="G13495" s="1" t="s">
        <v>36</v>
      </c>
      <c r="H13495" s="1" t="s">
        <v>29</v>
      </c>
      <c r="I13495" s="1" t="str">
        <f ca="1">IFERROR(__xludf.DUMMYFUNCTION("GOOGLETRANSLATE(F13495, ""auto"", ""en"")
"),"For that kind of money, 15,500 rubles, the best TV. And a built-in media player that can be activated as easily as possible (respect to Sertikon (Togliatti)")</f>
        <v>For that kind of money, 15,500 rubles, the best TV. And a built-in media player that can be activated as easily as possible (respect to Sertikon (Togliatti)</v>
      </c>
    </row>
    <row r="13496" spans="1:9" x14ac:dyDescent="0.3">
      <c r="A13496" s="1" t="s">
        <v>105</v>
      </c>
      <c r="B13496" s="1" t="s">
        <v>106</v>
      </c>
      <c r="C13496" s="1" t="s">
        <v>151</v>
      </c>
      <c r="D13496" s="1" t="s">
        <v>142</v>
      </c>
      <c r="E13496" s="1" t="s">
        <v>4677</v>
      </c>
      <c r="F13496" s="1" t="s">
        <v>18798</v>
      </c>
      <c r="G13496" s="1" t="s">
        <v>36</v>
      </c>
      <c r="H13496" s="1" t="s">
        <v>29</v>
      </c>
      <c r="I13496" s="1" t="str">
        <f ca="1">IFERROR(__xludf.DUMMYFUNCTION("GOOGLETRANSLATE(F13496, ""auto"", ""en"")
"),"The player is super! I bought it as a birthday present. The charge lasts a long time. The display is bright and clear, pictures and videos are clearly visible. The headphones are good, which cannot be said about the iPod ones. Great sound. There are three"&amp;" games. The radio works cleanly, without interference. When you turn off the player, it saves the last place where music was played, which is very convenient when listening to audio books. Large screen. In general, the player is excellent.")</f>
        <v>The player is super! I bought it as a birthday present. The charge lasts a long time. The display is bright and clear, pictures and videos are clearly visible. The headphones are good, which cannot be said about the iPod ones. Great sound. There are three games. The radio works cleanly, without interference. When you turn off the player, it saves the last place where music was played, which is very convenient when listening to audio books. Large screen. In general, the player is excellent.</v>
      </c>
    </row>
    <row r="13497" spans="1:9" x14ac:dyDescent="0.3">
      <c r="A13497" s="1" t="s">
        <v>211</v>
      </c>
      <c r="B13497" s="1" t="s">
        <v>212</v>
      </c>
      <c r="C13497" s="1" t="s">
        <v>381</v>
      </c>
      <c r="D13497" s="1" t="s">
        <v>589</v>
      </c>
      <c r="E13497" s="1" t="s">
        <v>6170</v>
      </c>
      <c r="F13497" s="1" t="s">
        <v>18799</v>
      </c>
      <c r="G13497" s="1" t="s">
        <v>36</v>
      </c>
      <c r="H13497" s="1" t="s">
        <v>29</v>
      </c>
      <c r="I13497" s="1" t="str">
        <f ca="1">IFERROR(__xludf.DUMMYFUNCTION("GOOGLETRANSLATE(F13497, ""auto"", ""en"")
"),"I’ve been using it for 4 years, it dries perfectly, there have never been any failures (ttt)). True, the second nozzle (diffuser) was not useful. The buttons do not stick, it fits comfortably in the hand. The length of the wire was also fine! I recommend "&amp;"it.")</f>
        <v>I’ve been using it for 4 years, it dries perfectly, there have never been any failures (ttt)). True, the second nozzle (diffuser) was not useful. The buttons do not stick, it fits comfortably in the hand. The length of the wire was also fine! I recommend it.</v>
      </c>
    </row>
    <row r="13498" spans="1:9" x14ac:dyDescent="0.3">
      <c r="A13498" s="1" t="s">
        <v>9</v>
      </c>
      <c r="B13498" s="1" t="s">
        <v>133</v>
      </c>
      <c r="C13498" s="1" t="s">
        <v>290</v>
      </c>
      <c r="D13498" s="1" t="s">
        <v>568</v>
      </c>
      <c r="E13498" s="1" t="s">
        <v>430</v>
      </c>
      <c r="F13498" s="1" t="s">
        <v>18800</v>
      </c>
      <c r="G13498" s="1" t="s">
        <v>36</v>
      </c>
      <c r="H13498" s="1" t="s">
        <v>29</v>
      </c>
      <c r="I13498" s="1" t="str">
        <f ca="1">IFERROR(__xludf.DUMMYFUNCTION("GOOGLETRANSLATE(F13498, ""auto"", ""en"")
"),"We recently bought one for 21,990. We've made it once so far. The oven leaves a pleasant impression. The presence of telescopic guides is a big bonus! I don’t regret that we overpaid a couple of thousand instead of taking the 7330BX. It’s a little unclear"&amp;" with the aquaclean function. If you start it, then after finishing it it is impossible to immediately wipe the oven, because... everything is hot, especially the bottom. And if you wait until it cools down, then the remaining food will have time to dry o"&amp;"ut again.")</f>
        <v>We recently bought one for 21,990. We've made it once so far. The oven leaves a pleasant impression. The presence of telescopic guides is a big bonus! I don’t regret that we overpaid a couple of thousand instead of taking the 7330BX. It’s a little unclear with the aquaclean function. If you start it, then after finishing it it is impossible to immediately wipe the oven, because... everything is hot, especially the bottom. And if you wait until it cools down, then the remaining food will have time to dry out again.</v>
      </c>
    </row>
    <row r="13499" spans="1:9" x14ac:dyDescent="0.3">
      <c r="A13499" s="1" t="s">
        <v>1823</v>
      </c>
      <c r="B13499" s="1" t="s">
        <v>1824</v>
      </c>
      <c r="C13499" s="1" t="s">
        <v>69</v>
      </c>
      <c r="D13499" s="1" t="s">
        <v>8534</v>
      </c>
      <c r="E13499" s="1" t="s">
        <v>1034</v>
      </c>
      <c r="F13499" s="1" t="s">
        <v>18801</v>
      </c>
      <c r="G13499" s="1" t="s">
        <v>36</v>
      </c>
      <c r="H13499" s="1" t="s">
        <v>29</v>
      </c>
      <c r="I13499" s="1" t="str">
        <f ca="1">IFERROR(__xludf.DUMMYFUNCTION("GOOGLETRANSLATE(F13499, ""auto"", ""en"")
"),"The board is comfortable, super stable, and unfolds easily!")</f>
        <v>The board is comfortable, super stable, and unfolds easily!</v>
      </c>
    </row>
    <row r="13500" spans="1:9" x14ac:dyDescent="0.3">
      <c r="A13500" s="1" t="s">
        <v>43</v>
      </c>
      <c r="B13500" s="1" t="s">
        <v>303</v>
      </c>
      <c r="C13500" s="1" t="s">
        <v>220</v>
      </c>
      <c r="D13500" s="1" t="s">
        <v>732</v>
      </c>
      <c r="E13500" s="1" t="s">
        <v>306</v>
      </c>
      <c r="F13500" s="1" t="s">
        <v>18802</v>
      </c>
      <c r="G13500" s="1" t="s">
        <v>36</v>
      </c>
      <c r="H13500" s="1" t="s">
        <v>29</v>
      </c>
      <c r="I13500" s="1" t="str">
        <f ca="1">IFERROR(__xludf.DUMMYFUNCTION("GOOGLETRANSLATE(F13500, ""auto"", ""en"")
"),"Stainless steel tank, presence of 2 heating elements and convenient power distribution")</f>
        <v>Stainless steel tank, presence of 2 heating elements and convenient power distribution</v>
      </c>
    </row>
    <row r="13501" spans="1:9" x14ac:dyDescent="0.3">
      <c r="A13501" s="1" t="s">
        <v>1443</v>
      </c>
      <c r="B13501" s="1" t="s">
        <v>1444</v>
      </c>
      <c r="C13501" s="1" t="s">
        <v>1489</v>
      </c>
      <c r="D13501" s="1" t="s">
        <v>228</v>
      </c>
      <c r="E13501" s="1" t="s">
        <v>18803</v>
      </c>
      <c r="F13501" s="1" t="s">
        <v>18804</v>
      </c>
      <c r="G13501" s="1" t="s">
        <v>49</v>
      </c>
      <c r="H13501" s="1" t="s">
        <v>16</v>
      </c>
      <c r="I13501" s="1" t="str">
        <f ca="1">IFERROR(__xludf.DUMMYFUNCTION("GOOGLETRANSLATE(F13501, ""auto"", ""en"")
"),"Super brake. End of the twentieth century. Wasted money. It's a pity that you can't put a zero.")</f>
        <v>Super brake. End of the twentieth century. Wasted money. It's a pity that you can't put a zero.</v>
      </c>
    </row>
    <row r="13502" spans="1:9" x14ac:dyDescent="0.3">
      <c r="A13502" s="1" t="s">
        <v>17</v>
      </c>
      <c r="B13502" s="1" t="s">
        <v>18</v>
      </c>
      <c r="C13502" s="1" t="s">
        <v>243</v>
      </c>
      <c r="D13502" s="1" t="s">
        <v>545</v>
      </c>
      <c r="E13502" s="1" t="s">
        <v>11295</v>
      </c>
      <c r="F13502" s="1" t="s">
        <v>18805</v>
      </c>
      <c r="G13502" s="1" t="s">
        <v>94</v>
      </c>
      <c r="H13502" s="1" t="s">
        <v>29</v>
      </c>
      <c r="I13502" s="1" t="str">
        <f ca="1">IFERROR(__xludf.DUMMYFUNCTION("GOOGLETRANSLATE(F13502, ""auto"", ""en"")
"),"Firstly - an affordable price, secondly - the most ordinary washing machine, which is not inferior in its power to any other ;) If you want to save money and buy a decent product - this is for you, the washing goes well, no problems, things are washed per"&amp;"fectly")</f>
        <v>Firstly - an affordable price, secondly - the most ordinary washing machine, which is not inferior in its power to any other ;) If you want to save money and buy a decent product - this is for you, the washing goes well, no problems, things are washed perfectly</v>
      </c>
    </row>
    <row r="13503" spans="1:9" x14ac:dyDescent="0.3">
      <c r="A13503" s="1" t="s">
        <v>624</v>
      </c>
      <c r="B13503" s="1" t="s">
        <v>625</v>
      </c>
      <c r="C13503" s="1" t="s">
        <v>479</v>
      </c>
      <c r="D13503" s="1" t="s">
        <v>280</v>
      </c>
      <c r="E13503" s="1" t="s">
        <v>2577</v>
      </c>
      <c r="F13503" s="1" t="s">
        <v>18806</v>
      </c>
      <c r="G13503" s="1" t="s">
        <v>36</v>
      </c>
      <c r="H13503" s="1" t="s">
        <v>29</v>
      </c>
      <c r="I13503" s="1" t="str">
        <f ca="1">IFERROR(__xludf.DUMMYFUNCTION("GOOGLETRANSLATE(F13503, ""auto"", ""en"")
"),"I bought the game and really like it, I play free battle with my friends, very cool and realistic graphics, a huge variety of characters! Lots of cards, buy them.")</f>
        <v>I bought the game and really like it, I play free battle with my friends, very cool and realistic graphics, a huge variety of characters! Lots of cards, buy them.</v>
      </c>
    </row>
    <row r="13504" spans="1:9" x14ac:dyDescent="0.3">
      <c r="A13504" s="1" t="s">
        <v>37</v>
      </c>
      <c r="B13504" s="1" t="s">
        <v>38</v>
      </c>
      <c r="C13504" s="1" t="s">
        <v>163</v>
      </c>
      <c r="D13504" s="1" t="s">
        <v>18807</v>
      </c>
      <c r="E13504" s="1" t="s">
        <v>6851</v>
      </c>
      <c r="F13504" s="1" t="s">
        <v>18808</v>
      </c>
      <c r="G13504" s="1" t="s">
        <v>36</v>
      </c>
      <c r="H13504" s="1" t="s">
        <v>29</v>
      </c>
      <c r="I13504" s="1" t="str">
        <f ca="1">IFERROR(__xludf.DUMMYFUNCTION("GOOGLETRANSLATE(F13504, ""auto"", ""en"")
"),"The phone is good, but there is one drawback - there is no radio in the 6500c, but I needed it, otherwise the phone is very beautiful, I am happy with the purchase!")</f>
        <v>The phone is good, but there is one drawback - there is no radio in the 6500c, but I needed it, otherwise the phone is very beautiful, I am happy with the purchase!</v>
      </c>
    </row>
    <row r="13505" spans="1:9" x14ac:dyDescent="0.3">
      <c r="A13505" s="1" t="s">
        <v>17</v>
      </c>
      <c r="B13505" s="1" t="s">
        <v>18</v>
      </c>
      <c r="C13505" s="1" t="s">
        <v>665</v>
      </c>
      <c r="D13505" s="1" t="s">
        <v>335</v>
      </c>
      <c r="E13505" s="1" t="s">
        <v>1814</v>
      </c>
      <c r="F13505" s="1" t="s">
        <v>18809</v>
      </c>
      <c r="G13505" s="1" t="s">
        <v>49</v>
      </c>
      <c r="H13505" s="1" t="s">
        <v>16</v>
      </c>
      <c r="I13505" s="1" t="str">
        <f ca="1">IFERROR(__xludf.DUMMYFUNCTION("GOOGLETRANSLATE(F13505, ""auto"", ""en"")
"),"The machine worked for 2 years, after which the bearings in the drum fell apart and damaged the shaft.")</f>
        <v>The machine worked for 2 years, after which the bearings in the drum fell apart and damaged the shaft.</v>
      </c>
    </row>
    <row r="13506" spans="1:9" x14ac:dyDescent="0.3">
      <c r="A13506" s="1" t="s">
        <v>206</v>
      </c>
      <c r="B13506" s="1" t="s">
        <v>207</v>
      </c>
      <c r="C13506" s="1" t="s">
        <v>262</v>
      </c>
      <c r="D13506" s="1" t="s">
        <v>152</v>
      </c>
      <c r="E13506" s="1" t="s">
        <v>18810</v>
      </c>
      <c r="F13506" s="1" t="s">
        <v>18811</v>
      </c>
      <c r="G13506" s="1" t="s">
        <v>28</v>
      </c>
      <c r="H13506" s="1" t="s">
        <v>29</v>
      </c>
      <c r="I13506" s="1" t="str">
        <f ca="1">IFERROR(__xludf.DUMMYFUNCTION("GOOGLETRANSLATE(F13506, ""auto"", ""en"")
"),"The sub is good for the money, you can hear it well in the sedan, and I reduced the bass a little. Of course, if you want more, you can assemble the kit yourself and it will cost more. It's worth the money. True, when we started installing it, connecting "&amp;"the last wires, it still didn’t work, the amp rang and the sub said that the sub wasn’t working, but there was just a wire coming off the speaker, they connected it and that’s it. It's been working for a year and a half now.")</f>
        <v>The sub is good for the money, you can hear it well in the sedan, and I reduced the bass a little. Of course, if you want more, you can assemble the kit yourself and it will cost more. It's worth the money. True, when we started installing it, connecting the last wires, it still didn’t work, the amp rang and the sub said that the sub wasn’t working, but there was just a wire coming off the speaker, they connected it and that’s it. It's been working for a year and a half now.</v>
      </c>
    </row>
    <row r="13507" spans="1:9" x14ac:dyDescent="0.3">
      <c r="A13507" s="1" t="s">
        <v>9</v>
      </c>
      <c r="B13507" s="1" t="s">
        <v>10</v>
      </c>
      <c r="C13507" s="1" t="s">
        <v>407</v>
      </c>
      <c r="D13507" s="1" t="s">
        <v>5240</v>
      </c>
      <c r="E13507" s="1" t="s">
        <v>5241</v>
      </c>
      <c r="F13507" s="1" t="s">
        <v>18812</v>
      </c>
      <c r="G13507" s="1" t="s">
        <v>36</v>
      </c>
      <c r="H13507" s="1" t="s">
        <v>29</v>
      </c>
      <c r="I13507" s="1" t="str">
        <f ca="1">IFERROR(__xludf.DUMMYFUNCTION("GOOGLETRANSLATE(F13507, ""auto"", ""en"")
"),"I like the design, it looks beautiful, it can be used on top as a shelf, but it is very noisy.....")</f>
        <v>I like the design, it looks beautiful, it can be used on top as a shelf, but it is very noisy.....</v>
      </c>
    </row>
    <row r="13508" spans="1:9" x14ac:dyDescent="0.3">
      <c r="A13508" s="1" t="s">
        <v>43</v>
      </c>
      <c r="B13508" s="1" t="s">
        <v>1370</v>
      </c>
      <c r="C13508" s="1" t="s">
        <v>2137</v>
      </c>
      <c r="D13508" s="1" t="s">
        <v>18813</v>
      </c>
      <c r="E13508" s="1" t="s">
        <v>4967</v>
      </c>
      <c r="F13508" s="1" t="s">
        <v>18814</v>
      </c>
      <c r="G13508" s="1" t="s">
        <v>28</v>
      </c>
      <c r="H13508" s="1" t="s">
        <v>29</v>
      </c>
      <c r="I13508" s="1" t="str">
        <f ca="1">IFERROR(__xludf.DUMMYFUNCTION("GOOGLETRANSLATE(F13508, ""auto"", ""en"")
"),"We've been using it for three whole days now (the hot water was turned off on Monday). Overall, I'm satisfied! A quick shower is quite possible. I hope this month(!), during which our mountains were turned off. water, we will survive easily. 5 kW is barel"&amp;"y enough. The pressure must be kept low so that the water flows under which you can actually swim. The 2 and 3 kW buttons are useless alone - very cold water flows. But, I can say that at our inlet there is simply ice water (I think 7-10 degrees Celsius)."&amp;" So, anyone who has not icy water flowing from a pipe, but simply cool water, may even be able to use one key. The downside is the drilling of walls and the cost of separate electrical wiring. What I got was 500 rubles worth of material. and another 500 r"&amp;"ubles for the electrician’s work.")</f>
        <v>We've been using it for three whole days now (the hot water was turned off on Monday). Overall, I'm satisfied! A quick shower is quite possible. I hope this month(!), during which our mountains were turned off. water, we will survive easily. 5 kW is barely enough. The pressure must be kept low so that the water flows under which you can actually swim. The 2 and 3 kW buttons are useless alone - very cold water flows. But, I can say that at our inlet there is simply ice water (I think 7-10 degrees Celsius). So, anyone who has not icy water flowing from a pipe, but simply cool water, may even be able to use one key. The downside is the drilling of walls and the cost of separate electrical wiring. What I got was 500 rubles worth of material. and another 500 rubles for the electrician’s work.</v>
      </c>
    </row>
    <row r="13509" spans="1:9" x14ac:dyDescent="0.3">
      <c r="A13509" s="1" t="s">
        <v>61</v>
      </c>
      <c r="B13509" s="1" t="s">
        <v>73</v>
      </c>
      <c r="C13509" s="1" t="s">
        <v>314</v>
      </c>
      <c r="D13509" s="1" t="s">
        <v>621</v>
      </c>
      <c r="E13509" s="1" t="s">
        <v>7324</v>
      </c>
      <c r="F13509" s="1" t="s">
        <v>18815</v>
      </c>
      <c r="G13509" s="1" t="s">
        <v>36</v>
      </c>
      <c r="H13509" s="1" t="s">
        <v>29</v>
      </c>
      <c r="I13509" s="1" t="str">
        <f ca="1">IFERROR(__xludf.DUMMYFUNCTION("GOOGLETRANSLATE(F13509, ""auto"", ""en"")
"),"I bought it today. Twisted 3 kg of meat. I’m very pleased - nothing was chewed, everything twisted perfectly.")</f>
        <v>I bought it today. Twisted 3 kg of meat. I’m very pleased - nothing was chewed, everything twisted perfectly.</v>
      </c>
    </row>
    <row r="13510" spans="1:9" x14ac:dyDescent="0.3">
      <c r="A13510" s="1" t="s">
        <v>111</v>
      </c>
      <c r="B13510" s="1" t="s">
        <v>112</v>
      </c>
      <c r="C13510" s="1" t="s">
        <v>1230</v>
      </c>
      <c r="D13510" s="1" t="s">
        <v>127</v>
      </c>
      <c r="E13510" s="1" t="s">
        <v>3972</v>
      </c>
      <c r="F13510" s="1" t="s">
        <v>18816</v>
      </c>
      <c r="G13510" s="1" t="s">
        <v>15</v>
      </c>
      <c r="H13510" s="1" t="s">
        <v>16</v>
      </c>
      <c r="I13510" s="1" t="str">
        <f ca="1">IFERROR(__xludf.DUMMYFUNCTION("GOOGLETRANSLATE(F13510, ""auto"", ""en"")
"),"A theoretically normal and convenient filter has a weak point - the button. If you hardly use it, then the filter is good. But if you constantly turn off its filter, don’t expect a long life. The button burns out, the Internet is littered with complaints "&amp;"about its quality. At the same time, repairs are very difficult with disposable screws with a tricky notch that only works for screwing.")</f>
        <v>A theoretically normal and convenient filter has a weak point - the button. If you hardly use it, then the filter is good. But if you constantly turn off its filter, don’t expect a long life. The button burns out, the Internet is littered with complaints about its quality. At the same time, repairs are very difficult with disposable screws with a tricky notch that only works for screwing.</v>
      </c>
    </row>
    <row r="13511" spans="1:9" x14ac:dyDescent="0.3">
      <c r="A13511" s="1" t="s">
        <v>149</v>
      </c>
      <c r="B13511" s="1" t="s">
        <v>576</v>
      </c>
      <c r="C13511" s="1" t="s">
        <v>69</v>
      </c>
      <c r="D13511" s="1" t="s">
        <v>729</v>
      </c>
      <c r="E13511" s="1" t="s">
        <v>2298</v>
      </c>
      <c r="F13511" s="1" t="s">
        <v>18817</v>
      </c>
      <c r="G13511" s="1" t="s">
        <v>36</v>
      </c>
      <c r="H13511" s="1" t="s">
        <v>29</v>
      </c>
      <c r="I13511" s="1" t="str">
        <f ca="1">IFERROR(__xludf.DUMMYFUNCTION("GOOGLETRANSLATE(F13511, ""auto"", ""en"")
"),"An excellent vacuum cleaner, especially since we got it at a promotional price of RUB 4,990! The suction power is such that it is difficult to lift the brush off the floor, especially since the power is adjustable. filtration with a washable HEPA filter e"&amp;"ffectively purifies indoor air from dust and other allergens, removing 99.99% of microparticles with a diameter of 0.06 mm.")</f>
        <v>An excellent vacuum cleaner, especially since we got it at a promotional price of RUB 4,990! The suction power is such that it is difficult to lift the brush off the floor, especially since the power is adjustable. filtration with a washable HEPA filter effectively purifies indoor air from dust and other allergens, removing 99.99% of microparticles with a diameter of 0.06 mm.</v>
      </c>
    </row>
    <row r="13512" spans="1:9" x14ac:dyDescent="0.3">
      <c r="A13512" s="1" t="s">
        <v>105</v>
      </c>
      <c r="B13512" s="1" t="s">
        <v>106</v>
      </c>
      <c r="C13512" s="1" t="s">
        <v>1209</v>
      </c>
      <c r="D13512" s="1" t="s">
        <v>18818</v>
      </c>
      <c r="E13512" s="1" t="s">
        <v>26</v>
      </c>
      <c r="F13512" s="1" t="s">
        <v>18819</v>
      </c>
      <c r="G13512" s="1" t="s">
        <v>28</v>
      </c>
      <c r="H13512" s="1" t="s">
        <v>29</v>
      </c>
      <c r="I13512" s="1" t="str">
        <f ca="1">IFERROR(__xludf.DUMMYFUNCTION("GOOGLETRANSLATE(F13512, ""auto"", ""en"")
"),"I bought this device yesterday, as it is written in the instructions, it took 8 hours to charge, and today, sitting on the third pair, it died, it was not fun for me to go home without music...((, but the Mp3 itself is cool. By the way, I had such a hat w"&amp;"ith the 16 gig rover, but compared to it, this one is much better...))")</f>
        <v>I bought this device yesterday, as it is written in the instructions, it took 8 hours to charge, and today, sitting on the third pair, it died, it was not fun for me to go home without music...((, but the Mp3 itself is cool. By the way, I had such a hat with the 16 gig rover, but compared to it, this one is much better...))</v>
      </c>
    </row>
    <row r="13513" spans="1:9" x14ac:dyDescent="0.3">
      <c r="A13513" s="1" t="s">
        <v>17</v>
      </c>
      <c r="B13513" s="1" t="s">
        <v>18</v>
      </c>
      <c r="C13513" s="1" t="s">
        <v>151</v>
      </c>
      <c r="D13513" s="1" t="s">
        <v>18820</v>
      </c>
      <c r="E13513" s="1" t="s">
        <v>2008</v>
      </c>
      <c r="F13513" s="1" t="s">
        <v>18821</v>
      </c>
      <c r="G13513" s="1" t="s">
        <v>36</v>
      </c>
      <c r="H13513" s="1" t="s">
        <v>29</v>
      </c>
      <c r="I13513" s="1" t="str">
        <f ca="1">IFERROR(__xludf.DUMMYFUNCTION("GOOGLETRANSLATE(F13513, ""auto"", ""en"")
"),"I bought it and didn’t regret it. It washes perfectly and carefully.  Children's clothes are washed with a bang!")</f>
        <v>I bought it and didn’t regret it. It washes perfectly and carefully.  Children's clothes are washed with a bang!</v>
      </c>
    </row>
    <row r="13514" spans="1:9" x14ac:dyDescent="0.3">
      <c r="A13514" s="1" t="s">
        <v>55</v>
      </c>
      <c r="B13514" s="1" t="s">
        <v>752</v>
      </c>
      <c r="C13514" s="1" t="s">
        <v>57</v>
      </c>
      <c r="D13514" s="1" t="s">
        <v>3253</v>
      </c>
      <c r="E13514" s="1" t="s">
        <v>1454</v>
      </c>
      <c r="F13514" s="1" t="s">
        <v>18822</v>
      </c>
      <c r="G13514" s="1" t="s">
        <v>36</v>
      </c>
      <c r="H13514" s="1" t="s">
        <v>29</v>
      </c>
      <c r="I13514" s="1" t="str">
        <f ca="1">IFERROR(__xludf.DUMMYFUNCTION("GOOGLETRANSLATE(F13514, ""auto"", ""en"")
"),"Very happy with the heater! He warmed up the room, which was damp from the rains, very quickly. The price is simply amazing! (bought at a discount). Very convenient, three modes allow you to select the desired heating temperature, which is maintained auto"&amp;"matically. Compact. Overall, great!")</f>
        <v>Very happy with the heater! He warmed up the room, which was damp from the rains, very quickly. The price is simply amazing! (bought at a discount). Very convenient, three modes allow you to select the desired heating temperature, which is maintained automatically. Compact. Overall, great!</v>
      </c>
    </row>
    <row r="13515" spans="1:9" x14ac:dyDescent="0.3">
      <c r="A13515" s="1" t="s">
        <v>55</v>
      </c>
      <c r="B13515" s="1" t="s">
        <v>56</v>
      </c>
      <c r="C13515" s="1" t="s">
        <v>57</v>
      </c>
      <c r="D13515" s="1" t="s">
        <v>64</v>
      </c>
      <c r="E13515" s="1" t="s">
        <v>274</v>
      </c>
      <c r="F13515" s="1" t="s">
        <v>18823</v>
      </c>
      <c r="G13515" s="1" t="s">
        <v>36</v>
      </c>
      <c r="H13515" s="1" t="s">
        <v>29</v>
      </c>
      <c r="I13515" s="1" t="str">
        <f ca="1">IFERROR(__xludf.DUMMYFUNCTION("GOOGLETRANSLATE(F13515, ""auto"", ""en"")
"),"The humidifier was chosen from ultrasonic ones, because they are considered the best in terms of quality of humidification. Plus we looked at the volume of the water tank and the power; this determines what area it can serve and how long it will work in a"&amp;"utonomous mode without adding water. We needed it for 38 squares, so this model with a water flow of 400 ml/hour and 30 W of power was ideal (it is designed for rooms of 40 squares). The tank capacity is as much as 5 liters, but the humidifier looks compa"&amp;"ct. The design itself is pleasant, modern, and not particularly striking. Additionally, a spare filter is included. Therefore, for such a price it’s quite a decent model, it has everything you need and even more.")</f>
        <v>The humidifier was chosen from ultrasonic ones, because they are considered the best in terms of quality of humidification. Plus we looked at the volume of the water tank and the power; this determines what area it can serve and how long it will work in autonomous mode without adding water. We needed it for 38 squares, so this model with a water flow of 400 ml/hour and 30 W of power was ideal (it is designed for rooms of 40 squares). The tank capacity is as much as 5 liters, but the humidifier looks compact. The design itself is pleasant, modern, and not particularly striking. Additionally, a spare filter is included. Therefore, for such a price it’s quite a decent model, it has everything you need and even more.</v>
      </c>
    </row>
    <row r="13516" spans="1:9" x14ac:dyDescent="0.3">
      <c r="A13516" s="1" t="s">
        <v>61</v>
      </c>
      <c r="B13516" s="1" t="s">
        <v>318</v>
      </c>
      <c r="C13516" s="1" t="s">
        <v>2840</v>
      </c>
      <c r="D13516" s="1" t="s">
        <v>6902</v>
      </c>
      <c r="E13516" s="1" t="s">
        <v>868</v>
      </c>
      <c r="F13516" s="1" t="s">
        <v>18824</v>
      </c>
      <c r="G13516" s="1" t="s">
        <v>15</v>
      </c>
      <c r="H13516" s="1" t="s">
        <v>16</v>
      </c>
      <c r="I13516" s="1" t="str">
        <f ca="1">IFERROR(__xludf.DUMMYFUNCTION("GOOGLETRANSLATE(F13516, ""auto"", ""en"")
"),"The lid is broken, the power button is disgusting")</f>
        <v>The lid is broken, the power button is disgusting</v>
      </c>
    </row>
    <row r="13517" spans="1:9" x14ac:dyDescent="0.3">
      <c r="A13517" s="1" t="s">
        <v>732</v>
      </c>
      <c r="B13517" s="1" t="s">
        <v>733</v>
      </c>
      <c r="C13517" s="1" t="s">
        <v>80</v>
      </c>
      <c r="D13517" s="1" t="s">
        <v>18825</v>
      </c>
      <c r="E13517" s="1" t="s">
        <v>178</v>
      </c>
      <c r="F13517" s="1" t="s">
        <v>18826</v>
      </c>
      <c r="G13517" s="1" t="s">
        <v>36</v>
      </c>
      <c r="H13517" s="1" t="s">
        <v>29</v>
      </c>
      <c r="I13517" s="1" t="str">
        <f ca="1">IFERROR(__xludf.DUMMYFUNCTION("GOOGLETRANSLATE(F13517, ""auto"", ""en"")
"),"I bought it and have been using it for about a week now. Overall, I’m pleased with the quality of the monitor - the main thing is to turn off the dynamic contrast and set reasonable brightness and contrast values. I didn’t see any artifacts, the colors we"&amp;"re convincing.    The only real drawback is that the tilt angles are too small - 5% forward and 15% backward.")</f>
        <v>I bought it and have been using it for about a week now. Overall, I’m pleased with the quality of the monitor - the main thing is to turn off the dynamic contrast and set reasonable brightness and contrast values. I didn’t see any artifacts, the colors were convincing.    The only real drawback is that the tilt angles are too small - 5% forward and 15% backward.</v>
      </c>
    </row>
    <row r="13518" spans="1:9" x14ac:dyDescent="0.3">
      <c r="A13518" s="1" t="s">
        <v>61</v>
      </c>
      <c r="B13518" s="1" t="s">
        <v>145</v>
      </c>
      <c r="C13518" s="1" t="s">
        <v>63</v>
      </c>
      <c r="D13518" s="1" t="s">
        <v>5927</v>
      </c>
      <c r="E13518" s="1" t="s">
        <v>3757</v>
      </c>
      <c r="F13518" s="1" t="s">
        <v>18827</v>
      </c>
      <c r="G13518" s="1" t="s">
        <v>36</v>
      </c>
      <c r="H13518" s="1" t="s">
        <v>29</v>
      </c>
      <c r="I13518" s="1" t="str">
        <f ca="1">IFERROR(__xludf.DUMMYFUNCTION("GOOGLETRANSLATE(F13518, ""auto"", ""en"")
"),"Just a wonderful thing. A mixer, a blender, a chopper and much more, all in one, and it performs all these functions very efficiently and uniformly. And no one whips milkshakes better.")</f>
        <v>Just a wonderful thing. A mixer, a blender, a chopper and much more, all in one, and it performs all these functions very efficiently and uniformly. And no one whips milkshakes better.</v>
      </c>
    </row>
    <row r="13519" spans="1:9" x14ac:dyDescent="0.3">
      <c r="A13519" s="1" t="s">
        <v>732</v>
      </c>
      <c r="B13519" s="1" t="s">
        <v>733</v>
      </c>
      <c r="C13519" s="1" t="s">
        <v>1680</v>
      </c>
      <c r="D13519" s="1" t="s">
        <v>18828</v>
      </c>
      <c r="E13519" s="1" t="s">
        <v>540</v>
      </c>
      <c r="F13519" s="1" t="s">
        <v>18829</v>
      </c>
      <c r="G13519" s="1" t="s">
        <v>36</v>
      </c>
      <c r="H13519" s="1" t="s">
        <v>29</v>
      </c>
      <c r="I13519" s="1" t="str">
        <f ca="1">IFERROR(__xludf.DUMMYFUNCTION("GOOGLETRANSLATE(F13519, ""auto"", ""en"")
"),"I bought this monitor for my friends. The picture quality is amazing! I am going to buy this monitor for myself and I recommend it to you! You won't regret it!")</f>
        <v>I bought this monitor for my friends. The picture quality is amazing! I am going to buy this monitor for myself and I recommend it to you! You won't regret it!</v>
      </c>
    </row>
    <row r="13520" spans="1:9" x14ac:dyDescent="0.3">
      <c r="A13520" s="1" t="s">
        <v>61</v>
      </c>
      <c r="B13520" s="1" t="s">
        <v>180</v>
      </c>
      <c r="C13520" s="1" t="s">
        <v>74</v>
      </c>
      <c r="D13520" s="1" t="s">
        <v>658</v>
      </c>
      <c r="E13520" s="1" t="s">
        <v>6701</v>
      </c>
      <c r="F13520" s="1" t="s">
        <v>18830</v>
      </c>
      <c r="G13520" s="1" t="s">
        <v>28</v>
      </c>
      <c r="H13520" s="1" t="s">
        <v>29</v>
      </c>
      <c r="I13520" s="1" t="str">
        <f ca="1">IFERROR(__xludf.DUMMYFUNCTION("GOOGLETRANSLATE(F13520, ""auto"", ""en"")
"),"Was in use for about six months. We liked the quality, sandwiches and waffles made from all kinds of dough were baked evenly, everything turned out very tasty. The child used it often. But the plastic itself is very fragile! It broke down during our next "&amp;"attempt to make sandwiches. When closing the top of the lid with the latch, the lid cracked and the handle broke off. I'll have to throw it away :(")</f>
        <v>Was in use for about six months. We liked the quality, sandwiches and waffles made from all kinds of dough were baked evenly, everything turned out very tasty. The child used it often. But the plastic itself is very fragile! It broke down during our next attempt to make sandwiches. When closing the top of the lid with the latch, the lid cracked and the handle broke off. I'll have to throw it away :(</v>
      </c>
    </row>
    <row r="13521" spans="1:9" x14ac:dyDescent="0.3">
      <c r="A13521" s="1" t="s">
        <v>211</v>
      </c>
      <c r="B13521" s="1" t="s">
        <v>212</v>
      </c>
      <c r="C13521" s="1" t="s">
        <v>63</v>
      </c>
      <c r="D13521" s="1" t="s">
        <v>1662</v>
      </c>
      <c r="E13521" s="1" t="s">
        <v>2459</v>
      </c>
      <c r="F13521" s="1" t="s">
        <v>18831</v>
      </c>
      <c r="G13521" s="1" t="s">
        <v>1580</v>
      </c>
      <c r="H13521" s="1" t="s">
        <v>29</v>
      </c>
      <c r="I13521" s="1" t="str">
        <f ca="1">IFERROR(__xludf.DUMMYFUNCTION("GOOGLETRANSLATE(F13521, ""auto"", ""en"")
"),"At first I thought that the hairdryer for 5 hairstyles did amazing prices, I didn’t know, but after six months one brush melted, another six months later the lever on the second one broke and I had to style it with a simple comb, but it really didn’t last"&amp;" long. Soon it began to constantly turn off until it got so hot that it burned half of my bangs. After that, a solid 3 with a minus")</f>
        <v>At first I thought that the hairdryer for 5 hairstyles did amazing prices, I didn’t know, but after six months one brush melted, another six months later the lever on the second one broke and I had to style it with a simple comb, but it really didn’t last long. Soon it began to constantly turn off until it got so hot that it burned half of my bangs. After that, a solid 3 with a minus</v>
      </c>
    </row>
    <row r="13522" spans="1:9" x14ac:dyDescent="0.3">
      <c r="A13522" s="1" t="s">
        <v>149</v>
      </c>
      <c r="B13522" s="1" t="s">
        <v>150</v>
      </c>
      <c r="C13522" s="1" t="s">
        <v>57</v>
      </c>
      <c r="D13522" s="1" t="s">
        <v>1008</v>
      </c>
      <c r="E13522" s="1" t="s">
        <v>1988</v>
      </c>
      <c r="F13522" s="1" t="s">
        <v>18832</v>
      </c>
      <c r="G13522" s="1" t="s">
        <v>28</v>
      </c>
      <c r="H13522" s="1" t="s">
        <v>29</v>
      </c>
      <c r="I13522" s="1" t="str">
        <f ca="1">IFERROR(__xludf.DUMMYFUNCTION("GOOGLETRANSLATE(F13522, ""auto"", ""en"")
"),"We bought this model of vacuum cleaner for the new year 2010. Over the course of 3 months, the vacuum cleaner shows only its best side, it sucks up dust well, the power is also normal, there are 3 levels of operation, in principle the vacuum cleaner is go"&amp;"od, you can give it a strong four. The only thing that doesn’t suit me is the noise level at which this unit operates. It feels like a jet engine is starting up, not a vacuum cleaner :)")</f>
        <v>We bought this model of vacuum cleaner for the new year 2010. Over the course of 3 months, the vacuum cleaner shows only its best side, it sucks up dust well, the power is also normal, there are 3 levels of operation, in principle the vacuum cleaner is good, you can give it a strong four. The only thing that doesn’t suit me is the noise level at which this unit operates. It feels like a jet engine is starting up, not a vacuum cleaner :)</v>
      </c>
    </row>
    <row r="13523" spans="1:9" x14ac:dyDescent="0.3">
      <c r="A13523" s="1" t="s">
        <v>149</v>
      </c>
      <c r="B13523" s="1" t="s">
        <v>155</v>
      </c>
      <c r="C13523" s="1" t="s">
        <v>151</v>
      </c>
      <c r="D13523" s="1" t="s">
        <v>2250</v>
      </c>
      <c r="E13523" s="1" t="s">
        <v>9808</v>
      </c>
      <c r="F13523" s="1" t="s">
        <v>18833</v>
      </c>
      <c r="G13523" s="1" t="s">
        <v>15</v>
      </c>
      <c r="H13523" s="1" t="s">
        <v>16</v>
      </c>
      <c r="I13523" s="1" t="str">
        <f ca="1">IFERROR(__xludf.DUMMYFUNCTION("GOOGLETRANSLATE(F13523, ""auto"", ""en"")
"),"This is the most terrible vacuum cleaner in the world!!! Trust me, don't take it for anything. In addition to the fact that you need to empty the container after each room, you also need to wash filters, etc. it's a nightmare. As a result, it's easier to "&amp;"broom or throw away :)")</f>
        <v>This is the most terrible vacuum cleaner in the world!!! Trust me, don't take it for anything. In addition to the fact that you need to empty the container after each room, you also need to wash filters, etc. it's a nightmare. As a result, it's easier to broom or throw away :)</v>
      </c>
    </row>
    <row r="13524" spans="1:9" x14ac:dyDescent="0.3">
      <c r="A13524" s="1" t="s">
        <v>206</v>
      </c>
      <c r="B13524" s="1" t="s">
        <v>207</v>
      </c>
      <c r="C13524" s="1" t="s">
        <v>262</v>
      </c>
      <c r="D13524" s="1" t="s">
        <v>18834</v>
      </c>
      <c r="E13524" s="1" t="s">
        <v>18835</v>
      </c>
      <c r="F13524" s="1" t="s">
        <v>18836</v>
      </c>
      <c r="G13524" s="1" t="s">
        <v>36</v>
      </c>
      <c r="H13524" s="1" t="s">
        <v>29</v>
      </c>
      <c r="I13524" s="1" t="str">
        <f ca="1">IFERROR(__xludf.DUMMYFUNCTION("GOOGLETRANSLATE(F13524, ""auto"", ""en"")
"),"You don't have to look, this sub is no longer produced by Prologi. It’s a shame, but they decided to discontinue it, I don’t know the reasons. I also have it in the trunk and it cuts the muse, which even shakes the car)) The connection is simple, I didn’t"&amp;" have any problems with it. With the advent of the child, I began to use it less often, so as not to destroy the psyche of the young body with powerful bass)) Perhaps due to this, the sub lived with me for so long...")</f>
        <v>You don't have to look, this sub is no longer produced by Prologi. It’s a shame, but they decided to discontinue it, I don’t know the reasons. I also have it in the trunk and it cuts the muse, which even shakes the car)) The connection is simple, I didn’t have any problems with it. With the advent of the child, I began to use it less often, so as not to destroy the psyche of the young body with powerful bass)) Perhaps due to this, the sub lived with me for so long...</v>
      </c>
    </row>
    <row r="13525" spans="1:9" x14ac:dyDescent="0.3">
      <c r="A13525" s="1" t="s">
        <v>105</v>
      </c>
      <c r="B13525" s="1" t="s">
        <v>106</v>
      </c>
      <c r="C13525" s="1" t="s">
        <v>97</v>
      </c>
      <c r="D13525" s="1" t="s">
        <v>139</v>
      </c>
      <c r="E13525" s="1" t="s">
        <v>937</v>
      </c>
      <c r="F13525" s="1" t="s">
        <v>18837</v>
      </c>
      <c r="G13525" s="1" t="s">
        <v>28</v>
      </c>
      <c r="H13525" s="1" t="s">
        <v>29</v>
      </c>
      <c r="I13525" s="1" t="str">
        <f ca="1">IFERROR(__xludf.DUMMYFUNCTION("GOOGLETRANSLATE(F13525, ""auto"", ""en"")
"),"Everything is fine, except for the battery (it starts to run out quickly) and the headphones that come with it.  --- It’s a pity I didn’t take 8gb, but was in a hurry, the difference is only 100 rubles :(")</f>
        <v>Everything is fine, except for the battery (it starts to run out quickly) and the headphones that come with it.  --- It’s a pity I didn’t take 8gb, but was in a hurry, the difference is only 100 rubles :(</v>
      </c>
    </row>
    <row r="13526" spans="1:9" x14ac:dyDescent="0.3">
      <c r="A13526" s="1" t="s">
        <v>811</v>
      </c>
      <c r="B13526" s="1" t="s">
        <v>1294</v>
      </c>
      <c r="C13526" s="1" t="s">
        <v>1295</v>
      </c>
      <c r="D13526" s="1" t="s">
        <v>2412</v>
      </c>
      <c r="E13526" s="1" t="s">
        <v>5294</v>
      </c>
      <c r="F13526" s="1" t="s">
        <v>18838</v>
      </c>
      <c r="G13526" s="1" t="s">
        <v>36</v>
      </c>
      <c r="H13526" s="1" t="s">
        <v>29</v>
      </c>
      <c r="I13526" s="1" t="str">
        <f ca="1">IFERROR(__xludf.DUMMYFUNCTION("GOOGLETRANSLATE(F13526, ""auto"", ""en"")
"),"Cleans very well. The main thing is not to touch it with your fingers, otherwise I’m quite happy")</f>
        <v>Cleans very well. The main thing is not to touch it with your fingers, otherwise I’m quite happy</v>
      </c>
    </row>
    <row r="13527" spans="1:9" x14ac:dyDescent="0.3">
      <c r="A13527" s="1" t="s">
        <v>89</v>
      </c>
      <c r="B13527" s="1" t="s">
        <v>90</v>
      </c>
      <c r="C13527" s="1" t="s">
        <v>185</v>
      </c>
      <c r="D13527" s="1" t="s">
        <v>52</v>
      </c>
      <c r="E13527" s="1" t="s">
        <v>10424</v>
      </c>
      <c r="F13527" s="1" t="s">
        <v>18839</v>
      </c>
      <c r="G13527" s="1" t="s">
        <v>49</v>
      </c>
      <c r="H13527" s="1" t="s">
        <v>16</v>
      </c>
      <c r="I13527" s="1" t="str">
        <f ca="1">IFERROR(__xludf.DUMMYFUNCTION("GOOGLETRANSLATE(F13527, ""auto"", ""en"")
"),"I bought this model 4 days ago because there were a lot of good reviews. But after grinding the same coffee twice, the knives became dull. I brought this miracle to the store in the service area, they asked what was wrong with the coffee grinder and immed"&amp;"iately returned the money. The store works well, but the goods are not always of high quality")</f>
        <v>I bought this model 4 days ago because there were a lot of good reviews. But after grinding the same coffee twice, the knives became dull. I brought this miracle to the store in the service area, they asked what was wrong with the coffee grinder and immediately returned the money. The store works well, but the goods are not always of high quality</v>
      </c>
    </row>
    <row r="13528" spans="1:9" x14ac:dyDescent="0.3">
      <c r="A13528" s="1" t="s">
        <v>105</v>
      </c>
      <c r="B13528" s="1" t="s">
        <v>106</v>
      </c>
      <c r="C13528" s="1" t="s">
        <v>1921</v>
      </c>
      <c r="D13528" s="1" t="s">
        <v>10995</v>
      </c>
      <c r="E13528" s="1" t="s">
        <v>3954</v>
      </c>
      <c r="F13528" s="1" t="s">
        <v>18840</v>
      </c>
      <c r="G13528" s="1" t="s">
        <v>36</v>
      </c>
      <c r="H13528" s="1" t="s">
        <v>29</v>
      </c>
      <c r="I13528" s="1" t="str">
        <f ca="1">IFERROR(__xludf.DUMMYFUNCTION("GOOGLETRANSLATE(F13528, ""auto"", ""en"")
"),"good thing, cheap and cheerful one might say")</f>
        <v>good thing, cheap and cheerful one might say</v>
      </c>
    </row>
    <row r="13529" spans="1:9" x14ac:dyDescent="0.3">
      <c r="A13529" s="1" t="s">
        <v>211</v>
      </c>
      <c r="B13529" s="1" t="s">
        <v>410</v>
      </c>
      <c r="C13529" s="1" t="s">
        <v>122</v>
      </c>
      <c r="D13529" s="1" t="s">
        <v>39</v>
      </c>
      <c r="E13529" s="1" t="s">
        <v>577</v>
      </c>
      <c r="F13529" s="1" t="s">
        <v>18841</v>
      </c>
      <c r="G13529" s="1" t="s">
        <v>36</v>
      </c>
      <c r="H13529" s="1" t="s">
        <v>29</v>
      </c>
      <c r="I13529" s="1" t="str">
        <f ca="1">IFERROR(__xludf.DUMMYFUNCTION("GOOGLETRANSLATE(F13529, ""auto"", ""en"")
"),"I recommend it. Very good razor. There is virtually no vibration transmitted to the hand. Been using it for about 3 years now. I did not change the mesh or blades. Shaves great. I confirm that I have never seen components for it in the mvideo.")</f>
        <v>I recommend it. Very good razor. There is virtually no vibration transmitted to the hand. Been using it for about 3 years now. I did not change the mesh or blades. Shaves great. I confirm that I have never seen components for it in the mvideo.</v>
      </c>
    </row>
    <row r="13530" spans="1:9" x14ac:dyDescent="0.3">
      <c r="A13530" s="1" t="s">
        <v>9</v>
      </c>
      <c r="B13530" s="1" t="s">
        <v>23</v>
      </c>
      <c r="C13530" s="1" t="s">
        <v>151</v>
      </c>
      <c r="D13530" s="1" t="s">
        <v>280</v>
      </c>
      <c r="E13530" s="1" t="s">
        <v>18067</v>
      </c>
      <c r="F13530" s="1" t="s">
        <v>18842</v>
      </c>
      <c r="G13530" s="1" t="s">
        <v>36</v>
      </c>
      <c r="H13530" s="1" t="s">
        <v>29</v>
      </c>
      <c r="I13530" s="1" t="str">
        <f ca="1">IFERROR(__xludf.DUMMYFUNCTION("GOOGLETRANSLATE(F13530, ""auto"", ""en"")
"),"I bought it for my wife. Installed it myself. Everything is very simple, I only had to buy a faucet for the sink 1/2 in/out 3/4 in. It works silently, is easy to operate, washes perfectly, and we tried different tablets, from expensive to not so expensive"&amp;". The downside is that it almost didn’t fit in the kitchen height, it was by 5 mm. raise the tabletop - I recommend that buyers of this equipment first measure the installation location.")</f>
        <v>I bought it for my wife. Installed it myself. Everything is very simple, I only had to buy a faucet for the sink 1/2 in/out 3/4 in. It works silently, is easy to operate, washes perfectly, and we tried different tablets, from expensive to not so expensive. The downside is that it almost didn’t fit in the kitchen height, it was by 5 mm. raise the tabletop - I recommend that buyers of this equipment first measure the installation location.</v>
      </c>
    </row>
    <row r="13531" spans="1:9" x14ac:dyDescent="0.3">
      <c r="A13531" s="1" t="s">
        <v>105</v>
      </c>
      <c r="B13531" s="1" t="s">
        <v>106</v>
      </c>
      <c r="C13531" s="1" t="s">
        <v>1209</v>
      </c>
      <c r="D13531" s="1" t="s">
        <v>33</v>
      </c>
      <c r="E13531" s="1" t="s">
        <v>2733</v>
      </c>
      <c r="F13531" s="1" t="s">
        <v>18843</v>
      </c>
      <c r="G13531" s="1" t="s">
        <v>36</v>
      </c>
      <c r="H13531" s="1" t="s">
        <v>29</v>
      </c>
      <c r="I13531" s="1" t="str">
        <f ca="1">IFERROR(__xludf.DUMMYFUNCTION("GOOGLETRANSLATE(F13531, ""auto"", ""en"")
"),"A very convenient mp3 player, the only drawback is the power and pause button is very small, it’s uncomfortable to wear gloves in winter!!! But overall I really like it.")</f>
        <v>A very convenient mp3 player, the only drawback is the power and pause button is very small, it’s uncomfortable to wear gloves in winter!!! But overall I really like it.</v>
      </c>
    </row>
    <row r="13532" spans="1:9" x14ac:dyDescent="0.3">
      <c r="A13532" s="1" t="s">
        <v>169</v>
      </c>
      <c r="B13532" s="1" t="s">
        <v>170</v>
      </c>
      <c r="C13532" s="1" t="s">
        <v>193</v>
      </c>
      <c r="D13532" s="1" t="s">
        <v>1894</v>
      </c>
      <c r="E13532" s="1" t="s">
        <v>680</v>
      </c>
      <c r="F13532" s="1" t="s">
        <v>18844</v>
      </c>
      <c r="G13532" s="1" t="s">
        <v>36</v>
      </c>
      <c r="H13532" s="1" t="s">
        <v>29</v>
      </c>
      <c r="I13532" s="1" t="str">
        <f ca="1">IFERROR(__xludf.DUMMYFUNCTION("GOOGLETRANSLATE(F13532, ""auto"", ""en"")
"),"An excellent device for sound! We worked for 2 years, only yesterday the wire broke at the plug, the right speaker does not work, now I will buy the PX 200 again. I recently went shopping, helped a friend buy headphones, managed to compare the PX 100 and "&amp;"PX 200. So, do not buy the second option, the sound is good on the PX 200, but the low frequencies disappointed me, I connected it to iPod (60gb) - complete lack of bass line and it’s not clear why the PX-200 is so expensive - screw them!!! Only PX-100!!!")</f>
        <v>An excellent device for sound! We worked for 2 years, only yesterday the wire broke at the plug, the right speaker does not work, now I will buy the PX 200 again. I recently went shopping, helped a friend buy headphones, managed to compare the PX 100 and PX 200. So, do not buy the second option, the sound is good on the PX 200, but the low frequencies disappointed me, I connected it to iPod (60gb) - complete lack of bass line and it’s not clear why the PX-200 is so expensive - screw them!!! Only PX-100!!!</v>
      </c>
    </row>
    <row r="13533" spans="1:9" x14ac:dyDescent="0.3">
      <c r="A13533" s="1" t="s">
        <v>211</v>
      </c>
      <c r="B13533" s="1" t="s">
        <v>212</v>
      </c>
      <c r="C13533" s="1" t="s">
        <v>381</v>
      </c>
      <c r="D13533" s="1" t="s">
        <v>8257</v>
      </c>
      <c r="E13533" s="1" t="s">
        <v>2778</v>
      </c>
      <c r="F13533" s="1" t="s">
        <v>18845</v>
      </c>
      <c r="G13533" s="1" t="s">
        <v>36</v>
      </c>
      <c r="H13533" s="1" t="s">
        <v>29</v>
      </c>
      <c r="I13533" s="1" t="str">
        <f ca="1">IFERROR(__xludf.DUMMYFUNCTION("GOOGLETRANSLATE(F13533, ""auto"", ""en"")
"),"My husband gave me the tongs. I use them every day and couldn't be happier. They heat up quickly, straighten perfectly, and don’t snag your hair. I keep it in the case that came with it. My hair is just silky afterwards. Thanks to my husband!")</f>
        <v>My husband gave me the tongs. I use them every day and couldn't be happier. They heat up quickly, straighten perfectly, and don’t snag your hair. I keep it in the case that came with it. My hair is just silky afterwards. Thanks to my husband!</v>
      </c>
    </row>
    <row r="13534" spans="1:9" x14ac:dyDescent="0.3">
      <c r="A13534" s="1" t="s">
        <v>67</v>
      </c>
      <c r="B13534" s="1" t="s">
        <v>68</v>
      </c>
      <c r="C13534" s="1" t="s">
        <v>101</v>
      </c>
      <c r="D13534" s="1" t="s">
        <v>653</v>
      </c>
      <c r="E13534" s="1" t="s">
        <v>7240</v>
      </c>
      <c r="F13534" s="1" t="s">
        <v>18846</v>
      </c>
      <c r="G13534" s="1" t="s">
        <v>28</v>
      </c>
      <c r="H13534" s="1" t="s">
        <v>29</v>
      </c>
      <c r="I13534" s="1" t="str">
        <f ca="1">IFERROR(__xludf.DUMMYFUNCTION("GOOGLETRANSLATE(F13534, ""auto"", ""en"")
"),"A small iron for very delicate ironing, but with good functions and steam. In principle, you can’t dream of more for such a price)")</f>
        <v>A small iron for very delicate ironing, but with good functions and steam. In principle, you can’t dream of more for such a price)</v>
      </c>
    </row>
    <row r="13535" spans="1:9" x14ac:dyDescent="0.3">
      <c r="A13535" s="1" t="s">
        <v>55</v>
      </c>
      <c r="B13535" s="1" t="s">
        <v>752</v>
      </c>
      <c r="C13535" s="1" t="s">
        <v>185</v>
      </c>
      <c r="D13535" s="1" t="s">
        <v>52</v>
      </c>
      <c r="E13535" s="1" t="s">
        <v>4504</v>
      </c>
      <c r="F13535" s="1" t="s">
        <v>18847</v>
      </c>
      <c r="G13535" s="1" t="s">
        <v>36</v>
      </c>
      <c r="H13535" s="1" t="s">
        <v>29</v>
      </c>
      <c r="I13535" s="1" t="str">
        <f ca="1">IFERROR(__xludf.DUMMYFUNCTION("GOOGLETRANSLATE(F13535, ""auto"", ""en"")
"),"We bought a heater from M-video 2 days ago, the heater is rated 5 in all its indicators! At work, this heater has been working at maximum capacity for 2 years now, no complaints!")</f>
        <v>We bought a heater from M-video 2 days ago, the heater is rated 5 in all its indicators! At work, this heater has been working at maximum capacity for 2 years now, no complaints!</v>
      </c>
    </row>
    <row r="13536" spans="1:9" x14ac:dyDescent="0.3">
      <c r="A13536" s="1" t="s">
        <v>61</v>
      </c>
      <c r="B13536" s="1" t="s">
        <v>145</v>
      </c>
      <c r="C13536" s="1" t="s">
        <v>57</v>
      </c>
      <c r="D13536" s="1" t="s">
        <v>18848</v>
      </c>
      <c r="E13536" s="1" t="s">
        <v>1816</v>
      </c>
      <c r="F13536" s="1" t="s">
        <v>18849</v>
      </c>
      <c r="G13536" s="1" t="s">
        <v>36</v>
      </c>
      <c r="H13536" s="1" t="s">
        <v>29</v>
      </c>
      <c r="I13536" s="1" t="str">
        <f ca="1">IFERROR(__xludf.DUMMYFUNCTION("GOOGLETRANSLATE(F13536, ""auto"", ""en"")
"),"We bought it today in a store in Orel. There were enough potatoes for three people as a side dish. If you cut them into thin halves of circles, the slices swell in a very interesting way. We liked it.")</f>
        <v>We bought it today in a store in Orel. There were enough potatoes for three people as a side dish. If you cut them into thin halves of circles, the slices swell in a very interesting way. We liked it.</v>
      </c>
    </row>
    <row r="13537" spans="1:9" x14ac:dyDescent="0.3">
      <c r="A13537" s="1" t="s">
        <v>211</v>
      </c>
      <c r="B13537" s="1" t="s">
        <v>410</v>
      </c>
      <c r="C13537" s="1" t="s">
        <v>57</v>
      </c>
      <c r="D13537" s="1" t="s">
        <v>39</v>
      </c>
      <c r="E13537" s="1" t="s">
        <v>1517</v>
      </c>
      <c r="F13537" s="1" t="s">
        <v>18850</v>
      </c>
      <c r="G13537" s="1" t="s">
        <v>49</v>
      </c>
      <c r="H13537" s="1" t="s">
        <v>16</v>
      </c>
      <c r="I13537" s="1" t="str">
        <f ca="1">IFERROR(__xludf.DUMMYFUNCTION("GOOGLETRANSLATE(F13537, ""auto"", ""en"")
"),"The razor not only doesn't shave well, it barely works at all. When turned on for the first time, the knives began to turn with difficulty every other time and made a terrible sound and grinding noise. Vitek - in its repertoire...")</f>
        <v>The razor not only doesn't shave well, it barely works at all. When turned on for the first time, the knives began to turn with difficulty every other time and made a terrible sound and grinding noise. Vitek - in its repertoire...</v>
      </c>
    </row>
    <row r="13538" spans="1:9" x14ac:dyDescent="0.3">
      <c r="A13538" s="1" t="s">
        <v>89</v>
      </c>
      <c r="B13538" s="1" t="s">
        <v>90</v>
      </c>
      <c r="C13538" s="1" t="s">
        <v>745</v>
      </c>
      <c r="D13538" s="1" t="s">
        <v>2771</v>
      </c>
      <c r="E13538" s="1" t="s">
        <v>7300</v>
      </c>
      <c r="F13538" s="1" t="s">
        <v>18851</v>
      </c>
      <c r="G13538" s="1" t="s">
        <v>28</v>
      </c>
      <c r="H13538" s="1" t="s">
        <v>29</v>
      </c>
      <c r="I13538" s="1" t="str">
        <f ca="1">IFERROR(__xludf.DUMMYFUNCTION("GOOGLETRANSLATE(F13538, ""auto"", ""en"")
"),"I love to cook and often need powder, and since it’s not profitable to buy ready-made powder in stores, I decided to buy a cheap coffee grinder. Now she’s helping me out, I’M SATISFIED.")</f>
        <v>I love to cook and often need powder, and since it’s not profitable to buy ready-made powder in stores, I decided to buy a cheap coffee grinder. Now she’s helping me out, I’M SATISFIED.</v>
      </c>
    </row>
    <row r="13539" spans="1:9" x14ac:dyDescent="0.3">
      <c r="A13539" s="1" t="s">
        <v>169</v>
      </c>
      <c r="B13539" s="1" t="s">
        <v>170</v>
      </c>
      <c r="C13539" s="1" t="s">
        <v>193</v>
      </c>
      <c r="D13539" s="1" t="s">
        <v>327</v>
      </c>
      <c r="E13539" s="1" t="s">
        <v>4445</v>
      </c>
      <c r="F13539" s="1" t="s">
        <v>18852</v>
      </c>
      <c r="G13539" s="1" t="s">
        <v>28</v>
      </c>
      <c r="H13539" s="1" t="s">
        <v>29</v>
      </c>
      <c r="I13539" s="1" t="str">
        <f ca="1">IFERROR(__xludf.DUMMYFUNCTION("GOOGLETRANSLATE(F13539, ""auto"", ""en"")
"),"The sound can be said to be good.  There is a slight background, when the volume is increased from the receiver, at some point they begin to rattle, but this is when there is excess power, I can handle it. When moving away from the source to another room "&amp;"(room), there is an excellent, stable connection with little interference. I'm happy.")</f>
        <v>The sound can be said to be good.  There is a slight background, when the volume is increased from the receiver, at some point they begin to rattle, but this is when there is excess power, I can handle it. When moving away from the source to another room (room), there is an excellent, stable connection with little interference. I'm happy.</v>
      </c>
    </row>
    <row r="13540" spans="1:9" x14ac:dyDescent="0.3">
      <c r="A13540" s="1" t="s">
        <v>30</v>
      </c>
      <c r="B13540" s="1" t="s">
        <v>50</v>
      </c>
      <c r="C13540" s="1" t="s">
        <v>32</v>
      </c>
      <c r="D13540" s="1" t="s">
        <v>152</v>
      </c>
      <c r="E13540" s="1" t="s">
        <v>3184</v>
      </c>
      <c r="F13540" s="1" t="s">
        <v>18853</v>
      </c>
      <c r="G13540" s="1" t="s">
        <v>36</v>
      </c>
      <c r="H13540" s="1" t="s">
        <v>29</v>
      </c>
      <c r="I13540" s="1" t="str">
        <f ca="1">IFERROR(__xludf.DUMMYFUNCTION("GOOGLETRANSLATE(F13540, ""auto"", ""en"")
"),"Bought 02/06/2010 I got this device myself and am very, very pleased, I have a computer and 2 laptops at home, I inherited my laptop from my mother))) in terms of power and needs it surpasses all the digital inhabitants of my house))), buy it, you won’t r"&amp;"egret it. The only negative, I took it from a display case in a store on Teply Stan and stood there since 12/12/09 and without film, the back cover was scratched by vandals.")</f>
        <v>Bought 02/06/2010 I got this device myself and am very, very pleased, I have a computer and 2 laptops at home, I inherited my laptop from my mother))) in terms of power and needs it surpasses all the digital inhabitants of my house))), buy it, you won’t regret it. The only negative, I took it from a display case in a store on Teply Stan and stood there since 12/12/09 and without film, the back cover was scratched by vandals.</v>
      </c>
    </row>
    <row r="13541" spans="1:9" x14ac:dyDescent="0.3">
      <c r="A13541" s="1" t="s">
        <v>30</v>
      </c>
      <c r="B13541" s="1" t="s">
        <v>50</v>
      </c>
      <c r="C13541" s="1" t="s">
        <v>51</v>
      </c>
      <c r="D13541" s="1" t="s">
        <v>52</v>
      </c>
      <c r="E13541" s="1" t="s">
        <v>2512</v>
      </c>
      <c r="F13541" s="1" t="s">
        <v>18854</v>
      </c>
      <c r="G13541" s="1" t="s">
        <v>36</v>
      </c>
      <c r="H13541" s="1" t="s">
        <v>29</v>
      </c>
      <c r="I13541" s="1" t="str">
        <f ca="1">IFERROR(__xludf.DUMMYFUNCTION("GOOGLETRANSLATE(F13541, ""auto"", ""en"")
"),"Regarding the backlighting of the touch panel, for those who are especially gifted, the Fn+F2 combination turns the backlight off and on, poke your fingers... the touchpad is ok, it's a matter of firewood or crooked hands, although it's all not very clear"&amp;", it seems to be either off or on... everything works by default, apparently you're just poking the wrong buttons about fingerprints on the case. It's generally idiocy and to include this ""parameter"" in the characteristics of various devices is simply n"&amp;"onsense, Wipe with a cloth once a week and wash your hands... if all else fails, sand the lid. Almost all 99% of laptops are made with glossy lids and someone is constantly whining, even in tests they manage to include this point in the parameters... Lana"&amp;", sorry if that's the case")</f>
        <v>Regarding the backlighting of the touch panel, for those who are especially gifted, the Fn+F2 combination turns the backlight off and on, poke your fingers... the touchpad is ok, it's a matter of firewood or crooked hands, although it's all not very clear, it seems to be either off or on... everything works by default, apparently you're just poking the wrong buttons about fingerprints on the case. It's generally idiocy and to include this "parameter" in the characteristics of various devices is simply nonsense, Wipe with a cloth once a week and wash your hands... if all else fails, sand the lid. Almost all 99% of laptops are made with glossy lids and someone is constantly whining, even in tests they manage to include this point in the parameters... Lana, sorry if that's the case</v>
      </c>
    </row>
    <row r="13542" spans="1:9" x14ac:dyDescent="0.3">
      <c r="A13542" s="1" t="s">
        <v>169</v>
      </c>
      <c r="B13542" s="1" t="s">
        <v>170</v>
      </c>
      <c r="C13542" s="1" t="s">
        <v>69</v>
      </c>
      <c r="D13542" s="1" t="s">
        <v>621</v>
      </c>
      <c r="E13542" s="1" t="s">
        <v>178</v>
      </c>
      <c r="F13542" s="1" t="s">
        <v>18855</v>
      </c>
      <c r="G13542" s="1" t="s">
        <v>36</v>
      </c>
      <c r="H13542" s="1" t="s">
        <v>29</v>
      </c>
      <c r="I13542" s="1" t="str">
        <f ca="1">IFERROR(__xludf.DUMMYFUNCTION("GOOGLETRANSLATE(F13542, ""auto"", ""en"")
"),"Excellent headphones) I was pleased for about six months, then one earphone refused to work (((but the sound is simply wonderful, and they fit on the ear very comfortably)")</f>
        <v>Excellent headphones) I was pleased for about six months, then one earphone refused to work (((but the sound is simply wonderful, and they fit on the ear very comfortably)</v>
      </c>
    </row>
    <row r="13543" spans="1:9" x14ac:dyDescent="0.3">
      <c r="A13543" s="1" t="s">
        <v>9</v>
      </c>
      <c r="B13543" s="1" t="s">
        <v>137</v>
      </c>
      <c r="C13543" s="1" t="s">
        <v>63</v>
      </c>
      <c r="D13543" s="1" t="s">
        <v>52</v>
      </c>
      <c r="E13543" s="1" t="s">
        <v>18856</v>
      </c>
      <c r="F13543" s="1" t="s">
        <v>18857</v>
      </c>
      <c r="G13543" s="1" t="s">
        <v>36</v>
      </c>
      <c r="H13543" s="1" t="s">
        <v>29</v>
      </c>
      <c r="I13543" s="1" t="str">
        <f ca="1">IFERROR(__xludf.DUMMYFUNCTION("GOOGLETRANSLATE(F13543, ""auto"", ""en"")
"),"It is not easily soiled, the enamel is very durable, resistant to scratches, but if you rub it with pemos or something metal, then both titanium and glass can be scratched, enamel is enamel.  The grate is cast iron, but not like the usual ones, but smooth"&amp;", very easy to clean, and can be washed in the dishwasher!  The handles are tilted away from the burners, they may get hot, but they certainly don’t melt.  Very sensitive gas control, no need to hold the handle for a long time.   There is a child lock, th"&amp;"e gas does not flow until you remove it.")</f>
        <v>It is not easily soiled, the enamel is very durable, resistant to scratches, but if you rub it with pemos or something metal, then both titanium and glass can be scratched, enamel is enamel.  The grate is cast iron, but not like the usual ones, but smooth, very easy to clean, and can be washed in the dishwasher!  The handles are tilted away from the burners, they may get hot, but they certainly don’t melt.  Very sensitive gas control, no need to hold the handle for a long time.   There is a child lock, the gas does not flow until you remove it.</v>
      </c>
    </row>
    <row r="13544" spans="1:9" x14ac:dyDescent="0.3">
      <c r="A13544" s="1" t="s">
        <v>149</v>
      </c>
      <c r="B13544" s="1" t="s">
        <v>576</v>
      </c>
      <c r="C13544" s="1" t="s">
        <v>151</v>
      </c>
      <c r="D13544" s="1" t="s">
        <v>18858</v>
      </c>
      <c r="E13544" s="1" t="s">
        <v>917</v>
      </c>
      <c r="F13544" s="1" t="s">
        <v>18859</v>
      </c>
      <c r="G13544" s="1" t="s">
        <v>28</v>
      </c>
      <c r="H13544" s="1" t="s">
        <v>29</v>
      </c>
      <c r="I13544" s="1" t="str">
        <f ca="1">IFERROR(__xludf.DUMMYFUNCTION("GOOGLETRANSLATE(F13544, ""auto"", ""en"")
"),"We bought this vacuum cleaner. Everything seems to be fine. Sucks :-) perfectly. There are indeed small disappointments. 1, as it is written on the website, it has 400 Watt suction power. But in fact, SAMSUNG says that 380. The turbo brush works well, but"&amp;" even here, ambush 2, it only works when you put it on the floor and if it is applied loosely, i.e. If there is somewhere else for air to come in, then it will spin less. Which is not very good. And 3, due to its small size, the vacuum cleaner turns over "&amp;"if you suddenly decide to go back to vacuum. Everything else works well; there are no complaints about the suction power. Well, if he copes with the main task, then everything is fine.")</f>
        <v>We bought this vacuum cleaner. Everything seems to be fine. Sucks :-) perfectly. There are indeed small disappointments. 1, as it is written on the website, it has 400 Watt suction power. But in fact, SAMSUNG says that 380. The turbo brush works well, but even here, ambush 2, it only works when you put it on the floor and if it is applied loosely, i.e. If there is somewhere else for air to come in, then it will spin less. Which is not very good. And 3, due to its small size, the vacuum cleaner turns over if you suddenly decide to go back to vacuum. Everything else works well; there are no complaints about the suction power. Well, if he copes with the main task, then everything is fine.</v>
      </c>
    </row>
    <row r="13545" spans="1:9" x14ac:dyDescent="0.3">
      <c r="A13545" s="1" t="s">
        <v>67</v>
      </c>
      <c r="B13545" s="1" t="s">
        <v>68</v>
      </c>
      <c r="C13545" s="1" t="s">
        <v>69</v>
      </c>
      <c r="D13545" s="1" t="s">
        <v>378</v>
      </c>
      <c r="E13545" s="1" t="s">
        <v>18188</v>
      </c>
      <c r="F13545" s="1" t="s">
        <v>18860</v>
      </c>
      <c r="G13545" s="1" t="s">
        <v>36</v>
      </c>
      <c r="H13545" s="1" t="s">
        <v>29</v>
      </c>
      <c r="I13545" s="1" t="str">
        <f ca="1">IFERROR(__xludf.DUMMYFUNCTION("GOOGLETRANSLATE(F13545, ""auto"", ""en"")
"),"I liked the sole, it glides easily over things and smoothes them out efficiently. Good steam power, easy to steam. If anything sticks, it is easy to clean, without special products. I recommend it to everyone)")</f>
        <v>I liked the sole, it glides easily over things and smoothes them out efficiently. Good steam power, easy to steam. If anything sticks, it is easy to clean, without special products. I recommend it to everyone)</v>
      </c>
    </row>
    <row r="13546" spans="1:9" x14ac:dyDescent="0.3">
      <c r="A13546" s="1" t="s">
        <v>9</v>
      </c>
      <c r="B13546" s="1" t="s">
        <v>10</v>
      </c>
      <c r="C13546" s="1" t="s">
        <v>466</v>
      </c>
      <c r="D13546" s="1" t="s">
        <v>345</v>
      </c>
      <c r="E13546" s="1" t="s">
        <v>5183</v>
      </c>
      <c r="F13546" s="1" t="s">
        <v>18861</v>
      </c>
      <c r="G13546" s="1" t="s">
        <v>36</v>
      </c>
      <c r="H13546" s="1" t="s">
        <v>29</v>
      </c>
      <c r="I13546" s="1" t="str">
        <f ca="1">IFERROR(__xludf.DUMMYFUNCTION("GOOGLETRANSLATE(F13546, ""auto"", ""en"")
"),"It took me a long time to decide whether or not to buy a hood from this manufacturer, since there was not much choice in our city. There was nowhere to go, the kitchen stood idle all in smoke and now it’s working, not particularly noisy, the natural quiet"&amp;" hum of the fans. I was pleased, I was pleased with the automatic switching on when moving out. I recommend it to everyone!")</f>
        <v>It took me a long time to decide whether or not to buy a hood from this manufacturer, since there was not much choice in our city. There was nowhere to go, the kitchen stood idle all in smoke and now it’s working, not particularly noisy, the natural quiet hum of the fans. I was pleased, I was pleased with the automatic switching on when moving out. I recommend it to everyone!</v>
      </c>
    </row>
    <row r="13547" spans="1:9" x14ac:dyDescent="0.3">
      <c r="A13547" s="1" t="s">
        <v>211</v>
      </c>
      <c r="B13547" s="1" t="s">
        <v>212</v>
      </c>
      <c r="C13547" s="1" t="s">
        <v>69</v>
      </c>
      <c r="D13547" s="1" t="s">
        <v>18862</v>
      </c>
      <c r="E13547" s="1" t="s">
        <v>9945</v>
      </c>
      <c r="F13547" s="1" t="s">
        <v>18863</v>
      </c>
      <c r="G13547" s="1" t="s">
        <v>36</v>
      </c>
      <c r="H13547" s="1" t="s">
        <v>29</v>
      </c>
      <c r="I13547" s="1" t="str">
        <f ca="1">IFERROR(__xludf.DUMMYFUNCTION("GOOGLETRANSLATE(F13547, ""auto"", ""en"")
"),"I agree that the curlers are good, they heat up quickly. The only downside is the clips, they barely hold the hair. You can just buy crabs and there will be no more problems.")</f>
        <v>I agree that the curlers are good, they heat up quickly. The only downside is the clips, they barely hold the hair. You can just buy crabs and there will be no more problems.</v>
      </c>
    </row>
    <row r="13548" spans="1:9" x14ac:dyDescent="0.3">
      <c r="A13548" s="1" t="s">
        <v>61</v>
      </c>
      <c r="B13548" s="1" t="s">
        <v>977</v>
      </c>
      <c r="C13548" s="1" t="s">
        <v>101</v>
      </c>
      <c r="D13548" s="1" t="s">
        <v>75</v>
      </c>
      <c r="E13548" s="1" t="s">
        <v>6098</v>
      </c>
      <c r="F13548" s="1" t="s">
        <v>18864</v>
      </c>
      <c r="G13548" s="1" t="s">
        <v>36</v>
      </c>
      <c r="H13548" s="1" t="s">
        <v>29</v>
      </c>
      <c r="I13548" s="1" t="str">
        <f ca="1">IFERROR(__xludf.DUMMYFUNCTION("GOOGLETRANSLATE(F13548, ""auto"", ""en"")
"),"A great helper in the kitchen! I've been using it for 2 years now! One downside is that it gets hot during long periods of use. But everything is fine.")</f>
        <v>A great helper in the kitchen! I've been using it for 2 years now! One downside is that it gets hot during long periods of use. But everything is fine.</v>
      </c>
    </row>
    <row r="13549" spans="1:9" x14ac:dyDescent="0.3">
      <c r="A13549" s="1" t="s">
        <v>211</v>
      </c>
      <c r="B13549" s="1" t="s">
        <v>265</v>
      </c>
      <c r="C13549" s="1" t="s">
        <v>381</v>
      </c>
      <c r="D13549" s="1" t="s">
        <v>11148</v>
      </c>
      <c r="E13549" s="1" t="s">
        <v>659</v>
      </c>
      <c r="F13549" s="1" t="s">
        <v>18865</v>
      </c>
      <c r="G13549" s="1" t="s">
        <v>28</v>
      </c>
      <c r="H13549" s="1" t="s">
        <v>29</v>
      </c>
      <c r="I13549" s="1" t="str">
        <f ca="1">IFERROR(__xludf.DUMMYFUNCTION("GOOGLETRANSLATE(F13549, ""auto"", ""en"")
"),"Overall, the clipper is not bad. I've had it for 11 months now. After working for 6 months, the knives became dull and it stopped working. I took it to the workshop and paid 100 rubles. for sharpening and adjustment. Works. Before use, I recommend adjusti"&amp;"ng it immediately, otherwise it will be like mine, and lubricate constantly.")</f>
        <v>Overall, the clipper is not bad. I've had it for 11 months now. After working for 6 months, the knives became dull and it stopped working. I took it to the workshop and paid 100 rubles. for sharpening and adjustment. Works. Before use, I recommend adjusting it immediately, otherwise it will be like mine, and lubricate constantly.</v>
      </c>
    </row>
    <row r="13550" spans="1:9" x14ac:dyDescent="0.3">
      <c r="A13550" s="1" t="s">
        <v>67</v>
      </c>
      <c r="B13550" s="1" t="s">
        <v>340</v>
      </c>
      <c r="C13550" s="1" t="s">
        <v>341</v>
      </c>
      <c r="D13550" s="1" t="s">
        <v>166</v>
      </c>
      <c r="E13550" s="1" t="s">
        <v>5173</v>
      </c>
      <c r="F13550" s="1" t="s">
        <v>18866</v>
      </c>
      <c r="G13550" s="1" t="s">
        <v>36</v>
      </c>
      <c r="H13550" s="1" t="s">
        <v>29</v>
      </c>
      <c r="I13550" s="1" t="str">
        <f ca="1">IFERROR(__xludf.DUMMYFUNCTION("GOOGLETRANSLATE(F13550, ""auto"", ""en"")
"),"Compact, minimum functions. Just right for a beginner.")</f>
        <v>Compact, minimum functions. Just right for a beginner.</v>
      </c>
    </row>
    <row r="13551" spans="1:9" x14ac:dyDescent="0.3">
      <c r="A13551" s="1" t="s">
        <v>105</v>
      </c>
      <c r="B13551" s="1" t="s">
        <v>106</v>
      </c>
      <c r="C13551" s="1" t="s">
        <v>97</v>
      </c>
      <c r="D13551" s="1" t="s">
        <v>114</v>
      </c>
      <c r="E13551" s="1" t="s">
        <v>824</v>
      </c>
      <c r="F13551" s="1" t="s">
        <v>18867</v>
      </c>
      <c r="G13551" s="1" t="s">
        <v>36</v>
      </c>
      <c r="H13551" s="1" t="s">
        <v>29</v>
      </c>
      <c r="I13551" s="1" t="str">
        <f ca="1">IFERROR(__xludf.DUMMYFUNCTION("GOOGLETRANSLATE(F13551, ""auto"", ""en"")
"),"I have already described all the advantages of this player, but I have to add a fly in the ointment. Of the 2GB of memory declared by the manufacturer, I only have 1.7GB.  Conclusion: Assembly - China.")</f>
        <v>I have already described all the advantages of this player, but I have to add a fly in the ointment. Of the 2GB of memory declared by the manufacturer, I only have 1.7GB.  Conclusion: Assembly - China.</v>
      </c>
    </row>
    <row r="13552" spans="1:9" x14ac:dyDescent="0.3">
      <c r="A13552" s="1" t="s">
        <v>211</v>
      </c>
      <c r="B13552" s="1" t="s">
        <v>212</v>
      </c>
      <c r="C13552" s="1" t="s">
        <v>381</v>
      </c>
      <c r="D13552" s="1" t="s">
        <v>616</v>
      </c>
      <c r="E13552" s="1" t="s">
        <v>2352</v>
      </c>
      <c r="F13552" s="1" t="s">
        <v>18868</v>
      </c>
      <c r="G13552" s="1" t="s">
        <v>36</v>
      </c>
      <c r="H13552" s="1" t="s">
        <v>29</v>
      </c>
      <c r="I13552" s="1" t="str">
        <f ca="1">IFERROR(__xludf.DUMMYFUNCTION("GOOGLETRANSLATE(F13552, ""auto"", ""en"")
"),"The model is simply super!!!! excellent quality!!! There is only one thing - I don’t know about the others - but on my model the gap between the ceramic plates and the covers holding them is quite large and when I straighten from time to time my own hair "&amp;"gets caught in this gap. And so there are no more cons!!")</f>
        <v>The model is simply super!!!! excellent quality!!! There is only one thing - I don’t know about the others - but on my model the gap between the ceramic plates and the covers holding them is quite large and when I straighten from time to time my own hair gets caught in this gap. And so there are no more cons!!</v>
      </c>
    </row>
    <row r="13553" spans="1:9" x14ac:dyDescent="0.3">
      <c r="A13553" s="1" t="s">
        <v>211</v>
      </c>
      <c r="B13553" s="1" t="s">
        <v>265</v>
      </c>
      <c r="C13553" s="1" t="s">
        <v>122</v>
      </c>
      <c r="D13553" s="1" t="s">
        <v>417</v>
      </c>
      <c r="E13553" s="1" t="s">
        <v>92</v>
      </c>
      <c r="F13553" s="1" t="s">
        <v>18869</v>
      </c>
      <c r="G13553" s="1" t="s">
        <v>36</v>
      </c>
      <c r="H13553" s="1" t="s">
        <v>29</v>
      </c>
      <c r="I13553" s="1" t="str">
        <f ca="1">IFERROR(__xludf.DUMMYFUNCTION("GOOGLETRANSLATE(F13553, ""auto"", ""en"")
"),"Yes, everything is super and the attachments are stronger than those of Philips ")</f>
        <v xml:space="preserve">Yes, everything is super and the attachments are stronger than those of Philips </v>
      </c>
    </row>
    <row r="13554" spans="1:9" x14ac:dyDescent="0.3">
      <c r="A13554" s="1" t="s">
        <v>206</v>
      </c>
      <c r="B13554" s="1" t="s">
        <v>261</v>
      </c>
      <c r="C13554" s="1" t="s">
        <v>262</v>
      </c>
      <c r="D13554" s="1" t="s">
        <v>10177</v>
      </c>
      <c r="E13554" s="1" t="s">
        <v>3600</v>
      </c>
      <c r="F13554" s="1" t="s">
        <v>18870</v>
      </c>
      <c r="G13554" s="1" t="s">
        <v>15</v>
      </c>
      <c r="H13554" s="1" t="s">
        <v>16</v>
      </c>
      <c r="I13554" s="1" t="str">
        <f ca="1">IFERROR(__xludf.DUMMYFUNCTION("GOOGLETRANSLATE(F13554, ""auto"", ""en"")
"),"It’s a shame that there is no TV input, but a landline one for the car radio. I had to refuse the purchase.")</f>
        <v>It’s a shame that there is no TV input, but a landline one for the car radio. I had to refuse the purchase.</v>
      </c>
    </row>
    <row r="13555" spans="1:9" x14ac:dyDescent="0.3">
      <c r="A13555" s="1" t="s">
        <v>105</v>
      </c>
      <c r="B13555" s="1" t="s">
        <v>106</v>
      </c>
      <c r="C13555" s="1" t="s">
        <v>107</v>
      </c>
      <c r="D13555" s="1" t="s">
        <v>18871</v>
      </c>
      <c r="E13555" s="1" t="s">
        <v>2990</v>
      </c>
      <c r="F13555" s="1" t="s">
        <v>18872</v>
      </c>
      <c r="G13555" s="1" t="s">
        <v>36</v>
      </c>
      <c r="H13555" s="1" t="s">
        <v>29</v>
      </c>
      <c r="I13555" s="1" t="str">
        <f ca="1">IFERROR(__xludf.DUMMYFUNCTION("GOOGLETRANSLATE(F13555, ""auto"", ""en"")
"),"A very cool player, everything about it is cool except the battery, and if you remove the film, the sensor works softer and more conveniently, my battery lasts for 8-10 hours quietly.")</f>
        <v>A very cool player, everything about it is cool except the battery, and if you remove the film, the sensor works softer and more conveniently, my battery lasts for 8-10 hours quietly.</v>
      </c>
    </row>
    <row r="13556" spans="1:9" x14ac:dyDescent="0.3">
      <c r="A13556" s="1" t="s">
        <v>965</v>
      </c>
      <c r="B13556" s="1" t="s">
        <v>966</v>
      </c>
      <c r="C13556" s="1" t="s">
        <v>2149</v>
      </c>
      <c r="D13556" s="1" t="s">
        <v>1681</v>
      </c>
      <c r="E13556" s="1" t="s">
        <v>529</v>
      </c>
      <c r="F13556" s="1" t="s">
        <v>18873</v>
      </c>
      <c r="G13556" s="1" t="s">
        <v>15</v>
      </c>
      <c r="H13556" s="1" t="s">
        <v>16</v>
      </c>
      <c r="I13556" s="1" t="str">
        <f ca="1">IFERROR(__xludf.DUMMYFUNCTION("GOOGLETRANSLATE(F13556, ""auto"", ""en"")
"),"after 60% volume the speakers start to lock up; it’s inconvenient to add bass; the connection from the computer to the sub and speakers is bad; after a year the intrth broke and right now they are standing idle; if you take such acoustics, then I think th"&amp;"at money is wasted;")</f>
        <v>after 60% volume the speakers start to lock up; it’s inconvenient to add bass; the connection from the computer to the sub and speakers is bad; after a year the intrth broke and right now they are standing idle; if you take such acoustics, then I think that money is wasted;</v>
      </c>
    </row>
    <row r="13557" spans="1:9" x14ac:dyDescent="0.3">
      <c r="A13557" s="1" t="s">
        <v>61</v>
      </c>
      <c r="B13557" s="1" t="s">
        <v>224</v>
      </c>
      <c r="C13557" s="1" t="s">
        <v>74</v>
      </c>
      <c r="D13557" s="1" t="s">
        <v>3293</v>
      </c>
      <c r="E13557" s="1" t="s">
        <v>1450</v>
      </c>
      <c r="F13557" s="1" t="s">
        <v>18874</v>
      </c>
      <c r="G13557" s="1" t="s">
        <v>36</v>
      </c>
      <c r="H13557" s="1" t="s">
        <v>29</v>
      </c>
      <c r="I13557" s="1" t="str">
        <f ca="1">IFERROR(__xludf.DUMMYFUNCTION("GOOGLETRANSLATE(F13557, ""auto"", ""en"")
"),"It works great, 2 kg of garden apples is more than a liter of juice, the pulp is dense, you don’t need to squeeze anything! I haven’t tried Bork, maybe it’s better (although there are a lot of bad reviews about it), but I don’t want to overpay by 100-150%"&amp;" to get 5-10% more juice =) Reasonable, right? =)")</f>
        <v>It works great, 2 kg of garden apples is more than a liter of juice, the pulp is dense, you don’t need to squeeze anything! I haven’t tried Bork, maybe it’s better (although there are a lot of bad reviews about it), but I don’t want to overpay by 100-150% to get 5-10% more juice =) Reasonable, right? =)</v>
      </c>
    </row>
    <row r="13558" spans="1:9" x14ac:dyDescent="0.3">
      <c r="A13558" s="1" t="s">
        <v>61</v>
      </c>
      <c r="B13558" s="1" t="s">
        <v>318</v>
      </c>
      <c r="C13558" s="1" t="s">
        <v>246</v>
      </c>
      <c r="D13558" s="1" t="s">
        <v>695</v>
      </c>
      <c r="E13558" s="1" t="s">
        <v>6685</v>
      </c>
      <c r="F13558" s="1" t="s">
        <v>18875</v>
      </c>
      <c r="G13558" s="1" t="s">
        <v>49</v>
      </c>
      <c r="H13558" s="1" t="s">
        <v>16</v>
      </c>
      <c r="I13558" s="1" t="str">
        <f ca="1">IFERROR(__xludf.DUMMYFUNCTION("GOOGLETRANSLATE(F13558, ""auto"", ""en"")
"),"After half a year of use, the lid mount fell apart due to heat; this was due to the heat and poor-quality plastic. In general, the kettle is still boiling, but I no longer open the lid to fill the water, pouring water through the spout.")</f>
        <v>After half a year of use, the lid mount fell apart due to heat; this was due to the heat and poor-quality plastic. In general, the kettle is still boiling, but I no longer open the lid to fill the water, pouring water through the spout.</v>
      </c>
    </row>
    <row r="13559" spans="1:9" x14ac:dyDescent="0.3">
      <c r="A13559" s="1" t="s">
        <v>1443</v>
      </c>
      <c r="B13559" s="1" t="s">
        <v>4684</v>
      </c>
      <c r="C13559" s="1" t="s">
        <v>97</v>
      </c>
      <c r="D13559" s="1" t="s">
        <v>3253</v>
      </c>
      <c r="E13559" s="1" t="s">
        <v>3254</v>
      </c>
      <c r="F13559" s="1" t="s">
        <v>18876</v>
      </c>
      <c r="G13559" s="1" t="s">
        <v>15</v>
      </c>
      <c r="H13559" s="1" t="s">
        <v>16</v>
      </c>
      <c r="I13559" s="1" t="str">
        <f ca="1">IFERROR(__xludf.DUMMYFUNCTION("GOOGLETRANSLATE(F13559, ""auto"", ""en"")
"),"I bought a cassette for filming a New Year's party. Let me make a reservation right away - the camera head was clean, there were no interference or defects on previous and subsequent recordings (other cassettes). When watching, I discovered an almost comp"&amp;"lete absence of sound, which appears in short fragments, and a disgusting image throughout the entire shooting. The image distorts, sometimes individual pixels appear, sometimes it just stops. Apparently the cassette was defective, because immediately aft"&amp;"er that I filmed it on another cassette and everything was ok. It’s not a pity for the money, it’s a pity for the memories, it was the last New Year’s party in kindergarten.")</f>
        <v>I bought a cassette for filming a New Year's party. Let me make a reservation right away - the camera head was clean, there were no interference or defects on previous and subsequent recordings (other cassettes). When watching, I discovered an almost complete absence of sound, which appears in short fragments, and a disgusting image throughout the entire shooting. The image distorts, sometimes individual pixels appear, sometimes it just stops. Apparently the cassette was defective, because immediately after that I filmed it on another cassette and everything was ok. It’s not a pity for the money, it’s a pity for the memories, it was the last New Year’s party in kindergarten.</v>
      </c>
    </row>
    <row r="13560" spans="1:9" x14ac:dyDescent="0.3">
      <c r="A13560" s="1" t="s">
        <v>105</v>
      </c>
      <c r="B13560" s="1" t="s">
        <v>106</v>
      </c>
      <c r="C13560" s="1" t="s">
        <v>1209</v>
      </c>
      <c r="D13560" s="1" t="s">
        <v>152</v>
      </c>
      <c r="E13560" s="1" t="s">
        <v>594</v>
      </c>
      <c r="F13560" s="1" t="s">
        <v>18877</v>
      </c>
      <c r="G13560" s="1" t="s">
        <v>28</v>
      </c>
      <c r="H13560" s="1" t="s">
        <v>29</v>
      </c>
      <c r="I13560" s="1" t="str">
        <f ca="1">IFERROR(__xludf.DUMMYFUNCTION("GOOGLETRANSLATE(F13560, ""auto"", ""en"")
"),"Well, in general, I looked closely for a month, read reviews. It seems to be ok in terms of price and functionality. At first I was happy... and then I began to notice shortcomings... everything about it is good, except for the screen. The screen was some"&amp;"how not made in the best way, I uploaded my drawings there (I’m an artist), and that’s all of such poor quality that the question arises - is this not a png format of 30 kilobytes in size??? The video freezes a little and skips frames, I noticed this when"&amp;" playing mpg and wmv formats. And that seems to be the norm. There's just too much TV there.")</f>
        <v>Well, in general, I looked closely for a month, read reviews. It seems to be ok in terms of price and functionality. At first I was happy... and then I began to notice shortcomings... everything about it is good, except for the screen. The screen was somehow not made in the best way, I uploaded my drawings there (I’m an artist), and that’s all of such poor quality that the question arises - is this not a png format of 30 kilobytes in size??? The video freezes a little and skips frames, I noticed this when playing mpg and wmv formats. And that seems to be the norm. There's just too much TV there.</v>
      </c>
    </row>
    <row r="13561" spans="1:9" x14ac:dyDescent="0.3">
      <c r="A13561" s="1" t="s">
        <v>105</v>
      </c>
      <c r="B13561" s="1" t="s">
        <v>106</v>
      </c>
      <c r="C13561" s="1" t="s">
        <v>151</v>
      </c>
      <c r="D13561" s="1" t="s">
        <v>152</v>
      </c>
      <c r="E13561" s="1" t="s">
        <v>2278</v>
      </c>
      <c r="F13561" s="1" t="s">
        <v>18878</v>
      </c>
      <c r="G13561" s="1" t="s">
        <v>28</v>
      </c>
      <c r="H13561" s="1" t="s">
        <v>29</v>
      </c>
      <c r="I13561" s="1" t="str">
        <f ca="1">IFERROR(__xludf.DUMMYFUNCTION("GOOGLETRANSLATE(F13561, ""auto"", ""en"")
"),"Anna, it’s just a board that burned out, replacement under warranty and that’s it, factory defect... I had the same symptoms) now it works without problems. The player is not bad in appearance, in terms of parameters, the sound is good. The original headp"&amp;"hones are not of good quality, although they cost 500-600 rubles, but the sound is ok. I ended up replacing it with other plugs. I liked one thing, I rocked the 32 Ohm headphones very well, which not all players can do... even the much-lauded iPod couldn’"&amp;"t do it. very good player.")</f>
        <v>Anna, it’s just a board that burned out, replacement under warranty and that’s it, factory defect... I had the same symptoms) now it works without problems. The player is not bad in appearance, in terms of parameters, the sound is good. The original headphones are not of good quality, although they cost 500-600 rubles, but the sound is ok. I ended up replacing it with other plugs. I liked one thing, I rocked the 32 Ohm headphones very well, which not all players can do... even the much-lauded iPod couldn’t do it. very good player.</v>
      </c>
    </row>
    <row r="13562" spans="1:9" x14ac:dyDescent="0.3">
      <c r="A13562" s="1" t="s">
        <v>361</v>
      </c>
      <c r="B13562" s="1" t="s">
        <v>362</v>
      </c>
      <c r="C13562" s="1" t="s">
        <v>246</v>
      </c>
      <c r="D13562" s="1" t="s">
        <v>18879</v>
      </c>
      <c r="E13562" s="1" t="s">
        <v>4472</v>
      </c>
      <c r="F13562" s="1" t="s">
        <v>18880</v>
      </c>
      <c r="G13562" s="1" t="s">
        <v>36</v>
      </c>
      <c r="H13562" s="1" t="s">
        <v>29</v>
      </c>
      <c r="I13562" s="1" t="str">
        <f ca="1">IFERROR(__xludf.DUMMYFUNCTION("GOOGLETRANSLATE(F13562, ""auto"", ""en"")
"),"I bought it for a multicooker, it helps out when you cook something bulky, when you stew lecho, it’s a pleasure to stir with such a spatula!")</f>
        <v>I bought it for a multicooker, it helps out when you cook something bulky, when you stew lecho, it’s a pleasure to stir with such a spatula!</v>
      </c>
    </row>
    <row r="13563" spans="1:9" x14ac:dyDescent="0.3">
      <c r="A13563" s="1" t="s">
        <v>1443</v>
      </c>
      <c r="B13563" s="1" t="s">
        <v>1444</v>
      </c>
      <c r="C13563" s="1" t="s">
        <v>1445</v>
      </c>
      <c r="D13563" s="1" t="s">
        <v>411</v>
      </c>
      <c r="E13563" s="1" t="s">
        <v>278</v>
      </c>
      <c r="F13563" s="1" t="s">
        <v>18881</v>
      </c>
      <c r="G13563" s="1" t="s">
        <v>28</v>
      </c>
      <c r="H13563" s="1" t="s">
        <v>29</v>
      </c>
      <c r="I13563" s="1" t="str">
        <f ca="1">IFERROR(__xludf.DUMMYFUNCTION("GOOGLETRANSLATE(F13563, ""auto"", ""en"")
"),"The capacity does not correspond slightly to the declared one (31,247,597,568 bytes).  File recording speed 1.4 GB - about 10 MB/sec. The reading speed is very high - this file was copied back in less than 25 seconds.")</f>
        <v>The capacity does not correspond slightly to the declared one (31,247,597,568 bytes).  File recording speed 1.4 GB - about 10 MB/sec. The reading speed is very high - this file was copied back in less than 25 seconds.</v>
      </c>
    </row>
    <row r="13564" spans="1:9" x14ac:dyDescent="0.3">
      <c r="A13564" s="1" t="s">
        <v>55</v>
      </c>
      <c r="B13564" s="1" t="s">
        <v>56</v>
      </c>
      <c r="C13564" s="1" t="s">
        <v>85</v>
      </c>
      <c r="D13564" s="1" t="s">
        <v>521</v>
      </c>
      <c r="E13564" s="1" t="s">
        <v>7396</v>
      </c>
      <c r="F13564" s="1" t="s">
        <v>18882</v>
      </c>
      <c r="G13564" s="1" t="s">
        <v>36</v>
      </c>
      <c r="H13564" s="1" t="s">
        <v>29</v>
      </c>
      <c r="I13564" s="1" t="str">
        <f ca="1">IFERROR(__xludf.DUMMYFUNCTION("GOOGLETRANSLATE(F13564, ""auto"", ""en"")
"),"It works quietly and humidifies the air perfectly.")</f>
        <v>It works quietly and humidifies the air perfectly.</v>
      </c>
    </row>
    <row r="13565" spans="1:9" x14ac:dyDescent="0.3">
      <c r="A13565" s="1" t="s">
        <v>95</v>
      </c>
      <c r="B13565" s="1" t="s">
        <v>573</v>
      </c>
      <c r="C13565" s="1" t="s">
        <v>97</v>
      </c>
      <c r="D13565" s="1" t="s">
        <v>18586</v>
      </c>
      <c r="E13565" s="1" t="s">
        <v>285</v>
      </c>
      <c r="F13565" s="1" t="s">
        <v>18883</v>
      </c>
      <c r="G13565" s="1" t="s">
        <v>36</v>
      </c>
      <c r="H13565" s="1" t="s">
        <v>29</v>
      </c>
      <c r="I13565" s="1" t="str">
        <f ca="1">IFERROR(__xludf.DUMMYFUNCTION("GOOGLETRANSLATE(F13565, ""auto"", ""en"")
"),"COOL. IT'S BAD THAT CD/R/RW DOESN'T READ")</f>
        <v>COOL. IT'S BAD THAT CD/R/RW DOESN'T READ</v>
      </c>
    </row>
    <row r="13566" spans="1:9" x14ac:dyDescent="0.3">
      <c r="A13566" s="1" t="s">
        <v>120</v>
      </c>
      <c r="B13566" s="1" t="s">
        <v>121</v>
      </c>
      <c r="C13566" s="1" t="s">
        <v>80</v>
      </c>
      <c r="D13566" s="1" t="s">
        <v>280</v>
      </c>
      <c r="E13566" s="1" t="s">
        <v>1649</v>
      </c>
      <c r="F13566" s="1" t="s">
        <v>18884</v>
      </c>
      <c r="G13566" s="1" t="s">
        <v>28</v>
      </c>
      <c r="H13566" s="1" t="s">
        <v>29</v>
      </c>
      <c r="I13566" s="1" t="str">
        <f ca="1">IFERROR(__xludf.DUMMYFUNCTION("GOOGLETRANSLATE(F13566, ""auto"", ""en"")
"),"Overall, I'm quite pleased with the TV. but there is 1 minus. I couldn't find how to connect speakers to it. Except through the headphone output. A 1 TB external hdd works great and is much faster than a flash drive. And just in case. If you want to conne"&amp;"ct an external hdd to it, purchase it together with a power supply. Power from usb only will most likely not be enough. And about which hdd to connect? I have a self-collection. Box 1 of the company, the hard drive itself is different.")</f>
        <v>Overall, I'm quite pleased with the TV. but there is 1 minus. I couldn't find how to connect speakers to it. Except through the headphone output. A 1 TB external hdd works great and is much faster than a flash drive. And just in case. If you want to connect an external hdd to it, purchase it together with a power supply. Power from usb only will most likely not be enough. And about which hdd to connect? I have a self-collection. Box 1 of the company, the hard drive itself is different.</v>
      </c>
    </row>
    <row r="13567" spans="1:9" x14ac:dyDescent="0.3">
      <c r="A13567" s="1" t="s">
        <v>105</v>
      </c>
      <c r="B13567" s="1" t="s">
        <v>106</v>
      </c>
      <c r="C13567" s="1" t="s">
        <v>1921</v>
      </c>
      <c r="D13567" s="1" t="s">
        <v>18885</v>
      </c>
      <c r="E13567" s="1" t="s">
        <v>2146</v>
      </c>
      <c r="F13567" s="1" t="s">
        <v>18886</v>
      </c>
      <c r="G13567" s="1" t="s">
        <v>49</v>
      </c>
      <c r="H13567" s="1" t="s">
        <v>16</v>
      </c>
      <c r="I13567" s="1" t="str">
        <f ca="1">IFERROR(__xludf.DUMMYFUNCTION("GOOGLETRANSLATE(F13567, ""auto"", ""en"")
"),"The player sucks, is very inconvenient, does not delete folders, does not write from the radio, the recorder is garbage, constantly glitches. Wasted money.")</f>
        <v>The player sucks, is very inconvenient, does not delete folders, does not write from the radio, the recorder is garbage, constantly glitches. Wasted money.</v>
      </c>
    </row>
    <row r="13568" spans="1:9" x14ac:dyDescent="0.3">
      <c r="A13568" s="1" t="s">
        <v>451</v>
      </c>
      <c r="B13568" s="1" t="s">
        <v>452</v>
      </c>
      <c r="C13568" s="1" t="s">
        <v>453</v>
      </c>
      <c r="D13568" s="1" t="s">
        <v>417</v>
      </c>
      <c r="E13568" s="1" t="s">
        <v>17007</v>
      </c>
      <c r="F13568" s="1" t="s">
        <v>18887</v>
      </c>
      <c r="G13568" s="1" t="s">
        <v>36</v>
      </c>
      <c r="H13568" s="1" t="s">
        <v>29</v>
      </c>
      <c r="I13568" s="1" t="str">
        <f ca="1">IFERROR(__xludf.DUMMYFUNCTION("GOOGLETRANSLATE(F13568, ""auto"", ""en"")
"),"I bought a machine, bought two batteries, came home, tried it... AWESOME!!! Gloves, hat, socks - like new.")</f>
        <v>I bought a machine, bought two batteries, came home, tried it... AWESOME!!! Gloves, hat, socks - like new.</v>
      </c>
    </row>
    <row r="13569" spans="1:9" x14ac:dyDescent="0.3">
      <c r="A13569" s="1" t="s">
        <v>43</v>
      </c>
      <c r="B13569" s="1" t="s">
        <v>44</v>
      </c>
      <c r="C13569" s="1" t="s">
        <v>101</v>
      </c>
      <c r="D13569" s="1" t="s">
        <v>896</v>
      </c>
      <c r="E13569" s="1" t="s">
        <v>5819</v>
      </c>
      <c r="F13569" s="1" t="s">
        <v>18888</v>
      </c>
      <c r="G13569" s="1" t="s">
        <v>36</v>
      </c>
      <c r="H13569" s="1" t="s">
        <v>29</v>
      </c>
      <c r="I13569" s="1" t="str">
        <f ca="1">IFERROR(__xludf.DUMMYFUNCTION("GOOGLETRANSLATE(F13569, ""auto"", ""en"")
"),"I really liked the fan, it’s silent, there’s no clicking or creaking, just air. We assembled it in 5 minutes, everything is simple, all the parts are in place. As they wrote in other reviews, that even at first speed it is quite powerful, this is true. We"&amp;" are saved by it, not only we, but also animals.  I recommend")</f>
        <v>I really liked the fan, it’s silent, there’s no clicking or creaking, just air. We assembled it in 5 minutes, everything is simple, all the parts are in place. As they wrote in other reviews, that even at first speed it is quite powerful, this is true. We are saved by it, not only we, but also animals.  I recommend</v>
      </c>
    </row>
    <row r="13570" spans="1:9" x14ac:dyDescent="0.3">
      <c r="A13570" s="1" t="s">
        <v>149</v>
      </c>
      <c r="B13570" s="1" t="s">
        <v>155</v>
      </c>
      <c r="C13570" s="1" t="s">
        <v>151</v>
      </c>
      <c r="D13570" s="1" t="s">
        <v>295</v>
      </c>
      <c r="E13570" s="1" t="s">
        <v>353</v>
      </c>
      <c r="F13570" s="1" t="s">
        <v>18889</v>
      </c>
      <c r="G13570" s="1" t="s">
        <v>49</v>
      </c>
      <c r="H13570" s="1" t="s">
        <v>16</v>
      </c>
      <c r="I13570" s="1" t="str">
        <f ca="1">IFERROR(__xludf.DUMMYFUNCTION("GOOGLETRANSLATE(F13570, ""auto"", ""en"")
"),"It broke down after 1 year - the motor burned out, despite the fact that it was not used every day.")</f>
        <v>It broke down after 1 year - the motor burned out, despite the fact that it was not used every day.</v>
      </c>
    </row>
    <row r="13571" spans="1:9" x14ac:dyDescent="0.3">
      <c r="A13571" s="1" t="s">
        <v>120</v>
      </c>
      <c r="B13571" s="1" t="s">
        <v>126</v>
      </c>
      <c r="C13571" s="1" t="s">
        <v>151</v>
      </c>
      <c r="D13571" s="1" t="s">
        <v>18011</v>
      </c>
      <c r="E13571" s="1" t="s">
        <v>950</v>
      </c>
      <c r="F13571" s="1" t="s">
        <v>18890</v>
      </c>
      <c r="G13571" s="1" t="s">
        <v>36</v>
      </c>
      <c r="H13571" s="1" t="s">
        <v>29</v>
      </c>
      <c r="I13571" s="1" t="str">
        <f ca="1">IFERROR(__xludf.DUMMYFUNCTION("GOOGLETRANSLATE(F13571, ""auto"", ""en"")
"),"I bought it a week ago. So far there are no complaints, except for minor flaws.  Analog channels are up to par. With USB it reads almost all formats (the only problem is with subtitles, they need to be built in). The design is not bad (minus for the non-r"&amp;"otating stand).  I had to tinker with setting up the channels for myself - it was inconvenient. The sound is excellent. It doesn’t heat up too much (in the apartment it’s 35C).  Conclusion: A good choice for a not very demanding user. My rating is 4.5")</f>
        <v>I bought it a week ago. So far there are no complaints, except for minor flaws.  Analog channels are up to par. With USB it reads almost all formats (the only problem is with subtitles, they need to be built in). The design is not bad (minus for the non-rotating stand).  I had to tinker with setting up the channels for myself - it was inconvenient. The sound is excellent. It doesn’t heat up too much (in the apartment it’s 35C).  Conclusion: A good choice for a not very demanding user. My rating is 4.5</v>
      </c>
    </row>
    <row r="13572" spans="1:9" x14ac:dyDescent="0.3">
      <c r="A13572" s="1" t="s">
        <v>17</v>
      </c>
      <c r="B13572" s="1" t="s">
        <v>18</v>
      </c>
      <c r="C13572" s="1" t="s">
        <v>243</v>
      </c>
      <c r="D13572" s="1" t="s">
        <v>64</v>
      </c>
      <c r="E13572" s="1" t="s">
        <v>992</v>
      </c>
      <c r="F13572" s="1" t="s">
        <v>18891</v>
      </c>
      <c r="G13572" s="1" t="s">
        <v>36</v>
      </c>
      <c r="H13572" s="1" t="s">
        <v>29</v>
      </c>
      <c r="I13572" s="1" t="str">
        <f ca="1">IFERROR(__xludf.DUMMYFUNCTION("GOOGLETRANSLATE(F13572, ""auto"", ""en"")
"),"I bought the machine as the cheapest option, for washing mainly children's clothes. I wash it every day, it’s been in use for 2 years, everything is super, I’m very happy with this purchase")</f>
        <v>I bought the machine as the cheapest option, for washing mainly children's clothes. I wash it every day, it’s been in use for 2 years, everything is super, I’m very happy with this purchase</v>
      </c>
    </row>
    <row r="13573" spans="1:9" x14ac:dyDescent="0.3">
      <c r="A13573" s="1" t="s">
        <v>61</v>
      </c>
      <c r="B13573" s="1" t="s">
        <v>318</v>
      </c>
      <c r="C13573" s="1" t="s">
        <v>122</v>
      </c>
      <c r="D13573" s="1" t="s">
        <v>474</v>
      </c>
      <c r="E13573" s="1" t="s">
        <v>15866</v>
      </c>
      <c r="F13573" s="1" t="s">
        <v>18892</v>
      </c>
      <c r="G13573" s="1" t="s">
        <v>36</v>
      </c>
      <c r="H13573" s="1" t="s">
        <v>29</v>
      </c>
      <c r="I13573" s="1" t="str">
        <f ca="1">IFERROR(__xludf.DUMMYFUNCTION("GOOGLETRANSLATE(F13573, ""auto"", ""en"")
"),"I almost never left reviews for this kind of purchase. Not a book, not a movie after all. But I thought that the review might help someone else in choosing a purchase. Unfortunately, I myself am led by reviews; strong praise and troll discontent scare me."&amp;"   I bought a thermopot for the first time. This summer. To mom at the dacha. I read that there are electronic and mechanical pumps. At the dacha, it’s rare, but it still happens, that the lights are turned off and mom finds herself “cut off from civiliza"&amp;"tion,” because... everything is electric. And when I bought a thermopot, I thought that this one had a mechanical pump. But I was wrong. Perhaps this is one thing that can be called a minus. Apparently. I still don’t understand what an electromechanical p"&amp;"ump is. By the way, since I thought that it had a mechanical pump, and at the time of purchase it was only in a store on the other side of the city, I later hated myself, remembering how I dragged it across the whole city - it’s not heavy, but still it we"&amp;"ighs something and in the box it’s not that small, I suffered. :) Does the water have a taste? Don't know. Maybe. But apparently it doesn’t bother me if I don’t bother about it. The rest is nothing but positives.   It is easy to care for the thermopot. I "&amp;"wipe the upper part inside, which is above the water.  I wipe the front part, because... There are splashes, especially if I pour it into a cup of coffee - some droplets fall on the front of the thermopot. I clean the strainer sometimes, but after six mon"&amp;"ths of use it hasn’t gotten dirty. Did you do a global cleanse with citric acid once? - it seems with her, I just forgot, because... I stupidly did as it was written in the instructions. It boiled for an hour, poured it out, poured the water in again, ran"&amp;" it once and everything was clean and simple.   In general, in any case, a convenient and necessary thing.   If you have a large family, then you need a larger thermopot. But there are three of us, we have enough.")</f>
        <v>I almost never left reviews for this kind of purchase. Not a book, not a movie after all. But I thought that the review might help someone else in choosing a purchase. Unfortunately, I myself am led by reviews; strong praise and troll discontent scare me.   I bought a thermopot for the first time. This summer. To mom at the dacha. I read that there are electronic and mechanical pumps. At the dacha, it’s rare, but it still happens, that the lights are turned off and mom finds herself “cut off from civilization,” because... everything is electric. And when I bought a thermopot, I thought that this one had a mechanical pump. But I was wrong. Perhaps this is one thing that can be called a minus. Apparently. I still don’t understand what an electromechanical pump is. By the way, since I thought that it had a mechanical pump, and at the time of purchase it was only in a store on the other side of the city, I later hated myself, remembering how I dragged it across the whole city - it’s not heavy, but still it weighs something and in the box it’s not that small, I suffered. :) Does the water have a taste? Don't know. Maybe. But apparently it doesn’t bother me if I don’t bother about it. The rest is nothing but positives.   It is easy to care for the thermopot. I wipe the upper part inside, which is above the water.  I wipe the front part, because... There are splashes, especially if I pour it into a cup of coffee - some droplets fall on the front of the thermopot. I clean the strainer sometimes, but after six months of use it hasn’t gotten dirty. Did you do a global cleanse with citric acid once? - it seems with her, I just forgot, because... I stupidly did as it was written in the instructions. It boiled for an hour, poured it out, poured the water in again, ran it once and everything was clean and simple.   In general, in any case, a convenient and necessary thing.   If you have a large family, then you need a larger thermopot. But there are three of us, we have enough.</v>
      </c>
    </row>
    <row r="13574" spans="1:9" x14ac:dyDescent="0.3">
      <c r="A13574" s="1" t="s">
        <v>105</v>
      </c>
      <c r="B13574" s="1" t="s">
        <v>106</v>
      </c>
      <c r="C13574" s="1" t="s">
        <v>1921</v>
      </c>
      <c r="D13574" s="1" t="s">
        <v>1520</v>
      </c>
      <c r="E13574" s="1" t="s">
        <v>4864</v>
      </c>
      <c r="F13574" s="1" t="s">
        <v>18893</v>
      </c>
      <c r="G13574" s="1" t="s">
        <v>36</v>
      </c>
      <c r="H13574" s="1" t="s">
        <v>29</v>
      </c>
      <c r="I13574" s="1" t="str">
        <f ca="1">IFERROR(__xludf.DUMMYFUNCTION("GOOGLETRANSLATE(F13574, ""auto"", ""en"")
"),"The player is simply amazing!!")</f>
        <v>The player is simply amazing!!</v>
      </c>
    </row>
    <row r="13575" spans="1:9" x14ac:dyDescent="0.3">
      <c r="A13575" s="1" t="s">
        <v>61</v>
      </c>
      <c r="B13575" s="1" t="s">
        <v>180</v>
      </c>
      <c r="C13575" s="1" t="s">
        <v>63</v>
      </c>
      <c r="D13575" s="1" t="s">
        <v>208</v>
      </c>
      <c r="E13575" s="1" t="s">
        <v>8208</v>
      </c>
      <c r="F13575" s="1" t="s">
        <v>18894</v>
      </c>
      <c r="G13575" s="1" t="s">
        <v>36</v>
      </c>
      <c r="H13575" s="1" t="s">
        <v>29</v>
      </c>
      <c r="I13575" s="1" t="str">
        <f ca="1">IFERROR(__xludf.DUMMYFUNCTION("GOOGLETRANSLATE(F13575, ""auto"", ""en"")
"),"Works well. I advise you to buy it.")</f>
        <v>Works well. I advise you to buy it.</v>
      </c>
    </row>
    <row r="13576" spans="1:9" x14ac:dyDescent="0.3">
      <c r="A13576" s="1" t="s">
        <v>30</v>
      </c>
      <c r="B13576" s="1" t="s">
        <v>31</v>
      </c>
      <c r="C13576" s="1" t="s">
        <v>32</v>
      </c>
      <c r="D13576" s="1" t="s">
        <v>18895</v>
      </c>
      <c r="E13576" s="1" t="s">
        <v>3184</v>
      </c>
      <c r="F13576" s="1" t="s">
        <v>18896</v>
      </c>
      <c r="G13576" s="1" t="s">
        <v>36</v>
      </c>
      <c r="H13576" s="1" t="s">
        <v>29</v>
      </c>
      <c r="I13576" s="1" t="str">
        <f ca="1">IFERROR(__xludf.DUMMYFUNCTION("GOOGLETRANSLATE(F13576, ""auto"", ""en"")
"),"The Acer Revo 3610 Nettop I purchased comes with a wireless keyboard and mouse, although the website states that it comes with a wired keyboard.  The keyboard, by the way, is of decent quality, miniature, light, glossy (matte buttons), white. There is no "&amp;"digital button block, but it is unnecessary. The mouse, one might say, is an ordinary wireless optical mouse, slightly smaller than a standard one, lightweight, slightly angular (closer to a rectangle in shape), stylish. 8-).  Now a little about the compu"&amp;"ter itself. The speed of work is quite decent. Not Core2Duo, of course, but it makes much less noise. We can say that there is practically no noise. You can hear it if you listen and then from a distance of 50 cm or closer. The device is connected to an L"&amp;"CD TV via HDMI. For surfing the Internet, watching movies, listening to music, etc. fits 100%.")</f>
        <v>The Acer Revo 3610 Nettop I purchased comes with a wireless keyboard and mouse, although the website states that it comes with a wired keyboard.  The keyboard, by the way, is of decent quality, miniature, light, glossy (matte buttons), white. There is no digital button block, but it is unnecessary. The mouse, one might say, is an ordinary wireless optical mouse, slightly smaller than a standard one, lightweight, slightly angular (closer to a rectangle in shape), stylish. 8-).  Now a little about the computer itself. The speed of work is quite decent. Not Core2Duo, of course, but it makes much less noise. We can say that there is practically no noise. You can hear it if you listen and then from a distance of 50 cm or closer. The device is connected to an LCD TV via HDMI. For surfing the Internet, watching movies, listening to music, etc. fits 100%.</v>
      </c>
    </row>
    <row r="13577" spans="1:9" x14ac:dyDescent="0.3">
      <c r="A13577" s="1" t="s">
        <v>9</v>
      </c>
      <c r="B13577" s="1" t="s">
        <v>137</v>
      </c>
      <c r="C13577" s="1" t="s">
        <v>63</v>
      </c>
      <c r="D13577" s="1" t="s">
        <v>305</v>
      </c>
      <c r="E13577" s="1" t="s">
        <v>6903</v>
      </c>
      <c r="F13577" s="1" t="s">
        <v>18897</v>
      </c>
      <c r="G13577" s="1" t="s">
        <v>49</v>
      </c>
      <c r="H13577" s="1" t="s">
        <v>16</v>
      </c>
      <c r="I13577" s="1" t="str">
        <f ca="1">IFERROR(__xludf.DUMMYFUNCTION("GOOGLETRANSLATE(F13577, ""auto"", ""en"")
"),"On the first day after purchase, the surface began to wear off. Stains appear after every cooking.  It must be painted from the inside. And the paint is applied on the outside. Is this an assembly issue or a defect? Today 7 days have passed and it looks l"&amp;"ike a year of working in the cafeteria.")</f>
        <v>On the first day after purchase, the surface began to wear off. Stains appear after every cooking.  It must be painted from the inside. And the paint is applied on the outside. Is this an assembly issue or a defect? Today 7 days have passed and it looks like a year of working in the cafeteria.</v>
      </c>
    </row>
    <row r="13578" spans="1:9" x14ac:dyDescent="0.3">
      <c r="A13578" s="1" t="s">
        <v>30</v>
      </c>
      <c r="B13578" s="1" t="s">
        <v>50</v>
      </c>
      <c r="C13578" s="1" t="s">
        <v>32</v>
      </c>
      <c r="D13578" s="1" t="s">
        <v>18898</v>
      </c>
      <c r="E13578" s="1" t="s">
        <v>3038</v>
      </c>
      <c r="F13578" s="1" t="s">
        <v>18899</v>
      </c>
      <c r="G13578" s="1" t="s">
        <v>36</v>
      </c>
      <c r="H13578" s="1" t="s">
        <v>29</v>
      </c>
      <c r="I13578" s="1" t="str">
        <f ca="1">IFERROR(__xludf.DUMMYFUNCTION("GOOGLETRANSLATE(F13578, ""auto"", ""en"")
"),"Overall, I really liked the look: compact, beautiful to look at, and nice coverage! I haven’t tried it in practice yet!")</f>
        <v>Overall, I really liked the look: compact, beautiful to look at, and nice coverage! I haven’t tried it in practice yet!</v>
      </c>
    </row>
    <row r="13579" spans="1:9" x14ac:dyDescent="0.3">
      <c r="A13579" s="1" t="s">
        <v>17</v>
      </c>
      <c r="B13579" s="1" t="s">
        <v>18</v>
      </c>
      <c r="C13579" s="1" t="s">
        <v>885</v>
      </c>
      <c r="D13579" s="1" t="s">
        <v>411</v>
      </c>
      <c r="E13579" s="1" t="s">
        <v>3537</v>
      </c>
      <c r="F13579" s="1" t="s">
        <v>18900</v>
      </c>
      <c r="G13579" s="1" t="s">
        <v>36</v>
      </c>
      <c r="H13579" s="1" t="s">
        <v>29</v>
      </c>
      <c r="I13579" s="1" t="str">
        <f ca="1">IFERROR(__xludf.DUMMYFUNCTION("GOOGLETRANSLATE(F13579, ""auto"", ""en"")
"),"We bought a car 3 months ago. We did not expect such capacity from its modest size. From now on we wash without problems. There is almost no noise from it, it does not jump during the spin cycle (the legs were not twisted).  Among the disadvantages: it le"&amp;"aves a little powder in the tray, the filter cover is not very convenient, and it is located very low - you cannot place a tray, and not everything flows out of the hose.  Pros, as I already said: low noise, no vibration. The display and controls are very"&amp;" convenient and clear.")</f>
        <v>We bought a car 3 months ago. We did not expect such capacity from its modest size. From now on we wash without problems. There is almost no noise from it, it does not jump during the spin cycle (the legs were not twisted).  Among the disadvantages: it leaves a little powder in the tray, the filter cover is not very convenient, and it is located very low - you cannot place a tray, and not everything flows out of the hose.  Pros, as I already said: low noise, no vibration. The display and controls are very convenient and clear.</v>
      </c>
    </row>
    <row r="13580" spans="1:9" x14ac:dyDescent="0.3">
      <c r="A13580" s="1" t="s">
        <v>17</v>
      </c>
      <c r="B13580" s="1" t="s">
        <v>18</v>
      </c>
      <c r="C13580" s="1" t="s">
        <v>243</v>
      </c>
      <c r="D13580" s="1" t="s">
        <v>1605</v>
      </c>
      <c r="E13580" s="1" t="s">
        <v>5247</v>
      </c>
      <c r="F13580" s="1" t="s">
        <v>18901</v>
      </c>
      <c r="G13580" s="1" t="s">
        <v>36</v>
      </c>
      <c r="H13580" s="1" t="s">
        <v>29</v>
      </c>
      <c r="I13580" s="1" t="str">
        <f ca="1">IFERROR(__xludf.DUMMYFUNCTION("GOOGLETRANSLATE(F13580, ""auto"", ""en"")
"),"Price, simplicity, narrowness.")</f>
        <v>Price, simplicity, narrowness.</v>
      </c>
    </row>
    <row r="13581" spans="1:9" x14ac:dyDescent="0.3">
      <c r="A13581" s="1" t="s">
        <v>67</v>
      </c>
      <c r="B13581" s="1" t="s">
        <v>68</v>
      </c>
      <c r="C13581" s="1" t="s">
        <v>69</v>
      </c>
      <c r="D13581" s="1" t="s">
        <v>86</v>
      </c>
      <c r="E13581" s="1" t="s">
        <v>13274</v>
      </c>
      <c r="F13581" s="1" t="s">
        <v>18902</v>
      </c>
      <c r="G13581" s="1" t="s">
        <v>49</v>
      </c>
      <c r="H13581" s="1" t="s">
        <v>16</v>
      </c>
      <c r="I13581" s="1" t="str">
        <f ca="1">IFERROR(__xludf.DUMMYFUNCTION("GOOGLETRANSLATE(F13581, ""auto"", ""en"")
"),"I didn’t notice any particular advantages, the iron is like an iron.")</f>
        <v>I didn’t notice any particular advantages, the iron is like an iron.</v>
      </c>
    </row>
    <row r="13582" spans="1:9" x14ac:dyDescent="0.3">
      <c r="A13582" s="1" t="s">
        <v>238</v>
      </c>
      <c r="B13582" s="1" t="s">
        <v>239</v>
      </c>
      <c r="C13582" s="1" t="s">
        <v>240</v>
      </c>
      <c r="D13582" s="1" t="s">
        <v>2233</v>
      </c>
      <c r="E13582" s="1" t="s">
        <v>2855</v>
      </c>
      <c r="F13582" s="1" t="s">
        <v>18903</v>
      </c>
      <c r="G13582" s="1" t="s">
        <v>36</v>
      </c>
      <c r="H13582" s="1" t="s">
        <v>29</v>
      </c>
      <c r="I13582" s="1" t="str">
        <f ca="1">IFERROR(__xludf.DUMMYFUNCTION("GOOGLETRANSLATE(F13582, ""auto"", ""en"")
"),"A very spacious refrigerator and a full-fledged freezer in one bottle. The refrigerator runs quietly. Comfortable ergonomics inside.")</f>
        <v>A very spacious refrigerator and a full-fledged freezer in one bottle. The refrigerator runs quietly. Comfortable ergonomics inside.</v>
      </c>
    </row>
    <row r="13583" spans="1:9" x14ac:dyDescent="0.3">
      <c r="A13583" s="1" t="s">
        <v>95</v>
      </c>
      <c r="B13583" s="1" t="s">
        <v>227</v>
      </c>
      <c r="C13583" s="1" t="s">
        <v>97</v>
      </c>
      <c r="D13583" s="1" t="s">
        <v>17550</v>
      </c>
      <c r="E13583" s="1" t="s">
        <v>661</v>
      </c>
      <c r="F13583" s="1" t="s">
        <v>18904</v>
      </c>
      <c r="G13583" s="1" t="s">
        <v>49</v>
      </c>
      <c r="H13583" s="1" t="s">
        <v>16</v>
      </c>
      <c r="I13583" s="1" t="str">
        <f ca="1">IFERROR(__xludf.DUMMYFUNCTION("GOOGLETRANSLATE(F13583, ""auto"", ""en"")
"),"I bought a PC3 console and was disappointed, the Play Station network is poor, the joystick is not very good, the graphics even with an HD cable are terrible, the shape is not beautiful, noise, it gets hot and sometimes overheats, and the PC Movie is abso"&amp;"lutely terrible...")</f>
        <v>I bought a PC3 console and was disappointed, the Play Station network is poor, the joystick is not very good, the graphics even with an HD cable are terrible, the shape is not beautiful, noise, it gets hot and sometimes overheats, and the PC Movie is absolutely terrible...</v>
      </c>
    </row>
    <row r="13584" spans="1:9" x14ac:dyDescent="0.3">
      <c r="A13584" s="1" t="s">
        <v>211</v>
      </c>
      <c r="B13584" s="1" t="s">
        <v>212</v>
      </c>
      <c r="C13584" s="1" t="s">
        <v>294</v>
      </c>
      <c r="D13584" s="1" t="s">
        <v>521</v>
      </c>
      <c r="E13584" s="1" t="s">
        <v>1150</v>
      </c>
      <c r="F13584" s="1" t="s">
        <v>18905</v>
      </c>
      <c r="G13584" s="1" t="s">
        <v>36</v>
      </c>
      <c r="H13584" s="1" t="s">
        <v>29</v>
      </c>
      <c r="I13584" s="1" t="str">
        <f ca="1">IFERROR(__xludf.DUMMYFUNCTION("GOOGLETRANSLATE(F13584, ""auto"", ""en"")
"),"Very pleased! A friend bought these curling irons a year ago, I still couldn’t make up my mind: I tried everything - electric curlers, two curling irons of different diameters, etc... The maximum longevity of the styling was 3 hours, and then I got my cur"&amp;"ls done by a friend and the curls lasted for 2 days! So I haven’t come across anything better than these tongs yet.")</f>
        <v>Very pleased! A friend bought these curling irons a year ago, I still couldn’t make up my mind: I tried everything - electric curlers, two curling irons of different diameters, etc... The maximum longevity of the styling was 3 hours, and then I got my curls done by a friend and the curls lasted for 2 days! So I haven’t come across anything better than these tongs yet.</v>
      </c>
    </row>
    <row r="13585" spans="1:9" x14ac:dyDescent="0.3">
      <c r="A13585" s="1" t="s">
        <v>61</v>
      </c>
      <c r="B13585" s="1" t="s">
        <v>318</v>
      </c>
      <c r="C13585" s="1" t="s">
        <v>63</v>
      </c>
      <c r="D13585" s="1" t="s">
        <v>18906</v>
      </c>
      <c r="E13585" s="1" t="s">
        <v>1207</v>
      </c>
      <c r="F13585" s="1" t="s">
        <v>18907</v>
      </c>
      <c r="G13585" s="1" t="s">
        <v>49</v>
      </c>
      <c r="H13585" s="1" t="s">
        <v>16</v>
      </c>
      <c r="I13585" s="1" t="str">
        <f ca="1">IFERROR(__xludf.DUMMYFUNCTION("GOOGLETRANSLATE(F13585, ""auto"", ""en"")
"),"Bad kettle!  Served for 11 months. - flows. Can't be used!!")</f>
        <v>Bad kettle!  Served for 11 months. - flows. Can't be used!!</v>
      </c>
    </row>
    <row r="13586" spans="1:9" x14ac:dyDescent="0.3">
      <c r="A13586" s="1" t="s">
        <v>67</v>
      </c>
      <c r="B13586" s="1" t="s">
        <v>68</v>
      </c>
      <c r="C13586" s="1" t="s">
        <v>85</v>
      </c>
      <c r="D13586" s="1" t="s">
        <v>32</v>
      </c>
      <c r="E13586" s="1" t="s">
        <v>1504</v>
      </c>
      <c r="F13586" s="1" t="s">
        <v>18908</v>
      </c>
      <c r="G13586" s="1" t="s">
        <v>36</v>
      </c>
      <c r="H13586" s="1" t="s">
        <v>29</v>
      </c>
      <c r="I13586" s="1" t="str">
        <f ca="1">IFERROR(__xludf.DUMMYFUNCTION("GOOGLETRANSLATE(F13586, ""auto"", ""en"")
"),"I bought this iron and have been using it for a year now, no complaints. Everything irons and steams as it should. We were pleased with such little things as the sole heating indication. The sole is indestructible and glides well. I advise everyone to buy"&amp;" this iron. In my opinion, the ratio of price, quality and functionality is optimal.")</f>
        <v>I bought this iron and have been using it for a year now, no complaints. Everything irons and steams as it should. We were pleased with such little things as the sole heating indication. The sole is indestructible and glides well. I advise everyone to buy this iron. In my opinion, the ratio of price, quality and functionality is optimal.</v>
      </c>
    </row>
    <row r="13587" spans="1:9" x14ac:dyDescent="0.3">
      <c r="A13587" s="1" t="s">
        <v>206</v>
      </c>
      <c r="B13587" s="1" t="s">
        <v>1349</v>
      </c>
      <c r="C13587" s="1" t="s">
        <v>1771</v>
      </c>
      <c r="D13587" s="1" t="s">
        <v>1152</v>
      </c>
      <c r="E13587" s="1" t="s">
        <v>5116</v>
      </c>
      <c r="F13587" s="1" t="s">
        <v>18909</v>
      </c>
      <c r="G13587" s="1" t="s">
        <v>28</v>
      </c>
      <c r="H13587" s="1" t="s">
        <v>29</v>
      </c>
      <c r="I13587" s="1" t="str">
        <f ca="1">IFERROR(__xludf.DUMMYFUNCTION("GOOGLETRANSLATE(F13587, ""auto"", ""en"")
"),"+The sound is above all praise! Makes any acoustics sound high quality.  +I was very pleased with the sound settings, good equalizer+ a bunch of additional features for sound settings.  +The video is very good, the screen is excellent. DVD plays Dolby dig"&amp;"ital.  +Very stylish, suitable for any salon, any color.  +smart subwoofer control with a low-pass filter for the rest of the acoustics.    -Can’t read video from a flash drive (it’s not clear why, since there are decoders, it really makes no difference w"&amp;"hich media to play from).  -no remote control (although it’s quite convenient to control).    In general, I recommend it to everyone.")</f>
        <v>+The sound is above all praise! Makes any acoustics sound high quality.  +I was very pleased with the sound settings, good equalizer+ a bunch of additional features for sound settings.  +The video is very good, the screen is excellent. DVD plays Dolby digital.  +Very stylish, suitable for any salon, any color.  +smart subwoofer control with a low-pass filter for the rest of the acoustics.    -Can’t read video from a flash drive (it’s not clear why, since there are decoders, it really makes no difference which media to play from).  -no remote control (although it’s quite convenient to control).    In general, I recommend it to everyone.</v>
      </c>
    </row>
    <row r="13588" spans="1:9" x14ac:dyDescent="0.3">
      <c r="A13588" s="1" t="s">
        <v>211</v>
      </c>
      <c r="B13588" s="1" t="s">
        <v>265</v>
      </c>
      <c r="C13588" s="1" t="s">
        <v>266</v>
      </c>
      <c r="D13588" s="1" t="s">
        <v>327</v>
      </c>
      <c r="E13588" s="1" t="s">
        <v>3726</v>
      </c>
      <c r="F13588" s="1" t="s">
        <v>18910</v>
      </c>
      <c r="G13588" s="1" t="s">
        <v>49</v>
      </c>
      <c r="H13588" s="1" t="s">
        <v>16</v>
      </c>
      <c r="I13588" s="1" t="str">
        <f ca="1">IFERROR(__xludf.DUMMYFUNCTION("GOOGLETRANSLATE(F13588, ""auto"", ""en"")
"),"A disgusting device, after a year of using it for your nose and ears you can throw it away!!!")</f>
        <v>A disgusting device, after a year of using it for your nose and ears you can throw it away!!!</v>
      </c>
    </row>
    <row r="13589" spans="1:9" x14ac:dyDescent="0.3">
      <c r="A13589" s="1" t="s">
        <v>120</v>
      </c>
      <c r="B13589" s="1" t="s">
        <v>256</v>
      </c>
      <c r="C13589" s="1" t="s">
        <v>151</v>
      </c>
      <c r="D13589" s="1" t="s">
        <v>295</v>
      </c>
      <c r="E13589" s="1" t="s">
        <v>1852</v>
      </c>
      <c r="F13589" s="1" t="s">
        <v>18911</v>
      </c>
      <c r="G13589" s="1" t="s">
        <v>36</v>
      </c>
      <c r="H13589" s="1" t="s">
        <v>29</v>
      </c>
      <c r="I13589" s="1" t="str">
        <f ca="1">IFERROR(__xludf.DUMMYFUNCTION("GOOGLETRANSLATE(F13589, ""auto"", ""en"")
"),"I bought it today))) It shows perfectly... in principle, a very decent LCD, but I just can’t find where I can change the mono sound to stereo, if anyone knows, tell me))")</f>
        <v>I bought it today))) It shows perfectly... in principle, a very decent LCD, but I just can’t find where I can change the mono sound to stereo, if anyone knows, tell me))</v>
      </c>
    </row>
    <row r="13590" spans="1:9" x14ac:dyDescent="0.3">
      <c r="A13590" s="1" t="s">
        <v>149</v>
      </c>
      <c r="B13590" s="1" t="s">
        <v>576</v>
      </c>
      <c r="C13590" s="1" t="s">
        <v>80</v>
      </c>
      <c r="D13590" s="1" t="s">
        <v>943</v>
      </c>
      <c r="E13590" s="1" t="s">
        <v>5736</v>
      </c>
      <c r="F13590" s="1" t="s">
        <v>18912</v>
      </c>
      <c r="G13590" s="1" t="s">
        <v>28</v>
      </c>
      <c r="H13590" s="1" t="s">
        <v>29</v>
      </c>
      <c r="I13590" s="1" t="str">
        <f ca="1">IFERROR(__xludf.DUMMYFUNCTION("GOOGLETRANSLATE(F13590, ""auto"", ""en"")
"),"In general, the vacuum cleaner is not bad, for such a price. The design is attractive and compact. It collects dust well, the dust collector is spacious. Ideal for those who don't want to spend money.")</f>
        <v>In general, the vacuum cleaner is not bad, for such a price. The design is attractive and compact. It collects dust well, the dust collector is spacious. Ideal for those who don't want to spend money.</v>
      </c>
    </row>
    <row r="13591" spans="1:9" x14ac:dyDescent="0.3">
      <c r="A13591" s="1" t="s">
        <v>149</v>
      </c>
      <c r="B13591" s="1" t="s">
        <v>423</v>
      </c>
      <c r="C13591" s="1" t="s">
        <v>314</v>
      </c>
      <c r="D13591" s="1" t="s">
        <v>335</v>
      </c>
      <c r="E13591" s="1" t="s">
        <v>4405</v>
      </c>
      <c r="F13591" s="1" t="s">
        <v>18913</v>
      </c>
      <c r="G13591" s="1" t="s">
        <v>36</v>
      </c>
      <c r="H13591" s="1" t="s">
        <v>29</v>
      </c>
      <c r="I13591" s="1" t="str">
        <f ca="1">IFERROR(__xludf.DUMMYFUNCTION("GOOGLETRANSLATE(F13591, ""auto"", ""en"")
"),"Everything is washed!!!")</f>
        <v>Everything is washed!!!</v>
      </c>
    </row>
    <row r="13592" spans="1:9" x14ac:dyDescent="0.3">
      <c r="A13592" s="1" t="s">
        <v>61</v>
      </c>
      <c r="B13592" s="1" t="s">
        <v>726</v>
      </c>
      <c r="C13592" s="1" t="s">
        <v>74</v>
      </c>
      <c r="D13592" s="1" t="s">
        <v>12</v>
      </c>
      <c r="E13592" s="1" t="s">
        <v>4818</v>
      </c>
      <c r="F13592" s="1" t="s">
        <v>18914</v>
      </c>
      <c r="G13592" s="1" t="s">
        <v>36</v>
      </c>
      <c r="H13592" s="1" t="s">
        <v>29</v>
      </c>
      <c r="I13592" s="1" t="str">
        <f ca="1">IFERROR(__xludf.DUMMYFUNCTION("GOOGLETRANSLATE(F13592, ""auto"", ""en"")
"),"Buy it, you won't regret it!!! The bread is excellent, the dough comes out quickly.")</f>
        <v>Buy it, you won't regret it!!! The bread is excellent, the dough comes out quickly.</v>
      </c>
    </row>
    <row r="13593" spans="1:9" x14ac:dyDescent="0.3">
      <c r="A13593" s="1" t="s">
        <v>55</v>
      </c>
      <c r="B13593" s="1" t="s">
        <v>235</v>
      </c>
      <c r="C13593" s="1" t="s">
        <v>185</v>
      </c>
      <c r="D13593" s="1" t="s">
        <v>52</v>
      </c>
      <c r="E13593" s="1" t="s">
        <v>11622</v>
      </c>
      <c r="F13593" s="1" t="s">
        <v>18915</v>
      </c>
      <c r="G13593" s="1" t="s">
        <v>36</v>
      </c>
      <c r="H13593" s="1" t="s">
        <v>29</v>
      </c>
      <c r="I13593" s="1" t="str">
        <f ca="1">IFERROR(__xludf.DUMMYFUNCTION("GOOGLETRANSLATE(F13593, ""auto"", ""en"")
"),"Great model! During the cold season they work almost around the clock (not at home), this is not the first year.")</f>
        <v>Great model! During the cold season they work almost around the clock (not at home), this is not the first year.</v>
      </c>
    </row>
    <row r="13594" spans="1:9" x14ac:dyDescent="0.3">
      <c r="A13594" s="1" t="s">
        <v>149</v>
      </c>
      <c r="B13594" s="1" t="s">
        <v>576</v>
      </c>
      <c r="C13594" s="1" t="s">
        <v>80</v>
      </c>
      <c r="D13594" s="1" t="s">
        <v>18916</v>
      </c>
      <c r="E13594" s="1" t="s">
        <v>4398</v>
      </c>
      <c r="F13594" s="1" t="s">
        <v>18917</v>
      </c>
      <c r="G13594" s="1" t="s">
        <v>28</v>
      </c>
      <c r="H13594" s="1" t="s">
        <v>29</v>
      </c>
      <c r="I13594" s="1" t="str">
        <f ca="1">IFERROR(__xludf.DUMMYFUNCTION("GOOGLETRANSLATE(F13594, ""auto"", ""en"")
"),"We purchased this vacuum cleaner two weeks ago. I liked the good suction power, low price, and appearance. The disadvantages are the lack of rubberized wheels, the short length of the nozzle for upholstered furniture, the impossibility of horizontal posit"&amp;"ioning. parking with a hose and tube, lack of space to store nozzles on the tube during storage.")</f>
        <v>We purchased this vacuum cleaner two weeks ago. I liked the good suction power, low price, and appearance. The disadvantages are the lack of rubberized wheels, the short length of the nozzle for upholstered furniture, the impossibility of horizontal positioning. parking with a hose and tube, lack of space to store nozzles on the tube during storage.</v>
      </c>
    </row>
    <row r="13595" spans="1:9" x14ac:dyDescent="0.3">
      <c r="A13595" s="1" t="s">
        <v>67</v>
      </c>
      <c r="B13595" s="1" t="s">
        <v>68</v>
      </c>
      <c r="C13595" s="1" t="s">
        <v>69</v>
      </c>
      <c r="D13595" s="1" t="s">
        <v>922</v>
      </c>
      <c r="E13595" s="1" t="s">
        <v>395</v>
      </c>
      <c r="F13595" s="1" t="s">
        <v>18918</v>
      </c>
      <c r="G13595" s="1" t="s">
        <v>36</v>
      </c>
      <c r="H13595" s="1" t="s">
        <v>29</v>
      </c>
      <c r="I13595" s="1" t="str">
        <f ca="1">IFERROR(__xludf.DUMMYFUNCTION("GOOGLETRANSLATE(F13595, ""auto"", ""en"")
"),"I bought this iron and have no regrets. I really like it, it’s very easy to use, and the price is inexpensive. Ironing became a pleasant experience.")</f>
        <v>I bought this iron and have no regrets. I really like it, it’s very easy to use, and the price is inexpensive. Ironing became a pleasant experience.</v>
      </c>
    </row>
    <row r="13596" spans="1:9" x14ac:dyDescent="0.3">
      <c r="A13596" s="1" t="s">
        <v>105</v>
      </c>
      <c r="B13596" s="1" t="s">
        <v>106</v>
      </c>
      <c r="C13596" s="1" t="s">
        <v>97</v>
      </c>
      <c r="D13596" s="1" t="s">
        <v>305</v>
      </c>
      <c r="E13596" s="1" t="s">
        <v>236</v>
      </c>
      <c r="F13596" s="1" t="s">
        <v>18919</v>
      </c>
      <c r="G13596" s="1" t="s">
        <v>36</v>
      </c>
      <c r="H13596" s="1" t="s">
        <v>29</v>
      </c>
      <c r="I13596" s="1" t="str">
        <f ca="1">IFERROR(__xludf.DUMMYFUNCTION("GOOGLETRANSLATE(F13596, ""auto"", ""en"")
"),"To create playlists, you need to install the player drivers (they are on the player itself), then when you connect the player to the computer, the WALKMAN device lights up in “my computer”, go to it and work. So: to create a playlist, right-click on the m"&amp;"usic folder and click “create playlist”; a playlist file is created next to the folder, which can be renamed, etc. If you use this method of connection, then it is much more convenient than the usual “like with a flash drive”; the only disadvantage is tha"&amp;"t moving a file or folder within the device (player) takes the same amount of time as deleting this file from the player and downloading it from the computer to another location. Absolutely stupid. Otherwise everything is fine. This is on Windows SP3, I d"&amp;"on’t know about others. Player OS version - 1.02 (updated from the official website)")</f>
        <v>To create playlists, you need to install the player drivers (they are on the player itself), then when you connect the player to the computer, the WALKMAN device lights up in “my computer”, go to it and work. So: to create a playlist, right-click on the music folder and click “create playlist”; a playlist file is created next to the folder, which can be renamed, etc. If you use this method of connection, then it is much more convenient than the usual “like with a flash drive”; the only disadvantage is that moving a file or folder within the device (player) takes the same amount of time as deleting this file from the player and downloading it from the computer to another location. Absolutely stupid. Otherwise everything is fine. This is on Windows SP3, I don’t know about others. Player OS version - 1.02 (updated from the official website)</v>
      </c>
    </row>
    <row r="13597" spans="1:9" x14ac:dyDescent="0.3">
      <c r="A13597" s="1" t="s">
        <v>149</v>
      </c>
      <c r="B13597" s="1" t="s">
        <v>155</v>
      </c>
      <c r="C13597" s="1" t="s">
        <v>151</v>
      </c>
      <c r="D13597" s="1" t="s">
        <v>6287</v>
      </c>
      <c r="E13597" s="1" t="s">
        <v>11257</v>
      </c>
      <c r="F13597" s="1" t="s">
        <v>18920</v>
      </c>
      <c r="G13597" s="1" t="s">
        <v>15</v>
      </c>
      <c r="H13597" s="1" t="s">
        <v>16</v>
      </c>
      <c r="I13597" s="1" t="str">
        <f ca="1">IFERROR(__xludf.DUMMYFUNCTION("GOOGLETRANSLATE(F13597, ""auto"", ""en"")
"),"A compact, fairly long cord that always folds well, a convenient container.")</f>
        <v>A compact, fairly long cord that always folds well, a convenient container.</v>
      </c>
    </row>
    <row r="13598" spans="1:9" x14ac:dyDescent="0.3">
      <c r="A13598" s="1" t="s">
        <v>30</v>
      </c>
      <c r="B13598" s="1" t="s">
        <v>50</v>
      </c>
      <c r="C13598" s="1" t="s">
        <v>32</v>
      </c>
      <c r="D13598" s="1" t="s">
        <v>5431</v>
      </c>
      <c r="E13598" s="1" t="s">
        <v>2280</v>
      </c>
      <c r="F13598" s="1" t="s">
        <v>18921</v>
      </c>
      <c r="G13598" s="1" t="s">
        <v>36</v>
      </c>
      <c r="H13598" s="1" t="s">
        <v>29</v>
      </c>
      <c r="I13598" s="1" t="str">
        <f ca="1">IFERROR(__xludf.DUMMYFUNCTION("GOOGLETRANSLATE(F13598, ""auto"", ""en"")
"),"An excellent model for gaming at high graphics settings. The only exception is Metro 2033, but the rating is still 5")</f>
        <v>An excellent model for gaming at high graphics settings. The only exception is Metro 2033, but the rating is still 5</v>
      </c>
    </row>
    <row r="13599" spans="1:9" x14ac:dyDescent="0.3">
      <c r="A13599" s="1" t="s">
        <v>30</v>
      </c>
      <c r="B13599" s="1" t="s">
        <v>50</v>
      </c>
      <c r="C13599" s="1" t="s">
        <v>51</v>
      </c>
      <c r="D13599" s="1" t="s">
        <v>86</v>
      </c>
      <c r="E13599" s="1" t="s">
        <v>1454</v>
      </c>
      <c r="F13599" s="1" t="s">
        <v>18922</v>
      </c>
      <c r="G13599" s="1" t="s">
        <v>28</v>
      </c>
      <c r="H13599" s="1" t="s">
        <v>29</v>
      </c>
      <c r="I13599" s="1" t="str">
        <f ca="1">IFERROR(__xludf.DUMMYFUNCTION("GOOGLETRANSLATE(F13599, ""auto"", ""en"")
"),"I bought it three weeks ago, in general everything is fine, but for some reason the games fly and slow down, why is that?")</f>
        <v>I bought it three weeks ago, in general everything is fine, but for some reason the games fly and slow down, why is that?</v>
      </c>
    </row>
    <row r="13600" spans="1:9" x14ac:dyDescent="0.3">
      <c r="A13600" s="1" t="s">
        <v>211</v>
      </c>
      <c r="B13600" s="1" t="s">
        <v>212</v>
      </c>
      <c r="C13600" s="1" t="s">
        <v>69</v>
      </c>
      <c r="D13600" s="1" t="s">
        <v>3668</v>
      </c>
      <c r="E13600" s="1" t="s">
        <v>26</v>
      </c>
      <c r="F13600" s="1" t="s">
        <v>18923</v>
      </c>
      <c r="G13600" s="1" t="s">
        <v>36</v>
      </c>
      <c r="H13600" s="1" t="s">
        <v>29</v>
      </c>
      <c r="I13600" s="1" t="str">
        <f ca="1">IFERROR(__xludf.DUMMYFUNCTION("GOOGLETRANSLATE(F13600, ""auto"", ""en"")
"),"great hairdryer! super powerful, so it dries quickly. and not too heavy!")</f>
        <v>great hairdryer! super powerful, so it dries quickly. and not too heavy!</v>
      </c>
    </row>
    <row r="13601" spans="1:9" x14ac:dyDescent="0.3">
      <c r="A13601" s="1" t="s">
        <v>61</v>
      </c>
      <c r="B13601" s="1" t="s">
        <v>73</v>
      </c>
      <c r="C13601" s="1" t="s">
        <v>122</v>
      </c>
      <c r="D13601" s="1" t="s">
        <v>305</v>
      </c>
      <c r="E13601" s="1" t="s">
        <v>82</v>
      </c>
      <c r="F13601" s="1" t="s">
        <v>18924</v>
      </c>
      <c r="G13601" s="1" t="s">
        <v>36</v>
      </c>
      <c r="H13601" s="1" t="s">
        <v>29</v>
      </c>
      <c r="I13601" s="1" t="str">
        <f ca="1">IFERROR(__xludf.DUMMYFUNCTION("GOOGLETRANSLATE(F13601, ""auto"", ""en"")
"),"We've been using it for three years now. Spins everything and won't choke. Not sharpened or changed. We constantly turn out 5-7 kg of beef and pork per month. Right now I want to buy one for my mother-in-law for her birthday. In short, anyone who doubts t"&amp;"he purchase, I recommend it from my own experience!")</f>
        <v>We've been using it for three years now. Spins everything and won't choke. Not sharpened or changed. We constantly turn out 5-7 kg of beef and pork per month. Right now I want to buy one for my mother-in-law for her birthday. In short, anyone who doubts the purchase, I recommend it from my own experience!</v>
      </c>
    </row>
    <row r="13602" spans="1:9" x14ac:dyDescent="0.3">
      <c r="A13602" s="1" t="s">
        <v>624</v>
      </c>
      <c r="B13602" s="1" t="s">
        <v>625</v>
      </c>
      <c r="C13602" s="1" t="s">
        <v>479</v>
      </c>
      <c r="D13602" s="1" t="s">
        <v>18925</v>
      </c>
      <c r="E13602" s="1" t="s">
        <v>543</v>
      </c>
      <c r="F13602" s="1" t="s">
        <v>18926</v>
      </c>
      <c r="G13602" s="1" t="s">
        <v>36</v>
      </c>
      <c r="H13602" s="1" t="s">
        <v>29</v>
      </c>
      <c r="I13602" s="1" t="str">
        <f ca="1">IFERROR(__xludf.DUMMYFUNCTION("GOOGLETRANSLATE(F13602, ""auto"", ""en"")
"),"LBP is one of those games that you can buy a PS3 for, it will never get boring and never end. Great plot, funny characters, simple controls, humor and high-quality Russification. In addition to the game itself, the community already has about 4.5 million "&amp;"different levels from players, and you yourself can create your own world or movie, limited only by your imagination, and offer it to your friends.  There is a lot of downloadable content for this game, incl. and free.  Support for the movie controller re"&amp;"quires a second player (your friend) who will help with the passage of special levels)")</f>
        <v>LBP is one of those games that you can buy a PS3 for, it will never get boring and never end. Great plot, funny characters, simple controls, humor and high-quality Russification. In addition to the game itself, the community already has about 4.5 million different levels from players, and you yourself can create your own world or movie, limited only by your imagination, and offer it to your friends.  There is a lot of downloadable content for this game, incl. and free.  Support for the movie controller requires a second player (your friend) who will help with the passage of special levels)</v>
      </c>
    </row>
    <row r="13603" spans="1:9" x14ac:dyDescent="0.3">
      <c r="A13603" s="1" t="s">
        <v>78</v>
      </c>
      <c r="B13603" s="1" t="s">
        <v>79</v>
      </c>
      <c r="C13603" s="1" t="s">
        <v>80</v>
      </c>
      <c r="D13603" s="1" t="s">
        <v>565</v>
      </c>
      <c r="E13603" s="1" t="s">
        <v>2430</v>
      </c>
      <c r="F13603" s="1" t="s">
        <v>18927</v>
      </c>
      <c r="G13603" s="1" t="s">
        <v>49</v>
      </c>
      <c r="H13603" s="1" t="s">
        <v>16</v>
      </c>
      <c r="I13603" s="1" t="str">
        <f ca="1">IFERROR(__xludf.DUMMYFUNCTION("GOOGLETRANSLATE(F13603, ""auto"", ""en"")
"),"In the store, after evaluating 2 shelves of similar units, the choice fell on the LG MH-6347GRL.  Enough for 1 heating. After a preliminary study of the instructions, I installed this unit in its workplace, checked, it seemed to be working, but without ro"&amp;"tating the disk, and set the timer. Half an hour later I heated up dinner, after a while sitting in the next room, I heard a suspicious squeak, when I went into the kitchen I found random blinking of letters and numbers on the timer, as I read in the inst"&amp;"ructions, such a misunderstanding can be eliminated by unplugging the socket, so I did so, the next time I turned it on it stopped working altogether.  Very disappointed!!!")</f>
        <v>In the store, after evaluating 2 shelves of similar units, the choice fell on the LG MH-6347GRL.  Enough for 1 heating. After a preliminary study of the instructions, I installed this unit in its workplace, checked, it seemed to be working, but without rotating the disk, and set the timer. Half an hour later I heated up dinner, after a while sitting in the next room, I heard a suspicious squeak, when I went into the kitchen I found random blinking of letters and numbers on the timer, as I read in the instructions, such a misunderstanding can be eliminated by unplugging the socket, so I did so, the next time I turned it on it stopped working altogether.  Very disappointed!!!</v>
      </c>
    </row>
    <row r="13604" spans="1:9" x14ac:dyDescent="0.3">
      <c r="A13604" s="1" t="s">
        <v>105</v>
      </c>
      <c r="B13604" s="1" t="s">
        <v>106</v>
      </c>
      <c r="C13604" s="1" t="s">
        <v>107</v>
      </c>
      <c r="D13604" s="1" t="s">
        <v>677</v>
      </c>
      <c r="E13604" s="1" t="s">
        <v>6378</v>
      </c>
      <c r="F13604" s="1" t="s">
        <v>18928</v>
      </c>
      <c r="G13604" s="1" t="s">
        <v>15</v>
      </c>
      <c r="H13604" s="1" t="s">
        <v>16</v>
      </c>
      <c r="I13604" s="1" t="str">
        <f ca="1">IFERROR(__xludf.DUMMYFUNCTION("GOOGLETRANSLATE(F13604, ""auto"", ""en"")
"),"The sensor has stopped working again for the 3rd time!!! I'll take it to repair again, a week has passed since the last repair.")</f>
        <v>The sensor has stopped working again for the 3rd time!!! I'll take it to repair again, a week has passed since the last repair.</v>
      </c>
    </row>
    <row r="13605" spans="1:9" x14ac:dyDescent="0.3">
      <c r="A13605" s="1" t="s">
        <v>61</v>
      </c>
      <c r="B13605" s="1" t="s">
        <v>180</v>
      </c>
      <c r="C13605" s="1" t="s">
        <v>57</v>
      </c>
      <c r="D13605" s="1" t="s">
        <v>2771</v>
      </c>
      <c r="E13605" s="1" t="s">
        <v>9600</v>
      </c>
      <c r="F13605" s="1" t="s">
        <v>18929</v>
      </c>
      <c r="G13605" s="1" t="s">
        <v>36</v>
      </c>
      <c r="H13605" s="1" t="s">
        <v>29</v>
      </c>
      <c r="I13605" s="1" t="str">
        <f ca="1">IFERROR(__xludf.DUMMYFUNCTION("GOOGLETRANSLATE(F13605, ""auto"", ""en"")
"),"Excellent toaster, fry for 3, the bread is tasty and crispy. I didn't notice any plastic smells when I turned it on.")</f>
        <v>Excellent toaster, fry for 3, the bread is tasty and crispy. I didn't notice any plastic smells when I turned it on.</v>
      </c>
    </row>
    <row r="13606" spans="1:9" x14ac:dyDescent="0.3">
      <c r="A13606" s="1" t="s">
        <v>67</v>
      </c>
      <c r="B13606" s="1" t="s">
        <v>340</v>
      </c>
      <c r="C13606" s="1" t="s">
        <v>1634</v>
      </c>
      <c r="D13606" s="1" t="s">
        <v>18930</v>
      </c>
      <c r="E13606" s="1" t="s">
        <v>8535</v>
      </c>
      <c r="F13606" s="1" t="s">
        <v>18931</v>
      </c>
      <c r="G13606" s="1" t="s">
        <v>36</v>
      </c>
      <c r="H13606" s="1" t="s">
        <v>29</v>
      </c>
      <c r="I13606" s="1" t="str">
        <f ca="1">IFERROR(__xludf.DUMMYFUNCTION("GOOGLETRANSLATE(F13606, ""auto"", ""en"")
"),"I bought this machine more than a year ago, I’m very pleased, it’s convenient in everyday life: hemming, sewing, overcasting, you can even embroider), especially when I also bought a set of presser feet, this machine has no price! I really like it, the pr"&amp;"ice is just right for this product.")</f>
        <v>I bought this machine more than a year ago, I’m very pleased, it’s convenient in everyday life: hemming, sewing, overcasting, you can even embroider), especially when I also bought a set of presser feet, this machine has no price! I really like it, the price is just right for this product.</v>
      </c>
    </row>
    <row r="13607" spans="1:9" x14ac:dyDescent="0.3">
      <c r="A13607" s="1" t="s">
        <v>211</v>
      </c>
      <c r="B13607" s="1" t="s">
        <v>212</v>
      </c>
      <c r="C13607" s="1" t="s">
        <v>69</v>
      </c>
      <c r="D13607" s="1" t="s">
        <v>335</v>
      </c>
      <c r="E13607" s="1" t="s">
        <v>3537</v>
      </c>
      <c r="F13607" s="1" t="s">
        <v>18932</v>
      </c>
      <c r="G13607" s="1" t="s">
        <v>49</v>
      </c>
      <c r="H13607" s="1" t="s">
        <v>16</v>
      </c>
      <c r="I13607" s="1" t="str">
        <f ca="1">IFERROR(__xludf.DUMMYFUNCTION("GOOGLETRANSLATE(F13607, ""auto"", ""en"")
"),"Terrible multi-styler!!!!!(((((Don’t buy it, you’ll waste your money. The attachments don’t hold up well, it curls poorly, it straightens disgustingly. I really regretted buying this one, I thought that for that amount I’d buy an average multi-styler.")</f>
        <v>Terrible multi-styler!!!!!(((((Don’t buy it, you’ll waste your money. The attachments don’t hold up well, it curls poorly, it straightens disgustingly. I really regretted buying this one, I thought that for that amount I’d buy an average multi-styler.</v>
      </c>
    </row>
    <row r="13608" spans="1:9" x14ac:dyDescent="0.3">
      <c r="A13608" s="1" t="s">
        <v>17</v>
      </c>
      <c r="B13608" s="1" t="s">
        <v>18</v>
      </c>
      <c r="C13608" s="1" t="s">
        <v>134</v>
      </c>
      <c r="D13608" s="1" t="s">
        <v>18933</v>
      </c>
      <c r="E13608" s="1" t="s">
        <v>950</v>
      </c>
      <c r="F13608" s="1" t="s">
        <v>18934</v>
      </c>
      <c r="G13608" s="1" t="s">
        <v>36</v>
      </c>
      <c r="H13608" s="1" t="s">
        <v>29</v>
      </c>
      <c r="I13608" s="1" t="str">
        <f ca="1">IFERROR(__xludf.DUMMYFUNCTION("GOOGLETRANSLATE(F13608, ""auto"", ""en"")
"),"I have owned this car for 1.5 years. I chose a full-size machine (so it wouldn’t shake and jump around the bathroom) and with a large load (you can load 1 to 8 kg of laundry into this machine). Siemens makes good cars, but I was choosing between Siemens a"&amp;"nd Bosch, but only German-assembled ones. They are made in different places (China, Türkiye and somewhere else).  Advantages: guarantee against leaks, 3-year warranty period, low noise - when the door is closed you can’t hear it washing at all, up to 8 kg"&amp;", full-size. During use (washing once a week) there was not a single breakdown or glitch of the automation. Satisfied in all respects. I recommend it to everyone who has a place to place it.")</f>
        <v>I have owned this car for 1.5 years. I chose a full-size machine (so it wouldn’t shake and jump around the bathroom) and with a large load (you can load 1 to 8 kg of laundry into this machine). Siemens makes good cars, but I was choosing between Siemens and Bosch, but only German-assembled ones. They are made in different places (China, Türkiye and somewhere else).  Advantages: guarantee against leaks, 3-year warranty period, low noise - when the door is closed you can’t hear it washing at all, up to 8 kg, full-size. During use (washing once a week) there was not a single breakdown or glitch of the automation. Satisfied in all respects. I recommend it to everyone who has a place to place it.</v>
      </c>
    </row>
    <row r="13609" spans="1:9" x14ac:dyDescent="0.3">
      <c r="A13609" s="1" t="s">
        <v>30</v>
      </c>
      <c r="B13609" s="1" t="s">
        <v>50</v>
      </c>
      <c r="C13609" s="1" t="s">
        <v>1386</v>
      </c>
      <c r="D13609" s="1" t="s">
        <v>18935</v>
      </c>
      <c r="E13609" s="1" t="s">
        <v>41</v>
      </c>
      <c r="F13609" s="1" t="s">
        <v>18936</v>
      </c>
      <c r="G13609" s="1" t="s">
        <v>28</v>
      </c>
      <c r="H13609" s="1" t="s">
        <v>29</v>
      </c>
      <c r="I13609" s="1" t="str">
        <f ca="1">IFERROR(__xludf.DUMMYFUNCTION("GOOGLETRANSLATE(F13609, ""auto"", ""en"")
"),"normal office book")</f>
        <v>normal office book</v>
      </c>
    </row>
    <row r="13610" spans="1:9" x14ac:dyDescent="0.3">
      <c r="A13610" s="1" t="s">
        <v>43</v>
      </c>
      <c r="B13610" s="1" t="s">
        <v>502</v>
      </c>
      <c r="C13610" s="1" t="s">
        <v>151</v>
      </c>
      <c r="D13610" s="1" t="s">
        <v>18937</v>
      </c>
      <c r="E13610" s="1" t="s">
        <v>386</v>
      </c>
      <c r="F13610" s="1" t="s">
        <v>18938</v>
      </c>
      <c r="G13610" s="1" t="s">
        <v>36</v>
      </c>
      <c r="H13610" s="1" t="s">
        <v>29</v>
      </c>
      <c r="I13610" s="1" t="str">
        <f ca="1">IFERROR(__xludf.DUMMYFUNCTION("GOOGLETRANSLATE(F13610, ""auto"", ""en"")
"),"I bought myself a 12-piece from Mvideo in March, bought the installation from them (13,000 rubles), 2 weeks of waiting, right now I’m just dragging along, nothing vibrates or rattles, everything worked perfectly - 2 years of warranty, I recommend it as an"&amp;" inexpensive solution for a restful sleep and comfortable rest.  P/S/ I ordered the same one for my mother, although it has already become 2 mowers more expensive, and also calculate the power of the air conditioner not only by the square footage of the h"&amp;"ome, but by using the calculator for calculating the power of air conditioners")</f>
        <v>I bought myself a 12-piece from Mvideo in March, bought the installation from them (13,000 rubles), 2 weeks of waiting, right now I’m just dragging along, nothing vibrates or rattles, everything worked perfectly - 2 years of warranty, I recommend it as an inexpensive solution for a restful sleep and comfortable rest.  P/S/ I ordered the same one for my mother, although it has already become 2 mowers more expensive, and also calculate the power of the air conditioner not only by the square footage of the home, but by using the calculator for calculating the power of air conditioners</v>
      </c>
    </row>
    <row r="13611" spans="1:9" x14ac:dyDescent="0.3">
      <c r="A13611" s="1" t="s">
        <v>169</v>
      </c>
      <c r="B13611" s="1" t="s">
        <v>170</v>
      </c>
      <c r="C13611" s="1" t="s">
        <v>2545</v>
      </c>
      <c r="D13611" s="1" t="s">
        <v>327</v>
      </c>
      <c r="E13611" s="1" t="s">
        <v>4327</v>
      </c>
      <c r="F13611" s="1" t="s">
        <v>18939</v>
      </c>
      <c r="G13611" s="1" t="s">
        <v>28</v>
      </c>
      <c r="H13611" s="1" t="s">
        <v>29</v>
      </c>
      <c r="I13611" s="1" t="str">
        <f ca="1">IFERROR(__xludf.DUMMYFUNCTION("GOOGLETRANSLATE(F13611, ""auto"", ""en"")
"),"Headphones are used with the iRiver LPlayer player.  Music The formats of the songs you listen to are mainly FLAC, ALAC, APE, WAV.   Main genre of songs listened to: Metallcore, Punk-Rock, Emocore, Indie, Alternative.    This model perfectly “smooths out”"&amp;" the player’s weaknesses, giving the sound richness and “vitality.” ADVANTAGES of these headphones: 1. Unconstricted, fairly spatial sound with a good stereo effect. You don't have to use expansion effects (for example, WIDE in Cowon Jet Audio) to compens"&amp;"ate for the shortcomings of the headphones.  2. Good bass that does not cover the main melody of the composition.  3. No unpleasant monophonic sound pressure.  4. Eye-catching stylish classic design.  5. Convenient folding headrest.    CONS: 1. Poor sound"&amp;" insulation. You won’t be able to enjoy the beauty of your favorite composition on a bus (there’s no talk of a tram) or in a crowded and noisy place.  2. The wire at the entrance to the speaker housing is not fixed. This apparently prevents it from breaki"&amp;"ng, however, when the wire moves (for example, when walking), a slight cracking of the speaker membrane from friction is created. The problem is not significant and easily solvable.  3. The headband is comfortable, but sometimes it gets caught in the hair"&amp;" on your head.    Along with this model, I listened to the Sennheiser PX-200 and did not understand at all what in this model deserves attention and why I should pay more than 2 thousand rubles. In addition, I compared it with Sennheiser HD 212 Pro, HD 20"&amp;"5, HD 202 (this model is at home), Sennheiser PX-100 and some other headphones (Philips, Panasonic, etc.). I concluded that this model was worth the money and bought it.")</f>
        <v>Headphones are used with the iRiver LPlayer player.  Music The formats of the songs you listen to are mainly FLAC, ALAC, APE, WAV.   Main genre of songs listened to: Metallcore, Punk-Rock, Emocore, Indie, Alternative.    This model perfectly “smooths out” the player’s weaknesses, giving the sound richness and “vitality.” ADVANTAGES of these headphones: 1. Unconstricted, fairly spatial sound with a good stereo effect. You don't have to use expansion effects (for example, WIDE in Cowon Jet Audio) to compensate for the shortcomings of the headphones.  2. Good bass that does not cover the main melody of the composition.  3. No unpleasant monophonic sound pressure.  4. Eye-catching stylish classic design.  5. Convenient folding headrest.    CONS: 1. Poor sound insulation. You won’t be able to enjoy the beauty of your favorite composition on a bus (there’s no talk of a tram) or in a crowded and noisy place.  2. The wire at the entrance to the speaker housing is not fixed. This apparently prevents it from breaking, however, when the wire moves (for example, when walking), a slight cracking of the speaker membrane from friction is created. The problem is not significant and easily solvable.  3. The headband is comfortable, but sometimes it gets caught in the hair on your head.    Along with this model, I listened to the Sennheiser PX-200 and did not understand at all what in this model deserves attention and why I should pay more than 2 thousand rubles. In addition, I compared it with Sennheiser HD 212 Pro, HD 205, HD 202 (this model is at home), Sennheiser PX-100 and some other headphones (Philips, Panasonic, etc.). I concluded that this model was worth the money and bought it.</v>
      </c>
    </row>
    <row r="13612" spans="1:9" x14ac:dyDescent="0.3">
      <c r="A13612" s="1" t="s">
        <v>43</v>
      </c>
      <c r="B13612" s="1" t="s">
        <v>502</v>
      </c>
      <c r="C13612" s="1" t="s">
        <v>151</v>
      </c>
      <c r="D13612" s="1" t="s">
        <v>52</v>
      </c>
      <c r="E13612" s="1" t="s">
        <v>2004</v>
      </c>
      <c r="F13612" s="1" t="s">
        <v>18940</v>
      </c>
      <c r="G13612" s="1" t="s">
        <v>28</v>
      </c>
      <c r="H13612" s="1" t="s">
        <v>29</v>
      </c>
      <c r="I13612" s="1" t="str">
        <f ca="1">IFERROR(__xludf.DUMMYFUNCTION("GOOGLETRANSLATE(F13612, ""auto"", ""en"")
"),"Before purchasing this model, I did a lot of searching for information about air conditioners and settled on Samsung, if only because almost all the equipment at home is Samsung. In general, we turned it on and the external unit began to rattle and make a"&amp;" lot of noise. At first I thought maybe the bolts were not tightened, after I tightened the bolts the noise stopped for literally half an hour, after which it began to make even more noise, it was impossible to sleep, I had to turn it off, the next day af"&amp;"ter my inspection I came to the conclusion that I needed to disassemble it, there were shortcomings just like in the Soviet automobile industry, to be honest it surprised me, in general I had to modify it. And apart from these nuances, on the whole, I’m p"&amp;"leased with it for now. I don’t regret the purchase, it cools the room down with a bang, I’d also like to note that some people here write that it runs loudly. I don’t agree with proper installation that the indoor and outdoor units are practically inaudi"&amp;"ble!! My refrigerator is twice as loud.")</f>
        <v>Before purchasing this model, I did a lot of searching for information about air conditioners and settled on Samsung, if only because almost all the equipment at home is Samsung. In general, we turned it on and the external unit began to rattle and make a lot of noise. At first I thought maybe the bolts were not tightened, after I tightened the bolts the noise stopped for literally half an hour, after which it began to make even more noise, it was impossible to sleep, I had to turn it off, the next day after my inspection I came to the conclusion that I needed to disassemble it, there were shortcomings just like in the Soviet automobile industry, to be honest it surprised me, in general I had to modify it. And apart from these nuances, on the whole, I’m pleased with it for now. I don’t regret the purchase, it cools the room down with a bang, I’d also like to note that some people here write that it runs loudly. I don’t agree with proper installation that the indoor and outdoor units are practically inaudible!! My refrigerator is twice as loud.</v>
      </c>
    </row>
    <row r="13613" spans="1:9" x14ac:dyDescent="0.3">
      <c r="A13613" s="1" t="s">
        <v>369</v>
      </c>
      <c r="B13613" s="1" t="s">
        <v>587</v>
      </c>
      <c r="C13613" s="1" t="s">
        <v>290</v>
      </c>
      <c r="D13613" s="1" t="s">
        <v>75</v>
      </c>
      <c r="E13613" s="1" t="s">
        <v>15182</v>
      </c>
      <c r="F13613" s="1" t="s">
        <v>18941</v>
      </c>
      <c r="G13613" s="1" t="s">
        <v>36</v>
      </c>
      <c r="H13613" s="1" t="s">
        <v>29</v>
      </c>
      <c r="I13613" s="1" t="str">
        <f ca="1">IFERROR(__xludf.DUMMYFUNCTION("GOOGLETRANSLATE(F13613, ""auto"", ""en"")
"),"Excellent stove, very satisfied, oven bakes perfectly!!! The light is always on when using the oven, this does not bother us; on the contrary, you will not forget that you are preparing something. The stove, if you get used to it, lights up in 2-3 seconds"&amp;" (press it hard and keep it on the “highest gas”), wash it with Loc quite well. The surface does not deteriorate, but, like all shiny surfaces, it is always stained.  As a minus: there is a burner under the wok - we cook complex dishes and several and all"&amp;" the burners are occupied, but under this one you can only use large dishes and still sometimes heats up more than necessary at the minimum.")</f>
        <v>Excellent stove, very satisfied, oven bakes perfectly!!! The light is always on when using the oven, this does not bother us; on the contrary, you will not forget that you are preparing something. The stove, if you get used to it, lights up in 2-3 seconds (press it hard and keep it on the “highest gas”), wash it with Loc quite well. The surface does not deteriorate, but, like all shiny surfaces, it is always stained.  As a minus: there is a burner under the wok - we cook complex dishes and several and all the burners are occupied, but under this one you can only use large dishes and still sometimes heats up more than necessary at the minimum.</v>
      </c>
    </row>
    <row r="13614" spans="1:9" x14ac:dyDescent="0.3">
      <c r="A13614" s="1" t="s">
        <v>211</v>
      </c>
      <c r="B13614" s="1" t="s">
        <v>601</v>
      </c>
      <c r="C13614" s="1" t="s">
        <v>602</v>
      </c>
      <c r="D13614" s="1" t="s">
        <v>653</v>
      </c>
      <c r="E13614" s="1" t="s">
        <v>5078</v>
      </c>
      <c r="F13614" s="1" t="s">
        <v>18942</v>
      </c>
      <c r="G13614" s="1" t="s">
        <v>36</v>
      </c>
      <c r="H13614" s="1" t="s">
        <v>29</v>
      </c>
      <c r="I13614" s="1" t="str">
        <f ca="1">IFERROR(__xludf.DUMMYFUNCTION("GOOGLETRANSLATE(F13614, ""auto"", ""en"")
"),"I'm glad that they are suitable for any model. My husband and I have different brushes. But there are no problems with purchasing and using attachments. Suitable for long-term use.  Better than just classic single bristle brush heads")</f>
        <v>I'm glad that they are suitable for any model. My husband and I have different brushes. But there are no problems with purchasing and using attachments. Suitable for long-term use.  Better than just classic single bristle brush heads</v>
      </c>
    </row>
    <row r="13615" spans="1:9" x14ac:dyDescent="0.3">
      <c r="A13615" s="1" t="s">
        <v>965</v>
      </c>
      <c r="B13615" s="1" t="s">
        <v>966</v>
      </c>
      <c r="C13615" s="1" t="s">
        <v>967</v>
      </c>
      <c r="D13615" s="1" t="s">
        <v>471</v>
      </c>
      <c r="E13615" s="1" t="s">
        <v>9097</v>
      </c>
      <c r="F13615" s="1" t="s">
        <v>18943</v>
      </c>
      <c r="G13615" s="1" t="s">
        <v>94</v>
      </c>
      <c r="H13615" s="1" t="s">
        <v>29</v>
      </c>
      <c r="I13615" s="1" t="str">
        <f ca="1">IFERROR(__xludf.DUMMYFUNCTION("GOOGLETRANSLATE(F13615, ""auto"", ""en"")
"),"body material. design.")</f>
        <v>body material. design.</v>
      </c>
    </row>
    <row r="13616" spans="1:9" x14ac:dyDescent="0.3">
      <c r="A13616" s="1" t="s">
        <v>55</v>
      </c>
      <c r="B13616" s="1" t="s">
        <v>235</v>
      </c>
      <c r="C13616" s="1" t="s">
        <v>1341</v>
      </c>
      <c r="D13616" s="1" t="s">
        <v>18944</v>
      </c>
      <c r="E13616" s="1" t="s">
        <v>4054</v>
      </c>
      <c r="F13616" s="1" t="s">
        <v>18945</v>
      </c>
      <c r="G13616" s="1" t="s">
        <v>36</v>
      </c>
      <c r="H13616" s="1" t="s">
        <v>29</v>
      </c>
      <c r="I13616" s="1" t="str">
        <f ca="1">IFERROR(__xludf.DUMMYFUNCTION("GOOGLETRANSLATE(F13616, ""auto"", ""en"")
"),"Of course, no one is immune from marriage.  Fortunately, I was lucky. Worked for 2 winters, absolutely no breakdowns. It burns a fair amount of electricity, like all heat guns, but I was satisfied with the power. Within an hour the room becomes very warm.")</f>
        <v>Of course, no one is immune from marriage.  Fortunately, I was lucky. Worked for 2 winters, absolutely no breakdowns. It burns a fair amount of electricity, like all heat guns, but I was satisfied with the power. Within an hour the room becomes very warm.</v>
      </c>
    </row>
    <row r="13617" spans="1:9" x14ac:dyDescent="0.3">
      <c r="A13617" s="1" t="s">
        <v>105</v>
      </c>
      <c r="B13617" s="1" t="s">
        <v>106</v>
      </c>
      <c r="C13617" s="1" t="s">
        <v>107</v>
      </c>
      <c r="D13617" s="1" t="s">
        <v>152</v>
      </c>
      <c r="E13617" s="1" t="s">
        <v>1852</v>
      </c>
      <c r="F13617" s="1" t="s">
        <v>18946</v>
      </c>
      <c r="G13617" s="1" t="s">
        <v>36</v>
      </c>
      <c r="H13617" s="1" t="s">
        <v>29</v>
      </c>
      <c r="I13617" s="1" t="str">
        <f ca="1">IFERROR(__xludf.DUMMYFUNCTION("GOOGLETRANSLATE(F13617, ""auto"", ""en"")
"),"The player is just super. I bought it today and was very pleased with it, so I advise you who wants to buy this player, take it and don’t worry!!!!")</f>
        <v>The player is just super. I bought it today and was very pleased with it, so I advise you who wants to buy this player, take it and don’t worry!!!!</v>
      </c>
    </row>
    <row r="13618" spans="1:9" x14ac:dyDescent="0.3">
      <c r="A13618" s="1" t="s">
        <v>30</v>
      </c>
      <c r="B13618" s="1" t="s">
        <v>50</v>
      </c>
      <c r="C13618" s="1" t="s">
        <v>32</v>
      </c>
      <c r="D13618" s="1" t="s">
        <v>52</v>
      </c>
      <c r="E13618" s="1" t="s">
        <v>1654</v>
      </c>
      <c r="F13618" s="1" t="s">
        <v>18947</v>
      </c>
      <c r="G13618" s="1" t="s">
        <v>28</v>
      </c>
      <c r="H13618" s="1" t="s">
        <v>29</v>
      </c>
      <c r="I13618" s="1" t="str">
        <f ca="1">IFERROR(__xludf.DUMMYFUNCTION("GOOGLETRANSLATE(F13618, ""auto"", ""en"")
"),"Such a machine should be taken as a powerful mobile option, but for games the Sony PS3 is better and cheaper. Yes, and the matrix in this price category could have been put more seriously. In general, a specific machine - for this money you can assemble a"&amp;" normal hospital...")</f>
        <v>Such a machine should be taken as a powerful mobile option, but for games the Sony PS3 is better and cheaper. Yes, and the matrix in this price category could have been put more seriously. In general, a specific machine - for this money you can assemble a normal hospital...</v>
      </c>
    </row>
    <row r="13619" spans="1:9" x14ac:dyDescent="0.3">
      <c r="A13619" s="1" t="s">
        <v>30</v>
      </c>
      <c r="B13619" s="1" t="s">
        <v>50</v>
      </c>
      <c r="C13619" s="1" t="s">
        <v>1003</v>
      </c>
      <c r="D13619" s="1" t="s">
        <v>305</v>
      </c>
      <c r="E13619" s="1" t="s">
        <v>391</v>
      </c>
      <c r="F13619" s="1" t="s">
        <v>18948</v>
      </c>
      <c r="G13619" s="1" t="s">
        <v>36</v>
      </c>
      <c r="H13619" s="1" t="s">
        <v>29</v>
      </c>
      <c r="I13619" s="1" t="str">
        <f ca="1">IFERROR(__xludf.DUMMYFUNCTION("GOOGLETRANSLATE(F13619, ""auto"", ""en"")
"),"Great laptop, everything works great for me.")</f>
        <v>Great laptop, everything works great for me.</v>
      </c>
    </row>
    <row r="13620" spans="1:9" x14ac:dyDescent="0.3">
      <c r="A13620" s="1" t="s">
        <v>61</v>
      </c>
      <c r="B13620" s="1" t="s">
        <v>145</v>
      </c>
      <c r="C13620" s="1" t="s">
        <v>246</v>
      </c>
      <c r="D13620" s="1" t="s">
        <v>171</v>
      </c>
      <c r="E13620" s="1" t="s">
        <v>8438</v>
      </c>
      <c r="F13620" s="1" t="s">
        <v>18949</v>
      </c>
      <c r="G13620" s="1" t="s">
        <v>49</v>
      </c>
      <c r="H13620" s="1" t="s">
        <v>16</v>
      </c>
      <c r="I13620" s="1" t="str">
        <f ca="1">IFERROR(__xludf.DUMMYFUNCTION("GOOGLETRANSLATE(F13620, ""auto"", ""en"")
"),"First of all, this steamer works and cooks as it should (for this 5+, the manti and stewed vegetables are very tasty).   I gave it a ""1"" for the quality of the product itself. Damn, guys... I understand that all Tefali, Vitek and Borki are made in one ("&amp;"or in neighboring) Chinese basements, but still... The steamer is not the cheapest, compared to others, but what do we see: poor cheap plastic everywhere, some strange operating mode (for example, 0 on the timer is not located at the very beginning and af"&amp;"ter the end of cooking, the timer ticks for another 5 minutes like an old Soviet Eureka washing machine; For some reason, the “vitaminization” function turns off every 4 minutes), and what is especially annoying is that it leaks. Where the tray for adding"&amp;" water is located, condensation somehow accumulates, flows out and forms a puddle under the steamer. I'm thinking of sealing the tray tightly.  Conclusion: the device is absolutely not worth the money. The quality is no different from devices 5 times chea"&amp;"per. If so, then why pay more?")</f>
        <v>First of all, this steamer works and cooks as it should (for this 5+, the manti and stewed vegetables are very tasty).   I gave it a "1" for the quality of the product itself. Damn, guys... I understand that all Tefali, Vitek and Borki are made in one (or in neighboring) Chinese basements, but still... The steamer is not the cheapest, compared to others, but what do we see: poor cheap plastic everywhere, some strange operating mode (for example, 0 on the timer is not located at the very beginning and after the end of cooking, the timer ticks for another 5 minutes like an old Soviet Eureka washing machine; For some reason, the “vitaminization” function turns off every 4 minutes), and what is especially annoying is that it leaks. Where the tray for adding water is located, condensation somehow accumulates, flows out and forms a puddle under the steamer. I'm thinking of sealing the tray tightly.  Conclusion: the device is absolutely not worth the money. The quality is no different from devices 5 times cheaper. If so, then why pay more?</v>
      </c>
    </row>
    <row r="13621" spans="1:9" x14ac:dyDescent="0.3">
      <c r="A13621" s="1" t="s">
        <v>211</v>
      </c>
      <c r="B13621" s="1" t="s">
        <v>212</v>
      </c>
      <c r="C13621" s="1" t="s">
        <v>69</v>
      </c>
      <c r="D13621" s="1" t="s">
        <v>18950</v>
      </c>
      <c r="E13621" s="1" t="s">
        <v>559</v>
      </c>
      <c r="F13621" s="1" t="s">
        <v>18951</v>
      </c>
      <c r="G13621" s="1" t="s">
        <v>36</v>
      </c>
      <c r="H13621" s="1" t="s">
        <v>29</v>
      </c>
      <c r="I13621" s="1" t="str">
        <f ca="1">IFERROR(__xludf.DUMMYFUNCTION("GOOGLETRANSLATE(F13621, ""auto"", ""en"")
"),"The tongs are very good, heat up quickly. Convenient and long cord. I couldn’t find good electric tongs for a long time, and now I found them.")</f>
        <v>The tongs are very good, heat up quickly. Convenient and long cord. I couldn’t find good electric tongs for a long time, and now I found them.</v>
      </c>
    </row>
    <row r="13622" spans="1:9" x14ac:dyDescent="0.3">
      <c r="A13622" s="1" t="s">
        <v>55</v>
      </c>
      <c r="B13622" s="1" t="s">
        <v>56</v>
      </c>
      <c r="C13622" s="1" t="s">
        <v>10002</v>
      </c>
      <c r="D13622" s="1" t="s">
        <v>152</v>
      </c>
      <c r="E13622" s="1" t="s">
        <v>1929</v>
      </c>
      <c r="F13622" s="1" t="s">
        <v>18952</v>
      </c>
      <c r="G13622" s="1" t="s">
        <v>36</v>
      </c>
      <c r="H13622" s="1" t="s">
        <v>29</v>
      </c>
      <c r="I13622" s="1" t="str">
        <f ca="1">IFERROR(__xludf.DUMMYFUNCTION("GOOGLETRANSLATE(F13622, ""auto"", ""en"")
"),"I recently purchased this model and am very pleased with the choice. I advise everyone to buy it, you won’t regret it!!!    Another plus is that it shows the percentage of humidity in the room. That is, the device will not allow excess humidity!!!")</f>
        <v>I recently purchased this model and am very pleased with the choice. I advise everyone to buy it, you won’t regret it!!!    Another plus is that it shows the percentage of humidity in the room. That is, the device will not allow excess humidity!!!</v>
      </c>
    </row>
    <row r="13623" spans="1:9" x14ac:dyDescent="0.3">
      <c r="A13623" s="1" t="s">
        <v>17</v>
      </c>
      <c r="B13623" s="1" t="s">
        <v>18</v>
      </c>
      <c r="C13623" s="1" t="s">
        <v>151</v>
      </c>
      <c r="D13623" s="1" t="s">
        <v>2560</v>
      </c>
      <c r="E13623" s="1" t="s">
        <v>7725</v>
      </c>
      <c r="F13623" s="1" t="s">
        <v>18953</v>
      </c>
      <c r="G13623" s="1" t="s">
        <v>36</v>
      </c>
      <c r="H13623" s="1" t="s">
        <v>29</v>
      </c>
      <c r="I13623" s="1" t="str">
        <f ca="1">IFERROR(__xludf.DUMMYFUNCTION("GOOGLETRANSLATE(F13623, ""auto"", ""en"")
"),"We haven't been using it for very long, so there's nothing to say about reliability. Instructions for use: washes really large items (thick blanket); very easy ironing afterwards, and if you dry it on hangers, you don’t have to iron some things; a cozy si"&amp;"gnal after washing :) The water consumption is small, which is convenient when washing a small amount of laundry - there is no unnecessary consumption. When washing large items, or when washing a decent amount at fast speed, turn on extra. rinsing. Wool i"&amp;"s washed by hand!!!))) There is simply a way to refresh delicate items. Wash dirty ones on synthetics at 40, nothing will happen to them. We installed it level on a flat floor - there was almost no vibration or noise. If you close the door, you can sleep.")</f>
        <v>We haven't been using it for very long, so there's nothing to say about reliability. Instructions for use: washes really large items (thick blanket); very easy ironing afterwards, and if you dry it on hangers, you don’t have to iron some things; a cozy signal after washing :) The water consumption is small, which is convenient when washing a small amount of laundry - there is no unnecessary consumption. When washing large items, or when washing a decent amount at fast speed, turn on extra. rinsing. Wool is washed by hand!!!))) There is simply a way to refresh delicate items. Wash dirty ones on synthetics at 40, nothing will happen to them. We installed it level on a flat floor - there was almost no vibration or noise. If you close the door, you can sleep.</v>
      </c>
    </row>
    <row r="13624" spans="1:9" x14ac:dyDescent="0.3">
      <c r="A13624" s="1" t="s">
        <v>61</v>
      </c>
      <c r="B13624" s="1" t="s">
        <v>318</v>
      </c>
      <c r="C13624" s="1" t="s">
        <v>57</v>
      </c>
      <c r="D13624" s="1" t="s">
        <v>52</v>
      </c>
      <c r="E13624" s="1" t="s">
        <v>349</v>
      </c>
      <c r="F13624" s="1" t="s">
        <v>18954</v>
      </c>
      <c r="G13624" s="1" t="s">
        <v>28</v>
      </c>
      <c r="H13624" s="1" t="s">
        <v>29</v>
      </c>
      <c r="I13624" s="1" t="str">
        <f ca="1">IFERROR(__xludf.DUMMYFUNCTION("GOOGLETRANSLATE(F13624, ""auto"", ""en"")
"),"Used it for two years! The kettle is not bad for the money - powerful, spacious, relatively quiet, stainless steel without measuring plastic inserts, which prevents leakage, reliable lid. Wide opening - your hand can easily fit inside to clean the kettle."&amp;" But after half a year it started leaking from the bottom through the heating element - they sealed it under warranty. And after a year and a half, the heating element itself burned out.")</f>
        <v>Used it for two years! The kettle is not bad for the money - powerful, spacious, relatively quiet, stainless steel without measuring plastic inserts, which prevents leakage, reliable lid. Wide opening - your hand can easily fit inside to clean the kettle. But after half a year it started leaking from the bottom through the heating element - they sealed it under warranty. And after a year and a half, the heating element itself burned out.</v>
      </c>
    </row>
    <row r="13625" spans="1:9" x14ac:dyDescent="0.3">
      <c r="A13625" s="1" t="s">
        <v>211</v>
      </c>
      <c r="B13625" s="1" t="s">
        <v>265</v>
      </c>
      <c r="C13625" s="1" t="s">
        <v>57</v>
      </c>
      <c r="D13625" s="1" t="s">
        <v>896</v>
      </c>
      <c r="E13625" s="1" t="s">
        <v>750</v>
      </c>
      <c r="F13625" s="1" t="s">
        <v>18955</v>
      </c>
      <c r="G13625" s="1" t="s">
        <v>49</v>
      </c>
      <c r="H13625" s="1" t="s">
        <v>16</v>
      </c>
      <c r="I13625" s="1" t="str">
        <f ca="1">IFERROR(__xludf.DUMMYFUNCTION("GOOGLETRANSLATE(F13625, ""auto"", ""en"")
"),"Bought as a gift.....checked it in the store....it was buzzing...and then it turned out to be not in working order........not pleasant....")</f>
        <v>Bought as a gift.....checked it in the store....it was buzzing...and then it turned out to be not in working order........not pleasant....</v>
      </c>
    </row>
    <row r="13626" spans="1:9" x14ac:dyDescent="0.3">
      <c r="A13626" s="1" t="s">
        <v>1443</v>
      </c>
      <c r="B13626" s="1" t="s">
        <v>4684</v>
      </c>
      <c r="C13626" s="1" t="s">
        <v>4685</v>
      </c>
      <c r="D13626" s="1" t="s">
        <v>295</v>
      </c>
      <c r="E13626" s="1" t="s">
        <v>829</v>
      </c>
      <c r="F13626" s="1" t="s">
        <v>18956</v>
      </c>
      <c r="G13626" s="1" t="s">
        <v>36</v>
      </c>
      <c r="H13626" s="1" t="s">
        <v>29</v>
      </c>
      <c r="I13626" s="1" t="str">
        <f ca="1">IFERROR(__xludf.DUMMYFUNCTION("GOOGLETRANSLATE(F13626, ""auto"", ""en"")
"),"Good discs, high-quality recording both on a computer and on DVD.  It was not on sale for a long time, but now it is available, which is good news.  Budget packaging. Minus - not enough. You could pack 25 each. I recommend the blanks themselves.")</f>
        <v>Good discs, high-quality recording both on a computer and on DVD.  It was not on sale for a long time, but now it is available, which is good news.  Budget packaging. Minus - not enough. You could pack 25 each. I recommend the blanks themselves.</v>
      </c>
    </row>
    <row r="13627" spans="1:9" x14ac:dyDescent="0.3">
      <c r="A13627" s="1" t="s">
        <v>624</v>
      </c>
      <c r="B13627" s="1" t="s">
        <v>625</v>
      </c>
      <c r="C13627" s="1" t="s">
        <v>479</v>
      </c>
      <c r="D13627" s="1" t="s">
        <v>411</v>
      </c>
      <c r="E13627" s="1" t="s">
        <v>649</v>
      </c>
      <c r="F13627" s="1" t="s">
        <v>18957</v>
      </c>
      <c r="G13627" s="1" t="s">
        <v>36</v>
      </c>
      <c r="H13627" s="1" t="s">
        <v>29</v>
      </c>
      <c r="I13627" s="1" t="str">
        <f ca="1">IFERROR(__xludf.DUMMYFUNCTION("GOOGLETRANSLATE(F13627, ""auto"", ""en"")
"),"Fifa nervously smokes on the sidelines!!!  5x5 and that's enough to get lost in football, even if you're not a fan of it!  It's a pity there is no Pure Basketball :)")</f>
        <v>Fifa nervously smokes on the sidelines!!!  5x5 and that's enough to get lost in football, even if you're not a fan of it!  It's a pity there is no Pure Basketball :)</v>
      </c>
    </row>
    <row r="13628" spans="1:9" x14ac:dyDescent="0.3">
      <c r="A13628" s="1" t="s">
        <v>206</v>
      </c>
      <c r="B13628" s="1" t="s">
        <v>207</v>
      </c>
      <c r="C13628" s="1" t="s">
        <v>351</v>
      </c>
      <c r="D13628" s="1" t="s">
        <v>18958</v>
      </c>
      <c r="E13628" s="1" t="s">
        <v>481</v>
      </c>
      <c r="F13628" s="1" t="s">
        <v>18959</v>
      </c>
      <c r="G13628" s="1" t="s">
        <v>49</v>
      </c>
      <c r="H13628" s="1" t="s">
        <v>16</v>
      </c>
      <c r="I13628" s="1" t="str">
        <f ca="1">IFERROR(__xludf.DUMMYFUNCTION("GOOGLETRANSLATE(F13628, ""auto"", ""en"")
"),"Previously there was a weak amplifier but it worked fine! I bought a supra, I bought it in the winter of last year! It sounds like nothing! Only here’s the problem! With the engine turned off, it won’t start, it will play, turn on the headlights or the he"&amp;"ater will stop again! The electrician said the drive needs a capacitor! I bought it and installed the same thing!!! in the evening I have to drive with sidelights)) who knows what the problem is, tell me, I’m just tired, I’m going to throw it away!! take "&amp;"another one!")</f>
        <v>Previously there was a weak amplifier but it worked fine! I bought a supra, I bought it in the winter of last year! It sounds like nothing! Only here’s the problem! With the engine turned off, it won’t start, it will play, turn on the headlights or the heater will stop again! The electrician said the drive needs a capacitor! I bought it and installed the same thing!!! in the evening I have to drive with sidelights)) who knows what the problem is, tell me, I’m just tired, I’m going to throw it away!! take another one!</v>
      </c>
    </row>
    <row r="13629" spans="1:9" x14ac:dyDescent="0.3">
      <c r="A13629" s="1" t="s">
        <v>61</v>
      </c>
      <c r="B13629" s="1" t="s">
        <v>1126</v>
      </c>
      <c r="C13629" s="1" t="s">
        <v>57</v>
      </c>
      <c r="D13629" s="1" t="s">
        <v>1055</v>
      </c>
      <c r="E13629" s="1" t="s">
        <v>820</v>
      </c>
      <c r="F13629" s="1" t="s">
        <v>18960</v>
      </c>
      <c r="G13629" s="1" t="s">
        <v>36</v>
      </c>
      <c r="H13629" s="1" t="s">
        <v>29</v>
      </c>
      <c r="I13629" s="1" t="str">
        <f ca="1">IFERROR(__xludf.DUMMYFUNCTION("GOOGLETRANSLATE(F13629, ""auto"", ""en"")
"),"Good scales. Bought with bonus rubles. We use it for a bread machine.")</f>
        <v>Good scales. Bought with bonus rubles. We use it for a bread machine.</v>
      </c>
    </row>
    <row r="13630" spans="1:9" x14ac:dyDescent="0.3">
      <c r="A13630" s="1" t="s">
        <v>61</v>
      </c>
      <c r="B13630" s="1" t="s">
        <v>318</v>
      </c>
      <c r="C13630" s="1" t="s">
        <v>63</v>
      </c>
      <c r="D13630" s="1" t="s">
        <v>18961</v>
      </c>
      <c r="E13630" s="1" t="s">
        <v>1749</v>
      </c>
      <c r="F13630" s="1" t="s">
        <v>18962</v>
      </c>
      <c r="G13630" s="1" t="s">
        <v>28</v>
      </c>
      <c r="H13630" s="1" t="s">
        <v>29</v>
      </c>
      <c r="I13630" s="1" t="str">
        <f ca="1">IFERROR(__xludf.DUMMYFUNCTION("GOOGLETRANSLATE(F13630, ""auto"", ""en"")
"),"It worked for 3.5 years, the plastic cracked and leaked, water often overflowed through the lid due to the filter mesh")</f>
        <v>It worked for 3.5 years, the plastic cracked and leaked, water often overflowed through the lid due to the filter mesh</v>
      </c>
    </row>
    <row r="13631" spans="1:9" x14ac:dyDescent="0.3">
      <c r="A13631" s="1" t="s">
        <v>211</v>
      </c>
      <c r="B13631" s="1" t="s">
        <v>212</v>
      </c>
      <c r="C13631" s="1" t="s">
        <v>381</v>
      </c>
      <c r="D13631" s="1" t="s">
        <v>18963</v>
      </c>
      <c r="E13631" s="1" t="s">
        <v>708</v>
      </c>
      <c r="F13631" s="1" t="s">
        <v>18964</v>
      </c>
      <c r="G13631" s="1" t="s">
        <v>36</v>
      </c>
      <c r="H13631" s="1" t="s">
        <v>29</v>
      </c>
      <c r="I13631" s="1" t="str">
        <f ca="1">IFERROR(__xludf.DUMMYFUNCTION("GOOGLETRANSLATE(F13631, ""auto"", ""en"")
"),"An excellent hair dryer, after 2 years of use it began to overheat occasionally, but this is not fatal. A regular hairdryer cannot straighten my hair (hair down to my butt), and straightening irons take too long.  And this hair dryer just works wonders. I"&amp;" used to use a baby fox, but it was seriously lacking in power.")</f>
        <v>An excellent hair dryer, after 2 years of use it began to overheat occasionally, but this is not fatal. A regular hairdryer cannot straighten my hair (hair down to my butt), and straightening irons take too long.  And this hair dryer just works wonders. I used to use a baby fox, but it was seriously lacking in power.</v>
      </c>
    </row>
    <row r="13632" spans="1:9" x14ac:dyDescent="0.3">
      <c r="A13632" s="1" t="s">
        <v>169</v>
      </c>
      <c r="B13632" s="1" t="s">
        <v>170</v>
      </c>
      <c r="C13632" s="1" t="s">
        <v>2545</v>
      </c>
      <c r="D13632" s="1" t="s">
        <v>2145</v>
      </c>
      <c r="E13632" s="1" t="s">
        <v>285</v>
      </c>
      <c r="F13632" s="1" t="s">
        <v>18965</v>
      </c>
      <c r="G13632" s="1" t="s">
        <v>28</v>
      </c>
      <c r="H13632" s="1" t="s">
        <v>29</v>
      </c>
      <c r="I13632" s="1" t="str">
        <f ca="1">IFERROR(__xludf.DUMMYFUNCTION("GOOGLETRANSLATE(F13632, ""auto"", ""en"")
"),"for this price category the quality is acceptable")</f>
        <v>for this price category the quality is acceptable</v>
      </c>
    </row>
    <row r="13633" spans="1:9" x14ac:dyDescent="0.3">
      <c r="A13633" s="1" t="s">
        <v>43</v>
      </c>
      <c r="B13633" s="1" t="s">
        <v>303</v>
      </c>
      <c r="C13633" s="1" t="s">
        <v>665</v>
      </c>
      <c r="D13633" s="1" t="s">
        <v>327</v>
      </c>
      <c r="E13633" s="1" t="s">
        <v>18966</v>
      </c>
      <c r="F13633" s="1" t="s">
        <v>18967</v>
      </c>
      <c r="G13633" s="1" t="s">
        <v>36</v>
      </c>
      <c r="H13633" s="1" t="s">
        <v>29</v>
      </c>
      <c r="I13633" s="1" t="str">
        <f ca="1">IFERROR(__xludf.DUMMYFUNCTION("GOOGLETRANSLATE(F13633, ""auto"", ""en"")
"),"Very pleased with the purchase. The unit itself is very heavy, but made with soul. The family is happy! Heats quickly and without noise. On the display you can see to what temperature the water is heated, it is easy to operate and overall a very useful th"&amp;"ing when the water is turned off for a month.")</f>
        <v>Very pleased with the purchase. The unit itself is very heavy, but made with soul. The family is happy! Heats quickly and without noise. On the display you can see to what temperature the water is heated, it is easy to operate and overall a very useful thing when the water is turned off for a month.</v>
      </c>
    </row>
    <row r="13634" spans="1:9" x14ac:dyDescent="0.3">
      <c r="A13634" s="1" t="s">
        <v>61</v>
      </c>
      <c r="B13634" s="1" t="s">
        <v>977</v>
      </c>
      <c r="C13634" s="1" t="s">
        <v>63</v>
      </c>
      <c r="D13634" s="1" t="s">
        <v>172</v>
      </c>
      <c r="E13634" s="1" t="s">
        <v>1207</v>
      </c>
      <c r="F13634" s="1" t="s">
        <v>18968</v>
      </c>
      <c r="G13634" s="1" t="s">
        <v>36</v>
      </c>
      <c r="H13634" s="1" t="s">
        <v>29</v>
      </c>
      <c r="I13634" s="1" t="str">
        <f ca="1">IFERROR(__xludf.DUMMYFUNCTION("GOOGLETRANSLATE(F13634, ""auto"", ""en"")
"),"EVERYTHING IS SUPER, he is a mixer and a blender. And it costs as much as one mixer or blender!!!")</f>
        <v>EVERYTHING IS SUPER, he is a mixer and a blender. And it costs as much as one mixer or blender!!!</v>
      </c>
    </row>
    <row r="13635" spans="1:9" x14ac:dyDescent="0.3">
      <c r="A13635" s="1" t="s">
        <v>1443</v>
      </c>
      <c r="B13635" s="1" t="s">
        <v>1444</v>
      </c>
      <c r="C13635" s="1" t="s">
        <v>1489</v>
      </c>
      <c r="D13635" s="1" t="s">
        <v>8490</v>
      </c>
      <c r="E13635" s="1" t="s">
        <v>3805</v>
      </c>
      <c r="F13635" s="1" t="s">
        <v>18969</v>
      </c>
      <c r="G13635" s="1" t="s">
        <v>36</v>
      </c>
      <c r="H13635" s="1" t="s">
        <v>29</v>
      </c>
      <c r="I13635" s="1" t="str">
        <f ca="1">IFERROR(__xludf.DUMMYFUNCTION("GOOGLETRANSLATE(F13635, ""auto"", ""en"")
"),"Excellent flash. I got this one a month ago - it's great. The writing and reading speed is top-notch, small size. And it's inexpensive. In general, an ideal combination of price and quality.")</f>
        <v>Excellent flash. I got this one a month ago - it's great. The writing and reading speed is top-notch, small size. And it's inexpensive. In general, an ideal combination of price and quality.</v>
      </c>
    </row>
    <row r="13636" spans="1:9" x14ac:dyDescent="0.3">
      <c r="A13636" s="1" t="s">
        <v>61</v>
      </c>
      <c r="B13636" s="1" t="s">
        <v>145</v>
      </c>
      <c r="C13636" s="1" t="s">
        <v>246</v>
      </c>
      <c r="D13636" s="1" t="s">
        <v>565</v>
      </c>
      <c r="E13636" s="1" t="s">
        <v>6703</v>
      </c>
      <c r="F13636" s="1" t="s">
        <v>18970</v>
      </c>
      <c r="G13636" s="1" t="s">
        <v>36</v>
      </c>
      <c r="H13636" s="1" t="s">
        <v>29</v>
      </c>
      <c r="I13636" s="1" t="str">
        <f ca="1">IFERROR(__xludf.DUMMYFUNCTION("GOOGLETRANSLATE(F13636, ""auto"", ""en"")
"),"The other day we bought ourselves this wonderful thing. I've only cooked with it twice so far. Very convenient!  The meat and sauce were placed in a frying pan, and rice and vegetables were cooked in a bowl. It’s cool that you don’t need to mix anything, "&amp;"nothing will burn or run away... The meat “doesn’t dry out” in volume... We thought that the food would be bland and not tasty, but everything turned out no worse than with regular cooking.  We chose between Bosch (costs about 2500) and Tefal. Still, we s"&amp;"ettled on Tefal, because... there is the greatest power and due to this all the vitamins are preserved. Overall, I'm happy with the purchase so far")</f>
        <v>The other day we bought ourselves this wonderful thing. I've only cooked with it twice so far. Very convenient!  The meat and sauce were placed in a frying pan, and rice and vegetables were cooked in a bowl. It’s cool that you don’t need to mix anything, nothing will burn or run away... The meat “doesn’t dry out” in volume... We thought that the food would be bland and not tasty, but everything turned out no worse than with regular cooking.  We chose between Bosch (costs about 2500) and Tefal. Still, we settled on Tefal, because... there is the greatest power and due to this all the vitamins are preserved. Overall, I'm happy with the purchase so far</v>
      </c>
    </row>
    <row r="13637" spans="1:9" x14ac:dyDescent="0.3">
      <c r="A13637" s="1" t="s">
        <v>211</v>
      </c>
      <c r="B13637" s="1" t="s">
        <v>410</v>
      </c>
      <c r="C13637" s="1" t="s">
        <v>213</v>
      </c>
      <c r="D13637" s="1" t="s">
        <v>18971</v>
      </c>
      <c r="E13637" s="1" t="s">
        <v>1481</v>
      </c>
      <c r="F13637" s="1" t="s">
        <v>18972</v>
      </c>
      <c r="G13637" s="1" t="s">
        <v>49</v>
      </c>
      <c r="H13637" s="1" t="s">
        <v>16</v>
      </c>
      <c r="I13637" s="1" t="str">
        <f ca="1">IFERROR(__xludf.DUMMYFUNCTION("GOOGLETRANSLATE(F13637, ""auto"", ""en"")
"),"don't buy this razor!!!!!! She doesn't shave at all!!!!! bullshit!!!!")</f>
        <v>don't buy this razor!!!!!! She doesn't shave at all!!!!! bullshit!!!!</v>
      </c>
    </row>
    <row r="13638" spans="1:9" x14ac:dyDescent="0.3">
      <c r="A13638" s="1" t="s">
        <v>211</v>
      </c>
      <c r="B13638" s="1" t="s">
        <v>899</v>
      </c>
      <c r="C13638" s="1" t="s">
        <v>213</v>
      </c>
      <c r="D13638" s="1" t="s">
        <v>280</v>
      </c>
      <c r="E13638" s="1" t="s">
        <v>15135</v>
      </c>
      <c r="F13638" s="1" t="s">
        <v>18973</v>
      </c>
      <c r="G13638" s="1" t="s">
        <v>36</v>
      </c>
      <c r="H13638" s="1" t="s">
        <v>29</v>
      </c>
      <c r="I13638" s="1" t="str">
        <f ca="1">IFERROR(__xludf.DUMMYFUNCTION("GOOGLETRANSLATE(F13638, ""auto"", ""en"")
"),"Experience of use - a week.  The brush is a pleasure to use - from the unpacking process (neat box, placement inside the box) to its direct functions. German quality is felt.  When purchasing, I compared it with competitors in the same price category and "&amp;"decided to take Braun.  At first it’s unusual to use, but after a couple of days this feeling goes away.  I was pleased with the equipment - the presence of two attachments.  The whitening regimen actually makes teeth 1-2 shades lighter.   The gums did no"&amp;"t bleed at all, the bristles of the attachments seemed soft, although this varies from person to person.  I can confidently recommend this model!")</f>
        <v>Experience of use - a week.  The brush is a pleasure to use - from the unpacking process (neat box, placement inside the box) to its direct functions. German quality is felt.  When purchasing, I compared it with competitors in the same price category and decided to take Braun.  At first it’s unusual to use, but after a couple of days this feeling goes away.  I was pleased with the equipment - the presence of two attachments.  The whitening regimen actually makes teeth 1-2 shades lighter.   The gums did not bleed at all, the bristles of the attachments seemed soft, although this varies from person to person.  I can confidently recommend this model!</v>
      </c>
    </row>
    <row r="13639" spans="1:9" x14ac:dyDescent="0.3">
      <c r="A13639" s="1" t="s">
        <v>61</v>
      </c>
      <c r="B13639" s="1" t="s">
        <v>62</v>
      </c>
      <c r="C13639" s="1" t="s">
        <v>146</v>
      </c>
      <c r="D13639" s="1" t="s">
        <v>471</v>
      </c>
      <c r="E13639" s="1" t="s">
        <v>924</v>
      </c>
      <c r="F13639" s="1" t="s">
        <v>18974</v>
      </c>
      <c r="G13639" s="1" t="s">
        <v>49</v>
      </c>
      <c r="H13639" s="1" t="s">
        <v>16</v>
      </c>
      <c r="I13639" s="1" t="str">
        <f ca="1">IFERROR(__xludf.DUMMYFUNCTION("GOOGLETRANSLATE(F13639, ""auto"", ""en"")
"),"I bought the combine on Sunday, decided to try it out on Tuesday, there was a smell, it shook, made noise and “stalled out” and won’t turn on anymore! So I didn’t have time to enjoy all the delights!")</f>
        <v>I bought the combine on Sunday, decided to try it out on Tuesday, there was a smell, it shook, made noise and “stalled out” and won’t turn on anymore! So I didn’t have time to enjoy all the delights!</v>
      </c>
    </row>
    <row r="13640" spans="1:9" x14ac:dyDescent="0.3">
      <c r="A13640" s="1" t="s">
        <v>61</v>
      </c>
      <c r="B13640" s="1" t="s">
        <v>726</v>
      </c>
      <c r="C13640" s="1" t="s">
        <v>74</v>
      </c>
      <c r="D13640" s="1" t="s">
        <v>1241</v>
      </c>
      <c r="E13640" s="1" t="s">
        <v>5596</v>
      </c>
      <c r="F13640" s="1" t="s">
        <v>18975</v>
      </c>
      <c r="G13640" s="1" t="s">
        <v>28</v>
      </c>
      <c r="H13640" s="1" t="s">
        <v>29</v>
      </c>
      <c r="I13640" s="1" t="str">
        <f ca="1">IFERROR(__xludf.DUMMYFUNCTION("GOOGLETRANSLATE(F13640, ""auto"", ""en"")
"),"Has anyone tried to knead yeast-free dough for dumplings on this stove? On what program?")</f>
        <v>Has anyone tried to knead yeast-free dough for dumplings on this stove? On what program?</v>
      </c>
    </row>
    <row r="13641" spans="1:9" x14ac:dyDescent="0.3">
      <c r="A13641" s="1" t="s">
        <v>149</v>
      </c>
      <c r="B13641" s="1" t="s">
        <v>576</v>
      </c>
      <c r="C13641" s="1" t="s">
        <v>85</v>
      </c>
      <c r="D13641" s="1" t="s">
        <v>568</v>
      </c>
      <c r="E13641" s="1" t="s">
        <v>1988</v>
      </c>
      <c r="F13641" s="1" t="s">
        <v>18976</v>
      </c>
      <c r="G13641" s="1" t="s">
        <v>28</v>
      </c>
      <c r="H13641" s="1" t="s">
        <v>29</v>
      </c>
      <c r="I13641" s="1" t="str">
        <f ca="1">IFERROR(__xludf.DUMMYFUNCTION("GOOGLETRANSLATE(F13641, ""auto"", ""en"")
"),"The vacuum cleaner is like a vacuum cleaner, I’ve been using it for 2 months, but I haven’t felt anything unusual yet.)) I think that it’s not convenient (not by hand) to extend the telescopic tube, because there you have to press the button with one hand"&amp;", the other hand is busy, and then how to pull out the pipe? This is a minus; this unit could have been made simpler - in the form of a pump. And of course the quality is excellent!")</f>
        <v>The vacuum cleaner is like a vacuum cleaner, I’ve been using it for 2 months, but I haven’t felt anything unusual yet.)) I think that it’s not convenient (not by hand) to extend the telescopic tube, because there you have to press the button with one hand, the other hand is busy, and then how to pull out the pipe? This is a minus; this unit could have been made simpler - in the form of a pump. And of course the quality is excellent!</v>
      </c>
    </row>
    <row r="13642" spans="1:9" x14ac:dyDescent="0.3">
      <c r="A13642" s="1" t="s">
        <v>477</v>
      </c>
      <c r="B13642" s="1" t="s">
        <v>478</v>
      </c>
      <c r="C13642" s="1" t="s">
        <v>479</v>
      </c>
      <c r="D13642" s="1" t="s">
        <v>81</v>
      </c>
      <c r="E13642" s="1" t="s">
        <v>2565</v>
      </c>
      <c r="F13642" s="1" t="s">
        <v>18977</v>
      </c>
      <c r="G13642" s="1" t="s">
        <v>36</v>
      </c>
      <c r="H13642" s="1" t="s">
        <v>29</v>
      </c>
      <c r="I13642" s="1" t="str">
        <f ca="1">IFERROR(__xludf.DUMMYFUNCTION("GOOGLETRANSLATE(F13642, ""auto"", ""en"")
"),"Cool game. I recommend it to everyone, but according to the Internet it’s a fairy tale!")</f>
        <v>Cool game. I recommend it to everyone, but according to the Internet it’s a fairy tale!</v>
      </c>
    </row>
    <row r="13643" spans="1:9" x14ac:dyDescent="0.3">
      <c r="A13643" s="1" t="s">
        <v>211</v>
      </c>
      <c r="B13643" s="1" t="s">
        <v>410</v>
      </c>
      <c r="C13643" s="1" t="s">
        <v>213</v>
      </c>
      <c r="D13643" s="1" t="s">
        <v>139</v>
      </c>
      <c r="E13643" s="1" t="s">
        <v>4984</v>
      </c>
      <c r="F13643" s="1" t="s">
        <v>18978</v>
      </c>
      <c r="G13643" s="1" t="s">
        <v>28</v>
      </c>
      <c r="H13643" s="1" t="s">
        <v>29</v>
      </c>
      <c r="I13643" s="1" t="str">
        <f ca="1">IFERROR(__xludf.DUMMYFUNCTION("GOOGLETRANSLATE(F13643, ""auto"", ""en"")
"),"I bought this razor a month ago. Before that I used Braun since 1998 (worked for 11 years), Philips, Mikmah. Pros: Shaves coarse stubble well, quickly and cleanly, quiet, charges quickly, battery lasts as advertised. So far I'm happy.   Cons: compared to "&amp;"the old Braun, the shaving part is thicker and wider (the old one had 2 knives), it is not convenient to get under the nose. The knives are closed and cleaning them with a brush is not so easy. The charging stand is generally useless. No case. Protection "&amp;"against accidental switching on is only by the cover of the knives, which looks fragile and can fly off.   If the net is really for 18 months and the price is not low, I will look for other models/companies, but for now I recommend taking this one.")</f>
        <v>I bought this razor a month ago. Before that I used Braun since 1998 (worked for 11 years), Philips, Mikmah. Pros: Shaves coarse stubble well, quickly and cleanly, quiet, charges quickly, battery lasts as advertised. So far I'm happy.   Cons: compared to the old Braun, the shaving part is thicker and wider (the old one had 2 knives), it is not convenient to get under the nose. The knives are closed and cleaning them with a brush is not so easy. The charging stand is generally useless. No case. Protection against accidental switching on is only by the cover of the knives, which looks fragile and can fly off.   If the net is really for 18 months and the price is not low, I will look for other models/companies, but for now I recommend taking this one.</v>
      </c>
    </row>
    <row r="13644" spans="1:9" x14ac:dyDescent="0.3">
      <c r="A13644" s="1" t="s">
        <v>61</v>
      </c>
      <c r="B13644" s="1" t="s">
        <v>318</v>
      </c>
      <c r="C13644" s="1" t="s">
        <v>85</v>
      </c>
      <c r="D13644" s="1" t="s">
        <v>5472</v>
      </c>
      <c r="E13644" s="1" t="s">
        <v>2254</v>
      </c>
      <c r="F13644" s="1" t="s">
        <v>18979</v>
      </c>
      <c r="G13644" s="1" t="s">
        <v>15</v>
      </c>
      <c r="H13644" s="1" t="s">
        <v>16</v>
      </c>
      <c r="I13644" s="1" t="str">
        <f ca="1">IFERROR(__xludf.DUMMYFUNCTION("GOOGLETRANSLATE(F13644, ""auto"", ""en"")
"),"But my kettle broke after 7 months, it was defective. The screw that holds the bottom of the handle fell off and water began to leak.")</f>
        <v>But my kettle broke after 7 months, it was defective. The screw that holds the bottom of the handle fell off and water began to leak.</v>
      </c>
    </row>
    <row r="13645" spans="1:9" x14ac:dyDescent="0.3">
      <c r="A13645" s="1" t="s">
        <v>149</v>
      </c>
      <c r="B13645" s="1" t="s">
        <v>155</v>
      </c>
      <c r="C13645" s="1" t="s">
        <v>159</v>
      </c>
      <c r="D13645" s="1" t="s">
        <v>1121</v>
      </c>
      <c r="E13645" s="1" t="s">
        <v>1481</v>
      </c>
      <c r="F13645" s="1" t="s">
        <v>18980</v>
      </c>
      <c r="G13645" s="1" t="s">
        <v>49</v>
      </c>
      <c r="H13645" s="1" t="s">
        <v>16</v>
      </c>
      <c r="I13645" s="1" t="str">
        <f ca="1">IFERROR(__xludf.DUMMYFUNCTION("GOOGLETRANSLATE(F13645, ""auto"", ""en"")
"),"The negative side of the vacuum cleaner is the filter itself, which requires constant cleaning and washing.")</f>
        <v>The negative side of the vacuum cleaner is the filter itself, which requires constant cleaning and washing.</v>
      </c>
    </row>
    <row r="13646" spans="1:9" x14ac:dyDescent="0.3">
      <c r="A13646" s="1" t="s">
        <v>55</v>
      </c>
      <c r="B13646" s="1" t="s">
        <v>56</v>
      </c>
      <c r="C13646" s="1" t="s">
        <v>85</v>
      </c>
      <c r="D13646" s="1" t="s">
        <v>7832</v>
      </c>
      <c r="E13646" s="1" t="s">
        <v>18981</v>
      </c>
      <c r="F13646" s="1" t="s">
        <v>18982</v>
      </c>
      <c r="G13646" s="1" t="s">
        <v>15</v>
      </c>
      <c r="H13646" s="1" t="s">
        <v>16</v>
      </c>
      <c r="I13646" s="1" t="str">
        <f ca="1">IFERROR(__xludf.DUMMYFUNCTION("GOOGLETRANSLATE(F13646, ""auto"", ""en"")
"),"It moisturized normally (we used store-bought water, there was no residue. But in the first year it broke, they took it under warranty, they said they couldn’t repair it, get a new one. The new one worked for six months, broke again. This time they repair"&amp;"ed it, we are waiting with fear when it breaks. Don’t buy it: it’s both expensive and not functional.")</f>
        <v>It moisturized normally (we used store-bought water, there was no residue. But in the first year it broke, they took it under warranty, they said they couldn’t repair it, get a new one. The new one worked for six months, broke again. This time they repaired it, we are waiting with fear when it breaks. Don’t buy it: it’s both expensive and not functional.</v>
      </c>
    </row>
    <row r="13647" spans="1:9" x14ac:dyDescent="0.3">
      <c r="A13647" s="1" t="s">
        <v>105</v>
      </c>
      <c r="B13647" s="1" t="s">
        <v>106</v>
      </c>
      <c r="C13647" s="1" t="s">
        <v>1921</v>
      </c>
      <c r="D13647" s="1" t="s">
        <v>308</v>
      </c>
      <c r="E13647" s="1" t="s">
        <v>1742</v>
      </c>
      <c r="F13647" s="1" t="s">
        <v>18983</v>
      </c>
      <c r="G13647" s="1" t="s">
        <v>49</v>
      </c>
      <c r="H13647" s="1" t="s">
        <v>16</v>
      </c>
      <c r="I13647" s="1" t="str">
        <f ca="1">IFERROR(__xludf.DUMMYFUNCTION("GOOGLETRANSLATE(F13647, ""auto"", ""en"")
"),"I've been using it for three days... I'm pleased with the monitor, it's very pleasant to the touch... it doesn't leave streaks from touching.... a lot of things irritate... firstly, it doesn't hold a charge as stated on the manufacturer's website... if yo"&amp;"u're watching a movie, then there's no talk of 4 hours at all... I drove for 5 hours on the road... the charge wasn't even enough to finish watching one movie (a little more than a gig).... the music on the way back was only enough for 4 hours (on the web"&amp;"site they write that it should be enough for 10 hours)....it’s also disgusting that you can’t set something of your own as a background image...and the themes are bullshit.   The font for books is only either white or black.... also annoying.... very unpl"&amp;"easant buttons.... really, for the money I would forgive it everything except a very bad battery.... at least they made it removable... or the ability to be powered by ordinary batteries... and what for 8 gigs if you don’t use them.... nonsense... I want "&amp;"to return it to the manufacturer.")</f>
        <v>I've been using it for three days... I'm pleased with the monitor, it's very pleasant to the touch... it doesn't leave streaks from touching.... a lot of things irritate... firstly, it doesn't hold a charge as stated on the manufacturer's website... if you're watching a movie, then there's no talk of 4 hours at all... I drove for 5 hours on the road... the charge wasn't even enough to finish watching one movie (a little more than a gig).... the music on the way back was only enough for 4 hours (on the website they write that it should be enough for 10 hours)....it’s also disgusting that you can’t set something of your own as a background image...and the themes are bullshit.   The font for books is only either white or black.... also annoying.... very unpleasant buttons.... really, for the money I would forgive it everything except a very bad battery.... at least they made it removable... or the ability to be powered by ordinary batteries... and what for 8 gigs if you don’t use them.... nonsense... I want to return it to the manufacturer.</v>
      </c>
    </row>
    <row r="13648" spans="1:9" x14ac:dyDescent="0.3">
      <c r="A13648" s="1" t="s">
        <v>30</v>
      </c>
      <c r="B13648" s="1" t="s">
        <v>50</v>
      </c>
      <c r="C13648" s="1" t="s">
        <v>32</v>
      </c>
      <c r="D13648" s="1" t="s">
        <v>742</v>
      </c>
      <c r="E13648" s="1" t="s">
        <v>3367</v>
      </c>
      <c r="F13648" s="1" t="s">
        <v>18984</v>
      </c>
      <c r="G13648" s="1" t="s">
        <v>36</v>
      </c>
      <c r="H13648" s="1" t="s">
        <v>29</v>
      </c>
      <c r="I13648" s="1" t="str">
        <f ca="1">IFERROR(__xludf.DUMMYFUNCTION("GOOGLETRANSLATE(F13648, ""auto"", ""en"")
"),"At the moment (May 2010) in Moscow there are no better offers for replacing a desktop computer. The latest generation of Intel Core i* processors, a gaming video card that supports Direct X11, an LED-backlit display with the largest screen possible for la"&amp;"ptops at 1920 x 1080, and a multi-finger touchpad. It’s also nice to have DisplayPort, 1394, DNLA, 6(!) built-in speakers and keyboard backlighting.")</f>
        <v>At the moment (May 2010) in Moscow there are no better offers for replacing a desktop computer. The latest generation of Intel Core i* processors, a gaming video card that supports Direct X11, an LED-backlit display with the largest screen possible for laptops at 1920 x 1080, and a multi-finger touchpad. It’s also nice to have DisplayPort, 1394, DNLA, 6(!) built-in speakers and keyboard backlighting.</v>
      </c>
    </row>
    <row r="13649" spans="1:9" x14ac:dyDescent="0.3">
      <c r="A13649" s="1" t="s">
        <v>37</v>
      </c>
      <c r="B13649" s="1" t="s">
        <v>1829</v>
      </c>
      <c r="C13649" s="1" t="s">
        <v>151</v>
      </c>
      <c r="D13649" s="1" t="s">
        <v>2610</v>
      </c>
      <c r="E13649" s="1" t="s">
        <v>2362</v>
      </c>
      <c r="F13649" s="1" t="s">
        <v>18985</v>
      </c>
      <c r="G13649" s="1" t="s">
        <v>36</v>
      </c>
      <c r="H13649" s="1" t="s">
        <v>29</v>
      </c>
      <c r="I13649" s="1" t="str">
        <f ca="1">IFERROR(__xludf.DUMMYFUNCTION("GOOGLETRANSLATE(F13649, ""auto"", ""en"")
"),"Previously I had a Samsung Galaxy S3 - an excellent smart phone, I was very pleased. I recently purchased a Galaxy S4 and am very pleased with it. The screen deserves special praise; it has become very clear, colorful, bright and detail has improved (441 "&amp;"ppi). Two gigabytes of RAM make themselves felt! Very responsive and smooth interface. As soon as I bought it, I immediately updated the firmware over the air. In general, I want to sum it up: the smart phone is of very high quality, holds a decent charge"&amp;" (2600 MAh), is stylish and still differs from the Galaxy S3, no matter what others say, I say this as the owner of both smartphones. The best among android smartphones.&amp;nbsp;")</f>
        <v>Previously I had a Samsung Galaxy S3 - an excellent smart phone, I was very pleased. I recently purchased a Galaxy S4 and am very pleased with it. The screen deserves special praise; it has become very clear, colorful, bright and detail has improved (441 ppi). Two gigabytes of RAM make themselves felt! Very responsive and smooth interface. As soon as I bought it, I immediately updated the firmware over the air. In general, I want to sum it up: the smart phone is of very high quality, holds a decent charge (2600 MAh), is stylish and still differs from the Galaxy S3, no matter what others say, I say this as the owner of both smartphones. The best among android smartphones.&amp;nbsp;</v>
      </c>
    </row>
    <row r="13650" spans="1:9" x14ac:dyDescent="0.3">
      <c r="A13650" s="1" t="s">
        <v>95</v>
      </c>
      <c r="B13650" s="1" t="s">
        <v>486</v>
      </c>
      <c r="C13650" s="1" t="s">
        <v>487</v>
      </c>
      <c r="D13650" s="1" t="s">
        <v>18986</v>
      </c>
      <c r="E13650" s="1" t="s">
        <v>1643</v>
      </c>
      <c r="F13650" s="1" t="s">
        <v>18987</v>
      </c>
      <c r="G13650" s="1" t="s">
        <v>36</v>
      </c>
      <c r="H13650" s="1" t="s">
        <v>29</v>
      </c>
      <c r="I13650" s="1" t="str">
        <f ca="1">IFERROR(__xludf.DUMMYFUNCTION("GOOGLETRANSLATE(F13650, ""auto"", ""en"")
"),"I especially liked the games Alan Wake, they look stylish, they work fast, they never crashed for me!")</f>
        <v>I especially liked the games Alan Wake, they look stylish, they work fast, they never crashed for me!</v>
      </c>
    </row>
    <row r="13651" spans="1:9" x14ac:dyDescent="0.3">
      <c r="A13651" s="1" t="s">
        <v>37</v>
      </c>
      <c r="B13651" s="1" t="s">
        <v>38</v>
      </c>
      <c r="C13651" s="1" t="s">
        <v>39</v>
      </c>
      <c r="D13651" s="1" t="s">
        <v>3051</v>
      </c>
      <c r="E13651" s="1" t="s">
        <v>998</v>
      </c>
      <c r="F13651" s="1" t="s">
        <v>18988</v>
      </c>
      <c r="G13651" s="1" t="s">
        <v>36</v>
      </c>
      <c r="H13651" s="1" t="s">
        <v>29</v>
      </c>
      <c r="I13651" s="1" t="str">
        <f ca="1">IFERROR(__xludf.DUMMYFUNCTION("GOOGLETRANSLATE(F13651, ""auto"", ""en"")
"),"The phone has all the necessary functions and the price is normal...")</f>
        <v>The phone has all the necessary functions and the price is normal...</v>
      </c>
    </row>
    <row r="13652" spans="1:9" x14ac:dyDescent="0.3">
      <c r="A13652" s="1" t="s">
        <v>120</v>
      </c>
      <c r="B13652" s="1" t="s">
        <v>121</v>
      </c>
      <c r="C13652" s="1" t="s">
        <v>69</v>
      </c>
      <c r="D13652" s="1" t="s">
        <v>81</v>
      </c>
      <c r="E13652" s="1" t="s">
        <v>1228</v>
      </c>
      <c r="F13652" s="1" t="s">
        <v>18989</v>
      </c>
      <c r="G13652" s="1" t="s">
        <v>49</v>
      </c>
      <c r="H13652" s="1" t="s">
        <v>16</v>
      </c>
      <c r="I13652" s="1" t="str">
        <f ca="1">IFERROR(__xludf.DUMMYFUNCTION("GOOGLETRANSLATE(F13652, ""auto"", ""en"")
"),"I bought a TV, hoping for its 100Hz, but after connecting it to the blue ray, I was disappointed. the picture is very blurry, and it feels like I'm watching a DVD.")</f>
        <v>I bought a TV, hoping for its 100Hz, but after connecting it to the blue ray, I was disappointed. the picture is very blurry, and it feels like I'm watching a DVD.</v>
      </c>
    </row>
    <row r="13653" spans="1:9" x14ac:dyDescent="0.3">
      <c r="A13653" s="1" t="s">
        <v>30</v>
      </c>
      <c r="B13653" s="1" t="s">
        <v>31</v>
      </c>
      <c r="C13653" s="1" t="s">
        <v>365</v>
      </c>
      <c r="D13653" s="1" t="s">
        <v>114</v>
      </c>
      <c r="E13653" s="1" t="s">
        <v>2321</v>
      </c>
      <c r="F13653" s="1" t="s">
        <v>18990</v>
      </c>
      <c r="G13653" s="1" t="s">
        <v>36</v>
      </c>
      <c r="H13653" s="1" t="s">
        <v>29</v>
      </c>
      <c r="I13653" s="1" t="str">
        <f ca="1">IFERROR(__xludf.DUMMYFUNCTION("GOOGLETRANSLATE(F13653, ""auto"", ""en"")
"),"This is a cool computer and not expensive")</f>
        <v>This is a cool computer and not expensive</v>
      </c>
    </row>
    <row r="13654" spans="1:9" x14ac:dyDescent="0.3">
      <c r="A13654" s="1" t="s">
        <v>17</v>
      </c>
      <c r="B13654" s="1" t="s">
        <v>18</v>
      </c>
      <c r="C13654" s="1" t="s">
        <v>243</v>
      </c>
      <c r="D13654" s="1" t="s">
        <v>247</v>
      </c>
      <c r="E13654" s="1" t="s">
        <v>18991</v>
      </c>
      <c r="F13654" s="1" t="s">
        <v>18992</v>
      </c>
      <c r="G13654" s="1" t="s">
        <v>49</v>
      </c>
      <c r="H13654" s="1" t="s">
        <v>16</v>
      </c>
      <c r="I13654" s="1" t="str">
        <f ca="1">IFERROR(__xludf.DUMMYFUNCTION("GOOGLETRANSLATE(F13654, ""auto"", ""en"")
"),"Pros: wide selection of programs ability to select the number of revolutions and temperature delayed start Cons: noisy even at 800 rpm warranty only 1 year after 6 months of less active use requires repair (family of 2) - there is a smell of burnt rubber/"&amp;"wires... we are waiting for a repairman...")</f>
        <v>Pros: wide selection of programs ability to select the number of revolutions and temperature delayed start Cons: noisy even at 800 rpm warranty only 1 year after 6 months of less active use requires repair (family of 2) - there is a smell of burnt rubber/wires... we are waiting for a repairman...</v>
      </c>
    </row>
    <row r="13655" spans="1:9" x14ac:dyDescent="0.3">
      <c r="A13655" s="1" t="s">
        <v>37</v>
      </c>
      <c r="B13655" s="1" t="s">
        <v>38</v>
      </c>
      <c r="C13655" s="1" t="s">
        <v>151</v>
      </c>
      <c r="D13655" s="1" t="s">
        <v>2250</v>
      </c>
      <c r="E13655" s="1" t="s">
        <v>2126</v>
      </c>
      <c r="F13655" s="1" t="s">
        <v>18993</v>
      </c>
      <c r="G13655" s="1" t="s">
        <v>28</v>
      </c>
      <c r="H13655" s="1" t="s">
        <v>29</v>
      </c>
      <c r="I13655" s="1" t="str">
        <f ca="1">IFERROR(__xludf.DUMMYFUNCTION("GOOGLETRANSLATE(F13655, ""auto"", ""en"")
"),"I saw the advertisement, I really liked it, I didn’t even expect that my husband would bring it to me the next day... at first I was uncomfortable using it and not used to typing SMS... I’ve never had a sensor before.  but when I got used to it and learne"&amp;"d to use it all, I couldn’t part with it... for six months there wasn’t a single scratch on it anywhere. everything is like new, nothing is buggy and has never been buggy. True, I rebooted a couple of times, but in half a year 2 times - it can be said tha"&amp;"t nothing happened.  The only negative about it for me is the small SMS memory... I sorely miss it. Well, perhaps in winter it’s not very good outside and you can forget about texting while driving. everything else is functionally excellent, I recommend i"&amp;"t to everyone, especially for the money =)")</f>
        <v>I saw the advertisement, I really liked it, I didn’t even expect that my husband would bring it to me the next day... at first I was uncomfortable using it and not used to typing SMS... I’ve never had a sensor before.  but when I got used to it and learned to use it all, I couldn’t part with it... for six months there wasn’t a single scratch on it anywhere. everything is like new, nothing is buggy and has never been buggy. True, I rebooted a couple of times, but in half a year 2 times - it can be said that nothing happened.  The only negative about it for me is the small SMS memory... I sorely miss it. Well, perhaps in winter it’s not very good outside and you can forget about texting while driving. everything else is functionally excellent, I recommend it to everyone, especially for the money =)</v>
      </c>
    </row>
    <row r="13656" spans="1:9" x14ac:dyDescent="0.3">
      <c r="A13656" s="1" t="s">
        <v>169</v>
      </c>
      <c r="B13656" s="1" t="s">
        <v>170</v>
      </c>
      <c r="C13656" s="1" t="s">
        <v>122</v>
      </c>
      <c r="D13656" s="1" t="s">
        <v>152</v>
      </c>
      <c r="E13656" s="1" t="s">
        <v>1695</v>
      </c>
      <c r="F13656" s="1" t="s">
        <v>18994</v>
      </c>
      <c r="G13656" s="1" t="s">
        <v>28</v>
      </c>
      <c r="H13656" s="1" t="s">
        <v>29</v>
      </c>
      <c r="I13656" s="1" t="str">
        <f ca="1">IFERROR(__xludf.DUMMYFUNCTION("GOOGLETRANSLATE(F13656, ""auto"", ""en"")
"),"Good headphones. Good bass and noise isolation. I've been using it for 1.5 years now. Overall satisfied. Rating: 4.")</f>
        <v>Good headphones. Good bass and noise isolation. I've been using it for 1.5 years now. Overall satisfied. Rating: 4.</v>
      </c>
    </row>
    <row r="13657" spans="1:9" x14ac:dyDescent="0.3">
      <c r="A13657" s="1" t="s">
        <v>61</v>
      </c>
      <c r="B13657" s="1" t="s">
        <v>1727</v>
      </c>
      <c r="C13657" s="1" t="s">
        <v>122</v>
      </c>
      <c r="D13657" s="1" t="s">
        <v>1506</v>
      </c>
      <c r="E13657" s="1" t="s">
        <v>2577</v>
      </c>
      <c r="F13657" s="1" t="s">
        <v>18995</v>
      </c>
      <c r="G13657" s="1" t="s">
        <v>36</v>
      </c>
      <c r="H13657" s="1" t="s">
        <v>29</v>
      </c>
      <c r="I13657" s="1" t="str">
        <f ca="1">IFERROR(__xludf.DUMMYFUNCTION("GOOGLETRANSLATE(F13657, ""auto"", ""en"")
"),"My husband brought it from another city because we didn’t have it in our city. M video well done. Everything is visible on the website. In which city is it convenient to buy this or that item? They prepared a swimmer in it - just class. I put in the groce"&amp;"ries and turned it on. In an hour, dinner is on your table. I also stewed meat with potatoes, frozen vegetables, and tried different recipes. In the morning I cook different porridges for the children. There is no disappointment in the purchase. The main "&amp;"thing is that it frees your hands from constant stirring and control over food preparation. beeps - it means everything is ready. There is something to compare with.")</f>
        <v>My husband brought it from another city because we didn’t have it in our city. M video well done. Everything is visible on the website. In which city is it convenient to buy this or that item? They prepared a swimmer in it - just class. I put in the groceries and turned it on. In an hour, dinner is on your table. I also stewed meat with potatoes, frozen vegetables, and tried different recipes. In the morning I cook different porridges for the children. There is no disappointment in the purchase. The main thing is that it frees your hands from constant stirring and control over food preparation. beeps - it means everything is ready. There is something to compare with.</v>
      </c>
    </row>
    <row r="13658" spans="1:9" x14ac:dyDescent="0.3">
      <c r="A13658" s="1" t="s">
        <v>17</v>
      </c>
      <c r="B13658" s="1" t="s">
        <v>18</v>
      </c>
      <c r="C13658" s="1" t="s">
        <v>19</v>
      </c>
      <c r="D13658" s="1" t="s">
        <v>5472</v>
      </c>
      <c r="E13658" s="1" t="s">
        <v>2162</v>
      </c>
      <c r="F13658" s="1" t="s">
        <v>18996</v>
      </c>
      <c r="G13658" s="1" t="s">
        <v>36</v>
      </c>
      <c r="H13658" s="1" t="s">
        <v>29</v>
      </c>
      <c r="I13658" s="1" t="str">
        <f ca="1">IFERROR(__xludf.DUMMYFUNCTION("GOOGLETRANSLATE(F13658, ""auto"", ""en"")
"),"The machine has been in use for three months. It was installed in a house without amenities through a pumping station, so they deliberately purchased a machine with mechanical control. Compact, quiet (if installed correctly), during the spin cycle it “tak"&amp;"es off” at 1000 rpm, and at 800 rpm the noise and vibration are not annoying. Convenient indication of washing stages.  We mainly use the first program (with pre-wash) at different temperatures and spins and with the obligatory additional rinse. It washes"&amp;" perfectly if you follow certain rules: load items that are uniform in type of fabric, color and, preferably, size; Use temperature modes and spin wisely.  I recommend it. The machine performs its function perfectly, and time will tell about the build qua"&amp;"lity.")</f>
        <v>The machine has been in use for three months. It was installed in a house without amenities through a pumping station, so they deliberately purchased a machine with mechanical control. Compact, quiet (if installed correctly), during the spin cycle it “takes off” at 1000 rpm, and at 800 rpm the noise and vibration are not annoying. Convenient indication of washing stages.  We mainly use the first program (with pre-wash) at different temperatures and spins and with the obligatory additional rinse. It washes perfectly if you follow certain rules: load items that are uniform in type of fabric, color and, preferably, size; Use temperature modes and spin wisely.  I recommend it. The machine performs its function perfectly, and time will tell about the build quality.</v>
      </c>
    </row>
    <row r="13659" spans="1:9" x14ac:dyDescent="0.3">
      <c r="A13659" s="1" t="s">
        <v>67</v>
      </c>
      <c r="B13659" s="1" t="s">
        <v>68</v>
      </c>
      <c r="C13659" s="1" t="s">
        <v>69</v>
      </c>
      <c r="D13659" s="1" t="s">
        <v>3407</v>
      </c>
      <c r="E13659" s="1" t="s">
        <v>1345</v>
      </c>
      <c r="F13659" s="1" t="s">
        <v>18997</v>
      </c>
      <c r="G13659" s="1" t="s">
        <v>36</v>
      </c>
      <c r="H13659" s="1" t="s">
        <v>29</v>
      </c>
      <c r="I13659" s="1" t="str">
        <f ca="1">IFERROR(__xludf.DUMMYFUNCTION("GOOGLETRANSLATE(F13659, ""auto"", ""en"")
"),"Cool iron. It irons wonderfully.")</f>
        <v>Cool iron. It irons wonderfully.</v>
      </c>
    </row>
    <row r="13660" spans="1:9" x14ac:dyDescent="0.3">
      <c r="A13660" s="1" t="s">
        <v>169</v>
      </c>
      <c r="B13660" s="1" t="s">
        <v>170</v>
      </c>
      <c r="C13660" s="1" t="s">
        <v>193</v>
      </c>
      <c r="D13660" s="1" t="s">
        <v>18998</v>
      </c>
      <c r="E13660" s="1" t="s">
        <v>18999</v>
      </c>
      <c r="F13660" s="1" t="s">
        <v>19000</v>
      </c>
      <c r="G13660" s="1" t="s">
        <v>36</v>
      </c>
      <c r="H13660" s="1" t="s">
        <v>29</v>
      </c>
      <c r="I13660" s="1" t="str">
        <f ca="1">IFERROR(__xludf.DUMMYFUNCTION("GOOGLETRANSLATE(F13660, ""auto"", ""en"")
"),"used these. I'm just delighted!")</f>
        <v>used these. I'm just delighted!</v>
      </c>
    </row>
    <row r="13661" spans="1:9" x14ac:dyDescent="0.3">
      <c r="A13661" s="1" t="s">
        <v>30</v>
      </c>
      <c r="B13661" s="1" t="s">
        <v>50</v>
      </c>
      <c r="C13661" s="1" t="s">
        <v>1386</v>
      </c>
      <c r="D13661" s="1" t="s">
        <v>200</v>
      </c>
      <c r="E13661" s="1" t="s">
        <v>2206</v>
      </c>
      <c r="F13661" s="1" t="s">
        <v>19001</v>
      </c>
      <c r="G13661" s="1" t="s">
        <v>36</v>
      </c>
      <c r="H13661" s="1" t="s">
        <v>29</v>
      </c>
      <c r="I13661" s="1" t="str">
        <f ca="1">IFERROR(__xludf.DUMMYFUNCTION("GOOGLETRANSLATE(F13661, ""auto"", ""en"")
"),"I bought this beech in March for 25 thousand, everything goes, only one thing is getting it: windows 7. for such beeches, you just have to install oink and bubuntu Linux without them, it’s not a home\work notebook! But in general it’s a good thing Wi-Fi i"&amp;"s very powerful!! catches a friend's point 1.5 km away and a signal at 1-2. All games are on. and the Greek's CPU is weaker than the core i3 of my friend!!  In general, the thing is super!! It's just a waste of 7!!  and 64-bit too!")</f>
        <v>I bought this beech in March for 25 thousand, everything goes, only one thing is getting it: windows 7. for such beeches, you just have to install oink and bubuntu Linux without them, it’s not a home\work notebook! But in general it’s a good thing Wi-Fi is very powerful!! catches a friend's point 1.5 km away and a signal at 1-2. All games are on. and the Greek's CPU is weaker than the core i3 of my friend!!  In general, the thing is super!! It's just a waste of 7!!  and 64-bit too!</v>
      </c>
    </row>
    <row r="13662" spans="1:9" x14ac:dyDescent="0.3">
      <c r="A13662" s="1" t="s">
        <v>149</v>
      </c>
      <c r="B13662" s="1" t="s">
        <v>576</v>
      </c>
      <c r="C13662" s="1" t="s">
        <v>69</v>
      </c>
      <c r="D13662" s="1" t="s">
        <v>117</v>
      </c>
      <c r="E13662" s="1" t="s">
        <v>18188</v>
      </c>
      <c r="F13662" s="1" t="s">
        <v>19002</v>
      </c>
      <c r="G13662" s="1" t="s">
        <v>36</v>
      </c>
      <c r="H13662" s="1" t="s">
        <v>29</v>
      </c>
      <c r="I13662" s="1" t="str">
        <f ca="1">IFERROR(__xludf.DUMMYFUNCTION("GOOGLETRANSLATE(F13662, ""auto"", ""en"")
"),"When we were choosing a vacuum cleaner, the price seemed too high, but when they turned it on for us, we didn’t spare the money. We have a small child and noise was one of the main criteria; it works very quietly, is maneuverable, and easily moves around "&amp;"the apartment without clinging to furniture. Satisfied!")</f>
        <v>When we were choosing a vacuum cleaner, the price seemed too high, but when they turned it on for us, we didn’t spare the money. We have a small child and noise was one of the main criteria; it works very quietly, is maneuverable, and easily moves around the apartment without clinging to furniture. Satisfied!</v>
      </c>
    </row>
    <row r="13663" spans="1:9" x14ac:dyDescent="0.3">
      <c r="A13663" s="1" t="s">
        <v>111</v>
      </c>
      <c r="B13663" s="1" t="s">
        <v>636</v>
      </c>
      <c r="C13663" s="1" t="s">
        <v>2610</v>
      </c>
      <c r="D13663" s="1" t="s">
        <v>19003</v>
      </c>
      <c r="E13663" s="1" t="s">
        <v>1270</v>
      </c>
      <c r="F13663" s="1" t="s">
        <v>19004</v>
      </c>
      <c r="G13663" s="1" t="s">
        <v>49</v>
      </c>
      <c r="H13663" s="1" t="s">
        <v>16</v>
      </c>
      <c r="I13663" s="1" t="str">
        <f ca="1">IFERROR(__xludf.DUMMYFUNCTION("GOOGLETRANSLATE(F13663, ""auto"", ""en"")
"),"I bought these on Sunday, came home at lunchtime, plugged in the batteries, set the time and date, plugged them into the socket, there is no projection... Well, I think, okay, it’s day... I left on business, returned home in the evening, the screen glows,"&amp;" the projection on the ceiling is not visible and instead of data on the display, pieces of numbers jump, and after some time they disappeared... I saw the projection on the ceiling only late at night and it was a red rectangle because the display is now "&amp;"empty. Either it’s a defect or a clock like this is in the garden... There is also a guess that without batteries they basically don’t show the time, and are plugged into a socket only for a faded projection. Then definitely go to the garden...")</f>
        <v>I bought these on Sunday, came home at lunchtime, plugged in the batteries, set the time and date, plugged them into the socket, there is no projection... Well, I think, okay, it’s day... I left on business, returned home in the evening, the screen glows, the projection on the ceiling is not visible and instead of data on the display, pieces of numbers jump, and after some time they disappeared... I saw the projection on the ceiling only late at night and it was a red rectangle because the display is now empty. Either it’s a defect or a clock like this is in the garden... There is also a guess that without batteries they basically don’t show the time, and are plugged into a socket only for a faded projection. Then definitely go to the garden...</v>
      </c>
    </row>
    <row r="13664" spans="1:9" x14ac:dyDescent="0.3">
      <c r="A13664" s="1" t="s">
        <v>55</v>
      </c>
      <c r="B13664" s="1" t="s">
        <v>84</v>
      </c>
      <c r="C13664" s="1" t="s">
        <v>85</v>
      </c>
      <c r="D13664" s="1" t="s">
        <v>75</v>
      </c>
      <c r="E13664" s="1" t="s">
        <v>17781</v>
      </c>
      <c r="F13664" s="1" t="s">
        <v>19005</v>
      </c>
      <c r="G13664" s="1" t="s">
        <v>49</v>
      </c>
      <c r="H13664" s="1" t="s">
        <v>16</v>
      </c>
      <c r="I13664" s="1" t="str">
        <f ca="1">IFERROR(__xludf.DUMMYFUNCTION("GOOGLETRANSLATE(F13664, ""auto"", ""en"")
"),"We bought this device in the hope that it would not only humidify the air, but, as the manufacturer and consultant states, also clean the air. There are no problems with humidification, but it does not cope with air purification at all. The dust remained "&amp;"as it was. The hair from the small long-haired dog did not decrease either. What speaks eloquently is that dust easily forms on the device itself. It’s not worth the money at all; you can get an excellent humidifier for half the price. Very disappointed w"&amp;"ith the purchase.")</f>
        <v>We bought this device in the hope that it would not only humidify the air, but, as the manufacturer and consultant states, also clean the air. There are no problems with humidification, but it does not cope with air purification at all. The dust remained as it was. The hair from the small long-haired dog did not decrease either. What speaks eloquently is that dust easily forms on the device itself. It’s not worth the money at all; you can get an excellent humidifier for half the price. Very disappointed with the purchase.</v>
      </c>
    </row>
    <row r="13665" spans="1:9" x14ac:dyDescent="0.3">
      <c r="A13665" s="1" t="s">
        <v>67</v>
      </c>
      <c r="B13665" s="1" t="s">
        <v>340</v>
      </c>
      <c r="C13665" s="1" t="s">
        <v>1634</v>
      </c>
      <c r="D13665" s="1" t="s">
        <v>5325</v>
      </c>
      <c r="E13665" s="1" t="s">
        <v>8675</v>
      </c>
      <c r="F13665" s="1" t="s">
        <v>19006</v>
      </c>
      <c r="G13665" s="1" t="s">
        <v>36</v>
      </c>
      <c r="H13665" s="1" t="s">
        <v>29</v>
      </c>
      <c r="I13665" s="1" t="str">
        <f ca="1">IFERROR(__xludf.DUMMYFUNCTION("GOOGLETRANSLATE(F13665, ""auto"", ""en"")
"),"A very good machine, more than eight years old - I don’t sew often and not professionally, but with pleasure - it has never let me down!")</f>
        <v>A very good machine, more than eight years old - I don’t sew often and not professionally, but with pleasure - it has never let me down!</v>
      </c>
    </row>
    <row r="13666" spans="1:9" x14ac:dyDescent="0.3">
      <c r="A13666" s="1" t="s">
        <v>89</v>
      </c>
      <c r="B13666" s="1" t="s">
        <v>1106</v>
      </c>
      <c r="C13666" s="1" t="s">
        <v>246</v>
      </c>
      <c r="D13666" s="1" t="s">
        <v>152</v>
      </c>
      <c r="E13666" s="1" t="s">
        <v>543</v>
      </c>
      <c r="F13666" s="1" t="s">
        <v>19007</v>
      </c>
      <c r="G13666" s="1" t="s">
        <v>36</v>
      </c>
      <c r="H13666" s="1" t="s">
        <v>29</v>
      </c>
      <c r="I13666" s="1" t="str">
        <f ca="1">IFERROR(__xludf.DUMMYFUNCTION("GOOGLETRANSLATE(F13666, ""auto"", ""en"")
"),"Today my wife and I brewed our first cup of coffee - excellent!!! I was very pleased with the design!! The only negative is that the store didn’t tell you about the filters and there weren’t any in the kit - we gave our neighbors coffee!!! In general, the"&amp;" coffee maker is excellent, my wife and I are happy!!")</f>
        <v>Today my wife and I brewed our first cup of coffee - excellent!!! I was very pleased with the design!! The only negative is that the store didn’t tell you about the filters and there weren’t any in the kit - we gave our neighbors coffee!!! In general, the coffee maker is excellent, my wife and I are happy!!</v>
      </c>
    </row>
    <row r="13667" spans="1:9" x14ac:dyDescent="0.3">
      <c r="A13667" s="1" t="s">
        <v>37</v>
      </c>
      <c r="B13667" s="1" t="s">
        <v>355</v>
      </c>
      <c r="C13667" s="1" t="s">
        <v>356</v>
      </c>
      <c r="D13667" s="1" t="s">
        <v>308</v>
      </c>
      <c r="E13667" s="1" t="s">
        <v>3512</v>
      </c>
      <c r="F13667" s="1" t="s">
        <v>19008</v>
      </c>
      <c r="G13667" s="1" t="s">
        <v>36</v>
      </c>
      <c r="H13667" s="1" t="s">
        <v>29</v>
      </c>
      <c r="I13667" s="1" t="str">
        <f ca="1">IFERROR(__xludf.DUMMYFUNCTION("GOOGLETRANSLATE(F13667, ""auto"", ""en"")
"),"I've been using this phone for 1.5 years now. I know for sure that I won’t be able to use another phone! The main advantages are the incredibly convenient and beautiful interface and the availability of a huge selection of programs (for example, I constan"&amp;"tly use a program for memorizing words using cards). Cons: it’s almost impossible to watch movies, since the avi is not readable; It's inconvenient to download music. I got used to the keyboard, although at first my long nails got in the way :)")</f>
        <v>I've been using this phone for 1.5 years now. I know for sure that I won’t be able to use another phone! The main advantages are the incredibly convenient and beautiful interface and the availability of a huge selection of programs (for example, I constantly use a program for memorizing words using cards). Cons: it’s almost impossible to watch movies, since the avi is not readable; It's inconvenient to download music. I got used to the keyboard, although at first my long nails got in the way :)</v>
      </c>
    </row>
    <row r="13668" spans="1:9" x14ac:dyDescent="0.3">
      <c r="A13668" s="1" t="s">
        <v>61</v>
      </c>
      <c r="B13668" s="1" t="s">
        <v>224</v>
      </c>
      <c r="C13668" s="1" t="s">
        <v>85</v>
      </c>
      <c r="D13668" s="1" t="s">
        <v>19009</v>
      </c>
      <c r="E13668" s="1" t="s">
        <v>2593</v>
      </c>
      <c r="F13668" s="1" t="s">
        <v>19010</v>
      </c>
      <c r="G13668" s="1" t="s">
        <v>28</v>
      </c>
      <c r="H13668" s="1" t="s">
        <v>29</v>
      </c>
      <c r="I13668" s="1" t="str">
        <f ca="1">IFERROR(__xludf.DUMMYFUNCTION("GOOGLETRANSLATE(F13668, ""auto"", ""en"")
"),"Advantages (+): Beautiful, powerful, quickly disassembled, assembled and washed (fewer parts), smooth speed control (there are short instructions right on the body). Squeezes juice quickly.  Disadvantages (-): Price, large machine.  Comment: I purchased t"&amp;"his unit in July 2010. made in China. The cake is not dry, but moist even from apples and carrots; I haven’t tasted any berries. The advertisement says a separator and knives with proprietary titanium coating and a powerful engine, but where is the power "&amp;"reserve of 1300 W? Previously, there was a much cheaper juicer: the juice and pulp were the same, after a bucket of apples it started to heat up, but the Bork didn’t heat up.")</f>
        <v>Advantages (+): Beautiful, powerful, quickly disassembled, assembled and washed (fewer parts), smooth speed control (there are short instructions right on the body). Squeezes juice quickly.  Disadvantages (-): Price, large machine.  Comment: I purchased this unit in July 2010. made in China. The cake is not dry, but moist even from apples and carrots; I haven’t tasted any berries. The advertisement says a separator and knives with proprietary titanium coating and a powerful engine, but where is the power reserve of 1300 W? Previously, there was a much cheaper juicer: the juice and pulp were the same, after a bucket of apples it started to heat up, but the Bork didn’t heat up.</v>
      </c>
    </row>
    <row r="13669" spans="1:9" x14ac:dyDescent="0.3">
      <c r="A13669" s="1" t="s">
        <v>211</v>
      </c>
      <c r="B13669" s="1" t="s">
        <v>212</v>
      </c>
      <c r="C13669" s="1" t="s">
        <v>63</v>
      </c>
      <c r="D13669" s="1" t="s">
        <v>19011</v>
      </c>
      <c r="E13669" s="1" t="s">
        <v>12311</v>
      </c>
      <c r="F13669" s="1" t="s">
        <v>19012</v>
      </c>
      <c r="G13669" s="1" t="s">
        <v>36</v>
      </c>
      <c r="H13669" s="1" t="s">
        <v>29</v>
      </c>
      <c r="I13669" s="1" t="str">
        <f ca="1">IFERROR(__xludf.DUMMYFUNCTION("GOOGLETRANSLATE(F13669, ""auto"", ""en"")
"),"Gave it as a birthday present. It's been in use for about 5 years now, no complaints. I really like it. In general, it straightens hair perfectly and does not damage it.")</f>
        <v>Gave it as a birthday present. It's been in use for about 5 years now, no complaints. I really like it. In general, it straightens hair perfectly and does not damage it.</v>
      </c>
    </row>
    <row r="13670" spans="1:9" x14ac:dyDescent="0.3">
      <c r="A13670" s="1" t="s">
        <v>37</v>
      </c>
      <c r="B13670" s="1" t="s">
        <v>38</v>
      </c>
      <c r="C13670" s="1" t="s">
        <v>39</v>
      </c>
      <c r="D13670" s="1" t="s">
        <v>729</v>
      </c>
      <c r="E13670" s="1" t="s">
        <v>3999</v>
      </c>
      <c r="F13670" s="1" t="s">
        <v>19013</v>
      </c>
      <c r="G13670" s="1" t="s">
        <v>36</v>
      </c>
      <c r="H13670" s="1" t="s">
        <v>29</v>
      </c>
      <c r="I13670" s="1" t="str">
        <f ca="1">IFERROR(__xludf.DUMMYFUNCTION("GOOGLETRANSLATE(F13670, ""auto"", ""en"")
"),"That’s the problem, the phone is lying unused and eating up the battery, I don’t have time to look, but there are less and less percentages, what is it, can anyone tell me?  But the phone is so great, I liked it right away))")</f>
        <v>That’s the problem, the phone is lying unused and eating up the battery, I don’t have time to look, but there are less and less percentages, what is it, can anyone tell me?  But the phone is so great, I liked it right away))</v>
      </c>
    </row>
    <row r="13671" spans="1:9" x14ac:dyDescent="0.3">
      <c r="A13671" s="1" t="s">
        <v>211</v>
      </c>
      <c r="B13671" s="1" t="s">
        <v>212</v>
      </c>
      <c r="C13671" s="1" t="s">
        <v>381</v>
      </c>
      <c r="D13671" s="1" t="s">
        <v>8069</v>
      </c>
      <c r="E13671" s="1" t="s">
        <v>1643</v>
      </c>
      <c r="F13671" s="1" t="s">
        <v>19014</v>
      </c>
      <c r="G13671" s="1" t="s">
        <v>28</v>
      </c>
      <c r="H13671" s="1" t="s">
        <v>29</v>
      </c>
      <c r="I13671" s="1" t="str">
        <f ca="1">IFERROR(__xludf.DUMMYFUNCTION("GOOGLETRANSLATE(F13671, ""auto"", ""en"")
"),"In general, it’s a very good device, it heats up quickly, it straightens very well, but I didn’t notice any special shine in my hair after using it....")</f>
        <v>In general, it’s a very good device, it heats up quickly, it straightens very well, but I didn’t notice any special shine in my hair after using it....</v>
      </c>
    </row>
    <row r="13672" spans="1:9" x14ac:dyDescent="0.3">
      <c r="A13672" s="1" t="s">
        <v>61</v>
      </c>
      <c r="B13672" s="1" t="s">
        <v>318</v>
      </c>
      <c r="C13672" s="1" t="s">
        <v>745</v>
      </c>
      <c r="D13672" s="1" t="s">
        <v>589</v>
      </c>
      <c r="E13672" s="1" t="s">
        <v>8951</v>
      </c>
      <c r="F13672" s="1" t="s">
        <v>19015</v>
      </c>
      <c r="G13672" s="1" t="s">
        <v>49</v>
      </c>
      <c r="H13672" s="1" t="s">
        <v>16</v>
      </c>
      <c r="I13672" s="1" t="str">
        <f ca="1">IFERROR(__xludf.DUMMYFUNCTION("GOOGLETRANSLATE(F13672, ""auto"", ""en"")
"),"Beautiful, light.")</f>
        <v>Beautiful, light.</v>
      </c>
    </row>
    <row r="13673" spans="1:9" x14ac:dyDescent="0.3">
      <c r="A13673" s="1" t="s">
        <v>361</v>
      </c>
      <c r="B13673" s="1" t="s">
        <v>362</v>
      </c>
      <c r="C13673" s="1" t="s">
        <v>2143</v>
      </c>
      <c r="D13673" s="1" t="s">
        <v>12</v>
      </c>
      <c r="E13673" s="1" t="s">
        <v>7541</v>
      </c>
      <c r="F13673" s="1" t="s">
        <v>19016</v>
      </c>
      <c r="G13673" s="1" t="s">
        <v>36</v>
      </c>
      <c r="H13673" s="1" t="s">
        <v>29</v>
      </c>
      <c r="I13673" s="1" t="str">
        <f ca="1">IFERROR(__xludf.DUMMYFUNCTION("GOOGLETRANSLATE(F13673, ""auto"", ""en"")
"),"The design is nice, one might say exclusive, in a combination of steel, wood and plastic. A very practical and convenient thing - I cut bread directly in the bread bin, there is a base there, like a cutting board. The bread does not dry out in it, there i"&amp;"s no need to wrap it in a bag. The design of the bread bin fits very well with the interior of my kitchen.")</f>
        <v>The design is nice, one might say exclusive, in a combination of steel, wood and plastic. A very practical and convenient thing - I cut bread directly in the bread bin, there is a base there, like a cutting board. The bread does not dry out in it, there is no need to wrap it in a bag. The design of the bread bin fits very well with the interior of my kitchen.</v>
      </c>
    </row>
    <row r="13674" spans="1:9" x14ac:dyDescent="0.3">
      <c r="A13674" s="1" t="s">
        <v>61</v>
      </c>
      <c r="B13674" s="1" t="s">
        <v>318</v>
      </c>
      <c r="C13674" s="1" t="s">
        <v>2840</v>
      </c>
      <c r="D13674" s="1" t="s">
        <v>545</v>
      </c>
      <c r="E13674" s="1" t="s">
        <v>17537</v>
      </c>
      <c r="F13674" s="1" t="s">
        <v>19017</v>
      </c>
      <c r="G13674" s="1" t="s">
        <v>36</v>
      </c>
      <c r="H13674" s="1" t="s">
        <v>29</v>
      </c>
      <c r="I13674" s="1" t="str">
        <f ca="1">IFERROR(__xludf.DUMMYFUNCTION("GOOGLETRANSLATE(F13674, ""auto"", ""en"")
"),"Stylish")</f>
        <v>Stylish</v>
      </c>
    </row>
    <row r="13675" spans="1:9" x14ac:dyDescent="0.3">
      <c r="A13675" s="1" t="s">
        <v>477</v>
      </c>
      <c r="B13675" s="1" t="s">
        <v>478</v>
      </c>
      <c r="C13675" s="1" t="s">
        <v>479</v>
      </c>
      <c r="D13675" s="1" t="s">
        <v>171</v>
      </c>
      <c r="E13675" s="1" t="s">
        <v>1432</v>
      </c>
      <c r="F13675" s="1" t="s">
        <v>19018</v>
      </c>
      <c r="G13675" s="1" t="s">
        <v>36</v>
      </c>
      <c r="H13675" s="1" t="s">
        <v>29</v>
      </c>
      <c r="I13675" s="1" t="str">
        <f ca="1">IFERROR(__xludf.DUMMYFUNCTION("GOOGLETRANSLATE(F13675, ""auto"", ""en"")
"),"The game is excellent in every way, and this is confirmed by the majority, buy without hesitation.")</f>
        <v>The game is excellent in every way, and this is confirmed by the majority, buy without hesitation.</v>
      </c>
    </row>
    <row r="13676" spans="1:9" x14ac:dyDescent="0.3">
      <c r="A13676" s="1" t="s">
        <v>61</v>
      </c>
      <c r="B13676" s="1" t="s">
        <v>180</v>
      </c>
      <c r="C13676" s="1" t="s">
        <v>85</v>
      </c>
      <c r="D13676" s="1" t="s">
        <v>19019</v>
      </c>
      <c r="E13676" s="1" t="s">
        <v>2563</v>
      </c>
      <c r="F13676" s="1" t="s">
        <v>19020</v>
      </c>
      <c r="G13676" s="1" t="s">
        <v>36</v>
      </c>
      <c r="H13676" s="1" t="s">
        <v>29</v>
      </c>
      <c r="I13676" s="1" t="str">
        <f ca="1">IFERROR(__xludf.DUMMYFUNCTION("GOOGLETRANSLATE(F13676, ""auto"", ""en"")
"),"I bought a BORK toaster from the M Video store, the seller convinced me that it was a Mercedes! Well, I fell for it, I admit I was not mistaken and that most importantly the seller did not deceive me. The toaster works like a foreign car, it’s pleasant to"&amp;" use, words cannot convey these feelings.&amp;nbsp;")</f>
        <v>I bought a BORK toaster from the M Video store, the seller convinced me that it was a Mercedes! Well, I fell for it, I admit I was not mistaken and that most importantly the seller did not deceive me. The toaster works like a foreign car, it’s pleasant to use, words cannot convey these feelings.&amp;nbsp;</v>
      </c>
    </row>
    <row r="13677" spans="1:9" x14ac:dyDescent="0.3">
      <c r="A13677" s="1" t="s">
        <v>105</v>
      </c>
      <c r="B13677" s="1" t="s">
        <v>106</v>
      </c>
      <c r="C13677" s="1" t="s">
        <v>1209</v>
      </c>
      <c r="D13677" s="1" t="s">
        <v>139</v>
      </c>
      <c r="E13677" s="1" t="s">
        <v>4174</v>
      </c>
      <c r="F13677" s="1" t="s">
        <v>19021</v>
      </c>
      <c r="G13677" s="1" t="s">
        <v>28</v>
      </c>
      <c r="H13677" s="1" t="s">
        <v>29</v>
      </c>
      <c r="I13677" s="1" t="str">
        <f ca="1">IFERROR(__xludf.DUMMYFUNCTION("GOOGLETRANSLATE(F13677, ""auto"", ""en"")
"),"I’ve been using it for a couple of weeks, the only thing missing is the hold, you’ll sit down somewhere and the button will still get jammed in your pocket.. I can’t say anything about the full operating time, I charge it almost always when the computer i"&amp;"s nearby) The radio sometimes loses the signal, but reconnecting fixes it.  I didn't use a voice recorder.  In terms of freezing, I have never noticed it.  Reproduces all declared formats.  For that kind of money, either a good product, or I was lucky wit"&amp;"h a specific copy) but the guarantee is not given for nothing, you can change it until you find a good copy)")</f>
        <v>I’ve been using it for a couple of weeks, the only thing missing is the hold, you’ll sit down somewhere and the button will still get jammed in your pocket.. I can’t say anything about the full operating time, I charge it almost always when the computer is nearby) The radio sometimes loses the signal, but reconnecting fixes it.  I didn't use a voice recorder.  In terms of freezing, I have never noticed it.  Reproduces all declared formats.  For that kind of money, either a good product, or I was lucky with a specific copy) but the guarantee is not given for nothing, you can change it until you find a good copy)</v>
      </c>
    </row>
    <row r="13678" spans="1:9" x14ac:dyDescent="0.3">
      <c r="A13678" s="1" t="s">
        <v>811</v>
      </c>
      <c r="B13678" s="1" t="s">
        <v>4226</v>
      </c>
      <c r="C13678" s="1" t="s">
        <v>97</v>
      </c>
      <c r="D13678" s="1" t="s">
        <v>305</v>
      </c>
      <c r="E13678" s="1" t="s">
        <v>1012</v>
      </c>
      <c r="F13678" s="1" t="s">
        <v>19022</v>
      </c>
      <c r="G13678" s="1" t="s">
        <v>36</v>
      </c>
      <c r="H13678" s="1" t="s">
        <v>29</v>
      </c>
      <c r="I13678" s="1" t="str">
        <f ca="1">IFERROR(__xludf.DUMMYFUNCTION("GOOGLETRANSLATE(F13678, ""auto"", ""en"")
"),"Excellent battery. I've had this one for three years now. I bought it right away with the camera. Enough for 6 hours of shooting without any problems.")</f>
        <v>Excellent battery. I've had this one for three years now. I bought it right away with the camera. Enough for 6 hours of shooting without any problems.</v>
      </c>
    </row>
    <row r="13679" spans="1:9" x14ac:dyDescent="0.3">
      <c r="A13679" s="1" t="s">
        <v>477</v>
      </c>
      <c r="B13679" s="1" t="s">
        <v>478</v>
      </c>
      <c r="C13679" s="1" t="s">
        <v>479</v>
      </c>
      <c r="D13679" s="1" t="s">
        <v>417</v>
      </c>
      <c r="E13679" s="1" t="s">
        <v>849</v>
      </c>
      <c r="F13679" s="1" t="s">
        <v>19023</v>
      </c>
      <c r="G13679" s="1" t="s">
        <v>49</v>
      </c>
      <c r="H13679" s="1" t="s">
        <v>16</v>
      </c>
      <c r="I13679" s="1" t="str">
        <f ca="1">IFERROR(__xludf.DUMMYFUNCTION("GOOGLETRANSLATE(F13679, ""auto"", ""en"")
"),"Just a terrible game: when launched on a computer that exceeds even the recommended system requirements, the sound first starts to slow down, then it turns off completely, it’s impossible to play even on the minimum settings, the image freezes terribly. A"&amp;"s a result, the game crashed altogether, and even the activation failed, which can only be done 3 times - the developers apparently are doing everything to ensure that people buy pirated copies. I am completely disappointed with both 1C and NSK-lab - than"&amp;"ks to them for the pleasure.")</f>
        <v>Just a terrible game: when launched on a computer that exceeds even the recommended system requirements, the sound first starts to slow down, then it turns off completely, it’s impossible to play even on the minimum settings, the image freezes terribly. As a result, the game crashed altogether, and even the activation failed, which can only be done 3 times - the developers apparently are doing everything to ensure that people buy pirated copies. I am completely disappointed with both 1C and NSK-lab - thanks to them for the pleasure.</v>
      </c>
    </row>
    <row r="13680" spans="1:9" x14ac:dyDescent="0.3">
      <c r="A13680" s="1" t="s">
        <v>61</v>
      </c>
      <c r="B13680" s="1" t="s">
        <v>318</v>
      </c>
      <c r="C13680" s="1" t="s">
        <v>101</v>
      </c>
      <c r="D13680" s="1" t="s">
        <v>39</v>
      </c>
      <c r="E13680" s="1" t="s">
        <v>2156</v>
      </c>
      <c r="F13680" s="1" t="s">
        <v>19024</v>
      </c>
      <c r="G13680" s="1" t="s">
        <v>36</v>
      </c>
      <c r="H13680" s="1" t="s">
        <v>29</v>
      </c>
      <c r="I13680" s="1" t="str">
        <f ca="1">IFERROR(__xludf.DUMMYFUNCTION("GOOGLETRANSLATE(F13680, ""auto"", ""en"")
"),"I bought it a month ago and really like it. The top cover opens conveniently using a button and is not very noisy. I was very pleased with the quality and price!")</f>
        <v>I bought it a month ago and really like it. The top cover opens conveniently using a button and is not very noisy. I was very pleased with the quality and price!</v>
      </c>
    </row>
    <row r="13681" spans="1:9" x14ac:dyDescent="0.3">
      <c r="A13681" s="1" t="s">
        <v>9</v>
      </c>
      <c r="B13681" s="1" t="s">
        <v>137</v>
      </c>
      <c r="C13681" s="1" t="s">
        <v>134</v>
      </c>
      <c r="D13681" s="1" t="s">
        <v>152</v>
      </c>
      <c r="E13681" s="1" t="s">
        <v>13080</v>
      </c>
      <c r="F13681" s="1" t="s">
        <v>19025</v>
      </c>
      <c r="G13681" s="1" t="s">
        <v>36</v>
      </c>
      <c r="H13681" s="1" t="s">
        <v>29</v>
      </c>
      <c r="I13681" s="1" t="str">
        <f ca="1">IFERROR(__xludf.DUMMYFUNCTION("GOOGLETRANSLATE(F13681, ""auto"", ""en"")
"),"I bought this hob. Just right for a small kitchen. I was looking for one with a large burner in front. It turned out to be just like this.   Power adjustment is a great slider, much more convenient than the “+” and “-” buttons. I read that the boost butto"&amp;"n is difficult to get to. Yes, it was difficult at first, but over time I got used to it. It is problematic to cook on two burners at the same time, but this applies to many hobs. Everyone I encountered had this problem.  Gorgeous hob. I recommend!")</f>
        <v>I bought this hob. Just right for a small kitchen. I was looking for one with a large burner in front. It turned out to be just like this.   Power adjustment is a great slider, much more convenient than the “+” and “-” buttons. I read that the boost button is difficult to get to. Yes, it was difficult at first, but over time I got used to it. It is problematic to cook on two burners at the same time, but this applies to many hobs. Everyone I encountered had this problem.  Gorgeous hob. I recommend!</v>
      </c>
    </row>
    <row r="13682" spans="1:9" x14ac:dyDescent="0.3">
      <c r="A13682" s="1" t="s">
        <v>149</v>
      </c>
      <c r="B13682" s="1" t="s">
        <v>155</v>
      </c>
      <c r="C13682" s="1" t="s">
        <v>151</v>
      </c>
      <c r="D13682" s="1" t="s">
        <v>1391</v>
      </c>
      <c r="E13682" s="1" t="s">
        <v>1804</v>
      </c>
      <c r="F13682" s="1" t="s">
        <v>19026</v>
      </c>
      <c r="G13682" s="1" t="s">
        <v>94</v>
      </c>
      <c r="H13682" s="1" t="s">
        <v>29</v>
      </c>
      <c r="I13682" s="1" t="str">
        <f ca="1">IFERROR(__xludf.DUMMYFUNCTION("GOOGLETRANSLATE(F13682, ""auto"", ""en"")
"),"1.Powerful 2.Not loud 3.Compact 4.Filters are easy to buy 5.Filters are easy to clean")</f>
        <v>1.Powerful 2.Not loud 3.Compact 4.Filters are easy to buy 5.Filters are easy to clean</v>
      </c>
    </row>
    <row r="13683" spans="1:9" x14ac:dyDescent="0.3">
      <c r="A13683" s="1" t="s">
        <v>120</v>
      </c>
      <c r="B13683" s="1" t="s">
        <v>126</v>
      </c>
      <c r="C13683" s="1" t="s">
        <v>122</v>
      </c>
      <c r="D13683" s="1" t="s">
        <v>1776</v>
      </c>
      <c r="E13683" s="1" t="s">
        <v>947</v>
      </c>
      <c r="F13683" s="1" t="s">
        <v>19027</v>
      </c>
      <c r="G13683" s="1" t="s">
        <v>36</v>
      </c>
      <c r="H13683" s="1" t="s">
        <v>29</v>
      </c>
      <c r="I13683" s="1" t="str">
        <f ca="1">IFERROR(__xludf.DUMMYFUNCTION("GOOGLETRANSLATE(F13683, ""auto"", ""en"")
"),"Ivan (Perm): 1) The glare will be critical if viewed during the day in bright sunlight. A simple solution: slightly darken the room with blinds/curtains and turn the panel away from the window.  2) Under artificial lighting and without the sun, there are "&amp;"no problems that significantly interfere with viewing the U10! Of course, if you don’t invent them and don’t light the room with kilowatt lamps. In my experience, 3 100W incandescent lamps wrapped in a room chandelier do not interfere at all. The only cri"&amp;"tical factor: the light source should not look directly into the screen.  3) Do not forget that anti-reflective film is very sensitive to external influences. You can’t wipe off the dust from the screen again, and even if the cat decides to catch birds on"&amp;" the screen...")</f>
        <v>Ivan (Perm): 1) The glare will be critical if viewed during the day in bright sunlight. A simple solution: slightly darken the room with blinds/curtains and turn the panel away from the window.  2) Under artificial lighting and without the sun, there are no problems that significantly interfere with viewing the U10! Of course, if you don’t invent them and don’t light the room with kilowatt lamps. In my experience, 3 100W incandescent lamps wrapped in a room chandelier do not interfere at all. The only critical factor: the light source should not look directly into the screen.  3) Do not forget that anti-reflective film is very sensitive to external influences. You can’t wipe off the dust from the screen again, and even if the cat decides to catch birds on the screen...</v>
      </c>
    </row>
    <row r="13684" spans="1:9" x14ac:dyDescent="0.3">
      <c r="A13684" s="1" t="s">
        <v>95</v>
      </c>
      <c r="B13684" s="1" t="s">
        <v>648</v>
      </c>
      <c r="C13684" s="1" t="s">
        <v>97</v>
      </c>
      <c r="D13684" s="1" t="s">
        <v>200</v>
      </c>
      <c r="E13684" s="1" t="s">
        <v>2298</v>
      </c>
      <c r="F13684" s="1" t="s">
        <v>19028</v>
      </c>
      <c r="G13684" s="1" t="s">
        <v>36</v>
      </c>
      <c r="H13684" s="1" t="s">
        <v>29</v>
      </c>
      <c r="I13684" s="1" t="str">
        <f ca="1">IFERROR(__xludf.DUMMYFUNCTION("GOOGLETRANSLATE(F13684, ""auto"", ""en"")
"),"SUPER THING :)")</f>
        <v>SUPER THING :)</v>
      </c>
    </row>
    <row r="13685" spans="1:9" x14ac:dyDescent="0.3">
      <c r="A13685" s="1" t="s">
        <v>238</v>
      </c>
      <c r="B13685" s="1" t="s">
        <v>276</v>
      </c>
      <c r="C13685" s="1" t="s">
        <v>1677</v>
      </c>
      <c r="D13685" s="1" t="s">
        <v>308</v>
      </c>
      <c r="E13685" s="1" t="s">
        <v>15673</v>
      </c>
      <c r="F13685" s="1" t="s">
        <v>19029</v>
      </c>
      <c r="G13685" s="1" t="s">
        <v>28</v>
      </c>
      <c r="H13685" s="1" t="s">
        <v>29</v>
      </c>
      <c r="I13685" s="1" t="str">
        <f ca="1">IFERROR(__xludf.DUMMYFUNCTION("GOOGLETRANSLATE(F13685, ""auto"", ""en"")
"),"We bought it about three years ago. Roomy and fits the design. Now practice: it turned out to be very noisy, plus an incomprehensible crackling sound, you wake up at night. The freezer compartment is not very large in practice and the shelves in the cooli"&amp;"ng compartment are of an awkward height. Drawers for vegetables are also inconvenient. And the fun began now. The lower chamber has stopped cooling. The master said that it needs to be defrosted periodically, although I did this once every 5 months, altho"&amp;"ugh we were assured that it does not require defrosting and the instructions also say so. Bottom line: I defrost it every 2 weeks now, otherwise it won't cool. &amp;nbsp;And I think it’s expensive for a refrigerator that hasn’t even worked for 3 years. I don'"&amp;"t recommend it.")</f>
        <v>We bought it about three years ago. Roomy and fits the design. Now practice: it turned out to be very noisy, plus an incomprehensible crackling sound, you wake up at night. The freezer compartment is not very large in practice and the shelves in the cooling compartment are of an awkward height. Drawers for vegetables are also inconvenient. And the fun began now. The lower chamber has stopped cooling. The master said that it needs to be defrosted periodically, although I did this once every 5 months, although we were assured that it does not require defrosting and the instructions also say so. Bottom line: I defrost it every 2 weeks now, otherwise it won't cool. &amp;nbsp;And I think it’s expensive for a refrigerator that hasn’t even worked for 3 years. I don't recommend it.</v>
      </c>
    </row>
    <row r="13686" spans="1:9" x14ac:dyDescent="0.3">
      <c r="A13686" s="1" t="s">
        <v>169</v>
      </c>
      <c r="B13686" s="1" t="s">
        <v>170</v>
      </c>
      <c r="C13686" s="1" t="s">
        <v>193</v>
      </c>
      <c r="D13686" s="1" t="s">
        <v>305</v>
      </c>
      <c r="E13686" s="1" t="s">
        <v>4330</v>
      </c>
      <c r="F13686" s="1" t="s">
        <v>19030</v>
      </c>
      <c r="G13686" s="1" t="s">
        <v>36</v>
      </c>
      <c r="H13686" s="1" t="s">
        <v>29</v>
      </c>
      <c r="I13686" s="1" t="str">
        <f ca="1">IFERROR(__xludf.DUMMYFUNCTION("GOOGLETRANSLATE(F13686, ""auto"", ""en"")
"),"I haven't seen headphones with this sound for a long time. The sound is simply powerful. And for such a price too")</f>
        <v>I haven't seen headphones with this sound for a long time. The sound is simply powerful. And for such a price too</v>
      </c>
    </row>
    <row r="13687" spans="1:9" x14ac:dyDescent="0.3">
      <c r="A13687" s="1" t="s">
        <v>9</v>
      </c>
      <c r="B13687" s="1" t="s">
        <v>23</v>
      </c>
      <c r="C13687" s="1" t="s">
        <v>151</v>
      </c>
      <c r="D13687" s="1" t="s">
        <v>2764</v>
      </c>
      <c r="E13687" s="1" t="s">
        <v>836</v>
      </c>
      <c r="F13687" s="1" t="s">
        <v>19031</v>
      </c>
      <c r="G13687" s="1" t="s">
        <v>36</v>
      </c>
      <c r="H13687" s="1" t="s">
        <v>29</v>
      </c>
      <c r="I13687" s="1" t="str">
        <f ca="1">IFERROR(__xludf.DUMMYFUNCTION("GOOGLETRANSLATE(F13687, ""auto"", ""en"")
"),"Made working in the kitchen so much easier! Cleans well. There are 2 disadvantages: 1. If there is a power outage, it does not resume the program, it will stand and wait for it to be turned on again manually. 2. It fit into a 45cm wardrobe of standard hei"&amp;"ght with a bang, although the legs were screwed down to the minimum, but perhaps this is some kind of flaw in the furniture assemblers.")</f>
        <v>Made working in the kitchen so much easier! Cleans well. There are 2 disadvantages: 1. If there is a power outage, it does not resume the program, it will stand and wait for it to be turned on again manually. 2. It fit into a 45cm wardrobe of standard height with a bang, although the legs were screwed down to the minimum, but perhaps this is some kind of flaw in the furniture assemblers.</v>
      </c>
    </row>
    <row r="13688" spans="1:9" x14ac:dyDescent="0.3">
      <c r="A13688" s="1" t="s">
        <v>211</v>
      </c>
      <c r="B13688" s="1" t="s">
        <v>515</v>
      </c>
      <c r="C13688" s="1" t="s">
        <v>69</v>
      </c>
      <c r="D13688" s="1" t="s">
        <v>471</v>
      </c>
      <c r="E13688" s="1" t="s">
        <v>1553</v>
      </c>
      <c r="F13688" s="1" t="s">
        <v>19032</v>
      </c>
      <c r="G13688" s="1" t="s">
        <v>28</v>
      </c>
      <c r="H13688" s="1" t="s">
        <v>29</v>
      </c>
      <c r="I13688" s="1" t="str">
        <f ca="1">IFERROR(__xludf.DUMMYFUNCTION("GOOGLETRANSLATE(F13688, ""auto"", ""en"")
"),"The epilator is very good, I was pleased with the purchase. As for pain, the hair removal procedure always remains a little pleasant, the pain is absolutely tolerable!  A high-quality epilator, it works perfectly, it captures all the hairs, without any sp"&amp;"ecial functions, of course, and this is such a low price) In general, girls, buy it, you won’t regret it!!!")</f>
        <v>The epilator is very good, I was pleased with the purchase. As for pain, the hair removal procedure always remains a little pleasant, the pain is absolutely tolerable!  A high-quality epilator, it works perfectly, it captures all the hairs, without any special functions, of course, and this is such a low price) In general, girls, buy it, you won’t regret it!!!</v>
      </c>
    </row>
    <row r="13689" spans="1:9" x14ac:dyDescent="0.3">
      <c r="A13689" s="1" t="s">
        <v>149</v>
      </c>
      <c r="B13689" s="1" t="s">
        <v>155</v>
      </c>
      <c r="C13689" s="1" t="s">
        <v>80</v>
      </c>
      <c r="D13689" s="1" t="s">
        <v>19033</v>
      </c>
      <c r="E13689" s="1" t="s">
        <v>643</v>
      </c>
      <c r="F13689" s="1" t="s">
        <v>19034</v>
      </c>
      <c r="G13689" s="1" t="s">
        <v>28</v>
      </c>
      <c r="H13689" s="1" t="s">
        <v>29</v>
      </c>
      <c r="I13689" s="1" t="str">
        <f ca="1">IFERROR(__xludf.DUMMYFUNCTION("GOOGLETRANSLATE(F13689, ""auto"", ""en"")
"),"Normal vacuum cleaner. cleans very well. The container just fills up quickly. There is a lot of fiddling around when cleaning the engine filter.")</f>
        <v>Normal vacuum cleaner. cleans very well. The container just fills up quickly. There is a lot of fiddling around when cleaning the engine filter.</v>
      </c>
    </row>
    <row r="13690" spans="1:9" x14ac:dyDescent="0.3">
      <c r="A13690" s="1" t="s">
        <v>211</v>
      </c>
      <c r="B13690" s="1" t="s">
        <v>212</v>
      </c>
      <c r="C13690" s="1" t="s">
        <v>381</v>
      </c>
      <c r="D13690" s="1" t="s">
        <v>2149</v>
      </c>
      <c r="E13690" s="1" t="s">
        <v>3254</v>
      </c>
      <c r="F13690" s="1" t="s">
        <v>19035</v>
      </c>
      <c r="G13690" s="1" t="s">
        <v>36</v>
      </c>
      <c r="H13690" s="1" t="s">
        <v>29</v>
      </c>
      <c r="I13690" s="1" t="str">
        <f ca="1">IFERROR(__xludf.DUMMYFUNCTION("GOOGLETRANSLATE(F13690, ""auto"", ""en"")
"),"Girls, it’s just a great styler, take it, you won’t regret it!!!! I've been happy with my purchase for days now, everything works perfectly, and for those who don't work, their hands just grew out of the wrong place))) I approve and recommend)))")</f>
        <v>Girls, it’s just a great styler, take it, you won’t regret it!!!! I've been happy with my purchase for days now, everything works perfectly, and for those who don't work, their hands just grew out of the wrong place))) I approve and recommend)))</v>
      </c>
    </row>
    <row r="13691" spans="1:9" x14ac:dyDescent="0.3">
      <c r="A13691" s="1" t="s">
        <v>211</v>
      </c>
      <c r="B13691" s="1" t="s">
        <v>1818</v>
      </c>
      <c r="C13691" s="1" t="s">
        <v>213</v>
      </c>
      <c r="D13691" s="1" t="s">
        <v>8854</v>
      </c>
      <c r="E13691" s="1" t="s">
        <v>8855</v>
      </c>
      <c r="F13691" s="1" t="s">
        <v>19036</v>
      </c>
      <c r="G13691" s="1" t="s">
        <v>28</v>
      </c>
      <c r="H13691" s="1" t="s">
        <v>29</v>
      </c>
      <c r="I13691" s="1" t="str">
        <f ca="1">IFERROR(__xludf.DUMMYFUNCTION("GOOGLETRANSLATE(F13691, ""auto"", ""en"")
"),"I was given a comb at work and have been using it for a year now. To be honest, I didn’t notice any special changes in my hair after using it. An indisputable plus is that it removes static electricity, i.e. Performs its direct function at 5, as for hair "&amp;"shine, it’s doubtful. In winter and in air-conditioned rooms, it is an indispensable thing for those with dry hair. Another significant plus is the seamless teeth. Does not scratch the scalp or damage the hair. Ionization is a real function; when you pres"&amp;"s the ionization compartment with your finger, a spark appears, and the ions themselves smell like ozone)))))))) In general, a stylish accessory for modern women.")</f>
        <v>I was given a comb at work and have been using it for a year now. To be honest, I didn’t notice any special changes in my hair after using it. An indisputable plus is that it removes static electricity, i.e. Performs its direct function at 5, as for hair shine, it’s doubtful. In winter and in air-conditioned rooms, it is an indispensable thing for those with dry hair. Another significant plus is the seamless teeth. Does not scratch the scalp or damage the hair. Ionization is a real function; when you press the ionization compartment with your finger, a spark appears, and the ions themselves smell like ozone)))))))) In general, a stylish accessory for modern women.</v>
      </c>
    </row>
    <row r="13692" spans="1:9" x14ac:dyDescent="0.3">
      <c r="A13692" s="1" t="s">
        <v>105</v>
      </c>
      <c r="B13692" s="1" t="s">
        <v>106</v>
      </c>
      <c r="C13692" s="1" t="s">
        <v>1209</v>
      </c>
      <c r="D13692" s="1" t="s">
        <v>232</v>
      </c>
      <c r="E13692" s="1" t="s">
        <v>2896</v>
      </c>
      <c r="F13692" s="1" t="s">
        <v>19037</v>
      </c>
      <c r="G13692" s="1" t="s">
        <v>28</v>
      </c>
      <c r="H13692" s="1" t="s">
        <v>29</v>
      </c>
      <c r="I13692" s="1" t="str">
        <f ca="1">IFERROR(__xludf.DUMMYFUNCTION("GOOGLETRANSLATE(F13692, ""auto"", ""en"")
"),"There is one glitch: the 8Gb micro sdhc memory card cannot be read until you twist it, or until you connect the player to the computer via a cord. Does anyone have the same problems?")</f>
        <v>There is one glitch: the 8Gb micro sdhc memory card cannot be read until you twist it, or until you connect the player to the computer via a cord. Does anyone have the same problems?</v>
      </c>
    </row>
    <row r="13693" spans="1:9" x14ac:dyDescent="0.3">
      <c r="A13693" s="1" t="s">
        <v>169</v>
      </c>
      <c r="B13693" s="1" t="s">
        <v>170</v>
      </c>
      <c r="C13693" s="1" t="s">
        <v>171</v>
      </c>
      <c r="D13693" s="1" t="s">
        <v>152</v>
      </c>
      <c r="E13693" s="1" t="s">
        <v>3089</v>
      </c>
      <c r="F13693" s="1" t="s">
        <v>19038</v>
      </c>
      <c r="G13693" s="1" t="s">
        <v>28</v>
      </c>
      <c r="H13693" s="1" t="s">
        <v>29</v>
      </c>
      <c r="I13693" s="1" t="str">
        <f ca="1">IFERROR(__xludf.DUMMYFUNCTION("GOOGLETRANSLATE(F13693, ""auto"", ""en"")
"),"Thanks to the consultant who recommended them to me, they cost a little more than now. The bass is excellent, but I can’t comment on the rest, not having an ear for music. After 3 months, the left earphone stopped playing, so I changed it. The downside of"&amp;" the next sample was the not very high-quality assembly. After about 4 months, the rubber accordions at the entrance to the earphone fell off, after another couple of months the sound guides began to rotate and the body came unglued along the connection l"&amp;"ine.")</f>
        <v>Thanks to the consultant who recommended them to me, they cost a little more than now. The bass is excellent, but I can’t comment on the rest, not having an ear for music. After 3 months, the left earphone stopped playing, so I changed it. The downside of the next sample was the not very high-quality assembly. After about 4 months, the rubber accordions at the entrance to the earphone fell off, after another couple of months the sound guides began to rotate and the body came unglued along the connection line.</v>
      </c>
    </row>
    <row r="13694" spans="1:9" x14ac:dyDescent="0.3">
      <c r="A13694" s="1" t="s">
        <v>37</v>
      </c>
      <c r="B13694" s="1" t="s">
        <v>38</v>
      </c>
      <c r="C13694" s="1" t="s">
        <v>39</v>
      </c>
      <c r="D13694" s="1" t="s">
        <v>19039</v>
      </c>
      <c r="E13694" s="1" t="s">
        <v>5073</v>
      </c>
      <c r="F13694" s="1" t="s">
        <v>19040</v>
      </c>
      <c r="G13694" s="1" t="s">
        <v>28</v>
      </c>
      <c r="H13694" s="1" t="s">
        <v>29</v>
      </c>
      <c r="I13694" s="1" t="str">
        <f ca="1">IFERROR(__xludf.DUMMYFUNCTION("GOOGLETRANSLATE(F13694, ""auto"", ""en"")
"),"Please tell me should I buy it or not? I'm going to buy it but I'm not sure")</f>
        <v>Please tell me should I buy it or not? I'm going to buy it but I'm not sure</v>
      </c>
    </row>
    <row r="13695" spans="1:9" x14ac:dyDescent="0.3">
      <c r="A13695" s="1" t="s">
        <v>149</v>
      </c>
      <c r="B13695" s="1" t="s">
        <v>150</v>
      </c>
      <c r="C13695" s="1" t="s">
        <v>151</v>
      </c>
      <c r="D13695" s="1" t="s">
        <v>172</v>
      </c>
      <c r="E13695" s="1" t="s">
        <v>10696</v>
      </c>
      <c r="F13695" s="1" t="s">
        <v>19041</v>
      </c>
      <c r="G13695" s="1" t="s">
        <v>49</v>
      </c>
      <c r="H13695" s="1" t="s">
        <v>16</v>
      </c>
      <c r="I13695" s="1" t="str">
        <f ca="1">IFERROR(__xludf.DUMMYFUNCTION("GOOGLETRANSLATE(F13695, ""auto"", ""en"")
"),"Doesn't suck at all. Even hair, not to mention anything more. The terry pad came off after 1 minute of use. To say that it sucks weakly is to put it mildly; it is suitable for vacuuming up bread crumbs, but nothing more. Just terrible, for the money it’s "&amp;"better to vacuum your car 7 times at the car wash.")</f>
        <v>Doesn't suck at all. Even hair, not to mention anything more. The terry pad came off after 1 minute of use. To say that it sucks weakly is to put it mildly; it is suitable for vacuuming up bread crumbs, but nothing more. Just terrible, for the money it’s better to vacuum your car 7 times at the car wash.</v>
      </c>
    </row>
    <row r="13696" spans="1:9" x14ac:dyDescent="0.3">
      <c r="A13696" s="1" t="s">
        <v>1119</v>
      </c>
      <c r="B13696" s="1" t="s">
        <v>1120</v>
      </c>
      <c r="C13696" s="1" t="s">
        <v>122</v>
      </c>
      <c r="D13696" s="1" t="s">
        <v>327</v>
      </c>
      <c r="E13696" s="1" t="s">
        <v>1657</v>
      </c>
      <c r="F13696" s="1" t="s">
        <v>19042</v>
      </c>
      <c r="G13696" s="1" t="s">
        <v>36</v>
      </c>
      <c r="H13696" s="1" t="s">
        <v>29</v>
      </c>
      <c r="I13696" s="1" t="str">
        <f ca="1">IFERROR(__xludf.DUMMYFUNCTION("GOOGLETRANSLATE(F13696, ""auto"", ""en"")
"),"simple and easy camera to use. on and shoot, there are several shooting modes. very easy to set up. I've been renting to her for half a year - I like it. no complaints yet!")</f>
        <v>simple and easy camera to use. on and shoot, there are several shooting modes. very easy to set up. I've been renting to her for half a year - I like it. no complaints yet!</v>
      </c>
    </row>
    <row r="13697" spans="1:9" x14ac:dyDescent="0.3">
      <c r="A13697" s="1" t="s">
        <v>211</v>
      </c>
      <c r="B13697" s="1" t="s">
        <v>212</v>
      </c>
      <c r="C13697" s="1" t="s">
        <v>381</v>
      </c>
      <c r="D13697" s="1" t="s">
        <v>1188</v>
      </c>
      <c r="E13697" s="1" t="s">
        <v>6754</v>
      </c>
      <c r="F13697" s="1" t="s">
        <v>19043</v>
      </c>
      <c r="G13697" s="1" t="s">
        <v>28</v>
      </c>
      <c r="H13697" s="1" t="s">
        <v>29</v>
      </c>
      <c r="I13697" s="1" t="str">
        <f ca="1">IFERROR(__xludf.DUMMYFUNCTION("GOOGLETRANSLATE(F13697, ""auto"", ""en"")
"),"And I want to say about the terrible comments about the effect of a hair dryer on hair, it’s not the hair dryer that matters, but the structure of the hair, everyone’s hair is different and therefore the results will also be different, for some it’s the o"&amp;"ther way around! The hairdryer is good, so far pah-pah, it works well!")</f>
        <v>And I want to say about the terrible comments about the effect of a hair dryer on hair, it’s not the hair dryer that matters, but the structure of the hair, everyone’s hair is different and therefore the results will also be different, for some it’s the other way around! The hairdryer is good, so far pah-pah, it works well!</v>
      </c>
    </row>
    <row r="13698" spans="1:9" x14ac:dyDescent="0.3">
      <c r="A13698" s="1" t="s">
        <v>519</v>
      </c>
      <c r="B13698" s="1" t="s">
        <v>3088</v>
      </c>
      <c r="C13698" s="1" t="s">
        <v>2143</v>
      </c>
      <c r="D13698" s="1" t="s">
        <v>1241</v>
      </c>
      <c r="E13698" s="1" t="s">
        <v>1122</v>
      </c>
      <c r="F13698" s="1" t="s">
        <v>19044</v>
      </c>
      <c r="G13698" s="1" t="s">
        <v>36</v>
      </c>
      <c r="H13698" s="1" t="s">
        <v>29</v>
      </c>
      <c r="I13698" s="1" t="str">
        <f ca="1">IFERROR(__xludf.DUMMYFUNCTION("GOOGLETRANSLATE(F13698, ""auto"", ""en"")
"),"I purchased this miracle frying pan more than a month ago and did not regret the money spent. It cooks everything evenly and doesn’t burn anything! Everyone just asks where I bought it when they deal with it. I recommend it.")</f>
        <v>I purchased this miracle frying pan more than a month ago and did not regret the money spent. It cooks everything evenly and doesn’t burn anything! Everyone just asks where I bought it when they deal with it. I recommend it.</v>
      </c>
    </row>
    <row r="13699" spans="1:9" x14ac:dyDescent="0.3">
      <c r="A13699" s="1" t="s">
        <v>61</v>
      </c>
      <c r="B13699" s="1" t="s">
        <v>73</v>
      </c>
      <c r="C13699" s="1" t="s">
        <v>101</v>
      </c>
      <c r="D13699" s="1" t="s">
        <v>2771</v>
      </c>
      <c r="E13699" s="1" t="s">
        <v>2964</v>
      </c>
      <c r="F13699" s="1" t="s">
        <v>19045</v>
      </c>
      <c r="G13699" s="1" t="s">
        <v>36</v>
      </c>
      <c r="H13699" s="1" t="s">
        <v>29</v>
      </c>
      <c r="I13699" s="1" t="str">
        <f ca="1">IFERROR(__xludf.DUMMYFUNCTION("GOOGLETRANSLATE(F13699, ""auto"", ""en"")
"),"I bought this meat grinder. Did a test today. Excellent device! The meat turns quickly and easily. The consistency of the minced meat is normal. I am 100% satisfied with the purchase!")</f>
        <v>I bought this meat grinder. Did a test today. Excellent device! The meat turns quickly and easily. The consistency of the minced meat is normal. I am 100% satisfied with the purchase!</v>
      </c>
    </row>
    <row r="13700" spans="1:9" x14ac:dyDescent="0.3">
      <c r="A13700" s="1" t="s">
        <v>120</v>
      </c>
      <c r="B13700" s="1" t="s">
        <v>196</v>
      </c>
      <c r="C13700" s="1" t="s">
        <v>69</v>
      </c>
      <c r="D13700" s="1" t="s">
        <v>19046</v>
      </c>
      <c r="E13700" s="1" t="s">
        <v>4864</v>
      </c>
      <c r="F13700" s="1" t="s">
        <v>19047</v>
      </c>
      <c r="G13700" s="1" t="s">
        <v>49</v>
      </c>
      <c r="H13700" s="1" t="s">
        <v>16</v>
      </c>
      <c r="I13700" s="1" t="str">
        <f ca="1">IFERROR(__xludf.DUMMYFUNCTION("GOOGLETRANSLATE(F13700, ""auto"", ""en"")
"),"Don't repeat my mistake!! Don't buy this TV!!!  For a very long time I was looking for a TV for myself: working with a PC, watching HD movies, SPS 3.... Problems - it doesn’t read video from a flash drive, because... assembly Kaliningrad (5604/60), switch"&amp;"es channels on its own, turns off on its own!!!!!  It’s better to save some money and buy a European assembly....")</f>
        <v>Don't repeat my mistake!! Don't buy this TV!!!  For a very long time I was looking for a TV for myself: working with a PC, watching HD movies, SPS 3.... Problems - it doesn’t read video from a flash drive, because... assembly Kaliningrad (5604/60), switches channels on its own, turns off on its own!!!!!  It’s better to save some money and buy a European assembly....</v>
      </c>
    </row>
    <row r="13701" spans="1:9" x14ac:dyDescent="0.3">
      <c r="A13701" s="1" t="s">
        <v>30</v>
      </c>
      <c r="B13701" s="1" t="s">
        <v>31</v>
      </c>
      <c r="C13701" s="1" t="s">
        <v>365</v>
      </c>
      <c r="D13701" s="1" t="s">
        <v>2893</v>
      </c>
      <c r="E13701" s="1" t="s">
        <v>1494</v>
      </c>
      <c r="F13701" s="1" t="s">
        <v>19048</v>
      </c>
      <c r="G13701" s="1" t="s">
        <v>49</v>
      </c>
      <c r="H13701" s="1" t="s">
        <v>16</v>
      </c>
      <c r="I13701" s="1" t="str">
        <f ca="1">IFERROR(__xludf.DUMMYFUNCTION("GOOGLETRANSLATE(F13701, ""auto"", ""en"")
"),"Of the three machines bought by the company, two were immediately not working: one had a hard drive burnt out, they replaced it under warranty, the second one the assemblers simply didn’t stick some kind of scarf in place, they probably scrapped it. The b"&amp;"oard was installed under warranty. While I was driving around Moscow with this crap for warranty, I wished health to the craftsmen who make this junk.")</f>
        <v>Of the three machines bought by the company, two were immediately not working: one had a hard drive burnt out, they replaced it under warranty, the second one the assemblers simply didn’t stick some kind of scarf in place, they probably scrapped it. The board was installed under warranty. While I was driving around Moscow with this crap for warranty, I wished health to the craftsmen who make this junk.</v>
      </c>
    </row>
    <row r="13702" spans="1:9" x14ac:dyDescent="0.3">
      <c r="A13702" s="1" t="s">
        <v>149</v>
      </c>
      <c r="B13702" s="1" t="s">
        <v>155</v>
      </c>
      <c r="C13702" s="1" t="s">
        <v>101</v>
      </c>
      <c r="D13702" s="1" t="s">
        <v>295</v>
      </c>
      <c r="E13702" s="1" t="s">
        <v>1497</v>
      </c>
      <c r="F13702" s="1" t="s">
        <v>19049</v>
      </c>
      <c r="G13702" s="1" t="s">
        <v>36</v>
      </c>
      <c r="H13702" s="1" t="s">
        <v>29</v>
      </c>
      <c r="I13702" s="1" t="str">
        <f ca="1">IFERROR(__xludf.DUMMYFUNCTION("GOOGLETRANSLATE(F13702, ""auto"", ""en"")
"),"Today I purchased a Scarlett vacuum cleaner. I tried it when I got home, I liked the first impression: it’s not very noisy, it’s light, it cleans carpets well, the container is convenient and easy to clean.")</f>
        <v>Today I purchased a Scarlett vacuum cleaner. I tried it when I got home, I liked the first impression: it’s not very noisy, it’s light, it cleans carpets well, the container is convenient and easy to clean.</v>
      </c>
    </row>
    <row r="13703" spans="1:9" x14ac:dyDescent="0.3">
      <c r="A13703" s="1" t="s">
        <v>373</v>
      </c>
      <c r="B13703" s="1" t="s">
        <v>374</v>
      </c>
      <c r="C13703" s="1" t="s">
        <v>63</v>
      </c>
      <c r="D13703" s="1" t="s">
        <v>19050</v>
      </c>
      <c r="E13703" s="1" t="s">
        <v>2916</v>
      </c>
      <c r="F13703" s="1" t="s">
        <v>19051</v>
      </c>
      <c r="G13703" s="1" t="s">
        <v>36</v>
      </c>
      <c r="H13703" s="1" t="s">
        <v>29</v>
      </c>
      <c r="I13703" s="1" t="str">
        <f ca="1">IFERROR(__xludf.DUMMYFUNCTION("GOOGLETRANSLATE(F13703, ""auto"", ""en"")
"),"We bought it 2 days ago, before that I saw how it works at my grandmother’s place (she’s had it for 3 years now) - my grandmother is incredibly happy, and the fact that it doesn’t dry well - well, yes, a couple of drops, maybe that’s all that’s left, but "&amp;"so what. It's more important to me that I wash thoroughly, which is exactly what she does! I’m very happy, and my husband is glad that I’m happy!")</f>
        <v>We bought it 2 days ago, before that I saw how it works at my grandmother’s place (she’s had it for 3 years now) - my grandmother is incredibly happy, and the fact that it doesn’t dry well - well, yes, a couple of drops, maybe that’s all that’s left, but so what. It's more important to me that I wash thoroughly, which is exactly what she does! I’m very happy, and my husband is glad that I’m happy!</v>
      </c>
    </row>
    <row r="13704" spans="1:9" x14ac:dyDescent="0.3">
      <c r="A13704" s="1" t="s">
        <v>61</v>
      </c>
      <c r="B13704" s="1" t="s">
        <v>145</v>
      </c>
      <c r="C13704" s="1" t="s">
        <v>69</v>
      </c>
      <c r="D13704" s="1" t="s">
        <v>12</v>
      </c>
      <c r="E13704" s="1" t="s">
        <v>5116</v>
      </c>
      <c r="F13704" s="1" t="s">
        <v>19052</v>
      </c>
      <c r="G13704" s="1" t="s">
        <v>36</v>
      </c>
      <c r="H13704" s="1" t="s">
        <v>29</v>
      </c>
      <c r="I13704" s="1" t="str">
        <f ca="1">IFERROR(__xludf.DUMMYFUNCTION("GOOGLETRANSLATE(F13704, ""auto"", ""en"")
"),"Wonderful steamer! I’ve had it for 1.5 years now and I’m happy with it every time, like the first time! )))")</f>
        <v>Wonderful steamer! I’ve had it for 1.5 years now and I’m happy with it every time, like the first time! )))</v>
      </c>
    </row>
    <row r="13705" spans="1:9" x14ac:dyDescent="0.3">
      <c r="A13705" s="1" t="s">
        <v>17</v>
      </c>
      <c r="B13705" s="1" t="s">
        <v>18</v>
      </c>
      <c r="C13705" s="1" t="s">
        <v>151</v>
      </c>
      <c r="D13705" s="1" t="s">
        <v>592</v>
      </c>
      <c r="E13705" s="1" t="s">
        <v>19053</v>
      </c>
      <c r="F13705" s="1" t="s">
        <v>19054</v>
      </c>
      <c r="G13705" s="1" t="s">
        <v>36</v>
      </c>
      <c r="H13705" s="1" t="s">
        <v>29</v>
      </c>
      <c r="I13705" s="1" t="str">
        <f ca="1">IFERROR(__xludf.DUMMYFUNCTION("GOOGLETRANSLATE(F13705, ""auto"", ""en"")
"),"I bought a washing machine almost a year ago, to replace the old Indezit. I'm happy with the machine. It washes well. The amount of water collected does not bother you at all, as it washes and rinses perfectly. A good number of programs, all of which we m"&amp;"ainly use. No unnecessary bells and whistles. Why overpay for something that you will use very rarely or not use at all.  Nice sound signal. . I'm happy with everything.")</f>
        <v>I bought a washing machine almost a year ago, to replace the old Indezit. I'm happy with the machine. It washes well. The amount of water collected does not bother you at all, as it washes and rinses perfectly. A good number of programs, all of which we mainly use. No unnecessary bells and whistles. Why overpay for something that you will use very rarely or not use at all.  Nice sound signal. . I'm happy with everything.</v>
      </c>
    </row>
    <row r="13706" spans="1:9" x14ac:dyDescent="0.3">
      <c r="A13706" s="1" t="s">
        <v>30</v>
      </c>
      <c r="B13706" s="1" t="s">
        <v>50</v>
      </c>
      <c r="C13706" s="1" t="s">
        <v>189</v>
      </c>
      <c r="D13706" s="1" t="s">
        <v>411</v>
      </c>
      <c r="E13706" s="1" t="s">
        <v>5596</v>
      </c>
      <c r="F13706" s="1" t="s">
        <v>19055</v>
      </c>
      <c r="G13706" s="1" t="s">
        <v>36</v>
      </c>
      <c r="H13706" s="1" t="s">
        <v>29</v>
      </c>
      <c r="I13706" s="1" t="str">
        <f ca="1">IFERROR(__xludf.DUMMYFUNCTION("GOOGLETRANSLATE(F13706, ""auto"", ""en"")
"),"Excellent price-quality ratio!  One thing didn’t suit me: the pre-installed Vista... I didn’t even bother loading it, but immediately demolished it along with the rescue partition... I installed AltLinux, everything works without problems.")</f>
        <v>Excellent price-quality ratio!  One thing didn’t suit me: the pre-installed Vista... I didn’t even bother loading it, but immediately demolished it along with the rescue partition... I installed AltLinux, everything works without problems.</v>
      </c>
    </row>
    <row r="13707" spans="1:9" x14ac:dyDescent="0.3">
      <c r="A13707" s="1" t="s">
        <v>169</v>
      </c>
      <c r="B13707" s="1" t="s">
        <v>170</v>
      </c>
      <c r="C13707" s="1" t="s">
        <v>193</v>
      </c>
      <c r="D13707" s="1" t="s">
        <v>345</v>
      </c>
      <c r="E13707" s="1" t="s">
        <v>379</v>
      </c>
      <c r="F13707" s="1" t="s">
        <v>19056</v>
      </c>
      <c r="G13707" s="1" t="s">
        <v>36</v>
      </c>
      <c r="H13707" s="1" t="s">
        <v>29</v>
      </c>
      <c r="I13707" s="1" t="str">
        <f ca="1">IFERROR(__xludf.DUMMYFUNCTION("GOOGLETRANSLATE(F13707, ""auto"", ""en"")
"),"I compared a large number of headphones in the store that could be used for listening to portable audio and for a computer. In my opinion, this is the best solution in many respects: sound quality, build quality, ease of fit, overall dimensions... Buy it,"&amp;" you won’t regret it!")</f>
        <v>I compared a large number of headphones in the store that could be used for listening to portable audio and for a computer. In my opinion, this is the best solution in many respects: sound quality, build quality, ease of fit, overall dimensions... Buy it, you won’t regret it!</v>
      </c>
    </row>
    <row r="13708" spans="1:9" x14ac:dyDescent="0.3">
      <c r="A13708" s="1" t="s">
        <v>149</v>
      </c>
      <c r="B13708" s="1" t="s">
        <v>576</v>
      </c>
      <c r="C13708" s="1" t="s">
        <v>69</v>
      </c>
      <c r="D13708" s="1" t="s">
        <v>64</v>
      </c>
      <c r="E13708" s="1" t="s">
        <v>1088</v>
      </c>
      <c r="F13708" s="1" t="s">
        <v>19057</v>
      </c>
      <c r="G13708" s="1" t="s">
        <v>28</v>
      </c>
      <c r="H13708" s="1" t="s">
        <v>29</v>
      </c>
      <c r="I13708" s="1" t="str">
        <f ca="1">IFERROR(__xludf.DUMMYFUNCTION("GOOGLETRANSLATE(F13708, ""auto"", ""en"")
"),"The vacuum cleaner is silent, superior in power to other brands of vacuum cleaners, almost silent, HEPA13 filter (washable). After cleaning, the carpet on the floor looks like new, with other vacuum cleaners I had to vacuum more often (on the 2nd day - it"&amp;" was as if I hadn’t done any cleaning), but with this vacuum cleaner it was clean for a week. All collapsible parts (nozzles, hose) are firmly attached - in previous models of vacuum cleaners it was annoying that these parts kept falling off during cleani"&amp;"ng.    The downside is that there is no turbo brush (I bought it separately).")</f>
        <v>The vacuum cleaner is silent, superior in power to other brands of vacuum cleaners, almost silent, HEPA13 filter (washable). After cleaning, the carpet on the floor looks like new, with other vacuum cleaners I had to vacuum more often (on the 2nd day - it was as if I hadn’t done any cleaning), but with this vacuum cleaner it was clean for a week. All collapsible parts (nozzles, hose) are firmly attached - in previous models of vacuum cleaners it was annoying that these parts kept falling off during cleaning.    The downside is that there is no turbo brush (I bought it separately).</v>
      </c>
    </row>
    <row r="13709" spans="1:9" x14ac:dyDescent="0.3">
      <c r="A13709" s="1" t="s">
        <v>17</v>
      </c>
      <c r="B13709" s="1" t="s">
        <v>18</v>
      </c>
      <c r="C13709" s="1" t="s">
        <v>885</v>
      </c>
      <c r="D13709" s="1" t="s">
        <v>247</v>
      </c>
      <c r="E13709" s="1" t="s">
        <v>1589</v>
      </c>
      <c r="F13709" s="1" t="s">
        <v>19058</v>
      </c>
      <c r="G13709" s="1" t="s">
        <v>15</v>
      </c>
      <c r="H13709" s="1" t="s">
        <v>16</v>
      </c>
      <c r="I13709" s="1" t="str">
        <f ca="1">IFERROR(__xludf.DUMMYFUNCTION("GOOGLETRANSLATE(F13709, ""auto"", ""en"")
"),"I bought this machine in February. I used it for a month and was happy, then a problem appeared - it does not spin out the laundry, hangs at one minute, and drags it until I intervene. I have to open the drum, straighten the laundry and it’s not a fact th"&amp;"at after this it will work normally, I’m almost casting a spell on it. I called the technician and advised me to load more laundry than required according to the programs. We have to save for weeks (we live together). But this doesn't help either. I'm wai"&amp;"ting for the master again.")</f>
        <v>I bought this machine in February. I used it for a month and was happy, then a problem appeared - it does not spin out the laundry, hangs at one minute, and drags it until I intervene. I have to open the drum, straighten the laundry and it’s not a fact that after this it will work normally, I’m almost casting a spell on it. I called the technician and advised me to load more laundry than required according to the programs. We have to save for weeks (we live together). But this doesn't help either. I'm waiting for the master again.</v>
      </c>
    </row>
    <row r="13710" spans="1:9" x14ac:dyDescent="0.3">
      <c r="A13710" s="1" t="s">
        <v>95</v>
      </c>
      <c r="B13710" s="1" t="s">
        <v>1334</v>
      </c>
      <c r="C13710" s="1" t="s">
        <v>487</v>
      </c>
      <c r="D13710" s="1" t="s">
        <v>695</v>
      </c>
      <c r="E13710" s="1" t="s">
        <v>1305</v>
      </c>
      <c r="F13710" s="1" t="s">
        <v>19059</v>
      </c>
      <c r="G13710" s="1" t="s">
        <v>28</v>
      </c>
      <c r="H13710" s="1" t="s">
        <v>29</v>
      </c>
      <c r="I13710" s="1" t="str">
        <f ca="1">IFERROR(__xludf.DUMMYFUNCTION("GOOGLETRANSLATE(F13710, ""auto"", ""en"")
"),"Don't waste your money, buy a regular black one. I didn't find any differences! The cross is the same!")</f>
        <v>Don't waste your money, buy a regular black one. I didn't find any differences! The cross is the same!</v>
      </c>
    </row>
    <row r="13711" spans="1:9" x14ac:dyDescent="0.3">
      <c r="A13711" s="1" t="s">
        <v>61</v>
      </c>
      <c r="B13711" s="1" t="s">
        <v>434</v>
      </c>
      <c r="C13711" s="1" t="s">
        <v>101</v>
      </c>
      <c r="D13711" s="1" t="s">
        <v>2233</v>
      </c>
      <c r="E13711" s="1" t="s">
        <v>5530</v>
      </c>
      <c r="F13711" s="1" t="s">
        <v>19060</v>
      </c>
      <c r="G13711" s="1" t="s">
        <v>36</v>
      </c>
      <c r="H13711" s="1" t="s">
        <v>29</v>
      </c>
      <c r="I13711" s="1" t="str">
        <f ca="1">IFERROR(__xludf.DUMMYFUNCTION("GOOGLETRANSLATE(F13711, ""auto"", ""en"")
"),"I use the stove almost every day. I don’t like steamed food, but baked everything is better than frying it in oil. Due to frequent use, I have already tried it this way and that. The dishes come out well baked. The crust is just where I planned it. The ti"&amp;"mer does not fail. It's small, so it's more suitable for small families. Over the course of a couple of months, no parts have fallen off of it and they are not coming together yet.")</f>
        <v>I use the stove almost every day. I don’t like steamed food, but baked everything is better than frying it in oil. Due to frequent use, I have already tried it this way and that. The dishes come out well baked. The crust is just where I planned it. The timer does not fail. It's small, so it's more suitable for small families. Over the course of a couple of months, no parts have fallen off of it and they are not coming together yet.</v>
      </c>
    </row>
    <row r="13712" spans="1:9" x14ac:dyDescent="0.3">
      <c r="A13712" s="1" t="s">
        <v>211</v>
      </c>
      <c r="B13712" s="1" t="s">
        <v>265</v>
      </c>
      <c r="C13712" s="1" t="s">
        <v>69</v>
      </c>
      <c r="D13712" s="1" t="s">
        <v>1659</v>
      </c>
      <c r="E13712" s="1" t="s">
        <v>820</v>
      </c>
      <c r="F13712" s="1" t="s">
        <v>19061</v>
      </c>
      <c r="G13712" s="1" t="s">
        <v>28</v>
      </c>
      <c r="H13712" s="1" t="s">
        <v>29</v>
      </c>
      <c r="I13712" s="1" t="str">
        <f ca="1">IFERROR(__xludf.DUMMYFUNCTION("GOOGLETRANSLATE(F13712, ""auto"", ""en"")
"),"Absolutely agree with Dmitry! And the nozzle also broke :((")</f>
        <v>Absolutely agree with Dmitry! And the nozzle also broke :((</v>
      </c>
    </row>
    <row r="13713" spans="1:9" x14ac:dyDescent="0.3">
      <c r="A13713" s="1" t="s">
        <v>61</v>
      </c>
      <c r="B13713" s="1" t="s">
        <v>145</v>
      </c>
      <c r="C13713" s="1" t="s">
        <v>246</v>
      </c>
      <c r="D13713" s="1" t="s">
        <v>232</v>
      </c>
      <c r="E13713" s="1" t="s">
        <v>8352</v>
      </c>
      <c r="F13713" s="1" t="s">
        <v>19062</v>
      </c>
      <c r="G13713" s="1" t="s">
        <v>36</v>
      </c>
      <c r="H13713" s="1" t="s">
        <v>29</v>
      </c>
      <c r="I13713" s="1" t="str">
        <f ca="1">IFERROR(__xludf.DUMMYFUNCTION("GOOGLETRANSLATE(F13713, ""auto"", ""en"")
"),"We gave this little thing as a housewarming gift. We take the turn to open a jar or sharpen knives. Cool thing. Now I open canned food myself, and my wife doesn’t pester me with knives.   We must take it!")</f>
        <v>We gave this little thing as a housewarming gift. We take the turn to open a jar or sharpen knives. Cool thing. Now I open canned food myself, and my wife doesn’t pester me with knives.   We must take it!</v>
      </c>
    </row>
    <row r="13714" spans="1:9" x14ac:dyDescent="0.3">
      <c r="A13714" s="1" t="s">
        <v>61</v>
      </c>
      <c r="B13714" s="1" t="s">
        <v>977</v>
      </c>
      <c r="C13714" s="1" t="s">
        <v>101</v>
      </c>
      <c r="D13714" s="1" t="s">
        <v>6125</v>
      </c>
      <c r="E13714" s="1" t="s">
        <v>2215</v>
      </c>
      <c r="F13714" s="1" t="s">
        <v>19063</v>
      </c>
      <c r="G13714" s="1" t="s">
        <v>28</v>
      </c>
      <c r="H13714" s="1" t="s">
        <v>29</v>
      </c>
      <c r="I13714" s="1" t="str">
        <f ca="1">IFERROR(__xludf.DUMMYFUNCTION("GOOGLETRANSLATE(F13714, ""auto"", ""en"")
"),"good blender! Although inexpensive, it has already served me for a year and I use it very often.")</f>
        <v>good blender! Although inexpensive, it has already served me for a year and I use it very often.</v>
      </c>
    </row>
    <row r="13715" spans="1:9" x14ac:dyDescent="0.3">
      <c r="A13715" s="1" t="s">
        <v>149</v>
      </c>
      <c r="B13715" s="1" t="s">
        <v>423</v>
      </c>
      <c r="C13715" s="1" t="s">
        <v>531</v>
      </c>
      <c r="D13715" s="1" t="s">
        <v>102</v>
      </c>
      <c r="E13715" s="1" t="s">
        <v>1536</v>
      </c>
      <c r="F13715" s="1" t="s">
        <v>19064</v>
      </c>
      <c r="G13715" s="1" t="s">
        <v>36</v>
      </c>
      <c r="H13715" s="1" t="s">
        <v>29</v>
      </c>
      <c r="I13715" s="1" t="str">
        <f ca="1">IFERROR(__xludf.DUMMYFUNCTION("GOOGLETRANSLATE(F13715, ""auto"", ""en"")
"),"I’ve been using it for a year and a half, no problems, the fact that it leaves a lot of water is not true, it has 3 power modes, if you have a cat and carpet, it’s better to take a turbo brush, + it can be used as a plunger - the nozzle is included)))")</f>
        <v>I’ve been using it for a year and a half, no problems, the fact that it leaves a lot of water is not true, it has 3 power modes, if you have a cat and carpet, it’s better to take a turbo brush, + it can be used as a plunger - the nozzle is included)))</v>
      </c>
    </row>
    <row r="13716" spans="1:9" x14ac:dyDescent="0.3">
      <c r="A13716" s="1" t="s">
        <v>43</v>
      </c>
      <c r="B13716" s="1" t="s">
        <v>303</v>
      </c>
      <c r="C13716" s="1" t="s">
        <v>665</v>
      </c>
      <c r="D13716" s="1" t="s">
        <v>86</v>
      </c>
      <c r="E13716" s="1" t="s">
        <v>19065</v>
      </c>
      <c r="F13716" s="1" t="s">
        <v>19066</v>
      </c>
      <c r="G13716" s="1" t="s">
        <v>28</v>
      </c>
      <c r="H13716" s="1" t="s">
        <v>29</v>
      </c>
      <c r="I13716" s="1" t="str">
        <f ca="1">IFERROR(__xludf.DUMMYFUNCTION("GOOGLETRANSLATE(F13716, ""auto"", ""en"")
"),"I’ve been using the Haier FCD-30 water heater for three days. It works silently. It heats up quickly. But the valve was leaking from the first day. I had to replace it. Well, overall I’m happy. There’s enough water.")</f>
        <v>I’ve been using the Haier FCD-30 water heater for three days. It works silently. It heats up quickly. But the valve was leaking from the first day. I had to replace it. Well, overall I’m happy. There’s enough water.</v>
      </c>
    </row>
    <row r="13717" spans="1:9" x14ac:dyDescent="0.3">
      <c r="A13717" s="1" t="s">
        <v>61</v>
      </c>
      <c r="B13717" s="1" t="s">
        <v>434</v>
      </c>
      <c r="C13717" s="1" t="s">
        <v>185</v>
      </c>
      <c r="D13717" s="1" t="s">
        <v>75</v>
      </c>
      <c r="E13717" s="1" t="s">
        <v>2153</v>
      </c>
      <c r="F13717" s="1" t="s">
        <v>19067</v>
      </c>
      <c r="G13717" s="1" t="s">
        <v>36</v>
      </c>
      <c r="H13717" s="1" t="s">
        <v>29</v>
      </c>
      <c r="I13717" s="1" t="str">
        <f ca="1">IFERROR(__xludf.DUMMYFUNCTION("GOOGLETRANSLATE(F13717, ""auto"", ""en"")
"),"The oven is just super!!! It bakes quickly and evenly, compact. And there is no smell of wires in it, even when you turn it on for the first time for 15 minutes as recommended in the instructions, there is no smell! As for the downsides, it really is very"&amp;" dirty on the outside, I would also like the backlight to turn off not with the timer, but after unplugging it from the socket. But the advantages undoubtedly outweigh these disadvantages.")</f>
        <v>The oven is just super!!! It bakes quickly and evenly, compact. And there is no smell of wires in it, even when you turn it on for the first time for 15 minutes as recommended in the instructions, there is no smell! As for the downsides, it really is very dirty on the outside, I would also like the backlight to turn off not with the timer, but after unplugging it from the socket. But the advantages undoubtedly outweigh these disadvantages.</v>
      </c>
    </row>
    <row r="13718" spans="1:9" x14ac:dyDescent="0.3">
      <c r="A13718" s="1" t="s">
        <v>30</v>
      </c>
      <c r="B13718" s="1" t="s">
        <v>50</v>
      </c>
      <c r="C13718" s="1" t="s">
        <v>32</v>
      </c>
      <c r="D13718" s="1" t="s">
        <v>742</v>
      </c>
      <c r="E13718" s="1" t="s">
        <v>824</v>
      </c>
      <c r="F13718" s="1" t="s">
        <v>19068</v>
      </c>
      <c r="G13718" s="1" t="s">
        <v>36</v>
      </c>
      <c r="H13718" s="1" t="s">
        <v>29</v>
      </c>
      <c r="I13718" s="1" t="str">
        <f ca="1">IFERROR(__xludf.DUMMYFUNCTION("GOOGLETRANSLATE(F13718, ""auto"", ""en"")
"),"An excellent device for working with the Internet and applications, and comes with some toys, such as FLATout")</f>
        <v>An excellent device for working with the Internet and applications, and comes with some toys, such as FLATout</v>
      </c>
    </row>
    <row r="13719" spans="1:9" x14ac:dyDescent="0.3">
      <c r="A13719" s="1" t="s">
        <v>811</v>
      </c>
      <c r="B13719" s="1" t="s">
        <v>812</v>
      </c>
      <c r="C13719" s="1" t="s">
        <v>813</v>
      </c>
      <c r="D13719" s="1" t="s">
        <v>385</v>
      </c>
      <c r="E13719" s="1" t="s">
        <v>6971</v>
      </c>
      <c r="F13719" s="1" t="s">
        <v>19069</v>
      </c>
      <c r="G13719" s="1" t="s">
        <v>15</v>
      </c>
      <c r="H13719" s="1" t="s">
        <v>16</v>
      </c>
      <c r="I13719" s="1" t="str">
        <f ca="1">IFERROR(__xludf.DUMMYFUNCTION("GOOGLETRANSLATE(F13719, ""auto"", ""en"")
"),"Pros: Weight. Pleasant both to the touch and to look at. Overall, not bad, but there are some disadvantages, which turned out to be very, very significant: The plastic creaks very loudly.  Turning from left to right is jerky, you can’t shoot a video smoot"&amp;"hly. Please note, only if you turn slowly, otherwise everything seems smooth at first glance (and the weight of the camera also affects it). At the same time, it seemed to me that when installing the camera, it was tilted to the right a little, which is w"&amp;"hy the horizon is blocked.  I tried to loosen the lever, unscrewed it several times and that’s it, there was no thread (even though I didn’t apply any force)... now it doesn’t turn at all. In general, I’m disappointed ((((if you’re thinking of buying it, "&amp;"check it carefully... but I wouldn’t buy one again...")</f>
        <v>Pros: Weight. Pleasant both to the touch and to look at. Overall, not bad, but there are some disadvantages, which turned out to be very, very significant: The plastic creaks very loudly.  Turning from left to right is jerky, you can’t shoot a video smoothly. Please note, only if you turn slowly, otherwise everything seems smooth at first glance (and the weight of the camera also affects it). At the same time, it seemed to me that when installing the camera, it was tilted to the right a little, which is why the horizon is blocked.  I tried to loosen the lever, unscrewed it several times and that’s it, there was no thread (even though I didn’t apply any force)... now it doesn’t turn at all. In general, I’m disappointed ((((if you’re thinking of buying it, check it carefully... but I wouldn’t buy one again...</v>
      </c>
    </row>
    <row r="13720" spans="1:9" x14ac:dyDescent="0.3">
      <c r="A13720" s="1" t="s">
        <v>37</v>
      </c>
      <c r="B13720" s="1" t="s">
        <v>38</v>
      </c>
      <c r="C13720" s="1" t="s">
        <v>39</v>
      </c>
      <c r="D13720" s="1" t="s">
        <v>19070</v>
      </c>
      <c r="E13720" s="1" t="s">
        <v>21</v>
      </c>
      <c r="F13720" s="1" t="s">
        <v>19071</v>
      </c>
      <c r="G13720" s="1" t="s">
        <v>28</v>
      </c>
      <c r="H13720" s="1" t="s">
        <v>29</v>
      </c>
      <c r="I13720" s="1" t="str">
        <f ca="1">IFERROR(__xludf.DUMMYFUNCTION("GOOGLETRANSLATE(F13720, ""auto"", ""en"")
"),"I've been using it for three weeks. I took the silver color. Pros: Good design; multitasking (you can minimize running applications); the sound when talking with the interlocutor is good (I came across reviews that it was hard to hear the interlocutor, bu"&amp;"t it seems that they have fixed it. My phone had the latest firmware R1HA035); The photo camera is good, compared to the SE Z710 heaven and earth (virtually no noise); build quality; you can install themes and create your own (software on the SE website),"&amp;" for SE this is a given, but not for other phones (Samsung has three pre-installed themes and even if it’s crying, use them); you can assign ringtones and photos to contacts directly from the memory card, without copying them to the phone's memory, for SE"&amp;" this is a given, but not for other phones (for Samsung you have to copy to the phone's memory - this shocked me (8GB card, 20MB phone)); The logic of the menu is clear to me and seems natural; You can use a MicroSD card.     Disadvantages: the keyboard i"&amp;"s not very comfortable; the key backlight cannot be turned off (even though it is separate from the display), the inscription on the buttons is not visible during the day (I have a silver phone); no flash (camera backlight); the second speaker (loud) is w"&amp;"orse than that of the SE Z710 (but not entirely bad); The volume buttons on the side are not convenient; the headphones included are really bad (in the picture on the box it seems that they have a button to accept a call, but there is none), I still have "&amp;"headphones from the SE Z710 - they sound much better; also the USB cable was left over from the SE Z710 - it fits, but it’s not included in the kit; There is no standard headphone jack or miniUSB.    Summary: SE once again pleased me. This device has a so"&amp;"ul; when using it you feel freedom (like in GTA SA).")</f>
        <v>I've been using it for three weeks. I took the silver color. Pros: Good design; multitasking (you can minimize running applications); the sound when talking with the interlocutor is good (I came across reviews that it was hard to hear the interlocutor, but it seems that they have fixed it. My phone had the latest firmware R1HA035); The photo camera is good, compared to the SE Z710 heaven and earth (virtually no noise); build quality; you can install themes and create your own (software on the SE website), for SE this is a given, but not for other phones (Samsung has three pre-installed themes and even if it’s crying, use them); you can assign ringtones and photos to contacts directly from the memory card, without copying them to the phone's memory, for SE this is a given, but not for other phones (for Samsung you have to copy to the phone's memory - this shocked me (8GB card, 20MB phone)); The logic of the menu is clear to me and seems natural; You can use a MicroSD card.     Disadvantages: the keyboard is not very comfortable; the key backlight cannot be turned off (even though it is separate from the display), the inscription on the buttons is not visible during the day (I have a silver phone); no flash (camera backlight); the second speaker (loud) is worse than that of the SE Z710 (but not entirely bad); The volume buttons on the side are not convenient; the headphones included are really bad (in the picture on the box it seems that they have a button to accept a call, but there is none), I still have headphones from the SE Z710 - they sound much better; also the USB cable was left over from the SE Z710 - it fits, but it’s not included in the kit; There is no standard headphone jack or miniUSB.    Summary: SE once again pleased me. This device has a soul; when using it you feel freedom (like in GTA SA).</v>
      </c>
    </row>
    <row r="13721" spans="1:9" x14ac:dyDescent="0.3">
      <c r="A13721" s="1" t="s">
        <v>149</v>
      </c>
      <c r="B13721" s="1" t="s">
        <v>150</v>
      </c>
      <c r="C13721" s="1" t="s">
        <v>151</v>
      </c>
      <c r="D13721" s="1" t="s">
        <v>52</v>
      </c>
      <c r="E13721" s="1" t="s">
        <v>6875</v>
      </c>
      <c r="F13721" s="1" t="s">
        <v>19072</v>
      </c>
      <c r="G13721" s="1" t="s">
        <v>15</v>
      </c>
      <c r="H13721" s="1" t="s">
        <v>16</v>
      </c>
      <c r="I13721" s="1" t="str">
        <f ca="1">IFERROR(__xludf.DUMMYFUNCTION("GOOGLETRANSLATE(F13721, ""auto"", ""en"")
"),"I bought it six months ago, the suction is weak and the filter often gets clogged, I wash it. Now it practically doesn’t work, most likely the filter needs to be changed.")</f>
        <v>I bought it six months ago, the suction is weak and the filter often gets clogged, I wash it. Now it practically doesn’t work, most likely the filter needs to be changed.</v>
      </c>
    </row>
    <row r="13722" spans="1:9" x14ac:dyDescent="0.3">
      <c r="A13722" s="1" t="s">
        <v>43</v>
      </c>
      <c r="B13722" s="1" t="s">
        <v>1616</v>
      </c>
      <c r="C13722" s="1" t="s">
        <v>1138</v>
      </c>
      <c r="D13722" s="1" t="s">
        <v>589</v>
      </c>
      <c r="E13722" s="1" t="s">
        <v>1305</v>
      </c>
      <c r="F13722" s="1" t="s">
        <v>19073</v>
      </c>
      <c r="G13722" s="1" t="s">
        <v>36</v>
      </c>
      <c r="H13722" s="1" t="s">
        <v>29</v>
      </c>
      <c r="I13722" s="1" t="str">
        <f ca="1">IFERROR(__xludf.DUMMYFUNCTION("GOOGLETRANSLATE(F13722, ""auto"", ""en"")
"),"Room 11 sq.m. cooled in 20 minutes. It's not particularly noisy, you get used to it quickly. In the heat, salvation is simple. There is an automatic mode when it turns on itself periodically to simply maintain the set temperature, very convenient. To brin"&amp;"g the corrugation out of the window, we inserted plywood instead of mask mesh. In general, it’s a good thing, we didn’t regret buying it. Moreover, it can be transported without problems.")</f>
        <v>Room 11 sq.m. cooled in 20 minutes. It's not particularly noisy, you get used to it quickly. In the heat, salvation is simple. There is an automatic mode when it turns on itself periodically to simply maintain the set temperature, very convenient. To bring the corrugation out of the window, we inserted plywood instead of mask mesh. In general, it’s a good thing, we didn’t regret buying it. Moreover, it can be transported without problems.</v>
      </c>
    </row>
    <row r="13723" spans="1:9" x14ac:dyDescent="0.3">
      <c r="A13723" s="1" t="s">
        <v>149</v>
      </c>
      <c r="B13723" s="1" t="s">
        <v>150</v>
      </c>
      <c r="C13723" s="1" t="s">
        <v>57</v>
      </c>
      <c r="D13723" s="1" t="s">
        <v>2217</v>
      </c>
      <c r="E13723" s="1" t="s">
        <v>2123</v>
      </c>
      <c r="F13723" s="1" t="s">
        <v>19074</v>
      </c>
      <c r="G13723" s="1" t="s">
        <v>49</v>
      </c>
      <c r="H13723" s="1" t="s">
        <v>16</v>
      </c>
      <c r="I13723" s="1" t="str">
        <f ca="1">IFERROR(__xludf.DUMMYFUNCTION("GOOGLETRANSLATE(F13723, ""auto"", ""en"")
"),"I decided to update my car vacuum cleaner, which has been working for 5 years. I bought this one, fell for the low price and the advice of a consultant. My mistake is that when purchasing I did not ask the service to check it.  Briefly: an absolutely usel"&amp;"ess buzzer for 2 thousand rubles. It only absorbs dust suspended in the air, because... there is practically no traction. In the end, I cleaned the interior of the car with an old vacuum cleaner, good, at least I didn’t have time to throw it away. The M-V"&amp;"ideo service refused to exchange or return it, arguing that this is a feature of the model.")</f>
        <v>I decided to update my car vacuum cleaner, which has been working for 5 years. I bought this one, fell for the low price and the advice of a consultant. My mistake is that when purchasing I did not ask the service to check it.  Briefly: an absolutely useless buzzer for 2 thousand rubles. It only absorbs dust suspended in the air, because... there is practically no traction. In the end, I cleaned the interior of the car with an old vacuum cleaner, good, at least I didn’t have time to throw it away. The M-Video service refused to exchange or return it, arguing that this is a feature of the model.</v>
      </c>
    </row>
    <row r="13724" spans="1:9" x14ac:dyDescent="0.3">
      <c r="A13724" s="1" t="s">
        <v>477</v>
      </c>
      <c r="B13724" s="1" t="s">
        <v>478</v>
      </c>
      <c r="C13724" s="1" t="s">
        <v>479</v>
      </c>
      <c r="D13724" s="1" t="s">
        <v>19075</v>
      </c>
      <c r="E13724" s="1" t="s">
        <v>4697</v>
      </c>
      <c r="F13724" s="1" t="s">
        <v>19076</v>
      </c>
      <c r="G13724" s="1" t="s">
        <v>36</v>
      </c>
      <c r="H13724" s="1" t="s">
        <v>29</v>
      </c>
      <c r="I13724" s="1" t="str">
        <f ca="1">IFERROR(__xludf.DUMMYFUNCTION("GOOGLETRANSLATE(F13724, ""auto"", ""en"")
"),"Igra zashibis'! =)")</f>
        <v>Igra zashibis'! =)</v>
      </c>
    </row>
    <row r="13725" spans="1:9" x14ac:dyDescent="0.3">
      <c r="A13725" s="1" t="s">
        <v>61</v>
      </c>
      <c r="B13725" s="1" t="s">
        <v>318</v>
      </c>
      <c r="C13725" s="1" t="s">
        <v>4871</v>
      </c>
      <c r="D13725" s="1" t="s">
        <v>186</v>
      </c>
      <c r="E13725" s="1" t="s">
        <v>14449</v>
      </c>
      <c r="F13725" s="1" t="s">
        <v>19077</v>
      </c>
      <c r="G13725" s="1" t="s">
        <v>36</v>
      </c>
      <c r="H13725" s="1" t="s">
        <v>29</v>
      </c>
      <c r="I13725" s="1" t="str">
        <f ca="1">IFERROR(__xludf.DUMMYFUNCTION("GOOGLETRANSLATE(F13725, ""auto"", ""en"")
"),"I bought this device. I’ve been using it recently, but I’m happy as an elephant. There is always hot water. I was choosing between Panasonic and Zojirushi. Everything is done soundly and efficiently, just like everything else from the Japanese. I recommen"&amp;"d it.")</f>
        <v>I bought this device. I’ve been using it recently, but I’m happy as an elephant. There is always hot water. I was choosing between Panasonic and Zojirushi. Everything is done soundly and efficiently, just like everything else from the Japanese. I recommend it.</v>
      </c>
    </row>
    <row r="13726" spans="1:9" x14ac:dyDescent="0.3">
      <c r="A13726" s="1" t="s">
        <v>211</v>
      </c>
      <c r="B13726" s="1" t="s">
        <v>212</v>
      </c>
      <c r="C13726" s="1" t="s">
        <v>69</v>
      </c>
      <c r="D13726" s="1" t="s">
        <v>247</v>
      </c>
      <c r="E13726" s="1" t="s">
        <v>6685</v>
      </c>
      <c r="F13726" s="1" t="s">
        <v>19078</v>
      </c>
      <c r="G13726" s="1" t="s">
        <v>36</v>
      </c>
      <c r="H13726" s="1" t="s">
        <v>29</v>
      </c>
      <c r="I13726" s="1" t="str">
        <f ca="1">IFERROR(__xludf.DUMMYFUNCTION("GOOGLETRANSLATE(F13726, ""auto"", ""en"")
"),"My curls turn out beautiful. The advantage is that the curlers are of different diameters. The curls last a long time: a day or two, despite the fact that I don’t treat my hair with anything before or after curling. Yes, I agree that the pins are extremel"&amp;"y inconvenient and the technique for using them is not clear, but by purchasing clamps you can change the situation. True, I’ve been using them for 1.5 years already, 4-6 times a week, and all this time I’ve only been planning to buy these same clamps and"&amp;" never got around to special ones. store :)")</f>
        <v>My curls turn out beautiful. The advantage is that the curlers are of different diameters. The curls last a long time: a day or two, despite the fact that I don’t treat my hair with anything before or after curling. Yes, I agree that the pins are extremely inconvenient and the technique for using them is not clear, but by purchasing clamps you can change the situation. True, I’ve been using them for 1.5 years already, 4-6 times a week, and all this time I’ve only been planning to buy these same clamps and never got around to special ones. store :)</v>
      </c>
    </row>
    <row r="13727" spans="1:9" x14ac:dyDescent="0.3">
      <c r="A13727" s="1" t="s">
        <v>17</v>
      </c>
      <c r="B13727" s="1" t="s">
        <v>18</v>
      </c>
      <c r="C13727" s="1" t="s">
        <v>290</v>
      </c>
      <c r="D13727" s="1" t="s">
        <v>64</v>
      </c>
      <c r="E13727" s="1" t="s">
        <v>460</v>
      </c>
      <c r="F13727" s="1" t="s">
        <v>19079</v>
      </c>
      <c r="G13727" s="1" t="s">
        <v>36</v>
      </c>
      <c r="H13727" s="1" t="s">
        <v>29</v>
      </c>
      <c r="I13727" s="1" t="str">
        <f ca="1">IFERROR(__xludf.DUMMYFUNCTION("GOOGLETRANSLATE(F13727, ""auto"", ""en"")
"),"The machine is beautiful, I'm happy.  Thanks to manager Sergei Fedotov for help in choosing and quality service. I wish there were more such employees.")</f>
        <v>The machine is beautiful, I'm happy.  Thanks to manager Sergei Fedotov for help in choosing and quality service. I wish there were more such employees.</v>
      </c>
    </row>
    <row r="13728" spans="1:9" x14ac:dyDescent="0.3">
      <c r="A13728" s="1" t="s">
        <v>811</v>
      </c>
      <c r="B13728" s="1" t="s">
        <v>1294</v>
      </c>
      <c r="C13728" s="1" t="s">
        <v>1295</v>
      </c>
      <c r="D13728" s="1" t="s">
        <v>3506</v>
      </c>
      <c r="E13728" s="1" t="s">
        <v>1688</v>
      </c>
      <c r="F13728" s="1" t="s">
        <v>19080</v>
      </c>
      <c r="G13728" s="1" t="s">
        <v>49</v>
      </c>
      <c r="H13728" s="1" t="s">
        <v>16</v>
      </c>
      <c r="I13728" s="1" t="str">
        <f ca="1">IFERROR(__xludf.DUMMYFUNCTION("GOOGLETRANSLATE(F13728, ""auto"", ""en"")
"),"I bought it to clean a full-frame sensor, the backlight is weak and it’s inconvenient to clean. I threw it in the closet and used a bright LED flashlight for cleaning - all the dirt is visible, it’s comfortable to clean.")</f>
        <v>I bought it to clean a full-frame sensor, the backlight is weak and it’s inconvenient to clean. I threw it in the closet and used a bright LED flashlight for cleaning - all the dirt is visible, it’s comfortable to clean.</v>
      </c>
    </row>
    <row r="13729" spans="1:9" x14ac:dyDescent="0.3">
      <c r="A13729" s="1" t="s">
        <v>120</v>
      </c>
      <c r="B13729" s="1" t="s">
        <v>196</v>
      </c>
      <c r="C13729" s="1" t="s">
        <v>658</v>
      </c>
      <c r="D13729" s="1" t="s">
        <v>19081</v>
      </c>
      <c r="E13729" s="1" t="s">
        <v>1287</v>
      </c>
      <c r="F13729" s="1" t="s">
        <v>19082</v>
      </c>
      <c r="G13729" s="1" t="s">
        <v>36</v>
      </c>
      <c r="H13729" s="1" t="s">
        <v>29</v>
      </c>
      <c r="I13729" s="1" t="str">
        <f ca="1">IFERROR(__xludf.DUMMYFUNCTION("GOOGLETRANSLATE(F13729, ""auto"", ""en"")
"),"I chose lcd for a long time. In general, I didn’t consider TOSCHIBA as an option, I had SONY, SAMSUNG, PHILIPS in my mind, but when comparing all these options, TOSCHIBA turned out to be in an advantageous position for me, i.e. clarity, contrast, dynamics"&amp;" of scenes. I was a long time ago toschiba bomba left very pleasant memories, maybe this influenced my choice! 5+")</f>
        <v>I chose lcd for a long time. In general, I didn’t consider TOSCHIBA as an option, I had SONY, SAMSUNG, PHILIPS in my mind, but when comparing all these options, TOSCHIBA turned out to be in an advantageous position for me, i.e. clarity, contrast, dynamics of scenes. I was a long time ago toschiba bomba left very pleasant memories, maybe this influenced my choice! 5+</v>
      </c>
    </row>
    <row r="13730" spans="1:9" x14ac:dyDescent="0.3">
      <c r="A13730" s="1" t="s">
        <v>37</v>
      </c>
      <c r="B13730" s="1" t="s">
        <v>38</v>
      </c>
      <c r="C13730" s="1" t="s">
        <v>39</v>
      </c>
      <c r="D13730" s="1" t="s">
        <v>186</v>
      </c>
      <c r="E13730" s="1" t="s">
        <v>4783</v>
      </c>
      <c r="F13730" s="1" t="s">
        <v>19083</v>
      </c>
      <c r="G13730" s="1" t="s">
        <v>36</v>
      </c>
      <c r="H13730" s="1" t="s">
        <v>29</v>
      </c>
      <c r="I13730" s="1" t="str">
        <f ca="1">IFERROR(__xludf.DUMMYFUNCTION("GOOGLETRANSLATE(F13730, ""auto"", ""en"")
"),"I bought it almost a month ago and am very pleased. There are no glitches, the camera is good, the sound is excellent, if only there was WiFi and it would be a super phone.  With active use (Internet, games, conversations, roaming) it lasted 7 days on one"&amp;" charge!!!")</f>
        <v>I bought it almost a month ago and am very pleased. There are no glitches, the camera is good, the sound is excellent, if only there was WiFi and it would be a super phone.  With active use (Internet, games, conversations, roaming) it lasted 7 days on one charge!!!</v>
      </c>
    </row>
    <row r="13731" spans="1:9" x14ac:dyDescent="0.3">
      <c r="A13731" s="1" t="s">
        <v>113</v>
      </c>
      <c r="B13731" s="1" t="s">
        <v>1251</v>
      </c>
      <c r="C13731" s="1" t="s">
        <v>2115</v>
      </c>
      <c r="D13731" s="1" t="s">
        <v>308</v>
      </c>
      <c r="E13731" s="1" t="s">
        <v>13796</v>
      </c>
      <c r="F13731" s="1" t="s">
        <v>19084</v>
      </c>
      <c r="G13731" s="1" t="s">
        <v>36</v>
      </c>
      <c r="H13731" s="1" t="s">
        <v>29</v>
      </c>
      <c r="I13731" s="1" t="str">
        <f ca="1">IFERROR(__xludf.DUMMYFUNCTION("GOOGLETRANSLATE(F13731, ""auto"", ""en"")
"),"I purchased it before a trip to the sea for reasons - we are not professionals, but we love taking pictures, so we wanted a camera that was easy to use and of high quality. We chose Coolpix because of the promotion. We didn’t regret it, but we are all hap"&amp;"py about the successful purchase - convenient, stylish, different modes - photos on the beach and nature (landscape mode), portrait mode is suitable almost everywhere. When installing even an average level of quality, at least make posters. The video is a"&amp;"lso decent.")</f>
        <v>I purchased it before a trip to the sea for reasons - we are not professionals, but we love taking pictures, so we wanted a camera that was easy to use and of high quality. We chose Coolpix because of the promotion. We didn’t regret it, but we are all happy about the successful purchase - convenient, stylish, different modes - photos on the beach and nature (landscape mode), portrait mode is suitable almost everywhere. When installing even an average level of quality, at least make posters. The video is also decent.</v>
      </c>
    </row>
    <row r="13732" spans="1:9" x14ac:dyDescent="0.3">
      <c r="A13732" s="1" t="s">
        <v>61</v>
      </c>
      <c r="B13732" s="1" t="s">
        <v>318</v>
      </c>
      <c r="C13732" s="1" t="s">
        <v>246</v>
      </c>
      <c r="D13732" s="1" t="s">
        <v>474</v>
      </c>
      <c r="E13732" s="1" t="s">
        <v>2110</v>
      </c>
      <c r="F13732" s="1" t="s">
        <v>19085</v>
      </c>
      <c r="G13732" s="1" t="s">
        <v>15</v>
      </c>
      <c r="H13732" s="1" t="s">
        <v>16</v>
      </c>
      <c r="I13732" s="1" t="str">
        <f ca="1">IFERROR(__xludf.DUMMYFUNCTION("GOOGLETRANSLATE(F13732, ""auto"", ""en"")
"),"I chose it based on design; I needed a metal kettle. From the assortment I chose Tefal, a brand after all, there was more trust. Yeah. The lid broke almost immediately, and after some time the kettle started leaking.   You also need to be careful with the"&amp;" kettle, it gets very hot, I got burned several times.")</f>
        <v>I chose it based on design; I needed a metal kettle. From the assortment I chose Tefal, a brand after all, there was more trust. Yeah. The lid broke almost immediately, and after some time the kettle started leaking.   You also need to be careful with the kettle, it gets very hot, I got burned several times.</v>
      </c>
    </row>
    <row r="13733" spans="1:9" x14ac:dyDescent="0.3">
      <c r="A13733" s="1" t="s">
        <v>61</v>
      </c>
      <c r="B13733" s="1" t="s">
        <v>73</v>
      </c>
      <c r="C13733" s="1" t="s">
        <v>85</v>
      </c>
      <c r="D13733" s="1" t="s">
        <v>5927</v>
      </c>
      <c r="E13733" s="1" t="s">
        <v>8680</v>
      </c>
      <c r="F13733" s="1" t="s">
        <v>19086</v>
      </c>
      <c r="G13733" s="1" t="s">
        <v>49</v>
      </c>
      <c r="H13733" s="1" t="s">
        <v>16</v>
      </c>
      <c r="I13733" s="1" t="str">
        <f ca="1">IFERROR(__xludf.DUMMYFUNCTION("GOOGLETRANSLATE(F13733, ""auto"", ""en"")
"),"price and low quality")</f>
        <v>price and low quality</v>
      </c>
    </row>
    <row r="13734" spans="1:9" x14ac:dyDescent="0.3">
      <c r="A13734" s="1" t="s">
        <v>61</v>
      </c>
      <c r="B13734" s="1" t="s">
        <v>318</v>
      </c>
      <c r="C13734" s="1" t="s">
        <v>85</v>
      </c>
      <c r="D13734" s="1" t="s">
        <v>152</v>
      </c>
      <c r="E13734" s="1" t="s">
        <v>1794</v>
      </c>
      <c r="F13734" s="1" t="s">
        <v>19087</v>
      </c>
      <c r="G13734" s="1" t="s">
        <v>49</v>
      </c>
      <c r="H13734" s="1" t="s">
        <v>16</v>
      </c>
      <c r="I13734" s="1" t="str">
        <f ca="1">IFERROR(__xludf.DUMMYFUNCTION("GOOGLETRANSLATE(F13734, ""auto"", ""en"")
"),"Price. Very noisy.")</f>
        <v>Price. Very noisy.</v>
      </c>
    </row>
    <row r="13735" spans="1:9" x14ac:dyDescent="0.3">
      <c r="A13735" s="1" t="s">
        <v>120</v>
      </c>
      <c r="B13735" s="1" t="s">
        <v>121</v>
      </c>
      <c r="C13735" s="1" t="s">
        <v>97</v>
      </c>
      <c r="D13735" s="1" t="s">
        <v>39</v>
      </c>
      <c r="E13735" s="1" t="s">
        <v>1723</v>
      </c>
      <c r="F13735" s="1" t="s">
        <v>19088</v>
      </c>
      <c r="G13735" s="1" t="s">
        <v>36</v>
      </c>
      <c r="H13735" s="1" t="s">
        <v>29</v>
      </c>
      <c r="I13735" s="1" t="str">
        <f ca="1">IFERROR(__xludf.DUMMYFUNCTION("GOOGLETRANSLATE(F13735, ""auto"", ""en"")
"),"Pros: excellent model, did not expect such quality from a model using a TV antenna. Disadvantages: no way to watch picture-in-picture on several TV channels. No clock.")</f>
        <v>Pros: excellent model, did not expect such quality from a model using a TV antenna. Disadvantages: no way to watch picture-in-picture on several TV channels. No clock.</v>
      </c>
    </row>
    <row r="13736" spans="1:9" x14ac:dyDescent="0.3">
      <c r="A13736" s="1" t="s">
        <v>1443</v>
      </c>
      <c r="B13736" s="1" t="s">
        <v>1444</v>
      </c>
      <c r="C13736" s="1" t="s">
        <v>1489</v>
      </c>
      <c r="D13736" s="1" t="s">
        <v>19089</v>
      </c>
      <c r="E13736" s="1" t="s">
        <v>4486</v>
      </c>
      <c r="F13736" s="1" t="s">
        <v>19090</v>
      </c>
      <c r="G13736" s="1" t="s">
        <v>36</v>
      </c>
      <c r="H13736" s="1" t="s">
        <v>29</v>
      </c>
      <c r="I13736" s="1" t="str">
        <f ca="1">IFERROR(__xludf.DUMMYFUNCTION("GOOGLETRANSLATE(F13736, ""auto"", ""en"")
"),"Great flash drive. Practical, convenient, without constantly losing the lid. Quite fast writing and reading speed. Very pleased with the purchase, I recommend it to everyone.")</f>
        <v>Great flash drive. Practical, convenient, without constantly losing the lid. Quite fast writing and reading speed. Very pleased with the purchase, I recommend it to everyone.</v>
      </c>
    </row>
    <row r="13737" spans="1:9" x14ac:dyDescent="0.3">
      <c r="A13737" s="1" t="s">
        <v>519</v>
      </c>
      <c r="B13737" s="1" t="s">
        <v>3212</v>
      </c>
      <c r="C13737" s="1" t="s">
        <v>561</v>
      </c>
      <c r="D13737" s="1" t="s">
        <v>247</v>
      </c>
      <c r="E13737" s="1" t="s">
        <v>1589</v>
      </c>
      <c r="F13737" s="1" t="s">
        <v>19091</v>
      </c>
      <c r="G13737" s="1" t="s">
        <v>36</v>
      </c>
      <c r="H13737" s="1" t="s">
        <v>29</v>
      </c>
      <c r="I13737" s="1" t="str">
        <f ca="1">IFERROR(__xludf.DUMMYFUNCTION("GOOGLETRANSLATE(F13737, ""auto"", ""en"")
"),"The shape is optimal for 6-10 people (standard baking trays in gas stoves are too big), the depth is the most convenient, and easy to clean. I've been using it since February and enjoying it.")</f>
        <v>The shape is optimal for 6-10 people (standard baking trays in gas stoves are too big), the depth is the most convenient, and easy to clean. I've been using it since February and enjoying it.</v>
      </c>
    </row>
    <row r="13738" spans="1:9" x14ac:dyDescent="0.3">
      <c r="A13738" s="1" t="s">
        <v>67</v>
      </c>
      <c r="B13738" s="1" t="s">
        <v>340</v>
      </c>
      <c r="C13738" s="1" t="s">
        <v>341</v>
      </c>
      <c r="D13738" s="1" t="s">
        <v>11562</v>
      </c>
      <c r="E13738" s="1" t="s">
        <v>53</v>
      </c>
      <c r="F13738" s="1" t="s">
        <v>19092</v>
      </c>
      <c r="G13738" s="1" t="s">
        <v>28</v>
      </c>
      <c r="H13738" s="1" t="s">
        <v>29</v>
      </c>
      <c r="I13738" s="1" t="str">
        <f ca="1">IFERROR(__xludf.DUMMYFUNCTION("GOOGLETRANSLATE(F13738, ""auto"", ""en"")
"),"Compact, lightweight, functional. The thread-needle-fabric selection is sensitive, you have to get used to it. It sews several layers of silk and denim correctly, good buttonholes, high-quality stitches, I really like the set of decorative delays. In gene"&amp;"ral, for home use - it’s just right.")</f>
        <v>Compact, lightweight, functional. The thread-needle-fabric selection is sensitive, you have to get used to it. It sews several layers of silk and denim correctly, good buttonholes, high-quality stitches, I really like the set of decorative delays. In general, for home use - it’s just right.</v>
      </c>
    </row>
    <row r="13739" spans="1:9" x14ac:dyDescent="0.3">
      <c r="A13739" s="1" t="s">
        <v>30</v>
      </c>
      <c r="B13739" s="1" t="s">
        <v>50</v>
      </c>
      <c r="C13739" s="1" t="s">
        <v>1386</v>
      </c>
      <c r="D13739" s="1" t="s">
        <v>200</v>
      </c>
      <c r="E13739" s="1" t="s">
        <v>956</v>
      </c>
      <c r="F13739" s="1" t="s">
        <v>19093</v>
      </c>
      <c r="G13739" s="1" t="s">
        <v>28</v>
      </c>
      <c r="H13739" s="1" t="s">
        <v>29</v>
      </c>
      <c r="I13739" s="1" t="str">
        <f ca="1">IFERROR(__xludf.DUMMYFUNCTION("GOOGLETRANSLATE(F13739, ""auto"", ""en"")
"),"what special version 7 do you like??? for beech background.picture + welcome screen for companies. change it and the special version is ready.    heats up to 82 percent 77 chip set 79 video 58 hdd but the case is cold, really a little warm, take windows a"&amp;"nytime upgrade, look on the net for the key to upgrade to the maximum, update and you're done")</f>
        <v>what special version 7 do you like??? for beech background.picture + welcome screen for companies. change it and the special version is ready.    heats up to 82 percent 77 chip set 79 video 58 hdd but the case is cold, really a little warm, take windows anytime upgrade, look on the net for the key to upgrade to the maximum, update and you're done</v>
      </c>
    </row>
    <row r="13740" spans="1:9" x14ac:dyDescent="0.3">
      <c r="A13740" s="1" t="s">
        <v>9</v>
      </c>
      <c r="B13740" s="1" t="s">
        <v>10</v>
      </c>
      <c r="C13740" s="1" t="s">
        <v>3091</v>
      </c>
      <c r="D13740" s="1" t="s">
        <v>7879</v>
      </c>
      <c r="E13740" s="1" t="s">
        <v>2118</v>
      </c>
      <c r="F13740" s="1" t="s">
        <v>19094</v>
      </c>
      <c r="G13740" s="1" t="s">
        <v>49</v>
      </c>
      <c r="H13740" s="1" t="s">
        <v>16</v>
      </c>
      <c r="I13740" s="1" t="str">
        <f ca="1">IFERROR(__xludf.DUMMYFUNCTION("GOOGLETRANSLATE(F13740, ""auto"", ""en"")
"),"The 60 cm hood Apelson HELIA 600 INOX turned out to be a fire hazard after 5 months of operation. Filters were changed once a month, as required. Apparently the engine decided to catch fire due to overheating, although the height from the stove was 75 cm."&amp;" It is a pity that the hoods do not have fuses or fusible links or any other fireproof shutdown mechanism in cases of engine failure. All the plastic burned out, dripping onto the stove and dishes. The air duct sleeve had curled up into a ball and there w"&amp;"as soot all over the kitchen from Chinese products.")</f>
        <v>The 60 cm hood Apelson HELIA 600 INOX turned out to be a fire hazard after 5 months of operation. Filters were changed once a month, as required. Apparently the engine decided to catch fire due to overheating, although the height from the stove was 75 cm. It is a pity that the hoods do not have fuses or fusible links or any other fireproof shutdown mechanism in cases of engine failure. All the plastic burned out, dripping onto the stove and dishes. The air duct sleeve had curled up into a ball and there was soot all over the kitchen from Chinese products.</v>
      </c>
    </row>
    <row r="13741" spans="1:9" x14ac:dyDescent="0.3">
      <c r="A13741" s="1" t="s">
        <v>1823</v>
      </c>
      <c r="B13741" s="1" t="s">
        <v>1824</v>
      </c>
      <c r="C13741" s="1" t="s">
        <v>69</v>
      </c>
      <c r="D13741" s="1" t="s">
        <v>19095</v>
      </c>
      <c r="E13741" s="1" t="s">
        <v>4907</v>
      </c>
      <c r="F13741" s="1" t="s">
        <v>19096</v>
      </c>
      <c r="G13741" s="1" t="s">
        <v>49</v>
      </c>
      <c r="H13741" s="1" t="s">
        <v>16</v>
      </c>
      <c r="I13741" s="1" t="str">
        <f ca="1">IFERROR(__xludf.DUMMYFUNCTION("GOOGLETRANSLATE(F13741, ""auto"", ""en"")
"),"for this money you can buy at least two domestic ones. the same class.")</f>
        <v>for this money you can buy at least two domestic ones. the same class.</v>
      </c>
    </row>
    <row r="13742" spans="1:9" x14ac:dyDescent="0.3">
      <c r="A13742" s="1" t="s">
        <v>211</v>
      </c>
      <c r="B13742" s="1" t="s">
        <v>212</v>
      </c>
      <c r="C13742" s="1" t="s">
        <v>453</v>
      </c>
      <c r="D13742" s="1" t="s">
        <v>75</v>
      </c>
      <c r="E13742" s="1" t="s">
        <v>11928</v>
      </c>
      <c r="F13742" s="1" t="s">
        <v>19097</v>
      </c>
      <c r="G13742" s="1" t="s">
        <v>28</v>
      </c>
      <c r="H13742" s="1" t="s">
        <v>29</v>
      </c>
      <c r="I13742" s="1" t="str">
        <f ca="1">IFERROR(__xludf.DUMMYFUNCTION("GOOGLETRANSLATE(F13742, ""auto"", ""en"")
"),"Not a bad curling iron, already the 3rd one in a row, they all work exactly for a year, for the money it’s very good)")</f>
        <v>Not a bad curling iron, already the 3rd one in a row, they all work exactly for a year, for the money it’s very good)</v>
      </c>
    </row>
    <row r="13743" spans="1:9" x14ac:dyDescent="0.3">
      <c r="A13743" s="1" t="s">
        <v>169</v>
      </c>
      <c r="B13743" s="1" t="s">
        <v>170</v>
      </c>
      <c r="C13743" s="1" t="s">
        <v>69</v>
      </c>
      <c r="D13743" s="1" t="s">
        <v>3628</v>
      </c>
      <c r="E13743" s="1" t="s">
        <v>1139</v>
      </c>
      <c r="F13743" s="1" t="s">
        <v>19098</v>
      </c>
      <c r="G13743" s="1" t="s">
        <v>36</v>
      </c>
      <c r="H13743" s="1" t="s">
        <v>29</v>
      </c>
      <c r="I13743" s="1" t="str">
        <f ca="1">IFERROR(__xludf.DUMMYFUNCTION("GOOGLETRANSLATE(F13743, ""auto"", ""en"")
"),"awesome headphones. I would have bought it for 2k if they were selling it))")</f>
        <v>awesome headphones. I would have bought it for 2k if they were selling it))</v>
      </c>
    </row>
    <row r="13744" spans="1:9" x14ac:dyDescent="0.3">
      <c r="A13744" s="1" t="s">
        <v>30</v>
      </c>
      <c r="B13744" s="1" t="s">
        <v>50</v>
      </c>
      <c r="C13744" s="1" t="s">
        <v>189</v>
      </c>
      <c r="D13744" s="1" t="s">
        <v>695</v>
      </c>
      <c r="E13744" s="1" t="s">
        <v>1742</v>
      </c>
      <c r="F13744" s="1" t="s">
        <v>19099</v>
      </c>
      <c r="G13744" s="1" t="s">
        <v>36</v>
      </c>
      <c r="H13744" s="1" t="s">
        <v>29</v>
      </c>
      <c r="I13744" s="1" t="str">
        <f ca="1">IFERROR(__xludf.DUMMYFUNCTION("GOOGLETRANSLATE(F13744, ""auto"", ""en"")
"),"An excellent laptop, I bought it a week ago, it took me a long time to decide on the ratio of price, quality and performance. Windows seventh is very pleasing, I won’t even install XP.")</f>
        <v>An excellent laptop, I bought it a week ago, it took me a long time to decide on the ratio of price, quality and performance. Windows seventh is very pleasing, I won’t even install XP.</v>
      </c>
    </row>
    <row r="13745" spans="1:9" x14ac:dyDescent="0.3">
      <c r="A13745" s="1" t="s">
        <v>149</v>
      </c>
      <c r="B13745" s="1" t="s">
        <v>423</v>
      </c>
      <c r="C13745" s="1" t="s">
        <v>314</v>
      </c>
      <c r="D13745" s="1" t="s">
        <v>327</v>
      </c>
      <c r="E13745" s="1" t="s">
        <v>3458</v>
      </c>
      <c r="F13745" s="1" t="s">
        <v>19100</v>
      </c>
      <c r="G13745" s="1" t="s">
        <v>36</v>
      </c>
      <c r="H13745" s="1" t="s">
        <v>29</v>
      </c>
      <c r="I13745" s="1" t="str">
        <f ca="1">IFERROR(__xludf.DUMMYFUNCTION("GOOGLETRANSLATE(F13745, ""auto"", ""en"")
"),"Wet cleaning")</f>
        <v>Wet cleaning</v>
      </c>
    </row>
    <row r="13746" spans="1:9" x14ac:dyDescent="0.3">
      <c r="A13746" s="1" t="s">
        <v>211</v>
      </c>
      <c r="B13746" s="1" t="s">
        <v>265</v>
      </c>
      <c r="C13746" s="1" t="s">
        <v>122</v>
      </c>
      <c r="D13746" s="1" t="s">
        <v>474</v>
      </c>
      <c r="E13746" s="1" t="s">
        <v>2123</v>
      </c>
      <c r="F13746" s="1" t="s">
        <v>19101</v>
      </c>
      <c r="G13746" s="1" t="s">
        <v>49</v>
      </c>
      <c r="H13746" s="1" t="s">
        <v>16</v>
      </c>
      <c r="I13746" s="1" t="str">
        <f ca="1">IFERROR(__xludf.DUMMYFUNCTION("GOOGLETRANSLATE(F13746, ""auto"", ""en"")
"),"We wanted to buy another machine, but the consultant strongly recommended it... We really regretted that we bought it... ((Hair gets stuck in it after every movement on the head, you have to turn it off, remove the attachment, clean it, etc. in a circle. "&amp;"It's good, it fits well in the hand, it's light, you can wash it under water)")</f>
        <v>We wanted to buy another machine, but the consultant strongly recommended it... We really regretted that we bought it... ((Hair gets stuck in it after every movement on the head, you have to turn it off, remove the attachment, clean it, etc. in a circle. It's good, it fits well in the hand, it's light, you can wash it under water)</v>
      </c>
    </row>
    <row r="13747" spans="1:9" x14ac:dyDescent="0.3">
      <c r="A13747" s="1" t="s">
        <v>557</v>
      </c>
      <c r="B13747" s="1" t="s">
        <v>1977</v>
      </c>
      <c r="C13747" s="1" t="s">
        <v>122</v>
      </c>
      <c r="D13747" s="1" t="s">
        <v>305</v>
      </c>
      <c r="E13747" s="1" t="s">
        <v>109</v>
      </c>
      <c r="F13747" s="1" t="s">
        <v>19102</v>
      </c>
      <c r="G13747" s="1" t="s">
        <v>28</v>
      </c>
      <c r="H13747" s="1" t="s">
        <v>29</v>
      </c>
      <c r="I13747" s="1" t="str">
        <f ca="1">IFERROR(__xludf.DUMMYFUNCTION("GOOGLETRANSLATE(F13747, ""auto"", ""en"")
"),"Not a bad phone, bought it in July, although white. The downside is that when the numeric keypad is locked, the notebook remains unlocked. Those. You cannot dial the number, but you can look at the phone book. Very inconvenient if you have small children,"&amp;" because... You can accidentally destroy records in your phone. book. When the Caller ID function is connected to the PBX, the caller's number is determined.")</f>
        <v>Not a bad phone, bought it in July, although white. The downside is that when the numeric keypad is locked, the notebook remains unlocked. Those. You cannot dial the number, but you can look at the phone book. Very inconvenient if you have small children, because... You can accidentally destroy records in your phone. book. When the Caller ID function is connected to the PBX, the caller's number is determined.</v>
      </c>
    </row>
    <row r="13748" spans="1:9" x14ac:dyDescent="0.3">
      <c r="A13748" s="1" t="s">
        <v>519</v>
      </c>
      <c r="B13748" s="1" t="s">
        <v>3340</v>
      </c>
      <c r="C13748" s="1" t="s">
        <v>3571</v>
      </c>
      <c r="D13748" s="1" t="s">
        <v>295</v>
      </c>
      <c r="E13748" s="1" t="s">
        <v>8801</v>
      </c>
      <c r="F13748" s="1" t="s">
        <v>19103</v>
      </c>
      <c r="G13748" s="1" t="s">
        <v>36</v>
      </c>
      <c r="H13748" s="1" t="s">
        <v>29</v>
      </c>
      <c r="I13748" s="1" t="str">
        <f ca="1">IFERROR(__xludf.DUMMYFUNCTION("GOOGLETRANSLATE(F13748, ""auto"", ""en"")
"),"Very convenient, has a drain spout")</f>
        <v>Very convenient, has a drain spout</v>
      </c>
    </row>
    <row r="13749" spans="1:9" x14ac:dyDescent="0.3">
      <c r="A13749" s="1" t="s">
        <v>111</v>
      </c>
      <c r="B13749" s="1" t="s">
        <v>112</v>
      </c>
      <c r="C13749" s="1" t="s">
        <v>8229</v>
      </c>
      <c r="D13749" s="1" t="s">
        <v>232</v>
      </c>
      <c r="E13749" s="1" t="s">
        <v>19104</v>
      </c>
      <c r="F13749" s="1" t="s">
        <v>19105</v>
      </c>
      <c r="G13749" s="1" t="s">
        <v>49</v>
      </c>
      <c r="H13749" s="1" t="s">
        <v>16</v>
      </c>
      <c r="I13749" s="1" t="str">
        <f ca="1">IFERROR(__xludf.DUMMYFUNCTION("GOOGLETRANSLATE(F13749, ""auto"", ""en"")
"),"It stays monstrously in the socket and dangles. Sparks when trying to insert")</f>
        <v>It stays monstrously in the socket and dangles. Sparks when trying to insert</v>
      </c>
    </row>
    <row r="13750" spans="1:9" x14ac:dyDescent="0.3">
      <c r="A13750" s="1" t="s">
        <v>477</v>
      </c>
      <c r="B13750" s="1" t="s">
        <v>478</v>
      </c>
      <c r="C13750" s="1" t="s">
        <v>479</v>
      </c>
      <c r="D13750" s="1" t="s">
        <v>232</v>
      </c>
      <c r="E13750" s="1" t="s">
        <v>1365</v>
      </c>
      <c r="F13750" s="1" t="s">
        <v>19106</v>
      </c>
      <c r="G13750" s="1" t="s">
        <v>49</v>
      </c>
      <c r="H13750" s="1" t="s">
        <v>16</v>
      </c>
      <c r="I13750" s="1" t="str">
        <f ca="1">IFERROR(__xludf.DUMMYFUNCTION("GOOGLETRANSLATE(F13750, ""auto"", ""en"")
"),"I'm a fan of gothic, but that last part is just bullshit.")</f>
        <v>I'm a fan of gothic, but that last part is just bullshit.</v>
      </c>
    </row>
    <row r="13751" spans="1:9" x14ac:dyDescent="0.3">
      <c r="A13751" s="1" t="s">
        <v>43</v>
      </c>
      <c r="B13751" s="1" t="s">
        <v>1382</v>
      </c>
      <c r="C13751" s="1" t="s">
        <v>57</v>
      </c>
      <c r="D13751" s="1" t="s">
        <v>891</v>
      </c>
      <c r="E13751" s="1" t="s">
        <v>3560</v>
      </c>
      <c r="F13751" s="1" t="s">
        <v>19107</v>
      </c>
      <c r="G13751" s="1" t="s">
        <v>36</v>
      </c>
      <c r="H13751" s="1" t="s">
        <v>29</v>
      </c>
      <c r="I13751" s="1" t="str">
        <f ca="1">IFERROR(__xludf.DUMMYFUNCTION("GOOGLETRANSLATE(F13751, ""auto"", ""en"")
"),"I bought this product today. Very pleased. For a small price, I got an excellent mini-air conditioner. No, I can't call it a fan. I can't move my tongue! :) It makes noise, of course, but I'm used to it. Yes, and it’s better to let it make noise than to d"&amp;"ie from the heat! Thanks M-video!")</f>
        <v>I bought this product today. Very pleased. For a small price, I got an excellent mini-air conditioner. No, I can't call it a fan. I can't move my tongue! :) It makes noise, of course, but I'm used to it. Yes, and it’s better to let it make noise than to die from the heat! Thanks M-video!</v>
      </c>
    </row>
    <row r="13752" spans="1:9" x14ac:dyDescent="0.3">
      <c r="A13752" s="1" t="s">
        <v>1443</v>
      </c>
      <c r="B13752" s="1" t="s">
        <v>1444</v>
      </c>
      <c r="C13752" s="1" t="s">
        <v>4886</v>
      </c>
      <c r="D13752" s="1" t="s">
        <v>19108</v>
      </c>
      <c r="E13752" s="1" t="s">
        <v>631</v>
      </c>
      <c r="F13752" s="1" t="s">
        <v>19109</v>
      </c>
      <c r="G13752" s="1" t="s">
        <v>36</v>
      </c>
      <c r="H13752" s="1" t="s">
        <v>29</v>
      </c>
      <c r="I13752" s="1" t="str">
        <f ca="1">IFERROR(__xludf.DUMMYFUNCTION("GOOGLETRANSLATE(F13752, ""auto"", ""en"")
"),"Awesome flash drive for your money! glows red!  I use it in the car all the time!")</f>
        <v>Awesome flash drive for your money! glows red!  I use it in the car all the time!</v>
      </c>
    </row>
    <row r="13753" spans="1:9" x14ac:dyDescent="0.3">
      <c r="A13753" s="1" t="s">
        <v>238</v>
      </c>
      <c r="B13753" s="1" t="s">
        <v>276</v>
      </c>
      <c r="C13753" s="1" t="s">
        <v>277</v>
      </c>
      <c r="D13753" s="1" t="s">
        <v>940</v>
      </c>
      <c r="E13753" s="1" t="s">
        <v>19110</v>
      </c>
      <c r="F13753" s="1" t="s">
        <v>19111</v>
      </c>
      <c r="G13753" s="1" t="s">
        <v>49</v>
      </c>
      <c r="H13753" s="1" t="s">
        <v>16</v>
      </c>
      <c r="I13753" s="1" t="str">
        <f ca="1">IFERROR(__xludf.DUMMYFUNCTION("GOOGLETRANSLATE(F13753, ""auto"", ""en"")
"),"I bought this refrigerator in 2013. It worked for a year somehow. The compressor made a terrible noise + all sorts of gurgling and hissing inside. A year later, the freezing became worse and worse, and ice began to form at the top of the lower chamber. Th"&amp;"ey repaired it under warranty, they said the compressor tube was leaking and the refrigerant was leaking. After the repair it worked for another year and exactly a month after the warranty expired it stopped freezing again. I called a technician and he sa"&amp;"id there was a leak in the freezer. Repairs are expensive, and it’s not a fact that it won’t break somewhere later. Threw it in the trash")</f>
        <v>I bought this refrigerator in 2013. It worked for a year somehow. The compressor made a terrible noise + all sorts of gurgling and hissing inside. A year later, the freezing became worse and worse, and ice began to form at the top of the lower chamber. They repaired it under warranty, they said the compressor tube was leaking and the refrigerant was leaking. After the repair it worked for another year and exactly a month after the warranty expired it stopped freezing again. I called a technician and he said there was a leak in the freezer. Repairs are expensive, and it’s not a fact that it won’t break somewhere later. Threw it in the trash</v>
      </c>
    </row>
    <row r="13754" spans="1:9" x14ac:dyDescent="0.3">
      <c r="A13754" s="1" t="s">
        <v>624</v>
      </c>
      <c r="B13754" s="1" t="s">
        <v>2107</v>
      </c>
      <c r="C13754" s="1" t="s">
        <v>479</v>
      </c>
      <c r="D13754" s="1" t="s">
        <v>280</v>
      </c>
      <c r="E13754" s="1" t="s">
        <v>14995</v>
      </c>
      <c r="F13754" s="1" t="s">
        <v>19112</v>
      </c>
      <c r="G13754" s="1" t="s">
        <v>28</v>
      </c>
      <c r="H13754" s="1" t="s">
        <v>29</v>
      </c>
      <c r="I13754" s="1" t="str">
        <f ca="1">IFERROR(__xludf.DUMMYFUNCTION("GOOGLETRANSLATE(F13754, ""auto"", ""en"")
"),"I took it when I bought the xbox, and before that I went through it twice on my computer. The game is great, I recommend it to everyone. 4 and not 5, because there are some disadvantages. 1. As in the PC version, there is no anti-aliasing, on mine 22"" on"&amp;" the monitor it was still tolerable, but at 40&amp;quot; TV does not hurt the eyes like a child (the herringbone effect), although you stop paying attention to it after 250 km/h, because there is no time, I’ll make a reservation right away, I’m using an HDMI "&amp;"cable, so it’s not a matter of the “lace”. 2. There is no split-screen game mode (with a friend), which is very annoying. And so, the game is “bomb”, it’s nice to drive, beautiful car models and landscapes, dynamic, colorful. P.S. For about 20 minutes I c"&amp;"ouldn’t open the plastic box containing the box with the game, yes, I’m a Neanderthal, I’ve never encountered such boxes before, I really wanted to play, so I took a screwdriver and barely opened it.")</f>
        <v>I took it when I bought the xbox, and before that I went through it twice on my computer. The game is great, I recommend it to everyone. 4 and not 5, because there are some disadvantages. 1. As in the PC version, there is no anti-aliasing, on mine 22" on the monitor it was still tolerable, but at 40&amp;quot; TV does not hurt the eyes like a child (the herringbone effect), although you stop paying attention to it after 250 km/h, because there is no time, I’ll make a reservation right away, I’m using an HDMI cable, so it’s not a matter of the “lace”. 2. There is no split-screen game mode (with a friend), which is very annoying. And so, the game is “bomb”, it’s nice to drive, beautiful car models and landscapes, dynamic, colorful. P.S. For about 20 minutes I couldn’t open the plastic box containing the box with the game, yes, I’m a Neanderthal, I’ve never encountered such boxes before, I really wanted to play, so I took a screwdriver and barely opened it.</v>
      </c>
    </row>
    <row r="13755" spans="1:9" x14ac:dyDescent="0.3">
      <c r="A13755" s="1" t="s">
        <v>61</v>
      </c>
      <c r="B13755" s="1" t="s">
        <v>180</v>
      </c>
      <c r="C13755" s="1" t="s">
        <v>74</v>
      </c>
      <c r="D13755" s="1" t="s">
        <v>280</v>
      </c>
      <c r="E13755" s="1" t="s">
        <v>2691</v>
      </c>
      <c r="F13755" s="1" t="s">
        <v>19113</v>
      </c>
      <c r="G13755" s="1" t="s">
        <v>15</v>
      </c>
      <c r="H13755" s="1" t="s">
        <v>16</v>
      </c>
      <c r="I13755" s="1" t="str">
        <f ca="1">IFERROR(__xludf.DUMMYFUNCTION("GOOGLETRANSLATE(F13755, ""auto"", ""en"")
"),"So-so, my wife and I didn’t like it. And my daughter is delighted. I didn’t like that the bread baked poorly, and it was hard to adjust to when cooking.")</f>
        <v>So-so, my wife and I didn’t like it. And my daughter is delighted. I didn’t like that the bread baked poorly, and it was hard to adjust to when cooking.</v>
      </c>
    </row>
    <row r="13756" spans="1:9" x14ac:dyDescent="0.3">
      <c r="A13756" s="1" t="s">
        <v>78</v>
      </c>
      <c r="B13756" s="1" t="s">
        <v>1163</v>
      </c>
      <c r="C13756" s="1" t="s">
        <v>80</v>
      </c>
      <c r="D13756" s="1" t="s">
        <v>39</v>
      </c>
      <c r="E13756" s="1" t="s">
        <v>2410</v>
      </c>
      <c r="F13756" s="1" t="s">
        <v>19114</v>
      </c>
      <c r="G13756" s="1" t="s">
        <v>36</v>
      </c>
      <c r="H13756" s="1" t="s">
        <v>29</v>
      </c>
      <c r="I13756" s="1" t="str">
        <f ca="1">IFERROR(__xludf.DUMMYFUNCTION("GOOGLETRANSLATE(F13756, ""auto"", ""en"")
"),"I bought this product a couple of days ago and am quite pleased with it.  Excellent price/quality ratio.  I hope it will last a long time.")</f>
        <v>I bought this product a couple of days ago and am quite pleased with it.  Excellent price/quality ratio.  I hope it will last a long time.</v>
      </c>
    </row>
    <row r="13757" spans="1:9" x14ac:dyDescent="0.3">
      <c r="A13757" s="1" t="s">
        <v>30</v>
      </c>
      <c r="B13757" s="1" t="s">
        <v>50</v>
      </c>
      <c r="C13757" s="1" t="s">
        <v>32</v>
      </c>
      <c r="D13757" s="1" t="s">
        <v>327</v>
      </c>
      <c r="E13757" s="1" t="s">
        <v>820</v>
      </c>
      <c r="F13757" s="1" t="s">
        <v>18161</v>
      </c>
      <c r="G13757" s="1" t="s">
        <v>36</v>
      </c>
      <c r="H13757" s="1" t="s">
        <v>29</v>
      </c>
      <c r="I13757" s="1" t="str">
        <f ca="1">IFERROR(__xludf.DUMMYFUNCTION("GOOGLETRANSLATE(F13757, ""auto"", ""en"")
"),"5")</f>
        <v>5</v>
      </c>
    </row>
    <row r="13758" spans="1:9" x14ac:dyDescent="0.3">
      <c r="A13758" s="1" t="s">
        <v>211</v>
      </c>
      <c r="B13758" s="1" t="s">
        <v>212</v>
      </c>
      <c r="C13758" s="1" t="s">
        <v>213</v>
      </c>
      <c r="D13758" s="1" t="s">
        <v>10418</v>
      </c>
      <c r="E13758" s="1" t="s">
        <v>2059</v>
      </c>
      <c r="F13758" s="1" t="s">
        <v>19115</v>
      </c>
      <c r="G13758" s="1" t="s">
        <v>36</v>
      </c>
      <c r="H13758" s="1" t="s">
        <v>29</v>
      </c>
      <c r="I13758" s="1" t="str">
        <f ca="1">IFERROR(__xludf.DUMMYFUNCTION("GOOGLETRANSLATE(F13758, ""auto"", ""en"")
"),"I bought this iron today. Actually, I was looking for another brand of straightener, but the seller suggested looking at this model. It fits very comfortably in the hand, unlike others I've looked at. Very light. At home I tried how it works at the minimu"&amp;"m temperature - it really straightens perfectly. Let's see what happens next. I really don't want my hair to become electrified. So far I'm happy.")</f>
        <v>I bought this iron today. Actually, I was looking for another brand of straightener, but the seller suggested looking at this model. It fits very comfortably in the hand, unlike others I've looked at. Very light. At home I tried how it works at the minimum temperature - it really straightens perfectly. Let's see what happens next. I really don't want my hair to become electrified. So far I'm happy.</v>
      </c>
    </row>
    <row r="13759" spans="1:9" x14ac:dyDescent="0.3">
      <c r="A13759" s="1" t="s">
        <v>9</v>
      </c>
      <c r="B13759" s="1" t="s">
        <v>137</v>
      </c>
      <c r="C13759" s="1" t="s">
        <v>63</v>
      </c>
      <c r="D13759" s="1" t="s">
        <v>327</v>
      </c>
      <c r="E13759" s="1" t="s">
        <v>5461</v>
      </c>
      <c r="F13759" s="1" t="s">
        <v>19116</v>
      </c>
      <c r="G13759" s="1" t="s">
        <v>28</v>
      </c>
      <c r="H13759" s="1" t="s">
        <v>29</v>
      </c>
      <c r="I13759" s="1" t="str">
        <f ca="1">IFERROR(__xludf.DUMMYFUNCTION("GOOGLETRANSLATE(F13759, ""auto"", ""en"")
"),"I bought it, installed it, it was a great thing, but the broth ran onto the surface of the tile and, as a result, the black coating was rubbed off where it touched the pan, without even rubbing - I was disappointed.")</f>
        <v>I bought it, installed it, it was a great thing, but the broth ran onto the surface of the tile and, as a result, the black coating was rubbed off where it touched the pan, without even rubbing - I was disappointed.</v>
      </c>
    </row>
    <row r="13760" spans="1:9" x14ac:dyDescent="0.3">
      <c r="A13760" s="1" t="s">
        <v>169</v>
      </c>
      <c r="B13760" s="1" t="s">
        <v>170</v>
      </c>
      <c r="C13760" s="1" t="s">
        <v>122</v>
      </c>
      <c r="D13760" s="1" t="s">
        <v>39</v>
      </c>
      <c r="E13760" s="1" t="s">
        <v>8051</v>
      </c>
      <c r="F13760" s="1" t="s">
        <v>19117</v>
      </c>
      <c r="G13760" s="1" t="s">
        <v>36</v>
      </c>
      <c r="H13760" s="1" t="s">
        <v>29</v>
      </c>
      <c r="I13760" s="1" t="str">
        <f ca="1">IFERROR(__xludf.DUMMYFUNCTION("GOOGLETRANSLATE(F13760, ""auto"", ""en"")
"),"I bought the headphones on August 23, 2013, I’m not a serious music lover and I agree with other reviews. Justifies the price 100%. Unfortunately, today I started putting them on and the main plastic holder on which the ears themselves are held broke brok"&amp;"e. Above, near the limiter. Anyway, I give them 5 stars.")</f>
        <v>I bought the headphones on August 23, 2013, I’m not a serious music lover and I agree with other reviews. Justifies the price 100%. Unfortunately, today I started putting them on and the main plastic holder on which the ears themselves are held broke broke. Above, near the limiter. Anyway, I give them 5 stars.</v>
      </c>
    </row>
    <row r="13761" spans="1:9" x14ac:dyDescent="0.3">
      <c r="A13761" s="1" t="s">
        <v>9</v>
      </c>
      <c r="B13761" s="1" t="s">
        <v>137</v>
      </c>
      <c r="C13761" s="1" t="s">
        <v>151</v>
      </c>
      <c r="D13761" s="1" t="s">
        <v>19118</v>
      </c>
      <c r="E13761" s="1" t="s">
        <v>3848</v>
      </c>
      <c r="F13761" s="1" t="s">
        <v>19119</v>
      </c>
      <c r="G13761" s="1" t="s">
        <v>15</v>
      </c>
      <c r="H13761" s="1" t="s">
        <v>16</v>
      </c>
      <c r="I13761" s="1" t="str">
        <f ca="1">IFERROR(__xludf.DUMMYFUNCTION("GOOGLETRANSLATE(F13761, ""auto"", ""en"")
"),"A beautiful panel, convenient, fast, but after a month the lower left burner and extension stopped working. After two years, the top right burner stopped working. We use two small burners. We are thinking whether to repair it or buy the same new one, beca"&amp;"use... another model will not fit in size.")</f>
        <v>A beautiful panel, convenient, fast, but after a month the lower left burner and extension stopped working. After two years, the top right burner stopped working. We use two small burners. We are thinking whether to repair it or buy the same new one, because... another model will not fit in size.</v>
      </c>
    </row>
    <row r="13762" spans="1:9" x14ac:dyDescent="0.3">
      <c r="A13762" s="1" t="s">
        <v>282</v>
      </c>
      <c r="B13762" s="1" t="s">
        <v>806</v>
      </c>
      <c r="C13762" s="1" t="s">
        <v>284</v>
      </c>
      <c r="D13762" s="1" t="s">
        <v>208</v>
      </c>
      <c r="E13762" s="1" t="s">
        <v>386</v>
      </c>
      <c r="F13762" s="1" t="s">
        <v>19120</v>
      </c>
      <c r="G13762" s="1" t="s">
        <v>49</v>
      </c>
      <c r="H13762" s="1" t="s">
        <v>16</v>
      </c>
      <c r="I13762" s="1" t="str">
        <f ca="1">IFERROR(__xludf.DUMMYFUNCTION("GOOGLETRANSLATE(F13762, ""auto"", ""en"")
"),"Lies! Cynical and boorish! How could the madman (portrayed in the film) Ivan the Terrible expand his kingdom to Siberia? Yes, because he is not a madman, but a real king - wise and strong, fair and merciful!")</f>
        <v>Lies! Cynical and boorish! How could the madman (portrayed in the film) Ivan the Terrible expand his kingdom to Siberia? Yes, because he is not a madman, but a real king - wise and strong, fair and merciful!</v>
      </c>
    </row>
    <row r="13763" spans="1:9" x14ac:dyDescent="0.3">
      <c r="A13763" s="1" t="s">
        <v>37</v>
      </c>
      <c r="B13763" s="1" t="s">
        <v>536</v>
      </c>
      <c r="C13763" s="1" t="s">
        <v>189</v>
      </c>
      <c r="D13763" s="1" t="s">
        <v>52</v>
      </c>
      <c r="E13763" s="1" t="s">
        <v>164</v>
      </c>
      <c r="F13763" s="1" t="s">
        <v>19121</v>
      </c>
      <c r="G13763" s="1" t="s">
        <v>36</v>
      </c>
      <c r="H13763" s="1" t="s">
        <v>29</v>
      </c>
      <c r="I13763" s="1" t="str">
        <f ca="1">IFERROR(__xludf.DUMMYFUNCTION("GOOGLETRANSLATE(F13763, ""auto"", ""en"")
"),"Great communicator")</f>
        <v>Great communicator</v>
      </c>
    </row>
    <row r="13764" spans="1:9" x14ac:dyDescent="0.3">
      <c r="A13764" s="1" t="s">
        <v>120</v>
      </c>
      <c r="B13764" s="1" t="s">
        <v>121</v>
      </c>
      <c r="C13764" s="1" t="s">
        <v>151</v>
      </c>
      <c r="D13764" s="1" t="s">
        <v>52</v>
      </c>
      <c r="E13764" s="1" t="s">
        <v>131</v>
      </c>
      <c r="F13764" s="1" t="s">
        <v>19122</v>
      </c>
      <c r="G13764" s="1" t="s">
        <v>36</v>
      </c>
      <c r="H13764" s="1" t="s">
        <v>29</v>
      </c>
      <c r="I13764" s="1" t="str">
        <f ca="1">IFERROR(__xludf.DUMMYFUNCTION("GOOGLETRANSLATE(F13764, ""auto"", ""en"")
"),"We’ve been using the TV for a month now and I’m incredibly glad that I spent two whole weeks on comparisons, tests and reviews of TVs, which is why I decided to buy this particular TV for my family. I didn’t expect that the TV would show the terrestrial c"&amp;"hannels so well, which we watch for 90% of all viewing (there is no cable or satellite, but we watch 1.5-3 meters from the TV). Maybe the broadcast is good, p.e. I won’t say that everyone will perform so well. I wanted to buy a DVD player, but now there i"&amp;"s no need to watch movies from a flash drive. The limited capabilities of the built-in player (does not stretch the image, limited rewinding) do not spoil the delight of the purchase at all, considering that it decodes a large number of video formats and "&amp;"that the built-in player is a bonus to a high-quality picture and you don’t have to expect much from it! It's a pity that some functions (100Hz, sleep timer) are not available on the remote's hot keys, but there are many other excellent functions. For tho"&amp;"se who like to watch series and TV shows at a certain time, there is a useful schedule function, which not only switches to the desired channel at a certain time, but warns 5 minutes in advance about the start of the movie and provides a choice for switch"&amp;"ing. I liked the very fast switching between channels, which I have not seen on other LCD TVs. I really liked the remote control, it fits in your hand - as they say, and for those who like to watch at night, the remote control is easy to use due to the ba"&amp;"cklit keys that can be switched on. The design of the TV itself fit well into the glossy black interior of the room, although I chose the TV not because of its design, but we were even more pleased with this fact. And even this all pales in comparison to "&amp;"the quality of the picture: the depth of black and bright, contrasting colors of the picture, uniform illumination. Out of curiosity, I checked the matrix for dead pixels and it turned out that there were none!    Now we will wait for the promised digital"&amp;" television in Russia, because... In addition to the analogue TV, the TV also has a digital tuner!   I recommend!")</f>
        <v>We’ve been using the TV for a month now and I’m incredibly glad that I spent two whole weeks on comparisons, tests and reviews of TVs, which is why I decided to buy this particular TV for my family. I didn’t expect that the TV would show the terrestrial channels so well, which we watch for 90% of all viewing (there is no cable or satellite, but we watch 1.5-3 meters from the TV). Maybe the broadcast is good, p.e. I won’t say that everyone will perform so well. I wanted to buy a DVD player, but now there is no need to watch movies from a flash drive. The limited capabilities of the built-in player (does not stretch the image, limited rewinding) do not spoil the delight of the purchase at all, considering that it decodes a large number of video formats and that the built-in player is a bonus to a high-quality picture and you don’t have to expect much from it! It's a pity that some functions (100Hz, sleep timer) are not available on the remote's hot keys, but there are many other excellent functions. For those who like to watch series and TV shows at a certain time, there is a useful schedule function, which not only switches to the desired channel at a certain time, but warns 5 minutes in advance about the start of the movie and provides a choice for switching. I liked the very fast switching between channels, which I have not seen on other LCD TVs. I really liked the remote control, it fits in your hand - as they say, and for those who like to watch at night, the remote control is easy to use due to the backlit keys that can be switched on. The design of the TV itself fit well into the glossy black interior of the room, although I chose the TV not because of its design, but we were even more pleased with this fact. And even this all pales in comparison to the quality of the picture: the depth of black and bright, contrasting colors of the picture, uniform illumination. Out of curiosity, I checked the matrix for dead pixels and it turned out that there were none!    Now we will wait for the promised digital television in Russia, because... In addition to the analogue TV, the TV also has a digital tuner!   I recommend!</v>
      </c>
    </row>
    <row r="13765" spans="1:9" x14ac:dyDescent="0.3">
      <c r="A13765" s="1" t="s">
        <v>61</v>
      </c>
      <c r="B13765" s="1" t="s">
        <v>318</v>
      </c>
      <c r="C13765" s="1" t="s">
        <v>85</v>
      </c>
      <c r="D13765" s="1" t="s">
        <v>305</v>
      </c>
      <c r="E13765" s="1" t="s">
        <v>5369</v>
      </c>
      <c r="F13765" s="1" t="s">
        <v>19123</v>
      </c>
      <c r="G13765" s="1" t="s">
        <v>49</v>
      </c>
      <c r="H13765" s="1" t="s">
        <v>16</v>
      </c>
      <c r="I13765" s="1" t="str">
        <f ca="1">IFERROR(__xludf.DUMMYFUNCTION("GOOGLETRANSLATE(F13765, ""auto"", ""en"")
"),"Stream")</f>
        <v>Stream</v>
      </c>
    </row>
    <row r="13766" spans="1:9" x14ac:dyDescent="0.3">
      <c r="A13766" s="1" t="s">
        <v>61</v>
      </c>
      <c r="B13766" s="1" t="s">
        <v>318</v>
      </c>
      <c r="C13766" s="1" t="s">
        <v>57</v>
      </c>
      <c r="D13766" s="1" t="s">
        <v>633</v>
      </c>
      <c r="E13766" s="1" t="s">
        <v>2654</v>
      </c>
      <c r="F13766" s="1" t="s">
        <v>19124</v>
      </c>
      <c r="G13766" s="1" t="s">
        <v>36</v>
      </c>
      <c r="H13766" s="1" t="s">
        <v>29</v>
      </c>
      <c r="I13766" s="1" t="str">
        <f ca="1">IFERROR(__xludf.DUMMYFUNCTION("GOOGLETRANSLATE(F13766, ""auto"", ""en"")
"),"We bought a thermopot for our office and took a long time to choose. I wanted to buy something decent on a limited budget. We chose this option because: excellent price, nice modern appearance, convenient and practical use, fast water heating, required vo"&amp;"lume (3.8 l), uninterrupted operation, long-term heat retention. Usually in some models the pump is the main “sore spot”, but here everything is in order. The pump is good quality, comfortable, reliable. The plastic is obviously of high quality. Another p"&amp;"ositive point is the absence of foreign tastes and odors in the water. The previous kettle had this problem. And here everything is in order.")</f>
        <v>We bought a thermopot for our office and took a long time to choose. I wanted to buy something decent on a limited budget. We chose this option because: excellent price, nice modern appearance, convenient and practical use, fast water heating, required volume (3.8 l), uninterrupted operation, long-term heat retention. Usually in some models the pump is the main “sore spot”, but here everything is in order. The pump is good quality, comfortable, reliable. The plastic is obviously of high quality. Another positive point is the absence of foreign tastes and odors in the water. The previous kettle had this problem. And here everything is in order.</v>
      </c>
    </row>
    <row r="13767" spans="1:9" x14ac:dyDescent="0.3">
      <c r="A13767" s="1" t="s">
        <v>149</v>
      </c>
      <c r="B13767" s="1" t="s">
        <v>155</v>
      </c>
      <c r="C13767" s="1" t="s">
        <v>63</v>
      </c>
      <c r="D13767" s="1" t="s">
        <v>186</v>
      </c>
      <c r="E13767" s="1" t="s">
        <v>3004</v>
      </c>
      <c r="F13767" s="1" t="s">
        <v>19125</v>
      </c>
      <c r="G13767" s="1" t="s">
        <v>49</v>
      </c>
      <c r="H13767" s="1" t="s">
        <v>16</v>
      </c>
      <c r="I13767" s="1" t="str">
        <f ca="1">IFERROR(__xludf.DUMMYFUNCTION("GOOGLETRANSLATE(F13767, ""auto"", ""en"")
"),"They only need to vacuum the shelves!!!  If you have a dog, forget about this model, because of the cone suction, all the hair sticks to it.  He sounds like he's dying, he's not sucking very well.  Just one + this is a container")</f>
        <v>They only need to vacuum the shelves!!!  If you have a dog, forget about this model, because of the cone suction, all the hair sticks to it.  He sounds like he's dying, he's not sucking very well.  Just one + this is a container</v>
      </c>
    </row>
    <row r="13768" spans="1:9" x14ac:dyDescent="0.3">
      <c r="A13768" s="1" t="s">
        <v>111</v>
      </c>
      <c r="B13768" s="1" t="s">
        <v>112</v>
      </c>
      <c r="C13768" s="1" t="s">
        <v>1230</v>
      </c>
      <c r="D13768" s="1" t="s">
        <v>152</v>
      </c>
      <c r="E13768" s="1" t="s">
        <v>6388</v>
      </c>
      <c r="F13768" s="1" t="s">
        <v>19126</v>
      </c>
      <c r="G13768" s="1" t="s">
        <v>15</v>
      </c>
      <c r="H13768" s="1" t="s">
        <v>16</v>
      </c>
      <c r="I13768" s="1" t="str">
        <f ca="1">IFERROR(__xludf.DUMMYFUNCTION("GOOGLETRANSLATE(F13768, ""auto"", ""en"")
"),"Broke after 7 months of use. APC is no longer the same")</f>
        <v>Broke after 7 months of use. APC is no longer the same</v>
      </c>
    </row>
    <row r="13769" spans="1:9" x14ac:dyDescent="0.3">
      <c r="A13769" s="1" t="s">
        <v>61</v>
      </c>
      <c r="B13769" s="1" t="s">
        <v>224</v>
      </c>
      <c r="C13769" s="1" t="s">
        <v>101</v>
      </c>
      <c r="D13769" s="1" t="s">
        <v>232</v>
      </c>
      <c r="E13769" s="1" t="s">
        <v>1012</v>
      </c>
      <c r="F13769" s="1" t="s">
        <v>19127</v>
      </c>
      <c r="G13769" s="1" t="s">
        <v>49</v>
      </c>
      <c r="H13769" s="1" t="s">
        <v>16</v>
      </c>
      <c r="I13769" s="1" t="str">
        <f ca="1">IFERROR(__xludf.DUMMYFUNCTION("GOOGLETRANSLATE(F13769, ""auto"", ""en"")
"),"Broke after a month, I don’t recommend this brand to anyone")</f>
        <v>Broke after a month, I don’t recommend this brand to anyone</v>
      </c>
    </row>
    <row r="13770" spans="1:9" x14ac:dyDescent="0.3">
      <c r="A13770" s="1" t="s">
        <v>211</v>
      </c>
      <c r="B13770" s="1" t="s">
        <v>212</v>
      </c>
      <c r="C13770" s="1" t="s">
        <v>1591</v>
      </c>
      <c r="D13770" s="1" t="s">
        <v>327</v>
      </c>
      <c r="E13770" s="1" t="s">
        <v>4490</v>
      </c>
      <c r="F13770" s="1" t="s">
        <v>19128</v>
      </c>
      <c r="G13770" s="1" t="s">
        <v>36</v>
      </c>
      <c r="H13770" s="1" t="s">
        <v>29</v>
      </c>
      <c r="I13770" s="1" t="str">
        <f ca="1">IFERROR(__xludf.DUMMYFUNCTION("GOOGLETRANSLATE(F13770, ""auto"", ""en"")
"),"I bought it for my wife. I use it often and love it. The device is high quality and quite massive.  I ordered delivery by courier, but it turned out not to be a complete set; one of the attachments was missing from the box, which was eventually completed "&amp;"after contacting the store. So, when purchasing, check the package immediately.")</f>
        <v>I bought it for my wife. I use it often and love it. The device is high quality and quite massive.  I ordered delivery by courier, but it turned out not to be a complete set; one of the attachments was missing from the box, which was eventually completed after contacting the store. So, when purchasing, check the package immediately.</v>
      </c>
    </row>
    <row r="13771" spans="1:9" x14ac:dyDescent="0.3">
      <c r="A13771" s="1" t="s">
        <v>67</v>
      </c>
      <c r="B13771" s="1" t="s">
        <v>68</v>
      </c>
      <c r="C13771" s="1" t="s">
        <v>69</v>
      </c>
      <c r="D13771" s="1" t="s">
        <v>19129</v>
      </c>
      <c r="E13771" s="1" t="s">
        <v>2298</v>
      </c>
      <c r="F13771" s="1" t="s">
        <v>19130</v>
      </c>
      <c r="G13771" s="1" t="s">
        <v>36</v>
      </c>
      <c r="H13771" s="1" t="s">
        <v>29</v>
      </c>
      <c r="I13771" s="1" t="str">
        <f ca="1">IFERROR(__xludf.DUMMYFUNCTION("GOOGLETRANSLATE(F13771, ""auto"", ""en"")
"),"I am very pleased with this iron. I've been using it for 5 years now. Perfectly irons all items, including delicate fabrics, as well as folds. Pleases with numerous functions. Having bought an expensive iron of a different model, my friend regretted it an"&amp;"d decided to buy the same one as mine. Reasonable price for excellent quality. I recommend!")</f>
        <v>I am very pleased with this iron. I've been using it for 5 years now. Perfectly irons all items, including delicate fabrics, as well as folds. Pleases with numerous functions. Having bought an expensive iron of a different model, my friend regretted it and decided to buy the same one as mine. Reasonable price for excellent quality. I recommend!</v>
      </c>
    </row>
    <row r="13772" spans="1:9" x14ac:dyDescent="0.3">
      <c r="A13772" s="1" t="s">
        <v>61</v>
      </c>
      <c r="B13772" s="1" t="s">
        <v>977</v>
      </c>
      <c r="C13772" s="1" t="s">
        <v>69</v>
      </c>
      <c r="D13772" s="1" t="s">
        <v>3937</v>
      </c>
      <c r="E13772" s="1" t="s">
        <v>2815</v>
      </c>
      <c r="F13772" s="1" t="s">
        <v>19131</v>
      </c>
      <c r="G13772" s="1" t="s">
        <v>36</v>
      </c>
      <c r="H13772" s="1" t="s">
        <v>29</v>
      </c>
      <c r="I13772" s="1" t="str">
        <f ca="1">IFERROR(__xludf.DUMMYFUNCTION("GOOGLETRANSLATE(F13772, ""auto"", ""en"")
"),"A wonderful helper in the kitchen. I do everything for them! And instead of a meat grinder, and instead of a masher, grater, I knead the dough - I don’t know how I lived without it before!")</f>
        <v>A wonderful helper in the kitchen. I do everything for them! And instead of a meat grinder, and instead of a masher, grater, I knead the dough - I don’t know how I lived without it before!</v>
      </c>
    </row>
    <row r="13773" spans="1:9" x14ac:dyDescent="0.3">
      <c r="A13773" s="1" t="s">
        <v>37</v>
      </c>
      <c r="B13773" s="1" t="s">
        <v>536</v>
      </c>
      <c r="C13773" s="1" t="s">
        <v>537</v>
      </c>
      <c r="D13773" s="1" t="s">
        <v>171</v>
      </c>
      <c r="E13773" s="1" t="s">
        <v>1327</v>
      </c>
      <c r="F13773" s="1" t="s">
        <v>19132</v>
      </c>
      <c r="G13773" s="1" t="s">
        <v>36</v>
      </c>
      <c r="H13773" s="1" t="s">
        <v>29</v>
      </c>
      <c r="I13773" s="1" t="str">
        <f ca="1">IFERROR(__xludf.DUMMYFUNCTION("GOOGLETRANSLATE(F13773, ""auto"", ""en"")
"),"Super device!!! I had no idea that modern mobile devices have become so advanced!!! Lots of applications, zero slowdowns, intuitive controls!! I recommend it to everyone!!!")</f>
        <v>Super device!!! I had no idea that modern mobile devices have become so advanced!!! Lots of applications, zero slowdowns, intuitive controls!! I recommend it to everyone!!!</v>
      </c>
    </row>
    <row r="13774" spans="1:9" x14ac:dyDescent="0.3">
      <c r="A13774" s="1" t="s">
        <v>238</v>
      </c>
      <c r="B13774" s="1" t="s">
        <v>239</v>
      </c>
      <c r="C13774" s="1" t="s">
        <v>240</v>
      </c>
      <c r="D13774" s="1" t="s">
        <v>335</v>
      </c>
      <c r="E13774" s="1" t="s">
        <v>6064</v>
      </c>
      <c r="F13774" s="1" t="s">
        <v>19133</v>
      </c>
      <c r="G13774" s="1" t="s">
        <v>36</v>
      </c>
      <c r="H13774" s="1" t="s">
        <v>29</v>
      </c>
      <c r="I13774" s="1" t="str">
        <f ca="1">IFERROR(__xludf.DUMMYFUNCTION("GOOGLETRANSLATE(F13774, ""auto"", ""en"")
"),"You can write a lot about the advantages of Liebherr refrigerators. I will describe the main points: the quality and reliability of drawers, shelves, fastenings, etc. - everything functions (even after the man’s merciless exploitation). Low power consumpt"&amp;"ion - suitable for its size. And of course the capacity - I bought a refrigerator for my home and the freezer capacity is impressive! The assembly is German - which speaks for itself!")</f>
        <v>You can write a lot about the advantages of Liebherr refrigerators. I will describe the main points: the quality and reliability of drawers, shelves, fastenings, etc. - everything functions (even after the man’s merciless exploitation). Low power consumption - suitable for its size. And of course the capacity - I bought a refrigerator for my home and the freezer capacity is impressive! The assembly is German - which speaks for itself!</v>
      </c>
    </row>
    <row r="13775" spans="1:9" x14ac:dyDescent="0.3">
      <c r="A13775" s="1" t="s">
        <v>37</v>
      </c>
      <c r="B13775" s="1" t="s">
        <v>536</v>
      </c>
      <c r="C13775" s="1" t="s">
        <v>1419</v>
      </c>
      <c r="D13775" s="1" t="s">
        <v>1008</v>
      </c>
      <c r="E13775" s="1" t="s">
        <v>1219</v>
      </c>
      <c r="F13775" s="1" t="s">
        <v>19134</v>
      </c>
      <c r="G13775" s="1" t="s">
        <v>28</v>
      </c>
      <c r="H13775" s="1" t="s">
        <v>29</v>
      </c>
      <c r="I13775" s="1" t="str">
        <f ca="1">IFERROR(__xludf.DUMMYFUNCTION("GOOGLETRANSLATE(F13775, ""auto"", ""en"")
"),"Alexander (Astrakhan) wrote: “Guys, it has a very grainy screen, just pick up the “junior” model Rover V7 and you will immediately understand everything!”    The Rover V7 has a completely different screen - VGA with a resolution of 640x480 pixels, while t"&amp;"his one has QVGA - 240 x 320 pixels. This is why the “graininess” is visible compared to V7.")</f>
        <v>Alexander (Astrakhan) wrote: “Guys, it has a very grainy screen, just pick up the “junior” model Rover V7 and you will immediately understand everything!”    The Rover V7 has a completely different screen - VGA with a resolution of 640x480 pixels, while this one has QVGA - 240 x 320 pixels. This is why the “graininess” is visible compared to V7.</v>
      </c>
    </row>
    <row r="13776" spans="1:9" x14ac:dyDescent="0.3">
      <c r="A13776" s="1" t="s">
        <v>17</v>
      </c>
      <c r="B13776" s="1" t="s">
        <v>18</v>
      </c>
      <c r="C13776" s="1" t="s">
        <v>63</v>
      </c>
      <c r="D13776" s="1" t="s">
        <v>19135</v>
      </c>
      <c r="E13776" s="1" t="s">
        <v>498</v>
      </c>
      <c r="F13776" s="1" t="s">
        <v>19136</v>
      </c>
      <c r="G13776" s="1" t="s">
        <v>36</v>
      </c>
      <c r="H13776" s="1" t="s">
        <v>29</v>
      </c>
      <c r="I13776" s="1" t="str">
        <f ca="1">IFERROR(__xludf.DUMMYFUNCTION("GOOGLETRANSLATE(F13776, ""auto"", ""en"")
"),"We've had the car for 5 years now, no complaints at all! I recommend! Only ours is not Russified.")</f>
        <v>We've had the car for 5 years now, no complaints at all! I recommend! Only ours is not Russified.</v>
      </c>
    </row>
    <row r="13777" spans="1:9" x14ac:dyDescent="0.3">
      <c r="A13777" s="1" t="s">
        <v>120</v>
      </c>
      <c r="B13777" s="1" t="s">
        <v>121</v>
      </c>
      <c r="C13777" s="1" t="s">
        <v>151</v>
      </c>
      <c r="D13777" s="1" t="s">
        <v>474</v>
      </c>
      <c r="E13777" s="1" t="s">
        <v>1181</v>
      </c>
      <c r="F13777" s="1" t="s">
        <v>19137</v>
      </c>
      <c r="G13777" s="1" t="s">
        <v>36</v>
      </c>
      <c r="H13777" s="1" t="s">
        <v>29</v>
      </c>
      <c r="I13777" s="1" t="str">
        <f ca="1">IFERROR(__xludf.DUMMYFUNCTION("GOOGLETRANSLATE(F13777, ""auto"", ""en"")
"),"In the store we compared the image of analog and digital television with other models in this price range (especially with the LG 32 LH2000 - I do not recommend it). I use it for one day. So far I’m happy with everything, it shows perfectly from cable, es"&amp;"pecially if you install noise suppression - small dots from weak signal reception will disappear. The TV is excellent. One of the minor drawbacks is the instructions are not very clear. But I figured out all the settings myself within 2-3 hours. Installat"&amp;"ion is also easy.")</f>
        <v>In the store we compared the image of analog and digital television with other models in this price range (especially with the LG 32 LH2000 - I do not recommend it). I use it for one day. So far I’m happy with everything, it shows perfectly from cable, especially if you install noise suppression - small dots from weak signal reception will disappear. The TV is excellent. One of the minor drawbacks is the instructions are not very clear. But I figured out all the settings myself within 2-3 hours. Installation is also easy.</v>
      </c>
    </row>
    <row r="13778" spans="1:9" x14ac:dyDescent="0.3">
      <c r="A13778" s="1" t="s">
        <v>17</v>
      </c>
      <c r="B13778" s="1" t="s">
        <v>18</v>
      </c>
      <c r="C13778" s="1" t="s">
        <v>151</v>
      </c>
      <c r="D13778" s="1" t="s">
        <v>2893</v>
      </c>
      <c r="E13778" s="1" t="s">
        <v>5073</v>
      </c>
      <c r="F13778" s="1" t="s">
        <v>19138</v>
      </c>
      <c r="G13778" s="1" t="s">
        <v>28</v>
      </c>
      <c r="H13778" s="1" t="s">
        <v>29</v>
      </c>
      <c r="I13778" s="1" t="str">
        <f ca="1">IFERROR(__xludf.DUMMYFUNCTION("GOOGLETRANSLATE(F13778, ""auto"", ""en"")
"),"Uv. Samsung owners, tell me, is the top cover removable (I want to build it under the countertop)?")</f>
        <v>Uv. Samsung owners, tell me, is the top cover removable (I want to build it under the countertop)?</v>
      </c>
    </row>
    <row r="13779" spans="1:9" x14ac:dyDescent="0.3">
      <c r="A13779" s="1" t="s">
        <v>17</v>
      </c>
      <c r="B13779" s="1" t="s">
        <v>18</v>
      </c>
      <c r="C13779" s="1" t="s">
        <v>243</v>
      </c>
      <c r="D13779" s="1" t="s">
        <v>33</v>
      </c>
      <c r="E13779" s="1" t="s">
        <v>4303</v>
      </c>
      <c r="F13779" s="1" t="s">
        <v>19139</v>
      </c>
      <c r="G13779" s="1" t="s">
        <v>49</v>
      </c>
      <c r="H13779" s="1" t="s">
        <v>16</v>
      </c>
      <c r="I13779" s="1" t="str">
        <f ca="1">IFERROR(__xludf.DUMMYFUNCTION("GOOGLETRANSLATE(F13779, ""auto"", ""en"")
"),"I bought it six months ago, I’m terribly dissatisfied, I didn’t wash the toothpaste off my sweater - but everything is in pellets, the shirts are a different story... I washed the jeans - they looked like they had been washed 10 times, although it was onl"&amp;"y the second wash... I saved for the first time in my life - I won’t do that again...")</f>
        <v>I bought it six months ago, I’m terribly dissatisfied, I didn’t wash the toothpaste off my sweater - but everything is in pellets, the shirts are a different story... I washed the jeans - they looked like they had been washed 10 times, although it was only the second wash... I saved for the first time in my life - I won’t do that again...</v>
      </c>
    </row>
    <row r="13780" spans="1:9" x14ac:dyDescent="0.3">
      <c r="A13780" s="1" t="s">
        <v>169</v>
      </c>
      <c r="B13780" s="1" t="s">
        <v>170</v>
      </c>
      <c r="C13780" s="1" t="s">
        <v>69</v>
      </c>
      <c r="D13780" s="1" t="s">
        <v>308</v>
      </c>
      <c r="E13780" s="1" t="s">
        <v>7307</v>
      </c>
      <c r="F13780" s="1" t="s">
        <v>19140</v>
      </c>
      <c r="G13780" s="1" t="s">
        <v>28</v>
      </c>
      <c r="H13780" s="1" t="s">
        <v>29</v>
      </c>
      <c r="I13780" s="1" t="str">
        <f ca="1">IFERROR(__xludf.DUMMYFUNCTION("GOOGLETRANSLATE(F13780, ""auto"", ""en"")
"),"Great sound, look good")</f>
        <v>Great sound, look good</v>
      </c>
    </row>
    <row r="13781" spans="1:9" x14ac:dyDescent="0.3">
      <c r="A13781" s="1" t="s">
        <v>211</v>
      </c>
      <c r="B13781" s="1" t="s">
        <v>212</v>
      </c>
      <c r="C13781" s="1" t="s">
        <v>1591</v>
      </c>
      <c r="D13781" s="1" t="s">
        <v>247</v>
      </c>
      <c r="E13781" s="1" t="s">
        <v>2260</v>
      </c>
      <c r="F13781" s="1" t="s">
        <v>19141</v>
      </c>
      <c r="G13781" s="1" t="s">
        <v>36</v>
      </c>
      <c r="H13781" s="1" t="s">
        <v>29</v>
      </c>
      <c r="I13781" s="1" t="str">
        <f ca="1">IFERROR(__xludf.DUMMYFUNCTION("GOOGLETRANSLATE(F13781, ""auto"", ""en"")
"),"Very good, high quality item! I have thick, medium-length hair, and this unit handles it like a charm! There is a hair straightening attachment with ceramic plates (straightens well), there is a rotating attachment (spinning in both directions and natural"&amp;" bristles), there is a smaller diameter attachment (the brush does not spin) for thin strands (bangs), there is just a concentrator. Cold air mode. Very pleased with this item. I haven't found any shortcomings yet.")</f>
        <v>Very good, high quality item! I have thick, medium-length hair, and this unit handles it like a charm! There is a hair straightening attachment with ceramic plates (straightens well), there is a rotating attachment (spinning in both directions and natural bristles), there is a smaller diameter attachment (the brush does not spin) for thin strands (bangs), there is just a concentrator. Cold air mode. Very pleased with this item. I haven't found any shortcomings yet.</v>
      </c>
    </row>
    <row r="13782" spans="1:9" x14ac:dyDescent="0.3">
      <c r="A13782" s="1" t="s">
        <v>211</v>
      </c>
      <c r="B13782" s="1" t="s">
        <v>410</v>
      </c>
      <c r="C13782" s="1" t="s">
        <v>122</v>
      </c>
      <c r="D13782" s="1" t="s">
        <v>20</v>
      </c>
      <c r="E13782" s="1" t="s">
        <v>1773</v>
      </c>
      <c r="F13782" s="1" t="s">
        <v>19142</v>
      </c>
      <c r="G13782" s="1" t="s">
        <v>36</v>
      </c>
      <c r="H13782" s="1" t="s">
        <v>29</v>
      </c>
      <c r="I13782" s="1" t="str">
        <f ca="1">IFERROR(__xludf.DUMMYFUNCTION("GOOGLETRANSLATE(F13782, ""auto"", ""en"")
"),"I’ve been using it for about 2 years, no complaints, Japan is Japan, I still shave cleanly and without irritation. The only thing is an expensive replacement nozzle with a mesh and cutting elements (2000 rubles), although they will definitely last for 3 y"&amp;"ears.")</f>
        <v>I’ve been using it for about 2 years, no complaints, Japan is Japan, I still shave cleanly and without irritation. The only thing is an expensive replacement nozzle with a mesh and cutting elements (2000 rubles), although they will definitely last for 3 years.</v>
      </c>
    </row>
    <row r="13783" spans="1:9" x14ac:dyDescent="0.3">
      <c r="A13783" s="1" t="s">
        <v>211</v>
      </c>
      <c r="B13783" s="1" t="s">
        <v>212</v>
      </c>
      <c r="C13783" s="1" t="s">
        <v>381</v>
      </c>
      <c r="D13783" s="1" t="s">
        <v>1840</v>
      </c>
      <c r="E13783" s="1" t="s">
        <v>386</v>
      </c>
      <c r="F13783" s="1" t="s">
        <v>19143</v>
      </c>
      <c r="G13783" s="1" t="s">
        <v>28</v>
      </c>
      <c r="H13783" s="1" t="s">
        <v>29</v>
      </c>
      <c r="I13783" s="1" t="str">
        <f ca="1">IFERROR(__xludf.DUMMYFUNCTION("GOOGLETRANSLATE(F13783, ""auto"", ""en"")
"),"Good tongs. There is nothing extraordinary about them, but I haven’t noticed any shortcomings in six months of service either (except for the fact that they have fallen in price too quickly - it’s a bit of a shame). If it's a good model, take it, I think "&amp;"you won't regret it.")</f>
        <v>Good tongs. There is nothing extraordinary about them, but I haven’t noticed any shortcomings in six months of service either (except for the fact that they have fallen in price too quickly - it’s a bit of a shame). If it's a good model, take it, I think you won't regret it.</v>
      </c>
    </row>
    <row r="13784" spans="1:9" x14ac:dyDescent="0.3">
      <c r="A13784" s="1" t="s">
        <v>17</v>
      </c>
      <c r="B13784" s="1" t="s">
        <v>18</v>
      </c>
      <c r="C13784" s="1" t="s">
        <v>1835</v>
      </c>
      <c r="D13784" s="1" t="s">
        <v>280</v>
      </c>
      <c r="E13784" s="1" t="s">
        <v>2518</v>
      </c>
      <c r="F13784" s="1" t="s">
        <v>19144</v>
      </c>
      <c r="G13784" s="1" t="s">
        <v>36</v>
      </c>
      <c r="H13784" s="1" t="s">
        <v>29</v>
      </c>
      <c r="I13784" s="1" t="str">
        <f ca="1">IFERROR(__xludf.DUMMYFUNCTION("GOOGLETRANSLATE(F13784, ""auto"", ""en"")
"),"Quiet, easy to drive, ideal... but expensive)))")</f>
        <v>Quiet, easy to drive, ideal... but expensive)))</v>
      </c>
    </row>
    <row r="13785" spans="1:9" x14ac:dyDescent="0.3">
      <c r="A13785" s="1" t="s">
        <v>149</v>
      </c>
      <c r="B13785" s="1" t="s">
        <v>150</v>
      </c>
      <c r="C13785" s="1" t="s">
        <v>57</v>
      </c>
      <c r="D13785" s="1" t="s">
        <v>305</v>
      </c>
      <c r="E13785" s="1" t="s">
        <v>5247</v>
      </c>
      <c r="F13785" s="1" t="s">
        <v>19145</v>
      </c>
      <c r="G13785" s="1" t="s">
        <v>36</v>
      </c>
      <c r="H13785" s="1" t="s">
        <v>29</v>
      </c>
      <c r="I13785" s="1" t="str">
        <f ca="1">IFERROR(__xludf.DUMMYFUNCTION("GOOGLETRANSLATE(F13785, ""auto"", ""en"")
"),"Price, quite powerful, various attachments")</f>
        <v>Price, quite powerful, various attachments</v>
      </c>
    </row>
    <row r="13786" spans="1:9" x14ac:dyDescent="0.3">
      <c r="A13786" s="1" t="s">
        <v>17</v>
      </c>
      <c r="B13786" s="1" t="s">
        <v>18</v>
      </c>
      <c r="C13786" s="1" t="s">
        <v>151</v>
      </c>
      <c r="D13786" s="1" t="s">
        <v>565</v>
      </c>
      <c r="E13786" s="1" t="s">
        <v>2231</v>
      </c>
      <c r="F13786" s="1" t="s">
        <v>19146</v>
      </c>
      <c r="G13786" s="1" t="s">
        <v>36</v>
      </c>
      <c r="H13786" s="1" t="s">
        <v>29</v>
      </c>
      <c r="I13786" s="1" t="str">
        <f ca="1">IFERROR(__xludf.DUMMYFUNCTION("GOOGLETRANSLATE(F13786, ""auto"", ""en"")
"),"I've been using it for a month. I really like it. It washes perfectly even in the quick wash mode (30 minutes). Doesn't spoil things. I fell in love with doing laundry!) ​​Before that, I had terrible Indesit, more expensive, but a thousand times worse, it"&amp;" didn’t wash anything, didn’t rinse out the powder even with the additional rinse function, and the powder tray was leaking.  I really like the buttons and sound messages, compared to the knobs.  I didn't notice any shortcomings.  It works quietly. And, i"&amp;"f you adjust the level, nothing jumps.")</f>
        <v>I've been using it for a month. I really like it. It washes perfectly even in the quick wash mode (30 minutes). Doesn't spoil things. I fell in love with doing laundry!) ​​Before that, I had terrible Indesit, more expensive, but a thousand times worse, it didn’t wash anything, didn’t rinse out the powder even with the additional rinse function, and the powder tray was leaking.  I really like the buttons and sound messages, compared to the knobs.  I didn't notice any shortcomings.  It works quietly. And, if you adjust the level, nothing jumps.</v>
      </c>
    </row>
    <row r="13787" spans="1:9" x14ac:dyDescent="0.3">
      <c r="A13787" s="1" t="s">
        <v>17</v>
      </c>
      <c r="B13787" s="1" t="s">
        <v>18</v>
      </c>
      <c r="C13787" s="1" t="s">
        <v>665</v>
      </c>
      <c r="D13787" s="1" t="s">
        <v>139</v>
      </c>
      <c r="E13787" s="1" t="s">
        <v>1327</v>
      </c>
      <c r="F13787" s="1" t="s">
        <v>19147</v>
      </c>
      <c r="G13787" s="1" t="s">
        <v>36</v>
      </c>
      <c r="H13787" s="1" t="s">
        <v>29</v>
      </c>
      <c r="I13787" s="1" t="str">
        <f ca="1">IFERROR(__xludf.DUMMYFUNCTION("GOOGLETRANSLATE(F13787, ""auto"", ""en"")
"),"I recently bought myself a Haier washing machine, initially, of course, there were doubts about the manufacturer, but now I use it and am completely satisfied, firstly, it has all the functions, the machine works stably even with voltage fluctuations, for"&amp;" me it drops to 170 volts, it does not vibrate, like many others, it is possible to reload during washing. In general, there are many advantages. I recommend it to everyone!")</f>
        <v>I recently bought myself a Haier washing machine, initially, of course, there were doubts about the manufacturer, but now I use it and am completely satisfied, firstly, it has all the functions, the machine works stably even with voltage fluctuations, for me it drops to 170 volts, it does not vibrate, like many others, it is possible to reload during washing. In general, there are many advantages. I recommend it to everyone!</v>
      </c>
    </row>
    <row r="13788" spans="1:9" x14ac:dyDescent="0.3">
      <c r="A13788" s="1" t="s">
        <v>206</v>
      </c>
      <c r="B13788" s="1" t="s">
        <v>1349</v>
      </c>
      <c r="C13788" s="1" t="s">
        <v>4219</v>
      </c>
      <c r="D13788" s="1" t="s">
        <v>186</v>
      </c>
      <c r="E13788" s="1" t="s">
        <v>1723</v>
      </c>
      <c r="F13788" s="1" t="s">
        <v>19148</v>
      </c>
      <c r="G13788" s="1" t="s">
        <v>36</v>
      </c>
      <c r="H13788" s="1" t="s">
        <v>29</v>
      </c>
      <c r="I13788" s="1" t="str">
        <f ca="1">IFERROR(__xludf.DUMMYFUNCTION("GOOGLETRANSLATE(F13788, ""auto"", ""en"")
"),"I was choosing a radio for a long time, I kept thinking what would be better, Sony with the simplest settings, but as the managers say (factory quality from China) or something more functional like a mystery, install..., but I looked at these Sonya and de"&amp;"cided that it was not necessary, the price is high and the functionality is minimal. And I decided to settle on this tape recorder, it has already been tested in -35 frost, it works properly, the video shows without brakes or glitches, the sound quality s"&amp;"uits me quite well, if you don’t care about the presence of a colorful equalizer in the tape recorder, then I advise you to take it.")</f>
        <v>I was choosing a radio for a long time, I kept thinking what would be better, Sony with the simplest settings, but as the managers say (factory quality from China) or something more functional like a mystery, install..., but I looked at these Sonya and decided that it was not necessary, the price is high and the functionality is minimal. And I decided to settle on this tape recorder, it has already been tested in -35 frost, it works properly, the video shows without brakes or glitches, the sound quality suits me quite well, if you don’t care about the presence of a colorful equalizer in the tape recorder, then I advise you to take it.</v>
      </c>
    </row>
    <row r="13789" spans="1:9" x14ac:dyDescent="0.3">
      <c r="A13789" s="1" t="s">
        <v>211</v>
      </c>
      <c r="B13789" s="1" t="s">
        <v>212</v>
      </c>
      <c r="C13789" s="1" t="s">
        <v>381</v>
      </c>
      <c r="D13789" s="1" t="s">
        <v>247</v>
      </c>
      <c r="E13789" s="1" t="s">
        <v>1434</v>
      </c>
      <c r="F13789" s="1" t="s">
        <v>11041</v>
      </c>
      <c r="G13789" s="1" t="s">
        <v>94</v>
      </c>
      <c r="H13789" s="1" t="s">
        <v>29</v>
      </c>
      <c r="I13789" s="1" t="str">
        <f ca="1">IFERROR(__xludf.DUMMYFUNCTION("GOOGLETRANSLATE(F13789, ""auto"", ""en"")
"),"price")</f>
        <v>price</v>
      </c>
    </row>
    <row r="13790" spans="1:9" x14ac:dyDescent="0.3">
      <c r="A13790" s="1" t="s">
        <v>61</v>
      </c>
      <c r="B13790" s="1" t="s">
        <v>977</v>
      </c>
      <c r="C13790" s="1" t="s">
        <v>101</v>
      </c>
      <c r="D13790" s="1" t="s">
        <v>308</v>
      </c>
      <c r="E13790" s="1" t="s">
        <v>4977</v>
      </c>
      <c r="F13790" s="1" t="s">
        <v>19149</v>
      </c>
      <c r="G13790" s="1" t="s">
        <v>49</v>
      </c>
      <c r="H13790" s="1" t="s">
        <v>16</v>
      </c>
      <c r="I13790" s="1" t="str">
        <f ca="1">IFERROR(__xludf.DUMMYFUNCTION("GOOGLETRANSLATE(F13790, ""auto"", ""en"")
"),"I bought this blender instead of an old one that I sent to the country. Scarlett is no comparison to the old one. It is very noisy and gets so hot in your hand that you can’t hold it. Even making mayonnaise is problematic - there is not enough power. In g"&amp;"eneral, nothing but torment. Tomorrow I'll go take it in and exchange it for a blender from a decent company.")</f>
        <v>I bought this blender instead of an old one that I sent to the country. Scarlett is no comparison to the old one. It is very noisy and gets so hot in your hand that you can’t hold it. Even making mayonnaise is problematic - there is not enough power. In general, nothing but torment. Tomorrow I'll go take it in and exchange it for a blender from a decent company.</v>
      </c>
    </row>
    <row r="13791" spans="1:9" x14ac:dyDescent="0.3">
      <c r="A13791" s="1" t="s">
        <v>211</v>
      </c>
      <c r="B13791" s="1" t="s">
        <v>515</v>
      </c>
      <c r="C13791" s="1" t="s">
        <v>213</v>
      </c>
      <c r="D13791" s="1" t="s">
        <v>474</v>
      </c>
      <c r="E13791" s="1" t="s">
        <v>5826</v>
      </c>
      <c r="F13791" s="1" t="s">
        <v>19150</v>
      </c>
      <c r="G13791" s="1" t="s">
        <v>36</v>
      </c>
      <c r="H13791" s="1" t="s">
        <v>29</v>
      </c>
      <c r="I13791" s="1" t="str">
        <f ca="1">IFERROR(__xludf.DUMMYFUNCTION("GOOGLETRANSLATE(F13791, ""auto"", ""en"")
"),"What could be better than smooth skin for three weeks! For a woman this is a dream. The device is lightweight. Beautiful)  ")</f>
        <v xml:space="preserve">What could be better than smooth skin for three weeks! For a woman this is a dream. The device is lightweight. Beautiful)  </v>
      </c>
    </row>
    <row r="13792" spans="1:9" x14ac:dyDescent="0.3">
      <c r="A13792" s="1" t="s">
        <v>206</v>
      </c>
      <c r="B13792" s="1" t="s">
        <v>1349</v>
      </c>
      <c r="C13792" s="1" t="s">
        <v>2425</v>
      </c>
      <c r="D13792" s="1" t="s">
        <v>19151</v>
      </c>
      <c r="E13792" s="1" t="s">
        <v>1756</v>
      </c>
      <c r="F13792" s="1" t="s">
        <v>19152</v>
      </c>
      <c r="G13792" s="1" t="s">
        <v>36</v>
      </c>
      <c r="H13792" s="1" t="s">
        <v>29</v>
      </c>
      <c r="I13792" s="1" t="str">
        <f ca="1">IFERROR(__xludf.DUMMYFUNCTION("GOOGLETRANSLATE(F13792, ""auto"", ""en"")
"),"I purchased a quality product from M.video. The radio is certainly cool, and I installed it myself, just don’t forget to carefully read the instructions before using it, everything is written there inside and out. If you have any problems, there is a webs"&amp;"ite called soundmax.ru, they will explain everything to you in detail. By the way, I immediately installed DLS speakers and a Bosch antenna, everything works perfectly and sounds flawless.")</f>
        <v>I purchased a quality product from M.video. The radio is certainly cool, and I installed it myself, just don’t forget to carefully read the instructions before using it, everything is written there inside and out. If you have any problems, there is a website called soundmax.ru, they will explain everything to you in detail. By the way, I immediately installed DLS speakers and a Bosch antenna, everything works perfectly and sounds flawless.</v>
      </c>
    </row>
    <row r="13793" spans="1:9" x14ac:dyDescent="0.3">
      <c r="A13793" s="1" t="s">
        <v>120</v>
      </c>
      <c r="B13793" s="1" t="s">
        <v>121</v>
      </c>
      <c r="C13793" s="1" t="s">
        <v>69</v>
      </c>
      <c r="D13793" s="1" t="s">
        <v>875</v>
      </c>
      <c r="E13793" s="1" t="s">
        <v>397</v>
      </c>
      <c r="F13793" s="1" t="s">
        <v>19153</v>
      </c>
      <c r="G13793" s="1" t="s">
        <v>28</v>
      </c>
      <c r="H13793" s="1" t="s">
        <v>29</v>
      </c>
      <c r="I13793" s="1" t="str">
        <f ca="1">IFERROR(__xludf.DUMMYFUNCTION("GOOGLETRANSLATE(F13793, ""auto"", ""en"")
"),"Overall a good device. Everything is spoiled by the lack of forced inclusion of the 4:3 image format for standard viewing of terrestrial television without distorting the proportions of the transmitted image. Although the operating instructions state this"&amp;" option in the TV menu. But in reality, unfortunately, this is not the case. If you enable the ""auto format"" function, the picture size is constantly resized several times a minute when watching movies on television channels and other TV programs. Such "&amp;"a trifle spoils the whole impression. Advice - check everything yourself and do not trust the instructions...")</f>
        <v>Overall a good device. Everything is spoiled by the lack of forced inclusion of the 4:3 image format for standard viewing of terrestrial television without distorting the proportions of the transmitted image. Although the operating instructions state this option in the TV menu. But in reality, unfortunately, this is not the case. If you enable the "auto format" function, the picture size is constantly resized several times a minute when watching movies on television channels and other TV programs. Such a trifle spoils the whole impression. Advice - check everything yourself and do not trust the instructions...</v>
      </c>
    </row>
    <row r="13794" spans="1:9" x14ac:dyDescent="0.3">
      <c r="A13794" s="1" t="s">
        <v>30</v>
      </c>
      <c r="B13794" s="1" t="s">
        <v>50</v>
      </c>
      <c r="C13794" s="1" t="s">
        <v>189</v>
      </c>
      <c r="D13794" s="1" t="s">
        <v>690</v>
      </c>
      <c r="E13794" s="1" t="s">
        <v>594</v>
      </c>
      <c r="F13794" s="1" t="s">
        <v>19154</v>
      </c>
      <c r="G13794" s="1" t="s">
        <v>28</v>
      </c>
      <c r="H13794" s="1" t="s">
        <v>29</v>
      </c>
      <c r="I13794" s="1" t="str">
        <f ca="1">IFERROR(__xludf.DUMMYFUNCTION("GOOGLETRANSLATE(F13794, ""auto"", ""en"")
"),"As for the squeak, the problem is solved as stated above - by stopping sound processing with the standard premium sound program.  Among the minuses, I can note the presence of two video cards, which are sometimes difficult for a non-advanced user to figur"&amp;"e out when setting them up for different applications.  Another serious drawback is the cheap plastic used at the base of the keyboard and around the screen. The plastic under the keyboard bends under slight finger pressure, because of this the force on d"&amp;"ifferent keyboard buttons is uneven, which is why some letters are skipped when typing.  I don’t know about others, but I had to download all the drivers from the manufacturer’s website.  On the left, two USB ports are located too close.  Pros: Almost doe"&amp;"s not heat up.  As bad as the material under the keyboard is, the material in the front part under the palms is just as excellent - pleasant to the touch and again does not get hot.  A powerful machine for a variety of purposes.")</f>
        <v>As for the squeak, the problem is solved as stated above - by stopping sound processing with the standard premium sound program.  Among the minuses, I can note the presence of two video cards, which are sometimes difficult for a non-advanced user to figure out when setting them up for different applications.  Another serious drawback is the cheap plastic used at the base of the keyboard and around the screen. The plastic under the keyboard bends under slight finger pressure, because of this the force on different keyboard buttons is uneven, which is why some letters are skipped when typing.  I don’t know about others, but I had to download all the drivers from the manufacturer’s website.  On the left, two USB ports are located too close.  Pros: Almost does not heat up.  As bad as the material under the keyboard is, the material in the front part under the palms is just as excellent - pleasant to the touch and again does not get hot.  A powerful machine for a variety of purposes.</v>
      </c>
    </row>
    <row r="13795" spans="1:9" x14ac:dyDescent="0.3">
      <c r="A13795" s="1" t="s">
        <v>17</v>
      </c>
      <c r="B13795" s="1" t="s">
        <v>18</v>
      </c>
      <c r="C13795" s="1" t="s">
        <v>243</v>
      </c>
      <c r="D13795" s="1" t="s">
        <v>113</v>
      </c>
      <c r="E13795" s="1" t="s">
        <v>994</v>
      </c>
      <c r="F13795" s="1" t="s">
        <v>19155</v>
      </c>
      <c r="G13795" s="1" t="s">
        <v>49</v>
      </c>
      <c r="H13795" s="1" t="s">
        <v>16</v>
      </c>
      <c r="I13795" s="1" t="str">
        <f ca="1">IFERROR(__xludf.DUMMYFUNCTION("GOOGLETRANSLATE(F13795, ""auto"", ""en"")
"),"I worked for 5 days, the module flew.")</f>
        <v>I worked for 5 days, the module flew.</v>
      </c>
    </row>
    <row r="13796" spans="1:9" x14ac:dyDescent="0.3">
      <c r="A13796" s="1" t="s">
        <v>9</v>
      </c>
      <c r="B13796" s="1" t="s">
        <v>137</v>
      </c>
      <c r="C13796" s="1" t="s">
        <v>870</v>
      </c>
      <c r="D13796" s="1" t="s">
        <v>52</v>
      </c>
      <c r="E13796" s="1" t="s">
        <v>19156</v>
      </c>
      <c r="F13796" s="1" t="s">
        <v>19157</v>
      </c>
      <c r="G13796" s="1" t="s">
        <v>28</v>
      </c>
      <c r="H13796" s="1" t="s">
        <v>29</v>
      </c>
      <c r="I13796" s="1" t="str">
        <f ca="1">IFERROR(__xludf.DUMMYFUNCTION("GOOGLETRANSLATE(F13796, ""auto"", ""en"")
"),"The stove is good, everything works great.... Except for the smallest burner - it lights up only on the lowest gas.... It doesn’t want to go on medium or high)")</f>
        <v>The stove is good, everything works great.... Except for the smallest burner - it lights up only on the lowest gas.... It doesn’t want to go on medium or high)</v>
      </c>
    </row>
    <row r="13797" spans="1:9" x14ac:dyDescent="0.3">
      <c r="A13797" s="1" t="s">
        <v>61</v>
      </c>
      <c r="B13797" s="1" t="s">
        <v>180</v>
      </c>
      <c r="C13797" s="1" t="s">
        <v>57</v>
      </c>
      <c r="D13797" s="1" t="s">
        <v>247</v>
      </c>
      <c r="E13797" s="1" t="s">
        <v>15427</v>
      </c>
      <c r="F13797" s="1" t="s">
        <v>19158</v>
      </c>
      <c r="G13797" s="1" t="s">
        <v>36</v>
      </c>
      <c r="H13797" s="1" t="s">
        <v>29</v>
      </c>
      <c r="I13797" s="1" t="str">
        <f ca="1">IFERROR(__xludf.DUMMYFUNCTION("GOOGLETRANSLATE(F13797, ""auto"", ""en"")
"),"The toaster is great!!! A friend gave it to me for her wedding in 2006!!!! year, and so far there are no complaints. It fries evenly until golden brown. I recommend it to everyone, you won’t regret it.")</f>
        <v>The toaster is great!!! A friend gave it to me for her wedding in 2006!!!! year, and so far there are no complaints. It fries evenly until golden brown. I recommend it to everyone, you won’t regret it.</v>
      </c>
    </row>
    <row r="13798" spans="1:9" x14ac:dyDescent="0.3">
      <c r="A13798" s="1" t="s">
        <v>17</v>
      </c>
      <c r="B13798" s="1" t="s">
        <v>18</v>
      </c>
      <c r="C13798" s="1" t="s">
        <v>885</v>
      </c>
      <c r="D13798" s="1" t="s">
        <v>695</v>
      </c>
      <c r="E13798" s="1" t="s">
        <v>1339</v>
      </c>
      <c r="F13798" s="1" t="s">
        <v>19159</v>
      </c>
      <c r="G13798" s="1" t="s">
        <v>28</v>
      </c>
      <c r="H13798" s="1" t="s">
        <v>29</v>
      </c>
      <c r="I13798" s="1" t="str">
        <f ca="1">IFERROR(__xludf.DUMMYFUNCTION("GOOGLETRANSLATE(F13798, ""auto"", ""en"")
"),"Yesterday I purchased this device on sale.  I liked the location and size of the hatch cover, it is very convenient for loading, the engine is a little noisy and shakes at 1000 rpm, but does not jump.    In general, I’m happy with it so far, we’ll see wha"&amp;"t happens next!")</f>
        <v>Yesterday I purchased this device on sale.  I liked the location and size of the hatch cover, it is very convenient for loading, the engine is a little noisy and shakes at 1000 rpm, but does not jump.    In general, I’m happy with it so far, we’ll see what happens next!</v>
      </c>
    </row>
    <row r="13799" spans="1:9" x14ac:dyDescent="0.3">
      <c r="A13799" s="1" t="s">
        <v>30</v>
      </c>
      <c r="B13799" s="1" t="s">
        <v>50</v>
      </c>
      <c r="C13799" s="1" t="s">
        <v>1003</v>
      </c>
      <c r="D13799" s="1" t="s">
        <v>305</v>
      </c>
      <c r="E13799" s="1" t="s">
        <v>4818</v>
      </c>
      <c r="F13799" s="1" t="s">
        <v>19160</v>
      </c>
      <c r="G13799" s="1" t="s">
        <v>36</v>
      </c>
      <c r="H13799" s="1" t="s">
        <v>29</v>
      </c>
      <c r="I13799" s="1" t="str">
        <f ca="1">IFERROR(__xludf.DUMMYFUNCTION("GOOGLETRANSLATE(F13799, ""auto"", ""en"")
"),"An excellent laptop - fast, convenient, beautiful.  Games run even faster than on a desktop.  I recommend it to everyone.")</f>
        <v>An excellent laptop - fast, convenient, beautiful.  Games run even faster than on a desktop.  I recommend it to everyone.</v>
      </c>
    </row>
    <row r="13800" spans="1:9" x14ac:dyDescent="0.3">
      <c r="A13800" s="1" t="s">
        <v>120</v>
      </c>
      <c r="B13800" s="1" t="s">
        <v>256</v>
      </c>
      <c r="C13800" s="1" t="s">
        <v>151</v>
      </c>
      <c r="D13800" s="1" t="s">
        <v>39</v>
      </c>
      <c r="E13800" s="1" t="s">
        <v>1762</v>
      </c>
      <c r="F13800" s="1" t="s">
        <v>19161</v>
      </c>
      <c r="G13800" s="1" t="s">
        <v>36</v>
      </c>
      <c r="H13800" s="1" t="s">
        <v>29</v>
      </c>
      <c r="I13800" s="1" t="str">
        <f ca="1">IFERROR(__xludf.DUMMYFUNCTION("GOOGLETRANSLATE(F13800, ""auto"", ""en"")
"),"I bought it yesterday, everything is fine. The only thing is that the remote control takes some getting used to and the Russian assembly is confusing.")</f>
        <v>I bought it yesterday, everything is fine. The only thing is that the remote control takes some getting used to and the Russian assembly is confusing.</v>
      </c>
    </row>
    <row r="13801" spans="1:9" x14ac:dyDescent="0.3">
      <c r="A13801" s="1" t="s">
        <v>89</v>
      </c>
      <c r="B13801" s="1" t="s">
        <v>1106</v>
      </c>
      <c r="C13801" s="1" t="s">
        <v>63</v>
      </c>
      <c r="D13801" s="1" t="s">
        <v>280</v>
      </c>
      <c r="E13801" s="1" t="s">
        <v>5137</v>
      </c>
      <c r="F13801" s="1" t="s">
        <v>19162</v>
      </c>
      <c r="G13801" s="1" t="s">
        <v>36</v>
      </c>
      <c r="H13801" s="1" t="s">
        <v>29</v>
      </c>
      <c r="I13801" s="1" t="str">
        <f ca="1">IFERROR(__xludf.DUMMYFUNCTION("GOOGLETRANSLATE(F13801, ""auto"", ""en"")
"),"This is the best coffee maker for the money. Good brand, good price, good quality materials and assembly (not China). If you need to brew coffee every day, this is the only coffee maker.")</f>
        <v>This is the best coffee maker for the money. Good brand, good price, good quality materials and assembly (not China). If you need to brew coffee every day, this is the only coffee maker.</v>
      </c>
    </row>
    <row r="13802" spans="1:9" x14ac:dyDescent="0.3">
      <c r="A13802" s="1" t="s">
        <v>149</v>
      </c>
      <c r="B13802" s="1" t="s">
        <v>155</v>
      </c>
      <c r="C13802" s="1" t="s">
        <v>151</v>
      </c>
      <c r="D13802" s="1" t="s">
        <v>152</v>
      </c>
      <c r="E13802" s="1" t="s">
        <v>312</v>
      </c>
      <c r="F13802" s="1" t="s">
        <v>19163</v>
      </c>
      <c r="G13802" s="1" t="s">
        <v>49</v>
      </c>
      <c r="H13802" s="1" t="s">
        <v>16</v>
      </c>
      <c r="I13802" s="1" t="str">
        <f ca="1">IFERROR(__xludf.DUMMYFUNCTION("GOOGLETRANSLATE(F13802, ""auto"", ""en"")
"),"People, don’t buy this vacuum cleaner, don’t waste your nerves and money. It worked only 20-25 m/h for two years. Before that, it was 7 years old (works in a garage) “LYNX” of domestic production with an LG motor.")</f>
        <v>People, don’t buy this vacuum cleaner, don’t waste your nerves and money. It worked only 20-25 m/h for two years. Before that, it was 7 years old (works in a garage) “LYNX” of domestic production with an LG motor.</v>
      </c>
    </row>
    <row r="13803" spans="1:9" x14ac:dyDescent="0.3">
      <c r="A13803" s="1" t="s">
        <v>61</v>
      </c>
      <c r="B13803" s="1" t="s">
        <v>318</v>
      </c>
      <c r="C13803" s="1" t="s">
        <v>1461</v>
      </c>
      <c r="D13803" s="1" t="s">
        <v>152</v>
      </c>
      <c r="E13803" s="1" t="s">
        <v>998</v>
      </c>
      <c r="F13803" s="1" t="s">
        <v>19164</v>
      </c>
      <c r="G13803" s="1" t="s">
        <v>36</v>
      </c>
      <c r="H13803" s="1" t="s">
        <v>29</v>
      </c>
      <c r="I13803" s="1" t="str">
        <f ca="1">IFERROR(__xludf.DUMMYFUNCTION("GOOGLETRANSLATE(F13803, ""auto"", ""en"")
"),"I purchased this kettle today. I doubted it for a long time reading previous reviews. Intuition still suggested that it was possible to buy. An excellent kettle for the money. There is no aftertaste, the noise is not loud, the lid fits normally, nothing l"&amp;"eaks. In general, everything is fine so far.")</f>
        <v>I purchased this kettle today. I doubted it for a long time reading previous reviews. Intuition still suggested that it was possible to buy. An excellent kettle for the money. There is no aftertaste, the noise is not loud, the lid fits normally, nothing leaks. In general, everything is fine so far.</v>
      </c>
    </row>
    <row r="13804" spans="1:9" x14ac:dyDescent="0.3">
      <c r="A13804" s="1" t="s">
        <v>111</v>
      </c>
      <c r="B13804" s="1" t="s">
        <v>112</v>
      </c>
      <c r="C13804" s="1" t="s">
        <v>1176</v>
      </c>
      <c r="D13804" s="1" t="s">
        <v>7940</v>
      </c>
      <c r="E13804" s="1" t="s">
        <v>8003</v>
      </c>
      <c r="F13804" s="1" t="s">
        <v>19165</v>
      </c>
      <c r="G13804" s="1" t="s">
        <v>36</v>
      </c>
      <c r="H13804" s="1" t="s">
        <v>29</v>
      </c>
      <c r="I13804" s="1" t="str">
        <f ca="1">IFERROR(__xludf.DUMMYFUNCTION("GOOGLETRANSLATE(F13804, ""auto"", ""en"")
"),"Andrey, this is a network filter that protects against surges! and the uninterruptible power supply will not let your equipment turn off. The filter is excellent!!! These are different things.")</f>
        <v>Andrey, this is a network filter that protects against surges! and the uninterruptible power supply will not let your equipment turn off. The filter is excellent!!! These are different things.</v>
      </c>
    </row>
    <row r="13805" spans="1:9" x14ac:dyDescent="0.3">
      <c r="A13805" s="1" t="s">
        <v>61</v>
      </c>
      <c r="B13805" s="1" t="s">
        <v>318</v>
      </c>
      <c r="C13805" s="1" t="s">
        <v>246</v>
      </c>
      <c r="D13805" s="1" t="s">
        <v>12</v>
      </c>
      <c r="E13805" s="1" t="s">
        <v>5346</v>
      </c>
      <c r="F13805" s="1" t="s">
        <v>19166</v>
      </c>
      <c r="G13805" s="1" t="s">
        <v>36</v>
      </c>
      <c r="H13805" s="1" t="s">
        <v>29</v>
      </c>
      <c r="I13805" s="1" t="str">
        <f ca="1">IFERROR(__xludf.DUMMYFUNCTION("GOOGLETRANSLATE(F13805, ""auto"", ""en"")
"),"We bought the kettle more than two years ago. We have never regretted it. We boil it often. Of course it makes noise, but not as loud as described above. Technology loves care. You need to clean it, then there will be no problems.")</f>
        <v>We bought the kettle more than two years ago. We have never regretted it. We boil it often. Of course it makes noise, but not as loud as described above. Technology loves care. You need to clean it, then there will be no problems.</v>
      </c>
    </row>
    <row r="13806" spans="1:9" x14ac:dyDescent="0.3">
      <c r="A13806" s="1" t="s">
        <v>61</v>
      </c>
      <c r="B13806" s="1" t="s">
        <v>318</v>
      </c>
      <c r="C13806" s="1" t="s">
        <v>213</v>
      </c>
      <c r="D13806" s="1" t="s">
        <v>295</v>
      </c>
      <c r="E13806" s="1" t="s">
        <v>1899</v>
      </c>
      <c r="F13806" s="1" t="s">
        <v>19167</v>
      </c>
      <c r="G13806" s="1" t="s">
        <v>36</v>
      </c>
      <c r="H13806" s="1" t="s">
        <v>29</v>
      </c>
      <c r="I13806" s="1" t="str">
        <f ca="1">IFERROR(__xludf.DUMMYFUNCTION("GOOGLETRANSLATE(F13806, ""auto"", ""en"")
"),"I absolutely agree with the people - an immortal teapot! Before this, not a single kettle lived for more than 0.5 years, but this one has been smoking nothing for 5 years and is like new! It doesn’t stink of plastic, it even seems to me that the water tas"&amp;"tes better in it, I re-read the description, and there don’t seem to be any gadgets to improve the taste!")</f>
        <v>I absolutely agree with the people - an immortal teapot! Before this, not a single kettle lived for more than 0.5 years, but this one has been smoking nothing for 5 years and is like new! It doesn’t stink of plastic, it even seems to me that the water tastes better in it, I re-read the description, and there don’t seem to be any gadgets to improve the taste!</v>
      </c>
    </row>
    <row r="13807" spans="1:9" x14ac:dyDescent="0.3">
      <c r="A13807" s="1" t="s">
        <v>55</v>
      </c>
      <c r="B13807" s="1" t="s">
        <v>184</v>
      </c>
      <c r="C13807" s="1" t="s">
        <v>45</v>
      </c>
      <c r="D13807" s="1" t="s">
        <v>742</v>
      </c>
      <c r="E13807" s="1" t="s">
        <v>3972</v>
      </c>
      <c r="F13807" s="1" t="s">
        <v>19168</v>
      </c>
      <c r="G13807" s="1" t="s">
        <v>36</v>
      </c>
      <c r="H13807" s="1" t="s">
        <v>29</v>
      </c>
      <c r="I13807" s="1" t="str">
        <f ca="1">IFERROR(__xludf.DUMMYFUNCTION("GOOGLETRANSLATE(F13807, ""auto"", ""en"")
"),"At first there was an unpleasant smell of plastic, which is not surprising considering the price. It heats well, works quietly, looks decent. A stream of hot air goes to your feet, and this is much better than passive heaters. Power is almost 2 kW, enough"&amp;" for any room.")</f>
        <v>At first there was an unpleasant smell of plastic, which is not surprising considering the price. It heats well, works quietly, looks decent. A stream of hot air goes to your feet, and this is much better than passive heaters. Power is almost 2 kW, enough for any room.</v>
      </c>
    </row>
    <row r="13808" spans="1:9" x14ac:dyDescent="0.3">
      <c r="A13808" s="1" t="s">
        <v>61</v>
      </c>
      <c r="B13808" s="1" t="s">
        <v>224</v>
      </c>
      <c r="C13808" s="1" t="s">
        <v>85</v>
      </c>
      <c r="D13808" s="1" t="s">
        <v>295</v>
      </c>
      <c r="E13808" s="1" t="s">
        <v>3864</v>
      </c>
      <c r="F13808" s="1" t="s">
        <v>19169</v>
      </c>
      <c r="G13808" s="1" t="s">
        <v>36</v>
      </c>
      <c r="H13808" s="1" t="s">
        <v>29</v>
      </c>
      <c r="I13808" s="1" t="str">
        <f ca="1">IFERROR(__xludf.DUMMYFUNCTION("GOOGLETRANSLATE(F13808, ""auto"", ""en"")
"),"I’ve been using the Bork S700 juicer since last year and I’m very pleased. Before it, I had an inexpensive brand and our Soviet one. I would like to give some useful advice to summer residents; it’s a fruitful year. It is advisable to pick apples from the"&amp;" tree with your hands and immediately squeeze them, then you will have a lot of juice and it will be without puree, there is no point in harvesting apple carrion and then sinning with a juicer. And those pieces of products that come across in the pulp are"&amp;" obtained because the pusher does not reach the knives themselves a little, so that its plastic does not wear off. This principle applies to absolutely all juicers and food processors. And for berries, it is better to use auger juicers, where the juice yi"&amp;"eld is high, since they do not rub the product, but crush it. This year I have already used 40 liters of juice. Good luck!")</f>
        <v>I’ve been using the Bork S700 juicer since last year and I’m very pleased. Before it, I had an inexpensive brand and our Soviet one. I would like to give some useful advice to summer residents; it’s a fruitful year. It is advisable to pick apples from the tree with your hands and immediately squeeze them, then you will have a lot of juice and it will be without puree, there is no point in harvesting apple carrion and then sinning with a juicer. And those pieces of products that come across in the pulp are obtained because the pusher does not reach the knives themselves a little, so that its plastic does not wear off. This principle applies to absolutely all juicers and food processors. And for berries, it is better to use auger juicers, where the juice yield is high, since they do not rub the product, but crush it. This year I have already used 40 liters of juice. Good luck!</v>
      </c>
    </row>
    <row r="13809" spans="1:9" x14ac:dyDescent="0.3">
      <c r="A13809" s="1" t="s">
        <v>30</v>
      </c>
      <c r="B13809" s="1" t="s">
        <v>31</v>
      </c>
      <c r="C13809" s="1" t="s">
        <v>32</v>
      </c>
      <c r="D13809" s="1" t="s">
        <v>152</v>
      </c>
      <c r="E13809" s="1" t="s">
        <v>1608</v>
      </c>
      <c r="F13809" s="1" t="s">
        <v>19170</v>
      </c>
      <c r="G13809" s="1" t="s">
        <v>28</v>
      </c>
      <c r="H13809" s="1" t="s">
        <v>29</v>
      </c>
      <c r="I13809" s="1" t="str">
        <f ca="1">IFERROR(__xludf.DUMMYFUNCTION("GOOGLETRANSLATE(F13809, ""auto"", ""en"")
"),"PROS: price, performance, design MINUSES: poor drive quality (including recording quality), lack of drivers for XP or VISTA on the manufacturer’s website, therefore the inability to connect all currently existing external devices, it’s a pity.  p.s. I rea"&amp;"d all the reviews, there are a lot of complaints about the GT220 - my video card is not buggy.")</f>
        <v>PROS: price, performance, design MINUSES: poor drive quality (including recording quality), lack of drivers for XP or VISTA on the manufacturer’s website, therefore the inability to connect all currently existing external devices, it’s a pity.  p.s. I read all the reviews, there are a lot of complaints about the GT220 - my video card is not buggy.</v>
      </c>
    </row>
    <row r="13810" spans="1:9" x14ac:dyDescent="0.3">
      <c r="A13810" s="1" t="s">
        <v>105</v>
      </c>
      <c r="B13810" s="1" t="s">
        <v>106</v>
      </c>
      <c r="C13810" s="1" t="s">
        <v>107</v>
      </c>
      <c r="D13810" s="1" t="s">
        <v>19171</v>
      </c>
      <c r="E13810" s="1" t="s">
        <v>2236</v>
      </c>
      <c r="F13810" s="1" t="s">
        <v>19172</v>
      </c>
      <c r="G13810" s="1" t="s">
        <v>28</v>
      </c>
      <c r="H13810" s="1" t="s">
        <v>29</v>
      </c>
      <c r="I13810" s="1" t="str">
        <f ca="1">IFERROR(__xludf.DUMMYFUNCTION("GOOGLETRANSLATE(F13810, ""auto"", ""en"")
"),"The player was fine for 2 years, but this summer I accidentally left it at the camp. Pros: Cool design, viewing pictures. Cons: original headphones died, began to hiss, does not produce avi movies.  And so, in principle, it’s cool, I used it. I would have"&amp;" used it if it weren’t for the loss")</f>
        <v>The player was fine for 2 years, but this summer I accidentally left it at the camp. Pros: Cool design, viewing pictures. Cons: original headphones died, began to hiss, does not produce avi movies.  And so, in principle, it’s cool, I used it. I would have used it if it weren’t for the loss</v>
      </c>
    </row>
    <row r="13811" spans="1:9" x14ac:dyDescent="0.3">
      <c r="A13811" s="1" t="s">
        <v>369</v>
      </c>
      <c r="B13811" s="1" t="s">
        <v>370</v>
      </c>
      <c r="C13811" s="1" t="s">
        <v>588</v>
      </c>
      <c r="D13811" s="1" t="s">
        <v>592</v>
      </c>
      <c r="E13811" s="1" t="s">
        <v>1891</v>
      </c>
      <c r="F13811" s="1" t="s">
        <v>19173</v>
      </c>
      <c r="G13811" s="1" t="s">
        <v>49</v>
      </c>
      <c r="H13811" s="1" t="s">
        <v>16</v>
      </c>
      <c r="I13811" s="1" t="str">
        <f ca="1">IFERROR(__xludf.DUMMYFUNCTION("GOOGLETRANSLATE(F13811, ""auto"", ""en"")
"),"Shit, not a stove, not even a year has passed since the enamel on the stove began to crack, after using it for more than 2 years, there is no sign of it, the cracks are already on the panel where the flags are, the color of the white enamel is darkening. "&amp;"I don’t know what to do, the warranty is over??? People, don't waste your money on this MIRACLE. It bakes well, the hob is normal, but the appearance is terrible.")</f>
        <v>Shit, not a stove, not even a year has passed since the enamel on the stove began to crack, after using it for more than 2 years, there is no sign of it, the cracks are already on the panel where the flags are, the color of the white enamel is darkening. I don’t know what to do, the warranty is over??? People, don't waste your money on this MIRACLE. It bakes well, the hob is normal, but the appearance is terrible.</v>
      </c>
    </row>
    <row r="13812" spans="1:9" x14ac:dyDescent="0.3">
      <c r="A13812" s="1" t="s">
        <v>89</v>
      </c>
      <c r="B13812" s="1" t="s">
        <v>231</v>
      </c>
      <c r="C13812" s="1" t="s">
        <v>185</v>
      </c>
      <c r="D13812" s="1" t="s">
        <v>3685</v>
      </c>
      <c r="E13812" s="1" t="s">
        <v>7596</v>
      </c>
      <c r="F13812" s="1" t="s">
        <v>19174</v>
      </c>
      <c r="G13812" s="1" t="s">
        <v>36</v>
      </c>
      <c r="H13812" s="1" t="s">
        <v>29</v>
      </c>
      <c r="I13812" s="1" t="str">
        <f ca="1">IFERROR(__xludf.DUMMYFUNCTION("GOOGLETRANSLATE(F13812, ""auto"", ""en"")
"),"I dreamed for a long time and chose a coffee machine. I bought it on occasion and at a good discount. I’ve been using it for a week, we’re getting used to each other. Overall, I’m happy with the purchase. I’m pleased with the aromatic coffee...")</f>
        <v>I dreamed for a long time and chose a coffee machine. I bought it on occasion and at a good discount. I’ve been using it for a week, we’re getting used to each other. Overall, I’m happy with the purchase. I’m pleased with the aromatic coffee...</v>
      </c>
    </row>
    <row r="13813" spans="1:9" x14ac:dyDescent="0.3">
      <c r="A13813" s="1" t="s">
        <v>120</v>
      </c>
      <c r="B13813" s="1" t="s">
        <v>121</v>
      </c>
      <c r="C13813" s="1" t="s">
        <v>97</v>
      </c>
      <c r="D13813" s="1" t="s">
        <v>81</v>
      </c>
      <c r="E13813" s="1" t="s">
        <v>2278</v>
      </c>
      <c r="F13813" s="1" t="s">
        <v>19175</v>
      </c>
      <c r="G13813" s="1" t="s">
        <v>36</v>
      </c>
      <c r="H13813" s="1" t="s">
        <v>29</v>
      </c>
      <c r="I13813" s="1" t="str">
        <f ca="1">IFERROR(__xludf.DUMMYFUNCTION("GOOGLETRANSLATE(F13813, ""auto"", ""en"")
"),"The TV is excellent. I bought it before the new year. Everything suits me. The image is high quality. Assembly Slovakia. This was the main consideration when purchasing. In about three years I will buy a newer model.")</f>
        <v>The TV is excellent. I bought it before the new year. Everything suits me. The image is high quality. Assembly Slovakia. This was the main consideration when purchasing. In about three years I will buy a newer model.</v>
      </c>
    </row>
    <row r="13814" spans="1:9" x14ac:dyDescent="0.3">
      <c r="A13814" s="1" t="s">
        <v>61</v>
      </c>
      <c r="B13814" s="1" t="s">
        <v>180</v>
      </c>
      <c r="C13814" s="1" t="s">
        <v>85</v>
      </c>
      <c r="D13814" s="1" t="s">
        <v>152</v>
      </c>
      <c r="E13814" s="1" t="s">
        <v>7969</v>
      </c>
      <c r="F13814" s="1" t="s">
        <v>19176</v>
      </c>
      <c r="G13814" s="1" t="s">
        <v>36</v>
      </c>
      <c r="H13814" s="1" t="s">
        <v>29</v>
      </c>
      <c r="I13814" s="1" t="str">
        <f ca="1">IFERROR(__xludf.DUMMYFUNCTION("GOOGLETRANSLATE(F13814, ""auto"", ""en"")
"),"The toaster is simply wonderful, I can’t even imagine how I’ll live without it, before that I had a bitter experience with a cheap toaster that didn’t cook evenly and smelled like plastic!  Bork, as always, shows its superiority over everyone! I love my t"&amp;"oaster and recommend it to everyone!")</f>
        <v>The toaster is simply wonderful, I can’t even imagine how I’ll live without it, before that I had a bitter experience with a cheap toaster that didn’t cook evenly and smelled like plastic!  Bork, as always, shows its superiority over everyone! I love my toaster and recommend it to everyone!</v>
      </c>
    </row>
    <row r="13815" spans="1:9" x14ac:dyDescent="0.3">
      <c r="A13815" s="1" t="s">
        <v>624</v>
      </c>
      <c r="B13815" s="1" t="s">
        <v>625</v>
      </c>
      <c r="C13815" s="1" t="s">
        <v>479</v>
      </c>
      <c r="D13815" s="1" t="s">
        <v>280</v>
      </c>
      <c r="E13815" s="1" t="s">
        <v>16881</v>
      </c>
      <c r="F13815" s="1" t="s">
        <v>19177</v>
      </c>
      <c r="G13815" s="1" t="s">
        <v>36</v>
      </c>
      <c r="H13815" s="1" t="s">
        <v>29</v>
      </c>
      <c r="I13815" s="1" t="str">
        <f ca="1">IFERROR(__xludf.DUMMYFUNCTION("GOOGLETRANSLATE(F13815, ""auto"", ""en"")
"),"After an hour of active playing archery and tennis, the next morning your pectoral muscles and arm muscles hurt! This is a completely new approach to computer games. The most fun to play together is when there are 4 moves, especially in gladiatorial comba"&amp;"t and volleyball! In general, my advice to movie owners: buy it urgently!")</f>
        <v>After an hour of active playing archery and tennis, the next morning your pectoral muscles and arm muscles hurt! This is a completely new approach to computer games. The most fun to play together is when there are 4 moves, especially in gladiatorial combat and volleyball! In general, my advice to movie owners: buy it urgently!</v>
      </c>
    </row>
    <row r="13816" spans="1:9" x14ac:dyDescent="0.3">
      <c r="A13816" s="1" t="s">
        <v>43</v>
      </c>
      <c r="B13816" s="1" t="s">
        <v>1382</v>
      </c>
      <c r="C13816" s="1" t="s">
        <v>257</v>
      </c>
      <c r="D13816" s="1" t="s">
        <v>232</v>
      </c>
      <c r="E13816" s="1" t="s">
        <v>1657</v>
      </c>
      <c r="F13816" s="1" t="s">
        <v>19178</v>
      </c>
      <c r="G13816" s="1" t="s">
        <v>36</v>
      </c>
      <c r="H13816" s="1" t="s">
        <v>29</v>
      </c>
      <c r="I13816" s="1" t="str">
        <f ca="1">IFERROR(__xludf.DUMMYFUNCTION("GOOGLETRANSLATE(F13816, ""auto"", ""en"")
"),"I'm happy with the purchase, it works almost silently. Quite powerful, impeccable design, I'm pleased with the presence of a display where you can see the current ambient temperature. In terms of price-quality assessment, I rate it excellent.")</f>
        <v>I'm happy with the purchase, it works almost silently. Quite powerful, impeccable design, I'm pleased with the presence of a display where you can see the current ambient temperature. In terms of price-quality assessment, I rate it excellent.</v>
      </c>
    </row>
    <row r="13817" spans="1:9" x14ac:dyDescent="0.3">
      <c r="A13817" s="1" t="s">
        <v>211</v>
      </c>
      <c r="B13817" s="1" t="s">
        <v>212</v>
      </c>
      <c r="C13817" s="1" t="s">
        <v>745</v>
      </c>
      <c r="D13817" s="1" t="s">
        <v>545</v>
      </c>
      <c r="E13817" s="1" t="s">
        <v>9037</v>
      </c>
      <c r="F13817" s="1" t="s">
        <v>19179</v>
      </c>
      <c r="G13817" s="1" t="s">
        <v>36</v>
      </c>
      <c r="H13817" s="1" t="s">
        <v>29</v>
      </c>
      <c r="I13817" s="1" t="str">
        <f ca="1">IFERROR(__xludf.DUMMYFUNCTION("GOOGLETRANSLATE(F13817, ""auto"", ""en"")
"),"I purchased the Polaris PHS 0746 Lilac/Metal Silver hair dryer last month. This brush is a very convenient thing, with the help of which you can style your head much better than in a salon and still save a lot of money. I like that it doesn’t dry out my h"&amp;"air and is quite comfortable to hold in my hands. The hair dryer brush is quite compact and can easily be taken with you on the road.")</f>
        <v>I purchased the Polaris PHS 0746 Lilac/Metal Silver hair dryer last month. This brush is a very convenient thing, with the help of which you can style your head much better than in a salon and still save a lot of money. I like that it doesn’t dry out my hair and is quite comfortable to hold in my hands. The hair dryer brush is quite compact and can easily be taken with you on the road.</v>
      </c>
    </row>
    <row r="13818" spans="1:9" x14ac:dyDescent="0.3">
      <c r="A13818" s="1" t="s">
        <v>369</v>
      </c>
      <c r="B13818" s="1" t="s">
        <v>587</v>
      </c>
      <c r="C13818" s="1" t="s">
        <v>138</v>
      </c>
      <c r="D13818" s="1" t="s">
        <v>114</v>
      </c>
      <c r="E13818" s="1" t="s">
        <v>1871</v>
      </c>
      <c r="F13818" s="1" t="s">
        <v>19180</v>
      </c>
      <c r="G13818" s="1" t="s">
        <v>36</v>
      </c>
      <c r="H13818" s="1" t="s">
        <v>29</v>
      </c>
      <c r="I13818" s="1" t="str">
        <f ca="1">IFERROR(__xludf.DUMMYFUNCTION("GOOGLETRANSLATE(F13818, ""auto"", ""en"")
"),"The warranty workshop never repaired my stove (the bellows timer did not work, see review earlier). They said that this part is not supplied by the factory. They issued me a certificate. I went to the store with this act out of curiosity to see what they "&amp;"would offer in the end. But I was pleasantly surprised when the store employees said that there would be no problems with completely replacing the gas stove.  As a result: the next day, employees of the M-video delivery service arrived, took my used stove"&amp;", told me to drive up to the store and write a statement. I arrived, wrote a statement, and the very next day they brought me exactly the same stove, only a new one. At the same time, I did not pay a penny for this entire procedure. Didn't expect such ser"&amp;"vice. Thank you.")</f>
        <v>The warranty workshop never repaired my stove (the bellows timer did not work, see review earlier). They said that this part is not supplied by the factory. They issued me a certificate. I went to the store with this act out of curiosity to see what they would offer in the end. But I was pleasantly surprised when the store employees said that there would be no problems with completely replacing the gas stove.  As a result: the next day, employees of the M-video delivery service arrived, took my used stove, told me to drive up to the store and write a statement. I arrived, wrote a statement, and the very next day they brought me exactly the same stove, only a new one. At the same time, I did not pay a penny for this entire procedure. Didn't expect such service. Thank you.</v>
      </c>
    </row>
    <row r="13819" spans="1:9" x14ac:dyDescent="0.3">
      <c r="A13819" s="1" t="s">
        <v>1174</v>
      </c>
      <c r="B13819" s="1" t="s">
        <v>1175</v>
      </c>
      <c r="C13819" s="1" t="s">
        <v>1176</v>
      </c>
      <c r="D13819" s="1" t="s">
        <v>19181</v>
      </c>
      <c r="E13819" s="1" t="s">
        <v>2057</v>
      </c>
      <c r="F13819" s="1" t="s">
        <v>19182</v>
      </c>
      <c r="G13819" s="1" t="s">
        <v>36</v>
      </c>
      <c r="H13819" s="1" t="s">
        <v>29</v>
      </c>
      <c r="I13819" s="1" t="str">
        <f ca="1">IFERROR(__xludf.DUMMYFUNCTION("GOOGLETRANSLATE(F13819, ""auto"", ""en"")
"),"It fits perfectly, it’s not even noticeable, about the fragility, maybe you need to be more careful when stuffing it into the case, but then it fits perfectly")</f>
        <v>It fits perfectly, it’s not even noticeable, about the fragility, maybe you need to be more careful when stuffing it into the case, but then it fits perfectly</v>
      </c>
    </row>
    <row r="13820" spans="1:9" x14ac:dyDescent="0.3">
      <c r="A13820" s="1" t="s">
        <v>37</v>
      </c>
      <c r="B13820" s="1" t="s">
        <v>38</v>
      </c>
      <c r="C13820" s="1" t="s">
        <v>151</v>
      </c>
      <c r="D13820" s="1" t="s">
        <v>295</v>
      </c>
      <c r="E13820" s="1" t="s">
        <v>3999</v>
      </c>
      <c r="F13820" s="1" t="s">
        <v>19183</v>
      </c>
      <c r="G13820" s="1" t="s">
        <v>36</v>
      </c>
      <c r="H13820" s="1" t="s">
        <v>29</v>
      </c>
      <c r="I13820" s="1" t="str">
        <f ca="1">IFERROR(__xludf.DUMMYFUNCTION("GOOGLETRANSLATE(F13820, ""auto"", ""en"")
"),"Delighted with the phone! Beautiful, light, loud clear sound, the price pleased me for the versatility IT IS pleasant! The radio works without headphones, and there is also the opportunity to record your favorite melody into your phone! The camera is only"&amp;" a decoration on the back panel, so I don’t recommend it to photographers! A memory card for 2GB can be read well! Headphones with decent sound! MP3 player in the background with good sound! Bright display, a melody for each subscriber is set/add fields/i"&amp;"f the contact is in the phone’s memory! False call, SMS SOS PLEASURE OF AVAILABILITY!")</f>
        <v>Delighted with the phone! Beautiful, light, loud clear sound, the price pleased me for the versatility IT IS pleasant! The radio works without headphones, and there is also the opportunity to record your favorite melody into your phone! The camera is only a decoration on the back panel, so I don’t recommend it to photographers! A memory card for 2GB can be read well! Headphones with decent sound! MP3 player in the background with good sound! Bright display, a melody for each subscriber is set/add fields/if the contact is in the phone’s memory! False call, SMS SOS PLEASURE OF AVAILABILITY!</v>
      </c>
    </row>
    <row r="13821" spans="1:9" x14ac:dyDescent="0.3">
      <c r="A13821" s="1" t="s">
        <v>149</v>
      </c>
      <c r="B13821" s="1" t="s">
        <v>423</v>
      </c>
      <c r="C13821" s="1" t="s">
        <v>80</v>
      </c>
      <c r="D13821" s="1" t="s">
        <v>4222</v>
      </c>
      <c r="E13821" s="1" t="s">
        <v>460</v>
      </c>
      <c r="F13821" s="1" t="s">
        <v>19184</v>
      </c>
      <c r="G13821" s="1" t="s">
        <v>36</v>
      </c>
      <c r="H13821" s="1" t="s">
        <v>29</v>
      </c>
      <c r="I13821" s="1" t="str">
        <f ca="1">IFERROR(__xludf.DUMMYFUNCTION("GOOGLETRANSLATE(F13821, ""auto"", ""en"")
"),"The vacuum cleaner is super, I really like it, I’ve been using it for 2 years now")</f>
        <v>The vacuum cleaner is super, I really like it, I’ve been using it for 2 years now</v>
      </c>
    </row>
    <row r="13822" spans="1:9" x14ac:dyDescent="0.3">
      <c r="A13822" s="1" t="s">
        <v>361</v>
      </c>
      <c r="B13822" s="1" t="s">
        <v>2555</v>
      </c>
      <c r="C13822" s="1" t="s">
        <v>4871</v>
      </c>
      <c r="D13822" s="1" t="s">
        <v>411</v>
      </c>
      <c r="E13822" s="1" t="s">
        <v>932</v>
      </c>
      <c r="F13822" s="1" t="s">
        <v>19185</v>
      </c>
      <c r="G13822" s="1" t="s">
        <v>36</v>
      </c>
      <c r="H13822" s="1" t="s">
        <v>29</v>
      </c>
      <c r="I13822" s="1" t="str">
        <f ca="1">IFERROR(__xludf.DUMMYFUNCTION("GOOGLETRANSLATE(F13822, ""auto"", ""en"")
"),"Three years of active fishing, both winter and summer. Holds the temperature perfectly throughout the day.&amp;nbsp;")</f>
        <v>Three years of active fishing, both winter and summer. Holds the temperature perfectly throughout the day.&amp;nbsp;</v>
      </c>
    </row>
    <row r="13823" spans="1:9" x14ac:dyDescent="0.3">
      <c r="A13823" s="1" t="s">
        <v>211</v>
      </c>
      <c r="B13823" s="1" t="s">
        <v>265</v>
      </c>
      <c r="C13823" s="1" t="s">
        <v>122</v>
      </c>
      <c r="D13823" s="1" t="s">
        <v>545</v>
      </c>
      <c r="E13823" s="1" t="s">
        <v>1410</v>
      </c>
      <c r="F13823" s="1" t="s">
        <v>19186</v>
      </c>
      <c r="G13823" s="1" t="s">
        <v>36</v>
      </c>
      <c r="H13823" s="1" t="s">
        <v>29</v>
      </c>
      <c r="I13823" s="1" t="str">
        <f ca="1">IFERROR(__xludf.DUMMYFUNCTION("GOOGLETRANSLATE(F13823, ""auto"", ""en"")
"),"Can be washed under water!")</f>
        <v>Can be washed under water!</v>
      </c>
    </row>
    <row r="13824" spans="1:9" x14ac:dyDescent="0.3">
      <c r="A13824" s="1" t="s">
        <v>169</v>
      </c>
      <c r="B13824" s="1" t="s">
        <v>170</v>
      </c>
      <c r="C13824" s="1" t="s">
        <v>171</v>
      </c>
      <c r="D13824" s="1" t="s">
        <v>152</v>
      </c>
      <c r="E13824" s="1" t="s">
        <v>794</v>
      </c>
      <c r="F13824" s="1" t="s">
        <v>19187</v>
      </c>
      <c r="G13824" s="1" t="s">
        <v>28</v>
      </c>
      <c r="H13824" s="1" t="s">
        <v>29</v>
      </c>
      <c r="I13824" s="1" t="str">
        <f ca="1">IFERROR(__xludf.DUMMYFUNCTION("GOOGLETRANSLATE(F13824, ""auto"", ""en"")
"),"Very good headphones for their price. Sound great. Deep bass. Mine broke after 10 months. The plug design is not very reliable.")</f>
        <v>Very good headphones for their price. Sound great. Deep bass. Mine broke after 10 months. The plug design is not very reliable.</v>
      </c>
    </row>
    <row r="13825" spans="1:9" x14ac:dyDescent="0.3">
      <c r="A13825" s="1" t="s">
        <v>105</v>
      </c>
      <c r="B13825" s="1" t="s">
        <v>106</v>
      </c>
      <c r="C13825" s="1" t="s">
        <v>1921</v>
      </c>
      <c r="D13825" s="1" t="s">
        <v>1188</v>
      </c>
      <c r="E13825" s="1" t="s">
        <v>1228</v>
      </c>
      <c r="F13825" s="1" t="s">
        <v>19188</v>
      </c>
      <c r="G13825" s="1" t="s">
        <v>28</v>
      </c>
      <c r="H13825" s="1" t="s">
        <v>29</v>
      </c>
      <c r="I13825" s="1" t="str">
        <f ca="1">IFERROR(__xludf.DUMMYFUNCTION("GOOGLETRANSLATE(F13825, ""auto"", ""en"")
"),"I haven't been using it for long, about a week.      I chose from Xplay and Samsung, but I was told that they most often end up being repaired. My mother already wears a player from this company, and she is absolutely satisfied with it.     In principle, "&amp;"it suits me, it’s a pity that it can only be recharged from the computer. Advantages: watch movies, and the program compresses them significantly, easy to use, read books. It’s a pity that you can’t play, or read, and listen to music at the same time.    "&amp;"Nice, small, excellent price. I would recommend it to those who like small, neat players.")</f>
        <v>I haven't been using it for long, about a week.      I chose from Xplay and Samsung, but I was told that they most often end up being repaired. My mother already wears a player from this company, and she is absolutely satisfied with it.     In principle, it suits me, it’s a pity that it can only be recharged from the computer. Advantages: watch movies, and the program compresses them significantly, easy to use, read books. It’s a pity that you can’t play, or read, and listen to music at the same time.    Nice, small, excellent price. I would recommend it to those who like small, neat players.</v>
      </c>
    </row>
    <row r="13826" spans="1:9" x14ac:dyDescent="0.3">
      <c r="A13826" s="1" t="s">
        <v>67</v>
      </c>
      <c r="B13826" s="1" t="s">
        <v>68</v>
      </c>
      <c r="C13826" s="1" t="s">
        <v>381</v>
      </c>
      <c r="D13826" s="1" t="s">
        <v>565</v>
      </c>
      <c r="E13826" s="1" t="s">
        <v>4187</v>
      </c>
      <c r="F13826" s="1" t="s">
        <v>19189</v>
      </c>
      <c r="G13826" s="1" t="s">
        <v>36</v>
      </c>
      <c r="H13826" s="1" t="s">
        <v>29</v>
      </c>
      <c r="I13826" s="1" t="str">
        <f ca="1">IFERROR(__xludf.DUMMYFUNCTION("GOOGLETRANSLATE(F13826, ""auto"", ""en"")
"),"Great iron. Nothing extra, ironing is a pleasure")</f>
        <v>Great iron. Nothing extra, ironing is a pleasure</v>
      </c>
    </row>
    <row r="13827" spans="1:9" x14ac:dyDescent="0.3">
      <c r="A13827" s="1" t="s">
        <v>169</v>
      </c>
      <c r="B13827" s="1" t="s">
        <v>170</v>
      </c>
      <c r="C13827" s="1" t="s">
        <v>193</v>
      </c>
      <c r="D13827" s="1" t="s">
        <v>7893</v>
      </c>
      <c r="E13827" s="1" t="s">
        <v>594</v>
      </c>
      <c r="F13827" s="1" t="s">
        <v>19190</v>
      </c>
      <c r="G13827" s="1" t="s">
        <v>28</v>
      </c>
      <c r="H13827" s="1" t="s">
        <v>29</v>
      </c>
      <c r="I13827" s="1" t="str">
        <f ca="1">IFERROR(__xludf.DUMMYFUNCTION("GOOGLETRANSLATE(F13827, ""auto"", ""en"")
"),"The bass is rich and the highs are amazing. The middle is blurry. They will go with a bang for pop and electronics, for rock, jazz - not quite what is needed. The sound insulation is amazing, dressed - and silence. A huge plus of these ears is their almos"&amp;"t complete indestructibility. I wore them on the street for 1.5 years, dropped them - not even a scratch. It’s true that the wire gets dull in the cold.")</f>
        <v>The bass is rich and the highs are amazing. The middle is blurry. They will go with a bang for pop and electronics, for rock, jazz - not quite what is needed. The sound insulation is amazing, dressed - and silence. A huge plus of these ears is their almost complete indestructibility. I wore them on the street for 1.5 years, dropped them - not even a scratch. It’s true that the wire gets dull in the cold.</v>
      </c>
    </row>
    <row r="13828" spans="1:9" x14ac:dyDescent="0.3">
      <c r="A13828" s="1" t="s">
        <v>9</v>
      </c>
      <c r="B13828" s="1" t="s">
        <v>10</v>
      </c>
      <c r="C13828" s="1" t="s">
        <v>407</v>
      </c>
      <c r="D13828" s="1" t="s">
        <v>52</v>
      </c>
      <c r="E13828" s="1" t="s">
        <v>1490</v>
      </c>
      <c r="F13828" s="1" t="s">
        <v>19191</v>
      </c>
      <c r="G13828" s="1" t="s">
        <v>15</v>
      </c>
      <c r="H13828" s="1" t="s">
        <v>16</v>
      </c>
      <c r="I13828" s="1" t="str">
        <f ca="1">IFERROR(__xludf.DUMMYFUNCTION("GOOGLETRANSLATE(F13828, ""auto"", ""en"")
"),"Power, design ")</f>
        <v xml:space="preserve">Power, design </v>
      </c>
    </row>
    <row r="13829" spans="1:9" x14ac:dyDescent="0.3">
      <c r="A13829" s="1" t="s">
        <v>55</v>
      </c>
      <c r="B13829" s="1" t="s">
        <v>752</v>
      </c>
      <c r="C13829" s="1" t="s">
        <v>257</v>
      </c>
      <c r="D13829" s="1" t="s">
        <v>208</v>
      </c>
      <c r="E13829" s="1" t="s">
        <v>5800</v>
      </c>
      <c r="F13829" s="1" t="s">
        <v>19192</v>
      </c>
      <c r="G13829" s="1" t="s">
        <v>49</v>
      </c>
      <c r="H13829" s="1" t="s">
        <v>16</v>
      </c>
      <c r="I13829" s="1" t="str">
        <f ca="1">IFERROR(__xludf.DUMMYFUNCTION("GOOGLETRANSLATE(F13829, ""auto"", ""en"")
"),"The radiator was chosen based on the power and the number of sections, and the price was not the least important. The design was not the least important thing, the main thing was to keep it warm, the wheels were completely crap, they were attached to the "&amp;"last section of the radiator on a tie rod, and if you overtightened the metal wings, you could damage the radiator itself, i.e., oil would leak out. You can immediately forget about the declared power, the room of 12 sq.m. barely heats, maybe it’s the the"&amp;"rmostat, now it’s not particularly cold, it’s a different matter in winter. Next weekend I’ll take it to the dacha and do a test drive, they promised frosts there, if it doesn’t heat better, I’ll return it. Within 14 days the product is accepted without q"&amp;"uestions, you can take it if you are not satisfied, you can always return it, try it cheaper, you still won’t find it, but maybe you will like it.")</f>
        <v>The radiator was chosen based on the power and the number of sections, and the price was not the least important. The design was not the least important thing, the main thing was to keep it warm, the wheels were completely crap, they were attached to the last section of the radiator on a tie rod, and if you overtightened the metal wings, you could damage the radiator itself, i.e., oil would leak out. You can immediately forget about the declared power, the room of 12 sq.m. barely heats, maybe it’s the thermostat, now it’s not particularly cold, it’s a different matter in winter. Next weekend I’ll take it to the dacha and do a test drive, they promised frosts there, if it doesn’t heat better, I’ll return it. Within 14 days the product is accepted without questions, you can take it if you are not satisfied, you can always return it, try it cheaper, you still won’t find it, but maybe you will like it.</v>
      </c>
    </row>
    <row r="13830" spans="1:9" x14ac:dyDescent="0.3">
      <c r="A13830" s="1" t="s">
        <v>477</v>
      </c>
      <c r="B13830" s="1" t="s">
        <v>478</v>
      </c>
      <c r="C13830" s="1" t="s">
        <v>479</v>
      </c>
      <c r="D13830" s="1" t="s">
        <v>861</v>
      </c>
      <c r="E13830" s="1" t="s">
        <v>1432</v>
      </c>
      <c r="F13830" s="1" t="s">
        <v>19193</v>
      </c>
      <c r="G13830" s="1" t="s">
        <v>28</v>
      </c>
      <c r="H13830" s="1" t="s">
        <v>29</v>
      </c>
      <c r="I13830" s="1" t="str">
        <f ca="1">IFERROR(__xludf.DUMMYFUNCTION("GOOGLETRANSLATE(F13830, ""auto"", ""en"")
"),"the game is good, but a bit damp! There are a lot of glitches in multiplayer. For example, even a machine gun can’t penetrate a wooden box! They say a patch will be released soon at 1.5gb, I hope it will fix all the bugs! Most servers lag, especially in t"&amp;"he evening. It’s actually a problem to log into Russian servers.  The campaign is super! The graphics are rather weak for modern games!  We are waiting for CRYSIS2!")</f>
        <v>the game is good, but a bit damp! There are a lot of glitches in multiplayer. For example, even a machine gun can’t penetrate a wooden box! They say a patch will be released soon at 1.5gb, I hope it will fix all the bugs! Most servers lag, especially in the evening. It’s actually a problem to log into Russian servers.  The campaign is super! The graphics are rather weak for modern games!  We are waiting for CRYSIS2!</v>
      </c>
    </row>
    <row r="13831" spans="1:9" x14ac:dyDescent="0.3">
      <c r="A13831" s="1" t="s">
        <v>30</v>
      </c>
      <c r="B13831" s="1" t="s">
        <v>50</v>
      </c>
      <c r="C13831" s="1" t="s">
        <v>51</v>
      </c>
      <c r="D13831" s="1" t="s">
        <v>19194</v>
      </c>
      <c r="E13831" s="1" t="s">
        <v>1310</v>
      </c>
      <c r="F13831" s="1" t="s">
        <v>19195</v>
      </c>
      <c r="G13831" s="1" t="s">
        <v>36</v>
      </c>
      <c r="H13831" s="1" t="s">
        <v>29</v>
      </c>
      <c r="I13831" s="1" t="str">
        <f ca="1">IFERROR(__xludf.DUMMYFUNCTION("GOOGLETRANSLATE(F13831, ""auto"", ""en"")
"),"I bought this laptop yesterday for 28,000 rubles.   What I liked: the screen, the large bright display... but the viewing angles are a little let down... you won’t be able to watch in a large group, but it’s very good alone... the sound, of course, can’t "&amp;"be compared with external speakers, but it’s suitable as a mobile option, only it plays very quietly (advice buy external speakers or headphones) performance: the weakest point of the laptop is the processor... everything else is on par, but copes with ev"&amp;"eryday tasks... I only ran one game on the laptop, Titan Quest at maximum settings, everything flies, thanks to the GF240M mobile video card, which copes well with both games and HD movies... CONCLUSION: I am 100% satisfied with the purchase, it is worth "&amp;"the money and pays for every invested ruble... Only Win7HE must be changed to the Ultimate version...")</f>
        <v>I bought this laptop yesterday for 28,000 rubles.   What I liked: the screen, the large bright display... but the viewing angles are a little let down... you won’t be able to watch in a large group, but it’s very good alone... the sound, of course, can’t be compared with external speakers, but it’s suitable as a mobile option, only it plays very quietly (advice buy external speakers or headphones) performance: the weakest point of the laptop is the processor... everything else is on par, but copes with everyday tasks... I only ran one game on the laptop, Titan Quest at maximum settings, everything flies, thanks to the GF240M mobile video card, which copes well with both games and HD movies... CONCLUSION: I am 100% satisfied with the purchase, it is worth the money and pays for every invested ruble... Only Win7HE must be changed to the Ultimate version...</v>
      </c>
    </row>
    <row r="13832" spans="1:9" x14ac:dyDescent="0.3">
      <c r="A13832" s="1" t="s">
        <v>30</v>
      </c>
      <c r="B13832" s="1" t="s">
        <v>50</v>
      </c>
      <c r="C13832" s="1" t="s">
        <v>51</v>
      </c>
      <c r="D13832" s="1" t="s">
        <v>19196</v>
      </c>
      <c r="E13832" s="1" t="s">
        <v>784</v>
      </c>
      <c r="F13832" s="1" t="s">
        <v>19197</v>
      </c>
      <c r="G13832" s="1" t="s">
        <v>36</v>
      </c>
      <c r="H13832" s="1" t="s">
        <v>29</v>
      </c>
      <c r="I13832" s="1" t="str">
        <f ca="1">IFERROR(__xludf.DUMMYFUNCTION("GOOGLETRANSLATE(F13832, ""auto"", ""en"")
"),"great laptop, why are you soaring, everything is going like clockwork, I have no problems with the laptop)")</f>
        <v>great laptop, why are you soaring, everything is going like clockwork, I have no problems with the laptop)</v>
      </c>
    </row>
    <row r="13833" spans="1:9" x14ac:dyDescent="0.3">
      <c r="A13833" s="1" t="s">
        <v>89</v>
      </c>
      <c r="B13833" s="1" t="s">
        <v>90</v>
      </c>
      <c r="C13833" s="1" t="s">
        <v>101</v>
      </c>
      <c r="D13833" s="1" t="s">
        <v>1681</v>
      </c>
      <c r="E13833" s="1" t="s">
        <v>3004</v>
      </c>
      <c r="F13833" s="1" t="s">
        <v>19198</v>
      </c>
      <c r="G13833" s="1" t="s">
        <v>28</v>
      </c>
      <c r="H13833" s="1" t="s">
        <v>29</v>
      </c>
      <c r="I13833" s="1" t="str">
        <f ca="1">IFERROR(__xludf.DUMMYFUNCTION("GOOGLETRANSLATE(F13833, ""auto"", ""en"")
"),"Nothing extra. The coffee beans are ground into fine crumbs, there is no noise or foreign odors. The shape of the lid is not very convenient, it is round - it is difficult to pick it up, especially with wet hands.")</f>
        <v>Nothing extra. The coffee beans are ground into fine crumbs, there is no noise or foreign odors. The shape of the lid is not very convenient, it is round - it is difficult to pick it up, especially with wet hands.</v>
      </c>
    </row>
    <row r="13834" spans="1:9" x14ac:dyDescent="0.3">
      <c r="A13834" s="1" t="s">
        <v>61</v>
      </c>
      <c r="B13834" s="1" t="s">
        <v>62</v>
      </c>
      <c r="C13834" s="1" t="s">
        <v>63</v>
      </c>
      <c r="D13834" s="1" t="s">
        <v>12</v>
      </c>
      <c r="E13834" s="1" t="s">
        <v>5867</v>
      </c>
      <c r="F13834" s="1" t="s">
        <v>19199</v>
      </c>
      <c r="G13834" s="1" t="s">
        <v>36</v>
      </c>
      <c r="H13834" s="1" t="s">
        <v>29</v>
      </c>
      <c r="I13834" s="1" t="str">
        <f ca="1">IFERROR(__xludf.DUMMYFUNCTION("GOOGLETRANSLATE(F13834, ""auto"", ""en"")
"),"Just a great thing! I’ve been using it for 2 years, I can’t imagine how I managed without it before.")</f>
        <v>Just a great thing! I’ve been using it for 2 years, I can’t imagine how I managed without it before.</v>
      </c>
    </row>
    <row r="13835" spans="1:9" x14ac:dyDescent="0.3">
      <c r="A13835" s="1" t="s">
        <v>61</v>
      </c>
      <c r="B13835" s="1" t="s">
        <v>434</v>
      </c>
      <c r="C13835" s="1" t="s">
        <v>101</v>
      </c>
      <c r="D13835" s="1" t="s">
        <v>438</v>
      </c>
      <c r="E13835" s="1" t="s">
        <v>4750</v>
      </c>
      <c r="F13835" s="1" t="s">
        <v>19200</v>
      </c>
      <c r="G13835" s="1" t="s">
        <v>49</v>
      </c>
      <c r="H13835" s="1" t="s">
        <v>16</v>
      </c>
      <c r="I13835" s="1" t="str">
        <f ca="1">IFERROR(__xludf.DUMMYFUNCTION("GOOGLETRANSLATE(F13835, ""auto"", ""en"")
"),"Terrible oven! I didn’t try to bake anything in it because when I turned it on, it gave off a pungent chemical smell! This is not smoke, but some kind of Chinese material is burning. I won't risk cooking food in it. I decided to buy Scarlett only because "&amp;"the stove seemed to be made of metal, I hoped that there would be no such moments.  In general, I don’t recommend it to anyone. Thanks M-video, we took the stove back")</f>
        <v>Terrible oven! I didn’t try to bake anything in it because when I turned it on, it gave off a pungent chemical smell! This is not smoke, but some kind of Chinese material is burning. I won't risk cooking food in it. I decided to buy Scarlett only because the stove seemed to be made of metal, I hoped that there would be no such moments.  In general, I don’t recommend it to anyone. Thanks M-video, we took the stove back</v>
      </c>
    </row>
    <row r="13836" spans="1:9" x14ac:dyDescent="0.3">
      <c r="A13836" s="1" t="s">
        <v>105</v>
      </c>
      <c r="B13836" s="1" t="s">
        <v>106</v>
      </c>
      <c r="C13836" s="1" t="s">
        <v>151</v>
      </c>
      <c r="D13836" s="1" t="s">
        <v>166</v>
      </c>
      <c r="E13836" s="1" t="s">
        <v>2006</v>
      </c>
      <c r="F13836" s="1" t="s">
        <v>19201</v>
      </c>
      <c r="G13836" s="1" t="s">
        <v>15</v>
      </c>
      <c r="H13836" s="1" t="s">
        <v>16</v>
      </c>
      <c r="I13836" s="1" t="str">
        <f ca="1">IFERROR(__xludf.DUMMYFUNCTION("GOOGLETRANSLATE(F13836, ""auto"", ""en"")
"),"When I purchased this product I was happy, but after a week it began to become willful. At first it turned off and froze, after which it did not turn on for several days. When connected to a PC, it got hot like a frying pan. There is also a minus in playi"&amp;"ng the video, or rather in not playing it. No matter how much I converted the video in various programs, no matter how much I reduced it, the player did not play. The statement - “50 hours of work” - in general, it works for about 6 hours without charging"&amp;" with the screen turned off. After a month I couldn’t stand it and tomorrow I’m going to get a new one.  Maybe it's just my bad luck.")</f>
        <v>When I purchased this product I was happy, but after a week it began to become willful. At first it turned off and froze, after which it did not turn on for several days. When connected to a PC, it got hot like a frying pan. There is also a minus in playing the video, or rather in not playing it. No matter how much I converted the video in various programs, no matter how much I reduced it, the player did not play. The statement - “50 hours of work” - in general, it works for about 6 hours without charging with the screen turned off. After a month I couldn’t stand it and tomorrow I’m going to get a new one.  Maybe it's just my bad luck.</v>
      </c>
    </row>
    <row r="13837" spans="1:9" x14ac:dyDescent="0.3">
      <c r="A13837" s="1" t="s">
        <v>61</v>
      </c>
      <c r="B13837" s="1" t="s">
        <v>318</v>
      </c>
      <c r="C13837" s="1" t="s">
        <v>2840</v>
      </c>
      <c r="D13837" s="1" t="s">
        <v>9260</v>
      </c>
      <c r="E13837" s="1" t="s">
        <v>1277</v>
      </c>
      <c r="F13837" s="1" t="s">
        <v>19202</v>
      </c>
      <c r="G13837" s="1" t="s">
        <v>36</v>
      </c>
      <c r="H13837" s="1" t="s">
        <v>29</v>
      </c>
      <c r="I13837" s="1" t="str">
        <f ca="1">IFERROR(__xludf.DUMMYFUNCTION("GOOGLETRANSLATE(F13837, ""auto"", ""en"")
"),"It's time to buy a new kettle. We wanted a metal one, but we saw this one in the store. I really liked it, beautiful, neat, pleasant to pick up. It works silently and looks cozy on the table :) Very pleased.")</f>
        <v>It's time to buy a new kettle. We wanted a metal one, but we saw this one in the store. I really liked it, beautiful, neat, pleasant to pick up. It works silently and looks cozy on the table :) Very pleased.</v>
      </c>
    </row>
    <row r="13838" spans="1:9" x14ac:dyDescent="0.3">
      <c r="A13838" s="1" t="s">
        <v>519</v>
      </c>
      <c r="B13838" s="1" t="s">
        <v>520</v>
      </c>
      <c r="C13838" s="1" t="s">
        <v>3571</v>
      </c>
      <c r="D13838" s="1" t="s">
        <v>5031</v>
      </c>
      <c r="E13838" s="1" t="s">
        <v>3630</v>
      </c>
      <c r="F13838" s="1" t="s">
        <v>19203</v>
      </c>
      <c r="G13838" s="1" t="s">
        <v>49</v>
      </c>
      <c r="H13838" s="1" t="s">
        <v>16</v>
      </c>
      <c r="I13838" s="1" t="str">
        <f ca="1">IFERROR(__xludf.DUMMYFUNCTION("GOOGLETRANSLATE(F13838, ""auto"", ""en"")
"),"I had this pan for several years and bought it from the official rondell. Sharp edge! I cut my finger for the first time and badly while washing it! This is NOT normal! Then I washed it and didn’t touch the edge with my hands. Very thin metal, poor qualit"&amp;"y, I do not advise ANYONE to buy such a set! It is not convenient to store, the lid cannot be stacked on top of each other, the lid has a high edge. Plus only spouts for draining and nothing more!")</f>
        <v>I had this pan for several years and bought it from the official rondell. Sharp edge! I cut my finger for the first time and badly while washing it! This is NOT normal! Then I washed it and didn’t touch the edge with my hands. Very thin metal, poor quality, I do not advise ANYONE to buy such a set! It is not convenient to store, the lid cannot be stacked on top of each other, the lid has a high edge. Plus only spouts for draining and nothing more!</v>
      </c>
    </row>
    <row r="13839" spans="1:9" x14ac:dyDescent="0.3">
      <c r="A13839" s="1" t="s">
        <v>965</v>
      </c>
      <c r="B13839" s="1" t="s">
        <v>966</v>
      </c>
      <c r="C13839" s="1" t="s">
        <v>967</v>
      </c>
      <c r="D13839" s="1" t="s">
        <v>33</v>
      </c>
      <c r="E13839" s="1" t="s">
        <v>1136</v>
      </c>
      <c r="F13839" s="1" t="s">
        <v>19204</v>
      </c>
      <c r="G13839" s="1" t="s">
        <v>94</v>
      </c>
      <c r="H13839" s="1" t="s">
        <v>29</v>
      </c>
      <c r="I13839" s="1" t="str">
        <f ca="1">IFERROR(__xludf.DUMMYFUNCTION("GOOGLETRANSLATE(F13839, ""auto"", ""en"")
"),"Good sound, clear bass")</f>
        <v>Good sound, clear bass</v>
      </c>
    </row>
    <row r="13840" spans="1:9" x14ac:dyDescent="0.3">
      <c r="A13840" s="1" t="s">
        <v>89</v>
      </c>
      <c r="B13840" s="1" t="s">
        <v>231</v>
      </c>
      <c r="C13840" s="1" t="s">
        <v>1072</v>
      </c>
      <c r="D13840" s="1" t="s">
        <v>52</v>
      </c>
      <c r="E13840" s="1" t="s">
        <v>5855</v>
      </c>
      <c r="F13840" s="1" t="s">
        <v>19205</v>
      </c>
      <c r="G13840" s="1" t="s">
        <v>28</v>
      </c>
      <c r="H13840" s="1" t="s">
        <v>29</v>
      </c>
      <c r="I13840" s="1" t="str">
        <f ca="1">IFERROR(__xludf.DUMMYFUNCTION("GOOGLETRANSLATE(F13840, ""auto"", ""en"")
"),"I was impressed by the ease of use and of course the three-layer coffee. I received coffee quickly enough as we usually drink. I played with the foam a little longer. We love milk 2.5, quite so, we need to try a fattier one. Easy to serve, quick to cook. "&amp;"We've been using it for three days and we're happy. The top covers are not very well made.")</f>
        <v>I was impressed by the ease of use and of course the three-layer coffee. I received coffee quickly enough as we usually drink. I played with the foam a little longer. We love milk 2.5, quite so, we need to try a fattier one. Easy to serve, quick to cook. We've been using it for three days and we're happy. The top covers are not very well made.</v>
      </c>
    </row>
    <row r="13841" spans="1:9" x14ac:dyDescent="0.3">
      <c r="A13841" s="1" t="s">
        <v>17</v>
      </c>
      <c r="B13841" s="1" t="s">
        <v>18</v>
      </c>
      <c r="C13841" s="1" t="s">
        <v>665</v>
      </c>
      <c r="D13841" s="1" t="s">
        <v>308</v>
      </c>
      <c r="E13841" s="1" t="s">
        <v>8076</v>
      </c>
      <c r="F13841" s="1" t="s">
        <v>19206</v>
      </c>
      <c r="G13841" s="1" t="s">
        <v>36</v>
      </c>
      <c r="H13841" s="1" t="s">
        <v>29</v>
      </c>
      <c r="I13841" s="1" t="str">
        <f ca="1">IFERROR(__xludf.DUMMYFUNCTION("GOOGLETRANSLATE(F13841, ""auto"", ""en"")
"),"Great machine, not noisy, washes great!)")</f>
        <v>Great machine, not noisy, washes great!)</v>
      </c>
    </row>
    <row r="13842" spans="1:9" x14ac:dyDescent="0.3">
      <c r="A13842" s="1" t="s">
        <v>55</v>
      </c>
      <c r="B13842" s="1" t="s">
        <v>752</v>
      </c>
      <c r="C13842" s="1" t="s">
        <v>57</v>
      </c>
      <c r="D13842" s="1" t="s">
        <v>474</v>
      </c>
      <c r="E13842" s="1" t="s">
        <v>5561</v>
      </c>
      <c r="F13842" s="1" t="s">
        <v>19207</v>
      </c>
      <c r="G13842" s="1" t="s">
        <v>36</v>
      </c>
      <c r="H13842" s="1" t="s">
        <v>29</v>
      </c>
      <c r="I13842" s="1" t="str">
        <f ca="1">IFERROR(__xludf.DUMMYFUNCTION("GOOGLETRANSLATE(F13842, ""auto"", ""en"")
"),"Great choice! Never let you down! I recommend!")</f>
        <v>Great choice! Never let you down! I recommend!</v>
      </c>
    </row>
    <row r="13843" spans="1:9" x14ac:dyDescent="0.3">
      <c r="A13843" s="1" t="s">
        <v>61</v>
      </c>
      <c r="B13843" s="1" t="s">
        <v>224</v>
      </c>
      <c r="C13843" s="1" t="s">
        <v>85</v>
      </c>
      <c r="D13843" s="1" t="s">
        <v>39</v>
      </c>
      <c r="E13843" s="1" t="s">
        <v>8520</v>
      </c>
      <c r="F13843" s="1" t="s">
        <v>19208</v>
      </c>
      <c r="G13843" s="1" t="s">
        <v>28</v>
      </c>
      <c r="H13843" s="1" t="s">
        <v>29</v>
      </c>
      <c r="I13843" s="1" t="str">
        <f ca="1">IFERROR(__xludf.DUMMYFUNCTION("GOOGLETRANSLATE(F13843, ""auto"", ""en"")
"),"I bought this model a couple of days ago. I have already made three servings of vegetable juice. Of course, she could have squeezed it out better, it wasn’t such a dry cake. But in principle it turns out fine and quickly. No complaints yet. I like. But I'"&amp;"m still trying to understand all its capabilities. The price is certainly not low, but it seems like a good thing.")</f>
        <v>I bought this model a couple of days ago. I have already made three servings of vegetable juice. Of course, she could have squeezed it out better, it wasn’t such a dry cake. But in principle it turns out fine and quickly. No complaints yet. I like. But I'm still trying to understand all its capabilities. The price is certainly not low, but it seems like a good thing.</v>
      </c>
    </row>
    <row r="13844" spans="1:9" x14ac:dyDescent="0.3">
      <c r="A13844" s="1" t="s">
        <v>9</v>
      </c>
      <c r="B13844" s="1" t="s">
        <v>137</v>
      </c>
      <c r="C13844" s="1" t="s">
        <v>24</v>
      </c>
      <c r="D13844" s="1" t="s">
        <v>742</v>
      </c>
      <c r="E13844" s="1" t="s">
        <v>2358</v>
      </c>
      <c r="F13844" s="1" t="s">
        <v>19209</v>
      </c>
      <c r="G13844" s="1" t="s">
        <v>28</v>
      </c>
      <c r="H13844" s="1" t="s">
        <v>29</v>
      </c>
      <c r="I13844" s="1" t="str">
        <f ca="1">IFERROR(__xludf.DUMMYFUNCTION("GOOGLETRANSLATE(F13844, ""auto"", ""en"")
"),"Wonderful panel. Simple and convenient. The large burner is located in the front, so you don’t have to reach for something heavy to put on. The only negative is that at the slightest touch, fingers remain, so you have to arm yourself with a cloth and a sp"&amp;"ecial cleaning agent and constantly wipe")</f>
        <v>Wonderful panel. Simple and convenient. The large burner is located in the front, so you don’t have to reach for something heavy to put on. The only negative is that at the slightest touch, fingers remain, so you have to arm yourself with a cloth and a special cleaning agent and constantly wipe</v>
      </c>
    </row>
    <row r="13845" spans="1:9" x14ac:dyDescent="0.3">
      <c r="A13845" s="1" t="s">
        <v>149</v>
      </c>
      <c r="B13845" s="1" t="s">
        <v>423</v>
      </c>
      <c r="C13845" s="1" t="s">
        <v>424</v>
      </c>
      <c r="D13845" s="1" t="s">
        <v>1610</v>
      </c>
      <c r="E13845" s="1" t="s">
        <v>2804</v>
      </c>
      <c r="F13845" s="1" t="s">
        <v>19210</v>
      </c>
      <c r="G13845" s="1" t="s">
        <v>28</v>
      </c>
      <c r="H13845" s="1" t="s">
        <v>29</v>
      </c>
      <c r="I13845" s="1" t="str">
        <f ca="1">IFERROR(__xludf.DUMMYFUNCTION("GOOGLETRANSLATE(F13845, ""auto"", ""en"")
"),"The vacuum cleaner is very decent.  We bought it three years ago because we needed a washing vacuum cleaner for an apartment with linoleum. For three years nothing broke, only filters were changed. We use a vacuum cleaner about once every 2 weeks. Easy to"&amp;" disassemble and wash. The downside is that it is heavy and noisy, but we don’t yet see a worthy replacement for it.   For the money, if handled carefully, this is quite a decent device.")</f>
        <v>The vacuum cleaner is very decent.  We bought it three years ago because we needed a washing vacuum cleaner for an apartment with linoleum. For three years nothing broke, only filters were changed. We use a vacuum cleaner about once every 2 weeks. Easy to disassemble and wash. The downside is that it is heavy and noisy, but we don’t yet see a worthy replacement for it.   For the money, if handled carefully, this is quite a decent device.</v>
      </c>
    </row>
    <row r="13846" spans="1:9" x14ac:dyDescent="0.3">
      <c r="A13846" s="1" t="s">
        <v>120</v>
      </c>
      <c r="B13846" s="1" t="s">
        <v>121</v>
      </c>
      <c r="C13846" s="1" t="s">
        <v>151</v>
      </c>
      <c r="D13846" s="1" t="s">
        <v>152</v>
      </c>
      <c r="E13846" s="1" t="s">
        <v>4864</v>
      </c>
      <c r="F13846" s="1" t="s">
        <v>19211</v>
      </c>
      <c r="G13846" s="1" t="s">
        <v>36</v>
      </c>
      <c r="H13846" s="1" t="s">
        <v>29</v>
      </c>
      <c r="I13846" s="1" t="str">
        <f ca="1">IFERROR(__xludf.DUMMYFUNCTION("GOOGLETRANSLATE(F13846, ""auto"", ""en"")
"),"Pros: - excellent black color, dynamic contrast;  - fast matrix;  - large viewing angles (without color distortion);  - built-in media player, playback of many formats;  - easy setup for working on the network, working in a local network;  - logical menu,"&amp;" many settings;  - illumination of remote control buttons;  - regular firmware updates;  - chic design.    Cons: - individual MKV files cannot be read (either completely or the sound does not play);  - no access to Russian-language Internet resources;  - "&amp;"a slow and crude utility for sharing folders with content on a PC.    Overall: The best TV in its class. All disadvantages are of a software nature and, most likely, will be corrected in subsequent firmware and software versions.")</f>
        <v>Pros: - excellent black color, dynamic contrast;  - fast matrix;  - large viewing angles (without color distortion);  - built-in media player, playback of many formats;  - easy setup for working on the network, working in a local network;  - logical menu, many settings;  - illumination of remote control buttons;  - regular firmware updates;  - chic design.    Cons: - individual MKV files cannot be read (either completely or the sound does not play);  - no access to Russian-language Internet resources;  - a slow and crude utility for sharing folders with content on a PC.    Overall: The best TV in its class. All disadvantages are of a software nature and, most likely, will be corrected in subsequent firmware and software versions.</v>
      </c>
    </row>
    <row r="13847" spans="1:9" x14ac:dyDescent="0.3">
      <c r="A13847" s="1" t="s">
        <v>624</v>
      </c>
      <c r="B13847" s="1" t="s">
        <v>625</v>
      </c>
      <c r="C13847" s="1" t="s">
        <v>479</v>
      </c>
      <c r="D13847" s="1" t="s">
        <v>2975</v>
      </c>
      <c r="E13847" s="1" t="s">
        <v>4502</v>
      </c>
      <c r="F13847" s="1" t="s">
        <v>19212</v>
      </c>
      <c r="G13847" s="1" t="s">
        <v>36</v>
      </c>
      <c r="H13847" s="1" t="s">
        <v>29</v>
      </c>
      <c r="I13847" s="1" t="str">
        <f ca="1">IFERROR(__xludf.DUMMYFUNCTION("GOOGLETRANSLATE(F13847, ""auto"", ""en"")
"),"The game is great!! I recommend it to everyone!! Beautiful graphics, excellent sound, perfect gameplay, realistic world. Interesting story!! The missions are not monotonous until almost the end of the game!! You play John until half, and then his son! I’v"&amp;"e been playing it for 3 months, 12 hours a day, and I still haven’t finished it!)")</f>
        <v>The game is great!! I recommend it to everyone!! Beautiful graphics, excellent sound, perfect gameplay, realistic world. Interesting story!! The missions are not monotonous until almost the end of the game!! You play John until half, and then his son! I’ve been playing it for 3 months, 12 hours a day, and I still haven’t finished it!)</v>
      </c>
    </row>
    <row r="13848" spans="1:9" x14ac:dyDescent="0.3">
      <c r="A13848" s="1" t="s">
        <v>105</v>
      </c>
      <c r="B13848" s="1" t="s">
        <v>106</v>
      </c>
      <c r="C13848" s="1" t="s">
        <v>151</v>
      </c>
      <c r="D13848" s="1" t="s">
        <v>19213</v>
      </c>
      <c r="E13848" s="1" t="s">
        <v>320</v>
      </c>
      <c r="F13848" s="1" t="s">
        <v>19214</v>
      </c>
      <c r="G13848" s="1" t="s">
        <v>36</v>
      </c>
      <c r="H13848" s="1" t="s">
        <v>29</v>
      </c>
      <c r="I13848" s="1" t="str">
        <f ca="1">IFERROR(__xludf.DUMMYFUNCTION("GOOGLETRANSLATE(F13848, ""auto"", ""en"")
"),"I’ve been using the player for almost a year now, it very rarely freezes, and that’s why there’s a reset button (it freezes due to non-standard MP3 files, etc.), the sound quality is excellent.  Very rich 3D and bass settings.   Now I’ve started to notice"&amp;" that it sits down faster, and it’s logical that I’ve been using it for almost a year.   No matter how many players I bought, I thought they would be better in sound and functionality - no! - this one is made wisely.")</f>
        <v>I’ve been using the player for almost a year now, it very rarely freezes, and that’s why there’s a reset button (it freezes due to non-standard MP3 files, etc.), the sound quality is excellent.  Very rich 3D and bass settings.   Now I’ve started to notice that it sits down faster, and it’s logical that I’ve been using it for almost a year.   No matter how many players I bought, I thought they would be better in sound and functionality - no! - this one is made wisely.</v>
      </c>
    </row>
    <row r="13849" spans="1:9" x14ac:dyDescent="0.3">
      <c r="A13849" s="1" t="s">
        <v>105</v>
      </c>
      <c r="B13849" s="1" t="s">
        <v>106</v>
      </c>
      <c r="C13849" s="1" t="s">
        <v>107</v>
      </c>
      <c r="D13849" s="1" t="s">
        <v>152</v>
      </c>
      <c r="E13849" s="1" t="s">
        <v>3652</v>
      </c>
      <c r="F13849" s="1" t="s">
        <v>19215</v>
      </c>
      <c r="G13849" s="1" t="s">
        <v>36</v>
      </c>
      <c r="H13849" s="1" t="s">
        <v>29</v>
      </c>
      <c r="I13849" s="1" t="str">
        <f ca="1">IFERROR(__xludf.DUMMYFUNCTION("GOOGLETRANSLATE(F13849, ""auto"", ""en"")
"),"just super!!!!!")</f>
        <v>just super!!!!!</v>
      </c>
    </row>
    <row r="13850" spans="1:9" x14ac:dyDescent="0.3">
      <c r="A13850" s="1" t="s">
        <v>61</v>
      </c>
      <c r="B13850" s="1" t="s">
        <v>224</v>
      </c>
      <c r="C13850" s="1" t="s">
        <v>74</v>
      </c>
      <c r="D13850" s="1" t="s">
        <v>19216</v>
      </c>
      <c r="E13850" s="1" t="s">
        <v>2215</v>
      </c>
      <c r="F13850" s="1" t="s">
        <v>19217</v>
      </c>
      <c r="G13850" s="1" t="s">
        <v>36</v>
      </c>
      <c r="H13850" s="1" t="s">
        <v>29</v>
      </c>
      <c r="I13850" s="1" t="str">
        <f ca="1">IFERROR(__xludf.DUMMYFUNCTION("GOOGLETRANSLATE(F13850, ""auto"", ""en"")
"),"Excellent wringing! Easy to use, never regretted the purchase. Now I advise my mother! Squeezes carrots, pears, apples, citrus fruits with a bang!")</f>
        <v>Excellent wringing! Easy to use, never regretted the purchase. Now I advise my mother! Squeezes carrots, pears, apples, citrus fruits with a bang!</v>
      </c>
    </row>
    <row r="13851" spans="1:9" x14ac:dyDescent="0.3">
      <c r="A13851" s="1" t="s">
        <v>477</v>
      </c>
      <c r="B13851" s="1" t="s">
        <v>478</v>
      </c>
      <c r="C13851" s="1" t="s">
        <v>479</v>
      </c>
      <c r="D13851" s="1" t="s">
        <v>19218</v>
      </c>
      <c r="E13851" s="1" t="s">
        <v>2215</v>
      </c>
      <c r="F13851" s="1" t="s">
        <v>19219</v>
      </c>
      <c r="G13851" s="1" t="s">
        <v>36</v>
      </c>
      <c r="H13851" s="1" t="s">
        <v>29</v>
      </c>
      <c r="I13851" s="1" t="str">
        <f ca="1">IFERROR(__xludf.DUMMYFUNCTION("GOOGLETRANSLATE(F13851, ""auto"", ""en"")
"),"Great game!!! I played pirate and will soon go get a license so I can play on the Internet! And the inscription about severed limbs is the absolute truth!)))")</f>
        <v>Great game!!! I played pirate and will soon go get a license so I can play on the Internet! And the inscription about severed limbs is the absolute truth!)))</v>
      </c>
    </row>
    <row r="13852" spans="1:9" x14ac:dyDescent="0.3">
      <c r="A13852" s="1" t="s">
        <v>9</v>
      </c>
      <c r="B13852" s="1" t="s">
        <v>23</v>
      </c>
      <c r="C13852" s="1" t="s">
        <v>885</v>
      </c>
      <c r="D13852" s="1" t="s">
        <v>232</v>
      </c>
      <c r="E13852" s="1" t="s">
        <v>12356</v>
      </c>
      <c r="F13852" s="1" t="s">
        <v>19220</v>
      </c>
      <c r="G13852" s="1" t="s">
        <v>28</v>
      </c>
      <c r="H13852" s="1" t="s">
        <v>29</v>
      </c>
      <c r="I13852" s="1" t="str">
        <f ca="1">IFERROR(__xludf.DUMMYFUNCTION("GOOGLETRANSLATE(F13852, ""auto"", ""en"")
"),"We installed it ourselves without any problems, it stood in place of the bedside table - and you wouldn’t guess that it was a machine!  It’s quite noisy and you can’t watch TV anymore, so we turn it on when we eat.  We connected it to cold water, at first"&amp;" there were some leaks, then we bought rinse aid and salt (although our water is soft) and all the dishes were like new.  My wife is very happy, I am happy that she is happy.   About capacity: 9 sets turned out to be not so much, but in our case we didn’t"&amp;" have to choose.  We recommend!")</f>
        <v>We installed it ourselves without any problems, it stood in place of the bedside table - and you wouldn’t guess that it was a machine!  It’s quite noisy and you can’t watch TV anymore, so we turn it on when we eat.  We connected it to cold water, at first there were some leaks, then we bought rinse aid and salt (although our water is soft) and all the dishes were like new.  My wife is very happy, I am happy that she is happy.   About capacity: 9 sets turned out to be not so much, but in our case we didn’t have to choose.  We recommend!</v>
      </c>
    </row>
    <row r="13853" spans="1:9" x14ac:dyDescent="0.3">
      <c r="A13853" s="1" t="s">
        <v>732</v>
      </c>
      <c r="B13853" s="1" t="s">
        <v>733</v>
      </c>
      <c r="C13853" s="1" t="s">
        <v>32</v>
      </c>
      <c r="D13853" s="1" t="s">
        <v>52</v>
      </c>
      <c r="E13853" s="1" t="s">
        <v>659</v>
      </c>
      <c r="F13853" s="1" t="s">
        <v>19221</v>
      </c>
      <c r="G13853" s="1" t="s">
        <v>28</v>
      </c>
      <c r="H13853" s="1" t="s">
        <v>29</v>
      </c>
      <c r="I13853" s="1" t="str">
        <f ca="1">IFERROR(__xludf.DUMMYFUNCTION("GOOGLETRANSLATE(F13853, ""auto"", ""en"")
"),"Great monitor, just low horizontal refresh rate")</f>
        <v>Great monitor, just low horizontal refresh rate</v>
      </c>
    </row>
    <row r="13854" spans="1:9" x14ac:dyDescent="0.3">
      <c r="A13854" s="1" t="s">
        <v>149</v>
      </c>
      <c r="B13854" s="1" t="s">
        <v>150</v>
      </c>
      <c r="C13854" s="1" t="s">
        <v>151</v>
      </c>
      <c r="D13854" s="1" t="s">
        <v>290</v>
      </c>
      <c r="E13854" s="1" t="s">
        <v>4664</v>
      </c>
      <c r="F13854" s="1" t="s">
        <v>19222</v>
      </c>
      <c r="G13854" s="1" t="s">
        <v>36</v>
      </c>
      <c r="H13854" s="1" t="s">
        <v>29</v>
      </c>
      <c r="I13854" s="1" t="str">
        <f ca="1">IFERROR(__xludf.DUMMYFUNCTION("GOOGLETRANSLATE(F13854, ""auto"", ""en"")
"),"I bought this vacuum cleaner a couple of weeks ago, before that I used various other vacuum cleaners, but without aqua filters. The vacuum cleaner is excellent, long cord, heavy but not critical, the noise during operation is acceptable, after the cleanin"&amp;"g process you really feel the absence of dust in the air in the apartment, easy to disassemble and assemble, easy to clean, in my opinion good, high-quality assembly (and I’m really very picky about these things), very convenient controls on the handle. S"&amp;"o that it would last a long time worked when there is a lot of dust at home, don’t be lazy and change the water in the container more often. I recommend it to everyone.")</f>
        <v>I bought this vacuum cleaner a couple of weeks ago, before that I used various other vacuum cleaners, but without aqua filters. The vacuum cleaner is excellent, long cord, heavy but not critical, the noise during operation is acceptable, after the cleaning process you really feel the absence of dust in the air in the apartment, easy to disassemble and assemble, easy to clean, in my opinion good, high-quality assembly (and I’m really very picky about these things), very convenient controls on the handle. So that it would last a long time worked when there is a lot of dust at home, don’t be lazy and change the water in the container more often. I recommend it to everyone.</v>
      </c>
    </row>
    <row r="13855" spans="1:9" x14ac:dyDescent="0.3">
      <c r="A13855" s="1" t="s">
        <v>61</v>
      </c>
      <c r="B13855" s="1" t="s">
        <v>977</v>
      </c>
      <c r="C13855" s="1" t="s">
        <v>69</v>
      </c>
      <c r="D13855" s="1" t="s">
        <v>64</v>
      </c>
      <c r="E13855" s="1" t="s">
        <v>2308</v>
      </c>
      <c r="F13855" s="1" t="s">
        <v>19223</v>
      </c>
      <c r="G13855" s="1" t="s">
        <v>28</v>
      </c>
      <c r="H13855" s="1" t="s">
        <v>29</v>
      </c>
      <c r="I13855" s="1" t="str">
        <f ca="1">IFERROR(__xludf.DUMMYFUNCTION("GOOGLETRANSLATE(F13855, ""auto"", ""en"")
"),"I’ve been using it for over a year now, it beats and cuts anything: meat, dough, eggs, porridge for a child, grinds into flour, etc. The only negative is that the buttons for changing attachments are very tight.")</f>
        <v>I’ve been using it for over a year now, it beats and cuts anything: meat, dough, eggs, porridge for a child, grinds into flour, etc. The only negative is that the buttons for changing attachments are very tight.</v>
      </c>
    </row>
    <row r="13856" spans="1:9" x14ac:dyDescent="0.3">
      <c r="A13856" s="1" t="s">
        <v>61</v>
      </c>
      <c r="B13856" s="1" t="s">
        <v>1727</v>
      </c>
      <c r="C13856" s="1" t="s">
        <v>122</v>
      </c>
      <c r="D13856" s="1" t="s">
        <v>6695</v>
      </c>
      <c r="E13856" s="1" t="s">
        <v>19224</v>
      </c>
      <c r="F13856" s="1" t="s">
        <v>19225</v>
      </c>
      <c r="G13856" s="1" t="s">
        <v>15</v>
      </c>
      <c r="H13856" s="1" t="s">
        <v>16</v>
      </c>
      <c r="I13856" s="1" t="str">
        <f ca="1">IFERROR(__xludf.DUMMYFUNCTION("GOOGLETRANSLATE(F13856, ""auto"", ""en"")
"),"A very small volume, if the bowl is 2.5 liters, this does not mean that you can prepare 2.5 liters of soup, but only a liter and a half (Yes, and she cooks these small portions very slowly. The soup cooks for almost two hours. And the dough turns out half"&amp;"-baked.")</f>
        <v>A very small volume, if the bowl is 2.5 liters, this does not mean that you can prepare 2.5 liters of soup, but only a liter and a half (Yes, and she cooks these small portions very slowly. The soup cooks for almost two hours. And the dough turns out half-baked.</v>
      </c>
    </row>
    <row r="13857" spans="1:9" x14ac:dyDescent="0.3">
      <c r="A13857" s="1" t="s">
        <v>361</v>
      </c>
      <c r="B13857" s="1" t="s">
        <v>2555</v>
      </c>
      <c r="C13857" s="1" t="s">
        <v>4871</v>
      </c>
      <c r="D13857" s="1" t="s">
        <v>232</v>
      </c>
      <c r="E13857" s="1" t="s">
        <v>4443</v>
      </c>
      <c r="F13857" s="1" t="s">
        <v>19226</v>
      </c>
      <c r="G13857" s="1" t="s">
        <v>36</v>
      </c>
      <c r="H13857" s="1" t="s">
        <v>29</v>
      </c>
      <c r="I13857" s="1" t="str">
        <f ca="1">IFERROR(__xludf.DUMMYFUNCTION("GOOGLETRANSLATE(F13857, ""auto"", ""en"")
"),"When M-Video opened in the Shopping Center, I bought (8 years ago) this thermos (1.5 liters). The thermos is worthy of all praise, it still serves no matter where it has been, but the quality is premium. I wanted to buy one for a friend for his birthday ("&amp;"he had trouble with Chinese ones), but the price has risen significantly. This is bad. But I'll buy it anyway, because... The quality and functionality are not yet comparable to anything else.")</f>
        <v>When M-Video opened in the Shopping Center, I bought (8 years ago) this thermos (1.5 liters). The thermos is worthy of all praise, it still serves no matter where it has been, but the quality is premium. I wanted to buy one for a friend for his birthday (he had trouble with Chinese ones), but the price has risen significantly. This is bad. But I'll buy it anyway, because... The quality and functionality are not yet comparable to anything else.</v>
      </c>
    </row>
    <row r="13858" spans="1:9" x14ac:dyDescent="0.3">
      <c r="A13858" s="1" t="s">
        <v>169</v>
      </c>
      <c r="B13858" s="1" t="s">
        <v>170</v>
      </c>
      <c r="C13858" s="1" t="s">
        <v>171</v>
      </c>
      <c r="D13858" s="1" t="s">
        <v>1502</v>
      </c>
      <c r="E13858" s="1" t="s">
        <v>2380</v>
      </c>
      <c r="F13858" s="1" t="s">
        <v>19227</v>
      </c>
      <c r="G13858" s="1" t="s">
        <v>49</v>
      </c>
      <c r="H13858" s="1" t="s">
        <v>16</v>
      </c>
      <c r="I13858" s="1" t="str">
        <f ca="1">IFERROR(__xludf.DUMMYFUNCTION("GOOGLETRANSLATE(F13858, ""auto"", ""en"")
"),"I bought these headphones 2 days ago.  I wanted to choose ears that were quality in sound and comfort.  I bought it and brought it home.   When I put them on, I immediately felt discomfort. And apparently because of the pillows, or more precisely because "&amp;"they do not fit tightly, at the slightest movement of the earphone a cracking sound is heard from a leak. Perhaps this is out of habit. I listened to them for about an hour and got a headache. And the strange discomfort in my ears remained.  I recommend t"&amp;"hese headphones to those who already prefer vacuums. Apparently these are not my headphones.")</f>
        <v>I bought these headphones 2 days ago.  I wanted to choose ears that were quality in sound and comfort.  I bought it and brought it home.   When I put them on, I immediately felt discomfort. And apparently because of the pillows, or more precisely because they do not fit tightly, at the slightest movement of the earphone a cracking sound is heard from a leak. Perhaps this is out of habit. I listened to them for about an hour and got a headache. And the strange discomfort in my ears remained.  I recommend these headphones to those who already prefer vacuums. Apparently these are not my headphones.</v>
      </c>
    </row>
    <row r="13859" spans="1:9" x14ac:dyDescent="0.3">
      <c r="A13859" s="1" t="s">
        <v>61</v>
      </c>
      <c r="B13859" s="1" t="s">
        <v>318</v>
      </c>
      <c r="C13859" s="1" t="s">
        <v>745</v>
      </c>
      <c r="D13859" s="1" t="s">
        <v>64</v>
      </c>
      <c r="E13859" s="1" t="s">
        <v>5826</v>
      </c>
      <c r="F13859" s="1" t="s">
        <v>19228</v>
      </c>
      <c r="G13859" s="1" t="s">
        <v>36</v>
      </c>
      <c r="H13859" s="1" t="s">
        <v>29</v>
      </c>
      <c r="I13859" s="1" t="str">
        <f ca="1">IFERROR(__xludf.DUMMYFUNCTION("GOOGLETRANSLATE(F13859, ""auto"", ""en"")
"),"Temperature adjustment and maintenance, full volume heating rate")</f>
        <v>Temperature adjustment and maintenance, full volume heating rate</v>
      </c>
    </row>
    <row r="13860" spans="1:9" x14ac:dyDescent="0.3">
      <c r="A13860" s="1" t="s">
        <v>211</v>
      </c>
      <c r="B13860" s="1" t="s">
        <v>265</v>
      </c>
      <c r="C13860" s="1" t="s">
        <v>69</v>
      </c>
      <c r="D13860" s="1" t="s">
        <v>39</v>
      </c>
      <c r="E13860" s="1" t="s">
        <v>3084</v>
      </c>
      <c r="F13860" s="1" t="s">
        <v>19229</v>
      </c>
      <c r="G13860" s="1" t="s">
        <v>36</v>
      </c>
      <c r="H13860" s="1" t="s">
        <v>29</v>
      </c>
      <c r="I13860" s="1" t="str">
        <f ca="1">IFERROR(__xludf.DUMMYFUNCTION("GOOGLETRANSLATE(F13860, ""auto"", ""en"")
"),"An excellent machine, many attachments (even up to 4 cm), cuts perfectly, quietly, does not jerk. I was pleased with the attachment for maintaining a beard in a state of three-day stubble!! Washable with water. I highly recommend it.")</f>
        <v>An excellent machine, many attachments (even up to 4 cm), cuts perfectly, quietly, does not jerk. I was pleased with the attachment for maintaining a beard in a state of three-day stubble!! Washable with water. I highly recommend it.</v>
      </c>
    </row>
    <row r="13861" spans="1:9" x14ac:dyDescent="0.3">
      <c r="A13861" s="1" t="s">
        <v>61</v>
      </c>
      <c r="B13861" s="1" t="s">
        <v>224</v>
      </c>
      <c r="C13861" s="1" t="s">
        <v>85</v>
      </c>
      <c r="D13861" s="1" t="s">
        <v>742</v>
      </c>
      <c r="E13861" s="1" t="s">
        <v>9445</v>
      </c>
      <c r="F13861" s="1" t="s">
        <v>19230</v>
      </c>
      <c r="G13861" s="1" t="s">
        <v>36</v>
      </c>
      <c r="H13861" s="1" t="s">
        <v>29</v>
      </c>
      <c r="I13861" s="1" t="str">
        <f ca="1">IFERROR(__xludf.DUMMYFUNCTION("GOOGLETRANSLATE(F13861, ""auto"", ""en"")
"),"I am very pleased with the juicer. I bought it at one time during another promotion with a 50% discount, to replace the one that was burned out. I immediately tried the purchase on apples at the dacha, and later everything that grew at the dacha was used."&amp;" The machine is a beast, it even squeezed grapes and pomegranates for wine. I recommend!")</f>
        <v>I am very pleased with the juicer. I bought it at one time during another promotion with a 50% discount, to replace the one that was burned out. I immediately tried the purchase on apples at the dacha, and later everything that grew at the dacha was used. The machine is a beast, it even squeezed grapes and pomegranates for wine. I recommend!</v>
      </c>
    </row>
    <row r="13862" spans="1:9" x14ac:dyDescent="0.3">
      <c r="A13862" s="1" t="s">
        <v>37</v>
      </c>
      <c r="B13862" s="1" t="s">
        <v>38</v>
      </c>
      <c r="C13862" s="1" t="s">
        <v>151</v>
      </c>
      <c r="D13862" s="1" t="s">
        <v>3273</v>
      </c>
      <c r="E13862" s="1" t="s">
        <v>1012</v>
      </c>
      <c r="F13862" s="1" t="s">
        <v>19231</v>
      </c>
      <c r="G13862" s="1" t="s">
        <v>36</v>
      </c>
      <c r="H13862" s="1" t="s">
        <v>29</v>
      </c>
      <c r="I13862" s="1" t="str">
        <f ca="1">IFERROR(__xludf.DUMMYFUNCTION("GOOGLETRANSLATE(F13862, ""auto"", ""en"")
"),"The phone is cool, despite what is written about the battery, it lasted up to 6 days for me, although I don’t talk much, but still. Very convenient to use. It's a pity I lost it, if I buy a new one I'll take the same one.")</f>
        <v>The phone is cool, despite what is written about the battery, it lasted up to 6 days for me, although I don’t talk much, but still. Very convenient to use. It's a pity I lost it, if I buy a new one I'll take the same one.</v>
      </c>
    </row>
    <row r="13863" spans="1:9" x14ac:dyDescent="0.3">
      <c r="A13863" s="1" t="s">
        <v>169</v>
      </c>
      <c r="B13863" s="1" t="s">
        <v>170</v>
      </c>
      <c r="C13863" s="1" t="s">
        <v>193</v>
      </c>
      <c r="D13863" s="1" t="s">
        <v>568</v>
      </c>
      <c r="E13863" s="1" t="s">
        <v>3203</v>
      </c>
      <c r="F13863" s="1" t="s">
        <v>19232</v>
      </c>
      <c r="G13863" s="1" t="s">
        <v>36</v>
      </c>
      <c r="H13863" s="1" t="s">
        <v>29</v>
      </c>
      <c r="I13863" s="1" t="str">
        <f ca="1">IFERROR(__xludf.DUMMYFUNCTION("GOOGLETRANSLATE(F13863, ""auto"", ""en"")
"),"I don't regret the purchase at all! The price/quality ratio is more than acceptable. It’s convenient for a computer and TV, and I even took them on a long trip - the thing for winding up a three-meter wire did not burden me with anything. In general, “ear"&amp;"s” of this particular brand have long been recommended because of the quality of the reproduced sound. I recommend!")</f>
        <v>I don't regret the purchase at all! The price/quality ratio is more than acceptable. It’s convenient for a computer and TV, and I even took them on a long trip - the thing for winding up a three-meter wire did not burden me with anything. In general, “ears” of this particular brand have long been recommended because of the quality of the reproduced sound. I recommend!</v>
      </c>
    </row>
    <row r="13864" spans="1:9" x14ac:dyDescent="0.3">
      <c r="A13864" s="1" t="s">
        <v>61</v>
      </c>
      <c r="B13864" s="1" t="s">
        <v>726</v>
      </c>
      <c r="C13864" s="1" t="s">
        <v>351</v>
      </c>
      <c r="D13864" s="1" t="s">
        <v>280</v>
      </c>
      <c r="E13864" s="1" t="s">
        <v>2278</v>
      </c>
      <c r="F13864" s="1" t="s">
        <v>19233</v>
      </c>
      <c r="G13864" s="1" t="s">
        <v>49</v>
      </c>
      <c r="H13864" s="1" t="s">
        <v>16</v>
      </c>
      <c r="I13864" s="1" t="str">
        <f ca="1">IFERROR(__xludf.DUMMYFUNCTION("GOOGLETRANSLATE(F13864, ""auto"", ""en"")
"),"The oven does not bake the dough, the bread does not turn out. I've been using it for almost a month, but there is no result. The quick bread mode doesn't even raise the dough. In short, don't waste your money!")</f>
        <v>The oven does not bake the dough, the bread does not turn out. I've been using it for almost a month, but there is no result. The quick bread mode doesn't even raise the dough. In short, don't waste your money!</v>
      </c>
    </row>
    <row r="13865" spans="1:9" x14ac:dyDescent="0.3">
      <c r="A13865" s="1" t="s">
        <v>9</v>
      </c>
      <c r="B13865" s="1" t="s">
        <v>10</v>
      </c>
      <c r="C13865" s="1" t="s">
        <v>4759</v>
      </c>
      <c r="D13865" s="1" t="s">
        <v>19234</v>
      </c>
      <c r="E13865" s="1" t="s">
        <v>760</v>
      </c>
      <c r="F13865" s="1" t="s">
        <v>19235</v>
      </c>
      <c r="G13865" s="1" t="s">
        <v>36</v>
      </c>
      <c r="H13865" s="1" t="s">
        <v>29</v>
      </c>
      <c r="I13865" s="1" t="str">
        <f ca="1">IFERROR(__xludf.DUMMYFUNCTION("GOOGLETRANSLATE(F13865, ""auto"", ""en"")
"),"Her design is very beautiful... We installed it against the wall right above the stove, it worked out great, when cooking you can only use the light from the hood (for example, if someone is sleeping, we just have a kitchen combined with a living room). P"&amp;"owerfully pulls out all odors, straight out without any residue. At maximum speed it is a little noisy, but I don't use it. The second is quite enough, even for such smelly food as fried fish. We've been using it for six months, no complaints.")</f>
        <v>Her design is very beautiful... We installed it against the wall right above the stove, it worked out great, when cooking you can only use the light from the hood (for example, if someone is sleeping, we just have a kitchen combined with a living room). Powerfully pulls out all odors, straight out without any residue. At maximum speed it is a little noisy, but I don't use it. The second is quite enough, even for such smelly food as fried fish. We've been using it for six months, no complaints.</v>
      </c>
    </row>
    <row r="13866" spans="1:9" x14ac:dyDescent="0.3">
      <c r="A13866" s="1" t="s">
        <v>95</v>
      </c>
      <c r="B13866" s="1" t="s">
        <v>227</v>
      </c>
      <c r="C13866" s="1" t="s">
        <v>97</v>
      </c>
      <c r="D13866" s="1" t="s">
        <v>52</v>
      </c>
      <c r="E13866" s="1" t="s">
        <v>1513</v>
      </c>
      <c r="F13866" s="1" t="s">
        <v>19236</v>
      </c>
      <c r="G13866" s="1" t="s">
        <v>36</v>
      </c>
      <c r="H13866" s="1" t="s">
        <v>29</v>
      </c>
      <c r="I13866" s="1" t="str">
        <f ca="1">IFERROR(__xludf.DUMMYFUNCTION("GOOGLETRANSLATE(F13866, ""auto"", ""en"")
"),"I bought it for my 10 year old son. I was very impressed, especially the movie, the child is very happy. It's a pity that only 1 movie is included in the set, you'll have to buy 1 more.")</f>
        <v>I bought it for my 10 year old son. I was very impressed, especially the movie, the child is very happy. It's a pity that only 1 movie is included in the set, you'll have to buy 1 more.</v>
      </c>
    </row>
    <row r="13867" spans="1:9" x14ac:dyDescent="0.3">
      <c r="A13867" s="1" t="s">
        <v>206</v>
      </c>
      <c r="B13867" s="1" t="s">
        <v>1253</v>
      </c>
      <c r="C13867" s="1" t="s">
        <v>4464</v>
      </c>
      <c r="D13867" s="1" t="s">
        <v>568</v>
      </c>
      <c r="E13867" s="1" t="s">
        <v>3550</v>
      </c>
      <c r="F13867" s="1" t="s">
        <v>19237</v>
      </c>
      <c r="G13867" s="1" t="s">
        <v>36</v>
      </c>
      <c r="H13867" s="1" t="s">
        <v>29</v>
      </c>
      <c r="I13867" s="1" t="str">
        <f ca="1">IFERROR(__xludf.DUMMYFUNCTION("GOOGLETRANSLATE(F13867, ""auto"", ""en"")
"),"Very good radio station I recommend!!!")</f>
        <v>Very good radio station I recommend!!!</v>
      </c>
    </row>
    <row r="13868" spans="1:9" x14ac:dyDescent="0.3">
      <c r="A13868" s="1" t="s">
        <v>211</v>
      </c>
      <c r="B13868" s="1" t="s">
        <v>265</v>
      </c>
      <c r="C13868" s="1" t="s">
        <v>1591</v>
      </c>
      <c r="D13868" s="1" t="s">
        <v>943</v>
      </c>
      <c r="E13868" s="1" t="s">
        <v>8084</v>
      </c>
      <c r="F13868" s="1" t="s">
        <v>19238</v>
      </c>
      <c r="G13868" s="1" t="s">
        <v>36</v>
      </c>
      <c r="H13868" s="1" t="s">
        <v>29</v>
      </c>
      <c r="I13868" s="1" t="str">
        <f ca="1">IFERROR(__xludf.DUMMYFUNCTION("GOOGLETRANSLATE(F13868, ""auto"", ""en"")
"),"I've been using it for over a year now and am very pleased. I’ve never learned to cut hair anywhere, but thanks to this miracle machine, my husband and son look beautiful!")</f>
        <v>I've been using it for over a year now and am very pleased. I’ve never learned to cut hair anywhere, but thanks to this miracle machine, my husband and son look beautiful!</v>
      </c>
    </row>
    <row r="13869" spans="1:9" x14ac:dyDescent="0.3">
      <c r="A13869" s="1" t="s">
        <v>105</v>
      </c>
      <c r="B13869" s="1" t="s">
        <v>106</v>
      </c>
      <c r="C13869" s="1" t="s">
        <v>107</v>
      </c>
      <c r="D13869" s="1" t="s">
        <v>19239</v>
      </c>
      <c r="E13869" s="1" t="s">
        <v>1888</v>
      </c>
      <c r="F13869" s="1" t="s">
        <v>19240</v>
      </c>
      <c r="G13869" s="1" t="s">
        <v>15</v>
      </c>
      <c r="H13869" s="1" t="s">
        <v>16</v>
      </c>
      <c r="I13869" s="1" t="str">
        <f ca="1">IFERROR(__xludf.DUMMYFUNCTION("GOOGLETRANSLATE(F13869, ""auto"", ""en"")
"),"I don’t advise anyone to buy it, I took this player when I plug the plug into the connector there is bad contact")</f>
        <v>I don’t advise anyone to buy it, I took this player when I plug the plug into the connector there is bad contact</v>
      </c>
    </row>
    <row r="13870" spans="1:9" x14ac:dyDescent="0.3">
      <c r="A13870" s="1" t="s">
        <v>61</v>
      </c>
      <c r="B13870" s="1" t="s">
        <v>224</v>
      </c>
      <c r="C13870" s="1" t="s">
        <v>74</v>
      </c>
      <c r="D13870" s="1" t="s">
        <v>327</v>
      </c>
      <c r="E13870" s="1" t="s">
        <v>3769</v>
      </c>
      <c r="F13870" s="1" t="s">
        <v>19241</v>
      </c>
      <c r="G13870" s="1" t="s">
        <v>36</v>
      </c>
      <c r="H13870" s="1" t="s">
        <v>29</v>
      </c>
      <c r="I13870" s="1" t="str">
        <f ca="1">IFERROR(__xludf.DUMMYFUNCTION("GOOGLETRANSLATE(F13870, ""auto"", ""en"")
"),"I bought a juicer this Friday (08/06/10). And immediately this weekend I tried to squeeze juice out of apples and tomatoes. The apple juice turned out perfect. There is no pulp. The cake is dry. Unlike the Belorussian Crane, where soft apples were used to"&amp;" make puree.    The main disadvantage of this and all similar juicers is the strainer, which must be cleaned regularly. For apples every 5-7 minutes. For tomatoes every 10-15 minutes, or even less often.   Further operation will show how reliable this jui"&amp;"cer is. I will write everything that appears. ;)")</f>
        <v>I bought a juicer this Friday (08/06/10). And immediately this weekend I tried to squeeze juice out of apples and tomatoes. The apple juice turned out perfect. There is no pulp. The cake is dry. Unlike the Belorussian Crane, where soft apples were used to make puree.    The main disadvantage of this and all similar juicers is the strainer, which must be cleaned regularly. For apples every 5-7 minutes. For tomatoes every 10-15 minutes, or even less often.   Further operation will show how reliable this juicer is. I will write everything that appears. ;)</v>
      </c>
    </row>
    <row r="13871" spans="1:9" x14ac:dyDescent="0.3">
      <c r="A13871" s="1" t="s">
        <v>624</v>
      </c>
      <c r="B13871" s="1" t="s">
        <v>625</v>
      </c>
      <c r="C13871" s="1" t="s">
        <v>479</v>
      </c>
      <c r="D13871" s="1" t="s">
        <v>5909</v>
      </c>
      <c r="E13871" s="1" t="s">
        <v>2680</v>
      </c>
      <c r="F13871" s="1" t="s">
        <v>19242</v>
      </c>
      <c r="G13871" s="1" t="s">
        <v>36</v>
      </c>
      <c r="H13871" s="1" t="s">
        <v>29</v>
      </c>
      <c r="I13871" s="1" t="str">
        <f ca="1">IFERROR(__xludf.DUMMYFUNCTION("GOOGLETRANSLATE(F13871, ""auto"", ""en"")
"),"Well, it’s hard to say that she’s scary, but she’s sharp - yes! The game is super, and if you buy it in the store it costs 990 rubles")</f>
        <v>Well, it’s hard to say that she’s scary, but she’s sharp - yes! The game is super, and if you buy it in the store it costs 990 rubles</v>
      </c>
    </row>
    <row r="13872" spans="1:9" x14ac:dyDescent="0.3">
      <c r="A13872" s="1" t="s">
        <v>169</v>
      </c>
      <c r="B13872" s="1" t="s">
        <v>170</v>
      </c>
      <c r="C13872" s="1" t="s">
        <v>193</v>
      </c>
      <c r="D13872" s="1" t="s">
        <v>114</v>
      </c>
      <c r="E13872" s="1" t="s">
        <v>323</v>
      </c>
      <c r="F13872" s="1" t="s">
        <v>19243</v>
      </c>
      <c r="G13872" s="1" t="s">
        <v>94</v>
      </c>
      <c r="H13872" s="1" t="s">
        <v>29</v>
      </c>
      <c r="I13872" s="1" t="str">
        <f ca="1">IFERROR(__xludf.DUMMYFUNCTION("GOOGLETRANSLATE(F13872, ""auto"", ""en"")
"),"Great sound, ear mount, quality, price!")</f>
        <v>Great sound, ear mount, quality, price!</v>
      </c>
    </row>
    <row r="13873" spans="1:9" x14ac:dyDescent="0.3">
      <c r="A13873" s="1" t="s">
        <v>105</v>
      </c>
      <c r="B13873" s="1" t="s">
        <v>106</v>
      </c>
      <c r="C13873" s="1" t="s">
        <v>1921</v>
      </c>
      <c r="D13873" s="1" t="s">
        <v>280</v>
      </c>
      <c r="E13873" s="1" t="s">
        <v>2131</v>
      </c>
      <c r="F13873" s="1" t="s">
        <v>19244</v>
      </c>
      <c r="G13873" s="1" t="s">
        <v>49</v>
      </c>
      <c r="H13873" s="1" t="s">
        <v>16</v>
      </c>
      <c r="I13873" s="1" t="str">
        <f ca="1">IFERROR(__xludf.DUMMYFUNCTION("GOOGLETRANSLATE(F13873, ""auto"", ""en"")
"),"Despite its cool design and touch buttons, and the monitor on which, if desired, you can watch movies, I was immediately disappointed by its small battery, which lasts at most 3.5 - 4 hours. It takes an awfully long time to charge. After a couple of weeks"&amp;" it began to freeze, the reset button helped. I gave it to the service center, and was surprised how many other texets they have on their shelves. After some time they fixed it and said they would reflash the software. But the result did not change, it al"&amp;"so froze, and held the charge just as little. Until it finally died(((And it worked for me for a month or a month and a half at most.. In general, look for a better other player...")</f>
        <v>Despite its cool design and touch buttons, and the monitor on which, if desired, you can watch movies, I was immediately disappointed by its small battery, which lasts at most 3.5 - 4 hours. It takes an awfully long time to charge. After a couple of weeks it began to freeze, the reset button helped. I gave it to the service center, and was surprised how many other texets they have on their shelves. After some time they fixed it and said they would reflash the software. But the result did not change, it also froze, and held the charge just as little. Until it finally died(((And it worked for me for a month or a month and a half at most.. In general, look for a better other player...</v>
      </c>
    </row>
    <row r="13874" spans="1:9" x14ac:dyDescent="0.3">
      <c r="A13874" s="1" t="s">
        <v>89</v>
      </c>
      <c r="B13874" s="1" t="s">
        <v>1106</v>
      </c>
      <c r="C13874" s="1" t="s">
        <v>63</v>
      </c>
      <c r="D13874" s="1" t="s">
        <v>19245</v>
      </c>
      <c r="E13874" s="1" t="s">
        <v>1792</v>
      </c>
      <c r="F13874" s="1" t="s">
        <v>19246</v>
      </c>
      <c r="G13874" s="1" t="s">
        <v>28</v>
      </c>
      <c r="H13874" s="1" t="s">
        <v>29</v>
      </c>
      <c r="I13874" s="1" t="str">
        <f ca="1">IFERROR(__xludf.DUMMYFUNCTION("GOOGLETRANSLATE(F13874, ""auto"", ""en"")
"),"We gave this coffee maker as a gift on March 8th of this year, I really like it, I make coffee every day, I tried green tea once, the taste is rich. The instructions are primitive, nothing is really written, I looked for how to turn it off, and it turned "&amp;"out that you need to turn it off yourself.")</f>
        <v>We gave this coffee maker as a gift on March 8th of this year, I really like it, I make coffee every day, I tried green tea once, the taste is rich. The instructions are primitive, nothing is really written, I looked for how to turn it off, and it turned out that you need to turn it off yourself.</v>
      </c>
    </row>
    <row r="13875" spans="1:9" x14ac:dyDescent="0.3">
      <c r="A13875" s="1" t="s">
        <v>61</v>
      </c>
      <c r="B13875" s="1" t="s">
        <v>318</v>
      </c>
      <c r="C13875" s="1" t="s">
        <v>101</v>
      </c>
      <c r="D13875" s="1" t="s">
        <v>58</v>
      </c>
      <c r="E13875" s="1" t="s">
        <v>3621</v>
      </c>
      <c r="F13875" s="1" t="s">
        <v>19247</v>
      </c>
      <c r="G13875" s="1" t="s">
        <v>36</v>
      </c>
      <c r="H13875" s="1" t="s">
        <v>29</v>
      </c>
      <c r="I13875" s="1" t="str">
        <f ca="1">IFERROR(__xludf.DUMMYFUNCTION("GOOGLETRANSLATE(F13875, ""auto"", ""en"")
"),"A good teapot, looks beautiful in the kitchen, and doesn’t let you get lost at night thanks to the lighting. I don’t know what bad things can be said about him, but there are a lot of good things. Special thanks for the fact that it holds the temperature "&amp;"for a very long time and is almost silent.")</f>
        <v>A good teapot, looks beautiful in the kitchen, and doesn’t let you get lost at night thanks to the lighting. I don’t know what bad things can be said about him, but there are a lot of good things. Special thanks for the fact that it holds the temperature for a very long time and is almost silent.</v>
      </c>
    </row>
    <row r="13876" spans="1:9" x14ac:dyDescent="0.3">
      <c r="A13876" s="1" t="s">
        <v>37</v>
      </c>
      <c r="B13876" s="1" t="s">
        <v>536</v>
      </c>
      <c r="C13876" s="1" t="s">
        <v>189</v>
      </c>
      <c r="D13876" s="1" t="s">
        <v>1188</v>
      </c>
      <c r="E13876" s="1" t="s">
        <v>1310</v>
      </c>
      <c r="F13876" s="1" t="s">
        <v>19248</v>
      </c>
      <c r="G13876" s="1" t="s">
        <v>36</v>
      </c>
      <c r="H13876" s="1" t="s">
        <v>29</v>
      </c>
      <c r="I13876" s="1" t="str">
        <f ca="1">IFERROR(__xludf.DUMMYFUNCTION("GOOGLETRANSLATE(F13876, ""auto"", ""en"")
"),"excellent communicator.  Almost a year has passed since I bought it, and there are no significant flaws.")</f>
        <v>excellent communicator.  Almost a year has passed since I bought it, and there are no significant flaws.</v>
      </c>
    </row>
    <row r="13877" spans="1:9" x14ac:dyDescent="0.3">
      <c r="A13877" s="1" t="s">
        <v>9</v>
      </c>
      <c r="B13877" s="1" t="s">
        <v>133</v>
      </c>
      <c r="C13877" s="1" t="s">
        <v>588</v>
      </c>
      <c r="D13877" s="1" t="s">
        <v>2826</v>
      </c>
      <c r="E13877" s="1" t="s">
        <v>8048</v>
      </c>
      <c r="F13877" s="1" t="s">
        <v>19249</v>
      </c>
      <c r="G13877" s="1" t="s">
        <v>94</v>
      </c>
      <c r="H13877" s="1" t="s">
        <v>29</v>
      </c>
      <c r="I13877" s="1" t="str">
        <f ca="1">IFERROR(__xludf.DUMMYFUNCTION("GOOGLETRANSLATE(F13877, ""auto"", ""en"")
"),"Beautiful, cheap ")</f>
        <v xml:space="preserve">Beautiful, cheap </v>
      </c>
    </row>
    <row r="13878" spans="1:9" x14ac:dyDescent="0.3">
      <c r="A13878" s="1" t="s">
        <v>105</v>
      </c>
      <c r="B13878" s="1" t="s">
        <v>106</v>
      </c>
      <c r="C13878" s="1" t="s">
        <v>97</v>
      </c>
      <c r="D13878" s="1" t="s">
        <v>152</v>
      </c>
      <c r="E13878" s="1" t="s">
        <v>750</v>
      </c>
      <c r="F13878" s="1" t="s">
        <v>19250</v>
      </c>
      <c r="G13878" s="1" t="s">
        <v>36</v>
      </c>
      <c r="H13878" s="1" t="s">
        <v>29</v>
      </c>
      <c r="I13878" s="1" t="str">
        <f ca="1">IFERROR(__xludf.DUMMYFUNCTION("GOOGLETRANSLATE(F13878, ""auto"", ""en"")
"),"The player is wonderful, the sound is super, the headphones need to be changed immediately.")</f>
        <v>The player is wonderful, the sound is super, the headphones need to be changed immediately.</v>
      </c>
    </row>
    <row r="13879" spans="1:9" x14ac:dyDescent="0.3">
      <c r="A13879" s="1" t="s">
        <v>37</v>
      </c>
      <c r="B13879" s="1" t="s">
        <v>38</v>
      </c>
      <c r="C13879" s="1" t="s">
        <v>69</v>
      </c>
      <c r="D13879" s="1" t="s">
        <v>20</v>
      </c>
      <c r="E13879" s="1" t="s">
        <v>817</v>
      </c>
      <c r="F13879" s="1" t="s">
        <v>19251</v>
      </c>
      <c r="G13879" s="1" t="s">
        <v>28</v>
      </c>
      <c r="H13879" s="1" t="s">
        <v>29</v>
      </c>
      <c r="I13879" s="1" t="str">
        <f ca="1">IFERROR(__xludf.DUMMYFUNCTION("GOOGLETRANSLATE(F13879, ""auto"", ""en"")
"),"I bought the phone on January 15, 2010 from m-video.   I'll start with the cons.  1. The panel on the side creaks.  2. ICQ does not start (installed from the Internet).  3. When writing to the phone book, the contact is saved, but it is not in the phone b"&amp;"ook! I was very surprised.  4. at volume 7 (maximum) the speaker wheezes (you already know the advantages, but nevertheless I’ll note a few: 1. the battery lasts 2 days with almost constant use both in talk mode and for personal purposes (music, Internet,"&amp;" SMS), although the manufacturer claims 10 hours of talk time. I don’t use the stylus - it’s in the box) 2. I liked the design of the touchphone.  3. like the menu.  4. The camera is good.  5. excellent flashlight.    P.S. catches (ttt) perfectly.  Conclu"&amp;"sion: the phone is worth the money, but it's Philips.  Good luck!")</f>
        <v>I bought the phone on January 15, 2010 from m-video.   I'll start with the cons.  1. The panel on the side creaks.  2. ICQ does not start (installed from the Internet).  3. When writing to the phone book, the contact is saved, but it is not in the phone book! I was very surprised.  4. at volume 7 (maximum) the speaker wheezes (you already know the advantages, but nevertheless I’ll note a few: 1. the battery lasts 2 days with almost constant use both in talk mode and for personal purposes (music, Internet, SMS), although the manufacturer claims 10 hours of talk time. I don’t use the stylus - it’s in the box) 2. I liked the design of the touchphone.  3. like the menu.  4. The camera is good.  5. excellent flashlight.    P.S. catches (ttt) perfectly.  Conclusion: the phone is worth the money, but it's Philips.  Good luck!</v>
      </c>
    </row>
    <row r="13880" spans="1:9" x14ac:dyDescent="0.3">
      <c r="A13880" s="1" t="s">
        <v>30</v>
      </c>
      <c r="B13880" s="1" t="s">
        <v>31</v>
      </c>
      <c r="C13880" s="1" t="s">
        <v>32</v>
      </c>
      <c r="D13880" s="1" t="s">
        <v>19252</v>
      </c>
      <c r="E13880" s="1" t="s">
        <v>717</v>
      </c>
      <c r="F13880" s="1" t="s">
        <v>19253</v>
      </c>
      <c r="G13880" s="1" t="s">
        <v>36</v>
      </c>
      <c r="H13880" s="1" t="s">
        <v>29</v>
      </c>
      <c r="I13880" s="1" t="str">
        <f ca="1">IFERROR(__xludf.DUMMYFUNCTION("GOOGLETRANSLATE(F13880, ""auto"", ""en"")
"),"An excellent unit, a good processor pleased me, low heat dissipation, excellent overclocking (if desired, 4 GHz can be achieved), a 2 MB cache is enough for anything and everything!!! It works quietly, despite the rather small size of the block, the speed"&amp;" of the processor, video card, motherboard and in general leaves much to be desired! I also liked the seventh Windows, everything is very beautiful, I understood one thing, for this Windows to work well, you need a powerful computer. For gamers =) games f"&amp;"ly like our fighters =)))) If you also have high-speed Internet, then online chats go with minimal pings =) I’m satisfied, I recommend it to everyone!!! I also want to say a huge thank you to Mvideo for the fact that you have computer equipment for sale t"&amp;"hat is worthy of use!!!!! Good luck to YOU")</f>
        <v>An excellent unit, a good processor pleased me, low heat dissipation, excellent overclocking (if desired, 4 GHz can be achieved), a 2 MB cache is enough for anything and everything!!! It works quietly, despite the rather small size of the block, the speed of the processor, video card, motherboard and in general leaves much to be desired! I also liked the seventh Windows, everything is very beautiful, I understood one thing, for this Windows to work well, you need a powerful computer. For gamers =) games fly like our fighters =)))) If you also have high-speed Internet, then online chats go with minimal pings =) I’m satisfied, I recommend it to everyone!!! I also want to say a huge thank you to Mvideo for the fact that you have computer equipment for sale that is worthy of use!!!!! Good luck to YOU</v>
      </c>
    </row>
    <row r="13881" spans="1:9" x14ac:dyDescent="0.3">
      <c r="A13881" s="1" t="s">
        <v>37</v>
      </c>
      <c r="B13881" s="1" t="s">
        <v>536</v>
      </c>
      <c r="C13881" s="1" t="s">
        <v>39</v>
      </c>
      <c r="D13881" s="1" t="s">
        <v>19254</v>
      </c>
      <c r="E13881" s="1" t="s">
        <v>3465</v>
      </c>
      <c r="F13881" s="1" t="s">
        <v>19255</v>
      </c>
      <c r="G13881" s="1" t="s">
        <v>36</v>
      </c>
      <c r="H13881" s="1" t="s">
        <v>29</v>
      </c>
      <c r="I13881" s="1" t="str">
        <f ca="1">IFERROR(__xludf.DUMMYFUNCTION("GOOGLETRANSLATE(F13881, ""auto"", ""en"")
"),"in order of tel.")</f>
        <v>in order of tel.</v>
      </c>
    </row>
    <row r="13882" spans="1:9" x14ac:dyDescent="0.3">
      <c r="A13882" s="1" t="s">
        <v>61</v>
      </c>
      <c r="B13882" s="1" t="s">
        <v>318</v>
      </c>
      <c r="C13882" s="1" t="s">
        <v>745</v>
      </c>
      <c r="D13882" s="1" t="s">
        <v>589</v>
      </c>
      <c r="E13882" s="1" t="s">
        <v>17388</v>
      </c>
      <c r="F13882" s="1" t="s">
        <v>19256</v>
      </c>
      <c r="G13882" s="1" t="s">
        <v>36</v>
      </c>
      <c r="H13882" s="1" t="s">
        <v>29</v>
      </c>
      <c r="I13882" s="1" t="str">
        <f ca="1">IFERROR(__xludf.DUMMYFUNCTION("GOOGLETRANSLATE(F13882, ""auto"", ""en"")
"),"A functional and practical kettle that suited me in all respects. It is very important that there is a function to turn off the kettle if there is not enough water in it. My previous kettle burned out exactly like this. It heats the water within 4-5 minut"&amp;"es, does not make much noise when boiling, and the water did not smell like plastic immediately after purchasing the kettle. For the price I got an excellent kettle.")</f>
        <v>A functional and practical kettle that suited me in all respects. It is very important that there is a function to turn off the kettle if there is not enough water in it. My previous kettle burned out exactly like this. It heats the water within 4-5 minutes, does not make much noise when boiling, and the water did not smell like plastic immediately after purchasing the kettle. For the price I got an excellent kettle.</v>
      </c>
    </row>
    <row r="13883" spans="1:9" x14ac:dyDescent="0.3">
      <c r="A13883" s="1" t="s">
        <v>361</v>
      </c>
      <c r="B13883" s="1" t="s">
        <v>2555</v>
      </c>
      <c r="C13883" s="1" t="s">
        <v>4871</v>
      </c>
      <c r="D13883" s="1" t="s">
        <v>1581</v>
      </c>
      <c r="E13883" s="1" t="s">
        <v>6593</v>
      </c>
      <c r="F13883" s="1" t="s">
        <v>19257</v>
      </c>
      <c r="G13883" s="1" t="s">
        <v>36</v>
      </c>
      <c r="H13883" s="1" t="s">
        <v>29</v>
      </c>
      <c r="I13883" s="1" t="str">
        <f ca="1">IFERROR(__xludf.DUMMYFUNCTION("GOOGLETRANSLATE(F13883, ""auto"", ""en"")
"),"The best thermos available. Convenient, light and reliable!")</f>
        <v>The best thermos available. Convenient, light and reliable!</v>
      </c>
    </row>
    <row r="13884" spans="1:9" x14ac:dyDescent="0.3">
      <c r="A13884" s="1" t="s">
        <v>120</v>
      </c>
      <c r="B13884" s="1" t="s">
        <v>1205</v>
      </c>
      <c r="C13884" s="1" t="s">
        <v>1430</v>
      </c>
      <c r="D13884" s="1" t="s">
        <v>200</v>
      </c>
      <c r="E13884" s="1" t="s">
        <v>2484</v>
      </c>
      <c r="F13884" s="1" t="s">
        <v>19258</v>
      </c>
      <c r="G13884" s="1" t="s">
        <v>36</v>
      </c>
      <c r="H13884" s="1" t="s">
        <v>29</v>
      </c>
      <c r="I13884" s="1" t="str">
        <f ca="1">IFERROR(__xludf.DUMMYFUNCTION("GOOGLETRANSLATE(F13884, ""auto"", ""en"")
"),"Normal broadcast quality, unlike cable and similar variety of channels.")</f>
        <v>Normal broadcast quality, unlike cable and similar variety of channels.</v>
      </c>
    </row>
    <row r="13885" spans="1:9" x14ac:dyDescent="0.3">
      <c r="A13885" s="1" t="s">
        <v>211</v>
      </c>
      <c r="B13885" s="1" t="s">
        <v>410</v>
      </c>
      <c r="C13885" s="1" t="s">
        <v>213</v>
      </c>
      <c r="D13885" s="1" t="s">
        <v>114</v>
      </c>
      <c r="E13885" s="1" t="s">
        <v>6345</v>
      </c>
      <c r="F13885" s="1" t="s">
        <v>19259</v>
      </c>
      <c r="G13885" s="1" t="s">
        <v>28</v>
      </c>
      <c r="H13885" s="1" t="s">
        <v>29</v>
      </c>
      <c r="I13885" s="1" t="str">
        <f ca="1">IFERROR(__xludf.DUMMYFUNCTION("GOOGLETRANSLATE(F13885, ""auto"", ""en"")
"),"I bought this razor today and I am very pleased with the quality of the shave. But I shaved for the first time today... my face certainly burns after shaving. But we can bear it. I hope that the skin will get used to it and there will be no irritation. An"&amp;"d so far 4 points out of 5. But the thing is great!!!")</f>
        <v>I bought this razor today and I am very pleased with the quality of the shave. But I shaved for the first time today... my face certainly burns after shaving. But we can bear it. I hope that the skin will get used to it and there will be no irritation. And so far 4 points out of 5. But the thing is great!!!</v>
      </c>
    </row>
    <row r="13886" spans="1:9" x14ac:dyDescent="0.3">
      <c r="A13886" s="1" t="s">
        <v>30</v>
      </c>
      <c r="B13886" s="1" t="s">
        <v>31</v>
      </c>
      <c r="C13886" s="1" t="s">
        <v>365</v>
      </c>
      <c r="D13886" s="1" t="s">
        <v>18755</v>
      </c>
      <c r="E13886" s="1" t="s">
        <v>646</v>
      </c>
      <c r="F13886" s="1" t="s">
        <v>19260</v>
      </c>
      <c r="G13886" s="1" t="s">
        <v>36</v>
      </c>
      <c r="H13886" s="1" t="s">
        <v>29</v>
      </c>
      <c r="I13886" s="1" t="str">
        <f ca="1">IFERROR(__xludf.DUMMYFUNCTION("GOOGLETRANSLATE(F13886, ""auto"", ""en"")
"),"Of all the system units that are available in the store, the strongest is the Irbis F88e P8161/500 system unit. I bought it on September 19 and am completely satisfied. A very powerful computer")</f>
        <v>Of all the system units that are available in the store, the strongest is the Irbis F88e P8161/500 system unit. I bought it on September 19 and am completely satisfied. A very powerful computer</v>
      </c>
    </row>
    <row r="13887" spans="1:9" x14ac:dyDescent="0.3">
      <c r="A13887" s="1" t="s">
        <v>206</v>
      </c>
      <c r="B13887" s="1" t="s">
        <v>261</v>
      </c>
      <c r="C13887" s="1" t="s">
        <v>152</v>
      </c>
      <c r="D13887" s="1" t="s">
        <v>19261</v>
      </c>
      <c r="E13887" s="1" t="s">
        <v>5141</v>
      </c>
      <c r="F13887" s="1" t="s">
        <v>19262</v>
      </c>
      <c r="G13887" s="1" t="s">
        <v>36</v>
      </c>
      <c r="H13887" s="1" t="s">
        <v>29</v>
      </c>
      <c r="I13887" s="1" t="str">
        <f ca="1">IFERROR(__xludf.DUMMYFUNCTION("GOOGLETRANSLATE(F13887, ""auto"", ""en"")
"),"I was struggling with the Stinger - but I put my hands down, so to speak, KICS - And lo and behold, the background disappeared.  The tail that sticks out is not the amplifier control cable!!!!! - This is the tail of the screen - you need to hook it to the"&amp;" body of the tape recorder - do not TOUCH the other side!!!")</f>
        <v>I was struggling with the Stinger - but I put my hands down, so to speak, KICS - And lo and behold, the background disappeared.  The tail that sticks out is not the amplifier control cable!!!!! - This is the tail of the screen - you need to hook it to the body of the tape recorder - do not TOUCH the other side!!!</v>
      </c>
    </row>
    <row r="13888" spans="1:9" x14ac:dyDescent="0.3">
      <c r="A13888" s="1" t="s">
        <v>67</v>
      </c>
      <c r="B13888" s="1" t="s">
        <v>68</v>
      </c>
      <c r="C13888" s="1" t="s">
        <v>69</v>
      </c>
      <c r="D13888" s="1" t="s">
        <v>345</v>
      </c>
      <c r="E13888" s="1" t="s">
        <v>386</v>
      </c>
      <c r="F13888" s="1" t="s">
        <v>19263</v>
      </c>
      <c r="G13888" s="1" t="s">
        <v>36</v>
      </c>
      <c r="H13888" s="1" t="s">
        <v>29</v>
      </c>
      <c r="I13888" s="1" t="str">
        <f ca="1">IFERROR(__xludf.DUMMYFUNCTION("GOOGLETRANSLATE(F13888, ""auto"", ""en"")
"),"I chose the most budget option. I decided to buy Philips because of: - more powerful steam supply - non-stick soleplate There are no differences between the rest!  The iron is very convenient to use, the ironing process speeds up three to four times!!! St"&amp;"eam supply allows you to iron the thickest and most “inconvenient” fabrics to iron! Shirts and vertically hanging suits are especially relevant to me!  There were no problems with scale or contamination at all!  And don’t buy a descaler for it yet, the in"&amp;"structions say that it is forbidden to use it at all! Just rinse the container with water and that’s it!  In general, I give it a 5! I grew up with a regular iron!")</f>
        <v>I chose the most budget option. I decided to buy Philips because of: - more powerful steam supply - non-stick soleplate There are no differences between the rest!  The iron is very convenient to use, the ironing process speeds up three to four times!!! Steam supply allows you to iron the thickest and most “inconvenient” fabrics to iron! Shirts and vertically hanging suits are especially relevant to me!  There were no problems with scale or contamination at all!  And don’t buy a descaler for it yet, the instructions say that it is forbidden to use it at all! Just rinse the container with water and that’s it!  In general, I give it a 5! I grew up with a regular iron!</v>
      </c>
    </row>
    <row r="13889" spans="1:9" x14ac:dyDescent="0.3">
      <c r="A13889" s="1" t="s">
        <v>211</v>
      </c>
      <c r="B13889" s="1" t="s">
        <v>212</v>
      </c>
      <c r="C13889" s="1" t="s">
        <v>69</v>
      </c>
      <c r="D13889" s="1" t="s">
        <v>19264</v>
      </c>
      <c r="E13889" s="1" t="s">
        <v>8309</v>
      </c>
      <c r="F13889" s="1" t="s">
        <v>19265</v>
      </c>
      <c r="G13889" s="1" t="s">
        <v>36</v>
      </c>
      <c r="H13889" s="1" t="s">
        <v>29</v>
      </c>
      <c r="I13889" s="1" t="str">
        <f ca="1">IFERROR(__xludf.DUMMYFUNCTION("GOOGLETRANSLATE(F13889, ""auto"", ""en"")
"),"Super super super thing! In a matter of minutes, curls on your head are ready. I highly recommend it!")</f>
        <v>Super super super thing! In a matter of minutes, curls on your head are ready. I highly recommend it!</v>
      </c>
    </row>
    <row r="13890" spans="1:9" x14ac:dyDescent="0.3">
      <c r="A13890" s="1" t="s">
        <v>37</v>
      </c>
      <c r="B13890" s="1" t="s">
        <v>536</v>
      </c>
      <c r="C13890" s="1" t="s">
        <v>537</v>
      </c>
      <c r="D13890" s="1" t="s">
        <v>7257</v>
      </c>
      <c r="E13890" s="1" t="s">
        <v>956</v>
      </c>
      <c r="F13890" s="1" t="s">
        <v>19266</v>
      </c>
      <c r="G13890" s="1" t="s">
        <v>36</v>
      </c>
      <c r="H13890" s="1" t="s">
        <v>29</v>
      </c>
      <c r="I13890" s="1" t="str">
        <f ca="1">IFERROR(__xludf.DUMMYFUNCTION("GOOGLETRANSLATE(F13890, ""auto"", ""en"")
"),"After a recent update to axis 2.1, this PDA simply flies, although it never slowed down before. The camera has become better, live wallpapers have appeared. True, the battery lasts for 1 day if you are online and applications are not installed on the memo"&amp;"ry card, which is also a minus, but maybe they will fix it. For the money, the best price-quality ratio.")</f>
        <v>After a recent update to axis 2.1, this PDA simply flies, although it never slowed down before. The camera has become better, live wallpapers have appeared. True, the battery lasts for 1 day if you are online and applications are not installed on the memory card, which is also a minus, but maybe they will fix it. For the money, the best price-quality ratio.</v>
      </c>
    </row>
    <row r="13891" spans="1:9" x14ac:dyDescent="0.3">
      <c r="A13891" s="1" t="s">
        <v>37</v>
      </c>
      <c r="B13891" s="1" t="s">
        <v>38</v>
      </c>
      <c r="C13891" s="1" t="s">
        <v>163</v>
      </c>
      <c r="D13891" s="1" t="s">
        <v>3273</v>
      </c>
      <c r="E13891" s="1" t="s">
        <v>460</v>
      </c>
      <c r="F13891" s="1" t="s">
        <v>19267</v>
      </c>
      <c r="G13891" s="1" t="s">
        <v>36</v>
      </c>
      <c r="H13891" s="1" t="s">
        <v>29</v>
      </c>
      <c r="I13891" s="1" t="str">
        <f ca="1">IFERROR(__xludf.DUMMYFUNCTION("GOOGLETRANSLATE(F13891, ""auto"", ""en"")
"),"cool phone)) I bought myself one, it’s okay, I’ve been using it for a year now)) and I’m happy))) the music plays great)) it takes normal photos)0 well, in general it’s cool))")</f>
        <v>cool phone)) I bought myself one, it’s okay, I’ve been using it for a year now)) and I’m happy))) the music plays great)) it takes normal photos)0 well, in general it’s cool))</v>
      </c>
    </row>
    <row r="13892" spans="1:9" x14ac:dyDescent="0.3">
      <c r="A13892" s="1" t="s">
        <v>61</v>
      </c>
      <c r="B13892" s="1" t="s">
        <v>318</v>
      </c>
      <c r="C13892" s="1" t="s">
        <v>57</v>
      </c>
      <c r="D13892" s="1" t="s">
        <v>295</v>
      </c>
      <c r="E13892" s="1" t="s">
        <v>3361</v>
      </c>
      <c r="F13892" s="1" t="s">
        <v>19268</v>
      </c>
      <c r="G13892" s="1" t="s">
        <v>28</v>
      </c>
      <c r="H13892" s="1" t="s">
        <v>29</v>
      </c>
      <c r="I13892" s="1" t="str">
        <f ca="1">IFERROR(__xludf.DUMMYFUNCTION("GOOGLETRANSLATE(F13892, ""auto"", ""en"")
"),"Bought in March 2016 for my grandmother. She wanted exactly this volume. Quickly for one cup. It boils noisily, not quickly, there is time to cut the sandwich. Carefully! The kettle is metal and gets very hot from boiling water. Grandma uses an oven mitt.")</f>
        <v>Bought in March 2016 for my grandmother. She wanted exactly this volume. Quickly for one cup. It boils noisily, not quickly, there is time to cut the sandwich. Carefully! The kettle is metal and gets very hot from boiling water. Grandma uses an oven mitt.</v>
      </c>
    </row>
    <row r="13893" spans="1:9" x14ac:dyDescent="0.3">
      <c r="A13893" s="1" t="s">
        <v>624</v>
      </c>
      <c r="B13893" s="1" t="s">
        <v>2107</v>
      </c>
      <c r="C13893" s="1" t="s">
        <v>479</v>
      </c>
      <c r="D13893" s="1" t="s">
        <v>695</v>
      </c>
      <c r="E13893" s="1" t="s">
        <v>2514</v>
      </c>
      <c r="F13893" s="1" t="s">
        <v>19269</v>
      </c>
      <c r="G13893" s="1" t="s">
        <v>36</v>
      </c>
      <c r="H13893" s="1" t="s">
        <v>29</v>
      </c>
      <c r="I13893" s="1" t="str">
        <f ca="1">IFERROR(__xludf.DUMMYFUNCTION("GOOGLETRANSLATE(F13893, ""auto"", ""en"")
"),"Despite the fact that this is not the same Splinter Cell, it is a pretty good third-person action game. Stealth is now at a minimum, usually enemies are eliminated quickly and noisily with the new “elimination” ability. The game is very short. Some 10 mis"&amp;"sions, but bright and long. Although I still wouldn’t buy Conviction for almost three thousand rubles. I rate only the game itself.")</f>
        <v>Despite the fact that this is not the same Splinter Cell, it is a pretty good third-person action game. Stealth is now at a minimum, usually enemies are eliminated quickly and noisily with the new “elimination” ability. The game is very short. Some 10 missions, but bright and long. Although I still wouldn’t buy Conviction for almost three thousand rubles. I rate only the game itself.</v>
      </c>
    </row>
    <row r="13894" spans="1:9" x14ac:dyDescent="0.3">
      <c r="A13894" s="1" t="s">
        <v>1443</v>
      </c>
      <c r="B13894" s="1" t="s">
        <v>4684</v>
      </c>
      <c r="C13894" s="1" t="s">
        <v>4685</v>
      </c>
      <c r="D13894" s="1" t="s">
        <v>19270</v>
      </c>
      <c r="E13894" s="1" t="s">
        <v>696</v>
      </c>
      <c r="F13894" s="1" t="s">
        <v>19271</v>
      </c>
      <c r="G13894" s="1" t="s">
        <v>49</v>
      </c>
      <c r="H13894" s="1" t="s">
        <v>16</v>
      </c>
      <c r="I13894" s="1" t="str">
        <f ca="1">IFERROR(__xludf.DUMMYFUNCTION("GOOGLETRANSLATE(F13894, ""auto"", ""en"")
"),"Out of 10 disks, 2 are defective")</f>
        <v>Out of 10 disks, 2 are defective</v>
      </c>
    </row>
    <row r="13895" spans="1:9" x14ac:dyDescent="0.3">
      <c r="A13895" s="1" t="s">
        <v>557</v>
      </c>
      <c r="B13895" s="1" t="s">
        <v>558</v>
      </c>
      <c r="C13895" s="1" t="s">
        <v>816</v>
      </c>
      <c r="D13895" s="1" t="s">
        <v>411</v>
      </c>
      <c r="E13895" s="1" t="s">
        <v>9623</v>
      </c>
      <c r="F13895" s="1" t="s">
        <v>19272</v>
      </c>
      <c r="G13895" s="1" t="s">
        <v>36</v>
      </c>
      <c r="H13895" s="1" t="s">
        <v>29</v>
      </c>
      <c r="I13895" s="1" t="str">
        <f ca="1">IFERROR(__xludf.DUMMYFUNCTION("GOOGLETRANSLATE(F13895, ""auto"", ""en"")
"),"We recently bought this phone for home, now we’re just enjoying it - a clear, accessible settings menu, a memory for 100 contacts, a clock with an alarm (in standby mode, the clock is displayed on the display), Caller ID works well... After the Panasonic,"&amp;" which we had before - just a fairy tale! Panasonic's menu is too complicated, I'm just tired of poking around in it. I recommend everyone to buy!")</f>
        <v>We recently bought this phone for home, now we’re just enjoying it - a clear, accessible settings menu, a memory for 100 contacts, a clock with an alarm (in standby mode, the clock is displayed on the display), Caller ID works well... After the Panasonic, which we had before - just a fairy tale! Panasonic's menu is too complicated, I'm just tired of poking around in it. I recommend everyone to buy!</v>
      </c>
    </row>
    <row r="13896" spans="1:9" x14ac:dyDescent="0.3">
      <c r="A13896" s="1" t="s">
        <v>43</v>
      </c>
      <c r="B13896" s="1" t="s">
        <v>1370</v>
      </c>
      <c r="C13896" s="1" t="s">
        <v>2137</v>
      </c>
      <c r="D13896" s="1" t="s">
        <v>172</v>
      </c>
      <c r="E13896" s="1" t="s">
        <v>15068</v>
      </c>
      <c r="F13896" s="1" t="s">
        <v>19273</v>
      </c>
      <c r="G13896" s="1" t="s">
        <v>36</v>
      </c>
      <c r="H13896" s="1" t="s">
        <v>29</v>
      </c>
      <c r="I13896" s="1" t="str">
        <f ca="1">IFERROR(__xludf.DUMMYFUNCTION("GOOGLETRANSLATE(F13896, ""auto"", ""en"")
"),"Good water heater. 5 kW is quite enough... I took it for bathing a child and taking a shower during the period when hot water was turned off - just super, I'm satisfied. Connected via a separate machine with a 4mm wire...")</f>
        <v>Good water heater. 5 kW is quite enough... I took it for bathing a child and taking a shower during the period when hot water was turned off - just super, I'm satisfied. Connected via a separate machine with a 4mm wire...</v>
      </c>
    </row>
    <row r="13897" spans="1:9" x14ac:dyDescent="0.3">
      <c r="A13897" s="1" t="s">
        <v>169</v>
      </c>
      <c r="B13897" s="1" t="s">
        <v>170</v>
      </c>
      <c r="C13897" s="1" t="s">
        <v>122</v>
      </c>
      <c r="D13897" s="1" t="s">
        <v>4937</v>
      </c>
      <c r="E13897" s="1" t="s">
        <v>4452</v>
      </c>
      <c r="F13897" s="1" t="s">
        <v>19274</v>
      </c>
      <c r="G13897" s="1" t="s">
        <v>36</v>
      </c>
      <c r="H13897" s="1" t="s">
        <v>29</v>
      </c>
      <c r="I13897" s="1" t="str">
        <f ca="1">IFERROR(__xludf.DUMMYFUNCTION("GOOGLETRANSLATE(F13897, ""auto"", ""en"")
"),"I've been listening to them for three days, the sound is super, solid-5 and they fit comfortably")</f>
        <v>I've been listening to them for three days, the sound is super, solid-5 and they fit comfortably</v>
      </c>
    </row>
    <row r="13898" spans="1:9" x14ac:dyDescent="0.3">
      <c r="A13898" s="1" t="s">
        <v>149</v>
      </c>
      <c r="B13898" s="1" t="s">
        <v>423</v>
      </c>
      <c r="C13898" s="1" t="s">
        <v>424</v>
      </c>
      <c r="D13898" s="1" t="s">
        <v>521</v>
      </c>
      <c r="E13898" s="1" t="s">
        <v>2540</v>
      </c>
      <c r="F13898" s="1" t="s">
        <v>19275</v>
      </c>
      <c r="G13898" s="1" t="s">
        <v>28</v>
      </c>
      <c r="H13898" s="1" t="s">
        <v>29</v>
      </c>
      <c r="I13898" s="1" t="str">
        <f ca="1">IFERROR(__xludf.DUMMYFUNCTION("GOOGLETRANSLATE(F13898, ""auto"", ""en"")
"),"I bought a vacuum cleaner because I have white carpets and a white sofa at home. Pros: The suction power is simply amazing; when cleaning the sofa, it even reduced it a little. Convenient configuration of the case, does not cling to the corners, compared "&amp;"to the modern form, rolls easily on wheels, does not fall over. The water suction function is simply super! Cleans carpets without leaving moisture. There are a lot of different attachments for all occasions. Nothing falls off or leaks. Cons: Honestly dis"&amp;"appointed when used as a vacuum cleaner for dry cleaning and for washing hard surfaces. The fact that a lot of water pours onto the laminate can be easily removed by turning off the pump. But the fact that they couldn’t remove dried dirt from the tiles at"&amp;" all was a disappointment, no matter how many times, it’s easier to take a regular mop and use it to clean laminate and tiles. those. It's useless to me in the kitchen. It will probably be convenient somewhere in a house with large square footage, but at "&amp;"64 square meters I definitely won’t use it for this function. I will use it exclusively as a vacuum cleaner for carpets, curtains (this function also exists) and furniture. When I wanted to wash the 3D carpet, I was also disappointed, because for all wash"&amp;"ing vacuum cleaners the presence of a vacuum is important and therefore such a carpet cannot be cleaned, a small furniture attachment came to the rescue. My white carpet just started playing with her. Conclusion: I looked at a washing vacuum cleaner for a"&amp;" long time, I even wanted to buy a Karcher for dry cleaning (I was stopped by the fact that there was only one non-removable attachment). The price is certainly too high and if I bought any vacuum cleaner at that price, I would be disappointed. And since "&amp;"I got it as part of a promotion, he completely earns his money back. With such a vacuum cleaner, the need for a vacuum cleaner for dry cleaning simply disappeared; now I do wet cleaning of upholstered furniture and carpets all the time.")</f>
        <v>I bought a vacuum cleaner because I have white carpets and a white sofa at home. Pros: The suction power is simply amazing; when cleaning the sofa, it even reduced it a little. Convenient configuration of the case, does not cling to the corners, compared to the modern form, rolls easily on wheels, does not fall over. The water suction function is simply super! Cleans carpets without leaving moisture. There are a lot of different attachments for all occasions. Nothing falls off or leaks. Cons: Honestly disappointed when used as a vacuum cleaner for dry cleaning and for washing hard surfaces. The fact that a lot of water pours onto the laminate can be easily removed by turning off the pump. But the fact that they couldn’t remove dried dirt from the tiles at all was a disappointment, no matter how many times, it’s easier to take a regular mop and use it to clean laminate and tiles. those. It's useless to me in the kitchen. It will probably be convenient somewhere in a house with large square footage, but at 64 square meters I definitely won’t use it for this function. I will use it exclusively as a vacuum cleaner for carpets, curtains (this function also exists) and furniture. When I wanted to wash the 3D carpet, I was also disappointed, because for all washing vacuum cleaners the presence of a vacuum is important and therefore such a carpet cannot be cleaned, a small furniture attachment came to the rescue. My white carpet just started playing with her. Conclusion: I looked at a washing vacuum cleaner for a long time, I even wanted to buy a Karcher for dry cleaning (I was stopped by the fact that there was only one non-removable attachment). The price is certainly too high and if I bought any vacuum cleaner at that price, I would be disappointed. And since I got it as part of a promotion, he completely earns his money back. With such a vacuum cleaner, the need for a vacuum cleaner for dry cleaning simply disappeared; now I do wet cleaning of upholstered furniture and carpets all the time.</v>
      </c>
    </row>
    <row r="13899" spans="1:9" x14ac:dyDescent="0.3">
      <c r="A13899" s="1" t="s">
        <v>169</v>
      </c>
      <c r="B13899" s="1" t="s">
        <v>170</v>
      </c>
      <c r="C13899" s="1" t="s">
        <v>97</v>
      </c>
      <c r="D13899" s="1" t="s">
        <v>1036</v>
      </c>
      <c r="E13899" s="1" t="s">
        <v>2663</v>
      </c>
      <c r="F13899" s="1" t="s">
        <v>19276</v>
      </c>
      <c r="G13899" s="1" t="s">
        <v>28</v>
      </c>
      <c r="H13899" s="1" t="s">
        <v>29</v>
      </c>
      <c r="I13899" s="1" t="str">
        <f ca="1">IFERROR(__xludf.DUMMYFUNCTION("GOOGLETRANSLATE(F13899, ""auto"", ""en"")
"),"The sound suits me quite well, I listen to dubstep and rock in them, but they slightly muffle the high tones and at low volumes they are almost silent. They fit perfectly on my head and ears, I don’t feel tired. The 3.5 meter cable is nice. The only thing"&amp;" that really infuriates me is that the arcs that are held on the head are far from each other, and when you have to hang them on the neck, it barely rises up. But in principle I am satisfied with the purchase, the price-quality ratio is justified.")</f>
        <v>The sound suits me quite well, I listen to dubstep and rock in them, but they slightly muffle the high tones and at low volumes they are almost silent. They fit perfectly on my head and ears, I don’t feel tired. The 3.5 meter cable is nice. The only thing that really infuriates me is that the arcs that are held on the head are far from each other, and when you have to hang them on the neck, it barely rises up. But in principle I am satisfied with the purchase, the price-quality ratio is justified.</v>
      </c>
    </row>
    <row r="13900" spans="1:9" x14ac:dyDescent="0.3">
      <c r="A13900" s="1" t="s">
        <v>105</v>
      </c>
      <c r="B13900" s="1" t="s">
        <v>106</v>
      </c>
      <c r="C13900" s="1" t="s">
        <v>1209</v>
      </c>
      <c r="D13900" s="1" t="s">
        <v>8507</v>
      </c>
      <c r="E13900" s="1" t="s">
        <v>4409</v>
      </c>
      <c r="F13900" s="1" t="s">
        <v>19277</v>
      </c>
      <c r="G13900" s="1" t="s">
        <v>15</v>
      </c>
      <c r="H13900" s="1" t="s">
        <v>16</v>
      </c>
      <c r="I13900" s="1" t="str">
        <f ca="1">IFERROR(__xludf.DUMMYFUNCTION("GOOGLETRANSLATE(F13900, ""auto"", ""en"")
"),"I bought this player, but I wasn’t happy with the purchase for long...after 1.5 months the headphone jack broke, and its downside is the buttons that sunk in and it also freezes periodically (this happens without a flash drive, with a flash drive it’s muc"&amp;"h more common)")</f>
        <v>I bought this player, but I wasn’t happy with the purchase for long...after 1.5 months the headphone jack broke, and its downside is the buttons that sunk in and it also freezes periodically (this happens without a flash drive, with a flash drive it’s much more common)</v>
      </c>
    </row>
    <row r="13901" spans="1:9" x14ac:dyDescent="0.3">
      <c r="A13901" s="1" t="s">
        <v>61</v>
      </c>
      <c r="B13901" s="1" t="s">
        <v>726</v>
      </c>
      <c r="C13901" s="1" t="s">
        <v>74</v>
      </c>
      <c r="D13901" s="1" t="s">
        <v>521</v>
      </c>
      <c r="E13901" s="1" t="s">
        <v>5596</v>
      </c>
      <c r="F13901" s="1" t="s">
        <v>19278</v>
      </c>
      <c r="G13901" s="1" t="s">
        <v>28</v>
      </c>
      <c r="H13901" s="1" t="s">
        <v>29</v>
      </c>
      <c r="I13901" s="1" t="str">
        <f ca="1">IFERROR(__xludf.DUMMYFUNCTION("GOOGLETRANSLATE(F13901, ""auto"", ""en"")
"),"I similarly encountered this problem the first time I baked it, although otherwise I liked the stove.  I can recommend the following (it helped me): - cover the window with foil while baking;  - seal the gap between the lid and the body with tape also dur"&amp;"ing baking;  - at the end of the main process, finish baking the bread for 10 minutes in the “cooking” program;  - whenever possible, bake bread of smaller mass.  In addition, there is an opinion that over time the heating element will develop and the bre"&amp;"ad will be crispier and more rosy.  Good luck!")</f>
        <v>I similarly encountered this problem the first time I baked it, although otherwise I liked the stove.  I can recommend the following (it helped me): - cover the window with foil while baking;  - seal the gap between the lid and the body with tape also during baking;  - at the end of the main process, finish baking the bread for 10 minutes in the “cooking” program;  - whenever possible, bake bread of smaller mass.  In addition, there is an opinion that over time the heating element will develop and the bread will be crispier and more rosy.  Good luck!</v>
      </c>
    </row>
    <row r="13902" spans="1:9" x14ac:dyDescent="0.3">
      <c r="A13902" s="1" t="s">
        <v>37</v>
      </c>
      <c r="B13902" s="1" t="s">
        <v>38</v>
      </c>
      <c r="C13902" s="1" t="s">
        <v>151</v>
      </c>
      <c r="D13902" s="1" t="s">
        <v>589</v>
      </c>
      <c r="E13902" s="1" t="s">
        <v>1852</v>
      </c>
      <c r="F13902" s="1" t="s">
        <v>19279</v>
      </c>
      <c r="G13902" s="1" t="s">
        <v>36</v>
      </c>
      <c r="H13902" s="1" t="s">
        <v>29</v>
      </c>
      <c r="I13902" s="1" t="str">
        <f ca="1">IFERROR(__xludf.DUMMYFUNCTION("GOOGLETRANSLATE(F13902, ""auto"", ""en"")
"),"The phone is good, satisfied with everything. A model for people without excessive demands: calls, photos, MP3 and radio. Simple and convenient! I've been using it for half a year and I'm happy with it.")</f>
        <v>The phone is good, satisfied with everything. A model for people without excessive demands: calls, photos, MP3 and radio. Simple and convenient! I've been using it for half a year and I'm happy with it.</v>
      </c>
    </row>
    <row r="13903" spans="1:9" x14ac:dyDescent="0.3">
      <c r="A13903" s="1" t="s">
        <v>9</v>
      </c>
      <c r="B13903" s="1" t="s">
        <v>133</v>
      </c>
      <c r="C13903" s="1" t="s">
        <v>151</v>
      </c>
      <c r="D13903" s="1" t="s">
        <v>565</v>
      </c>
      <c r="E13903" s="1" t="s">
        <v>6514</v>
      </c>
      <c r="F13903" s="1" t="s">
        <v>19280</v>
      </c>
      <c r="G13903" s="1" t="s">
        <v>36</v>
      </c>
      <c r="H13903" s="1" t="s">
        <v>29</v>
      </c>
      <c r="I13903" s="1" t="str">
        <f ca="1">IFERROR(__xludf.DUMMYFUNCTION("GOOGLETRANSLATE(F13903, ""auto"", ""en"")
"),"Maybe my opinion will help someone. I bought the cabinet in November, but didn’t use it very often. Now I’ve become more familiar with it.  It took me a long time to choose, but I was captivated by the fact that there were 2 cooking zones, although I didn"&amp;"’t believe that you could cook at different temperatures and different modes - this is actually true! I checked it right away: I turned on the top half, and as a result, after 20 minutes the bottom half of the cabinet was cold! This made me very happy!  T"&amp;"he second thing I liked was the 3-year warranty. And the fact that Samsung hasn’t let us down yet, even in mobile phones. But I still went to the official office. Samsung website and checked to see if this model was in their products. It turned out that i"&amp;"t was! Although the model was released for the first time in 2009, my cabinet began to exist in July 2011. I did not immediately understand the mixing of temperature and programs: grill, oven and conventional... and the chicken was not fried like in a con"&amp;"vection oven. Then, little by little, at random, I figured out some of the subtleties in the operation of the cabinet. Today I decided for the first time wash it.. the light bulbs burn well in it, but I didn’t look closely at the splashes of fat... So far"&amp;", only half of the fried food has been washed off the first time.   Moreover.. this is just in case: the zone separator itself was not in the closet, but under it. That is, when you open the box, there will be documents in the oven and baking sheets in th"&amp;"e box. And the separator itself will lie under the cabinet in a box. It simply would not fit sideways into the closet. I was scared that it was not there and immediately called the service centers.. In general, I am happy with the cabinet, I just have to "&amp;"get used to it completely.  All functions described in the specification are present.")</f>
        <v>Maybe my opinion will help someone. I bought the cabinet in November, but didn’t use it very often. Now I’ve become more familiar with it.  It took me a long time to choose, but I was captivated by the fact that there were 2 cooking zones, although I didn’t believe that you could cook at different temperatures and different modes - this is actually true! I checked it right away: I turned on the top half, and as a result, after 20 minutes the bottom half of the cabinet was cold! This made me very happy!  The second thing I liked was the 3-year warranty. And the fact that Samsung hasn’t let us down yet, even in mobile phones. But I still went to the official office. Samsung website and checked to see if this model was in their products. It turned out that it was! Although the model was released for the first time in 2009, my cabinet began to exist in July 2011. I did not immediately understand the mixing of temperature and programs: grill, oven and conventional... and the chicken was not fried like in a convection oven. Then, little by little, at random, I figured out some of the subtleties in the operation of the cabinet. Today I decided for the first time wash it.. the light bulbs burn well in it, but I didn’t look closely at the splashes of fat... So far, only half of the fried food has been washed off the first time.   Moreover.. this is just in case: the zone separator itself was not in the closet, but under it. That is, when you open the box, there will be documents in the oven and baking sheets in the box. And the separator itself will lie under the cabinet in a box. It simply would not fit sideways into the closet. I was scared that it was not there and immediately called the service centers.. In general, I am happy with the cabinet, I just have to get used to it completely.  All functions described in the specification are present.</v>
      </c>
    </row>
    <row r="13904" spans="1:9" x14ac:dyDescent="0.3">
      <c r="A13904" s="1" t="s">
        <v>89</v>
      </c>
      <c r="B13904" s="1" t="s">
        <v>231</v>
      </c>
      <c r="C13904" s="1" t="s">
        <v>185</v>
      </c>
      <c r="D13904" s="1" t="s">
        <v>592</v>
      </c>
      <c r="E13904" s="1" t="s">
        <v>2759</v>
      </c>
      <c r="F13904" s="1" t="s">
        <v>19281</v>
      </c>
      <c r="G13904" s="1" t="s">
        <v>36</v>
      </c>
      <c r="H13904" s="1" t="s">
        <v>29</v>
      </c>
      <c r="I13904" s="1" t="str">
        <f ca="1">IFERROR(__xludf.DUMMYFUNCTION("GOOGLETRANSLATE(F13904, ""auto"", ""en"")
"),"Solid)")</f>
        <v>Solid)</v>
      </c>
    </row>
    <row r="13905" spans="1:9" x14ac:dyDescent="0.3">
      <c r="A13905" s="1" t="s">
        <v>211</v>
      </c>
      <c r="B13905" s="1" t="s">
        <v>212</v>
      </c>
      <c r="C13905" s="1" t="s">
        <v>381</v>
      </c>
      <c r="D13905" s="1" t="s">
        <v>2122</v>
      </c>
      <c r="E13905" s="1" t="s">
        <v>1129</v>
      </c>
      <c r="F13905" s="1" t="s">
        <v>19282</v>
      </c>
      <c r="G13905" s="1" t="s">
        <v>15</v>
      </c>
      <c r="H13905" s="1" t="s">
        <v>16</v>
      </c>
      <c r="I13905" s="1" t="str">
        <f ca="1">IFERROR(__xludf.DUMMYFUNCTION("GOOGLETRANSLATE(F13905, ""auto"", ""en"")
"),"This multistyler, in my opinion, lives up to its low price... Completely inconvenient to use... that's why I've already been burned twice... I advise you to buy a higher quality product...")</f>
        <v>This multistyler, in my opinion, lives up to its low price... Completely inconvenient to use... that's why I've already been burned twice... I advise you to buy a higher quality product...</v>
      </c>
    </row>
    <row r="13906" spans="1:9" x14ac:dyDescent="0.3">
      <c r="A13906" s="1" t="s">
        <v>105</v>
      </c>
      <c r="B13906" s="1" t="s">
        <v>106</v>
      </c>
      <c r="C13906" s="1" t="s">
        <v>1209</v>
      </c>
      <c r="D13906" s="1" t="s">
        <v>19283</v>
      </c>
      <c r="E13906" s="1" t="s">
        <v>2280</v>
      </c>
      <c r="F13906" s="1" t="s">
        <v>19284</v>
      </c>
      <c r="G13906" s="1" t="s">
        <v>36</v>
      </c>
      <c r="H13906" s="1" t="s">
        <v>29</v>
      </c>
      <c r="I13906" s="1" t="str">
        <f ca="1">IFERROR(__xludf.DUMMYFUNCTION("GOOGLETRANSLATE(F13906, ""auto"", ""en"")
"),"A wonderful player, everything is just super! I really liked the sensitive sensor, good headphones, I was pleased with the case.")</f>
        <v>A wonderful player, everything is just super! I really liked the sensitive sensor, good headphones, I was pleased with the case.</v>
      </c>
    </row>
    <row r="13907" spans="1:9" x14ac:dyDescent="0.3">
      <c r="A13907" s="1" t="s">
        <v>120</v>
      </c>
      <c r="B13907" s="1" t="s">
        <v>121</v>
      </c>
      <c r="C13907" s="1" t="s">
        <v>80</v>
      </c>
      <c r="D13907" s="1" t="s">
        <v>474</v>
      </c>
      <c r="E13907" s="1" t="s">
        <v>3527</v>
      </c>
      <c r="F13907" s="1" t="s">
        <v>19285</v>
      </c>
      <c r="G13907" s="1" t="s">
        <v>36</v>
      </c>
      <c r="H13907" s="1" t="s">
        <v>29</v>
      </c>
      <c r="I13907" s="1" t="str">
        <f ca="1">IFERROR(__xludf.DUMMYFUNCTION("GOOGLETRANSLATE(F13907, ""auto"", ""en"")
"),"We bought a TV today. The brightness is excellent, the image is quite clear, and the settings are easy to control.")</f>
        <v>We bought a TV today. The brightness is excellent, the image is quite clear, and the settings are easy to control.</v>
      </c>
    </row>
    <row r="13908" spans="1:9" x14ac:dyDescent="0.3">
      <c r="A13908" s="1" t="s">
        <v>557</v>
      </c>
      <c r="B13908" s="1" t="s">
        <v>558</v>
      </c>
      <c r="C13908" s="1" t="s">
        <v>816</v>
      </c>
      <c r="D13908" s="1" t="s">
        <v>280</v>
      </c>
      <c r="E13908" s="1" t="s">
        <v>19286</v>
      </c>
      <c r="F13908" s="1" t="s">
        <v>19287</v>
      </c>
      <c r="G13908" s="1" t="s">
        <v>36</v>
      </c>
      <c r="H13908" s="1" t="s">
        <v>29</v>
      </c>
      <c r="I13908" s="1" t="str">
        <f ca="1">IFERROR(__xludf.DUMMYFUNCTION("GOOGLETRANSLATE(F13908, ""auto"", ""en"")
"),"A very good phone with high sound quality and the number identification is very commendable - before this I bought a Siemens, it’s just terrible inside and out, but the Motorola is an excellent phone, take it and see for yourself!")</f>
        <v>A very good phone with high sound quality and the number identification is very commendable - before this I bought a Siemens, it’s just terrible inside and out, but the Motorola is an excellent phone, take it and see for yourself!</v>
      </c>
    </row>
    <row r="13909" spans="1:9" x14ac:dyDescent="0.3">
      <c r="A13909" s="1" t="s">
        <v>169</v>
      </c>
      <c r="B13909" s="1" t="s">
        <v>170</v>
      </c>
      <c r="C13909" s="1" t="s">
        <v>97</v>
      </c>
      <c r="D13909" s="1" t="s">
        <v>247</v>
      </c>
      <c r="E13909" s="1" t="s">
        <v>1931</v>
      </c>
      <c r="F13909" s="1" t="s">
        <v>19288</v>
      </c>
      <c r="G13909" s="1" t="s">
        <v>36</v>
      </c>
      <c r="H13909" s="1" t="s">
        <v>29</v>
      </c>
      <c r="I13909" s="1" t="str">
        <f ca="1">IFERROR(__xludf.DUMMYFUNCTION("GOOGLETRANSLATE(F13909, ""auto"", ""en"")
"),"Very cool headphones. They just broke after half a year, but I’m thinking of buying the same ones.")</f>
        <v>Very cool headphones. They just broke after half a year, but I’m thinking of buying the same ones.</v>
      </c>
    </row>
    <row r="13910" spans="1:9" x14ac:dyDescent="0.3">
      <c r="A13910" s="1" t="s">
        <v>2087</v>
      </c>
      <c r="B13910" s="1" t="s">
        <v>2088</v>
      </c>
      <c r="C13910" s="1" t="s">
        <v>80</v>
      </c>
      <c r="D13910" s="1" t="s">
        <v>9386</v>
      </c>
      <c r="E13910" s="1" t="s">
        <v>1228</v>
      </c>
      <c r="F13910" s="1" t="s">
        <v>19289</v>
      </c>
      <c r="G13910" s="1" t="s">
        <v>36</v>
      </c>
      <c r="H13910" s="1" t="s">
        <v>29</v>
      </c>
      <c r="I13910" s="1" t="str">
        <f ca="1">IFERROR(__xludf.DUMMYFUNCTION("GOOGLETRANSLATE(F13910, ""auto"", ""en"")
"),"I bought it recently. Reads everything (mkv too). From a flash drive, files up to 2Gb. Loads quickly. Connected to the Internet. No settings needed. It offers to update itself. Works with You Tube. The picture quality is excellent even on DVD. The menu is"&amp;" convenient. Overall I'm happy, it's worth the money.")</f>
        <v>I bought it recently. Reads everything (mkv too). From a flash drive, files up to 2Gb. Loads quickly. Connected to the Internet. No settings needed. It offers to update itself. Works with You Tube. The picture quality is excellent even on DVD. The menu is convenient. Overall I'm happy, it's worth the money.</v>
      </c>
    </row>
    <row r="13911" spans="1:9" x14ac:dyDescent="0.3">
      <c r="A13911" s="1" t="s">
        <v>30</v>
      </c>
      <c r="B13911" s="1" t="s">
        <v>50</v>
      </c>
      <c r="C13911" s="1" t="s">
        <v>32</v>
      </c>
      <c r="D13911" s="1" t="s">
        <v>4219</v>
      </c>
      <c r="E13911" s="1" t="s">
        <v>1245</v>
      </c>
      <c r="F13911" s="1" t="s">
        <v>19290</v>
      </c>
      <c r="G13911" s="1" t="s">
        <v>36</v>
      </c>
      <c r="H13911" s="1" t="s">
        <v>29</v>
      </c>
      <c r="I13911" s="1" t="str">
        <f ca="1">IFERROR(__xludf.DUMMYFUNCTION("GOOGLETRANSLATE(F13911, ""auto"", ""en"")
"),"Performance: Well, firstly, that’s what I bought it for: an 18"" display with a resolution of 1920*1080. A very comfortable, full-fledged backlit keyboard (at first I thought it was an unnecessary function, but.... now I’m sitting in the dark and the back"&amp;"light really helps me leave this review =). It practically doesn’t heat up, makes little noise (well, this is of course subjective, but it doesn’t bother me at all to sleep). Good sound quality, for a laptop, of course, not It is worthwhile to be deceived"&amp;" by the good quality of the assembly (4USB, E-SATA, HDMI, Fire-Wire). screen). applications, but on the other hand, for this money you can buy a more powerful machine. The Acer inscription under the screen is always highlighted, terribly annoying. The wei"&amp;"ght and dimensions of a laptop is a very controversial issue; for most people it is very large. Gloss is also a controversial point, many of my friends like it, but I would pay extra money if there was a model with a matte finish.   It's not a matter of a"&amp;"ppearance, but of practicality: gloss looks beautiful, but very quickly loses its presentation.   In general, I was pleased with the laptop, I don’t think I could have gotten anything better for the money.  The contrast matrix is ​​insufficient, and the a"&amp;"ngles could have been larger. Inconvenient touchpad (subjective for me).   Not the best port location. Just a HUGE power supply. A large amount of built-in and absolutely unnecessary software (including an antivirus sampler, a trial office, etc.).")</f>
        <v>Performance: Well, firstly, that’s what I bought it for: an 18" display with a resolution of 1920*1080. A very comfortable, full-fledged backlit keyboard (at first I thought it was an unnecessary function, but.... now I’m sitting in the dark and the backlight really helps me leave this review =). It practically doesn’t heat up, makes little noise (well, this is of course subjective, but it doesn’t bother me at all to sleep). Good sound quality, for a laptop, of course, not It is worthwhile to be deceived by the good quality of the assembly (4USB, E-SATA, HDMI, Fire-Wire). screen). applications, but on the other hand, for this money you can buy a more powerful machine. The Acer inscription under the screen is always highlighted, terribly annoying. The weight and dimensions of a laptop is a very controversial issue; for most people it is very large. Gloss is also a controversial point, many of my friends like it, but I would pay extra money if there was a model with a matte finish.   It's not a matter of appearance, but of practicality: gloss looks beautiful, but very quickly loses its presentation.   In general, I was pleased with the laptop, I don’t think I could have gotten anything better for the money.  The contrast matrix is ​​insufficient, and the angles could have been larger. Inconvenient touchpad (subjective for me).   Not the best port location. Just a HUGE power supply. A large amount of built-in and absolutely unnecessary software (including an antivirus sampler, a trial office, etc.).</v>
      </c>
    </row>
    <row r="13912" spans="1:9" x14ac:dyDescent="0.3">
      <c r="A13912" s="1" t="s">
        <v>37</v>
      </c>
      <c r="B13912" s="1" t="s">
        <v>38</v>
      </c>
      <c r="C13912" s="1" t="s">
        <v>39</v>
      </c>
      <c r="D13912" s="1" t="s">
        <v>1619</v>
      </c>
      <c r="E13912" s="1" t="s">
        <v>4327</v>
      </c>
      <c r="F13912" s="1" t="s">
        <v>19291</v>
      </c>
      <c r="G13912" s="1" t="s">
        <v>15</v>
      </c>
      <c r="H13912" s="1" t="s">
        <v>16</v>
      </c>
      <c r="I13912" s="1" t="str">
        <f ca="1">IFERROR(__xludf.DUMMYFUNCTION("GOOGLETRANSLATE(F13912, ""auto"", ""en"")
"),"The phone is so-so...it doesn’t understand Java via bluetooth...there’s no mega-bass...it’s also a Wolfman for me...and in general it’s kind of plush..")</f>
        <v>The phone is so-so...it doesn’t understand Java via bluetooth...there’s no mega-bass...it’s also a Wolfman for me...and in general it’s kind of plush..</v>
      </c>
    </row>
    <row r="13913" spans="1:9" x14ac:dyDescent="0.3">
      <c r="A13913" s="1" t="s">
        <v>17</v>
      </c>
      <c r="B13913" s="1" t="s">
        <v>18</v>
      </c>
      <c r="C13913" s="1" t="s">
        <v>19</v>
      </c>
      <c r="D13913" s="1" t="s">
        <v>139</v>
      </c>
      <c r="E13913" s="1" t="s">
        <v>1225</v>
      </c>
      <c r="F13913" s="1" t="s">
        <v>19292</v>
      </c>
      <c r="G13913" s="1" t="s">
        <v>36</v>
      </c>
      <c r="H13913" s="1" t="s">
        <v>29</v>
      </c>
      <c r="I13913" s="1" t="str">
        <f ca="1">IFERROR(__xludf.DUMMYFUNCTION("GOOGLETRANSLATE(F13913, ""auto"", ""en"")
"),"We are very pleased with the machine! Compared to the Samsung we had, it’s heaven and earth, it washes quietly (you can only hear the water being poured in and the spin cycle), it doesn’t jump, there are a lot of functions!")</f>
        <v>We are very pleased with the machine! Compared to the Samsung we had, it’s heaven and earth, it washes quietly (you can only hear the water being poured in and the spin cycle), it doesn’t jump, there are a lot of functions!</v>
      </c>
    </row>
    <row r="13914" spans="1:9" x14ac:dyDescent="0.3">
      <c r="A13914" s="1" t="s">
        <v>61</v>
      </c>
      <c r="B13914" s="1" t="s">
        <v>180</v>
      </c>
      <c r="C13914" s="1" t="s">
        <v>85</v>
      </c>
      <c r="D13914" s="1" t="s">
        <v>208</v>
      </c>
      <c r="E13914" s="1" t="s">
        <v>1484</v>
      </c>
      <c r="F13914" s="1" t="s">
        <v>19293</v>
      </c>
      <c r="G13914" s="1" t="s">
        <v>49</v>
      </c>
      <c r="H13914" s="1" t="s">
        <v>16</v>
      </c>
      <c r="I13914" s="1" t="str">
        <f ca="1">IFERROR(__xludf.DUMMYFUNCTION("GOOGLETRANSLATE(F13914, ""auto"", ""en"")
"),"One month of work - the electronics flew. None of my acquaintances' Bork equipment worked for more than a year (Beautiful and expensive equipment - but the quality is the worst in China. I didn't buy it myself - it was given as a gift.")</f>
        <v>One month of work - the electronics flew. None of my acquaintances' Bork equipment worked for more than a year (Beautiful and expensive equipment - but the quality is the worst in China. I didn't buy it myself - it was given as a gift.</v>
      </c>
    </row>
    <row r="13915" spans="1:9" x14ac:dyDescent="0.3">
      <c r="A13915" s="1" t="s">
        <v>169</v>
      </c>
      <c r="B13915" s="1" t="s">
        <v>170</v>
      </c>
      <c r="C13915" s="1" t="s">
        <v>69</v>
      </c>
      <c r="D13915" s="1" t="s">
        <v>1431</v>
      </c>
      <c r="E13915" s="1" t="s">
        <v>2815</v>
      </c>
      <c r="F13915" s="1" t="s">
        <v>19294</v>
      </c>
      <c r="G13915" s="1" t="s">
        <v>28</v>
      </c>
      <c r="H13915" s="1" t="s">
        <v>29</v>
      </c>
      <c r="I13915" s="1" t="str">
        <f ca="1">IFERROR(__xludf.DUMMYFUNCTION("GOOGLETRANSLATE(F13915, ""auto"", ""en"")
"),"Gentlemen, don't buy headphones without listening to them. Personally, I wanted to buy inexpensive headphones to use at home mainly for gaming and listening to music on my laptop. I listened to these ears on the spot, Philips SHP2000 and some sunhaisers a"&amp;"t a price of about 1000 rubles. as a result: sunheisers have a good sound, although slightly “embellished” (does not spoil the pictures), which is noticeable. But I brushed them aside, because my rather large but delicate ears were pressing mercilessly. N"&amp;"ot to mention the fact that I definitely couldn’t stand wearing them for several hours. Philips turned out to be much better in terms of convenience. 2700 at a price almost 2 times more expensive than 2000 Phillips. The sound is definitely not 2 times bet"&amp;"ter. So I advise you to just listen to guitar and something bass on both of these models. If you hear the difference and want 2700, then take them. I did just that. Very pleased with the purchase.")</f>
        <v>Gentlemen, don't buy headphones without listening to them. Personally, I wanted to buy inexpensive headphones to use at home mainly for gaming and listening to music on my laptop. I listened to these ears on the spot, Philips SHP2000 and some sunhaisers at a price of about 1000 rubles. as a result: sunheisers have a good sound, although slightly “embellished” (does not spoil the pictures), which is noticeable. But I brushed them aside, because my rather large but delicate ears were pressing mercilessly. Not to mention the fact that I definitely couldn’t stand wearing them for several hours. Philips turned out to be much better in terms of convenience. 2700 at a price almost 2 times more expensive than 2000 Phillips. The sound is definitely not 2 times better. So I advise you to just listen to guitar and something bass on both of these models. If you hear the difference and want 2700, then take them. I did just that. Very pleased with the purchase.</v>
      </c>
    </row>
    <row r="13916" spans="1:9" x14ac:dyDescent="0.3">
      <c r="A13916" s="1" t="s">
        <v>67</v>
      </c>
      <c r="B13916" s="1" t="s">
        <v>68</v>
      </c>
      <c r="C13916" s="1" t="s">
        <v>69</v>
      </c>
      <c r="D13916" s="1" t="s">
        <v>19295</v>
      </c>
      <c r="E13916" s="1" t="s">
        <v>4844</v>
      </c>
      <c r="F13916" s="1" t="s">
        <v>19296</v>
      </c>
      <c r="G13916" s="1" t="s">
        <v>36</v>
      </c>
      <c r="H13916" s="1" t="s">
        <v>29</v>
      </c>
      <c r="I13916" s="1" t="str">
        <f ca="1">IFERROR(__xludf.DUMMYFUNCTION("GOOGLETRANSLATE(F13916, ""auto"", ""en"")
"),"steams well and is easy to clean, nothing sticks to the sole")</f>
        <v>steams well and is easy to clean, nothing sticks to the sole</v>
      </c>
    </row>
    <row r="13917" spans="1:9" x14ac:dyDescent="0.3">
      <c r="A13917" s="1" t="s">
        <v>519</v>
      </c>
      <c r="B13917" s="1" t="s">
        <v>3088</v>
      </c>
      <c r="C13917" s="1" t="s">
        <v>246</v>
      </c>
      <c r="D13917" s="1" t="s">
        <v>19297</v>
      </c>
      <c r="E13917" s="1" t="s">
        <v>822</v>
      </c>
      <c r="F13917" s="1" t="s">
        <v>19298</v>
      </c>
      <c r="G13917" s="1" t="s">
        <v>36</v>
      </c>
      <c r="H13917" s="1" t="s">
        <v>29</v>
      </c>
      <c r="I13917" s="1" t="str">
        <f ca="1">IFERROR(__xludf.DUMMYFUNCTION("GOOGLETRANSLATE(F13917, ""auto"", ""en"")
"),"I purchased this set about 8 years ago at a fabulous price by the standards of that time. If I'm not mistaken, I gave 1600.00. Just last year, 1 frying pan failed, and the second one is still alive, but it is also starting to burn. I'm delighted with the "&amp;"set!!! Not every coated frying pan can withstand so many years of merciless use! I didn’t use special spatulas, I stirred with iron ones. The only negative: it is difficult to wash off the carbon deposits from the outside, from the enamel. I'm planning to"&amp;" buy the same set. I advise all housewives not to waste money and buy it: you will never regret it!!!")</f>
        <v>I purchased this set about 8 years ago at a fabulous price by the standards of that time. If I'm not mistaken, I gave 1600.00. Just last year, 1 frying pan failed, and the second one is still alive, but it is also starting to burn. I'm delighted with the set!!! Not every coated frying pan can withstand so many years of merciless use! I didn’t use special spatulas, I stirred with iron ones. The only negative: it is difficult to wash off the carbon deposits from the outside, from the enamel. I'm planning to buy the same set. I advise all housewives not to waste money and buy it: you will never regret it!!!</v>
      </c>
    </row>
    <row r="13918" spans="1:9" x14ac:dyDescent="0.3">
      <c r="A13918" s="1" t="s">
        <v>211</v>
      </c>
      <c r="B13918" s="1" t="s">
        <v>856</v>
      </c>
      <c r="C13918" s="1" t="s">
        <v>101</v>
      </c>
      <c r="D13918" s="1" t="s">
        <v>653</v>
      </c>
      <c r="E13918" s="1" t="s">
        <v>167</v>
      </c>
      <c r="F13918" s="1" t="s">
        <v>19299</v>
      </c>
      <c r="G13918" s="1" t="s">
        <v>36</v>
      </c>
      <c r="H13918" s="1" t="s">
        <v>29</v>
      </c>
      <c r="I13918" s="1" t="str">
        <f ca="1">IFERROR(__xludf.DUMMYFUNCTION("GOOGLETRANSLATE(F13918, ""auto"", ""en"")
"),"They gave me such a set for last New Year, I actively used it all this time, forced my husband to use it. And this year I bought some for gifts myself - not because it’s cheap, but because it’s really functional. Of course, there are no professional attac"&amp;"hments, the power is not particularly high, but for the home, and to save a manicure between trips to the specialist, it is very useful!")</f>
        <v>They gave me such a set for last New Year, I actively used it all this time, forced my husband to use it. And this year I bought some for gifts myself - not because it’s cheap, but because it’s really functional. Of course, there are no professional attachments, the power is not particularly high, but for the home, and to save a manicure between trips to the specialist, it is very useful!</v>
      </c>
    </row>
    <row r="13919" spans="1:9" x14ac:dyDescent="0.3">
      <c r="A13919" s="1" t="s">
        <v>149</v>
      </c>
      <c r="B13919" s="1" t="s">
        <v>155</v>
      </c>
      <c r="C13919" s="1" t="s">
        <v>63</v>
      </c>
      <c r="D13919" s="1" t="s">
        <v>247</v>
      </c>
      <c r="E13919" s="1" t="s">
        <v>1875</v>
      </c>
      <c r="F13919" s="1" t="s">
        <v>19300</v>
      </c>
      <c r="G13919" s="1" t="s">
        <v>36</v>
      </c>
      <c r="H13919" s="1" t="s">
        <v>29</v>
      </c>
      <c r="I13919" s="1" t="str">
        <f ca="1">IFERROR(__xludf.DUMMYFUNCTION("GOOGLETRANSLATE(F13919, ""auto"", ""en"")
"),"Very pleased with this purchase. The vacuum cleaner absorbs dust well, can work quietly, the Menalux bag is not small at all, for me there is one minus - it is a heavy device, but it works incredibly well. And also this branded plastic from Bosch! The thi"&amp;"ng is worthy.")</f>
        <v>Very pleased with this purchase. The vacuum cleaner absorbs dust well, can work quietly, the Menalux bag is not small at all, for me there is one minus - it is a heavy device, but it works incredibly well. And also this branded plastic from Bosch! The thing is worthy.</v>
      </c>
    </row>
    <row r="13920" spans="1:9" x14ac:dyDescent="0.3">
      <c r="A13920" s="1" t="s">
        <v>37</v>
      </c>
      <c r="B13920" s="1" t="s">
        <v>38</v>
      </c>
      <c r="C13920" s="1" t="s">
        <v>39</v>
      </c>
      <c r="D13920" s="1" t="s">
        <v>308</v>
      </c>
      <c r="E13920" s="1" t="s">
        <v>3219</v>
      </c>
      <c r="F13920" s="1" t="s">
        <v>19301</v>
      </c>
      <c r="G13920" s="1" t="s">
        <v>49</v>
      </c>
      <c r="H13920" s="1" t="s">
        <v>16</v>
      </c>
      <c r="I13920" s="1" t="str">
        <f ca="1">IFERROR(__xludf.DUMMYFUNCTION("GOOGLETRANSLATE(F13920, ""auto"", ""en"")
"),"The phone is so-so, gesture controls don’t always work...")</f>
        <v>The phone is so-so, gesture controls don’t always work...</v>
      </c>
    </row>
    <row r="13921" spans="1:9" x14ac:dyDescent="0.3">
      <c r="A13921" s="1" t="s">
        <v>43</v>
      </c>
      <c r="B13921" s="1" t="s">
        <v>334</v>
      </c>
      <c r="C13921" s="1" t="s">
        <v>101</v>
      </c>
      <c r="D13921" s="1" t="s">
        <v>186</v>
      </c>
      <c r="E13921" s="1" t="s">
        <v>395</v>
      </c>
      <c r="F13921" s="1" t="s">
        <v>19302</v>
      </c>
      <c r="G13921" s="1" t="s">
        <v>49</v>
      </c>
      <c r="H13921" s="1" t="s">
        <v>16</v>
      </c>
      <c r="I13921" s="1" t="str">
        <f ca="1">IFERROR(__xludf.DUMMYFUNCTION("GOOGLETRANSLATE(F13921, ""auto"", ""en"")
"),"This fan worked for 12 days. Tomorrow June 16, 2011 I’m going to take it to the store on the People’s Militia")</f>
        <v>This fan worked for 12 days. Tomorrow June 16, 2011 I’m going to take it to the store on the People’s Militia</v>
      </c>
    </row>
    <row r="13922" spans="1:9" x14ac:dyDescent="0.3">
      <c r="A13922" s="1" t="s">
        <v>369</v>
      </c>
      <c r="B13922" s="1" t="s">
        <v>370</v>
      </c>
      <c r="C13922" s="1" t="s">
        <v>588</v>
      </c>
      <c r="D13922" s="1" t="s">
        <v>8908</v>
      </c>
      <c r="E13922" s="1" t="s">
        <v>1718</v>
      </c>
      <c r="F13922" s="1" t="s">
        <v>19303</v>
      </c>
      <c r="G13922" s="1" t="s">
        <v>36</v>
      </c>
      <c r="H13922" s="1" t="s">
        <v>29</v>
      </c>
      <c r="I13922" s="1" t="str">
        <f ca="1">IFERROR(__xludf.DUMMYFUNCTION("GOOGLETRANSLATE(F13922, ""auto"", ""en"")
"),"This is my second year using a Hansa stove, and I also have a hood of the same model. I am very pleased with the quality of the equipment! Reliable. I really like the glass ceramics, this model lasts a long time, after cooking you just need to wipe it wit"&amp;"h a cloth and there are no streaks, no cracking. Heats up quickly, I prefer to heat it on the stove rather than in the microwave. I use the oven, mostly chicken cards) it turns out very tasty, it doesn’t happen that the crust is burnt and the inside is da"&amp;"mp. I advise you to pay attention to this manufacturer. Verified.")</f>
        <v>This is my second year using a Hansa stove, and I also have a hood of the same model. I am very pleased with the quality of the equipment! Reliable. I really like the glass ceramics, this model lasts a long time, after cooking you just need to wipe it with a cloth and there are no streaks, no cracking. Heats up quickly, I prefer to heat it on the stove rather than in the microwave. I use the oven, mostly chicken cards) it turns out very tasty, it doesn’t happen that the crust is burnt and the inside is damp. I advise you to pay attention to this manufacturer. Verified.</v>
      </c>
    </row>
    <row r="13923" spans="1:9" x14ac:dyDescent="0.3">
      <c r="A13923" s="1" t="s">
        <v>811</v>
      </c>
      <c r="B13923" s="1" t="s">
        <v>4226</v>
      </c>
      <c r="C13923" s="1" t="s">
        <v>122</v>
      </c>
      <c r="D13923" s="1" t="s">
        <v>19304</v>
      </c>
      <c r="E13923" s="1" t="s">
        <v>2459</v>
      </c>
      <c r="F13923" s="1" t="s">
        <v>19305</v>
      </c>
      <c r="G13923" s="1" t="s">
        <v>36</v>
      </c>
      <c r="H13923" s="1" t="s">
        <v>29</v>
      </c>
      <c r="I13923" s="1" t="str">
        <f ca="1">IFERROR(__xludf.DUMMYFUNCTION("GOOGLETRANSLATE(F13923, ""auto"", ""en"")
"),"Battery for a reasonable price. It may be scary at first that it is made in China, but in fact this does not negatively affect the quality. When charging, it does not swell and does not heat up to terrible temperatures. The capacity is normal, suitable fo"&amp;"r a couple of hours of shooting. It doesn't discharge mega quickly.")</f>
        <v>Battery for a reasonable price. It may be scary at first that it is made in China, but in fact this does not negatively affect the quality. When charging, it does not swell and does not heat up to terrible temperatures. The capacity is normal, suitable for a couple of hours of shooting. It doesn't discharge mega quickly.</v>
      </c>
    </row>
    <row r="13924" spans="1:9" x14ac:dyDescent="0.3">
      <c r="A13924" s="1" t="s">
        <v>9</v>
      </c>
      <c r="B13924" s="1" t="s">
        <v>133</v>
      </c>
      <c r="C13924" s="1" t="s">
        <v>151</v>
      </c>
      <c r="D13924" s="1" t="s">
        <v>247</v>
      </c>
      <c r="E13924" s="1" t="s">
        <v>4563</v>
      </c>
      <c r="F13924" s="1" t="s">
        <v>19306</v>
      </c>
      <c r="G13924" s="1" t="s">
        <v>36</v>
      </c>
      <c r="H13924" s="1" t="s">
        <v>29</v>
      </c>
      <c r="I13924" s="1" t="str">
        <f ca="1">IFERROR(__xludf.DUMMYFUNCTION("GOOGLETRANSLATE(F13924, ""auto"", ""en"")
"),"I have long dreamed of a built-in oven, I am very glad that my choice fell on this model. First of all, very beautiful! Secondly, and most importantly, it’s convenient! What is convenience? The most important thing is the recessed buttons (this is a big p"&amp;"lus, because when you cook and open the oven, grease, etc., gets onto the buttons along with the steam, but this does not happen here). The kit includes two baking sheets, unlike other models (I didn’t even consider those models that included one baking s"&amp;"heet). Two telescopic guides also added their plus. I usually have a slight stupor before new technology, but this model has very accessible controls, I easily coped with everything and got used to it. So far I haven't seen any downsides. I recommend it t"&amp;"o everyone! If I were given the choice again, I would choose this model again.")</f>
        <v>I have long dreamed of a built-in oven, I am very glad that my choice fell on this model. First of all, very beautiful! Secondly, and most importantly, it’s convenient! What is convenience? The most important thing is the recessed buttons (this is a big plus, because when you cook and open the oven, grease, etc., gets onto the buttons along with the steam, but this does not happen here). The kit includes two baking sheets, unlike other models (I didn’t even consider those models that included one baking sheet). Two telescopic guides also added their plus. I usually have a slight stupor before new technology, but this model has very accessible controls, I easily coped with everything and got used to it. So far I haven't seen any downsides. I recommend it to everyone! If I were given the choice again, I would choose this model again.</v>
      </c>
    </row>
    <row r="13925" spans="1:9" x14ac:dyDescent="0.3">
      <c r="A13925" s="1" t="s">
        <v>61</v>
      </c>
      <c r="B13925" s="1" t="s">
        <v>73</v>
      </c>
      <c r="C13925" s="1" t="s">
        <v>146</v>
      </c>
      <c r="D13925" s="1" t="s">
        <v>16791</v>
      </c>
      <c r="E13925" s="1" t="s">
        <v>6357</v>
      </c>
      <c r="F13925" s="1" t="s">
        <v>19307</v>
      </c>
      <c r="G13925" s="1" t="s">
        <v>1580</v>
      </c>
      <c r="H13925" s="1" t="s">
        <v>29</v>
      </c>
      <c r="I13925" s="1" t="str">
        <f ca="1">IFERROR(__xludf.DUMMYFUNCTION("GOOGLETRANSLATE(F13925, ""auto"", ""en"")
"),"The car is BEAST!!! Everything flies")</f>
        <v>The car is BEAST!!! Everything flies</v>
      </c>
    </row>
    <row r="13926" spans="1:9" x14ac:dyDescent="0.3">
      <c r="A13926" s="1" t="s">
        <v>30</v>
      </c>
      <c r="B13926" s="1" t="s">
        <v>50</v>
      </c>
      <c r="C13926" s="1" t="s">
        <v>151</v>
      </c>
      <c r="D13926" s="1" t="s">
        <v>33</v>
      </c>
      <c r="E13926" s="1" t="s">
        <v>4578</v>
      </c>
      <c r="F13926" s="1" t="s">
        <v>19308</v>
      </c>
      <c r="G13926" s="1" t="s">
        <v>36</v>
      </c>
      <c r="H13926" s="1" t="s">
        <v>29</v>
      </c>
      <c r="I13926" s="1" t="str">
        <f ca="1">IFERROR(__xludf.DUMMYFUNCTION("GOOGLETRANSLATE(F13926, ""auto"", ""en"")
"),"The beech is normal for both games and work, it doesn’t buggy!!!! It’s been almost a year now and everything is ok. So take it, you won’t regret it!!")</f>
        <v>The beech is normal for both games and work, it doesn’t buggy!!!! It’s been almost a year now and everything is ok. So take it, you won’t regret it!!</v>
      </c>
    </row>
    <row r="13927" spans="1:9" x14ac:dyDescent="0.3">
      <c r="A13927" s="1" t="s">
        <v>17</v>
      </c>
      <c r="B13927" s="1" t="s">
        <v>18</v>
      </c>
      <c r="C13927" s="1" t="s">
        <v>159</v>
      </c>
      <c r="D13927" s="1" t="s">
        <v>682</v>
      </c>
      <c r="E13927" s="1" t="s">
        <v>285</v>
      </c>
      <c r="F13927" s="1" t="s">
        <v>19309</v>
      </c>
      <c r="G13927" s="1" t="s">
        <v>49</v>
      </c>
      <c r="H13927" s="1" t="s">
        <v>16</v>
      </c>
      <c r="I13927" s="1" t="str">
        <f ca="1">IFERROR(__xludf.DUMMYFUNCTION("GOOGLETRANSLATE(F13927, ""auto"", ""en"")
"),"Problems immediately arose, she lives her own life. All the buttons on the display are blinking, although I launch it completely according to the instructions, I’m already starting to doubt my intelligence. Actually, I'm not blonde. I'll call a technician"&amp;" tomorrow. I hope to tame her!?")</f>
        <v>Problems immediately arose, she lives her own life. All the buttons on the display are blinking, although I launch it completely according to the instructions, I’m already starting to doubt my intelligence. Actually, I'm not blonde. I'll call a technician tomorrow. I hope to tame her!?</v>
      </c>
    </row>
    <row r="13928" spans="1:9" x14ac:dyDescent="0.3">
      <c r="A13928" s="1" t="s">
        <v>37</v>
      </c>
      <c r="B13928" s="1" t="s">
        <v>38</v>
      </c>
      <c r="C13928" s="1" t="s">
        <v>69</v>
      </c>
      <c r="D13928" s="1" t="s">
        <v>232</v>
      </c>
      <c r="E13928" s="1" t="s">
        <v>734</v>
      </c>
      <c r="F13928" s="1" t="s">
        <v>19310</v>
      </c>
      <c r="G13928" s="1" t="s">
        <v>28</v>
      </c>
      <c r="H13928" s="1" t="s">
        <v>29</v>
      </c>
      <c r="I13928" s="1" t="str">
        <f ca="1">IFERROR(__xludf.DUMMYFUNCTION("GOOGLETRANSLATE(F13928, ""auto"", ""en"")
"),"All games run, read the instructions carefully: it says for dummies, you need the .JAR .JAD format together. A phone for men who need a strict design and a long-lasting battery.")</f>
        <v>All games run, read the instructions carefully: it says for dummies, you need the .JAR .JAD format together. A phone for men who need a strict design and a long-lasting battery.</v>
      </c>
    </row>
    <row r="13929" spans="1:9" x14ac:dyDescent="0.3">
      <c r="A13929" s="1" t="s">
        <v>169</v>
      </c>
      <c r="B13929" s="1" t="s">
        <v>170</v>
      </c>
      <c r="C13929" s="1" t="s">
        <v>97</v>
      </c>
      <c r="D13929" s="1" t="s">
        <v>152</v>
      </c>
      <c r="E13929" s="1" t="s">
        <v>1553</v>
      </c>
      <c r="F13929" s="1" t="s">
        <v>19311</v>
      </c>
      <c r="G13929" s="1" t="s">
        <v>36</v>
      </c>
      <c r="H13929" s="1" t="s">
        <v>29</v>
      </c>
      <c r="I13929" s="1" t="str">
        <f ca="1">IFERROR(__xludf.DUMMYFUNCTION("GOOGLETRANSLATE(F13929, ""auto"", ""en"")
"),"I've been using it for a couple of months. The headphones are good, sound level 4, comfortable. Good price-quality option.")</f>
        <v>I've been using it for a couple of months. The headphones are good, sound level 4, comfortable. Good price-quality option.</v>
      </c>
    </row>
    <row r="13930" spans="1:9" x14ac:dyDescent="0.3">
      <c r="A13930" s="1" t="s">
        <v>61</v>
      </c>
      <c r="B13930" s="1" t="s">
        <v>318</v>
      </c>
      <c r="C13930" s="1" t="s">
        <v>63</v>
      </c>
      <c r="D13930" s="1" t="s">
        <v>521</v>
      </c>
      <c r="E13930" s="1" t="s">
        <v>1441</v>
      </c>
      <c r="F13930" s="1" t="s">
        <v>19312</v>
      </c>
      <c r="G13930" s="1" t="s">
        <v>28</v>
      </c>
      <c r="H13930" s="1" t="s">
        <v>29</v>
      </c>
      <c r="I13930" s="1" t="str">
        <f ca="1">IFERROR(__xludf.DUMMYFUNCTION("GOOGLETRANSLATE(F13930, ""auto"", ""en"")
"),"I have been using the kettle for several months. I like the design. When it boils, the lid fogs up (not critical for me). Time will tell how long the kettle will work.")</f>
        <v>I have been using the kettle for several months. I like the design. When it boils, the lid fogs up (not critical for me). Time will tell how long the kettle will work.</v>
      </c>
    </row>
    <row r="13931" spans="1:9" x14ac:dyDescent="0.3">
      <c r="A13931" s="1" t="s">
        <v>105</v>
      </c>
      <c r="B13931" s="1" t="s">
        <v>106</v>
      </c>
      <c r="C13931" s="1" t="s">
        <v>1209</v>
      </c>
      <c r="D13931" s="1" t="s">
        <v>19313</v>
      </c>
      <c r="E13931" s="1" t="s">
        <v>201</v>
      </c>
      <c r="F13931" s="1" t="s">
        <v>19314</v>
      </c>
      <c r="G13931" s="1" t="s">
        <v>36</v>
      </c>
      <c r="H13931" s="1" t="s">
        <v>29</v>
      </c>
      <c r="I13931" s="1" t="str">
        <f ca="1">IFERROR(__xludf.DUMMYFUNCTION("GOOGLETRANSLATE(F13931, ""auto"", ""en"")
"),"Great player!")</f>
        <v>Great player!</v>
      </c>
    </row>
    <row r="13932" spans="1:9" x14ac:dyDescent="0.3">
      <c r="A13932" s="1" t="s">
        <v>111</v>
      </c>
      <c r="B13932" s="1" t="s">
        <v>298</v>
      </c>
      <c r="C13932" s="1" t="s">
        <v>299</v>
      </c>
      <c r="D13932" s="1" t="s">
        <v>64</v>
      </c>
      <c r="E13932" s="1" t="s">
        <v>1048</v>
      </c>
      <c r="F13932" s="1" t="s">
        <v>19315</v>
      </c>
      <c r="G13932" s="1" t="s">
        <v>36</v>
      </c>
      <c r="H13932" s="1" t="s">
        <v>29</v>
      </c>
      <c r="I13932" s="1" t="str">
        <f ca="1">IFERROR(__xludf.DUMMYFUNCTION("GOOGLETRANSLATE(F13932, ""auto"", ""en"")
"),"I got my feet wet while getting to work.  I bought this device and by the end of the working day the shoes were completely dry.")</f>
        <v>I got my feet wet while getting to work.  I bought this device and by the end of the working day the shoes were completely dry.</v>
      </c>
    </row>
    <row r="13933" spans="1:9" x14ac:dyDescent="0.3">
      <c r="A13933" s="1" t="s">
        <v>17</v>
      </c>
      <c r="B13933" s="1" t="s">
        <v>18</v>
      </c>
      <c r="C13933" s="1" t="s">
        <v>80</v>
      </c>
      <c r="D13933" s="1" t="s">
        <v>568</v>
      </c>
      <c r="E13933" s="1" t="s">
        <v>4578</v>
      </c>
      <c r="F13933" s="1" t="s">
        <v>19316</v>
      </c>
      <c r="G13933" s="1" t="s">
        <v>36</v>
      </c>
      <c r="H13933" s="1" t="s">
        <v>29</v>
      </c>
      <c r="I13933" s="1" t="str">
        <f ca="1">IFERROR(__xludf.DUMMYFUNCTION("GOOGLETRANSLATE(F13933, ""auto"", ""en"")
"),"An excellent machine, we bought it here about a month ago, installed it right away, and didn’t forget to unscrew the transport bolts, which many people forget to do)) It works quietly, erases brutally, there is almost no vibration, everything blinks like "&amp;"a computer)) Before that, there was Ariston, about ten years old, she happily died of old age. During the spin cycle, I kept trying to jump around the bathtub like a mountain goat.  The only thing that is not yet clear is the reliability, some conclusions"&amp;" can be drawn at least in a couple of years)) PS Delivery was right on time, all the papers are in place, well done)")</f>
        <v>An excellent machine, we bought it here about a month ago, installed it right away, and didn’t forget to unscrew the transport bolts, which many people forget to do)) It works quietly, erases brutally, there is almost no vibration, everything blinks like a computer)) Before that, there was Ariston, about ten years old, she happily died of old age. During the spin cycle, I kept trying to jump around the bathtub like a mountain goat.  The only thing that is not yet clear is the reliability, some conclusions can be drawn at least in a couple of years)) PS Delivery was right on time, all the papers are in place, well done)</v>
      </c>
    </row>
    <row r="13934" spans="1:9" x14ac:dyDescent="0.3">
      <c r="A13934" s="1" t="s">
        <v>1443</v>
      </c>
      <c r="B13934" s="1" t="s">
        <v>1444</v>
      </c>
      <c r="C13934" s="1" t="s">
        <v>1489</v>
      </c>
      <c r="D13934" s="1" t="s">
        <v>3670</v>
      </c>
      <c r="E13934" s="1" t="s">
        <v>4875</v>
      </c>
      <c r="F13934" s="1" t="s">
        <v>19317</v>
      </c>
      <c r="G13934" s="1" t="s">
        <v>36</v>
      </c>
      <c r="H13934" s="1" t="s">
        <v>29</v>
      </c>
      <c r="I13934" s="1" t="str">
        <f ca="1">IFERROR(__xludf.DUMMYFUNCTION("GOOGLETRANSLATE(F13934, ""auto"", ""en"")
"),"A good flash drive, convenient, reliable, beautiful. The speed is decent. The connector is retractable, there is no cap, which is good))")</f>
        <v>A good flash drive, convenient, reliable, beautiful. The speed is decent. The connector is retractable, there is no cap, which is good))</v>
      </c>
    </row>
    <row r="13935" spans="1:9" x14ac:dyDescent="0.3">
      <c r="A13935" s="1" t="s">
        <v>105</v>
      </c>
      <c r="B13935" s="1" t="s">
        <v>106</v>
      </c>
      <c r="C13935" s="1" t="s">
        <v>151</v>
      </c>
      <c r="D13935" s="1" t="s">
        <v>335</v>
      </c>
      <c r="E13935" s="1" t="s">
        <v>643</v>
      </c>
      <c r="F13935" s="1" t="s">
        <v>19318</v>
      </c>
      <c r="G13935" s="1" t="s">
        <v>36</v>
      </c>
      <c r="H13935" s="1" t="s">
        <v>29</v>
      </c>
      <c r="I13935" s="1" t="str">
        <f ca="1">IFERROR(__xludf.DUMMYFUNCTION("GOOGLETRANSLATE(F13935, ""auto"", ""en"")
"),"The player has a comfortable shape and fits well in the hand. The edges are trimmed with metal for durability, which will protect you from unnecessary rubbing in pockets and bags. Touch control with blue backlight is convenient. The “buttons” are convenie"&amp;"ntly located; it is almost impossible to accidentally press several “buttons” with your finger.  The main menu is in English, but it doesn’t interfere at all. menu sub-items are Russified.  Nice color design, animated with sound.    It’s especially nice t"&amp;"hat in the player itself, in a separate folder, there is software for it; installing it on your computer solves problems with finding all sorts of things for conversion.  The software is Russian-language, the interface is accessible to everyone.  videos a"&amp;"re converted quickly. The player reads without problems.    reads txt files. very nice design under parchment for reading. It is possible to read a book/watch pictures with music/radio at the same time.    The sound is good even with standard headphones. "&amp;"It was not possible to check the maximum volume - it hits the ears already halfway through.    In the settings you can turn off the sound and adjust the brightness of the display, which will help save battery.    The radio picks up well.   automatically d"&amp;"etects the genre of music.    It gets along with the computer without any problems. does not hang while transferring files.    there are built-in games. quite fascinating.    One of the minor inconveniences: the lock button in your pocket may well turn on"&amp;"/off by itself. It would be more convenient if there was a ""latch"".  The cable connector to the player has ""teeth"". I know from experience that such a cable loosens and scratches the input.    ______________________ cost low rating 5")</f>
        <v>The player has a comfortable shape and fits well in the hand. The edges are trimmed with metal for durability, which will protect you from unnecessary rubbing in pockets and bags. Touch control with blue backlight is convenient. The “buttons” are conveniently located; it is almost impossible to accidentally press several “buttons” with your finger.  The main menu is in English, but it doesn’t interfere at all. menu sub-items are Russified.  Nice color design, animated with sound.    It’s especially nice that in the player itself, in a separate folder, there is software for it; installing it on your computer solves problems with finding all sorts of things for conversion.  The software is Russian-language, the interface is accessible to everyone.  videos are converted quickly. The player reads without problems.    reads txt files. very nice design under parchment for reading. It is possible to read a book/watch pictures with music/radio at the same time.    The sound is good even with standard headphones. It was not possible to check the maximum volume - it hits the ears already halfway through.    In the settings you can turn off the sound and adjust the brightness of the display, which will help save battery.    The radio picks up well.   automatically detects the genre of music.    It gets along with the computer without any problems. does not hang while transferring files.    there are built-in games. quite fascinating.    One of the minor inconveniences: the lock button in your pocket may well turn on/off by itself. It would be more convenient if there was a "latch".  The cable connector to the player has "teeth". I know from experience that such a cable loosens and scratches the input.    ______________________ cost low rating 5</v>
      </c>
    </row>
    <row r="13936" spans="1:9" x14ac:dyDescent="0.3">
      <c r="A13936" s="1" t="s">
        <v>169</v>
      </c>
      <c r="B13936" s="1" t="s">
        <v>170</v>
      </c>
      <c r="C13936" s="1" t="s">
        <v>122</v>
      </c>
      <c r="D13936" s="1" t="s">
        <v>589</v>
      </c>
      <c r="E13936" s="1" t="s">
        <v>2308</v>
      </c>
      <c r="F13936" s="1" t="s">
        <v>19319</v>
      </c>
      <c r="G13936" s="1" t="s">
        <v>15</v>
      </c>
      <c r="H13936" s="1" t="s">
        <v>16</v>
      </c>
      <c r="I13936" s="1" t="str">
        <f ca="1">IFERROR(__xludf.DUMMYFUNCTION("GOOGLETRANSLATE(F13936, ""auto"", ""en"")
"),"Flat and harsh sound. The bass is not bass, but some kind of buzzing. Before that I listened to another company, my only complaint was that it didn’t have enough bass. So I fell for the promised bass power of Panasonic. The next day I exchanged them. And "&amp;"there is only one conclusion &amp;mdash; Do not trust reviews, rely only on your own experience. And carefully open the package after purchase in order to be able to exchange an unsuccessful purchase.")</f>
        <v>Flat and harsh sound. The bass is not bass, but some kind of buzzing. Before that I listened to another company, my only complaint was that it didn’t have enough bass. So I fell for the promised bass power of Panasonic. The next day I exchanged them. And there is only one conclusion &amp;mdash; Do not trust reviews, rely only on your own experience. And carefully open the package after purchase in order to be able to exchange an unsuccessful purchase.</v>
      </c>
    </row>
    <row r="13937" spans="1:9" x14ac:dyDescent="0.3">
      <c r="A13937" s="1" t="s">
        <v>211</v>
      </c>
      <c r="B13937" s="1" t="s">
        <v>410</v>
      </c>
      <c r="C13937" s="1" t="s">
        <v>213</v>
      </c>
      <c r="D13937" s="1" t="s">
        <v>19320</v>
      </c>
      <c r="E13937" s="1" t="s">
        <v>2035</v>
      </c>
      <c r="F13937" s="1" t="s">
        <v>19321</v>
      </c>
      <c r="G13937" s="1" t="s">
        <v>36</v>
      </c>
      <c r="H13937" s="1" t="s">
        <v>29</v>
      </c>
      <c r="I13937" s="1" t="str">
        <f ca="1">IFERROR(__xludf.DUMMYFUNCTION("GOOGLETRANSLATE(F13937, ""auto"", ""en"")
"),"In my opinion, the razor is very good... It shaves cleaner than a machine. The main thing is to shave against hair growth! And everything is great! )) Great choice!")</f>
        <v>In my opinion, the razor is very good... It shaves cleaner than a machine. The main thing is to shave against hair growth! And everything is great! )) Great choice!</v>
      </c>
    </row>
    <row r="13938" spans="1:9" x14ac:dyDescent="0.3">
      <c r="A13938" s="1" t="s">
        <v>1443</v>
      </c>
      <c r="B13938" s="1" t="s">
        <v>1444</v>
      </c>
      <c r="C13938" s="1" t="s">
        <v>1445</v>
      </c>
      <c r="D13938" s="1" t="s">
        <v>19322</v>
      </c>
      <c r="E13938" s="1" t="s">
        <v>8466</v>
      </c>
      <c r="F13938" s="1" t="s">
        <v>19323</v>
      </c>
      <c r="G13938" s="1" t="s">
        <v>49</v>
      </c>
      <c r="H13938" s="1" t="s">
        <v>16</v>
      </c>
      <c r="I13938" s="1" t="str">
        <f ca="1">IFERROR(__xludf.DUMMYFUNCTION("GOOGLETRANSLATE(F13938, ""auto"", ""en"")
"),"The flash drive works fine, but its insides are terribly loose, it has never fallen, but everything has become loose for no apparent reason, and just like that everything will fall off. And I feel it will stop working when this whole thing falls off, if y"&amp;"ou don’t move it anywhere, then yes, it’s an excellent flash drive, no complaints.")</f>
        <v>The flash drive works fine, but its insides are terribly loose, it has never fallen, but everything has become loose for no apparent reason, and just like that everything will fall off. And I feel it will stop working when this whole thing falls off, if you don’t move it anywhere, then yes, it’s an excellent flash drive, no complaints.</v>
      </c>
    </row>
    <row r="13939" spans="1:9" x14ac:dyDescent="0.3">
      <c r="A13939" s="1" t="s">
        <v>369</v>
      </c>
      <c r="B13939" s="1" t="s">
        <v>587</v>
      </c>
      <c r="C13939" s="1" t="s">
        <v>588</v>
      </c>
      <c r="D13939" s="1" t="s">
        <v>621</v>
      </c>
      <c r="E13939" s="1" t="s">
        <v>7571</v>
      </c>
      <c r="F13939" s="1" t="s">
        <v>19324</v>
      </c>
      <c r="G13939" s="1" t="s">
        <v>49</v>
      </c>
      <c r="H13939" s="1" t="s">
        <v>16</v>
      </c>
      <c r="I13939" s="1" t="str">
        <f ca="1">IFERROR(__xludf.DUMMYFUNCTION("GOOGLETRANSLATE(F13939, ""auto"", ""en"")
"),"Disadvantages of the stove: plastic drawer for utensils, sliding grid. Small size handle. The quality doesn't match the price.")</f>
        <v>Disadvantages of the stove: plastic drawer for utensils, sliding grid. Small size handle. The quality doesn't match the price.</v>
      </c>
    </row>
    <row r="13940" spans="1:9" x14ac:dyDescent="0.3">
      <c r="A13940" s="1" t="s">
        <v>120</v>
      </c>
      <c r="B13940" s="1" t="s">
        <v>126</v>
      </c>
      <c r="C13940" s="1" t="s">
        <v>151</v>
      </c>
      <c r="D13940" s="1" t="s">
        <v>19325</v>
      </c>
      <c r="E13940" s="1" t="s">
        <v>320</v>
      </c>
      <c r="F13940" s="1" t="s">
        <v>19326</v>
      </c>
      <c r="G13940" s="1" t="s">
        <v>28</v>
      </c>
      <c r="H13940" s="1" t="s">
        <v>29</v>
      </c>
      <c r="I13940" s="1" t="str">
        <f ca="1">IFERROR(__xludf.DUMMYFUNCTION("GOOGLETRANSLATE(F13940, ""auto"", ""en"")
"),"Not a bad TV, but there is a drawback - it hums during operation (not loud, but in the evening this “electric” hum is clearly audible). Of the 2 purchased, both are buzzing.   Otherwise, everything is not bad, considering the price and diagonal.")</f>
        <v>Not a bad TV, but there is a drawback - it hums during operation (not loud, but in the evening this “electric” hum is clearly audible). Of the 2 purchased, both are buzzing.   Otherwise, everything is not bad, considering the price and diagonal.</v>
      </c>
    </row>
    <row r="13941" spans="1:9" x14ac:dyDescent="0.3">
      <c r="A13941" s="1" t="s">
        <v>30</v>
      </c>
      <c r="B13941" s="1" t="s">
        <v>50</v>
      </c>
      <c r="C13941" s="1" t="s">
        <v>32</v>
      </c>
      <c r="D13941" s="1" t="s">
        <v>19327</v>
      </c>
      <c r="E13941" s="1" t="s">
        <v>4176</v>
      </c>
      <c r="F13941" s="1" t="s">
        <v>19328</v>
      </c>
      <c r="G13941" s="1" t="s">
        <v>28</v>
      </c>
      <c r="H13941" s="1" t="s">
        <v>29</v>
      </c>
      <c r="I13941" s="1" t="str">
        <f ca="1">IFERROR(__xludf.DUMMYFUNCTION("GOOGLETRANSLATE(F13941, ""auto"", ""en"")
"),"In a month it will be a year since I learned 5536. I haven’t noticed any particular problems, there are no problems with firewood, since the kit includes universal ones, and the Internet is teeming with them, downloading is not a problem. The only thing t"&amp;"hat was a little disappointing is that the video is a little weak, but you can play even with new toys and the battery runs out quickly, with inactivity it lasts about 2 hours, and with a small load (music, Internet) about 1.5 hours, and when it was new, "&amp;"it lasted up to 4 hours. with inactivity it lasted 3 hours. at low load. By the way, who knows the reason for the battery failure so quickly?")</f>
        <v>In a month it will be a year since I learned 5536. I haven’t noticed any particular problems, there are no problems with firewood, since the kit includes universal ones, and the Internet is teeming with them, downloading is not a problem. The only thing that was a little disappointing is that the video is a little weak, but you can play even with new toys and the battery runs out quickly, with inactivity it lasts about 2 hours, and with a small load (music, Internet) about 1.5 hours, and when it was new, it lasted up to 4 hours. with inactivity it lasted 3 hours. at low load. By the way, who knows the reason for the battery failure so quickly?</v>
      </c>
    </row>
    <row r="13942" spans="1:9" x14ac:dyDescent="0.3">
      <c r="A13942" s="1" t="s">
        <v>55</v>
      </c>
      <c r="B13942" s="1" t="s">
        <v>752</v>
      </c>
      <c r="C13942" s="1" t="s">
        <v>185</v>
      </c>
      <c r="D13942" s="1" t="s">
        <v>295</v>
      </c>
      <c r="E13942" s="1" t="s">
        <v>3775</v>
      </c>
      <c r="F13942" s="1" t="s">
        <v>19329</v>
      </c>
      <c r="G13942" s="1" t="s">
        <v>28</v>
      </c>
      <c r="H13942" s="1" t="s">
        <v>29</v>
      </c>
      <c r="I13942" s="1" t="str">
        <f ca="1">IFERROR(__xludf.DUMMYFUNCTION("GOOGLETRANSLATE(F13942, ""auto"", ""en"")
"),"I could get a rating of 5, but the smell that appears when switching to 5 or 6 is very annoying.")</f>
        <v>I could get a rating of 5, but the smell that appears when switching to 5 or 6 is very annoying.</v>
      </c>
    </row>
    <row r="13943" spans="1:9" x14ac:dyDescent="0.3">
      <c r="A13943" s="1" t="s">
        <v>211</v>
      </c>
      <c r="B13943" s="1" t="s">
        <v>212</v>
      </c>
      <c r="C13943" s="1" t="s">
        <v>745</v>
      </c>
      <c r="D13943" s="1" t="s">
        <v>5789</v>
      </c>
      <c r="E13943" s="1" t="s">
        <v>4206</v>
      </c>
      <c r="F13943" s="1" t="s">
        <v>19330</v>
      </c>
      <c r="G13943" s="1" t="s">
        <v>36</v>
      </c>
      <c r="H13943" s="1" t="s">
        <v>29</v>
      </c>
      <c r="I13943" s="1" t="str">
        <f ca="1">IFERROR(__xludf.DUMMYFUNCTION("GOOGLETRANSLATE(F13943, ""auto"", ""en"")
"),"has not broken once in 3 years")</f>
        <v>has not broken once in 3 years</v>
      </c>
    </row>
    <row r="13944" spans="1:9" x14ac:dyDescent="0.3">
      <c r="A13944" s="1" t="s">
        <v>61</v>
      </c>
      <c r="B13944" s="1" t="s">
        <v>318</v>
      </c>
      <c r="C13944" s="1" t="s">
        <v>101</v>
      </c>
      <c r="D13944" s="1" t="s">
        <v>378</v>
      </c>
      <c r="E13944" s="1" t="s">
        <v>8624</v>
      </c>
      <c r="F13944" s="1" t="s">
        <v>19331</v>
      </c>
      <c r="G13944" s="1" t="s">
        <v>36</v>
      </c>
      <c r="H13944" s="1" t="s">
        <v>29</v>
      </c>
      <c r="I13944" s="1" t="str">
        <f ca="1">IFERROR(__xludf.DUMMYFUNCTION("GOOGLETRANSLATE(F13944, ""auto"", ""en"")
"),"I like the kettle, it’s just very noisy, but this is nonsense, overall 5")</f>
        <v>I like the kettle, it’s just very noisy, but this is nonsense, overall 5</v>
      </c>
    </row>
    <row r="13945" spans="1:9" x14ac:dyDescent="0.3">
      <c r="A13945" s="1" t="s">
        <v>211</v>
      </c>
      <c r="B13945" s="1" t="s">
        <v>212</v>
      </c>
      <c r="C13945" s="1" t="s">
        <v>294</v>
      </c>
      <c r="D13945" s="1" t="s">
        <v>247</v>
      </c>
      <c r="E13945" s="1" t="s">
        <v>1728</v>
      </c>
      <c r="F13945" s="1" t="s">
        <v>19332</v>
      </c>
      <c r="G13945" s="1" t="s">
        <v>36</v>
      </c>
      <c r="H13945" s="1" t="s">
        <v>29</v>
      </c>
      <c r="I13945" s="1" t="str">
        <f ca="1">IFERROR(__xludf.DUMMYFUNCTION("GOOGLETRANSLATE(F13945, ""auto"", ""en"")
"),"I bought this straightener about a year and a half ago. It straightens well, but you need to straighten it at a minimum temperature, which I didn’t do and caused my hair to burn! It recently broke down.")</f>
        <v>I bought this straightener about a year and a half ago. It straightens well, but you need to straighten it at a minimum temperature, which I didn’t do and caused my hair to burn! It recently broke down.</v>
      </c>
    </row>
    <row r="13946" spans="1:9" x14ac:dyDescent="0.3">
      <c r="A13946" s="1" t="s">
        <v>211</v>
      </c>
      <c r="B13946" s="1" t="s">
        <v>856</v>
      </c>
      <c r="C13946" s="1" t="s">
        <v>57</v>
      </c>
      <c r="D13946" s="1" t="s">
        <v>896</v>
      </c>
      <c r="E13946" s="1" t="s">
        <v>4029</v>
      </c>
      <c r="F13946" s="1" t="s">
        <v>19333</v>
      </c>
      <c r="G13946" s="1" t="s">
        <v>36</v>
      </c>
      <c r="H13946" s="1" t="s">
        <v>29</v>
      </c>
      <c r="I13946" s="1" t="str">
        <f ca="1">IFERROR(__xludf.DUMMYFUNCTION("GOOGLETRANSLATE(F13946, ""auto"", ""en"")
"),"I’ve been eyeing a similar manicure set for a long time, reading reviews. It was alarming that many people complain that an untrimmed manicure ruins their nails. But then I looked at a friend who knows how to use it and all doubts disappeared. I bought th"&amp;"e set six months ago and couldn’t be happier with it. By the way, now I can’t even imagine how you can do a trim manicure. I always got hangnails and inflammation from it, but now – nothing. There are a lot of attachments, but I use them all, even the one"&amp;"s I thought I would never use. A useful thing is the presence of drying. The only drawback for me is its decent dimensions.")</f>
        <v>I’ve been eyeing a similar manicure set for a long time, reading reviews. It was alarming that many people complain that an untrimmed manicure ruins their nails. But then I looked at a friend who knows how to use it and all doubts disappeared. I bought the set six months ago and couldn’t be happier with it. By the way, now I can’t even imagine how you can do a trim manicure. I always got hangnails and inflammation from it, but now – nothing. There are a lot of attachments, but I use them all, even the ones I thought I would never use. A useful thing is the presence of drying. The only drawback for me is its decent dimensions.</v>
      </c>
    </row>
    <row r="13947" spans="1:9" x14ac:dyDescent="0.3">
      <c r="A13947" s="1" t="s">
        <v>852</v>
      </c>
      <c r="B13947" s="1" t="s">
        <v>853</v>
      </c>
      <c r="C13947" s="1" t="s">
        <v>356</v>
      </c>
      <c r="D13947" s="1" t="s">
        <v>102</v>
      </c>
      <c r="E13947" s="1" t="s">
        <v>1065</v>
      </c>
      <c r="F13947" s="1" t="s">
        <v>19334</v>
      </c>
      <c r="G13947" s="1" t="s">
        <v>36</v>
      </c>
      <c r="H13947" s="1" t="s">
        <v>29</v>
      </c>
      <c r="I13947" s="1" t="str">
        <f ca="1">IFERROR(__xludf.DUMMYFUNCTION("GOOGLETRANSLATE(F13947, ""auto"", ""en"")
"),"This laptop is the best! I read so much about it and about its functions and ease of use, etc. In short, I’m going to buy food today and I think I won’t regret it!")</f>
        <v>This laptop is the best! I read so much about it and about its functions and ease of use, etc. In short, I’m going to buy food today and I think I won’t regret it!</v>
      </c>
    </row>
    <row r="13948" spans="1:9" x14ac:dyDescent="0.3">
      <c r="A13948" s="1" t="s">
        <v>37</v>
      </c>
      <c r="B13948" s="1" t="s">
        <v>38</v>
      </c>
      <c r="C13948" s="1" t="s">
        <v>39</v>
      </c>
      <c r="D13948" s="1" t="s">
        <v>4132</v>
      </c>
      <c r="E13948" s="1" t="s">
        <v>1457</v>
      </c>
      <c r="F13948" s="1" t="s">
        <v>19335</v>
      </c>
      <c r="G13948" s="1" t="s">
        <v>28</v>
      </c>
      <c r="H13948" s="1" t="s">
        <v>29</v>
      </c>
      <c r="I13948" s="1" t="str">
        <f ca="1">IFERROR(__xludf.DUMMYFUNCTION("GOOGLETRANSLATE(F13948, ""auto"", ""en"")
"),"The phone did not ring in the cold, and I exchanged it for the same model... (I wrote about this earlier) In the end, I formed the opinion about the phone that in terms of design it was excellent, but in terms of functionality it was weak... I didn’t figu"&amp;"re out how to zoom in on the photo in order to better view some things. When you send yourself a text via Bluetooth, he immediately deletes it! It will not allow you to accept applications, text and other unnecessary files!    Another disadvantage is that"&amp;" the memory card is near the battery and you will have to disassemble the phone piece by piece to remove the card from it and put it in the card reader and then vice versa, and the phone stops time every time because of such movements... Well, okay, I sti"&amp;"ll haven’t seen a phone more beautiful than this!!!    If you need a phone that everyone will tell you that you have the most beautiful phone, then buy this one (you can’t go wrong!!!) And also, if you get an error when installing Opera or ICQ programs, t"&amp;"hen you should go to the website: “sonyericsson.com/support” and download the settings from there...")</f>
        <v>The phone did not ring in the cold, and I exchanged it for the same model... (I wrote about this earlier) In the end, I formed the opinion about the phone that in terms of design it was excellent, but in terms of functionality it was weak... I didn’t figure out how to zoom in on the photo in order to better view some things. When you send yourself a text via Bluetooth, he immediately deletes it! It will not allow you to accept applications, text and other unnecessary files!    Another disadvantage is that the memory card is near the battery and you will have to disassemble the phone piece by piece to remove the card from it and put it in the card reader and then vice versa, and the phone stops time every time because of such movements... Well, okay, I still haven’t seen a phone more beautiful than this!!!    If you need a phone that everyone will tell you that you have the most beautiful phone, then buy this one (you can’t go wrong!!!) And also, if you get an error when installing Opera or ICQ programs, then you should go to the website: “sonyericsson.com/support” and download the settings from there...</v>
      </c>
    </row>
    <row r="13949" spans="1:9" x14ac:dyDescent="0.3">
      <c r="A13949" s="1" t="s">
        <v>30</v>
      </c>
      <c r="B13949" s="1" t="s">
        <v>50</v>
      </c>
      <c r="C13949" s="1" t="s">
        <v>32</v>
      </c>
      <c r="D13949" s="1" t="s">
        <v>19336</v>
      </c>
      <c r="E13949" s="1" t="s">
        <v>4049</v>
      </c>
      <c r="F13949" s="1" t="s">
        <v>19337</v>
      </c>
      <c r="G13949" s="1" t="s">
        <v>36</v>
      </c>
      <c r="H13949" s="1" t="s">
        <v>29</v>
      </c>
      <c r="I13949" s="1" t="str">
        <f ca="1">IFERROR(__xludf.DUMMYFUNCTION("GOOGLETRANSLATE(F13949, ""auto"", ""en"")
"),"A good laptop, games fly, but there is no bluetooth - this is the last century, the main thing is there is Wi-Fi. Only with the percentage the problem is defined as T6500")</f>
        <v>A good laptop, games fly, but there is no bluetooth - this is the last century, the main thing is there is Wi-Fi. Only with the percentage the problem is defined as T6500</v>
      </c>
    </row>
    <row r="13950" spans="1:9" x14ac:dyDescent="0.3">
      <c r="A13950" s="1" t="s">
        <v>55</v>
      </c>
      <c r="B13950" s="1" t="s">
        <v>184</v>
      </c>
      <c r="C13950" s="1" t="s">
        <v>185</v>
      </c>
      <c r="D13950" s="1" t="s">
        <v>589</v>
      </c>
      <c r="E13950" s="1" t="s">
        <v>4363</v>
      </c>
      <c r="F13950" s="1" t="s">
        <v>19338</v>
      </c>
      <c r="G13950" s="1" t="s">
        <v>28</v>
      </c>
      <c r="H13950" s="1" t="s">
        <v>29</v>
      </c>
      <c r="I13950" s="1" t="str">
        <f ca="1">IFERROR(__xludf.DUMMYFUNCTION("GOOGLETRANSLATE(F13950, ""auto"", ""en"")
"),"I agree it’s a great thing, it heats super, but the only thing that doesn’t suit me is the loud sound and, as mentioned above, the display backlight. I have it in my small child’s room, let’s say I turn it up at night, it beeps too loudly, I’m afraid I’ll"&amp;" scare the child with the sound. And the backlight is also bright, you have to hang a diaper so that it doesn’t shine so brightly. And overall it’s a great thing.")</f>
        <v>I agree it’s a great thing, it heats super, but the only thing that doesn’t suit me is the loud sound and, as mentioned above, the display backlight. I have it in my small child’s room, let’s say I turn it up at night, it beeps too loudly, I’m afraid I’ll scare the child with the sound. And the backlight is also bright, you have to hang a diaper so that it doesn’t shine so brightly. And overall it’s a great thing.</v>
      </c>
    </row>
    <row r="13951" spans="1:9" x14ac:dyDescent="0.3">
      <c r="A13951" s="1" t="s">
        <v>169</v>
      </c>
      <c r="B13951" s="1" t="s">
        <v>170</v>
      </c>
      <c r="C13951" s="1" t="s">
        <v>97</v>
      </c>
      <c r="D13951" s="1" t="s">
        <v>39</v>
      </c>
      <c r="E13951" s="1" t="s">
        <v>6001</v>
      </c>
      <c r="F13951" s="1" t="s">
        <v>19339</v>
      </c>
      <c r="G13951" s="1" t="s">
        <v>36</v>
      </c>
      <c r="H13951" s="1" t="s">
        <v>29</v>
      </c>
      <c r="I13951" s="1" t="str">
        <f ca="1">IFERROR(__xludf.DUMMYFUNCTION("GOOGLETRANSLATE(F13951, ""auto"", ""en"")
"),"I have these, I like them all!")</f>
        <v>I have these, I like them all!</v>
      </c>
    </row>
    <row r="13952" spans="1:9" x14ac:dyDescent="0.3">
      <c r="A13952" s="1" t="s">
        <v>120</v>
      </c>
      <c r="B13952" s="1" t="s">
        <v>126</v>
      </c>
      <c r="C13952" s="1" t="s">
        <v>122</v>
      </c>
      <c r="D13952" s="1" t="s">
        <v>52</v>
      </c>
      <c r="E13952" s="1" t="s">
        <v>41</v>
      </c>
      <c r="F13952" s="1" t="s">
        <v>19340</v>
      </c>
      <c r="G13952" s="1" t="s">
        <v>36</v>
      </c>
      <c r="H13952" s="1" t="s">
        <v>29</v>
      </c>
      <c r="I13952" s="1" t="str">
        <f ca="1">IFERROR(__xludf.DUMMYFUNCTION("GOOGLETRANSLATE(F13952, ""auto"", ""en"")
"),"Is it just me or everyone?  After turning off the remote control, a click is heard after 2-5 seconds.")</f>
        <v>Is it just me or everyone?  After turning off the remote control, a click is heard after 2-5 seconds.</v>
      </c>
    </row>
    <row r="13953" spans="1:9" x14ac:dyDescent="0.3">
      <c r="A13953" s="1" t="s">
        <v>120</v>
      </c>
      <c r="B13953" s="1" t="s">
        <v>121</v>
      </c>
      <c r="C13953" s="1" t="s">
        <v>80</v>
      </c>
      <c r="D13953" s="1" t="s">
        <v>152</v>
      </c>
      <c r="E13953" s="1" t="s">
        <v>1955</v>
      </c>
      <c r="F13953" s="1" t="s">
        <v>19341</v>
      </c>
      <c r="G13953" s="1" t="s">
        <v>36</v>
      </c>
      <c r="H13953" s="1" t="s">
        <v>29</v>
      </c>
      <c r="I13953" s="1" t="str">
        <f ca="1">IFERROR(__xludf.DUMMYFUNCTION("GOOGLETRANSLATE(F13953, ""auto"", ""en"")
"),"Super TV, USB unlocked with an old remote control, watched movies in HD, it's great, buy the TV, you won't regret it!")</f>
        <v>Super TV, USB unlocked with an old remote control, watched movies in HD, it's great, buy the TV, you won't regret it!</v>
      </c>
    </row>
    <row r="13954" spans="1:9" x14ac:dyDescent="0.3">
      <c r="A13954" s="1" t="s">
        <v>61</v>
      </c>
      <c r="B13954" s="1" t="s">
        <v>224</v>
      </c>
      <c r="C13954" s="1" t="s">
        <v>101</v>
      </c>
      <c r="D13954" s="1" t="s">
        <v>39</v>
      </c>
      <c r="E13954" s="1" t="s">
        <v>15673</v>
      </c>
      <c r="F13954" s="1" t="s">
        <v>19342</v>
      </c>
      <c r="G13954" s="1" t="s">
        <v>28</v>
      </c>
      <c r="H13954" s="1" t="s">
        <v>29</v>
      </c>
      <c r="I13954" s="1" t="str">
        <f ca="1">IFERROR(__xludf.DUMMYFUNCTION("GOOGLETRANSLATE(F13954, ""auto"", ""en"")
"),"It crackles, creaks, everything hangs out, but it does its job. The best option for rare or short-term use. You can take it.")</f>
        <v>It crackles, creaks, everything hangs out, but it does its job. The best option for rare or short-term use. You can take it.</v>
      </c>
    </row>
    <row r="13955" spans="1:9" x14ac:dyDescent="0.3">
      <c r="A13955" s="1" t="s">
        <v>30</v>
      </c>
      <c r="B13955" s="1" t="s">
        <v>50</v>
      </c>
      <c r="C13955" s="1" t="s">
        <v>51</v>
      </c>
      <c r="D13955" s="1" t="s">
        <v>19343</v>
      </c>
      <c r="E13955" s="1" t="s">
        <v>1988</v>
      </c>
      <c r="F13955" s="1" t="s">
        <v>19344</v>
      </c>
      <c r="G13955" s="1" t="s">
        <v>36</v>
      </c>
      <c r="H13955" s="1" t="s">
        <v>29</v>
      </c>
      <c r="I13955" s="1" t="str">
        <f ca="1">IFERROR(__xludf.DUMMYFUNCTION("GOOGLETRANSLATE(F13955, ""auto"", ""en"")
"),"I consulted with the seller, they said the laptop was excellent... I checked it and liked it! I recommend it as a fairly economical and quite powerful option.")</f>
        <v>I consulted with the seller, they said the laptop was excellent... I checked it and liked it! I recommend it as a fairly economical and quite powerful option.</v>
      </c>
    </row>
    <row r="13956" spans="1:9" x14ac:dyDescent="0.3">
      <c r="A13956" s="1" t="s">
        <v>965</v>
      </c>
      <c r="B13956" s="1" t="s">
        <v>966</v>
      </c>
      <c r="C13956" s="1" t="s">
        <v>19345</v>
      </c>
      <c r="D13956" s="1" t="s">
        <v>653</v>
      </c>
      <c r="E13956" s="1" t="s">
        <v>164</v>
      </c>
      <c r="F13956" s="1" t="s">
        <v>19346</v>
      </c>
      <c r="G13956" s="1" t="s">
        <v>49</v>
      </c>
      <c r="H13956" s="1" t="s">
        <v>16</v>
      </c>
      <c r="I13956" s="1" t="str">
        <f ca="1">IFERROR(__xludf.DUMMYFUNCTION("GOOGLETRANSLATE(F13956, ""auto"", ""en"")
"),"They heat up at the back... and a smell appears!!!      What can be done!? (These are already 2 columns... the same ones... there is ganatia) They have been working for 2 months...")</f>
        <v>They heat up at the back... and a smell appears!!!      What can be done!? (These are already 2 columns... the same ones... there is ganatia) They have been working for 2 months...</v>
      </c>
    </row>
    <row r="13957" spans="1:9" x14ac:dyDescent="0.3">
      <c r="A13957" s="1" t="s">
        <v>43</v>
      </c>
      <c r="B13957" s="1" t="s">
        <v>334</v>
      </c>
      <c r="C13957" s="1" t="s">
        <v>101</v>
      </c>
      <c r="D13957" s="1" t="s">
        <v>305</v>
      </c>
      <c r="E13957" s="1" t="s">
        <v>3444</v>
      </c>
      <c r="F13957" s="1" t="s">
        <v>19347</v>
      </c>
      <c r="G13957" s="1" t="s">
        <v>36</v>
      </c>
      <c r="H13957" s="1" t="s">
        <v>29</v>
      </c>
      <c r="I13957" s="1" t="str">
        <f ca="1">IFERROR(__xludf.DUMMYFUNCTION("GOOGLETRANSLATE(F13957, ""auto"", ""en"")
"),"I bought it as a second one, now it’s like my first) it blows just like a charm, it’s quiet, I’m delighted")</f>
        <v>I bought it as a second one, now it’s like my first) it blows just like a charm, it’s quiet, I’m delighted</v>
      </c>
    </row>
    <row r="13958" spans="1:9" x14ac:dyDescent="0.3">
      <c r="A13958" s="1" t="s">
        <v>55</v>
      </c>
      <c r="B13958" s="1" t="s">
        <v>56</v>
      </c>
      <c r="C13958" s="1" t="s">
        <v>85</v>
      </c>
      <c r="D13958" s="1" t="s">
        <v>152</v>
      </c>
      <c r="E13958" s="1" t="s">
        <v>3356</v>
      </c>
      <c r="F13958" s="1" t="s">
        <v>19348</v>
      </c>
      <c r="G13958" s="1" t="s">
        <v>36</v>
      </c>
      <c r="H13958" s="1" t="s">
        <v>29</v>
      </c>
      <c r="I13958" s="1" t="str">
        <f ca="1">IFERROR(__xludf.DUMMYFUNCTION("GOOGLETRANSLATE(F13958, ""auto"", ""en"")
"),"Very comfortable, quiet, does not “spit”, does not stink, no puddles, my wife easily carries it from room to room, no white residue on the furniture, 25 sq. m. m. moisturizes from 18% to 55% per day. Justified itself 100%. I recommend it to everyone!")</f>
        <v>Very comfortable, quiet, does not “spit”, does not stink, no puddles, my wife easily carries it from room to room, no white residue on the furniture, 25 sq. m. m. moisturizes from 18% to 55% per day. Justified itself 100%. I recommend it to everyone!</v>
      </c>
    </row>
    <row r="13959" spans="1:9" x14ac:dyDescent="0.3">
      <c r="A13959" s="1" t="s">
        <v>206</v>
      </c>
      <c r="B13959" s="1" t="s">
        <v>2026</v>
      </c>
      <c r="C13959" s="1" t="s">
        <v>351</v>
      </c>
      <c r="D13959" s="1" t="s">
        <v>152</v>
      </c>
      <c r="E13959" s="1" t="s">
        <v>1723</v>
      </c>
      <c r="F13959" s="1" t="s">
        <v>19349</v>
      </c>
      <c r="G13959" s="1" t="s">
        <v>49</v>
      </c>
      <c r="H13959" s="1" t="s">
        <v>16</v>
      </c>
      <c r="I13959" s="1" t="str">
        <f ca="1">IFERROR(__xludf.DUMMYFUNCTION("GOOGLETRANSLATE(F13959, ""auto"", ""en"")
"),"I took it for my father as a gift before the New Year, we listened to the disc twice and she no longer reads anything, neither the disc nor the flash drive, it looks like the firmware has crashed.")</f>
        <v>I took it for my father as a gift before the New Year, we listened to the disc twice and she no longer reads anything, neither the disc nor the flash drive, it looks like the firmware has crashed.</v>
      </c>
    </row>
    <row r="13960" spans="1:9" x14ac:dyDescent="0.3">
      <c r="A13960" s="1" t="s">
        <v>1119</v>
      </c>
      <c r="B13960" s="1" t="s">
        <v>1120</v>
      </c>
      <c r="C13960" s="1" t="s">
        <v>97</v>
      </c>
      <c r="D13960" s="1" t="s">
        <v>19350</v>
      </c>
      <c r="E13960" s="1" t="s">
        <v>2677</v>
      </c>
      <c r="F13960" s="1" t="s">
        <v>19351</v>
      </c>
      <c r="G13960" s="1" t="s">
        <v>28</v>
      </c>
      <c r="H13960" s="1" t="s">
        <v>29</v>
      </c>
      <c r="I13960" s="1" t="str">
        <f ca="1">IFERROR(__xludf.DUMMYFUNCTION("GOOGLETRANSLATE(F13960, ""auto"", ""en"")
"),"I bought it recently.   If we take video cameras in general (of different price classes), this is a solid three. However, if you take cameras that are approximately the same in price, then you can give it a five. The compactness of the camera is simply am"&amp;"azing; it fits into a medium-sized point-and-shoot case, so you can carry it with you all the time. I would rate the quality of shooting indoors with artificial light at 4 with a small “-”, after all, she prefers sunlight. It shoots very well outdoors. I "&amp;"was pleased with the zoom, but that’s if your hands aren’t shaking. At medium zoom, the stabilization system works great, although if you are shooting a general shot with frequent changes in shooting direction, it is better to turn it off so that the imag"&amp;"e does not blur.   The battery charges very quickly (surprisingly). I found the touch screen convenient, although if your hands are too large, you can buy a stylus. Everything works quickly and smoothly, at least for now. There are quite a lot of settings"&amp;". The menu is simple and intuitive, easy to understand even without instructions.   The photo mode was not impressive, but this is a video camera.   In general, Sony is Sony and that says it all. I think it's a good video camera for those who want to carr"&amp;"y it with them often. Small size, acceptable quality. In general, if you don’t have a lot of money, but you want to rent a lot, then it’s worth taking.   P.S. I do not recommend it to those who love photography.")</f>
        <v>I bought it recently.   If we take video cameras in general (of different price classes), this is a solid three. However, if you take cameras that are approximately the same in price, then you can give it a five. The compactness of the camera is simply amazing; it fits into a medium-sized point-and-shoot case, so you can carry it with you all the time. I would rate the quality of shooting indoors with artificial light at 4 with a small “-”, after all, she prefers sunlight. It shoots very well outdoors. I was pleased with the zoom, but that’s if your hands aren’t shaking. At medium zoom, the stabilization system works great, although if you are shooting a general shot with frequent changes in shooting direction, it is better to turn it off so that the image does not blur.   The battery charges very quickly (surprisingly). I found the touch screen convenient, although if your hands are too large, you can buy a stylus. Everything works quickly and smoothly, at least for now. There are quite a lot of settings. The menu is simple and intuitive, easy to understand even without instructions.   The photo mode was not impressive, but this is a video camera.   In general, Sony is Sony and that says it all. I think it's a good video camera for those who want to carry it with them often. Small size, acceptable quality. In general, if you don’t have a lot of money, but you want to rent a lot, then it’s worth taking.   P.S. I do not recommend it to those who love photography.</v>
      </c>
    </row>
    <row r="13961" spans="1:9" x14ac:dyDescent="0.3">
      <c r="A13961" s="1" t="s">
        <v>89</v>
      </c>
      <c r="B13961" s="1" t="s">
        <v>1106</v>
      </c>
      <c r="C13961" s="1" t="s">
        <v>74</v>
      </c>
      <c r="D13961" s="1" t="s">
        <v>152</v>
      </c>
      <c r="E13961" s="1" t="s">
        <v>1792</v>
      </c>
      <c r="F13961" s="1" t="s">
        <v>19352</v>
      </c>
      <c r="G13961" s="1" t="s">
        <v>28</v>
      </c>
      <c r="H13961" s="1" t="s">
        <v>29</v>
      </c>
      <c r="I13961" s="1" t="str">
        <f ca="1">IFERROR(__xludf.DUMMYFUNCTION("GOOGLETRANSLATE(F13961, ""auto"", ""en"")
"),"""* easy to use * cooks quickly * turns out delicious * the kit includes a nylon filter! (the description says that it is not there)"" I’ve been using it for less than six months, I’m happy with everything, except for the “anti-drip” system - not so relia"&amp;"ble (But it fully pays for its cost)")</f>
        <v>"* easy to use * cooks quickly * turns out delicious * the kit includes a nylon filter! (the description says that it is not there)" I’ve been using it for less than six months, I’m happy with everything, except for the “anti-drip” system - not so reliable (But it fully pays for its cost)</v>
      </c>
    </row>
    <row r="13962" spans="1:9" x14ac:dyDescent="0.3">
      <c r="A13962" s="1" t="s">
        <v>17</v>
      </c>
      <c r="B13962" s="1" t="s">
        <v>18</v>
      </c>
      <c r="C13962" s="1" t="s">
        <v>243</v>
      </c>
      <c r="D13962" s="1" t="s">
        <v>2764</v>
      </c>
      <c r="E13962" s="1" t="s">
        <v>2248</v>
      </c>
      <c r="F13962" s="1" t="s">
        <v>19353</v>
      </c>
      <c r="G13962" s="1" t="s">
        <v>36</v>
      </c>
      <c r="H13962" s="1" t="s">
        <v>29</v>
      </c>
      <c r="I13962" s="1" t="str">
        <f ca="1">IFERROR(__xludf.DUMMYFUNCTION("GOOGLETRANSLATE(F13962, ""auto"", ""en"")
"),"The wash is not noisy, does not jump even at 1000 revolutions, stands rooted to the spot, does not even shake. I am very pleased with the 15 minute program. A timer that shows the end time of the wash. Also, at the end of the process, the machine beeps. C"&amp;"onsidering its dimensions of 33 cm, it has a sufficiently capacious tank of 4 kg.")</f>
        <v>The wash is not noisy, does not jump even at 1000 revolutions, stands rooted to the spot, does not even shake. I am very pleased with the 15 minute program. A timer that shows the end time of the wash. Also, at the end of the process, the machine beeps. Considering its dimensions of 33 cm, it has a sufficiently capacious tank of 4 kg.</v>
      </c>
    </row>
    <row r="13963" spans="1:9" x14ac:dyDescent="0.3">
      <c r="A13963" s="1" t="s">
        <v>61</v>
      </c>
      <c r="B13963" s="1" t="s">
        <v>224</v>
      </c>
      <c r="C13963" s="1" t="s">
        <v>63</v>
      </c>
      <c r="D13963" s="1" t="s">
        <v>20</v>
      </c>
      <c r="E13963" s="1" t="s">
        <v>750</v>
      </c>
      <c r="F13963" s="1" t="s">
        <v>19354</v>
      </c>
      <c r="G13963" s="1" t="s">
        <v>36</v>
      </c>
      <c r="H13963" s="1" t="s">
        <v>29</v>
      </c>
      <c r="I13963" s="1" t="str">
        <f ca="1">IFERROR(__xludf.DUMMYFUNCTION("GOOGLETRANSLATE(F13963, ""auto"", ""en"")
"),"I bought it in Nizhnekamsk! I was choosing between BORK JU CUP 22090 SI and Bosch MES 3000! The choice fell on Bosch!  Beautiful design, squeezes well, screams in moderation... Overall, satisfied!")</f>
        <v>I bought it in Nizhnekamsk! I was choosing between BORK JU CUP 22090 SI and Bosch MES 3000! The choice fell on Bosch!  Beautiful design, squeezes well, screams in moderation... Overall, satisfied!</v>
      </c>
    </row>
    <row r="13964" spans="1:9" x14ac:dyDescent="0.3">
      <c r="A13964" s="1" t="s">
        <v>67</v>
      </c>
      <c r="B13964" s="1" t="s">
        <v>68</v>
      </c>
      <c r="C13964" s="1" t="s">
        <v>246</v>
      </c>
      <c r="D13964" s="1" t="s">
        <v>127</v>
      </c>
      <c r="E13964" s="1" t="s">
        <v>956</v>
      </c>
      <c r="F13964" s="1" t="s">
        <v>19355</v>
      </c>
      <c r="G13964" s="1" t="s">
        <v>36</v>
      </c>
      <c r="H13964" s="1" t="s">
        <v>29</v>
      </c>
      <c r="I13964" s="1" t="str">
        <f ca="1">IFERROR(__xludf.DUMMYFUNCTION("GOOGLETRANSLATE(F13964, ""auto"", ""en"")
"),"I purchased this iron today, the impressions are positive. All functions, nothing extra")</f>
        <v>I purchased this iron today, the impressions are positive. All functions, nothing extra</v>
      </c>
    </row>
    <row r="13965" spans="1:9" x14ac:dyDescent="0.3">
      <c r="A13965" s="1" t="s">
        <v>43</v>
      </c>
      <c r="B13965" s="1" t="s">
        <v>502</v>
      </c>
      <c r="C13965" s="1" t="s">
        <v>122</v>
      </c>
      <c r="D13965" s="1" t="s">
        <v>102</v>
      </c>
      <c r="E13965" s="1" t="s">
        <v>14001</v>
      </c>
      <c r="F13965" s="1" t="s">
        <v>19356</v>
      </c>
      <c r="G13965" s="1" t="s">
        <v>28</v>
      </c>
      <c r="H13965" s="1" t="s">
        <v>29</v>
      </c>
      <c r="I13965" s="1" t="str">
        <f ca="1">IFERROR(__xludf.DUMMYFUNCTION("GOOGLETRANSLATE(F13965, ""auto"", ""en"")
"),"The air conditioner is not bad, the color is not quite the same as in the picture, and the plastic is thin - when operating, the curtain regulating the air flow sways a little - but this is not important.")</f>
        <v>The air conditioner is not bad, the color is not quite the same as in the picture, and the plastic is thin - when operating, the curtain regulating the air flow sways a little - but this is not important.</v>
      </c>
    </row>
    <row r="13966" spans="1:9" x14ac:dyDescent="0.3">
      <c r="A13966" s="1" t="s">
        <v>9</v>
      </c>
      <c r="B13966" s="1" t="s">
        <v>10</v>
      </c>
      <c r="C13966" s="1" t="s">
        <v>407</v>
      </c>
      <c r="D13966" s="1" t="s">
        <v>305</v>
      </c>
      <c r="E13966" s="1" t="s">
        <v>1336</v>
      </c>
      <c r="F13966" s="1" t="s">
        <v>19357</v>
      </c>
      <c r="G13966" s="1" t="s">
        <v>36</v>
      </c>
      <c r="H13966" s="1" t="s">
        <v>29</v>
      </c>
      <c r="I13966" s="1" t="str">
        <f ca="1">IFERROR(__xludf.DUMMYFUNCTION("GOOGLETRANSLATE(F13966, ""auto"", ""en"")
"),"We've been using it for a little less than a year, it pulls out perfectly, speeds 1 and 2 are enough. I smoke in the kitchen and there is zero smell. When cooking and cooking, provided that all the burners are occupied, the smell does not spread even thro"&amp;"ughout the kitchen, it pulls everything out. It is noisy at speeds 2 and 3. The non-return valve works perfectly, there are no smells from the neighbors. Copes with its functions at 5.")</f>
        <v>We've been using it for a little less than a year, it pulls out perfectly, speeds 1 and 2 are enough. I smoke in the kitchen and there is zero smell. When cooking and cooking, provided that all the burners are occupied, the smell does not spread even throughout the kitchen, it pulls everything out. It is noisy at speeds 2 and 3. The non-return valve works perfectly, there are no smells from the neighbors. Copes with its functions at 5.</v>
      </c>
    </row>
    <row r="13967" spans="1:9" x14ac:dyDescent="0.3">
      <c r="A13967" s="1" t="s">
        <v>211</v>
      </c>
      <c r="B13967" s="1" t="s">
        <v>384</v>
      </c>
      <c r="C13967" s="1" t="s">
        <v>246</v>
      </c>
      <c r="D13967" s="1" t="s">
        <v>280</v>
      </c>
      <c r="E13967" s="1" t="s">
        <v>201</v>
      </c>
      <c r="F13967" s="1" t="s">
        <v>19358</v>
      </c>
      <c r="G13967" s="1" t="s">
        <v>49</v>
      </c>
      <c r="H13967" s="1" t="s">
        <v>16</v>
      </c>
      <c r="I13967" s="1" t="str">
        <f ca="1">IFERROR(__xludf.DUMMYFUNCTION("GOOGLETRANSLATE(F13967, ""auto"", ""en"")
"),"The scale shows constant weight, but the wrong one put a pack of salt and instead of 1 kg the scales showed 900 g. I put the weight 32 kg and the scales showed 29 kg. It turns out that the error for each kilogram is 100 g. The horror is 10% error, how are"&amp;" they even sold.  And judging by their testimony, I am losing 1 kilogram per day, while my lifestyle has not changed. It's scary to think what will happen to me in 2-3 months.")</f>
        <v>The scale shows constant weight, but the wrong one put a pack of salt and instead of 1 kg the scales showed 900 g. I put the weight 32 kg and the scales showed 29 kg. It turns out that the error for each kilogram is 100 g. The horror is 10% error, how are they even sold.  And judging by their testimony, I am losing 1 kilogram per day, while my lifestyle has not changed. It's scary to think what will happen to me in 2-3 months.</v>
      </c>
    </row>
    <row r="13968" spans="1:9" x14ac:dyDescent="0.3">
      <c r="A13968" s="1" t="s">
        <v>30</v>
      </c>
      <c r="B13968" s="1" t="s">
        <v>50</v>
      </c>
      <c r="C13968" s="1" t="s">
        <v>32</v>
      </c>
      <c r="D13968" s="1" t="s">
        <v>305</v>
      </c>
      <c r="E13968" s="1" t="s">
        <v>1756</v>
      </c>
      <c r="F13968" s="1" t="s">
        <v>19359</v>
      </c>
      <c r="G13968" s="1" t="s">
        <v>36</v>
      </c>
      <c r="H13968" s="1" t="s">
        <v>29</v>
      </c>
      <c r="I13968" s="1" t="str">
        <f ca="1">IFERROR(__xludf.DUMMYFUNCTION("GOOGLETRANSLATE(F13968, ""auto"", ""en"")
"),"I bought it 2 months ago, it works great, when I just use it on the net it doesn’t get hot at all and doesn’t make noise, which is a big plus, when playing games the temperature rises a little to 50-60 degrees, and the ventilation cuts a little faster, bu"&amp;"t not loudly, the games go with a bang, assassin 4, metro 2033, stalker, nfs, contra, kalab dutik, all parts, the screen is excellent, the sound is more Less, Vidyakha is normal, as long as she eats everything. You can install a hard drive for 500 gigs. I"&amp;"t’s a good option for the money, I recommend it. I’m satisfied.")</f>
        <v>I bought it 2 months ago, it works great, when I just use it on the net it doesn’t get hot at all and doesn’t make noise, which is a big plus, when playing games the temperature rises a little to 50-60 degrees, and the ventilation cuts a little faster, but not loudly, the games go with a bang, assassin 4, metro 2033, stalker, nfs, contra, kalab dutik, all parts, the screen is excellent, the sound is more Less, Vidyakha is normal, as long as she eats everything. You can install a hard drive for 500 gigs. It’s a good option for the money, I recommend it. I’m satisfied.</v>
      </c>
    </row>
    <row r="13969" spans="1:9" x14ac:dyDescent="0.3">
      <c r="A13969" s="1" t="s">
        <v>211</v>
      </c>
      <c r="B13969" s="1" t="s">
        <v>265</v>
      </c>
      <c r="C13969" s="1" t="s">
        <v>1591</v>
      </c>
      <c r="D13969" s="1" t="s">
        <v>1659</v>
      </c>
      <c r="E13969" s="1" t="s">
        <v>656</v>
      </c>
      <c r="F13969" s="1" t="s">
        <v>19360</v>
      </c>
      <c r="G13969" s="1" t="s">
        <v>15</v>
      </c>
      <c r="H13969" s="1" t="s">
        <v>16</v>
      </c>
      <c r="I13969" s="1" t="str">
        <f ca="1">IFERROR(__xludf.DUMMYFUNCTION("GOOGLETRANSLATE(F13969, ""auto"", ""en"")
"),"“Thanks to” the cunning system of attachments, it is almost impossible to adequately set the length. In fact, you can only cut 0.5, 3, 21.")</f>
        <v>“Thanks to” the cunning system of attachments, it is almost impossible to adequately set the length. In fact, you can only cut 0.5, 3, 21.</v>
      </c>
    </row>
    <row r="13970" spans="1:9" x14ac:dyDescent="0.3">
      <c r="A13970" s="1" t="s">
        <v>30</v>
      </c>
      <c r="B13970" s="1" t="s">
        <v>50</v>
      </c>
      <c r="C13970" s="1" t="s">
        <v>32</v>
      </c>
      <c r="D13970" s="1" t="s">
        <v>152</v>
      </c>
      <c r="E13970" s="1" t="s">
        <v>2050</v>
      </c>
      <c r="F13970" s="1" t="s">
        <v>19361</v>
      </c>
      <c r="G13970" s="1" t="s">
        <v>28</v>
      </c>
      <c r="H13970" s="1" t="s">
        <v>29</v>
      </c>
      <c r="I13970" s="1" t="str">
        <f ca="1">IFERROR(__xludf.DUMMYFUNCTION("GOOGLETRANSLATE(F13970, ""auto"", ""en"")
"),"I bought this laptop 3 weeks ago. I made a choice from ASUS, Acer, HP models. I needed the laptop for work and to watch movies. Overall, I’m happy with the purchase. There is everything I need: camera, bluetooth, fax. The latest DDR3 RAM, 3 gigs, quite fa"&amp;"st, the processor is powerful. I was pleased with the presence of 4 USB ports. There is also an HDMI jack. Heat dissipation from the back of the laptop, which is also good. A big plus is the quiet operation of beech. Cons: small hard drive (250 GB), the l"&amp;"etters on the keyboard are the same color. But these are all little things. So the laptop is excellent. I advise everyone, take it, you won’t regret it. The price/quality ratio is the best. I bought it for 24 thousand.")</f>
        <v>I bought this laptop 3 weeks ago. I made a choice from ASUS, Acer, HP models. I needed the laptop for work and to watch movies. Overall, I’m happy with the purchase. There is everything I need: camera, bluetooth, fax. The latest DDR3 RAM, 3 gigs, quite fast, the processor is powerful. I was pleased with the presence of 4 USB ports. There is also an HDMI jack. Heat dissipation from the back of the laptop, which is also good. A big plus is the quiet operation of beech. Cons: small hard drive (250 GB), the letters on the keyboard are the same color. But these are all little things. So the laptop is excellent. I advise everyone, take it, you won’t regret it. The price/quality ratio is the best. I bought it for 24 thousand.</v>
      </c>
    </row>
    <row r="13971" spans="1:9" x14ac:dyDescent="0.3">
      <c r="A13971" s="1" t="s">
        <v>211</v>
      </c>
      <c r="B13971" s="1" t="s">
        <v>384</v>
      </c>
      <c r="C13971" s="1" t="s">
        <v>351</v>
      </c>
      <c r="D13971" s="1" t="s">
        <v>959</v>
      </c>
      <c r="E13971" s="1" t="s">
        <v>18792</v>
      </c>
      <c r="F13971" s="1" t="s">
        <v>19362</v>
      </c>
      <c r="G13971" s="1" t="s">
        <v>36</v>
      </c>
      <c r="H13971" s="1" t="s">
        <v>29</v>
      </c>
      <c r="I13971" s="1" t="str">
        <f ca="1">IFERROR(__xludf.DUMMYFUNCTION("GOOGLETRANSLATE(F13971, ""auto"", ""en"")
"),"quality-price-error everything is normal! Mechanical scales, accurate if placed humanly on the floor. Looks nice, soft green color. They weigh about two and a half kg, but are quite small in size, you may not even notice them right away. And they are stab"&amp;"le on the floor. We bought it about six months ago, it still works properly, no problems. If you don’t chase design and subtlety, then these are simply excellent in all respects.")</f>
        <v>quality-price-error everything is normal! Mechanical scales, accurate if placed humanly on the floor. Looks nice, soft green color. They weigh about two and a half kg, but are quite small in size, you may not even notice them right away. And they are stable on the floor. We bought it about six months ago, it still works properly, no problems. If you don’t chase design and subtlety, then these are simply excellent in all respects.</v>
      </c>
    </row>
    <row r="13972" spans="1:9" x14ac:dyDescent="0.3">
      <c r="A13972" s="1" t="s">
        <v>78</v>
      </c>
      <c r="B13972" s="1" t="s">
        <v>493</v>
      </c>
      <c r="C13972" s="1" t="s">
        <v>122</v>
      </c>
      <c r="D13972" s="1" t="s">
        <v>1383</v>
      </c>
      <c r="E13972" s="1" t="s">
        <v>3918</v>
      </c>
      <c r="F13972" s="1" t="s">
        <v>19363</v>
      </c>
      <c r="G13972" s="1" t="s">
        <v>15</v>
      </c>
      <c r="H13972" s="1" t="s">
        <v>16</v>
      </c>
      <c r="I13972" s="1" t="str">
        <f ca="1">IFERROR(__xludf.DUMMYFUNCTION("GOOGLETRANSLATE(F13972, ""auto"", ""en"")
"),"I bought it today. As a result, it doesn’t bake the bottom at all, but I’ll experiment again tomorrow, and if it’s the same story, I’ll try to return this nasty thing.")</f>
        <v>I bought it today. As a result, it doesn’t bake the bottom at all, but I’ll experiment again tomorrow, and if it’s the same story, I’ll try to return this nasty thing.</v>
      </c>
    </row>
    <row r="13973" spans="1:9" x14ac:dyDescent="0.3">
      <c r="A13973" s="1" t="s">
        <v>120</v>
      </c>
      <c r="B13973" s="1" t="s">
        <v>121</v>
      </c>
      <c r="C13973" s="1" t="s">
        <v>80</v>
      </c>
      <c r="D13973" s="1" t="s">
        <v>19364</v>
      </c>
      <c r="E13973" s="1" t="s">
        <v>2120</v>
      </c>
      <c r="F13973" s="1" t="s">
        <v>19365</v>
      </c>
      <c r="G13973" s="1" t="s">
        <v>36</v>
      </c>
      <c r="H13973" s="1" t="s">
        <v>29</v>
      </c>
      <c r="I13973" s="1" t="str">
        <f ca="1">IFERROR(__xludf.DUMMYFUNCTION("GOOGLETRANSLATE(F13973, ""auto"", ""en"")
"),"Cool telly. I bought it back in January. At the same time, I activated USB with LEDs, but I didn’t find (or looked through) information about activating the player control buttons. I'll have to do it again.")</f>
        <v>Cool telly. I bought it back in January. At the same time, I activated USB with LEDs, but I didn’t find (or looked through) information about activating the player control buttons. I'll have to do it again.</v>
      </c>
    </row>
    <row r="13974" spans="1:9" x14ac:dyDescent="0.3">
      <c r="A13974" s="1" t="s">
        <v>61</v>
      </c>
      <c r="B13974" s="1" t="s">
        <v>180</v>
      </c>
      <c r="C13974" s="1" t="s">
        <v>74</v>
      </c>
      <c r="D13974" s="1" t="s">
        <v>3253</v>
      </c>
      <c r="E13974" s="1" t="s">
        <v>3718</v>
      </c>
      <c r="F13974" s="1" t="s">
        <v>19366</v>
      </c>
      <c r="G13974" s="1" t="s">
        <v>36</v>
      </c>
      <c r="H13974" s="1" t="s">
        <v>29</v>
      </c>
      <c r="I13974" s="1" t="str">
        <f ca="1">IFERROR(__xludf.DUMMYFUNCTION("GOOGLETRANSLATE(F13974, ""auto"", ""en"")
"),"Despite the fact that this device is not an essential item, you will not be disappointed in it. It copes with both functions perfectly. Someone here complained that the bottom of the waffles was burning. This most likely happens when not enough batter is "&amp;"poured in and the top surface of the waffles simply does not reach the surface of the top heating plates. After all, this device allows you to bake not thin crispy ones, but rather thick and soft ones (Brussels waffles). Plus you need to look on the inter"&amp;"net for a good waffle recipe. By the way, Brussels waffles, those made with milk, water and yeast, turned out to be similar to our pancakes, only not fried, but baked. Here's a plus for you - you can prepare relatively dietary baked goods, If, of course, "&amp;"baked goods can be considered a dietary food at all. People even use this device to make pancakes and cheesecakes and bake puff pastries. Well, sandwiches are a different story: now, horror of horrors, we’ve been eating them for a whole week. Actually, I "&amp;"was going to buy a classic toaster with the dream of spreading melting butter on crispy toasted bread, but I decided why not kill a few birds with one stone by also getting processed cheese along with the toast? All in all, delicious. True, I think it’s a"&amp;" small minus that in Russia there is no equipment presented on the box - the one with not four triangular sandwiches, but two large ones. Still, for triangles, you have to perform some careful force on the device, if the bread is not sliced ​​thin enough,"&amp;" and it is not cut into triangles by the device itself, you have to break it with pens and a knife. But considering that in this case there is more crunch, let’s turn this minus into a plus. And another plus is the fact that this device is two in one, and"&amp;" the plates are removable, making it easy to care for and wash even in the dishwasher. Well, the cute little design from Porsche and the possibility of vertical storage - it’s just so handsome. Once you’ve played enough, put it in a corner, and then you’l"&amp;"l definitely take it out again someday.")</f>
        <v>Despite the fact that this device is not an essential item, you will not be disappointed in it. It copes with both functions perfectly. Someone here complained that the bottom of the waffles was burning. This most likely happens when not enough batter is poured in and the top surface of the waffles simply does not reach the surface of the top heating plates. After all, this device allows you to bake not thin crispy ones, but rather thick and soft ones (Brussels waffles). Plus you need to look on the internet for a good waffle recipe. By the way, Brussels waffles, those made with milk, water and yeast, turned out to be similar to our pancakes, only not fried, but baked. Here's a plus for you - you can prepare relatively dietary baked goods, If, of course, baked goods can be considered a dietary food at all. People even use this device to make pancakes and cheesecakes and bake puff pastries. Well, sandwiches are a different story: now, horror of horrors, we’ve been eating them for a whole week. Actually, I was going to buy a classic toaster with the dream of spreading melting butter on crispy toasted bread, but I decided why not kill a few birds with one stone by also getting processed cheese along with the toast? All in all, delicious. True, I think it’s a small minus that in Russia there is no equipment presented on the box - the one with not four triangular sandwiches, but two large ones. Still, for triangles, you have to perform some careful force on the device, if the bread is not sliced ​​thin enough, and it is not cut into triangles by the device itself, you have to break it with pens and a knife. But considering that in this case there is more crunch, let’s turn this minus into a plus. And another plus is the fact that this device is two in one, and the plates are removable, making it easy to care for and wash even in the dishwasher. Well, the cute little design from Porsche and the possibility of vertical storage - it’s just so handsome. Once you’ve played enough, put it in a corner, and then you’ll definitely take it out again someday.</v>
      </c>
    </row>
    <row r="13975" spans="1:9" x14ac:dyDescent="0.3">
      <c r="A13975" s="1" t="s">
        <v>95</v>
      </c>
      <c r="B13975" s="1" t="s">
        <v>227</v>
      </c>
      <c r="C13975" s="1" t="s">
        <v>97</v>
      </c>
      <c r="D13975" s="1" t="s">
        <v>679</v>
      </c>
      <c r="E13975" s="1" t="s">
        <v>1201</v>
      </c>
      <c r="F13975" s="1" t="s">
        <v>19367</v>
      </c>
      <c r="G13975" s="1" t="s">
        <v>36</v>
      </c>
      <c r="H13975" s="1" t="s">
        <v>29</v>
      </c>
      <c r="I13975" s="1" t="str">
        <f ca="1">IFERROR(__xludf.DUMMYFUNCTION("GOOGLETRANSLATE(F13975, ""auto"", ""en"")
"),"THEME ATTACHMENT")</f>
        <v>THEME ATTACHMENT</v>
      </c>
    </row>
    <row r="13976" spans="1:9" x14ac:dyDescent="0.3">
      <c r="A13976" s="1" t="s">
        <v>17</v>
      </c>
      <c r="B13976" s="1" t="s">
        <v>18</v>
      </c>
      <c r="C13976" s="1" t="s">
        <v>24</v>
      </c>
      <c r="D13976" s="1" t="s">
        <v>327</v>
      </c>
      <c r="E13976" s="1" t="s">
        <v>9995</v>
      </c>
      <c r="F13976" s="1" t="s">
        <v>19368</v>
      </c>
      <c r="G13976" s="1" t="s">
        <v>15</v>
      </c>
      <c r="H13976" s="1" t="s">
        <v>16</v>
      </c>
      <c r="I13976" s="1" t="str">
        <f ca="1">IFERROR(__xludf.DUMMYFUNCTION("GOOGLETRANSLATE(F13976, ""auto"", ""en"")
"),"After purchasing and installing the washing machine, during washing it always gave some kind of error, at first they thought that it was connected incorrectly, but everything was connected correctly. This is how she did the laundry - sometimes I wanted it"&amp;", sometimes I didn’t (she had her own character) for almost 1.5 years! Until I completely refused to wash it! After checking in the workshop, two interesting things turned out!  The 1st “brains” is Zanussi from Electrolux.   2nd it turned out that this wa"&amp;"s a factory defect.  Conclusion: for that kind of money you can buy something else and more reliable.")</f>
        <v>After purchasing and installing the washing machine, during washing it always gave some kind of error, at first they thought that it was connected incorrectly, but everything was connected correctly. This is how she did the laundry - sometimes I wanted it, sometimes I didn’t (she had her own character) for almost 1.5 years! Until I completely refused to wash it! After checking in the workshop, two interesting things turned out!  The 1st “brains” is Zanussi from Electrolux.   2nd it turned out that this was a factory defect.  Conclusion: for that kind of money you can buy something else and more reliable.</v>
      </c>
    </row>
    <row r="13977" spans="1:9" x14ac:dyDescent="0.3">
      <c r="A13977" s="1" t="s">
        <v>55</v>
      </c>
      <c r="B13977" s="1" t="s">
        <v>84</v>
      </c>
      <c r="C13977" s="1" t="s">
        <v>85</v>
      </c>
      <c r="D13977" s="1" t="s">
        <v>4281</v>
      </c>
      <c r="E13977" s="1" t="s">
        <v>2981</v>
      </c>
      <c r="F13977" s="1" t="s">
        <v>19369</v>
      </c>
      <c r="G13977" s="1" t="s">
        <v>36</v>
      </c>
      <c r="H13977" s="1" t="s">
        <v>29</v>
      </c>
      <c r="I13977" s="1" t="str">
        <f ca="1">IFERROR(__xludf.DUMMYFUNCTION("GOOGLETRANSLATE(F13977, ""auto"", ""en"")
"),"convenience, efficiency, ease of use")</f>
        <v>convenience, efficiency, ease of use</v>
      </c>
    </row>
    <row r="13978" spans="1:9" x14ac:dyDescent="0.3">
      <c r="A13978" s="1" t="s">
        <v>61</v>
      </c>
      <c r="B13978" s="1" t="s">
        <v>318</v>
      </c>
      <c r="C13978" s="1" t="s">
        <v>57</v>
      </c>
      <c r="D13978" s="1" t="s">
        <v>4768</v>
      </c>
      <c r="E13978" s="1" t="s">
        <v>2228</v>
      </c>
      <c r="F13978" s="1" t="s">
        <v>19370</v>
      </c>
      <c r="G13978" s="1" t="s">
        <v>36</v>
      </c>
      <c r="H13978" s="1" t="s">
        <v>29</v>
      </c>
      <c r="I13978" s="1" t="str">
        <f ca="1">IFERROR(__xludf.DUMMYFUNCTION("GOOGLETRANSLATE(F13978, ""auto"", ""en"")
"),"I really liked it. Boils water quickly, no unnecessary odors. Quiet and looks great in the kitchen. I recommend this kettle to everyone.")</f>
        <v>I really liked it. Boils water quickly, no unnecessary odors. Quiet and looks great in the kitchen. I recommend this kettle to everyone.</v>
      </c>
    </row>
    <row r="13979" spans="1:9" x14ac:dyDescent="0.3">
      <c r="A13979" s="1" t="s">
        <v>965</v>
      </c>
      <c r="B13979" s="1" t="s">
        <v>966</v>
      </c>
      <c r="C13979" s="1" t="s">
        <v>2220</v>
      </c>
      <c r="D13979" s="1" t="s">
        <v>33</v>
      </c>
      <c r="E13979" s="1" t="s">
        <v>808</v>
      </c>
      <c r="F13979" s="1" t="s">
        <v>19371</v>
      </c>
      <c r="G13979" s="1" t="s">
        <v>15</v>
      </c>
      <c r="H13979" s="1" t="s">
        <v>16</v>
      </c>
      <c r="I13979" s="1" t="str">
        <f ca="1">IFERROR(__xludf.DUMMYFUNCTION("GOOGLETRANSLATE(F13979, ""auto"", ""en"")
"),"The speakers were bad, they didn’t last even six months, at first they began to wheeze, and then they completely broke.")</f>
        <v>The speakers were bad, they didn’t last even six months, at first they began to wheeze, and then they completely broke.</v>
      </c>
    </row>
    <row r="13980" spans="1:9" x14ac:dyDescent="0.3">
      <c r="A13980" s="1" t="s">
        <v>37</v>
      </c>
      <c r="B13980" s="1" t="s">
        <v>38</v>
      </c>
      <c r="C13980" s="1" t="s">
        <v>163</v>
      </c>
      <c r="D13980" s="1" t="s">
        <v>19372</v>
      </c>
      <c r="E13980" s="1" t="s">
        <v>969</v>
      </c>
      <c r="F13980" s="1" t="s">
        <v>19373</v>
      </c>
      <c r="G13980" s="1" t="s">
        <v>36</v>
      </c>
      <c r="H13980" s="1" t="s">
        <v>29</v>
      </c>
      <c r="I13980" s="1" t="str">
        <f ca="1">IFERROR(__xludf.DUMMYFUNCTION("GOOGLETRANSLATE(F13980, ""auto"", ""en"")
"),"The best phone! I first bought this model at the end of 2008. I was very happy. High-quality assembly, necessary functions without any unnecessary bells and whistles that are now crammed into all phones. Unfortunately, the phone did not last long, because"&amp;"... On vacation, I accidentally filled it with water, but didn’t think to dry it. Now it's on the table. I was looking for an alternative to him. I never found it, so I bought the same one (red) six months later. I still go with him. The front panel is co"&amp;"nstantly falling off, but I still can’t change it. I'm very used to it. Probably soon I will assemble one new one from that drowned one and this new one. This phone is love forever)))")</f>
        <v>The best phone! I first bought this model at the end of 2008. I was very happy. High-quality assembly, necessary functions without any unnecessary bells and whistles that are now crammed into all phones. Unfortunately, the phone did not last long, because... On vacation, I accidentally filled it with water, but didn’t think to dry it. Now it's on the table. I was looking for an alternative to him. I never found it, so I bought the same one (red) six months later. I still go with him. The front panel is constantly falling off, but I still can’t change it. I'm very used to it. Probably soon I will assemble one new one from that drowned one and this new one. This phone is love forever)))</v>
      </c>
    </row>
    <row r="13981" spans="1:9" x14ac:dyDescent="0.3">
      <c r="A13981" s="1" t="s">
        <v>61</v>
      </c>
      <c r="B13981" s="1" t="s">
        <v>224</v>
      </c>
      <c r="C13981" s="1" t="s">
        <v>85</v>
      </c>
      <c r="D13981" s="1" t="s">
        <v>19374</v>
      </c>
      <c r="E13981" s="1" t="s">
        <v>14473</v>
      </c>
      <c r="F13981" s="1" t="s">
        <v>19375</v>
      </c>
      <c r="G13981" s="1" t="s">
        <v>49</v>
      </c>
      <c r="H13981" s="1" t="s">
        <v>16</v>
      </c>
      <c r="I13981" s="1" t="str">
        <f ca="1">IFERROR(__xludf.DUMMYFUNCTION("GOOGLETRANSLATE(F13981, ""auto"", ""en"")
"),"It squeezes out very poorly. Juice flows from the pulp. Pieces of vegetables fly into the container. The examination said that everything corresponds to the declared parameters. This non-squeezer is not worth that kind of money. You don’t want to use it, "&amp;"but don’t throw away that much money?")</f>
        <v>It squeezes out very poorly. Juice flows from the pulp. Pieces of vegetables fly into the container. The examination said that everything corresponds to the declared parameters. This non-squeezer is not worth that kind of money. You don’t want to use it, but don’t throw away that much money?</v>
      </c>
    </row>
    <row r="13982" spans="1:9" x14ac:dyDescent="0.3">
      <c r="A13982" s="1" t="s">
        <v>89</v>
      </c>
      <c r="B13982" s="1" t="s">
        <v>231</v>
      </c>
      <c r="C13982" s="1" t="s">
        <v>185</v>
      </c>
      <c r="D13982" s="1" t="s">
        <v>1890</v>
      </c>
      <c r="E13982" s="1" t="s">
        <v>3735</v>
      </c>
      <c r="F13982" s="1" t="s">
        <v>19376</v>
      </c>
      <c r="G13982" s="1" t="s">
        <v>36</v>
      </c>
      <c r="H13982" s="1" t="s">
        <v>29</v>
      </c>
      <c r="I13982" s="1" t="str">
        <f ca="1">IFERROR(__xludf.DUMMYFUNCTION("GOOGLETRANSLATE(F13982, ""auto"", ""en"")
"),"We bought a coffee machine on January 27, 2016 in Kolomna, because... It was not available in our city, it was on sale, we are very happy! What they write is that it is very noisy, but a regular coffee grinder is not nearly as quiet. I look now it’s 18 th"&amp;"ousand more expensive, I’m very glad that I bought it on time, the coffee is excellent, and the cappuccino is divine!")</f>
        <v>We bought a coffee machine on January 27, 2016 in Kolomna, because... It was not available in our city, it was on sale, we are very happy! What they write is that it is very noisy, but a regular coffee grinder is not nearly as quiet. I look now it’s 18 thousand more expensive, I’m very glad that I bought it on time, the coffee is excellent, and the cappuccino is divine!</v>
      </c>
    </row>
    <row r="13983" spans="1:9" x14ac:dyDescent="0.3">
      <c r="A13983" s="1" t="s">
        <v>169</v>
      </c>
      <c r="B13983" s="1" t="s">
        <v>170</v>
      </c>
      <c r="C13983" s="1" t="s">
        <v>122</v>
      </c>
      <c r="D13983" s="1" t="s">
        <v>474</v>
      </c>
      <c r="E13983" s="1" t="s">
        <v>1063</v>
      </c>
      <c r="F13983" s="1" t="s">
        <v>19377</v>
      </c>
      <c r="G13983" s="1" t="s">
        <v>36</v>
      </c>
      <c r="H13983" s="1" t="s">
        <v>29</v>
      </c>
      <c r="I13983" s="1" t="str">
        <f ca="1">IFERROR(__xludf.DUMMYFUNCTION("GOOGLETRANSLATE(F13983, ""auto"", ""en"")
"),"Great headphones! They lasted me the longest - a whole year, the other day one of the headphones stopped working... It’s a shame, but I’ll buy the same ones.")</f>
        <v>Great headphones! They lasted me the longest - a whole year, the other day one of the headphones stopped working... It’s a shame, but I’ll buy the same ones.</v>
      </c>
    </row>
    <row r="13984" spans="1:9" x14ac:dyDescent="0.3">
      <c r="A13984" s="1" t="s">
        <v>55</v>
      </c>
      <c r="B13984" s="1" t="s">
        <v>3549</v>
      </c>
      <c r="C13984" s="1" t="s">
        <v>57</v>
      </c>
      <c r="D13984" s="1" t="s">
        <v>39</v>
      </c>
      <c r="E13984" s="1" t="s">
        <v>2341</v>
      </c>
      <c r="F13984" s="1" t="s">
        <v>19378</v>
      </c>
      <c r="G13984" s="1" t="s">
        <v>28</v>
      </c>
      <c r="H13984" s="1" t="s">
        <v>29</v>
      </c>
      <c r="I13984" s="1" t="str">
        <f ca="1">IFERROR(__xludf.DUMMYFUNCTION("GOOGLETRANSLATE(F13984, ""auto"", ""en"")
"),"I recently purchased the Vitek VT-2342 air purification device, so only first impressions: Pros: 1 affordable price 2 there is an air ionizer, and it is quite effective 3 a photo catalytic cleaning lamp is present and working, the main thing is not to ove"&amp;"rdo it with the exposure, 15-20 minutes is enough for a room of 20 square meters.         4 informative display with a pleasant blue glow 5 remote control Cons: 1 is quite noisy starting from the third stage of fan speed 2 in auto mode the operation of th"&amp;"e sensor for the presence of odors in the air is unclear, it thrashes at full blast, it is possible that it reacts to carbon dioxide, ventilate the room more often 3 the situation with replaceable filters is unclear, there are several of them, and accordi"&amp;"ng to the instructions they need to be changed after 6 months, unfortunately I did not see them on the shelves for this model, but the consultant He explained rather vaguely about the existence of some universal carbon filters, from which you can create a"&amp;" filter of the desired size yourself.    Conclusion: The device corresponds to its price, is generally good, but the issue with replaceable filters needs to be resolved, which is what I wish for the managers of M.Video.  All the best.")</f>
        <v>I recently purchased the Vitek VT-2342 air purification device, so only first impressions: Pros: 1 affordable price 2 there is an air ionizer, and it is quite effective 3 a photo catalytic cleaning lamp is present and working, the main thing is not to overdo it with the exposure, 15-20 minutes is enough for a room of 20 square meters.         4 informative display with a pleasant blue glow 5 remote control Cons: 1 is quite noisy starting from the third stage of fan speed 2 in auto mode the operation of the sensor for the presence of odors in the air is unclear, it thrashes at full blast, it is possible that it reacts to carbon dioxide, ventilate the room more often 3 the situation with replaceable filters is unclear, there are several of them, and according to the instructions they need to be changed after 6 months, unfortunately I did not see them on the shelves for this model, but the consultant He explained rather vaguely about the existence of some universal carbon filters, from which you can create a filter of the desired size yourself.    Conclusion: The device corresponds to its price, is generally good, but the issue with replaceable filters needs to be resolved, which is what I wish for the managers of M.Video.  All the best.</v>
      </c>
    </row>
    <row r="13985" spans="1:9" x14ac:dyDescent="0.3">
      <c r="A13985" s="1" t="s">
        <v>120</v>
      </c>
      <c r="B13985" s="1" t="s">
        <v>126</v>
      </c>
      <c r="C13985" s="1" t="s">
        <v>122</v>
      </c>
      <c r="D13985" s="1" t="s">
        <v>52</v>
      </c>
      <c r="E13985" s="1" t="s">
        <v>1219</v>
      </c>
      <c r="F13985" s="1" t="s">
        <v>19379</v>
      </c>
      <c r="G13985" s="1" t="s">
        <v>28</v>
      </c>
      <c r="H13985" s="1" t="s">
        <v>29</v>
      </c>
      <c r="I13985" s="1" t="str">
        <f ca="1">IFERROR(__xludf.DUMMYFUNCTION("GOOGLETRANSLATE(F13985, ""auto"", ""en"")
"),"I recently purchased this device. What are the conclusions? The broadcast channels are not shown very clearly, there is blurriness, although this is probably the case with all plasmas. The picture when viewed from a DVD is shown better through S-video tha"&amp;"n through HDMI. Much clearer and more contrasting, no matter how I set it up through HDMI, it’s darker somehow, maybe it will be better through Blu-ray, but so far there is no such thing. No other critical shortcomings seem to have been found")</f>
        <v>I recently purchased this device. What are the conclusions? The broadcast channels are not shown very clearly, there is blurriness, although this is probably the case with all plasmas. The picture when viewed from a DVD is shown better through S-video than through HDMI. Much clearer and more contrasting, no matter how I set it up through HDMI, it’s darker somehow, maybe it will be better through Blu-ray, but so far there is no such thing. No other critical shortcomings seem to have been found</v>
      </c>
    </row>
    <row r="13986" spans="1:9" x14ac:dyDescent="0.3">
      <c r="A13986" s="1" t="s">
        <v>30</v>
      </c>
      <c r="B13986" s="1" t="s">
        <v>50</v>
      </c>
      <c r="C13986" s="1" t="s">
        <v>151</v>
      </c>
      <c r="D13986" s="1" t="s">
        <v>81</v>
      </c>
      <c r="E13986" s="1" t="s">
        <v>2640</v>
      </c>
      <c r="F13986" s="1" t="s">
        <v>19380</v>
      </c>
      <c r="G13986" s="1" t="s">
        <v>36</v>
      </c>
      <c r="H13986" s="1" t="s">
        <v>29</v>
      </c>
      <c r="I13986" s="1" t="str">
        <f ca="1">IFERROR(__xludf.DUMMYFUNCTION("GOOGLETRANSLATE(F13986, ""auto"", ""en"")
"),"small, compact, cool netbook The biggest advantage is that it can work for a long time!!!! I've been using it for six months. works great good thing. I recommend it to everyone")</f>
        <v>small, compact, cool netbook The biggest advantage is that it can work for a long time!!!! I've been using it for six months. works great good thing. I recommend it to everyone</v>
      </c>
    </row>
    <row r="13987" spans="1:9" x14ac:dyDescent="0.3">
      <c r="A13987" s="1" t="s">
        <v>67</v>
      </c>
      <c r="B13987" s="1" t="s">
        <v>68</v>
      </c>
      <c r="C13987" s="1" t="s">
        <v>246</v>
      </c>
      <c r="D13987" s="1" t="s">
        <v>113</v>
      </c>
      <c r="E13987" s="1" t="s">
        <v>3494</v>
      </c>
      <c r="F13987" s="1" t="s">
        <v>19381</v>
      </c>
      <c r="G13987" s="1" t="s">
        <v>36</v>
      </c>
      <c r="H13987" s="1" t="s">
        <v>29</v>
      </c>
      <c r="I13987" s="1" t="str">
        <f ca="1">IFERROR(__xludf.DUMMYFUNCTION("GOOGLETRANSLATE(F13987, ""auto"", ""en"")
"),"I bought it yesterday, before I bought it, I read the customer reviews, I don’t regret it, it irons perfectly!!! it doesn’t burn, I liked the sole the most, and the price is reasonable, it’s not inferior to the expensive ones, I recommend it!!!")</f>
        <v>I bought it yesterday, before I bought it, I read the customer reviews, I don’t regret it, it irons perfectly!!! it doesn’t burn, I liked the sole the most, and the price is reasonable, it’s not inferior to the expensive ones, I recommend it!!!</v>
      </c>
    </row>
    <row r="13988" spans="1:9" x14ac:dyDescent="0.3">
      <c r="A13988" s="1" t="s">
        <v>61</v>
      </c>
      <c r="B13988" s="1" t="s">
        <v>145</v>
      </c>
      <c r="C13988" s="1" t="s">
        <v>246</v>
      </c>
      <c r="D13988" s="1" t="s">
        <v>1289</v>
      </c>
      <c r="E13988" s="1" t="s">
        <v>610</v>
      </c>
      <c r="F13988" s="1" t="s">
        <v>19382</v>
      </c>
      <c r="G13988" s="1" t="s">
        <v>36</v>
      </c>
      <c r="H13988" s="1" t="s">
        <v>29</v>
      </c>
      <c r="I13988" s="1" t="str">
        <f ca="1">IFERROR(__xludf.DUMMYFUNCTION("GOOGLETRANSLATE(F13988, ""auto"", ""en"")
"),"This is a miracle thing! Previously, we had an old regular opener with a wooden handle, made in the USSR, the handle had already turned black, and the opener looked terrible, but the knife was good, it opened well (for a manual opener), but dad decided to"&amp;" throw it away - Scary! Then we had about 7 different manual openers of different types, and, believe it or not, not a single one was normal: sometimes it breaks, sometimes it’s dull, sometimes it’s inconvenient, etc. They advised us to take a manual open"&amp;"er for 1200 rubles, but the toad strangled us. And then one day, while browsing the M.Video website and choosing what to take for bonus rubles, I came across this opener and read the reviews. I think: Well, it was, it wasn’t! People advise... let's try, i"&amp;"f anything happens, we can return it. We grabbed this device, bought a can of corn - and tested it! The instructions are not very clear, there is no drawing of how the jar should be, in short, we somehow figured it out. And this is a miracle! I opened the"&amp;" cans as if there was nothing to do. No effort! Carefully, clearly, without injuries, dirt, casualties, screaming. 10 seconds - and you're done. They watched with their mouths open. Then they took the most hopeless knife (a cheap ordinary knife, it used t"&amp;"o cut, then gave it to a master for sharpening, it cut for another 2 weeks, then again it became completely stupid) and put it through this miracle 2 times - the blade of the knife began to shine. I'm pleasantly shocked. The dullest knife now cuts soft br"&amp;"ead without any problems! Believe me, you won’t mind that kind of money for this miracle. Thanks M.Video! Take it without hesitation!")</f>
        <v>This is a miracle thing! Previously, we had an old regular opener with a wooden handle, made in the USSR, the handle had already turned black, and the opener looked terrible, but the knife was good, it opened well (for a manual opener), but dad decided to throw it away - Scary! Then we had about 7 different manual openers of different types, and, believe it or not, not a single one was normal: sometimes it breaks, sometimes it’s dull, sometimes it’s inconvenient, etc. They advised us to take a manual opener for 1200 rubles, but the toad strangled us. And then one day, while browsing the M.Video website and choosing what to take for bonus rubles, I came across this opener and read the reviews. I think: Well, it was, it wasn’t! People advise... let's try, if anything happens, we can return it. We grabbed this device, bought a can of corn - and tested it! The instructions are not very clear, there is no drawing of how the jar should be, in short, we somehow figured it out. And this is a miracle! I opened the cans as if there was nothing to do. No effort! Carefully, clearly, without injuries, dirt, casualties, screaming. 10 seconds - and you're done. They watched with their mouths open. Then they took the most hopeless knife (a cheap ordinary knife, it used to cut, then gave it to a master for sharpening, it cut for another 2 weeks, then again it became completely stupid) and put it through this miracle 2 times - the blade of the knife began to shine. I'm pleasantly shocked. The dullest knife now cuts soft bread without any problems! Believe me, you won’t mind that kind of money for this miracle. Thanks M.Video! Take it without hesitation!</v>
      </c>
    </row>
    <row r="13989" spans="1:9" x14ac:dyDescent="0.3">
      <c r="A13989" s="1" t="s">
        <v>17</v>
      </c>
      <c r="B13989" s="1" t="s">
        <v>18</v>
      </c>
      <c r="C13989" s="1" t="s">
        <v>80</v>
      </c>
      <c r="D13989" s="1" t="s">
        <v>152</v>
      </c>
      <c r="E13989" s="1" t="s">
        <v>3313</v>
      </c>
      <c r="F13989" s="1" t="s">
        <v>19383</v>
      </c>
      <c r="G13989" s="1" t="s">
        <v>36</v>
      </c>
      <c r="H13989" s="1" t="s">
        <v>29</v>
      </c>
      <c r="I13989" s="1" t="str">
        <f ca="1">IFERROR(__xludf.DUMMYFUNCTION("GOOGLETRANSLATE(F13989, ""auto"", ""en"")
"),"My wife and I immediately came across this device.  Fell in love and bought it!   It washes everything for six months and there are no problems and it’s so quiet that you look into the bath and does it wash?) In short, we’re happy)")</f>
        <v>My wife and I immediately came across this device.  Fell in love and bought it!   It washes everything for six months and there are no problems and it’s so quiet that you look into the bath and does it wash?) In short, we’re happy)</v>
      </c>
    </row>
    <row r="13990" spans="1:9" x14ac:dyDescent="0.3">
      <c r="A13990" s="1" t="s">
        <v>211</v>
      </c>
      <c r="B13990" s="1" t="s">
        <v>410</v>
      </c>
      <c r="C13990" s="1" t="s">
        <v>57</v>
      </c>
      <c r="D13990" s="1" t="s">
        <v>305</v>
      </c>
      <c r="E13990" s="1" t="s">
        <v>7558</v>
      </c>
      <c r="F13990" s="1" t="s">
        <v>19384</v>
      </c>
      <c r="G13990" s="1" t="s">
        <v>28</v>
      </c>
      <c r="H13990" s="1" t="s">
        <v>29</v>
      </c>
      <c r="I13990" s="1" t="str">
        <f ca="1">IFERROR(__xludf.DUMMYFUNCTION("GOOGLETRANSLATE(F13990, ""auto"", ""en"")
"),"I shave with Vitek with a charge level indicator. One piece of advice: periodically lubricate your knives or shave wet stubble and everything will be easy and simple.")</f>
        <v>I shave with Vitek with a charge level indicator. One piece of advice: periodically lubricate your knives or shave wet stubble and everything will be easy and simple.</v>
      </c>
    </row>
    <row r="13991" spans="1:9" x14ac:dyDescent="0.3">
      <c r="A13991" s="1" t="s">
        <v>95</v>
      </c>
      <c r="B13991" s="1" t="s">
        <v>227</v>
      </c>
      <c r="C13991" s="1" t="s">
        <v>97</v>
      </c>
      <c r="D13991" s="1" t="s">
        <v>19385</v>
      </c>
      <c r="E13991" s="1" t="s">
        <v>259</v>
      </c>
      <c r="F13991" s="1" t="s">
        <v>19386</v>
      </c>
      <c r="G13991" s="1" t="s">
        <v>36</v>
      </c>
      <c r="H13991" s="1" t="s">
        <v>29</v>
      </c>
      <c r="I13991" s="1" t="str">
        <f ca="1">IFERROR(__xludf.DUMMYFUNCTION("GOOGLETRANSLATE(F13991, ""auto"", ""en"")
"),"I've been dreaming about a console for a long time, I couldn't choose between this and the Xbox. Still, I settled on PS3, and I don’t regret my choice at all! A wonderful console, DVD and Blue-ray player, and of course great games (Heavy Rain, Uncharted 2"&amp;")!  It works very quietly, the gamepad is comfortable and light. Overall, an excellent purchase not only for the avid gamer, but also for the whole family!")</f>
        <v>I've been dreaming about a console for a long time, I couldn't choose between this and the Xbox. Still, I settled on PS3, and I don’t regret my choice at all! A wonderful console, DVD and Blue-ray player, and of course great games (Heavy Rain, Uncharted 2)!  It works very quietly, the gamepad is comfortable and light. Overall, an excellent purchase not only for the avid gamer, but also for the whole family!</v>
      </c>
    </row>
    <row r="13992" spans="1:9" x14ac:dyDescent="0.3">
      <c r="A13992" s="1" t="s">
        <v>17</v>
      </c>
      <c r="B13992" s="1" t="s">
        <v>18</v>
      </c>
      <c r="C13992" s="1" t="s">
        <v>159</v>
      </c>
      <c r="D13992" s="1" t="s">
        <v>19387</v>
      </c>
      <c r="E13992" s="1" t="s">
        <v>643</v>
      </c>
      <c r="F13992" s="1" t="s">
        <v>19388</v>
      </c>
      <c r="G13992" s="1" t="s">
        <v>36</v>
      </c>
      <c r="H13992" s="1" t="s">
        <v>29</v>
      </c>
      <c r="I13992" s="1" t="str">
        <f ca="1">IFERROR(__xludf.DUMMYFUNCTION("GOOGLETRANSLATE(F13992, ""auto"", ""en"")
"),"It took me a long time to choose because I decided to approach the topic very thoroughly. I didn't make a mistake. The white princess took pride of place in the bathroom. At the same time, she turned out to be very slender, but with a deep inner world.  I"&amp;"ts volumes are normal, but its dimensions are very modest.    Very strict stylish look, controls are top five. There is a sea of ​​programs. They are chosen intuitively (even for a guy who has been spinning the “puck” on another machine for 10 years in a "&amp;"row, knowing only one program). The time manager turned out to be a very useful thing; you can always see how much time is left until the end of the wash, plus the ability to adjust it. A glamorous bonus is the beautiful lighting, especially in the dark. "&amp;"   No cons were noticed. Except perhaps a very light powder tray. There really is no fixation, but it doesn’t move out on its own due to vibration.  The hoses are no longer or shorter than on other machines. Quite sufficient for connection.  The assembly "&amp;"is smooth, I did not find any distortions.    It washes perfectly. He is greedy about water, which was a little surprising at first. But then I got used to it. This does not affect the quality; the powder rinses out very well.   Quiet. The washing process"&amp;" itself cannot be heard through the open bathroom door. The spin is audible. Especially overclocking. 1200 rpm is very, very large. But again, the volume is at an acceptable level at night.     She made no attempts to escape from the bathroom. When an imb"&amp;"alance appears, the machine slows down and begins to rearrange the laundry in the drum, looking for a comfortable position. Useful - I think so.     The result is an honest five. Mine is happy.")</f>
        <v>It took me a long time to choose because I decided to approach the topic very thoroughly. I didn't make a mistake. The white princess took pride of place in the bathroom. At the same time, she turned out to be very slender, but with a deep inner world.  Its volumes are normal, but its dimensions are very modest.    Very strict stylish look, controls are top five. There is a sea of ​​programs. They are chosen intuitively (even for a guy who has been spinning the “puck” on another machine for 10 years in a row, knowing only one program). The time manager turned out to be a very useful thing; you can always see how much time is left until the end of the wash, plus the ability to adjust it. A glamorous bonus is the beautiful lighting, especially in the dark.    No cons were noticed. Except perhaps a very light powder tray. There really is no fixation, but it doesn’t move out on its own due to vibration.  The hoses are no longer or shorter than on other machines. Quite sufficient for connection.  The assembly is smooth, I did not find any distortions.    It washes perfectly. He is greedy about water, which was a little surprising at first. But then I got used to it. This does not affect the quality; the powder rinses out very well.   Quiet. The washing process itself cannot be heard through the open bathroom door. The spin is audible. Especially overclocking. 1200 rpm is very, very large. But again, the volume is at an acceptable level at night.     She made no attempts to escape from the bathroom. When an imbalance appears, the machine slows down and begins to rearrange the laundry in the drum, looking for a comfortable position. Useful - I think so.     The result is an honest five. Mine is happy.</v>
      </c>
    </row>
    <row r="13993" spans="1:9" x14ac:dyDescent="0.3">
      <c r="A13993" s="1" t="s">
        <v>17</v>
      </c>
      <c r="B13993" s="1" t="s">
        <v>18</v>
      </c>
      <c r="C13993" s="1" t="s">
        <v>885</v>
      </c>
      <c r="D13993" s="1" t="s">
        <v>14160</v>
      </c>
      <c r="E13993" s="1" t="s">
        <v>659</v>
      </c>
      <c r="F13993" s="1" t="s">
        <v>19389</v>
      </c>
      <c r="G13993" s="1" t="s">
        <v>28</v>
      </c>
      <c r="H13993" s="1" t="s">
        <v>29</v>
      </c>
      <c r="I13993" s="1" t="str">
        <f ca="1">IFERROR(__xludf.DUMMYFUNCTION("GOOGLETRANSLATE(F13993, ""auto"", ""en"")
"),"I would like innovation in design, but what can I say, it’s a nice little machine, modest...")</f>
        <v>I would like innovation in design, but what can I say, it’s a nice little machine, modest...</v>
      </c>
    </row>
    <row r="13994" spans="1:9" x14ac:dyDescent="0.3">
      <c r="A13994" s="1" t="s">
        <v>211</v>
      </c>
      <c r="B13994" s="1" t="s">
        <v>856</v>
      </c>
      <c r="C13994" s="1" t="s">
        <v>57</v>
      </c>
      <c r="D13994" s="1" t="s">
        <v>658</v>
      </c>
      <c r="E13994" s="1" t="s">
        <v>12829</v>
      </c>
      <c r="F13994" s="1" t="s">
        <v>19390</v>
      </c>
      <c r="G13994" s="1" t="s">
        <v>36</v>
      </c>
      <c r="H13994" s="1" t="s">
        <v>29</v>
      </c>
      <c r="I13994" s="1" t="str">
        <f ca="1">IFERROR(__xludf.DUMMYFUNCTION("GOOGLETRANSLATE(F13994, ""auto"", ""en"")
"),"I really liked it. Good price. The difference in the models is mainly in the number of attachments, this model has one attachment, but this is not the main thing.")</f>
        <v>I really liked it. Good price. The difference in the models is mainly in the number of attachments, this model has one attachment, but this is not the main thing.</v>
      </c>
    </row>
    <row r="13995" spans="1:9" x14ac:dyDescent="0.3">
      <c r="A13995" s="1" t="s">
        <v>120</v>
      </c>
      <c r="B13995" s="1" t="s">
        <v>256</v>
      </c>
      <c r="C13995" s="1" t="s">
        <v>69</v>
      </c>
      <c r="D13995" s="1" t="s">
        <v>33</v>
      </c>
      <c r="E13995" s="1" t="s">
        <v>201</v>
      </c>
      <c r="F13995" s="1" t="s">
        <v>19391</v>
      </c>
      <c r="G13995" s="1" t="s">
        <v>15</v>
      </c>
      <c r="H13995" s="1" t="s">
        <v>16</v>
      </c>
      <c r="I13995" s="1" t="str">
        <f ca="1">IFERROR(__xludf.DUMMYFUNCTION("GOOGLETRANSLATE(F13995, ""auto"", ""en"")
"),"It was purchased 1 year ago, from the very beginning there were problems with sound. We took it to repair, they looked at it, they said initially the case was defective, at half the sound the case begins to rattle. I had to invent linings and gaskets myse"&amp;"lf. In general, like everything Russian, it was assembled clumsily - so a monkey would assemble it from beautiful parts. don't take it!!!!!")</f>
        <v>It was purchased 1 year ago, from the very beginning there were problems with sound. We took it to repair, they looked at it, they said initially the case was defective, at half the sound the case begins to rattle. I had to invent linings and gaskets myself. In general, like everything Russian, it was assembled clumsily - so a monkey would assemble it from beautiful parts. don't take it!!!!!</v>
      </c>
    </row>
    <row r="13996" spans="1:9" x14ac:dyDescent="0.3">
      <c r="A13996" s="1" t="s">
        <v>43</v>
      </c>
      <c r="B13996" s="1" t="s">
        <v>502</v>
      </c>
      <c r="C13996" s="1" t="s">
        <v>1627</v>
      </c>
      <c r="D13996" s="1" t="s">
        <v>308</v>
      </c>
      <c r="E13996" s="1" t="s">
        <v>19392</v>
      </c>
      <c r="F13996" s="1" t="s">
        <v>19393</v>
      </c>
      <c r="G13996" s="1" t="s">
        <v>49</v>
      </c>
      <c r="H13996" s="1" t="s">
        <v>16</v>
      </c>
      <c r="I13996" s="1" t="str">
        <f ca="1">IFERROR(__xludf.DUMMYFUNCTION("GOOGLETRANSLATE(F13996, ""auto"", ""en"")
"),"Six months later it stopped fulfilling its task. It started making strange sounds and barely cools at all, it blows like a fan. No matter what mode you set it to, it blows the same thing. I don't recommend taking it.")</f>
        <v>Six months later it stopped fulfilling its task. It started making strange sounds and barely cools at all, it blows like a fan. No matter what mode you set it to, it blows the same thing. I don't recommend taking it.</v>
      </c>
    </row>
    <row r="13997" spans="1:9" x14ac:dyDescent="0.3">
      <c r="A13997" s="1" t="s">
        <v>149</v>
      </c>
      <c r="B13997" s="1" t="s">
        <v>155</v>
      </c>
      <c r="C13997" s="1" t="s">
        <v>101</v>
      </c>
      <c r="D13997" s="1" t="s">
        <v>875</v>
      </c>
      <c r="E13997" s="1" t="s">
        <v>15861</v>
      </c>
      <c r="F13997" s="1" t="s">
        <v>19394</v>
      </c>
      <c r="G13997" s="1" t="s">
        <v>28</v>
      </c>
      <c r="H13997" s="1" t="s">
        <v>29</v>
      </c>
      <c r="I13997" s="1" t="str">
        <f ca="1">IFERROR(__xludf.DUMMYFUNCTION("GOOGLETRANSLATE(F13997, ""auto"", ""en"")
"),"A good vacuum cleaner for the money. I bought it in February 2009, I still use it, I haven’t changed the filter yet, although it’s worth going for a new one, but otherwise I’m happy with it, it does its job.")</f>
        <v>A good vacuum cleaner for the money. I bought it in February 2009, I still use it, I haven’t changed the filter yet, although it’s worth going for a new one, but otherwise I’m happy with it, it does its job.</v>
      </c>
    </row>
    <row r="13998" spans="1:9" x14ac:dyDescent="0.3">
      <c r="A13998" s="1" t="s">
        <v>211</v>
      </c>
      <c r="B13998" s="1" t="s">
        <v>212</v>
      </c>
      <c r="C13998" s="1" t="s">
        <v>294</v>
      </c>
      <c r="D13998" s="1" t="s">
        <v>5479</v>
      </c>
      <c r="E13998" s="1" t="s">
        <v>1148</v>
      </c>
      <c r="F13998" s="1" t="s">
        <v>19395</v>
      </c>
      <c r="G13998" s="1" t="s">
        <v>36</v>
      </c>
      <c r="H13998" s="1" t="s">
        <v>29</v>
      </c>
      <c r="I13998" s="1" t="str">
        <f ca="1">IFERROR(__xludf.DUMMYFUNCTION("GOOGLETRANSLATE(F13998, ""auto"", ""en"")
"),"Wonderful electric tongs. In 15 minutes the installation was ready. heat up quickly, quickly form curls, there is a thermal cover included, the wire does not get tangled!")</f>
        <v>Wonderful electric tongs. In 15 minutes the installation was ready. heat up quickly, quickly form curls, there is a thermal cover included, the wire does not get tangled!</v>
      </c>
    </row>
    <row r="13999" spans="1:9" x14ac:dyDescent="0.3">
      <c r="A13999" s="1" t="s">
        <v>169</v>
      </c>
      <c r="B13999" s="1" t="s">
        <v>170</v>
      </c>
      <c r="C13999" s="1" t="s">
        <v>193</v>
      </c>
      <c r="D13999" s="1" t="s">
        <v>916</v>
      </c>
      <c r="E13999" s="1" t="s">
        <v>3203</v>
      </c>
      <c r="F13999" s="1" t="s">
        <v>19396</v>
      </c>
      <c r="G13999" s="1" t="s">
        <v>36</v>
      </c>
      <c r="H13999" s="1" t="s">
        <v>29</v>
      </c>
      <c r="I13999" s="1" t="str">
        <f ca="1">IFERROR(__xludf.DUMMYFUNCTION("GOOGLETRANSLATE(F13999, ""auto"", ""en"")
"),"Excellent ears, good sound and sound insulation. The design is very durable and reliable.")</f>
        <v>Excellent ears, good sound and sound insulation. The design is very durable and reliable.</v>
      </c>
    </row>
    <row r="14000" spans="1:9" x14ac:dyDescent="0.3">
      <c r="A14000" s="1" t="s">
        <v>169</v>
      </c>
      <c r="B14000" s="1" t="s">
        <v>170</v>
      </c>
      <c r="C14000" s="1" t="s">
        <v>122</v>
      </c>
      <c r="D14000" s="1" t="s">
        <v>411</v>
      </c>
      <c r="E14000" s="1" t="s">
        <v>1219</v>
      </c>
      <c r="F14000" s="1" t="s">
        <v>19397</v>
      </c>
      <c r="G14000" s="1" t="s">
        <v>36</v>
      </c>
      <c r="H14000" s="1" t="s">
        <v>29</v>
      </c>
      <c r="I14000" s="1" t="str">
        <f ca="1">IFERROR(__xludf.DUMMYFUNCTION("GOOGLETRANSLATE(F14000, ""auto"", ""en"")
"),"I have been using this product for two years now. I didn't experience any quality problems. I consider the best closed-back headphones for my money. The more expensive models differ only in a more comfortable rim and a couple of other little things. And i"&amp;"n terms of characteristics, some more expensive models even lose.  In general, I advise anyone who doesn’t need extra bells and whistles about “nothing.”")</f>
        <v>I have been using this product for two years now. I didn't experience any quality problems. I consider the best closed-back headphones for my money. The more expensive models differ only in a more comfortable rim and a couple of other little things. And in terms of characteristics, some more expensive models even lose.  In general, I advise anyone who doesn’t need extra bells and whistles about “nothing.”</v>
      </c>
    </row>
    <row r="14001" spans="1:9" x14ac:dyDescent="0.3">
      <c r="A14001" s="1" t="s">
        <v>373</v>
      </c>
      <c r="B14001" s="1" t="s">
        <v>374</v>
      </c>
      <c r="C14001" s="1" t="s">
        <v>159</v>
      </c>
      <c r="D14001" s="1" t="s">
        <v>474</v>
      </c>
      <c r="E14001" s="1" t="s">
        <v>2484</v>
      </c>
      <c r="F14001" s="1" t="s">
        <v>19398</v>
      </c>
      <c r="G14001" s="1" t="s">
        <v>36</v>
      </c>
      <c r="H14001" s="1" t="s">
        <v>29</v>
      </c>
      <c r="I14001" s="1" t="str">
        <f ca="1">IFERROR(__xludf.DUMMYFUNCTION("GOOGLETRANSLATE(F14001, ""auto"", ""en"")
"),"We bought it two months ago and couldn’t be happier! Everything is washed when the dishes are arranged correctly. Takes up little space. I am pleased with the quality of workmanship: all the details are made conscientiously. We are happy with the purchase"&amp;". We recommend!")</f>
        <v>We bought it two months ago and couldn’t be happier! Everything is washed when the dishes are arranged correctly. Takes up little space. I am pleased with the quality of workmanship: all the details are made conscientiously. We are happy with the purchase. We recommend!</v>
      </c>
    </row>
    <row r="14002" spans="1:9" x14ac:dyDescent="0.3">
      <c r="A14002" s="1" t="s">
        <v>55</v>
      </c>
      <c r="B14002" s="1" t="s">
        <v>752</v>
      </c>
      <c r="C14002" s="1" t="s">
        <v>185</v>
      </c>
      <c r="D14002" s="1" t="s">
        <v>139</v>
      </c>
      <c r="E14002" s="1" t="s">
        <v>17585</v>
      </c>
      <c r="F14002" s="1" t="s">
        <v>19399</v>
      </c>
      <c r="G14002" s="1" t="s">
        <v>36</v>
      </c>
      <c r="H14002" s="1" t="s">
        <v>29</v>
      </c>
      <c r="I14002" s="1" t="str">
        <f ca="1">IFERROR(__xludf.DUMMYFUNCTION("GOOGLETRANSLATE(F14002, ""auto"", ""en"")
"),"Super radiator! Heats up the room very quickly, there was no smell, even in the first days. Does not dry out the air. I recommend!")</f>
        <v>Super radiator! Heats up the room very quickly, there was no smell, even in the first days. Does not dry out the air. I recommend!</v>
      </c>
    </row>
    <row r="14003" spans="1:9" x14ac:dyDescent="0.3">
      <c r="A14003" s="1" t="s">
        <v>9</v>
      </c>
      <c r="B14003" s="1" t="s">
        <v>23</v>
      </c>
      <c r="C14003" s="1" t="s">
        <v>138</v>
      </c>
      <c r="D14003" s="1" t="s">
        <v>471</v>
      </c>
      <c r="E14003" s="1" t="s">
        <v>214</v>
      </c>
      <c r="F14003" s="1" t="s">
        <v>19400</v>
      </c>
      <c r="G14003" s="1" t="s">
        <v>15</v>
      </c>
      <c r="H14003" s="1" t="s">
        <v>16</v>
      </c>
      <c r="I14003" s="1" t="str">
        <f ca="1">IFERROR(__xludf.DUMMYFUNCTION("GOOGLETRANSLATE(F14003, ""auto"", ""en"")
"),"Bad car. It doesn’t work at all, I’m already tired of fighting it. You'll have to call a technician from the service center.")</f>
        <v>Bad car. It doesn’t work at all, I’m already tired of fighting it. You'll have to call a technician from the service center.</v>
      </c>
    </row>
    <row r="14004" spans="1:9" x14ac:dyDescent="0.3">
      <c r="A14004" s="1" t="s">
        <v>17</v>
      </c>
      <c r="B14004" s="1" t="s">
        <v>18</v>
      </c>
      <c r="C14004" s="1" t="s">
        <v>24</v>
      </c>
      <c r="D14004" s="1" t="s">
        <v>25</v>
      </c>
      <c r="E14004" s="1" t="s">
        <v>26</v>
      </c>
      <c r="F14004" s="1" t="s">
        <v>19401</v>
      </c>
      <c r="G14004" s="1" t="s">
        <v>28</v>
      </c>
      <c r="H14004" s="1" t="s">
        <v>29</v>
      </c>
      <c r="I14004" s="1" t="str">
        <f ca="1">IFERROR(__xludf.DUMMYFUNCTION("GOOGLETRANSLATE(F14004, ""auto"", ""en"")
"),"a little noisy (compared to Electrolux). But for the price of 7990 you can close your eyes to this. Thank you m-video for the share.")</f>
        <v>a little noisy (compared to Electrolux). But for the price of 7990 you can close your eyes to this. Thank you m-video for the share.</v>
      </c>
    </row>
    <row r="14005" spans="1:9" x14ac:dyDescent="0.3">
      <c r="A14005" s="1" t="s">
        <v>169</v>
      </c>
      <c r="B14005" s="1" t="s">
        <v>170</v>
      </c>
      <c r="C14005" s="1" t="s">
        <v>171</v>
      </c>
      <c r="D14005" s="1" t="s">
        <v>19402</v>
      </c>
      <c r="E14005" s="1" t="s">
        <v>3512</v>
      </c>
      <c r="F14005" s="1" t="s">
        <v>19403</v>
      </c>
      <c r="G14005" s="1" t="s">
        <v>28</v>
      </c>
      <c r="H14005" s="1" t="s">
        <v>29</v>
      </c>
      <c r="I14005" s="1" t="str">
        <f ca="1">IFERROR(__xludf.DUMMYFUNCTION("GOOGLETRANSLATE(F14005, ""auto"", ""en"")
"),"Normal plugs, after 10 months the left ear died. Now they are just as new. The sound is good, but it’s better to buy from the same company for 200 rubles more.")</f>
        <v>Normal plugs, after 10 months the left ear died. Now they are just as new. The sound is good, but it’s better to buy from the same company for 200 rubles more.</v>
      </c>
    </row>
    <row r="14006" spans="1:9" x14ac:dyDescent="0.3">
      <c r="A14006" s="1" t="s">
        <v>369</v>
      </c>
      <c r="B14006" s="1" t="s">
        <v>587</v>
      </c>
      <c r="C14006" s="1" t="s">
        <v>588</v>
      </c>
      <c r="D14006" s="1" t="s">
        <v>75</v>
      </c>
      <c r="E14006" s="1" t="s">
        <v>12636</v>
      </c>
      <c r="F14006" s="1" t="s">
        <v>19404</v>
      </c>
      <c r="G14006" s="1" t="s">
        <v>36</v>
      </c>
      <c r="H14006" s="1" t="s">
        <v>29</v>
      </c>
      <c r="I14006" s="1" t="str">
        <f ca="1">IFERROR(__xludf.DUMMYFUNCTION("GOOGLETRANSLATE(F14006, ""auto"", ""en"")
"),"I have been using the stove for 4 years. The stove has never disappointed. I am happy with both the stove and the oven (I bake very often). From my side there are only positive points.")</f>
        <v>I have been using the stove for 4 years. The stove has never disappointed. I am happy with both the stove and the oven (I bake very often). From my side there are only positive points.</v>
      </c>
    </row>
    <row r="14007" spans="1:9" x14ac:dyDescent="0.3">
      <c r="A14007" s="1" t="s">
        <v>120</v>
      </c>
      <c r="B14007" s="1" t="s">
        <v>121</v>
      </c>
      <c r="C14007" s="1" t="s">
        <v>69</v>
      </c>
      <c r="D14007" s="1" t="s">
        <v>232</v>
      </c>
      <c r="E14007" s="1" t="s">
        <v>176</v>
      </c>
      <c r="F14007" s="1" t="s">
        <v>19405</v>
      </c>
      <c r="G14007" s="1" t="s">
        <v>49</v>
      </c>
      <c r="H14007" s="1" t="s">
        <v>16</v>
      </c>
      <c r="I14007" s="1" t="str">
        <f ca="1">IFERROR(__xludf.DUMMYFUNCTION("GOOGLETRANSLATE(F14007, ""auto"", ""en"")
"),"By the way, M-Video provides very good advice.  I bought a Philips 32 PFL 5604H/12 TV, turned it on and it became clear that this was not it. And it heats up like a stove and there is a burning smell, a number of declared functions are missing. But the ti"&amp;"me-clock cannot be set at all; the documentation on the TV says how to set it, but there is no menu for this function with all the consequences. Loss of sound with some functions. Above, comrades said that it does not read all files from a flash drive - t"&amp;"his is true. Now on the image - compared with the image of the Samsung, it shows worse, the image at times either floats or twitches.  Of course, if you don’t have an LCD TV at home, then this one might be a joy; when it’s a 3rd high-definition TV, it’s c"&amp;"lear that the model is of lower quality than stated. And when the functions specified in the documentation are missing or implemented incorrectly, it becomes clear that you have been a little misled. But the company is known for its quality products. Or m"&amp;"aybe I'm unlucky?   I replaced the Philips CRT TV, which faithfully and faithfully served for 12 years with a good image and will serve at the dacha for many years.   It's a shame you know!    I will be replacing a 32"" Philips 100Hz LCD TV with a TV; I w"&amp;"ill give information about the replacement later.")</f>
        <v>By the way, M-Video provides very good advice.  I bought a Philips 32 PFL 5604H/12 TV, turned it on and it became clear that this was not it. And it heats up like a stove and there is a burning smell, a number of declared functions are missing. But the time-clock cannot be set at all; the documentation on the TV says how to set it, but there is no menu for this function with all the consequences. Loss of sound with some functions. Above, comrades said that it does not read all files from a flash drive - this is true. Now on the image - compared with the image of the Samsung, it shows worse, the image at times either floats or twitches.  Of course, if you don’t have an LCD TV at home, then this one might be a joy; when it’s a 3rd high-definition TV, it’s clear that the model is of lower quality than stated. And when the functions specified in the documentation are missing or implemented incorrectly, it becomes clear that you have been a little misled. But the company is known for its quality products. Or maybe I'm unlucky?   I replaced the Philips CRT TV, which faithfully and faithfully served for 12 years with a good image and will serve at the dacha for many years.   It's a shame you know!    I will be replacing a 32" Philips 100Hz LCD TV with a TV; I will give information about the replacement later.</v>
      </c>
    </row>
    <row r="14008" spans="1:9" x14ac:dyDescent="0.3">
      <c r="A14008" s="1" t="s">
        <v>61</v>
      </c>
      <c r="B14008" s="1" t="s">
        <v>145</v>
      </c>
      <c r="C14008" s="1" t="s">
        <v>1981</v>
      </c>
      <c r="D14008" s="1" t="s">
        <v>2233</v>
      </c>
      <c r="E14008" s="1" t="s">
        <v>670</v>
      </c>
      <c r="F14008" s="1" t="s">
        <v>19406</v>
      </c>
      <c r="G14008" s="1" t="s">
        <v>49</v>
      </c>
      <c r="H14008" s="1" t="s">
        <v>16</v>
      </c>
      <c r="I14008" s="1" t="str">
        <f ca="1">IFERROR(__xludf.DUMMYFUNCTION("GOOGLETRANSLATE(F14008, ""auto"", ""en"")
"),"Cheap egg cooker - I didn’t want to buy it, but there weren’t any others, it’s creepy convenient, it’s true, but the sound signal broke very quickly, it started squeaking very quietly, you had to put your ear close and watch next to you without moving awa"&amp;"y, but now it doesn’t give any signal at all, all the eggs are hard-boiled, I take them off at random, in general, this particular one broke - the sound hasn’t even been a year, all about two and a half years")</f>
        <v>Cheap egg cooker - I didn’t want to buy it, but there weren’t any others, it’s creepy convenient, it’s true, but the sound signal broke very quickly, it started squeaking very quietly, you had to put your ear close and watch next to you without moving away, but now it doesn’t give any signal at all, all the eggs are hard-boiled, I take them off at random, in general, this particular one broke - the sound hasn’t even been a year, all about two and a half years</v>
      </c>
    </row>
    <row r="14009" spans="1:9" x14ac:dyDescent="0.3">
      <c r="A14009" s="1" t="s">
        <v>30</v>
      </c>
      <c r="B14009" s="1" t="s">
        <v>50</v>
      </c>
      <c r="C14009" s="1" t="s">
        <v>694</v>
      </c>
      <c r="D14009" s="1" t="s">
        <v>3293</v>
      </c>
      <c r="E14009" s="1" t="s">
        <v>3184</v>
      </c>
      <c r="F14009" s="1" t="s">
        <v>19407</v>
      </c>
      <c r="G14009" s="1" t="s">
        <v>36</v>
      </c>
      <c r="H14009" s="1" t="s">
        <v>29</v>
      </c>
      <c r="I14009" s="1" t="str">
        <f ca="1">IFERROR(__xludf.DUMMYFUNCTION("GOOGLETRANSLATE(F14009, ""auto"", ""en"")
"),"I’ve been using the beech for 3 months, the performance of the laptop is simply amazing, super sound, excellent screen and unsurpassed design, there are still enough USB ports.  Of the minuses, this is, of course, a video card that is absolutely not adequ"&amp;"ate to everything else and, unfortunately, cannot be changed in any way, however, almost all modern games (DragonAge, Oblivion, Risen, Call of Duty: ModernWarfire 2, NFS Shift (a little slow, but you can play) run without problems, which cannot be said ab"&amp;"out GTA4. Another minus is Windows Vista Home Basic, it would be better if Microsoft did not offer a program for switching to windows 7, because after this, almost all laptops come with Vista Home Basic pre-installed (not supported by the above-mentioned "&amp;"program). Overall, if you are not a gamer, the laptop is just super, it is recommended to everyone who loves stylish things.")</f>
        <v>I’ve been using the beech for 3 months, the performance of the laptop is simply amazing, super sound, excellent screen and unsurpassed design, there are still enough USB ports.  Of the minuses, this is, of course, a video card that is absolutely not adequate to everything else and, unfortunately, cannot be changed in any way, however, almost all modern games (DragonAge, Oblivion, Risen, Call of Duty: ModernWarfire 2, NFS Shift (a little slow, but you can play) run without problems, which cannot be said about GTA4. Another minus is Windows Vista Home Basic, it would be better if Microsoft did not offer a program for switching to windows 7, because after this, almost all laptops come with Vista Home Basic pre-installed (not supported by the above-mentioned program). Overall, if you are not a gamer, the laptop is just super, it is recommended to everyone who loves stylish things.</v>
      </c>
    </row>
    <row r="14010" spans="1:9" x14ac:dyDescent="0.3">
      <c r="A14010" s="1" t="s">
        <v>149</v>
      </c>
      <c r="B14010" s="1" t="s">
        <v>155</v>
      </c>
      <c r="C14010" s="1" t="s">
        <v>69</v>
      </c>
      <c r="D14010" s="1" t="s">
        <v>152</v>
      </c>
      <c r="E14010" s="1" t="s">
        <v>675</v>
      </c>
      <c r="F14010" s="1" t="s">
        <v>19408</v>
      </c>
      <c r="G14010" s="1" t="s">
        <v>28</v>
      </c>
      <c r="H14010" s="1" t="s">
        <v>29</v>
      </c>
      <c r="I14010" s="1" t="str">
        <f ca="1">IFERROR(__xludf.DUMMYFUNCTION("GOOGLETRANSLATE(F14010, ""auto"", ""en"")
"),"We bought this unit a few months ago, the vacuum cleaner met all expectations, except for one thing, it is very heavy. Carrying it around the house is simply annoying, otherwise everything is fine, the cable is 11 meters, you can carry it anywhere, the ca"&amp;"ble is always long enough, the container is very convenient, the plastic is very durable, the telescopic handle is made to last, your hands don’t get tired, in short, these are the impressions, there is also plenty of suction power, sometimes you even hav"&amp;"e to turn it down. Overall a good vacuum cleaner at a reasonable price.")</f>
        <v>We bought this unit a few months ago, the vacuum cleaner met all expectations, except for one thing, it is very heavy. Carrying it around the house is simply annoying, otherwise everything is fine, the cable is 11 meters, you can carry it anywhere, the cable is always long enough, the container is very convenient, the plastic is very durable, the telescopic handle is made to last, your hands don’t get tired, in short, these are the impressions, there is also plenty of suction power, sometimes you even have to turn it down. Overall a good vacuum cleaner at a reasonable price.</v>
      </c>
    </row>
    <row r="14011" spans="1:9" x14ac:dyDescent="0.3">
      <c r="A14011" s="1" t="s">
        <v>211</v>
      </c>
      <c r="B14011" s="1" t="s">
        <v>856</v>
      </c>
      <c r="C14011" s="1" t="s">
        <v>101</v>
      </c>
      <c r="D14011" s="1" t="s">
        <v>166</v>
      </c>
      <c r="E14011" s="1" t="s">
        <v>1155</v>
      </c>
      <c r="F14011" s="1" t="s">
        <v>19409</v>
      </c>
      <c r="G14011" s="1" t="s">
        <v>36</v>
      </c>
      <c r="H14011" s="1" t="s">
        <v>29</v>
      </c>
      <c r="I14011" s="1" t="str">
        <f ca="1">IFERROR(__xludf.DUMMYFUNCTION("GOOGLETRANSLATE(F14011, ""auto"", ""en"")
"),"If you need a useful and inexpensive gift, this is it. Good price for a fairly functional item. I even gave this manicure set to my grandmother. Still thanks for it)")</f>
        <v>If you need a useful and inexpensive gift, this is it. Good price for a fairly functional item. I even gave this manicure set to my grandmother. Still thanks for it)</v>
      </c>
    </row>
    <row r="14012" spans="1:9" x14ac:dyDescent="0.3">
      <c r="A14012" s="1" t="s">
        <v>95</v>
      </c>
      <c r="B14012" s="1" t="s">
        <v>227</v>
      </c>
      <c r="C14012" s="1" t="s">
        <v>97</v>
      </c>
      <c r="D14012" s="1" t="s">
        <v>3996</v>
      </c>
      <c r="E14012" s="1" t="s">
        <v>4898</v>
      </c>
      <c r="F14012" s="1" t="s">
        <v>19410</v>
      </c>
      <c r="G14012" s="1" t="s">
        <v>36</v>
      </c>
      <c r="H14012" s="1" t="s">
        <v>29</v>
      </c>
      <c r="I14012" s="1" t="str">
        <f ca="1">IFERROR(__xludf.DUMMYFUNCTION("GOOGLETRANSLATE(F14012, ""auto"", ""en"")
"),"The console is very good, I’m going to buy it now :) A friend has it, he’s happy :)")</f>
        <v>The console is very good, I’m going to buy it now :) A friend has it, he’s happy :)</v>
      </c>
    </row>
    <row r="14013" spans="1:9" x14ac:dyDescent="0.3">
      <c r="A14013" s="1" t="s">
        <v>37</v>
      </c>
      <c r="B14013" s="1" t="s">
        <v>536</v>
      </c>
      <c r="C14013" s="1" t="s">
        <v>163</v>
      </c>
      <c r="D14013" s="1" t="s">
        <v>19411</v>
      </c>
      <c r="E14013" s="1" t="s">
        <v>2680</v>
      </c>
      <c r="F14013" s="1" t="s">
        <v>19412</v>
      </c>
      <c r="G14013" s="1" t="s">
        <v>36</v>
      </c>
      <c r="H14013" s="1" t="s">
        <v>29</v>
      </c>
      <c r="I14013" s="1" t="str">
        <f ca="1">IFERROR(__xludf.DUMMYFUNCTION("GOOGLETRANSLATE(F14013, ""auto"", ""en"")
"),"Awesome phone!!!!!!!!))))))Nokia 5230")</f>
        <v>Awesome phone!!!!!!!!))))))Nokia 5230</v>
      </c>
    </row>
    <row r="14014" spans="1:9" x14ac:dyDescent="0.3">
      <c r="A14014" s="1" t="s">
        <v>17</v>
      </c>
      <c r="B14014" s="1" t="s">
        <v>18</v>
      </c>
      <c r="C14014" s="1" t="s">
        <v>134</v>
      </c>
      <c r="D14014" s="1" t="s">
        <v>39</v>
      </c>
      <c r="E14014" s="1" t="s">
        <v>391</v>
      </c>
      <c r="F14014" s="1" t="s">
        <v>19413</v>
      </c>
      <c r="G14014" s="1" t="s">
        <v>28</v>
      </c>
      <c r="H14014" s="1" t="s">
        <v>29</v>
      </c>
      <c r="I14014" s="1" t="str">
        <f ca="1">IFERROR(__xludf.DUMMYFUNCTION("GOOGLETRANSLATE(F14014, ""auto"", ""en"")
"),"I've been using this machine for a year now and haven't had any problems until recently. The quality of the wash satisfies my needs 100%, it rinses well and leaves no powder behind.  Recently, while the machine was running, a persistent smell of burnt wir"&amp;"ing appeared in the apartment, although the energy consumption is written A+, I hope the problem is in the machine and not in the walls))) The unit is excellent, I wouldn’t say that it’s very quiet, but it washes at 5+")</f>
        <v>I've been using this machine for a year now and haven't had any problems until recently. The quality of the wash satisfies my needs 100%, it rinses well and leaves no powder behind.  Recently, while the machine was running, a persistent smell of burnt wiring appeared in the apartment, although the energy consumption is written A+, I hope the problem is in the machine and not in the walls))) The unit is excellent, I wouldn’t say that it’s very quiet, but it washes at 5+</v>
      </c>
    </row>
    <row r="14015" spans="1:9" x14ac:dyDescent="0.3">
      <c r="A14015" s="1" t="s">
        <v>120</v>
      </c>
      <c r="B14015" s="1" t="s">
        <v>126</v>
      </c>
      <c r="C14015" s="1" t="s">
        <v>122</v>
      </c>
      <c r="D14015" s="1" t="s">
        <v>445</v>
      </c>
      <c r="E14015" s="1" t="s">
        <v>7270</v>
      </c>
      <c r="F14015" s="1" t="s">
        <v>19414</v>
      </c>
      <c r="G14015" s="1" t="s">
        <v>36</v>
      </c>
      <c r="H14015" s="1" t="s">
        <v>29</v>
      </c>
      <c r="I14015" s="1" t="str">
        <f ca="1">IFERROR(__xludf.DUMMYFUNCTION("GOOGLETRANSLATE(F14015, ""auto"", ""en"")
"),"An excellent model at an affordable price, I was counting on a large sum, but here it’s 106 cm for 25 thousand rubles, which is bad. By the way, it doesn’t affect the quality at all, despite the low resolution, in principle it’s not particularly noticeabl"&amp;"e - no squares. Another advantage is the presence of a gaming mode, excellent wide-range speakers, from which clear stereo sound comes, and a volume reserve sufficient for an average-sized room. I set it up quickly, the menu was clear, and also Russified,"&amp;" and in principle I didn’t have to tinker too much, and everything was fine. Definitely happy with the purchase.")</f>
        <v>An excellent model at an affordable price, I was counting on a large sum, but here it’s 106 cm for 25 thousand rubles, which is bad. By the way, it doesn’t affect the quality at all, despite the low resolution, in principle it’s not particularly noticeable - no squares. Another advantage is the presence of a gaming mode, excellent wide-range speakers, from which clear stereo sound comes, and a volume reserve sufficient for an average-sized room. I set it up quickly, the menu was clear, and also Russified, and in principle I didn’t have to tinker too much, and everything was fine. Definitely happy with the purchase.</v>
      </c>
    </row>
    <row r="14016" spans="1:9" x14ac:dyDescent="0.3">
      <c r="A14016" s="1" t="s">
        <v>169</v>
      </c>
      <c r="B14016" s="1" t="s">
        <v>170</v>
      </c>
      <c r="C14016" s="1" t="s">
        <v>122</v>
      </c>
      <c r="D14016" s="1" t="s">
        <v>1605</v>
      </c>
      <c r="E14016" s="1" t="s">
        <v>559</v>
      </c>
      <c r="F14016" s="1" t="s">
        <v>19415</v>
      </c>
      <c r="G14016" s="1" t="s">
        <v>36</v>
      </c>
      <c r="H14016" s="1" t="s">
        <v>29</v>
      </c>
      <c r="I14016" s="1" t="str">
        <f ca="1">IFERROR(__xludf.DUMMYFUNCTION("GOOGLETRANSLATE(F14016, ""auto"", ""en"")
"),"Excellent headphones for their price. For those who choose in this price category, this is an excellent option.")</f>
        <v>Excellent headphones for their price. For those who choose in this price category, this is an excellent option.</v>
      </c>
    </row>
    <row r="14017" spans="1:9" x14ac:dyDescent="0.3">
      <c r="A14017" s="1" t="s">
        <v>120</v>
      </c>
      <c r="B14017" s="1" t="s">
        <v>126</v>
      </c>
      <c r="C14017" s="1" t="s">
        <v>151</v>
      </c>
      <c r="D14017" s="1" t="s">
        <v>127</v>
      </c>
      <c r="E14017" s="1" t="s">
        <v>1450</v>
      </c>
      <c r="F14017" s="1" t="s">
        <v>19416</v>
      </c>
      <c r="G14017" s="1" t="s">
        <v>28</v>
      </c>
      <c r="H14017" s="1" t="s">
        <v>29</v>
      </c>
      <c r="I14017" s="1" t="str">
        <f ca="1">IFERROR(__xludf.DUMMYFUNCTION("GOOGLETRANSLATE(F14017, ""auto"", ""en"")
"),"I bought it for myself on DR. First impressions are very, very good.   Advantages: Excellent picture from a DVD and HD media player, good color rendition, optical sound output, convenient menu, built-in media player, Disadvantages: I was not pleased with "&amp;"the lack of support for multi-channel sound, although this is not very important, a non-rotating stand I use in the DC: SONY DH800 receiver, SONY 728 DVD, TRICOLOR receiver, KLIPSCH acoustics SYNERGY F2,B2,C1, sub ENERGY C10. Before it there was the LG 42"&amp;"PG200R, the differences are like heaven and earth in favor of Samsung")</f>
        <v>I bought it for myself on DR. First impressions are very, very good.   Advantages: Excellent picture from a DVD and HD media player, good color rendition, optical sound output, convenient menu, built-in media player, Disadvantages: I was not pleased with the lack of support for multi-channel sound, although this is not very important, a non-rotating stand I use in the DC: SONY DH800 receiver, SONY 728 DVD, TRICOLOR receiver, KLIPSCH acoustics SYNERGY F2,B2,C1, sub ENERGY C10. Before it there was the LG 42PG200R, the differences are like heaven and earth in favor of Samsung</v>
      </c>
    </row>
    <row r="14018" spans="1:9" x14ac:dyDescent="0.3">
      <c r="A14018" s="1" t="s">
        <v>55</v>
      </c>
      <c r="B14018" s="1" t="s">
        <v>56</v>
      </c>
      <c r="C14018" s="1" t="s">
        <v>57</v>
      </c>
      <c r="D14018" s="1" t="s">
        <v>19417</v>
      </c>
      <c r="E14018" s="1" t="s">
        <v>19418</v>
      </c>
      <c r="F14018" s="1" t="s">
        <v>19419</v>
      </c>
      <c r="G14018" s="1" t="s">
        <v>36</v>
      </c>
      <c r="H14018" s="1" t="s">
        <v>29</v>
      </c>
      <c r="I14018" s="1" t="str">
        <f ca="1">IFERROR(__xludf.DUMMYFUNCTION("GOOGLETRANSLATE(F14018, ""auto"", ""en"")
"),"Excellent moisturizing, quiet")</f>
        <v>Excellent moisturizing, quiet</v>
      </c>
    </row>
    <row r="14019" spans="1:9" x14ac:dyDescent="0.3">
      <c r="A14019" s="1" t="s">
        <v>61</v>
      </c>
      <c r="B14019" s="1" t="s">
        <v>318</v>
      </c>
      <c r="C14019" s="1" t="s">
        <v>246</v>
      </c>
      <c r="D14019" s="1" t="s">
        <v>1659</v>
      </c>
      <c r="E14019" s="1" t="s">
        <v>1784</v>
      </c>
      <c r="F14019" s="1" t="s">
        <v>19420</v>
      </c>
      <c r="G14019" s="1" t="s">
        <v>49</v>
      </c>
      <c r="H14019" s="1" t="s">
        <v>16</v>
      </c>
      <c r="I14019" s="1" t="str">
        <f ca="1">IFERROR(__xludf.DUMMYFUNCTION("GOOGLETRANSLATE(F14019, ""auto"", ""en"")
"),"In short, the kettle is nice, but it died after 8 months of use. At first, the lid just crumbled, or rather the low-quality plastic. Further more, the result is in the trash. DO NOT TAKE ANY CASE. Stick with VITEK made of solid metal. I took it for myself"&amp;" and my parents. It plows well and the price is decent.")</f>
        <v>In short, the kettle is nice, but it died after 8 months of use. At first, the lid just crumbled, or rather the low-quality plastic. Further more, the result is in the trash. DO NOT TAKE ANY CASE. Stick with VITEK made of solid metal. I took it for myself and my parents. It plows well and the price is decent.</v>
      </c>
    </row>
    <row r="14020" spans="1:9" x14ac:dyDescent="0.3">
      <c r="A14020" s="1" t="s">
        <v>206</v>
      </c>
      <c r="B14020" s="1" t="s">
        <v>207</v>
      </c>
      <c r="C14020" s="1" t="s">
        <v>97</v>
      </c>
      <c r="D14020" s="1" t="s">
        <v>599</v>
      </c>
      <c r="E14020" s="1" t="s">
        <v>3652</v>
      </c>
      <c r="F14020" s="1" t="s">
        <v>19421</v>
      </c>
      <c r="G14020" s="1" t="s">
        <v>36</v>
      </c>
      <c r="H14020" s="1" t="s">
        <v>29</v>
      </c>
      <c r="I14020" s="1" t="str">
        <f ca="1">IFERROR(__xludf.DUMMYFUNCTION("GOOGLETRANSLATE(F14020, ""auto"", ""en"")
"),"A sub bomb explodes a car across the city, people turn around to look, I advise everyone. It’s true that it’s a little expensive, I bought it for 1400g, but I don’t regret a single ounce.")</f>
        <v>A sub bomb explodes a car across the city, people turn around to look, I advise everyone. It’s true that it’s a little expensive, I bought it for 1400g, but I don’t regret a single ounce.</v>
      </c>
    </row>
    <row r="14021" spans="1:9" x14ac:dyDescent="0.3">
      <c r="A14021" s="1" t="s">
        <v>206</v>
      </c>
      <c r="B14021" s="1" t="s">
        <v>1253</v>
      </c>
      <c r="C14021" s="1" t="s">
        <v>1254</v>
      </c>
      <c r="D14021" s="1" t="s">
        <v>19422</v>
      </c>
      <c r="E14021" s="1" t="s">
        <v>19423</v>
      </c>
      <c r="F14021" s="1" t="s">
        <v>19424</v>
      </c>
      <c r="G14021" s="1" t="s">
        <v>28</v>
      </c>
      <c r="H14021" s="1" t="s">
        <v>29</v>
      </c>
      <c r="I14021" s="1" t="str">
        <f ca="1">IFERROR(__xludf.DUMMYFUNCTION("GOOGLETRANSLATE(F14021, ""auto"", ""en"")
"),"The radio is excellent, very high quality, I don’t see any flaws, take it")</f>
        <v>The radio is excellent, very high quality, I don’t see any flaws, take it</v>
      </c>
    </row>
    <row r="14022" spans="1:9" x14ac:dyDescent="0.3">
      <c r="A14022" s="1" t="s">
        <v>206</v>
      </c>
      <c r="B14022" s="1" t="s">
        <v>261</v>
      </c>
      <c r="C14022" s="1" t="s">
        <v>107</v>
      </c>
      <c r="D14022" s="1" t="s">
        <v>232</v>
      </c>
      <c r="E14022" s="1" t="s">
        <v>2030</v>
      </c>
      <c r="F14022" s="1" t="s">
        <v>19425</v>
      </c>
      <c r="G14022" s="1" t="s">
        <v>28</v>
      </c>
      <c r="H14022" s="1" t="s">
        <v>29</v>
      </c>
      <c r="I14022" s="1" t="str">
        <f ca="1">IFERROR(__xludf.DUMMYFUNCTION("GOOGLETRANSLATE(F14022, ""auto"", ""en"")
"),"You can save the track position by pressing the ""save time"" button on the remote control. Everything is very simple ;)")</f>
        <v>You can save the track position by pressing the "save time" button on the remote control. Everything is very simple ;)</v>
      </c>
    </row>
    <row r="14023" spans="1:9" x14ac:dyDescent="0.3">
      <c r="A14023" s="1" t="s">
        <v>361</v>
      </c>
      <c r="B14023" s="1" t="s">
        <v>462</v>
      </c>
      <c r="C14023" s="1" t="s">
        <v>463</v>
      </c>
      <c r="D14023" s="1" t="s">
        <v>2233</v>
      </c>
      <c r="E14023" s="1" t="s">
        <v>692</v>
      </c>
      <c r="F14023" s="1" t="s">
        <v>19426</v>
      </c>
      <c r="G14023" s="1" t="s">
        <v>36</v>
      </c>
      <c r="H14023" s="1" t="s">
        <v>29</v>
      </c>
      <c r="I14023" s="1" t="str">
        <f ca="1">IFERROR(__xludf.DUMMYFUNCTION("GOOGLETRANSLATE(F14023, ""auto"", ""en"")
"),"The Grand Neo is ideal for a large family. A volume of 2 liters is just enough for 1 day of constant use without “refueling”. The plastic of the jug is of high quality, there are no concerns about it cracking. The cartridge resource indicator is also very"&amp;" convenient, as it is difficult to understand by taste whether the cartridge is empty or not.")</f>
        <v>The Grand Neo is ideal for a large family. A volume of 2 liters is just enough for 1 day of constant use without “refueling”. The plastic of the jug is of high quality, there are no concerns about it cracking. The cartridge resource indicator is also very convenient, as it is difficult to understand by taste whether the cartridge is empty or not.</v>
      </c>
    </row>
    <row r="14024" spans="1:9" x14ac:dyDescent="0.3">
      <c r="A14024" s="1" t="s">
        <v>149</v>
      </c>
      <c r="B14024" s="1" t="s">
        <v>155</v>
      </c>
      <c r="C14024" s="1" t="s">
        <v>101</v>
      </c>
      <c r="D14024" s="1" t="s">
        <v>1662</v>
      </c>
      <c r="E14024" s="1" t="s">
        <v>5803</v>
      </c>
      <c r="F14024" s="1" t="s">
        <v>19427</v>
      </c>
      <c r="G14024" s="1" t="s">
        <v>28</v>
      </c>
      <c r="H14024" s="1" t="s">
        <v>29</v>
      </c>
      <c r="I14024" s="1" t="str">
        <f ca="1">IFERROR(__xludf.DUMMYFUNCTION("GOOGLETRANSLATE(F14024, ""auto"", ""en"")
"),"I bought this vacuum cleaner today, I liked it because it is very small and compact, everything is easy and simple, the only thing is that the tube is short, you have to bend over to vacuum it, the power is not bad, I recommend it")</f>
        <v>I bought this vacuum cleaner today, I liked it because it is very small and compact, everything is easy and simple, the only thing is that the tube is short, you have to bend over to vacuum it, the power is not bad, I recommend it</v>
      </c>
    </row>
    <row r="14025" spans="1:9" x14ac:dyDescent="0.3">
      <c r="A14025" s="1" t="s">
        <v>206</v>
      </c>
      <c r="B14025" s="1" t="s">
        <v>2026</v>
      </c>
      <c r="C14025" s="1" t="s">
        <v>2425</v>
      </c>
      <c r="D14025" s="1" t="s">
        <v>20</v>
      </c>
      <c r="E14025" s="1" t="s">
        <v>271</v>
      </c>
      <c r="F14025" s="1" t="s">
        <v>19428</v>
      </c>
      <c r="G14025" s="1" t="s">
        <v>36</v>
      </c>
      <c r="H14025" s="1" t="s">
        <v>29</v>
      </c>
      <c r="I14025" s="1" t="str">
        <f ca="1">IFERROR(__xludf.DUMMYFUNCTION("GOOGLETRANSLATE(F14025, ""auto"", ""en"")
"),"In use for 8 months, only positive feedback. Reads everything! Doesn’t freeze anywhere!")</f>
        <v>In use for 8 months, only positive feedback. Reads everything! Doesn’t freeze anywhere!</v>
      </c>
    </row>
    <row r="14026" spans="1:9" x14ac:dyDescent="0.3">
      <c r="A14026" s="1" t="s">
        <v>451</v>
      </c>
      <c r="B14026" s="1" t="s">
        <v>452</v>
      </c>
      <c r="C14026" s="1" t="s">
        <v>710</v>
      </c>
      <c r="D14026" s="1" t="s">
        <v>308</v>
      </c>
      <c r="E14026" s="1" t="s">
        <v>4259</v>
      </c>
      <c r="F14026" s="1" t="s">
        <v>19429</v>
      </c>
      <c r="G14026" s="1" t="s">
        <v>36</v>
      </c>
      <c r="H14026" s="1" t="s">
        <v>29</v>
      </c>
      <c r="I14026" s="1" t="str">
        <f ca="1">IFERROR(__xludf.DUMMYFUNCTION("GOOGLETRANSLATE(F14026, ""auto"", ""en"")
"),"Easy to use (open the container for pellets)")</f>
        <v>Easy to use (open the container for pellets)</v>
      </c>
    </row>
    <row r="14027" spans="1:9" x14ac:dyDescent="0.3">
      <c r="A14027" s="1" t="s">
        <v>17</v>
      </c>
      <c r="B14027" s="1" t="s">
        <v>18</v>
      </c>
      <c r="C14027" s="1" t="s">
        <v>151</v>
      </c>
      <c r="D14027" s="1" t="s">
        <v>8490</v>
      </c>
      <c r="E14027" s="1" t="s">
        <v>1762</v>
      </c>
      <c r="F14027" s="1" t="s">
        <v>19430</v>
      </c>
      <c r="G14027" s="1" t="s">
        <v>36</v>
      </c>
      <c r="H14027" s="1" t="s">
        <v>29</v>
      </c>
      <c r="I14027" s="1" t="str">
        <f ca="1">IFERROR(__xludf.DUMMYFUNCTION("GOOGLETRANSLATE(F14027, ""auto"", ""en"")
"),"I bought a washing machine 2 months ago. I'm happy with everything - it works quietly, doesn't swear, even when you wash one or two heavy things (bedspreads, etc.).  During this time, an error occurred only once: things were collected in the duvet cover a"&amp;"nd the machine gave an error: things were not balanced... and then only during the spin cycle, but the washing and spin cycle went well.")</f>
        <v>I bought a washing machine 2 months ago. I'm happy with everything - it works quietly, doesn't swear, even when you wash one or two heavy things (bedspreads, etc.).  During this time, an error occurred only once: things were collected in the duvet cover and the machine gave an error: things were not balanced... and then only during the spin cycle, but the washing and spin cycle went well.</v>
      </c>
    </row>
    <row r="14028" spans="1:9" x14ac:dyDescent="0.3">
      <c r="A14028" s="1" t="s">
        <v>211</v>
      </c>
      <c r="B14028" s="1" t="s">
        <v>212</v>
      </c>
      <c r="C14028" s="1" t="s">
        <v>294</v>
      </c>
      <c r="D14028" s="1" t="s">
        <v>2764</v>
      </c>
      <c r="E14028" s="1" t="s">
        <v>4452</v>
      </c>
      <c r="F14028" s="1" t="s">
        <v>19431</v>
      </c>
      <c r="G14028" s="1" t="s">
        <v>28</v>
      </c>
      <c r="H14028" s="1" t="s">
        <v>29</v>
      </c>
      <c r="I14028" s="1" t="str">
        <f ca="1">IFERROR(__xludf.DUMMYFUNCTION("GOOGLETRANSLATE(F14028, ""auto"", ""en"")
"),"I bought this straightener at a discount a few months ago. Great straightener. It straightens my hair well, but my hair is not wavy. I tried to straighten another person’s wavy and coarse hair, such hair has to be straightened at the highest temperature a"&amp;"nd it didn’t turn out perfectly straight.")</f>
        <v>I bought this straightener at a discount a few months ago. Great straightener. It straightens my hair well, but my hair is not wavy. I tried to straighten another person’s wavy and coarse hair, such hair has to be straightened at the highest temperature and it didn’t turn out perfectly straight.</v>
      </c>
    </row>
    <row r="14029" spans="1:9" x14ac:dyDescent="0.3">
      <c r="A14029" s="1" t="s">
        <v>965</v>
      </c>
      <c r="B14029" s="1" t="s">
        <v>966</v>
      </c>
      <c r="C14029" s="1" t="s">
        <v>2220</v>
      </c>
      <c r="D14029" s="1" t="s">
        <v>139</v>
      </c>
      <c r="E14029" s="1" t="s">
        <v>2011</v>
      </c>
      <c r="F14029" s="1" t="s">
        <v>19432</v>
      </c>
      <c r="G14029" s="1" t="s">
        <v>28</v>
      </c>
      <c r="H14029" s="1" t="s">
        <v>29</v>
      </c>
      <c r="I14029" s="1" t="str">
        <f ca="1">IFERROR(__xludf.DUMMYFUNCTION("GOOGLETRANSLATE(F14029, ""auto"", ""en"")
"),"Overall I liked it. They look good, stand stable, and have soft rubber feet. The bass is normal if you don't turn it all the way up. Just right for movies and games. A nice feature is that the control knobs on the side of the subwoofer are illuminated. A "&amp;"significant disadvantage is that there is no headphone output AT ALL :(")</f>
        <v>Overall I liked it. They look good, stand stable, and have soft rubber feet. The bass is normal if you don't turn it all the way up. Just right for movies and games. A nice feature is that the control knobs on the side of the subwoofer are illuminated. A significant disadvantage is that there is no headphone output AT ALL :(</v>
      </c>
    </row>
    <row r="14030" spans="1:9" x14ac:dyDescent="0.3">
      <c r="A14030" s="1" t="s">
        <v>211</v>
      </c>
      <c r="B14030" s="1" t="s">
        <v>410</v>
      </c>
      <c r="C14030" s="1" t="s">
        <v>69</v>
      </c>
      <c r="D14030" s="1" t="s">
        <v>139</v>
      </c>
      <c r="E14030" s="1" t="s">
        <v>661</v>
      </c>
      <c r="F14030" s="1" t="s">
        <v>19433</v>
      </c>
      <c r="G14030" s="1" t="s">
        <v>36</v>
      </c>
      <c r="H14030" s="1" t="s">
        <v>29</v>
      </c>
      <c r="I14030" s="1" t="str">
        <f ca="1">IFERROR(__xludf.DUMMYFUNCTION("GOOGLETRANSLATE(F14030, ""auto"", ""en"")
"),"The razor is basically good, the design is excellent...at first I shaved dry...there was only irritation the first two times, then no irritation...it shaved quite well and quickly, I shaved for about 5 minutes maximum...then I decided to try wet shaving, "&amp;"the effect is much better, with wet shaving you can achieve a ""perfect shave"", although it takes a little more time and you can't shave at the computer, but sometimes I shave dry when I'm in a hurry...in general I'm not upset with the purchase..")</f>
        <v>The razor is basically good, the design is excellent...at first I shaved dry...there was only irritation the first two times, then no irritation...it shaved quite well and quickly, I shaved for about 5 minutes maximum...then I decided to try wet shaving, the effect is much better, with wet shaving you can achieve a "perfect shave", although it takes a little more time and you can't shave at the computer, but sometimes I shave dry when I'm in a hurry...in general I'm not upset with the purchase..</v>
      </c>
    </row>
    <row r="14031" spans="1:9" x14ac:dyDescent="0.3">
      <c r="A14031" s="1" t="s">
        <v>30</v>
      </c>
      <c r="B14031" s="1" t="s">
        <v>50</v>
      </c>
      <c r="C14031" s="1" t="s">
        <v>32</v>
      </c>
      <c r="D14031" s="1" t="s">
        <v>172</v>
      </c>
      <c r="E14031" s="1" t="s">
        <v>1321</v>
      </c>
      <c r="F14031" s="1" t="s">
        <v>19434</v>
      </c>
      <c r="G14031" s="1" t="s">
        <v>36</v>
      </c>
      <c r="H14031" s="1" t="s">
        <v>29</v>
      </c>
      <c r="I14031" s="1" t="str">
        <f ca="1">IFERROR(__xludf.DUMMYFUNCTION("GOOGLETRANSLATE(F14031, ""auto"", ""en"")
"),"I recently bought one. The laptop is just great! But things didn’t work out with Windows 7. With grief I installed XP, then started looking for drivers. In half an hour I found all the wood. I especially had to play around with the video card, but I still"&amp;" installed drivers for it. Now I'm playing Metro 2033 on a laptop! I recommend this to everyone!")</f>
        <v>I recently bought one. The laptop is just great! But things didn’t work out with Windows 7. With grief I installed XP, then started looking for drivers. In half an hour I found all the wood. I especially had to play around with the video card, but I still installed drivers for it. Now I'm playing Metro 2033 on a laptop! I recommend this to everyone!</v>
      </c>
    </row>
    <row r="14032" spans="1:9" x14ac:dyDescent="0.3">
      <c r="A14032" s="1" t="s">
        <v>43</v>
      </c>
      <c r="B14032" s="1" t="s">
        <v>502</v>
      </c>
      <c r="C14032" s="1" t="s">
        <v>159</v>
      </c>
      <c r="D14032" s="1" t="s">
        <v>19435</v>
      </c>
      <c r="E14032" s="1" t="s">
        <v>11999</v>
      </c>
      <c r="F14032" s="1" t="s">
        <v>19436</v>
      </c>
      <c r="G14032" s="1" t="s">
        <v>36</v>
      </c>
      <c r="H14032" s="1" t="s">
        <v>29</v>
      </c>
      <c r="I14032" s="1" t="str">
        <f ca="1">IFERROR(__xludf.DUMMYFUNCTION("GOOGLETRANSLATE(F14032, ""auto"", ""en"")
"),"We have such a system installed in our office, the room is about 35 square meters, workplaces are defined by partitions, i.e. all 11 people breathe the same air. In the summer, of course, it’s dark, the office is stuffy, hot, the central ventilation doesn"&amp;"’t do its job and makes a terrible noise when working. Installing this air conditioner was enough to forget about the stuffiness and not suffer from the heat. Works quietly. I come to work first and its inclusion is my responsibility. It takes about 15 mi"&amp;"nutes to cool the entire room, the cold air is distributed evenly, the blowing direction is set above the level of a standing person, so none of the employees complain about direct ventilation. There is a color display on the case that shows the settings."&amp;" This air conditioner can be used for heating even at a slight minus, according to the passport up to -5. If you buy it for home, I think that one will be enough for the entire two-room apartment.")</f>
        <v>We have such a system installed in our office, the room is about 35 square meters, workplaces are defined by partitions, i.e. all 11 people breathe the same air. In the summer, of course, it’s dark, the office is stuffy, hot, the central ventilation doesn’t do its job and makes a terrible noise when working. Installing this air conditioner was enough to forget about the stuffiness and not suffer from the heat. Works quietly. I come to work first and its inclusion is my responsibility. It takes about 15 minutes to cool the entire room, the cold air is distributed evenly, the blowing direction is set above the level of a standing person, so none of the employees complain about direct ventilation. There is a color display on the case that shows the settings. This air conditioner can be used for heating even at a slight minus, according to the passport up to -5. If you buy it for home, I think that one will be enough for the entire two-room apartment.</v>
      </c>
    </row>
    <row r="14033" spans="1:9" x14ac:dyDescent="0.3">
      <c r="A14033" s="1" t="s">
        <v>61</v>
      </c>
      <c r="B14033" s="1" t="s">
        <v>318</v>
      </c>
      <c r="C14033" s="1" t="s">
        <v>1461</v>
      </c>
      <c r="D14033" s="1" t="s">
        <v>15763</v>
      </c>
      <c r="E14033" s="1" t="s">
        <v>1039</v>
      </c>
      <c r="F14033" s="1" t="s">
        <v>19437</v>
      </c>
      <c r="G14033" s="1" t="s">
        <v>36</v>
      </c>
      <c r="H14033" s="1" t="s">
        <v>29</v>
      </c>
      <c r="I14033" s="1" t="str">
        <f ca="1">IFERROR(__xludf.DUMMYFUNCTION("GOOGLETRANSLATE(F14033, ""auto"", ""en"")
"),"I took it as a temporary one after an expensive kettle broke down. Considering the mixed reviews and the cheap price, there were doubts before purchasing it. But the kettle did not disappoint. I've been using it for a month and a half now and have no comp"&amp;"laints. The smell of plastic was not felt and is not felt. Moderately noisy. It boils quite quickly - in this regard it is no different from most models of other kettles, even significantly more expensive ones. The only small drawback is the lack of a loc"&amp;"k on the lid, which is why it can rise by about 0.5 cm. But it itself is made with high quality - no gaps, nothing creaks, and the same lid holds perfectly in the open position and does not tend to fall, even when only half open. As for the possible smell"&amp;" of plastic (which my kettle does not have), then not a single plastic kettle, even the more expensive one, is immune from this. Metal ones may have a metallic taste - so it depends on your luck) Summary: an excellent teapot for its price - especially if "&amp;"the prestige of the brand is not important to you.")</f>
        <v>I took it as a temporary one after an expensive kettle broke down. Considering the mixed reviews and the cheap price, there were doubts before purchasing it. But the kettle did not disappoint. I've been using it for a month and a half now and have no complaints. The smell of plastic was not felt and is not felt. Moderately noisy. It boils quite quickly - in this regard it is no different from most models of other kettles, even significantly more expensive ones. The only small drawback is the lack of a lock on the lid, which is why it can rise by about 0.5 cm. But it itself is made with high quality - no gaps, nothing creaks, and the same lid holds perfectly in the open position and does not tend to fall, even when only half open. As for the possible smell of plastic (which my kettle does not have), then not a single plastic kettle, even the more expensive one, is immune from this. Metal ones may have a metallic taste - so it depends on your luck) Summary: an excellent teapot for its price - especially if the prestige of the brand is not important to you.</v>
      </c>
    </row>
    <row r="14034" spans="1:9" x14ac:dyDescent="0.3">
      <c r="A14034" s="1" t="s">
        <v>37</v>
      </c>
      <c r="B14034" s="1" t="s">
        <v>536</v>
      </c>
      <c r="C14034" s="1" t="s">
        <v>39</v>
      </c>
      <c r="D14034" s="1" t="s">
        <v>1776</v>
      </c>
      <c r="E14034" s="1" t="s">
        <v>849</v>
      </c>
      <c r="F14034" s="1" t="s">
        <v>19438</v>
      </c>
      <c r="G14034" s="1" t="s">
        <v>36</v>
      </c>
      <c r="H14034" s="1" t="s">
        <v>29</v>
      </c>
      <c r="I14034" s="1" t="str">
        <f ca="1">IFERROR(__xludf.DUMMYFUNCTION("GOOGLETRANSLATE(F14034, ""auto"", ""en"")
"),"Cool phone! Beautiful design! As soon as I saw it, I immediately wanted to buy it. I've been using it for a month now and have never regretted purchasing it. Large, functional screen, excellent quality. Not glitchy, doesn’t slow down, takes great photos!!"&amp;"! There is no negativity from the phone. I recommend it to everyone!!!")</f>
        <v>Cool phone! Beautiful design! As soon as I saw it, I immediately wanted to buy it. I've been using it for a month now and have never regretted purchasing it. Large, functional screen, excellent quality. Not glitchy, doesn’t slow down, takes great photos!!! There is no negativity from the phone. I recommend it to everyone!!!</v>
      </c>
    </row>
    <row r="14035" spans="1:9" x14ac:dyDescent="0.3">
      <c r="A14035" s="1" t="s">
        <v>55</v>
      </c>
      <c r="B14035" s="1" t="s">
        <v>84</v>
      </c>
      <c r="C14035" s="1" t="s">
        <v>85</v>
      </c>
      <c r="D14035" s="1" t="s">
        <v>81</v>
      </c>
      <c r="E14035" s="1" t="s">
        <v>19439</v>
      </c>
      <c r="F14035" s="1" t="s">
        <v>19440</v>
      </c>
      <c r="G14035" s="1" t="s">
        <v>49</v>
      </c>
      <c r="H14035" s="1" t="s">
        <v>16</v>
      </c>
      <c r="I14035" s="1" t="str">
        <f ca="1">IFERROR(__xludf.DUMMYFUNCTION("GOOGLETRANSLATE(F14035, ""auto"", ""en"")
"),"They took it to the children's room. Useless thing. It doesn’t moisturize or cleanse, it just blows air away. Moreover, there is a very small hole from which the air flow comes out, compared to the SAMSUNG sink. Sold/replaced with a BORK P 602 fan. Super "&amp;"fan!!! And comfortable, and stylish, and beautiful!!! I recommend the BORK P 602 fan.")</f>
        <v>They took it to the children's room. Useless thing. It doesn’t moisturize or cleanse, it just blows air away. Moreover, there is a very small hole from which the air flow comes out, compared to the SAMSUNG sink. Sold/replaced with a BORK P 602 fan. Super fan!!! And comfortable, and stylish, and beautiful!!! I recommend the BORK P 602 fan.</v>
      </c>
    </row>
    <row r="14036" spans="1:9" x14ac:dyDescent="0.3">
      <c r="A14036" s="1" t="s">
        <v>67</v>
      </c>
      <c r="B14036" s="1" t="s">
        <v>68</v>
      </c>
      <c r="C14036" s="1" t="s">
        <v>69</v>
      </c>
      <c r="D14036" s="1" t="s">
        <v>247</v>
      </c>
      <c r="E14036" s="1" t="s">
        <v>443</v>
      </c>
      <c r="F14036" s="1" t="s">
        <v>19441</v>
      </c>
      <c r="G14036" s="1" t="s">
        <v>49</v>
      </c>
      <c r="H14036" s="1" t="s">
        <v>16</v>
      </c>
      <c r="I14036" s="1" t="str">
        <f ca="1">IFERROR(__xludf.DUMMYFUNCTION("GOOGLETRANSLATE(F14036, ""auto"", ""en"")
"),"The iron served for 11 months and broke. It irons well, but breaks very quickly. I don’t recommend buying it.!")</f>
        <v>The iron served for 11 months and broke. It irons well, but breaks very quickly. I don’t recommend buying it.!</v>
      </c>
    </row>
    <row r="14037" spans="1:9" x14ac:dyDescent="0.3">
      <c r="A14037" s="1" t="s">
        <v>55</v>
      </c>
      <c r="B14037" s="1" t="s">
        <v>752</v>
      </c>
      <c r="C14037" s="1" t="s">
        <v>185</v>
      </c>
      <c r="D14037" s="1" t="s">
        <v>545</v>
      </c>
      <c r="E14037" s="1" t="s">
        <v>8084</v>
      </c>
      <c r="F14037" s="1" t="s">
        <v>19442</v>
      </c>
      <c r="G14037" s="1" t="s">
        <v>36</v>
      </c>
      <c r="H14037" s="1" t="s">
        <v>29</v>
      </c>
      <c r="I14037" s="1" t="str">
        <f ca="1">IFERROR(__xludf.DUMMYFUNCTION("GOOGLETRANSLATE(F14037, ""auto"", ""en"")
"),"The radiator is definitely worth the money. My husband and I decided not to skimp on heat; we were recommended this heater, which has a fireplace effect! Heats up the room very quickly, there is no unpleasant smell. They haven't even turned it on at full "&amp;"power yet. It is better to buy a good quality item once than several dubious cheap ones.")</f>
        <v>The radiator is definitely worth the money. My husband and I decided not to skimp on heat; we were recommended this heater, which has a fireplace effect! Heats up the room very quickly, there is no unpleasant smell. They haven't even turned it on at full power yet. It is better to buy a good quality item once than several dubious cheap ones.</v>
      </c>
    </row>
    <row r="14038" spans="1:9" x14ac:dyDescent="0.3">
      <c r="A14038" s="1" t="s">
        <v>211</v>
      </c>
      <c r="B14038" s="1" t="s">
        <v>2818</v>
      </c>
      <c r="C14038" s="1" t="s">
        <v>213</v>
      </c>
      <c r="D14038" s="1" t="s">
        <v>232</v>
      </c>
      <c r="E14038" s="1" t="s">
        <v>4907</v>
      </c>
      <c r="F14038" s="1" t="s">
        <v>19443</v>
      </c>
      <c r="G14038" s="1" t="s">
        <v>36</v>
      </c>
      <c r="H14038" s="1" t="s">
        <v>29</v>
      </c>
      <c r="I14038" s="1" t="str">
        <f ca="1">IFERROR(__xludf.DUMMYFUNCTION("GOOGLETRANSLATE(F14038, ""auto"", ""en"")
"),"I bought this electric razor yesterday and was very pleased, it’s not so loud, it fits perfectly in the hand.... while shaving, whether dry or with shaving gel, there are no complaints.. just super after shaving, the skin is clean and smooth, I recommend "&amp;"everything......")</f>
        <v>I bought this electric razor yesterday and was very pleased, it’s not so loud, it fits perfectly in the hand.... while shaving, whether dry or with shaving gel, there are no complaints.. just super after shaving, the skin is clean and smooth, I recommend everything......</v>
      </c>
    </row>
    <row r="14039" spans="1:9" x14ac:dyDescent="0.3">
      <c r="A14039" s="1" t="s">
        <v>9</v>
      </c>
      <c r="B14039" s="1" t="s">
        <v>137</v>
      </c>
      <c r="C14039" s="1" t="s">
        <v>151</v>
      </c>
      <c r="D14039" s="1" t="s">
        <v>471</v>
      </c>
      <c r="E14039" s="1" t="s">
        <v>3762</v>
      </c>
      <c r="F14039" s="1" t="s">
        <v>19444</v>
      </c>
      <c r="G14039" s="1" t="s">
        <v>49</v>
      </c>
      <c r="H14039" s="1" t="s">
        <v>16</v>
      </c>
      <c r="I14039" s="1" t="str">
        <f ca="1">IFERROR(__xludf.DUMMYFUNCTION("GOOGLETRANSLATE(F14039, ""auto"", ""en"")
"),"I’ve already bought 2 electrical panels and both are Samsung. In the first panel, after 4 years of use, the electronics began to glitch, the tile lived its own life, it wanted to turn on, it wanted to turn off.  then we bought this electrical panel, 1.5 y"&amp;"ears of use passed and the glass burst, repairs cost half the cost of the tiles.")</f>
        <v>I’ve already bought 2 electrical panels and both are Samsung. In the first panel, after 4 years of use, the electronics began to glitch, the tile lived its own life, it wanted to turn on, it wanted to turn off.  then we bought this electrical panel, 1.5 years of use passed and the glass burst, repairs cost half the cost of the tiles.</v>
      </c>
    </row>
    <row r="14040" spans="1:9" x14ac:dyDescent="0.3">
      <c r="A14040" s="1" t="s">
        <v>30</v>
      </c>
      <c r="B14040" s="1" t="s">
        <v>50</v>
      </c>
      <c r="C14040" s="1" t="s">
        <v>189</v>
      </c>
      <c r="D14040" s="1" t="s">
        <v>102</v>
      </c>
      <c r="E14040" s="1" t="s">
        <v>1181</v>
      </c>
      <c r="F14040" s="1" t="s">
        <v>19445</v>
      </c>
      <c r="G14040" s="1" t="s">
        <v>36</v>
      </c>
      <c r="H14040" s="1" t="s">
        <v>29</v>
      </c>
      <c r="I14040" s="1" t="str">
        <f ca="1">IFERROR(__xludf.DUMMYFUNCTION("GOOGLETRANSLATE(F14040, ""auto"", ""en"")
"),"I just bought it, and so far I am 100% happy with its performance!!!")</f>
        <v>I just bought it, and so far I am 100% happy with its performance!!!</v>
      </c>
    </row>
    <row r="14041" spans="1:9" x14ac:dyDescent="0.3">
      <c r="A14041" s="1" t="s">
        <v>67</v>
      </c>
      <c r="B14041" s="1" t="s">
        <v>68</v>
      </c>
      <c r="C14041" s="1" t="s">
        <v>101</v>
      </c>
      <c r="D14041" s="1" t="s">
        <v>2953</v>
      </c>
      <c r="E14041" s="1" t="s">
        <v>6971</v>
      </c>
      <c r="F14041" s="1" t="s">
        <v>19446</v>
      </c>
      <c r="G14041" s="1" t="s">
        <v>36</v>
      </c>
      <c r="H14041" s="1" t="s">
        <v>29</v>
      </c>
      <c r="I14041" s="1" t="str">
        <f ca="1">IFERROR(__xludf.DUMMYFUNCTION("GOOGLETRANSLATE(F14041, ""auto"", ""en"")
"),"We never regretted the purchase, although many friends dissuaded us. It’s good that we didn’t listen to anyone and bought this iron. Works great for the price, not a single item was damaged. Even vertical steaming turned out to be useful, and quite effect"&amp;"ive!")</f>
        <v>We never regretted the purchase, although many friends dissuaded us. It’s good that we didn’t listen to anyone and bought this iron. Works great for the price, not a single item was damaged. Even vertical steaming turned out to be useful, and quite effective!</v>
      </c>
    </row>
    <row r="14042" spans="1:9" x14ac:dyDescent="0.3">
      <c r="A14042" s="1" t="s">
        <v>61</v>
      </c>
      <c r="B14042" s="1" t="s">
        <v>977</v>
      </c>
      <c r="C14042" s="1" t="s">
        <v>69</v>
      </c>
      <c r="D14042" s="1" t="s">
        <v>19447</v>
      </c>
      <c r="E14042" s="1" t="s">
        <v>590</v>
      </c>
      <c r="F14042" s="1" t="s">
        <v>19448</v>
      </c>
      <c r="G14042" s="1" t="s">
        <v>49</v>
      </c>
      <c r="H14042" s="1" t="s">
        <v>16</v>
      </c>
      <c r="I14042" s="1" t="str">
        <f ca="1">IFERROR(__xludf.DUMMYFUNCTION("GOOGLETRANSLATE(F14042, ""auto"", ""en"")
"),"In general, the model is good, but unfortunately, the gear also burst, for some reason it turned out to be plastic, although I read the reviews, I thought I would be the first to be lucky, but alas... I will buy a new one.")</f>
        <v>In general, the model is good, but unfortunately, the gear also burst, for some reason it turned out to be plastic, although I read the reviews, I thought I would be the first to be lucky, but alas... I will buy a new one.</v>
      </c>
    </row>
    <row r="14043" spans="1:9" x14ac:dyDescent="0.3">
      <c r="A14043" s="1" t="s">
        <v>1174</v>
      </c>
      <c r="B14043" s="1" t="s">
        <v>1175</v>
      </c>
      <c r="C14043" s="1" t="s">
        <v>356</v>
      </c>
      <c r="D14043" s="1" t="s">
        <v>305</v>
      </c>
      <c r="E14043" s="1" t="s">
        <v>3794</v>
      </c>
      <c r="F14043" s="1" t="s">
        <v>19449</v>
      </c>
      <c r="G14043" s="1" t="s">
        <v>28</v>
      </c>
      <c r="H14043" s="1" t="s">
        <v>29</v>
      </c>
      <c r="I14043" s="1" t="str">
        <f ca="1">IFERROR(__xludf.DUMMYFUNCTION("GOOGLETRANSLATE(F14043, ""auto"", ""en"")
"),"I bought an iPhone, it came with standard headphones, I can’t say anything bad about them, everything is great. But they only lasted me for one year, the speakers themselves still work, but the button for switching, etc. was broken, and the rubber bands a"&amp;"round the headphones themselves were worn out, but everything is great... Apple is the best.")</f>
        <v>I bought an iPhone, it came with standard headphones, I can’t say anything bad about them, everything is great. But they only lasted me for one year, the speakers themselves still work, but the button for switching, etc. was broken, and the rubber bands around the headphones themselves were worn out, but everything is great... Apple is the best.</v>
      </c>
    </row>
    <row r="14044" spans="1:9" x14ac:dyDescent="0.3">
      <c r="A14044" s="1" t="s">
        <v>30</v>
      </c>
      <c r="B14044" s="1" t="s">
        <v>50</v>
      </c>
      <c r="C14044" s="1" t="s">
        <v>1386</v>
      </c>
      <c r="D14044" s="1" t="s">
        <v>11799</v>
      </c>
      <c r="E14044" s="1" t="s">
        <v>173</v>
      </c>
      <c r="F14044" s="1" t="s">
        <v>19450</v>
      </c>
      <c r="G14044" s="1" t="s">
        <v>28</v>
      </c>
      <c r="H14044" s="1" t="s">
        <v>29</v>
      </c>
      <c r="I14044" s="1" t="str">
        <f ca="1">IFERROR(__xludf.DUMMYFUNCTION("GOOGLETRANSLATE(F14044, ""auto"", ""en"")
"),"A reliable machine, well thought out for everyday tasks, good price and quality. But better, it only works with xp.")</f>
        <v>A reliable machine, well thought out for everyday tasks, good price and quality. But better, it only works with xp.</v>
      </c>
    </row>
    <row r="14045" spans="1:9" x14ac:dyDescent="0.3">
      <c r="A14045" s="1" t="s">
        <v>30</v>
      </c>
      <c r="B14045" s="1" t="s">
        <v>50</v>
      </c>
      <c r="C14045" s="1" t="s">
        <v>51</v>
      </c>
      <c r="D14045" s="1" t="s">
        <v>232</v>
      </c>
      <c r="E14045" s="1" t="s">
        <v>1219</v>
      </c>
      <c r="F14045" s="1" t="s">
        <v>19451</v>
      </c>
      <c r="G14045" s="1" t="s">
        <v>36</v>
      </c>
      <c r="H14045" s="1" t="s">
        <v>29</v>
      </c>
      <c r="I14045" s="1" t="str">
        <f ca="1">IFERROR(__xludf.DUMMYFUNCTION("GOOGLETRANSLATE(F14045, ""auto"", ""en"")
"),"I advise everyone to have a good car and a very good price!!! Take it, you won’t regret it!")</f>
        <v>I advise everyone to have a good car and a very good price!!! Take it, you won’t regret it!</v>
      </c>
    </row>
    <row r="14046" spans="1:9" x14ac:dyDescent="0.3">
      <c r="A14046" s="1" t="s">
        <v>61</v>
      </c>
      <c r="B14046" s="1" t="s">
        <v>145</v>
      </c>
      <c r="C14046" s="1" t="s">
        <v>246</v>
      </c>
      <c r="D14046" s="1" t="s">
        <v>2336</v>
      </c>
      <c r="E14046" s="1" t="s">
        <v>233</v>
      </c>
      <c r="F14046" s="1" t="s">
        <v>19452</v>
      </c>
      <c r="G14046" s="1" t="s">
        <v>36</v>
      </c>
      <c r="H14046" s="1" t="s">
        <v>29</v>
      </c>
      <c r="I14046" s="1" t="str">
        <f ca="1">IFERROR(__xludf.DUMMYFUNCTION("GOOGLETRANSLATE(F14046, ""auto"", ""en"")
"),"I liked the deep fryer. I can’t say that I’m completely delighted, but still. The potatoes turn out delicious if you follow the cooking process and test for doneness. And so... I'm happy. Moreover, if it is given as a gift, it is simply wonderful!")</f>
        <v>I liked the deep fryer. I can’t say that I’m completely delighted, but still. The potatoes turn out delicious if you follow the cooking process and test for doneness. And so... I'm happy. Moreover, if it is given as a gift, it is simply wonderful!</v>
      </c>
    </row>
    <row r="14047" spans="1:9" x14ac:dyDescent="0.3">
      <c r="A14047" s="1" t="s">
        <v>149</v>
      </c>
      <c r="B14047" s="1" t="s">
        <v>155</v>
      </c>
      <c r="C14047" s="1" t="s">
        <v>63</v>
      </c>
      <c r="D14047" s="1" t="s">
        <v>75</v>
      </c>
      <c r="E14047" s="1" t="s">
        <v>3720</v>
      </c>
      <c r="F14047" s="1" t="s">
        <v>19453</v>
      </c>
      <c r="G14047" s="1" t="s">
        <v>36</v>
      </c>
      <c r="H14047" s="1" t="s">
        <v>29</v>
      </c>
      <c r="I14047" s="1" t="str">
        <f ca="1">IFERROR(__xludf.DUMMYFUNCTION("GOOGLETRANSLATE(F14047, ""auto"", ""en"")
"),"I got this vacuum cleaner as a birthday present because... The problem with vacuum cleaners haunted me. Not a single vacuum cleaner lasted more than a year, they simply burned out. This one exceeded all expectations. Very quiet, it makes noise, of course,"&amp;" but the hum is muffled. The suction power is actually just super, and even if you fill the container tightly, it still does the job perfectly. The standard brush collects the fur of fluffy and hairy animals well. The only thing is that it takes up a lot "&amp;"of space. But there is no foreign smell of plastic. Good model, take it without hesitation.")</f>
        <v>I got this vacuum cleaner as a birthday present because... The problem with vacuum cleaners haunted me. Not a single vacuum cleaner lasted more than a year, they simply burned out. This one exceeded all expectations. Very quiet, it makes noise, of course, but the hum is muffled. The suction power is actually just super, and even if you fill the container tightly, it still does the job perfectly. The standard brush collects the fur of fluffy and hairy animals well. The only thing is that it takes up a lot of space. But there is no foreign smell of plastic. Good model, take it without hesitation.</v>
      </c>
    </row>
    <row r="14048" spans="1:9" x14ac:dyDescent="0.3">
      <c r="A14048" s="1" t="s">
        <v>9</v>
      </c>
      <c r="B14048" s="1" t="s">
        <v>137</v>
      </c>
      <c r="C14048" s="1" t="s">
        <v>151</v>
      </c>
      <c r="D14048" s="1" t="s">
        <v>139</v>
      </c>
      <c r="E14048" s="1" t="s">
        <v>6424</v>
      </c>
      <c r="F14048" s="1" t="s">
        <v>19454</v>
      </c>
      <c r="G14048" s="1" t="s">
        <v>36</v>
      </c>
      <c r="H14048" s="1" t="s">
        <v>29</v>
      </c>
      <c r="I14048" s="1" t="str">
        <f ca="1">IFERROR(__xludf.DUMMYFUNCTION("GOOGLETRANSLATE(F14048, ""auto"", ""en"")
"),"We bought one for ourselves because we wanted a glass surface. Everything works great, is easy to clean, looks very beautiful, and most importantly performs its functions 5.&amp;nbsp;")</f>
        <v>We bought one for ourselves because we wanted a glass surface. Everything works great, is easy to clean, looks very beautiful, and most importantly performs its functions 5.&amp;nbsp;</v>
      </c>
    </row>
    <row r="14049" spans="1:9" x14ac:dyDescent="0.3">
      <c r="A14049" s="1" t="s">
        <v>732</v>
      </c>
      <c r="B14049" s="1" t="s">
        <v>733</v>
      </c>
      <c r="C14049" s="1" t="s">
        <v>80</v>
      </c>
      <c r="D14049" s="1" t="s">
        <v>1627</v>
      </c>
      <c r="E14049" s="1" t="s">
        <v>3542</v>
      </c>
      <c r="F14049" s="1" t="s">
        <v>19455</v>
      </c>
      <c r="G14049" s="1" t="s">
        <v>36</v>
      </c>
      <c r="H14049" s="1" t="s">
        <v>29</v>
      </c>
      <c r="I14049" s="1" t="str">
        <f ca="1">IFERROR(__xludf.DUMMYFUNCTION("GOOGLETRANSLATE(F14049, ""auto"", ""en"")
"),"I finally bought myself a normal monitor!!! after my 17-inch box))) the feeling is cool: good image quality, cool design!!! The only drawback is the inconvenient location of the menu buttons, but overall I am very pleased!!!!!!")</f>
        <v>I finally bought myself a normal monitor!!! after my 17-inch box))) the feeling is cool: good image quality, cool design!!! The only drawback is the inconvenient location of the menu buttons, but overall I am very pleased!!!!!!</v>
      </c>
    </row>
    <row r="14050" spans="1:9" x14ac:dyDescent="0.3">
      <c r="A14050" s="1" t="s">
        <v>37</v>
      </c>
      <c r="B14050" s="1" t="s">
        <v>355</v>
      </c>
      <c r="C14050" s="1" t="s">
        <v>356</v>
      </c>
      <c r="D14050" s="1" t="s">
        <v>86</v>
      </c>
      <c r="E14050" s="1" t="s">
        <v>3652</v>
      </c>
      <c r="F14050" s="1" t="s">
        <v>19456</v>
      </c>
      <c r="G14050" s="1" t="s">
        <v>36</v>
      </c>
      <c r="H14050" s="1" t="s">
        <v>29</v>
      </c>
      <c r="I14050" s="1" t="str">
        <f ca="1">IFERROR(__xludf.DUMMYFUNCTION("GOOGLETRANSLATE(F14050, ""auto"", ""en"")
"),"For the money *15 thousand that were paid for it, the device gives good workmanship, down to such trifles as the absence of a squeaking body (thank God), the camera is a little embarrassing, but all the shortcomings pale before the main advantages 1 proce"&amp;"ssor with a frequency of 500 MHz and 256 MB of RAM... I think there is no need to explain 2 touch interface that works flawlessly 3 almost not dirty screen 4 constantly updated software, which is also very easy to update 5 THIS IS APPLE!!!")</f>
        <v>For the money *15 thousand that were paid for it, the device gives good workmanship, down to such trifles as the absence of a squeaking body (thank God), the camera is a little embarrassing, but all the shortcomings pale before the main advantages 1 processor with a frequency of 500 MHz and 256 MB of RAM... I think there is no need to explain 2 touch interface that works flawlessly 3 almost not dirty screen 4 constantly updated software, which is also very easy to update 5 THIS IS APPLE!!!</v>
      </c>
    </row>
    <row r="14051" spans="1:9" x14ac:dyDescent="0.3">
      <c r="A14051" s="1" t="s">
        <v>61</v>
      </c>
      <c r="B14051" s="1" t="s">
        <v>1126</v>
      </c>
      <c r="C14051" s="1" t="s">
        <v>57</v>
      </c>
      <c r="D14051" s="1" t="s">
        <v>545</v>
      </c>
      <c r="E14051" s="1" t="s">
        <v>128</v>
      </c>
      <c r="F14051" s="1" t="s">
        <v>19457</v>
      </c>
      <c r="G14051" s="1" t="s">
        <v>36</v>
      </c>
      <c r="H14051" s="1" t="s">
        <v>29</v>
      </c>
      <c r="I14051" s="1" t="str">
        <f ca="1">IFERROR(__xludf.DUMMYFUNCTION("GOOGLETRANSLATE(F14051, ""auto"", ""en"")
"),"I’ve had them for 3 years, ugh, ugh, no complaints - they weigh accurately, the batteries last for a year. One BUT - the ent bowl is complete nonsense, the plastic is fragile, it started cracking after 2 weeks, and it’s not really needed - I threw it away"&amp;" without regret.")</f>
        <v>I’ve had them for 3 years, ugh, ugh, no complaints - they weigh accurately, the batteries last for a year. One BUT - the ent bowl is complete nonsense, the plastic is fragile, it started cracking after 2 weeks, and it’s not really needed - I threw it away without regret.</v>
      </c>
    </row>
    <row r="14052" spans="1:9" x14ac:dyDescent="0.3">
      <c r="A14052" s="1" t="s">
        <v>89</v>
      </c>
      <c r="B14052" s="1" t="s">
        <v>90</v>
      </c>
      <c r="C14052" s="1" t="s">
        <v>185</v>
      </c>
      <c r="D14052" s="1" t="s">
        <v>295</v>
      </c>
      <c r="E14052" s="1" t="s">
        <v>14630</v>
      </c>
      <c r="F14052" s="1" t="s">
        <v>19458</v>
      </c>
      <c r="G14052" s="1" t="s">
        <v>36</v>
      </c>
      <c r="H14052" s="1" t="s">
        <v>29</v>
      </c>
      <c r="I14052" s="1" t="str">
        <f ca="1">IFERROR(__xludf.DUMMYFUNCTION("GOOGLETRANSLATE(F14052, ""auto"", ""en"")
"),"I bought it as a gift for my parents, and I end up using it myself! I used to have a coffee grinder with knives, no comparison. Millstones do a much better job - the grinding is more uniform, faster and quieter. There is also almost no effect like in the "&amp;"previous coffee grinder, when the grain bounces off the knives and into the lid. Stylish in design, stands steadily due to the special bottom. It’s been working for 2 years now and it’s done well with more than just coffee :) I recommend it! But don’t sto"&amp;"re the grain on top all the time, it’s still better in an airtight container and refrigerator!")</f>
        <v>I bought it as a gift for my parents, and I end up using it myself! I used to have a coffee grinder with knives, no comparison. Millstones do a much better job - the grinding is more uniform, faster and quieter. There is also almost no effect like in the previous coffee grinder, when the grain bounces off the knives and into the lid. Stylish in design, stands steadily due to the special bottom. It’s been working for 2 years now and it’s done well with more than just coffee :) I recommend it! But don’t store the grain on top all the time, it’s still better in an airtight container and refrigerator!</v>
      </c>
    </row>
    <row r="14053" spans="1:9" x14ac:dyDescent="0.3">
      <c r="A14053" s="1" t="s">
        <v>149</v>
      </c>
      <c r="B14053" s="1" t="s">
        <v>150</v>
      </c>
      <c r="C14053" s="1" t="s">
        <v>57</v>
      </c>
      <c r="D14053" s="1" t="s">
        <v>295</v>
      </c>
      <c r="E14053" s="1" t="s">
        <v>1467</v>
      </c>
      <c r="F14053" s="1" t="s">
        <v>19459</v>
      </c>
      <c r="G14053" s="1" t="s">
        <v>49</v>
      </c>
      <c r="H14053" s="1" t="s">
        <v>16</v>
      </c>
      <c r="I14053" s="1" t="str">
        <f ca="1">IFERROR(__xludf.DUMMYFUNCTION("GOOGLETRANSLATE(F14053, ""auto"", ""en"")
"),"I’ve never seen worse vacuum cleaners in my life; it’s difficult to even suck up dust, not to mention even the most basic beads. I tried to suck on a piece of paper, but unfortunately it didn’t work. I absolutely do not recommend buying!")</f>
        <v>I’ve never seen worse vacuum cleaners in my life; it’s difficult to even suck up dust, not to mention even the most basic beads. I tried to suck on a piece of paper, but unfortunately it didn’t work. I absolutely do not recommend buying!</v>
      </c>
    </row>
    <row r="14054" spans="1:9" x14ac:dyDescent="0.3">
      <c r="A14054" s="1" t="s">
        <v>9</v>
      </c>
      <c r="B14054" s="1" t="s">
        <v>137</v>
      </c>
      <c r="C14054" s="1" t="s">
        <v>159</v>
      </c>
      <c r="D14054" s="1" t="s">
        <v>39</v>
      </c>
      <c r="E14054" s="1" t="s">
        <v>4187</v>
      </c>
      <c r="F14054" s="1" t="s">
        <v>19460</v>
      </c>
      <c r="G14054" s="1" t="s">
        <v>36</v>
      </c>
      <c r="H14054" s="1" t="s">
        <v>29</v>
      </c>
      <c r="I14054" s="1" t="str">
        <f ca="1">IFERROR(__xludf.DUMMYFUNCTION("GOOGLETRANSLATE(F14054, ""auto"", ""en"")
"),"There are no complaints in terms of work, everything is functioning, everything is great. The design is also satisfactory. Of course, there are minor shortcomings in terms of ergonomics, but not without them, the manufacturer cannot please everyone. remar"&amp;"ks of this kind: (1). I don’t see the point in a three-flame burner, the stated 4 kW, I doubt it! If you have chosen this particular model, look at the 6435x, you won’t lose, because it’s a couple of thousand rubles cheaper. triple flame is not worth the "&amp;"money. my experiment is a liter of water on a three-flame and a medium burner. the difference is a minute!!!5 and 6 minutes. Accordingly, it’s up to you to draw conclusions! (2). I would place the large burner closer to the handles, on a small kettle if y"&amp;"ou just heat it up. (3).The working surface is not large. Let's say a frying pan and a large saucepan no longer fit, and three or four items will frankly be a bit cramped. In my opinion, Ariston has the best arrangement of burners, but I don’t like it in "&amp;"principle, I’m for quality things and I trust the Germans more.   I read reviews that complain that the handles get hot. Well, they heat up, so what if they don’t crack. They didn’t study physics at school or something. It’s not annoying, believe me, it’s"&amp;" not possible to get burned on them, and the plastic won’t melt, who cares about it.")</f>
        <v>There are no complaints in terms of work, everything is functioning, everything is great. The design is also satisfactory. Of course, there are minor shortcomings in terms of ergonomics, but not without them, the manufacturer cannot please everyone. remarks of this kind: (1). I don’t see the point in a three-flame burner, the stated 4 kW, I doubt it! If you have chosen this particular model, look at the 6435x, you won’t lose, because it’s a couple of thousand rubles cheaper. triple flame is not worth the money. my experiment is a liter of water on a three-flame and a medium burner. the difference is a minute!!!5 and 6 minutes. Accordingly, it’s up to you to draw conclusions! (2). I would place the large burner closer to the handles, on a small kettle if you just heat it up. (3).The working surface is not large. Let's say a frying pan and a large saucepan no longer fit, and three or four items will frankly be a bit cramped. In my opinion, Ariston has the best arrangement of burners, but I don’t like it in principle, I’m for quality things and I trust the Germans more.   I read reviews that complain that the handles get hot. Well, they heat up, so what if they don’t crack. They didn’t study physics at school or something. It’s not annoying, believe me, it’s not possible to get burned on them, and the plastic won’t melt, who cares about it.</v>
      </c>
    </row>
    <row r="14055" spans="1:9" x14ac:dyDescent="0.3">
      <c r="A14055" s="1" t="s">
        <v>211</v>
      </c>
      <c r="B14055" s="1" t="s">
        <v>410</v>
      </c>
      <c r="C14055" s="1" t="s">
        <v>69</v>
      </c>
      <c r="D14055" s="1" t="s">
        <v>19461</v>
      </c>
      <c r="E14055" s="1" t="s">
        <v>708</v>
      </c>
      <c r="F14055" s="1" t="s">
        <v>19462</v>
      </c>
      <c r="G14055" s="1" t="s">
        <v>36</v>
      </c>
      <c r="H14055" s="1" t="s">
        <v>29</v>
      </c>
      <c r="I14055" s="1" t="str">
        <f ca="1">IFERROR(__xludf.DUMMYFUNCTION("GOOGLETRANSLATE(F14055, ""auto"", ""en"")
"),"I decided to please my other half with a surprise! It was difficult to decide on the choice of razor... but after reading the comments, paying attention to the manufacturer and the attractive appearance of this razor, I finally took it. And I didn’t regre"&amp;"t it! Now I only use it, and I moved the machine with foam to my shelf))")</f>
        <v>I decided to please my other half with a surprise! It was difficult to decide on the choice of razor... but after reading the comments, paying attention to the manufacturer and the attractive appearance of this razor, I finally took it. And I didn’t regret it! Now I only use it, and I moved the machine with foam to my shelf))</v>
      </c>
    </row>
    <row r="14056" spans="1:9" x14ac:dyDescent="0.3">
      <c r="A14056" s="1" t="s">
        <v>17</v>
      </c>
      <c r="B14056" s="1" t="s">
        <v>18</v>
      </c>
      <c r="C14056" s="1" t="s">
        <v>63</v>
      </c>
      <c r="D14056" s="1" t="s">
        <v>19463</v>
      </c>
      <c r="E14056" s="1" t="s">
        <v>3527</v>
      </c>
      <c r="F14056" s="1" t="s">
        <v>19464</v>
      </c>
      <c r="G14056" s="1" t="s">
        <v>36</v>
      </c>
      <c r="H14056" s="1" t="s">
        <v>29</v>
      </c>
      <c r="I14056" s="1" t="str">
        <f ca="1">IFERROR(__xludf.DUMMYFUNCTION("GOOGLETRANSLATE(F14056, ""auto"", ""en"")
"),"The machine is super, I’ve been using it for 2.5 years, I’m happy, it whistles because the engine is powerful and doesn’t interfere much.")</f>
        <v>The machine is super, I’ve been using it for 2.5 years, I’m happy, it whistles because the engine is powerful and doesn’t interfere much.</v>
      </c>
    </row>
    <row r="14057" spans="1:9" x14ac:dyDescent="0.3">
      <c r="A14057" s="1" t="s">
        <v>120</v>
      </c>
      <c r="B14057" s="1" t="s">
        <v>256</v>
      </c>
      <c r="C14057" s="1" t="s">
        <v>257</v>
      </c>
      <c r="D14057" s="1" t="s">
        <v>81</v>
      </c>
      <c r="E14057" s="1" t="s">
        <v>2455</v>
      </c>
      <c r="F14057" s="1" t="s">
        <v>19465</v>
      </c>
      <c r="G14057" s="1" t="s">
        <v>36</v>
      </c>
      <c r="H14057" s="1" t="s">
        <v>29</v>
      </c>
      <c r="I14057" s="1" t="str">
        <f ca="1">IFERROR(__xludf.DUMMYFUNCTION("GOOGLETRANSLATE(F14057, ""auto"", ""en"")
"),"He has been working for me since 2008. I'm happy. Now connected to a PC as a monitor. I encountered a problem that some games would not launch because the original driver was not installed.")</f>
        <v>He has been working for me since 2008. I'm happy. Now connected to a PC as a monitor. I encountered a problem that some games would not launch because the original driver was not installed.</v>
      </c>
    </row>
    <row r="14058" spans="1:9" x14ac:dyDescent="0.3">
      <c r="A14058" s="1" t="s">
        <v>89</v>
      </c>
      <c r="B14058" s="1" t="s">
        <v>1106</v>
      </c>
      <c r="C14058" s="1" t="s">
        <v>74</v>
      </c>
      <c r="D14058" s="1" t="s">
        <v>10002</v>
      </c>
      <c r="E14058" s="1" t="s">
        <v>1454</v>
      </c>
      <c r="F14058" s="1" t="s">
        <v>19466</v>
      </c>
      <c r="G14058" s="1" t="s">
        <v>28</v>
      </c>
      <c r="H14058" s="1" t="s">
        <v>29</v>
      </c>
      <c r="I14058" s="1" t="str">
        <f ca="1">IFERROR(__xludf.DUMMYFUNCTION("GOOGLETRANSLATE(F14058, ""auto"", ""en"")
"),"Excellent, fast for the price. There is no strength adjustment - this is just a useless function, if you want it stronger, add more coffee, or brew without a flask in the machine, let it brew a little and put the flask in place (for 1-2 cups of drink)")</f>
        <v>Excellent, fast for the price. There is no strength adjustment - this is just a useless function, if you want it stronger, add more coffee, or brew without a flask in the machine, let it brew a little and put the flask in place (for 1-2 cups of drink)</v>
      </c>
    </row>
    <row r="14059" spans="1:9" x14ac:dyDescent="0.3">
      <c r="A14059" s="1" t="s">
        <v>67</v>
      </c>
      <c r="B14059" s="1" t="s">
        <v>340</v>
      </c>
      <c r="C14059" s="1" t="s">
        <v>1634</v>
      </c>
      <c r="D14059" s="1" t="s">
        <v>3937</v>
      </c>
      <c r="E14059" s="1" t="s">
        <v>841</v>
      </c>
      <c r="F14059" s="1" t="s">
        <v>19467</v>
      </c>
      <c r="G14059" s="1" t="s">
        <v>36</v>
      </c>
      <c r="H14059" s="1" t="s">
        <v>29</v>
      </c>
      <c r="I14059" s="1" t="str">
        <f ca="1">IFERROR(__xludf.DUMMYFUNCTION("GOOGLETRANSLATE(F14059, ""auto"", ""en"")
"),"We bought the car yesterday. Before that there was a Chaika, also a pedal. Now I couldn't be happier with my purchase. Threading the threads couldn't be easier. The instructions are incredibly detailed, with lots of illustrations, step-by-step actions, an"&amp;"d sewing recommendations. I have never processed loops on a machine, but I think anyone can handle these instructions. I didn't even have to watch the DVD. It works smoothly, the thread does not break, nothing gets tangled. I was pleased with the device f"&amp;"or threading a needle, the horizontal shuttle, which is threaded in one movement, and the razor for cutting threads. Overall, I'm very pleased with the purchase. Moreover, we took it on sale. The more joy)))")</f>
        <v>We bought the car yesterday. Before that there was a Chaika, also a pedal. Now I couldn't be happier with my purchase. Threading the threads couldn't be easier. The instructions are incredibly detailed, with lots of illustrations, step-by-step actions, and sewing recommendations. I have never processed loops on a machine, but I think anyone can handle these instructions. I didn't even have to watch the DVD. It works smoothly, the thread does not break, nothing gets tangled. I was pleased with the device for threading a needle, the horizontal shuttle, which is threaded in one movement, and the razor for cutting threads. Overall, I'm very pleased with the purchase. Moreover, we took it on sale. The more joy)))</v>
      </c>
    </row>
    <row r="14060" spans="1:9" x14ac:dyDescent="0.3">
      <c r="A14060" s="1" t="s">
        <v>965</v>
      </c>
      <c r="B14060" s="1" t="s">
        <v>966</v>
      </c>
      <c r="C14060" s="1" t="s">
        <v>2149</v>
      </c>
      <c r="D14060" s="1" t="s">
        <v>232</v>
      </c>
      <c r="E14060" s="1" t="s">
        <v>11942</v>
      </c>
      <c r="F14060" s="1" t="s">
        <v>19468</v>
      </c>
      <c r="G14060" s="1" t="s">
        <v>15</v>
      </c>
      <c r="H14060" s="1" t="s">
        <v>16</v>
      </c>
      <c r="I14060" s="1" t="str">
        <f ca="1">IFERROR(__xludf.DUMMYFUNCTION("GOOGLETRANSLATE(F14060, ""auto"", ""en"")
"),"Today I was choosing speakers, considering this option, and I’ll be honest that the impression was not very good! It's very quiet, almost no bass...")</f>
        <v>Today I was choosing speakers, considering this option, and I’ll be honest that the impression was not very good! It's very quiet, almost no bass...</v>
      </c>
    </row>
    <row r="14061" spans="1:9" x14ac:dyDescent="0.3">
      <c r="A14061" s="1" t="s">
        <v>149</v>
      </c>
      <c r="B14061" s="1" t="s">
        <v>150</v>
      </c>
      <c r="C14061" s="1" t="s">
        <v>982</v>
      </c>
      <c r="D14061" s="1" t="s">
        <v>114</v>
      </c>
      <c r="E14061" s="1" t="s">
        <v>6424</v>
      </c>
      <c r="F14061" s="1" t="s">
        <v>19469</v>
      </c>
      <c r="G14061" s="1" t="s">
        <v>28</v>
      </c>
      <c r="H14061" s="1" t="s">
        <v>29</v>
      </c>
      <c r="I14061" s="1" t="str">
        <f ca="1">IFERROR(__xludf.DUMMYFUNCTION("GOOGLETRANSLATE(F14061, ""auto"", ""en"")
"),"I did not buy this model, but took it for use. I washed the car in the sun and the foam dried quickly in the sun, although the dried shampoo was not so difficult to wash off. The sink has good pressure, the most important thing is to rinse the shampoo hos"&amp;"e thoroughly after applying shampoo. She washes the arches really well. I tried washing it with just water without shampoo. If you wash your car every day from this car wash, you don’t need to apply shampoo.&amp;nbsp;")</f>
        <v>I did not buy this model, but took it for use. I washed the car in the sun and the foam dried quickly in the sun, although the dried shampoo was not so difficult to wash off. The sink has good pressure, the most important thing is to rinse the shampoo hose thoroughly after applying shampoo. She washes the arches really well. I tried washing it with just water without shampoo. If you wash your car every day from this car wash, you don’t need to apply shampoo.&amp;nbsp;</v>
      </c>
    </row>
    <row r="14062" spans="1:9" x14ac:dyDescent="0.3">
      <c r="A14062" s="1" t="s">
        <v>61</v>
      </c>
      <c r="B14062" s="1" t="s">
        <v>318</v>
      </c>
      <c r="C14062" s="1" t="s">
        <v>57</v>
      </c>
      <c r="D14062" s="1" t="s">
        <v>1520</v>
      </c>
      <c r="E14062" s="1" t="s">
        <v>886</v>
      </c>
      <c r="F14062" s="1" t="s">
        <v>19470</v>
      </c>
      <c r="G14062" s="1" t="s">
        <v>49</v>
      </c>
      <c r="H14062" s="1" t="s">
        <v>16</v>
      </c>
      <c r="I14062" s="1" t="str">
        <f ca="1">IFERROR(__xludf.DUMMYFUNCTION("GOOGLETRANSLATE(F14062, ""auto"", ""en"")
"),"It doesn’t hold the temperature well, it refuses to boil a second time, the water comes out semi-warm, you can’t make tea like that. Returned it back.")</f>
        <v>It doesn’t hold the temperature well, it refuses to boil a second time, the water comes out semi-warm, you can’t make tea like that. Returned it back.</v>
      </c>
    </row>
    <row r="14063" spans="1:9" x14ac:dyDescent="0.3">
      <c r="A14063" s="1" t="s">
        <v>30</v>
      </c>
      <c r="B14063" s="1" t="s">
        <v>50</v>
      </c>
      <c r="C14063" s="1" t="s">
        <v>51</v>
      </c>
      <c r="D14063" s="1" t="s">
        <v>19471</v>
      </c>
      <c r="E14063" s="1" t="s">
        <v>4187</v>
      </c>
      <c r="F14063" s="1" t="s">
        <v>19472</v>
      </c>
      <c r="G14063" s="1" t="s">
        <v>36</v>
      </c>
      <c r="H14063" s="1" t="s">
        <v>29</v>
      </c>
      <c r="I14063" s="1" t="str">
        <f ca="1">IFERROR(__xludf.DUMMYFUNCTION("GOOGLETRANSLATE(F14063, ""auto"", ""en"")
"),"In principle, everything is not very bad, I have noticed only one minus so far: I installed only a couple of games, well, both one mafia II and the second F.E.A.R.2 constantly freeze for a couple of seconds, although they are running at full maximum speed"&amp;".... what's the matter?")</f>
        <v>In principle, everything is not very bad, I have noticed only one minus so far: I installed only a couple of games, well, both one mafia II and the second F.E.A.R.2 constantly freeze for a couple of seconds, although they are running at full maximum speed.... what's the matter?</v>
      </c>
    </row>
    <row r="14064" spans="1:9" x14ac:dyDescent="0.3">
      <c r="A14064" s="1" t="s">
        <v>61</v>
      </c>
      <c r="B14064" s="1" t="s">
        <v>224</v>
      </c>
      <c r="C14064" s="1" t="s">
        <v>257</v>
      </c>
      <c r="D14064" s="1" t="s">
        <v>592</v>
      </c>
      <c r="E14064" s="1" t="s">
        <v>1723</v>
      </c>
      <c r="F14064" s="1" t="s">
        <v>19473</v>
      </c>
      <c r="G14064" s="1" t="s">
        <v>28</v>
      </c>
      <c r="H14064" s="1" t="s">
        <v>29</v>
      </c>
      <c r="I14064" s="1" t="str">
        <f ca="1">IFERROR(__xludf.DUMMYFUNCTION("GOOGLETRANSLATE(F14064, ""auto"", ""en"")
"),"I bought a juicer the other day and was pleased. I tried to squeeze the juice out of carrots, and it was a great success. The only thing is that not all the pulp is in the glass, a small amount is smeared on the inner walls.")</f>
        <v>I bought a juicer the other day and was pleased. I tried to squeeze the juice out of carrots, and it was a great success. The only thing is that not all the pulp is in the glass, a small amount is smeared on the inner walls.</v>
      </c>
    </row>
    <row r="14065" spans="1:9" x14ac:dyDescent="0.3">
      <c r="A14065" s="1" t="s">
        <v>211</v>
      </c>
      <c r="B14065" s="1" t="s">
        <v>265</v>
      </c>
      <c r="C14065" s="1" t="s">
        <v>381</v>
      </c>
      <c r="D14065" s="1" t="s">
        <v>335</v>
      </c>
      <c r="E14065" s="1" t="s">
        <v>798</v>
      </c>
      <c r="F14065" s="1" t="s">
        <v>19474</v>
      </c>
      <c r="G14065" s="1" t="s">
        <v>36</v>
      </c>
      <c r="H14065" s="1" t="s">
        <v>29</v>
      </c>
      <c r="I14065" s="1" t="str">
        <f ca="1">IFERROR(__xludf.DUMMYFUNCTION("GOOGLETRANSLATE(F14065, ""auto"", ""en"")
"),"I gave my husband a hair clipper for his birthday. We've had it for 6 months now, no complaints.   Only positive emotions! I cut my hair with the smallest 3 mm nozzle: it’s just super, it doesn’t pull the hair, it removes the hair the first time and doesn"&amp;"’t leave any grooves. Vibration is within normal limits, comfortable in the hand. There is no need to wash it, or lubricate it, just clean it with a brush and blow it out of small hairs. Very convenient and easy to use. My husband is happy and I'm happy. "&amp;"  I cut my father-in-law’s hair a couple of times and really liked it. Now we’re going to give him the same one for his anniversary.")</f>
        <v>I gave my husband a hair clipper for his birthday. We've had it for 6 months now, no complaints.   Only positive emotions! I cut my hair with the smallest 3 mm nozzle: it’s just super, it doesn’t pull the hair, it removes the hair the first time and doesn’t leave any grooves. Vibration is within normal limits, comfortable in the hand. There is no need to wash it, or lubricate it, just clean it with a brush and blow it out of small hairs. Very convenient and easy to use. My husband is happy and I'm happy.   I cut my father-in-law’s hair a couple of times and really liked it. Now we’re going to give him the same one for his anniversary.</v>
      </c>
    </row>
    <row r="14066" spans="1:9" x14ac:dyDescent="0.3">
      <c r="A14066" s="1" t="s">
        <v>61</v>
      </c>
      <c r="B14066" s="1" t="s">
        <v>318</v>
      </c>
      <c r="C14066" s="1" t="s">
        <v>57</v>
      </c>
      <c r="D14066" s="1" t="s">
        <v>52</v>
      </c>
      <c r="E14066" s="1" t="s">
        <v>1603</v>
      </c>
      <c r="F14066" s="1" t="s">
        <v>19475</v>
      </c>
      <c r="G14066" s="1" t="s">
        <v>49</v>
      </c>
      <c r="H14066" s="1" t="s">
        <v>16</v>
      </c>
      <c r="I14066" s="1" t="str">
        <f ca="1">IFERROR(__xludf.DUMMYFUNCTION("GOOGLETRANSLATE(F14066, ""auto"", ""en"")
"),"I bought it on 03/24/11 on Alekseevskaya. Defective.  When you turn it on, it flows. Water flows out from somewhere inside onto the switch tab. I'll take it back today.")</f>
        <v>I bought it on 03/24/11 on Alekseevskaya. Defective.  When you turn it on, it flows. Water flows out from somewhere inside onto the switch tab. I'll take it back today.</v>
      </c>
    </row>
    <row r="14067" spans="1:9" x14ac:dyDescent="0.3">
      <c r="A14067" s="1" t="s">
        <v>17</v>
      </c>
      <c r="B14067" s="1" t="s">
        <v>18</v>
      </c>
      <c r="C14067" s="1" t="s">
        <v>19</v>
      </c>
      <c r="D14067" s="1" t="s">
        <v>621</v>
      </c>
      <c r="E14067" s="1" t="s">
        <v>4342</v>
      </c>
      <c r="F14067" s="1" t="s">
        <v>19476</v>
      </c>
      <c r="G14067" s="1" t="s">
        <v>36</v>
      </c>
      <c r="H14067" s="1" t="s">
        <v>29</v>
      </c>
      <c r="I14067" s="1" t="str">
        <f ca="1">IFERROR(__xludf.DUMMYFUNCTION("GOOGLETRANSLATE(F14067, ""auto"", ""en"")
"),"It’s a good machine, we bought it 2 years ago, it works great, it washes very well. If you choose the right program, there are no problems at all. Quite noisy during spinning, but this is a disadvantage of most machines, even more expensive ones. For the "&amp;"price this is a very good purchase.")</f>
        <v>It’s a good machine, we bought it 2 years ago, it works great, it washes very well. If you choose the right program, there are no problems at all. Quite noisy during spinning, but this is a disadvantage of most machines, even more expensive ones. For the price this is a very good purchase.</v>
      </c>
    </row>
    <row r="14068" spans="1:9" x14ac:dyDescent="0.3">
      <c r="A14068" s="1" t="s">
        <v>30</v>
      </c>
      <c r="B14068" s="1" t="s">
        <v>50</v>
      </c>
      <c r="C14068" s="1" t="s">
        <v>1003</v>
      </c>
      <c r="D14068" s="1" t="s">
        <v>1605</v>
      </c>
      <c r="E14068" s="1" t="s">
        <v>794</v>
      </c>
      <c r="F14068" s="1" t="s">
        <v>19477</v>
      </c>
      <c r="G14068" s="1" t="s">
        <v>28</v>
      </c>
      <c r="H14068" s="1" t="s">
        <v>29</v>
      </c>
      <c r="I14068" s="1" t="str">
        <f ca="1">IFERROR(__xludf.DUMMYFUNCTION("GOOGLETRANSLATE(F14068, ""auto"", ""en"")
"),"Hello everyone! I bought this laptop in January 2010 for a promotion. I’ve been using it for 3 months. I’m happy with everything, except for the clicking sound on the right side of the beech in the cd-room area, there is a suspicion that the screw may sim"&amp;"ply stall soon. If anyone had such a problem, please write me down, maybe you can advise me. And at first I took a long time to get used to the matrix, until I used one program to customize it for myself. Now everything is fine, my eyes are not they get t"&amp;"ired. The games are all just flying away! The laptop is cool, but I personally don’t have the confidence that it won’t fail tomorrow. Good luck to everyone!!!")</f>
        <v>Hello everyone! I bought this laptop in January 2010 for a promotion. I’ve been using it for 3 months. I’m happy with everything, except for the clicking sound on the right side of the beech in the cd-room area, there is a suspicion that the screw may simply stall soon. If anyone had such a problem, please write me down, maybe you can advise me. And at first I took a long time to get used to the matrix, until I used one program to customize it for myself. Now everything is fine, my eyes are not they get tired. The games are all just flying away! The laptop is cool, but I personally don’t have the confidence that it won’t fail tomorrow. Good luck to everyone!!!</v>
      </c>
    </row>
    <row r="14069" spans="1:9" x14ac:dyDescent="0.3">
      <c r="A14069" s="1" t="s">
        <v>811</v>
      </c>
      <c r="B14069" s="1" t="s">
        <v>4226</v>
      </c>
      <c r="C14069" s="1" t="s">
        <v>97</v>
      </c>
      <c r="D14069" s="1" t="s">
        <v>152</v>
      </c>
      <c r="E14069" s="1" t="s">
        <v>430</v>
      </c>
      <c r="F14069" s="1" t="s">
        <v>19478</v>
      </c>
      <c r="G14069" s="1" t="s">
        <v>49</v>
      </c>
      <c r="H14069" s="1" t="s">
        <v>16</v>
      </c>
      <c r="I14069" s="1" t="str">
        <f ca="1">IFERROR(__xludf.DUMMYFUNCTION("GOOGLETRANSLATE(F14069, ""auto"", ""en"")
"),"I bought an NP-FN70 battery, the store said it would be enough for 3 hours of shooting, why is it only enough for an hour.")</f>
        <v>I bought an NP-FN70 battery, the store said it would be enough for 3 hours of shooting, why is it only enough for an hour.</v>
      </c>
    </row>
    <row r="14070" spans="1:9" x14ac:dyDescent="0.3">
      <c r="A14070" s="1" t="s">
        <v>67</v>
      </c>
      <c r="B14070" s="1" t="s">
        <v>68</v>
      </c>
      <c r="C14070" s="1" t="s">
        <v>246</v>
      </c>
      <c r="D14070" s="1" t="s">
        <v>1431</v>
      </c>
      <c r="E14070" s="1" t="s">
        <v>2328</v>
      </c>
      <c r="F14070" s="1" t="s">
        <v>19479</v>
      </c>
      <c r="G14070" s="1" t="s">
        <v>28</v>
      </c>
      <c r="H14070" s="1" t="s">
        <v>29</v>
      </c>
      <c r="I14070" s="1" t="str">
        <f ca="1">IFERROR(__xludf.DUMMYFUNCTION("GOOGLETRANSLATE(F14070, ""auto"", ""en"")
"),"The iron was bought in 2010, served for 6 years and broke. Having disassembled it, I saw that the gasket between the water tank and the soleplate had torn, water was leaking and the iron had shorted out. Otherwise, there are no complaints during use, the "&amp;"wife was happy, the iron ironed perfectly")</f>
        <v>The iron was bought in 2010, served for 6 years and broke. Having disassembled it, I saw that the gasket between the water tank and the soleplate had torn, water was leaking and the iron had shorted out. Otherwise, there are no complaints during use, the wife was happy, the iron ironed perfectly</v>
      </c>
    </row>
    <row r="14071" spans="1:9" x14ac:dyDescent="0.3">
      <c r="A14071" s="1" t="s">
        <v>5066</v>
      </c>
      <c r="B14071" s="1" t="s">
        <v>5067</v>
      </c>
      <c r="C14071" s="1" t="s">
        <v>911</v>
      </c>
      <c r="D14071" s="1" t="s">
        <v>171</v>
      </c>
      <c r="E14071" s="1" t="s">
        <v>9574</v>
      </c>
      <c r="F14071" s="1" t="s">
        <v>19480</v>
      </c>
      <c r="G14071" s="1" t="s">
        <v>36</v>
      </c>
      <c r="H14071" s="1" t="s">
        <v>29</v>
      </c>
      <c r="I14071" s="1" t="str">
        <f ca="1">IFERROR(__xludf.DUMMYFUNCTION("GOOGLETRANSLATE(F14071, ""auto"", ""en"")
"),"exchange of equipment on the same day of application, unless of course you killed the equipment yourself")</f>
        <v>exchange of equipment on the same day of application, unless of course you killed the equipment yourself</v>
      </c>
    </row>
    <row r="14072" spans="1:9" x14ac:dyDescent="0.3">
      <c r="A14072" s="1" t="s">
        <v>37</v>
      </c>
      <c r="B14072" s="1" t="s">
        <v>1829</v>
      </c>
      <c r="C14072" s="1" t="s">
        <v>151</v>
      </c>
      <c r="D14072" s="1" t="s">
        <v>127</v>
      </c>
      <c r="E14072" s="1" t="s">
        <v>1767</v>
      </c>
      <c r="F14072" s="1" t="s">
        <v>19481</v>
      </c>
      <c r="G14072" s="1" t="s">
        <v>36</v>
      </c>
      <c r="H14072" s="1" t="s">
        <v>29</v>
      </c>
      <c r="I14072" s="1" t="str">
        <f ca="1">IFERROR(__xludf.DUMMYFUNCTION("GOOGLETRANSLATE(F14072, ""auto"", ""en"")
"),"Pros: High-quality assembly, unpretentiousness, dimensions, durability. I am more than satisfied with the device. Everything works great.    Cons: The plastic case has cracked over time. Lack of 4G.    I have been using the phone for more than 2 years. He"&amp;"lped me a lot of times. I often used a flashlight when I worked as an installer. I use the camera regularly and the pictures come out quite good, even by today’s standards. Despite the fact that the phone has been around for several years, its firmware wa"&amp;"s updated over the air to Android 5.0.1. I was very surprised by this, because I thought that Android would remain at release 4.4. Over time, the battery began to hold a charge poorly. But it’s a stretch for me during daylight hours, but it’s enough. Duri"&amp;"ng all this time the device has not been repaired,")</f>
        <v>Pros: High-quality assembly, unpretentiousness, dimensions, durability. I am more than satisfied with the device. Everything works great.    Cons: The plastic case has cracked over time. Lack of 4G.    I have been using the phone for more than 2 years. Helped me a lot of times. I often used a flashlight when I worked as an installer. I use the camera regularly and the pictures come out quite good, even by today’s standards. Despite the fact that the phone has been around for several years, its firmware was updated over the air to Android 5.0.1. I was very surprised by this, because I thought that Android would remain at release 4.4. Over time, the battery began to hold a charge poorly. But it’s a stretch for me during daylight hours, but it’s enough. During all this time the device has not been repaired,</v>
      </c>
    </row>
    <row r="14073" spans="1:9" x14ac:dyDescent="0.3">
      <c r="A14073" s="1" t="s">
        <v>67</v>
      </c>
      <c r="B14073" s="1" t="s">
        <v>68</v>
      </c>
      <c r="C14073" s="1" t="s">
        <v>246</v>
      </c>
      <c r="D14073" s="1" t="s">
        <v>19482</v>
      </c>
      <c r="E14073" s="1" t="s">
        <v>886</v>
      </c>
      <c r="F14073" s="1" t="s">
        <v>19483</v>
      </c>
      <c r="G14073" s="1" t="s">
        <v>15</v>
      </c>
      <c r="H14073" s="1" t="s">
        <v>16</v>
      </c>
      <c r="I14073" s="1" t="str">
        <f ca="1">IFERROR(__xludf.DUMMYFUNCTION("GOOGLETRANSLATE(F14073, ""auto"", ""en"")
"),"After purchasing I decided to try the iron out immediately. As a result, when heated, it began to smell terribly of melted plastic. At first I thought that the wiring was burning somewhere. But after “sniffing” my iron, I realized that it smelled like col"&amp;"ored plastic (which contains water). On to the next I took the day to change it and did it with DIFFICULTY. I had to make a fuss. Just like that.")</f>
        <v>After purchasing I decided to try the iron out immediately. As a result, when heated, it began to smell terribly of melted plastic. At first I thought that the wiring was burning somewhere. But after “sniffing” my iron, I realized that it smelled like colored plastic (which contains water). On to the next I took the day to change it and did it with DIFFICULTY. I had to make a fuss. Just like that.</v>
      </c>
    </row>
    <row r="14074" spans="1:9" x14ac:dyDescent="0.3">
      <c r="A14074" s="1" t="s">
        <v>238</v>
      </c>
      <c r="B14074" s="1" t="s">
        <v>276</v>
      </c>
      <c r="C14074" s="1" t="s">
        <v>1677</v>
      </c>
      <c r="D14074" s="1" t="s">
        <v>4281</v>
      </c>
      <c r="E14074" s="1" t="s">
        <v>704</v>
      </c>
      <c r="F14074" s="1" t="s">
        <v>19484</v>
      </c>
      <c r="G14074" s="1" t="s">
        <v>36</v>
      </c>
      <c r="H14074" s="1" t="s">
        <v>29</v>
      </c>
      <c r="I14074" s="1" t="str">
        <f ca="1">IFERROR(__xludf.DUMMYFUNCTION("GOOGLETRANSLATE(F14074, ""auto"", ""en"")
"),"I recently bought this refrigerator. My delight knows no bounds. It took me a long time to choose. There are no competitors.")</f>
        <v>I recently bought this refrigerator. My delight knows no bounds. It took me a long time to choose. There are no competitors.</v>
      </c>
    </row>
    <row r="14075" spans="1:9" x14ac:dyDescent="0.3">
      <c r="A14075" s="1" t="s">
        <v>211</v>
      </c>
      <c r="B14075" s="1" t="s">
        <v>212</v>
      </c>
      <c r="C14075" s="1" t="s">
        <v>213</v>
      </c>
      <c r="D14075" s="1" t="s">
        <v>545</v>
      </c>
      <c r="E14075" s="1" t="s">
        <v>5963</v>
      </c>
      <c r="F14075" s="1" t="s">
        <v>19485</v>
      </c>
      <c r="G14075" s="1" t="s">
        <v>36</v>
      </c>
      <c r="H14075" s="1" t="s">
        <v>29</v>
      </c>
      <c r="I14075" s="1" t="str">
        <f ca="1">IFERROR(__xludf.DUMMYFUNCTION("GOOGLETRANSLATE(F14075, ""auto"", ""en"")
"),"My mother and I bought this hair dryer for ourselves and were very pleased with the results. It applies very easily and quickly, and the volume is just excellent, I didn’t get such results with another hair dryer + water container. So I advise everyone to"&amp;" try it.")</f>
        <v>My mother and I bought this hair dryer for ourselves and were very pleased with the results. It applies very easily and quickly, and the volume is just excellent, I didn’t get such results with another hair dryer + water container. So I advise everyone to try it.</v>
      </c>
    </row>
    <row r="14076" spans="1:9" x14ac:dyDescent="0.3">
      <c r="A14076" s="1" t="s">
        <v>149</v>
      </c>
      <c r="B14076" s="1" t="s">
        <v>155</v>
      </c>
      <c r="C14076" s="1" t="s">
        <v>1187</v>
      </c>
      <c r="D14076" s="1" t="s">
        <v>75</v>
      </c>
      <c r="E14076" s="1" t="s">
        <v>11610</v>
      </c>
      <c r="F14076" s="1" t="s">
        <v>19486</v>
      </c>
      <c r="G14076" s="1" t="s">
        <v>49</v>
      </c>
      <c r="H14076" s="1" t="s">
        <v>16</v>
      </c>
      <c r="I14076" s="1" t="str">
        <f ca="1">IFERROR(__xludf.DUMMYFUNCTION("GOOGLETRANSLATE(F14076, ""auto"", ""en"")
"),"I really don’t like it, it vacuums not bad, but it has a very inconvenient handle, it’s bulky, the handle folds when pressed hard, in addition, it’s inconvenient to remove the container, the brush is inconvenient, and it’s also very noisy.")</f>
        <v>I really don’t like it, it vacuums not bad, but it has a very inconvenient handle, it’s bulky, the handle folds when pressed hard, in addition, it’s inconvenient to remove the container, the brush is inconvenient, and it’s also very noisy.</v>
      </c>
    </row>
    <row r="14077" spans="1:9" x14ac:dyDescent="0.3">
      <c r="A14077" s="1" t="s">
        <v>211</v>
      </c>
      <c r="B14077" s="1" t="s">
        <v>212</v>
      </c>
      <c r="C14077" s="1" t="s">
        <v>69</v>
      </c>
      <c r="D14077" s="1" t="s">
        <v>247</v>
      </c>
      <c r="E14077" s="1" t="s">
        <v>11622</v>
      </c>
      <c r="F14077" s="1" t="s">
        <v>19487</v>
      </c>
      <c r="G14077" s="1" t="s">
        <v>49</v>
      </c>
      <c r="H14077" s="1" t="s">
        <v>16</v>
      </c>
      <c r="I14077" s="1" t="str">
        <f ca="1">IFERROR(__xludf.DUMMYFUNCTION("GOOGLETRANSLATE(F14077, ""auto"", ""en"")
"),"I bought it six months ago and regretted it very much. I don’t recommend it to anyone. It’s impossible to style my hair with it, before that I used Scarlett SC-276 for more than 3 years, I still have it, but it started blowing out very hot air, but I had "&amp;"to adjust to it, because even with this malfunction, it’s the only one that helps me out now.")</f>
        <v>I bought it six months ago and regretted it very much. I don’t recommend it to anyone. It’s impossible to style my hair with it, before that I used Scarlett SC-276 for more than 3 years, I still have it, but it started blowing out very hot air, but I had to adjust to it, because even with this malfunction, it’s the only one that helps me out now.</v>
      </c>
    </row>
    <row r="14078" spans="1:9" x14ac:dyDescent="0.3">
      <c r="A14078" s="1" t="s">
        <v>206</v>
      </c>
      <c r="B14078" s="1" t="s">
        <v>1349</v>
      </c>
      <c r="C14078" s="1" t="s">
        <v>45</v>
      </c>
      <c r="D14078" s="1" t="s">
        <v>247</v>
      </c>
      <c r="E14078" s="1" t="s">
        <v>484</v>
      </c>
      <c r="F14078" s="1" t="s">
        <v>19488</v>
      </c>
      <c r="G14078" s="1" t="s">
        <v>28</v>
      </c>
      <c r="H14078" s="1" t="s">
        <v>29</v>
      </c>
      <c r="I14078" s="1" t="str">
        <f ca="1">IFERROR(__xludf.DUMMYFUNCTION("GOOGLETRANSLATE(F14078, ""auto"", ""en"")
"),"I completely agree with Andrey about the backlight and the sound of the warming up fan. The radio with the screen folded looks quite primitive and unattractive to thieves))) Unfortunately, I was lucky enough to use it for 4 months - the laser head flew of"&amp;"f... M-video returned the money under warranty, but I didn’t risk buying exactly the same one again.")</f>
        <v>I completely agree with Andrey about the backlight and the sound of the warming up fan. The radio with the screen folded looks quite primitive and unattractive to thieves))) Unfortunately, I was lucky enough to use it for 4 months - the laser head flew off... M-video returned the money under warranty, but I didn’t risk buying exactly the same one again.</v>
      </c>
    </row>
    <row r="14079" spans="1:9" x14ac:dyDescent="0.3">
      <c r="A14079" s="1" t="s">
        <v>149</v>
      </c>
      <c r="B14079" s="1" t="s">
        <v>423</v>
      </c>
      <c r="C14079" s="1" t="s">
        <v>531</v>
      </c>
      <c r="D14079" s="1" t="s">
        <v>19489</v>
      </c>
      <c r="E14079" s="1" t="s">
        <v>781</v>
      </c>
      <c r="F14079" s="1" t="s">
        <v>19490</v>
      </c>
      <c r="G14079" s="1" t="s">
        <v>28</v>
      </c>
      <c r="H14079" s="1" t="s">
        <v>29</v>
      </c>
      <c r="I14079" s="1" t="str">
        <f ca="1">IFERROR(__xludf.DUMMYFUNCTION("GOOGLETRANSLATE(F14079, ""auto"", ""en"")
"),"Hello, I was enjoying life with this vacuum cleaner for 3 months, it broke. It hummed like an airplane and stank. So think about it, buy expensive things.")</f>
        <v>Hello, I was enjoying life with this vacuum cleaner for 3 months, it broke. It hummed like an airplane and stank. So think about it, buy expensive things.</v>
      </c>
    </row>
    <row r="14080" spans="1:9" x14ac:dyDescent="0.3">
      <c r="A14080" s="1" t="s">
        <v>111</v>
      </c>
      <c r="B14080" s="1" t="s">
        <v>112</v>
      </c>
      <c r="C14080" s="1" t="s">
        <v>1230</v>
      </c>
      <c r="D14080" s="1" t="s">
        <v>152</v>
      </c>
      <c r="E14080" s="1" t="s">
        <v>5153</v>
      </c>
      <c r="F14080" s="1" t="s">
        <v>19491</v>
      </c>
      <c r="G14080" s="1" t="s">
        <v>36</v>
      </c>
      <c r="H14080" s="1" t="s">
        <v>29</v>
      </c>
      <c r="I14080" s="1" t="str">
        <f ca="1">IFERROR(__xludf.DUMMYFUNCTION("GOOGLETRANSLATE(F14080, ""auto"", ""en"")
"),"Hello everyone!!!! First of all, I want to tell those people who write bad reviews that it burned out! You shake your head, it means there was a power surge and the app saved your equipment!!!! Or would it be better if the TV set burned out or something e"&amp;"lse? So ! Today 27.07.15 everyone knows that there was a strong thunderstorm in Moscow and Moscow region!!! And so I want to say thank you to APS, the way it saved my TV, tricolor and X-box equipment!!!  in other words, the power filter burned out!!  in t"&amp;"he other room there was no network filter and the router costing 5000 thousand burned out!!!!    Today I'm going to buy a new assistant!!!  Thanks aps!!!!")</f>
        <v>Hello everyone!!!! First of all, I want to tell those people who write bad reviews that it burned out! You shake your head, it means there was a power surge and the app saved your equipment!!!! Or would it be better if the TV set burned out or something else? So ! Today 27.07.15 everyone knows that there was a strong thunderstorm in Moscow and Moscow region!!! And so I want to say thank you to APS, the way it saved my TV, tricolor and X-box equipment!!!  in other words, the power filter burned out!!  in the other room there was no network filter and the router costing 5000 thousand burned out!!!!    Today I'm going to buy a new assistant!!!  Thanks aps!!!!</v>
      </c>
    </row>
    <row r="14081" spans="1:9" x14ac:dyDescent="0.3">
      <c r="A14081" s="1" t="s">
        <v>369</v>
      </c>
      <c r="B14081" s="1" t="s">
        <v>2480</v>
      </c>
      <c r="C14081" s="1" t="s">
        <v>453</v>
      </c>
      <c r="D14081" s="1" t="s">
        <v>39</v>
      </c>
      <c r="E14081" s="1" t="s">
        <v>886</v>
      </c>
      <c r="F14081" s="1" t="s">
        <v>19492</v>
      </c>
      <c r="G14081" s="1" t="s">
        <v>36</v>
      </c>
      <c r="H14081" s="1" t="s">
        <v>29</v>
      </c>
      <c r="I14081" s="1" t="str">
        <f ca="1">IFERROR(__xludf.DUMMYFUNCTION("GOOGLETRANSLATE(F14081, ""auto"", ""en"")
"),"We bought this tile in May.....It works great...The large burner starts cooking almost immediately....An excellent model for a summer house....Everyone is happy with it, take it!")</f>
        <v>We bought this tile in May.....It works great...The large burner starts cooking almost immediately....An excellent model for a summer house....Everyone is happy with it, take it!</v>
      </c>
    </row>
    <row r="14082" spans="1:9" x14ac:dyDescent="0.3">
      <c r="A14082" s="1" t="s">
        <v>211</v>
      </c>
      <c r="B14082" s="1" t="s">
        <v>212</v>
      </c>
      <c r="C14082" s="1" t="s">
        <v>213</v>
      </c>
      <c r="D14082" s="1" t="s">
        <v>592</v>
      </c>
      <c r="E14082" s="1" t="s">
        <v>6875</v>
      </c>
      <c r="F14082" s="1" t="s">
        <v>19493</v>
      </c>
      <c r="G14082" s="1" t="s">
        <v>28</v>
      </c>
      <c r="H14082" s="1" t="s">
        <v>29</v>
      </c>
      <c r="I14082" s="1" t="str">
        <f ca="1">IFERROR(__xludf.DUMMYFUNCTION("GOOGLETRANSLATE(F14082, ""auto"", ""en"")
"),"I’ve been using it for 3 years, my hair is long, it straightens and curls the ends perfectly... But the third hair dryer has already broken, and everyone has the same problem - the mount for the attachments breaks, it’s plastic and when heated and styled "&amp;"with tension, it quickly breaks down... Now I’m looking for an alternative.")</f>
        <v>I’ve been using it for 3 years, my hair is long, it straightens and curls the ends perfectly... But the third hair dryer has already broken, and everyone has the same problem - the mount for the attachments breaks, it’s plastic and when heated and styled with tension, it quickly breaks down... Now I’m looking for an alternative.</v>
      </c>
    </row>
    <row r="14083" spans="1:9" x14ac:dyDescent="0.3">
      <c r="A14083" s="1" t="s">
        <v>61</v>
      </c>
      <c r="B14083" s="1" t="s">
        <v>318</v>
      </c>
      <c r="C14083" s="1" t="s">
        <v>246</v>
      </c>
      <c r="D14083" s="1" t="s">
        <v>3097</v>
      </c>
      <c r="E14083" s="1" t="s">
        <v>3444</v>
      </c>
      <c r="F14083" s="1" t="s">
        <v>19494</v>
      </c>
      <c r="G14083" s="1" t="s">
        <v>36</v>
      </c>
      <c r="H14083" s="1" t="s">
        <v>29</v>
      </c>
      <c r="I14083" s="1" t="str">
        <f ca="1">IFERROR(__xludf.DUMMYFUNCTION("GOOGLETRANSLATE(F14083, ""auto"", ""en"")
"),"I was surprised to read bad reviews about the kettle. I've been using the kettle for a year and a half - no plastic smell, because... There is a metal coating inside, the appearance is very pleasant, nothing sticks, the inscriptions and coating have not b"&amp;"een erased anywhere, although there was a move and renovation. My parents bought the same one and have been using it for a year, very happy. The only thing I agree is that it is a little noisy, but that never bothered me. I don’t see the point in buying p"&amp;"lastic kettles, they have a short shelf life, they begin to evaporate harmful substances, the smell of the water is unpleasant, and it’s simply harmful. so Tefal with a metal coating is what you need - high quality and nice to look at.")</f>
        <v>I was surprised to read bad reviews about the kettle. I've been using the kettle for a year and a half - no plastic smell, because... There is a metal coating inside, the appearance is very pleasant, nothing sticks, the inscriptions and coating have not been erased anywhere, although there was a move and renovation. My parents bought the same one and have been using it for a year, very happy. The only thing I agree is that it is a little noisy, but that never bothered me. I don’t see the point in buying plastic kettles, they have a short shelf life, they begin to evaporate harmful substances, the smell of the water is unpleasant, and it’s simply harmful. so Tefal with a metal coating is what you need - high quality and nice to look at.</v>
      </c>
    </row>
    <row r="14084" spans="1:9" x14ac:dyDescent="0.3">
      <c r="A14084" s="1" t="s">
        <v>30</v>
      </c>
      <c r="B14084" s="1" t="s">
        <v>31</v>
      </c>
      <c r="C14084" s="1" t="s">
        <v>365</v>
      </c>
      <c r="D14084" s="1" t="s">
        <v>152</v>
      </c>
      <c r="E14084" s="1" t="s">
        <v>251</v>
      </c>
      <c r="F14084" s="1" t="s">
        <v>19495</v>
      </c>
      <c r="G14084" s="1" t="s">
        <v>49</v>
      </c>
      <c r="H14084" s="1" t="s">
        <v>16</v>
      </c>
      <c r="I14084" s="1" t="str">
        <f ca="1">IFERROR(__xludf.DUMMYFUNCTION("GOOGLETRANSLATE(F14084, ""auto"", ""en"")
"),"Disgusting block. The build quality is rubbish (a problem with the bottom drive, it doesn’t open with a button... two units were replaced, and the third one was too lazy to go and change it) DDR2 memory (for that kind of money they could have installed DD"&amp;"R3) cooler (noisy and poor cooling for 300 rubles) The filling of the unit costs a maximum of 15k, and for 25 you can assemble a good machine on an i5 yourself.    PS. If you can’t assemble it yourself, then buy a monoblock instead.    http://www.mvideo.r"&amp;"u/price/lvl_8/class_293/")</f>
        <v>Disgusting block. The build quality is rubbish (a problem with the bottom drive, it doesn’t open with a button... two units were replaced, and the third one was too lazy to go and change it) DDR2 memory (for that kind of money they could have installed DDR3) cooler (noisy and poor cooling for 300 rubles) The filling of the unit costs a maximum of 15k, and for 25 you can assemble a good machine on an i5 yourself.    PS. If you can’t assemble it yourself, then buy a monoblock instead.    http://www.mvideo.ru/price/lvl_8/class_293/</v>
      </c>
    </row>
    <row r="14085" spans="1:9" x14ac:dyDescent="0.3">
      <c r="A14085" s="1" t="s">
        <v>120</v>
      </c>
      <c r="B14085" s="1" t="s">
        <v>121</v>
      </c>
      <c r="C14085" s="1" t="s">
        <v>122</v>
      </c>
      <c r="D14085" s="1" t="s">
        <v>411</v>
      </c>
      <c r="E14085" s="1" t="s">
        <v>513</v>
      </c>
      <c r="F14085" s="1" t="s">
        <v>19496</v>
      </c>
      <c r="G14085" s="1" t="s">
        <v>36</v>
      </c>
      <c r="H14085" s="1" t="s">
        <v>29</v>
      </c>
      <c r="I14085" s="1" t="str">
        <f ca="1">IFERROR(__xludf.DUMMYFUNCTION("GOOGLETRANSLATE(F14085, ""auto"", ""en"")
"),"I bought it 4 months ago, I watch it like TV and use it as a monitor. I am very pleased, I recommend it to everyone. You won't regret it. Assembly 5. Image 5. Connected to digital - the image is super!")</f>
        <v>I bought it 4 months ago, I watch it like TV and use it as a monitor. I am very pleased, I recommend it to everyone. You won't regret it. Assembly 5. Image 5. Connected to digital - the image is super!</v>
      </c>
    </row>
    <row r="14086" spans="1:9" x14ac:dyDescent="0.3">
      <c r="A14086" s="1" t="s">
        <v>61</v>
      </c>
      <c r="B14086" s="1" t="s">
        <v>318</v>
      </c>
      <c r="C14086" s="1" t="s">
        <v>246</v>
      </c>
      <c r="D14086" s="1" t="s">
        <v>6756</v>
      </c>
      <c r="E14086" s="1" t="s">
        <v>634</v>
      </c>
      <c r="F14086" s="1" t="s">
        <v>19497</v>
      </c>
      <c r="G14086" s="1" t="s">
        <v>36</v>
      </c>
      <c r="H14086" s="1" t="s">
        <v>29</v>
      </c>
      <c r="I14086" s="1" t="str">
        <f ca="1">IFERROR(__xludf.DUMMYFUNCTION("GOOGLETRANSLATE(F14086, ""auto"", ""en"")
"),"I’ve been using this teabag for 6 years and some transparent garbage leaked from the side, but I’m going to buy one again)))")</f>
        <v>I’ve been using this teabag for 6 years and some transparent garbage leaked from the side, but I’m going to buy one again)))</v>
      </c>
    </row>
    <row r="14087" spans="1:9" x14ac:dyDescent="0.3">
      <c r="A14087" s="1" t="s">
        <v>120</v>
      </c>
      <c r="B14087" s="1" t="s">
        <v>256</v>
      </c>
      <c r="C14087" s="1" t="s">
        <v>69</v>
      </c>
      <c r="D14087" s="1" t="s">
        <v>13157</v>
      </c>
      <c r="E14087" s="1" t="s">
        <v>259</v>
      </c>
      <c r="F14087" s="1" t="s">
        <v>19498</v>
      </c>
      <c r="G14087" s="1" t="s">
        <v>36</v>
      </c>
      <c r="H14087" s="1" t="s">
        <v>29</v>
      </c>
      <c r="I14087" s="1" t="str">
        <f ca="1">IFERROR(__xludf.DUMMYFUNCTION("GOOGLETRANSLATE(F14087, ""auto"", ""en"")
"),"The TV is good. It shows dark, which means they didn’t adjust the brightness. For me it only shows dark in energy saving mode. I was pleased with the hdmi output, it’s simply amazing. You synchronize with the computer with one cable. Buy it, you won’t reg"&amp;"ret it.")</f>
        <v>The TV is good. It shows dark, which means they didn’t adjust the brightness. For me it only shows dark in energy saving mode. I was pleased with the hdmi output, it’s simply amazing. You synchronize with the computer with one cable. Buy it, you won’t regret it.</v>
      </c>
    </row>
    <row r="14088" spans="1:9" x14ac:dyDescent="0.3">
      <c r="A14088" s="1" t="s">
        <v>17</v>
      </c>
      <c r="B14088" s="1" t="s">
        <v>18</v>
      </c>
      <c r="C14088" s="1" t="s">
        <v>151</v>
      </c>
      <c r="D14088" s="1" t="s">
        <v>172</v>
      </c>
      <c r="E14088" s="1" t="s">
        <v>259</v>
      </c>
      <c r="F14088" s="1" t="s">
        <v>19499</v>
      </c>
      <c r="G14088" s="1" t="s">
        <v>36</v>
      </c>
      <c r="H14088" s="1" t="s">
        <v>29</v>
      </c>
      <c r="I14088" s="1" t="str">
        <f ca="1">IFERROR(__xludf.DUMMYFUNCTION("GOOGLETRANSLATE(F14088, ""auto"", ""en"")
"),"My sister has this current for 7 kg. In the compartment where you pour the powder, the second (right) section is for rinse aid. But he doesn’t leave the tray and remains there. What's the matter?")</f>
        <v>My sister has this current for 7 kg. In the compartment where you pour the powder, the second (right) section is for rinse aid. But he doesn’t leave the tray and remains there. What's the matter?</v>
      </c>
    </row>
    <row r="14089" spans="1:9" x14ac:dyDescent="0.3">
      <c r="A14089" s="1" t="s">
        <v>211</v>
      </c>
      <c r="B14089" s="1" t="s">
        <v>899</v>
      </c>
      <c r="C14089" s="1" t="s">
        <v>213</v>
      </c>
      <c r="D14089" s="1" t="s">
        <v>280</v>
      </c>
      <c r="E14089" s="1" t="s">
        <v>3730</v>
      </c>
      <c r="F14089" s="1" t="s">
        <v>19500</v>
      </c>
      <c r="G14089" s="1" t="s">
        <v>36</v>
      </c>
      <c r="H14089" s="1" t="s">
        <v>29</v>
      </c>
      <c r="I14089" s="1" t="str">
        <f ca="1">IFERROR(__xludf.DUMMYFUNCTION("GOOGLETRANSLATE(F14089, ""auto"", ""en"")
"),"I have been using this model for 2 years. Never let me down. Cleans great. Don't overpay. Believe me, this is the ideal option. Yes, and nozzles are sold at any pharmacy.")</f>
        <v>I have been using this model for 2 years. Never let me down. Cleans great. Don't overpay. Believe me, this is the ideal option. Yes, and nozzles are sold at any pharmacy.</v>
      </c>
    </row>
    <row r="14090" spans="1:9" x14ac:dyDescent="0.3">
      <c r="A14090" s="1" t="s">
        <v>30</v>
      </c>
      <c r="B14090" s="1" t="s">
        <v>50</v>
      </c>
      <c r="C14090" s="1" t="s">
        <v>658</v>
      </c>
      <c r="D14090" s="1" t="s">
        <v>11159</v>
      </c>
      <c r="E14090" s="1" t="s">
        <v>2231</v>
      </c>
      <c r="F14090" s="1" t="s">
        <v>19501</v>
      </c>
      <c r="G14090" s="1" t="s">
        <v>28</v>
      </c>
      <c r="H14090" s="1" t="s">
        <v>29</v>
      </c>
      <c r="I14090" s="1" t="str">
        <f ca="1">IFERROR(__xludf.DUMMYFUNCTION("GOOGLETRANSLATE(F14090, ""auto"", ""en"")
"),"I took the computer for games. 2.0 gigahertz is enough for new games. The 320 hard drive can contain different things. I just switched it to xp with Vista, it’s a little slow. Take it, I looked at a lot of computers and settled on this one. I rate it a so"&amp;"lid four")</f>
        <v>I took the computer for games. 2.0 gigahertz is enough for new games. The 320 hard drive can contain different things. I just switched it to xp with Vista, it’s a little slow. Take it, I looked at a lot of computers and settled on this one. I rate it a solid four</v>
      </c>
    </row>
    <row r="14091" spans="1:9" x14ac:dyDescent="0.3">
      <c r="A14091" s="1" t="s">
        <v>61</v>
      </c>
      <c r="B14091" s="1" t="s">
        <v>977</v>
      </c>
      <c r="C14091" s="1" t="s">
        <v>85</v>
      </c>
      <c r="D14091" s="1" t="s">
        <v>19502</v>
      </c>
      <c r="E14091" s="1" t="s">
        <v>19503</v>
      </c>
      <c r="F14091" s="1" t="s">
        <v>19504</v>
      </c>
      <c r="G14091" s="1" t="s">
        <v>36</v>
      </c>
      <c r="H14091" s="1" t="s">
        <v>29</v>
      </c>
      <c r="I14091" s="1" t="str">
        <f ca="1">IFERROR(__xludf.DUMMYFUNCTION("GOOGLETRANSLATE(F14091, ""auto"", ""en"")
"),"I recommend! Kneads dough and beats perfectly. An ideal assistant in the kitchen. The quality is super.")</f>
        <v>I recommend! Kneads dough and beats perfectly. An ideal assistant in the kitchen. The quality is super.</v>
      </c>
    </row>
    <row r="14092" spans="1:9" x14ac:dyDescent="0.3">
      <c r="A14092" s="1" t="s">
        <v>105</v>
      </c>
      <c r="B14092" s="1" t="s">
        <v>106</v>
      </c>
      <c r="C14092" s="1" t="s">
        <v>151</v>
      </c>
      <c r="D14092" s="1" t="s">
        <v>152</v>
      </c>
      <c r="E14092" s="1" t="s">
        <v>386</v>
      </c>
      <c r="F14092" s="1" t="s">
        <v>19505</v>
      </c>
      <c r="G14092" s="1" t="s">
        <v>36</v>
      </c>
      <c r="H14092" s="1" t="s">
        <v>29</v>
      </c>
      <c r="I14092" s="1" t="str">
        <f ca="1">IFERROR(__xludf.DUMMYFUNCTION("GOOGLETRANSLATE(F14092, ""auto"", ""en"")
"),"Simply a great player! Convenient navigation (you can choose from: by songs, by albums, by artists), almost weightless, charges quickly and holds a charge for a long time. The included headphones have very good sound. If there is any downside to this play"&amp;"er, it would be its small capacity (only 2GB). But this is already nit-picking, but in general, for such a price it’s just a miracle.")</f>
        <v>Simply a great player! Convenient navigation (you can choose from: by songs, by albums, by artists), almost weightless, charges quickly and holds a charge for a long time. The included headphones have very good sound. If there is any downside to this player, it would be its small capacity (only 2GB). But this is already nit-picking, but in general, for such a price it’s just a miracle.</v>
      </c>
    </row>
    <row r="14093" spans="1:9" x14ac:dyDescent="0.3">
      <c r="A14093" s="1" t="s">
        <v>61</v>
      </c>
      <c r="B14093" s="1" t="s">
        <v>180</v>
      </c>
      <c r="C14093" s="1" t="s">
        <v>74</v>
      </c>
      <c r="D14093" s="1" t="s">
        <v>308</v>
      </c>
      <c r="E14093" s="1" t="s">
        <v>7160</v>
      </c>
      <c r="F14093" s="1" t="s">
        <v>19506</v>
      </c>
      <c r="G14093" s="1" t="s">
        <v>36</v>
      </c>
      <c r="H14093" s="1" t="s">
        <v>29</v>
      </c>
      <c r="I14093" s="1" t="str">
        <f ca="1">IFERROR(__xludf.DUMMYFUNCTION("GOOGLETRANSLATE(F14093, ""auto"", ""en"")
"),"I've had this toaster for over 2 years now. I saw a similar one at a friend’s house and also wanted hot sandwiches in the morning. I received Mulinex as a gift, so I didn’t have to suffer the pain of choice)) It works without failures. I recommend it.")</f>
        <v>I've had this toaster for over 2 years now. I saw a similar one at a friend’s house and also wanted hot sandwiches in the morning. I received Mulinex as a gift, so I didn’t have to suffer the pain of choice)) It works without failures. I recommend it.</v>
      </c>
    </row>
    <row r="14094" spans="1:9" x14ac:dyDescent="0.3">
      <c r="A14094" s="1" t="s">
        <v>61</v>
      </c>
      <c r="B14094" s="1" t="s">
        <v>224</v>
      </c>
      <c r="C14094" s="1" t="s">
        <v>57</v>
      </c>
      <c r="D14094" s="1" t="s">
        <v>16508</v>
      </c>
      <c r="E14094" s="1" t="s">
        <v>1773</v>
      </c>
      <c r="F14094" s="1" t="s">
        <v>19507</v>
      </c>
      <c r="G14094" s="1" t="s">
        <v>49</v>
      </c>
      <c r="H14094" s="1" t="s">
        <v>16</v>
      </c>
      <c r="I14094" s="1" t="str">
        <f ca="1">IFERROR(__xludf.DUMMYFUNCTION("GOOGLETRANSLATE(F14094, ""auto"", ""en"")
"),"I bought this squeezer today, I didn’t check it in the store, I came home and turned it on, it doesn’t work! I'll have to go change...")</f>
        <v>I bought this squeezer today, I didn’t check it in the store, I came home and turned it on, it doesn’t work! I'll have to go change...</v>
      </c>
    </row>
    <row r="14095" spans="1:9" x14ac:dyDescent="0.3">
      <c r="A14095" s="1" t="s">
        <v>373</v>
      </c>
      <c r="B14095" s="1" t="s">
        <v>374</v>
      </c>
      <c r="C14095" s="1" t="s">
        <v>63</v>
      </c>
      <c r="D14095" s="1" t="s">
        <v>39</v>
      </c>
      <c r="E14095" s="1" t="s">
        <v>346</v>
      </c>
      <c r="F14095" s="1" t="s">
        <v>19508</v>
      </c>
      <c r="G14095" s="1" t="s">
        <v>36</v>
      </c>
      <c r="H14095" s="1" t="s">
        <v>29</v>
      </c>
      <c r="I14095" s="1" t="str">
        <f ca="1">IFERROR(__xludf.DUMMYFUNCTION("GOOGLETRANSLATE(F14095, ""auto"", ""en"")
"),"We bought a car on sale. About 2 weeks ago. I was thinking Beko 1500. And here’s a promotion. And definitely Bosch. Although the history of the “dating” of these manufacturers is known, when these 2 cars stood next to each other. The choice is obvious. Dr"&amp;"ying class is actually C. Intimidating. But in practice it turned out very well. Well, there is a drop on the back of the plate of some kind. We are surprised by the dissatisfaction of some!! In general, an excellent unit, washes and dries perfectly. Real"&amp;"ly dries! All these classes are bullshit. In 2 washes I washed the burnt grates out of the oven almost perfectly. And the carbon deposits on the grates are about 5 years old. After washing, the stainless steel shines, pleasing to the eye. I recommend!")</f>
        <v>We bought a car on sale. About 2 weeks ago. I was thinking Beko 1500. And here’s a promotion. And definitely Bosch. Although the history of the “dating” of these manufacturers is known, when these 2 cars stood next to each other. The choice is obvious. Drying class is actually C. Intimidating. But in practice it turned out very well. Well, there is a drop on the back of the plate of some kind. We are surprised by the dissatisfaction of some!! In general, an excellent unit, washes and dries perfectly. Really dries! All these classes are bullshit. In 2 washes I washed the burnt grates out of the oven almost perfectly. And the carbon deposits on the grates are about 5 years old. After washing, the stainless steel shines, pleasing to the eye. I recommend!</v>
      </c>
    </row>
    <row r="14096" spans="1:9" x14ac:dyDescent="0.3">
      <c r="A14096" s="1" t="s">
        <v>43</v>
      </c>
      <c r="B14096" s="1" t="s">
        <v>1382</v>
      </c>
      <c r="C14096" s="1" t="s">
        <v>57</v>
      </c>
      <c r="D14096" s="1" t="s">
        <v>10032</v>
      </c>
      <c r="E14096" s="1" t="s">
        <v>8368</v>
      </c>
      <c r="F14096" s="1" t="s">
        <v>19509</v>
      </c>
      <c r="G14096" s="1" t="s">
        <v>36</v>
      </c>
      <c r="H14096" s="1" t="s">
        <v>29</v>
      </c>
      <c r="I14096" s="1" t="str">
        <f ca="1">IFERROR(__xludf.DUMMYFUNCTION("GOOGLETRANSLATE(F14096, ""auto"", ""en"")
"),"Excellent, copes with its main function, not very noisy, you can easily sleep under it, almost inaudible")</f>
        <v>Excellent, copes with its main function, not very noisy, you can easily sleep under it, almost inaudible</v>
      </c>
    </row>
    <row r="14097" spans="1:9" x14ac:dyDescent="0.3">
      <c r="A14097" s="1" t="s">
        <v>120</v>
      </c>
      <c r="B14097" s="1" t="s">
        <v>126</v>
      </c>
      <c r="C14097" s="1" t="s">
        <v>122</v>
      </c>
      <c r="D14097" s="1" t="s">
        <v>19510</v>
      </c>
      <c r="E14097" s="1" t="s">
        <v>3537</v>
      </c>
      <c r="F14097" s="1" t="s">
        <v>19511</v>
      </c>
      <c r="G14097" s="1" t="s">
        <v>36</v>
      </c>
      <c r="H14097" s="1" t="s">
        <v>29</v>
      </c>
      <c r="I14097" s="1" t="str">
        <f ca="1">IFERROR(__xludf.DUMMYFUNCTION("GOOGLETRANSLATE(F14097, ""auto"", ""en"")
"),"Everything is great, the channels work amazingly, I recommend HDMI 2 to everyone. So if someone wants to play XBOX, there’s a great picture on TV!")</f>
        <v>Everything is great, the channels work amazingly, I recommend HDMI 2 to everyone. So if someone wants to play XBOX, there’s a great picture on TV!</v>
      </c>
    </row>
    <row r="14098" spans="1:9" x14ac:dyDescent="0.3">
      <c r="A14098" s="1" t="s">
        <v>149</v>
      </c>
      <c r="B14098" s="1" t="s">
        <v>150</v>
      </c>
      <c r="C14098" s="1" t="s">
        <v>57</v>
      </c>
      <c r="D14098" s="1" t="s">
        <v>19512</v>
      </c>
      <c r="E14098" s="1" t="s">
        <v>4080</v>
      </c>
      <c r="F14098" s="1" t="s">
        <v>19513</v>
      </c>
      <c r="G14098" s="1" t="s">
        <v>36</v>
      </c>
      <c r="H14098" s="1" t="s">
        <v>29</v>
      </c>
      <c r="I14098" s="1" t="str">
        <f ca="1">IFERROR(__xludf.DUMMYFUNCTION("GOOGLETRANSLATE(F14098, ""auto"", ""en"")
"),"I bought this vacuum cleaner, I liked it, it works quickly, it sucks the most important thing well, even when it’s full, the power is not lost. Well, as for plastic, that’s what everyone makes of it now. Let’s hope it will last a long time. So far I'm hap"&amp;"py with the purchase")</f>
        <v>I bought this vacuum cleaner, I liked it, it works quickly, it sucks the most important thing well, even when it’s full, the power is not lost. Well, as for plastic, that’s what everyone makes of it now. Let’s hope it will last a long time. So far I'm happy with the purchase</v>
      </c>
    </row>
    <row r="14099" spans="1:9" x14ac:dyDescent="0.3">
      <c r="A14099" s="1" t="s">
        <v>120</v>
      </c>
      <c r="B14099" s="1" t="s">
        <v>121</v>
      </c>
      <c r="C14099" s="1" t="s">
        <v>80</v>
      </c>
      <c r="D14099" s="1" t="s">
        <v>200</v>
      </c>
      <c r="E14099" s="1" t="s">
        <v>225</v>
      </c>
      <c r="F14099" s="1" t="s">
        <v>19514</v>
      </c>
      <c r="G14099" s="1" t="s">
        <v>36</v>
      </c>
      <c r="H14099" s="1" t="s">
        <v>29</v>
      </c>
      <c r="I14099" s="1" t="str">
        <f ca="1">IFERROR(__xludf.DUMMYFUNCTION("GOOGLETRANSLATE(F14099, ""auto"", ""en"")
"),"excellent TV, the theme with diodes works!!!!!! everyone is happy.")</f>
        <v>excellent TV, the theme with diodes works!!!!!! everyone is happy.</v>
      </c>
    </row>
    <row r="14100" spans="1:9" x14ac:dyDescent="0.3">
      <c r="A14100" s="1" t="s">
        <v>55</v>
      </c>
      <c r="B14100" s="1" t="s">
        <v>56</v>
      </c>
      <c r="C14100" s="1" t="s">
        <v>159</v>
      </c>
      <c r="D14100" s="1" t="s">
        <v>39</v>
      </c>
      <c r="E14100" s="1" t="s">
        <v>4760</v>
      </c>
      <c r="F14100" s="1" t="s">
        <v>19515</v>
      </c>
      <c r="G14100" s="1" t="s">
        <v>36</v>
      </c>
      <c r="H14100" s="1" t="s">
        <v>29</v>
      </c>
      <c r="I14100" s="1" t="str">
        <f ca="1">IFERROR(__xludf.DUMMYFUNCTION("GOOGLETRANSLATE(F14100, ""auto"", ""en"")
"),"Perfectly moisturizes")</f>
        <v>Perfectly moisturizes</v>
      </c>
    </row>
    <row r="14101" spans="1:9" x14ac:dyDescent="0.3">
      <c r="A14101" s="1" t="s">
        <v>149</v>
      </c>
      <c r="B14101" s="1" t="s">
        <v>150</v>
      </c>
      <c r="C14101" s="1" t="s">
        <v>151</v>
      </c>
      <c r="D14101" s="1" t="s">
        <v>52</v>
      </c>
      <c r="E14101" s="1" t="s">
        <v>71</v>
      </c>
      <c r="F14101" s="1" t="s">
        <v>19516</v>
      </c>
      <c r="G14101" s="1" t="s">
        <v>36</v>
      </c>
      <c r="H14101" s="1" t="s">
        <v>29</v>
      </c>
      <c r="I14101" s="1" t="str">
        <f ca="1">IFERROR(__xludf.DUMMYFUNCTION("GOOGLETRANSLATE(F14101, ""auto"", ""en"")
"),"We bought this vacuum cleaner to replace an old container vacuum cleaner, where there was only one filter in front of the engine, and all the garbage simply accumulated in the body of the vacuum cleaner. Compared to it, this vacuum cleaner differs favorab"&amp;"ly in that all the dust is suspended in water, and for me, as an allergy sufferer, this is very important. Neither during cleaning nor after, when washing the filters, do you have the desire to sneeze at this world.  Many people write about such vacuum cl"&amp;"eaners, how they feel the fresh, moist air after cleaning. Either this is a lie, or euphoria after the purchase, or I have a weak nose, or they pour water into the aquafilter - I didn’t notice anything like that.   After cleaning, it’s really nice to see "&amp;"the swamp inside the vacuum cleaner, but it’s not always possible to pour it into the toilet - if a lot of dust has accumulated, then it’s better to squeeze it out with your hands and throw it in the trash, otherwise you risk clogging the drain and angeri"&amp;"ng the residents on the first floor. I repeat, I am allergic, but not paranoid, and squeezing out the dust with my hands is not a problem for me. The main thing is that you don’t collect needles before this :) Despite the capacious volume of the aquafilte"&amp;"r, there is not much water that can be placed in it - you need to pour it just below the “max” mark so that after assembling and immersing the cyclone parts in water, there is no overflow from the upper part.  During cleaning at high power, the brush, rod"&amp;", hose, body and filter of the vacuum cleaner are quite electrified. At first I was quite puzzled when, immediately after cleaning, I grabbed the filter, and it greeted me with a lightning bolt :), and did not stop treating me with lightning bolts when I "&amp;"took hold of its various parts. Later I became smarter, and while cleaning I walked on the floor barefoot, holding the handle with one hand and the metal rod with the other. As an option, you can leave the vacuum cleaner to “settle” for a while in order t"&amp;"o wait until the static has completely drained from it; This will probably happen faster when the plug is connected to the outlet, but the vacuum cleaner is turned off.  The main thing is not to forget to wash the filter after cleaning, as happened to me."&amp;" A day later, when I opened it, a wave of disgusting smell hit my nose - after all, dust soaked in water provides a fertile habitat for bacteria.  The filter is easy to clean; it only takes me a couple of minutes at most. The job is absolutely not dusty, "&amp;"although a little dirty, but compared to the previous vacuum cleaner, it’s heaven and earth. I had to retire to the bathroom, place a removable container inside a plastic bag, put my hands in it, shake it out, but the dust still came out, brrr, I remember"&amp;" it like a bad dream.  The annoying thing is that it takes a long time to dry the filter (12 hours is recommended). Otherwise, everything is fine.  Yes, the kit also includes a turbo brush with the Pet-Plus inscription. Based on the name, it is intended f"&amp;"or cleaning pet hair. Since there are no animals at home, it was not possible to evaluate its advantages, but it is very compact in size, approximately 2-2.5 times narrower, and we use it for cleaning hard-to-reach places. When cleaning my wife's human ha"&amp;"ir, the brush showed its inadequacy - it jammed after the first portion of hair, and I spent about 15 minutes trying to untangle it, trying to cut the hair with scissors.  Overall, I am very pleased with the choice of vacuum cleaner, I recommend it!")</f>
        <v>We bought this vacuum cleaner to replace an old container vacuum cleaner, where there was only one filter in front of the engine, and all the garbage simply accumulated in the body of the vacuum cleaner. Compared to it, this vacuum cleaner differs favorably in that all the dust is suspended in water, and for me, as an allergy sufferer, this is very important. Neither during cleaning nor after, when washing the filters, do you have the desire to sneeze at this world.  Many people write about such vacuum cleaners, how they feel the fresh, moist air after cleaning. Either this is a lie, or euphoria after the purchase, or I have a weak nose, or they pour water into the aquafilter - I didn’t notice anything like that.   After cleaning, it’s really nice to see the swamp inside the vacuum cleaner, but it’s not always possible to pour it into the toilet - if a lot of dust has accumulated, then it’s better to squeeze it out with your hands and throw it in the trash, otherwise you risk clogging the drain and angering the residents on the first floor. I repeat, I am allergic, but not paranoid, and squeezing out the dust with my hands is not a problem for me. The main thing is that you don’t collect needles before this :) Despite the capacious volume of the aquafilter, there is not much water that can be placed in it - you need to pour it just below the “max” mark so that after assembling and immersing the cyclone parts in water, there is no overflow from the upper part.  During cleaning at high power, the brush, rod, hose, body and filter of the vacuum cleaner are quite electrified. At first I was quite puzzled when, immediately after cleaning, I grabbed the filter, and it greeted me with a lightning bolt :), and did not stop treating me with lightning bolts when I took hold of its various parts. Later I became smarter, and while cleaning I walked on the floor barefoot, holding the handle with one hand and the metal rod with the other. As an option, you can leave the vacuum cleaner to “settle” for a while in order to wait until the static has completely drained from it; This will probably happen faster when the plug is connected to the outlet, but the vacuum cleaner is turned off.  The main thing is not to forget to wash the filter after cleaning, as happened to me. A day later, when I opened it, a wave of disgusting smell hit my nose - after all, dust soaked in water provides a fertile habitat for bacteria.  The filter is easy to clean; it only takes me a couple of minutes at most. The job is absolutely not dusty, although a little dirty, but compared to the previous vacuum cleaner, it’s heaven and earth. I had to retire to the bathroom, place a removable container inside a plastic bag, put my hands in it, shake it out, but the dust still came out, brrr, I remember it like a bad dream.  The annoying thing is that it takes a long time to dry the filter (12 hours is recommended). Otherwise, everything is fine.  Yes, the kit also includes a turbo brush with the Pet-Plus inscription. Based on the name, it is intended for cleaning pet hair. Since there are no animals at home, it was not possible to evaluate its advantages, but it is very compact in size, approximately 2-2.5 times narrower, and we use it for cleaning hard-to-reach places. When cleaning my wife's human hair, the brush showed its inadequacy - it jammed after the first portion of hair, and I spent about 15 minutes trying to untangle it, trying to cut the hair with scissors.  Overall, I am very pleased with the choice of vacuum cleaner, I recommend it!</v>
      </c>
    </row>
    <row r="14102" spans="1:9" x14ac:dyDescent="0.3">
      <c r="A14102" s="1" t="s">
        <v>61</v>
      </c>
      <c r="B14102" s="1" t="s">
        <v>318</v>
      </c>
      <c r="C14102" s="1" t="s">
        <v>74</v>
      </c>
      <c r="D14102" s="1" t="s">
        <v>247</v>
      </c>
      <c r="E14102" s="1" t="s">
        <v>1576</v>
      </c>
      <c r="F14102" s="1" t="s">
        <v>19517</v>
      </c>
      <c r="G14102" s="1" t="s">
        <v>36</v>
      </c>
      <c r="H14102" s="1" t="s">
        <v>29</v>
      </c>
      <c r="I14102" s="1" t="str">
        <f ca="1">IFERROR(__xludf.DUMMYFUNCTION("GOOGLETRANSLATE(F14102, ""auto"", ""en"")
"),"Nice kettle. We have been using it for more than 4 years and no breakdowns, leaks, etc. We chose from well-known companies that had proven themselves well, and the price was right. I recommend!")</f>
        <v>Nice kettle. We have been using it for more than 4 years and no breakdowns, leaks, etc. We chose from well-known companies that had proven themselves well, and the price was right. I recommend!</v>
      </c>
    </row>
    <row r="14103" spans="1:9" x14ac:dyDescent="0.3">
      <c r="A14103" s="1" t="s">
        <v>30</v>
      </c>
      <c r="B14103" s="1" t="s">
        <v>50</v>
      </c>
      <c r="C14103" s="1" t="s">
        <v>1003</v>
      </c>
      <c r="D14103" s="1" t="s">
        <v>280</v>
      </c>
      <c r="E14103" s="1" t="s">
        <v>2094</v>
      </c>
      <c r="F14103" s="1" t="s">
        <v>19518</v>
      </c>
      <c r="G14103" s="1" t="s">
        <v>36</v>
      </c>
      <c r="H14103" s="1" t="s">
        <v>29</v>
      </c>
      <c r="I14103" s="1" t="str">
        <f ca="1">IFERROR(__xludf.DUMMYFUNCTION("GOOGLETRANSLATE(F14103, ""auto"", ""en"")
"),"The laptop is cool, I recently bought it, the games fly (new), there is only one minus current, it gets very hot, otherwise everything is great")</f>
        <v>The laptop is cool, I recently bought it, the games fly (new), there is only one minus current, it gets very hot, otherwise everything is great</v>
      </c>
    </row>
    <row r="14104" spans="1:9" x14ac:dyDescent="0.3">
      <c r="A14104" s="1" t="s">
        <v>43</v>
      </c>
      <c r="B14104" s="1" t="s">
        <v>219</v>
      </c>
      <c r="C14104" s="1" t="s">
        <v>665</v>
      </c>
      <c r="D14104" s="1" t="s">
        <v>19519</v>
      </c>
      <c r="E14104" s="1" t="s">
        <v>722</v>
      </c>
      <c r="F14104" s="1" t="s">
        <v>19520</v>
      </c>
      <c r="G14104" s="1" t="s">
        <v>36</v>
      </c>
      <c r="H14104" s="1" t="s">
        <v>29</v>
      </c>
      <c r="I14104" s="1" t="str">
        <f ca="1">IFERROR(__xludf.DUMMYFUNCTION("GOOGLETRANSLATE(F14104, ""auto"", ""en"")
"),"The apartment has two risers. A Haier ES8V-Q1(R) water heater with a capacity of 8 liters was installed in the kitchen for washing dishes. Very convenient during the hot water outage season. I also installed a Haier water heater for the bathroom, only 50 "&amp;"liters. I've been using the first one for a few days, the second one for more than two years. The main thing is that we didn’t have to overpay. They heat up very quickly. I'm happy with both water heaters.")</f>
        <v>The apartment has two risers. A Haier ES8V-Q1(R) water heater with a capacity of 8 liters was installed in the kitchen for washing dishes. Very convenient during the hot water outage season. I also installed a Haier water heater for the bathroom, only 50 liters. I've been using the first one for a few days, the second one for more than two years. The main thing is that we didn’t have to overpay. They heat up very quickly. I'm happy with both water heaters.</v>
      </c>
    </row>
    <row r="14105" spans="1:9" x14ac:dyDescent="0.3">
      <c r="A14105" s="1" t="s">
        <v>732</v>
      </c>
      <c r="B14105" s="1" t="s">
        <v>733</v>
      </c>
      <c r="C14105" s="1" t="s">
        <v>80</v>
      </c>
      <c r="D14105" s="1" t="s">
        <v>4481</v>
      </c>
      <c r="E14105" s="1" t="s">
        <v>649</v>
      </c>
      <c r="F14105" s="1" t="s">
        <v>19521</v>
      </c>
      <c r="G14105" s="1" t="s">
        <v>36</v>
      </c>
      <c r="H14105" s="1" t="s">
        <v>29</v>
      </c>
      <c r="I14105" s="1" t="str">
        <f ca="1">IFERROR(__xludf.DUMMYFUNCTION("GOOGLETRANSLATE(F14105, ""auto"", ""en"")
"),"I picked up the monitor from Compass. Since I already have an LG 20"" monitor at home, I also wanted this LG one, but I took the 22"" one because of the characteristics and was not disappointed. I’ve been using the monitor for weeks now, everything I want"&amp;"ed from it came together in this model w2284f-pf, I highly recommend it to everyone, for the money the monitor is simply gorgeous")</f>
        <v>I picked up the monitor from Compass. Since I already have an LG 20" monitor at home, I also wanted this LG one, but I took the 22" one because of the characteristics and was not disappointed. I’ve been using the monitor for weeks now, everything I wanted from it came together in this model w2284f-pf, I highly recommend it to everyone, for the money the monitor is simply gorgeous</v>
      </c>
    </row>
    <row r="14106" spans="1:9" x14ac:dyDescent="0.3">
      <c r="A14106" s="1" t="s">
        <v>369</v>
      </c>
      <c r="B14106" s="1" t="s">
        <v>2480</v>
      </c>
      <c r="C14106" s="1" t="s">
        <v>453</v>
      </c>
      <c r="D14106" s="1" t="s">
        <v>729</v>
      </c>
      <c r="E14106" s="1" t="s">
        <v>2921</v>
      </c>
      <c r="F14106" s="1" t="s">
        <v>19522</v>
      </c>
      <c r="G14106" s="1" t="s">
        <v>28</v>
      </c>
      <c r="H14106" s="1" t="s">
        <v>29</v>
      </c>
      <c r="I14106" s="1" t="str">
        <f ca="1">IFERROR(__xludf.DUMMYFUNCTION("GOOGLETRANSLATE(F14106, ""auto"", ""en"")
"),"I worked for almost 1 year (less than 1 week). So normal, but I would like the service life to be longer")</f>
        <v>I worked for almost 1 year (less than 1 week). So normal, but I would like the service life to be longer</v>
      </c>
    </row>
    <row r="14107" spans="1:9" x14ac:dyDescent="0.3">
      <c r="A14107" s="1" t="s">
        <v>30</v>
      </c>
      <c r="B14107" s="1" t="s">
        <v>50</v>
      </c>
      <c r="C14107" s="1" t="s">
        <v>32</v>
      </c>
      <c r="D14107" s="1" t="s">
        <v>280</v>
      </c>
      <c r="E14107" s="1" t="s">
        <v>1811</v>
      </c>
      <c r="F14107" s="1" t="s">
        <v>19523</v>
      </c>
      <c r="G14107" s="1" t="s">
        <v>36</v>
      </c>
      <c r="H14107" s="1" t="s">
        <v>29</v>
      </c>
      <c r="I14107" s="1" t="str">
        <f ca="1">IFERROR(__xludf.DUMMYFUNCTION("GOOGLETRANSLATE(F14107, ""auto"", ""en"")
"),"I bought a laptop about 3 months ago. My friends recommended the Acer model. All modern games and powerful programs run perfectly on it without any slowdowns. The processor is powerful, the RAM is new and fast. It’s silent. There are 4 usb ports. The soun"&amp;"d of the speakers is very decent for a laptop. And in the headphones the sound is simply miraculous. During the work there was not a single failure, although I worked on it constantly (sometimes I didn’t turn it off for a couple of days). There was one mi"&amp;"nus: a small hard drive (however, it is possible to install a larger one). I recommend it to everyone. An excellent laptop.")</f>
        <v>I bought a laptop about 3 months ago. My friends recommended the Acer model. All modern games and powerful programs run perfectly on it without any slowdowns. The processor is powerful, the RAM is new and fast. It’s silent. There are 4 usb ports. The sound of the speakers is very decent for a laptop. And in the headphones the sound is simply miraculous. During the work there was not a single failure, although I worked on it constantly (sometimes I didn’t turn it off for a couple of days). There was one minus: a small hard drive (however, it is possible to install a larger one). I recommend it to everyone. An excellent laptop.</v>
      </c>
    </row>
    <row r="14108" spans="1:9" x14ac:dyDescent="0.3">
      <c r="A14108" s="1" t="s">
        <v>211</v>
      </c>
      <c r="B14108" s="1" t="s">
        <v>856</v>
      </c>
      <c r="C14108" s="1" t="s">
        <v>57</v>
      </c>
      <c r="D14108" s="1" t="s">
        <v>1662</v>
      </c>
      <c r="E14108" s="1" t="s">
        <v>1452</v>
      </c>
      <c r="F14108" s="1" t="s">
        <v>19524</v>
      </c>
      <c r="G14108" s="1" t="s">
        <v>28</v>
      </c>
      <c r="H14108" s="1" t="s">
        <v>29</v>
      </c>
      <c r="I14108" s="1" t="str">
        <f ca="1">IFERROR(__xludf.DUMMYFUNCTION("GOOGLETRANSLATE(F14108, ""auto"", ""en"")
"),"It’s a good thing, but I think it’s more suitable for manicure... it still won’t remove rough skin on the legs, first you’ll have to treat it with a pumice stone.... the only negative is that it seems to me that the speed is not very high, i.e.  If you pr"&amp;"ess very hard on the nozzles, they seem to stop spinning. and I like everything")</f>
        <v>It’s a good thing, but I think it’s more suitable for manicure... it still won’t remove rough skin on the legs, first you’ll have to treat it with a pumice stone.... the only negative is that it seems to me that the speed is not very high, i.e.  If you press very hard on the nozzles, they seem to stop spinning. and I like everything</v>
      </c>
    </row>
    <row r="14109" spans="1:9" x14ac:dyDescent="0.3">
      <c r="A14109" s="1" t="s">
        <v>30</v>
      </c>
      <c r="B14109" s="1" t="s">
        <v>31</v>
      </c>
      <c r="C14109" s="1" t="s">
        <v>32</v>
      </c>
      <c r="D14109" s="1" t="s">
        <v>152</v>
      </c>
      <c r="E14109" s="1" t="s">
        <v>1273</v>
      </c>
      <c r="F14109" s="1" t="s">
        <v>19525</v>
      </c>
      <c r="G14109" s="1" t="s">
        <v>28</v>
      </c>
      <c r="H14109" s="1" t="s">
        <v>29</v>
      </c>
      <c r="I14109" s="1" t="str">
        <f ca="1">IFERROR(__xludf.DUMMYFUNCTION("GOOGLETRANSLATE(F14109, ""auto"", ""en"")
"),"The device is a bit slow and slow to understand. 64-bit seven killed me outright. If I had known, I wouldn't have bought it. The printer's power supply didn't work, 1C problem...")</f>
        <v>The device is a bit slow and slow to understand. 64-bit seven killed me outright. If I had known, I wouldn't have bought it. The printer's power supply didn't work, 1C problem...</v>
      </c>
    </row>
    <row r="14110" spans="1:9" x14ac:dyDescent="0.3">
      <c r="A14110" s="1" t="s">
        <v>149</v>
      </c>
      <c r="B14110" s="1" t="s">
        <v>150</v>
      </c>
      <c r="C14110" s="1" t="s">
        <v>982</v>
      </c>
      <c r="D14110" s="1" t="s">
        <v>114</v>
      </c>
      <c r="E14110" s="1" t="s">
        <v>1324</v>
      </c>
      <c r="F14110" s="1" t="s">
        <v>19526</v>
      </c>
      <c r="G14110" s="1" t="s">
        <v>36</v>
      </c>
      <c r="H14110" s="1" t="s">
        <v>29</v>
      </c>
      <c r="I14110" s="1" t="str">
        <f ca="1">IFERROR(__xludf.DUMMYFUNCTION("GOOGLETRANSLATE(F14110, ""auto"", ""en"")
"),"Any Karcher car wash will wash your car if used correctly, the cheaper and lower the parameters, the more time you will spend, in reality, 40-50 liters will be enough to wash a car, if you are a fan, then 200 liters of water will not be enough for you, if"&amp;" you have dirt hanging in pieces on your car, then of course there is no point in complaining about the consumption, the higher the pressure and water flow through the car wash, the faster you will wash the car, the correct way to wash a car is this: only"&amp;" in the shade or in the evening when the sun goes down, and there is no heat. Stage 1: wash off the dirt from the car, starting from the roof and going down every element of the car, quickly and without fanaticism, knock off pieces of dirt, a thin coating"&amp;" can be left, Stage 2: applying chemicals, only with a special foam nozzle, it is a mixture of water-chemicals-air in the right proportion that will give the result, only special car shampoo, fairy soap and liquid soap will not wash anything off, we apply"&amp;" it from the bottom up, without fanaticism, in an even layer, if there is a lot, it will drain immediately, there will be little effect, wait 5 minutes, the shampoo should not dry and stage 3: rinse off the shampoo in two passes, also without fanaticism, "&amp;"the first pass is to knock down the foam, the second wash out the chemicals more thoroughly, then just wipe with microfiber, damp, wet car, and not dried stains, I recommend cold liquid wax, be sure to use a filter up to 50 microns or thinner at the car w"&amp;"ash.")</f>
        <v>Any Karcher car wash will wash your car if used correctly, the cheaper and lower the parameters, the more time you will spend, in reality, 40-50 liters will be enough to wash a car, if you are a fan, then 200 liters of water will not be enough for you, if you have dirt hanging in pieces on your car, then of course there is no point in complaining about the consumption, the higher the pressure and water flow through the car wash, the faster you will wash the car, the correct way to wash a car is this: only in the shade or in the evening when the sun goes down, and there is no heat. Stage 1: wash off the dirt from the car, starting from the roof and going down every element of the car, quickly and without fanaticism, knock off pieces of dirt, a thin coating can be left, Stage 2: applying chemicals, only with a special foam nozzle, it is a mixture of water-chemicals-air in the right proportion that will give the result, only special car shampoo, fairy soap and liquid soap will not wash anything off, we apply it from the bottom up, without fanaticism, in an even layer, if there is a lot, it will drain immediately, there will be little effect, wait 5 minutes, the shampoo should not dry and stage 3: rinse off the shampoo in two passes, also without fanaticism, the first pass is to knock down the foam, the second wash out the chemicals more thoroughly, then just wipe with microfiber, damp, wet car, and not dried stains, I recommend cold liquid wax, be sure to use a filter up to 50 microns or thinner at the car wash.</v>
      </c>
    </row>
    <row r="14111" spans="1:9" x14ac:dyDescent="0.3">
      <c r="A14111" s="1" t="s">
        <v>61</v>
      </c>
      <c r="B14111" s="1" t="s">
        <v>318</v>
      </c>
      <c r="C14111" s="1" t="s">
        <v>57</v>
      </c>
      <c r="D14111" s="1" t="s">
        <v>64</v>
      </c>
      <c r="E14111" s="1" t="s">
        <v>1155</v>
      </c>
      <c r="F14111" s="1" t="s">
        <v>19527</v>
      </c>
      <c r="G14111" s="1" t="s">
        <v>28</v>
      </c>
      <c r="H14111" s="1" t="s">
        <v>29</v>
      </c>
      <c r="I14111" s="1" t="str">
        <f ca="1">IFERROR(__xludf.DUMMYFUNCTION("GOOGLETRANSLATE(F14111, ""auto"", ""en"")
"),"It turned out to be indispensable on the trip, in the hospital. No comments. You just won’t be able to turn it on again immediately to bring it to a boil again. You need to wait a little for it to cool down, and only then the button is pressed. Regular le"&amp;"ngth cord.")</f>
        <v>It turned out to be indispensable on the trip, in the hospital. No comments. You just won’t be able to turn it on again immediately to bring it to a boil again. You need to wait a little for it to cool down, and only then the button is pressed. Regular length cord.</v>
      </c>
    </row>
    <row r="14112" spans="1:9" x14ac:dyDescent="0.3">
      <c r="A14112" s="1" t="s">
        <v>169</v>
      </c>
      <c r="B14112" s="1" t="s">
        <v>170</v>
      </c>
      <c r="C14112" s="1" t="s">
        <v>97</v>
      </c>
      <c r="D14112" s="1" t="s">
        <v>19528</v>
      </c>
      <c r="E14112" s="1" t="s">
        <v>543</v>
      </c>
      <c r="F14112" s="1" t="s">
        <v>19529</v>
      </c>
      <c r="G14112" s="1" t="s">
        <v>36</v>
      </c>
      <c r="H14112" s="1" t="s">
        <v>29</v>
      </c>
      <c r="I14112" s="1" t="str">
        <f ca="1">IFERROR(__xludf.DUMMYFUNCTION("GOOGLETRANSLATE(F14112, ""auto"", ""en"")
"),"The headphones are good) even very good!) The only thing is that there are no pillows in the set, but this is nonsense.")</f>
        <v>The headphones are good) even very good!) The only thing is that there are no pillows in the set, but this is nonsense.</v>
      </c>
    </row>
    <row r="14113" spans="1:9" x14ac:dyDescent="0.3">
      <c r="A14113" s="1" t="s">
        <v>624</v>
      </c>
      <c r="B14113" s="1" t="s">
        <v>625</v>
      </c>
      <c r="C14113" s="1" t="s">
        <v>479</v>
      </c>
      <c r="D14113" s="1" t="s">
        <v>152</v>
      </c>
      <c r="E14113" s="1" t="s">
        <v>628</v>
      </c>
      <c r="F14113" s="1" t="s">
        <v>19530</v>
      </c>
      <c r="G14113" s="1" t="s">
        <v>36</v>
      </c>
      <c r="H14113" s="1" t="s">
        <v>29</v>
      </c>
      <c r="I14113" s="1" t="str">
        <f ca="1">IFERROR(__xludf.DUMMYFUNCTION("GOOGLETRANSLATE(F14113, ""auto"", ""en"")
"),"I’ve been playing the game for about a month now, I prefer two players on one team, I created a team of my friends and a game in the NHL. Already won season 1. The game will really appeal to all hockey fans. just management. + it’s much better to take the"&amp;" Russian version of 2009 than the English 2010 ;) 1 minus, I didn’t like the fact that all the players that I created for my team in DYNASTE MODE are also bought by other teams, as a result, I and different opposing teams have these players ((")</f>
        <v>I’ve been playing the game for about a month now, I prefer two players on one team, I created a team of my friends and a game in the NHL. Already won season 1. The game will really appeal to all hockey fans. just management. + it’s much better to take the Russian version of 2009 than the English 2010 ;) 1 minus, I didn’t like the fact that all the players that I created for my team in DYNASTE MODE are also bought by other teams, as a result, I and different opposing teams have these players ((</v>
      </c>
    </row>
    <row r="14114" spans="1:9" x14ac:dyDescent="0.3">
      <c r="A14114" s="1" t="s">
        <v>61</v>
      </c>
      <c r="B14114" s="1" t="s">
        <v>1727</v>
      </c>
      <c r="C14114" s="1" t="s">
        <v>122</v>
      </c>
      <c r="D14114" s="1" t="s">
        <v>1361</v>
      </c>
      <c r="E14114" s="1" t="s">
        <v>9995</v>
      </c>
      <c r="F14114" s="1" t="s">
        <v>19531</v>
      </c>
      <c r="G14114" s="1" t="s">
        <v>36</v>
      </c>
      <c r="H14114" s="1" t="s">
        <v>29</v>
      </c>
      <c r="I14114" s="1" t="str">
        <f ca="1">IFERROR(__xludf.DUMMYFUNCTION("GOOGLETRANSLATE(F14114, ""auto"", ""en"")
"),"a great helper in the kitchen... especially for a large family")</f>
        <v>a great helper in the kitchen... especially for a large family</v>
      </c>
    </row>
    <row r="14115" spans="1:9" x14ac:dyDescent="0.3">
      <c r="A14115" s="1" t="s">
        <v>17</v>
      </c>
      <c r="B14115" s="1" t="s">
        <v>18</v>
      </c>
      <c r="C14115" s="1" t="s">
        <v>80</v>
      </c>
      <c r="D14115" s="1" t="s">
        <v>64</v>
      </c>
      <c r="E14115" s="1" t="s">
        <v>3047</v>
      </c>
      <c r="F14115" s="1" t="s">
        <v>19532</v>
      </c>
      <c r="G14115" s="1" t="s">
        <v>28</v>
      </c>
      <c r="H14115" s="1" t="s">
        <v>29</v>
      </c>
      <c r="I14115" s="1" t="str">
        <f ca="1">IFERROR(__xludf.DUMMYFUNCTION("GOOGLETRANSLATE(F14115, ""auto"", ""en"")
"),"We bought it more than a month ago, it washes perfectly, it’s a little noisy, but it spins very well - the laundry is almost dry when it comes out.  But one thing is not clear: why is there such a capricious filter on the drain? It turns out that only cle"&amp;"an and new items can be washed in this machine, while worn and heavily soiled items literally cause a stupor; you have to manually drain the water and rinse the filter, which is located near the floor. In the old Indian there were no such problems at all,"&amp;" I would never have known where the filter was if a penny hadn’t gotten into it (it rattled), and it served me for 11 years without breaking.  Today I performed dances with a tambourine around the filter again, but... tomorrow I will call the master.")</f>
        <v>We bought it more than a month ago, it washes perfectly, it’s a little noisy, but it spins very well - the laundry is almost dry when it comes out.  But one thing is not clear: why is there such a capricious filter on the drain? It turns out that only clean and new items can be washed in this machine, while worn and heavily soiled items literally cause a stupor; you have to manually drain the water and rinse the filter, which is located near the floor. In the old Indian there were no such problems at all, I would never have known where the filter was if a penny hadn’t gotten into it (it rattled), and it served me for 11 years without breaking.  Today I performed dances with a tambourine around the filter again, but... tomorrow I will call the master.</v>
      </c>
    </row>
    <row r="14116" spans="1:9" x14ac:dyDescent="0.3">
      <c r="A14116" s="1" t="s">
        <v>206</v>
      </c>
      <c r="B14116" s="1" t="s">
        <v>1349</v>
      </c>
      <c r="C14116" s="1" t="s">
        <v>9905</v>
      </c>
      <c r="D14116" s="1" t="s">
        <v>690</v>
      </c>
      <c r="E14116" s="1" t="s">
        <v>484</v>
      </c>
      <c r="F14116" s="1" t="s">
        <v>19533</v>
      </c>
      <c r="G14116" s="1" t="s">
        <v>49</v>
      </c>
      <c r="H14116" s="1" t="s">
        <v>16</v>
      </c>
      <c r="I14116" s="1" t="str">
        <f ca="1">IFERROR(__xludf.DUMMYFUNCTION("GOOGLETRANSLATE(F14116, ""auto"", ""en"")
"),"Purchased on April 22, 2010. Returned it back on April 24, 2010.  Judge for yourself: 1. The on-screen menu is not Russified, as stated in the technical specifications on the MVIDEO website 2. The linear output to the rear speakers does not work (Rear Lin"&amp;"e Out) 3. The touchscreen monitor is “calibrated”, you poke and poke, but you don’t get it.  4. Flipping the rear view camera image does not work.  5. “every other time” the subwoofer and amplifier are turned on via the control wire 6. “braking” when swit"&amp;"ching between modes Actually, it is not excluded that one of the defective radio tape recorders, but a residue from the manufacturer remains.")</f>
        <v>Purchased on April 22, 2010. Returned it back on April 24, 2010.  Judge for yourself: 1. The on-screen menu is not Russified, as stated in the technical specifications on the MVIDEO website 2. The linear output to the rear speakers does not work (Rear Line Out) 3. The touchscreen monitor is “calibrated”, you poke and poke, but you don’t get it.  4. Flipping the rear view camera image does not work.  5. “every other time” the subwoofer and amplifier are turned on via the control wire 6. “braking” when switching between modes Actually, it is not excluded that one of the defective radio tape recorders, but a residue from the manufacturer remains.</v>
      </c>
    </row>
    <row r="14117" spans="1:9" x14ac:dyDescent="0.3">
      <c r="A14117" s="1" t="s">
        <v>61</v>
      </c>
      <c r="B14117" s="1" t="s">
        <v>224</v>
      </c>
      <c r="C14117" s="1" t="s">
        <v>85</v>
      </c>
      <c r="D14117" s="1" t="s">
        <v>2400</v>
      </c>
      <c r="E14117" s="1" t="s">
        <v>7367</v>
      </c>
      <c r="F14117" s="1" t="s">
        <v>19534</v>
      </c>
      <c r="G14117" s="1" t="s">
        <v>36</v>
      </c>
      <c r="H14117" s="1" t="s">
        <v>29</v>
      </c>
      <c r="I14117" s="1" t="str">
        <f ca="1">IFERROR(__xludf.DUMMYFUNCTION("GOOGLETRANSLATE(F14117, ""auto"", ""en"")
"),"Simplicity and ease of use, powerful engine")</f>
        <v>Simplicity and ease of use, powerful engine</v>
      </c>
    </row>
    <row r="14118" spans="1:9" x14ac:dyDescent="0.3">
      <c r="A14118" s="1" t="s">
        <v>9</v>
      </c>
      <c r="B14118" s="1" t="s">
        <v>10</v>
      </c>
      <c r="C14118" s="1" t="s">
        <v>407</v>
      </c>
      <c r="D14118" s="1" t="s">
        <v>152</v>
      </c>
      <c r="E14118" s="1" t="s">
        <v>3138</v>
      </c>
      <c r="F14118" s="1" t="s">
        <v>19535</v>
      </c>
      <c r="G14118" s="1" t="s">
        <v>15</v>
      </c>
      <c r="H14118" s="1" t="s">
        <v>16</v>
      </c>
      <c r="I14118" s="1" t="str">
        <f ca="1">IFERROR(__xludf.DUMMYFUNCTION("GOOGLETRANSLATE(F14118, ""auto"", ""en"")
"),"The hood worked for a little over a month and broke down. The buttons do not turn on.")</f>
        <v>The hood worked for a little over a month and broke down. The buttons do not turn on.</v>
      </c>
    </row>
    <row r="14119" spans="1:9" x14ac:dyDescent="0.3">
      <c r="A14119" s="1" t="s">
        <v>211</v>
      </c>
      <c r="B14119" s="1" t="s">
        <v>410</v>
      </c>
      <c r="C14119" s="1" t="s">
        <v>213</v>
      </c>
      <c r="D14119" s="1" t="s">
        <v>208</v>
      </c>
      <c r="E14119" s="1" t="s">
        <v>7725</v>
      </c>
      <c r="F14119" s="1" t="s">
        <v>19536</v>
      </c>
      <c r="G14119" s="1" t="s">
        <v>28</v>
      </c>
      <c r="H14119" s="1" t="s">
        <v>29</v>
      </c>
      <c r="I14119" s="1" t="str">
        <f ca="1">IFERROR(__xludf.DUMMYFUNCTION("GOOGLETRANSLATE(F14119, ""auto"", ""en"")
"),"Before it, I had some cheapest Braun, even with a wire. I've been using it for many years, but the mesh doesn't last forever. And so I decided to give myself a gift and bought this Mercedes. And I've been using it for about 3 years now. To put it briefly,"&amp;" I expected something more. Apparently, I don’t have very sensitive skin and not capricious stubble - it shaves just like the previous cheap Braun. Even worse, the wide shaving block makes it difficult to shave under your nose. So for those whose vegetati"&amp;"on is not capricious, this is money down the drain. Especially considering that a new cutting unit costs 2,600 rubles - this is more expensive than cheap razors from Braun.")</f>
        <v>Before it, I had some cheapest Braun, even with a wire. I've been using it for many years, but the mesh doesn't last forever. And so I decided to give myself a gift and bought this Mercedes. And I've been using it for about 3 years now. To put it briefly, I expected something more. Apparently, I don’t have very sensitive skin and not capricious stubble - it shaves just like the previous cheap Braun. Even worse, the wide shaving block makes it difficult to shave under your nose. So for those whose vegetation is not capricious, this is money down the drain. Especially considering that a new cutting unit costs 2,600 rubles - this is more expensive than cheap razors from Braun.</v>
      </c>
    </row>
    <row r="14120" spans="1:9" x14ac:dyDescent="0.3">
      <c r="A14120" s="1" t="s">
        <v>61</v>
      </c>
      <c r="B14120" s="1" t="s">
        <v>180</v>
      </c>
      <c r="C14120" s="1" t="s">
        <v>57</v>
      </c>
      <c r="D14120" s="1" t="s">
        <v>335</v>
      </c>
      <c r="E14120" s="1" t="s">
        <v>9654</v>
      </c>
      <c r="F14120" s="1" t="s">
        <v>19537</v>
      </c>
      <c r="G14120" s="1" t="s">
        <v>36</v>
      </c>
      <c r="H14120" s="1" t="s">
        <v>29</v>
      </c>
      <c r="I14120" s="1" t="str">
        <f ca="1">IFERROR(__xludf.DUMMYFUNCTION("GOOGLETRANSLATE(F14120, ""auto"", ""en"")
"),"Good toaster, we have been using it for more than 3 years. Fits very well into the interior, small and simple. We're not even thinking about changing it yet.")</f>
        <v>Good toaster, we have been using it for more than 3 years. Fits very well into the interior, small and simple. We're not even thinking about changing it yet.</v>
      </c>
    </row>
    <row r="14121" spans="1:9" x14ac:dyDescent="0.3">
      <c r="A14121" s="1" t="s">
        <v>61</v>
      </c>
      <c r="B14121" s="1" t="s">
        <v>318</v>
      </c>
      <c r="C14121" s="1" t="s">
        <v>101</v>
      </c>
      <c r="D14121" s="1" t="s">
        <v>127</v>
      </c>
      <c r="E14121" s="1" t="s">
        <v>5646</v>
      </c>
      <c r="F14121" s="1" t="s">
        <v>19538</v>
      </c>
      <c r="G14121" s="1" t="s">
        <v>36</v>
      </c>
      <c r="H14121" s="1" t="s">
        <v>29</v>
      </c>
      <c r="I14121" s="1" t="str">
        <f ca="1">IFERROR(__xludf.DUMMYFUNCTION("GOOGLETRANSLATE(F14121, ""auto"", ""en"")
"),"A 1.7 liter kettle boiled in 4.5 minutes. In terms of noise, it is noisy, but within acceptable limits (from physics it is clear that the boiling process is accompanied by noise, since air bubbles collapse, the more intense it is, the more noise). I use S"&amp;"carlett SL-1502, it doesn’t leak. My mother-in-law bought this one (same brand). If it is defective, then it will immediately manifest itself, the rest will manifest itself in the process of correct/incorrect operation. The only negative is that it has th"&amp;"in metal walls; the water in it will quickly cool down.")</f>
        <v>A 1.7 liter kettle boiled in 4.5 minutes. In terms of noise, it is noisy, but within acceptable limits (from physics it is clear that the boiling process is accompanied by noise, since air bubbles collapse, the more intense it is, the more noise). I use Scarlett SL-1502, it doesn’t leak. My mother-in-law bought this one (same brand). If it is defective, then it will immediately manifest itself, the rest will manifest itself in the process of correct/incorrect operation. The only negative is that it has thin metal walls; the water in it will quickly cool down.</v>
      </c>
    </row>
    <row r="14122" spans="1:9" x14ac:dyDescent="0.3">
      <c r="A14122" s="1" t="s">
        <v>111</v>
      </c>
      <c r="B14122" s="1" t="s">
        <v>298</v>
      </c>
      <c r="C14122" s="1" t="s">
        <v>710</v>
      </c>
      <c r="D14122" s="1" t="s">
        <v>19539</v>
      </c>
      <c r="E14122" s="1" t="s">
        <v>4558</v>
      </c>
      <c r="F14122" s="1" t="s">
        <v>19540</v>
      </c>
      <c r="G14122" s="1" t="s">
        <v>36</v>
      </c>
      <c r="H14122" s="1" t="s">
        <v>29</v>
      </c>
      <c r="I14122" s="1" t="str">
        <f ca="1">IFERROR(__xludf.DUMMYFUNCTION("GOOGLETRANSLATE(F14122, ""auto"", ""en"")
"),"With their help, the hob is wiped off just perfectly and very quickly. Even if something is dried out or burnt on it. Much simpler and easier than using rags and some expensive products. I wiped it and threw it away - I really like it!")</f>
        <v>With their help, the hob is wiped off just perfectly and very quickly. Even if something is dried out or burnt on it. Much simpler and easier than using rags and some expensive products. I wiped it and threw it away - I really like it!</v>
      </c>
    </row>
    <row r="14123" spans="1:9" x14ac:dyDescent="0.3">
      <c r="A14123" s="1" t="s">
        <v>61</v>
      </c>
      <c r="B14123" s="1" t="s">
        <v>318</v>
      </c>
      <c r="C14123" s="1" t="s">
        <v>101</v>
      </c>
      <c r="D14123" s="1" t="s">
        <v>19541</v>
      </c>
      <c r="E14123" s="1" t="s">
        <v>661</v>
      </c>
      <c r="F14123" s="1" t="s">
        <v>19542</v>
      </c>
      <c r="G14123" s="1" t="s">
        <v>36</v>
      </c>
      <c r="H14123" s="1" t="s">
        <v>29</v>
      </c>
      <c r="I14123" s="1" t="str">
        <f ca="1">IFERROR(__xludf.DUMMYFUNCTION("GOOGLETRANSLATE(F14123, ""auto"", ""en"")
"),"Yesterday I bought it “for the design”, there is almost no smell of plastic, and what is there is not annoying, when filled to the maximum and a little higher when boiling there is no puddle on the table, this is a plus. The design of the lid is clumsy, e"&amp;"xactly for the money paid, the plastic of the case at the joints is made “roughly”. The red light inside only makes you laugh. Of course, this is not a backlight, but it does highlight the bubbles. NOT noisy, more expensive kettles make more noise, boils "&amp;"quickly, and does not wobble on the stand. 2L is volume! You can boil it once and a bowl of warm water is ready, just great. If it leaks, I’ll write more =)")</f>
        <v>Yesterday I bought it “for the design”, there is almost no smell of plastic, and what is there is not annoying, when filled to the maximum and a little higher when boiling there is no puddle on the table, this is a plus. The design of the lid is clumsy, exactly for the money paid, the plastic of the case at the joints is made “roughly”. The red light inside only makes you laugh. Of course, this is not a backlight, but it does highlight the bubbles. NOT noisy, more expensive kettles make more noise, boils quickly, and does not wobble on the stand. 2L is volume! You can boil it once and a bowl of warm water is ready, just great. If it leaks, I’ll write more =)</v>
      </c>
    </row>
    <row r="14124" spans="1:9" x14ac:dyDescent="0.3">
      <c r="A14124" s="1" t="s">
        <v>149</v>
      </c>
      <c r="B14124" s="1" t="s">
        <v>576</v>
      </c>
      <c r="C14124" s="1" t="s">
        <v>69</v>
      </c>
      <c r="D14124" s="1" t="s">
        <v>19543</v>
      </c>
      <c r="E14124" s="1" t="s">
        <v>971</v>
      </c>
      <c r="F14124" s="1" t="s">
        <v>19544</v>
      </c>
      <c r="G14124" s="1" t="s">
        <v>36</v>
      </c>
      <c r="H14124" s="1" t="s">
        <v>29</v>
      </c>
      <c r="I14124" s="1" t="str">
        <f ca="1">IFERROR(__xludf.DUMMYFUNCTION("GOOGLETRANSLATE(F14124, ""auto"", ""en"")
"),"The vacuum cleaner is excellent! I was choosing between Electrolux and it - when demonstrating its suction power, the questions disappeared. I took into account that I only have laminate flooring and a small rug at home, so I didn’t consider vacuum cleane"&amp;"rs with an aqua filter. I took this one. A year of use has passed - now I’m looking for a HEPA filter and bags for this model.")</f>
        <v>The vacuum cleaner is excellent! I was choosing between Electrolux and it - when demonstrating its suction power, the questions disappeared. I took into account that I only have laminate flooring and a small rug at home, so I didn’t consider vacuum cleaners with an aqua filter. I took this one. A year of use has passed - now I’m looking for a HEPA filter and bags for this model.</v>
      </c>
    </row>
    <row r="14125" spans="1:9" x14ac:dyDescent="0.3">
      <c r="A14125" s="1" t="s">
        <v>211</v>
      </c>
      <c r="B14125" s="1" t="s">
        <v>265</v>
      </c>
      <c r="C14125" s="1" t="s">
        <v>266</v>
      </c>
      <c r="D14125" s="1" t="s">
        <v>327</v>
      </c>
      <c r="E14125" s="1" t="s">
        <v>5879</v>
      </c>
      <c r="F14125" s="1" t="s">
        <v>19545</v>
      </c>
      <c r="G14125" s="1" t="s">
        <v>15</v>
      </c>
      <c r="H14125" s="1" t="s">
        <v>16</v>
      </c>
      <c r="I14125" s="1" t="str">
        <f ca="1">IFERROR(__xludf.DUMMYFUNCTION("GOOGLETRANSLATE(F14125, ""auto"", ""en"")
"),"I would not recommend this device to anyone. It doesn’t work as a trimer, but as a depelator it doesn’t work badly, it’s just painful. .")</f>
        <v>I would not recommend this device to anyone. It doesn’t work as a trimer, but as a depelator it doesn’t work badly, it’s just painful. .</v>
      </c>
    </row>
    <row r="14126" spans="1:9" x14ac:dyDescent="0.3">
      <c r="A14126" s="1" t="s">
        <v>113</v>
      </c>
      <c r="B14126" s="1" t="s">
        <v>1251</v>
      </c>
      <c r="C14126" s="1" t="s">
        <v>122</v>
      </c>
      <c r="D14126" s="1" t="s">
        <v>81</v>
      </c>
      <c r="E14126" s="1" t="s">
        <v>11349</v>
      </c>
      <c r="F14126" s="1" t="s">
        <v>19546</v>
      </c>
      <c r="G14126" s="1" t="s">
        <v>28</v>
      </c>
      <c r="H14126" s="1" t="s">
        <v>29</v>
      </c>
      <c r="I14126" s="1" t="str">
        <f ca="1">IFERROR(__xludf.DUMMYFUNCTION("GOOGLETRANSLATE(F14126, ""auto"", ""en"")
"),"Well suited for those who don’t want to think about settings, but just want to take pictures. It is enough to select the automatic mode and take good pictures, although this applies to all Lumixes.")</f>
        <v>Well suited for those who don’t want to think about settings, but just want to take pictures. It is enough to select the automatic mode and take good pictures, although this applies to all Lumixes.</v>
      </c>
    </row>
    <row r="14127" spans="1:9" x14ac:dyDescent="0.3">
      <c r="A14127" s="1" t="s">
        <v>37</v>
      </c>
      <c r="B14127" s="1" t="s">
        <v>38</v>
      </c>
      <c r="C14127" s="1" t="s">
        <v>163</v>
      </c>
      <c r="D14127" s="1" t="s">
        <v>19547</v>
      </c>
      <c r="E14127" s="1" t="s">
        <v>4335</v>
      </c>
      <c r="F14127" s="1" t="s">
        <v>19548</v>
      </c>
      <c r="G14127" s="1" t="s">
        <v>36</v>
      </c>
      <c r="H14127" s="1" t="s">
        <v>29</v>
      </c>
      <c r="I14127" s="1" t="str">
        <f ca="1">IFERROR(__xludf.DUMMYFUNCTION("GOOGLETRANSLATE(F14127, ""auto"", ""en"")
"),"no downsides!")</f>
        <v>no downsides!</v>
      </c>
    </row>
    <row r="14128" spans="1:9" x14ac:dyDescent="0.3">
      <c r="A14128" s="1" t="s">
        <v>206</v>
      </c>
      <c r="B14128" s="1" t="s">
        <v>207</v>
      </c>
      <c r="C14128" s="1" t="s">
        <v>152</v>
      </c>
      <c r="D14128" s="1" t="s">
        <v>186</v>
      </c>
      <c r="E14128" s="1" t="s">
        <v>1359</v>
      </c>
      <c r="F14128" s="1" t="s">
        <v>19549</v>
      </c>
      <c r="G14128" s="1" t="s">
        <v>28</v>
      </c>
      <c r="H14128" s="1" t="s">
        <v>29</v>
      </c>
      <c r="I14128" s="1" t="str">
        <f ca="1">IFERROR(__xludf.DUMMYFUNCTION("GOOGLETRANSLATE(F14128, ""auto"", ""en"")
"),"plays in a Honda Accord with a Blaunkpunt 470 amplifier, rocks, be healthy, there is no buzzing and clear, precise bass at both low and high frequencies, and the tonal accuracy is not compromised with increasing volume levels, I recommend. Leader in the c"&amp;"ategory up to 5000 rubles.")</f>
        <v>plays in a Honda Accord with a Blaunkpunt 470 amplifier, rocks, be healthy, there is no buzzing and clear, precise bass at both low and high frequencies, and the tonal accuracy is not compromised with increasing volume levels, I recommend. Leader in the category up to 5000 rubles.</v>
      </c>
    </row>
    <row r="14129" spans="1:9" x14ac:dyDescent="0.3">
      <c r="A14129" s="1" t="s">
        <v>30</v>
      </c>
      <c r="B14129" s="1" t="s">
        <v>50</v>
      </c>
      <c r="C14129" s="1" t="s">
        <v>377</v>
      </c>
      <c r="D14129" s="1" t="s">
        <v>1659</v>
      </c>
      <c r="E14129" s="1" t="s">
        <v>397</v>
      </c>
      <c r="F14129" s="1" t="s">
        <v>19550</v>
      </c>
      <c r="G14129" s="1" t="s">
        <v>36</v>
      </c>
      <c r="H14129" s="1" t="s">
        <v>29</v>
      </c>
      <c r="I14129" s="1" t="str">
        <f ca="1">IFERROR(__xludf.DUMMYFUNCTION("GOOGLETRANSLATE(F14129, ""auto"", ""en"")
"),"I've been using the laptop for two weeks. I have only positive impressions. I can play games without problems. The DVD drive supports LightScribe technology. It only doesn't work for long in offline mode.")</f>
        <v>I've been using the laptop for two weeks. I have only positive impressions. I can play games without problems. The DVD drive supports LightScribe technology. It only doesn't work for long in offline mode.</v>
      </c>
    </row>
    <row r="14130" spans="1:9" x14ac:dyDescent="0.3">
      <c r="A14130" s="1" t="s">
        <v>9</v>
      </c>
      <c r="B14130" s="1" t="s">
        <v>10</v>
      </c>
      <c r="C14130" s="1" t="s">
        <v>407</v>
      </c>
      <c r="D14130" s="1" t="s">
        <v>64</v>
      </c>
      <c r="E14130" s="1" t="s">
        <v>1398</v>
      </c>
      <c r="F14130" s="1" t="s">
        <v>19551</v>
      </c>
      <c r="G14130" s="1" t="s">
        <v>28</v>
      </c>
      <c r="H14130" s="1" t="s">
        <v>29</v>
      </c>
      <c r="I14130" s="1" t="str">
        <f ca="1">IFERROR(__xludf.DUMMYFUNCTION("GOOGLETRANSLATE(F14130, ""auto"", ""en"")
"),"When viewing 3D there is a completely different effect.")</f>
        <v>When viewing 3D there is a completely different effect.</v>
      </c>
    </row>
    <row r="14131" spans="1:9" x14ac:dyDescent="0.3">
      <c r="A14131" s="1" t="s">
        <v>30</v>
      </c>
      <c r="B14131" s="1" t="s">
        <v>31</v>
      </c>
      <c r="C14131" s="1" t="s">
        <v>365</v>
      </c>
      <c r="D14131" s="1" t="s">
        <v>19552</v>
      </c>
      <c r="E14131" s="1" t="s">
        <v>4578</v>
      </c>
      <c r="F14131" s="1" t="s">
        <v>19553</v>
      </c>
      <c r="G14131" s="1" t="s">
        <v>36</v>
      </c>
      <c r="H14131" s="1" t="s">
        <v>29</v>
      </c>
      <c r="I14131" s="1" t="str">
        <f ca="1">IFERROR(__xludf.DUMMYFUNCTION("GOOGLETRANSLATE(F14131, ""auto"", ""en"")
"),"Everything about it is good, except for the video card, but it is easily replaced.")</f>
        <v>Everything about it is good, except for the video card, but it is easily replaced.</v>
      </c>
    </row>
    <row r="14132" spans="1:9" x14ac:dyDescent="0.3">
      <c r="A14132" s="1" t="s">
        <v>9</v>
      </c>
      <c r="B14132" s="1" t="s">
        <v>10</v>
      </c>
      <c r="C14132" s="1" t="s">
        <v>466</v>
      </c>
      <c r="D14132" s="1" t="s">
        <v>352</v>
      </c>
      <c r="E14132" s="1" t="s">
        <v>222</v>
      </c>
      <c r="F14132" s="1" t="s">
        <v>19554</v>
      </c>
      <c r="G14132" s="1" t="s">
        <v>36</v>
      </c>
      <c r="H14132" s="1" t="s">
        <v>29</v>
      </c>
      <c r="I14132" s="1" t="str">
        <f ca="1">IFERROR(__xludf.DUMMYFUNCTION("GOOGLETRANSLATE(F14132, ""auto"", ""en"")
"),"Corresponds to all characteristics stated in the description.")</f>
        <v>Corresponds to all characteristics stated in the description.</v>
      </c>
    </row>
    <row r="14133" spans="1:9" x14ac:dyDescent="0.3">
      <c r="A14133" s="1" t="s">
        <v>61</v>
      </c>
      <c r="B14133" s="1" t="s">
        <v>726</v>
      </c>
      <c r="C14133" s="1" t="s">
        <v>85</v>
      </c>
      <c r="D14133" s="1" t="s">
        <v>308</v>
      </c>
      <c r="E14133" s="1" t="s">
        <v>19555</v>
      </c>
      <c r="F14133" s="1" t="s">
        <v>19556</v>
      </c>
      <c r="G14133" s="1" t="s">
        <v>36</v>
      </c>
      <c r="H14133" s="1" t="s">
        <v>29</v>
      </c>
      <c r="I14133" s="1" t="str">
        <f ca="1">IFERROR(__xludf.DUMMYFUNCTION("GOOGLETRANSLATE(F14133, ""auto"", ""en"")
"),"I bought it in 2015. I’ve been using it for a month. I really like it. recipe book for -----5. I have to get recipes on the Internet!")</f>
        <v>I bought it in 2015. I’ve been using it for a month. I really like it. recipe book for -----5. I have to get recipes on the Internet!</v>
      </c>
    </row>
    <row r="14134" spans="1:9" x14ac:dyDescent="0.3">
      <c r="A14134" s="1" t="s">
        <v>9</v>
      </c>
      <c r="B14134" s="1" t="s">
        <v>133</v>
      </c>
      <c r="C14134" s="1" t="s">
        <v>151</v>
      </c>
      <c r="D14134" s="1" t="s">
        <v>152</v>
      </c>
      <c r="E14134" s="1" t="s">
        <v>3521</v>
      </c>
      <c r="F14134" s="1" t="s">
        <v>19557</v>
      </c>
      <c r="G14134" s="1" t="s">
        <v>36</v>
      </c>
      <c r="H14134" s="1" t="s">
        <v>29</v>
      </c>
      <c r="I14134" s="1" t="str">
        <f ca="1">IFERROR(__xludf.DUMMYFUNCTION("GOOGLETRANSLATE(F14134, ""auto"", ""en"")
"),"I bought it over a year ago!! One hundred percent satisfied!! Cooks perfectly!! Retractable guides - very convenient!!.. Nothing makes noise or buzzes!!")</f>
        <v>I bought it over a year ago!! One hundred percent satisfied!! Cooks perfectly!! Retractable guides - very convenient!!.. Nothing makes noise or buzzes!!</v>
      </c>
    </row>
    <row r="14135" spans="1:9" x14ac:dyDescent="0.3">
      <c r="A14135" s="1" t="s">
        <v>113</v>
      </c>
      <c r="B14135" s="1" t="s">
        <v>1251</v>
      </c>
      <c r="C14135" s="1" t="s">
        <v>122</v>
      </c>
      <c r="D14135" s="1" t="s">
        <v>3130</v>
      </c>
      <c r="E14135" s="1" t="s">
        <v>2677</v>
      </c>
      <c r="F14135" s="1" t="s">
        <v>19558</v>
      </c>
      <c r="G14135" s="1" t="s">
        <v>36</v>
      </c>
      <c r="H14135" s="1" t="s">
        <v>29</v>
      </c>
      <c r="I14135" s="1" t="str">
        <f ca="1">IFERROR(__xludf.DUMMYFUNCTION("GOOGLETRANSLATE(F14135, ""auto"", ""en"")
"),"great camera I liked it!")</f>
        <v>great camera I liked it!</v>
      </c>
    </row>
    <row r="14136" spans="1:9" x14ac:dyDescent="0.3">
      <c r="A14136" s="1" t="s">
        <v>61</v>
      </c>
      <c r="B14136" s="1" t="s">
        <v>180</v>
      </c>
      <c r="C14136" s="1" t="s">
        <v>246</v>
      </c>
      <c r="D14136" s="1" t="s">
        <v>474</v>
      </c>
      <c r="E14136" s="1" t="s">
        <v>6424</v>
      </c>
      <c r="F14136" s="1" t="s">
        <v>19559</v>
      </c>
      <c r="G14136" s="1" t="s">
        <v>36</v>
      </c>
      <c r="H14136" s="1" t="s">
        <v>29</v>
      </c>
      <c r="I14136" s="1" t="str">
        <f ca="1">IFERROR(__xludf.DUMMYFUNCTION("GOOGLETRANSLATE(F14136, ""auto"", ""en"")
"),"Excellent toaster, easy to use, I like that there is a spatula for removing toast. I didn't find any cons.")</f>
        <v>Excellent toaster, easy to use, I like that there is a spatula for removing toast. I didn't find any cons.</v>
      </c>
    </row>
    <row r="14137" spans="1:9" x14ac:dyDescent="0.3">
      <c r="A14137" s="1" t="s">
        <v>211</v>
      </c>
      <c r="B14137" s="1" t="s">
        <v>212</v>
      </c>
      <c r="C14137" s="1" t="s">
        <v>381</v>
      </c>
      <c r="D14137" s="1" t="s">
        <v>75</v>
      </c>
      <c r="E14137" s="1" t="s">
        <v>1553</v>
      </c>
      <c r="F14137" s="1" t="s">
        <v>19560</v>
      </c>
      <c r="G14137" s="1" t="s">
        <v>36</v>
      </c>
      <c r="H14137" s="1" t="s">
        <v>29</v>
      </c>
      <c r="I14137" s="1" t="str">
        <f ca="1">IFERROR(__xludf.DUMMYFUNCTION("GOOGLETRANSLATE(F14137, ""auto"", ""en"")
"),"The Rowenta CF4032 multistyler is simply excellent, before that I had the same multistyler from the same company, but of a different brand, which served me faithfully for 7 years. During operation, there were NO burnt fingers or other parts of the body; i"&amp;"f it gets hot, you can simply turn it off and calmly pull, twirl, and curl your hair for 10-15 minutes. I recommend this item because the quality is checked!!!!")</f>
        <v>The Rowenta CF4032 multistyler is simply excellent, before that I had the same multistyler from the same company, but of a different brand, which served me faithfully for 7 years. During operation, there were NO burnt fingers or other parts of the body; if it gets hot, you can simply turn it off and calmly pull, twirl, and curl your hair for 10-15 minutes. I recommend this item because the quality is checked!!!!</v>
      </c>
    </row>
    <row r="14138" spans="1:9" x14ac:dyDescent="0.3">
      <c r="A14138" s="1" t="s">
        <v>30</v>
      </c>
      <c r="B14138" s="1" t="s">
        <v>31</v>
      </c>
      <c r="C14138" s="1" t="s">
        <v>32</v>
      </c>
      <c r="D14138" s="1" t="s">
        <v>139</v>
      </c>
      <c r="E14138" s="1" t="s">
        <v>118</v>
      </c>
      <c r="F14138" s="1" t="s">
        <v>19561</v>
      </c>
      <c r="G14138" s="1" t="s">
        <v>36</v>
      </c>
      <c r="H14138" s="1" t="s">
        <v>29</v>
      </c>
      <c r="I14138" s="1" t="str">
        <f ca="1">IFERROR(__xludf.DUMMYFUNCTION("GOOGLETRANSLATE(F14138, ""auto"", ""en"")
"),"I agree that this product combines the power that is needed at this time and the price that will suit the buyer!!:)..I was advised to purchase it..and I hope that I will do it!!")</f>
        <v>I agree that this product combines the power that is needed at this time and the price that will suit the buyer!!:)..I was advised to purchase it..and I hope that I will do it!!</v>
      </c>
    </row>
    <row r="14139" spans="1:9" x14ac:dyDescent="0.3">
      <c r="A14139" s="1" t="s">
        <v>43</v>
      </c>
      <c r="B14139" s="1" t="s">
        <v>219</v>
      </c>
      <c r="C14139" s="1" t="s">
        <v>220</v>
      </c>
      <c r="D14139" s="1" t="s">
        <v>909</v>
      </c>
      <c r="E14139" s="1" t="s">
        <v>3563</v>
      </c>
      <c r="F14139" s="1" t="s">
        <v>19562</v>
      </c>
      <c r="G14139" s="1" t="s">
        <v>36</v>
      </c>
      <c r="H14139" s="1" t="s">
        <v>29</v>
      </c>
      <c r="I14139" s="1" t="str">
        <f ca="1">IFERROR(__xludf.DUMMYFUNCTION("GOOGLETRANSLATE(F14139, ""auto"", ""en"")
"),"Compact size, famous brand. Fast heating.")</f>
        <v>Compact size, famous brand. Fast heating.</v>
      </c>
    </row>
    <row r="14140" spans="1:9" x14ac:dyDescent="0.3">
      <c r="A14140" s="1" t="s">
        <v>120</v>
      </c>
      <c r="B14140" s="1" t="s">
        <v>256</v>
      </c>
      <c r="C14140" s="1" t="s">
        <v>151</v>
      </c>
      <c r="D14140" s="1" t="s">
        <v>6640</v>
      </c>
      <c r="E14140" s="1" t="s">
        <v>4728</v>
      </c>
      <c r="F14140" s="1" t="s">
        <v>19563</v>
      </c>
      <c r="G14140" s="1" t="s">
        <v>36</v>
      </c>
      <c r="H14140" s="1" t="s">
        <v>29</v>
      </c>
      <c r="I14140" s="1" t="str">
        <f ca="1">IFERROR(__xludf.DUMMYFUNCTION("GOOGLETRANSLATE(F14140, ""auto"", ""en"")
"),"Good TV. Excellent picture quality, wide contrast range. One drawback - not very clear sound due to the lower location of the speakers.")</f>
        <v>Good TV. Excellent picture quality, wide contrast range. One drawback - not very clear sound due to the lower location of the speakers.</v>
      </c>
    </row>
    <row r="14141" spans="1:9" x14ac:dyDescent="0.3">
      <c r="A14141" s="1" t="s">
        <v>149</v>
      </c>
      <c r="B14141" s="1" t="s">
        <v>155</v>
      </c>
      <c r="C14141" s="1" t="s">
        <v>80</v>
      </c>
      <c r="D14141" s="1" t="s">
        <v>308</v>
      </c>
      <c r="E14141" s="1" t="s">
        <v>3044</v>
      </c>
      <c r="F14141" s="1" t="s">
        <v>19564</v>
      </c>
      <c r="G14141" s="1" t="s">
        <v>36</v>
      </c>
      <c r="H14141" s="1" t="s">
        <v>29</v>
      </c>
      <c r="I14141" s="1" t="str">
        <f ca="1">IFERROR(__xludf.DUMMYFUNCTION("GOOGLETRANSLATE(F14141, ""auto"", ""en"")
"),"I read reviews on the Internet for a long time and doubted the lack of a power regulator. In practice, it turned out that you can do without it! The tube has an overlapping hole, like all vacuum cleaners.  The vacuum cleaner is quite powerful, it really p"&amp;"ulls out a lot of dust, there is no smell of dust at the exit and there cannot be any!  I really liked the function of compacting the garbage, now we can really easily pour it into a bucket, the dust doesn’t fly!  There were still doubts that some small o"&amp;"bject might get caught. It's OK! The flight is normal! Everything is compacted.  The only negative is that this whole fantastic box with a filtration system must be washed regularly. and then dry. But I don’t consider this such a disadvantage compared to "&amp;"aqua filters, which you must never forget to wash.  The vacuum cleaner is very beautiful, unusual, even musical.  The plastic is very pleasant to the touch, the wire is very long, everything has latches and buttons.  The turbo brush is excellent, its tran"&amp;"sparent panel can be removed and everything can be cleaned.  Children love to watch the spatula move the trash around in the container.  I loved cleaning! The house is clean!")</f>
        <v>I read reviews on the Internet for a long time and doubted the lack of a power regulator. In practice, it turned out that you can do without it! The tube has an overlapping hole, like all vacuum cleaners.  The vacuum cleaner is quite powerful, it really pulls out a lot of dust, there is no smell of dust at the exit and there cannot be any!  I really liked the function of compacting the garbage, now we can really easily pour it into a bucket, the dust doesn’t fly!  There were still doubts that some small object might get caught. It's OK! The flight is normal! Everything is compacted.  The only negative is that this whole fantastic box with a filtration system must be washed regularly. and then dry. But I don’t consider this such a disadvantage compared to aqua filters, which you must never forget to wash.  The vacuum cleaner is very beautiful, unusual, even musical.  The plastic is very pleasant to the touch, the wire is very long, everything has latches and buttons.  The turbo brush is excellent, its transparent panel can be removed and everything can be cleaned.  Children love to watch the spatula move the trash around in the container.  I loved cleaning! The house is clean!</v>
      </c>
    </row>
    <row r="14142" spans="1:9" x14ac:dyDescent="0.3">
      <c r="A14142" s="1" t="s">
        <v>30</v>
      </c>
      <c r="B14142" s="1" t="s">
        <v>50</v>
      </c>
      <c r="C14142" s="1" t="s">
        <v>32</v>
      </c>
      <c r="D14142" s="1" t="s">
        <v>1092</v>
      </c>
      <c r="E14142" s="1" t="s">
        <v>1000</v>
      </c>
      <c r="F14142" s="1" t="s">
        <v>19565</v>
      </c>
      <c r="G14142" s="1" t="s">
        <v>36</v>
      </c>
      <c r="H14142" s="1" t="s">
        <v>29</v>
      </c>
      <c r="I14142" s="1" t="str">
        <f ca="1">IFERROR(__xludf.DUMMYFUNCTION("GOOGLETRANSLATE(F14142, ""auto"", ""en"")
"),"The device is just super.  Windows 7 lived up to expectations, very fast, compact, capacious battery, etc., I’ve been using it for two months now and I’m glad I chose it.  I recommend it to everyone: both gamers and for work.")</f>
        <v>The device is just super.  Windows 7 lived up to expectations, very fast, compact, capacious battery, etc., I’ve been using it for two months now and I’m glad I chose it.  I recommend it to everyone: both gamers and for work.</v>
      </c>
    </row>
    <row r="14143" spans="1:9" x14ac:dyDescent="0.3">
      <c r="A14143" s="1" t="s">
        <v>61</v>
      </c>
      <c r="B14143" s="1" t="s">
        <v>224</v>
      </c>
      <c r="C14143" s="1" t="s">
        <v>246</v>
      </c>
      <c r="D14143" s="1" t="s">
        <v>774</v>
      </c>
      <c r="E14143" s="1" t="s">
        <v>9390</v>
      </c>
      <c r="F14143" s="1" t="s">
        <v>19566</v>
      </c>
      <c r="G14143" s="1" t="s">
        <v>36</v>
      </c>
      <c r="H14143" s="1" t="s">
        <v>29</v>
      </c>
      <c r="I14143" s="1" t="str">
        <f ca="1">IFERROR(__xludf.DUMMYFUNCTION("GOOGLETRANSLATE(F14143, ""auto"", ""en"")
"),"Awesome juicer. Cleans well, squeezes out every last drop without much effort, not too big, beautiful design.   For its price, it’s simply a unique thing. I recommend it to everyone.")</f>
        <v>Awesome juicer. Cleans well, squeezes out every last drop without much effort, not too big, beautiful design.   For its price, it’s simply a unique thing. I recommend it to everyone.</v>
      </c>
    </row>
    <row r="14144" spans="1:9" x14ac:dyDescent="0.3">
      <c r="A14144" s="1" t="s">
        <v>37</v>
      </c>
      <c r="B14144" s="1" t="s">
        <v>38</v>
      </c>
      <c r="C14144" s="1" t="s">
        <v>39</v>
      </c>
      <c r="D14144" s="1" t="s">
        <v>19567</v>
      </c>
      <c r="E14144" s="1" t="s">
        <v>11349</v>
      </c>
      <c r="F14144" s="1" t="s">
        <v>19568</v>
      </c>
      <c r="G14144" s="1" t="s">
        <v>28</v>
      </c>
      <c r="H14144" s="1" t="s">
        <v>29</v>
      </c>
      <c r="I14144" s="1" t="str">
        <f ca="1">IFERROR(__xludf.DUMMYFUNCTION("GOOGLETRANSLATE(F14144, ""auto"", ""en"")
"),"Everything is fine")</f>
        <v>Everything is fine</v>
      </c>
    </row>
    <row r="14145" spans="1:9" x14ac:dyDescent="0.3">
      <c r="A14145" s="1" t="s">
        <v>120</v>
      </c>
      <c r="B14145" s="1" t="s">
        <v>126</v>
      </c>
      <c r="C14145" s="1" t="s">
        <v>151</v>
      </c>
      <c r="D14145" s="1" t="s">
        <v>749</v>
      </c>
      <c r="E14145" s="1" t="s">
        <v>661</v>
      </c>
      <c r="F14145" s="1" t="s">
        <v>19569</v>
      </c>
      <c r="G14145" s="1" t="s">
        <v>36</v>
      </c>
      <c r="H14145" s="1" t="s">
        <v>29</v>
      </c>
      <c r="I14145" s="1" t="str">
        <f ca="1">IFERROR(__xludf.DUMMYFUNCTION("GOOGLETRANSLATE(F14145, ""auto"", ""en"")
"),"The TV is excellent, my wife and I were very pleased. Pros: large diagonal, good colors, player supports all formats (including mkv), ability to connect external hard drives, #d playback. minus so far identified 1 - spontaneous switching on/off - I don’t "&amp;"understand what’s wrong with the TV or is it because of the electrics (the wiring seems to be good, maybe voltage surges?) I got it on sale for 5 rubles cheaper - great, I recommend it to everyone.")</f>
        <v>The TV is excellent, my wife and I were very pleased. Pros: large diagonal, good colors, player supports all formats (including mkv), ability to connect external hard drives, #d playback. minus so far identified 1 - spontaneous switching on/off - I don’t understand what’s wrong with the TV or is it because of the electrics (the wiring seems to be good, maybe voltage surges?) I got it on sale for 5 rubles cheaper - great, I recommend it to everyone.</v>
      </c>
    </row>
    <row r="14146" spans="1:9" x14ac:dyDescent="0.3">
      <c r="A14146" s="1" t="s">
        <v>43</v>
      </c>
      <c r="B14146" s="1" t="s">
        <v>502</v>
      </c>
      <c r="C14146" s="1" t="s">
        <v>151</v>
      </c>
      <c r="D14146" s="1" t="s">
        <v>75</v>
      </c>
      <c r="E14146" s="1" t="s">
        <v>4969</v>
      </c>
      <c r="F14146" s="1" t="s">
        <v>19570</v>
      </c>
      <c r="G14146" s="1" t="s">
        <v>36</v>
      </c>
      <c r="H14146" s="1" t="s">
        <v>29</v>
      </c>
      <c r="I14146" s="1" t="str">
        <f ca="1">IFERROR(__xludf.DUMMYFUNCTION("GOOGLETRANSLATE(F14146, ""auto"", ""en"")
"),"We ordered two air conditioners. They delivered it a day after ordering, installed it a day later, and the craftsmen worked carefully. The air conditioners work well, there is no noise, and they cool quite quickly! Happy with the purchase!")</f>
        <v>We ordered two air conditioners. They delivered it a day after ordering, installed it a day later, and the craftsmen worked carefully. The air conditioners work well, there is no noise, and they cool quite quickly! Happy with the purchase!</v>
      </c>
    </row>
    <row r="14147" spans="1:9" x14ac:dyDescent="0.3">
      <c r="A14147" s="1" t="s">
        <v>43</v>
      </c>
      <c r="B14147" s="1" t="s">
        <v>502</v>
      </c>
      <c r="C14147" s="1" t="s">
        <v>122</v>
      </c>
      <c r="D14147" s="1" t="s">
        <v>86</v>
      </c>
      <c r="E14147" s="1" t="s">
        <v>10345</v>
      </c>
      <c r="F14147" s="1" t="s">
        <v>19571</v>
      </c>
      <c r="G14147" s="1" t="s">
        <v>36</v>
      </c>
      <c r="H14147" s="1" t="s">
        <v>29</v>
      </c>
      <c r="I14147" s="1" t="str">
        <f ca="1">IFERROR(__xludf.DUMMYFUNCTION("GOOGLETRANSLATE(F14147, ""auto"", ""en"")
"),"We are using the 2nd season and so far we are very pleased! Here are simple facts: it’s about +33 outside after lunch, this air conditioner easily cools a room of 19 sq.m (sunny side) in 20 minutes and at the same time it also becomes cool in the corridor"&amp;". At speed 1 (and we use it 90% of the time) it works almost silently, at speed 2 it is still acoustically comfortable, at speed 3 there is already decent flow noise. There is an on/off timer that can be set up to 12 hours. The external unit is also very "&amp;"quiet and completely vibration-free, very smooth operation. When installed by an official service (from the Panasonic website), the warranty is 5 years.")</f>
        <v>We are using the 2nd season and so far we are very pleased! Here are simple facts: it’s about +33 outside after lunch, this air conditioner easily cools a room of 19 sq.m (sunny side) in 20 minutes and at the same time it also becomes cool in the corridor. At speed 1 (and we use it 90% of the time) it works almost silently, at speed 2 it is still acoustically comfortable, at speed 3 there is already decent flow noise. There is an on/off timer that can be set up to 12 hours. The external unit is also very quiet and completely vibration-free, very smooth operation. When installed by an official service (from the Panasonic website), the warranty is 5 years.</v>
      </c>
    </row>
    <row r="14148" spans="1:9" x14ac:dyDescent="0.3">
      <c r="A14148" s="1" t="s">
        <v>55</v>
      </c>
      <c r="B14148" s="1" t="s">
        <v>84</v>
      </c>
      <c r="C14148" s="1" t="s">
        <v>85</v>
      </c>
      <c r="D14148" s="1" t="s">
        <v>280</v>
      </c>
      <c r="E14148" s="1" t="s">
        <v>6569</v>
      </c>
      <c r="F14148" s="1" t="s">
        <v>19572</v>
      </c>
      <c r="G14148" s="1" t="s">
        <v>15</v>
      </c>
      <c r="H14148" s="1" t="s">
        <v>16</v>
      </c>
      <c r="I14148" s="1" t="str">
        <f ca="1">IFERROR(__xludf.DUMMYFUNCTION("GOOGLETRANSLATE(F14148, ""auto"", ""en"")
"),"Design, electronic control, relatively quiet, easy to maintain")</f>
        <v>Design, electronic control, relatively quiet, easy to maintain</v>
      </c>
    </row>
    <row r="14149" spans="1:9" x14ac:dyDescent="0.3">
      <c r="A14149" s="1" t="s">
        <v>61</v>
      </c>
      <c r="B14149" s="1" t="s">
        <v>318</v>
      </c>
      <c r="C14149" s="1" t="s">
        <v>101</v>
      </c>
      <c r="D14149" s="1" t="s">
        <v>20</v>
      </c>
      <c r="E14149" s="1" t="s">
        <v>1129</v>
      </c>
      <c r="F14149" s="1" t="s">
        <v>19573</v>
      </c>
      <c r="G14149" s="1" t="s">
        <v>15</v>
      </c>
      <c r="H14149" s="1" t="s">
        <v>16</v>
      </c>
      <c r="I14149" s="1" t="str">
        <f ca="1">IFERROR(__xludf.DUMMYFUNCTION("GOOGLETRANSLATE(F14149, ""auto"", ""en"")
"),"It literally worked for me for a month, then it began to only heat and not boil water (disappointed...")</f>
        <v>It literally worked for me for a month, then it began to only heat and not boil water (disappointed...</v>
      </c>
    </row>
    <row r="14150" spans="1:9" x14ac:dyDescent="0.3">
      <c r="A14150" s="1" t="s">
        <v>61</v>
      </c>
      <c r="B14150" s="1" t="s">
        <v>318</v>
      </c>
      <c r="C14150" s="1" t="s">
        <v>2840</v>
      </c>
      <c r="D14150" s="1" t="s">
        <v>19574</v>
      </c>
      <c r="E14150" s="1" t="s">
        <v>2171</v>
      </c>
      <c r="F14150" s="1" t="s">
        <v>19575</v>
      </c>
      <c r="G14150" s="1" t="s">
        <v>36</v>
      </c>
      <c r="H14150" s="1" t="s">
        <v>29</v>
      </c>
      <c r="I14150" s="1" t="str">
        <f ca="1">IFERROR(__xludf.DUMMYFUNCTION("GOOGLETRANSLATE(F14150, ""auto"", ""en"")
"),"Bought 3 days ago, on sale. Beautiful, elegant, powerful! Fits perfectly into the kitchen, and I really like the lighting! I remember turning on the kettle for the first time, sitting next to me and without taking my eyes off it, admiring its work with th"&amp;"e lights off))) It’s better to pour filtered water! Disadvantages (we all have them): the power button was not placed well, the stand is a little small, it seems that the kettle is not very stable, the glass breaks! In general, a decent device! Take it, i"&amp;"t's just a treat!!!")</f>
        <v>Bought 3 days ago, on sale. Beautiful, elegant, powerful! Fits perfectly into the kitchen, and I really like the lighting! I remember turning on the kettle for the first time, sitting next to me and without taking my eyes off it, admiring its work with the lights off))) It’s better to pour filtered water! Disadvantages (we all have them): the power button was not placed well, the stand is a little small, it seems that the kettle is not very stable, the glass breaks! In general, a decent device! Take it, it's just a treat!!!</v>
      </c>
    </row>
    <row r="14151" spans="1:9" x14ac:dyDescent="0.3">
      <c r="A14151" s="1" t="s">
        <v>61</v>
      </c>
      <c r="B14151" s="1" t="s">
        <v>977</v>
      </c>
      <c r="C14151" s="1" t="s">
        <v>213</v>
      </c>
      <c r="D14151" s="1" t="s">
        <v>742</v>
      </c>
      <c r="E14151" s="1" t="s">
        <v>4818</v>
      </c>
      <c r="F14151" s="1" t="s">
        <v>19576</v>
      </c>
      <c r="G14151" s="1" t="s">
        <v>36</v>
      </c>
      <c r="H14151" s="1" t="s">
        <v>29</v>
      </c>
      <c r="I14151" s="1" t="str">
        <f ca="1">IFERROR(__xludf.DUMMYFUNCTION("GOOGLETRANSLATE(F14151, ""auto"", ""en"")
"),"The device is super! My wife is delighted! I would recommend it to everyone simply and reliably.")</f>
        <v>The device is super! My wife is delighted! I would recommend it to everyone simply and reliably.</v>
      </c>
    </row>
    <row r="14152" spans="1:9" x14ac:dyDescent="0.3">
      <c r="A14152" s="1" t="s">
        <v>149</v>
      </c>
      <c r="B14152" s="1" t="s">
        <v>150</v>
      </c>
      <c r="C14152" s="1" t="s">
        <v>2016</v>
      </c>
      <c r="D14152" s="1" t="s">
        <v>19577</v>
      </c>
      <c r="E14152" s="1" t="s">
        <v>8529</v>
      </c>
      <c r="F14152" s="1" t="s">
        <v>19578</v>
      </c>
      <c r="G14152" s="1" t="s">
        <v>15</v>
      </c>
      <c r="H14152" s="1" t="s">
        <v>16</v>
      </c>
      <c r="I14152" s="1" t="str">
        <f ca="1">IFERROR(__xludf.DUMMYFUNCTION("GOOGLETRANSLATE(F14152, ""auto"", ""en"")
"),"They gave me this vacuum cleaner for my car. To be honest, it’s complete nonsense, it clogs up quickly and doesn’t suck up dust at all! It is better to buy a cheap home vacuum cleaner and vacuum with it.")</f>
        <v>They gave me this vacuum cleaner for my car. To be honest, it’s complete nonsense, it clogs up quickly and doesn’t suck up dust at all! It is better to buy a cheap home vacuum cleaner and vacuum with it.</v>
      </c>
    </row>
    <row r="14153" spans="1:9" x14ac:dyDescent="0.3">
      <c r="A14153" s="1" t="s">
        <v>30</v>
      </c>
      <c r="B14153" s="1" t="s">
        <v>50</v>
      </c>
      <c r="C14153" s="1" t="s">
        <v>377</v>
      </c>
      <c r="D14153" s="1" t="s">
        <v>19579</v>
      </c>
      <c r="E14153" s="1" t="s">
        <v>779</v>
      </c>
      <c r="F14153" s="1" t="s">
        <v>19580</v>
      </c>
      <c r="G14153" s="1" t="s">
        <v>28</v>
      </c>
      <c r="H14153" s="1" t="s">
        <v>29</v>
      </c>
      <c r="I14153" s="1" t="str">
        <f ca="1">IFERROR(__xludf.DUMMYFUNCTION("GOOGLETRANSLATE(F14153, ""auto"", ""en"")
"),"I found a non-standard USB aorta, but the eSata cable does not go there, either the manufacturer announced a combined eSata without taking care of it, or I don’t understand something. Well, the pre-installed Windows 7 Home Basic, to put it mildly, is comp"&amp;"lete rubbish, Microsoft is just making fun of you, in this version you can’t do anything with the settings, you can’t even add My Computer and Network icons to the desktop, not to mention the fact that this version of Windows doesn’t even support replacin"&amp;"g themes, it’s just a nightmare, so I had to install another version. It would be better if they sold this laptop empty, without pre-installed Windows, it would cost less and there would be less negativity. And as a machine, I really like it, so if you do"&amp;"n’t have the basic version of Windows and the eSata interface, then the price/quality ratio is decent!")</f>
        <v>I found a non-standard USB aorta, but the eSata cable does not go there, either the manufacturer announced a combined eSata without taking care of it, or I don’t understand something. Well, the pre-installed Windows 7 Home Basic, to put it mildly, is complete rubbish, Microsoft is just making fun of you, in this version you can’t do anything with the settings, you can’t even add My Computer and Network icons to the desktop, not to mention the fact that this version of Windows doesn’t even support replacing themes, it’s just a nightmare, so I had to install another version. It would be better if they sold this laptop empty, without pre-installed Windows, it would cost less and there would be less negativity. And as a machine, I really like it, so if you don’t have the basic version of Windows and the eSata interface, then the price/quality ratio is decent!</v>
      </c>
    </row>
    <row r="14154" spans="1:9" x14ac:dyDescent="0.3">
      <c r="A14154" s="1" t="s">
        <v>30</v>
      </c>
      <c r="B14154" s="1" t="s">
        <v>50</v>
      </c>
      <c r="C14154" s="1" t="s">
        <v>51</v>
      </c>
      <c r="D14154" s="1" t="s">
        <v>19581</v>
      </c>
      <c r="E14154" s="1" t="s">
        <v>2011</v>
      </c>
      <c r="F14154" s="1" t="s">
        <v>19582</v>
      </c>
      <c r="G14154" s="1" t="s">
        <v>36</v>
      </c>
      <c r="H14154" s="1" t="s">
        <v>29</v>
      </c>
      <c r="I14154" s="1" t="str">
        <f ca="1">IFERROR(__xludf.DUMMYFUNCTION("GOOGLETRANSLATE(F14154, ""auto"", ""en"")
"),"beast with 4 cores great machine")</f>
        <v>beast with 4 cores great machine</v>
      </c>
    </row>
    <row r="14155" spans="1:9" x14ac:dyDescent="0.3">
      <c r="A14155" s="1" t="s">
        <v>89</v>
      </c>
      <c r="B14155" s="1" t="s">
        <v>231</v>
      </c>
      <c r="C14155" s="1" t="s">
        <v>1072</v>
      </c>
      <c r="D14155" s="1" t="s">
        <v>940</v>
      </c>
      <c r="E14155" s="1" t="s">
        <v>1073</v>
      </c>
      <c r="F14155" s="1" t="s">
        <v>19583</v>
      </c>
      <c r="G14155" s="1" t="s">
        <v>36</v>
      </c>
      <c r="H14155" s="1" t="s">
        <v>29</v>
      </c>
      <c r="I14155" s="1" t="str">
        <f ca="1">IFERROR(__xludf.DUMMYFUNCTION("GOOGLETRANSLATE(F14155, ""auto"", ""en"")
"),"The most convenient coffee machine!!! The previous one had a flow-through heating system, while Saeco had a boiler system. Same coffee, but completely different taste. And it seemed to me easier to clean.")</f>
        <v>The most convenient coffee machine!!! The previous one had a flow-through heating system, while Saeco had a boiler system. Same coffee, but completely different taste. And it seemed to me easier to clean.</v>
      </c>
    </row>
    <row r="14156" spans="1:9" x14ac:dyDescent="0.3">
      <c r="A14156" s="1" t="s">
        <v>61</v>
      </c>
      <c r="B14156" s="1" t="s">
        <v>73</v>
      </c>
      <c r="C14156" s="1" t="s">
        <v>74</v>
      </c>
      <c r="D14156" s="1" t="s">
        <v>1890</v>
      </c>
      <c r="E14156" s="1" t="s">
        <v>3829</v>
      </c>
      <c r="F14156" s="1" t="s">
        <v>19584</v>
      </c>
      <c r="G14156" s="1" t="s">
        <v>36</v>
      </c>
      <c r="H14156" s="1" t="s">
        <v>29</v>
      </c>
      <c r="I14156" s="1" t="str">
        <f ca="1">IFERROR(__xludf.DUMMYFUNCTION("GOOGLETRANSLATE(F14156, ""auto"", ""en"")
"),"I have been using this meat grinder for 5 years already! Super! Both meat and vegetables. Potato pancakes in 2 minutes. During all the time I used it, I changed the knife once, due to my carelessness. I highly recommend it to everyone.")</f>
        <v>I have been using this meat grinder for 5 years already! Super! Both meat and vegetables. Potato pancakes in 2 minutes. During all the time I used it, I changed the knife once, due to my carelessness. I highly recommend it to everyone.</v>
      </c>
    </row>
    <row r="14157" spans="1:9" x14ac:dyDescent="0.3">
      <c r="A14157" s="1" t="s">
        <v>120</v>
      </c>
      <c r="B14157" s="1" t="s">
        <v>121</v>
      </c>
      <c r="C14157" s="1" t="s">
        <v>97</v>
      </c>
      <c r="D14157" s="1" t="s">
        <v>208</v>
      </c>
      <c r="E14157" s="1" t="s">
        <v>1181</v>
      </c>
      <c r="F14157" s="1" t="s">
        <v>19585</v>
      </c>
      <c r="G14157" s="1" t="s">
        <v>36</v>
      </c>
      <c r="H14157" s="1" t="s">
        <v>29</v>
      </c>
      <c r="I14157" s="1" t="str">
        <f ca="1">IFERROR(__xludf.DUMMYFUNCTION("GOOGLETRANSLATE(F14157, ""auto"", ""en"")
"),"Everything is 100%, the device is just super. Convenient, functional, sound and video quality is the best. Finding a replacement in this segment is unrealistic.")</f>
        <v>Everything is 100%, the device is just super. Convenient, functional, sound and video quality is the best. Finding a replacement in this segment is unrealistic.</v>
      </c>
    </row>
    <row r="14158" spans="1:9" x14ac:dyDescent="0.3">
      <c r="A14158" s="1" t="s">
        <v>965</v>
      </c>
      <c r="B14158" s="1" t="s">
        <v>966</v>
      </c>
      <c r="C14158" s="1" t="s">
        <v>2220</v>
      </c>
      <c r="D14158" s="1" t="s">
        <v>345</v>
      </c>
      <c r="E14158" s="1" t="s">
        <v>1245</v>
      </c>
      <c r="F14158" s="1" t="s">
        <v>19586</v>
      </c>
      <c r="G14158" s="1" t="s">
        <v>36</v>
      </c>
      <c r="H14158" s="1" t="s">
        <v>29</v>
      </c>
      <c r="I14158" s="1" t="str">
        <f ca="1">IFERROR(__xludf.DUMMYFUNCTION("GOOGLETRANSLATE(F14158, ""auto"", ""en"")
"),"Very decent, these speakers BLOW UP the apartment! Even if you turn up the bass all the way and make the necessary settings in the equalizer depending on what player you have installed, the buffer does not crackle or choke, even if the sound is at maximum"&amp;". Well, in general, the sound is very decent, the bass feels good, the only drawback seemed to me to be a small background, but it can be removed by also removing the highs and mids in the equalizer to the desired level! M-video Thank you!!!")</f>
        <v>Very decent, these speakers BLOW UP the apartment! Even if you turn up the bass all the way and make the necessary settings in the equalizer depending on what player you have installed, the buffer does not crackle or choke, even if the sound is at maximum. Well, in general, the sound is very decent, the bass feels good, the only drawback seemed to me to be a small background, but it can be removed by also removing the highs and mids in the equalizer to the desired level! M-video Thank you!!!</v>
      </c>
    </row>
    <row r="14159" spans="1:9" x14ac:dyDescent="0.3">
      <c r="A14159" s="1" t="s">
        <v>17</v>
      </c>
      <c r="B14159" s="1" t="s">
        <v>18</v>
      </c>
      <c r="C14159" s="1" t="s">
        <v>134</v>
      </c>
      <c r="D14159" s="1" t="s">
        <v>308</v>
      </c>
      <c r="E14159" s="1" t="s">
        <v>425</v>
      </c>
      <c r="F14159" s="1" t="s">
        <v>19587</v>
      </c>
      <c r="G14159" s="1" t="s">
        <v>36</v>
      </c>
      <c r="H14159" s="1" t="s">
        <v>29</v>
      </c>
      <c r="I14159" s="1" t="str">
        <f ca="1">IFERROR(__xludf.DUMMYFUNCTION("GOOGLETRANSLATE(F14159, ""auto"", ""en"")
"),"Thanks to Vladislav for your review of the machine, it really helped me make a choice. I studied different models for a long time, finding fault with little things. I also chose between Bosch, Siemens and LGi, I wanted a high-quality one (Vladislav sugges"&amp;"ted that it was made in Germany), full-size (so as not to jump, the main thing is to center it right away, before this there was a vertical one, it vibrated very strongly, plus the Siemens machine weighs 77 kg, it stands rooted to the spot), with child pr"&amp;"otection, low noise (really like that), a simple menu (the Bosch one seemed very sophisticated to me menu, and in Siemens everything is clear, a separate touch button for temperature, a separate one for spin speed, convenient choice of washing mode, a ris"&amp;"k is marked on the handle so that you can clearly select a program and not miss), with a large load, reloading during washing (a very convenient thing), a sound notification at the end of the wash (the volume is adjustable, although I haven’t tried it), s"&amp;"hows the time until the end of the wash (and clearly, without glitches or freezing on the last minute), a very smart machine - iQ 700, if you put a lot of powder and additional rinsing is required, the machine itself automatically adjusts this - it adds r"&amp;"insing time so that the laundry is clean. The washing quality is super! The compartments for powder and softeners are very conveniently made (the compartments are wide and deep, i.e. they extend to a large distance and it’s easy to pour powder, there is a"&amp;" measuring tab for powder right in the compartment and the machine itself rinses the compartments after washing). I really liked the design of the drum, and the machine itself is very stylish. I’ve been using it for six months now and couldn’t be happier,"&amp;" I run 4-6 cycles a week (only on Saturdays, 3-4 cycles a day). For a family with children (I have one child, but there is a lot of laundry) this is simply a miracle. A 9-year-old son’s children’s winter overalls and pants with a jacket can be washed with"&amp;"out any problems, and a fur blanket from a double bed can easily be placed in the washing machine (the loading hatch opening is quite large). 1000 rpm is quite enough, I wanted 1200 rpm, but it was not on sale. The machine is super, you won’t regret it, y"&amp;"ou can’t compare it with vertical machines, not in terms of washing quality, not in silence, not in price. The only thing when washing things with metal parts (sports jackets, even though I fasten the zipper, I turn the item inside out) is a slight clinki"&amp;"ng sound on the glass door, because... asymmetrical grip of the laundry and he turns the laundry from the depths of the drum to the drawer, I worry that the door will not break.")</f>
        <v>Thanks to Vladislav for your review of the machine, it really helped me make a choice. I studied different models for a long time, finding fault with little things. I also chose between Bosch, Siemens and LGi, I wanted a high-quality one (Vladislav suggested that it was made in Germany), full-size (so as not to jump, the main thing is to center it right away, before this there was a vertical one, it vibrated very strongly, plus the Siemens machine weighs 77 kg, it stands rooted to the spot), with child protection, low noise (really like that), a simple menu (the Bosch one seemed very sophisticated to me menu, and in Siemens everything is clear, a separate touch button for temperature, a separate one for spin speed, convenient choice of washing mode, a risk is marked on the handle so that you can clearly select a program and not miss), with a large load, reloading during washing (a very convenient thing), a sound notification at the end of the wash (the volume is adjustable, although I haven’t tried it), shows the time until the end of the wash (and clearly, without glitches or freezing on the last minute), a very smart machine - iQ 700, if you put a lot of powder and additional rinsing is required, the machine itself automatically adjusts this - it adds rinsing time so that the laundry is clean. The washing quality is super! The compartments for powder and softeners are very conveniently made (the compartments are wide and deep, i.e. they extend to a large distance and it’s easy to pour powder, there is a measuring tab for powder right in the compartment and the machine itself rinses the compartments after washing). I really liked the design of the drum, and the machine itself is very stylish. I’ve been using it for six months now and couldn’t be happier, I run 4-6 cycles a week (only on Saturdays, 3-4 cycles a day). For a family with children (I have one child, but there is a lot of laundry) this is simply a miracle. A 9-year-old son’s children’s winter overalls and pants with a jacket can be washed without any problems, and a fur blanket from a double bed can easily be placed in the washing machine (the loading hatch opening is quite large). 1000 rpm is quite enough, I wanted 1200 rpm, but it was not on sale. The machine is super, you won’t regret it, you can’t compare it with vertical machines, not in terms of washing quality, not in silence, not in price. The only thing when washing things with metal parts (sports jackets, even though I fasten the zipper, I turn the item inside out) is a slight clinking sound on the glass door, because... asymmetrical grip of the laundry and he turns the laundry from the depths of the drum to the drawer, I worry that the door will not break.</v>
      </c>
    </row>
    <row r="14160" spans="1:9" x14ac:dyDescent="0.3">
      <c r="A14160" s="1" t="s">
        <v>30</v>
      </c>
      <c r="B14160" s="1" t="s">
        <v>50</v>
      </c>
      <c r="C14160" s="1" t="s">
        <v>1003</v>
      </c>
      <c r="D14160" s="1" t="s">
        <v>2504</v>
      </c>
      <c r="E14160" s="1" t="s">
        <v>947</v>
      </c>
      <c r="F14160" s="1" t="s">
        <v>19588</v>
      </c>
      <c r="G14160" s="1" t="s">
        <v>36</v>
      </c>
      <c r="H14160" s="1" t="s">
        <v>29</v>
      </c>
      <c r="I14160" s="1" t="str">
        <f ca="1">IFERROR(__xludf.DUMMYFUNCTION("GOOGLETRANSLATE(F14160, ""auto"", ""en"")
"),"I got this one yesterday. All choir. And it looks solid. Burgundy color is very stylish. I recommend!")</f>
        <v>I got this one yesterday. All choir. And it looks solid. Burgundy color is very stylish. I recommend!</v>
      </c>
    </row>
    <row r="14161" spans="1:9" x14ac:dyDescent="0.3">
      <c r="A14161" s="1" t="s">
        <v>61</v>
      </c>
      <c r="B14161" s="1" t="s">
        <v>62</v>
      </c>
      <c r="C14161" s="1" t="s">
        <v>63</v>
      </c>
      <c r="D14161" s="1" t="s">
        <v>8321</v>
      </c>
      <c r="E14161" s="1" t="s">
        <v>1660</v>
      </c>
      <c r="F14161" s="1" t="s">
        <v>19589</v>
      </c>
      <c r="G14161" s="1" t="s">
        <v>36</v>
      </c>
      <c r="H14161" s="1" t="s">
        <v>29</v>
      </c>
      <c r="I14161" s="1" t="str">
        <f ca="1">IFERROR(__xludf.DUMMYFUNCTION("GOOGLETRANSLATE(F14161, ""auto"", ""en"")
"),"I’ve been using it for 2 years. I’m very happy. All the functions are there. It’s very convenient with a small child, chop vegetables, make puree. During the repair, the stand itself, which has a motor, was broken. We can’t find it anywhere ((")</f>
        <v>I’ve been using it for 2 years. I’m very happy. All the functions are there. It’s very convenient with a small child, chop vegetables, make puree. During the repair, the stand itself, which has a motor, was broken. We can’t find it anywhere ((</v>
      </c>
    </row>
    <row r="14162" spans="1:9" x14ac:dyDescent="0.3">
      <c r="A14162" s="1" t="s">
        <v>211</v>
      </c>
      <c r="B14162" s="1" t="s">
        <v>410</v>
      </c>
      <c r="C14162" s="1" t="s">
        <v>213</v>
      </c>
      <c r="D14162" s="1" t="s">
        <v>875</v>
      </c>
      <c r="E14162" s="1" t="s">
        <v>1129</v>
      </c>
      <c r="F14162" s="1" t="s">
        <v>19590</v>
      </c>
      <c r="G14162" s="1" t="s">
        <v>28</v>
      </c>
      <c r="H14162" s="1" t="s">
        <v>29</v>
      </c>
      <c r="I14162" s="1" t="str">
        <f ca="1">IFERROR(__xludf.DUMMYFUNCTION("GOOGLETRANSLATE(F14162, ""auto"", ""en"")
"),"The razor is good, there are no special complaints, I bought it in December 2010, used it for 3 months and put it away, recently the water was turned off and I had to put the machine away for now and return to the electric razor. Despite the fact that the"&amp;" razor lay idle for about three months - it did not ask for charging, but it was still enough for one time, I put it on charge (the stand, by the way, is a convenient thing) - the charging began to make a low-frequency sound and did not charge the razor, "&amp;"I took it to the service - it was under warranty and they sent it for replacement in the same Mvideo.")</f>
        <v>The razor is good, there are no special complaints, I bought it in December 2010, used it for 3 months and put it away, recently the water was turned off and I had to put the machine away for now and return to the electric razor. Despite the fact that the razor lay idle for about three months - it did not ask for charging, but it was still enough for one time, I put it on charge (the stand, by the way, is a convenient thing) - the charging began to make a low-frequency sound and did not charge the razor, I took it to the service - it was under warranty and they sent it for replacement in the same Mvideo.</v>
      </c>
    </row>
    <row r="14163" spans="1:9" x14ac:dyDescent="0.3">
      <c r="A14163" s="1" t="s">
        <v>361</v>
      </c>
      <c r="B14163" s="1" t="s">
        <v>1077</v>
      </c>
      <c r="C14163" s="1" t="s">
        <v>2143</v>
      </c>
      <c r="D14163" s="1" t="s">
        <v>52</v>
      </c>
      <c r="E14163" s="1" t="s">
        <v>2746</v>
      </c>
      <c r="F14163" s="1" t="s">
        <v>19591</v>
      </c>
      <c r="G14163" s="1" t="s">
        <v>28</v>
      </c>
      <c r="H14163" s="1" t="s">
        <v>29</v>
      </c>
      <c r="I14163" s="1" t="str">
        <f ca="1">IFERROR(__xludf.DUMMYFUNCTION("GOOGLETRANSLATE(F14163, ""auto"", ""en"")
"),"We've been using it for 2 weeks. Compared to a regular kettle, this one boils faster (2-3 minutes for 1.5 liters of water), and after turning off the water in the kettle remains hot longer.   I was a little upset that: 1. The silicone-coated handle gets q"&amp;"uite hot - you can’t take it with your bare hand - it burns. Moreover, the more water was boiled in the kettle, the hotter the handle became. In this case, 2 minutes after turning off the stove, the handle cools down and you can handle it.  2. It is diffi"&amp;"cult to pour out the last 0.5 liters of water. The kettle has to be tilted more than a regular kettle.  In general, these shortcomings are not very annoying, especially since Vinzer 69009 looks great. We are happy with the purchase.")</f>
        <v>We've been using it for 2 weeks. Compared to a regular kettle, this one boils faster (2-3 minutes for 1.5 liters of water), and after turning off the water in the kettle remains hot longer.   I was a little upset that: 1. The silicone-coated handle gets quite hot - you can’t take it with your bare hand - it burns. Moreover, the more water was boiled in the kettle, the hotter the handle became. In this case, 2 minutes after turning off the stove, the handle cools down and you can handle it.  2. It is difficult to pour out the last 0.5 liters of water. The kettle has to be tilted more than a regular kettle.  In general, these shortcomings are not very annoying, especially since Vinzer 69009 looks great. We are happy with the purchase.</v>
      </c>
    </row>
    <row r="14164" spans="1:9" x14ac:dyDescent="0.3">
      <c r="A14164" s="1" t="s">
        <v>9</v>
      </c>
      <c r="B14164" s="1" t="s">
        <v>133</v>
      </c>
      <c r="C14164" s="1" t="s">
        <v>24</v>
      </c>
      <c r="D14164" s="1" t="s">
        <v>545</v>
      </c>
      <c r="E14164" s="1" t="s">
        <v>2916</v>
      </c>
      <c r="F14164" s="1" t="s">
        <v>19592</v>
      </c>
      <c r="G14164" s="1" t="s">
        <v>36</v>
      </c>
      <c r="H14164" s="1" t="s">
        <v>29</v>
      </c>
      <c r="I14164" s="1" t="str">
        <f ca="1">IFERROR(__xludf.DUMMYFUNCTION("GOOGLETRANSLATE(F14164, ""auto"", ""en"")
"),"I completely agree with Vyacheslav! Great model! I've made it once so far. I put the pizza in a cold oven, and in the end it was ready after 20 minutes. It baked evenly, just great! I give it a solid five!")</f>
        <v>I completely agree with Vyacheslav! Great model! I've made it once so far. I put the pizza in a cold oven, and in the end it was ready after 20 minutes. It baked evenly, just great! I give it a solid five!</v>
      </c>
    </row>
    <row r="14165" spans="1:9" x14ac:dyDescent="0.3">
      <c r="A14165" s="1" t="s">
        <v>211</v>
      </c>
      <c r="B14165" s="1" t="s">
        <v>212</v>
      </c>
      <c r="C14165" s="1" t="s">
        <v>381</v>
      </c>
      <c r="D14165" s="1" t="s">
        <v>19593</v>
      </c>
      <c r="E14165" s="1" t="s">
        <v>13443</v>
      </c>
      <c r="F14165" s="1" t="s">
        <v>19594</v>
      </c>
      <c r="G14165" s="1" t="s">
        <v>49</v>
      </c>
      <c r="H14165" s="1" t="s">
        <v>16</v>
      </c>
      <c r="I14165" s="1" t="str">
        <f ca="1">IFERROR(__xludf.DUMMYFUNCTION("GOOGLETRANSLATE(F14165, ""auto"", ""en"")
"),"I bought these curling irons in the hope that I would create light waves on my hair. My hair is down to my waist, but while you are curling the second part of your hair, the first part is safely straightened. On New Year's Day I managed to curl it for a c"&amp;"ouple of hours, but I spent half a bottle of strong hold hairspray. I even tried to return it to the store, but naturally they didn’t accept it. It’s very disappointing and a pity for the money spent (((((")</f>
        <v>I bought these curling irons in the hope that I would create light waves on my hair. My hair is down to my waist, but while you are curling the second part of your hair, the first part is safely straightened. On New Year's Day I managed to curl it for a couple of hours, but I spent half a bottle of strong hold hairspray. I even tried to return it to the store, but naturally they didn’t accept it. It’s very disappointing and a pity for the money spent (((((</v>
      </c>
    </row>
    <row r="14166" spans="1:9" x14ac:dyDescent="0.3">
      <c r="A14166" s="1" t="s">
        <v>61</v>
      </c>
      <c r="B14166" s="1" t="s">
        <v>318</v>
      </c>
      <c r="C14166" s="1" t="s">
        <v>57</v>
      </c>
      <c r="D14166" s="1" t="s">
        <v>11129</v>
      </c>
      <c r="E14166" s="1" t="s">
        <v>2928</v>
      </c>
      <c r="F14166" s="1" t="s">
        <v>19595</v>
      </c>
      <c r="G14166" s="1" t="s">
        <v>36</v>
      </c>
      <c r="H14166" s="1" t="s">
        <v>29</v>
      </c>
      <c r="I14166" s="1" t="str">
        <f ca="1">IFERROR(__xludf.DUMMYFUNCTION("GOOGLETRANSLATE(F14166, ""auto"", ""en"")
"),"This wonderful thermopot has been working for 3 years. Not one breakdown. There are no unnecessary odors. Fresh water lasts a long time. I liked that it was made of metal.")</f>
        <v>This wonderful thermopot has been working for 3 years. Not one breakdown. There are no unnecessary odors. Fresh water lasts a long time. I liked that it was made of metal.</v>
      </c>
    </row>
    <row r="14167" spans="1:9" x14ac:dyDescent="0.3">
      <c r="A14167" s="1" t="s">
        <v>61</v>
      </c>
      <c r="B14167" s="1" t="s">
        <v>318</v>
      </c>
      <c r="C14167" s="1" t="s">
        <v>213</v>
      </c>
      <c r="D14167" s="1" t="s">
        <v>6304</v>
      </c>
      <c r="E14167" s="1" t="s">
        <v>854</v>
      </c>
      <c r="F14167" s="1" t="s">
        <v>19596</v>
      </c>
      <c r="G14167" s="1" t="s">
        <v>36</v>
      </c>
      <c r="H14167" s="1" t="s">
        <v>29</v>
      </c>
      <c r="I14167" s="1" t="str">
        <f ca="1">IFERROR(__xludf.DUMMYFUNCTION("GOOGLETRANSLATE(F14167, ""auto"", ""en"")
"),"About a year ago we bought ourselves such a kettle for work. Since the smell of plastic was practically not felt at first, and later disappeared completely, I bought myself two kettles from this company: for my apartment and for my dacha. They work proper"&amp;"ly, there is no plastic smell. I give it 5 stars and recommend it to everyone.")</f>
        <v>About a year ago we bought ourselves such a kettle for work. Since the smell of plastic was practically not felt at first, and later disappeared completely, I bought myself two kettles from this company: for my apartment and for my dacha. They work properly, there is no plastic smell. I give it 5 stars and recommend it to everyone.</v>
      </c>
    </row>
    <row r="14168" spans="1:9" x14ac:dyDescent="0.3">
      <c r="A14168" s="1" t="s">
        <v>17</v>
      </c>
      <c r="B14168" s="1" t="s">
        <v>18</v>
      </c>
      <c r="C14168" s="1" t="s">
        <v>290</v>
      </c>
      <c r="D14168" s="1" t="s">
        <v>19597</v>
      </c>
      <c r="E14168" s="1" t="s">
        <v>3829</v>
      </c>
      <c r="F14168" s="1" t="s">
        <v>19598</v>
      </c>
      <c r="G14168" s="1" t="s">
        <v>15</v>
      </c>
      <c r="H14168" s="1" t="s">
        <v>16</v>
      </c>
      <c r="I14168" s="1" t="str">
        <f ca="1">IFERROR(__xludf.DUMMYFUNCTION("GOOGLETRANSLATE(F14168, ""auto"", ""en"")
"),"I bought a machine on sale... 1200 rpm for 10,990 rubles. - this is certainly cool... And in the end, after the 2nd wash, the machine broke down: the strap from the drum came off... that is, the engine itself works and the timer counts down time, but the "&amp;"drum does not spin... I put the laundry inside, the machine began to fill with water, but the drum did not spin... I had to wash it, in the end, by hand... So many problems with this again... call customer service, repair or rearrange, change... God my.. "&amp;"why can’t everything be right the first time...")</f>
        <v>I bought a machine on sale... 1200 rpm for 10,990 rubles. - this is certainly cool... And in the end, after the 2nd wash, the machine broke down: the strap from the drum came off... that is, the engine itself works and the timer counts down time, but the drum does not spin... I put the laundry inside, the machine began to fill with water, but the drum did not spin... I had to wash it, in the end, by hand... So many problems with this again... call customer service, repair or rearrange, change... God my.. why can’t everything be right the first time...</v>
      </c>
    </row>
    <row r="14169" spans="1:9" x14ac:dyDescent="0.3">
      <c r="A14169" s="1" t="s">
        <v>206</v>
      </c>
      <c r="B14169" s="1" t="s">
        <v>1349</v>
      </c>
      <c r="C14169" s="1" t="s">
        <v>2425</v>
      </c>
      <c r="D14169" s="1" t="s">
        <v>280</v>
      </c>
      <c r="E14169" s="1" t="s">
        <v>2677</v>
      </c>
      <c r="F14169" s="1" t="s">
        <v>19599</v>
      </c>
      <c r="G14169" s="1" t="s">
        <v>49</v>
      </c>
      <c r="H14169" s="1" t="s">
        <v>16</v>
      </c>
      <c r="I14169" s="1" t="str">
        <f ca="1">IFERROR(__xludf.DUMMYFUNCTION("GOOGLETRANSLATE(F14169, ""auto"", ""en"")
"),"I've been driving without a radio for three months, we're waiting for repairs. Everything worked when purchased. After a month, the panel stopped closing without a CD inserted. And a month later it completely broke down.")</f>
        <v>I've been driving without a radio for three months, we're waiting for repairs. Everything worked when purchased. After a month, the panel stopped closing without a CD inserted. And a month later it completely broke down.</v>
      </c>
    </row>
    <row r="14170" spans="1:9" x14ac:dyDescent="0.3">
      <c r="A14170" s="1" t="s">
        <v>9</v>
      </c>
      <c r="B14170" s="1" t="s">
        <v>10</v>
      </c>
      <c r="C14170" s="1" t="s">
        <v>407</v>
      </c>
      <c r="D14170" s="1" t="s">
        <v>280</v>
      </c>
      <c r="E14170" s="1" t="s">
        <v>16506</v>
      </c>
      <c r="F14170" s="1" t="s">
        <v>19600</v>
      </c>
      <c r="G14170" s="1" t="s">
        <v>28</v>
      </c>
      <c r="H14170" s="1" t="s">
        <v>29</v>
      </c>
      <c r="I14170" s="1" t="str">
        <f ca="1">IFERROR(__xludf.DUMMYFUNCTION("GOOGLETRANSLATE(F14170, ""auto"", ""en"")
"),"The design is great! Cons: it makes a lot of noise, the clock is in a hurry, the casing is attached in one place!")</f>
        <v>The design is great! Cons: it makes a lot of noise, the clock is in a hurry, the casing is attached in one place!</v>
      </c>
    </row>
    <row r="14171" spans="1:9" x14ac:dyDescent="0.3">
      <c r="A14171" s="1" t="s">
        <v>211</v>
      </c>
      <c r="B14171" s="1" t="s">
        <v>212</v>
      </c>
      <c r="C14171" s="1" t="s">
        <v>69</v>
      </c>
      <c r="D14171" s="1" t="s">
        <v>308</v>
      </c>
      <c r="E14171" s="1" t="s">
        <v>4082</v>
      </c>
      <c r="F14171" s="1" t="s">
        <v>19601</v>
      </c>
      <c r="G14171" s="1" t="s">
        <v>36</v>
      </c>
      <c r="H14171" s="1" t="s">
        <v>29</v>
      </c>
      <c r="I14171" s="1" t="str">
        <f ca="1">IFERROR(__xludf.DUMMYFUNCTION("GOOGLETRANSLATE(F14171, ""auto"", ""en"")
"),"Great hairdryer! The power is sufficient. Hot air comes from the brush, which makes styling easier! I recommend it to everyone!")</f>
        <v>Great hairdryer! The power is sufficient. Hot air comes from the brush, which makes styling easier! I recommend it to everyone!</v>
      </c>
    </row>
    <row r="14172" spans="1:9" x14ac:dyDescent="0.3">
      <c r="A14172" s="1" t="s">
        <v>95</v>
      </c>
      <c r="B14172" s="1" t="s">
        <v>648</v>
      </c>
      <c r="C14172" s="1" t="s">
        <v>97</v>
      </c>
      <c r="D14172" s="1" t="s">
        <v>172</v>
      </c>
      <c r="E14172" s="1" t="s">
        <v>9758</v>
      </c>
      <c r="F14172" s="1" t="s">
        <v>19602</v>
      </c>
      <c r="G14172" s="1" t="s">
        <v>36</v>
      </c>
      <c r="H14172" s="1" t="s">
        <v>29</v>
      </c>
      <c r="I14172" s="1" t="str">
        <f ca="1">IFERROR(__xludf.DUMMYFUNCTION("GOOGLETRANSLATE(F14172, ""auto"", ""en"")
"),"Yesterday I finally bought myself such a console, and I am very pleased with it. The graphics of the games are excellent. It’s good that the kit includes a camera with the game, this saves up to 1,500 rubles. The game is also cool, you walk around the apa"&amp;"rtment, looking for all sorts of monsters. The camera takes great pictures, at least 1.3 megapixels, and the quality is 5. In general, I recommend it to everyone, it’s a cool thing.")</f>
        <v>Yesterday I finally bought myself such a console, and I am very pleased with it. The graphics of the games are excellent. It’s good that the kit includes a camera with the game, this saves up to 1,500 rubles. The game is also cool, you walk around the apartment, looking for all sorts of monsters. The camera takes great pictures, at least 1.3 megapixels, and the quality is 5. In general, I recommend it to everyone, it’s a cool thing.</v>
      </c>
    </row>
    <row r="14173" spans="1:9" x14ac:dyDescent="0.3">
      <c r="A14173" s="1" t="s">
        <v>55</v>
      </c>
      <c r="B14173" s="1" t="s">
        <v>56</v>
      </c>
      <c r="C14173" s="1" t="s">
        <v>85</v>
      </c>
      <c r="D14173" s="1" t="s">
        <v>152</v>
      </c>
      <c r="E14173" s="1" t="s">
        <v>18514</v>
      </c>
      <c r="F14173" s="1" t="s">
        <v>19603</v>
      </c>
      <c r="G14173" s="1" t="s">
        <v>15</v>
      </c>
      <c r="H14173" s="1" t="s">
        <v>16</v>
      </c>
      <c r="I14173" s="1" t="str">
        <f ca="1">IFERROR(__xludf.DUMMYFUNCTION("GOOGLETRANSLATE(F14173, ""auto"", ""en"")
"),"The humidifier would obviously be quite good in principle if it were not for 2 BUT 1. The filter that is installed in the tank does not have any cleaning function at all. Just look at its design and it immediately becomes clear that it acts as a lid and v"&amp;"alve, but not as a filter function.  2. On the second day of purchase, the water presence sensor began to drizzle, indicating its absence, despite the fact that the tank was half full. The problem temporarily disappears if you move the pack, but not for l"&amp;"ong.  Now I’m trying to return it under warranty, but the store employees insist on an examination.  In general, if you finish it with a file, it can work well, but in the version in which it is sold now, I see no reason to buy it; there are cheaper optio"&amp;"ns with the same characteristics.")</f>
        <v>The humidifier would obviously be quite good in principle if it were not for 2 BUT 1. The filter that is installed in the tank does not have any cleaning function at all. Just look at its design and it immediately becomes clear that it acts as a lid and valve, but not as a filter function.  2. On the second day of purchase, the water presence sensor began to drizzle, indicating its absence, despite the fact that the tank was half full. The problem temporarily disappears if you move the pack, but not for long.  Now I’m trying to return it under warranty, but the store employees insist on an examination.  In general, if you finish it with a file, it can work well, but in the version in which it is sold now, I see no reason to buy it; there are cheaper options with the same characteristics.</v>
      </c>
    </row>
    <row r="14174" spans="1:9" x14ac:dyDescent="0.3">
      <c r="A14174" s="1" t="s">
        <v>105</v>
      </c>
      <c r="B14174" s="1" t="s">
        <v>106</v>
      </c>
      <c r="C14174" s="1" t="s">
        <v>1209</v>
      </c>
      <c r="D14174" s="1" t="s">
        <v>19604</v>
      </c>
      <c r="E14174" s="1" t="s">
        <v>2686</v>
      </c>
      <c r="F14174" s="1" t="s">
        <v>19605</v>
      </c>
      <c r="G14174" s="1" t="s">
        <v>28</v>
      </c>
      <c r="H14174" s="1" t="s">
        <v>29</v>
      </c>
      <c r="I14174" s="1" t="str">
        <f ca="1">IFERROR(__xludf.DUMMYFUNCTION("GOOGLETRANSLATE(F14174, ""auto"", ""en"")
"),"I bought it a year and a half ago.  It worked perfectly for half a year - problems with sound started, I took it to the store under warranty, they took it for repairs. They did it and it’s still working))")</f>
        <v>I bought it a year and a half ago.  It worked perfectly for half a year - problems with sound started, I took it to the store under warranty, they took it for repairs. They did it and it’s still working))</v>
      </c>
    </row>
    <row r="14175" spans="1:9" x14ac:dyDescent="0.3">
      <c r="A14175" s="1" t="s">
        <v>89</v>
      </c>
      <c r="B14175" s="1" t="s">
        <v>90</v>
      </c>
      <c r="C14175" s="1" t="s">
        <v>63</v>
      </c>
      <c r="D14175" s="1" t="s">
        <v>695</v>
      </c>
      <c r="E14175" s="1" t="s">
        <v>8151</v>
      </c>
      <c r="F14175" s="1" t="s">
        <v>19606</v>
      </c>
      <c r="G14175" s="1" t="s">
        <v>49</v>
      </c>
      <c r="H14175" s="1" t="s">
        <v>16</v>
      </c>
      <c r="I14175" s="1" t="str">
        <f ca="1">IFERROR(__xludf.DUMMYFUNCTION("GOOGLETRANSLATE(F14175, ""auto"", ""en"")
"),"didn't notice")</f>
        <v>didn't notice</v>
      </c>
    </row>
    <row r="14176" spans="1:9" x14ac:dyDescent="0.3">
      <c r="A14176" s="1" t="s">
        <v>30</v>
      </c>
      <c r="B14176" s="1" t="s">
        <v>31</v>
      </c>
      <c r="C14176" s="1" t="s">
        <v>32</v>
      </c>
      <c r="D14176" s="1" t="s">
        <v>2697</v>
      </c>
      <c r="E14176" s="1" t="s">
        <v>1275</v>
      </c>
      <c r="F14176" s="1" t="s">
        <v>19607</v>
      </c>
      <c r="G14176" s="1" t="s">
        <v>36</v>
      </c>
      <c r="H14176" s="1" t="s">
        <v>29</v>
      </c>
      <c r="I14176" s="1" t="str">
        <f ca="1">IFERROR(__xludf.DUMMYFUNCTION("GOOGLETRANSLATE(F14176, ""auto"", ""en"")
"),"Great PC replacement! I really like it, Windows XP just flies on it, I was very pleased.")</f>
        <v>Great PC replacement! I really like it, Windows XP just flies on it, I was very pleased.</v>
      </c>
    </row>
    <row r="14177" spans="1:9" x14ac:dyDescent="0.3">
      <c r="A14177" s="1" t="s">
        <v>149</v>
      </c>
      <c r="B14177" s="1" t="s">
        <v>155</v>
      </c>
      <c r="C14177" s="1" t="s">
        <v>1187</v>
      </c>
      <c r="D14177" s="1" t="s">
        <v>172</v>
      </c>
      <c r="E14177" s="1" t="s">
        <v>1864</v>
      </c>
      <c r="F14177" s="1" t="s">
        <v>19608</v>
      </c>
      <c r="G14177" s="1" t="s">
        <v>36</v>
      </c>
      <c r="H14177" s="1" t="s">
        <v>29</v>
      </c>
      <c r="I14177" s="1" t="str">
        <f ca="1">IFERROR(__xludf.DUMMYFUNCTION("GOOGLETRANSLATE(F14177, ""auto"", ""en"")
"),"The vacuum cleaner is excellent, we bought it a long time ago, about a year and a half ago. The store manager persuaded me to buy it. Thanks to him, I didn’t deceive you. During this time it was used very harshly, if not cruelly. There are no complaints. "&amp;"Vacuums cleanly and quickly, the quality of cleaning is much higher than that of devices of other brands. In addition to the apartment, I use it for cleaning the car. More than satisfied. I was pleased with the versatility of the connections. It takes a l"&amp;"ong time to explain, you have to try.   Product rating - 5 points.")</f>
        <v>The vacuum cleaner is excellent, we bought it a long time ago, about a year and a half ago. The store manager persuaded me to buy it. Thanks to him, I didn’t deceive you. During this time it was used very harshly, if not cruelly. There are no complaints. Vacuums cleanly and quickly, the quality of cleaning is much higher than that of devices of other brands. In addition to the apartment, I use it for cleaning the car. More than satisfied. I was pleased with the versatility of the connections. It takes a long time to explain, you have to try.   Product rating - 5 points.</v>
      </c>
    </row>
    <row r="14178" spans="1:9" x14ac:dyDescent="0.3">
      <c r="A14178" s="1" t="s">
        <v>61</v>
      </c>
      <c r="B14178" s="1" t="s">
        <v>224</v>
      </c>
      <c r="C14178" s="1" t="s">
        <v>85</v>
      </c>
      <c r="D14178" s="1" t="s">
        <v>295</v>
      </c>
      <c r="E14178" s="1" t="s">
        <v>1899</v>
      </c>
      <c r="F14178" s="1" t="s">
        <v>19609</v>
      </c>
      <c r="G14178" s="1" t="s">
        <v>36</v>
      </c>
      <c r="H14178" s="1" t="s">
        <v>29</v>
      </c>
      <c r="I14178" s="1" t="str">
        <f ca="1">IFERROR(__xludf.DUMMYFUNCTION("GOOGLETRANSLATE(F14178, ""auto"", ""en"")
"),"I really like it and have been using it for over a year now! An indispensable assistant when canning for the winter. Easy to clean. Last year, when there was a big harvest of apples, I twisted everything! I don’t even know how you can manage without such "&amp;"a clever girl on the farm!")</f>
        <v>I really like it and have been using it for over a year now! An indispensable assistant when canning for the winter. Easy to clean. Last year, when there was a big harvest of apples, I twisted everything! I don’t even know how you can manage without such a clever girl on the farm!</v>
      </c>
    </row>
    <row r="14179" spans="1:9" x14ac:dyDescent="0.3">
      <c r="A14179" s="1" t="s">
        <v>61</v>
      </c>
      <c r="B14179" s="1" t="s">
        <v>224</v>
      </c>
      <c r="C14179" s="1" t="s">
        <v>85</v>
      </c>
      <c r="D14179" s="1" t="s">
        <v>875</v>
      </c>
      <c r="E14179" s="1" t="s">
        <v>6618</v>
      </c>
      <c r="F14179" s="1" t="s">
        <v>19610</v>
      </c>
      <c r="G14179" s="1" t="s">
        <v>36</v>
      </c>
      <c r="H14179" s="1" t="s">
        <v>29</v>
      </c>
      <c r="I14179" s="1" t="str">
        <f ca="1">IFERROR(__xludf.DUMMYFUNCTION("GOOGLETRANSLATE(F14179, ""auto"", ""en"")
"),"Hello. I bought this juicer a couple of months ago. I walked around for a long time, I still felt sorry for giving such a sum, but I still decided. Something I have never regretted. It’s convenient to use, easy to clean, squeezes out grenades perfectly, a"&amp;"nd the brutal metal design pleases the eye every day. I don’t see any analogues on the market, I recommend it.")</f>
        <v>Hello. I bought this juicer a couple of months ago. I walked around for a long time, I still felt sorry for giving such a sum, but I still decided. Something I have never regretted. It’s convenient to use, easy to clean, squeezes out grenades perfectly, and the brutal metal design pleases the eye every day. I don’t see any analogues on the market, I recommend it.</v>
      </c>
    </row>
    <row r="14180" spans="1:9" x14ac:dyDescent="0.3">
      <c r="A14180" s="1" t="s">
        <v>30</v>
      </c>
      <c r="B14180" s="1" t="s">
        <v>50</v>
      </c>
      <c r="C14180" s="1" t="s">
        <v>32</v>
      </c>
      <c r="D14180" s="1" t="s">
        <v>2217</v>
      </c>
      <c r="E14180" s="1" t="s">
        <v>6021</v>
      </c>
      <c r="F14180" s="1" t="s">
        <v>19611</v>
      </c>
      <c r="G14180" s="1" t="s">
        <v>36</v>
      </c>
      <c r="H14180" s="1" t="s">
        <v>29</v>
      </c>
      <c r="I14180" s="1" t="str">
        <f ca="1">IFERROR(__xludf.DUMMYFUNCTION("GOOGLETRANSLATE(F14180, ""auto"", ""en"")
"),"I've been using it for almost a month, I'm very pleased. Considering that it works almost all day long, it glitches a couple of times, after a reboot it stops, it doesn’t get hot, it doesn’t make noise (my subjective opinion) the pros: beautiful, the pict"&amp;"ure is good, the sound is pleasant (if you listen in a quiet place and not at full volume), powerful, hdmi, enough USB ports, and I like Vista cons: flat keyboard (nice, of course, but it’s hard to type by touch), on The lid is always full of fingerprints"&amp;", the screen is reflective, the lid is inconvenient to open, the button to open the DVD is also hard to find by touch, and the power button is really bright. I knew about the disadvantages even before the purchase, I was ready for them, so now I’m very ha"&amp;"ppy with this beech")</f>
        <v>I've been using it for almost a month, I'm very pleased. Considering that it works almost all day long, it glitches a couple of times, after a reboot it stops, it doesn’t get hot, it doesn’t make noise (my subjective opinion) the pros: beautiful, the picture is good, the sound is pleasant (if you listen in a quiet place and not at full volume), powerful, hdmi, enough USB ports, and I like Vista cons: flat keyboard (nice, of course, but it’s hard to type by touch), on The lid is always full of fingerprints, the screen is reflective, the lid is inconvenient to open, the button to open the DVD is also hard to find by touch, and the power button is really bright. I knew about the disadvantages even before the purchase, I was ready for them, so now I’m very happy with this beech</v>
      </c>
    </row>
    <row r="14181" spans="1:9" x14ac:dyDescent="0.3">
      <c r="A14181" s="1" t="s">
        <v>61</v>
      </c>
      <c r="B14181" s="1" t="s">
        <v>73</v>
      </c>
      <c r="C14181" s="1" t="s">
        <v>146</v>
      </c>
      <c r="D14181" s="1" t="s">
        <v>152</v>
      </c>
      <c r="E14181" s="1" t="s">
        <v>1395</v>
      </c>
      <c r="F14181" s="1" t="s">
        <v>19612</v>
      </c>
      <c r="G14181" s="1" t="s">
        <v>36</v>
      </c>
      <c r="H14181" s="1" t="s">
        <v>29</v>
      </c>
      <c r="I14181" s="1" t="str">
        <f ca="1">IFERROR(__xludf.DUMMYFUNCTION("GOOGLETRANSLATE(F14181, ""auto"", ""en"")
"),"Happy with the purchase! Great model. Everything is in a metal case + metal drive. There are many attachments, i.e. multifunctional.")</f>
        <v>Happy with the purchase! Great model. Everything is in a metal case + metal drive. There are many attachments, i.e. multifunctional.</v>
      </c>
    </row>
    <row r="14182" spans="1:9" x14ac:dyDescent="0.3">
      <c r="A14182" s="1" t="s">
        <v>61</v>
      </c>
      <c r="B14182" s="1" t="s">
        <v>180</v>
      </c>
      <c r="C14182" s="1" t="s">
        <v>85</v>
      </c>
      <c r="D14182" s="1" t="s">
        <v>86</v>
      </c>
      <c r="E14182" s="1" t="s">
        <v>2772</v>
      </c>
      <c r="F14182" s="1" t="s">
        <v>19613</v>
      </c>
      <c r="G14182" s="1" t="s">
        <v>36</v>
      </c>
      <c r="H14182" s="1" t="s">
        <v>29</v>
      </c>
      <c r="I14182" s="1" t="str">
        <f ca="1">IFERROR(__xludf.DUMMYFUNCTION("GOOGLETRANSLATE(F14182, ""auto"", ""en"")
"),"My wife and I purchased a Bork T800 toaster about a couple of months ago and couldn’t be happier. Firstly, there are no piles of crumbs on the table as there were with cheaper toasters. Secondly, cool design and ease of operation. In general, we are happy"&amp;" with the purchase.")</f>
        <v>My wife and I purchased a Bork T800 toaster about a couple of months ago and couldn’t be happier. Firstly, there are no piles of crumbs on the table as there were with cheaper toasters. Secondly, cool design and ease of operation. In general, we are happy with the purchase.</v>
      </c>
    </row>
    <row r="14183" spans="1:9" x14ac:dyDescent="0.3">
      <c r="A14183" s="1" t="s">
        <v>61</v>
      </c>
      <c r="B14183" s="1" t="s">
        <v>73</v>
      </c>
      <c r="C14183" s="1" t="s">
        <v>85</v>
      </c>
      <c r="D14183" s="1" t="s">
        <v>4412</v>
      </c>
      <c r="E14183" s="1" t="s">
        <v>164</v>
      </c>
      <c r="F14183" s="1" t="s">
        <v>19614</v>
      </c>
      <c r="G14183" s="1" t="s">
        <v>49</v>
      </c>
      <c r="H14183" s="1" t="s">
        <v>16</v>
      </c>
      <c r="I14183" s="1" t="str">
        <f ca="1">IFERROR(__xludf.DUMMYFUNCTION("GOOGLETRANSLATE(F14183, ""auto"", ""en"")
"),"This is not a meat grinder, but a meat crusher: the meat is not minced meat, but porridge. I would gladly return it to the seller, but the quality of the minced meat is not considered a defect..")</f>
        <v>This is not a meat grinder, but a meat crusher: the meat is not minced meat, but porridge. I would gladly return it to the seller, but the quality of the minced meat is not considered a defect..</v>
      </c>
    </row>
    <row r="14184" spans="1:9" x14ac:dyDescent="0.3">
      <c r="A14184" s="1" t="s">
        <v>120</v>
      </c>
      <c r="B14184" s="1" t="s">
        <v>121</v>
      </c>
      <c r="C14184" s="1" t="s">
        <v>69</v>
      </c>
      <c r="D14184" s="1" t="s">
        <v>1894</v>
      </c>
      <c r="E14184" s="1" t="s">
        <v>176</v>
      </c>
      <c r="F14184" s="1" t="s">
        <v>19615</v>
      </c>
      <c r="G14184" s="1" t="s">
        <v>28</v>
      </c>
      <c r="H14184" s="1" t="s">
        <v>29</v>
      </c>
      <c r="I14184" s="1" t="str">
        <f ca="1">IFERROR(__xludf.DUMMYFUNCTION("GOOGLETRANSLATE(F14184, ""auto"", ""en"")
"),"I bought a 32 PFL Philihs 5604 LCD TV from M-Video, and we agreed with the seller on this Hungarian-assembled model (5604H/12), because We liked the sound and image more than the Russian-assembled model (5604/60). We paid and took it home. However, at che"&amp;"ckout they didn’t check the country, but at home they discovered that we got a Russian-assembled TV... Here, a big thank you to the M-Video store, I called there the next day, explained the situation, and we were allowed to change the Russian-assembled mo"&amp;"del to a similar Hungarian-assembled model... And indeed, we like the 5604N/12 model better than the 5604/60, the sound is louder, it reads video formats from a flash drive (.avi, .mpeg), like many people write here... But at first it seemed to us that it"&amp;" was heating up a lot, but then it seemed to become less (but we will have to observe), and it also takes quite a long time to turn on... Also, I can’t find the clock setting, and there are no printed instructions, only in electronic form... In general, w"&amp;"e use it, we’ll see, if anything, we bought a 2-year warranty from the store!!!")</f>
        <v>I bought a 32 PFL Philihs 5604 LCD TV from M-Video, and we agreed with the seller on this Hungarian-assembled model (5604H/12), because We liked the sound and image more than the Russian-assembled model (5604/60). We paid and took it home. However, at checkout they didn’t check the country, but at home they discovered that we got a Russian-assembled TV... Here, a big thank you to the M-Video store, I called there the next day, explained the situation, and we were allowed to change the Russian-assembled model to a similar Hungarian-assembled model... And indeed, we like the 5604N/12 model better than the 5604/60, the sound is louder, it reads video formats from a flash drive (.avi, .mpeg), like many people write here... But at first it seemed to us that it was heating up a lot, but then it seemed to become less (but we will have to observe), and it also takes quite a long time to turn on... Also, I can’t find the clock setting, and there are no printed instructions, only in electronic form... In general, we use it, we’ll see, if anything, we bought a 2-year warranty from the store!!!</v>
      </c>
    </row>
    <row r="14185" spans="1:9" x14ac:dyDescent="0.3">
      <c r="A14185" s="1" t="s">
        <v>111</v>
      </c>
      <c r="B14185" s="1" t="s">
        <v>112</v>
      </c>
      <c r="C14185" s="1" t="s">
        <v>1230</v>
      </c>
      <c r="D14185" s="1" t="s">
        <v>568</v>
      </c>
      <c r="E14185" s="1" t="s">
        <v>5855</v>
      </c>
      <c r="F14185" s="1" t="s">
        <v>19616</v>
      </c>
      <c r="G14185" s="1" t="s">
        <v>15</v>
      </c>
      <c r="H14185" s="1" t="s">
        <v>16</v>
      </c>
      <c r="I14185" s="1" t="str">
        <f ca="1">IFERROR(__xludf.DUMMYFUNCTION("GOOGLETRANSLATE(F14185, ""auto"", ""en"")
"),"This morning the filter broke - there was a flash in the area of ​​the power button... there was a smell of burning plastic and the filter died. At the same time, there was no drop in the network (the lights on the chandelier did not even blink). Only the"&amp;" charger from the tablet was connected. And this is only after 11 months of work!!!!!!!! shameful quality!")</f>
        <v>This morning the filter broke - there was a flash in the area of ​​the power button... there was a smell of burning plastic and the filter died. At the same time, there was no drop in the network (the lights on the chandelier did not even blink). Only the charger from the tablet was connected. And this is only after 11 months of work!!!!!!!! shameful quality!</v>
      </c>
    </row>
    <row r="14186" spans="1:9" x14ac:dyDescent="0.3">
      <c r="A14186" s="1" t="s">
        <v>149</v>
      </c>
      <c r="B14186" s="1" t="s">
        <v>155</v>
      </c>
      <c r="C14186" s="1" t="s">
        <v>151</v>
      </c>
      <c r="D14186" s="1" t="s">
        <v>64</v>
      </c>
      <c r="E14186" s="1" t="s">
        <v>2280</v>
      </c>
      <c r="F14186" s="1" t="s">
        <v>19617</v>
      </c>
      <c r="G14186" s="1" t="s">
        <v>36</v>
      </c>
      <c r="H14186" s="1" t="s">
        <v>29</v>
      </c>
      <c r="I14186" s="1" t="str">
        <f ca="1">IFERROR(__xludf.DUMMYFUNCTION("GOOGLETRANSLATE(F14186, ""auto"", ""en"")
"),"The Samsung SC-6570 vacuum cleaner works great, I’ve been using it for 1.5 years now. Very easy to use - power adjustment is on the handle, no need to bend over, not heavy, vacuum cleaner great! True, the fullness indicator does not work, but it is not ne"&amp;"eded, since you can immediately see if the transparent container is full.  Easy to clean, no problems encountered during use. I recommend this model to all my family and friends!")</f>
        <v>The Samsung SC-6570 vacuum cleaner works great, I’ve been using it for 1.5 years now. Very easy to use - power adjustment is on the handle, no need to bend over, not heavy, vacuum cleaner great! True, the fullness indicator does not work, but it is not needed, since you can immediately see if the transparent container is full.  Easy to clean, no problems encountered during use. I recommend this model to all my family and friends!</v>
      </c>
    </row>
    <row r="14187" spans="1:9" x14ac:dyDescent="0.3">
      <c r="A14187" s="1" t="s">
        <v>206</v>
      </c>
      <c r="B14187" s="1" t="s">
        <v>1349</v>
      </c>
      <c r="C14187" s="1" t="s">
        <v>2425</v>
      </c>
      <c r="D14187" s="1" t="s">
        <v>208</v>
      </c>
      <c r="E14187" s="1" t="s">
        <v>3241</v>
      </c>
      <c r="F14187" s="1" t="s">
        <v>19618</v>
      </c>
      <c r="G14187" s="1" t="s">
        <v>28</v>
      </c>
      <c r="H14187" s="1" t="s">
        <v>29</v>
      </c>
      <c r="I14187" s="1" t="str">
        <f ca="1">IFERROR(__xludf.DUMMYFUNCTION("GOOGLETRANSLATE(F14187, ""auto"", ""en"")
"),"3003 Bought 3 months ago! So far the work has not caused any complaints. It will be useful for those who constantly travel over rough terrain, because... You can even hit it with a hammer when playing music from a disc. Even scratched CDs play without pro"&amp;"blems. Before this I had the Soundmax 3000 model. I bought it used (2 years). There were problems (at the age of 2.5 years).  The sound wheel has failed. The buttons on the panel are stuck. But everything worked from the remote control. Then it burned out"&amp;" (I gave it to a friend and he connected it to 24V :-). Repaired at the nearest workshop for 600 rubles. and sold it. It still works (more than 3 years of daily use).   P.S. do not regret 590 rub. and get a 2 year warranty.")</f>
        <v>3003 Bought 3 months ago! So far the work has not caused any complaints. It will be useful for those who constantly travel over rough terrain, because... You can even hit it with a hammer when playing music from a disc. Even scratched CDs play without problems. Before this I had the Soundmax 3000 model. I bought it used (2 years). There were problems (at the age of 2.5 years).  The sound wheel has failed. The buttons on the panel are stuck. But everything worked from the remote control. Then it burned out (I gave it to a friend and he connected it to 24V :-). Repaired at the nearest workshop for 600 rubles. and sold it. It still works (more than 3 years of daily use).   P.S. do not regret 590 rub. and get a 2 year warranty.</v>
      </c>
    </row>
    <row r="14188" spans="1:9" x14ac:dyDescent="0.3">
      <c r="A14188" s="1" t="s">
        <v>149</v>
      </c>
      <c r="B14188" s="1" t="s">
        <v>423</v>
      </c>
      <c r="C14188" s="1" t="s">
        <v>531</v>
      </c>
      <c r="D14188" s="1" t="s">
        <v>13899</v>
      </c>
      <c r="E14188" s="1" t="s">
        <v>2331</v>
      </c>
      <c r="F14188" s="1" t="s">
        <v>19619</v>
      </c>
      <c r="G14188" s="1" t="s">
        <v>36</v>
      </c>
      <c r="H14188" s="1" t="s">
        <v>29</v>
      </c>
      <c r="I14188" s="1" t="str">
        <f ca="1">IFERROR(__xludf.DUMMYFUNCTION("GOOGLETRANSLATE(F14188, ""auto"", ""en"")
")," not picky about maintenance, easy to use, light enough for a washing vacuum cleaner, maneuverable")</f>
        <v xml:space="preserve"> not picky about maintenance, easy to use, light enough for a washing vacuum cleaner, maneuverable</v>
      </c>
    </row>
    <row r="14189" spans="1:9" x14ac:dyDescent="0.3">
      <c r="A14189" s="1" t="s">
        <v>624</v>
      </c>
      <c r="B14189" s="1" t="s">
        <v>881</v>
      </c>
      <c r="C14189" s="1" t="s">
        <v>479</v>
      </c>
      <c r="D14189" s="1" t="s">
        <v>12278</v>
      </c>
      <c r="E14189" s="1" t="s">
        <v>1207</v>
      </c>
      <c r="F14189" s="1" t="s">
        <v>19620</v>
      </c>
      <c r="G14189" s="1" t="s">
        <v>36</v>
      </c>
      <c r="H14189" s="1" t="s">
        <v>29</v>
      </c>
      <c r="I14189" s="1" t="str">
        <f ca="1">IFERROR(__xludf.DUMMYFUNCTION("GOOGLETRANSLATE(F14189, ""auto"", ""en"")
"),"The best football on PSP. Much more realistic than FIFA, and better graphics.")</f>
        <v>The best football on PSP. Much more realistic than FIFA, and better graphics.</v>
      </c>
    </row>
    <row r="14190" spans="1:9" x14ac:dyDescent="0.3">
      <c r="A14190" s="1" t="s">
        <v>211</v>
      </c>
      <c r="B14190" s="1" t="s">
        <v>899</v>
      </c>
      <c r="C14190" s="1" t="s">
        <v>213</v>
      </c>
      <c r="D14190" s="1" t="s">
        <v>1188</v>
      </c>
      <c r="E14190" s="1" t="s">
        <v>2022</v>
      </c>
      <c r="F14190" s="1" t="s">
        <v>19621</v>
      </c>
      <c r="G14190" s="1" t="s">
        <v>36</v>
      </c>
      <c r="H14190" s="1" t="s">
        <v>29</v>
      </c>
      <c r="I14190" s="1" t="str">
        <f ca="1">IFERROR(__xludf.DUMMYFUNCTION("GOOGLETRANSLATE(F14190, ""auto"", ""en"")
"),"Everything is great, thanks for the discounts")</f>
        <v>Everything is great, thanks for the discounts</v>
      </c>
    </row>
    <row r="14191" spans="1:9" x14ac:dyDescent="0.3">
      <c r="A14191" s="1" t="s">
        <v>496</v>
      </c>
      <c r="B14191" s="1" t="s">
        <v>497</v>
      </c>
      <c r="C14191" s="1" t="s">
        <v>479</v>
      </c>
      <c r="D14191" s="1" t="s">
        <v>3596</v>
      </c>
      <c r="E14191" s="1" t="s">
        <v>4873</v>
      </c>
      <c r="F14191" s="1" t="s">
        <v>19622</v>
      </c>
      <c r="G14191" s="1" t="s">
        <v>36</v>
      </c>
      <c r="H14191" s="1" t="s">
        <v>29</v>
      </c>
      <c r="I14191" s="1" t="str">
        <f ca="1">IFERROR(__xludf.DUMMYFUNCTION("GOOGLETRANSLATE(F14191, ""auto"", ""en"")
"),"We bought this disc last year and really liked it. We went along with our child. Now, already in the second grade, we purchased the entire KM series for the second grade. The child is delighted.")</f>
        <v>We bought this disc last year and really liked it. We went along with our child. Now, already in the second grade, we purchased the entire KM series for the second grade. The child is delighted.</v>
      </c>
    </row>
    <row r="14192" spans="1:9" x14ac:dyDescent="0.3">
      <c r="A14192" s="1" t="s">
        <v>111</v>
      </c>
      <c r="B14192" s="1" t="s">
        <v>636</v>
      </c>
      <c r="C14192" s="1" t="s">
        <v>57</v>
      </c>
      <c r="D14192" s="1" t="s">
        <v>152</v>
      </c>
      <c r="E14192" s="1" t="s">
        <v>2582</v>
      </c>
      <c r="F14192" s="1" t="s">
        <v>19623</v>
      </c>
      <c r="G14192" s="1" t="s">
        <v>49</v>
      </c>
      <c r="H14192" s="1" t="s">
        <v>16</v>
      </c>
      <c r="I14192" s="1" t="str">
        <f ca="1">IFERROR(__xludf.DUMMYFUNCTION("GOOGLETRANSLATE(F14192, ""auto"", ""en"")
"),"Hi all. I bought this miracle 2 years ago. The device did not live up to expectations.  1. High battery consumption in backlight mode.  2. Predicts precipitation incorrectly. (the height is set correctly) 3. I had to modify the wireless module, because..."&amp;" I installed it on the loggia, and the temperature in the glassed-in loggia is higher than outside. (modification: extended the wire of the temperature sensor in the module) 4. The device does not show negative temperature! (at -20C* the device showed \"""&amp;"--\")</f>
        <v>Hi all. I bought this miracle 2 years ago. The device did not live up to expectations.  1. High battery consumption in backlight mode.  2. Predicts precipitation incorrectly. (the height is set correctly) 3. I had to modify the wireless module, because... I installed it on the loggia, and the temperature in the glassed-in loggia is higher than outside. (modification: extended the wire of the temperature sensor in the module) 4. The device does not show negative temperature! (at -20C* the device showed \"--\</v>
      </c>
    </row>
    <row r="14193" spans="1:9" x14ac:dyDescent="0.3">
      <c r="A14193" s="1" t="s">
        <v>67</v>
      </c>
      <c r="B14193" s="1" t="s">
        <v>68</v>
      </c>
      <c r="C14193" s="1" t="s">
        <v>101</v>
      </c>
      <c r="D14193" s="1" t="s">
        <v>1681</v>
      </c>
      <c r="E14193" s="1" t="s">
        <v>1048</v>
      </c>
      <c r="F14193" s="1" t="s">
        <v>19624</v>
      </c>
      <c r="G14193" s="1" t="s">
        <v>28</v>
      </c>
      <c r="H14193" s="1" t="s">
        <v>29</v>
      </c>
      <c r="I14193" s="1" t="str">
        <f ca="1">IFERROR(__xludf.DUMMYFUNCTION("GOOGLETRANSLATE(F14193, ""auto"", ""en"")
"),"I travel a lot, and not all hotels have ironing rooms. In such cases, this iron saves me. It fits in any suitcase, has practically no weight, but irons and steams almost like a homemade one. It will probably be difficult for him to handle some bedding, bu"&amp;"t I don’t need that when I travel. This is a great model for ironing while you're away.")</f>
        <v>I travel a lot, and not all hotels have ironing rooms. In such cases, this iron saves me. It fits in any suitcase, has practically no weight, but irons and steams almost like a homemade one. It will probably be difficult for him to handle some bedding, but I don’t need that when I travel. This is a great model for ironing while you're away.</v>
      </c>
    </row>
    <row r="14194" spans="1:9" x14ac:dyDescent="0.3">
      <c r="A14194" s="1" t="s">
        <v>811</v>
      </c>
      <c r="B14194" s="1" t="s">
        <v>812</v>
      </c>
      <c r="C14194" s="1" t="s">
        <v>813</v>
      </c>
      <c r="D14194" s="1" t="s">
        <v>203</v>
      </c>
      <c r="E14194" s="1" t="s">
        <v>8420</v>
      </c>
      <c r="F14194" s="1" t="s">
        <v>19625</v>
      </c>
      <c r="G14194" s="1" t="s">
        <v>36</v>
      </c>
      <c r="H14194" s="1" t="s">
        <v>29</v>
      </c>
      <c r="I14194" s="1" t="str">
        <f ca="1">IFERROR(__xludf.DUMMYFUNCTION("GOOGLETRANSLATE(F14194, ""auto"", ""en"")
"),"I bought this tripod in early March 2014. After two months of fairly harsh use, there are no complaints about the tripod. Everything spins, turns and is firmly fixed if necessary. I install Nikon D7000 on it and sometimes flashes or on-camera light. He al"&amp;"so went on several trips with me. An excellent choice for your money, my tripod has already paid off 200%. When purchasing a tripod, I recommend carefully inspecting it for defects; if there is one, it will show up immediately.")</f>
        <v>I bought this tripod in early March 2014. After two months of fairly harsh use, there are no complaints about the tripod. Everything spins, turns and is firmly fixed if necessary. I install Nikon D7000 on it and sometimes flashes or on-camera light. He also went on several trips with me. An excellent choice for your money, my tripod has already paid off 200%. When purchasing a tripod, I recommend carefully inspecting it for defects; if there is one, it will show up immediately.</v>
      </c>
    </row>
    <row r="14195" spans="1:9" x14ac:dyDescent="0.3">
      <c r="A14195" s="1" t="s">
        <v>519</v>
      </c>
      <c r="B14195" s="1" t="s">
        <v>1026</v>
      </c>
      <c r="C14195" s="1" t="s">
        <v>246</v>
      </c>
      <c r="D14195" s="1" t="s">
        <v>64</v>
      </c>
      <c r="E14195" s="1" t="s">
        <v>11999</v>
      </c>
      <c r="F14195" s="1" t="s">
        <v>19626</v>
      </c>
      <c r="G14195" s="1" t="s">
        <v>36</v>
      </c>
      <c r="H14195" s="1" t="s">
        <v>29</v>
      </c>
      <c r="I14195" s="1" t="str">
        <f ca="1">IFERROR(__xludf.DUMMYFUNCTION("GOOGLETRANSLATE(F14195, ""auto"", ""en"")
"),"Wonderful lid, comfortable handle, fits perfectly with the Tefal reflet frying pan.")</f>
        <v>Wonderful lid, comfortable handle, fits perfectly with the Tefal reflet frying pan.</v>
      </c>
    </row>
    <row r="14196" spans="1:9" x14ac:dyDescent="0.3">
      <c r="A14196" s="1" t="s">
        <v>61</v>
      </c>
      <c r="B14196" s="1" t="s">
        <v>145</v>
      </c>
      <c r="C14196" s="1" t="s">
        <v>74</v>
      </c>
      <c r="D14196" s="1" t="s">
        <v>565</v>
      </c>
      <c r="E14196" s="1" t="s">
        <v>5585</v>
      </c>
      <c r="F14196" s="1" t="s">
        <v>19627</v>
      </c>
      <c r="G14196" s="1" t="s">
        <v>49</v>
      </c>
      <c r="H14196" s="1" t="s">
        <v>16</v>
      </c>
      <c r="I14196" s="1" t="str">
        <f ca="1">IFERROR(__xludf.DUMMYFUNCTION("GOOGLETRANSLATE(F14196, ""auto"", ""en"")
"),"The yogurt maker is overheating. The jars are hot to the touch. The yogurt temperature is above 44 degrees. Due to this drawback, this device is absolutely useless. Yogurt should be cooked at a temperature of 37-40 degrees Celsius. Let's go return it to t"&amp;"he store.")</f>
        <v>The yogurt maker is overheating. The jars are hot to the touch. The yogurt temperature is above 44 degrees. Due to this drawback, this device is absolutely useless. Yogurt should be cooked at a temperature of 37-40 degrees Celsius. Let's go return it to the store.</v>
      </c>
    </row>
    <row r="14197" spans="1:9" x14ac:dyDescent="0.3">
      <c r="A14197" s="1" t="s">
        <v>61</v>
      </c>
      <c r="B14197" s="1" t="s">
        <v>726</v>
      </c>
      <c r="C14197" s="1" t="s">
        <v>74</v>
      </c>
      <c r="D14197" s="1" t="s">
        <v>232</v>
      </c>
      <c r="E14197" s="1" t="s">
        <v>1858</v>
      </c>
      <c r="F14197" s="1" t="s">
        <v>19628</v>
      </c>
      <c r="G14197" s="1" t="s">
        <v>28</v>
      </c>
      <c r="H14197" s="1" t="s">
        <v>29</v>
      </c>
      <c r="I14197" s="1" t="str">
        <f ca="1">IFERROR(__xludf.DUMMYFUNCTION("GOOGLETRANSLATE(F14197, ""auto"", ""en"")
"),"After 6 months of rare use it stopped bothering me. They sent it in for repair (the engine burned out)!!!")</f>
        <v>After 6 months of rare use it stopped bothering me. They sent it in for repair (the engine burned out)!!!</v>
      </c>
    </row>
    <row r="14198" spans="1:9" x14ac:dyDescent="0.3">
      <c r="A14198" s="1" t="s">
        <v>369</v>
      </c>
      <c r="B14198" s="1" t="s">
        <v>587</v>
      </c>
      <c r="C14198" s="1" t="s">
        <v>588</v>
      </c>
      <c r="D14198" s="1" t="s">
        <v>335</v>
      </c>
      <c r="E14198" s="1" t="s">
        <v>1664</v>
      </c>
      <c r="F14198" s="1" t="s">
        <v>19629</v>
      </c>
      <c r="G14198" s="1" t="s">
        <v>28</v>
      </c>
      <c r="H14198" s="1" t="s">
        <v>29</v>
      </c>
      <c r="I14198" s="1" t="str">
        <f ca="1">IFERROR(__xludf.DUMMYFUNCTION("GOOGLETRANSLATE(F14198, ""auto"", ""en"")
"),"I also didn’t pay attention to the black sides, which spoil everything. Both in the store and on the website the color is gray. I will change it.")</f>
        <v>I also didn’t pay attention to the black sides, which spoil everything. Both in the store and on the website the color is gray. I will change it.</v>
      </c>
    </row>
    <row r="14199" spans="1:9" x14ac:dyDescent="0.3">
      <c r="A14199" s="1" t="s">
        <v>95</v>
      </c>
      <c r="B14199" s="1" t="s">
        <v>227</v>
      </c>
      <c r="C14199" s="1" t="s">
        <v>97</v>
      </c>
      <c r="D14199" s="1" t="s">
        <v>19630</v>
      </c>
      <c r="E14199" s="1" t="s">
        <v>2321</v>
      </c>
      <c r="F14199" s="1" t="s">
        <v>19631</v>
      </c>
      <c r="G14199" s="1" t="s">
        <v>15</v>
      </c>
      <c r="H14199" s="1" t="s">
        <v>16</v>
      </c>
      <c r="I14199" s="1" t="str">
        <f ca="1">IFERROR(__xludf.DUMMYFUNCTION("GOOGLETRANSLATE(F14199, ""auto"", ""en"")
"),"Some games are glitchy, the cutscenes are slow, there were glitches and I didn’t want to read the discs! Where did the damage to the HHD system come from!!! Conclusion: I'm disappointed with the product! Possibly a bad batch! I intend to exchange the cons"&amp;"ole in the near future! I bought PS-3 Slim a month ago!")</f>
        <v>Some games are glitchy, the cutscenes are slow, there were glitches and I didn’t want to read the discs! Where did the damage to the HHD system come from!!! Conclusion: I'm disappointed with the product! Possibly a bad batch! I intend to exchange the console in the near future! I bought PS-3 Slim a month ago!</v>
      </c>
    </row>
    <row r="14200" spans="1:9" x14ac:dyDescent="0.3">
      <c r="A14200" s="1" t="s">
        <v>149</v>
      </c>
      <c r="B14200" s="1" t="s">
        <v>423</v>
      </c>
      <c r="C14200" s="1" t="s">
        <v>531</v>
      </c>
      <c r="D14200" s="1" t="s">
        <v>2096</v>
      </c>
      <c r="E14200" s="1" t="s">
        <v>4681</v>
      </c>
      <c r="F14200" s="1" t="s">
        <v>19632</v>
      </c>
      <c r="G14200" s="1" t="s">
        <v>36</v>
      </c>
      <c r="H14200" s="1" t="s">
        <v>29</v>
      </c>
      <c r="I14200" s="1" t="str">
        <f ca="1">IFERROR(__xludf.DUMMYFUNCTION("GOOGLETRANSLATE(F14200, ""auto"", ""en"")
"),"Very good! Nothing superfluous, just what is really necessary for a good vacuum cleaner to work! One of the best in its class! I didn’t regret my purchase for a second! My mother-in-law and sister use this model, and they really liked it too! I advise")</f>
        <v>Very good! Nothing superfluous, just what is really necessary for a good vacuum cleaner to work! One of the best in its class! I didn’t regret my purchase for a second! My mother-in-law and sister use this model, and they really liked it too! I advise</v>
      </c>
    </row>
    <row r="14201" spans="1:9" x14ac:dyDescent="0.3">
      <c r="A14201" s="1" t="s">
        <v>61</v>
      </c>
      <c r="B14201" s="1" t="s">
        <v>318</v>
      </c>
      <c r="C14201" s="1" t="s">
        <v>69</v>
      </c>
      <c r="D14201" s="1" t="s">
        <v>922</v>
      </c>
      <c r="E14201" s="1" t="s">
        <v>19633</v>
      </c>
      <c r="F14201" s="1" t="s">
        <v>19634</v>
      </c>
      <c r="G14201" s="1" t="s">
        <v>36</v>
      </c>
      <c r="H14201" s="1" t="s">
        <v>29</v>
      </c>
      <c r="I14201" s="1" t="str">
        <f ca="1">IFERROR(__xludf.DUMMYFUNCTION("GOOGLETRANSLATE(F14201, ""auto"", ""en"")
"),"excellent kettle")</f>
        <v>excellent kettle</v>
      </c>
    </row>
    <row r="14202" spans="1:9" x14ac:dyDescent="0.3">
      <c r="A14202" s="1" t="s">
        <v>30</v>
      </c>
      <c r="B14202" s="1" t="s">
        <v>50</v>
      </c>
      <c r="C14202" s="1" t="s">
        <v>189</v>
      </c>
      <c r="D14202" s="1" t="s">
        <v>327</v>
      </c>
      <c r="E14202" s="1" t="s">
        <v>1384</v>
      </c>
      <c r="F14202" s="1" t="s">
        <v>19635</v>
      </c>
      <c r="G14202" s="1" t="s">
        <v>28</v>
      </c>
      <c r="H14202" s="1" t="s">
        <v>29</v>
      </c>
      <c r="I14202" s="1" t="str">
        <f ca="1">IFERROR(__xludf.DUMMYFUNCTION("GOOGLETRANSLATE(F14202, ""auto"", ""en"")
"),"Worked for 2 months and the hard drive disappeared! Bios is loading - there is no disk.")</f>
        <v>Worked for 2 months and the hard drive disappeared! Bios is loading - there is no disk.</v>
      </c>
    </row>
    <row r="14203" spans="1:9" x14ac:dyDescent="0.3">
      <c r="A14203" s="1" t="s">
        <v>211</v>
      </c>
      <c r="B14203" s="1" t="s">
        <v>384</v>
      </c>
      <c r="C14203" s="1" t="s">
        <v>63</v>
      </c>
      <c r="D14203" s="1" t="s">
        <v>139</v>
      </c>
      <c r="E14203" s="1" t="s">
        <v>1212</v>
      </c>
      <c r="F14203" s="1" t="s">
        <v>19636</v>
      </c>
      <c r="G14203" s="1" t="s">
        <v>36</v>
      </c>
      <c r="H14203" s="1" t="s">
        <v>29</v>
      </c>
      <c r="I14203" s="1" t="str">
        <f ca="1">IFERROR(__xludf.DUMMYFUNCTION("GOOGLETRANSLATE(F14203, ""auto"", ""en"")
"),"I bought the scale 2 weeks ago. So far they are working fine. The numbers are easy to read. In order for the weight to be shown correctly, you need to find a flat, hard surface! As an experiment, I tried to weigh myself several times in a row - the value "&amp;"did not change!")</f>
        <v>I bought the scale 2 weeks ago. So far they are working fine. The numbers are easy to read. In order for the weight to be shown correctly, you need to find a flat, hard surface! As an experiment, I tried to weigh myself several times in a row - the value did not change!</v>
      </c>
    </row>
    <row r="14204" spans="1:9" x14ac:dyDescent="0.3">
      <c r="A14204" s="1" t="s">
        <v>211</v>
      </c>
      <c r="B14204" s="1" t="s">
        <v>212</v>
      </c>
      <c r="C14204" s="1" t="s">
        <v>69</v>
      </c>
      <c r="D14204" s="1" t="s">
        <v>471</v>
      </c>
      <c r="E14204" s="1" t="s">
        <v>3280</v>
      </c>
      <c r="F14204" s="1" t="s">
        <v>19637</v>
      </c>
      <c r="G14204" s="1" t="s">
        <v>36</v>
      </c>
      <c r="H14204" s="1" t="s">
        <v>29</v>
      </c>
      <c r="I14204" s="1" t="str">
        <f ca="1">IFERROR(__xludf.DUMMYFUNCTION("GOOGLETRANSLATE(F14204, ""auto"", ""en"")
"),"I bought this hair dryer, I’m delighted with it, both the design and its work, I didn’t regret it and I hope that I won’t regret it either))) Thanks to the wonderful consultants for your help!)))")</f>
        <v>I bought this hair dryer, I’m delighted with it, both the design and its work, I didn’t regret it and I hope that I won’t regret it either))) Thanks to the wonderful consultants for your help!)))</v>
      </c>
    </row>
    <row r="14205" spans="1:9" x14ac:dyDescent="0.3">
      <c r="A14205" s="1" t="s">
        <v>211</v>
      </c>
      <c r="B14205" s="1" t="s">
        <v>601</v>
      </c>
      <c r="C14205" s="1" t="s">
        <v>602</v>
      </c>
      <c r="D14205" s="1" t="s">
        <v>1456</v>
      </c>
      <c r="E14205" s="1" t="s">
        <v>5193</v>
      </c>
      <c r="F14205" s="1" t="s">
        <v>19638</v>
      </c>
      <c r="G14205" s="1" t="s">
        <v>36</v>
      </c>
      <c r="H14205" s="1" t="s">
        <v>29</v>
      </c>
      <c r="I14205" s="1" t="str">
        <f ca="1">IFERROR(__xludf.DUMMYFUNCTION("GOOGLETRANSLATE(F14205, ""auto"", ""en"")
"),"Quite a good set of 2 attachments for Oral-B electric brushes, made in Germany. The manufacturer positions these attachments as whitening (indicated on the box), probably due to the rubber insert. But it is pleasant and comfortable to clean. It is difficu"&amp;"lt to judge how effective these attachments are compared to conventional ones; it still seems to me that due to the insertion, some polishing effect is achieved.")</f>
        <v>Quite a good set of 2 attachments for Oral-B electric brushes, made in Germany. The manufacturer positions these attachments as whitening (indicated on the box), probably due to the rubber insert. But it is pleasant and comfortable to clean. It is difficult to judge how effective these attachments are compared to conventional ones; it still seems to me that due to the insertion, some polishing effect is achieved.</v>
      </c>
    </row>
    <row r="14206" spans="1:9" x14ac:dyDescent="0.3">
      <c r="A14206" s="1" t="s">
        <v>67</v>
      </c>
      <c r="B14206" s="1" t="s">
        <v>68</v>
      </c>
      <c r="C14206" s="1" t="s">
        <v>246</v>
      </c>
      <c r="D14206" s="1" t="s">
        <v>247</v>
      </c>
      <c r="E14206" s="1" t="s">
        <v>2162</v>
      </c>
      <c r="F14206" s="1" t="s">
        <v>19639</v>
      </c>
      <c r="G14206" s="1" t="s">
        <v>36</v>
      </c>
      <c r="H14206" s="1" t="s">
        <v>29</v>
      </c>
      <c r="I14206" s="1" t="str">
        <f ca="1">IFERROR(__xludf.DUMMYFUNCTION("GOOGLETRANSLATE(F14206, ""auto"", ""en"")
"),"We’ve been using this for about 5 years (if not more), I’ve never seen a better iron - I had something to compare it with - both with relatives and in a rented apartment... everyone has a different brand from a series of expensive ones. A smell when first"&amp;" used is normal, and the instructions tell you what to do before first use.")</f>
        <v>We’ve been using this for about 5 years (if not more), I’ve never seen a better iron - I had something to compare it with - both with relatives and in a rented apartment... everyone has a different brand from a series of expensive ones. A smell when first used is normal, and the instructions tell you what to do before first use.</v>
      </c>
    </row>
    <row r="14207" spans="1:9" x14ac:dyDescent="0.3">
      <c r="A14207" s="1" t="s">
        <v>89</v>
      </c>
      <c r="B14207" s="1" t="s">
        <v>231</v>
      </c>
      <c r="C14207" s="1" t="s">
        <v>1072</v>
      </c>
      <c r="D14207" s="1" t="s">
        <v>52</v>
      </c>
      <c r="E14207" s="1" t="s">
        <v>8237</v>
      </c>
      <c r="F14207" s="1" t="s">
        <v>19640</v>
      </c>
      <c r="G14207" s="1" t="s">
        <v>28</v>
      </c>
      <c r="H14207" s="1" t="s">
        <v>29</v>
      </c>
      <c r="I14207" s="1" t="str">
        <f ca="1">IFERROR(__xludf.DUMMYFUNCTION("GOOGLETRANSLATE(F14207, ""auto"", ""en"")
"),"I bought this car, it’s a very cool car, the coffee is delicious, the foam is thick and airy. The machine is smart, all actions are shown on the display. An excellent purchase for the money, I recommend it to everyone.")</f>
        <v>I bought this car, it’s a very cool car, the coffee is delicious, the foam is thick and airy. The machine is smart, all actions are shown on the display. An excellent purchase for the money, I recommend it to everyone.</v>
      </c>
    </row>
    <row r="14208" spans="1:9" x14ac:dyDescent="0.3">
      <c r="A14208" s="1" t="s">
        <v>95</v>
      </c>
      <c r="B14208" s="1" t="s">
        <v>227</v>
      </c>
      <c r="C14208" s="1" t="s">
        <v>97</v>
      </c>
      <c r="D14208" s="1" t="s">
        <v>811</v>
      </c>
      <c r="E14208" s="1" t="s">
        <v>3269</v>
      </c>
      <c r="F14208" s="1" t="s">
        <v>19641</v>
      </c>
      <c r="G14208" s="1" t="s">
        <v>36</v>
      </c>
      <c r="H14208" s="1" t="s">
        <v>29</v>
      </c>
      <c r="I14208" s="1" t="str">
        <f ca="1">IFERROR(__xludf.DUMMYFUNCTION("GOOGLETRANSLATE(F14208, ""auto"", ""en"")
"),"Of course, I didn’t buy it myself - my parents did, but I’m happy with the gift. it works perfectly, the only thing is that there are not enough games, but this can be fixed in an instant. And the fact that the starter move was not in the set is also not "&amp;"very good.")</f>
        <v>Of course, I didn’t buy it myself - my parents did, but I’m happy with the gift. it works perfectly, the only thing is that there are not enough games, but this can be fixed in an instant. And the fact that the starter move was not in the set is also not very good.</v>
      </c>
    </row>
    <row r="14209" spans="1:9" x14ac:dyDescent="0.3">
      <c r="A14209" s="1" t="s">
        <v>211</v>
      </c>
      <c r="B14209" s="1" t="s">
        <v>212</v>
      </c>
      <c r="C14209" s="1" t="s">
        <v>381</v>
      </c>
      <c r="D14209" s="1" t="s">
        <v>351</v>
      </c>
      <c r="E14209" s="1" t="s">
        <v>475</v>
      </c>
      <c r="F14209" s="1" t="s">
        <v>19642</v>
      </c>
      <c r="G14209" s="1" t="s">
        <v>36</v>
      </c>
      <c r="H14209" s="1" t="s">
        <v>29</v>
      </c>
      <c r="I14209" s="1" t="str">
        <f ca="1">IFERROR(__xludf.DUMMYFUNCTION("GOOGLETRANSLATE(F14209, ""auto"", ""en"")
"),"Straightens at low temperatures, price")</f>
        <v>Straightens at low temperatures, price</v>
      </c>
    </row>
    <row r="14210" spans="1:9" x14ac:dyDescent="0.3">
      <c r="A14210" s="1" t="s">
        <v>30</v>
      </c>
      <c r="B14210" s="1" t="s">
        <v>50</v>
      </c>
      <c r="C14210" s="1" t="s">
        <v>1003</v>
      </c>
      <c r="D14210" s="1" t="s">
        <v>19643</v>
      </c>
      <c r="E14210" s="1" t="s">
        <v>3794</v>
      </c>
      <c r="F14210" s="1" t="s">
        <v>19644</v>
      </c>
      <c r="G14210" s="1" t="s">
        <v>28</v>
      </c>
      <c r="H14210" s="1" t="s">
        <v>29</v>
      </c>
      <c r="I14210" s="1" t="str">
        <f ca="1">IFERROR(__xludf.DUMMYFUNCTION("GOOGLETRANSLATE(F14210, ""auto"", ""en"")
"),"advantages: excellent design, lightweight, compact, quite “smart”, the battery lasts 3-3.5 hours without recharging while watching movies, 5 hours of working on the Internet.  Good sound, excellent matte monitor - everything is visible even in backlight. "&amp;"  Disadvantages: it gets very hot (under the touch pad), the monitor resolution does not allow you to play games more complicated than solitaire :) in general - very happy :)")</f>
        <v>advantages: excellent design, lightweight, compact, quite “smart”, the battery lasts 3-3.5 hours without recharging while watching movies, 5 hours of working on the Internet.  Good sound, excellent matte monitor - everything is visible even in backlight.   Disadvantages: it gets very hot (under the touch pad), the monitor resolution does not allow you to play games more complicated than solitaire :) in general - very happy :)</v>
      </c>
    </row>
    <row r="14211" spans="1:9" x14ac:dyDescent="0.3">
      <c r="A14211" s="1" t="s">
        <v>9</v>
      </c>
      <c r="B14211" s="1" t="s">
        <v>133</v>
      </c>
      <c r="C14211" s="1" t="s">
        <v>290</v>
      </c>
      <c r="D14211" s="1" t="s">
        <v>411</v>
      </c>
      <c r="E14211" s="1" t="s">
        <v>9939</v>
      </c>
      <c r="F14211" s="1" t="s">
        <v>19645</v>
      </c>
      <c r="G14211" s="1" t="s">
        <v>36</v>
      </c>
      <c r="H14211" s="1" t="s">
        <v>29</v>
      </c>
      <c r="I14211" s="1" t="str">
        <f ca="1">IFERROR(__xludf.DUMMYFUNCTION("GOOGLETRANSLATE(F14211, ""auto"", ""en"")
"),"I purchased this oven model in May. The design fits perfectly into the new kitchen, although the kitchen is in a classic style, but the oven is still modern. Before this, we had been using a free-standing wide Hansa electric stove for several years, which"&amp;" was also very functional. There were fears that due to the smaller dimensions the furniture would heat up and the quality of cooking would be worse compared to a stove, but this is not the case, all the dishes turned out decent, including baked goods, me"&amp;"at and fish. During operation, I did not find any disadvantages. I would include the following as advantages: convenient controls (for me it’s more convenient than a completely touch-sensitive one), many oven operating modes + water cleaning (useful funct"&amp;"ion) and triple glass door, well, telescopic guides are also useful). Overall, the oven is great! I recommend it.")</f>
        <v>I purchased this oven model in May. The design fits perfectly into the new kitchen, although the kitchen is in a classic style, but the oven is still modern. Before this, we had been using a free-standing wide Hansa electric stove for several years, which was also very functional. There were fears that due to the smaller dimensions the furniture would heat up and the quality of cooking would be worse compared to a stove, but this is not the case, all the dishes turned out decent, including baked goods, meat and fish. During operation, I did not find any disadvantages. I would include the following as advantages: convenient controls (for me it’s more convenient than a completely touch-sensitive one), many oven operating modes + water cleaning (useful function) and triple glass door, well, telescopic guides are also useful). Overall, the oven is great! I recommend it.</v>
      </c>
    </row>
    <row r="14212" spans="1:9" x14ac:dyDescent="0.3">
      <c r="A14212" s="1" t="s">
        <v>61</v>
      </c>
      <c r="B14212" s="1" t="s">
        <v>180</v>
      </c>
      <c r="C14212" s="1" t="s">
        <v>57</v>
      </c>
      <c r="D14212" s="1" t="s">
        <v>39</v>
      </c>
      <c r="E14212" s="1" t="s">
        <v>1816</v>
      </c>
      <c r="F14212" s="1" t="s">
        <v>19646</v>
      </c>
      <c r="G14212" s="1" t="s">
        <v>28</v>
      </c>
      <c r="H14212" s="1" t="s">
        <v>29</v>
      </c>
      <c r="I14212" s="1" t="str">
        <f ca="1">IFERROR(__xludf.DUMMYFUNCTION("GOOGLETRANSLATE(F14212, ""auto"", ""en"")
"),"An excellent toaster, but there is one thing: as soon as you turn it on, for ten seconds you can hear the smell of burnt or scorched. But the result is worth it: crispy and delicious bread.")</f>
        <v>An excellent toaster, but there is one thing: as soon as you turn it on, for ten seconds you can hear the smell of burnt or scorched. But the result is worth it: crispy and delicious bread.</v>
      </c>
    </row>
    <row r="14213" spans="1:9" x14ac:dyDescent="0.3">
      <c r="A14213" s="1" t="s">
        <v>8626</v>
      </c>
      <c r="B14213" s="1" t="s">
        <v>8627</v>
      </c>
      <c r="C14213" s="1" t="s">
        <v>1003</v>
      </c>
      <c r="D14213" s="1" t="s">
        <v>474</v>
      </c>
      <c r="E14213" s="1" t="s">
        <v>9164</v>
      </c>
      <c r="F14213" s="1" t="s">
        <v>19647</v>
      </c>
      <c r="G14213" s="1" t="s">
        <v>36</v>
      </c>
      <c r="H14213" s="1" t="s">
        <v>29</v>
      </c>
      <c r="I14213" s="1" t="str">
        <f ca="1">IFERROR(__xludf.DUMMYFUNCTION("GOOGLETRANSLATE(F14213, ""auto"", ""en"")
"),"We have long wanted to get a normal laser printer to replace our old antediluvian one. We chose this model. It is too good in appearance, and in terms of its functions we are quite happy with it. It is distinguished by high-quality and fast printing, the "&amp;"speed of work here is really excellent. Quickly copes with any files, including PDF. Prints A3 easily! There is WiFi, so you can print even from a smartphone.")</f>
        <v>We have long wanted to get a normal laser printer to replace our old antediluvian one. We chose this model. It is too good in appearance, and in terms of its functions we are quite happy with it. It is distinguished by high-quality and fast printing, the speed of work here is really excellent. Quickly copes with any files, including PDF. Prints A3 easily! There is WiFi, so you can print even from a smartphone.</v>
      </c>
    </row>
    <row r="14214" spans="1:9" x14ac:dyDescent="0.3">
      <c r="A14214" s="1" t="s">
        <v>61</v>
      </c>
      <c r="B14214" s="1" t="s">
        <v>318</v>
      </c>
      <c r="C14214" s="1" t="s">
        <v>246</v>
      </c>
      <c r="D14214" s="1" t="s">
        <v>568</v>
      </c>
      <c r="E14214" s="1" t="s">
        <v>1751</v>
      </c>
      <c r="F14214" s="1" t="s">
        <v>19648</v>
      </c>
      <c r="G14214" s="1" t="s">
        <v>28</v>
      </c>
      <c r="H14214" s="1" t="s">
        <v>29</v>
      </c>
      <c r="I14214" s="1" t="str">
        <f ca="1">IFERROR(__xludf.DUMMYFUNCTION("GOOGLETRANSLATE(F14214, ""auto"", ""en"")
"),"Nice kettle. I bought it about 5 years ago. A little noisy, but it worked long enough and the water is good. There is a temperature control. You can use not very hot water.  I don’t know what my wife used to wash it with, and we don’t have any rusty spots"&amp;" on the heating element. At the moment, the glass of the measuring cup at the top of the kettle has come unstuck. Because of this, it leaks and you only have to fill it halfway with water. It's time to look for a replacement.  Price-quality matches.")</f>
        <v>Nice kettle. I bought it about 5 years ago. A little noisy, but it worked long enough and the water is good. There is a temperature control. You can use not very hot water.  I don’t know what my wife used to wash it with, and we don’t have any rusty spots on the heating element. At the moment, the glass of the measuring cup at the top of the kettle has come unstuck. Because of this, it leaks and you only have to fill it halfway with water. It's time to look for a replacement.  Price-quality matches.</v>
      </c>
    </row>
    <row r="14215" spans="1:9" x14ac:dyDescent="0.3">
      <c r="A14215" s="1" t="s">
        <v>169</v>
      </c>
      <c r="B14215" s="1" t="s">
        <v>170</v>
      </c>
      <c r="C14215" s="1" t="s">
        <v>171</v>
      </c>
      <c r="D14215" s="1" t="s">
        <v>19649</v>
      </c>
      <c r="E14215" s="1" t="s">
        <v>421</v>
      </c>
      <c r="F14215" s="1" t="s">
        <v>19650</v>
      </c>
      <c r="G14215" s="1" t="s">
        <v>36</v>
      </c>
      <c r="H14215" s="1" t="s">
        <v>29</v>
      </c>
      <c r="I14215" s="1" t="str">
        <f ca="1">IFERROR(__xludf.DUMMYFUNCTION("GOOGLETRANSLATE(F14215, ""auto"", ""en"")
"),"Great headphones! I've been using them for almost a year and have no complaints. They fit perfectly with the Nokia 5230 phone, the sound is loud, the bass is rich, the high frequencies do not cut. I'm happy with the headphones!")</f>
        <v>Great headphones! I've been using them for almost a year and have no complaints. They fit perfectly with the Nokia 5230 phone, the sound is loud, the bass is rich, the high frequencies do not cut. I'm happy with the headphones!</v>
      </c>
    </row>
    <row r="14216" spans="1:9" x14ac:dyDescent="0.3">
      <c r="A14216" s="1" t="s">
        <v>67</v>
      </c>
      <c r="B14216" s="1" t="s">
        <v>68</v>
      </c>
      <c r="C14216" s="1" t="s">
        <v>185</v>
      </c>
      <c r="D14216" s="1" t="s">
        <v>2728</v>
      </c>
      <c r="E14216" s="1" t="s">
        <v>4301</v>
      </c>
      <c r="F14216" s="1" t="s">
        <v>19651</v>
      </c>
      <c r="G14216" s="1" t="s">
        <v>36</v>
      </c>
      <c r="H14216" s="1" t="s">
        <v>29</v>
      </c>
      <c r="I14216" s="1" t="str">
        <f ca="1">IFERROR(__xludf.DUMMYFUNCTION("GOOGLETRANSLATE(F14216, ""auto"", ""en"")
"),"A good helper in the household, it copes with all types of fabrics and works for a long time without additional addition of water. I am very pleased with such a useful purchase!")</f>
        <v>A good helper in the household, it copes with all types of fabrics and works for a long time without additional addition of water. I am very pleased with such a useful purchase!</v>
      </c>
    </row>
    <row r="14217" spans="1:9" x14ac:dyDescent="0.3">
      <c r="A14217" s="1" t="s">
        <v>89</v>
      </c>
      <c r="B14217" s="1" t="s">
        <v>90</v>
      </c>
      <c r="C14217" s="1" t="s">
        <v>101</v>
      </c>
      <c r="D14217" s="1" t="s">
        <v>19652</v>
      </c>
      <c r="E14217" s="1" t="s">
        <v>1856</v>
      </c>
      <c r="F14217" s="1" t="s">
        <v>19653</v>
      </c>
      <c r="G14217" s="1" t="s">
        <v>36</v>
      </c>
      <c r="H14217" s="1" t="s">
        <v>29</v>
      </c>
      <c r="I14217" s="1" t="str">
        <f ca="1">IFERROR(__xludf.DUMMYFUNCTION("GOOGLETRANSLATE(F14217, ""auto"", ""en"")
"),"Wonderful coffee grinder. Nothing extra. It has been working for two years now. Used twice every day. There are no complaints. Just don’t wash the lid, water remains between the walls, but the manufacturer warns about this ;)")</f>
        <v>Wonderful coffee grinder. Nothing extra. It has been working for two years now. Used twice every day. There are no complaints. Just don’t wash the lid, water remains between the walls, but the manufacturer warns about this ;)</v>
      </c>
    </row>
    <row r="14218" spans="1:9" x14ac:dyDescent="0.3">
      <c r="A14218" s="1" t="s">
        <v>149</v>
      </c>
      <c r="B14218" s="1" t="s">
        <v>155</v>
      </c>
      <c r="C14218" s="1" t="s">
        <v>1187</v>
      </c>
      <c r="D14218" s="1" t="s">
        <v>1659</v>
      </c>
      <c r="E14218" s="1" t="s">
        <v>5013</v>
      </c>
      <c r="F14218" s="1" t="s">
        <v>19654</v>
      </c>
      <c r="G14218" s="1" t="s">
        <v>15</v>
      </c>
      <c r="H14218" s="1" t="s">
        <v>16</v>
      </c>
      <c r="I14218" s="1" t="str">
        <f ca="1">IFERROR(__xludf.DUMMYFUNCTION("GOOGLETRANSLATE(F14218, ""auto"", ""en"")
"),"As a result, apparently it is noisy and does not lose power because it does not clean! Just wasted money.")</f>
        <v>As a result, apparently it is noisy and does not lose power because it does not clean! Just wasted money.</v>
      </c>
    </row>
    <row r="14219" spans="1:9" x14ac:dyDescent="0.3">
      <c r="A14219" s="1" t="s">
        <v>169</v>
      </c>
      <c r="B14219" s="1" t="s">
        <v>170</v>
      </c>
      <c r="C14219" s="1" t="s">
        <v>69</v>
      </c>
      <c r="D14219" s="1" t="s">
        <v>152</v>
      </c>
      <c r="E14219" s="1" t="s">
        <v>2746</v>
      </c>
      <c r="F14219" s="1" t="s">
        <v>19655</v>
      </c>
      <c r="G14219" s="1" t="s">
        <v>36</v>
      </c>
      <c r="H14219" s="1" t="s">
        <v>29</v>
      </c>
      <c r="I14219" s="1" t="str">
        <f ca="1">IFERROR(__xludf.DUMMYFUNCTION("GOOGLETRANSLATE(F14219, ""auto"", ""en"")
"),"Excellent headphones, fit well, do not put pressure on the head, the sound is good, especially when watching movies in DTS. Take it, you won't regret it.")</f>
        <v>Excellent headphones, fit well, do not put pressure on the head, the sound is good, especially when watching movies in DTS. Take it, you won't regret it.</v>
      </c>
    </row>
    <row r="14220" spans="1:9" x14ac:dyDescent="0.3">
      <c r="A14220" s="1" t="s">
        <v>9</v>
      </c>
      <c r="B14220" s="1" t="s">
        <v>23</v>
      </c>
      <c r="C14220" s="1" t="s">
        <v>466</v>
      </c>
      <c r="D14220" s="1" t="s">
        <v>1055</v>
      </c>
      <c r="E14220" s="1" t="s">
        <v>841</v>
      </c>
      <c r="F14220" s="1" t="s">
        <v>19656</v>
      </c>
      <c r="G14220" s="1" t="s">
        <v>49</v>
      </c>
      <c r="H14220" s="1" t="s">
        <v>16</v>
      </c>
      <c r="I14220" s="1" t="str">
        <f ca="1">IFERROR(__xludf.DUMMYFUNCTION("GOOGLETRANSLATE(F14220, ""auto"", ""en"")
"),"I bought a car less than a month ago, it’s terrible! I washed it three times, the dishes remain dirty, I did everything according to the instructions, I want to hand over and buy from BOCH, although it’s more expensive, but it will clean")</f>
        <v>I bought a car less than a month ago, it’s terrible! I washed it three times, the dishes remain dirty, I did everything according to the instructions, I want to hand over and buy from BOCH, although it’s more expensive, but it will clean</v>
      </c>
    </row>
    <row r="14221" spans="1:9" x14ac:dyDescent="0.3">
      <c r="A14221" s="1" t="s">
        <v>89</v>
      </c>
      <c r="B14221" s="1" t="s">
        <v>1106</v>
      </c>
      <c r="C14221" s="1" t="s">
        <v>74</v>
      </c>
      <c r="D14221" s="1" t="s">
        <v>75</v>
      </c>
      <c r="E14221" s="1" t="s">
        <v>8742</v>
      </c>
      <c r="F14221" s="1" t="s">
        <v>19657</v>
      </c>
      <c r="G14221" s="1" t="s">
        <v>15</v>
      </c>
      <c r="H14221" s="1" t="s">
        <v>16</v>
      </c>
      <c r="I14221" s="1" t="str">
        <f ca="1">IFERROR(__xludf.DUMMYFUNCTION("GOOGLETRANSLATE(F14221, ""auto"", ""en"")
"),"Bought in mid-February. Yesterday (September 17) it broke! I worked for exactly seven months. Shame on Moulinex!!!")</f>
        <v>Bought in mid-February. Yesterday (September 17) it broke! I worked for exactly seven months. Shame on Moulinex!!!</v>
      </c>
    </row>
    <row r="14222" spans="1:9" x14ac:dyDescent="0.3">
      <c r="A14222" s="1" t="s">
        <v>211</v>
      </c>
      <c r="B14222" s="1" t="s">
        <v>410</v>
      </c>
      <c r="C14222" s="1" t="s">
        <v>122</v>
      </c>
      <c r="D14222" s="1" t="s">
        <v>127</v>
      </c>
      <c r="E14222" s="1" t="s">
        <v>3254</v>
      </c>
      <c r="F14222" s="1" t="s">
        <v>19658</v>
      </c>
      <c r="G14222" s="1" t="s">
        <v>49</v>
      </c>
      <c r="H14222" s="1" t="s">
        <v>16</v>
      </c>
      <c r="I14222" s="1" t="str">
        <f ca="1">IFERROR(__xludf.DUMMYFUNCTION("GOOGLETRANSLATE(F14222, ""auto"", ""en"")
"),"The razor doesn't shave at all, it looks like a shave, don't buy it.")</f>
        <v>The razor doesn't shave at all, it looks like a shave, don't buy it.</v>
      </c>
    </row>
    <row r="14223" spans="1:9" x14ac:dyDescent="0.3">
      <c r="A14223" s="1" t="s">
        <v>17</v>
      </c>
      <c r="B14223" s="1" t="s">
        <v>18</v>
      </c>
      <c r="C14223" s="1" t="s">
        <v>665</v>
      </c>
      <c r="D14223" s="1" t="s">
        <v>39</v>
      </c>
      <c r="E14223" s="1" t="s">
        <v>7480</v>
      </c>
      <c r="F14223" s="1" t="s">
        <v>19659</v>
      </c>
      <c r="G14223" s="1" t="s">
        <v>28</v>
      </c>
      <c r="H14223" s="1" t="s">
        <v>29</v>
      </c>
      <c r="I14223" s="1" t="str">
        <f ca="1">IFERROR(__xludf.DUMMYFUNCTION("GOOGLETRANSLATE(F14223, ""auto"", ""en"")
"),"Not a bad machine, but there are some shortcomings. Machine&amp;nbsp; washes quietly... but the opening sounds are loud... the plastic is cheap... I don’t like that the powder drawer can be pulled out completely without effort, that is, if you want to pour in"&amp;" the powder, you have to push it out very carefully so that it doesn’t fly out completely, and if there are children in the house and they want to pull the drawer while washing... and the middle cell for the conditioner has not yet been completely washed "&amp;"out, the conditioner always remains... and lastly, water remains where the rubber is near the drum, although there is holes, but you have to wipe off the water after each wash.")</f>
        <v>Not a bad machine, but there are some shortcomings. Machine&amp;nbsp; washes quietly... but the opening sounds are loud... the plastic is cheap... I don’t like that the powder drawer can be pulled out completely without effort, that is, if you want to pour in the powder, you have to push it out very carefully so that it doesn’t fly out completely, and if there are children in the house and they want to pull the drawer while washing... and the middle cell for the conditioner has not yet been completely washed out, the conditioner always remains... and lastly, water remains where the rubber is near the drum, although there is holes, but you have to wipe off the water after each wash.</v>
      </c>
    </row>
    <row r="14224" spans="1:9" x14ac:dyDescent="0.3">
      <c r="A14224" s="1" t="s">
        <v>149</v>
      </c>
      <c r="B14224" s="1" t="s">
        <v>155</v>
      </c>
      <c r="C14224" s="1" t="s">
        <v>24</v>
      </c>
      <c r="D14224" s="1" t="s">
        <v>247</v>
      </c>
      <c r="E14224" s="1" t="s">
        <v>19392</v>
      </c>
      <c r="F14224" s="1" t="s">
        <v>19660</v>
      </c>
      <c r="G14224" s="1" t="s">
        <v>36</v>
      </c>
      <c r="H14224" s="1" t="s">
        <v>29</v>
      </c>
      <c r="I14224" s="1" t="str">
        <f ca="1">IFERROR(__xludf.DUMMYFUNCTION("GOOGLETRANSLATE(F14224, ""auto"", ""en"")
"),"I bought it at a discount and plus a bonus on the card of 1000, in the end it was quite inexpensive, I’ve been using it since March, so far there are no complaints, it vacuums perfectly, it’s powerful. I don’t understand - they write that the filter must "&amp;"be washed after every cleaning, but I haven’t washed it even once. I shake the dust out of the container into a bag, throw it away, and that’s it. I have two small children, so I use it every day. Compared to my old bagged vacuum cleaner, it’s just great!"&amp;"! And negative reviews are just nitpicking, just then go to a different price category, the functions are probably better there and everything else)))")</f>
        <v>I bought it at a discount and plus a bonus on the card of 1000, in the end it was quite inexpensive, I’ve been using it since March, so far there are no complaints, it vacuums perfectly, it’s powerful. I don’t understand - they write that the filter must be washed after every cleaning, but I haven’t washed it even once. I shake the dust out of the container into a bag, throw it away, and that’s it. I have two small children, so I use it every day. Compared to my old bagged vacuum cleaner, it’s just great!! And negative reviews are just nitpicking, just then go to a different price category, the functions are probably better there and everything else)))</v>
      </c>
    </row>
    <row r="14225" spans="1:9" x14ac:dyDescent="0.3">
      <c r="A14225" s="1" t="s">
        <v>61</v>
      </c>
      <c r="B14225" s="1" t="s">
        <v>318</v>
      </c>
      <c r="C14225" s="1" t="s">
        <v>246</v>
      </c>
      <c r="D14225" s="1" t="s">
        <v>548</v>
      </c>
      <c r="E14225" s="1" t="s">
        <v>1280</v>
      </c>
      <c r="F14225" s="1" t="s">
        <v>19661</v>
      </c>
      <c r="G14225" s="1" t="s">
        <v>36</v>
      </c>
      <c r="H14225" s="1" t="s">
        <v>29</v>
      </c>
      <c r="I14225" s="1" t="str">
        <f ca="1">IFERROR(__xludf.DUMMYFUNCTION("GOOGLETRANSLATE(F14225, ""auto"", ""en"")
"),"We bought this kettle 10 years ago. After 5 years, the power plug in the kettle itself burned out. Well, after 10 years the flow rate is 0.5 liters.    I think the kettle for 10 years is just great.")</f>
        <v>We bought this kettle 10 years ago. After 5 years, the power plug in the kettle itself burned out. Well, after 10 years the flow rate is 0.5 liters.    I think the kettle for 10 years is just great.</v>
      </c>
    </row>
    <row r="14226" spans="1:9" x14ac:dyDescent="0.3">
      <c r="A14226" s="1" t="s">
        <v>43</v>
      </c>
      <c r="B14226" s="1" t="s">
        <v>502</v>
      </c>
      <c r="C14226" s="1" t="s">
        <v>151</v>
      </c>
      <c r="D14226" s="1" t="s">
        <v>3133</v>
      </c>
      <c r="E14226" s="1" t="s">
        <v>1732</v>
      </c>
      <c r="F14226" s="1" t="s">
        <v>19662</v>
      </c>
      <c r="G14226" s="1" t="s">
        <v>28</v>
      </c>
      <c r="H14226" s="1" t="s">
        <v>29</v>
      </c>
      <c r="I14226" s="1" t="str">
        <f ca="1">IFERROR(__xludf.DUMMYFUNCTION("GOOGLETRANSLATE(F14226, ""auto"", ""en"")
"),"Good, high-quality split system. However, there is a problem with the direction of the air flow - you can change the direction of only part of the air flow (if the flow is directed horizontally, part will still blow downwards). This must be taken into acc"&amp;"ount when choosing an installation location. Otherwise there are no problems.")</f>
        <v>Good, high-quality split system. However, there is a problem with the direction of the air flow - you can change the direction of only part of the air flow (if the flow is directed horizontally, part will still blow downwards). This must be taken into account when choosing an installation location. Otherwise there are no problems.</v>
      </c>
    </row>
    <row r="14227" spans="1:9" x14ac:dyDescent="0.3">
      <c r="A14227" s="1" t="s">
        <v>451</v>
      </c>
      <c r="B14227" s="1" t="s">
        <v>452</v>
      </c>
      <c r="C14227" s="1" t="s">
        <v>710</v>
      </c>
      <c r="D14227" s="1" t="s">
        <v>474</v>
      </c>
      <c r="E14227" s="1" t="s">
        <v>9082</v>
      </c>
      <c r="F14227" s="1" t="s">
        <v>19663</v>
      </c>
      <c r="G14227" s="1" t="s">
        <v>36</v>
      </c>
      <c r="H14227" s="1" t="s">
        <v>29</v>
      </c>
      <c r="I14227" s="1" t="str">
        <f ca="1">IFERROR(__xludf.DUMMYFUNCTION("GOOGLETRANSLATE(F14227, ""auto"", ""en"")
"),"The machine does its job with a bang! I bought it half a year ago, but I was afraid to try it, but in vain! The fabric does not tear or leave holes. It removes pills from knitted items perfectly.")</f>
        <v>The machine does its job with a bang! I bought it half a year ago, but I was afraid to try it, but in vain! The fabric does not tear or leave holes. It removes pills from knitted items perfectly.</v>
      </c>
    </row>
    <row r="14228" spans="1:9" x14ac:dyDescent="0.3">
      <c r="A14228" s="1" t="s">
        <v>149</v>
      </c>
      <c r="B14228" s="1" t="s">
        <v>423</v>
      </c>
      <c r="C14228" s="1" t="s">
        <v>548</v>
      </c>
      <c r="D14228" s="1" t="s">
        <v>308</v>
      </c>
      <c r="E14228" s="1" t="s">
        <v>2165</v>
      </c>
      <c r="F14228" s="1" t="s">
        <v>19664</v>
      </c>
      <c r="G14228" s="1" t="s">
        <v>15</v>
      </c>
      <c r="H14228" s="1" t="s">
        <v>16</v>
      </c>
      <c r="I14228" s="1" t="str">
        <f ca="1">IFERROR(__xludf.DUMMYFUNCTION("GOOGLETRANSLATE(F14228, ""auto"", ""en"")
"),"We wanted to buy a washing vacuum cleaner - for dry and wet cleaning. On the advice of the store's sales consultants, we chose this model. We use it only in the apartment, carefully, according to the instructions, but... after six months of use, the clamp"&amp;" connecting the hose and the tank fell off. We figured out how to fix it. After another couple of months, the dry cleaning brush broke. We switched to cleaning with a turbo brush - it has no suction power, you sweep it over the carpet a hundred times, but"&amp;" the garbage is still there. Of course, you can order original parts on the website, but they cost the same as a new regular vacuum cleaner with a dust bag... Then there were problems with wet cleaning, we sorted through the parts of the vacuum cleaner, i"&amp;"t started working again... Now there’s a new problem - the vacuum cleaner started to stink, we washed the filter, washed the entire body completely, disassembled it down to the motor. For some reason, liquid accumulated under the motor and “soured”... how"&amp;" it got there is the question, the vacuum cleaner is stored in a dry room (namely, it occupies half of the pantry). For such a price, there is too much fuss and breakdowns during a year and a half of operation! We regretted the purchase a hundred times an"&amp;"d are thinking about replacing it with another model.")</f>
        <v>We wanted to buy a washing vacuum cleaner - for dry and wet cleaning. On the advice of the store's sales consultants, we chose this model. We use it only in the apartment, carefully, according to the instructions, but... after six months of use, the clamp connecting the hose and the tank fell off. We figured out how to fix it. After another couple of months, the dry cleaning brush broke. We switched to cleaning with a turbo brush - it has no suction power, you sweep it over the carpet a hundred times, but the garbage is still there. Of course, you can order original parts on the website, but they cost the same as a new regular vacuum cleaner with a dust bag... Then there were problems with wet cleaning, we sorted through the parts of the vacuum cleaner, it started working again... Now there’s a new problem - the vacuum cleaner started to stink, we washed the filter, washed the entire body completely, disassembled it down to the motor. For some reason, liquid accumulated under the motor and “soured”... how it got there is the question, the vacuum cleaner is stored in a dry room (namely, it occupies half of the pantry). For such a price, there is too much fuss and breakdowns during a year and a half of operation! We regretted the purchase a hundred times and are thinking about replacing it with another model.</v>
      </c>
    </row>
    <row r="14229" spans="1:9" x14ac:dyDescent="0.3">
      <c r="A14229" s="1" t="s">
        <v>105</v>
      </c>
      <c r="B14229" s="1" t="s">
        <v>106</v>
      </c>
      <c r="C14229" s="1" t="s">
        <v>1921</v>
      </c>
      <c r="D14229" s="1" t="s">
        <v>19665</v>
      </c>
      <c r="E14229" s="1" t="s">
        <v>1742</v>
      </c>
      <c r="F14229" s="1" t="s">
        <v>19666</v>
      </c>
      <c r="G14229" s="1" t="s">
        <v>28</v>
      </c>
      <c r="H14229" s="1" t="s">
        <v>29</v>
      </c>
      <c r="I14229" s="1" t="str">
        <f ca="1">IFERROR(__xludf.DUMMYFUNCTION("GOOGLETRANSLATE(F14229, ""auto"", ""en"")
"),"I bought it on December 30, I first read about it on the Internet... in general, the player is not bad... sound.. video playback... text... very poor quality of case materials... the display is very scratched... often freezes on the video... not very happ"&amp;"y with the purchase, better to pay more... and get something else..")</f>
        <v>I bought it on December 30, I first read about it on the Internet... in general, the player is not bad... sound.. video playback... text... very poor quality of case materials... the display is very scratched... often freezes on the video... not very happy with the purchase, better to pay more... and get something else..</v>
      </c>
    </row>
    <row r="14230" spans="1:9" x14ac:dyDescent="0.3">
      <c r="A14230" s="1" t="s">
        <v>211</v>
      </c>
      <c r="B14230" s="1" t="s">
        <v>515</v>
      </c>
      <c r="C14230" s="1" t="s">
        <v>213</v>
      </c>
      <c r="D14230" s="1" t="s">
        <v>247</v>
      </c>
      <c r="E14230" s="1" t="s">
        <v>4069</v>
      </c>
      <c r="F14230" s="1" t="s">
        <v>19667</v>
      </c>
      <c r="G14230" s="1" t="s">
        <v>36</v>
      </c>
      <c r="H14230" s="1" t="s">
        <v>29</v>
      </c>
      <c r="I14230" s="1" t="str">
        <f ca="1">IFERROR(__xludf.DUMMYFUNCTION("GOOGLETRANSLATE(F14230, ""auto"", ""en"")
"),"Small and light, you can take it with you everywhere, cuts hair well, no irritation, nozzles to choose from")</f>
        <v>Small and light, you can take it with you everywhere, cuts hair well, no irritation, nozzles to choose from</v>
      </c>
    </row>
    <row r="14231" spans="1:9" x14ac:dyDescent="0.3">
      <c r="A14231" s="1" t="s">
        <v>120</v>
      </c>
      <c r="B14231" s="1" t="s">
        <v>256</v>
      </c>
      <c r="C14231" s="1" t="s">
        <v>151</v>
      </c>
      <c r="D14231" s="1" t="s">
        <v>4136</v>
      </c>
      <c r="E14231" s="1" t="s">
        <v>4398</v>
      </c>
      <c r="F14231" s="1" t="s">
        <v>19668</v>
      </c>
      <c r="G14231" s="1" t="s">
        <v>36</v>
      </c>
      <c r="H14231" s="1" t="s">
        <v>29</v>
      </c>
      <c r="I14231" s="1" t="str">
        <f ca="1">IFERROR(__xludf.DUMMYFUNCTION("GOOGLETRANSLATE(F14231, ""auto"", ""en"")
"),"We have all Samsung equipment at home - since time immemorial - and everything works properly.  TV is EXCELLENT! You watch it like in a cinema. Maximum viewing angle. The quality of the image and color does not change from any angle (not all TVs from othe"&amp;"r companies have this). The price is right. In general, we recommend it!")</f>
        <v>We have all Samsung equipment at home - since time immemorial - and everything works properly.  TV is EXCELLENT! You watch it like in a cinema. Maximum viewing angle. The quality of the image and color does not change from any angle (not all TVs from other companies have this). The price is right. In general, we recommend it!</v>
      </c>
    </row>
    <row r="14232" spans="1:9" x14ac:dyDescent="0.3">
      <c r="A14232" s="1" t="s">
        <v>61</v>
      </c>
      <c r="B14232" s="1" t="s">
        <v>726</v>
      </c>
      <c r="C14232" s="1" t="s">
        <v>85</v>
      </c>
      <c r="D14232" s="1" t="s">
        <v>592</v>
      </c>
      <c r="E14232" s="1" t="s">
        <v>1614</v>
      </c>
      <c r="F14232" s="1" t="s">
        <v>19669</v>
      </c>
      <c r="G14232" s="1" t="s">
        <v>15</v>
      </c>
      <c r="H14232" s="1" t="s">
        <v>16</v>
      </c>
      <c r="I14232" s="1" t="str">
        <f ca="1">IFERROR(__xludf.DUMMYFUNCTION("GOOGLETRANSLATE(F14232, ""auto"", ""en"")
"),"I really wanted a bread machine, I had been dreaming about it for a long time, I didn’t know which one or when I would buy it. The sales assistant in the store explained it very well and talked about all the advantages of this model. And so I, the happies"&amp;"t one, left the store and bought it. Having unpacked it at home, I smelled plastic, but we thought that the thing was new and would fade away. Nothing of the kind, after using it several times, the DISGUSTING SMELL is still present, especially when it hea"&amp;"ts up during baking. My first baking experience was not a success, I didn’t give up. I think everything will get better, I’ll adapt, but when the second time and the third and tenth time it was also terrible, the bread didn’t turn out, basically like a br"&amp;"ick, it didn’t turn out airy at all, and the smell didn’t go away, I thought, I need to return it, exchange it, or I don’t know what, it was too late. More than three or even four months have passed. We bought it six months ago, I was in no hurry to write"&amp;" a review, I had to understand everything. And I’ll say that I’m COMPLETELY DISAPPOINTED, the smell of plastic hasn’t gone away, the bread doesn’t work out, well, I’m SOOO sorry for the money spent. It’s a shame that this is how it turned out. Well, I’ll "&amp;"try again, where should I go now? And so all the programs work, everything seems to work without interruption, the model itself is compact, nice, but the bread is somehow bad. I looked through everything on the Internet, all the recipes on forums and ever"&amp;"ywhere, well, I don’t know, I advise you to think ten times before buying.")</f>
        <v>I really wanted a bread machine, I had been dreaming about it for a long time, I didn’t know which one or when I would buy it. The sales assistant in the store explained it very well and talked about all the advantages of this model. And so I, the happiest one, left the store and bought it. Having unpacked it at home, I smelled plastic, but we thought that the thing was new and would fade away. Nothing of the kind, after using it several times, the DISGUSTING SMELL is still present, especially when it heats up during baking. My first baking experience was not a success, I didn’t give up. I think everything will get better, I’ll adapt, but when the second time and the third and tenth time it was also terrible, the bread didn’t turn out, basically like a brick, it didn’t turn out airy at all, and the smell didn’t go away, I thought, I need to return it, exchange it, or I don’t know what, it was too late. More than three or even four months have passed. We bought it six months ago, I was in no hurry to write a review, I had to understand everything. And I’ll say that I’m COMPLETELY DISAPPOINTED, the smell of plastic hasn’t gone away, the bread doesn’t work out, well, I’m SOOO sorry for the money spent. It’s a shame that this is how it turned out. Well, I’ll try again, where should I go now? And so all the programs work, everything seems to work without interruption, the model itself is compact, nice, but the bread is somehow bad. I looked through everything on the Internet, all the recipes on forums and everywhere, well, I don’t know, I advise you to think ten times before buying.</v>
      </c>
    </row>
    <row r="14233" spans="1:9" x14ac:dyDescent="0.3">
      <c r="A14233" s="1" t="s">
        <v>89</v>
      </c>
      <c r="B14233" s="1" t="s">
        <v>231</v>
      </c>
      <c r="C14233" s="1" t="s">
        <v>185</v>
      </c>
      <c r="D14233" s="1" t="s">
        <v>909</v>
      </c>
      <c r="E14233" s="1" t="s">
        <v>10093</v>
      </c>
      <c r="F14233" s="1" t="s">
        <v>19670</v>
      </c>
      <c r="G14233" s="1" t="s">
        <v>36</v>
      </c>
      <c r="H14233" s="1" t="s">
        <v>29</v>
      </c>
      <c r="I14233" s="1" t="str">
        <f ca="1">IFERROR(__xludf.DUMMYFUNCTION("GOOGLETRANSLATE(F14233, ""auto"", ""en"")
"),"Pros 1. Volume of the water reservoir 2. Degrees of coffee grinding 3. Adjustment of the amount and strength of coffee (I chose a certain type of coffee, set the adjustments experimentally and forgot) 4. Excellent cappuccino 5. Automatically flushes the s"&amp;"ystem 6. Simple cleaning mechanism 7. Prepares delicious coffee, who loves espresso, this is the place for him.    Not a minus, but an unnecessary option is preparation from ground coffee; the coffee turns out no tastier than Turkish coffee.  For those wh"&amp;"o like it hot, add steam from a cappuccino maker before cooking. Summary: choose your favorite coffee beans and you will be happy.")</f>
        <v>Pros 1. Volume of the water reservoir 2. Degrees of coffee grinding 3. Adjustment of the amount and strength of coffee (I chose a certain type of coffee, set the adjustments experimentally and forgot) 4. Excellent cappuccino 5. Automatically flushes the system 6. Simple cleaning mechanism 7. Prepares delicious coffee, who loves espresso, this is the place for him.    Not a minus, but an unnecessary option is preparation from ground coffee; the coffee turns out no tastier than Turkish coffee.  For those who like it hot, add steam from a cappuccino maker before cooking. Summary: choose your favorite coffee beans and you will be happy.</v>
      </c>
    </row>
    <row r="14234" spans="1:9" x14ac:dyDescent="0.3">
      <c r="A14234" s="1" t="s">
        <v>61</v>
      </c>
      <c r="B14234" s="1" t="s">
        <v>318</v>
      </c>
      <c r="C14234" s="1" t="s">
        <v>85</v>
      </c>
      <c r="D14234" s="1" t="s">
        <v>33</v>
      </c>
      <c r="E14234" s="1" t="s">
        <v>11102</v>
      </c>
      <c r="F14234" s="1" t="s">
        <v>19671</v>
      </c>
      <c r="G14234" s="1" t="s">
        <v>36</v>
      </c>
      <c r="H14234" s="1" t="s">
        <v>29</v>
      </c>
      <c r="I14234" s="1" t="str">
        <f ca="1">IFERROR(__xludf.DUMMYFUNCTION("GOOGLETRANSLATE(F14234, ""auto"", ""en"")
"),"Excellent kettle. I bought the first one 3 years ago, the second one I took to the dacha 2 years ago. I bought both kettles because of the design and manufacturer. Everything is wonderful, without any problems.. I recommend it to everyone.")</f>
        <v>Excellent kettle. I bought the first one 3 years ago, the second one I took to the dacha 2 years ago. I bought both kettles because of the design and manufacturer. Everything is wonderful, without any problems.. I recommend it to everyone.</v>
      </c>
    </row>
    <row r="14235" spans="1:9" x14ac:dyDescent="0.3">
      <c r="A14235" s="1" t="s">
        <v>624</v>
      </c>
      <c r="B14235" s="1" t="s">
        <v>2107</v>
      </c>
      <c r="C14235" s="1" t="s">
        <v>479</v>
      </c>
      <c r="D14235" s="1" t="s">
        <v>1917</v>
      </c>
      <c r="E14235" s="1" t="s">
        <v>386</v>
      </c>
      <c r="F14235" s="1" t="s">
        <v>19672</v>
      </c>
      <c r="G14235" s="1" t="s">
        <v>36</v>
      </c>
      <c r="H14235" s="1" t="s">
        <v>29</v>
      </c>
      <c r="I14235" s="1" t="str">
        <f ca="1">IFERROR(__xludf.DUMMYFUNCTION("GOOGLETRANSLATE(F14235, ""auto"", ""en"")
"),"Halo is the best interactive action game on the planet. Unfortunately, not everyone can understand it. I won’t list all the advantages, because... There is not a single minus here.")</f>
        <v>Halo is the best interactive action game on the planet. Unfortunately, not everyone can understand it. I won’t list all the advantages, because... There is not a single minus here.</v>
      </c>
    </row>
    <row r="14236" spans="1:9" x14ac:dyDescent="0.3">
      <c r="A14236" s="1" t="s">
        <v>111</v>
      </c>
      <c r="B14236" s="1" t="s">
        <v>112</v>
      </c>
      <c r="C14236" s="1" t="s">
        <v>1230</v>
      </c>
      <c r="D14236" s="1" t="s">
        <v>280</v>
      </c>
      <c r="E14236" s="1" t="s">
        <v>932</v>
      </c>
      <c r="F14236" s="1" t="s">
        <v>19673</v>
      </c>
      <c r="G14236" s="1" t="s">
        <v>36</v>
      </c>
      <c r="H14236" s="1" t="s">
        <v>29</v>
      </c>
      <c r="I14236" s="1" t="str">
        <f ca="1">IFERROR(__xludf.DUMMYFUNCTION("GOOGLETRANSLATE(F14236, ""auto"", ""en"")
"),"Excellent surge protector! 3 sockets with constant voltage, the other 3 can be turned off, an input for a telephone/modem, for a TV antenna. The plugs fit perfectly, tightly, both Euro and ours. Includes TV cable and telephone cable.")</f>
        <v>Excellent surge protector! 3 sockets with constant voltage, the other 3 can be turned off, an input for a telephone/modem, for a TV antenna. The plugs fit perfectly, tightly, both Euro and ours. Includes TV cable and telephone cable.</v>
      </c>
    </row>
    <row r="14237" spans="1:9" x14ac:dyDescent="0.3">
      <c r="A14237" s="1" t="s">
        <v>61</v>
      </c>
      <c r="B14237" s="1" t="s">
        <v>180</v>
      </c>
      <c r="C14237" s="1" t="s">
        <v>57</v>
      </c>
      <c r="D14237" s="1" t="s">
        <v>335</v>
      </c>
      <c r="E14237" s="1" t="s">
        <v>4628</v>
      </c>
      <c r="F14237" s="1" t="s">
        <v>19674</v>
      </c>
      <c r="G14237" s="1" t="s">
        <v>36</v>
      </c>
      <c r="H14237" s="1" t="s">
        <v>29</v>
      </c>
      <c r="I14237" s="1" t="str">
        <f ca="1">IFERROR(__xludf.DUMMYFUNCTION("GOOGLETRANSLATE(F14237, ""auto"", ""en"")
"),"This is the second time I’ve bought this toaster. The first time I bought it as a gift for a friend, but I recently bought it for myself. The toasts turn out very tasty! rosy, crispy. Thanks to the timer, you can not dry the bread to the state of crackers"&amp;", but make it with a light crunch :)) It does not heat up and is easy to clean. There is also a bun warming function. In short, the device is decent. Take it, you won't regret it!")</f>
        <v>This is the second time I’ve bought this toaster. The first time I bought it as a gift for a friend, but I recently bought it for myself. The toasts turn out very tasty! rosy, crispy. Thanks to the timer, you can not dry the bread to the state of crackers, but make it with a light crunch :)) It does not heat up and is easy to clean. There is also a bun warming function. In short, the device is decent. Take it, you won't regret it!</v>
      </c>
    </row>
    <row r="14238" spans="1:9" x14ac:dyDescent="0.3">
      <c r="A14238" s="1" t="s">
        <v>17</v>
      </c>
      <c r="B14238" s="1" t="s">
        <v>18</v>
      </c>
      <c r="C14238" s="1" t="s">
        <v>151</v>
      </c>
      <c r="D14238" s="1" t="s">
        <v>152</v>
      </c>
      <c r="E14238" s="1" t="s">
        <v>800</v>
      </c>
      <c r="F14238" s="1" t="s">
        <v>19675</v>
      </c>
      <c r="G14238" s="1" t="s">
        <v>36</v>
      </c>
      <c r="H14238" s="1" t="s">
        <v>29</v>
      </c>
      <c r="I14238" s="1" t="str">
        <f ca="1">IFERROR(__xludf.DUMMYFUNCTION("GOOGLETRANSLATE(F14238, ""auto"", ""en"")
"),"Great car.")</f>
        <v>Great car.</v>
      </c>
    </row>
    <row r="14239" spans="1:9" x14ac:dyDescent="0.3">
      <c r="A14239" s="1" t="s">
        <v>43</v>
      </c>
      <c r="B14239" s="1" t="s">
        <v>334</v>
      </c>
      <c r="C14239" s="1" t="s">
        <v>101</v>
      </c>
      <c r="D14239" s="1" t="s">
        <v>172</v>
      </c>
      <c r="E14239" s="1" t="s">
        <v>956</v>
      </c>
      <c r="F14239" s="1" t="s">
        <v>19676</v>
      </c>
      <c r="G14239" s="1" t="s">
        <v>49</v>
      </c>
      <c r="H14239" s="1" t="s">
        <v>16</v>
      </c>
      <c r="I14239" s="1" t="str">
        <f ca="1">IFERROR(__xludf.DUMMYFUNCTION("GOOGLETRANSLATE(F14239, ""auto"", ""en"")
"),"I bought this fan 3 days ago and it worked for one day. Doesn't turn on anymore. Where should I take it now??")</f>
        <v>I bought this fan 3 days ago and it worked for one day. Doesn't turn on anymore. Where should I take it now??</v>
      </c>
    </row>
    <row r="14240" spans="1:9" x14ac:dyDescent="0.3">
      <c r="A14240" s="1" t="s">
        <v>211</v>
      </c>
      <c r="B14240" s="1" t="s">
        <v>212</v>
      </c>
      <c r="C14240" s="1" t="s">
        <v>381</v>
      </c>
      <c r="D14240" s="1" t="s">
        <v>19677</v>
      </c>
      <c r="E14240" s="1" t="s">
        <v>980</v>
      </c>
      <c r="F14240" s="1" t="s">
        <v>19678</v>
      </c>
      <c r="G14240" s="1" t="s">
        <v>36</v>
      </c>
      <c r="H14240" s="1" t="s">
        <v>29</v>
      </c>
      <c r="I14240" s="1" t="str">
        <f ca="1">IFERROR(__xludf.DUMMYFUNCTION("GOOGLETRANSLATE(F14240, ""auto"", ""en"")
"),"I’ve been using it for more than six months now and am completely satisfied - the device is worth the money!")</f>
        <v>I’ve been using it for more than six months now and am completely satisfied - the device is worth the money!</v>
      </c>
    </row>
    <row r="14241" spans="1:9" x14ac:dyDescent="0.3">
      <c r="A14241" s="1" t="s">
        <v>105</v>
      </c>
      <c r="B14241" s="1" t="s">
        <v>106</v>
      </c>
      <c r="C14241" s="1" t="s">
        <v>1526</v>
      </c>
      <c r="D14241" s="1" t="s">
        <v>33</v>
      </c>
      <c r="E14241" s="1" t="s">
        <v>606</v>
      </c>
      <c r="F14241" s="1" t="s">
        <v>19679</v>
      </c>
      <c r="G14241" s="1" t="s">
        <v>49</v>
      </c>
      <c r="H14241" s="1" t="s">
        <v>16</v>
      </c>
      <c r="I14241" s="1" t="str">
        <f ca="1">IFERROR(__xludf.DUMMYFUNCTION("GOOGLETRANSLATE(F14241, ""auto"", ""en"")
"),"I've been using it for 1.5 years. At first I was very pleased - the sound was good (though a little quiet for powerful ears) Awesome display, but... After 4 months, the ear connector began to malfunction, after another month it completely fell apart - onl"&amp;"y one ear works. It gets worse. The sound began to die... now only a third of the original volume remains. In general, I now use it only for books, photos and as a storage medium. It's better to take Sonya or Samsung...")</f>
        <v>I've been using it for 1.5 years. At first I was very pleased - the sound was good (though a little quiet for powerful ears) Awesome display, but... After 4 months, the ear connector began to malfunction, after another month it completely fell apart - only one ear works. It gets worse. The sound began to die... now only a third of the original volume remains. In general, I now use it only for books, photos and as a storage medium. It's better to take Sonya or Samsung...</v>
      </c>
    </row>
    <row r="14242" spans="1:9" x14ac:dyDescent="0.3">
      <c r="A14242" s="1" t="s">
        <v>17</v>
      </c>
      <c r="B14242" s="1" t="s">
        <v>18</v>
      </c>
      <c r="C14242" s="1" t="s">
        <v>885</v>
      </c>
      <c r="D14242" s="1" t="s">
        <v>345</v>
      </c>
      <c r="E14242" s="1" t="s">
        <v>6378</v>
      </c>
      <c r="F14242" s="1" t="s">
        <v>19680</v>
      </c>
      <c r="G14242" s="1" t="s">
        <v>28</v>
      </c>
      <c r="H14242" s="1" t="s">
        <v>29</v>
      </c>
      <c r="I14242" s="1" t="str">
        <f ca="1">IFERROR(__xludf.DUMMYFUNCTION("GOOGLETRANSLATE(F14242, ""auto"", ""en"")
"),"Bought it at a discounted price. The machine is just like a machine, no bells and whistles, everything you need is there. The programs are clear. The only thing is that when spinning, an extraneous sound appears for a short time, which disappears when the"&amp;" rotation speed is increased.")</f>
        <v>Bought it at a discounted price. The machine is just like a machine, no bells and whistles, everything you need is there. The programs are clear. The only thing is that when spinning, an extraneous sound appears for a short time, which disappears when the rotation speed is increased.</v>
      </c>
    </row>
    <row r="14243" spans="1:9" x14ac:dyDescent="0.3">
      <c r="A14243" s="1" t="s">
        <v>89</v>
      </c>
      <c r="B14243" s="1" t="s">
        <v>231</v>
      </c>
      <c r="C14243" s="1" t="s">
        <v>185</v>
      </c>
      <c r="D14243" s="1" t="s">
        <v>545</v>
      </c>
      <c r="E14243" s="1" t="s">
        <v>4803</v>
      </c>
      <c r="F14243" s="1" t="s">
        <v>19681</v>
      </c>
      <c r="G14243" s="1" t="s">
        <v>28</v>
      </c>
      <c r="H14243" s="1" t="s">
        <v>29</v>
      </c>
      <c r="I14243" s="1" t="str">
        <f ca="1">IFERROR(__xludf.DUMMYFUNCTION("GOOGLETRANSLATE(F14243, ""auto"", ""en"")
"),"We received a coffee machine as a gift for another purchase from Mvideo. It took us a long time to figure out the instructions, but we figured it out))) At first it was a little difficult because they stuck the instructions to the machine, but now they ca"&amp;"n’t even peek)))))) It’s noisy, you won’t get a surprise with coffee in the morning - you can use it instead of an alarm clock.... But otherwise it’s convenient, the coffee is prepared quickly. Easy to clean. One minus is the milk bubbler, you have to hol"&amp;"d the glass.")</f>
        <v>We received a coffee machine as a gift for another purchase from Mvideo. It took us a long time to figure out the instructions, but we figured it out))) At first it was a little difficult because they stuck the instructions to the machine, but now they can’t even peek)))))) It’s noisy, you won’t get a surprise with coffee in the morning - you can use it instead of an alarm clock.... But otherwise it’s convenient, the coffee is prepared quickly. Easy to clean. One minus is the milk bubbler, you have to hold the glass.</v>
      </c>
    </row>
    <row r="14244" spans="1:9" x14ac:dyDescent="0.3">
      <c r="A14244" s="1" t="s">
        <v>1443</v>
      </c>
      <c r="B14244" s="1" t="s">
        <v>1444</v>
      </c>
      <c r="C14244" s="1" t="s">
        <v>97</v>
      </c>
      <c r="D14244" s="1" t="s">
        <v>171</v>
      </c>
      <c r="E14244" s="1" t="s">
        <v>634</v>
      </c>
      <c r="F14244" s="1" t="s">
        <v>19682</v>
      </c>
      <c r="G14244" s="1" t="s">
        <v>36</v>
      </c>
      <c r="H14244" s="1" t="s">
        <v>29</v>
      </c>
      <c r="I14244" s="1" t="str">
        <f ca="1">IFERROR(__xludf.DUMMYFUNCTION("GOOGLETRANSLATE(F14244, ""auto"", ""en"")
"),"Excellent flash drive, fast. Regarding the impossibility of recording more than 4 GB, you need to format it either in exFAT or NTFS. This is a limitation of the FAT32 file system. Otherwise the flash drive is excellent. Especially the design!")</f>
        <v>Excellent flash drive, fast. Regarding the impossibility of recording more than 4 GB, you need to format it either in exFAT or NTFS. This is a limitation of the FAT32 file system. Otherwise the flash drive is excellent. Especially the design!</v>
      </c>
    </row>
    <row r="14245" spans="1:9" x14ac:dyDescent="0.3">
      <c r="A14245" s="1" t="s">
        <v>61</v>
      </c>
      <c r="B14245" s="1" t="s">
        <v>318</v>
      </c>
      <c r="C14245" s="1" t="s">
        <v>69</v>
      </c>
      <c r="D14245" s="1" t="s">
        <v>12</v>
      </c>
      <c r="E14245" s="1" t="s">
        <v>708</v>
      </c>
      <c r="F14245" s="1" t="s">
        <v>19683</v>
      </c>
      <c r="G14245" s="1" t="s">
        <v>15</v>
      </c>
      <c r="H14245" s="1" t="s">
        <v>16</v>
      </c>
      <c r="I14245" s="1" t="str">
        <f ca="1">IFERROR(__xludf.DUMMYFUNCTION("GOOGLETRANSLATE(F14245, ""auto"", ""en"")
"),"The kettle looks great, but, alas, it leaked after 4 months. Disappointed.")</f>
        <v>The kettle looks great, but, alas, it leaked after 4 months. Disappointed.</v>
      </c>
    </row>
    <row r="14246" spans="1:9" x14ac:dyDescent="0.3">
      <c r="A14246" s="1" t="s">
        <v>519</v>
      </c>
      <c r="B14246" s="1" t="s">
        <v>520</v>
      </c>
      <c r="C14246" s="1" t="s">
        <v>3571</v>
      </c>
      <c r="D14246" s="1" t="s">
        <v>64</v>
      </c>
      <c r="E14246" s="1" t="s">
        <v>6507</v>
      </c>
      <c r="F14246" s="1" t="s">
        <v>19684</v>
      </c>
      <c r="G14246" s="1" t="s">
        <v>36</v>
      </c>
      <c r="H14246" s="1" t="s">
        <v>29</v>
      </c>
      <c r="I14246" s="1" t="str">
        <f ca="1">IFERROR(__xludf.DUMMYFUNCTION("GOOGLETRANSLATE(F14246, ""auto"", ""en"")
"),"I’ve been using the cookware set since March 2016, the store consultant advised me - I’m very pleased - the dishes have a great aesthetic appearance, silicone handles, nothing sticks.")</f>
        <v>I’ve been using the cookware set since March 2016, the store consultant advised me - I’m very pleased - the dishes have a great aesthetic appearance, silicone handles, nothing sticks.</v>
      </c>
    </row>
    <row r="14247" spans="1:9" x14ac:dyDescent="0.3">
      <c r="A14247" s="1" t="s">
        <v>95</v>
      </c>
      <c r="B14247" s="1" t="s">
        <v>486</v>
      </c>
      <c r="C14247" s="1" t="s">
        <v>487</v>
      </c>
      <c r="D14247" s="1" t="s">
        <v>305</v>
      </c>
      <c r="E14247" s="1" t="s">
        <v>3284</v>
      </c>
      <c r="F14247" s="1" t="s">
        <v>19685</v>
      </c>
      <c r="G14247" s="1" t="s">
        <v>36</v>
      </c>
      <c r="H14247" s="1" t="s">
        <v>29</v>
      </c>
      <c r="I14247" s="1" t="str">
        <f ca="1">IFERROR(__xludf.DUMMYFUNCTION("GOOGLETRANSLATE(F14247, ""auto"", ""en"")
"),"sold my PS3...played it for 2 weeks. I’m not impressed... I’ll take the X-Box!!!  boxes are BETTER!!!")</f>
        <v>sold my PS3...played it for 2 weeks. I’m not impressed... I’ll take the X-Box!!!  boxes are BETTER!!!</v>
      </c>
    </row>
    <row r="14248" spans="1:9" x14ac:dyDescent="0.3">
      <c r="A14248" s="1" t="s">
        <v>61</v>
      </c>
      <c r="B14248" s="1" t="s">
        <v>977</v>
      </c>
      <c r="C14248" s="1" t="s">
        <v>63</v>
      </c>
      <c r="D14248" s="1" t="s">
        <v>52</v>
      </c>
      <c r="E14248" s="1" t="s">
        <v>1603</v>
      </c>
      <c r="F14248" s="1" t="s">
        <v>19686</v>
      </c>
      <c r="G14248" s="1" t="s">
        <v>36</v>
      </c>
      <c r="H14248" s="1" t="s">
        <v>29</v>
      </c>
      <c r="I14248" s="1" t="str">
        <f ca="1">IFERROR(__xludf.DUMMYFUNCTION("GOOGLETRANSLATE(F14248, ""auto"", ""en"")
"),"Everything ingenious - simple, nothing superfluous, very argonomic, in a matter of seconds a full glass of oranges turned into juice, in general, what can you say - this is BOSCH!")</f>
        <v>Everything ingenious - simple, nothing superfluous, very argonomic, in a matter of seconds a full glass of oranges turned into juice, in general, what can you say - this is BOSCH!</v>
      </c>
    </row>
    <row r="14249" spans="1:9" x14ac:dyDescent="0.3">
      <c r="A14249" s="1" t="s">
        <v>67</v>
      </c>
      <c r="B14249" s="1" t="s">
        <v>68</v>
      </c>
      <c r="C14249" s="1" t="s">
        <v>381</v>
      </c>
      <c r="D14249" s="1" t="s">
        <v>19687</v>
      </c>
      <c r="E14249" s="1" t="s">
        <v>4735</v>
      </c>
      <c r="F14249" s="1" t="s">
        <v>19688</v>
      </c>
      <c r="G14249" s="1" t="s">
        <v>36</v>
      </c>
      <c r="H14249" s="1" t="s">
        <v>29</v>
      </c>
      <c r="I14249" s="1" t="str">
        <f ca="1">IFERROR(__xludf.DUMMYFUNCTION("GOOGLETRANSLATE(F14249, ""auto"", ""en"")
"),"Great iron! I highly recommend it, thanks to everyone for the reviews) Thanks to them, I chose this model!)")</f>
        <v>Great iron! I highly recommend it, thanks to everyone for the reviews) Thanks to them, I chose this model!)</v>
      </c>
    </row>
    <row r="14250" spans="1:9" x14ac:dyDescent="0.3">
      <c r="A14250" s="1" t="s">
        <v>30</v>
      </c>
      <c r="B14250" s="1" t="s">
        <v>50</v>
      </c>
      <c r="C14250" s="1" t="s">
        <v>51</v>
      </c>
      <c r="D14250" s="1" t="s">
        <v>1166</v>
      </c>
      <c r="E14250" s="1" t="s">
        <v>1275</v>
      </c>
      <c r="F14250" s="1" t="s">
        <v>19689</v>
      </c>
      <c r="G14250" s="1" t="s">
        <v>28</v>
      </c>
      <c r="H14250" s="1" t="s">
        <v>29</v>
      </c>
      <c r="I14250" s="1" t="str">
        <f ca="1">IFERROR(__xludf.DUMMYFUNCTION("GOOGLETRANSLATE(F14250, ""auto"", ""en"")
"),"I liked the laptop very well for the money, although I like the keyboard better on Sony laptops, here you often get confused, cool touch keys, the laptop can safely be considered as a replacement for a PC, it doesn’t slow down and the web camera makes me "&amp;"happy.")</f>
        <v>I liked the laptop very well for the money, although I like the keyboard better on Sony laptops, here you often get confused, cool touch keys, the laptop can safely be considered as a replacement for a PC, it doesn’t slow down and the web camera makes me happy.</v>
      </c>
    </row>
    <row r="14251" spans="1:9" x14ac:dyDescent="0.3">
      <c r="A14251" s="1" t="s">
        <v>89</v>
      </c>
      <c r="B14251" s="1" t="s">
        <v>90</v>
      </c>
      <c r="C14251" s="1" t="s">
        <v>185</v>
      </c>
      <c r="D14251" s="1" t="s">
        <v>471</v>
      </c>
      <c r="E14251" s="1" t="s">
        <v>670</v>
      </c>
      <c r="F14251" s="1" t="s">
        <v>19690</v>
      </c>
      <c r="G14251" s="1" t="s">
        <v>36</v>
      </c>
      <c r="H14251" s="1" t="s">
        <v>29</v>
      </c>
      <c r="I14251" s="1" t="str">
        <f ca="1">IFERROR(__xludf.DUMMYFUNCTION("GOOGLETRANSLATE(F14251, ""auto"", ""en"")
"),"We purchased a coffee grinder about a year ago because there was a need to grind porridge and nuts for cooking; before that we had an “eternal” Soviet one. The choice fell on this model because we are familiar with this company and the quality is not sati"&amp;"sfactory. I was very pleased with the organic design, long cord and brush included. The noise level is average: not to say that it is completely silent, but it is an order of magnitude quieter than the previous one. It is possible to immediately grind a f"&amp;"airly large volume of coffee, and the removable bowl allows you to conveniently pour it into a jar. Excellent grinding; practically does not heat up during operation; Even with regular use, the knives do not become dull.  The only negative is the price, b"&amp;"ut having heard a lot about “disposable” analogues, we excluded this item from the significant factors influencing the purchase.  I recommend")</f>
        <v>We purchased a coffee grinder about a year ago because there was a need to grind porridge and nuts for cooking; before that we had an “eternal” Soviet one. The choice fell on this model because we are familiar with this company and the quality is not satisfactory. I was very pleased with the organic design, long cord and brush included. The noise level is average: not to say that it is completely silent, but it is an order of magnitude quieter than the previous one. It is possible to immediately grind a fairly large volume of coffee, and the removable bowl allows you to conveniently pour it into a jar. Excellent grinding; practically does not heat up during operation; Even with regular use, the knives do not become dull.  The only negative is the price, but having heard a lot about “disposable” analogues, we excluded this item from the significant factors influencing the purchase.  I recommend</v>
      </c>
    </row>
    <row r="14252" spans="1:9" x14ac:dyDescent="0.3">
      <c r="A14252" s="1" t="s">
        <v>37</v>
      </c>
      <c r="B14252" s="1" t="s">
        <v>536</v>
      </c>
      <c r="C14252" s="1" t="s">
        <v>32</v>
      </c>
      <c r="D14252" s="1" t="s">
        <v>1193</v>
      </c>
      <c r="E14252" s="1" t="s">
        <v>820</v>
      </c>
      <c r="F14252" s="1" t="s">
        <v>19691</v>
      </c>
      <c r="G14252" s="1" t="s">
        <v>36</v>
      </c>
      <c r="H14252" s="1" t="s">
        <v>29</v>
      </c>
      <c r="I14252" s="1" t="str">
        <f ca="1">IFERROR(__xludf.DUMMYFUNCTION("GOOGLETRANSLATE(F14252, ""auto"", ""en"")
"),"everything is fine, everything is fine!  one minus charging!  how to set up GPS????")</f>
        <v>everything is fine, everything is fine!  one minus charging!  how to set up GPS????</v>
      </c>
    </row>
    <row r="14253" spans="1:9" x14ac:dyDescent="0.3">
      <c r="A14253" s="1" t="s">
        <v>105</v>
      </c>
      <c r="B14253" s="1" t="s">
        <v>106</v>
      </c>
      <c r="C14253" s="1" t="s">
        <v>69</v>
      </c>
      <c r="D14253" s="1" t="s">
        <v>232</v>
      </c>
      <c r="E14253" s="1" t="s">
        <v>6250</v>
      </c>
      <c r="F14253" s="1" t="s">
        <v>19692</v>
      </c>
      <c r="G14253" s="1" t="s">
        <v>36</v>
      </c>
      <c r="H14253" s="1" t="s">
        <v>29</v>
      </c>
      <c r="I14253" s="1" t="str">
        <f ca="1">IFERROR(__xludf.DUMMYFUNCTION("GOOGLETRANSLATE(F14253, ""auto"", ""en"")
"),"Cool toy. Convenient, functional and not expensive. And the battery lasts a long time, unlike many")</f>
        <v>Cool toy. Convenient, functional and not expensive. And the battery lasts a long time, unlike many</v>
      </c>
    </row>
    <row r="14254" spans="1:9" x14ac:dyDescent="0.3">
      <c r="A14254" s="1" t="s">
        <v>95</v>
      </c>
      <c r="B14254" s="1" t="s">
        <v>227</v>
      </c>
      <c r="C14254" s="1" t="s">
        <v>97</v>
      </c>
      <c r="D14254" s="1" t="s">
        <v>1776</v>
      </c>
      <c r="E14254" s="1" t="s">
        <v>5187</v>
      </c>
      <c r="F14254" s="1" t="s">
        <v>19693</v>
      </c>
      <c r="G14254" s="1" t="s">
        <v>36</v>
      </c>
      <c r="H14254" s="1" t="s">
        <v>29</v>
      </c>
      <c r="I14254" s="1" t="str">
        <f ca="1">IFERROR(__xludf.DUMMYFUNCTION("GOOGLETRANSLATE(F14254, ""auto"", ""en"")
"),"I bought this set and was not disappointed. Everything is simply at the highest level! Many people complain about the graphics of the PS3, but for me the graphics are just superb. Glad, there are no words. I recommend it to everyone!!!")</f>
        <v>I bought this set and was not disappointed. Everything is simply at the highest level! Many people complain about the graphics of the PS3, but for me the graphics are just superb. Glad, there are no words. I recommend it to everyone!!!</v>
      </c>
    </row>
    <row r="14255" spans="1:9" x14ac:dyDescent="0.3">
      <c r="A14255" s="1" t="s">
        <v>67</v>
      </c>
      <c r="B14255" s="1" t="s">
        <v>68</v>
      </c>
      <c r="C14255" s="1" t="s">
        <v>74</v>
      </c>
      <c r="D14255" s="1" t="s">
        <v>411</v>
      </c>
      <c r="E14255" s="1" t="s">
        <v>956</v>
      </c>
      <c r="F14255" s="1" t="s">
        <v>19694</v>
      </c>
      <c r="G14255" s="1" t="s">
        <v>15</v>
      </c>
      <c r="H14255" s="1" t="s">
        <v>16</v>
      </c>
      <c r="I14255" s="1" t="str">
        <f ca="1">IFERROR(__xludf.DUMMYFUNCTION("GOOGLETRANSLATE(F14255, ""auto"", ""en"")
"),"The sole of the iron glides very poorly!")</f>
        <v>The sole of the iron glides very poorly!</v>
      </c>
    </row>
    <row r="14256" spans="1:9" x14ac:dyDescent="0.3">
      <c r="A14256" s="1" t="s">
        <v>61</v>
      </c>
      <c r="B14256" s="1" t="s">
        <v>224</v>
      </c>
      <c r="C14256" s="1" t="s">
        <v>85</v>
      </c>
      <c r="D14256" s="1" t="s">
        <v>4132</v>
      </c>
      <c r="E14256" s="1" t="s">
        <v>5303</v>
      </c>
      <c r="F14256" s="1" t="s">
        <v>19695</v>
      </c>
      <c r="G14256" s="1" t="s">
        <v>36</v>
      </c>
      <c r="H14256" s="1" t="s">
        <v>29</v>
      </c>
      <c r="I14256" s="1" t="str">
        <f ca="1">IFERROR(__xludf.DUMMYFUNCTION("GOOGLETRANSLATE(F14256, ""auto"", ""en"")
"),"Great juicer! I have been looking for something suitable for a family for a very long time. Stylish design, powerful, well-manufactured, reliable, has never let you down! In general, I'm very pleased. I recommend it to everyone.")</f>
        <v>Great juicer! I have been looking for something suitable for a family for a very long time. Stylish design, powerful, well-manufactured, reliable, has never let you down! In general, I'm very pleased. I recommend it to everyone.</v>
      </c>
    </row>
    <row r="14257" spans="1:9" x14ac:dyDescent="0.3">
      <c r="A14257" s="1" t="s">
        <v>17</v>
      </c>
      <c r="B14257" s="1" t="s">
        <v>18</v>
      </c>
      <c r="C14257" s="1" t="s">
        <v>1835</v>
      </c>
      <c r="D14257" s="1" t="s">
        <v>940</v>
      </c>
      <c r="E14257" s="1" t="s">
        <v>649</v>
      </c>
      <c r="F14257" s="1" t="s">
        <v>19696</v>
      </c>
      <c r="G14257" s="1" t="s">
        <v>36</v>
      </c>
      <c r="H14257" s="1" t="s">
        <v>29</v>
      </c>
      <c r="I14257" s="1" t="str">
        <f ca="1">IFERROR(__xludf.DUMMYFUNCTION("GOOGLETRANSLATE(F14257, ""auto"", ""en"")
"),"As my wife said: this is a machine that washes everything.  There is no need for hand washing. There is a small child in the house: everything is washed at 5 plus, you can’t even hear it. The difference with the previous Korean machine is fundamental.")</f>
        <v>As my wife said: this is a machine that washes everything.  There is no need for hand washing. There is a small child in the house: everything is washed at 5 plus, you can’t even hear it. The difference with the previous Korean machine is fundamental.</v>
      </c>
    </row>
    <row r="14258" spans="1:9" x14ac:dyDescent="0.3">
      <c r="A14258" s="1" t="s">
        <v>37</v>
      </c>
      <c r="B14258" s="1" t="s">
        <v>536</v>
      </c>
      <c r="C14258" s="1" t="s">
        <v>1419</v>
      </c>
      <c r="D14258" s="1" t="s">
        <v>19697</v>
      </c>
      <c r="E14258" s="1" t="s">
        <v>3472</v>
      </c>
      <c r="F14258" s="1" t="s">
        <v>19698</v>
      </c>
      <c r="G14258" s="1" t="s">
        <v>36</v>
      </c>
      <c r="H14258" s="1" t="s">
        <v>29</v>
      </c>
      <c r="I14258" s="1" t="str">
        <f ca="1">IFERROR(__xludf.DUMMYFUNCTION("GOOGLETRANSLATE(F14258, ""auto"", ""en"")
"),"At first I was afraid that I bought this device, but now over time I’ve gotten used to it and I’m happy with it, all functions work on 4+ and 5. The only disappointment is the camera. I had to study it for a long time, since this is my first time dealing "&amp;"with a communicator. I also installed Navitel instead of autosatellite, everything is just great")</f>
        <v>At first I was afraid that I bought this device, but now over time I’ve gotten used to it and I’m happy with it, all functions work on 4+ and 5. The only disappointment is the camera. I had to study it for a long time, since this is my first time dealing with a communicator. I also installed Navitel instead of autosatellite, everything is just great</v>
      </c>
    </row>
    <row r="14259" spans="1:9" x14ac:dyDescent="0.3">
      <c r="A14259" s="1" t="s">
        <v>61</v>
      </c>
      <c r="B14259" s="1" t="s">
        <v>180</v>
      </c>
      <c r="C14259" s="1" t="s">
        <v>85</v>
      </c>
      <c r="D14259" s="1" t="s">
        <v>4404</v>
      </c>
      <c r="E14259" s="1" t="s">
        <v>18835</v>
      </c>
      <c r="F14259" s="1" t="s">
        <v>19699</v>
      </c>
      <c r="G14259" s="1" t="s">
        <v>36</v>
      </c>
      <c r="H14259" s="1" t="s">
        <v>29</v>
      </c>
      <c r="I14259" s="1" t="str">
        <f ca="1">IFERROR(__xludf.DUMMYFUNCTION("GOOGLETRANSLATE(F14259, ""auto"", ""en"")
"),"Not even expensive for a Borka")</f>
        <v>Not even expensive for a Borka</v>
      </c>
    </row>
    <row r="14260" spans="1:9" x14ac:dyDescent="0.3">
      <c r="A14260" s="1" t="s">
        <v>17</v>
      </c>
      <c r="B14260" s="1" t="s">
        <v>18</v>
      </c>
      <c r="C14260" s="1" t="s">
        <v>243</v>
      </c>
      <c r="D14260" s="1" t="s">
        <v>565</v>
      </c>
      <c r="E14260" s="1" t="s">
        <v>5195</v>
      </c>
      <c r="F14260" s="1" t="s">
        <v>19700</v>
      </c>
      <c r="G14260" s="1" t="s">
        <v>28</v>
      </c>
      <c r="H14260" s="1" t="s">
        <v>29</v>
      </c>
      <c r="I14260" s="1" t="str">
        <f ca="1">IFERROR(__xludf.DUMMYFUNCTION("GOOGLETRANSLATE(F14260, ""auto"", ""en"")
"),"A very good washing machine for a low price! Bought about 2 years ago, no complaints.")</f>
        <v>A very good washing machine for a low price! Bought about 2 years ago, no complaints.</v>
      </c>
    </row>
    <row r="14261" spans="1:9" x14ac:dyDescent="0.3">
      <c r="A14261" s="1" t="s">
        <v>43</v>
      </c>
      <c r="B14261" s="1" t="s">
        <v>334</v>
      </c>
      <c r="C14261" s="1" t="s">
        <v>257</v>
      </c>
      <c r="D14261" s="1" t="s">
        <v>6146</v>
      </c>
      <c r="E14261" s="1" t="s">
        <v>1576</v>
      </c>
      <c r="F14261" s="1" t="s">
        <v>19701</v>
      </c>
      <c r="G14261" s="1" t="s">
        <v>28</v>
      </c>
      <c r="H14261" s="1" t="s">
        <v>29</v>
      </c>
      <c r="I14261" s="1" t="str">
        <f ca="1">IFERROR(__xludf.DUMMYFUNCTION("GOOGLETRANSLATE(F14261, ""auto"", ""en"")
"),"Pros: - Low price - Nice design - Quite good performance Cons: - At low speed it makes noticeable noise, you need to listen in the store - Small height adjustment angle It’s worth the money.")</f>
        <v>Pros: - Low price - Nice design - Quite good performance Cons: - At low speed it makes noticeable noise, you need to listen in the store - Small height adjustment angle It’s worth the money.</v>
      </c>
    </row>
    <row r="14262" spans="1:9" x14ac:dyDescent="0.3">
      <c r="A14262" s="1" t="s">
        <v>369</v>
      </c>
      <c r="B14262" s="1" t="s">
        <v>587</v>
      </c>
      <c r="C14262" s="1" t="s">
        <v>308</v>
      </c>
      <c r="D14262" s="1" t="s">
        <v>64</v>
      </c>
      <c r="E14262" s="1" t="s">
        <v>3642</v>
      </c>
      <c r="F14262" s="1" t="s">
        <v>19702</v>
      </c>
      <c r="G14262" s="1" t="s">
        <v>36</v>
      </c>
      <c r="H14262" s="1" t="s">
        <v>29</v>
      </c>
      <c r="I14262" s="1" t="str">
        <f ca="1">IFERROR(__xludf.DUMMYFUNCTION("GOOGLETRANSLATE(F14262, ""auto"", ""en"")
"),"I really like this stove, both in style and function. For that kind of money there is also automatic ignition! Easy to clean. Hope it lasts a long time! Delivered on time and without problems!")</f>
        <v>I really like this stove, both in style and function. For that kind of money there is also automatic ignition! Easy to clean. Hope it lasts a long time! Delivered on time and without problems!</v>
      </c>
    </row>
    <row r="14263" spans="1:9" x14ac:dyDescent="0.3">
      <c r="A14263" s="1" t="s">
        <v>61</v>
      </c>
      <c r="B14263" s="1" t="s">
        <v>318</v>
      </c>
      <c r="C14263" s="1" t="s">
        <v>101</v>
      </c>
      <c r="D14263" s="1" t="s">
        <v>13734</v>
      </c>
      <c r="E14263" s="1" t="s">
        <v>3379</v>
      </c>
      <c r="F14263" s="1" t="s">
        <v>19703</v>
      </c>
      <c r="G14263" s="1" t="s">
        <v>36</v>
      </c>
      <c r="H14263" s="1" t="s">
        <v>29</v>
      </c>
      <c r="I14263" s="1" t="str">
        <f ca="1">IFERROR(__xludf.DUMMYFUNCTION("GOOGLETRANSLATE(F14263, ""auto"", ""en"")
"),"A good kettle has no smell, scale forms slowly. There is no plastic smell. Very pleased with the purchase.")</f>
        <v>A good kettle has no smell, scale forms slowly. There is no plastic smell. Very pleased with the purchase.</v>
      </c>
    </row>
    <row r="14264" spans="1:9" x14ac:dyDescent="0.3">
      <c r="A14264" s="1" t="s">
        <v>149</v>
      </c>
      <c r="B14264" s="1" t="s">
        <v>155</v>
      </c>
      <c r="C14264" s="1" t="s">
        <v>1187</v>
      </c>
      <c r="D14264" s="1" t="s">
        <v>19704</v>
      </c>
      <c r="E14264" s="1" t="s">
        <v>2383</v>
      </c>
      <c r="F14264" s="1" t="s">
        <v>19705</v>
      </c>
      <c r="G14264" s="1" t="s">
        <v>36</v>
      </c>
      <c r="H14264" s="1" t="s">
        <v>29</v>
      </c>
      <c r="I14264" s="1" t="str">
        <f ca="1">IFERROR(__xludf.DUMMYFUNCTION("GOOGLETRANSLATE(F14264, ""auto"", ""en"")
"),"Happy as hell! there were many models before him, I don’t even want to remember! I bought it last month because... the previous vacuum cleaner simply died during use! I didn’t even think about which one to choose, because... At work, cleaners use this exa"&amp;"ct model, I looked and realized - YAY! I bought it and don’t regret it one bit! I clean 2 times a week, because... became a dad 3 months ago! In short, it's time for the night - the vacuum cleaner is SUPER!")</f>
        <v>Happy as hell! there were many models before him, I don’t even want to remember! I bought it last month because... the previous vacuum cleaner simply died during use! I didn’t even think about which one to choose, because... At work, cleaners use this exact model, I looked and realized - YAY! I bought it and don’t regret it one bit! I clean 2 times a week, because... became a dad 3 months ago! In short, it's time for the night - the vacuum cleaner is SUPER!</v>
      </c>
    </row>
    <row r="14265" spans="1:9" x14ac:dyDescent="0.3">
      <c r="A14265" s="1" t="s">
        <v>624</v>
      </c>
      <c r="B14265" s="1" t="s">
        <v>881</v>
      </c>
      <c r="C14265" s="1" t="s">
        <v>479</v>
      </c>
      <c r="D14265" s="1" t="s">
        <v>295</v>
      </c>
      <c r="E14265" s="1" t="s">
        <v>727</v>
      </c>
      <c r="F14265" s="1" t="s">
        <v>19706</v>
      </c>
      <c r="G14265" s="1" t="s">
        <v>36</v>
      </c>
      <c r="H14265" s="1" t="s">
        <v>29</v>
      </c>
      <c r="I14265" s="1" t="str">
        <f ca="1">IFERROR(__xludf.DUMMYFUNCTION("GOOGLETRANSLATE(F14265, ""auto"", ""en"")
"),"I bought it for my 10 year old daughter - she’s happy, there are many levels, excellent graphics, fun music throughout the game, the ability to play with several players (if it’s a licensed PSP)")</f>
        <v>I bought it for my 10 year old daughter - she’s happy, there are many levels, excellent graphics, fun music throughout the game, the ability to play with several players (if it’s a licensed PSP)</v>
      </c>
    </row>
    <row r="14266" spans="1:9" x14ac:dyDescent="0.3">
      <c r="A14266" s="1" t="s">
        <v>105</v>
      </c>
      <c r="B14266" s="1" t="s">
        <v>106</v>
      </c>
      <c r="C14266" s="1" t="s">
        <v>107</v>
      </c>
      <c r="D14266" s="1" t="s">
        <v>139</v>
      </c>
      <c r="E14266" s="1" t="s">
        <v>730</v>
      </c>
      <c r="F14266" s="1" t="s">
        <v>19707</v>
      </c>
      <c r="G14266" s="1" t="s">
        <v>15</v>
      </c>
      <c r="H14266" s="1" t="s">
        <v>16</v>
      </c>
      <c r="I14266" s="1" t="str">
        <f ca="1">IFERROR(__xludf.DUMMYFUNCTION("GOOGLETRANSLATE(F14266, ""auto"", ""en"")
"),"The player is good, video, music, everything worked great, but on the day of purchase, the screen cracked when I pressed it lightly!!!  Cannot be repaired!  I read on the forum that this model’s screen has a weak point!!!")</f>
        <v>The player is good, video, music, everything worked great, but on the day of purchase, the screen cracked when I pressed it lightly!!!  Cannot be repaired!  I read on the forum that this model’s screen has a weak point!!!</v>
      </c>
    </row>
    <row r="14267" spans="1:9" x14ac:dyDescent="0.3">
      <c r="A14267" s="1" t="s">
        <v>149</v>
      </c>
      <c r="B14267" s="1" t="s">
        <v>423</v>
      </c>
      <c r="C14267" s="1" t="s">
        <v>314</v>
      </c>
      <c r="D14267" s="1" t="s">
        <v>565</v>
      </c>
      <c r="E14267" s="1" t="s">
        <v>421</v>
      </c>
      <c r="F14267" s="1" t="s">
        <v>19708</v>
      </c>
      <c r="G14267" s="1" t="s">
        <v>28</v>
      </c>
      <c r="H14267" s="1" t="s">
        <v>29</v>
      </c>
      <c r="I14267" s="1" t="str">
        <f ca="1">IFERROR(__xludf.DUMMYFUNCTION("GOOGLETRANSLATE(F14267, ""auto"", ""en"")
"),"An excellent vacuum cleaner, dry cleaning is one thing, but after washing carpets, it’s completely different! The only thing is that you need to get used to it, as with any technique.")</f>
        <v>An excellent vacuum cleaner, dry cleaning is one thing, but after washing carpets, it’s completely different! The only thing is that you need to get used to it, as with any technique.</v>
      </c>
    </row>
    <row r="14268" spans="1:9" x14ac:dyDescent="0.3">
      <c r="A14268" s="1" t="s">
        <v>17</v>
      </c>
      <c r="B14268" s="1" t="s">
        <v>18</v>
      </c>
      <c r="C14268" s="1" t="s">
        <v>19</v>
      </c>
      <c r="D14268" s="1" t="s">
        <v>568</v>
      </c>
      <c r="E14268" s="1" t="s">
        <v>2531</v>
      </c>
      <c r="F14268" s="1" t="s">
        <v>19709</v>
      </c>
      <c r="G14268" s="1" t="s">
        <v>36</v>
      </c>
      <c r="H14268" s="1" t="s">
        <v>29</v>
      </c>
      <c r="I14268" s="1" t="str">
        <f ca="1">IFERROR(__xludf.DUMMYFUNCTION("GOOGLETRANSLATE(F14268, ""auto"", ""en"")
"),"The previous Zanussi car worked for 10 years - it broke down, it's time to buy a new one. The choice fell on Hotpoint-Ariston ARXL100CSIL Focused on price, quality, functionality. Today I will say that I am happy with everything. Everything works, no more"&amp;" noise than others, energy and water consumption is normal. In general, I can’t say anything bad about the car. If it works like the previous one for about a dozen years, then it’s generally fine.")</f>
        <v>The previous Zanussi car worked for 10 years - it broke down, it's time to buy a new one. The choice fell on Hotpoint-Ariston ARXL100CSIL Focused on price, quality, functionality. Today I will say that I am happy with everything. Everything works, no more noise than others, energy and water consumption is normal. In general, I can’t say anything bad about the car. If it works like the previous one for about a dozen years, then it’s generally fine.</v>
      </c>
    </row>
    <row r="14269" spans="1:9" x14ac:dyDescent="0.3">
      <c r="A14269" s="1" t="s">
        <v>9</v>
      </c>
      <c r="B14269" s="1" t="s">
        <v>10</v>
      </c>
      <c r="C14269" s="1" t="s">
        <v>407</v>
      </c>
      <c r="D14269" s="1" t="s">
        <v>565</v>
      </c>
      <c r="E14269" s="1" t="s">
        <v>4445</v>
      </c>
      <c r="F14269" s="1" t="s">
        <v>19710</v>
      </c>
      <c r="G14269" s="1" t="s">
        <v>36</v>
      </c>
      <c r="H14269" s="1" t="s">
        <v>29</v>
      </c>
      <c r="I14269" s="1" t="str">
        <f ca="1">IFERROR(__xludf.DUMMYFUNCTION("GOOGLETRANSLATE(F14269, ""auto"", ""en"")
"),"We recently bought this hood and are very pleased!")</f>
        <v>We recently bought this hood and are very pleased!</v>
      </c>
    </row>
    <row r="14270" spans="1:9" x14ac:dyDescent="0.3">
      <c r="A14270" s="1" t="s">
        <v>61</v>
      </c>
      <c r="B14270" s="1" t="s">
        <v>145</v>
      </c>
      <c r="C14270" s="1" t="s">
        <v>69</v>
      </c>
      <c r="D14270" s="1" t="s">
        <v>471</v>
      </c>
      <c r="E14270" s="1" t="s">
        <v>1553</v>
      </c>
      <c r="F14270" s="1" t="s">
        <v>19711</v>
      </c>
      <c r="G14270" s="1" t="s">
        <v>36</v>
      </c>
      <c r="H14270" s="1" t="s">
        <v>29</v>
      </c>
      <c r="I14270" s="1" t="str">
        <f ca="1">IFERROR(__xludf.DUMMYFUNCTION("GOOGLETRANSLATE(F14270, ""auto"", ""en"")
"),"I was very pleased with the steamer!! I’ve been using it for more than six months now. I’m happy with almost everything! The only negative is that the cord is too short for me)) And I advise everyone! You won’t regret it)")</f>
        <v>I was very pleased with the steamer!! I’ve been using it for more than six months now. I’m happy with almost everything! The only negative is that the cord is too short for me)) And I advise everyone! You won’t regret it)</v>
      </c>
    </row>
    <row r="14271" spans="1:9" x14ac:dyDescent="0.3">
      <c r="A14271" s="1" t="s">
        <v>211</v>
      </c>
      <c r="B14271" s="1" t="s">
        <v>212</v>
      </c>
      <c r="C14271" s="1" t="s">
        <v>381</v>
      </c>
      <c r="D14271" s="1" t="s">
        <v>565</v>
      </c>
      <c r="E14271" s="1" t="s">
        <v>2772</v>
      </c>
      <c r="F14271" s="1" t="s">
        <v>19712</v>
      </c>
      <c r="G14271" s="1" t="s">
        <v>36</v>
      </c>
      <c r="H14271" s="1" t="s">
        <v>29</v>
      </c>
      <c r="I14271" s="1" t="str">
        <f ca="1">IFERROR(__xludf.DUMMYFUNCTION("GOOGLETRANSLATE(F14271, ""auto"", ""en"")
"),"I’ve been using it every morning for 3 years now, great product, I like the fact that there are many drying levels! Convenient to hold in your hands, you can’t go anywhere without it!")</f>
        <v>I’ve been using it every morning for 3 years now, great product, I like the fact that there are many drying levels! Convenient to hold in your hands, you can’t go anywhere without it!</v>
      </c>
    </row>
    <row r="14272" spans="1:9" x14ac:dyDescent="0.3">
      <c r="A14272" s="1" t="s">
        <v>61</v>
      </c>
      <c r="B14272" s="1" t="s">
        <v>224</v>
      </c>
      <c r="C14272" s="1" t="s">
        <v>74</v>
      </c>
      <c r="D14272" s="1" t="s">
        <v>471</v>
      </c>
      <c r="E14272" s="1" t="s">
        <v>822</v>
      </c>
      <c r="F14272" s="1" t="s">
        <v>19713</v>
      </c>
      <c r="G14272" s="1" t="s">
        <v>36</v>
      </c>
      <c r="H14272" s="1" t="s">
        <v>29</v>
      </c>
      <c r="I14272" s="1" t="str">
        <f ca="1">IFERROR(__xludf.DUMMYFUNCTION("GOOGLETRANSLATE(F14272, ""auto"", ""en"")
"),"A very good juicer, to be honest I expected the worst from its price, but it exceeded expectations!!! What’s especially pleasing is that after squeezing, the waste is very dry, which means all the juice ends up with YOU!!!! I recommend it to everyone!")</f>
        <v>A very good juicer, to be honest I expected the worst from its price, but it exceeded expectations!!! What’s especially pleasing is that after squeezing, the waste is very dry, which means all the juice ends up with YOU!!!! I recommend it to everyone!</v>
      </c>
    </row>
    <row r="14273" spans="1:9" x14ac:dyDescent="0.3">
      <c r="A14273" s="1" t="s">
        <v>369</v>
      </c>
      <c r="B14273" s="1" t="s">
        <v>587</v>
      </c>
      <c r="C14273" s="1" t="s">
        <v>588</v>
      </c>
      <c r="D14273" s="1" t="s">
        <v>64</v>
      </c>
      <c r="E14273" s="1" t="s">
        <v>12309</v>
      </c>
      <c r="F14273" s="1" t="s">
        <v>19714</v>
      </c>
      <c r="G14273" s="1" t="s">
        <v>36</v>
      </c>
      <c r="H14273" s="1" t="s">
        <v>29</v>
      </c>
      <c r="I14273" s="1" t="str">
        <f ca="1">IFERROR(__xludf.DUMMYFUNCTION("GOOGLETRANSLATE(F14273, ""auto"", ""en"")
"),"People, when delivering, pay attention to the color of the sides of the slab. In the store it’s with gray sides, but they brought it to us with black ones, I’ll go change it and file a claim. They’ve already connected it, and then they realized that they "&amp;"didn’t pay attention during delivery! Of course, they fooled themselves!")</f>
        <v>People, when delivering, pay attention to the color of the sides of the slab. In the store it’s with gray sides, but they brought it to us with black ones, I’ll go change it and file a claim. They’ve already connected it, and then they realized that they didn’t pay attention during delivery! Of course, they fooled themselves!</v>
      </c>
    </row>
    <row r="14274" spans="1:9" x14ac:dyDescent="0.3">
      <c r="A14274" s="1" t="s">
        <v>9</v>
      </c>
      <c r="B14274" s="1" t="s">
        <v>133</v>
      </c>
      <c r="C14274" s="1" t="s">
        <v>159</v>
      </c>
      <c r="D14274" s="1" t="s">
        <v>203</v>
      </c>
      <c r="E14274" s="1" t="s">
        <v>19715</v>
      </c>
      <c r="F14274" s="1" t="s">
        <v>19716</v>
      </c>
      <c r="G14274" s="1" t="s">
        <v>36</v>
      </c>
      <c r="H14274" s="1" t="s">
        <v>29</v>
      </c>
      <c r="I14274" s="1" t="str">
        <f ca="1">IFERROR(__xludf.DUMMYFUNCTION("GOOGLETRANSLATE(F14274, ""auto"", ""en"")
"),"The harsh Germans from Electrolux pleased us once again. As always, we did not disappoint. It bakes with a bang. Cupcakes-muffins (25 minutes at 190 degrees) and zucchini-potatoes-sausage-cheese casserole (45 minutes at 200 degrees) were eaten by relative"&amp;"s and unexpected guests almost instantly. I’m especially pleased that the set includes three baking trays (2 shallow, 1 deep) and a wire rack. Modes - 7 most basic. Personally, I don’t need more. I was surprised by the presence of 2 fans. One is convectiv"&amp;"e, the second is cooling hidden somewhere in the case. Heating of the outer shell of the body after an hour and a half of cooking at 200 degrees. - moderate, the hand endures. It’s also good that the wire is immediately connected to a standard Euro plug, "&amp;"the length of the wire is ~1.5 m. The inside of the oven is covered with a pleasant smooth enamel; if something leaks, it’s better to wipe it off immediately so that it doesn’t get baked forever. In general, I recommend it for people who are not obsessed "&amp;"with unnecessary bells and whistles. This oven is for real life, large daily cooking volumes. Yes, I remembered a small nuance - this model does not have a door lock for small children (personally, this is not critical for me), so in general - a solid fiv"&amp;"e! DANKE SCHOEN, Electrolux! :-)")</f>
        <v>The harsh Germans from Electrolux pleased us once again. As always, we did not disappoint. It bakes with a bang. Cupcakes-muffins (25 minutes at 190 degrees) and zucchini-potatoes-sausage-cheese casserole (45 minutes at 200 degrees) were eaten by relatives and unexpected guests almost instantly. I’m especially pleased that the set includes three baking trays (2 shallow, 1 deep) and a wire rack. Modes - 7 most basic. Personally, I don’t need more. I was surprised by the presence of 2 fans. One is convective, the second is cooling hidden somewhere in the case. Heating of the outer shell of the body after an hour and a half of cooking at 200 degrees. - moderate, the hand endures. It’s also good that the wire is immediately connected to a standard Euro plug, the length of the wire is ~1.5 m. The inside of the oven is covered with a pleasant smooth enamel; if something leaks, it’s better to wipe it off immediately so that it doesn’t get baked forever. In general, I recommend it for people who are not obsessed with unnecessary bells and whistles. This oven is for real life, large daily cooking volumes. Yes, I remembered a small nuance - this model does not have a door lock for small children (personally, this is not critical for me), so in general - a solid five! DANKE SCHOEN, Electrolux! :-)</v>
      </c>
    </row>
    <row r="14275" spans="1:9" x14ac:dyDescent="0.3">
      <c r="A14275" s="1" t="s">
        <v>61</v>
      </c>
      <c r="B14275" s="1" t="s">
        <v>145</v>
      </c>
      <c r="C14275" s="1" t="s">
        <v>74</v>
      </c>
      <c r="D14275" s="1" t="s">
        <v>18581</v>
      </c>
      <c r="E14275" s="1" t="s">
        <v>8122</v>
      </c>
      <c r="F14275" s="1" t="s">
        <v>19717</v>
      </c>
      <c r="G14275" s="1" t="s">
        <v>28</v>
      </c>
      <c r="H14275" s="1" t="s">
        <v>29</v>
      </c>
      <c r="I14275" s="1" t="str">
        <f ca="1">IFERROR(__xludf.DUMMYFUNCTION("GOOGLETRANSLATE(F14275, ""auto"", ""en"")
"),"A good model of a yogurt maker, the capacity is certainly too small for a large family, but still. Beautiful, looks good :) It also happens that instead of jars I put containers for the microwave, this way I solve the problem of volume. One thing, there a"&amp;"re overheats, the cardboard on the bottom saves you. I make yogurt only using dry starter cultures from Laktin; I don’t trust store-bought ones; it’s not clear what’s stuffed in there.")</f>
        <v>A good model of a yogurt maker, the capacity is certainly too small for a large family, but still. Beautiful, looks good :) It also happens that instead of jars I put containers for the microwave, this way I solve the problem of volume. One thing, there are overheats, the cardboard on the bottom saves you. I make yogurt only using dry starter cultures from Laktin; I don’t trust store-bought ones; it’s not clear what’s stuffed in there.</v>
      </c>
    </row>
    <row r="14276" spans="1:9" x14ac:dyDescent="0.3">
      <c r="A14276" s="1" t="s">
        <v>120</v>
      </c>
      <c r="B14276" s="1" t="s">
        <v>256</v>
      </c>
      <c r="C14276" s="1" t="s">
        <v>80</v>
      </c>
      <c r="D14276" s="1" t="s">
        <v>19718</v>
      </c>
      <c r="E14276" s="1" t="s">
        <v>529</v>
      </c>
      <c r="F14276" s="1" t="s">
        <v>19719</v>
      </c>
      <c r="G14276" s="1" t="s">
        <v>15</v>
      </c>
      <c r="H14276" s="1" t="s">
        <v>16</v>
      </c>
      <c r="I14276" s="1" t="str">
        <f ca="1">IFERROR(__xludf.DUMMYFUNCTION("GOOGLETRANSLATE(F14276, ""auto"", ""en"")
"),"Advantages: Price. We needed a white TV for the kitchen.  Disadvantages: As already noted, poor vertical viewing angle, takes a long time to switch channels and colors, black power cord, inconvenient menu, full instructions only on CD.  Comment: I bought "&amp;"it six months ago. The colors are poor (compared to the lamp PHILIPS). It took me a long time to set it up so that I could see at least something while sitting, but it was still dark. The old European-assembled PHILIPS has channel names in Russian and Lat"&amp;"in, while the Russian-assembled LG has only Latin alphabet. Turning on the same PHILIPS from the remote control, say, with the 7th button, it turns on on channel 7, and LG, no matter what button you turn it on, still turns on on the channel on which you t"&amp;"urned it off. He thinks for a very long time when switching channels. What kind of person came up with a black wire for white equipment?!")</f>
        <v>Advantages: Price. We needed a white TV for the kitchen.  Disadvantages: As already noted, poor vertical viewing angle, takes a long time to switch channels and colors, black power cord, inconvenient menu, full instructions only on CD.  Comment: I bought it six months ago. The colors are poor (compared to the lamp PHILIPS). It took me a long time to set it up so that I could see at least something while sitting, but it was still dark. The old European-assembled PHILIPS has channel names in Russian and Latin, while the Russian-assembled LG has only Latin alphabet. Turning on the same PHILIPS from the remote control, say, with the 7th button, it turns on on channel 7, and LG, no matter what button you turn it on, still turns on on the channel on which you turned it off. He thinks for a very long time when switching channels. What kind of person came up with a black wire for white equipment?!</v>
      </c>
    </row>
    <row r="14277" spans="1:9" x14ac:dyDescent="0.3">
      <c r="A14277" s="1" t="s">
        <v>30</v>
      </c>
      <c r="B14277" s="1" t="s">
        <v>50</v>
      </c>
      <c r="C14277" s="1" t="s">
        <v>1386</v>
      </c>
      <c r="D14277" s="1" t="s">
        <v>477</v>
      </c>
      <c r="E14277" s="1" t="s">
        <v>201</v>
      </c>
      <c r="F14277" s="1" t="s">
        <v>19720</v>
      </c>
      <c r="G14277" s="1" t="s">
        <v>36</v>
      </c>
      <c r="H14277" s="1" t="s">
        <v>29</v>
      </c>
      <c r="I14277" s="1" t="str">
        <f ca="1">IFERROR(__xludf.DUMMYFUNCTION("GOOGLETRANSLATE(F14277, ""auto"", ""en"")
"),"Tell me. What is this computer for games? For example, Stalker, Spore, and in general for all others. Does it handle games if those systems have more GHz than on the computer?")</f>
        <v>Tell me. What is this computer for games? For example, Stalker, Spore, and in general for all others. Does it handle games if those systems have more GHz than on the computer?</v>
      </c>
    </row>
    <row r="14278" spans="1:9" x14ac:dyDescent="0.3">
      <c r="A14278" s="1" t="s">
        <v>17</v>
      </c>
      <c r="B14278" s="1" t="s">
        <v>325</v>
      </c>
      <c r="C14278" s="1" t="s">
        <v>326</v>
      </c>
      <c r="D14278" s="1" t="s">
        <v>127</v>
      </c>
      <c r="E14278" s="1" t="s">
        <v>3241</v>
      </c>
      <c r="F14278" s="1" t="s">
        <v>19721</v>
      </c>
      <c r="G14278" s="1" t="s">
        <v>28</v>
      </c>
      <c r="H14278" s="1" t="s">
        <v>29</v>
      </c>
      <c r="I14278" s="1" t="str">
        <f ca="1">IFERROR(__xludf.DUMMYFUNCTION("GOOGLETRANSLATE(F14278, ""auto"", ""en"")
"),"Not a bad machine for the money. It washes diapers and other protein stains very well. But there are two significant disadvantages: 1) It rotates the water very quickly. When I launched it, I was splashed;  2) And there is no pump to drain the water. The "&amp;"water drains by gravity.  I also like the light weight and small dimensions. And I was very pleased with the filter on the wall that collects debris.")</f>
        <v>Not a bad machine for the money. It washes diapers and other protein stains very well. But there are two significant disadvantages: 1) It rotates the water very quickly. When I launched it, I was splashed;  2) And there is no pump to drain the water. The water drains by gravity.  I also like the light weight and small dimensions. And I was very pleased with the filter on the wall that collects debris.</v>
      </c>
    </row>
    <row r="14279" spans="1:9" x14ac:dyDescent="0.3">
      <c r="A14279" s="1" t="s">
        <v>43</v>
      </c>
      <c r="B14279" s="1" t="s">
        <v>502</v>
      </c>
      <c r="C14279" s="1" t="s">
        <v>1627</v>
      </c>
      <c r="D14279" s="1" t="s">
        <v>127</v>
      </c>
      <c r="E14279" s="1" t="s">
        <v>651</v>
      </c>
      <c r="F14279" s="1" t="s">
        <v>19722</v>
      </c>
      <c r="G14279" s="1" t="s">
        <v>36</v>
      </c>
      <c r="H14279" s="1" t="s">
        <v>29</v>
      </c>
      <c r="I14279" s="1" t="str">
        <f ca="1">IFERROR(__xludf.DUMMYFUNCTION("GOOGLETRANSLATE(F14279, ""auto"", ""en"")
"),"Excellent air conditioner, it works quietly, in night mode you can’t hear it at all, it cools well!!!!!")</f>
        <v>Excellent air conditioner, it works quietly, in night mode you can’t hear it at all, it cools well!!!!!</v>
      </c>
    </row>
    <row r="14280" spans="1:9" x14ac:dyDescent="0.3">
      <c r="A14280" s="1" t="s">
        <v>149</v>
      </c>
      <c r="B14280" s="1" t="s">
        <v>155</v>
      </c>
      <c r="C14280" s="1" t="s">
        <v>63</v>
      </c>
      <c r="D14280" s="1" t="s">
        <v>172</v>
      </c>
      <c r="E14280" s="1" t="s">
        <v>5073</v>
      </c>
      <c r="F14280" s="1" t="s">
        <v>19723</v>
      </c>
      <c r="G14280" s="1" t="s">
        <v>36</v>
      </c>
      <c r="H14280" s="1" t="s">
        <v>29</v>
      </c>
      <c r="I14280" s="1" t="str">
        <f ca="1">IFERROR(__xludf.DUMMYFUNCTION("GOOGLETRANSLATE(F14280, ""auto"", ""en"")
"),"The vacuum cleaner is excellent. Powerful this time. Not childish. Removes even the smallest objects and dust without leaving a trace. even liquid is dry! High-quality assembly, and no complaints about the quality - that's two. And third, of course, is cl"&amp;"ean air. Really very clean. Especially if you use a carbon filter.")</f>
        <v>The vacuum cleaner is excellent. Powerful this time. Not childish. Removes even the smallest objects and dust without leaving a trace. even liquid is dry! High-quality assembly, and no complaints about the quality - that's two. And third, of course, is clean air. Really very clean. Especially if you use a carbon filter.</v>
      </c>
    </row>
    <row r="14281" spans="1:9" x14ac:dyDescent="0.3">
      <c r="A14281" s="1" t="s">
        <v>43</v>
      </c>
      <c r="B14281" s="1" t="s">
        <v>334</v>
      </c>
      <c r="C14281" s="1" t="s">
        <v>101</v>
      </c>
      <c r="D14281" s="1" t="s">
        <v>305</v>
      </c>
      <c r="E14281" s="1" t="s">
        <v>1408</v>
      </c>
      <c r="F14281" s="1" t="s">
        <v>19724</v>
      </c>
      <c r="G14281" s="1" t="s">
        <v>49</v>
      </c>
      <c r="H14281" s="1" t="s">
        <v>16</v>
      </c>
      <c r="I14281" s="1" t="str">
        <f ca="1">IFERROR(__xludf.DUMMYFUNCTION("GOOGLETRANSLATE(F14281, ""auto"", ""en"")
"),"Three speeds")</f>
        <v>Three speeds</v>
      </c>
    </row>
    <row r="14282" spans="1:9" x14ac:dyDescent="0.3">
      <c r="A14282" s="1" t="s">
        <v>169</v>
      </c>
      <c r="B14282" s="1" t="s">
        <v>170</v>
      </c>
      <c r="C14282" s="1" t="s">
        <v>69</v>
      </c>
      <c r="D14282" s="1" t="s">
        <v>19725</v>
      </c>
      <c r="E14282" s="1" t="s">
        <v>7961</v>
      </c>
      <c r="F14282" s="1" t="s">
        <v>19726</v>
      </c>
      <c r="G14282" s="1" t="s">
        <v>36</v>
      </c>
      <c r="H14282" s="1" t="s">
        <v>29</v>
      </c>
      <c r="I14282" s="1" t="str">
        <f ca="1">IFERROR(__xludf.DUMMYFUNCTION("GOOGLETRANSLATE(F14282, ""auto"", ""en"")
"),"I thought that my head was not standard, but these fit like a glove. I turned my head in every way - they didn’t fly off. But most of all I liked the sound, it really is some kind of magic. For the first time, I didn’t think about how many were high and h"&amp;"ow many were low. There is only one feeling - the music plays perfectly and doesn’t care about frequencies and megahertz. I don’t know how long they will work, many predict that they won’t last long, but if they die, I’ll buy the same ones.")</f>
        <v>I thought that my head was not standard, but these fit like a glove. I turned my head in every way - they didn’t fly off. But most of all I liked the sound, it really is some kind of magic. For the first time, I didn’t think about how many were high and how many were low. There is only one feeling - the music plays perfectly and doesn’t care about frequencies and megahertz. I don’t know how long they will work, many predict that they won’t last long, but if they die, I’ll buy the same ones.</v>
      </c>
    </row>
  </sheetData>
  <autoFilter ref="A1:I14282" xr:uid="{00000000-0009-0000-0000-000000000000}"/>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 1</vt:lpstr>
      <vt:lpstr>'Sheet 1'!solver_opt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Pratham Dhanesha</cp:lastModifiedBy>
  <dcterms:modified xsi:type="dcterms:W3CDTF">2025-03-17T18:59:12Z</dcterms:modified>
</cp:coreProperties>
</file>